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tables/table4.xml" ContentType="application/vnd.openxmlformats-officedocument.spreadsheetml.table+xml"/>
  <Override PartName="/xl/tables/table25.xml" ContentType="application/vnd.openxmlformats-officedocument.spreadsheetml.table+xml"/>
  <Override PartName="/xl/tables/table43.xml" ContentType="application/vnd.openxmlformats-officedocument.spreadsheetml.table+xml"/>
  <Override PartName="/xl/tables/table54.xml" ContentType="application/vnd.openxmlformats-officedocument.spreadsheetml.table+xml"/>
  <Override PartName="/xl/tables/table72.xml" ContentType="application/vnd.openxmlformats-officedocument.spreadsheetml.table+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tables/table14.xml" ContentType="application/vnd.openxmlformats-officedocument.spreadsheetml.table+xml"/>
  <Override PartName="/xl/tables/table32.xml" ContentType="application/vnd.openxmlformats-officedocument.spreadsheetml.table+xml"/>
  <Override PartName="/xl/tables/table61.xml" ContentType="application/vnd.openxmlformats-officedocument.spreadsheetml.table+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tables/table21.xml" ContentType="application/vnd.openxmlformats-officedocument.spreadsheetml.table+xml"/>
  <Override PartName="/xl/tables/table50.xml" ContentType="application/vnd.openxmlformats-officedocument.spreadsheetml.table+xml"/>
  <Default Extension="xml" ContentType="application/xml"/>
  <Override PartName="/xl/drawings/drawing2.xml" ContentType="application/vnd.openxmlformats-officedocument.drawing+xml"/>
  <Override PartName="/xl/tables/table10.xml" ContentType="application/vnd.openxmlformats-officedocument.spreadsheetml.table+xml"/>
  <Override PartName="/xl/worksheets/sheet3.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tables/table9.xml" ContentType="application/vnd.openxmlformats-officedocument.spreadsheetml.table+xml"/>
  <Override PartName="/xl/tables/table59.xml" ContentType="application/vnd.openxmlformats-officedocument.spreadsheetml.table+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tables/table19.xml" ContentType="application/vnd.openxmlformats-officedocument.spreadsheetml.table+xml"/>
  <Override PartName="/xl/tables/table48.xml" ContentType="application/vnd.openxmlformats-officedocument.spreadsheetml.table+xml"/>
  <Override PartName="/xl/tables/table66.xml" ContentType="application/vnd.openxmlformats-officedocument.spreadsheetml.table+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tables/table5.xml" ContentType="application/vnd.openxmlformats-officedocument.spreadsheetml.table+xml"/>
  <Override PartName="/xl/tables/table26.xml" ContentType="application/vnd.openxmlformats-officedocument.spreadsheetml.table+xml"/>
  <Override PartName="/xl/tables/table37.xml" ContentType="application/vnd.openxmlformats-officedocument.spreadsheetml.table+xml"/>
  <Override PartName="/xl/charts/chart9.xml" ContentType="application/vnd.openxmlformats-officedocument.drawingml.chart+xml"/>
  <Override PartName="/xl/charts/chart12.xml" ContentType="application/vnd.openxmlformats-officedocument.drawingml.chart+xml"/>
  <Override PartName="/xl/tables/table55.xml" ContentType="application/vnd.openxmlformats-officedocument.spreadsheetml.table+xml"/>
  <Override PartName="/xl/tables/table73.xml" ContentType="application/vnd.openxmlformats-officedocument.spreadsheetml.table+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tables/table15.xml" ContentType="application/vnd.openxmlformats-officedocument.spreadsheetml.table+xml"/>
  <Override PartName="/xl/tables/table44.xml" ContentType="application/vnd.openxmlformats-officedocument.spreadsheetml.table+xml"/>
  <Override PartName="/xl/tables/table62.xml" ContentType="application/vnd.openxmlformats-officedocument.spreadsheetml.table+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tables/table1.xml" ContentType="application/vnd.openxmlformats-officedocument.spreadsheetml.table+xml"/>
  <Override PartName="/xl/tables/table22.xml" ContentType="application/vnd.openxmlformats-officedocument.spreadsheetml.table+xml"/>
  <Override PartName="/xl/tables/table33.xml" ContentType="application/vnd.openxmlformats-officedocument.spreadsheetml.table+xml"/>
  <Override PartName="/xl/charts/chart5.xml" ContentType="application/vnd.openxmlformats-officedocument.drawingml.chart+xml"/>
  <Override PartName="/xl/tables/table51.xml" ContentType="application/vnd.openxmlformats-officedocument.spreadsheetml.table+xml"/>
  <Override PartName="/xl/worksheets/sheet8.xml" ContentType="application/vnd.openxmlformats-officedocument.spreadsheetml.worksheet+xml"/>
  <Override PartName="/xl/worksheets/sheet21.xml" ContentType="application/vnd.openxmlformats-officedocument.spreadsheetml.worksheet+xml"/>
  <Override PartName="/xl/tables/table11.xml" ContentType="application/vnd.openxmlformats-officedocument.spreadsheetml.table+xml"/>
  <Override PartName="/xl/tables/table40.xml" ContentType="application/vnd.openxmlformats-officedocument.spreadsheetml.tabl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59.xml" ContentType="application/vnd.openxmlformats-officedocument.spreadsheetml.worksheet+xml"/>
  <Default Extension="vml" ContentType="application/vnd.openxmlformats-officedocument.vmlDrawing"/>
  <Override PartName="/xl/tables/table49.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tables/table8.xml" ContentType="application/vnd.openxmlformats-officedocument.spreadsheetml.table+xml"/>
  <Override PartName="/xl/tables/table29.xml" ContentType="application/vnd.openxmlformats-officedocument.spreadsheetml.table+xml"/>
  <Override PartName="/xl/tables/table38.xml" ContentType="application/vnd.openxmlformats-officedocument.spreadsheetml.table+xml"/>
  <Override PartName="/xl/tables/table47.xml" ContentType="application/vnd.openxmlformats-officedocument.spreadsheetml.table+xml"/>
  <Override PartName="/xl/tables/table58.xml" ContentType="application/vnd.openxmlformats-officedocument.spreadsheetml.table+xml"/>
  <Override PartName="/xl/tables/table67.xml" ContentType="application/vnd.openxmlformats-officedocument.spreadsheetml.table+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tables/table6.xml" ContentType="application/vnd.openxmlformats-officedocument.spreadsheetml.table+xml"/>
  <Override PartName="/xl/tables/table18.xml" ContentType="application/vnd.openxmlformats-officedocument.spreadsheetml.table+xml"/>
  <Override PartName="/xl/tables/table27.xml" ContentType="application/vnd.openxmlformats-officedocument.spreadsheetml.table+xml"/>
  <Override PartName="/xl/charts/chart8.xml" ContentType="application/vnd.openxmlformats-officedocument.drawingml.chart+xml"/>
  <Override PartName="/xl/tables/table36.xml" ContentType="application/vnd.openxmlformats-officedocument.spreadsheetml.table+xml"/>
  <Override PartName="/xl/tables/table45.xml" ContentType="application/vnd.openxmlformats-officedocument.spreadsheetml.table+xml"/>
  <Override PartName="/xl/charts/chart11.xml" ContentType="application/vnd.openxmlformats-officedocument.drawingml.chart+xml"/>
  <Override PartName="/xl/tables/table56.xml" ContentType="application/vnd.openxmlformats-officedocument.spreadsheetml.table+xml"/>
  <Override PartName="/xl/tables/table65.xml" ContentType="application/vnd.openxmlformats-officedocument.spreadsheetml.table+xml"/>
  <Override PartName="/xl/tables/table74.xml" ContentType="application/vnd.openxmlformats-officedocument.spreadsheetml.table+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tables/table16.xml" ContentType="application/vnd.openxmlformats-officedocument.spreadsheetml.table+xml"/>
  <Override PartName="/xl/charts/chart6.xml" ContentType="application/vnd.openxmlformats-officedocument.drawingml.chart+xml"/>
  <Override PartName="/xl/tables/table34.xml" ContentType="application/vnd.openxmlformats-officedocument.spreadsheetml.table+xml"/>
  <Override PartName="/xl/tables/table63.xml" ContentType="application/vnd.openxmlformats-officedocument.spreadsheetml.table+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tables/table2.xml" ContentType="application/vnd.openxmlformats-officedocument.spreadsheetml.table+xml"/>
  <Override PartName="/xl/tables/table23.xml" ContentType="application/vnd.openxmlformats-officedocument.spreadsheetml.table+xml"/>
  <Override PartName="/xl/tables/table41.xml" ContentType="application/vnd.openxmlformats-officedocument.spreadsheetml.table+xml"/>
  <Override PartName="/xl/tables/table52.xml" ContentType="application/vnd.openxmlformats-officedocument.spreadsheetml.table+xml"/>
  <Override PartName="/xl/tables/table70.xml" ContentType="application/vnd.openxmlformats-officedocument.spreadsheetml.tabl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tables/table12.xml" ContentType="application/vnd.openxmlformats-officedocument.spreadsheetml.table+xml"/>
  <Override PartName="/xl/tables/table30.xml" ContentType="application/vnd.openxmlformats-officedocument.spreadsheetml.table+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tables/table68.xml" ContentType="application/vnd.openxmlformats-officedocument.spreadsheetml.table+xml"/>
  <Override PartName="/xl/worksheets/sheet38.xml" ContentType="application/vnd.openxmlformats-officedocument.spreadsheetml.worksheet+xml"/>
  <Override PartName="/xl/worksheets/sheet67.xml" ContentType="application/vnd.openxmlformats-officedocument.spreadsheetml.worksheet+xml"/>
  <Override PartName="/xl/tables/table7.xml" ContentType="application/vnd.openxmlformats-officedocument.spreadsheetml.table+xml"/>
  <Override PartName="/xl/tables/table39.xml" ContentType="application/vnd.openxmlformats-officedocument.spreadsheetml.table+xml"/>
  <Override PartName="/xl/tables/table57.xml" ContentType="application/vnd.openxmlformats-officedocument.spreadsheetml.table+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tables/table17.xml" ContentType="application/vnd.openxmlformats-officedocument.spreadsheetml.table+xml"/>
  <Override PartName="/xl/tables/table28.xml" ContentType="application/vnd.openxmlformats-officedocument.spreadsheetml.table+xml"/>
  <Override PartName="/xl/tables/table46.xml" ContentType="application/vnd.openxmlformats-officedocument.spreadsheetml.table+xml"/>
  <Override PartName="/xl/tables/table64.xml" ContentType="application/vnd.openxmlformats-officedocument.spreadsheetml.table+xml"/>
  <Override PartName="/xl/tables/table75.xml" ContentType="application/vnd.openxmlformats-officedocument.spreadsheetml.table+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tables/table3.xml" ContentType="application/vnd.openxmlformats-officedocument.spreadsheetml.table+xml"/>
  <Override PartName="/xl/tables/table24.xml" ContentType="application/vnd.openxmlformats-officedocument.spreadsheetml.table+xml"/>
  <Override PartName="/xl/charts/chart7.xml" ContentType="application/vnd.openxmlformats-officedocument.drawingml.chart+xml"/>
  <Override PartName="/xl/tables/table35.xml" ContentType="application/vnd.openxmlformats-officedocument.spreadsheetml.table+xml"/>
  <Override PartName="/xl/charts/chart10.xml" ContentType="application/vnd.openxmlformats-officedocument.drawingml.chart+xml"/>
  <Override PartName="/xl/tables/table53.xml" ContentType="application/vnd.openxmlformats-officedocument.spreadsheetml.table+xml"/>
  <Override PartName="/xl/tables/table71.xml" ContentType="application/vnd.openxmlformats-officedocument.spreadsheetml.table+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tables/table13.xml" ContentType="application/vnd.openxmlformats-officedocument.spreadsheetml.table+xml"/>
  <Override PartName="/xl/tables/table42.xml" ContentType="application/vnd.openxmlformats-officedocument.spreadsheetml.table+xml"/>
  <Override PartName="/xl/tables/table60.xml" ContentType="application/vnd.openxmlformats-officedocument.spreadsheetml.table+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tables/table20.xml" ContentType="application/vnd.openxmlformats-officedocument.spreadsheetml.table+xml"/>
  <Override PartName="/xl/tables/table31.xml" ContentType="application/vnd.openxmlformats-officedocument.spreadsheetml.table+xml"/>
  <Override PartName="/xl/drawings/drawing5.xml" ContentType="application/vnd.openxmlformats-officedocument.drawing+xml"/>
  <Override PartName="/xl/worksheets/sheet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tables/table69.xml" ContentType="application/vnd.openxmlformats-officedocument.spreadsheetml.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bookViews>
    <workbookView xWindow="11160" yWindow="-15" windowWidth="3300" windowHeight="11430" tabRatio="675"/>
  </bookViews>
  <sheets>
    <sheet name="Contents" sheetId="98" r:id="rId1"/>
    <sheet name="Instructions" sheetId="97" r:id="rId2"/>
    <sheet name="Control" sheetId="60" r:id="rId3"/>
    <sheet name="Glossary" sheetId="99" r:id="rId4"/>
    <sheet name="Preferences" sheetId="24" r:id="rId5"/>
    <sheet name="CHANGELOG" sheetId="21" r:id="rId6"/>
    <sheet name="Intermediate output" sheetId="59" r:id="rId7"/>
    <sheet name="Conversions" sheetId="6" r:id="rId8"/>
    <sheet name="Global assumptions" sheetId="35" r:id="rId9"/>
    <sheet name="Constants" sheetId="12" r:id="rId10"/>
    <sheet name="Combustion Emissions Factors" sheetId="65" r:id="rId11"/>
    <sheet name="{Workstreams}" sheetId="23" r:id="rId12"/>
    <sheet name="{Modules}" sheetId="25" r:id="rId13"/>
    <sheet name="{Energy vectors}" sheetId="2" r:id="rId14"/>
    <sheet name="{Emissions}" sheetId="64" r:id="rId15"/>
    <sheet name="I.a" sheetId="22" r:id="rId16"/>
    <sheet name="I.b" sheetId="37" r:id="rId17"/>
    <sheet name="II.a" sheetId="27" r:id="rId18"/>
    <sheet name="III.a.1" sheetId="32" r:id="rId19"/>
    <sheet name="III.a.2" sheetId="90" r:id="rId20"/>
    <sheet name="III.b" sheetId="33" r:id="rId21"/>
    <sheet name="III.c" sheetId="85" r:id="rId22"/>
    <sheet name="III.d" sheetId="94" r:id="rId23"/>
    <sheet name="IV.a" sheetId="81" r:id="rId24"/>
    <sheet name="IV.b" sheetId="82" r:id="rId25"/>
    <sheet name="IV.c" sheetId="87" r:id="rId26"/>
    <sheet name="V.a" sheetId="80" r:id="rId27"/>
    <sheet name="V.b" sheetId="89" r:id="rId28"/>
    <sheet name="VI.a" sheetId="43" r:id="rId29"/>
    <sheet name="VI.b" sheetId="79" r:id="rId30"/>
    <sheet name="VI.c" sheetId="86" r:id="rId31"/>
    <sheet name="VII.a" sheetId="31" r:id="rId32"/>
    <sheet name="VII.b" sheetId="30" r:id="rId33"/>
    <sheet name="VIII.a" sheetId="93" r:id="rId34"/>
    <sheet name="VII.c" sheetId="47" r:id="rId35"/>
    <sheet name="IX.a" sheetId="36" r:id="rId36"/>
    <sheet name="IX.c" sheetId="61" r:id="rId37"/>
    <sheet name="X.a" sheetId="49" r:id="rId38"/>
    <sheet name="X.b" sheetId="62" r:id="rId39"/>
    <sheet name="XI.a" sheetId="39" r:id="rId40"/>
    <sheet name="XII.a" sheetId="40" r:id="rId41"/>
    <sheet name="XII.b" sheetId="41" r:id="rId42"/>
    <sheet name="XII.c" sheetId="42" r:id="rId43"/>
    <sheet name="XII.e" sheetId="84" r:id="rId44"/>
    <sheet name="XIII.a" sheetId="44" r:id="rId45"/>
    <sheet name="XIV.a" sheetId="88" r:id="rId46"/>
    <sheet name="XV.a" sheetId="46" r:id="rId47"/>
    <sheet name="XV.b" sheetId="48" r:id="rId48"/>
    <sheet name="XVI.a" sheetId="69" r:id="rId49"/>
    <sheet name="XVII.a" sheetId="83" r:id="rId50"/>
    <sheet name="2007 (Actual, frozen)" sheetId="4" r:id="rId51"/>
    <sheet name="2007 (Consistent)" sheetId="67" r:id="rId52"/>
    <sheet name="2007" sheetId="29" r:id="rId53"/>
    <sheet name="2010" sheetId="70" r:id="rId54"/>
    <sheet name="2015" sheetId="71" r:id="rId55"/>
    <sheet name="2020" sheetId="72" r:id="rId56"/>
    <sheet name="2025" sheetId="73" r:id="rId57"/>
    <sheet name="2030" sheetId="74" r:id="rId58"/>
    <sheet name="2035" sheetId="75" r:id="rId59"/>
    <sheet name="2040" sheetId="76" r:id="rId60"/>
    <sheet name="2045" sheetId="77" r:id="rId61"/>
    <sheet name="2050" sheetId="78" r:id="rId62"/>
    <sheet name="DUKES 09 (1.2)" sheetId="8" r:id="rId63"/>
    <sheet name="DUKES 09 (1.9)" sheetId="68" r:id="rId64"/>
    <sheet name="DUKES 09 (2.5)" sheetId="14" r:id="rId65"/>
    <sheet name="DUKES 09 (5.1)" sheetId="15" r:id="rId66"/>
    <sheet name="DUKES 09 (5.6)" sheetId="16" r:id="rId67"/>
    <sheet name="DUKES 09 (7.2)" sheetId="10" r:id="rId68"/>
    <sheet name="DUKES 09 (7.4)" sheetId="91" r:id="rId69"/>
    <sheet name="DUKES 09 (A.1)" sheetId="13" r:id="rId70"/>
    <sheet name="DECC Energy Cons. (1.14)" sheetId="9" r:id="rId71"/>
    <sheet name="DECC Energy Cons. (4.1)" sheetId="11" r:id="rId72"/>
  </sheets>
  <externalReferences>
    <externalReference r:id="rId73"/>
  </externalReferences>
  <definedNames>
    <definedName name="_ftnref1" localSheetId="21">III.c!$T$31</definedName>
    <definedName name="Balancing.BoostableCapacity" localSheetId="15">I.a!$F$117:$O$117</definedName>
    <definedName name="Balancing.BoostableCapacity" localSheetId="16">I.b!$F$94:$O$94</definedName>
    <definedName name="Balancing.BoostableCapacity" localSheetId="17">II.a!$F$90:$O$90</definedName>
    <definedName name="Balancing.ShiftableCapacity" localSheetId="40">XII.a!$F$276:$O$277</definedName>
    <definedName name="Constants.Density.Diesel">Constants!$C$34</definedName>
    <definedName name="Constants.Density.MotorSpirit">Constants!$C$33</definedName>
    <definedName name="Constants.GCV.ATF">Constants!$C$16</definedName>
    <definedName name="Constants.GCV.Coal">Constants!$C$6</definedName>
    <definedName name="Constants.GCV.Coke">Constants!$C$7</definedName>
    <definedName name="Constants.GCV.CokeBreeze">Constants!$C$8</definedName>
    <definedName name="Constants.GCV.CrudeOil">Constants!$C$12</definedName>
    <definedName name="Constants.GCV.Diesel">Constants!$C$15</definedName>
    <definedName name="Constants.GCV.LandfillGas">Constants!$C$23</definedName>
    <definedName name="Constants.GCV.MotorSpirit">Constants!$C$14</definedName>
    <definedName name="Constants.GCV.NaturalGasProduced">Constants!$C$19</definedName>
    <definedName name="Constants.GCV.PetroleumProducts">Constants!$C$13</definedName>
    <definedName name="Conversion.to.annual.energy">Conversions!$E$54</definedName>
    <definedName name="Conversion.to.average.power">Conversions!$E$53</definedName>
    <definedName name="Conversion.to.energy.per.second">Conversions!$E$55</definedName>
    <definedName name="Conversions.Area.m2">Conversions!$E$43:$E$48</definedName>
    <definedName name="Conversions.Area.Units">Conversions!$B$43:$B$48</definedName>
    <definedName name="Conversions.Energy.Joules">Conversions!$E$5:$E$20</definedName>
    <definedName name="Conversions.Energy.Units">Conversions!$B$5:$B$20</definedName>
    <definedName name="Conversions.Power.Units">Conversions!$B$26:$B$30</definedName>
    <definedName name="Conversions.Power.Watts">Conversions!$E$26:$E$30</definedName>
    <definedName name="EF.BlastFurnaceGas.CO2">Constants!$F$9</definedName>
    <definedName name="EF.Diesel.CH4">Constants!$G$7</definedName>
    <definedName name="EF.Diesel.CO2">Constants!$F$7</definedName>
    <definedName name="EF.Diesel.N2O">Constants!$H$7</definedName>
    <definedName name="EF.IndustrialCoal.CH4">Constants!$G$6</definedName>
    <definedName name="EF.IndustrialCoal.CO2">Constants!$F$6</definedName>
    <definedName name="EF.IndustrialCoal.N2O">Constants!$H$6</definedName>
    <definedName name="EF.NaturalGas.CH4">Constants!$G$8</definedName>
    <definedName name="EF.NaturalGas.CO2">Constants!$F$8</definedName>
    <definedName name="EF.NaturalGas.N2O">Constants!$H$8</definedName>
    <definedName name="Global.UKIncidentSolarEnergy">'Global assumptions'!$I$5</definedName>
    <definedName name="Global.UKIncidentSolarEnergy_SouthFacing">'Global assumptions'!$I$6</definedName>
    <definedName name="GWP.CH4">Constants!$K$7</definedName>
    <definedName name="GWP.N2O">Constants!$K$8</definedName>
    <definedName name="I.b.Scenario">Control!$N$5</definedName>
    <definedName name="II.a.Scenario">Control!$N$6</definedName>
    <definedName name="III.a.1.Scenario">Control!$N$7</definedName>
    <definedName name="III.a.2.Scenario">Control!$N$8</definedName>
    <definedName name="III.a.Scenario">Control!$N$7</definedName>
    <definedName name="III.b.Scenario">Control!$N$9</definedName>
    <definedName name="III.c.Scenario">Control!$N$10</definedName>
    <definedName name="III.d.Scenario">Control!$N$11</definedName>
    <definedName name="IV.a.Scenario">Control!$N$12</definedName>
    <definedName name="IV.b.Scenario">Control!$N$13</definedName>
    <definedName name="IV.c.Scenario">Control!$N$14</definedName>
    <definedName name="IX.a.Scenario.Electrification">Control!$N$27</definedName>
    <definedName name="IX.a.Scenario.Fuel">Control!$N$28</definedName>
    <definedName name="IX.a.Scenario.Insulation">Control!$N$26</definedName>
    <definedName name="IX.a.Scenario.ServiceDemand">Control!$N$25</definedName>
    <definedName name="IX.c.Scenario.Demand">Control!$N$30</definedName>
    <definedName name="IX.c.Scenario.Electrification">Control!$N$31</definedName>
    <definedName name="IX.c.Scenario.Fuel">Control!$N$32</definedName>
    <definedName name="Preferences.AreaUnits">Preferences!$C$7</definedName>
    <definedName name="Preferences.EnergyUnits">Preferences!$C$3</definedName>
    <definedName name="Preferences.PowerUnits">Preferences!$C$5</definedName>
    <definedName name="Preferences.Unit.Energy">Preferences!$F$3</definedName>
    <definedName name="Preferences.Unit.Power">Preferences!$F$5</definedName>
    <definedName name="_xlnm.Print_Area" localSheetId="62">'DUKES 09 (1.2)'!$A$1:$K$69</definedName>
    <definedName name="_xlnm.Print_Area" localSheetId="63">'DUKES 09 (1.9)'!$A$1:$N$128</definedName>
    <definedName name="_xlnm.Print_Area" localSheetId="64">'DUKES 09 (2.5)'!$A$1:$I$66</definedName>
    <definedName name="_xlnm.Print_Area" localSheetId="65">'DUKES 09 (5.1)'!$A$1:$L$120</definedName>
    <definedName name="_xlnm.Print_Area" localSheetId="66">'DUKES 09 (5.6)'!$A$1:$M$305</definedName>
    <definedName name="_xlnm.Print_Area" localSheetId="67">'DUKES 09 (7.2)'!$A$1:$Q$73</definedName>
    <definedName name="_xlnm.Print_Area" localSheetId="68">'DUKES 09 (7.4)'!$A$1:$N$67</definedName>
    <definedName name="_xlnm.Print_Area" localSheetId="69">'DUKES 09 (A.1)'!$A$1:$F$66</definedName>
    <definedName name="this.Year" localSheetId="52">'2007'!$E$2</definedName>
    <definedName name="this.Year" localSheetId="51">'2007 (Consistent)'!$E$2</definedName>
    <definedName name="this.Year" localSheetId="53">'2010'!$E$2</definedName>
    <definedName name="this.Year" localSheetId="54">'2015'!$E$2</definedName>
    <definedName name="this.Year" localSheetId="55">'2020'!$E$2</definedName>
    <definedName name="this.Year" localSheetId="56">'2025'!$E$2</definedName>
    <definedName name="this.Year" localSheetId="57">'2030'!$E$2</definedName>
    <definedName name="this.Year" localSheetId="58">'2035'!$E$2</definedName>
    <definedName name="this.Year" localSheetId="59">'2040'!$E$2</definedName>
    <definedName name="this.Year" localSheetId="60">'2045'!$E$2</definedName>
    <definedName name="this.Year" localSheetId="61">'2050'!$E$2</definedName>
    <definedName name="Unit.acre">Conversions!$F$45</definedName>
    <definedName name="Unit.Btu">Conversions!$F$18</definedName>
    <definedName name="Unit.calorie">Conversions!$F$19</definedName>
    <definedName name="Unit.day">Conversions!$F$36</definedName>
    <definedName name="Unit.GJ">Conversions!$F$7</definedName>
    <definedName name="Unit.GW">Conversions!$F$26</definedName>
    <definedName name="Unit.GWh">Conversions!$F$13</definedName>
    <definedName name="Unit.GWyear">Conversions!$F$20</definedName>
    <definedName name="Unit.ha">Conversions!$F$43</definedName>
    <definedName name="Unit.hour">Conversions!$F$37</definedName>
    <definedName name="Unit.J">Conversions!$F$8</definedName>
    <definedName name="Unit.km2">Conversions!$F$46</definedName>
    <definedName name="Unit.ktoe">Conversions!$F$15</definedName>
    <definedName name="Unit.kW">Conversions!$F$28</definedName>
    <definedName name="Unit.kWh">Conversions!$F$10</definedName>
    <definedName name="Unit.kWh.p.d">Conversions!$F$11</definedName>
    <definedName name="Unit.m2">Conversions!$F$47</definedName>
    <definedName name="Unit.Mha">Conversions!$F$44</definedName>
    <definedName name="Unit.minute">Conversions!$F$38</definedName>
    <definedName name="Unit.MJ">Conversions!$F$9</definedName>
    <definedName name="Unit.Mtoe">Conversions!$F$16</definedName>
    <definedName name="Unit.Mtoe.y">Conversions!$F$30</definedName>
    <definedName name="Unit.MW">Conversions!$F$27</definedName>
    <definedName name="Unit.PJ">Conversions!$F$5</definedName>
    <definedName name="Unit.therm">Conversions!$F$17</definedName>
    <definedName name="Unit.TJ">Conversions!$F$6</definedName>
    <definedName name="Unit.toe">Conversions!$F$14</definedName>
    <definedName name="Unit.TWh">Conversions!$F$12</definedName>
    <definedName name="Unit.W">Conversions!$F$29</definedName>
    <definedName name="Unit.Wales">Conversions!$F$48</definedName>
    <definedName name="Unit.year">Conversions!$F$35</definedName>
    <definedName name="V.a.Scenario">Control!$N$15</definedName>
    <definedName name="V.b.Scenario">Control!$N$16</definedName>
    <definedName name="VI.a.Scenario">Control!$N$17</definedName>
    <definedName name="VI.b.Scenario">Control!$N$18</definedName>
    <definedName name="VI.c.Scenario">Control!$N$19</definedName>
    <definedName name="VII.a.Scenario">Control!$N$20</definedName>
    <definedName name="VII.c.Scenario">Control!$N$21</definedName>
    <definedName name="X.a.Scenario.Demand">Control!$N$34</definedName>
    <definedName name="X.a.Scenario.Technology">Control!$N$35</definedName>
    <definedName name="X.b.Scenario.Demand">Control!$N$37</definedName>
    <definedName name="X.b.Scenario.Technology">Control!$N$38</definedName>
    <definedName name="XI.a.Scenario">Control!$N$39</definedName>
    <definedName name="XII.a.Scenario.Demand">Control!$N$41</definedName>
    <definedName name="XII.a.Scenario.Technology">Control!$N$42</definedName>
    <definedName name="XII.b.Scenario">Control!$N$43</definedName>
    <definedName name="XII.c.Scenario">Control!$N$44</definedName>
    <definedName name="XII.e.Scenario">Control!$N$45</definedName>
    <definedName name="XIV.a.Scenario">Control!$N$46</definedName>
    <definedName name="Year.Emissions" localSheetId="52">'2007'!$BO$109:$DF$109</definedName>
    <definedName name="Year.Emissions" localSheetId="53">'2010'!$BO$109:$DF$109</definedName>
    <definedName name="Year.Emissions" localSheetId="54">'2015'!$BO$109:$DF$109</definedName>
    <definedName name="Year.Emissions" localSheetId="55">'2020'!$BO$109:$DF$109</definedName>
    <definedName name="Year.Emissions" localSheetId="56">'2025'!$BO$109:$DF$109</definedName>
    <definedName name="Year.Emissions" localSheetId="57">'2030'!$BO$109:$DF$109</definedName>
    <definedName name="Year.Emissions" localSheetId="58">'2035'!$BO$109:$DF$109</definedName>
    <definedName name="Year.Emissions" localSheetId="59">'2040'!$BO$109:$DF$109</definedName>
    <definedName name="Year.Emissions" localSheetId="60">'2045'!$BO$109:$DF$109</definedName>
    <definedName name="Year.Emissions" localSheetId="61">'2050'!$BO$109:$DF$109</definedName>
    <definedName name="Year.EmissionsBySector" localSheetId="52">'2007'!$DH$6:$DH$110</definedName>
    <definedName name="Year.EmissionsBySector" localSheetId="61">'2050'!$DH$6:$DH$110</definedName>
    <definedName name="Year.GHG" localSheetId="52">'2007'!$BO$6:$DF$6</definedName>
    <definedName name="Year.GHG" localSheetId="53">'2010'!$BO$6:$DF$6</definedName>
    <definedName name="Year.GHG" localSheetId="54">'2015'!$BO$6:$DF$6</definedName>
    <definedName name="Year.GHG" localSheetId="55">'2020'!$BO$6:$DF$6</definedName>
    <definedName name="Year.GHG" localSheetId="56">'2025'!$BO$6:$DF$6</definedName>
    <definedName name="Year.GHG" localSheetId="57">'2030'!$BO$6:$DF$6</definedName>
    <definedName name="Year.GHG" localSheetId="58">'2035'!$BO$6:$DF$6</definedName>
    <definedName name="Year.GHG" localSheetId="59">'2040'!$BO$6:$DF$6</definedName>
    <definedName name="Year.GHG" localSheetId="60">'2045'!$BO$6:$DF$6</definedName>
    <definedName name="Year.GHG" localSheetId="61">'2050'!$BO$6:$DF$6</definedName>
    <definedName name="Year.IPCC" localSheetId="52">'2007'!$BO$5:$DF$5</definedName>
    <definedName name="Year.IPCC" localSheetId="53">'2010'!$BO$5:$DF$5</definedName>
    <definedName name="Year.IPCC" localSheetId="54">'2015'!$BO$5:$DF$5</definedName>
    <definedName name="Year.IPCC" localSheetId="55">'2020'!$BO$5:$DF$5</definedName>
    <definedName name="Year.IPCC" localSheetId="56">'2025'!$BO$5:$DF$5</definedName>
    <definedName name="Year.IPCC" localSheetId="57">'2030'!$BO$5:$DF$5</definedName>
    <definedName name="Year.IPCC" localSheetId="58">'2035'!$BO$5:$DF$5</definedName>
    <definedName name="Year.IPCC" localSheetId="59">'2040'!$BO$5:$DF$5</definedName>
    <definedName name="Year.IPCC" localSheetId="60">'2045'!$BO$5:$DF$5</definedName>
    <definedName name="Year.IPCC" localSheetId="61">'2050'!$BO$5:$DF$5</definedName>
    <definedName name="Year.Matrix" localSheetId="52">'2007'!$G$6:$BL$110</definedName>
    <definedName name="Year.Matrix" localSheetId="51">'2007 (Consistent)'!$G$6:$BJ$149</definedName>
    <definedName name="Year.Matrix" localSheetId="53">'2010'!$G$6:$BL$110</definedName>
    <definedName name="Year.Matrix" localSheetId="54">'2015'!$G$6:$BL$110</definedName>
    <definedName name="Year.Matrix" localSheetId="55">'2020'!$G$6:$BL$110</definedName>
    <definedName name="Year.Matrix" localSheetId="56">'2025'!$G$6:$BL$110</definedName>
    <definedName name="Year.Matrix" localSheetId="57">'2030'!$G$6:$BL$110</definedName>
    <definedName name="Year.Matrix" localSheetId="58">'2035'!$G$6:$BL$110</definedName>
    <definedName name="Year.Matrix" localSheetId="59">'2040'!$G$6:$BL$110</definedName>
    <definedName name="Year.Matrix" localSheetId="60">'2045'!$G$6:$BL$110</definedName>
    <definedName name="Year.Matrix" localSheetId="61">'2050'!$G$6:$BL$110</definedName>
    <definedName name="Year.Modules" localSheetId="52">'2007'!$C$6:$C$110</definedName>
    <definedName name="Year.Modules" localSheetId="51">'2007 (Consistent)'!$C$6:$C$149</definedName>
    <definedName name="Year.Modules" localSheetId="53">'2010'!$C$6:$C$110</definedName>
    <definedName name="Year.Modules" localSheetId="54">'2015'!$C$6:$C$110</definedName>
    <definedName name="Year.Modules" localSheetId="55">'2020'!$C$6:$C$110</definedName>
    <definedName name="Year.Modules" localSheetId="56">'2025'!$C$6:$C$110</definedName>
    <definedName name="Year.Modules" localSheetId="57">'2030'!$C$6:$C$110</definedName>
    <definedName name="Year.Modules" localSheetId="58">'2035'!$C$6:$C$110</definedName>
    <definedName name="Year.Modules" localSheetId="59">'2040'!$C$6:$C$110</definedName>
    <definedName name="Year.Modules" localSheetId="60">'2045'!$C$6:$C$110</definedName>
    <definedName name="Year.Modules" localSheetId="61">'2050'!$C$6:$C$110</definedName>
    <definedName name="Year.NetBalance" localSheetId="52">'2007'!$G$109:$BL$109</definedName>
    <definedName name="Year.NetBalance" localSheetId="50">'2007 (Actual, frozen)'!$I$133:$BH$133</definedName>
    <definedName name="Year.NetBalance" localSheetId="51">'2007 (Consistent)'!$G$148:$BJ$148</definedName>
    <definedName name="Year.NetBalance" localSheetId="53">'2010'!$G$109:$BL$109</definedName>
    <definedName name="Year.NetBalance" localSheetId="54">'2015'!$G$109:$BL$109</definedName>
    <definedName name="Year.NetBalance" localSheetId="55">'2020'!$G$109:$BL$109</definedName>
    <definedName name="Year.NetBalance" localSheetId="56">'2025'!$G$109:$BL$109</definedName>
    <definedName name="Year.NetBalance" localSheetId="57">'2030'!$G$109:$BL$109</definedName>
    <definedName name="Year.NetBalance" localSheetId="58">'2035'!$G$109:$BL$109</definedName>
    <definedName name="Year.NetBalance" localSheetId="59">'2040'!$G$109:$BL$109</definedName>
    <definedName name="Year.NetBalance" localSheetId="60">'2045'!$G$109:$BL$109</definedName>
    <definedName name="Year.NetBalance" localSheetId="61">'2050'!$G$109:$BL$109</definedName>
    <definedName name="Year.Vectors" localSheetId="52">'2007'!$G$5:$BL$5</definedName>
    <definedName name="Year.Vectors" localSheetId="50">'2007 (Actual, frozen)'!$I$5:$BH$5</definedName>
    <definedName name="Year.Vectors" localSheetId="51">'2007 (Consistent)'!$G$5:$BJ$5</definedName>
    <definedName name="Year.Vectors" localSheetId="53">'2010'!$G$5:$BL$5</definedName>
    <definedName name="Year.Vectors" localSheetId="54">'2015'!$G$5:$BL$5</definedName>
    <definedName name="Year.Vectors" localSheetId="55">'2020'!$G$5:$BL$5</definedName>
    <definedName name="Year.Vectors" localSheetId="56">'2025'!$G$5:$BL$5</definedName>
    <definedName name="Year.Vectors" localSheetId="57">'2030'!$G$5:$BL$5</definedName>
    <definedName name="Year.Vectors" localSheetId="58">'2035'!$G$5:$BL$5</definedName>
    <definedName name="Year.Vectors" localSheetId="59">'2040'!$G$5:$BL$5</definedName>
    <definedName name="Year.Vectors" localSheetId="60">'2045'!$G$5:$BL$5</definedName>
    <definedName name="Year.Vectors" localSheetId="61">'2050'!$G$5:$BL$5</definedName>
  </definedNames>
  <calcPr calcId="125725" calcMode="manual" iterate="1"/>
</workbook>
</file>

<file path=xl/calcChain.xml><?xml version="1.0" encoding="utf-8"?>
<calcChain xmlns="http://schemas.openxmlformats.org/spreadsheetml/2006/main">
  <c r="N91" i="85"/>
  <c r="M91"/>
  <c r="L91"/>
  <c r="K91"/>
  <c r="J91"/>
  <c r="I91"/>
  <c r="H91"/>
  <c r="G91"/>
  <c r="F91"/>
  <c r="O83"/>
  <c r="N83"/>
  <c r="M83"/>
  <c r="L83"/>
  <c r="K83"/>
  <c r="J83"/>
  <c r="I83"/>
  <c r="H83"/>
  <c r="G83"/>
  <c r="O82"/>
  <c r="N82"/>
  <c r="M82"/>
  <c r="L82"/>
  <c r="K82"/>
  <c r="J82"/>
  <c r="I82"/>
  <c r="H82"/>
  <c r="G82"/>
  <c r="E86"/>
  <c r="F83"/>
  <c r="F82"/>
  <c r="O75"/>
  <c r="N75"/>
  <c r="M75"/>
  <c r="L75"/>
  <c r="K75"/>
  <c r="J75"/>
  <c r="I75"/>
  <c r="H75"/>
  <c r="G75"/>
  <c r="O74"/>
  <c r="N74"/>
  <c r="M74"/>
  <c r="L74"/>
  <c r="K74"/>
  <c r="J74"/>
  <c r="I74"/>
  <c r="H74"/>
  <c r="G74"/>
  <c r="F75"/>
  <c r="F74"/>
  <c r="E81"/>
  <c r="E73"/>
  <c r="O32"/>
  <c r="O22"/>
  <c r="O12"/>
  <c r="O20" i="90"/>
  <c r="O12"/>
  <c r="O20" i="32"/>
  <c r="O12"/>
  <c r="O29" i="27"/>
  <c r="O21"/>
  <c r="I200" i="59" l="1"/>
  <c r="G184"/>
  <c r="G182"/>
  <c r="G181"/>
  <c r="E181"/>
  <c r="D181"/>
  <c r="G180"/>
  <c r="E180"/>
  <c r="D180"/>
  <c r="G179"/>
  <c r="E179"/>
  <c r="D179"/>
  <c r="G178"/>
  <c r="E178"/>
  <c r="D178"/>
  <c r="G177"/>
  <c r="E177"/>
  <c r="D177"/>
  <c r="G176"/>
  <c r="E176"/>
  <c r="C176"/>
  <c r="G175"/>
  <c r="E175"/>
  <c r="C175"/>
  <c r="G174"/>
  <c r="E174"/>
  <c r="C174"/>
  <c r="G173"/>
  <c r="E173"/>
  <c r="C173"/>
  <c r="G172"/>
  <c r="E172"/>
  <c r="C172"/>
  <c r="G171"/>
  <c r="E171"/>
  <c r="C171"/>
  <c r="G170"/>
  <c r="E170"/>
  <c r="C170"/>
  <c r="G169"/>
  <c r="E169"/>
  <c r="C169"/>
  <c r="G168"/>
  <c r="E168"/>
  <c r="C168"/>
  <c r="G99" l="1"/>
  <c r="Q268" i="61"/>
  <c r="Q268" a="1"/>
  <c r="F187" a="1"/>
  <c r="F187" s="1"/>
  <c r="D63" i="82"/>
  <c r="D64"/>
  <c r="E53"/>
  <c r="O52"/>
  <c r="N52"/>
  <c r="M52"/>
  <c r="L52"/>
  <c r="K52"/>
  <c r="J52"/>
  <c r="I52"/>
  <c r="H52"/>
  <c r="G52"/>
  <c r="F52"/>
  <c r="F36"/>
  <c r="N36" s="1"/>
  <c r="M36"/>
  <c r="L36"/>
  <c r="K36"/>
  <c r="J36"/>
  <c r="I36"/>
  <c r="H36"/>
  <c r="G36"/>
  <c r="D36"/>
  <c r="F188" i="61" l="1"/>
  <c r="F189"/>
  <c r="E9" i="62" l="1"/>
  <c r="E9" i="49"/>
  <c r="E7" i="79"/>
  <c r="E8" i="84"/>
  <c r="N31" i="82"/>
  <c r="M31"/>
  <c r="L31"/>
  <c r="K31"/>
  <c r="J31"/>
  <c r="I31"/>
  <c r="H31"/>
  <c r="G31"/>
  <c r="T76" i="61"/>
  <c r="S76"/>
  <c r="R76"/>
  <c r="Q76"/>
  <c r="P76"/>
  <c r="O76"/>
  <c r="N76"/>
  <c r="M76"/>
  <c r="L76"/>
  <c r="K76"/>
  <c r="J76"/>
  <c r="I76"/>
  <c r="H76"/>
  <c r="G76"/>
  <c r="F76"/>
  <c r="E76"/>
  <c r="D194" i="80" l="1"/>
  <c r="D192"/>
  <c r="D271" i="79"/>
  <c r="F160" i="80"/>
  <c r="F156"/>
  <c r="F152"/>
  <c r="E161"/>
  <c r="D161"/>
  <c r="E157"/>
  <c r="D157"/>
  <c r="E153"/>
  <c r="D153"/>
  <c r="E150"/>
  <c r="D150"/>
  <c r="C167"/>
  <c r="E167"/>
  <c r="C168"/>
  <c r="E168"/>
  <c r="C169"/>
  <c r="E169"/>
  <c r="F146"/>
  <c r="F142"/>
  <c r="F138"/>
  <c r="E147"/>
  <c r="D147"/>
  <c r="E143"/>
  <c r="D143"/>
  <c r="E139"/>
  <c r="D139"/>
  <c r="D49"/>
  <c r="D48"/>
  <c r="D47"/>
  <c r="D46"/>
  <c r="D45"/>
  <c r="D44"/>
  <c r="I67"/>
  <c r="F133" s="1"/>
  <c r="I66"/>
  <c r="F129" s="1"/>
  <c r="I65"/>
  <c r="F125" s="1"/>
  <c r="K63"/>
  <c r="J63"/>
  <c r="I63"/>
  <c r="H63"/>
  <c r="G63"/>
  <c r="D17"/>
  <c r="E136"/>
  <c r="D136"/>
  <c r="D72"/>
  <c r="D19"/>
  <c r="D394" i="43"/>
  <c r="D345"/>
  <c r="E346"/>
  <c r="D346"/>
  <c r="E319"/>
  <c r="D319"/>
  <c r="E306"/>
  <c r="D306"/>
  <c r="AH102" i="70"/>
  <c r="AH104" l="1"/>
  <c r="AH91"/>
  <c r="AH92"/>
  <c r="AH98"/>
  <c r="AH89"/>
  <c r="AH93" l="1"/>
  <c r="AH79"/>
  <c r="AH81"/>
  <c r="AH82" l="1"/>
  <c r="AH75"/>
  <c r="AH76" l="1"/>
  <c r="AH71"/>
  <c r="AH72" l="1"/>
  <c r="AH65"/>
  <c r="AH66"/>
  <c r="AH67"/>
  <c r="AH68" l="1"/>
  <c r="AH60"/>
  <c r="AH61"/>
  <c r="AH62"/>
  <c r="AH57"/>
  <c r="AH59"/>
  <c r="AH58"/>
  <c r="AH63" l="1"/>
  <c r="AH54"/>
  <c r="AH53"/>
  <c r="AH55" l="1"/>
  <c r="AH48"/>
  <c r="AH45"/>
  <c r="AH46" l="1"/>
  <c r="AH37"/>
  <c r="AH38" l="1"/>
  <c r="AH34"/>
  <c r="AH35" l="1"/>
  <c r="AH30"/>
  <c r="AH29"/>
  <c r="AH31" l="1"/>
  <c r="AH26"/>
  <c r="AH24"/>
  <c r="AH27"/>
  <c r="AH25"/>
  <c r="AH28" l="1"/>
  <c r="AH32" s="1"/>
  <c r="AH21"/>
  <c r="AH22" l="1"/>
  <c r="AH18"/>
  <c r="AH17"/>
  <c r="AH19" l="1"/>
  <c r="AH13"/>
  <c r="AH12"/>
  <c r="AH14" l="1"/>
  <c r="AH10"/>
  <c r="AH9"/>
  <c r="AH11" l="1"/>
  <c r="AH15" s="1"/>
  <c r="AH40" s="1"/>
  <c r="AH102" i="71"/>
  <c r="AH104" l="1"/>
  <c r="AH89"/>
  <c r="AH92"/>
  <c r="AH98"/>
  <c r="AH91"/>
  <c r="AH93" l="1"/>
  <c r="AH81"/>
  <c r="AH79"/>
  <c r="AH82" l="1"/>
  <c r="AH75"/>
  <c r="AH76" l="1"/>
  <c r="AH71"/>
  <c r="AH72" l="1"/>
  <c r="AH67"/>
  <c r="AH66"/>
  <c r="AH65"/>
  <c r="AH68" l="1"/>
  <c r="AH61"/>
  <c r="AH60"/>
  <c r="AH58"/>
  <c r="AH62"/>
  <c r="AH59"/>
  <c r="AH57"/>
  <c r="AH63" l="1"/>
  <c r="AH54"/>
  <c r="AH53"/>
  <c r="AH55" l="1"/>
  <c r="AH45"/>
  <c r="AH48"/>
  <c r="AH46" l="1"/>
  <c r="AH37"/>
  <c r="AH38" l="1"/>
  <c r="AH34"/>
  <c r="AH35" l="1"/>
  <c r="AH30"/>
  <c r="AH29"/>
  <c r="AH31" l="1"/>
  <c r="AH24"/>
  <c r="AH27"/>
  <c r="AH25"/>
  <c r="AH26"/>
  <c r="AH28" l="1"/>
  <c r="AH32" s="1"/>
  <c r="AH21"/>
  <c r="AH22" l="1"/>
  <c r="AH17"/>
  <c r="AH18"/>
  <c r="AH19" l="1"/>
  <c r="AH12"/>
  <c r="AH13"/>
  <c r="AH14" l="1"/>
  <c r="AH10"/>
  <c r="AH9"/>
  <c r="AH11" l="1"/>
  <c r="AH15" s="1"/>
  <c r="AH40" s="1"/>
  <c r="AH102" i="72"/>
  <c r="AH104" l="1"/>
  <c r="AH98"/>
  <c r="AH91"/>
  <c r="AH89"/>
  <c r="AH92"/>
  <c r="AH93" l="1"/>
  <c r="AH79"/>
  <c r="AH81"/>
  <c r="AH82" l="1"/>
  <c r="AH75"/>
  <c r="AH76" l="1"/>
  <c r="AH71"/>
  <c r="AH72" l="1"/>
  <c r="AH66"/>
  <c r="AH65"/>
  <c r="AH67"/>
  <c r="AH68" l="1"/>
  <c r="AH57"/>
  <c r="AH60"/>
  <c r="AH61"/>
  <c r="AH59"/>
  <c r="AH58"/>
  <c r="AH62"/>
  <c r="AH63" l="1"/>
  <c r="AH53"/>
  <c r="AH54"/>
  <c r="AH55" l="1"/>
  <c r="AH45"/>
  <c r="AH48"/>
  <c r="AH46" l="1"/>
  <c r="AH37"/>
  <c r="AH38" l="1"/>
  <c r="AH34"/>
  <c r="AH35" l="1"/>
  <c r="AH29"/>
  <c r="AH30"/>
  <c r="AH31" l="1"/>
  <c r="AH25"/>
  <c r="AH24"/>
  <c r="AH27"/>
  <c r="AH26"/>
  <c r="AH28" l="1"/>
  <c r="AH32" s="1"/>
  <c r="AH21"/>
  <c r="AH22" l="1"/>
  <c r="AH17"/>
  <c r="AH18"/>
  <c r="AH19" l="1"/>
  <c r="AH12"/>
  <c r="AH13"/>
  <c r="AH14" l="1"/>
  <c r="AH10"/>
  <c r="AH9"/>
  <c r="AH11" l="1"/>
  <c r="AH15" s="1"/>
  <c r="AH40" s="1"/>
  <c r="AH102" i="73"/>
  <c r="AH104" l="1"/>
  <c r="AH91"/>
  <c r="AH98"/>
  <c r="AH89"/>
  <c r="AH92"/>
  <c r="AH93" l="1"/>
  <c r="AH79"/>
  <c r="AH81"/>
  <c r="AH82" l="1"/>
  <c r="AH75"/>
  <c r="AH76" l="1"/>
  <c r="AH71"/>
  <c r="AH72" l="1"/>
  <c r="AH67"/>
  <c r="AH66"/>
  <c r="AH65"/>
  <c r="AH68" l="1"/>
  <c r="AH61"/>
  <c r="AH57"/>
  <c r="AH62"/>
  <c r="AH60"/>
  <c r="AH59"/>
  <c r="AH58"/>
  <c r="AH63" l="1"/>
  <c r="AH53"/>
  <c r="AH54"/>
  <c r="AH55" l="1"/>
  <c r="AH45"/>
  <c r="AH48"/>
  <c r="AH46" l="1"/>
  <c r="AH37"/>
  <c r="AH38" l="1"/>
  <c r="AH34"/>
  <c r="AH35" l="1"/>
  <c r="AH29"/>
  <c r="AH30"/>
  <c r="AH31" l="1"/>
  <c r="AH26"/>
  <c r="AH25"/>
  <c r="AH27"/>
  <c r="AH24"/>
  <c r="AH28" l="1"/>
  <c r="AH32" s="1"/>
  <c r="AH21"/>
  <c r="AH22" l="1"/>
  <c r="AH17"/>
  <c r="AH18"/>
  <c r="AH19" l="1"/>
  <c r="AH13"/>
  <c r="AH12"/>
  <c r="AH14" l="1"/>
  <c r="AH10"/>
  <c r="AH9"/>
  <c r="AH11" l="1"/>
  <c r="AH15" s="1"/>
  <c r="AH40" s="1"/>
  <c r="AH102" i="74"/>
  <c r="AH104" l="1"/>
  <c r="AH92"/>
  <c r="AH89"/>
  <c r="AH91"/>
  <c r="AH98"/>
  <c r="AH93" l="1"/>
  <c r="AH81"/>
  <c r="AH79"/>
  <c r="AH82" l="1"/>
  <c r="AH75"/>
  <c r="AH76" l="1"/>
  <c r="AH71"/>
  <c r="AH72" l="1"/>
  <c r="AH65"/>
  <c r="AH66"/>
  <c r="AH67"/>
  <c r="AH68" l="1"/>
  <c r="AH61"/>
  <c r="AH57"/>
  <c r="AH60"/>
  <c r="AH58"/>
  <c r="AH59"/>
  <c r="AH62"/>
  <c r="AH63" l="1"/>
  <c r="AH54"/>
  <c r="AH53"/>
  <c r="AH55" l="1"/>
  <c r="AH48"/>
  <c r="AH45"/>
  <c r="AH46" l="1"/>
  <c r="AH37"/>
  <c r="AH38" l="1"/>
  <c r="AH34"/>
  <c r="AH35" l="1"/>
  <c r="AH30"/>
  <c r="AH29"/>
  <c r="AH31" l="1"/>
  <c r="AH25"/>
  <c r="AH24"/>
  <c r="AH27"/>
  <c r="AH26"/>
  <c r="AH28" l="1"/>
  <c r="AH32" s="1"/>
  <c r="AH21"/>
  <c r="AH22" l="1"/>
  <c r="AH17"/>
  <c r="AH18"/>
  <c r="AH19" l="1"/>
  <c r="AH12"/>
  <c r="AH13"/>
  <c r="AH14" l="1"/>
  <c r="AH10"/>
  <c r="AH9"/>
  <c r="AH11" l="1"/>
  <c r="AH15" s="1"/>
  <c r="AH40" s="1"/>
  <c r="AH102" i="75"/>
  <c r="AH104" l="1"/>
  <c r="AH98"/>
  <c r="AH91"/>
  <c r="AH89"/>
  <c r="AH92"/>
  <c r="AH93" l="1"/>
  <c r="AH79"/>
  <c r="AH81"/>
  <c r="AH82" l="1"/>
  <c r="AH75"/>
  <c r="AH76" l="1"/>
  <c r="AH71"/>
  <c r="AH72" l="1"/>
  <c r="AH66"/>
  <c r="AH65"/>
  <c r="AH67"/>
  <c r="AH68" l="1"/>
  <c r="AH62"/>
  <c r="AH59"/>
  <c r="AH61"/>
  <c r="AH58"/>
  <c r="AH60"/>
  <c r="AH57"/>
  <c r="AH63" l="1"/>
  <c r="AH53"/>
  <c r="AH54"/>
  <c r="AH55" l="1"/>
  <c r="AH45"/>
  <c r="AH48"/>
  <c r="AH46" l="1"/>
  <c r="AH37"/>
  <c r="AH38" l="1"/>
  <c r="AH34"/>
  <c r="AH35" l="1"/>
  <c r="AH30"/>
  <c r="AH29"/>
  <c r="AH31" l="1"/>
  <c r="AH25"/>
  <c r="AH27"/>
  <c r="AH26"/>
  <c r="AH24"/>
  <c r="AH28" l="1"/>
  <c r="AH32" s="1"/>
  <c r="AH21"/>
  <c r="AH22" l="1"/>
  <c r="AH17"/>
  <c r="AH18"/>
  <c r="AH19" l="1"/>
  <c r="AH12"/>
  <c r="AH13"/>
  <c r="AH14" l="1"/>
  <c r="AH10"/>
  <c r="AH9"/>
  <c r="AH11" l="1"/>
  <c r="AH15" s="1"/>
  <c r="AH40" s="1"/>
  <c r="AH102" i="76"/>
  <c r="AH104" l="1"/>
  <c r="AH91"/>
  <c r="AH98"/>
  <c r="AH92"/>
  <c r="AH89"/>
  <c r="AH93" l="1"/>
  <c r="AH79"/>
  <c r="AH81"/>
  <c r="AH82" l="1"/>
  <c r="AH75"/>
  <c r="AH76" l="1"/>
  <c r="AH71"/>
  <c r="AH72" l="1"/>
  <c r="AH66"/>
  <c r="AH67"/>
  <c r="AH65"/>
  <c r="AH68" l="1"/>
  <c r="AH58"/>
  <c r="AH61"/>
  <c r="AH59"/>
  <c r="AH62"/>
  <c r="AH60"/>
  <c r="AH57"/>
  <c r="AH63" l="1"/>
  <c r="AH54"/>
  <c r="AH53"/>
  <c r="AH55" l="1"/>
  <c r="AH48"/>
  <c r="AH45"/>
  <c r="AH46" l="1"/>
  <c r="AH37"/>
  <c r="AH38" l="1"/>
  <c r="AH34"/>
  <c r="AH35" l="1"/>
  <c r="AH30"/>
  <c r="AH29"/>
  <c r="AH31" l="1"/>
  <c r="AH27"/>
  <c r="AH24"/>
  <c r="AH25"/>
  <c r="AH26"/>
  <c r="AH28" l="1"/>
  <c r="AH32" s="1"/>
  <c r="AH21"/>
  <c r="AH22" l="1"/>
  <c r="AH17"/>
  <c r="AH18"/>
  <c r="AH19" l="1"/>
  <c r="AH12"/>
  <c r="AH13"/>
  <c r="AH14" l="1"/>
  <c r="AH9"/>
  <c r="AH10"/>
  <c r="AH11" l="1"/>
  <c r="AH15" s="1"/>
  <c r="AH40" s="1"/>
  <c r="AH102" i="77"/>
  <c r="AH104" l="1"/>
  <c r="AH89"/>
  <c r="AH98"/>
  <c r="AH91"/>
  <c r="AH92"/>
  <c r="AH93" l="1"/>
  <c r="AH81"/>
  <c r="AH79"/>
  <c r="AH82" l="1"/>
  <c r="AH75"/>
  <c r="AH76" l="1"/>
  <c r="AH71"/>
  <c r="AH72" l="1"/>
  <c r="AH67"/>
  <c r="AH65"/>
  <c r="AH66"/>
  <c r="AH68" l="1"/>
  <c r="AH58"/>
  <c r="AH60"/>
  <c r="AH59"/>
  <c r="AH62"/>
  <c r="AH61"/>
  <c r="AH57"/>
  <c r="AH63" l="1"/>
  <c r="AH53"/>
  <c r="AH54"/>
  <c r="AH55" l="1"/>
  <c r="AH45"/>
  <c r="AH48"/>
  <c r="AH46" l="1"/>
  <c r="AH37"/>
  <c r="AH38" l="1"/>
  <c r="AH34"/>
  <c r="AH35" l="1"/>
  <c r="AH30"/>
  <c r="AH29"/>
  <c r="AH31" l="1"/>
  <c r="AH27"/>
  <c r="AH24"/>
  <c r="AH26"/>
  <c r="AH25"/>
  <c r="AH28" l="1"/>
  <c r="AH32" s="1"/>
  <c r="AH21"/>
  <c r="AH22" l="1"/>
  <c r="AH18"/>
  <c r="AH17"/>
  <c r="AH19" l="1"/>
  <c r="AH12"/>
  <c r="AH13"/>
  <c r="AH14" l="1"/>
  <c r="AH9"/>
  <c r="AH10"/>
  <c r="AH11" l="1"/>
  <c r="AH15" s="1"/>
  <c r="AH40" s="1"/>
  <c r="AH102" i="78"/>
  <c r="AH104" l="1"/>
  <c r="AH91"/>
  <c r="AH98"/>
  <c r="AH89"/>
  <c r="AH92"/>
  <c r="AH93" l="1"/>
  <c r="AH79"/>
  <c r="AH81"/>
  <c r="AH82" l="1"/>
  <c r="AH75"/>
  <c r="AH76" l="1"/>
  <c r="AH71"/>
  <c r="AH72" l="1"/>
  <c r="AH67"/>
  <c r="AH66"/>
  <c r="AH65"/>
  <c r="AH68" l="1"/>
  <c r="AH57"/>
  <c r="AH61"/>
  <c r="AH58"/>
  <c r="AH60"/>
  <c r="AH62"/>
  <c r="AH59"/>
  <c r="AH63" l="1"/>
  <c r="AH53"/>
  <c r="AH54"/>
  <c r="AH55" l="1"/>
  <c r="AH48"/>
  <c r="AH45"/>
  <c r="AH46" l="1"/>
  <c r="AH37"/>
  <c r="AH38" l="1"/>
  <c r="AH34"/>
  <c r="AH35" l="1"/>
  <c r="AH30"/>
  <c r="AH29"/>
  <c r="AH31" l="1"/>
  <c r="AH26"/>
  <c r="AH27"/>
  <c r="AH25"/>
  <c r="AH24"/>
  <c r="AH28" l="1"/>
  <c r="AH32" s="1"/>
  <c r="AH21"/>
  <c r="AH22" l="1"/>
  <c r="AH18"/>
  <c r="AH17"/>
  <c r="AH19" l="1"/>
  <c r="AH12"/>
  <c r="AH13"/>
  <c r="AH14" l="1"/>
  <c r="AH10"/>
  <c r="AH9"/>
  <c r="AH11" l="1"/>
  <c r="AH15" s="1"/>
  <c r="AH40" s="1"/>
  <c r="AH102" i="29"/>
  <c r="AH104" l="1"/>
  <c r="AH89"/>
  <c r="AH98"/>
  <c r="AH92"/>
  <c r="AH91"/>
  <c r="AH93" l="1"/>
  <c r="AH79"/>
  <c r="AH81"/>
  <c r="AH82" l="1"/>
  <c r="AH75"/>
  <c r="AH76" l="1"/>
  <c r="AH71"/>
  <c r="AH72" l="1"/>
  <c r="AH66"/>
  <c r="AH67"/>
  <c r="AH65"/>
  <c r="AH68" l="1"/>
  <c r="AH62"/>
  <c r="AH58"/>
  <c r="AH60"/>
  <c r="AH57"/>
  <c r="AH61"/>
  <c r="AH59"/>
  <c r="AH63" l="1"/>
  <c r="AH53"/>
  <c r="AH54"/>
  <c r="AH55" l="1"/>
  <c r="AH45"/>
  <c r="AH48"/>
  <c r="AH46" l="1"/>
  <c r="AH37"/>
  <c r="AH38" l="1"/>
  <c r="AH34"/>
  <c r="AH35" l="1"/>
  <c r="AH29"/>
  <c r="AH30"/>
  <c r="AH31" l="1"/>
  <c r="AH26"/>
  <c r="AH27"/>
  <c r="AH25"/>
  <c r="AH24"/>
  <c r="AH28" l="1"/>
  <c r="AH32" s="1"/>
  <c r="AH21"/>
  <c r="AH22" l="1"/>
  <c r="AH17"/>
  <c r="AH18"/>
  <c r="AH19" l="1"/>
  <c r="AH12"/>
  <c r="AH13"/>
  <c r="AH14" l="1"/>
  <c r="AH9"/>
  <c r="AH10"/>
  <c r="AH11" l="1"/>
  <c r="AH15" s="1"/>
  <c r="AH40" s="1"/>
  <c r="AE102" i="70"/>
  <c r="AE104" l="1"/>
  <c r="AE91"/>
  <c r="AE98"/>
  <c r="AE92"/>
  <c r="AE89"/>
  <c r="AE93" l="1"/>
  <c r="AE79"/>
  <c r="AE81"/>
  <c r="AE82" l="1"/>
  <c r="AE75"/>
  <c r="AE76" l="1"/>
  <c r="AE71"/>
  <c r="AE72" l="1"/>
  <c r="AE65"/>
  <c r="AE66"/>
  <c r="AE67"/>
  <c r="AE68" l="1"/>
  <c r="AE62"/>
  <c r="AE59"/>
  <c r="AE61"/>
  <c r="AE60"/>
  <c r="AE58"/>
  <c r="AE57"/>
  <c r="AE63" l="1"/>
  <c r="AE53"/>
  <c r="AE54"/>
  <c r="AE55" l="1"/>
  <c r="AE45"/>
  <c r="AE49"/>
  <c r="AE48"/>
  <c r="AE46" l="1"/>
  <c r="AE37"/>
  <c r="AE38" l="1"/>
  <c r="AE34"/>
  <c r="AE35" l="1"/>
  <c r="AE29"/>
  <c r="AE30"/>
  <c r="AE31" l="1"/>
  <c r="AE26"/>
  <c r="AE25"/>
  <c r="AE24"/>
  <c r="AE27"/>
  <c r="AE28" l="1"/>
  <c r="AE32" s="1"/>
  <c r="AE21"/>
  <c r="AE22" l="1"/>
  <c r="AE18"/>
  <c r="AE17"/>
  <c r="AE19" l="1"/>
  <c r="AE12"/>
  <c r="AE13"/>
  <c r="AE14" l="1"/>
  <c r="AE10"/>
  <c r="AE9"/>
  <c r="AE11" l="1"/>
  <c r="AE15" s="1"/>
  <c r="AE40" s="1"/>
  <c r="AE102" i="71"/>
  <c r="AE104" l="1"/>
  <c r="AE91"/>
  <c r="AE89"/>
  <c r="AE92"/>
  <c r="AE98"/>
  <c r="AE93" l="1"/>
  <c r="AE79"/>
  <c r="AE81"/>
  <c r="AE82" l="1"/>
  <c r="AE75"/>
  <c r="AE76" l="1"/>
  <c r="AE71"/>
  <c r="AE72" l="1"/>
  <c r="AE67"/>
  <c r="AE66"/>
  <c r="AE65"/>
  <c r="AE68" l="1"/>
  <c r="AE62"/>
  <c r="AE59"/>
  <c r="AE61"/>
  <c r="AE60"/>
  <c r="AE58"/>
  <c r="AE57"/>
  <c r="AE63" l="1"/>
  <c r="AE53"/>
  <c r="AE54"/>
  <c r="AE55" l="1"/>
  <c r="AE45"/>
  <c r="AE48"/>
  <c r="AE49"/>
  <c r="AE46" l="1"/>
  <c r="AE37"/>
  <c r="AE38" l="1"/>
  <c r="AE34"/>
  <c r="AE35" l="1"/>
  <c r="AE30"/>
  <c r="AE29"/>
  <c r="AE31" l="1"/>
  <c r="AE24"/>
  <c r="AE25"/>
  <c r="AE27"/>
  <c r="AE26"/>
  <c r="AE28" l="1"/>
  <c r="AE32" s="1"/>
  <c r="AE21"/>
  <c r="AE22" l="1"/>
  <c r="AE18"/>
  <c r="AE17"/>
  <c r="AE19" l="1"/>
  <c r="AE13"/>
  <c r="AE12"/>
  <c r="AE14" l="1"/>
  <c r="AE10"/>
  <c r="AE9"/>
  <c r="AE11" l="1"/>
  <c r="AE15" s="1"/>
  <c r="AE40" s="1"/>
  <c r="AE102" i="72"/>
  <c r="AE104" l="1"/>
  <c r="AE89"/>
  <c r="AE98"/>
  <c r="AE92"/>
  <c r="AE91"/>
  <c r="AE93" l="1"/>
  <c r="AE79"/>
  <c r="AE81"/>
  <c r="AE82" l="1"/>
  <c r="AE75"/>
  <c r="AE76" l="1"/>
  <c r="AE71"/>
  <c r="AE72" l="1"/>
  <c r="AE65"/>
  <c r="AE66"/>
  <c r="AE67"/>
  <c r="AE68" l="1"/>
  <c r="AE62"/>
  <c r="AE58"/>
  <c r="AE61"/>
  <c r="AE60"/>
  <c r="AE57"/>
  <c r="AE59"/>
  <c r="AE63" l="1"/>
  <c r="AE53"/>
  <c r="AE54"/>
  <c r="AE55" l="1"/>
  <c r="AE48"/>
  <c r="AE45"/>
  <c r="AE49"/>
  <c r="AE46" l="1"/>
  <c r="AE37"/>
  <c r="AE38" l="1"/>
  <c r="AE34"/>
  <c r="AE35" l="1"/>
  <c r="AE30"/>
  <c r="AE29"/>
  <c r="AE31" l="1"/>
  <c r="AE26"/>
  <c r="AE25"/>
  <c r="AE27"/>
  <c r="AE24"/>
  <c r="AE28" l="1"/>
  <c r="AE32" s="1"/>
  <c r="AE21"/>
  <c r="AE22" l="1"/>
  <c r="AE17"/>
  <c r="AE18"/>
  <c r="AE19" l="1"/>
  <c r="AE12"/>
  <c r="AE13"/>
  <c r="AE14" l="1"/>
  <c r="AE9"/>
  <c r="AE10"/>
  <c r="AE11" l="1"/>
  <c r="AE15" s="1"/>
  <c r="AE40" s="1"/>
  <c r="AE102" i="73"/>
  <c r="AE104" l="1"/>
  <c r="AE98"/>
  <c r="AE89"/>
  <c r="AE92"/>
  <c r="AE91"/>
  <c r="AE93" l="1"/>
  <c r="AE79"/>
  <c r="AE81"/>
  <c r="AE82" l="1"/>
  <c r="AE75"/>
  <c r="AE76" l="1"/>
  <c r="AE71"/>
  <c r="AE72" l="1"/>
  <c r="AE65"/>
  <c r="AE66"/>
  <c r="AE67"/>
  <c r="AE68" l="1"/>
  <c r="AE59"/>
  <c r="AE60"/>
  <c r="AE61"/>
  <c r="AE62"/>
  <c r="AE58"/>
  <c r="AE57"/>
  <c r="AE63" l="1"/>
  <c r="AE54"/>
  <c r="AE53"/>
  <c r="AE55" l="1"/>
  <c r="AE49"/>
  <c r="AE45"/>
  <c r="AE48"/>
  <c r="AE46" l="1"/>
  <c r="AE37"/>
  <c r="AE38" l="1"/>
  <c r="AE34"/>
  <c r="AE35" l="1"/>
  <c r="AE30"/>
  <c r="AE29"/>
  <c r="AE31" l="1"/>
  <c r="AE24"/>
  <c r="AE27"/>
  <c r="AE26"/>
  <c r="AE25"/>
  <c r="AE28" l="1"/>
  <c r="AE32" s="1"/>
  <c r="AE21"/>
  <c r="AE22" l="1"/>
  <c r="AE18"/>
  <c r="AE17"/>
  <c r="AE19" l="1"/>
  <c r="AE13"/>
  <c r="AE12"/>
  <c r="AE14" l="1"/>
  <c r="AE9"/>
  <c r="AE10"/>
  <c r="AE11" l="1"/>
  <c r="AE15" s="1"/>
  <c r="AE40" s="1"/>
  <c r="AE102" i="74"/>
  <c r="AE104" l="1"/>
  <c r="AE98"/>
  <c r="AE91"/>
  <c r="AE92"/>
  <c r="AE89"/>
  <c r="AE93" l="1"/>
  <c r="AE81"/>
  <c r="AE79"/>
  <c r="AE82" l="1"/>
  <c r="AE75"/>
  <c r="AE76" l="1"/>
  <c r="AE71"/>
  <c r="AE72" l="1"/>
  <c r="AE66"/>
  <c r="AE67"/>
  <c r="AE65"/>
  <c r="AE68" l="1"/>
  <c r="AE59"/>
  <c r="AE58"/>
  <c r="AE61"/>
  <c r="AE57"/>
  <c r="AE62"/>
  <c r="AE60"/>
  <c r="AE63" l="1"/>
  <c r="AE54"/>
  <c r="AE53"/>
  <c r="AE55" l="1"/>
  <c r="AE45"/>
  <c r="AE49"/>
  <c r="AE48"/>
  <c r="AE46" l="1"/>
  <c r="AE37"/>
  <c r="AE38" l="1"/>
  <c r="AE34"/>
  <c r="AE35" l="1"/>
  <c r="AE30"/>
  <c r="AE29"/>
  <c r="AE31" l="1"/>
  <c r="AE24"/>
  <c r="AE25"/>
  <c r="AE27"/>
  <c r="AE26"/>
  <c r="AE28" l="1"/>
  <c r="AE32" s="1"/>
  <c r="AE21"/>
  <c r="AE22" l="1"/>
  <c r="AE18"/>
  <c r="AE17"/>
  <c r="AE19" l="1"/>
  <c r="AE13"/>
  <c r="AE12"/>
  <c r="AE14" l="1"/>
  <c r="AE9"/>
  <c r="AE10"/>
  <c r="AE11" l="1"/>
  <c r="AE15" s="1"/>
  <c r="AE40" s="1"/>
  <c r="AE102" i="75"/>
  <c r="AE104" l="1"/>
  <c r="AE98"/>
  <c r="AE91"/>
  <c r="AE92"/>
  <c r="AE89"/>
  <c r="AE93" l="1"/>
  <c r="AE79"/>
  <c r="AE81"/>
  <c r="AE82" l="1"/>
  <c r="AE75"/>
  <c r="AE76" l="1"/>
  <c r="AE71"/>
  <c r="AE72" l="1"/>
  <c r="AE65"/>
  <c r="AE66"/>
  <c r="AE67"/>
  <c r="AE68" l="1"/>
  <c r="AE58"/>
  <c r="AE61"/>
  <c r="AE57"/>
  <c r="AE62"/>
  <c r="AE60"/>
  <c r="AE59"/>
  <c r="AE63" l="1"/>
  <c r="AE54"/>
  <c r="AE53"/>
  <c r="AE55" l="1"/>
  <c r="AE49"/>
  <c r="AE45"/>
  <c r="AE48"/>
  <c r="AE46" l="1"/>
  <c r="AE37"/>
  <c r="AE38" l="1"/>
  <c r="AE34"/>
  <c r="AE35" l="1"/>
  <c r="AE29"/>
  <c r="AE30"/>
  <c r="AE31" l="1"/>
  <c r="AE27"/>
  <c r="AE24"/>
  <c r="AE26"/>
  <c r="AE25"/>
  <c r="AE28" l="1"/>
  <c r="AE32" s="1"/>
  <c r="AE21"/>
  <c r="AE22" l="1"/>
  <c r="AE17"/>
  <c r="AE18"/>
  <c r="AE19" l="1"/>
  <c r="AE12"/>
  <c r="AE13"/>
  <c r="AE14" l="1"/>
  <c r="AE10"/>
  <c r="AE9"/>
  <c r="AE11" l="1"/>
  <c r="AE15" s="1"/>
  <c r="AE40" s="1"/>
  <c r="AE102" i="76"/>
  <c r="AE104" l="1"/>
  <c r="AE92"/>
  <c r="AE89"/>
  <c r="AE98"/>
  <c r="AE91"/>
  <c r="AE93" l="1"/>
  <c r="AE79"/>
  <c r="AE81"/>
  <c r="AE82" l="1"/>
  <c r="AE75"/>
  <c r="AE76" l="1"/>
  <c r="AE71"/>
  <c r="AE72" l="1"/>
  <c r="AE67"/>
  <c r="AE65"/>
  <c r="AE66"/>
  <c r="AE68" l="1"/>
  <c r="AE61"/>
  <c r="AE62"/>
  <c r="AE58"/>
  <c r="AE60"/>
  <c r="AE57"/>
  <c r="AE59"/>
  <c r="AE63" l="1"/>
  <c r="AE54"/>
  <c r="AE53"/>
  <c r="AE55" l="1"/>
  <c r="AE49"/>
  <c r="AE48"/>
  <c r="AE45"/>
  <c r="AE46" l="1"/>
  <c r="AE37"/>
  <c r="AE38" l="1"/>
  <c r="AE34"/>
  <c r="AE35" l="1"/>
  <c r="AE29"/>
  <c r="AE30"/>
  <c r="AE31" l="1"/>
  <c r="AE25"/>
  <c r="AE26"/>
  <c r="AE24"/>
  <c r="AE27"/>
  <c r="AE28" l="1"/>
  <c r="AE32" s="1"/>
  <c r="AE21"/>
  <c r="AE22" l="1"/>
  <c r="AE17"/>
  <c r="AE18"/>
  <c r="AE19" l="1"/>
  <c r="AE13"/>
  <c r="AE12"/>
  <c r="AE14" l="1"/>
  <c r="AE9"/>
  <c r="AE10"/>
  <c r="AE11" l="1"/>
  <c r="AE15" s="1"/>
  <c r="AE40" s="1"/>
  <c r="AE102" i="77"/>
  <c r="AE104" l="1"/>
  <c r="AE98"/>
  <c r="AE91"/>
  <c r="AE92"/>
  <c r="AE89"/>
  <c r="AE93" l="1"/>
  <c r="AE81"/>
  <c r="AE79"/>
  <c r="AE82" l="1"/>
  <c r="AE75"/>
  <c r="AE76" l="1"/>
  <c r="AE71"/>
  <c r="AE72" l="1"/>
  <c r="AE67"/>
  <c r="AE65"/>
  <c r="AE66"/>
  <c r="AE68" l="1"/>
  <c r="AE62"/>
  <c r="AE59"/>
  <c r="AE57"/>
  <c r="AE60"/>
  <c r="AE61"/>
  <c r="AE58"/>
  <c r="AE63" l="1"/>
  <c r="AE54"/>
  <c r="AE53"/>
  <c r="AE55" l="1"/>
  <c r="AE48"/>
  <c r="AE49"/>
  <c r="AE45"/>
  <c r="AE46" l="1"/>
  <c r="AE37"/>
  <c r="AE38" l="1"/>
  <c r="AE34"/>
  <c r="AE35" l="1"/>
  <c r="AE29"/>
  <c r="AE30"/>
  <c r="AE31" l="1"/>
  <c r="AE25"/>
  <c r="AE27"/>
  <c r="AE26"/>
  <c r="AE24"/>
  <c r="AE28" l="1"/>
  <c r="AE32" s="1"/>
  <c r="AE21"/>
  <c r="AE22" l="1"/>
  <c r="AE18"/>
  <c r="AE17"/>
  <c r="AE19" l="1"/>
  <c r="AE12"/>
  <c r="AE13"/>
  <c r="AE14" l="1"/>
  <c r="AE9"/>
  <c r="AE10"/>
  <c r="AE11" l="1"/>
  <c r="AE15" s="1"/>
  <c r="AE40" s="1"/>
  <c r="AE102" i="78"/>
  <c r="AE104" l="1"/>
  <c r="AE89"/>
  <c r="AE92"/>
  <c r="AE98"/>
  <c r="AE91"/>
  <c r="AE93" l="1"/>
  <c r="AE81"/>
  <c r="AE79"/>
  <c r="AE82" l="1"/>
  <c r="AE75"/>
  <c r="AE76" l="1"/>
  <c r="AE71"/>
  <c r="AE72" l="1"/>
  <c r="AE65"/>
  <c r="AE66"/>
  <c r="AE67"/>
  <c r="AE68" l="1"/>
  <c r="AE57"/>
  <c r="AE62"/>
  <c r="AE60"/>
  <c r="AE58"/>
  <c r="AE61"/>
  <c r="AE59"/>
  <c r="AE63" l="1"/>
  <c r="AE53"/>
  <c r="AE54"/>
  <c r="AE55" l="1"/>
  <c r="AE45"/>
  <c r="AE49"/>
  <c r="AE48"/>
  <c r="AE46" l="1"/>
  <c r="AE37"/>
  <c r="AE38" l="1"/>
  <c r="AE34"/>
  <c r="AE35" l="1"/>
  <c r="AE30"/>
  <c r="AE29"/>
  <c r="AE31" l="1"/>
  <c r="AE27"/>
  <c r="AE24"/>
  <c r="AE26"/>
  <c r="AE25"/>
  <c r="AE28" l="1"/>
  <c r="AE32" s="1"/>
  <c r="AE21"/>
  <c r="AE22" l="1"/>
  <c r="AE17"/>
  <c r="AE18"/>
  <c r="AE19" l="1"/>
  <c r="AE12"/>
  <c r="AE13"/>
  <c r="AE14" l="1"/>
  <c r="AE10"/>
  <c r="AE9"/>
  <c r="AE11" l="1"/>
  <c r="AE15" s="1"/>
  <c r="AE40" s="1"/>
  <c r="AE102" i="29"/>
  <c r="AE104" l="1"/>
  <c r="AE91"/>
  <c r="AE92"/>
  <c r="AE98"/>
  <c r="AE89"/>
  <c r="AE93" l="1"/>
  <c r="AE79"/>
  <c r="AE81"/>
  <c r="AE82" l="1"/>
  <c r="AE75"/>
  <c r="AE76" l="1"/>
  <c r="AE71"/>
  <c r="AE72" l="1"/>
  <c r="AE65"/>
  <c r="AE66"/>
  <c r="AE67"/>
  <c r="AE68" l="1"/>
  <c r="AE58"/>
  <c r="AE62"/>
  <c r="AE57"/>
  <c r="AE59"/>
  <c r="AE61"/>
  <c r="AE60"/>
  <c r="AE63" l="1"/>
  <c r="AE54"/>
  <c r="AE53"/>
  <c r="AE55" l="1"/>
  <c r="AE49"/>
  <c r="AE48"/>
  <c r="AE45"/>
  <c r="AE46" l="1"/>
  <c r="AE37"/>
  <c r="AE38" l="1"/>
  <c r="AE34"/>
  <c r="AE35" l="1"/>
  <c r="AE29"/>
  <c r="AE30"/>
  <c r="AE31" l="1"/>
  <c r="AE27"/>
  <c r="AE26"/>
  <c r="AE24"/>
  <c r="AE25"/>
  <c r="AE28" l="1"/>
  <c r="AE32" s="1"/>
  <c r="AE21"/>
  <c r="AE22" l="1"/>
  <c r="AE17"/>
  <c r="AE18"/>
  <c r="AE19" l="1"/>
  <c r="AE13"/>
  <c r="AE12"/>
  <c r="AE14" l="1"/>
  <c r="AE10"/>
  <c r="AE9"/>
  <c r="AE11" l="1"/>
  <c r="AE15" s="1"/>
  <c r="AE40" s="1"/>
  <c r="AH4" i="70"/>
  <c r="AH4" i="71"/>
  <c r="AH4" i="72"/>
  <c r="AH4" i="73"/>
  <c r="AH4" i="74"/>
  <c r="AH4" i="75"/>
  <c r="AH4" i="76"/>
  <c r="AH4" i="77"/>
  <c r="AH4" i="78"/>
  <c r="AH4" i="29"/>
  <c r="AE4" i="70"/>
  <c r="AE4" i="71"/>
  <c r="AE4" i="72"/>
  <c r="AE4" i="73"/>
  <c r="AE4" i="74"/>
  <c r="AE4" i="75"/>
  <c r="AE4" i="76"/>
  <c r="AE4" i="77"/>
  <c r="AE4" i="78"/>
  <c r="AE4" i="29"/>
  <c r="D15" i="25"/>
  <c r="D48" i="70"/>
  <c r="DD48" i="71"/>
  <c r="CI48"/>
  <c r="BI48" i="70"/>
  <c r="CX48"/>
  <c r="G48"/>
  <c r="AY48"/>
  <c r="BY48"/>
  <c r="AT48"/>
  <c r="CJ48"/>
  <c r="CB48"/>
  <c r="CH48"/>
  <c r="BT48"/>
  <c r="CS48" i="71"/>
  <c r="DA48" i="70"/>
  <c r="CA48" i="71"/>
  <c r="DF48" i="70"/>
  <c r="CG48"/>
  <c r="CM48"/>
  <c r="AB48"/>
  <c r="DE48" i="71"/>
  <c r="CW48" i="70"/>
  <c r="J48"/>
  <c r="CL48"/>
  <c r="DD48"/>
  <c r="N48"/>
  <c r="L48"/>
  <c r="BS48"/>
  <c r="CT48"/>
  <c r="U48"/>
  <c r="BR48" i="71"/>
  <c r="CR48" i="70"/>
  <c r="DB48"/>
  <c r="AU48"/>
  <c r="CP48"/>
  <c r="CB48" i="71"/>
  <c r="CS48" i="70"/>
  <c r="CX48" i="71"/>
  <c r="BO48"/>
  <c r="BE48" i="70"/>
  <c r="I48"/>
  <c r="CD48" i="71"/>
  <c r="BX48"/>
  <c r="CZ48" i="70"/>
  <c r="AI48"/>
  <c r="BC48"/>
  <c r="BY48" i="71"/>
  <c r="BH48" i="70"/>
  <c r="BV48" i="71"/>
  <c r="BQ48" i="70"/>
  <c r="CZ48" i="71"/>
  <c r="CO48" i="70"/>
  <c r="BO48"/>
  <c r="BU48" i="71"/>
  <c r="CP48"/>
  <c r="BQ48"/>
  <c r="DA48"/>
  <c r="AJ48" i="70"/>
  <c r="BZ48" i="71"/>
  <c r="CK48"/>
  <c r="CT48"/>
  <c r="BR48" i="70"/>
  <c r="DC48" i="71"/>
  <c r="CF48" i="70"/>
  <c r="AO48"/>
  <c r="S48"/>
  <c r="CL48" i="71"/>
  <c r="AX48" i="70"/>
  <c r="O48"/>
  <c r="CY48" i="71"/>
  <c r="AW48" i="70"/>
  <c r="DC48"/>
  <c r="AA48"/>
  <c r="AC48"/>
  <c r="BX48"/>
  <c r="CR48" i="71"/>
  <c r="BA48" i="70"/>
  <c r="AZ48"/>
  <c r="CQ48"/>
  <c r="CH48" i="71"/>
  <c r="CN48"/>
  <c r="CQ48"/>
  <c r="T48" i="70"/>
  <c r="AS48"/>
  <c r="BW48"/>
  <c r="BV48"/>
  <c r="CM48" i="71"/>
  <c r="BW48"/>
  <c r="AV48" i="70"/>
  <c r="CA48"/>
  <c r="DF48" i="71"/>
  <c r="CV48"/>
  <c r="CC48" i="70"/>
  <c r="CW48" i="71"/>
  <c r="X48" i="70"/>
  <c r="CU48" i="71"/>
  <c r="AN48" i="70"/>
  <c r="BZ48"/>
  <c r="CG48" i="71"/>
  <c r="DB48"/>
  <c r="CC48"/>
  <c r="AF48" i="70"/>
  <c r="DE48"/>
  <c r="CV48"/>
  <c r="CD48"/>
  <c r="CU48"/>
  <c r="CY48"/>
  <c r="CI48"/>
  <c r="P48"/>
  <c r="CF48" i="71"/>
  <c r="W48" i="70"/>
  <c r="CJ48" i="71"/>
  <c r="H48" i="70"/>
  <c r="Z48"/>
  <c r="K48"/>
  <c r="AQ48"/>
  <c r="V48"/>
  <c r="AR48"/>
  <c r="BT48" i="71"/>
  <c r="CE48"/>
  <c r="BU48" i="70"/>
  <c r="AD48"/>
  <c r="BP48" i="71"/>
  <c r="BB48" i="70"/>
  <c r="CN48"/>
  <c r="BP48"/>
  <c r="M48"/>
  <c r="AP48"/>
  <c r="CE48"/>
  <c r="CK48"/>
  <c r="Y48"/>
  <c r="BS48" i="71"/>
  <c r="CO48"/>
  <c r="AM48" i="70"/>
  <c r="Q48" l="1"/>
  <c r="BJ48"/>
  <c r="DH48"/>
  <c r="DH48" i="71"/>
  <c r="BH48"/>
  <c r="BI48"/>
  <c r="BJ48" l="1"/>
  <c r="BC48"/>
  <c r="AN48"/>
  <c r="AY48"/>
  <c r="AR48"/>
  <c r="T48"/>
  <c r="S48"/>
  <c r="BB48"/>
  <c r="AV48"/>
  <c r="AQ48"/>
  <c r="P48"/>
  <c r="O48"/>
  <c r="AS48"/>
  <c r="AB48"/>
  <c r="AX48"/>
  <c r="BA48"/>
  <c r="AC48"/>
  <c r="U48"/>
  <c r="AW48"/>
  <c r="W48"/>
  <c r="G48"/>
  <c r="V48"/>
  <c r="Y48"/>
  <c r="AD48"/>
  <c r="AZ48"/>
  <c r="AM48"/>
  <c r="J48"/>
  <c r="BE48"/>
  <c r="I48"/>
  <c r="AA48"/>
  <c r="H48"/>
  <c r="AT48"/>
  <c r="Z48"/>
  <c r="AO48"/>
  <c r="M48"/>
  <c r="AP48"/>
  <c r="L48"/>
  <c r="K48"/>
  <c r="N48"/>
  <c r="AJ48"/>
  <c r="AU48"/>
  <c r="X48"/>
  <c r="AI48"/>
  <c r="AF48"/>
  <c r="Q48" l="1"/>
  <c r="D48"/>
  <c r="CH48" i="72"/>
  <c r="CM48"/>
  <c r="BS48"/>
  <c r="DA48"/>
  <c r="CF48"/>
  <c r="DF48"/>
  <c r="CR48"/>
  <c r="CO48"/>
  <c r="CS48"/>
  <c r="DB48"/>
  <c r="CL48"/>
  <c r="CW48"/>
  <c r="BP48"/>
  <c r="CC48"/>
  <c r="CI48"/>
  <c r="CE48"/>
  <c r="BT48"/>
  <c r="CK48"/>
  <c r="BW48"/>
  <c r="CP48"/>
  <c r="CJ48"/>
  <c r="BV48"/>
  <c r="CV48"/>
  <c r="DD48"/>
  <c r="BR48"/>
  <c r="CZ48"/>
  <c r="CB48"/>
  <c r="CT48"/>
  <c r="CA48"/>
  <c r="CD48"/>
  <c r="CQ48"/>
  <c r="CX48"/>
  <c r="CG48"/>
  <c r="BQ48"/>
  <c r="DE48"/>
  <c r="DC48"/>
  <c r="CU48"/>
  <c r="CN48"/>
  <c r="CY48"/>
  <c r="BX48"/>
  <c r="BZ48"/>
  <c r="BU48"/>
  <c r="BO48"/>
  <c r="BY48"/>
  <c r="DH48" l="1"/>
  <c r="BI48"/>
  <c r="BH48"/>
  <c r="BJ48" l="1"/>
  <c r="T48"/>
  <c r="AN48"/>
  <c r="AO48"/>
  <c r="X48"/>
  <c r="AF48"/>
  <c r="BE48"/>
  <c r="BA48"/>
  <c r="AS48"/>
  <c r="AR48"/>
  <c r="AM48"/>
  <c r="BC48"/>
  <c r="AP48"/>
  <c r="AX48"/>
  <c r="G48"/>
  <c r="Y48"/>
  <c r="AV48"/>
  <c r="Z48"/>
  <c r="BB48"/>
  <c r="S48"/>
  <c r="K48"/>
  <c r="AI48"/>
  <c r="H48"/>
  <c r="W48"/>
  <c r="N48"/>
  <c r="AQ48"/>
  <c r="AB48"/>
  <c r="AJ48"/>
  <c r="P48"/>
  <c r="AA48"/>
  <c r="AU48"/>
  <c r="AY48"/>
  <c r="AW48"/>
  <c r="U48"/>
  <c r="AD48"/>
  <c r="AT48"/>
  <c r="V48"/>
  <c r="AC48"/>
  <c r="L48"/>
  <c r="I48"/>
  <c r="M48"/>
  <c r="O48"/>
  <c r="J48"/>
  <c r="AZ48"/>
  <c r="Q48" l="1"/>
  <c r="D48"/>
  <c r="BV48" i="73"/>
  <c r="CO48"/>
  <c r="BW48"/>
  <c r="CH48"/>
  <c r="BU48"/>
  <c r="DE48"/>
  <c r="CP48"/>
  <c r="BQ48"/>
  <c r="CL48"/>
  <c r="CN48"/>
  <c r="BY48"/>
  <c r="CV48"/>
  <c r="DC48"/>
  <c r="BS48"/>
  <c r="BO48"/>
  <c r="CY48"/>
  <c r="BZ48"/>
  <c r="CG48"/>
  <c r="BR48"/>
  <c r="BX48"/>
  <c r="CZ48"/>
  <c r="CF48"/>
  <c r="CK48"/>
  <c r="CD48"/>
  <c r="CX48"/>
  <c r="CQ48"/>
  <c r="CC48"/>
  <c r="DB48"/>
  <c r="BT48"/>
  <c r="DD48"/>
  <c r="CM48"/>
  <c r="CR48"/>
  <c r="CT48"/>
  <c r="BP48"/>
  <c r="CB48"/>
  <c r="CS48"/>
  <c r="CU48"/>
  <c r="CE48"/>
  <c r="CI48"/>
  <c r="CJ48"/>
  <c r="CA48"/>
  <c r="DA48"/>
  <c r="CW48"/>
  <c r="DF48"/>
  <c r="DH48" l="1"/>
  <c r="BI48"/>
  <c r="BH48"/>
  <c r="BJ48" l="1"/>
  <c r="O48"/>
  <c r="BC48"/>
  <c r="AC48"/>
  <c r="BB48"/>
  <c r="AX48"/>
  <c r="AF48"/>
  <c r="AT48"/>
  <c r="AV48"/>
  <c r="S48"/>
  <c r="AA48"/>
  <c r="Z48"/>
  <c r="W48"/>
  <c r="AP48"/>
  <c r="K48"/>
  <c r="L48"/>
  <c r="AU48"/>
  <c r="AR48"/>
  <c r="V48"/>
  <c r="AO48"/>
  <c r="AI48"/>
  <c r="BE48"/>
  <c r="J48"/>
  <c r="T48"/>
  <c r="M48"/>
  <c r="P48"/>
  <c r="AY48"/>
  <c r="U48"/>
  <c r="AQ48"/>
  <c r="AN48"/>
  <c r="N48"/>
  <c r="I48"/>
  <c r="AM48"/>
  <c r="AJ48"/>
  <c r="BA48"/>
  <c r="AW48"/>
  <c r="Y48"/>
  <c r="AB48"/>
  <c r="H48"/>
  <c r="G48"/>
  <c r="X48"/>
  <c r="AD48"/>
  <c r="AZ48"/>
  <c r="AS48"/>
  <c r="Q48" l="1"/>
  <c r="D48"/>
  <c r="CT48" i="74"/>
  <c r="BS48"/>
  <c r="CP48"/>
  <c r="DE48"/>
  <c r="CU48"/>
  <c r="CC48"/>
  <c r="BO48"/>
  <c r="CW48"/>
  <c r="BY48"/>
  <c r="CR48"/>
  <c r="BV48"/>
  <c r="CG48"/>
  <c r="CD48"/>
  <c r="CN48"/>
  <c r="CX48"/>
  <c r="CH48"/>
  <c r="CF48"/>
  <c r="DC48"/>
  <c r="CY48"/>
  <c r="DB48"/>
  <c r="BW48"/>
  <c r="CM48"/>
  <c r="CI48"/>
  <c r="CA48"/>
  <c r="BT48"/>
  <c r="BQ48"/>
  <c r="CE48"/>
  <c r="CZ48"/>
  <c r="CL48"/>
  <c r="DF48"/>
  <c r="CO48"/>
  <c r="CK48"/>
  <c r="CV48"/>
  <c r="CB48"/>
  <c r="BP48"/>
  <c r="DA48"/>
  <c r="BZ48"/>
  <c r="BR48"/>
  <c r="DD48"/>
  <c r="CS48"/>
  <c r="CJ48"/>
  <c r="CQ48"/>
  <c r="BX48"/>
  <c r="BU48"/>
  <c r="DH48" l="1"/>
  <c r="BH48"/>
  <c r="BI48"/>
  <c r="BJ48" l="1"/>
  <c r="U48"/>
  <c r="L48"/>
  <c r="AB48"/>
  <c r="AY48"/>
  <c r="AR48"/>
  <c r="AJ48"/>
  <c r="AT48"/>
  <c r="G48"/>
  <c r="AS48"/>
  <c r="M48"/>
  <c r="W48"/>
  <c r="AC48"/>
  <c r="AW48"/>
  <c r="AF48"/>
  <c r="Y48"/>
  <c r="AD48"/>
  <c r="AI48"/>
  <c r="BE48"/>
  <c r="J48"/>
  <c r="N48"/>
  <c r="S48"/>
  <c r="K48"/>
  <c r="AX48"/>
  <c r="AQ48"/>
  <c r="AP48"/>
  <c r="AU48"/>
  <c r="AV48"/>
  <c r="O48"/>
  <c r="BC48"/>
  <c r="AO48"/>
  <c r="AM48"/>
  <c r="AA48"/>
  <c r="Z48"/>
  <c r="H48"/>
  <c r="T48"/>
  <c r="BB48"/>
  <c r="I48"/>
  <c r="X48"/>
  <c r="BA48"/>
  <c r="P48"/>
  <c r="AN48"/>
  <c r="V48"/>
  <c r="AZ48"/>
  <c r="Q48" l="1"/>
  <c r="D48"/>
  <c r="CV48" i="75"/>
  <c r="CA48"/>
  <c r="CM48"/>
  <c r="BR48"/>
  <c r="CS48"/>
  <c r="BS48"/>
  <c r="BP48"/>
  <c r="CB48"/>
  <c r="CZ48"/>
  <c r="CT48"/>
  <c r="CC48"/>
  <c r="CD48"/>
  <c r="CE48"/>
  <c r="DC48"/>
  <c r="CR48"/>
  <c r="BU48"/>
  <c r="BO48"/>
  <c r="DE48"/>
  <c r="BY48"/>
  <c r="CP48"/>
  <c r="CO48"/>
  <c r="BV48"/>
  <c r="CN48"/>
  <c r="CY48"/>
  <c r="DF48"/>
  <c r="CG48"/>
  <c r="CH48"/>
  <c r="BQ48"/>
  <c r="CJ48"/>
  <c r="CI48"/>
  <c r="BT48"/>
  <c r="CQ48"/>
  <c r="CL48"/>
  <c r="DB48"/>
  <c r="BZ48"/>
  <c r="DA48"/>
  <c r="DD48"/>
  <c r="BX48"/>
  <c r="CW48"/>
  <c r="CX48"/>
  <c r="BW48"/>
  <c r="CK48"/>
  <c r="CU48"/>
  <c r="CF48"/>
  <c r="DH48" l="1"/>
  <c r="BI48"/>
  <c r="BH48"/>
  <c r="BJ48" l="1"/>
  <c r="AU48"/>
  <c r="L48"/>
  <c r="M48"/>
  <c r="BC48"/>
  <c r="U48"/>
  <c r="AN48"/>
  <c r="BA48"/>
  <c r="Y48"/>
  <c r="AQ48"/>
  <c r="P48"/>
  <c r="AT48"/>
  <c r="BB48"/>
  <c r="H48"/>
  <c r="J48"/>
  <c r="AS48"/>
  <c r="AY48"/>
  <c r="G48"/>
  <c r="V48"/>
  <c r="AR48"/>
  <c r="AA48"/>
  <c r="AC48"/>
  <c r="W48"/>
  <c r="S48"/>
  <c r="AI48"/>
  <c r="AW48"/>
  <c r="K48"/>
  <c r="AM48"/>
  <c r="AZ48"/>
  <c r="X48"/>
  <c r="T48"/>
  <c r="O48"/>
  <c r="AO48"/>
  <c r="AB48"/>
  <c r="AJ48"/>
  <c r="BE48"/>
  <c r="AV48"/>
  <c r="I48"/>
  <c r="Z48"/>
  <c r="AF48"/>
  <c r="AX48"/>
  <c r="AD48"/>
  <c r="AP48"/>
  <c r="N48"/>
  <c r="Q48" l="1"/>
  <c r="D48"/>
  <c r="CO48" i="76"/>
  <c r="CA48"/>
  <c r="BY48"/>
  <c r="CG48"/>
  <c r="CC48"/>
  <c r="CV48"/>
  <c r="CH48"/>
  <c r="CR48"/>
  <c r="DB48"/>
  <c r="CX48"/>
  <c r="DA48"/>
  <c r="CS48"/>
  <c r="BV48"/>
  <c r="BW48"/>
  <c r="CL48"/>
  <c r="CZ48"/>
  <c r="CE48"/>
  <c r="BU48"/>
  <c r="DF48"/>
  <c r="CF48"/>
  <c r="CW48"/>
  <c r="CP48"/>
  <c r="BR48"/>
  <c r="CI48"/>
  <c r="CM48"/>
  <c r="CN48"/>
  <c r="BT48"/>
  <c r="CQ48"/>
  <c r="BO48"/>
  <c r="BZ48"/>
  <c r="CK48"/>
  <c r="CT48"/>
  <c r="CB48"/>
  <c r="CY48"/>
  <c r="CU48"/>
  <c r="DC48"/>
  <c r="BQ48"/>
  <c r="BS48"/>
  <c r="DD48"/>
  <c r="BP48"/>
  <c r="BX48"/>
  <c r="CD48"/>
  <c r="CJ48"/>
  <c r="DE48"/>
  <c r="DH48" l="1"/>
  <c r="BI48"/>
  <c r="BH48"/>
  <c r="BJ48" l="1"/>
  <c r="P48"/>
  <c r="V48"/>
  <c r="BA48"/>
  <c r="N48"/>
  <c r="T48"/>
  <c r="AI48"/>
  <c r="AP48"/>
  <c r="AA48"/>
  <c r="L48"/>
  <c r="G48"/>
  <c r="S48"/>
  <c r="H48"/>
  <c r="AR48"/>
  <c r="AV48"/>
  <c r="AN48"/>
  <c r="AJ48"/>
  <c r="AX48"/>
  <c r="AM48"/>
  <c r="U48"/>
  <c r="W48"/>
  <c r="AU48"/>
  <c r="J48"/>
  <c r="M48"/>
  <c r="AT48"/>
  <c r="BB48"/>
  <c r="AQ48"/>
  <c r="AO48"/>
  <c r="I48"/>
  <c r="X48"/>
  <c r="AB48"/>
  <c r="AF48"/>
  <c r="AD48"/>
  <c r="AW48"/>
  <c r="AC48"/>
  <c r="Y48"/>
  <c r="AY48"/>
  <c r="BE48"/>
  <c r="Z48"/>
  <c r="O48"/>
  <c r="K48"/>
  <c r="AS48"/>
  <c r="BC48"/>
  <c r="AZ48"/>
  <c r="Q48" l="1"/>
  <c r="D48"/>
  <c r="CA48" i="77"/>
  <c r="CC48"/>
  <c r="CB48"/>
  <c r="CI48"/>
  <c r="CP48"/>
  <c r="CZ48"/>
  <c r="DE48"/>
  <c r="BQ48"/>
  <c r="CX48"/>
  <c r="CF48"/>
  <c r="BX48"/>
  <c r="BT48"/>
  <c r="BO48"/>
  <c r="CN48"/>
  <c r="CL48"/>
  <c r="DC48"/>
  <c r="CS48"/>
  <c r="CJ48"/>
  <c r="BP48"/>
  <c r="CM48"/>
  <c r="BW48"/>
  <c r="DA48"/>
  <c r="DB48"/>
  <c r="CH48"/>
  <c r="BR48"/>
  <c r="CV48"/>
  <c r="BY48"/>
  <c r="DF48"/>
  <c r="CR48"/>
  <c r="CK48"/>
  <c r="CY48"/>
  <c r="BZ48"/>
  <c r="BV48"/>
  <c r="CT48"/>
  <c r="CE48"/>
  <c r="CD48"/>
  <c r="CO48"/>
  <c r="CQ48"/>
  <c r="BS48"/>
  <c r="CG48"/>
  <c r="BU48"/>
  <c r="DD48"/>
  <c r="CU48"/>
  <c r="CW48"/>
  <c r="DH48" l="1"/>
  <c r="BH48"/>
  <c r="BI48"/>
  <c r="BJ48" l="1"/>
  <c r="W48"/>
  <c r="L48"/>
  <c r="P48"/>
  <c r="U48"/>
  <c r="AC48"/>
  <c r="AP48"/>
  <c r="Z48"/>
  <c r="AI48"/>
  <c r="BC48"/>
  <c r="Y48"/>
  <c r="K48"/>
  <c r="AV48"/>
  <c r="J48"/>
  <c r="M48"/>
  <c r="I48"/>
  <c r="AB48"/>
  <c r="AU48"/>
  <c r="AA48"/>
  <c r="AM48"/>
  <c r="AS48"/>
  <c r="G48"/>
  <c r="AO48"/>
  <c r="T48"/>
  <c r="BA48"/>
  <c r="S48"/>
  <c r="V48"/>
  <c r="AD48"/>
  <c r="AY48"/>
  <c r="AR48"/>
  <c r="H48"/>
  <c r="AF48"/>
  <c r="O48"/>
  <c r="BE48"/>
  <c r="AJ48"/>
  <c r="AT48"/>
  <c r="AN48"/>
  <c r="AX48"/>
  <c r="AQ48"/>
  <c r="AW48"/>
  <c r="AZ48"/>
  <c r="BB48"/>
  <c r="X48"/>
  <c r="N48"/>
  <c r="Q48" l="1"/>
  <c r="D48"/>
  <c r="CD48" i="78"/>
  <c r="CO48"/>
  <c r="CW48"/>
  <c r="CG48"/>
  <c r="BX48"/>
  <c r="BQ48"/>
  <c r="DB48"/>
  <c r="CK48"/>
  <c r="BZ48"/>
  <c r="BS48"/>
  <c r="CA48"/>
  <c r="CF48"/>
  <c r="CT48"/>
  <c r="DE48"/>
  <c r="DC48"/>
  <c r="CL48"/>
  <c r="CP48"/>
  <c r="CI48"/>
  <c r="CC48"/>
  <c r="BR48"/>
  <c r="CQ48"/>
  <c r="CZ48"/>
  <c r="BU48"/>
  <c r="DF48"/>
  <c r="CV48"/>
  <c r="CJ48"/>
  <c r="CR48"/>
  <c r="CN48"/>
  <c r="CB48"/>
  <c r="BO48"/>
  <c r="BT48"/>
  <c r="CE48"/>
  <c r="CU48"/>
  <c r="CH48"/>
  <c r="CS48"/>
  <c r="BP48"/>
  <c r="BV48"/>
  <c r="CX48"/>
  <c r="DA48"/>
  <c r="BY48"/>
  <c r="CM48"/>
  <c r="BW48"/>
  <c r="DD48"/>
  <c r="CY48"/>
  <c r="DH48" l="1"/>
  <c r="BH48"/>
  <c r="BI48"/>
  <c r="BJ48" l="1"/>
  <c r="AC48"/>
  <c r="Z48"/>
  <c r="AA48"/>
  <c r="AB48"/>
  <c r="AN48"/>
  <c r="L48"/>
  <c r="BC48"/>
  <c r="AS48"/>
  <c r="AZ48"/>
  <c r="AO48"/>
  <c r="U48"/>
  <c r="AD48"/>
  <c r="O48"/>
  <c r="AI48"/>
  <c r="AT48"/>
  <c r="H48"/>
  <c r="AP48"/>
  <c r="BE48"/>
  <c r="AR48"/>
  <c r="AV48"/>
  <c r="K48"/>
  <c r="W48"/>
  <c r="AM48"/>
  <c r="G48"/>
  <c r="AJ48"/>
  <c r="AU48"/>
  <c r="M48"/>
  <c r="Y48"/>
  <c r="N48"/>
  <c r="T48"/>
  <c r="AQ48"/>
  <c r="I48"/>
  <c r="J48"/>
  <c r="BB48"/>
  <c r="X48"/>
  <c r="S48"/>
  <c r="V48"/>
  <c r="AF48"/>
  <c r="BA48"/>
  <c r="AX48"/>
  <c r="AW48"/>
  <c r="AY48"/>
  <c r="P48"/>
  <c r="Q48" l="1"/>
  <c r="D48"/>
  <c r="CH48" i="29"/>
  <c r="CJ48"/>
  <c r="DF48"/>
  <c r="DE48"/>
  <c r="BS48"/>
  <c r="CL48"/>
  <c r="DA48"/>
  <c r="CG48"/>
  <c r="CK48"/>
  <c r="CE48"/>
  <c r="DB48"/>
  <c r="CI48"/>
  <c r="DD48"/>
  <c r="CQ48"/>
  <c r="BW48"/>
  <c r="CV48"/>
  <c r="BT48"/>
  <c r="CR48"/>
  <c r="CA48"/>
  <c r="CY48"/>
  <c r="CX48"/>
  <c r="CD48"/>
  <c r="CZ48"/>
  <c r="CF48"/>
  <c r="BX48"/>
  <c r="BP48"/>
  <c r="CT48"/>
  <c r="CN48"/>
  <c r="CW48"/>
  <c r="BY48"/>
  <c r="CC48"/>
  <c r="CP48"/>
  <c r="CU48"/>
  <c r="BR48"/>
  <c r="CB48"/>
  <c r="BZ48"/>
  <c r="BU48"/>
  <c r="CO48"/>
  <c r="BV48"/>
  <c r="BO48"/>
  <c r="CM48"/>
  <c r="DC48"/>
  <c r="CS48"/>
  <c r="BQ48"/>
  <c r="DH48" l="1"/>
  <c r="BI48"/>
  <c r="BH48"/>
  <c r="BJ48" l="1"/>
  <c r="AM48"/>
  <c r="K48"/>
  <c r="BB48"/>
  <c r="AQ48"/>
  <c r="I48"/>
  <c r="M48"/>
  <c r="AC48"/>
  <c r="W48"/>
  <c r="X48"/>
  <c r="N48"/>
  <c r="V48"/>
  <c r="BA48"/>
  <c r="S48"/>
  <c r="T48"/>
  <c r="AA48"/>
  <c r="AD48"/>
  <c r="AI48"/>
  <c r="AN48"/>
  <c r="L48"/>
  <c r="Z48"/>
  <c r="Y48"/>
  <c r="AZ48"/>
  <c r="P48"/>
  <c r="AJ48"/>
  <c r="AB48"/>
  <c r="AY48"/>
  <c r="AX48"/>
  <c r="AW48"/>
  <c r="AV48"/>
  <c r="BE48"/>
  <c r="AR48"/>
  <c r="AP48"/>
  <c r="G48"/>
  <c r="AO48"/>
  <c r="O48"/>
  <c r="BC48"/>
  <c r="AF48"/>
  <c r="AU48"/>
  <c r="H48"/>
  <c r="AT48"/>
  <c r="J48"/>
  <c r="U48"/>
  <c r="AS48"/>
  <c r="Q48" l="1"/>
  <c r="D48"/>
  <c r="D57" i="86"/>
  <c r="D56"/>
  <c r="O53"/>
  <c r="E45"/>
  <c r="E44"/>
  <c r="E47"/>
  <c r="D47"/>
  <c r="F29"/>
  <c r="O12"/>
  <c r="E21" i="25"/>
  <c r="D104" i="85" l="1"/>
  <c r="O90"/>
  <c r="N90"/>
  <c r="M90"/>
  <c r="L90"/>
  <c r="K90"/>
  <c r="J90"/>
  <c r="I90"/>
  <c r="H90"/>
  <c r="G90"/>
  <c r="F90"/>
  <c r="E94"/>
  <c r="E89"/>
  <c r="T68" i="61" l="1"/>
  <c r="S68"/>
  <c r="R68"/>
  <c r="Q68"/>
  <c r="P68"/>
  <c r="O68"/>
  <c r="N68"/>
  <c r="M68"/>
  <c r="L68"/>
  <c r="K68"/>
  <c r="J68"/>
  <c r="I68"/>
  <c r="H68"/>
  <c r="G68"/>
  <c r="F68"/>
  <c r="T98" i="36" l="1"/>
  <c r="S98"/>
  <c r="R98"/>
  <c r="Q98"/>
  <c r="P98"/>
  <c r="J57" i="43" l="1"/>
  <c r="J55"/>
  <c r="I57"/>
  <c r="I55"/>
  <c r="F278"/>
  <c r="F152"/>
  <c r="F153"/>
  <c r="H57"/>
  <c r="H55"/>
  <c r="T90" i="36"/>
  <c r="S90"/>
  <c r="R90"/>
  <c r="Q90"/>
  <c r="P90"/>
  <c r="D110" i="59" l="1"/>
  <c r="O12" i="31"/>
  <c r="E7"/>
  <c r="C47" i="84"/>
  <c r="O54" i="41"/>
  <c r="O46"/>
  <c r="G38" i="31" l="1"/>
  <c r="H38"/>
  <c r="F46" i="62" l="1"/>
  <c r="H33" s="1"/>
  <c r="G33"/>
  <c r="F48" i="49" l="1"/>
  <c r="G34"/>
  <c r="H34" s="1"/>
  <c r="I44" i="39"/>
  <c r="H44"/>
  <c r="G44"/>
  <c r="F44"/>
  <c r="D49" i="46"/>
  <c r="O46"/>
  <c r="F19"/>
  <c r="D54"/>
  <c r="O51"/>
  <c r="D17"/>
  <c r="O14"/>
  <c r="D9"/>
  <c r="O6"/>
  <c r="O379" i="43"/>
  <c r="N379"/>
  <c r="M379"/>
  <c r="L379"/>
  <c r="K379"/>
  <c r="J379"/>
  <c r="I379"/>
  <c r="H379"/>
  <c r="G379"/>
  <c r="F379"/>
  <c r="E413"/>
  <c r="F169"/>
  <c r="N378" s="1"/>
  <c r="F166"/>
  <c r="F160"/>
  <c r="G378" l="1"/>
  <c r="I378"/>
  <c r="K378"/>
  <c r="M378"/>
  <c r="O378"/>
  <c r="F378"/>
  <c r="H378"/>
  <c r="J378"/>
  <c r="L378"/>
  <c r="G109" i="79" l="1"/>
  <c r="G108"/>
  <c r="G107"/>
  <c r="H109" s="1"/>
  <c r="D268"/>
  <c r="E259"/>
  <c r="D259"/>
  <c r="F139"/>
  <c r="F248" s="1"/>
  <c r="F138"/>
  <c r="F255" s="1"/>
  <c r="H107" l="1"/>
  <c r="H108"/>
  <c r="E241"/>
  <c r="D241"/>
  <c r="I109" l="1"/>
  <c r="I108"/>
  <c r="I107"/>
  <c r="J109" l="1"/>
  <c r="J108"/>
  <c r="J107"/>
  <c r="K109" l="1"/>
  <c r="K108"/>
  <c r="K107"/>
  <c r="L109" l="1"/>
  <c r="L108"/>
  <c r="L107"/>
  <c r="M109" l="1"/>
  <c r="M108"/>
  <c r="M107"/>
  <c r="N109" l="1"/>
  <c r="N108"/>
  <c r="N107"/>
  <c r="E226" l="1"/>
  <c r="D226"/>
  <c r="N81"/>
  <c r="M81"/>
  <c r="L81"/>
  <c r="K81"/>
  <c r="J81"/>
  <c r="E214"/>
  <c r="E213"/>
  <c r="E210"/>
  <c r="E209"/>
  <c r="E208"/>
  <c r="D214"/>
  <c r="D213"/>
  <c r="F141" l="1"/>
  <c r="F125"/>
  <c r="I124"/>
  <c r="O73"/>
  <c r="N73"/>
  <c r="M73"/>
  <c r="L73"/>
  <c r="K73"/>
  <c r="J73"/>
  <c r="I73"/>
  <c r="H73"/>
  <c r="G73"/>
  <c r="F73"/>
  <c r="O65"/>
  <c r="N65"/>
  <c r="M65"/>
  <c r="L65"/>
  <c r="K65"/>
  <c r="J65"/>
  <c r="I65"/>
  <c r="H65"/>
  <c r="G65"/>
  <c r="F65"/>
  <c r="O57"/>
  <c r="N57"/>
  <c r="M57"/>
  <c r="L57"/>
  <c r="K57"/>
  <c r="J57"/>
  <c r="I57"/>
  <c r="H57"/>
  <c r="G57"/>
  <c r="F57"/>
  <c r="G30"/>
  <c r="H30" s="1"/>
  <c r="I30" s="1"/>
  <c r="J30" s="1"/>
  <c r="K30" s="1"/>
  <c r="L30" s="1"/>
  <c r="M30" s="1"/>
  <c r="N30" s="1"/>
  <c r="O30" s="1"/>
  <c r="G29"/>
  <c r="H29" s="1"/>
  <c r="I29" s="1"/>
  <c r="J29" s="1"/>
  <c r="K29" s="1"/>
  <c r="L29" s="1"/>
  <c r="M29" s="1"/>
  <c r="N29" s="1"/>
  <c r="O29" s="1"/>
  <c r="G23"/>
  <c r="H23" s="1"/>
  <c r="I23" s="1"/>
  <c r="J23" s="1"/>
  <c r="K23" s="1"/>
  <c r="L23" s="1"/>
  <c r="M23" s="1"/>
  <c r="N23" s="1"/>
  <c r="O23" s="1"/>
  <c r="G22"/>
  <c r="H22" s="1"/>
  <c r="I22" s="1"/>
  <c r="J22" s="1"/>
  <c r="K22" s="1"/>
  <c r="L22" s="1"/>
  <c r="M22" s="1"/>
  <c r="N22" s="1"/>
  <c r="O22" s="1"/>
  <c r="G16"/>
  <c r="H16" s="1"/>
  <c r="I16" s="1"/>
  <c r="J16" s="1"/>
  <c r="K16" s="1"/>
  <c r="L16" s="1"/>
  <c r="M16" s="1"/>
  <c r="N16" s="1"/>
  <c r="O16" s="1"/>
  <c r="G15"/>
  <c r="H15" s="1"/>
  <c r="I15" s="1"/>
  <c r="J15" s="1"/>
  <c r="K15" s="1"/>
  <c r="L15" s="1"/>
  <c r="M15" s="1"/>
  <c r="N15" s="1"/>
  <c r="O15" s="1"/>
  <c r="E410" i="43" l="1"/>
  <c r="E409"/>
  <c r="E408"/>
  <c r="D393"/>
  <c r="D392"/>
  <c r="D389"/>
  <c r="D390"/>
  <c r="C359"/>
  <c r="C358"/>
  <c r="C357"/>
  <c r="C356"/>
  <c r="E353"/>
  <c r="E352"/>
  <c r="E351"/>
  <c r="D208"/>
  <c r="D210"/>
  <c r="D209"/>
  <c r="D207"/>
  <c r="F211"/>
  <c r="F197"/>
  <c r="D391"/>
  <c r="D195"/>
  <c r="E336" l="1"/>
  <c r="E335"/>
  <c r="O283"/>
  <c r="F187"/>
  <c r="F371"/>
  <c r="F244" a="1"/>
  <c r="F244" s="1"/>
  <c r="N82"/>
  <c r="J82"/>
  <c r="N77"/>
  <c r="J77"/>
  <c r="I82"/>
  <c r="L82"/>
  <c r="H82"/>
  <c r="L77"/>
  <c r="H77"/>
  <c r="K82"/>
  <c r="G82"/>
  <c r="K77"/>
  <c r="G77"/>
  <c r="J63"/>
  <c r="J62"/>
  <c r="I63"/>
  <c r="I62"/>
  <c r="H63"/>
  <c r="H62"/>
  <c r="G63"/>
  <c r="G62"/>
  <c r="O218"/>
  <c r="F267" l="1" a="1"/>
  <c r="F267" s="1"/>
  <c r="F251"/>
  <c r="F247"/>
  <c r="F253"/>
  <c r="F249"/>
  <c r="F245"/>
  <c r="F252"/>
  <c r="F250"/>
  <c r="F248"/>
  <c r="F246"/>
  <c r="F268" l="1"/>
  <c r="E44" i="6" l="1"/>
  <c r="O16" i="43"/>
  <c r="AS41" i="60" l="1"/>
  <c r="BD42"/>
  <c r="BH42"/>
  <c r="AS42"/>
  <c r="BD43"/>
  <c r="D43"/>
  <c r="BD44"/>
  <c r="E8" i="94"/>
  <c r="D60"/>
  <c r="D59"/>
  <c r="O56"/>
  <c r="E51"/>
  <c r="O48"/>
  <c r="N48"/>
  <c r="M48"/>
  <c r="L48"/>
  <c r="K48"/>
  <c r="J48"/>
  <c r="I48"/>
  <c r="H48"/>
  <c r="G48"/>
  <c r="F48"/>
  <c r="E47"/>
  <c r="D39"/>
  <c r="O36"/>
  <c r="D30"/>
  <c r="O13"/>
  <c r="B2"/>
  <c r="B1"/>
  <c r="F39" l="1"/>
  <c r="F47" s="1"/>
  <c r="F49" s="1"/>
  <c r="O53" i="33"/>
  <c r="N53"/>
  <c r="M53"/>
  <c r="L53"/>
  <c r="K53"/>
  <c r="J53"/>
  <c r="I53"/>
  <c r="H53"/>
  <c r="G53"/>
  <c r="F53"/>
  <c r="E8" l="1"/>
  <c r="D44" l="1"/>
  <c r="O41"/>
  <c r="D33"/>
  <c r="O13"/>
  <c r="E59" i="81" l="1"/>
  <c r="E58"/>
  <c r="O53"/>
  <c r="N53"/>
  <c r="M53"/>
  <c r="L53"/>
  <c r="K53"/>
  <c r="J53"/>
  <c r="I53"/>
  <c r="H53"/>
  <c r="G53"/>
  <c r="F53"/>
  <c r="E55"/>
  <c r="E52"/>
  <c r="D43"/>
  <c r="O40"/>
  <c r="D30"/>
  <c r="O13" l="1"/>
  <c r="O50" i="87" l="1"/>
  <c r="N50"/>
  <c r="M50"/>
  <c r="L50"/>
  <c r="K50"/>
  <c r="J50"/>
  <c r="I50"/>
  <c r="H50"/>
  <c r="G50"/>
  <c r="F50"/>
  <c r="E52"/>
  <c r="E49"/>
  <c r="O13"/>
  <c r="D41"/>
  <c r="O38"/>
  <c r="D30"/>
  <c r="F85" i="37" l="1"/>
  <c r="F108" s="1"/>
  <c r="N49"/>
  <c r="M49"/>
  <c r="L49"/>
  <c r="K49"/>
  <c r="J49"/>
  <c r="I49"/>
  <c r="H49"/>
  <c r="N55"/>
  <c r="M55"/>
  <c r="L55"/>
  <c r="K55"/>
  <c r="J55"/>
  <c r="I55"/>
  <c r="H55"/>
  <c r="F92" l="1"/>
  <c r="F93" s="1"/>
  <c r="E92"/>
  <c r="O21" i="41"/>
  <c r="F94" i="37" l="1"/>
  <c r="E95" i="27"/>
  <c r="O170" i="79" l="1"/>
  <c r="O251" s="1"/>
  <c r="M170"/>
  <c r="M251" s="1"/>
  <c r="K170"/>
  <c r="K251" s="1"/>
  <c r="I170"/>
  <c r="I251" s="1"/>
  <c r="G170"/>
  <c r="G251" s="1"/>
  <c r="L170"/>
  <c r="L251" s="1"/>
  <c r="J170"/>
  <c r="J251" s="1"/>
  <c r="F170"/>
  <c r="F251" s="1"/>
  <c r="N170"/>
  <c r="N251" s="1"/>
  <c r="H170"/>
  <c r="H251" s="1"/>
  <c r="N234"/>
  <c r="L234"/>
  <c r="J234"/>
  <c r="H234"/>
  <c r="F234"/>
  <c r="O234"/>
  <c r="M234"/>
  <c r="K234"/>
  <c r="I234"/>
  <c r="G234"/>
  <c r="N233"/>
  <c r="L233"/>
  <c r="J233"/>
  <c r="H233"/>
  <c r="F233"/>
  <c r="O233"/>
  <c r="M233"/>
  <c r="K233"/>
  <c r="I233"/>
  <c r="G233"/>
  <c r="F176" a="1"/>
  <c r="F175" a="1"/>
  <c r="N169"/>
  <c r="L169"/>
  <c r="J169"/>
  <c r="H169"/>
  <c r="F169"/>
  <c r="O169"/>
  <c r="M169"/>
  <c r="K169"/>
  <c r="I169"/>
  <c r="G169"/>
  <c r="F167" a="1"/>
  <c r="F168" a="1"/>
  <c r="N162"/>
  <c r="N232" s="1"/>
  <c r="L162"/>
  <c r="L232" s="1"/>
  <c r="J162"/>
  <c r="J232" s="1"/>
  <c r="H162"/>
  <c r="H232" s="1"/>
  <c r="F162"/>
  <c r="F232" s="1"/>
  <c r="N161"/>
  <c r="N246" s="1"/>
  <c r="L161"/>
  <c r="L246" s="1"/>
  <c r="J161"/>
  <c r="J246" s="1"/>
  <c r="H161"/>
  <c r="H246" s="1"/>
  <c r="F161"/>
  <c r="F246" s="1"/>
  <c r="N160"/>
  <c r="L160"/>
  <c r="J160"/>
  <c r="H160"/>
  <c r="F160"/>
  <c r="N159"/>
  <c r="L159"/>
  <c r="J159"/>
  <c r="H159"/>
  <c r="F159"/>
  <c r="N158"/>
  <c r="L158"/>
  <c r="J158"/>
  <c r="H158"/>
  <c r="F158"/>
  <c r="O162"/>
  <c r="O232" s="1"/>
  <c r="M162"/>
  <c r="M232" s="1"/>
  <c r="K162"/>
  <c r="K232" s="1"/>
  <c r="I162"/>
  <c r="I232" s="1"/>
  <c r="G162"/>
  <c r="G232" s="1"/>
  <c r="O161"/>
  <c r="O246" s="1"/>
  <c r="M161"/>
  <c r="M246" s="1"/>
  <c r="K161"/>
  <c r="K246" s="1"/>
  <c r="I161"/>
  <c r="I246" s="1"/>
  <c r="G161"/>
  <c r="G246" s="1"/>
  <c r="O160"/>
  <c r="M160"/>
  <c r="K160"/>
  <c r="I160"/>
  <c r="G160"/>
  <c r="O159"/>
  <c r="M159"/>
  <c r="K159"/>
  <c r="I159"/>
  <c r="G159"/>
  <c r="O158"/>
  <c r="M158"/>
  <c r="K158"/>
  <c r="I158"/>
  <c r="G158"/>
  <c r="H269" i="47"/>
  <c r="J269"/>
  <c r="L269"/>
  <c r="N269"/>
  <c r="O268"/>
  <c r="O269" s="1"/>
  <c r="N268"/>
  <c r="M268"/>
  <c r="M269" s="1"/>
  <c r="L268"/>
  <c r="K268"/>
  <c r="K269" s="1"/>
  <c r="J268"/>
  <c r="I268"/>
  <c r="I269" s="1"/>
  <c r="H268"/>
  <c r="G268"/>
  <c r="G269" s="1"/>
  <c r="G235" i="79" l="1"/>
  <c r="I235"/>
  <c r="K235"/>
  <c r="M235"/>
  <c r="O235"/>
  <c r="F235"/>
  <c r="H235"/>
  <c r="J235"/>
  <c r="L235"/>
  <c r="N235"/>
  <c r="N252"/>
  <c r="N254" s="1"/>
  <c r="N256" s="1"/>
  <c r="J252"/>
  <c r="G252"/>
  <c r="G254" s="1"/>
  <c r="G256" s="1"/>
  <c r="K252"/>
  <c r="O252"/>
  <c r="O254" s="1"/>
  <c r="O256" s="1"/>
  <c r="H252"/>
  <c r="F252"/>
  <c r="F254" s="1"/>
  <c r="F256" s="1"/>
  <c r="L252"/>
  <c r="I252"/>
  <c r="I254" s="1"/>
  <c r="I256" s="1"/>
  <c r="M252"/>
  <c r="G249"/>
  <c r="G282" s="1"/>
  <c r="I249"/>
  <c r="I282" s="1"/>
  <c r="K249"/>
  <c r="K282" s="1"/>
  <c r="K254"/>
  <c r="K256" s="1"/>
  <c r="M249"/>
  <c r="M282" s="1"/>
  <c r="M254"/>
  <c r="M256" s="1"/>
  <c r="O249"/>
  <c r="O282" s="1"/>
  <c r="F249"/>
  <c r="F282" s="1"/>
  <c r="H249"/>
  <c r="H282" s="1"/>
  <c r="H254"/>
  <c r="H256" s="1"/>
  <c r="J249"/>
  <c r="J282" s="1"/>
  <c r="J254"/>
  <c r="J256" s="1"/>
  <c r="L249"/>
  <c r="L282" s="1"/>
  <c r="L254"/>
  <c r="L256" s="1"/>
  <c r="N249"/>
  <c r="N282" s="1"/>
  <c r="I237"/>
  <c r="I238" s="1"/>
  <c r="M237"/>
  <c r="M238" s="1"/>
  <c r="F237"/>
  <c r="F238" s="1"/>
  <c r="J237"/>
  <c r="J238" s="1"/>
  <c r="N237"/>
  <c r="N238" s="1"/>
  <c r="G237"/>
  <c r="G238" s="1"/>
  <c r="K237"/>
  <c r="K238" s="1"/>
  <c r="K281" s="1"/>
  <c r="O237"/>
  <c r="O238" s="1"/>
  <c r="H237"/>
  <c r="H238" s="1"/>
  <c r="H281" s="1"/>
  <c r="L237"/>
  <c r="L238" s="1"/>
  <c r="N176"/>
  <c r="N222" s="1"/>
  <c r="N223" s="1"/>
  <c r="G176"/>
  <c r="G222" s="1"/>
  <c r="G223" s="1"/>
  <c r="K176"/>
  <c r="O176"/>
  <c r="O222" s="1"/>
  <c r="O223" s="1"/>
  <c r="H176"/>
  <c r="H222" s="1"/>
  <c r="H223" s="1"/>
  <c r="L176"/>
  <c r="L222" s="1"/>
  <c r="L223" s="1"/>
  <c r="I176"/>
  <c r="M176"/>
  <c r="M222" s="1"/>
  <c r="M223" s="1"/>
  <c r="F176"/>
  <c r="F222" s="1"/>
  <c r="F223" s="1"/>
  <c r="J176"/>
  <c r="I222"/>
  <c r="I223" s="1"/>
  <c r="J222"/>
  <c r="J223" s="1"/>
  <c r="K222"/>
  <c r="K223" s="1"/>
  <c r="F175"/>
  <c r="F219" s="1"/>
  <c r="F220" s="1"/>
  <c r="H175"/>
  <c r="H219" s="1"/>
  <c r="H220" s="1"/>
  <c r="J175"/>
  <c r="J219" s="1"/>
  <c r="J220" s="1"/>
  <c r="L175"/>
  <c r="L219" s="1"/>
  <c r="L220" s="1"/>
  <c r="N175"/>
  <c r="N219" s="1"/>
  <c r="N220" s="1"/>
  <c r="G175"/>
  <c r="G219" s="1"/>
  <c r="G220" s="1"/>
  <c r="I175"/>
  <c r="I219" s="1"/>
  <c r="I220" s="1"/>
  <c r="K175"/>
  <c r="K219" s="1"/>
  <c r="K220" s="1"/>
  <c r="M175"/>
  <c r="M219" s="1"/>
  <c r="M220" s="1"/>
  <c r="O175"/>
  <c r="O219" s="1"/>
  <c r="O220" s="1" a="1"/>
  <c r="O220" s="1"/>
  <c r="G201"/>
  <c r="O201"/>
  <c r="O202" s="1" a="1"/>
  <c r="L201"/>
  <c r="I201"/>
  <c r="M201"/>
  <c r="F201"/>
  <c r="J201"/>
  <c r="J202" s="1" a="1"/>
  <c r="N201"/>
  <c r="K201"/>
  <c r="H201"/>
  <c r="H202" s="1" a="1"/>
  <c r="G167"/>
  <c r="G189" s="1"/>
  <c r="G190" s="1" a="1"/>
  <c r="I167"/>
  <c r="I189" s="1"/>
  <c r="I190" s="1" a="1"/>
  <c r="K167"/>
  <c r="K189" s="1"/>
  <c r="K190" s="1" a="1"/>
  <c r="M167"/>
  <c r="M189" s="1"/>
  <c r="M190" s="1" a="1"/>
  <c r="O167"/>
  <c r="J167"/>
  <c r="J189" s="1"/>
  <c r="J190" s="1" a="1"/>
  <c r="N167"/>
  <c r="N189" s="1"/>
  <c r="N190" s="1" a="1"/>
  <c r="F167"/>
  <c r="F189" s="1"/>
  <c r="F190" s="1" a="1"/>
  <c r="H167"/>
  <c r="H189" s="1"/>
  <c r="H190" s="1" a="1"/>
  <c r="L167"/>
  <c r="L189" s="1"/>
  <c r="L190" s="1" a="1"/>
  <c r="N168"/>
  <c r="N195" s="1"/>
  <c r="N196" s="1" a="1"/>
  <c r="L168"/>
  <c r="L195" s="1"/>
  <c r="L196" s="1" a="1"/>
  <c r="J168"/>
  <c r="J195" s="1"/>
  <c r="J196" s="1" a="1"/>
  <c r="H168"/>
  <c r="H195" s="1"/>
  <c r="H196" s="1" a="1"/>
  <c r="F168"/>
  <c r="F195" s="1"/>
  <c r="F196" s="1" a="1"/>
  <c r="O168"/>
  <c r="O195" s="1"/>
  <c r="O196" s="1" a="1"/>
  <c r="K168"/>
  <c r="K195" s="1"/>
  <c r="K196" s="1" a="1"/>
  <c r="I168"/>
  <c r="I195" s="1"/>
  <c r="I196" s="1" a="1"/>
  <c r="M168"/>
  <c r="M195" s="1"/>
  <c r="M196" s="1" a="1"/>
  <c r="G168"/>
  <c r="G195" s="1"/>
  <c r="G196" s="1" a="1"/>
  <c r="F55" i="6"/>
  <c r="L281" i="79" l="1"/>
  <c r="J281"/>
  <c r="M281"/>
  <c r="F281"/>
  <c r="O281"/>
  <c r="G281"/>
  <c r="N281"/>
  <c r="I281"/>
  <c r="O189"/>
  <c r="H203"/>
  <c r="H202"/>
  <c r="O203"/>
  <c r="O202"/>
  <c r="J203"/>
  <c r="J202"/>
  <c r="K202" a="1"/>
  <c r="N202" a="1"/>
  <c r="N205" s="1"/>
  <c r="F202" a="1"/>
  <c r="M202" a="1"/>
  <c r="M204" s="1"/>
  <c r="I202" a="1"/>
  <c r="L202" a="1"/>
  <c r="L205" s="1"/>
  <c r="G202" a="1"/>
  <c r="G205" s="1"/>
  <c r="H205"/>
  <c r="J205"/>
  <c r="O204"/>
  <c r="H204"/>
  <c r="O205"/>
  <c r="J204"/>
  <c r="M196"/>
  <c r="M199"/>
  <c r="F198"/>
  <c r="F196"/>
  <c r="J197"/>
  <c r="J199"/>
  <c r="N198"/>
  <c r="N197"/>
  <c r="N193"/>
  <c r="N190"/>
  <c r="K192"/>
  <c r="K191"/>
  <c r="G192"/>
  <c r="G191"/>
  <c r="H193"/>
  <c r="H190"/>
  <c r="H191"/>
  <c r="K196"/>
  <c r="K198"/>
  <c r="K197"/>
  <c r="K190"/>
  <c r="N191"/>
  <c r="G190"/>
  <c r="N199"/>
  <c r="J196"/>
  <c r="F199"/>
  <c r="M198"/>
  <c r="G197"/>
  <c r="G196"/>
  <c r="G199"/>
  <c r="G198"/>
  <c r="I198"/>
  <c r="I196"/>
  <c r="I199"/>
  <c r="I197"/>
  <c r="O198"/>
  <c r="O196"/>
  <c r="O199"/>
  <c r="O197"/>
  <c r="H197"/>
  <c r="H199"/>
  <c r="H196"/>
  <c r="H198"/>
  <c r="L198"/>
  <c r="L199"/>
  <c r="L197"/>
  <c r="L196"/>
  <c r="L190"/>
  <c r="L193"/>
  <c r="L192"/>
  <c r="L191"/>
  <c r="F190"/>
  <c r="F191"/>
  <c r="F192"/>
  <c r="F193"/>
  <c r="J190"/>
  <c r="J193"/>
  <c r="J192"/>
  <c r="J191"/>
  <c r="M191"/>
  <c r="M192"/>
  <c r="M193"/>
  <c r="M190"/>
  <c r="I190"/>
  <c r="I192"/>
  <c r="I191"/>
  <c r="I193"/>
  <c r="H192"/>
  <c r="K193"/>
  <c r="N192"/>
  <c r="G193"/>
  <c r="N196"/>
  <c r="J198"/>
  <c r="F197"/>
  <c r="K199"/>
  <c r="M197"/>
  <c r="E259" i="47"/>
  <c r="BH44" i="60" s="1"/>
  <c r="F242" i="47"/>
  <c r="E246"/>
  <c r="E245"/>
  <c r="E238"/>
  <c r="E258" s="1"/>
  <c r="BH43" i="60" s="1"/>
  <c r="E237" i="47"/>
  <c r="E235"/>
  <c r="E234"/>
  <c r="E236"/>
  <c r="O265"/>
  <c r="D268"/>
  <c r="D181"/>
  <c r="D180"/>
  <c r="D179"/>
  <c r="D178"/>
  <c r="O195"/>
  <c r="O186"/>
  <c r="O174"/>
  <c r="D167"/>
  <c r="D168"/>
  <c r="D169"/>
  <c r="D166"/>
  <c r="O162"/>
  <c r="O152"/>
  <c r="O144"/>
  <c r="O133"/>
  <c r="F54" i="6"/>
  <c r="B55"/>
  <c r="O124" i="47"/>
  <c r="B54" i="6"/>
  <c r="B53"/>
  <c r="F53"/>
  <c r="F37"/>
  <c r="F36" s="1"/>
  <c r="J99" i="47"/>
  <c r="I99"/>
  <c r="M205" i="79" l="1"/>
  <c r="N204"/>
  <c r="O190" a="1"/>
  <c r="O192" s="1"/>
  <c r="O193"/>
  <c r="L204"/>
  <c r="G202"/>
  <c r="G203"/>
  <c r="I202"/>
  <c r="I203"/>
  <c r="F202"/>
  <c r="F205"/>
  <c r="K202"/>
  <c r="K203"/>
  <c r="L202"/>
  <c r="L203"/>
  <c r="M202"/>
  <c r="M203"/>
  <c r="N202"/>
  <c r="N203"/>
  <c r="I205"/>
  <c r="F204"/>
  <c r="K205"/>
  <c r="G204"/>
  <c r="I204"/>
  <c r="F203"/>
  <c r="K204"/>
  <c r="F35" i="6"/>
  <c r="H76" i="47"/>
  <c r="G76"/>
  <c r="H75"/>
  <c r="G75"/>
  <c r="H74"/>
  <c r="G74"/>
  <c r="O54"/>
  <c r="O46"/>
  <c r="O38"/>
  <c r="O20"/>
  <c r="O13"/>
  <c r="O28"/>
  <c r="E8"/>
  <c r="O190" i="79" l="1"/>
  <c r="O191"/>
  <c r="O25" i="93"/>
  <c r="N25"/>
  <c r="M25"/>
  <c r="L25"/>
  <c r="K25"/>
  <c r="J25"/>
  <c r="I25"/>
  <c r="H25"/>
  <c r="G25"/>
  <c r="F25"/>
  <c r="DH44" i="29"/>
  <c r="BL44"/>
  <c r="DH44" i="70"/>
  <c r="BL44"/>
  <c r="DH44" i="71"/>
  <c r="BL44"/>
  <c r="DH44" i="72"/>
  <c r="BL44"/>
  <c r="DH44" i="73"/>
  <c r="BL44"/>
  <c r="DH44" i="74"/>
  <c r="BL44"/>
  <c r="DH44" i="75"/>
  <c r="BL44"/>
  <c r="DH44" i="76"/>
  <c r="BL44"/>
  <c r="DH44" i="77"/>
  <c r="BL44"/>
  <c r="DH44" i="78"/>
  <c r="BL44"/>
  <c r="D37" i="93"/>
  <c r="D36"/>
  <c r="D35"/>
  <c r="O32"/>
  <c r="E24"/>
  <c r="D9" l="1"/>
  <c r="O6"/>
  <c r="B2"/>
  <c r="B1"/>
  <c r="E116" i="41"/>
  <c r="E115"/>
  <c r="D82"/>
  <c r="F39" i="40" l="1"/>
  <c r="G39" s="1"/>
  <c r="H39" s="1"/>
  <c r="I39" s="1"/>
  <c r="J39" s="1"/>
  <c r="D325"/>
  <c r="O288"/>
  <c r="G287"/>
  <c r="F182" a="1"/>
  <c r="F182" s="1"/>
  <c r="O205"/>
  <c r="O197"/>
  <c r="O187"/>
  <c r="O222"/>
  <c r="N222"/>
  <c r="M222"/>
  <c r="L222"/>
  <c r="K222"/>
  <c r="J222"/>
  <c r="I222"/>
  <c r="H222"/>
  <c r="G222"/>
  <c r="F222"/>
  <c r="O98"/>
  <c r="N98"/>
  <c r="M98"/>
  <c r="L98"/>
  <c r="K98"/>
  <c r="J98"/>
  <c r="I98"/>
  <c r="H98"/>
  <c r="G98"/>
  <c r="O96"/>
  <c r="N96"/>
  <c r="M96"/>
  <c r="L96"/>
  <c r="K96"/>
  <c r="J96"/>
  <c r="I96"/>
  <c r="H96"/>
  <c r="G96"/>
  <c r="F96"/>
  <c r="O84"/>
  <c r="N84"/>
  <c r="M84"/>
  <c r="L84"/>
  <c r="K84"/>
  <c r="J84"/>
  <c r="I84"/>
  <c r="H84"/>
  <c r="G84"/>
  <c r="O82"/>
  <c r="N82"/>
  <c r="M82"/>
  <c r="L82"/>
  <c r="K82"/>
  <c r="J82"/>
  <c r="I82"/>
  <c r="H82"/>
  <c r="G82"/>
  <c r="F82"/>
  <c r="O70"/>
  <c r="N70"/>
  <c r="M70"/>
  <c r="L70"/>
  <c r="K70"/>
  <c r="J70"/>
  <c r="I70"/>
  <c r="H70"/>
  <c r="G70"/>
  <c r="O68"/>
  <c r="N68"/>
  <c r="M68"/>
  <c r="L68"/>
  <c r="K68"/>
  <c r="J68"/>
  <c r="I68"/>
  <c r="H68"/>
  <c r="G68"/>
  <c r="F68"/>
  <c r="G56"/>
  <c r="H56"/>
  <c r="I56"/>
  <c r="J56"/>
  <c r="K56"/>
  <c r="L56"/>
  <c r="M56"/>
  <c r="N56"/>
  <c r="O56"/>
  <c r="O54"/>
  <c r="N54"/>
  <c r="M54"/>
  <c r="L54"/>
  <c r="K54"/>
  <c r="J54"/>
  <c r="I54"/>
  <c r="H54"/>
  <c r="G54"/>
  <c r="F54"/>
  <c r="J36"/>
  <c r="I36"/>
  <c r="H36"/>
  <c r="G36"/>
  <c r="G37"/>
  <c r="F185" l="1"/>
  <c r="F183"/>
  <c r="F184"/>
  <c r="O131" l="1"/>
  <c r="O113"/>
  <c r="O123"/>
  <c r="F42" i="6" l="1"/>
  <c r="F44" s="1"/>
  <c r="N50" i="43" l="1"/>
  <c r="L50"/>
  <c r="J50"/>
  <c r="H50"/>
  <c r="O49"/>
  <c r="M49"/>
  <c r="K49"/>
  <c r="I49"/>
  <c r="G49"/>
  <c r="N48"/>
  <c r="L48"/>
  <c r="J48"/>
  <c r="H48"/>
  <c r="O47"/>
  <c r="M47"/>
  <c r="K47"/>
  <c r="I47"/>
  <c r="G47"/>
  <c r="N46"/>
  <c r="L46"/>
  <c r="J46"/>
  <c r="H46"/>
  <c r="O45"/>
  <c r="M45"/>
  <c r="K45"/>
  <c r="I45"/>
  <c r="G45"/>
  <c r="N44"/>
  <c r="L44"/>
  <c r="J44"/>
  <c r="H44"/>
  <c r="O43"/>
  <c r="M43"/>
  <c r="K43"/>
  <c r="I43"/>
  <c r="G43"/>
  <c r="N42"/>
  <c r="L42"/>
  <c r="J42"/>
  <c r="H42"/>
  <c r="O41"/>
  <c r="M41"/>
  <c r="K41"/>
  <c r="I41"/>
  <c r="G41"/>
  <c r="N40"/>
  <c r="L40"/>
  <c r="J40"/>
  <c r="H40"/>
  <c r="O39"/>
  <c r="M39"/>
  <c r="K39"/>
  <c r="I39"/>
  <c r="G39"/>
  <c r="N38"/>
  <c r="L38"/>
  <c r="J38"/>
  <c r="H38"/>
  <c r="O37"/>
  <c r="M37"/>
  <c r="K37"/>
  <c r="I37"/>
  <c r="G37"/>
  <c r="N36"/>
  <c r="L36"/>
  <c r="J36"/>
  <c r="H36"/>
  <c r="O35"/>
  <c r="M35"/>
  <c r="K35"/>
  <c r="I35"/>
  <c r="G35"/>
  <c r="N34"/>
  <c r="L34"/>
  <c r="J34"/>
  <c r="H34"/>
  <c r="O33"/>
  <c r="M33"/>
  <c r="K33"/>
  <c r="I33"/>
  <c r="G33"/>
  <c r="N32"/>
  <c r="L32"/>
  <c r="J32"/>
  <c r="H32"/>
  <c r="O31"/>
  <c r="M31"/>
  <c r="K31"/>
  <c r="I31"/>
  <c r="G31"/>
  <c r="N30"/>
  <c r="L30"/>
  <c r="J30"/>
  <c r="H30"/>
  <c r="O29"/>
  <c r="M29"/>
  <c r="K29"/>
  <c r="I29"/>
  <c r="G29"/>
  <c r="N28"/>
  <c r="L28"/>
  <c r="J28"/>
  <c r="H28"/>
  <c r="O27"/>
  <c r="M27"/>
  <c r="K27"/>
  <c r="I27"/>
  <c r="G27"/>
  <c r="F49"/>
  <c r="F47"/>
  <c r="F45"/>
  <c r="F43"/>
  <c r="F41"/>
  <c r="F39"/>
  <c r="F37"/>
  <c r="F35"/>
  <c r="F33"/>
  <c r="F31"/>
  <c r="F29"/>
  <c r="F27"/>
  <c r="N26"/>
  <c r="L26"/>
  <c r="J26"/>
  <c r="H26"/>
  <c r="O25"/>
  <c r="M25"/>
  <c r="K25"/>
  <c r="I25"/>
  <c r="G25"/>
  <c r="N24"/>
  <c r="L24"/>
  <c r="J24"/>
  <c r="H24"/>
  <c r="O23"/>
  <c r="M23"/>
  <c r="K23"/>
  <c r="I23"/>
  <c r="G23"/>
  <c r="N22"/>
  <c r="L22"/>
  <c r="J22"/>
  <c r="H22"/>
  <c r="O21"/>
  <c r="M21"/>
  <c r="K21"/>
  <c r="I21"/>
  <c r="G21"/>
  <c r="N20"/>
  <c r="L20"/>
  <c r="J20"/>
  <c r="H20"/>
  <c r="O19"/>
  <c r="M19"/>
  <c r="K19"/>
  <c r="I19"/>
  <c r="G19"/>
  <c r="F25"/>
  <c r="F23"/>
  <c r="F164" s="1"/>
  <c r="F21"/>
  <c r="F19"/>
  <c r="K22"/>
  <c r="N21"/>
  <c r="J21"/>
  <c r="O20"/>
  <c r="K20"/>
  <c r="I20"/>
  <c r="N19"/>
  <c r="J19"/>
  <c r="F26"/>
  <c r="F22"/>
  <c r="O50"/>
  <c r="M50"/>
  <c r="K50"/>
  <c r="I50"/>
  <c r="G50"/>
  <c r="N49"/>
  <c r="L49"/>
  <c r="J49"/>
  <c r="H49"/>
  <c r="O48"/>
  <c r="M48"/>
  <c r="K48"/>
  <c r="I48"/>
  <c r="G48"/>
  <c r="N47"/>
  <c r="L47"/>
  <c r="J47"/>
  <c r="H47"/>
  <c r="O46"/>
  <c r="M46"/>
  <c r="K46"/>
  <c r="I46"/>
  <c r="G46"/>
  <c r="N45"/>
  <c r="L45"/>
  <c r="J45"/>
  <c r="H45"/>
  <c r="O44"/>
  <c r="M44"/>
  <c r="K44"/>
  <c r="I44"/>
  <c r="G44"/>
  <c r="N43"/>
  <c r="L43"/>
  <c r="J43"/>
  <c r="H43"/>
  <c r="O42"/>
  <c r="M42"/>
  <c r="K42"/>
  <c r="I42"/>
  <c r="G42"/>
  <c r="N41"/>
  <c r="L41"/>
  <c r="J41"/>
  <c r="H41"/>
  <c r="O40"/>
  <c r="M40"/>
  <c r="K40"/>
  <c r="I40"/>
  <c r="G40"/>
  <c r="N39"/>
  <c r="L39"/>
  <c r="J39"/>
  <c r="H39"/>
  <c r="O38"/>
  <c r="M38"/>
  <c r="K38"/>
  <c r="I38"/>
  <c r="G38"/>
  <c r="N37"/>
  <c r="L37"/>
  <c r="J37"/>
  <c r="H37"/>
  <c r="O36"/>
  <c r="M36"/>
  <c r="K36"/>
  <c r="I36"/>
  <c r="G36"/>
  <c r="N35"/>
  <c r="L35"/>
  <c r="J35"/>
  <c r="H35"/>
  <c r="O34"/>
  <c r="M34"/>
  <c r="K34"/>
  <c r="I34"/>
  <c r="G34"/>
  <c r="N33"/>
  <c r="L33"/>
  <c r="J33"/>
  <c r="H33"/>
  <c r="O32"/>
  <c r="M32"/>
  <c r="K32"/>
  <c r="I32"/>
  <c r="G32"/>
  <c r="N31"/>
  <c r="L31"/>
  <c r="J31"/>
  <c r="H31"/>
  <c r="O30"/>
  <c r="M30"/>
  <c r="K30"/>
  <c r="I30"/>
  <c r="G30"/>
  <c r="N29"/>
  <c r="L29"/>
  <c r="J29"/>
  <c r="H29"/>
  <c r="O28"/>
  <c r="M28"/>
  <c r="K28"/>
  <c r="I28"/>
  <c r="G28"/>
  <c r="N27"/>
  <c r="L27"/>
  <c r="J27"/>
  <c r="H27"/>
  <c r="F50"/>
  <c r="F48"/>
  <c r="F46"/>
  <c r="F44"/>
  <c r="F42"/>
  <c r="F40"/>
  <c r="F38"/>
  <c r="F36"/>
  <c r="F34"/>
  <c r="F32"/>
  <c r="F30"/>
  <c r="F28"/>
  <c r="O26"/>
  <c r="M26"/>
  <c r="K26"/>
  <c r="I26"/>
  <c r="G26"/>
  <c r="N25"/>
  <c r="L25"/>
  <c r="J25"/>
  <c r="H25"/>
  <c r="O24"/>
  <c r="M24"/>
  <c r="K24"/>
  <c r="I24"/>
  <c r="G24"/>
  <c r="N23"/>
  <c r="L23"/>
  <c r="J23"/>
  <c r="H23"/>
  <c r="O22"/>
  <c r="M22"/>
  <c r="I22"/>
  <c r="G22"/>
  <c r="L21"/>
  <c r="H21"/>
  <c r="M20"/>
  <c r="G20"/>
  <c r="L19"/>
  <c r="H19"/>
  <c r="F24"/>
  <c r="F20"/>
  <c r="E43" i="6"/>
  <c r="F43" s="1"/>
  <c r="E46"/>
  <c r="E40" i="13"/>
  <c r="B40"/>
  <c r="E39"/>
  <c r="B39"/>
  <c r="B38"/>
  <c r="B33"/>
  <c r="B32"/>
  <c r="B31"/>
  <c r="B30"/>
  <c r="B29"/>
  <c r="B25"/>
  <c r="B24"/>
  <c r="B21"/>
  <c r="B20"/>
  <c r="B19"/>
  <c r="B18"/>
  <c r="B17"/>
  <c r="B16"/>
  <c r="E15"/>
  <c r="B15"/>
  <c r="E14"/>
  <c r="B14"/>
  <c r="E13"/>
  <c r="B13"/>
  <c r="E12"/>
  <c r="B12"/>
  <c r="E11"/>
  <c r="B11"/>
  <c r="E10"/>
  <c r="E9"/>
  <c r="B9"/>
  <c r="B8"/>
  <c r="B7"/>
  <c r="AK194" i="16"/>
  <c r="AJ194"/>
  <c r="AI194"/>
  <c r="AH194"/>
  <c r="AG194"/>
  <c r="AF194"/>
  <c r="J98" i="68"/>
  <c r="H98"/>
  <c r="G98"/>
  <c r="H86"/>
  <c r="G86"/>
  <c r="I42"/>
  <c r="H22"/>
  <c r="G22"/>
  <c r="C34" i="12"/>
  <c r="C33"/>
  <c r="C18"/>
  <c r="C11"/>
  <c r="C5"/>
  <c r="H2"/>
  <c r="D11" i="35"/>
  <c r="D12" s="1"/>
  <c r="D13" s="1"/>
  <c r="D14" s="1"/>
  <c r="E7"/>
  <c r="E8" s="1"/>
  <c r="E9" s="1"/>
  <c r="E10" s="1"/>
  <c r="E11" s="1"/>
  <c r="E12" s="1"/>
  <c r="E13" s="1"/>
  <c r="E14" s="1"/>
  <c r="E6"/>
  <c r="C50" i="65"/>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G2"/>
  <c r="F25" i="6"/>
  <c r="F28" s="1"/>
  <c r="E20"/>
  <c r="E17"/>
  <c r="E14"/>
  <c r="E15" s="1"/>
  <c r="E13"/>
  <c r="E12"/>
  <c r="E11"/>
  <c r="E10"/>
  <c r="E9"/>
  <c r="E7"/>
  <c r="E6"/>
  <c r="E5"/>
  <c r="F4"/>
  <c r="D40" i="83"/>
  <c r="D39"/>
  <c r="D38"/>
  <c r="O35"/>
  <c r="F190" i="43" l="1"/>
  <c r="O45" i="86"/>
  <c r="M45"/>
  <c r="K45"/>
  <c r="I45"/>
  <c r="G45"/>
  <c r="L18"/>
  <c r="O17"/>
  <c r="K17"/>
  <c r="N16"/>
  <c r="J16"/>
  <c r="N45"/>
  <c r="L45"/>
  <c r="J45"/>
  <c r="H45"/>
  <c r="F45"/>
  <c r="O18"/>
  <c r="M18"/>
  <c r="K18"/>
  <c r="I18"/>
  <c r="N17"/>
  <c r="L17"/>
  <c r="J17"/>
  <c r="O16"/>
  <c r="M16"/>
  <c r="K16"/>
  <c r="I16"/>
  <c r="N18"/>
  <c r="J18"/>
  <c r="M17"/>
  <c r="I17"/>
  <c r="L16"/>
  <c r="F163" i="43"/>
  <c r="G23" i="68"/>
  <c r="F45" i="6"/>
  <c r="K4"/>
  <c r="F46"/>
  <c r="E48"/>
  <c r="F48" s="1"/>
  <c r="F47"/>
  <c r="F7" i="24" s="1"/>
  <c r="F27" i="6"/>
  <c r="F19"/>
  <c r="F20"/>
  <c r="F5"/>
  <c r="F32" i="86" s="1"/>
  <c r="F46" s="1"/>
  <c r="F6" i="6"/>
  <c r="F7"/>
  <c r="F9"/>
  <c r="C23" i="12" s="1"/>
  <c r="F10" i="6"/>
  <c r="F11"/>
  <c r="F12"/>
  <c r="F13"/>
  <c r="F14"/>
  <c r="F17"/>
  <c r="F9" i="12" s="1"/>
  <c r="D45" i="65" s="1"/>
  <c r="F29" i="6"/>
  <c r="C24" i="12"/>
  <c r="F8" i="6"/>
  <c r="C19" i="12"/>
  <c r="O27" i="83"/>
  <c r="N27"/>
  <c r="M27"/>
  <c r="L27"/>
  <c r="K27"/>
  <c r="J27"/>
  <c r="I27"/>
  <c r="H27"/>
  <c r="G27"/>
  <c r="F27"/>
  <c r="O18" i="31" l="1"/>
  <c r="K18"/>
  <c r="M18"/>
  <c r="I18"/>
  <c r="F71" i="36"/>
  <c r="F69"/>
  <c r="N56"/>
  <c r="L56"/>
  <c r="J56"/>
  <c r="H56"/>
  <c r="O55"/>
  <c r="M55"/>
  <c r="K55"/>
  <c r="I55"/>
  <c r="G55"/>
  <c r="N54"/>
  <c r="L54"/>
  <c r="J54"/>
  <c r="H54"/>
  <c r="O53"/>
  <c r="M53"/>
  <c r="K53"/>
  <c r="I53"/>
  <c r="G53"/>
  <c r="F72"/>
  <c r="F70"/>
  <c r="O56"/>
  <c r="M56"/>
  <c r="K56"/>
  <c r="I56"/>
  <c r="G56"/>
  <c r="N55"/>
  <c r="L55"/>
  <c r="J55"/>
  <c r="H55"/>
  <c r="O54"/>
  <c r="M54"/>
  <c r="K54"/>
  <c r="I54"/>
  <c r="G54"/>
  <c r="N53"/>
  <c r="L53"/>
  <c r="J53"/>
  <c r="H53"/>
  <c r="L21" i="49"/>
  <c r="L19"/>
  <c r="O18"/>
  <c r="K18"/>
  <c r="G18"/>
  <c r="O21"/>
  <c r="M21"/>
  <c r="K21"/>
  <c r="I21"/>
  <c r="G21"/>
  <c r="N20"/>
  <c r="L20"/>
  <c r="J20"/>
  <c r="H20"/>
  <c r="O19"/>
  <c r="M19"/>
  <c r="K19"/>
  <c r="I19"/>
  <c r="G19"/>
  <c r="N18"/>
  <c r="L18"/>
  <c r="J18"/>
  <c r="H18"/>
  <c r="N21"/>
  <c r="J21"/>
  <c r="H21"/>
  <c r="O20"/>
  <c r="M20"/>
  <c r="K20"/>
  <c r="I20"/>
  <c r="G20"/>
  <c r="N19"/>
  <c r="J19"/>
  <c r="H19"/>
  <c r="M18"/>
  <c r="I18"/>
  <c r="N50" i="61"/>
  <c r="L50"/>
  <c r="J50"/>
  <c r="H50"/>
  <c r="F50"/>
  <c r="N49"/>
  <c r="L49"/>
  <c r="J49"/>
  <c r="H49"/>
  <c r="F49"/>
  <c r="N48"/>
  <c r="L48"/>
  <c r="J48"/>
  <c r="H48"/>
  <c r="F48"/>
  <c r="N47"/>
  <c r="L47"/>
  <c r="J47"/>
  <c r="H47"/>
  <c r="F47"/>
  <c r="N42"/>
  <c r="L42"/>
  <c r="J42"/>
  <c r="H42"/>
  <c r="F42"/>
  <c r="N41"/>
  <c r="L41"/>
  <c r="J41"/>
  <c r="H41"/>
  <c r="F41"/>
  <c r="N40"/>
  <c r="L40"/>
  <c r="J40"/>
  <c r="H40"/>
  <c r="F40"/>
  <c r="N39"/>
  <c r="L39"/>
  <c r="J39"/>
  <c r="H39"/>
  <c r="F39"/>
  <c r="N34"/>
  <c r="L34"/>
  <c r="J34"/>
  <c r="H34"/>
  <c r="O33"/>
  <c r="M33"/>
  <c r="K33"/>
  <c r="I33"/>
  <c r="G33"/>
  <c r="N32"/>
  <c r="L32"/>
  <c r="J32"/>
  <c r="H32"/>
  <c r="O31"/>
  <c r="M31"/>
  <c r="K31"/>
  <c r="I31"/>
  <c r="G31"/>
  <c r="F34"/>
  <c r="O50"/>
  <c r="M50"/>
  <c r="K50"/>
  <c r="I50"/>
  <c r="G50"/>
  <c r="O49"/>
  <c r="M49"/>
  <c r="K49"/>
  <c r="I49"/>
  <c r="G49"/>
  <c r="O48"/>
  <c r="M48"/>
  <c r="K48"/>
  <c r="I48"/>
  <c r="G48"/>
  <c r="O47"/>
  <c r="M47"/>
  <c r="K47"/>
  <c r="I47"/>
  <c r="G47"/>
  <c r="O42"/>
  <c r="M42"/>
  <c r="K42"/>
  <c r="I42"/>
  <c r="G42"/>
  <c r="O41"/>
  <c r="M41"/>
  <c r="K41"/>
  <c r="I41"/>
  <c r="G41"/>
  <c r="O40"/>
  <c r="M40"/>
  <c r="K40"/>
  <c r="I40"/>
  <c r="G40"/>
  <c r="O39"/>
  <c r="M39"/>
  <c r="K39"/>
  <c r="I39"/>
  <c r="G39"/>
  <c r="O34"/>
  <c r="M34"/>
  <c r="K34"/>
  <c r="I34"/>
  <c r="G34"/>
  <c r="N33"/>
  <c r="L33"/>
  <c r="J33"/>
  <c r="H33"/>
  <c r="O32"/>
  <c r="M32"/>
  <c r="K32"/>
  <c r="I32"/>
  <c r="G32"/>
  <c r="N31"/>
  <c r="L31"/>
  <c r="J31"/>
  <c r="H31"/>
  <c r="F31"/>
  <c r="F33"/>
  <c r="F32"/>
  <c r="F56" i="36"/>
  <c r="F55"/>
  <c r="F54"/>
  <c r="F53"/>
  <c r="J129" i="40"/>
  <c r="N129"/>
  <c r="H129"/>
  <c r="L129"/>
  <c r="M128"/>
  <c r="I128"/>
  <c r="O119"/>
  <c r="K119"/>
  <c r="G119"/>
  <c r="M118"/>
  <c r="I118"/>
  <c r="O134"/>
  <c r="M134"/>
  <c r="K134"/>
  <c r="I134"/>
  <c r="G134"/>
  <c r="N127"/>
  <c r="L127"/>
  <c r="J127"/>
  <c r="H127"/>
  <c r="O126"/>
  <c r="M126"/>
  <c r="K126"/>
  <c r="I126"/>
  <c r="G126"/>
  <c r="N117"/>
  <c r="L117"/>
  <c r="J117"/>
  <c r="H117"/>
  <c r="O116"/>
  <c r="M116"/>
  <c r="K116"/>
  <c r="I116"/>
  <c r="G116"/>
  <c r="O128"/>
  <c r="K128"/>
  <c r="L128" s="1"/>
  <c r="G128"/>
  <c r="M119"/>
  <c r="N119" s="1"/>
  <c r="I119"/>
  <c r="O118"/>
  <c r="K118"/>
  <c r="G118"/>
  <c r="H118" s="1"/>
  <c r="N134"/>
  <c r="L134"/>
  <c r="J134"/>
  <c r="H134"/>
  <c r="O127"/>
  <c r="M127"/>
  <c r="K127"/>
  <c r="I127"/>
  <c r="G127"/>
  <c r="N126"/>
  <c r="L126"/>
  <c r="J126"/>
  <c r="H126"/>
  <c r="O117"/>
  <c r="M117"/>
  <c r="K117"/>
  <c r="I117"/>
  <c r="G117"/>
  <c r="N116"/>
  <c r="L116"/>
  <c r="J116"/>
  <c r="H116"/>
  <c r="M52" i="41"/>
  <c r="I52"/>
  <c r="O51"/>
  <c r="K51"/>
  <c r="G51"/>
  <c r="M50"/>
  <c r="I50"/>
  <c r="O49"/>
  <c r="K49"/>
  <c r="G49"/>
  <c r="H49" s="1"/>
  <c r="O50"/>
  <c r="G50"/>
  <c r="H50" s="1"/>
  <c r="I49"/>
  <c r="J49" s="1"/>
  <c r="O52"/>
  <c r="K52"/>
  <c r="G52"/>
  <c r="M51"/>
  <c r="N51" s="1"/>
  <c r="I51"/>
  <c r="J51" s="1"/>
  <c r="K50"/>
  <c r="M49"/>
  <c r="N49" s="1"/>
  <c r="N28" i="62"/>
  <c r="L28"/>
  <c r="J28"/>
  <c r="H28"/>
  <c r="F28"/>
  <c r="N27"/>
  <c r="L27"/>
  <c r="J27"/>
  <c r="H27"/>
  <c r="F27"/>
  <c r="N26"/>
  <c r="L26"/>
  <c r="J26"/>
  <c r="H26"/>
  <c r="F26"/>
  <c r="N25"/>
  <c r="L25"/>
  <c r="J25"/>
  <c r="H25"/>
  <c r="F25"/>
  <c r="N20"/>
  <c r="L20"/>
  <c r="J20"/>
  <c r="H20"/>
  <c r="F20"/>
  <c r="N19"/>
  <c r="L19"/>
  <c r="J19"/>
  <c r="H19"/>
  <c r="F19"/>
  <c r="N18"/>
  <c r="L18"/>
  <c r="J18"/>
  <c r="H18"/>
  <c r="F18"/>
  <c r="N17"/>
  <c r="L17"/>
  <c r="J17"/>
  <c r="H17"/>
  <c r="O28"/>
  <c r="M28"/>
  <c r="K28"/>
  <c r="I28"/>
  <c r="G28"/>
  <c r="O27"/>
  <c r="M27"/>
  <c r="K27"/>
  <c r="I27"/>
  <c r="G27"/>
  <c r="O26"/>
  <c r="M26"/>
  <c r="K26"/>
  <c r="I26"/>
  <c r="G26"/>
  <c r="O25"/>
  <c r="M25"/>
  <c r="K25"/>
  <c r="I25"/>
  <c r="G25"/>
  <c r="O20"/>
  <c r="M20"/>
  <c r="K20"/>
  <c r="I20"/>
  <c r="G20"/>
  <c r="O19"/>
  <c r="M19"/>
  <c r="K19"/>
  <c r="I19"/>
  <c r="G19"/>
  <c r="O18"/>
  <c r="M18"/>
  <c r="K18"/>
  <c r="I18"/>
  <c r="G18"/>
  <c r="O17"/>
  <c r="M17"/>
  <c r="K17"/>
  <c r="I17"/>
  <c r="G17"/>
  <c r="F17"/>
  <c r="N29" i="49"/>
  <c r="L29"/>
  <c r="J29"/>
  <c r="H29"/>
  <c r="F29"/>
  <c r="N28"/>
  <c r="L28"/>
  <c r="J28"/>
  <c r="H28"/>
  <c r="F28"/>
  <c r="N27"/>
  <c r="L27"/>
  <c r="J27"/>
  <c r="H27"/>
  <c r="F27"/>
  <c r="N26"/>
  <c r="L26"/>
  <c r="J26"/>
  <c r="H26"/>
  <c r="F26"/>
  <c r="F21"/>
  <c r="F20"/>
  <c r="F19"/>
  <c r="F18"/>
  <c r="O29"/>
  <c r="M29"/>
  <c r="K29"/>
  <c r="I29"/>
  <c r="G29"/>
  <c r="O28"/>
  <c r="M28"/>
  <c r="K28"/>
  <c r="I28"/>
  <c r="G28"/>
  <c r="O27"/>
  <c r="M27"/>
  <c r="K27"/>
  <c r="I27"/>
  <c r="G27"/>
  <c r="O26"/>
  <c r="M26"/>
  <c r="K26"/>
  <c r="I26"/>
  <c r="G26"/>
  <c r="F132" i="79"/>
  <c r="F130"/>
  <c r="F129"/>
  <c r="F128"/>
  <c r="C16" i="12"/>
  <c r="F177" i="43"/>
  <c r="F312" s="1"/>
  <c r="F175"/>
  <c r="F176"/>
  <c r="F302" s="1"/>
  <c r="O59" i="81"/>
  <c r="M59"/>
  <c r="K59"/>
  <c r="I59"/>
  <c r="G59"/>
  <c r="N59"/>
  <c r="L59"/>
  <c r="J59"/>
  <c r="H59"/>
  <c r="F59"/>
  <c r="F19" i="33"/>
  <c r="F17"/>
  <c r="F18"/>
  <c r="F16"/>
  <c r="F26" i="6"/>
  <c r="F7" i="12"/>
  <c r="F26" i="41"/>
  <c r="F24"/>
  <c r="N27"/>
  <c r="L27"/>
  <c r="J27"/>
  <c r="H27"/>
  <c r="O26"/>
  <c r="M26"/>
  <c r="K26"/>
  <c r="I26"/>
  <c r="G26"/>
  <c r="N25"/>
  <c r="L25"/>
  <c r="J25"/>
  <c r="H25"/>
  <c r="O24"/>
  <c r="M24"/>
  <c r="K24"/>
  <c r="I24"/>
  <c r="G24"/>
  <c r="J24"/>
  <c r="F27"/>
  <c r="F25"/>
  <c r="O27"/>
  <c r="M27"/>
  <c r="K27"/>
  <c r="I27"/>
  <c r="G27"/>
  <c r="N26"/>
  <c r="L26"/>
  <c r="J26"/>
  <c r="H26"/>
  <c r="O25"/>
  <c r="M25"/>
  <c r="K25"/>
  <c r="I25"/>
  <c r="G25"/>
  <c r="N24"/>
  <c r="L24"/>
  <c r="H24"/>
  <c r="H66" i="39"/>
  <c r="I69"/>
  <c r="G69"/>
  <c r="I68"/>
  <c r="G68"/>
  <c r="I67"/>
  <c r="G67"/>
  <c r="I66"/>
  <c r="G66"/>
  <c r="I65"/>
  <c r="G65"/>
  <c r="H69"/>
  <c r="F69"/>
  <c r="H68"/>
  <c r="F68"/>
  <c r="H67"/>
  <c r="F67"/>
  <c r="F66"/>
  <c r="H65"/>
  <c r="F65"/>
  <c r="F121" i="40"/>
  <c r="L121" s="1"/>
  <c r="E53" i="6"/>
  <c r="E55"/>
  <c r="C21" i="12"/>
  <c r="E54" i="6"/>
  <c r="C9" i="12"/>
  <c r="O52" i="47"/>
  <c r="M52"/>
  <c r="K52"/>
  <c r="I52"/>
  <c r="G52"/>
  <c r="O51"/>
  <c r="M51"/>
  <c r="K51"/>
  <c r="I51"/>
  <c r="G51"/>
  <c r="O50"/>
  <c r="M50"/>
  <c r="K50"/>
  <c r="I50"/>
  <c r="G50"/>
  <c r="O49"/>
  <c r="M49"/>
  <c r="K49"/>
  <c r="I49"/>
  <c r="G49"/>
  <c r="N52"/>
  <c r="L52"/>
  <c r="J52"/>
  <c r="H52"/>
  <c r="F52"/>
  <c r="N51"/>
  <c r="L51"/>
  <c r="J51"/>
  <c r="H51"/>
  <c r="F51"/>
  <c r="N50"/>
  <c r="L50"/>
  <c r="J50"/>
  <c r="H50"/>
  <c r="F50"/>
  <c r="N49"/>
  <c r="L49"/>
  <c r="J49"/>
  <c r="H49"/>
  <c r="F49"/>
  <c r="N60"/>
  <c r="L60"/>
  <c r="J60"/>
  <c r="H60"/>
  <c r="F60"/>
  <c r="N59"/>
  <c r="L59"/>
  <c r="J59"/>
  <c r="H59"/>
  <c r="F59"/>
  <c r="N58"/>
  <c r="L58"/>
  <c r="J58"/>
  <c r="H58"/>
  <c r="F58"/>
  <c r="N57"/>
  <c r="L57"/>
  <c r="J57"/>
  <c r="H57"/>
  <c r="F57"/>
  <c r="N44"/>
  <c r="L44"/>
  <c r="J44"/>
  <c r="H44"/>
  <c r="F44"/>
  <c r="N43"/>
  <c r="L43"/>
  <c r="J43"/>
  <c r="H43"/>
  <c r="F43"/>
  <c r="N42"/>
  <c r="L42"/>
  <c r="J42"/>
  <c r="H42"/>
  <c r="F42"/>
  <c r="N41"/>
  <c r="L41"/>
  <c r="J41"/>
  <c r="H41"/>
  <c r="F41"/>
  <c r="O60"/>
  <c r="M60"/>
  <c r="K60"/>
  <c r="I60"/>
  <c r="G60"/>
  <c r="O59"/>
  <c r="M59"/>
  <c r="K59"/>
  <c r="I59"/>
  <c r="G59"/>
  <c r="O58"/>
  <c r="M58"/>
  <c r="K58"/>
  <c r="I58"/>
  <c r="G58"/>
  <c r="O57"/>
  <c r="M57"/>
  <c r="K57"/>
  <c r="I57"/>
  <c r="G57"/>
  <c r="O44"/>
  <c r="M44"/>
  <c r="K44"/>
  <c r="I44"/>
  <c r="G44"/>
  <c r="O43"/>
  <c r="M43"/>
  <c r="K43"/>
  <c r="I43"/>
  <c r="G43"/>
  <c r="O42"/>
  <c r="M42"/>
  <c r="K42"/>
  <c r="I42"/>
  <c r="G42"/>
  <c r="O41"/>
  <c r="M41"/>
  <c r="K41"/>
  <c r="I41"/>
  <c r="G41"/>
  <c r="C14" i="12"/>
  <c r="C15"/>
  <c r="C7"/>
  <c r="N121" i="40"/>
  <c r="O129"/>
  <c r="M129"/>
  <c r="K129"/>
  <c r="I129"/>
  <c r="G129"/>
  <c r="F120"/>
  <c r="F194" s="1"/>
  <c r="F129"/>
  <c r="F203" s="1"/>
  <c r="F118"/>
  <c r="F192" s="1"/>
  <c r="F116"/>
  <c r="F190" s="1"/>
  <c r="F8" i="12"/>
  <c r="D36" i="65" s="1"/>
  <c r="C12" i="12"/>
  <c r="C8"/>
  <c r="C6"/>
  <c r="C13"/>
  <c r="C22"/>
  <c r="F6"/>
  <c r="G6" s="1"/>
  <c r="C20"/>
  <c r="G7"/>
  <c r="D43" i="65"/>
  <c r="D38"/>
  <c r="D35"/>
  <c r="H7" i="12"/>
  <c r="E26" i="83"/>
  <c r="D9"/>
  <c r="O6"/>
  <c r="B2"/>
  <c r="B1"/>
  <c r="F44" i="33" l="1"/>
  <c r="F52" s="1"/>
  <c r="N28" i="85"/>
  <c r="L28"/>
  <c r="J28"/>
  <c r="H28"/>
  <c r="O27"/>
  <c r="M27"/>
  <c r="K27"/>
  <c r="I27"/>
  <c r="G27"/>
  <c r="N26"/>
  <c r="L26"/>
  <c r="J26"/>
  <c r="H26"/>
  <c r="O25"/>
  <c r="M25"/>
  <c r="K25"/>
  <c r="I25"/>
  <c r="G25"/>
  <c r="N18"/>
  <c r="L18"/>
  <c r="J18"/>
  <c r="H18"/>
  <c r="O17"/>
  <c r="M17"/>
  <c r="K17"/>
  <c r="I17"/>
  <c r="G17"/>
  <c r="N16"/>
  <c r="L16"/>
  <c r="J16"/>
  <c r="H16"/>
  <c r="O15"/>
  <c r="M15"/>
  <c r="K15"/>
  <c r="I15"/>
  <c r="G15"/>
  <c r="O28"/>
  <c r="M28"/>
  <c r="K28"/>
  <c r="I28"/>
  <c r="G28"/>
  <c r="N27"/>
  <c r="L27"/>
  <c r="J27"/>
  <c r="H27"/>
  <c r="O26"/>
  <c r="M26"/>
  <c r="K26"/>
  <c r="I26"/>
  <c r="G26"/>
  <c r="N25"/>
  <c r="L25"/>
  <c r="J25"/>
  <c r="H25"/>
  <c r="O18"/>
  <c r="M18"/>
  <c r="K18"/>
  <c r="I18"/>
  <c r="G18"/>
  <c r="N17"/>
  <c r="L17"/>
  <c r="J17"/>
  <c r="H17"/>
  <c r="O16"/>
  <c r="M16"/>
  <c r="K16"/>
  <c r="I16"/>
  <c r="G16"/>
  <c r="N15"/>
  <c r="L15"/>
  <c r="J15"/>
  <c r="H15"/>
  <c r="M16" i="31"/>
  <c r="M38" s="1"/>
  <c r="M17"/>
  <c r="O17"/>
  <c r="O16"/>
  <c r="O38" s="1"/>
  <c r="I16"/>
  <c r="I38" s="1"/>
  <c r="I17"/>
  <c r="K17"/>
  <c r="K16"/>
  <c r="K38" s="1"/>
  <c r="N19" i="33"/>
  <c r="L19"/>
  <c r="J19"/>
  <c r="H19"/>
  <c r="O18"/>
  <c r="M18"/>
  <c r="K18"/>
  <c r="I18"/>
  <c r="G18"/>
  <c r="N17"/>
  <c r="L17"/>
  <c r="J17"/>
  <c r="H17"/>
  <c r="O16"/>
  <c r="M16"/>
  <c r="K16"/>
  <c r="I16"/>
  <c r="G16"/>
  <c r="M19"/>
  <c r="K19"/>
  <c r="I19"/>
  <c r="G19"/>
  <c r="N18"/>
  <c r="L18"/>
  <c r="J18"/>
  <c r="H18"/>
  <c r="M17"/>
  <c r="K17"/>
  <c r="G17"/>
  <c r="N16"/>
  <c r="J16"/>
  <c r="O19"/>
  <c r="O17"/>
  <c r="I17"/>
  <c r="L16"/>
  <c r="H16"/>
  <c r="J38" i="85"/>
  <c r="K38"/>
  <c r="M18" i="90"/>
  <c r="K18"/>
  <c r="I18"/>
  <c r="N17"/>
  <c r="J17"/>
  <c r="M16"/>
  <c r="I16"/>
  <c r="L15"/>
  <c r="H15"/>
  <c r="N18"/>
  <c r="L18"/>
  <c r="J18"/>
  <c r="H18"/>
  <c r="L26" s="1"/>
  <c r="M17"/>
  <c r="K17"/>
  <c r="I17"/>
  <c r="M25" s="1"/>
  <c r="N16"/>
  <c r="L16"/>
  <c r="J16"/>
  <c r="H16"/>
  <c r="M15"/>
  <c r="K15"/>
  <c r="I15"/>
  <c r="L17"/>
  <c r="H17"/>
  <c r="L25" s="1"/>
  <c r="K16"/>
  <c r="N15"/>
  <c r="J15"/>
  <c r="L51" i="41"/>
  <c r="N38" i="85"/>
  <c r="L38"/>
  <c r="H38"/>
  <c r="O37"/>
  <c r="M37"/>
  <c r="K37"/>
  <c r="I37"/>
  <c r="G37"/>
  <c r="N36"/>
  <c r="L36"/>
  <c r="J36"/>
  <c r="H36"/>
  <c r="O35"/>
  <c r="M35"/>
  <c r="K35"/>
  <c r="I35"/>
  <c r="G35"/>
  <c r="O38"/>
  <c r="M38"/>
  <c r="I38"/>
  <c r="G38"/>
  <c r="N37"/>
  <c r="L37"/>
  <c r="J37"/>
  <c r="H37"/>
  <c r="O36"/>
  <c r="M36"/>
  <c r="K36"/>
  <c r="I36"/>
  <c r="G36"/>
  <c r="N35"/>
  <c r="L35"/>
  <c r="J35"/>
  <c r="H35"/>
  <c r="M26" i="90"/>
  <c r="O19" i="81"/>
  <c r="M19"/>
  <c r="K19"/>
  <c r="I19"/>
  <c r="G19"/>
  <c r="O18"/>
  <c r="M18"/>
  <c r="K18"/>
  <c r="I18"/>
  <c r="G18"/>
  <c r="O17"/>
  <c r="M17"/>
  <c r="K17"/>
  <c r="I17"/>
  <c r="G17"/>
  <c r="F16"/>
  <c r="G16"/>
  <c r="N19" i="87"/>
  <c r="L19"/>
  <c r="J19"/>
  <c r="H19"/>
  <c r="O18"/>
  <c r="M18"/>
  <c r="K18"/>
  <c r="I18"/>
  <c r="G18"/>
  <c r="N17"/>
  <c r="L17"/>
  <c r="J17"/>
  <c r="H17"/>
  <c r="O16"/>
  <c r="M16"/>
  <c r="K16"/>
  <c r="I16"/>
  <c r="G16"/>
  <c r="N19" i="81"/>
  <c r="L19"/>
  <c r="J19"/>
  <c r="H19"/>
  <c r="F19"/>
  <c r="N18"/>
  <c r="L18"/>
  <c r="J18"/>
  <c r="H18"/>
  <c r="F18"/>
  <c r="N17"/>
  <c r="L17"/>
  <c r="J17"/>
  <c r="H17"/>
  <c r="F17"/>
  <c r="H16"/>
  <c r="O19" i="87"/>
  <c r="M19"/>
  <c r="K19"/>
  <c r="I19"/>
  <c r="G19"/>
  <c r="N18"/>
  <c r="L18"/>
  <c r="J18"/>
  <c r="H18"/>
  <c r="O17"/>
  <c r="M17"/>
  <c r="K17"/>
  <c r="I17"/>
  <c r="G17"/>
  <c r="N16"/>
  <c r="L16"/>
  <c r="J16"/>
  <c r="H16"/>
  <c r="J18" i="31"/>
  <c r="N18"/>
  <c r="L18"/>
  <c r="N69" i="41"/>
  <c r="L69"/>
  <c r="J69"/>
  <c r="H69"/>
  <c r="O68"/>
  <c r="M68"/>
  <c r="K68"/>
  <c r="I68"/>
  <c r="G68"/>
  <c r="N67"/>
  <c r="L67"/>
  <c r="J67"/>
  <c r="H67"/>
  <c r="O66"/>
  <c r="M66"/>
  <c r="K66"/>
  <c r="I66"/>
  <c r="G66"/>
  <c r="O16" i="84"/>
  <c r="M16"/>
  <c r="K16"/>
  <c r="I16"/>
  <c r="G16"/>
  <c r="N16"/>
  <c r="H16"/>
  <c r="O69" i="41"/>
  <c r="M69"/>
  <c r="K69"/>
  <c r="I69"/>
  <c r="G69"/>
  <c r="N68"/>
  <c r="L68"/>
  <c r="J68"/>
  <c r="H68"/>
  <c r="O67"/>
  <c r="M67"/>
  <c r="K67"/>
  <c r="I67"/>
  <c r="G67"/>
  <c r="N66"/>
  <c r="L66"/>
  <c r="J66"/>
  <c r="H66"/>
  <c r="L16" i="84"/>
  <c r="J16"/>
  <c r="L118" i="40"/>
  <c r="J119"/>
  <c r="H128"/>
  <c r="J118"/>
  <c r="H119"/>
  <c r="N128"/>
  <c r="N118"/>
  <c r="L119"/>
  <c r="J128"/>
  <c r="J52" i="41"/>
  <c r="K58"/>
  <c r="K57"/>
  <c r="K60"/>
  <c r="K59"/>
  <c r="L52"/>
  <c r="M59"/>
  <c r="M58"/>
  <c r="M60"/>
  <c r="M57"/>
  <c r="L50"/>
  <c r="N50"/>
  <c r="L49"/>
  <c r="J50"/>
  <c r="H51"/>
  <c r="H52"/>
  <c r="G57"/>
  <c r="G59"/>
  <c r="G58"/>
  <c r="G60"/>
  <c r="N52"/>
  <c r="O57"/>
  <c r="O59"/>
  <c r="O58"/>
  <c r="O60"/>
  <c r="I59"/>
  <c r="I58"/>
  <c r="I60"/>
  <c r="I57"/>
  <c r="F259" i="79"/>
  <c r="G259"/>
  <c r="M259"/>
  <c r="H259"/>
  <c r="J259"/>
  <c r="I259"/>
  <c r="O259"/>
  <c r="N259"/>
  <c r="L259"/>
  <c r="K259"/>
  <c r="M226"/>
  <c r="M270" s="1"/>
  <c r="I226"/>
  <c r="I270" s="1"/>
  <c r="H226"/>
  <c r="G226"/>
  <c r="G270" s="1"/>
  <c r="N226"/>
  <c r="O226"/>
  <c r="F226"/>
  <c r="F270" s="1"/>
  <c r="J226"/>
  <c r="K226"/>
  <c r="L226"/>
  <c r="K210"/>
  <c r="K214" s="1"/>
  <c r="K268" s="1"/>
  <c r="O210"/>
  <c r="O214" s="1"/>
  <c r="O268" s="1"/>
  <c r="G210"/>
  <c r="G214" s="1"/>
  <c r="G268" s="1"/>
  <c r="I210"/>
  <c r="I214" s="1"/>
  <c r="I268" s="1"/>
  <c r="J210"/>
  <c r="J214" s="1"/>
  <c r="J268" s="1"/>
  <c r="L210"/>
  <c r="L214" s="1"/>
  <c r="L268" s="1"/>
  <c r="H210"/>
  <c r="H214" s="1"/>
  <c r="H268" s="1"/>
  <c r="M210"/>
  <c r="M214" s="1"/>
  <c r="M268" s="1"/>
  <c r="F210"/>
  <c r="F214" s="1"/>
  <c r="F268" s="1"/>
  <c r="N210"/>
  <c r="N214" s="1"/>
  <c r="N268" s="1"/>
  <c r="O209"/>
  <c r="J209"/>
  <c r="I209"/>
  <c r="L209"/>
  <c r="F209"/>
  <c r="H209"/>
  <c r="N209"/>
  <c r="M209"/>
  <c r="G209"/>
  <c r="K209"/>
  <c r="H208"/>
  <c r="N208"/>
  <c r="L208"/>
  <c r="K208"/>
  <c r="K213" s="1"/>
  <c r="J208"/>
  <c r="M208"/>
  <c r="M213" s="1"/>
  <c r="O208"/>
  <c r="O213" s="1"/>
  <c r="F208"/>
  <c r="G208"/>
  <c r="G213" s="1"/>
  <c r="I208"/>
  <c r="N19" i="94"/>
  <c r="L19"/>
  <c r="J19"/>
  <c r="H19"/>
  <c r="M18"/>
  <c r="K18"/>
  <c r="G18"/>
  <c r="L17"/>
  <c r="L39" s="1"/>
  <c r="L47" s="1"/>
  <c r="L49" s="1"/>
  <c r="H17"/>
  <c r="H39" s="1"/>
  <c r="H47" s="1"/>
  <c r="H49" s="1"/>
  <c r="G44" i="33"/>
  <c r="G52" s="1"/>
  <c r="O19" i="94"/>
  <c r="M19"/>
  <c r="K19"/>
  <c r="I19"/>
  <c r="G19"/>
  <c r="N18"/>
  <c r="L18"/>
  <c r="J18"/>
  <c r="H18"/>
  <c r="O17"/>
  <c r="O39" s="1"/>
  <c r="O47" s="1"/>
  <c r="O49" s="1"/>
  <c r="M17"/>
  <c r="M39" s="1"/>
  <c r="M47" s="1"/>
  <c r="M49" s="1"/>
  <c r="K17"/>
  <c r="K39" s="1"/>
  <c r="K47" s="1"/>
  <c r="K49" s="1"/>
  <c r="I17"/>
  <c r="I39" s="1"/>
  <c r="I47" s="1"/>
  <c r="I49" s="1"/>
  <c r="G17"/>
  <c r="G39" s="1"/>
  <c r="G47" s="1"/>
  <c r="G49" s="1"/>
  <c r="L44" i="33"/>
  <c r="L52" s="1"/>
  <c r="H44"/>
  <c r="H52" s="1"/>
  <c r="O18" i="94"/>
  <c r="I18"/>
  <c r="N17"/>
  <c r="N39" s="1"/>
  <c r="N47" s="1"/>
  <c r="N49" s="1"/>
  <c r="J17"/>
  <c r="J39" s="1"/>
  <c r="J47" s="1"/>
  <c r="J49" s="1"/>
  <c r="I44" i="33"/>
  <c r="I52" s="1"/>
  <c r="N44"/>
  <c r="N52" s="1"/>
  <c r="J44"/>
  <c r="J52" s="1"/>
  <c r="O44"/>
  <c r="O52" s="1"/>
  <c r="M44"/>
  <c r="M52" s="1"/>
  <c r="K44"/>
  <c r="K52" s="1"/>
  <c r="H26" i="90"/>
  <c r="I25"/>
  <c r="J24"/>
  <c r="F24"/>
  <c r="I23"/>
  <c r="N26"/>
  <c r="F18"/>
  <c r="G17"/>
  <c r="K25" s="1"/>
  <c r="L24"/>
  <c r="M23"/>
  <c r="I26"/>
  <c r="G26"/>
  <c r="J25"/>
  <c r="H25"/>
  <c r="F25"/>
  <c r="I24"/>
  <c r="G24"/>
  <c r="J23"/>
  <c r="H23"/>
  <c r="F23"/>
  <c r="G18"/>
  <c r="K26" s="1"/>
  <c r="N25"/>
  <c r="F17"/>
  <c r="M24"/>
  <c r="G16"/>
  <c r="K24" s="1"/>
  <c r="N23"/>
  <c r="L23"/>
  <c r="F15"/>
  <c r="J26"/>
  <c r="F26"/>
  <c r="G25"/>
  <c r="H24"/>
  <c r="G23"/>
  <c r="N24"/>
  <c r="F16"/>
  <c r="G15"/>
  <c r="K23" s="1"/>
  <c r="N120" i="40"/>
  <c r="I121"/>
  <c r="M121"/>
  <c r="F195"/>
  <c r="G121"/>
  <c r="H121"/>
  <c r="K121"/>
  <c r="J121"/>
  <c r="O121"/>
  <c r="G130" i="47"/>
  <c r="K130"/>
  <c r="O130"/>
  <c r="G128"/>
  <c r="G137" s="1"/>
  <c r="K128"/>
  <c r="K137" s="1"/>
  <c r="O128"/>
  <c r="O137" s="1"/>
  <c r="F130"/>
  <c r="J130"/>
  <c r="N130"/>
  <c r="F128"/>
  <c r="F137" s="1"/>
  <c r="J128"/>
  <c r="J137" s="1"/>
  <c r="N128"/>
  <c r="N137" s="1"/>
  <c r="F139"/>
  <c r="J139"/>
  <c r="N139"/>
  <c r="G139"/>
  <c r="K139"/>
  <c r="O139"/>
  <c r="I130"/>
  <c r="M130"/>
  <c r="I128"/>
  <c r="I137" s="1"/>
  <c r="M128"/>
  <c r="M137" s="1"/>
  <c r="H130"/>
  <c r="L130"/>
  <c r="H128"/>
  <c r="H137" s="1"/>
  <c r="L128"/>
  <c r="L137" s="1"/>
  <c r="I139"/>
  <c r="M139"/>
  <c r="I120" i="40"/>
  <c r="H139" i="47"/>
  <c r="L139"/>
  <c r="H120" i="40"/>
  <c r="M120"/>
  <c r="L120"/>
  <c r="G120"/>
  <c r="K120"/>
  <c r="O120"/>
  <c r="J120"/>
  <c r="D34" i="65"/>
  <c r="D44"/>
  <c r="D39"/>
  <c r="G8" i="12"/>
  <c r="H8"/>
  <c r="D42" i="65"/>
  <c r="H6" i="12"/>
  <c r="F42" i="65" s="1"/>
  <c r="D37"/>
  <c r="F43"/>
  <c r="F38"/>
  <c r="F35"/>
  <c r="E42"/>
  <c r="E37"/>
  <c r="E34"/>
  <c r="E43"/>
  <c r="E38"/>
  <c r="E35"/>
  <c r="E73" i="69"/>
  <c r="D64"/>
  <c r="D63"/>
  <c r="D62"/>
  <c r="D61"/>
  <c r="D60"/>
  <c r="D59"/>
  <c r="D58"/>
  <c r="O55"/>
  <c r="E40"/>
  <c r="E242" i="47"/>
  <c r="N17" i="31" l="1"/>
  <c r="N16"/>
  <c r="N38" s="1"/>
  <c r="L17"/>
  <c r="L16"/>
  <c r="L38" s="1"/>
  <c r="J17"/>
  <c r="J16"/>
  <c r="J38" s="1"/>
  <c r="N60" i="41"/>
  <c r="N57"/>
  <c r="N59"/>
  <c r="N58"/>
  <c r="J60"/>
  <c r="J58"/>
  <c r="J57"/>
  <c r="J59"/>
  <c r="H60"/>
  <c r="H57"/>
  <c r="H59"/>
  <c r="H58"/>
  <c r="L60"/>
  <c r="L59"/>
  <c r="L58"/>
  <c r="L57"/>
  <c r="I213" i="79"/>
  <c r="I269" s="1"/>
  <c r="F213"/>
  <c r="F269" s="1"/>
  <c r="N213"/>
  <c r="N269" s="1"/>
  <c r="L270"/>
  <c r="J270"/>
  <c r="O270"/>
  <c r="K270"/>
  <c r="G269"/>
  <c r="O269"/>
  <c r="N270"/>
  <c r="H270"/>
  <c r="M269"/>
  <c r="K269"/>
  <c r="J213"/>
  <c r="L213"/>
  <c r="H213"/>
  <c r="F37" i="65"/>
  <c r="F34"/>
  <c r="E44"/>
  <c r="E36"/>
  <c r="E39"/>
  <c r="F36"/>
  <c r="F39"/>
  <c r="F44"/>
  <c r="E38" i="69"/>
  <c r="L269" i="79" l="1"/>
  <c r="H269"/>
  <c r="J269"/>
  <c r="E37" i="69"/>
  <c r="F24"/>
  <c r="D19"/>
  <c r="D11"/>
  <c r="D10"/>
  <c r="D9"/>
  <c r="O6"/>
  <c r="B2"/>
  <c r="B1"/>
  <c r="E96" i="48"/>
  <c r="E95"/>
  <c r="E94"/>
  <c r="E93"/>
  <c r="E92"/>
  <c r="D83"/>
  <c r="D82"/>
  <c r="D81"/>
  <c r="D80"/>
  <c r="D79"/>
  <c r="D78"/>
  <c r="D77"/>
  <c r="D76"/>
  <c r="D75"/>
  <c r="D74"/>
  <c r="O71"/>
  <c r="E49"/>
  <c r="D24"/>
  <c r="D23"/>
  <c r="D18"/>
  <c r="D17"/>
  <c r="D16"/>
  <c r="H11"/>
  <c r="H56" s="1"/>
  <c r="G11"/>
  <c r="G56" s="1"/>
  <c r="D11"/>
  <c r="H10"/>
  <c r="H55" s="1"/>
  <c r="G10"/>
  <c r="G55" s="1"/>
  <c r="D10"/>
  <c r="D9"/>
  <c r="O6"/>
  <c r="B2"/>
  <c r="B1"/>
  <c r="E118" i="46"/>
  <c r="E117"/>
  <c r="E116"/>
  <c r="D107"/>
  <c r="D106"/>
  <c r="D105"/>
  <c r="D104"/>
  <c r="D103"/>
  <c r="D102"/>
  <c r="D101"/>
  <c r="O98"/>
  <c r="P92"/>
  <c r="P91"/>
  <c r="P90"/>
  <c r="O82"/>
  <c r="E78"/>
  <c r="D35"/>
  <c r="D34"/>
  <c r="D33"/>
  <c r="D32"/>
  <c r="D27"/>
  <c r="D22"/>
  <c r="B2"/>
  <c r="B1"/>
  <c r="E81" i="88"/>
  <c r="D72"/>
  <c r="D71"/>
  <c r="O68"/>
  <c r="E63"/>
  <c r="H83" i="48" l="1"/>
  <c r="H80"/>
  <c r="G82"/>
  <c r="G79"/>
  <c r="G83"/>
  <c r="G80"/>
  <c r="H82"/>
  <c r="H79"/>
  <c r="O46" i="88"/>
  <c r="N46"/>
  <c r="M46"/>
  <c r="L46"/>
  <c r="K46"/>
  <c r="J46"/>
  <c r="I46"/>
  <c r="H46"/>
  <c r="G46"/>
  <c r="F46"/>
  <c r="O43"/>
  <c r="E8"/>
  <c r="O60" s="1"/>
  <c r="B2"/>
  <c r="B1"/>
  <c r="D47" i="44"/>
  <c r="D46"/>
  <c r="F58" i="88" l="1"/>
  <c r="H58"/>
  <c r="J58"/>
  <c r="L58"/>
  <c r="N58"/>
  <c r="F59"/>
  <c r="H59"/>
  <c r="J59"/>
  <c r="L59"/>
  <c r="N59"/>
  <c r="F60"/>
  <c r="H60"/>
  <c r="J60"/>
  <c r="L60"/>
  <c r="N60"/>
  <c r="G58"/>
  <c r="I58"/>
  <c r="K58"/>
  <c r="M58"/>
  <c r="O58"/>
  <c r="G59"/>
  <c r="I59"/>
  <c r="K59"/>
  <c r="M59"/>
  <c r="O59"/>
  <c r="O63" s="1"/>
  <c r="G60"/>
  <c r="I60"/>
  <c r="K60"/>
  <c r="M60"/>
  <c r="D45" i="44"/>
  <c r="D44"/>
  <c r="O41"/>
  <c r="O32"/>
  <c r="N32"/>
  <c r="M32"/>
  <c r="L32"/>
  <c r="K32"/>
  <c r="J32"/>
  <c r="I32"/>
  <c r="H32"/>
  <c r="G32"/>
  <c r="F32"/>
  <c r="O29"/>
  <c r="O9"/>
  <c r="N9"/>
  <c r="M9"/>
  <c r="L9"/>
  <c r="K9"/>
  <c r="J9"/>
  <c r="I9"/>
  <c r="H9"/>
  <c r="G9"/>
  <c r="F9"/>
  <c r="O6"/>
  <c r="B2"/>
  <c r="B1"/>
  <c r="E72" i="84"/>
  <c r="E71"/>
  <c r="E70"/>
  <c r="D61"/>
  <c r="D60"/>
  <c r="O57"/>
  <c r="E47"/>
  <c r="F27"/>
  <c r="B2"/>
  <c r="B1"/>
  <c r="E73" i="42"/>
  <c r="E72"/>
  <c r="E71"/>
  <c r="D62"/>
  <c r="D61"/>
  <c r="O58"/>
  <c r="E48"/>
  <c r="M47" i="84" l="1"/>
  <c r="I47"/>
  <c r="O47"/>
  <c r="K47"/>
  <c r="G47"/>
  <c r="J47"/>
  <c r="N47"/>
  <c r="H47"/>
  <c r="L47"/>
  <c r="O31" i="44"/>
  <c r="N31" s="1"/>
  <c r="M31" s="1"/>
  <c r="L31" s="1"/>
  <c r="K31" s="1"/>
  <c r="J31" s="1"/>
  <c r="I31" s="1"/>
  <c r="H31" s="1"/>
  <c r="G31" s="1"/>
  <c r="F31" s="1"/>
  <c r="O61" i="88"/>
  <c r="N63"/>
  <c r="O72"/>
  <c r="O71"/>
  <c r="M61"/>
  <c r="M81" s="1"/>
  <c r="I61"/>
  <c r="N61"/>
  <c r="N81" s="1"/>
  <c r="J61"/>
  <c r="F61"/>
  <c r="F81" s="1"/>
  <c r="K61"/>
  <c r="G61"/>
  <c r="L61"/>
  <c r="H61"/>
  <c r="H81" s="1"/>
  <c r="G81" s="1"/>
  <c r="F28" i="42"/>
  <c r="M63" i="88" l="1"/>
  <c r="N71"/>
  <c r="N72"/>
  <c r="L81"/>
  <c r="K81" s="1"/>
  <c r="J81" s="1"/>
  <c r="I81" s="1"/>
  <c r="O73"/>
  <c r="E8" i="42"/>
  <c r="B2"/>
  <c r="B1"/>
  <c r="E146" i="41"/>
  <c r="E145"/>
  <c r="E144"/>
  <c r="D135"/>
  <c r="D134"/>
  <c r="D133"/>
  <c r="D132"/>
  <c r="D131"/>
  <c r="O128"/>
  <c r="E118"/>
  <c r="E111"/>
  <c r="E110"/>
  <c r="E106"/>
  <c r="E104"/>
  <c r="F103"/>
  <c r="E103"/>
  <c r="D81"/>
  <c r="G78"/>
  <c r="M81" s="1"/>
  <c r="M82" s="1"/>
  <c r="O78"/>
  <c r="O63"/>
  <c r="F36"/>
  <c r="F35"/>
  <c r="F34"/>
  <c r="F33"/>
  <c r="F19"/>
  <c r="F18"/>
  <c r="F17"/>
  <c r="F16"/>
  <c r="E8"/>
  <c r="B2"/>
  <c r="B1"/>
  <c r="E336" i="40"/>
  <c r="E335"/>
  <c r="E334"/>
  <c r="D324"/>
  <c r="D323"/>
  <c r="D322"/>
  <c r="D321"/>
  <c r="D320"/>
  <c r="O317"/>
  <c r="O302"/>
  <c r="O260"/>
  <c r="G259"/>
  <c r="O274"/>
  <c r="G273"/>
  <c r="F81" i="41" l="1"/>
  <c r="F49"/>
  <c r="F50"/>
  <c r="F51"/>
  <c r="F52"/>
  <c r="N106"/>
  <c r="L106"/>
  <c r="J106"/>
  <c r="H106"/>
  <c r="F106"/>
  <c r="O106"/>
  <c r="M106"/>
  <c r="K106"/>
  <c r="I106"/>
  <c r="G106"/>
  <c r="N115"/>
  <c r="L115"/>
  <c r="J115"/>
  <c r="H115"/>
  <c r="F115"/>
  <c r="O115"/>
  <c r="M115"/>
  <c r="K115"/>
  <c r="I115"/>
  <c r="G115"/>
  <c r="K81"/>
  <c r="N110"/>
  <c r="L110"/>
  <c r="J110"/>
  <c r="H110"/>
  <c r="F110"/>
  <c r="O110"/>
  <c r="M110"/>
  <c r="K110"/>
  <c r="I110"/>
  <c r="G110"/>
  <c r="G81"/>
  <c r="G82" s="1"/>
  <c r="O81"/>
  <c r="I81"/>
  <c r="N114"/>
  <c r="L114"/>
  <c r="J114"/>
  <c r="H114"/>
  <c r="F114"/>
  <c r="F116" s="1"/>
  <c r="F134" s="1"/>
  <c r="O114"/>
  <c r="M114"/>
  <c r="M116" s="1"/>
  <c r="K114"/>
  <c r="I114"/>
  <c r="G114"/>
  <c r="G116" s="1"/>
  <c r="K82"/>
  <c r="O82"/>
  <c r="L81"/>
  <c r="L82" s="1"/>
  <c r="N73" i="88"/>
  <c r="N81" i="41"/>
  <c r="L63" i="88"/>
  <c r="M71"/>
  <c r="M72"/>
  <c r="F102" i="41"/>
  <c r="F104" s="1"/>
  <c r="H102"/>
  <c r="H104" s="1"/>
  <c r="J102"/>
  <c r="J104" s="1"/>
  <c r="L102"/>
  <c r="L104" s="1"/>
  <c r="N102"/>
  <c r="N104" s="1"/>
  <c r="F109"/>
  <c r="H109"/>
  <c r="J109"/>
  <c r="L109"/>
  <c r="N109"/>
  <c r="N47" i="42"/>
  <c r="L47"/>
  <c r="J47"/>
  <c r="H47"/>
  <c r="F47"/>
  <c r="M47"/>
  <c r="K47"/>
  <c r="I47"/>
  <c r="G47"/>
  <c r="G102" i="41"/>
  <c r="G104" s="1"/>
  <c r="I102"/>
  <c r="I104" s="1"/>
  <c r="K102"/>
  <c r="K104" s="1"/>
  <c r="M102"/>
  <c r="M104" s="1"/>
  <c r="O102"/>
  <c r="O104" s="1"/>
  <c r="G109"/>
  <c r="I109"/>
  <c r="K109"/>
  <c r="M109"/>
  <c r="O109"/>
  <c r="O111" l="1"/>
  <c r="O131" s="1"/>
  <c r="J81"/>
  <c r="J82" s="1"/>
  <c r="J116" s="1"/>
  <c r="J134" s="1"/>
  <c r="I82"/>
  <c r="I116" s="1"/>
  <c r="I134" s="1"/>
  <c r="H81"/>
  <c r="O132"/>
  <c r="G132"/>
  <c r="G134"/>
  <c r="M132"/>
  <c r="M134"/>
  <c r="I132"/>
  <c r="L132"/>
  <c r="H132"/>
  <c r="K132"/>
  <c r="N132"/>
  <c r="J132"/>
  <c r="N82"/>
  <c r="N116" s="1"/>
  <c r="N134" s="1"/>
  <c r="J111"/>
  <c r="I111" s="1"/>
  <c r="K116"/>
  <c r="K134" s="1"/>
  <c r="O116"/>
  <c r="O134" s="1"/>
  <c r="L116"/>
  <c r="L134" s="1"/>
  <c r="F132"/>
  <c r="M73" i="88"/>
  <c r="K63"/>
  <c r="L71"/>
  <c r="L72"/>
  <c r="H82" i="41" l="1"/>
  <c r="H116" s="1"/>
  <c r="H134" s="1"/>
  <c r="N111"/>
  <c r="M111" s="1"/>
  <c r="L111" s="1"/>
  <c r="K111" s="1"/>
  <c r="L73" i="88"/>
  <c r="J63"/>
  <c r="K72"/>
  <c r="K71"/>
  <c r="H111" i="41" l="1"/>
  <c r="G111" s="1"/>
  <c r="F111" s="1"/>
  <c r="F131" s="1"/>
  <c r="N131"/>
  <c r="I63" i="88"/>
  <c r="J71"/>
  <c r="J72"/>
  <c r="M131" i="41"/>
  <c r="K73" i="88"/>
  <c r="J73" l="1"/>
  <c r="L131" i="41"/>
  <c r="H63" i="88"/>
  <c r="I72"/>
  <c r="I71"/>
  <c r="F160" i="40"/>
  <c r="F159"/>
  <c r="F158"/>
  <c r="F157"/>
  <c r="F156"/>
  <c r="F155"/>
  <c r="F226" s="1"/>
  <c r="F139"/>
  <c r="O136"/>
  <c r="J31"/>
  <c r="I31"/>
  <c r="H31"/>
  <c r="G31"/>
  <c r="F31"/>
  <c r="E9"/>
  <c r="F168" s="1" a="1"/>
  <c r="E8"/>
  <c r="O182" s="1" a="1"/>
  <c r="B2"/>
  <c r="B1"/>
  <c r="E233" i="39"/>
  <c r="E232"/>
  <c r="E231"/>
  <c r="E230"/>
  <c r="E229"/>
  <c r="E228"/>
  <c r="E227"/>
  <c r="E226"/>
  <c r="D217"/>
  <c r="D216"/>
  <c r="D215"/>
  <c r="D214"/>
  <c r="D213"/>
  <c r="D212"/>
  <c r="O182" i="40" l="1"/>
  <c r="O184"/>
  <c r="O183"/>
  <c r="O185"/>
  <c r="O195" s="1"/>
  <c r="F168"/>
  <c r="H168"/>
  <c r="J168"/>
  <c r="L168"/>
  <c r="N168"/>
  <c r="F169"/>
  <c r="H169"/>
  <c r="J169"/>
  <c r="L169"/>
  <c r="N169"/>
  <c r="F170"/>
  <c r="H170"/>
  <c r="J170"/>
  <c r="L170"/>
  <c r="N170"/>
  <c r="F171"/>
  <c r="H171"/>
  <c r="J171"/>
  <c r="L171"/>
  <c r="N171"/>
  <c r="F172"/>
  <c r="H172"/>
  <c r="J172"/>
  <c r="L172"/>
  <c r="N172"/>
  <c r="F173"/>
  <c r="H173"/>
  <c r="J173"/>
  <c r="L173"/>
  <c r="N173"/>
  <c r="F174"/>
  <c r="H174"/>
  <c r="J174"/>
  <c r="L174"/>
  <c r="N174"/>
  <c r="F175"/>
  <c r="H175"/>
  <c r="J175"/>
  <c r="L175"/>
  <c r="N175"/>
  <c r="F176"/>
  <c r="H176"/>
  <c r="J176"/>
  <c r="L176"/>
  <c r="N176"/>
  <c r="F177"/>
  <c r="H177"/>
  <c r="J177"/>
  <c r="L177"/>
  <c r="N177"/>
  <c r="G168"/>
  <c r="I168"/>
  <c r="K168"/>
  <c r="M168"/>
  <c r="O168"/>
  <c r="G169"/>
  <c r="I169"/>
  <c r="K169"/>
  <c r="M169"/>
  <c r="O169"/>
  <c r="G170"/>
  <c r="I170"/>
  <c r="K170"/>
  <c r="M170"/>
  <c r="O170"/>
  <c r="G171"/>
  <c r="I171"/>
  <c r="K171"/>
  <c r="M171"/>
  <c r="O171"/>
  <c r="G172"/>
  <c r="I172"/>
  <c r="K172"/>
  <c r="M172"/>
  <c r="O172"/>
  <c r="G173"/>
  <c r="I173"/>
  <c r="K173"/>
  <c r="M173"/>
  <c r="O173"/>
  <c r="G174"/>
  <c r="I174"/>
  <c r="K174"/>
  <c r="M174"/>
  <c r="O174"/>
  <c r="G175"/>
  <c r="I175"/>
  <c r="K175"/>
  <c r="M175"/>
  <c r="O175"/>
  <c r="G176"/>
  <c r="I176"/>
  <c r="K176"/>
  <c r="M176"/>
  <c r="O176"/>
  <c r="G177"/>
  <c r="I177"/>
  <c r="K177"/>
  <c r="M177"/>
  <c r="O177"/>
  <c r="O159"/>
  <c r="O157"/>
  <c r="O155"/>
  <c r="O160"/>
  <c r="O158"/>
  <c r="O156"/>
  <c r="G156" s="1"/>
  <c r="F161"/>
  <c r="O221"/>
  <c r="O223" s="1"/>
  <c r="M221"/>
  <c r="M223" s="1"/>
  <c r="K221"/>
  <c r="K223" s="1"/>
  <c r="I221"/>
  <c r="I223" s="1"/>
  <c r="G221"/>
  <c r="G223" s="1"/>
  <c r="N221"/>
  <c r="N223" s="1"/>
  <c r="L221"/>
  <c r="L223" s="1"/>
  <c r="J221"/>
  <c r="J223" s="1"/>
  <c r="H221"/>
  <c r="H223" s="1"/>
  <c r="F221"/>
  <c r="F223" s="1"/>
  <c r="G63" i="88"/>
  <c r="H71"/>
  <c r="H72"/>
  <c r="K131" i="41"/>
  <c r="I73" i="88"/>
  <c r="O209" i="39"/>
  <c r="C190"/>
  <c r="C189"/>
  <c r="C188"/>
  <c r="F178" a="1"/>
  <c r="F181" s="1"/>
  <c r="C177"/>
  <c r="F180" l="1"/>
  <c r="F179"/>
  <c r="F178" s="1"/>
  <c r="O203" i="40"/>
  <c r="O194"/>
  <c r="O192"/>
  <c r="O193"/>
  <c r="O202"/>
  <c r="O208"/>
  <c r="O190"/>
  <c r="O201"/>
  <c r="O200"/>
  <c r="O191"/>
  <c r="M156"/>
  <c r="M183"/>
  <c r="K183"/>
  <c r="I183"/>
  <c r="G183"/>
  <c r="N183"/>
  <c r="L183"/>
  <c r="J183"/>
  <c r="H183"/>
  <c r="N182"/>
  <c r="L182"/>
  <c r="J182"/>
  <c r="H182"/>
  <c r="G182"/>
  <c r="K182"/>
  <c r="M182"/>
  <c r="I182"/>
  <c r="N156"/>
  <c r="M185"/>
  <c r="M195" s="1"/>
  <c r="K185"/>
  <c r="K195" s="1"/>
  <c r="I185"/>
  <c r="I195" s="1"/>
  <c r="G185"/>
  <c r="G195" s="1"/>
  <c r="N185"/>
  <c r="N195" s="1"/>
  <c r="L185"/>
  <c r="L195" s="1"/>
  <c r="J185"/>
  <c r="J195" s="1"/>
  <c r="H185"/>
  <c r="H195" s="1"/>
  <c r="N184"/>
  <c r="L184"/>
  <c r="J184"/>
  <c r="H184"/>
  <c r="M184"/>
  <c r="I184"/>
  <c r="G184"/>
  <c r="K184"/>
  <c r="J156"/>
  <c r="K156"/>
  <c r="I156"/>
  <c r="H156"/>
  <c r="L156"/>
  <c r="K159"/>
  <c r="G159"/>
  <c r="N159"/>
  <c r="L159"/>
  <c r="J159"/>
  <c r="H159"/>
  <c r="M159"/>
  <c r="I159"/>
  <c r="N160"/>
  <c r="J160"/>
  <c r="M160"/>
  <c r="K160"/>
  <c r="I160"/>
  <c r="G160"/>
  <c r="L160"/>
  <c r="H160"/>
  <c r="K158"/>
  <c r="G158"/>
  <c r="N158"/>
  <c r="L158"/>
  <c r="J158"/>
  <c r="H158"/>
  <c r="M158"/>
  <c r="I158"/>
  <c r="J131" i="41"/>
  <c r="H73" i="88"/>
  <c r="O161" i="40"/>
  <c r="L155"/>
  <c r="M155"/>
  <c r="K155"/>
  <c r="I155"/>
  <c r="G155"/>
  <c r="N155"/>
  <c r="J155"/>
  <c r="H155"/>
  <c r="M157"/>
  <c r="I157"/>
  <c r="N157"/>
  <c r="L157"/>
  <c r="J157"/>
  <c r="H157"/>
  <c r="K157"/>
  <c r="G157"/>
  <c r="F63" i="88"/>
  <c r="G71"/>
  <c r="G72"/>
  <c r="G203" i="40" l="1"/>
  <c r="G194"/>
  <c r="M194"/>
  <c r="M203"/>
  <c r="J203"/>
  <c r="J194"/>
  <c r="N203"/>
  <c r="N194"/>
  <c r="I208"/>
  <c r="I190"/>
  <c r="I191"/>
  <c r="I201"/>
  <c r="I200"/>
  <c r="K208"/>
  <c r="K200"/>
  <c r="K191"/>
  <c r="K190"/>
  <c r="K201"/>
  <c r="H208"/>
  <c r="H201"/>
  <c r="H200"/>
  <c r="H191"/>
  <c r="H190"/>
  <c r="L208"/>
  <c r="L190"/>
  <c r="L200"/>
  <c r="L191"/>
  <c r="L201"/>
  <c r="H202"/>
  <c r="H192"/>
  <c r="H193"/>
  <c r="L202"/>
  <c r="L193"/>
  <c r="L192"/>
  <c r="G193"/>
  <c r="G202"/>
  <c r="G192"/>
  <c r="K193"/>
  <c r="K192"/>
  <c r="K202"/>
  <c r="K203"/>
  <c r="K194"/>
  <c r="I194"/>
  <c r="I203"/>
  <c r="H203"/>
  <c r="H194"/>
  <c r="L203"/>
  <c r="L194"/>
  <c r="M208"/>
  <c r="M190"/>
  <c r="M191"/>
  <c r="M201"/>
  <c r="M200"/>
  <c r="G208"/>
  <c r="G201"/>
  <c r="G190"/>
  <c r="G200"/>
  <c r="G191"/>
  <c r="J208"/>
  <c r="J200"/>
  <c r="J190"/>
  <c r="J201"/>
  <c r="J191"/>
  <c r="N208"/>
  <c r="N190"/>
  <c r="N201"/>
  <c r="N200"/>
  <c r="N191"/>
  <c r="J193"/>
  <c r="J192"/>
  <c r="J202"/>
  <c r="N192"/>
  <c r="N193"/>
  <c r="N202"/>
  <c r="I193"/>
  <c r="I202"/>
  <c r="I192"/>
  <c r="M192"/>
  <c r="M202"/>
  <c r="M193"/>
  <c r="F234"/>
  <c r="J226"/>
  <c r="J161"/>
  <c r="K226"/>
  <c r="K161"/>
  <c r="L226"/>
  <c r="L161"/>
  <c r="H226"/>
  <c r="H161"/>
  <c r="N226"/>
  <c r="N161"/>
  <c r="I226"/>
  <c r="I161"/>
  <c r="M226"/>
  <c r="M161"/>
  <c r="G73" i="88"/>
  <c r="F72"/>
  <c r="F71"/>
  <c r="G226" i="40"/>
  <c r="G161"/>
  <c r="I131" i="41"/>
  <c r="F171" i="39" a="1"/>
  <c r="F174" s="1"/>
  <c r="C170"/>
  <c r="F173" l="1"/>
  <c r="F172"/>
  <c r="F171" s="1"/>
  <c r="O231" i="40"/>
  <c r="N231" s="1"/>
  <c r="N239" s="1"/>
  <c r="N255" s="1"/>
  <c r="M231"/>
  <c r="F73" i="88"/>
  <c r="H131" i="41"/>
  <c r="F175" i="39" l="1"/>
  <c r="F231" s="1"/>
  <c r="G131" i="41"/>
  <c r="O239" i="40"/>
  <c r="O255" s="1"/>
  <c r="L231"/>
  <c r="M239"/>
  <c r="M255" s="1"/>
  <c r="K231" l="1"/>
  <c r="L239"/>
  <c r="L255" s="1"/>
  <c r="F165" i="39"/>
  <c r="F164" s="1"/>
  <c r="F164" a="1"/>
  <c r="F166" s="1"/>
  <c r="C163"/>
  <c r="F158"/>
  <c r="F157" s="1"/>
  <c r="F157" a="1"/>
  <c r="F159" s="1"/>
  <c r="C156"/>
  <c r="E152"/>
  <c r="F160" l="1"/>
  <c r="F167"/>
  <c r="F168" s="1"/>
  <c r="F230" s="1"/>
  <c r="J231" i="40"/>
  <c r="K239"/>
  <c r="K255" s="1"/>
  <c r="C152" i="39"/>
  <c r="E151"/>
  <c r="C151"/>
  <c r="E150"/>
  <c r="C150"/>
  <c r="E149"/>
  <c r="C149"/>
  <c r="E148"/>
  <c r="C148"/>
  <c r="E145"/>
  <c r="C145"/>
  <c r="E144"/>
  <c r="C144"/>
  <c r="E143"/>
  <c r="C143"/>
  <c r="E142"/>
  <c r="C142"/>
  <c r="E141"/>
  <c r="C141"/>
  <c r="E138"/>
  <c r="I231" i="40" l="1"/>
  <c r="J239"/>
  <c r="J255" s="1"/>
  <c r="D113" i="39"/>
  <c r="H231" i="40" l="1"/>
  <c r="I239"/>
  <c r="I255" s="1"/>
  <c r="D112" i="39"/>
  <c r="G231" i="40" l="1"/>
  <c r="H239"/>
  <c r="H255" s="1"/>
  <c r="F231" l="1"/>
  <c r="G239"/>
  <c r="G255" s="1"/>
  <c r="D111" i="39"/>
  <c r="D110"/>
  <c r="O230" i="40" l="1"/>
  <c r="O238" s="1"/>
  <c r="F239"/>
  <c r="F255" s="1"/>
  <c r="N230"/>
  <c r="D109" i="39"/>
  <c r="O97"/>
  <c r="I70"/>
  <c r="H70"/>
  <c r="G70" s="1"/>
  <c r="F70"/>
  <c r="J69"/>
  <c r="D69"/>
  <c r="J68"/>
  <c r="D68"/>
  <c r="J67"/>
  <c r="D67"/>
  <c r="J66"/>
  <c r="D66"/>
  <c r="J65"/>
  <c r="J70" s="1"/>
  <c r="D65"/>
  <c r="I62"/>
  <c r="G43"/>
  <c r="I42"/>
  <c r="H42"/>
  <c r="D36"/>
  <c r="D35"/>
  <c r="D34"/>
  <c r="D33"/>
  <c r="D32"/>
  <c r="E8"/>
  <c r="B2"/>
  <c r="B1"/>
  <c r="E103" i="62"/>
  <c r="E102"/>
  <c r="E101"/>
  <c r="D92"/>
  <c r="D91"/>
  <c r="D90"/>
  <c r="E87"/>
  <c r="E76"/>
  <c r="C76"/>
  <c r="E75"/>
  <c r="C75"/>
  <c r="C71"/>
  <c r="E70"/>
  <c r="C65"/>
  <c r="C64"/>
  <c r="E63"/>
  <c r="E100" i="39" l="1" a="1"/>
  <c r="E100" s="1"/>
  <c r="G93"/>
  <c r="H93" s="1"/>
  <c r="I93" s="1"/>
  <c r="J93" s="1"/>
  <c r="K93" s="1"/>
  <c r="L93" s="1"/>
  <c r="M93" s="1"/>
  <c r="N93" s="1"/>
  <c r="O93" s="1"/>
  <c r="G92"/>
  <c r="H92" s="1"/>
  <c r="I92" s="1"/>
  <c r="J92" s="1"/>
  <c r="K92" s="1"/>
  <c r="L92" s="1"/>
  <c r="M92" s="1"/>
  <c r="N92" s="1"/>
  <c r="O92" s="1"/>
  <c r="G95"/>
  <c r="H95" s="1"/>
  <c r="I95" s="1"/>
  <c r="J95" s="1"/>
  <c r="K95" s="1"/>
  <c r="L95" s="1"/>
  <c r="M95" s="1"/>
  <c r="N95" s="1"/>
  <c r="O95" s="1"/>
  <c r="G94"/>
  <c r="H94" s="1"/>
  <c r="I94" s="1"/>
  <c r="J94" s="1"/>
  <c r="K94" s="1"/>
  <c r="L94" s="1"/>
  <c r="M94" s="1"/>
  <c r="N94" s="1"/>
  <c r="O94" s="1"/>
  <c r="F113"/>
  <c r="F112"/>
  <c r="F111"/>
  <c r="F110"/>
  <c r="E36"/>
  <c r="E35"/>
  <c r="E34"/>
  <c r="E33"/>
  <c r="E32"/>
  <c r="O254" i="40"/>
  <c r="O253"/>
  <c r="E102" i="39"/>
  <c r="M230" i="40"/>
  <c r="N238"/>
  <c r="O202" i="39"/>
  <c r="M202"/>
  <c r="K202"/>
  <c r="I202"/>
  <c r="G202"/>
  <c r="O198"/>
  <c r="M198"/>
  <c r="K198"/>
  <c r="I198"/>
  <c r="G198"/>
  <c r="N202"/>
  <c r="L202"/>
  <c r="J202"/>
  <c r="H202"/>
  <c r="F202"/>
  <c r="N198"/>
  <c r="L198"/>
  <c r="J198"/>
  <c r="H198"/>
  <c r="F198"/>
  <c r="E118" a="1"/>
  <c r="L113"/>
  <c r="O113"/>
  <c r="J113"/>
  <c r="L112"/>
  <c r="J112"/>
  <c r="O111"/>
  <c r="O112"/>
  <c r="L111"/>
  <c r="J111"/>
  <c r="O110"/>
  <c r="L109"/>
  <c r="L110"/>
  <c r="J110"/>
  <c r="O109"/>
  <c r="J109"/>
  <c r="F57" i="62"/>
  <c r="D57"/>
  <c r="E103" i="39" l="1"/>
  <c r="E101"/>
  <c r="N254" i="40"/>
  <c r="N253"/>
  <c r="K110" i="39"/>
  <c r="I110"/>
  <c r="G110"/>
  <c r="H110"/>
  <c r="K111"/>
  <c r="H111"/>
  <c r="I111"/>
  <c r="G111"/>
  <c r="H112"/>
  <c r="K112"/>
  <c r="I112"/>
  <c r="G112"/>
  <c r="K113"/>
  <c r="M113"/>
  <c r="N113"/>
  <c r="M110"/>
  <c r="N110"/>
  <c r="M111"/>
  <c r="N111"/>
  <c r="N112"/>
  <c r="M112"/>
  <c r="E121"/>
  <c r="E120"/>
  <c r="E119"/>
  <c r="L230" i="40"/>
  <c r="M238"/>
  <c r="K109" i="39"/>
  <c r="N109"/>
  <c r="M109"/>
  <c r="H113"/>
  <c r="I113"/>
  <c r="G113"/>
  <c r="F56" i="62"/>
  <c r="D56"/>
  <c r="D46"/>
  <c r="D45"/>
  <c r="H31"/>
  <c r="G31"/>
  <c r="O22"/>
  <c r="O14"/>
  <c r="O57"/>
  <c r="E8"/>
  <c r="B2"/>
  <c r="B1"/>
  <c r="E112" i="49"/>
  <c r="E111"/>
  <c r="E110"/>
  <c r="D101"/>
  <c r="M254" i="40" l="1"/>
  <c r="M253"/>
  <c r="O70" i="62"/>
  <c r="O71" s="1"/>
  <c r="K70"/>
  <c r="G70"/>
  <c r="L63"/>
  <c r="H63"/>
  <c r="N70"/>
  <c r="L70"/>
  <c r="J70"/>
  <c r="H70"/>
  <c r="F70"/>
  <c r="O63"/>
  <c r="M63"/>
  <c r="K63"/>
  <c r="I63"/>
  <c r="G63"/>
  <c r="M70"/>
  <c r="I70"/>
  <c r="N63"/>
  <c r="J63"/>
  <c r="F63"/>
  <c r="J57"/>
  <c r="N57"/>
  <c r="M57" s="1"/>
  <c r="K57"/>
  <c r="L57"/>
  <c r="I57"/>
  <c r="G57"/>
  <c r="H57"/>
  <c r="K230" i="40"/>
  <c r="L238"/>
  <c r="N120" i="39"/>
  <c r="O120"/>
  <c r="M120"/>
  <c r="K120"/>
  <c r="G120"/>
  <c r="J120"/>
  <c r="H120"/>
  <c r="I120"/>
  <c r="O56" i="62"/>
  <c r="F100" i="39"/>
  <c r="E118"/>
  <c r="K119"/>
  <c r="G119"/>
  <c r="O119"/>
  <c r="L119"/>
  <c r="J119"/>
  <c r="H119"/>
  <c r="N119"/>
  <c r="I119"/>
  <c r="N121"/>
  <c r="I121"/>
  <c r="O121"/>
  <c r="L121"/>
  <c r="J121"/>
  <c r="H121"/>
  <c r="K121"/>
  <c r="G121"/>
  <c r="D100" i="49"/>
  <c r="D99"/>
  <c r="O96"/>
  <c r="E85"/>
  <c r="C85"/>
  <c r="E84"/>
  <c r="C84"/>
  <c r="C80"/>
  <c r="E79"/>
  <c r="O78"/>
  <c r="N78"/>
  <c r="M78"/>
  <c r="L78"/>
  <c r="K78"/>
  <c r="J78"/>
  <c r="I78"/>
  <c r="H78"/>
  <c r="G78"/>
  <c r="F78"/>
  <c r="E77"/>
  <c r="C72"/>
  <c r="C71"/>
  <c r="O100" i="39" l="1"/>
  <c r="K100"/>
  <c r="G100"/>
  <c r="L100"/>
  <c r="H100"/>
  <c r="M100"/>
  <c r="I100"/>
  <c r="N100"/>
  <c r="J100"/>
  <c r="L254" i="40"/>
  <c r="L253"/>
  <c r="L118" i="39"/>
  <c r="H118"/>
  <c r="O118"/>
  <c r="M118"/>
  <c r="K118"/>
  <c r="I118"/>
  <c r="G118"/>
  <c r="N118"/>
  <c r="J118"/>
  <c r="K65" i="62"/>
  <c r="J65" s="1"/>
  <c r="O65"/>
  <c r="O76" s="1"/>
  <c r="O64"/>
  <c r="G65"/>
  <c r="N71"/>
  <c r="M71" s="1"/>
  <c r="L71" s="1"/>
  <c r="K71" s="1"/>
  <c r="J71" s="1"/>
  <c r="I71" s="1"/>
  <c r="H71" s="1"/>
  <c r="G71" s="1"/>
  <c r="F71" s="1"/>
  <c r="M121" i="39"/>
  <c r="M119"/>
  <c r="N56" i="62"/>
  <c r="L56"/>
  <c r="J56"/>
  <c r="J64" s="1"/>
  <c r="H56"/>
  <c r="H64" s="1"/>
  <c r="M56"/>
  <c r="K56"/>
  <c r="K64" s="1"/>
  <c r="I56"/>
  <c r="I64" s="1"/>
  <c r="G56"/>
  <c r="L120" i="39"/>
  <c r="J230" i="40"/>
  <c r="K238"/>
  <c r="F65" i="62"/>
  <c r="F64"/>
  <c r="I65"/>
  <c r="H65" s="1"/>
  <c r="N65"/>
  <c r="M65"/>
  <c r="L65"/>
  <c r="E70" i="49"/>
  <c r="O69"/>
  <c r="N69"/>
  <c r="M69"/>
  <c r="L69"/>
  <c r="K69"/>
  <c r="J69"/>
  <c r="I69"/>
  <c r="H69"/>
  <c r="G69"/>
  <c r="F69"/>
  <c r="E68"/>
  <c r="N178" i="39" l="1" a="1"/>
  <c r="N171" a="1"/>
  <c r="N164" a="1"/>
  <c r="N157" a="1"/>
  <c r="I178" a="1"/>
  <c r="I171" a="1"/>
  <c r="I157" a="1"/>
  <c r="M178" a="1"/>
  <c r="M171" a="1"/>
  <c r="M174" s="1"/>
  <c r="M164" a="1"/>
  <c r="M157" a="1"/>
  <c r="M160" s="1"/>
  <c r="H178" a="1"/>
  <c r="H171" a="1"/>
  <c r="H164" a="1"/>
  <c r="H165" s="1"/>
  <c r="J178" a="1"/>
  <c r="J164" a="1"/>
  <c r="J157" a="1"/>
  <c r="G178" a="1"/>
  <c r="G171" a="1"/>
  <c r="G164" a="1"/>
  <c r="K178" a="1"/>
  <c r="K171" a="1"/>
  <c r="K164" a="1"/>
  <c r="O178" a="1"/>
  <c r="O179" s="1"/>
  <c r="O171" a="1"/>
  <c r="O157" a="1"/>
  <c r="L178" a="1"/>
  <c r="L171" a="1"/>
  <c r="L173" s="1"/>
  <c r="L164" a="1"/>
  <c r="F75" i="62"/>
  <c r="F91" s="1"/>
  <c r="K254" i="40"/>
  <c r="K253"/>
  <c r="J180" i="39"/>
  <c r="G173"/>
  <c r="K173"/>
  <c r="N159"/>
  <c r="N173"/>
  <c r="G166"/>
  <c r="G180"/>
  <c r="O159"/>
  <c r="J159"/>
  <c r="O180"/>
  <c r="K180"/>
  <c r="J166"/>
  <c r="M159"/>
  <c r="H180"/>
  <c r="M173"/>
  <c r="H166"/>
  <c r="K75" i="62"/>
  <c r="G64"/>
  <c r="G75" s="1"/>
  <c r="G91" s="1"/>
  <c r="I159" i="39"/>
  <c r="J75" i="62"/>
  <c r="K91"/>
  <c r="L180" i="39"/>
  <c r="L166"/>
  <c r="M181"/>
  <c r="M167"/>
  <c r="I230" i="40"/>
  <c r="J238"/>
  <c r="M165" i="39"/>
  <c r="N64" i="62"/>
  <c r="O75"/>
  <c r="N171" i="39"/>
  <c r="N157"/>
  <c r="I171"/>
  <c r="I157"/>
  <c r="M178"/>
  <c r="M171"/>
  <c r="M164"/>
  <c r="M157"/>
  <c r="H178"/>
  <c r="H171"/>
  <c r="H164"/>
  <c r="M166"/>
  <c r="M180"/>
  <c r="M179" s="1"/>
  <c r="H173"/>
  <c r="J164"/>
  <c r="J157"/>
  <c r="G178"/>
  <c r="G171"/>
  <c r="G164"/>
  <c r="K171"/>
  <c r="O178"/>
  <c r="O171"/>
  <c r="O157"/>
  <c r="L171"/>
  <c r="N76" i="62"/>
  <c r="M76" s="1"/>
  <c r="L76" s="1"/>
  <c r="K76" s="1"/>
  <c r="J76" s="1"/>
  <c r="I76" s="1"/>
  <c r="H76" s="1"/>
  <c r="G76" s="1"/>
  <c r="F76" s="1"/>
  <c r="I180" i="39"/>
  <c r="F57" i="49"/>
  <c r="D57"/>
  <c r="L167" i="39" l="1"/>
  <c r="L165"/>
  <c r="L164"/>
  <c r="L181"/>
  <c r="L179"/>
  <c r="L178"/>
  <c r="O174"/>
  <c r="O172"/>
  <c r="O173"/>
  <c r="K165"/>
  <c r="K167"/>
  <c r="K166"/>
  <c r="K164"/>
  <c r="K179"/>
  <c r="K181"/>
  <c r="K178"/>
  <c r="G174"/>
  <c r="G172"/>
  <c r="J160"/>
  <c r="J158"/>
  <c r="J179"/>
  <c r="J181"/>
  <c r="J178"/>
  <c r="H174"/>
  <c r="H172"/>
  <c r="I160"/>
  <c r="I158"/>
  <c r="I181"/>
  <c r="I179"/>
  <c r="N165"/>
  <c r="N167"/>
  <c r="N179"/>
  <c r="N180"/>
  <c r="N181"/>
  <c r="I178"/>
  <c r="N164"/>
  <c r="N178"/>
  <c r="M158"/>
  <c r="M161" s="1"/>
  <c r="M197" s="1"/>
  <c r="M199" s="1"/>
  <c r="M172"/>
  <c r="M175" s="1"/>
  <c r="M231" s="1"/>
  <c r="N166"/>
  <c r="L174"/>
  <c r="L172"/>
  <c r="O160"/>
  <c r="O158"/>
  <c r="K174"/>
  <c r="K172"/>
  <c r="G167"/>
  <c r="G165"/>
  <c r="G179"/>
  <c r="G181"/>
  <c r="J167"/>
  <c r="J165"/>
  <c r="H179"/>
  <c r="H181"/>
  <c r="I173"/>
  <c r="I174"/>
  <c r="I172"/>
  <c r="N160"/>
  <c r="N158"/>
  <c r="N174"/>
  <c r="N172"/>
  <c r="J254" i="40"/>
  <c r="J253"/>
  <c r="J82" i="62" a="1"/>
  <c r="J81" a="1"/>
  <c r="J80" a="1"/>
  <c r="G81" a="1"/>
  <c r="G81" s="1"/>
  <c r="G80" a="1"/>
  <c r="G82" a="1"/>
  <c r="G82" s="1"/>
  <c r="M168" i="39"/>
  <c r="F81" i="62" a="1"/>
  <c r="F81" s="1"/>
  <c r="F82" a="1"/>
  <c r="F82" s="1"/>
  <c r="O82" a="1"/>
  <c r="O80" a="1"/>
  <c r="O81" a="1"/>
  <c r="K81" a="1"/>
  <c r="K81" s="1"/>
  <c r="K80" a="1"/>
  <c r="K80" s="1"/>
  <c r="K82" a="1"/>
  <c r="K82" s="1"/>
  <c r="J91"/>
  <c r="F80" a="1"/>
  <c r="F80" s="1"/>
  <c r="O164" i="39" a="1"/>
  <c r="H157" a="1"/>
  <c r="O90" i="62"/>
  <c r="O91"/>
  <c r="O81"/>
  <c r="O102" s="1"/>
  <c r="O80"/>
  <c r="O101" s="1"/>
  <c r="O82"/>
  <c r="I75"/>
  <c r="J90"/>
  <c r="J80"/>
  <c r="J81"/>
  <c r="J82"/>
  <c r="G80"/>
  <c r="L157" i="39" a="1"/>
  <c r="K157" a="1"/>
  <c r="G157" a="1"/>
  <c r="J171" a="1"/>
  <c r="M64" i="62"/>
  <c r="N75"/>
  <c r="N80" s="1" a="1"/>
  <c r="H230" i="40"/>
  <c r="I238"/>
  <c r="M182" i="39"/>
  <c r="M232" s="1"/>
  <c r="F56" i="49"/>
  <c r="D56"/>
  <c r="D48"/>
  <c r="D47"/>
  <c r="H32"/>
  <c r="G32"/>
  <c r="O23"/>
  <c r="O15"/>
  <c r="E8"/>
  <c r="B2"/>
  <c r="B1"/>
  <c r="E343" i="61"/>
  <c r="E342"/>
  <c r="E341"/>
  <c r="D332"/>
  <c r="D331"/>
  <c r="D330"/>
  <c r="D329"/>
  <c r="D328"/>
  <c r="D327"/>
  <c r="D326"/>
  <c r="D325"/>
  <c r="O322"/>
  <c r="H175" i="39" l="1"/>
  <c r="H231" s="1"/>
  <c r="I182"/>
  <c r="I232" s="1"/>
  <c r="N175"/>
  <c r="N231" s="1"/>
  <c r="N161"/>
  <c r="N197" s="1"/>
  <c r="N199" s="1"/>
  <c r="I175"/>
  <c r="H182"/>
  <c r="G182"/>
  <c r="F182" s="1"/>
  <c r="K175"/>
  <c r="K231" s="1"/>
  <c r="O161"/>
  <c r="O197" s="1"/>
  <c r="O199" s="1"/>
  <c r="L175"/>
  <c r="L231" s="1"/>
  <c r="N182"/>
  <c r="J161"/>
  <c r="J197" s="1"/>
  <c r="J199" s="1"/>
  <c r="K182"/>
  <c r="O175"/>
  <c r="O231" s="1"/>
  <c r="L168"/>
  <c r="L230" s="1"/>
  <c r="J168"/>
  <c r="G168"/>
  <c r="I161"/>
  <c r="I197" s="1"/>
  <c r="I199" s="1"/>
  <c r="G175"/>
  <c r="L182"/>
  <c r="L232" s="1"/>
  <c r="O181"/>
  <c r="O182" s="1"/>
  <c r="O232" s="1"/>
  <c r="N232" s="1"/>
  <c r="F232"/>
  <c r="O229"/>
  <c r="H160"/>
  <c r="H158"/>
  <c r="H159"/>
  <c r="H157"/>
  <c r="O167"/>
  <c r="O165"/>
  <c r="O166"/>
  <c r="O164"/>
  <c r="J174"/>
  <c r="J173"/>
  <c r="J172"/>
  <c r="J171"/>
  <c r="G158"/>
  <c r="G160"/>
  <c r="G159"/>
  <c r="G157"/>
  <c r="K160"/>
  <c r="K158"/>
  <c r="K159"/>
  <c r="K157"/>
  <c r="L160"/>
  <c r="L158"/>
  <c r="L159"/>
  <c r="L157"/>
  <c r="N168"/>
  <c r="J182"/>
  <c r="K168"/>
  <c r="I254" i="40"/>
  <c r="I253"/>
  <c r="M229" i="39"/>
  <c r="I81" i="62" a="1"/>
  <c r="I81" s="1"/>
  <c r="I80" a="1"/>
  <c r="I80" s="1"/>
  <c r="I82" a="1"/>
  <c r="I82" s="1"/>
  <c r="O57" i="49"/>
  <c r="O56"/>
  <c r="G230" i="40"/>
  <c r="H238"/>
  <c r="L64" i="62"/>
  <c r="L75" s="1"/>
  <c r="M75"/>
  <c r="F161" i="39"/>
  <c r="L77" i="49"/>
  <c r="H77"/>
  <c r="F77"/>
  <c r="O77"/>
  <c r="O79" s="1"/>
  <c r="M77"/>
  <c r="K77"/>
  <c r="I77"/>
  <c r="G77"/>
  <c r="N77"/>
  <c r="J77"/>
  <c r="N68"/>
  <c r="L68"/>
  <c r="J68"/>
  <c r="H68"/>
  <c r="F68"/>
  <c r="O68"/>
  <c r="O70" s="1"/>
  <c r="M68"/>
  <c r="K68"/>
  <c r="I68"/>
  <c r="G68"/>
  <c r="N90" i="62"/>
  <c r="N80"/>
  <c r="N101" s="1"/>
  <c r="H75"/>
  <c r="I91"/>
  <c r="I90"/>
  <c r="N91"/>
  <c r="E310" i="61"/>
  <c r="C309"/>
  <c r="C308"/>
  <c r="C307"/>
  <c r="C306"/>
  <c r="C305"/>
  <c r="C304"/>
  <c r="C303"/>
  <c r="C302"/>
  <c r="C301"/>
  <c r="E297"/>
  <c r="C296"/>
  <c r="C295"/>
  <c r="C294"/>
  <c r="C293"/>
  <c r="C292"/>
  <c r="C291"/>
  <c r="C290"/>
  <c r="C289"/>
  <c r="C288"/>
  <c r="E284"/>
  <c r="C283"/>
  <c r="C282"/>
  <c r="C281"/>
  <c r="C280"/>
  <c r="C279"/>
  <c r="C278"/>
  <c r="C277"/>
  <c r="C276"/>
  <c r="C275"/>
  <c r="D270"/>
  <c r="D269"/>
  <c r="D268"/>
  <c r="E267"/>
  <c r="E261"/>
  <c r="C260"/>
  <c r="C259"/>
  <c r="C258"/>
  <c r="C257"/>
  <c r="C256"/>
  <c r="C255"/>
  <c r="C254"/>
  <c r="C253"/>
  <c r="C252"/>
  <c r="D247"/>
  <c r="D246"/>
  <c r="D245"/>
  <c r="D244"/>
  <c r="D243"/>
  <c r="D242"/>
  <c r="D241"/>
  <c r="D240"/>
  <c r="D239"/>
  <c r="D238"/>
  <c r="D237"/>
  <c r="D236"/>
  <c r="D235"/>
  <c r="E234"/>
  <c r="E229"/>
  <c r="C228"/>
  <c r="C227"/>
  <c r="C226"/>
  <c r="C225"/>
  <c r="C224"/>
  <c r="C223"/>
  <c r="C222"/>
  <c r="C221"/>
  <c r="C220"/>
  <c r="D215"/>
  <c r="D214"/>
  <c r="D213"/>
  <c r="D212"/>
  <c r="D211"/>
  <c r="D210"/>
  <c r="D209"/>
  <c r="D208"/>
  <c r="D207"/>
  <c r="D206"/>
  <c r="D205"/>
  <c r="D204"/>
  <c r="G231" i="39" l="1"/>
  <c r="K232"/>
  <c r="J232" s="1"/>
  <c r="H232"/>
  <c r="G232" s="1"/>
  <c r="N229"/>
  <c r="O168"/>
  <c r="O230" s="1"/>
  <c r="H161"/>
  <c r="H197" s="1"/>
  <c r="H199" s="1"/>
  <c r="N230"/>
  <c r="M230" s="1"/>
  <c r="M91" i="62"/>
  <c r="F229" i="39"/>
  <c r="F197"/>
  <c r="F199" s="1"/>
  <c r="K230"/>
  <c r="J230" s="1"/>
  <c r="L161"/>
  <c r="K161"/>
  <c r="K197" s="1"/>
  <c r="K199" s="1"/>
  <c r="G161"/>
  <c r="G197" s="1"/>
  <c r="G199" s="1"/>
  <c r="J175"/>
  <c r="J231" s="1"/>
  <c r="I231" s="1"/>
  <c r="H254" i="40"/>
  <c r="H253"/>
  <c r="L91" i="62"/>
  <c r="L82" a="1"/>
  <c r="L81" a="1"/>
  <c r="L81" s="1"/>
  <c r="L80" a="1"/>
  <c r="H82" a="1"/>
  <c r="H81" a="1"/>
  <c r="H80" a="1"/>
  <c r="H80" s="1"/>
  <c r="M81" a="1"/>
  <c r="M80" a="1"/>
  <c r="M80" s="1"/>
  <c r="M101" s="1"/>
  <c r="M82" a="1"/>
  <c r="H91"/>
  <c r="H90"/>
  <c r="H82"/>
  <c r="H81"/>
  <c r="L90"/>
  <c r="L80"/>
  <c r="L82"/>
  <c r="F230" i="40"/>
  <c r="G238"/>
  <c r="N57" i="49"/>
  <c r="L57"/>
  <c r="M57"/>
  <c r="K57"/>
  <c r="I57"/>
  <c r="G57"/>
  <c r="J57"/>
  <c r="H57"/>
  <c r="N70"/>
  <c r="O71"/>
  <c r="O72"/>
  <c r="O85" s="1"/>
  <c r="N79"/>
  <c r="M79" s="1"/>
  <c r="L79" s="1"/>
  <c r="K79" s="1"/>
  <c r="J79" s="1"/>
  <c r="I79" s="1"/>
  <c r="H79" s="1"/>
  <c r="G79" s="1"/>
  <c r="F79" s="1"/>
  <c r="O80"/>
  <c r="M90" i="62"/>
  <c r="N56" i="49"/>
  <c r="M56" s="1"/>
  <c r="K56"/>
  <c r="I56"/>
  <c r="G56"/>
  <c r="L56"/>
  <c r="J56"/>
  <c r="H56"/>
  <c r="D203" i="61"/>
  <c r="L197" i="39" l="1"/>
  <c r="L199" s="1"/>
  <c r="L229"/>
  <c r="K229" s="1"/>
  <c r="J229" s="1"/>
  <c r="I229" s="1"/>
  <c r="H229" s="1"/>
  <c r="G229" s="1"/>
  <c r="G254" i="40"/>
  <c r="G253"/>
  <c r="O229"/>
  <c r="O237" s="1"/>
  <c r="F238"/>
  <c r="L101" i="62"/>
  <c r="M70" i="49"/>
  <c r="N72"/>
  <c r="N85" s="1"/>
  <c r="G90" i="62"/>
  <c r="F90" s="1"/>
  <c r="N80" i="49"/>
  <c r="M80" s="1"/>
  <c r="L80" s="1"/>
  <c r="K80" s="1"/>
  <c r="J80" s="1"/>
  <c r="I80" s="1"/>
  <c r="H80" s="1"/>
  <c r="G80" s="1"/>
  <c r="F80" s="1"/>
  <c r="N71"/>
  <c r="O84"/>
  <c r="N229" i="40"/>
  <c r="K90" i="62"/>
  <c r="E202" i="61"/>
  <c r="D189"/>
  <c r="N84" i="49" l="1"/>
  <c r="F254" i="40"/>
  <c r="F253"/>
  <c r="O252"/>
  <c r="O251"/>
  <c r="O250"/>
  <c r="O91" i="49" a="1"/>
  <c r="O90" a="1"/>
  <c r="O89" a="1"/>
  <c r="N91" a="1"/>
  <c r="N90" a="1"/>
  <c r="N89" a="1"/>
  <c r="M229" i="40"/>
  <c r="N237"/>
  <c r="N100" i="49"/>
  <c r="L70"/>
  <c r="M71"/>
  <c r="M84" s="1"/>
  <c r="M72"/>
  <c r="M85" s="1"/>
  <c r="K101" i="62"/>
  <c r="O100" i="49"/>
  <c r="O99"/>
  <c r="O90"/>
  <c r="O111" s="1"/>
  <c r="O89"/>
  <c r="O110" s="1"/>
  <c r="O91"/>
  <c r="D188" i="61"/>
  <c r="N90" i="49" l="1"/>
  <c r="N89"/>
  <c r="N110" s="1"/>
  <c r="N91"/>
  <c r="N252" i="40"/>
  <c r="N251"/>
  <c r="N250"/>
  <c r="N111" i="49"/>
  <c r="M91" a="1"/>
  <c r="M91" s="1"/>
  <c r="M90" a="1"/>
  <c r="M89" a="1"/>
  <c r="M89" s="1"/>
  <c r="M100"/>
  <c r="M99"/>
  <c r="M90"/>
  <c r="M111" s="1"/>
  <c r="J101" i="62"/>
  <c r="N99" i="49"/>
  <c r="K70"/>
  <c r="L72"/>
  <c r="L71"/>
  <c r="L84" s="1"/>
  <c r="L85"/>
  <c r="L229" i="40"/>
  <c r="M237"/>
  <c r="D187" i="61"/>
  <c r="D182"/>
  <c r="M252" i="40" l="1"/>
  <c r="M251"/>
  <c r="M250"/>
  <c r="K72" i="49"/>
  <c r="K85" s="1"/>
  <c r="L91" a="1"/>
  <c r="L91" s="1"/>
  <c r="L90" a="1"/>
  <c r="L90" s="1"/>
  <c r="L111" s="1"/>
  <c r="L89" a="1"/>
  <c r="L89" s="1"/>
  <c r="L100"/>
  <c r="L99"/>
  <c r="J70"/>
  <c r="J72" s="1"/>
  <c r="J85" s="1"/>
  <c r="K71"/>
  <c r="K84" s="1"/>
  <c r="M110"/>
  <c r="I101" i="62"/>
  <c r="K229" i="40"/>
  <c r="L237"/>
  <c r="D181" i="61"/>
  <c r="D180"/>
  <c r="D179"/>
  <c r="D178"/>
  <c r="D177"/>
  <c r="D176"/>
  <c r="D175"/>
  <c r="D174"/>
  <c r="D173"/>
  <c r="D172"/>
  <c r="D171"/>
  <c r="F170" a="1"/>
  <c r="F181" s="1"/>
  <c r="D170"/>
  <c r="F157"/>
  <c r="D156"/>
  <c r="D155"/>
  <c r="D154"/>
  <c r="F151"/>
  <c r="D150"/>
  <c r="D149"/>
  <c r="D148"/>
  <c r="D147"/>
  <c r="D146"/>
  <c r="D145"/>
  <c r="D144"/>
  <c r="D143"/>
  <c r="D142"/>
  <c r="D141"/>
  <c r="D140"/>
  <c r="D139"/>
  <c r="D138"/>
  <c r="O133"/>
  <c r="D133"/>
  <c r="O132"/>
  <c r="D132"/>
  <c r="O131"/>
  <c r="D131"/>
  <c r="N129"/>
  <c r="M129"/>
  <c r="L129"/>
  <c r="K129"/>
  <c r="J129"/>
  <c r="I129"/>
  <c r="H129"/>
  <c r="G129"/>
  <c r="F129"/>
  <c r="O125"/>
  <c r="D125"/>
  <c r="O124"/>
  <c r="D124"/>
  <c r="O123"/>
  <c r="D123"/>
  <c r="O122"/>
  <c r="D122"/>
  <c r="O121"/>
  <c r="D121"/>
  <c r="O120"/>
  <c r="D120"/>
  <c r="O119"/>
  <c r="D119"/>
  <c r="O118"/>
  <c r="D118"/>
  <c r="O117"/>
  <c r="D117"/>
  <c r="O116"/>
  <c r="D116"/>
  <c r="O115"/>
  <c r="D115"/>
  <c r="O114"/>
  <c r="D114"/>
  <c r="O113"/>
  <c r="D113"/>
  <c r="N111"/>
  <c r="M111"/>
  <c r="L111"/>
  <c r="K111"/>
  <c r="J111"/>
  <c r="I111"/>
  <c r="H111"/>
  <c r="G111"/>
  <c r="F111"/>
  <c r="O107"/>
  <c r="D107"/>
  <c r="O106"/>
  <c r="D106"/>
  <c r="O105"/>
  <c r="D105"/>
  <c r="O104"/>
  <c r="D104"/>
  <c r="O103"/>
  <c r="D103"/>
  <c r="O102"/>
  <c r="D102"/>
  <c r="O101"/>
  <c r="D101"/>
  <c r="O100"/>
  <c r="D100"/>
  <c r="O99"/>
  <c r="D99"/>
  <c r="O98"/>
  <c r="D98"/>
  <c r="O97"/>
  <c r="D97"/>
  <c r="O96"/>
  <c r="D96"/>
  <c r="O95"/>
  <c r="D95"/>
  <c r="N93"/>
  <c r="M93"/>
  <c r="L93"/>
  <c r="K93"/>
  <c r="J93"/>
  <c r="I93"/>
  <c r="H93"/>
  <c r="G93"/>
  <c r="F93"/>
  <c r="O44"/>
  <c r="O36"/>
  <c r="O28"/>
  <c r="E10"/>
  <c r="F172" l="1"/>
  <c r="F174"/>
  <c r="F176"/>
  <c r="F178"/>
  <c r="F180"/>
  <c r="F182"/>
  <c r="F171"/>
  <c r="F170" s="1"/>
  <c r="F173"/>
  <c r="F175"/>
  <c r="F177"/>
  <c r="F179"/>
  <c r="L252" i="40"/>
  <c r="L251"/>
  <c r="L250"/>
  <c r="K91" i="49" a="1"/>
  <c r="K91" s="1"/>
  <c r="K90" a="1"/>
  <c r="K90" s="1"/>
  <c r="K111" s="1"/>
  <c r="K89" a="1"/>
  <c r="K89" s="1"/>
  <c r="K100"/>
  <c r="K99"/>
  <c r="J229" i="40"/>
  <c r="K237"/>
  <c r="H101" i="62"/>
  <c r="L110" i="49"/>
  <c r="I70"/>
  <c r="J71"/>
  <c r="J84" s="1"/>
  <c r="E9" i="61"/>
  <c r="E22" s="1"/>
  <c r="E8"/>
  <c r="B2"/>
  <c r="B1"/>
  <c r="E596" i="36"/>
  <c r="E595"/>
  <c r="E594"/>
  <c r="D584"/>
  <c r="D583"/>
  <c r="D582"/>
  <c r="D581"/>
  <c r="D580"/>
  <c r="D579"/>
  <c r="D578"/>
  <c r="D577"/>
  <c r="D576"/>
  <c r="O573"/>
  <c r="E562"/>
  <c r="E188" i="61" l="1"/>
  <c r="E182"/>
  <c r="E180"/>
  <c r="E178"/>
  <c r="E176"/>
  <c r="E174"/>
  <c r="E172"/>
  <c r="E170"/>
  <c r="E189"/>
  <c r="E187"/>
  <c r="E181"/>
  <c r="E179"/>
  <c r="E177"/>
  <c r="E175"/>
  <c r="E173"/>
  <c r="E171"/>
  <c r="K252" i="40"/>
  <c r="K251"/>
  <c r="K250"/>
  <c r="J91" i="49" a="1"/>
  <c r="J91" s="1"/>
  <c r="J90" a="1"/>
  <c r="J90" s="1"/>
  <c r="J111" s="1"/>
  <c r="J89" a="1"/>
  <c r="J89" s="1"/>
  <c r="J100"/>
  <c r="O267" i="61"/>
  <c r="M267"/>
  <c r="K267"/>
  <c r="I267"/>
  <c r="G267"/>
  <c r="N267"/>
  <c r="L267"/>
  <c r="J267"/>
  <c r="H267"/>
  <c r="F267"/>
  <c r="F268" s="1" a="1"/>
  <c r="O234"/>
  <c r="L234"/>
  <c r="J234"/>
  <c r="H234"/>
  <c r="K234"/>
  <c r="G234"/>
  <c r="N234"/>
  <c r="I234"/>
  <c r="M202"/>
  <c r="I202"/>
  <c r="N202"/>
  <c r="L202"/>
  <c r="J202"/>
  <c r="H202"/>
  <c r="O202"/>
  <c r="K202"/>
  <c r="G202"/>
  <c r="F202"/>
  <c r="F203" s="1" a="1"/>
  <c r="J99" i="49"/>
  <c r="H70"/>
  <c r="I71"/>
  <c r="I84" s="1"/>
  <c r="I72"/>
  <c r="I85" s="1"/>
  <c r="K110"/>
  <c r="G101" i="62"/>
  <c r="I229" i="40"/>
  <c r="J237"/>
  <c r="C561" i="36"/>
  <c r="C560"/>
  <c r="C559"/>
  <c r="C558"/>
  <c r="C557"/>
  <c r="C556"/>
  <c r="C555"/>
  <c r="C554"/>
  <c r="C553"/>
  <c r="F268" i="61" l="1"/>
  <c r="F270"/>
  <c r="F269"/>
  <c r="J110" i="49"/>
  <c r="J252" i="40"/>
  <c r="J251"/>
  <c r="J250"/>
  <c r="G187" i="61"/>
  <c r="G268" s="1" a="1"/>
  <c r="I91" i="49" a="1"/>
  <c r="I91" s="1"/>
  <c r="I90" a="1"/>
  <c r="I90" s="1"/>
  <c r="I111" s="1"/>
  <c r="I89" a="1"/>
  <c r="I89" s="1"/>
  <c r="I110" s="1"/>
  <c r="G178" i="61"/>
  <c r="G170"/>
  <c r="I100" i="49"/>
  <c r="I99"/>
  <c r="H229" i="40"/>
  <c r="I237"/>
  <c r="F101" i="62"/>
  <c r="G70" i="49"/>
  <c r="H71"/>
  <c r="H84" s="1"/>
  <c r="H72"/>
  <c r="F212" i="61"/>
  <c r="F208"/>
  <c r="F203"/>
  <c r="F215"/>
  <c r="F213"/>
  <c r="F211"/>
  <c r="F209"/>
  <c r="F207"/>
  <c r="F205"/>
  <c r="F204" s="1"/>
  <c r="F214"/>
  <c r="F210"/>
  <c r="F206"/>
  <c r="F234"/>
  <c r="H85" i="49"/>
  <c r="G174" i="61"/>
  <c r="G180"/>
  <c r="G171"/>
  <c r="G175"/>
  <c r="G179"/>
  <c r="G172"/>
  <c r="G188"/>
  <c r="G189"/>
  <c r="M234"/>
  <c r="G173"/>
  <c r="G177"/>
  <c r="G181"/>
  <c r="G176"/>
  <c r="G182"/>
  <c r="G269" l="1"/>
  <c r="G270"/>
  <c r="G268"/>
  <c r="F228" a="1"/>
  <c r="F228" s="1"/>
  <c r="F226" a="1"/>
  <c r="F224" a="1"/>
  <c r="F224" s="1"/>
  <c r="F222" a="1"/>
  <c r="F220" a="1"/>
  <c r="F227" a="1"/>
  <c r="F225" a="1"/>
  <c r="F223" a="1"/>
  <c r="F221" a="1"/>
  <c r="F221" s="1"/>
  <c r="I252" i="40"/>
  <c r="I251"/>
  <c r="I250"/>
  <c r="H91" i="49" a="1"/>
  <c r="H91" s="1"/>
  <c r="H90" a="1"/>
  <c r="H90" s="1"/>
  <c r="H111" s="1"/>
  <c r="H89" a="1"/>
  <c r="H89" s="1"/>
  <c r="H110" s="1"/>
  <c r="H100"/>
  <c r="H99"/>
  <c r="G203" i="61" a="1"/>
  <c r="G211" s="1"/>
  <c r="F70" i="49"/>
  <c r="F71" s="1"/>
  <c r="G72"/>
  <c r="G85" s="1"/>
  <c r="G71"/>
  <c r="G84" s="1"/>
  <c r="G229" i="40"/>
  <c r="H237"/>
  <c r="G205" i="61"/>
  <c r="G215"/>
  <c r="G235" a="1"/>
  <c r="G243" s="1"/>
  <c r="F226"/>
  <c r="F223"/>
  <c r="F227"/>
  <c r="F225"/>
  <c r="F222"/>
  <c r="F216"/>
  <c r="F220"/>
  <c r="G204" l="1"/>
  <c r="G203"/>
  <c r="G214"/>
  <c r="G207"/>
  <c r="G238"/>
  <c r="G235"/>
  <c r="G236"/>
  <c r="G241"/>
  <c r="G240"/>
  <c r="G246"/>
  <c r="G245"/>
  <c r="G242"/>
  <c r="G212"/>
  <c r="G209"/>
  <c r="G208"/>
  <c r="G239"/>
  <c r="G244"/>
  <c r="G210"/>
  <c r="G213"/>
  <c r="G237"/>
  <c r="G206"/>
  <c r="G247"/>
  <c r="H252" i="40"/>
  <c r="H251"/>
  <c r="H250"/>
  <c r="G91" i="49" a="1"/>
  <c r="G91" s="1"/>
  <c r="G90" a="1"/>
  <c r="G90" s="1"/>
  <c r="G111" s="1"/>
  <c r="G89" a="1"/>
  <c r="G89" s="1"/>
  <c r="G110" s="1"/>
  <c r="F229" i="61"/>
  <c r="F84" i="49"/>
  <c r="G100"/>
  <c r="G99"/>
  <c r="F229" i="40"/>
  <c r="O228" s="1"/>
  <c r="G237"/>
  <c r="F235" i="61" a="1"/>
  <c r="F72" i="49"/>
  <c r="F85" s="1"/>
  <c r="G227" i="61" l="1" a="1"/>
  <c r="G227" s="1"/>
  <c r="G248"/>
  <c r="G216"/>
  <c r="G260" a="1"/>
  <c r="G260" s="1"/>
  <c r="G257" a="1"/>
  <c r="G257" s="1"/>
  <c r="G255" a="1"/>
  <c r="G255" s="1"/>
  <c r="G253" a="1"/>
  <c r="G253" s="1"/>
  <c r="G259" a="1"/>
  <c r="G259" s="1"/>
  <c r="G258" a="1"/>
  <c r="G258" s="1"/>
  <c r="G256" a="1"/>
  <c r="G256" s="1"/>
  <c r="G254" a="1"/>
  <c r="G252" a="1"/>
  <c r="G252" s="1"/>
  <c r="G222" a="1"/>
  <c r="G222" s="1"/>
  <c r="G226" a="1"/>
  <c r="G226" s="1"/>
  <c r="G221" a="1"/>
  <c r="G221" s="1"/>
  <c r="G225" a="1"/>
  <c r="G225" s="1"/>
  <c r="G283" a="1"/>
  <c r="G283" s="1"/>
  <c r="G281" a="1"/>
  <c r="G281" s="1"/>
  <c r="G279" a="1"/>
  <c r="G279" s="1"/>
  <c r="G277" a="1"/>
  <c r="G277" s="1"/>
  <c r="G275" a="1"/>
  <c r="G275" s="1"/>
  <c r="G282" a="1"/>
  <c r="G282" s="1"/>
  <c r="G280" a="1"/>
  <c r="G280" s="1"/>
  <c r="G278" a="1"/>
  <c r="G278" s="1"/>
  <c r="G276" a="1"/>
  <c r="G276" s="1"/>
  <c r="G271"/>
  <c r="G254"/>
  <c r="F245"/>
  <c r="F241"/>
  <c r="F237"/>
  <c r="F246"/>
  <c r="F238"/>
  <c r="F240"/>
  <c r="F247"/>
  <c r="F243"/>
  <c r="F239"/>
  <c r="F235"/>
  <c r="F242"/>
  <c r="F244"/>
  <c r="F236"/>
  <c r="F282" a="1"/>
  <c r="F282" s="1"/>
  <c r="F280" a="1"/>
  <c r="F280" s="1"/>
  <c r="F278" a="1"/>
  <c r="F278" s="1"/>
  <c r="F276" a="1"/>
  <c r="F276" s="1"/>
  <c r="F283" a="1"/>
  <c r="F283" s="1"/>
  <c r="F281" a="1"/>
  <c r="F281" s="1"/>
  <c r="F279" a="1"/>
  <c r="F279" s="1"/>
  <c r="F277" a="1"/>
  <c r="F277" s="1"/>
  <c r="F275" a="1"/>
  <c r="F275" s="1"/>
  <c r="F271"/>
  <c r="G220" a="1"/>
  <c r="G220" s="1"/>
  <c r="G224" a="1"/>
  <c r="G224" s="1"/>
  <c r="G228" a="1"/>
  <c r="G228" s="1"/>
  <c r="G223" a="1"/>
  <c r="G223" s="1"/>
  <c r="G252" i="40"/>
  <c r="G251"/>
  <c r="G250"/>
  <c r="F91" i="49" a="1"/>
  <c r="F91" s="1"/>
  <c r="F90" a="1"/>
  <c r="F90" s="1"/>
  <c r="F111" s="1"/>
  <c r="F89" a="1"/>
  <c r="F89" s="1"/>
  <c r="F110" s="1"/>
  <c r="N228" i="40"/>
  <c r="O236"/>
  <c r="F99" i="49"/>
  <c r="F100"/>
  <c r="F237" i="40"/>
  <c r="E548" i="36"/>
  <c r="C547"/>
  <c r="G229" i="61" l="1"/>
  <c r="F284"/>
  <c r="F259" a="1"/>
  <c r="F259" s="1"/>
  <c r="F258" a="1"/>
  <c r="F258" s="1"/>
  <c r="F307" s="1"/>
  <c r="F256" a="1"/>
  <c r="F256" s="1"/>
  <c r="F254" a="1"/>
  <c r="F254" s="1"/>
  <c r="F252" a="1"/>
  <c r="F252" s="1"/>
  <c r="F260" a="1"/>
  <c r="F260" s="1"/>
  <c r="F257" a="1"/>
  <c r="F257" s="1"/>
  <c r="F255" a="1"/>
  <c r="F255" s="1"/>
  <c r="F253" a="1"/>
  <c r="F253" s="1"/>
  <c r="F248"/>
  <c r="G284"/>
  <c r="G261"/>
  <c r="F252" i="40"/>
  <c r="F251"/>
  <c r="F250"/>
  <c r="O249"/>
  <c r="O248"/>
  <c r="O247"/>
  <c r="O246"/>
  <c r="M228"/>
  <c r="N236"/>
  <c r="C546" i="36"/>
  <c r="C545"/>
  <c r="C544"/>
  <c r="C543"/>
  <c r="C542"/>
  <c r="C541"/>
  <c r="C540"/>
  <c r="F261" i="61" l="1"/>
  <c r="O256" i="40"/>
  <c r="O275" a="1"/>
  <c r="O261" a="1"/>
  <c r="O289" a="1"/>
  <c r="N249"/>
  <c r="N248"/>
  <c r="N247"/>
  <c r="N246"/>
  <c r="L228"/>
  <c r="M236"/>
  <c r="C539" i="36"/>
  <c r="E535"/>
  <c r="N256" i="40" l="1"/>
  <c r="N275" a="1"/>
  <c r="N261" a="1"/>
  <c r="N289" a="1"/>
  <c r="O269"/>
  <c r="O264"/>
  <c r="O268"/>
  <c r="O261"/>
  <c r="O265"/>
  <c r="O262"/>
  <c r="O266"/>
  <c r="O270"/>
  <c r="O263"/>
  <c r="O267"/>
  <c r="O297"/>
  <c r="O292"/>
  <c r="O296"/>
  <c r="O289"/>
  <c r="O293"/>
  <c r="O290"/>
  <c r="O294"/>
  <c r="O298"/>
  <c r="O291"/>
  <c r="O295"/>
  <c r="O283"/>
  <c r="O278"/>
  <c r="O282"/>
  <c r="O275"/>
  <c r="O279"/>
  <c r="O276"/>
  <c r="O280"/>
  <c r="O284"/>
  <c r="O277"/>
  <c r="O281"/>
  <c r="M249"/>
  <c r="M248"/>
  <c r="M247"/>
  <c r="M246"/>
  <c r="K228"/>
  <c r="L236"/>
  <c r="O304" l="1"/>
  <c r="O285"/>
  <c r="O299"/>
  <c r="O325" s="1"/>
  <c r="O271"/>
  <c r="N298"/>
  <c r="N297"/>
  <c r="N293"/>
  <c r="N289"/>
  <c r="N295"/>
  <c r="N291"/>
  <c r="N290"/>
  <c r="N294"/>
  <c r="N292"/>
  <c r="N296"/>
  <c r="N270"/>
  <c r="N267"/>
  <c r="N263"/>
  <c r="N269"/>
  <c r="N265"/>
  <c r="N261"/>
  <c r="N262"/>
  <c r="N266"/>
  <c r="N264"/>
  <c r="N268"/>
  <c r="M256"/>
  <c r="M289" a="1"/>
  <c r="M275" a="1"/>
  <c r="M261" a="1"/>
  <c r="N284"/>
  <c r="N281"/>
  <c r="N277"/>
  <c r="N283"/>
  <c r="N279"/>
  <c r="N275"/>
  <c r="N276"/>
  <c r="N280"/>
  <c r="N278"/>
  <c r="N282"/>
  <c r="O305"/>
  <c r="O303"/>
  <c r="L249"/>
  <c r="L248"/>
  <c r="L247"/>
  <c r="L246"/>
  <c r="J228"/>
  <c r="K236"/>
  <c r="C534" i="36"/>
  <c r="C533"/>
  <c r="C532"/>
  <c r="C531"/>
  <c r="C530"/>
  <c r="C529"/>
  <c r="C528"/>
  <c r="N304" i="40" l="1"/>
  <c r="O323"/>
  <c r="O311"/>
  <c r="O309"/>
  <c r="O310"/>
  <c r="N271"/>
  <c r="N299"/>
  <c r="N325" s="1"/>
  <c r="N285"/>
  <c r="L256"/>
  <c r="L289" a="1"/>
  <c r="L275" a="1"/>
  <c r="L261" a="1"/>
  <c r="M269"/>
  <c r="M262"/>
  <c r="M266"/>
  <c r="M270"/>
  <c r="M261"/>
  <c r="M265"/>
  <c r="M264"/>
  <c r="M268"/>
  <c r="M263"/>
  <c r="M267"/>
  <c r="M297"/>
  <c r="M290"/>
  <c r="M294"/>
  <c r="M298"/>
  <c r="M289"/>
  <c r="M293"/>
  <c r="M292"/>
  <c r="M296"/>
  <c r="M291"/>
  <c r="M295"/>
  <c r="N305"/>
  <c r="M283"/>
  <c r="M276"/>
  <c r="M280"/>
  <c r="M284"/>
  <c r="M275"/>
  <c r="M279"/>
  <c r="M278"/>
  <c r="M282"/>
  <c r="M277"/>
  <c r="M281"/>
  <c r="N303"/>
  <c r="K249"/>
  <c r="K248"/>
  <c r="K247"/>
  <c r="K246"/>
  <c r="I228"/>
  <c r="J236"/>
  <c r="C527" i="36"/>
  <c r="C526"/>
  <c r="M304" i="40" l="1"/>
  <c r="N310"/>
  <c r="N323"/>
  <c r="N311"/>
  <c r="N309"/>
  <c r="M285"/>
  <c r="M299"/>
  <c r="M325" s="1"/>
  <c r="M271"/>
  <c r="L270"/>
  <c r="L269"/>
  <c r="L265"/>
  <c r="L261"/>
  <c r="L267"/>
  <c r="L263"/>
  <c r="L262"/>
  <c r="L266"/>
  <c r="L264"/>
  <c r="L268"/>
  <c r="K256"/>
  <c r="K289" a="1"/>
  <c r="K275" a="1"/>
  <c r="K261" a="1"/>
  <c r="L284"/>
  <c r="L283"/>
  <c r="L279"/>
  <c r="L275"/>
  <c r="L281"/>
  <c r="L277"/>
  <c r="L276"/>
  <c r="L280"/>
  <c r="L278"/>
  <c r="L282"/>
  <c r="M303"/>
  <c r="L298"/>
  <c r="L293"/>
  <c r="L289"/>
  <c r="L295"/>
  <c r="L291"/>
  <c r="L290"/>
  <c r="L294"/>
  <c r="L297"/>
  <c r="L292"/>
  <c r="L296"/>
  <c r="M305"/>
  <c r="J249"/>
  <c r="J248"/>
  <c r="J247"/>
  <c r="J246"/>
  <c r="H228"/>
  <c r="I236"/>
  <c r="D521" i="36"/>
  <c r="D520"/>
  <c r="L304" i="40" l="1"/>
  <c r="M323"/>
  <c r="M311"/>
  <c r="M309"/>
  <c r="M310"/>
  <c r="L299"/>
  <c r="L325" s="1"/>
  <c r="L285"/>
  <c r="L271"/>
  <c r="J256"/>
  <c r="J289" a="1"/>
  <c r="J275" a="1"/>
  <c r="J261" a="1"/>
  <c r="K283"/>
  <c r="K278"/>
  <c r="K282"/>
  <c r="K275"/>
  <c r="K279"/>
  <c r="K276"/>
  <c r="K280"/>
  <c r="K284"/>
  <c r="K277"/>
  <c r="K281"/>
  <c r="L305"/>
  <c r="K269"/>
  <c r="K264"/>
  <c r="K268"/>
  <c r="K261"/>
  <c r="K265"/>
  <c r="K262"/>
  <c r="K266"/>
  <c r="K270"/>
  <c r="K263"/>
  <c r="K267"/>
  <c r="K297"/>
  <c r="K290"/>
  <c r="K294"/>
  <c r="K298"/>
  <c r="K289"/>
  <c r="K293"/>
  <c r="K292"/>
  <c r="K296"/>
  <c r="K291"/>
  <c r="K295"/>
  <c r="L303"/>
  <c r="I249"/>
  <c r="I248"/>
  <c r="I247"/>
  <c r="I246"/>
  <c r="G228"/>
  <c r="H236"/>
  <c r="K304" l="1"/>
  <c r="L310"/>
  <c r="L323"/>
  <c r="L311"/>
  <c r="L309"/>
  <c r="K299"/>
  <c r="K325" s="1"/>
  <c r="K285"/>
  <c r="K271"/>
  <c r="I256"/>
  <c r="I289" a="1"/>
  <c r="I275" a="1"/>
  <c r="I261" a="1"/>
  <c r="J284"/>
  <c r="J281"/>
  <c r="J277"/>
  <c r="J283"/>
  <c r="J279"/>
  <c r="J275"/>
  <c r="J276"/>
  <c r="J280"/>
  <c r="J278"/>
  <c r="J282"/>
  <c r="K305"/>
  <c r="K303"/>
  <c r="J270"/>
  <c r="J267"/>
  <c r="J263"/>
  <c r="J269"/>
  <c r="J265"/>
  <c r="J261"/>
  <c r="J262"/>
  <c r="J266"/>
  <c r="J264"/>
  <c r="J268"/>
  <c r="J298"/>
  <c r="J295"/>
  <c r="J291"/>
  <c r="J297"/>
  <c r="J293"/>
  <c r="J289"/>
  <c r="J290"/>
  <c r="J294"/>
  <c r="J292"/>
  <c r="J296"/>
  <c r="H249"/>
  <c r="H248"/>
  <c r="H247"/>
  <c r="H246"/>
  <c r="F228"/>
  <c r="G236"/>
  <c r="J304" l="1"/>
  <c r="K323"/>
  <c r="K311"/>
  <c r="K309"/>
  <c r="K310"/>
  <c r="J285"/>
  <c r="J299"/>
  <c r="J325" s="1"/>
  <c r="J271"/>
  <c r="H256"/>
  <c r="H261" a="1"/>
  <c r="H289" a="1"/>
  <c r="H275" a="1"/>
  <c r="I283"/>
  <c r="I276"/>
  <c r="I280"/>
  <c r="I284"/>
  <c r="I275"/>
  <c r="I279"/>
  <c r="I278"/>
  <c r="I282"/>
  <c r="I277"/>
  <c r="I281"/>
  <c r="J305"/>
  <c r="J303"/>
  <c r="I269"/>
  <c r="I262"/>
  <c r="I266"/>
  <c r="I270"/>
  <c r="I261"/>
  <c r="I265"/>
  <c r="I264"/>
  <c r="I268"/>
  <c r="I263"/>
  <c r="I267"/>
  <c r="I297"/>
  <c r="I292"/>
  <c r="I296"/>
  <c r="I289"/>
  <c r="I293"/>
  <c r="I290"/>
  <c r="I294"/>
  <c r="I298"/>
  <c r="I291"/>
  <c r="I295"/>
  <c r="G249"/>
  <c r="G248"/>
  <c r="G247"/>
  <c r="G246"/>
  <c r="O227"/>
  <c r="O235" s="1"/>
  <c r="F236"/>
  <c r="N227"/>
  <c r="I304" l="1"/>
  <c r="J310"/>
  <c r="J323"/>
  <c r="J311"/>
  <c r="J309"/>
  <c r="I271"/>
  <c r="I299"/>
  <c r="I325" s="1"/>
  <c r="I285"/>
  <c r="H284"/>
  <c r="H283"/>
  <c r="H279"/>
  <c r="H275"/>
  <c r="H281"/>
  <c r="H277"/>
  <c r="H276"/>
  <c r="H280"/>
  <c r="H278"/>
  <c r="H282"/>
  <c r="G256"/>
  <c r="G289" a="1"/>
  <c r="G275" a="1"/>
  <c r="G261" a="1"/>
  <c r="H298"/>
  <c r="H297"/>
  <c r="H293"/>
  <c r="H289"/>
  <c r="H295"/>
  <c r="H291"/>
  <c r="H290"/>
  <c r="H294"/>
  <c r="H292"/>
  <c r="H296"/>
  <c r="I305"/>
  <c r="H270"/>
  <c r="H267"/>
  <c r="H263"/>
  <c r="H265"/>
  <c r="H261"/>
  <c r="H262"/>
  <c r="H266"/>
  <c r="H269"/>
  <c r="H264"/>
  <c r="H268"/>
  <c r="I303"/>
  <c r="F249"/>
  <c r="F248"/>
  <c r="F247"/>
  <c r="F246"/>
  <c r="M227"/>
  <c r="N235"/>
  <c r="H305" l="1"/>
  <c r="H304"/>
  <c r="I323"/>
  <c r="I311"/>
  <c r="I309"/>
  <c r="I310"/>
  <c r="H299"/>
  <c r="H325" s="1"/>
  <c r="H285"/>
  <c r="H271"/>
  <c r="F261" a="1"/>
  <c r="F289" a="1"/>
  <c r="F275" a="1"/>
  <c r="G283"/>
  <c r="G278"/>
  <c r="G282"/>
  <c r="G275"/>
  <c r="G279"/>
  <c r="G276"/>
  <c r="G280"/>
  <c r="G284"/>
  <c r="G277"/>
  <c r="G281"/>
  <c r="H303"/>
  <c r="G269"/>
  <c r="G262"/>
  <c r="G266"/>
  <c r="G270"/>
  <c r="G261"/>
  <c r="G265"/>
  <c r="G264"/>
  <c r="G268"/>
  <c r="G263"/>
  <c r="G267"/>
  <c r="G297"/>
  <c r="G290"/>
  <c r="G294"/>
  <c r="G298"/>
  <c r="G289"/>
  <c r="G293"/>
  <c r="G292"/>
  <c r="G296"/>
  <c r="G291"/>
  <c r="G295"/>
  <c r="F256"/>
  <c r="L227"/>
  <c r="M235"/>
  <c r="D519" i="36"/>
  <c r="G304" i="40" l="1"/>
  <c r="H310"/>
  <c r="H323"/>
  <c r="H311"/>
  <c r="H309"/>
  <c r="G299"/>
  <c r="G325" s="1"/>
  <c r="G303"/>
  <c r="G271"/>
  <c r="G285"/>
  <c r="F275"/>
  <c r="F277"/>
  <c r="F279"/>
  <c r="F281"/>
  <c r="F283"/>
  <c r="F276"/>
  <c r="F31" i="47" s="1" a="1"/>
  <c r="F278" i="40"/>
  <c r="F280"/>
  <c r="F282"/>
  <c r="F284"/>
  <c r="F262"/>
  <c r="F264"/>
  <c r="F266"/>
  <c r="F268"/>
  <c r="F270"/>
  <c r="F261"/>
  <c r="F263"/>
  <c r="F265"/>
  <c r="F267"/>
  <c r="F269"/>
  <c r="F289"/>
  <c r="F291"/>
  <c r="F293"/>
  <c r="F295"/>
  <c r="F297"/>
  <c r="F290"/>
  <c r="F292"/>
  <c r="F294"/>
  <c r="F296"/>
  <c r="F298"/>
  <c r="G305"/>
  <c r="K227"/>
  <c r="L235"/>
  <c r="E518" i="36"/>
  <c r="E513"/>
  <c r="C512"/>
  <c r="C511"/>
  <c r="C510"/>
  <c r="C509"/>
  <c r="C508"/>
  <c r="C507"/>
  <c r="C506"/>
  <c r="C505"/>
  <c r="C504"/>
  <c r="E500"/>
  <c r="C499"/>
  <c r="C498"/>
  <c r="C497"/>
  <c r="C496"/>
  <c r="C495"/>
  <c r="C494"/>
  <c r="C493"/>
  <c r="C492"/>
  <c r="C491"/>
  <c r="C490"/>
  <c r="C489"/>
  <c r="C488"/>
  <c r="C487"/>
  <c r="F31" i="47" l="1"/>
  <c r="M32"/>
  <c r="I32"/>
  <c r="O31"/>
  <c r="K31"/>
  <c r="G31"/>
  <c r="L32"/>
  <c r="H32"/>
  <c r="N31"/>
  <c r="J31"/>
  <c r="O32"/>
  <c r="K32"/>
  <c r="G32"/>
  <c r="M31"/>
  <c r="M33" s="1"/>
  <c r="I31"/>
  <c r="I33" s="1"/>
  <c r="N32"/>
  <c r="J32"/>
  <c r="F32"/>
  <c r="L31"/>
  <c r="L33" s="1"/>
  <c r="H31"/>
  <c r="H33" s="1"/>
  <c r="F304" i="40"/>
  <c r="F321" s="1"/>
  <c r="G323"/>
  <c r="G311"/>
  <c r="G309"/>
  <c r="G310"/>
  <c r="F299"/>
  <c r="F325" s="1"/>
  <c r="F285"/>
  <c r="F324" s="1"/>
  <c r="F271"/>
  <c r="F305"/>
  <c r="F303"/>
  <c r="J227"/>
  <c r="K235"/>
  <c r="E482" i="36"/>
  <c r="O479"/>
  <c r="N479"/>
  <c r="M479"/>
  <c r="L479"/>
  <c r="K479"/>
  <c r="J479"/>
  <c r="I479"/>
  <c r="H479"/>
  <c r="G479"/>
  <c r="F479"/>
  <c r="F465"/>
  <c r="F460"/>
  <c r="F455"/>
  <c r="J129" i="47" l="1"/>
  <c r="G129"/>
  <c r="O129"/>
  <c r="N33"/>
  <c r="K33"/>
  <c r="F129"/>
  <c r="N129"/>
  <c r="K129"/>
  <c r="J33"/>
  <c r="H129"/>
  <c r="G33"/>
  <c r="O33"/>
  <c r="M129"/>
  <c r="L129"/>
  <c r="I129"/>
  <c r="F33"/>
  <c r="F310" i="40"/>
  <c r="F323"/>
  <c r="F311"/>
  <c r="F309"/>
  <c r="I227"/>
  <c r="J235"/>
  <c r="F450" i="36"/>
  <c r="E443"/>
  <c r="C442"/>
  <c r="C441"/>
  <c r="C440"/>
  <c r="C439"/>
  <c r="C438"/>
  <c r="C437"/>
  <c r="C436"/>
  <c r="C435"/>
  <c r="C434"/>
  <c r="E430"/>
  <c r="C429"/>
  <c r="C428"/>
  <c r="C427"/>
  <c r="C426"/>
  <c r="C425"/>
  <c r="C424"/>
  <c r="C423"/>
  <c r="C422"/>
  <c r="C421"/>
  <c r="C420"/>
  <c r="C419"/>
  <c r="C418"/>
  <c r="M138" i="47" l="1"/>
  <c r="K138"/>
  <c r="F138"/>
  <c r="F218" s="1"/>
  <c r="F209"/>
  <c r="L138"/>
  <c r="G138"/>
  <c r="G218" s="1"/>
  <c r="G209"/>
  <c r="H138"/>
  <c r="N138"/>
  <c r="I138"/>
  <c r="O138"/>
  <c r="J138"/>
  <c r="H227" i="40"/>
  <c r="I235"/>
  <c r="C417" i="36"/>
  <c r="E412"/>
  <c r="O407"/>
  <c r="N407"/>
  <c r="M407"/>
  <c r="L407"/>
  <c r="K407"/>
  <c r="J407"/>
  <c r="I407"/>
  <c r="H407"/>
  <c r="G407"/>
  <c r="F407"/>
  <c r="D390"/>
  <c r="D389"/>
  <c r="D388"/>
  <c r="D384"/>
  <c r="G227" i="47" l="1"/>
  <c r="F227"/>
  <c r="G227" i="40"/>
  <c r="H235"/>
  <c r="F227" l="1"/>
  <c r="G235"/>
  <c r="O226" l="1"/>
  <c r="O234" s="1"/>
  <c r="F235"/>
  <c r="F240" s="1"/>
  <c r="D383" i="36"/>
  <c r="N234" i="40" l="1"/>
  <c r="O240"/>
  <c r="D382" i="36"/>
  <c r="D381"/>
  <c r="D380"/>
  <c r="D379"/>
  <c r="D378"/>
  <c r="D377"/>
  <c r="D376"/>
  <c r="D375"/>
  <c r="D374"/>
  <c r="D373"/>
  <c r="D372"/>
  <c r="M234" i="40" l="1"/>
  <c r="N240"/>
  <c r="D365" i="36"/>
  <c r="D364"/>
  <c r="D363"/>
  <c r="D359"/>
  <c r="D358"/>
  <c r="D357"/>
  <c r="D356"/>
  <c r="D355"/>
  <c r="D354"/>
  <c r="D353"/>
  <c r="D352"/>
  <c r="D351"/>
  <c r="D350"/>
  <c r="D349"/>
  <c r="D348"/>
  <c r="D347"/>
  <c r="L234" i="40" l="1"/>
  <c r="M240"/>
  <c r="D340" i="36"/>
  <c r="D339"/>
  <c r="D338"/>
  <c r="D334"/>
  <c r="D333"/>
  <c r="D332"/>
  <c r="D331"/>
  <c r="D330"/>
  <c r="D329"/>
  <c r="D328"/>
  <c r="D327"/>
  <c r="D326"/>
  <c r="D325"/>
  <c r="D324"/>
  <c r="D323"/>
  <c r="D322"/>
  <c r="O315"/>
  <c r="N315"/>
  <c r="M315"/>
  <c r="L315"/>
  <c r="K315"/>
  <c r="J315"/>
  <c r="I315"/>
  <c r="H315"/>
  <c r="G315"/>
  <c r="F315"/>
  <c r="D315"/>
  <c r="O314"/>
  <c r="N314"/>
  <c r="M314"/>
  <c r="L314"/>
  <c r="K314"/>
  <c r="J314"/>
  <c r="I314"/>
  <c r="H314"/>
  <c r="G314"/>
  <c r="F314"/>
  <c r="D314"/>
  <c r="O313"/>
  <c r="N313"/>
  <c r="M313"/>
  <c r="L313"/>
  <c r="K313"/>
  <c r="J313"/>
  <c r="I313"/>
  <c r="H313"/>
  <c r="G313"/>
  <c r="F313"/>
  <c r="D313"/>
  <c r="O310"/>
  <c r="N310"/>
  <c r="M310"/>
  <c r="L310"/>
  <c r="K310"/>
  <c r="J310"/>
  <c r="I310"/>
  <c r="H310"/>
  <c r="G310"/>
  <c r="F310"/>
  <c r="D310"/>
  <c r="O309"/>
  <c r="N309"/>
  <c r="M309"/>
  <c r="L309"/>
  <c r="K309"/>
  <c r="J309"/>
  <c r="I309"/>
  <c r="H309"/>
  <c r="G309"/>
  <c r="F309"/>
  <c r="D309"/>
  <c r="O308"/>
  <c r="N308"/>
  <c r="M308"/>
  <c r="L308"/>
  <c r="K308"/>
  <c r="J308"/>
  <c r="I308"/>
  <c r="H308"/>
  <c r="G308"/>
  <c r="F308"/>
  <c r="D308"/>
  <c r="O307"/>
  <c r="N307"/>
  <c r="M307"/>
  <c r="L307"/>
  <c r="K307"/>
  <c r="J307"/>
  <c r="I307"/>
  <c r="H307"/>
  <c r="G307"/>
  <c r="F307"/>
  <c r="D307"/>
  <c r="O306"/>
  <c r="N306"/>
  <c r="M306"/>
  <c r="L306"/>
  <c r="K306"/>
  <c r="J306"/>
  <c r="I306"/>
  <c r="H306"/>
  <c r="G306"/>
  <c r="F306"/>
  <c r="D306"/>
  <c r="O305"/>
  <c r="N305"/>
  <c r="M305"/>
  <c r="L305"/>
  <c r="K305"/>
  <c r="J305"/>
  <c r="I305"/>
  <c r="H305"/>
  <c r="G305"/>
  <c r="F305"/>
  <c r="D305"/>
  <c r="O304"/>
  <c r="N304"/>
  <c r="M304"/>
  <c r="L304"/>
  <c r="K304"/>
  <c r="J304"/>
  <c r="I304"/>
  <c r="H304"/>
  <c r="G304"/>
  <c r="F304"/>
  <c r="D304"/>
  <c r="O303"/>
  <c r="N303"/>
  <c r="M303"/>
  <c r="L303"/>
  <c r="K303"/>
  <c r="J303"/>
  <c r="I303"/>
  <c r="H303"/>
  <c r="G303"/>
  <c r="F303"/>
  <c r="D303"/>
  <c r="O302"/>
  <c r="N302"/>
  <c r="M302"/>
  <c r="L302"/>
  <c r="K302"/>
  <c r="J302"/>
  <c r="I302"/>
  <c r="H302"/>
  <c r="G302"/>
  <c r="F302"/>
  <c r="D302"/>
  <c r="O301"/>
  <c r="N301"/>
  <c r="M301"/>
  <c r="L301"/>
  <c r="K301"/>
  <c r="J301"/>
  <c r="I301"/>
  <c r="H301"/>
  <c r="G301"/>
  <c r="F301"/>
  <c r="D301"/>
  <c r="O300"/>
  <c r="N300"/>
  <c r="M300"/>
  <c r="L300"/>
  <c r="K300"/>
  <c r="J300"/>
  <c r="I300"/>
  <c r="H300"/>
  <c r="G300"/>
  <c r="F300"/>
  <c r="D300"/>
  <c r="O299"/>
  <c r="N299"/>
  <c r="M299"/>
  <c r="L299"/>
  <c r="K299"/>
  <c r="J299"/>
  <c r="I299"/>
  <c r="H299"/>
  <c r="G299"/>
  <c r="F299"/>
  <c r="D299"/>
  <c r="O298"/>
  <c r="N298"/>
  <c r="M298"/>
  <c r="L298"/>
  <c r="K298"/>
  <c r="J298"/>
  <c r="I298"/>
  <c r="H298"/>
  <c r="G298"/>
  <c r="F298"/>
  <c r="D298"/>
  <c r="K234" i="40" l="1"/>
  <c r="L240"/>
  <c r="D291" i="36"/>
  <c r="D290"/>
  <c r="J234" i="40" l="1"/>
  <c r="K240"/>
  <c r="D289" i="36"/>
  <c r="I234" i="40" l="1"/>
  <c r="J240"/>
  <c r="D285" i="36"/>
  <c r="D284"/>
  <c r="D283"/>
  <c r="D282"/>
  <c r="D281"/>
  <c r="D280"/>
  <c r="D279"/>
  <c r="D278"/>
  <c r="D277"/>
  <c r="D276"/>
  <c r="D275"/>
  <c r="D274"/>
  <c r="D273"/>
  <c r="F266"/>
  <c r="D266"/>
  <c r="F265"/>
  <c r="D265"/>
  <c r="F264"/>
  <c r="D264"/>
  <c r="H234" i="40" l="1"/>
  <c r="I240"/>
  <c r="F260" i="36"/>
  <c r="D260"/>
  <c r="G234" i="40" l="1"/>
  <c r="G240" s="1"/>
  <c r="H240"/>
  <c r="F259" i="36"/>
  <c r="D259"/>
  <c r="F258" l="1"/>
  <c r="D258"/>
  <c r="F257"/>
  <c r="D257"/>
  <c r="F256"/>
  <c r="D256"/>
  <c r="F255"/>
  <c r="D255"/>
  <c r="F254"/>
  <c r="D254"/>
  <c r="F253"/>
  <c r="D253"/>
  <c r="F252"/>
  <c r="D252"/>
  <c r="F251"/>
  <c r="D251"/>
  <c r="F250"/>
  <c r="D250"/>
  <c r="F249"/>
  <c r="D249"/>
  <c r="F248" l="1"/>
  <c r="F261" s="1"/>
  <c r="D248"/>
  <c r="D242" l="1"/>
  <c r="D241"/>
  <c r="D240"/>
  <c r="D237"/>
  <c r="D236"/>
  <c r="D235"/>
  <c r="D234"/>
  <c r="D233"/>
  <c r="D232"/>
  <c r="D231"/>
  <c r="D230"/>
  <c r="D229"/>
  <c r="D228"/>
  <c r="D227"/>
  <c r="D226"/>
  <c r="D225"/>
  <c r="O219"/>
  <c r="N219"/>
  <c r="M219"/>
  <c r="L219"/>
  <c r="K219"/>
  <c r="J219"/>
  <c r="I219"/>
  <c r="H219"/>
  <c r="G219"/>
  <c r="F219"/>
  <c r="O198"/>
  <c r="N198"/>
  <c r="M198"/>
  <c r="L198"/>
  <c r="K198"/>
  <c r="J198"/>
  <c r="I198"/>
  <c r="H198"/>
  <c r="G198"/>
  <c r="O197"/>
  <c r="N197"/>
  <c r="M197"/>
  <c r="L197"/>
  <c r="K197"/>
  <c r="J197"/>
  <c r="I197"/>
  <c r="H197"/>
  <c r="G197"/>
  <c r="F192"/>
  <c r="D191"/>
  <c r="D190"/>
  <c r="D189"/>
  <c r="F186"/>
  <c r="I220" l="1"/>
  <c r="K220"/>
  <c r="M220"/>
  <c r="O220"/>
  <c r="H220"/>
  <c r="J220"/>
  <c r="L220"/>
  <c r="N220"/>
  <c r="F291"/>
  <c r="F290"/>
  <c r="F289"/>
  <c r="F285"/>
  <c r="F284"/>
  <c r="F283"/>
  <c r="F282"/>
  <c r="F281"/>
  <c r="F280"/>
  <c r="F279"/>
  <c r="F278"/>
  <c r="F277"/>
  <c r="F276"/>
  <c r="F275"/>
  <c r="F274"/>
  <c r="F273"/>
  <c r="G220"/>
  <c r="D185"/>
  <c r="D184"/>
  <c r="D183"/>
  <c r="D182"/>
  <c r="D181"/>
  <c r="D180"/>
  <c r="D179"/>
  <c r="D178"/>
  <c r="D177"/>
  <c r="D176"/>
  <c r="D175"/>
  <c r="D174"/>
  <c r="D173"/>
  <c r="O167"/>
  <c r="O166"/>
  <c r="O165"/>
  <c r="N163"/>
  <c r="M163"/>
  <c r="L163"/>
  <c r="K163"/>
  <c r="J163"/>
  <c r="I163"/>
  <c r="H163"/>
  <c r="G163"/>
  <c r="F163"/>
  <c r="O159"/>
  <c r="D159"/>
  <c r="O158"/>
  <c r="D158"/>
  <c r="O157"/>
  <c r="D157"/>
  <c r="O156"/>
  <c r="D156"/>
  <c r="O155"/>
  <c r="D155"/>
  <c r="O154"/>
  <c r="D154"/>
  <c r="O153"/>
  <c r="D153"/>
  <c r="O152"/>
  <c r="D152"/>
  <c r="O151"/>
  <c r="D151"/>
  <c r="O150"/>
  <c r="D150"/>
  <c r="O149"/>
  <c r="D149"/>
  <c r="O148"/>
  <c r="D148"/>
  <c r="O147"/>
  <c r="D147"/>
  <c r="N145"/>
  <c r="M145"/>
  <c r="L145"/>
  <c r="K145"/>
  <c r="J145"/>
  <c r="I145"/>
  <c r="H145"/>
  <c r="G145"/>
  <c r="F145"/>
  <c r="O141"/>
  <c r="D141"/>
  <c r="O140"/>
  <c r="D140"/>
  <c r="O139"/>
  <c r="D139"/>
  <c r="O138"/>
  <c r="D138"/>
  <c r="O137"/>
  <c r="D137"/>
  <c r="O136"/>
  <c r="D136"/>
  <c r="O135"/>
  <c r="D135"/>
  <c r="O134"/>
  <c r="D134"/>
  <c r="O133"/>
  <c r="D133"/>
  <c r="O132"/>
  <c r="D132"/>
  <c r="O131"/>
  <c r="D131"/>
  <c r="O130"/>
  <c r="D130"/>
  <c r="O129"/>
  <c r="D129"/>
  <c r="N127"/>
  <c r="M127"/>
  <c r="L127"/>
  <c r="K127"/>
  <c r="J127"/>
  <c r="I127"/>
  <c r="H127"/>
  <c r="G127"/>
  <c r="F127"/>
  <c r="F292" l="1"/>
  <c r="F286"/>
  <c r="F122"/>
  <c r="F121"/>
  <c r="F120"/>
  <c r="F119"/>
  <c r="F118"/>
  <c r="O98"/>
  <c r="N98"/>
  <c r="M98"/>
  <c r="L98"/>
  <c r="K98"/>
  <c r="J98"/>
  <c r="I98"/>
  <c r="H98"/>
  <c r="G98"/>
  <c r="F98"/>
  <c r="E98"/>
  <c r="O90"/>
  <c r="N90"/>
  <c r="M90"/>
  <c r="L90"/>
  <c r="K90"/>
  <c r="J90"/>
  <c r="I90"/>
  <c r="H90"/>
  <c r="G90"/>
  <c r="F90"/>
  <c r="G70"/>
  <c r="H70" s="1"/>
  <c r="I70" s="1"/>
  <c r="J70" s="1"/>
  <c r="K70" s="1"/>
  <c r="L70" s="1"/>
  <c r="M70" s="1"/>
  <c r="N70" s="1"/>
  <c r="O70" s="1"/>
  <c r="O66"/>
  <c r="O50"/>
  <c r="D36"/>
  <c r="O33"/>
  <c r="D33"/>
  <c r="D31"/>
  <c r="O28"/>
  <c r="F123" l="1"/>
  <c r="D28"/>
  <c r="E11"/>
  <c r="E10"/>
  <c r="E23" s="1"/>
  <c r="E9"/>
  <c r="E8"/>
  <c r="B2"/>
  <c r="B1"/>
  <c r="D269" i="47"/>
  <c r="F93"/>
  <c r="F268" s="1"/>
  <c r="F269" s="1"/>
  <c r="O90"/>
  <c r="B2"/>
  <c r="B1"/>
  <c r="D39" i="30"/>
  <c r="D38"/>
  <c r="D37"/>
  <c r="O34"/>
  <c r="E25"/>
  <c r="D17"/>
  <c r="D9"/>
  <c r="O6"/>
  <c r="B2"/>
  <c r="B1"/>
  <c r="D47" i="31"/>
  <c r="D46"/>
  <c r="O43"/>
  <c r="O47"/>
  <c r="N47"/>
  <c r="M47"/>
  <c r="L47"/>
  <c r="K47"/>
  <c r="J47"/>
  <c r="I47"/>
  <c r="H47"/>
  <c r="G47"/>
  <c r="E38"/>
  <c r="F29"/>
  <c r="F38" s="1"/>
  <c r="D29"/>
  <c r="O26"/>
  <c r="B2"/>
  <c r="B1"/>
  <c r="E74" i="89"/>
  <c r="D65"/>
  <c r="D64"/>
  <c r="D63"/>
  <c r="O60"/>
  <c r="I46" i="31" l="1"/>
  <c r="I48" s="1"/>
  <c r="M46"/>
  <c r="M48" s="1"/>
  <c r="G46"/>
  <c r="G48" s="1"/>
  <c r="K46"/>
  <c r="K48" s="1"/>
  <c r="O46"/>
  <c r="O48" s="1"/>
  <c r="H46"/>
  <c r="H48" s="1"/>
  <c r="J46"/>
  <c r="J48" s="1"/>
  <c r="L46"/>
  <c r="L48" s="1"/>
  <c r="N46"/>
  <c r="N48" s="1"/>
  <c r="O518" i="36"/>
  <c r="N518"/>
  <c r="L518"/>
  <c r="J518"/>
  <c r="H518"/>
  <c r="F518"/>
  <c r="F519" s="1" a="1"/>
  <c r="M518"/>
  <c r="K518"/>
  <c r="I518"/>
  <c r="G518"/>
  <c r="O463"/>
  <c r="K463"/>
  <c r="G463"/>
  <c r="N458"/>
  <c r="J458"/>
  <c r="F458"/>
  <c r="O453"/>
  <c r="I453"/>
  <c r="N463"/>
  <c r="L463"/>
  <c r="J463"/>
  <c r="H463"/>
  <c r="F463"/>
  <c r="O458"/>
  <c r="M458"/>
  <c r="K458"/>
  <c r="I458"/>
  <c r="G458"/>
  <c r="N453"/>
  <c r="L453"/>
  <c r="J453"/>
  <c r="H453"/>
  <c r="F453"/>
  <c r="M463"/>
  <c r="I463"/>
  <c r="L458"/>
  <c r="H458"/>
  <c r="M453"/>
  <c r="K453"/>
  <c r="G453"/>
  <c r="O448"/>
  <c r="M448"/>
  <c r="K448"/>
  <c r="I448"/>
  <c r="G448"/>
  <c r="N448"/>
  <c r="L448"/>
  <c r="J448"/>
  <c r="H448"/>
  <c r="F448"/>
  <c r="O464"/>
  <c r="K464"/>
  <c r="N459"/>
  <c r="H459"/>
  <c r="M454"/>
  <c r="I454"/>
  <c r="N464"/>
  <c r="L464"/>
  <c r="J464"/>
  <c r="H464"/>
  <c r="F464"/>
  <c r="O459"/>
  <c r="M459"/>
  <c r="K459"/>
  <c r="I459"/>
  <c r="G459"/>
  <c r="N454"/>
  <c r="L454"/>
  <c r="J454"/>
  <c r="H454"/>
  <c r="F454"/>
  <c r="M464"/>
  <c r="I464"/>
  <c r="G464"/>
  <c r="L459"/>
  <c r="J459"/>
  <c r="F459"/>
  <c r="O454"/>
  <c r="K454"/>
  <c r="G454"/>
  <c r="O449"/>
  <c r="M449"/>
  <c r="K449"/>
  <c r="I449"/>
  <c r="G449"/>
  <c r="N449"/>
  <c r="L449"/>
  <c r="J449"/>
  <c r="H449"/>
  <c r="F449"/>
  <c r="F519" l="1"/>
  <c r="F521"/>
  <c r="F520"/>
  <c r="F242"/>
  <c r="F240"/>
  <c r="F236"/>
  <c r="F234"/>
  <c r="F232"/>
  <c r="F230"/>
  <c r="F228"/>
  <c r="F226"/>
  <c r="F241"/>
  <c r="F237"/>
  <c r="F235"/>
  <c r="F233"/>
  <c r="F231"/>
  <c r="F229"/>
  <c r="F227"/>
  <c r="F225"/>
  <c r="F47" i="31"/>
  <c r="F46"/>
  <c r="M456" i="36"/>
  <c r="L461"/>
  <c r="N461"/>
  <c r="F451"/>
  <c r="N451"/>
  <c r="M451"/>
  <c r="H451"/>
  <c r="L451"/>
  <c r="G451"/>
  <c r="K451"/>
  <c r="O451"/>
  <c r="K456"/>
  <c r="H461"/>
  <c r="I466"/>
  <c r="F456"/>
  <c r="J456"/>
  <c r="N456"/>
  <c r="I461"/>
  <c r="M461"/>
  <c r="F466"/>
  <c r="J466"/>
  <c r="N466"/>
  <c r="O456"/>
  <c r="J461"/>
  <c r="G466"/>
  <c r="O466"/>
  <c r="J451"/>
  <c r="I451"/>
  <c r="G456"/>
  <c r="M466"/>
  <c r="H456"/>
  <c r="L456"/>
  <c r="G461"/>
  <c r="K461"/>
  <c r="O461"/>
  <c r="H466"/>
  <c r="L466"/>
  <c r="I456"/>
  <c r="F461"/>
  <c r="K466"/>
  <c r="E53" i="89"/>
  <c r="C53"/>
  <c r="E52"/>
  <c r="C52"/>
  <c r="E49"/>
  <c r="C49"/>
  <c r="E48"/>
  <c r="C48"/>
  <c r="O34"/>
  <c r="O35" s="1"/>
  <c r="O29"/>
  <c r="O26"/>
  <c r="O27" s="1"/>
  <c r="O21"/>
  <c r="D16"/>
  <c r="D15"/>
  <c r="O12"/>
  <c r="E7"/>
  <c r="B2"/>
  <c r="B1"/>
  <c r="F48" i="31" l="1"/>
  <c r="O33" i="89"/>
  <c r="O49" s="1"/>
  <c r="O25"/>
  <c r="O48" s="1"/>
  <c r="M348" i="36"/>
  <c r="G348"/>
  <c r="N348"/>
  <c r="L348"/>
  <c r="J348"/>
  <c r="H348"/>
  <c r="O348"/>
  <c r="K348"/>
  <c r="I348"/>
  <c r="M323"/>
  <c r="I323"/>
  <c r="N323"/>
  <c r="L323"/>
  <c r="J323"/>
  <c r="H323"/>
  <c r="O323"/>
  <c r="K323"/>
  <c r="G323"/>
  <c r="O350"/>
  <c r="K350"/>
  <c r="N350"/>
  <c r="L350"/>
  <c r="J350"/>
  <c r="H350"/>
  <c r="M350"/>
  <c r="I350"/>
  <c r="G350"/>
  <c r="M325"/>
  <c r="I325"/>
  <c r="N325"/>
  <c r="L325"/>
  <c r="J325"/>
  <c r="H325"/>
  <c r="O325"/>
  <c r="K325"/>
  <c r="G325"/>
  <c r="M352"/>
  <c r="G352"/>
  <c r="N352"/>
  <c r="L352"/>
  <c r="J352"/>
  <c r="H352"/>
  <c r="O352"/>
  <c r="K352"/>
  <c r="I352"/>
  <c r="M327"/>
  <c r="I327"/>
  <c r="N327"/>
  <c r="L327"/>
  <c r="J327"/>
  <c r="H327"/>
  <c r="O327"/>
  <c r="K327"/>
  <c r="G327"/>
  <c r="M354"/>
  <c r="I354"/>
  <c r="N354"/>
  <c r="L354"/>
  <c r="J354"/>
  <c r="H354"/>
  <c r="O354"/>
  <c r="K354"/>
  <c r="G354"/>
  <c r="O329"/>
  <c r="K329"/>
  <c r="N329"/>
  <c r="L329"/>
  <c r="J329"/>
  <c r="H329"/>
  <c r="M329"/>
  <c r="I329"/>
  <c r="G329"/>
  <c r="M356"/>
  <c r="I356"/>
  <c r="N356"/>
  <c r="L356"/>
  <c r="J356"/>
  <c r="H356"/>
  <c r="O356"/>
  <c r="K356"/>
  <c r="G356"/>
  <c r="O331"/>
  <c r="K331"/>
  <c r="G331"/>
  <c r="N331"/>
  <c r="L331"/>
  <c r="J331"/>
  <c r="H331"/>
  <c r="M331"/>
  <c r="I331"/>
  <c r="M358"/>
  <c r="I358"/>
  <c r="N358"/>
  <c r="L358"/>
  <c r="J358"/>
  <c r="H358"/>
  <c r="O358"/>
  <c r="K358"/>
  <c r="G358"/>
  <c r="M333"/>
  <c r="I333"/>
  <c r="N333"/>
  <c r="L333"/>
  <c r="J333"/>
  <c r="H333"/>
  <c r="O333"/>
  <c r="K333"/>
  <c r="G333"/>
  <c r="N363"/>
  <c r="L363"/>
  <c r="H363"/>
  <c r="O363"/>
  <c r="M363"/>
  <c r="K363"/>
  <c r="I363"/>
  <c r="G363"/>
  <c r="J363"/>
  <c r="L338"/>
  <c r="H338"/>
  <c r="O338"/>
  <c r="M338"/>
  <c r="K338"/>
  <c r="I338"/>
  <c r="G338"/>
  <c r="N338"/>
  <c r="J338"/>
  <c r="N365"/>
  <c r="L365"/>
  <c r="J365"/>
  <c r="H365"/>
  <c r="O365"/>
  <c r="M365"/>
  <c r="K365"/>
  <c r="I365"/>
  <c r="G365"/>
  <c r="L340"/>
  <c r="O340"/>
  <c r="M340"/>
  <c r="K340"/>
  <c r="I340"/>
  <c r="G340"/>
  <c r="N340"/>
  <c r="J340"/>
  <c r="H340"/>
  <c r="O468"/>
  <c r="M347"/>
  <c r="I347"/>
  <c r="N347"/>
  <c r="L347"/>
  <c r="J347"/>
  <c r="H347"/>
  <c r="O347"/>
  <c r="K347"/>
  <c r="G347"/>
  <c r="O322"/>
  <c r="I322"/>
  <c r="N322"/>
  <c r="L322"/>
  <c r="J322"/>
  <c r="H322"/>
  <c r="M322"/>
  <c r="K322"/>
  <c r="G322"/>
  <c r="O349"/>
  <c r="K349"/>
  <c r="G349"/>
  <c r="N349"/>
  <c r="L349"/>
  <c r="J349"/>
  <c r="H349"/>
  <c r="M349"/>
  <c r="I349"/>
  <c r="O324"/>
  <c r="K324"/>
  <c r="G324"/>
  <c r="N324"/>
  <c r="L324"/>
  <c r="J324"/>
  <c r="H324"/>
  <c r="M324"/>
  <c r="I324"/>
  <c r="M351"/>
  <c r="I351"/>
  <c r="N351"/>
  <c r="L351"/>
  <c r="J351"/>
  <c r="H351"/>
  <c r="O351"/>
  <c r="K351"/>
  <c r="G351"/>
  <c r="O326"/>
  <c r="K326"/>
  <c r="G326"/>
  <c r="N326"/>
  <c r="L326"/>
  <c r="J326"/>
  <c r="H326"/>
  <c r="M326"/>
  <c r="I326"/>
  <c r="O353"/>
  <c r="K353"/>
  <c r="G353"/>
  <c r="N353"/>
  <c r="L353"/>
  <c r="J353"/>
  <c r="H353"/>
  <c r="M353"/>
  <c r="I353"/>
  <c r="O328"/>
  <c r="K328"/>
  <c r="G328"/>
  <c r="N328"/>
  <c r="L328"/>
  <c r="J328"/>
  <c r="H328"/>
  <c r="M328"/>
  <c r="I328"/>
  <c r="O355"/>
  <c r="K355"/>
  <c r="G355"/>
  <c r="N355"/>
  <c r="L355"/>
  <c r="J355"/>
  <c r="H355"/>
  <c r="M355"/>
  <c r="I355"/>
  <c r="M330"/>
  <c r="I330"/>
  <c r="N330"/>
  <c r="L330"/>
  <c r="J330"/>
  <c r="H330"/>
  <c r="O330"/>
  <c r="K330"/>
  <c r="G330"/>
  <c r="O357"/>
  <c r="K357"/>
  <c r="G357"/>
  <c r="N357"/>
  <c r="L357"/>
  <c r="J357"/>
  <c r="H357"/>
  <c r="M357"/>
  <c r="I357"/>
  <c r="M332"/>
  <c r="I332"/>
  <c r="N332"/>
  <c r="L332"/>
  <c r="J332"/>
  <c r="H332"/>
  <c r="O332"/>
  <c r="K332"/>
  <c r="G332"/>
  <c r="O359"/>
  <c r="K359"/>
  <c r="G359"/>
  <c r="N359"/>
  <c r="L359"/>
  <c r="J359"/>
  <c r="H359"/>
  <c r="M359"/>
  <c r="I359"/>
  <c r="O334"/>
  <c r="K334"/>
  <c r="G334"/>
  <c r="N334"/>
  <c r="L334"/>
  <c r="J334"/>
  <c r="H334"/>
  <c r="M334"/>
  <c r="I334"/>
  <c r="N364"/>
  <c r="L364"/>
  <c r="J364"/>
  <c r="H364"/>
  <c r="O364"/>
  <c r="M364"/>
  <c r="K364"/>
  <c r="I364"/>
  <c r="G364"/>
  <c r="L339"/>
  <c r="O339"/>
  <c r="M339"/>
  <c r="K339"/>
  <c r="I339"/>
  <c r="G339"/>
  <c r="N339"/>
  <c r="J339"/>
  <c r="H339"/>
  <c r="F468"/>
  <c r="E204" i="80"/>
  <c r="O476" i="36" l="1"/>
  <c r="F476"/>
  <c r="M335"/>
  <c r="J335"/>
  <c r="N335"/>
  <c r="O335"/>
  <c r="K360"/>
  <c r="H360"/>
  <c r="L360"/>
  <c r="I360"/>
  <c r="J341"/>
  <c r="K341"/>
  <c r="O341"/>
  <c r="L341"/>
  <c r="G366"/>
  <c r="K366"/>
  <c r="O366"/>
  <c r="L366"/>
  <c r="K335"/>
  <c r="H335"/>
  <c r="L335"/>
  <c r="I335"/>
  <c r="G360"/>
  <c r="O360"/>
  <c r="J360"/>
  <c r="N360"/>
  <c r="M360"/>
  <c r="N341"/>
  <c r="I341"/>
  <c r="M341"/>
  <c r="H341"/>
  <c r="J366"/>
  <c r="I366"/>
  <c r="M366"/>
  <c r="H366"/>
  <c r="N366"/>
  <c r="G335"/>
  <c r="G341"/>
  <c r="N468"/>
  <c r="M468" s="1"/>
  <c r="L468" s="1"/>
  <c r="K468" s="1"/>
  <c r="J468" s="1"/>
  <c r="I468" s="1"/>
  <c r="H468" s="1"/>
  <c r="G468" s="1"/>
  <c r="G476" s="1"/>
  <c r="D195" i="80"/>
  <c r="D193"/>
  <c r="D191"/>
  <c r="M476" i="36" l="1"/>
  <c r="J476"/>
  <c r="L476"/>
  <c r="I476"/>
  <c r="N476"/>
  <c r="K476"/>
  <c r="H476"/>
  <c r="G390"/>
  <c r="G291" s="1"/>
  <c r="H390" s="1"/>
  <c r="G388"/>
  <c r="G289" s="1"/>
  <c r="H388" s="1"/>
  <c r="G389"/>
  <c r="G290" s="1"/>
  <c r="H389" s="1"/>
  <c r="G383"/>
  <c r="G372"/>
  <c r="G273" s="1"/>
  <c r="G384"/>
  <c r="G285" s="1"/>
  <c r="F534" a="1"/>
  <c r="F534" s="1"/>
  <c r="F533" a="1"/>
  <c r="F533" s="1"/>
  <c r="F531" a="1"/>
  <c r="F531" s="1"/>
  <c r="F529" a="1"/>
  <c r="F529" s="1"/>
  <c r="F532" a="1"/>
  <c r="F532" s="1"/>
  <c r="F530" a="1"/>
  <c r="F530" s="1"/>
  <c r="F528" a="1"/>
  <c r="F528" s="1"/>
  <c r="F527" a="1"/>
  <c r="F527" s="1"/>
  <c r="F526" a="1"/>
  <c r="F526" s="1"/>
  <c r="F522"/>
  <c r="G376"/>
  <c r="G380"/>
  <c r="G374"/>
  <c r="G378"/>
  <c r="G382"/>
  <c r="G373"/>
  <c r="G375"/>
  <c r="G377"/>
  <c r="G379"/>
  <c r="G381"/>
  <c r="D190" i="80"/>
  <c r="D189"/>
  <c r="D188"/>
  <c r="G292" i="36" l="1"/>
  <c r="G265" s="1"/>
  <c r="H291"/>
  <c r="I390" s="1"/>
  <c r="H289"/>
  <c r="I388" s="1"/>
  <c r="H290"/>
  <c r="I389" s="1"/>
  <c r="F535"/>
  <c r="F539"/>
  <c r="G385"/>
  <c r="D187" i="80"/>
  <c r="E184"/>
  <c r="E174"/>
  <c r="C174"/>
  <c r="G266" i="36" l="1"/>
  <c r="H292"/>
  <c r="I289"/>
  <c r="J388" s="1"/>
  <c r="H265" l="1"/>
  <c r="H266"/>
  <c r="I291"/>
  <c r="J390" s="1"/>
  <c r="I290"/>
  <c r="J389" s="1"/>
  <c r="E173" i="80"/>
  <c r="C173"/>
  <c r="I292" i="36" l="1"/>
  <c r="I265" s="1"/>
  <c r="J291"/>
  <c r="K390" s="1"/>
  <c r="J289"/>
  <c r="K388" s="1"/>
  <c r="J290"/>
  <c r="K389" s="1"/>
  <c r="E172" i="80"/>
  <c r="C172"/>
  <c r="I266" i="36" l="1"/>
  <c r="J292"/>
  <c r="F406"/>
  <c r="E134" i="80"/>
  <c r="D134"/>
  <c r="E130"/>
  <c r="D130"/>
  <c r="K290" i="36" l="1"/>
  <c r="L389" s="1"/>
  <c r="K291"/>
  <c r="L390" s="1"/>
  <c r="K289"/>
  <c r="L388" s="1"/>
  <c r="J265"/>
  <c r="J266"/>
  <c r="F409"/>
  <c r="E126" i="80"/>
  <c r="D126"/>
  <c r="E123"/>
  <c r="D123"/>
  <c r="E120"/>
  <c r="D120"/>
  <c r="K292" i="36" l="1"/>
  <c r="K266" s="1"/>
  <c r="F119" i="80"/>
  <c r="E116"/>
  <c r="D116"/>
  <c r="F115"/>
  <c r="E112"/>
  <c r="D112"/>
  <c r="F111"/>
  <c r="E109"/>
  <c r="D109"/>
  <c r="E106"/>
  <c r="D106"/>
  <c r="F105"/>
  <c r="E102"/>
  <c r="D102"/>
  <c r="F101"/>
  <c r="E98"/>
  <c r="D98"/>
  <c r="F97"/>
  <c r="E95"/>
  <c r="D95"/>
  <c r="D67"/>
  <c r="D66"/>
  <c r="D65"/>
  <c r="D43"/>
  <c r="D42"/>
  <c r="D41"/>
  <c r="D40"/>
  <c r="D39"/>
  <c r="D38"/>
  <c r="D37"/>
  <c r="D36"/>
  <c r="D35"/>
  <c r="D26"/>
  <c r="D25"/>
  <c r="D24"/>
  <c r="O21"/>
  <c r="D16"/>
  <c r="D18"/>
  <c r="D15"/>
  <c r="O12"/>
  <c r="E7"/>
  <c r="F159" l="1"/>
  <c r="F151"/>
  <c r="F155"/>
  <c r="F141"/>
  <c r="F128"/>
  <c r="F118"/>
  <c r="F110"/>
  <c r="F100"/>
  <c r="F145"/>
  <c r="F137"/>
  <c r="F132"/>
  <c r="F124"/>
  <c r="F114"/>
  <c r="F104"/>
  <c r="F96"/>
  <c r="K265" i="36"/>
  <c r="L291"/>
  <c r="M390" s="1"/>
  <c r="L289"/>
  <c r="M388" s="1"/>
  <c r="L290"/>
  <c r="M389" s="1"/>
  <c r="B2" i="80"/>
  <c r="B1"/>
  <c r="E282" i="79"/>
  <c r="E281"/>
  <c r="O280"/>
  <c r="N280"/>
  <c r="M280"/>
  <c r="L280"/>
  <c r="K280"/>
  <c r="J280"/>
  <c r="I280"/>
  <c r="H280"/>
  <c r="G280"/>
  <c r="F280"/>
  <c r="E280"/>
  <c r="D270"/>
  <c r="D269"/>
  <c r="D267"/>
  <c r="O264"/>
  <c r="L292" i="36" l="1"/>
  <c r="M290" l="1"/>
  <c r="N389" s="1"/>
  <c r="M291"/>
  <c r="N390" s="1"/>
  <c r="M289"/>
  <c r="N388" s="1"/>
  <c r="L266"/>
  <c r="L265"/>
  <c r="M292" l="1"/>
  <c r="M266" s="1"/>
  <c r="M264" l="1"/>
  <c r="M265"/>
  <c r="N291"/>
  <c r="O390" s="1"/>
  <c r="N289"/>
  <c r="O388" s="1"/>
  <c r="N290"/>
  <c r="O389" s="1"/>
  <c r="L264"/>
  <c r="L519" s="1" a="1"/>
  <c r="M519" l="1" a="1"/>
  <c r="L520"/>
  <c r="L521"/>
  <c r="L519"/>
  <c r="M267"/>
  <c r="N292"/>
  <c r="N264" s="1"/>
  <c r="K264"/>
  <c r="K519" s="1" a="1"/>
  <c r="L267"/>
  <c r="F144" i="79"/>
  <c r="K520" i="36" l="1"/>
  <c r="K521"/>
  <c r="K519"/>
  <c r="M520"/>
  <c r="M521"/>
  <c r="M519"/>
  <c r="M532" s="1" a="1"/>
  <c r="M531" a="1"/>
  <c r="M530" a="1"/>
  <c r="O290"/>
  <c r="O291"/>
  <c r="N265"/>
  <c r="N519" s="1" a="1"/>
  <c r="N266"/>
  <c r="M241" i="79"/>
  <c r="M271" s="1"/>
  <c r="J241"/>
  <c r="J271" s="1"/>
  <c r="G241"/>
  <c r="G271" s="1"/>
  <c r="O241"/>
  <c r="O271" s="1"/>
  <c r="L241"/>
  <c r="L271" s="1"/>
  <c r="I241"/>
  <c r="I271" s="1"/>
  <c r="F241"/>
  <c r="F271" s="1"/>
  <c r="N241"/>
  <c r="N271" s="1"/>
  <c r="K241"/>
  <c r="K271" s="1"/>
  <c r="H241"/>
  <c r="H271" s="1"/>
  <c r="J264" i="36"/>
  <c r="J519" s="1" a="1"/>
  <c r="K267"/>
  <c r="H124" i="79"/>
  <c r="G124"/>
  <c r="AH49" i="73"/>
  <c r="AH49" i="78"/>
  <c r="AH49" i="71"/>
  <c r="AH49" i="77"/>
  <c r="AH49" i="75"/>
  <c r="AH49" i="72"/>
  <c r="AH49" i="29"/>
  <c r="AH49" i="74"/>
  <c r="AH49" i="76"/>
  <c r="AH49" i="70"/>
  <c r="M522" i="36" l="1"/>
  <c r="M532"/>
  <c r="M530"/>
  <c r="M543" s="1"/>
  <c r="M531"/>
  <c r="M544" s="1"/>
  <c r="N520"/>
  <c r="N521"/>
  <c r="N519"/>
  <c r="J520"/>
  <c r="J521"/>
  <c r="J519"/>
  <c r="M534" a="1"/>
  <c r="M534" s="1"/>
  <c r="M547" s="1"/>
  <c r="M529" a="1"/>
  <c r="M529" s="1"/>
  <c r="M542" s="1"/>
  <c r="M527" a="1"/>
  <c r="M527" s="1"/>
  <c r="M540" s="1"/>
  <c r="M528" a="1"/>
  <c r="M528" s="1"/>
  <c r="M541" s="1"/>
  <c r="M526" a="1"/>
  <c r="M526" s="1"/>
  <c r="M539" s="1"/>
  <c r="M533" a="1"/>
  <c r="M533" s="1"/>
  <c r="N267"/>
  <c r="O391"/>
  <c r="N391" s="1"/>
  <c r="M391" s="1"/>
  <c r="L391" s="1"/>
  <c r="K391" s="1"/>
  <c r="J391" s="1"/>
  <c r="I391" s="1"/>
  <c r="H391" s="1"/>
  <c r="G391" s="1"/>
  <c r="O289"/>
  <c r="H267" i="79"/>
  <c r="N267"/>
  <c r="I267"/>
  <c r="O267"/>
  <c r="K267"/>
  <c r="F267"/>
  <c r="L267"/>
  <c r="G267"/>
  <c r="M267"/>
  <c r="J267"/>
  <c r="K532" i="36" a="1"/>
  <c r="K532" s="1"/>
  <c r="I264"/>
  <c r="I519" s="1" a="1"/>
  <c r="J267"/>
  <c r="B2" i="79"/>
  <c r="B1"/>
  <c r="E412" i="43"/>
  <c r="E411"/>
  <c r="D399"/>
  <c r="D398"/>
  <c r="D397"/>
  <c r="D396"/>
  <c r="D395"/>
  <c r="O386"/>
  <c r="M546" i="36" l="1"/>
  <c r="M548" s="1"/>
  <c r="M535"/>
  <c r="I520"/>
  <c r="I521"/>
  <c r="I519"/>
  <c r="O292"/>
  <c r="O264" s="1"/>
  <c r="K531" a="1"/>
  <c r="K531" s="1"/>
  <c r="K544" s="1"/>
  <c r="K534" a="1"/>
  <c r="K526" a="1"/>
  <c r="K530" a="1"/>
  <c r="K530" s="1"/>
  <c r="K543" s="1"/>
  <c r="K526"/>
  <c r="K539" s="1"/>
  <c r="K522"/>
  <c r="K534"/>
  <c r="K547" s="1"/>
  <c r="L534" a="1"/>
  <c r="L534" s="1"/>
  <c r="L547" s="1"/>
  <c r="L531" a="1"/>
  <c r="L531" s="1"/>
  <c r="L544" s="1"/>
  <c r="L529" a="1"/>
  <c r="L529" s="1"/>
  <c r="L542" s="1"/>
  <c r="L533" a="1"/>
  <c r="L533" s="1"/>
  <c r="L532" a="1"/>
  <c r="L532" s="1"/>
  <c r="L530" a="1"/>
  <c r="L530" s="1"/>
  <c r="L543" s="1"/>
  <c r="L528" a="1"/>
  <c r="L528" s="1"/>
  <c r="L541" s="1"/>
  <c r="L527" a="1"/>
  <c r="L527" s="1"/>
  <c r="L540" s="1"/>
  <c r="L526" a="1"/>
  <c r="L526" s="1"/>
  <c r="L522"/>
  <c r="J534" a="1"/>
  <c r="J533" a="1"/>
  <c r="J533" s="1"/>
  <c r="J531" a="1"/>
  <c r="J529" a="1"/>
  <c r="J529" s="1"/>
  <c r="J542" s="1"/>
  <c r="J532" a="1"/>
  <c r="J530" a="1"/>
  <c r="J530" s="1"/>
  <c r="J543" s="1"/>
  <c r="J528" a="1"/>
  <c r="J527" a="1"/>
  <c r="J527" s="1"/>
  <c r="J540" s="1"/>
  <c r="J526" a="1"/>
  <c r="J526" s="1"/>
  <c r="K527" a="1"/>
  <c r="K527" s="1"/>
  <c r="K540" s="1"/>
  <c r="K529" a="1"/>
  <c r="K529" s="1"/>
  <c r="K542" s="1"/>
  <c r="K528" a="1"/>
  <c r="K528" s="1"/>
  <c r="K541" s="1"/>
  <c r="J534"/>
  <c r="J547" s="1"/>
  <c r="J532"/>
  <c r="J528"/>
  <c r="J541" s="1"/>
  <c r="J531"/>
  <c r="J544" s="1"/>
  <c r="J522"/>
  <c r="H264"/>
  <c r="H519" s="1" a="1"/>
  <c r="I267"/>
  <c r="E342" i="43"/>
  <c r="E341"/>
  <c r="F339"/>
  <c r="E332"/>
  <c r="E331"/>
  <c r="E327"/>
  <c r="E326"/>
  <c r="E315"/>
  <c r="E313"/>
  <c r="E312"/>
  <c r="E303"/>
  <c r="E302"/>
  <c r="H520" i="36" l="1"/>
  <c r="H521"/>
  <c r="H519"/>
  <c r="N529" a="1"/>
  <c r="N529" s="1"/>
  <c r="N542" s="1"/>
  <c r="N532" a="1"/>
  <c r="N532" s="1"/>
  <c r="N528" a="1"/>
  <c r="N528" s="1"/>
  <c r="N541" s="1"/>
  <c r="N526" a="1"/>
  <c r="N526" s="1"/>
  <c r="N539" s="1"/>
  <c r="N531" a="1"/>
  <c r="N531" s="1"/>
  <c r="N544" s="1"/>
  <c r="N533" a="1"/>
  <c r="N533" s="1"/>
  <c r="N530" a="1"/>
  <c r="N530" s="1"/>
  <c r="N543" s="1"/>
  <c r="N527" a="1"/>
  <c r="N527" s="1"/>
  <c r="N540" s="1"/>
  <c r="N522"/>
  <c r="O265"/>
  <c r="O519" s="1" a="1"/>
  <c r="O266"/>
  <c r="I534" a="1"/>
  <c r="I532" a="1"/>
  <c r="I530" a="1"/>
  <c r="I528" a="1"/>
  <c r="I533" a="1"/>
  <c r="I533" s="1"/>
  <c r="I531" a="1"/>
  <c r="I529" a="1"/>
  <c r="I529" s="1"/>
  <c r="I542" s="1"/>
  <c r="I526" a="1"/>
  <c r="I527" a="1"/>
  <c r="I527" s="1"/>
  <c r="I540" s="1"/>
  <c r="K546"/>
  <c r="K548" s="1"/>
  <c r="L535"/>
  <c r="L539"/>
  <c r="L546" s="1"/>
  <c r="L548" s="1"/>
  <c r="J535"/>
  <c r="I534"/>
  <c r="I547" s="1"/>
  <c r="I531"/>
  <c r="I544" s="1"/>
  <c r="I532"/>
  <c r="I528"/>
  <c r="I541" s="1"/>
  <c r="I530"/>
  <c r="I543" s="1"/>
  <c r="I522"/>
  <c r="I526"/>
  <c r="G264"/>
  <c r="G519" s="1" a="1"/>
  <c r="H267"/>
  <c r="J539"/>
  <c r="F234" i="43" a="1"/>
  <c r="F236" s="1"/>
  <c r="F180"/>
  <c r="F341" s="1"/>
  <c r="F179"/>
  <c r="F178"/>
  <c r="F326" s="1"/>
  <c r="F172"/>
  <c r="E8"/>
  <c r="B2"/>
  <c r="B1"/>
  <c r="D61" i="87"/>
  <c r="D60"/>
  <c r="O57"/>
  <c r="E8"/>
  <c r="B2"/>
  <c r="B1"/>
  <c r="D62" i="82"/>
  <c r="D61"/>
  <c r="O58"/>
  <c r="E50"/>
  <c r="O49"/>
  <c r="N49"/>
  <c r="M49"/>
  <c r="L49"/>
  <c r="K49"/>
  <c r="J49"/>
  <c r="I49"/>
  <c r="H49"/>
  <c r="G49"/>
  <c r="F49"/>
  <c r="E48"/>
  <c r="O47"/>
  <c r="N47"/>
  <c r="M47"/>
  <c r="L47"/>
  <c r="K47"/>
  <c r="J47"/>
  <c r="I47"/>
  <c r="H47"/>
  <c r="G47"/>
  <c r="F47"/>
  <c r="O520" i="36" l="1"/>
  <c r="O521"/>
  <c r="O519"/>
  <c r="G520"/>
  <c r="G521"/>
  <c r="G519"/>
  <c r="O267"/>
  <c r="N375" i="43"/>
  <c r="L375"/>
  <c r="J375"/>
  <c r="H375"/>
  <c r="F375"/>
  <c r="O375"/>
  <c r="M375"/>
  <c r="K375"/>
  <c r="I375"/>
  <c r="G375"/>
  <c r="N334"/>
  <c r="L334"/>
  <c r="J334"/>
  <c r="H334"/>
  <c r="F334"/>
  <c r="O334"/>
  <c r="M334"/>
  <c r="K334"/>
  <c r="I334"/>
  <c r="G334"/>
  <c r="F331"/>
  <c r="F335"/>
  <c r="N224"/>
  <c r="L224"/>
  <c r="J224"/>
  <c r="H224"/>
  <c r="F224"/>
  <c r="O224"/>
  <c r="M224"/>
  <c r="K224"/>
  <c r="I224"/>
  <c r="G224"/>
  <c r="M273"/>
  <c r="K273"/>
  <c r="I273"/>
  <c r="G273"/>
  <c r="N273"/>
  <c r="L273"/>
  <c r="J273"/>
  <c r="H273"/>
  <c r="F273"/>
  <c r="G278" s="1"/>
  <c r="G371" s="1"/>
  <c r="N262"/>
  <c r="L262"/>
  <c r="J262"/>
  <c r="M261"/>
  <c r="K261"/>
  <c r="I261"/>
  <c r="M262"/>
  <c r="K262"/>
  <c r="I262"/>
  <c r="N261"/>
  <c r="L261"/>
  <c r="J261"/>
  <c r="H262"/>
  <c r="F262"/>
  <c r="G268" s="1"/>
  <c r="H261"/>
  <c r="F261"/>
  <c r="G267" s="1"/>
  <c r="G262"/>
  <c r="G261"/>
  <c r="E234"/>
  <c r="E244"/>
  <c r="E245"/>
  <c r="N41" i="87"/>
  <c r="N49" s="1"/>
  <c r="N51" s="1"/>
  <c r="L41"/>
  <c r="L49" s="1"/>
  <c r="L51" s="1"/>
  <c r="J41"/>
  <c r="J49" s="1"/>
  <c r="J51" s="1"/>
  <c r="H41"/>
  <c r="H49" s="1"/>
  <c r="H51" s="1"/>
  <c r="F41"/>
  <c r="F49" s="1"/>
  <c r="F51" s="1"/>
  <c r="O41"/>
  <c r="O49" s="1"/>
  <c r="O51" s="1"/>
  <c r="M41"/>
  <c r="M49" s="1"/>
  <c r="M51" s="1"/>
  <c r="K41"/>
  <c r="K49" s="1"/>
  <c r="K51" s="1"/>
  <c r="I41"/>
  <c r="I49" s="1"/>
  <c r="I51" s="1"/>
  <c r="G41"/>
  <c r="G49" s="1"/>
  <c r="G51" s="1"/>
  <c r="H534" i="36" a="1"/>
  <c r="H533" a="1"/>
  <c r="H531" a="1"/>
  <c r="H529" a="1"/>
  <c r="H529" s="1"/>
  <c r="H542" s="1"/>
  <c r="H532" a="1"/>
  <c r="H530" a="1"/>
  <c r="H528" a="1"/>
  <c r="H528" s="1"/>
  <c r="H541" s="1"/>
  <c r="H527" a="1"/>
  <c r="H526" a="1"/>
  <c r="H526" s="1"/>
  <c r="F235" i="43"/>
  <c r="F234" s="1"/>
  <c r="F369" s="1"/>
  <c r="H534" i="36"/>
  <c r="H547" s="1"/>
  <c r="H531"/>
  <c r="H544" s="1"/>
  <c r="H533"/>
  <c r="H532"/>
  <c r="H530"/>
  <c r="H543" s="1"/>
  <c r="H522"/>
  <c r="H527"/>
  <c r="H540" s="1"/>
  <c r="G267"/>
  <c r="F267" s="1"/>
  <c r="I539"/>
  <c r="I535"/>
  <c r="F221" i="43"/>
  <c r="H221"/>
  <c r="J221"/>
  <c r="L221"/>
  <c r="N221"/>
  <c r="F222"/>
  <c r="F301" s="1"/>
  <c r="H222"/>
  <c r="J222"/>
  <c r="L222"/>
  <c r="N222"/>
  <c r="F223"/>
  <c r="H223"/>
  <c r="J223"/>
  <c r="L223"/>
  <c r="N223"/>
  <c r="F225"/>
  <c r="F377" s="1"/>
  <c r="H225"/>
  <c r="H377" s="1"/>
  <c r="J225"/>
  <c r="J377" s="1"/>
  <c r="L225"/>
  <c r="L377" s="1"/>
  <c r="N225"/>
  <c r="N377" s="1"/>
  <c r="F226"/>
  <c r="H226"/>
  <c r="J226"/>
  <c r="L226"/>
  <c r="N226"/>
  <c r="F227"/>
  <c r="F286" s="1"/>
  <c r="H227"/>
  <c r="J227"/>
  <c r="L227"/>
  <c r="N227"/>
  <c r="F228"/>
  <c r="H228"/>
  <c r="J228"/>
  <c r="L228"/>
  <c r="N228"/>
  <c r="O340"/>
  <c r="M340"/>
  <c r="K340"/>
  <c r="I340"/>
  <c r="G340"/>
  <c r="O330"/>
  <c r="M330"/>
  <c r="K330"/>
  <c r="I330"/>
  <c r="G330"/>
  <c r="O325"/>
  <c r="M325"/>
  <c r="K325"/>
  <c r="I325"/>
  <c r="G325"/>
  <c r="E236"/>
  <c r="N340"/>
  <c r="L340"/>
  <c r="J340"/>
  <c r="H340"/>
  <c r="F340"/>
  <c r="N330"/>
  <c r="L330"/>
  <c r="J330"/>
  <c r="H330"/>
  <c r="F330"/>
  <c r="N325"/>
  <c r="L325"/>
  <c r="J325"/>
  <c r="H325"/>
  <c r="F325"/>
  <c r="E253"/>
  <c r="E252"/>
  <c r="E251"/>
  <c r="E250"/>
  <c r="E249"/>
  <c r="E248"/>
  <c r="E247"/>
  <c r="E246"/>
  <c r="E235"/>
  <c r="G221"/>
  <c r="I221"/>
  <c r="K221"/>
  <c r="M221"/>
  <c r="O221"/>
  <c r="G222"/>
  <c r="I222"/>
  <c r="K222"/>
  <c r="M222"/>
  <c r="O222"/>
  <c r="G223"/>
  <c r="I223"/>
  <c r="K223"/>
  <c r="M223"/>
  <c r="O223"/>
  <c r="G225"/>
  <c r="G377" s="1"/>
  <c r="I225"/>
  <c r="I377" s="1"/>
  <c r="K225"/>
  <c r="K377" s="1"/>
  <c r="M225"/>
  <c r="M377" s="1"/>
  <c r="O225"/>
  <c r="O377" s="1"/>
  <c r="G226"/>
  <c r="I226"/>
  <c r="K226"/>
  <c r="M226"/>
  <c r="O226"/>
  <c r="G227"/>
  <c r="I227"/>
  <c r="K227"/>
  <c r="M227"/>
  <c r="O227"/>
  <c r="G228"/>
  <c r="I228"/>
  <c r="K228"/>
  <c r="M228"/>
  <c r="O228"/>
  <c r="J546" i="36"/>
  <c r="J548" s="1"/>
  <c r="F311" i="43" l="1"/>
  <c r="O376"/>
  <c r="O380" s="1"/>
  <c r="K376"/>
  <c r="K380" s="1"/>
  <c r="G376"/>
  <c r="G380" s="1"/>
  <c r="L376"/>
  <c r="H376"/>
  <c r="M376"/>
  <c r="I376"/>
  <c r="N376"/>
  <c r="N380" s="1"/>
  <c r="J376"/>
  <c r="J380" s="1"/>
  <c r="F376"/>
  <c r="F380" s="1"/>
  <c r="I336"/>
  <c r="M336"/>
  <c r="F336"/>
  <c r="J336"/>
  <c r="N336"/>
  <c r="G336"/>
  <c r="K336"/>
  <c r="O336"/>
  <c r="H336"/>
  <c r="L336"/>
  <c r="G286"/>
  <c r="F329"/>
  <c r="G287"/>
  <c r="F324"/>
  <c r="F327" s="1"/>
  <c r="H267"/>
  <c r="I267" s="1"/>
  <c r="J267" s="1"/>
  <c r="K267" s="1"/>
  <c r="L267" s="1"/>
  <c r="M267" s="1"/>
  <c r="N267" s="1"/>
  <c r="O267" s="1"/>
  <c r="H268"/>
  <c r="I268" s="1"/>
  <c r="J268" s="1"/>
  <c r="K268" s="1"/>
  <c r="L268" s="1"/>
  <c r="M268" s="1"/>
  <c r="N268" s="1"/>
  <c r="O268" s="1"/>
  <c r="H278"/>
  <c r="M234"/>
  <c r="N234"/>
  <c r="G245"/>
  <c r="G301" s="1"/>
  <c r="K245"/>
  <c r="K301" s="1"/>
  <c r="O245"/>
  <c r="O301" s="1"/>
  <c r="J245"/>
  <c r="J301" s="1"/>
  <c r="I245"/>
  <c r="I301" s="1"/>
  <c r="M245"/>
  <c r="M301" s="1"/>
  <c r="H245"/>
  <c r="H301" s="1"/>
  <c r="L245"/>
  <c r="L301" s="1"/>
  <c r="N245"/>
  <c r="N301" s="1"/>
  <c r="M229"/>
  <c r="I229"/>
  <c r="L229"/>
  <c r="H229"/>
  <c r="I234"/>
  <c r="H234"/>
  <c r="O229"/>
  <c r="K229"/>
  <c r="G229"/>
  <c r="N229"/>
  <c r="J229"/>
  <c r="F229"/>
  <c r="G534" i="36" a="1"/>
  <c r="G532" a="1"/>
  <c r="G530" a="1"/>
  <c r="G528" a="1"/>
  <c r="G533" a="1"/>
  <c r="G533" s="1"/>
  <c r="G531" a="1"/>
  <c r="G529" a="1"/>
  <c r="G529" s="1"/>
  <c r="G542" s="1"/>
  <c r="F542" s="1"/>
  <c r="G526" a="1"/>
  <c r="G526" s="1"/>
  <c r="G527" a="1"/>
  <c r="G527" s="1"/>
  <c r="G540" s="1"/>
  <c r="F540" s="1"/>
  <c r="J234" i="43"/>
  <c r="G234"/>
  <c r="K234"/>
  <c r="O234"/>
  <c r="L234"/>
  <c r="O244"/>
  <c r="M244"/>
  <c r="K244"/>
  <c r="I244"/>
  <c r="G244"/>
  <c r="N244"/>
  <c r="L244"/>
  <c r="J244"/>
  <c r="H244"/>
  <c r="O247"/>
  <c r="O324" s="1"/>
  <c r="M247"/>
  <c r="M324" s="1"/>
  <c r="K247"/>
  <c r="K324" s="1"/>
  <c r="I247"/>
  <c r="I324" s="1"/>
  <c r="G247"/>
  <c r="G324" s="1"/>
  <c r="N247"/>
  <c r="N324" s="1"/>
  <c r="L247"/>
  <c r="L324" s="1"/>
  <c r="J247"/>
  <c r="J324" s="1"/>
  <c r="H247"/>
  <c r="H324" s="1"/>
  <c r="O249"/>
  <c r="M249"/>
  <c r="K249"/>
  <c r="I249"/>
  <c r="G249"/>
  <c r="N249"/>
  <c r="L249"/>
  <c r="J249"/>
  <c r="H249"/>
  <c r="O251"/>
  <c r="M251"/>
  <c r="K251"/>
  <c r="I251"/>
  <c r="G251"/>
  <c r="N251"/>
  <c r="L251"/>
  <c r="J251"/>
  <c r="H251"/>
  <c r="O253"/>
  <c r="M253"/>
  <c r="K253"/>
  <c r="I253"/>
  <c r="G253"/>
  <c r="N253"/>
  <c r="L253"/>
  <c r="J253"/>
  <c r="H253"/>
  <c r="I546" i="36"/>
  <c r="I548" s="1"/>
  <c r="L235" i="43"/>
  <c r="H235"/>
  <c r="O235"/>
  <c r="M235"/>
  <c r="K235"/>
  <c r="I235"/>
  <c r="G235"/>
  <c r="N235"/>
  <c r="J235"/>
  <c r="O246"/>
  <c r="O311" s="1"/>
  <c r="M246"/>
  <c r="M311" s="1"/>
  <c r="K246"/>
  <c r="K311" s="1"/>
  <c r="I246"/>
  <c r="I311" s="1"/>
  <c r="G246"/>
  <c r="G311" s="1"/>
  <c r="N246"/>
  <c r="N311" s="1"/>
  <c r="L246"/>
  <c r="L311" s="1"/>
  <c r="J246"/>
  <c r="J311" s="1"/>
  <c r="H246"/>
  <c r="H311" s="1"/>
  <c r="O248"/>
  <c r="M248"/>
  <c r="K248"/>
  <c r="I248"/>
  <c r="G248"/>
  <c r="N248"/>
  <c r="L248"/>
  <c r="J248"/>
  <c r="H248"/>
  <c r="O250"/>
  <c r="M250"/>
  <c r="K250"/>
  <c r="I250"/>
  <c r="G250"/>
  <c r="N250"/>
  <c r="L250"/>
  <c r="J250"/>
  <c r="H250"/>
  <c r="O252"/>
  <c r="M252"/>
  <c r="K252"/>
  <c r="I252"/>
  <c r="G252"/>
  <c r="N252"/>
  <c r="L252"/>
  <c r="J252"/>
  <c r="H252"/>
  <c r="N236"/>
  <c r="J236"/>
  <c r="O236"/>
  <c r="M236"/>
  <c r="K236"/>
  <c r="I236"/>
  <c r="G236"/>
  <c r="L236"/>
  <c r="H236"/>
  <c r="G534" i="36"/>
  <c r="G547" s="1"/>
  <c r="G530"/>
  <c r="G543" s="1"/>
  <c r="F543" s="1"/>
  <c r="G528"/>
  <c r="G541" s="1"/>
  <c r="F541" s="1"/>
  <c r="G531"/>
  <c r="G544" s="1"/>
  <c r="F544" s="1"/>
  <c r="G532"/>
  <c r="G522"/>
  <c r="H539"/>
  <c r="H535"/>
  <c r="O44" i="82"/>
  <c r="N44"/>
  <c r="M44"/>
  <c r="L44"/>
  <c r="K44"/>
  <c r="J44"/>
  <c r="I44"/>
  <c r="H44"/>
  <c r="G44"/>
  <c r="F44"/>
  <c r="D31"/>
  <c r="N19"/>
  <c r="M19"/>
  <c r="L19"/>
  <c r="K19"/>
  <c r="J19"/>
  <c r="I19"/>
  <c r="H19"/>
  <c r="G19"/>
  <c r="N18"/>
  <c r="M18"/>
  <c r="L18"/>
  <c r="K18"/>
  <c r="J18"/>
  <c r="I18"/>
  <c r="H18"/>
  <c r="G18"/>
  <c r="N17"/>
  <c r="M17"/>
  <c r="L17"/>
  <c r="K17"/>
  <c r="J17"/>
  <c r="I17"/>
  <c r="H17"/>
  <c r="G17"/>
  <c r="N16"/>
  <c r="M16"/>
  <c r="L16"/>
  <c r="K16"/>
  <c r="J16"/>
  <c r="I16"/>
  <c r="H16"/>
  <c r="G16"/>
  <c r="E8"/>
  <c r="N43" s="1"/>
  <c r="B2"/>
  <c r="B1"/>
  <c r="D72" i="81"/>
  <c r="D71"/>
  <c r="O68"/>
  <c r="O522" i="36" l="1"/>
  <c r="O527" a="1"/>
  <c r="O527" s="1"/>
  <c r="O540" s="1"/>
  <c r="O533" a="1"/>
  <c r="O533" s="1"/>
  <c r="O529" a="1"/>
  <c r="O529" s="1"/>
  <c r="O542" s="1"/>
  <c r="O532" a="1"/>
  <c r="O532" s="1"/>
  <c r="O530" a="1"/>
  <c r="O530" s="1"/>
  <c r="O543" s="1"/>
  <c r="O531" a="1"/>
  <c r="O531" s="1"/>
  <c r="O544" s="1"/>
  <c r="O526" a="1"/>
  <c r="O526" s="1"/>
  <c r="O528" a="1"/>
  <c r="O528" s="1"/>
  <c r="O541" s="1"/>
  <c r="O534" a="1"/>
  <c r="O534" s="1"/>
  <c r="O547" s="1"/>
  <c r="I369" i="43"/>
  <c r="J413"/>
  <c r="G413"/>
  <c r="O413"/>
  <c r="H380"/>
  <c r="H413" s="1"/>
  <c r="I380"/>
  <c r="I413" s="1"/>
  <c r="F413"/>
  <c r="N413"/>
  <c r="K413"/>
  <c r="L380"/>
  <c r="L413" s="1"/>
  <c r="M380"/>
  <c r="M413" s="1"/>
  <c r="I278"/>
  <c r="I371" s="1"/>
  <c r="H371"/>
  <c r="H286"/>
  <c r="G329"/>
  <c r="M338"/>
  <c r="M342" s="1"/>
  <c r="M346" s="1"/>
  <c r="M397" s="1"/>
  <c r="H338"/>
  <c r="H342" s="1"/>
  <c r="H346" s="1"/>
  <c r="H397" s="1"/>
  <c r="G338"/>
  <c r="G342" s="1"/>
  <c r="G346" s="1"/>
  <c r="G397" s="1"/>
  <c r="K338"/>
  <c r="K342" s="1"/>
  <c r="K346" s="1"/>
  <c r="K397" s="1"/>
  <c r="O338"/>
  <c r="O342" s="1"/>
  <c r="I338"/>
  <c r="J369"/>
  <c r="N369"/>
  <c r="M369"/>
  <c r="N338"/>
  <c r="N342" s="1"/>
  <c r="L369"/>
  <c r="I43" i="82"/>
  <c r="M43"/>
  <c r="J338" i="43"/>
  <c r="J342" s="1"/>
  <c r="J346" s="1"/>
  <c r="J397" s="1"/>
  <c r="G43" i="82"/>
  <c r="K43"/>
  <c r="O43"/>
  <c r="L338" i="43"/>
  <c r="L342" s="1"/>
  <c r="L346" s="1"/>
  <c r="L397" s="1"/>
  <c r="F338"/>
  <c r="F342" s="1"/>
  <c r="F346" s="1"/>
  <c r="F397" s="1"/>
  <c r="G539" i="36"/>
  <c r="G546" s="1"/>
  <c r="G535"/>
  <c r="O313" i="43"/>
  <c r="O319" s="1"/>
  <c r="F412"/>
  <c r="O303"/>
  <c r="O306" s="1"/>
  <c r="O394" s="1"/>
  <c r="F43" i="82"/>
  <c r="H43"/>
  <c r="J43"/>
  <c r="L43"/>
  <c r="H546" i="36"/>
  <c r="H548" s="1"/>
  <c r="O369" i="43"/>
  <c r="K369"/>
  <c r="G369"/>
  <c r="H369"/>
  <c r="F547" i="36"/>
  <c r="F546" s="1"/>
  <c r="F548" s="1"/>
  <c r="O327" i="43"/>
  <c r="AE50" i="78"/>
  <c r="AE51" l="1"/>
  <c r="AE84" s="1"/>
  <c r="O395" i="43"/>
  <c r="O398"/>
  <c r="N346"/>
  <c r="N397" s="1"/>
  <c r="O346"/>
  <c r="O397" s="1"/>
  <c r="O535" i="36"/>
  <c r="O539"/>
  <c r="O546" s="1"/>
  <c r="O548" s="1"/>
  <c r="I342" i="43"/>
  <c r="I346" s="1"/>
  <c r="I397" s="1"/>
  <c r="I370"/>
  <c r="I372" s="1"/>
  <c r="J278"/>
  <c r="I286"/>
  <c r="J286" s="1"/>
  <c r="H329"/>
  <c r="H287"/>
  <c r="O370"/>
  <c r="N370" s="1"/>
  <c r="M370" s="1"/>
  <c r="L370" s="1"/>
  <c r="K370" s="1"/>
  <c r="J370" s="1"/>
  <c r="J411" s="1"/>
  <c r="H370"/>
  <c r="G370" s="1"/>
  <c r="F370" s="1"/>
  <c r="F372" s="1"/>
  <c r="G372" s="1"/>
  <c r="G548" i="36"/>
  <c r="N303" i="43"/>
  <c r="N306" s="1"/>
  <c r="N394" s="1"/>
  <c r="N313"/>
  <c r="N319" s="1"/>
  <c r="N327"/>
  <c r="AH50" i="78"/>
  <c r="AE50" i="77"/>
  <c r="AE51" l="1"/>
  <c r="AE84" s="1"/>
  <c r="N398" i="43"/>
  <c r="N395"/>
  <c r="AE95" i="78"/>
  <c r="AH51"/>
  <c r="AH84" s="1"/>
  <c r="M411" i="43"/>
  <c r="O411"/>
  <c r="L411"/>
  <c r="K411"/>
  <c r="K278"/>
  <c r="J371"/>
  <c r="J372" s="1"/>
  <c r="I329"/>
  <c r="I287"/>
  <c r="N411"/>
  <c r="G411"/>
  <c r="I411"/>
  <c r="H372"/>
  <c r="H411"/>
  <c r="M313"/>
  <c r="M319" s="1"/>
  <c r="M303"/>
  <c r="M306" s="1"/>
  <c r="M394" s="1"/>
  <c r="F411"/>
  <c r="M327"/>
  <c r="D35" i="81"/>
  <c r="E8"/>
  <c r="B2"/>
  <c r="B1"/>
  <c r="AE50" i="76"/>
  <c r="AH50" i="77"/>
  <c r="O19" i="80"/>
  <c r="O194" l="1"/>
  <c r="O136"/>
  <c r="AE51" i="76"/>
  <c r="AE84" s="1"/>
  <c r="AE95" i="77"/>
  <c r="M395" i="43"/>
  <c r="M398"/>
  <c r="AH51" i="77"/>
  <c r="AH84" s="1"/>
  <c r="AH95" i="78"/>
  <c r="L278" i="43"/>
  <c r="K371"/>
  <c r="K372" s="1"/>
  <c r="K286"/>
  <c r="J329"/>
  <c r="J287"/>
  <c r="N43" i="81"/>
  <c r="N52" s="1"/>
  <c r="N54" s="1"/>
  <c r="L43"/>
  <c r="L52" s="1"/>
  <c r="L54" s="1"/>
  <c r="J43"/>
  <c r="J52" s="1"/>
  <c r="J54" s="1"/>
  <c r="H43"/>
  <c r="H52" s="1"/>
  <c r="H54" s="1"/>
  <c r="F43"/>
  <c r="F52" s="1"/>
  <c r="F54" s="1"/>
  <c r="O43"/>
  <c r="O52" s="1"/>
  <c r="O54" s="1"/>
  <c r="M43"/>
  <c r="M52" s="1"/>
  <c r="M54" s="1"/>
  <c r="K43"/>
  <c r="K52" s="1"/>
  <c r="K54" s="1"/>
  <c r="I43"/>
  <c r="I52" s="1"/>
  <c r="I54" s="1"/>
  <c r="G43"/>
  <c r="G52" s="1"/>
  <c r="G54" s="1"/>
  <c r="L327" i="43"/>
  <c r="L303"/>
  <c r="L306" s="1"/>
  <c r="L394" s="1"/>
  <c r="L313"/>
  <c r="L319" s="1"/>
  <c r="E7" i="86"/>
  <c r="B2"/>
  <c r="B1"/>
  <c r="D103" i="85"/>
  <c r="D102"/>
  <c r="O99"/>
  <c r="E78"/>
  <c r="E7"/>
  <c r="B2"/>
  <c r="B1"/>
  <c r="D65" i="33"/>
  <c r="D64"/>
  <c r="O61"/>
  <c r="E56"/>
  <c r="E52"/>
  <c r="AE50" i="75"/>
  <c r="AH50" i="76"/>
  <c r="N19" i="80"/>
  <c r="O17"/>
  <c r="AE96" i="78"/>
  <c r="O81" i="85" l="1"/>
  <c r="O84" s="1"/>
  <c r="M81"/>
  <c r="M84" s="1"/>
  <c r="K81"/>
  <c r="K84" s="1"/>
  <c r="I81"/>
  <c r="I84" s="1"/>
  <c r="G81"/>
  <c r="G84" s="1"/>
  <c r="F81"/>
  <c r="F84" s="1"/>
  <c r="O73"/>
  <c r="O76" s="1"/>
  <c r="M73"/>
  <c r="M76" s="1"/>
  <c r="K73"/>
  <c r="K76" s="1"/>
  <c r="I73"/>
  <c r="I76" s="1"/>
  <c r="G73"/>
  <c r="G76" s="1"/>
  <c r="N81"/>
  <c r="N84" s="1"/>
  <c r="L81"/>
  <c r="L84" s="1"/>
  <c r="J81"/>
  <c r="J84" s="1"/>
  <c r="H81"/>
  <c r="H84" s="1"/>
  <c r="N73"/>
  <c r="N76" s="1"/>
  <c r="L73"/>
  <c r="L76" s="1"/>
  <c r="J73"/>
  <c r="J76" s="1"/>
  <c r="H73"/>
  <c r="H76" s="1"/>
  <c r="F73"/>
  <c r="F76" s="1"/>
  <c r="N194" i="80"/>
  <c r="AE99" i="78"/>
  <c r="AE106" s="1"/>
  <c r="AE109" s="1"/>
  <c r="AE97"/>
  <c r="O192" i="80"/>
  <c r="O150"/>
  <c r="O147"/>
  <c r="O143"/>
  <c r="O139"/>
  <c r="N136"/>
  <c r="AE51" i="75"/>
  <c r="AE84" s="1"/>
  <c r="AE95" i="76"/>
  <c r="L398" i="43"/>
  <c r="L395"/>
  <c r="AH51" i="76"/>
  <c r="AH84" s="1"/>
  <c r="AH95" i="77"/>
  <c r="O44" i="86"/>
  <c r="O47" s="1"/>
  <c r="M44"/>
  <c r="M47" s="1"/>
  <c r="K44"/>
  <c r="K47" s="1"/>
  <c r="I44"/>
  <c r="I47" s="1"/>
  <c r="G44"/>
  <c r="G47" s="1"/>
  <c r="N44"/>
  <c r="N47" s="1"/>
  <c r="L44"/>
  <c r="L47" s="1"/>
  <c r="J44"/>
  <c r="J47" s="1"/>
  <c r="H44"/>
  <c r="H47" s="1"/>
  <c r="F44"/>
  <c r="F47" s="1"/>
  <c r="O89" i="85"/>
  <c r="O92" s="1"/>
  <c r="M89"/>
  <c r="M92" s="1"/>
  <c r="K89"/>
  <c r="K92" s="1"/>
  <c r="I89"/>
  <c r="I92" s="1"/>
  <c r="G89"/>
  <c r="G92" s="1"/>
  <c r="N89"/>
  <c r="N92" s="1"/>
  <c r="L89"/>
  <c r="L92" s="1"/>
  <c r="J89"/>
  <c r="J92" s="1"/>
  <c r="H89"/>
  <c r="H92" s="1"/>
  <c r="F89"/>
  <c r="F92" s="1"/>
  <c r="M278" i="43"/>
  <c r="L371"/>
  <c r="L372" s="1"/>
  <c r="L286"/>
  <c r="K329"/>
  <c r="K332" s="1"/>
  <c r="K287"/>
  <c r="G58" i="81"/>
  <c r="G60" s="1"/>
  <c r="K58"/>
  <c r="K60" s="1"/>
  <c r="O58"/>
  <c r="O60" s="1"/>
  <c r="H58"/>
  <c r="H60" s="1"/>
  <c r="L58"/>
  <c r="L60" s="1"/>
  <c r="I58"/>
  <c r="I60" s="1"/>
  <c r="M58"/>
  <c r="M60" s="1"/>
  <c r="F58"/>
  <c r="F60" s="1"/>
  <c r="J58"/>
  <c r="J60" s="1"/>
  <c r="N58"/>
  <c r="N60" s="1"/>
  <c r="K303" i="43"/>
  <c r="K306" s="1"/>
  <c r="K394" s="1"/>
  <c r="K313"/>
  <c r="K319" s="1"/>
  <c r="K327"/>
  <c r="K345" s="1"/>
  <c r="L315"/>
  <c r="L316" s="1"/>
  <c r="B2" i="33"/>
  <c r="B1"/>
  <c r="D76" i="90"/>
  <c r="D75"/>
  <c r="O72"/>
  <c r="E67"/>
  <c r="O65"/>
  <c r="N65"/>
  <c r="M65"/>
  <c r="L65"/>
  <c r="K65"/>
  <c r="J65"/>
  <c r="I65"/>
  <c r="H65"/>
  <c r="G65"/>
  <c r="F65"/>
  <c r="E64"/>
  <c r="O53"/>
  <c r="F35"/>
  <c r="O32"/>
  <c r="E7"/>
  <c r="B2"/>
  <c r="B1"/>
  <c r="D76" i="32"/>
  <c r="D75"/>
  <c r="O72"/>
  <c r="E67"/>
  <c r="N17" i="80"/>
  <c r="AE96" i="77"/>
  <c r="M19" i="80"/>
  <c r="AH50" i="75"/>
  <c r="AH96" i="78"/>
  <c r="AE50" i="74"/>
  <c r="O161" i="80" l="1"/>
  <c r="O153"/>
  <c r="O157"/>
  <c r="M194"/>
  <c r="AE99" i="77"/>
  <c r="AE106" s="1"/>
  <c r="AE109" s="1"/>
  <c r="AE97"/>
  <c r="N192" i="80"/>
  <c r="AH99" i="78"/>
  <c r="AH106" s="1"/>
  <c r="AH109" s="1"/>
  <c r="AH97"/>
  <c r="N150" i="80"/>
  <c r="N147"/>
  <c r="N143"/>
  <c r="N139"/>
  <c r="M136"/>
  <c r="AE51" i="74"/>
  <c r="AE84" s="1"/>
  <c r="K399" i="43"/>
  <c r="K396"/>
  <c r="AE95" i="75"/>
  <c r="K395" i="43"/>
  <c r="K398"/>
  <c r="AH51" i="75"/>
  <c r="AH84" s="1"/>
  <c r="AH95" i="76"/>
  <c r="F56" i="86"/>
  <c r="F57"/>
  <c r="J57"/>
  <c r="J56"/>
  <c r="N57"/>
  <c r="N56"/>
  <c r="I56"/>
  <c r="I57"/>
  <c r="M56"/>
  <c r="M57"/>
  <c r="H57"/>
  <c r="H56"/>
  <c r="L57"/>
  <c r="L56"/>
  <c r="G56"/>
  <c r="G57"/>
  <c r="K56"/>
  <c r="K57"/>
  <c r="O56"/>
  <c r="O57"/>
  <c r="L412" i="43"/>
  <c r="N278"/>
  <c r="M371"/>
  <c r="M412" s="1"/>
  <c r="M286"/>
  <c r="L329"/>
  <c r="L332" s="1"/>
  <c r="L345" s="1"/>
  <c r="L287"/>
  <c r="N63" i="81"/>
  <c r="N62"/>
  <c r="J63"/>
  <c r="J62"/>
  <c r="F63"/>
  <c r="F62"/>
  <c r="M63"/>
  <c r="M62"/>
  <c r="I63"/>
  <c r="I62"/>
  <c r="L63"/>
  <c r="L62"/>
  <c r="H63"/>
  <c r="H62"/>
  <c r="O63"/>
  <c r="O62"/>
  <c r="K63"/>
  <c r="K62"/>
  <c r="G63"/>
  <c r="G62"/>
  <c r="F56" i="90"/>
  <c r="F64" s="1"/>
  <c r="J327" i="43"/>
  <c r="K412"/>
  <c r="J332"/>
  <c r="K315"/>
  <c r="K316" s="1"/>
  <c r="J313"/>
  <c r="J319" s="1"/>
  <c r="J303"/>
  <c r="J306" s="1"/>
  <c r="J394" s="1"/>
  <c r="O65" i="32"/>
  <c r="N65"/>
  <c r="M65"/>
  <c r="L65"/>
  <c r="K65"/>
  <c r="J65"/>
  <c r="I65"/>
  <c r="H65"/>
  <c r="G65"/>
  <c r="F65"/>
  <c r="E64"/>
  <c r="BD48" i="75"/>
  <c r="AG48" i="78"/>
  <c r="BD48" i="29"/>
  <c r="M17" i="80"/>
  <c r="L19"/>
  <c r="AH50" i="74"/>
  <c r="AG48" i="76"/>
  <c r="AG48" i="71"/>
  <c r="AG48" i="72"/>
  <c r="BD48" i="78"/>
  <c r="BD48" i="74"/>
  <c r="BD48" i="72"/>
  <c r="BD48" i="73"/>
  <c r="BD48" i="71"/>
  <c r="BD48" i="70"/>
  <c r="AE50" i="73"/>
  <c r="AE96" i="76"/>
  <c r="BD48" i="77"/>
  <c r="AG48" i="73"/>
  <c r="AG48" i="29"/>
  <c r="BD48" i="76"/>
  <c r="AG48" i="77"/>
  <c r="AG48" i="75"/>
  <c r="AG48" i="74"/>
  <c r="AG48" i="70"/>
  <c r="AH96" i="77"/>
  <c r="N161" i="80" l="1"/>
  <c r="N157"/>
  <c r="N153"/>
  <c r="L194"/>
  <c r="AE99" i="76"/>
  <c r="AE106" s="1"/>
  <c r="AE109" s="1"/>
  <c r="AE97"/>
  <c r="M192" i="80"/>
  <c r="AH99" i="77"/>
  <c r="AH106" s="1"/>
  <c r="AH109" s="1"/>
  <c r="AH97"/>
  <c r="M150" i="80"/>
  <c r="M147"/>
  <c r="M143"/>
  <c r="M139"/>
  <c r="L136"/>
  <c r="AE51" i="73"/>
  <c r="AE84" s="1"/>
  <c r="AE95" i="74"/>
  <c r="J398" i="43"/>
  <c r="J395"/>
  <c r="L396"/>
  <c r="L399"/>
  <c r="AH51" i="74"/>
  <c r="AH84" s="1"/>
  <c r="AH95" i="75"/>
  <c r="J345" i="43"/>
  <c r="BF48" i="78"/>
  <c r="BF48" i="74"/>
  <c r="BF48" i="70"/>
  <c r="BF48" i="76"/>
  <c r="BF48" i="72"/>
  <c r="BF48" i="29"/>
  <c r="AK48" i="78"/>
  <c r="AK48" i="74"/>
  <c r="AK48" i="70"/>
  <c r="BF48" i="75"/>
  <c r="BF48" i="71"/>
  <c r="AK48" i="76"/>
  <c r="AK48" i="72"/>
  <c r="BF48" i="77"/>
  <c r="BF48" i="73"/>
  <c r="AK48" i="29"/>
  <c r="AK48" i="75"/>
  <c r="AK48" i="71"/>
  <c r="AK48" i="77"/>
  <c r="AK48" i="73"/>
  <c r="L58" i="86"/>
  <c r="H58"/>
  <c r="N58"/>
  <c r="J58"/>
  <c r="O58"/>
  <c r="K58"/>
  <c r="G58"/>
  <c r="M58"/>
  <c r="I58"/>
  <c r="F58"/>
  <c r="O278" i="43"/>
  <c r="O371" s="1"/>
  <c r="N371"/>
  <c r="N372" s="1"/>
  <c r="M372" s="1"/>
  <c r="N286"/>
  <c r="M329"/>
  <c r="M332" s="1"/>
  <c r="M287"/>
  <c r="G56" i="90"/>
  <c r="I332" i="43"/>
  <c r="J412"/>
  <c r="I327"/>
  <c r="I345" s="1"/>
  <c r="I303"/>
  <c r="I306" s="1"/>
  <c r="I394" s="1"/>
  <c r="I313"/>
  <c r="I319" s="1"/>
  <c r="J315"/>
  <c r="J316" s="1"/>
  <c r="L17" i="80"/>
  <c r="K19"/>
  <c r="AE50" i="72"/>
  <c r="AH96" i="76"/>
  <c r="AH50" i="73"/>
  <c r="AE96" i="75"/>
  <c r="M161" i="80" l="1"/>
  <c r="M153"/>
  <c r="M157"/>
  <c r="K194"/>
  <c r="AE99" i="75"/>
  <c r="AE106" s="1"/>
  <c r="AE109" s="1"/>
  <c r="AE97"/>
  <c r="L192" i="80"/>
  <c r="AH99" i="76"/>
  <c r="AH106" s="1"/>
  <c r="AH109" s="1"/>
  <c r="AH97"/>
  <c r="L150" i="80"/>
  <c r="L147"/>
  <c r="L143"/>
  <c r="L139"/>
  <c r="K136"/>
  <c r="AE51" i="72"/>
  <c r="AE84" s="1"/>
  <c r="I395" i="43"/>
  <c r="I398"/>
  <c r="I399"/>
  <c r="I396"/>
  <c r="J396"/>
  <c r="J399"/>
  <c r="AE95" i="73"/>
  <c r="AH51"/>
  <c r="AH84" s="1"/>
  <c r="M345" i="43"/>
  <c r="AH95" i="74"/>
  <c r="O372" i="43"/>
  <c r="O412"/>
  <c r="O286"/>
  <c r="N329"/>
  <c r="N332" s="1"/>
  <c r="N287"/>
  <c r="H56" i="90"/>
  <c r="G64"/>
  <c r="I315" i="43"/>
  <c r="I316" s="1"/>
  <c r="H313"/>
  <c r="H319" s="1"/>
  <c r="H303"/>
  <c r="H306" s="1"/>
  <c r="H394" s="1"/>
  <c r="G327"/>
  <c r="H327"/>
  <c r="I412"/>
  <c r="H332"/>
  <c r="O53" i="32"/>
  <c r="F35"/>
  <c r="O32"/>
  <c r="N26"/>
  <c r="M26"/>
  <c r="L26"/>
  <c r="K26"/>
  <c r="J26"/>
  <c r="I26"/>
  <c r="H26"/>
  <c r="G26"/>
  <c r="F26"/>
  <c r="N25"/>
  <c r="M25"/>
  <c r="L25"/>
  <c r="K25"/>
  <c r="J25"/>
  <c r="I25"/>
  <c r="H25"/>
  <c r="G25"/>
  <c r="F25"/>
  <c r="N24"/>
  <c r="M24"/>
  <c r="L24"/>
  <c r="K24"/>
  <c r="J24"/>
  <c r="I24"/>
  <c r="H24"/>
  <c r="G24"/>
  <c r="F24"/>
  <c r="M23"/>
  <c r="L23"/>
  <c r="K23"/>
  <c r="J23"/>
  <c r="I23"/>
  <c r="H23"/>
  <c r="G23"/>
  <c r="F23"/>
  <c r="N18"/>
  <c r="M18"/>
  <c r="L18"/>
  <c r="K18"/>
  <c r="J18"/>
  <c r="I18"/>
  <c r="H18"/>
  <c r="G18"/>
  <c r="F18"/>
  <c r="N17"/>
  <c r="M17"/>
  <c r="L17"/>
  <c r="K17"/>
  <c r="J17"/>
  <c r="I17"/>
  <c r="H17"/>
  <c r="G17"/>
  <c r="F17"/>
  <c r="N16"/>
  <c r="M16"/>
  <c r="L16"/>
  <c r="K16"/>
  <c r="J16"/>
  <c r="I16"/>
  <c r="H16"/>
  <c r="G16"/>
  <c r="F16"/>
  <c r="N15"/>
  <c r="M15"/>
  <c r="L15"/>
  <c r="K15"/>
  <c r="I15"/>
  <c r="H15"/>
  <c r="G15"/>
  <c r="F15"/>
  <c r="E7"/>
  <c r="B2"/>
  <c r="B1"/>
  <c r="D114" i="27"/>
  <c r="D113"/>
  <c r="D112"/>
  <c r="D111"/>
  <c r="D110"/>
  <c r="O107"/>
  <c r="O101"/>
  <c r="N101"/>
  <c r="M101"/>
  <c r="L101"/>
  <c r="K101"/>
  <c r="J101"/>
  <c r="I101"/>
  <c r="H101"/>
  <c r="G101"/>
  <c r="F101"/>
  <c r="E93"/>
  <c r="O91"/>
  <c r="N91"/>
  <c r="M91"/>
  <c r="L91"/>
  <c r="K91"/>
  <c r="J91"/>
  <c r="I91"/>
  <c r="H91"/>
  <c r="G91"/>
  <c r="F91"/>
  <c r="E90"/>
  <c r="D84"/>
  <c r="O81"/>
  <c r="N67"/>
  <c r="M67"/>
  <c r="L67"/>
  <c r="K67"/>
  <c r="J67"/>
  <c r="AH96" i="75"/>
  <c r="AE50" i="71"/>
  <c r="AE96" i="74"/>
  <c r="J19" i="80"/>
  <c r="AH50" i="72"/>
  <c r="K17" i="80"/>
  <c r="L161" l="1"/>
  <c r="L157"/>
  <c r="L153"/>
  <c r="J194"/>
  <c r="AE99" i="74"/>
  <c r="AE106" s="1"/>
  <c r="AE109" s="1"/>
  <c r="AE97"/>
  <c r="K192" i="80"/>
  <c r="AH99" i="75"/>
  <c r="AH106" s="1"/>
  <c r="AH109" s="1"/>
  <c r="AH97"/>
  <c r="K150" i="80"/>
  <c r="K147"/>
  <c r="K143"/>
  <c r="K139"/>
  <c r="J136"/>
  <c r="AE51" i="71"/>
  <c r="AE84" s="1"/>
  <c r="M399" i="43"/>
  <c r="M396"/>
  <c r="H398"/>
  <c r="H395"/>
  <c r="AE95" i="72"/>
  <c r="AH51"/>
  <c r="AH84" s="1"/>
  <c r="AH95" i="73"/>
  <c r="H345" i="43"/>
  <c r="N345"/>
  <c r="N412"/>
  <c r="O329"/>
  <c r="O332" s="1"/>
  <c r="O287"/>
  <c r="H315"/>
  <c r="H316" s="1"/>
  <c r="H64" i="90"/>
  <c r="I56"/>
  <c r="F56" i="32"/>
  <c r="F332" i="43"/>
  <c r="F345" s="1"/>
  <c r="G332"/>
  <c r="H412"/>
  <c r="G303"/>
  <c r="G306" s="1"/>
  <c r="G394" s="1"/>
  <c r="G313"/>
  <c r="G319" s="1"/>
  <c r="I67" i="27"/>
  <c r="H67"/>
  <c r="G67"/>
  <c r="F67"/>
  <c r="AE96" i="73"/>
  <c r="AE50" i="70"/>
  <c r="J17" i="80"/>
  <c r="I19"/>
  <c r="AH50" i="71"/>
  <c r="AH96" i="74"/>
  <c r="F64" i="32" l="1"/>
  <c r="F66" s="1"/>
  <c r="G56"/>
  <c r="K161" i="80"/>
  <c r="K153"/>
  <c r="K157"/>
  <c r="I194"/>
  <c r="AE99" i="73"/>
  <c r="AE106" s="1"/>
  <c r="AE109" s="1"/>
  <c r="AE97"/>
  <c r="J192" i="80"/>
  <c r="AH99" i="74"/>
  <c r="AH106" s="1"/>
  <c r="AH109" s="1"/>
  <c r="AH97"/>
  <c r="J150" i="80"/>
  <c r="J147"/>
  <c r="J143"/>
  <c r="J139"/>
  <c r="I136"/>
  <c r="AE51" i="70"/>
  <c r="AE84" s="1"/>
  <c r="G395" i="43"/>
  <c r="G398"/>
  <c r="F396"/>
  <c r="F399"/>
  <c r="N396"/>
  <c r="N399"/>
  <c r="H396"/>
  <c r="H399"/>
  <c r="AE95" i="71"/>
  <c r="AH51"/>
  <c r="AH84" s="1"/>
  <c r="O345" i="43"/>
  <c r="AH95" i="72"/>
  <c r="G345" i="43"/>
  <c r="G315"/>
  <c r="G316" s="1"/>
  <c r="J56" i="90"/>
  <c r="I64"/>
  <c r="F313" i="43"/>
  <c r="F319" s="1"/>
  <c r="F303"/>
  <c r="F306" s="1"/>
  <c r="F394" s="1"/>
  <c r="G412"/>
  <c r="O64" i="27"/>
  <c r="F62"/>
  <c r="F84" s="1"/>
  <c r="D62"/>
  <c r="F59"/>
  <c r="D57"/>
  <c r="D52"/>
  <c r="D47"/>
  <c r="N27"/>
  <c r="M27"/>
  <c r="L27"/>
  <c r="K27"/>
  <c r="J27"/>
  <c r="I27"/>
  <c r="H27"/>
  <c r="G27"/>
  <c r="F27"/>
  <c r="N26"/>
  <c r="M26"/>
  <c r="L26"/>
  <c r="K26"/>
  <c r="J26"/>
  <c r="I26"/>
  <c r="H26"/>
  <c r="G26"/>
  <c r="F26"/>
  <c r="N25"/>
  <c r="M25"/>
  <c r="L25"/>
  <c r="K25"/>
  <c r="J25"/>
  <c r="I25"/>
  <c r="H25"/>
  <c r="G25"/>
  <c r="F25"/>
  <c r="N24"/>
  <c r="M24"/>
  <c r="L24"/>
  <c r="K24"/>
  <c r="J24"/>
  <c r="I24"/>
  <c r="H24"/>
  <c r="G24"/>
  <c r="F24"/>
  <c r="D16"/>
  <c r="AE96" i="72"/>
  <c r="H19" i="80"/>
  <c r="I17"/>
  <c r="AE50" i="29"/>
  <c r="AH96" i="73"/>
  <c r="AH50" i="70"/>
  <c r="J161" i="80" l="1"/>
  <c r="J157"/>
  <c r="J153"/>
  <c r="H194"/>
  <c r="AE99" i="72"/>
  <c r="AE106" s="1"/>
  <c r="AE109" s="1"/>
  <c r="AE97"/>
  <c r="I192" i="80"/>
  <c r="AH99" i="73"/>
  <c r="AH106" s="1"/>
  <c r="AH109" s="1"/>
  <c r="AH97"/>
  <c r="I150" i="80"/>
  <c r="I147"/>
  <c r="I143"/>
  <c r="I139"/>
  <c r="H136"/>
  <c r="AE51" i="29"/>
  <c r="AE84" s="1"/>
  <c r="F398" i="43"/>
  <c r="F395"/>
  <c r="O399"/>
  <c r="O396"/>
  <c r="G399"/>
  <c r="G396"/>
  <c r="AE95" i="70"/>
  <c r="AH51"/>
  <c r="AH84" s="1"/>
  <c r="AH95" i="71"/>
  <c r="F315" i="43"/>
  <c r="F316" s="1"/>
  <c r="J64" i="90"/>
  <c r="K56"/>
  <c r="G64" i="32"/>
  <c r="H56"/>
  <c r="D15" i="27"/>
  <c r="O12"/>
  <c r="E7"/>
  <c r="B2"/>
  <c r="B1"/>
  <c r="E140" i="37"/>
  <c r="E139"/>
  <c r="E138"/>
  <c r="E137"/>
  <c r="D128"/>
  <c r="D127"/>
  <c r="D126"/>
  <c r="D125"/>
  <c r="O122"/>
  <c r="G19" i="80"/>
  <c r="AE96" i="71"/>
  <c r="AH96" i="72"/>
  <c r="AH50" i="29"/>
  <c r="H17" i="80"/>
  <c r="I161" l="1"/>
  <c r="I153"/>
  <c r="I157"/>
  <c r="G194"/>
  <c r="AE99" i="71"/>
  <c r="AE106" s="1"/>
  <c r="AE109" s="1"/>
  <c r="AE97"/>
  <c r="H192" i="80"/>
  <c r="AH99" i="72"/>
  <c r="AH106" s="1"/>
  <c r="AH109" s="1"/>
  <c r="AH97"/>
  <c r="H150" i="80"/>
  <c r="H147"/>
  <c r="H143"/>
  <c r="H139"/>
  <c r="G136"/>
  <c r="AE95" i="29"/>
  <c r="AH51"/>
  <c r="AH84" s="1"/>
  <c r="AH95" i="70"/>
  <c r="O315" i="43"/>
  <c r="O316" s="1"/>
  <c r="I56" i="32"/>
  <c r="H64"/>
  <c r="L56" i="90"/>
  <c r="K64"/>
  <c r="N315" i="43"/>
  <c r="N316" s="1"/>
  <c r="G17" i="80"/>
  <c r="AE96" i="70"/>
  <c r="F19" i="80"/>
  <c r="AH96" i="71"/>
  <c r="H161" i="80" l="1"/>
  <c r="H157"/>
  <c r="H153"/>
  <c r="F194"/>
  <c r="AE99" i="70"/>
  <c r="AE106" s="1"/>
  <c r="AE109" s="1"/>
  <c r="AE97"/>
  <c r="G192" i="80"/>
  <c r="AH99" i="71"/>
  <c r="AH106" s="1"/>
  <c r="AH109" s="1"/>
  <c r="AH97"/>
  <c r="G150" i="80"/>
  <c r="G147"/>
  <c r="G143"/>
  <c r="G139"/>
  <c r="F136"/>
  <c r="AH95" i="29"/>
  <c r="L64" i="90"/>
  <c r="M56"/>
  <c r="J56" i="32"/>
  <c r="I64"/>
  <c r="M315" i="43"/>
  <c r="M316" s="1"/>
  <c r="E104" i="37"/>
  <c r="AH96" i="70"/>
  <c r="F17" i="80"/>
  <c r="AE96" i="29"/>
  <c r="G161" i="80" l="1"/>
  <c r="G153"/>
  <c r="G157"/>
  <c r="AE99" i="29"/>
  <c r="AE106" s="1"/>
  <c r="AE109" s="1"/>
  <c r="AE97"/>
  <c r="F192" i="80"/>
  <c r="AH99" i="70"/>
  <c r="AH106" s="1"/>
  <c r="AH109" s="1"/>
  <c r="AH97"/>
  <c r="F150" i="80"/>
  <c r="F147"/>
  <c r="F143"/>
  <c r="F139"/>
  <c r="M64" i="90"/>
  <c r="N56"/>
  <c r="K56" i="32"/>
  <c r="J64"/>
  <c r="E101" i="37"/>
  <c r="E99"/>
  <c r="O96"/>
  <c r="N96"/>
  <c r="M96"/>
  <c r="L96"/>
  <c r="K96"/>
  <c r="J96"/>
  <c r="I96"/>
  <c r="H96"/>
  <c r="G96"/>
  <c r="F96"/>
  <c r="AH96" i="29"/>
  <c r="F161" i="80" l="1"/>
  <c r="F153"/>
  <c r="F157"/>
  <c r="AH99" i="29"/>
  <c r="AH106" s="1"/>
  <c r="AH109" s="1"/>
  <c r="AH97"/>
  <c r="L56" i="32"/>
  <c r="K64"/>
  <c r="O56" i="90"/>
  <c r="O64" s="1"/>
  <c r="O66" s="1"/>
  <c r="N64"/>
  <c r="N66" s="1"/>
  <c r="M66" s="1"/>
  <c r="L66" s="1"/>
  <c r="K66" s="1"/>
  <c r="J66" s="1"/>
  <c r="I66" s="1"/>
  <c r="H66" s="1"/>
  <c r="G66"/>
  <c r="E94" i="37"/>
  <c r="O77"/>
  <c r="O29"/>
  <c r="N27"/>
  <c r="M27"/>
  <c r="L27"/>
  <c r="K27"/>
  <c r="J27"/>
  <c r="I27"/>
  <c r="H27"/>
  <c r="G27"/>
  <c r="F27"/>
  <c r="N26"/>
  <c r="M26"/>
  <c r="L26"/>
  <c r="K26"/>
  <c r="J26"/>
  <c r="I26"/>
  <c r="H26"/>
  <c r="G26"/>
  <c r="F26"/>
  <c r="N25"/>
  <c r="M25"/>
  <c r="L25"/>
  <c r="K25"/>
  <c r="J25"/>
  <c r="I25"/>
  <c r="H25"/>
  <c r="G25"/>
  <c r="F25"/>
  <c r="N24"/>
  <c r="M24"/>
  <c r="L24"/>
  <c r="K24"/>
  <c r="J24"/>
  <c r="I24"/>
  <c r="H24"/>
  <c r="G24"/>
  <c r="F24"/>
  <c r="O21"/>
  <c r="D16"/>
  <c r="D15"/>
  <c r="O12"/>
  <c r="E7"/>
  <c r="B2"/>
  <c r="B1"/>
  <c r="D135" i="22"/>
  <c r="D134"/>
  <c r="D133"/>
  <c r="D132"/>
  <c r="D131"/>
  <c r="D130"/>
  <c r="E127"/>
  <c r="F97" i="37" l="1"/>
  <c r="G80"/>
  <c r="M56" i="32"/>
  <c r="L64"/>
  <c r="F66" i="90"/>
  <c r="G92" i="37" l="1"/>
  <c r="G93" s="1"/>
  <c r="G85"/>
  <c r="G108" s="1"/>
  <c r="G94"/>
  <c r="G97" s="1"/>
  <c r="N56" i="32"/>
  <c r="M64"/>
  <c r="E117" i="22"/>
  <c r="E116"/>
  <c r="E115"/>
  <c r="O110"/>
  <c r="N110"/>
  <c r="M110"/>
  <c r="L110"/>
  <c r="K110"/>
  <c r="J110"/>
  <c r="I110"/>
  <c r="H110"/>
  <c r="G110"/>
  <c r="F110"/>
  <c r="E105"/>
  <c r="O101"/>
  <c r="N101"/>
  <c r="M101"/>
  <c r="L101"/>
  <c r="K101"/>
  <c r="J101"/>
  <c r="I101"/>
  <c r="H101"/>
  <c r="G101"/>
  <c r="F101"/>
  <c r="E94"/>
  <c r="O91"/>
  <c r="N91"/>
  <c r="M91"/>
  <c r="L91"/>
  <c r="K91"/>
  <c r="J91"/>
  <c r="I91"/>
  <c r="H91"/>
  <c r="G91"/>
  <c r="F91"/>
  <c r="E90"/>
  <c r="E87"/>
  <c r="P84"/>
  <c r="O84"/>
  <c r="N84"/>
  <c r="M84"/>
  <c r="L84"/>
  <c r="K84"/>
  <c r="J84"/>
  <c r="I84"/>
  <c r="H84"/>
  <c r="G84"/>
  <c r="F84"/>
  <c r="P82"/>
  <c r="P83" l="1"/>
  <c r="N64" i="32"/>
  <c r="N66" s="1"/>
  <c r="M66" s="1"/>
  <c r="L66" s="1"/>
  <c r="K66" s="1"/>
  <c r="J66" s="1"/>
  <c r="I66" s="1"/>
  <c r="O56"/>
  <c r="O64" s="1"/>
  <c r="O66" s="1"/>
  <c r="H66"/>
  <c r="E81" i="22"/>
  <c r="G66" i="32" l="1"/>
  <c r="O79" i="22" l="1"/>
  <c r="N79"/>
  <c r="M79"/>
  <c r="L79"/>
  <c r="K79"/>
  <c r="J79"/>
  <c r="I79"/>
  <c r="H79"/>
  <c r="G79"/>
  <c r="F79"/>
  <c r="E78"/>
  <c r="F64"/>
  <c r="F63"/>
  <c r="F78" s="1"/>
  <c r="F62"/>
  <c r="F61"/>
  <c r="F90" s="1"/>
  <c r="E58"/>
  <c r="E36"/>
  <c r="D10"/>
  <c r="D9"/>
  <c r="E6"/>
  <c r="B2"/>
  <c r="B1"/>
  <c r="G63" l="1"/>
  <c r="G78" s="1"/>
  <c r="G115" s="1"/>
  <c r="F115"/>
  <c r="F80"/>
  <c r="BL108" i="78"/>
  <c r="BL107"/>
  <c r="H63" i="22" l="1"/>
  <c r="H78" s="1"/>
  <c r="G80"/>
  <c r="BL105" i="78"/>
  <c r="I63" i="22" l="1"/>
  <c r="I78" s="1"/>
  <c r="H115"/>
  <c r="H80"/>
  <c r="J63" l="1"/>
  <c r="K63" s="1"/>
  <c r="I115"/>
  <c r="I80"/>
  <c r="J78" l="1"/>
  <c r="J115"/>
  <c r="J80"/>
  <c r="K78"/>
  <c r="L63"/>
  <c r="D104" i="78"/>
  <c r="M63" i="22" l="1"/>
  <c r="L78"/>
  <c r="K115"/>
  <c r="K80"/>
  <c r="BJ103" i="78"/>
  <c r="AR103"/>
  <c r="CT103"/>
  <c r="BP103"/>
  <c r="BQ103"/>
  <c r="CD103"/>
  <c r="CE103"/>
  <c r="CF103"/>
  <c r="BV103"/>
  <c r="CA103"/>
  <c r="CX103"/>
  <c r="CU103"/>
  <c r="BZ103"/>
  <c r="CL103"/>
  <c r="CK103"/>
  <c r="CS103"/>
  <c r="BT103"/>
  <c r="BX103"/>
  <c r="BU103"/>
  <c r="BR103"/>
  <c r="CN103"/>
  <c r="CB103"/>
  <c r="DD103"/>
  <c r="CQ103"/>
  <c r="DA103"/>
  <c r="CV103"/>
  <c r="CW103"/>
  <c r="CC103"/>
  <c r="BW103"/>
  <c r="CR103"/>
  <c r="CM103"/>
  <c r="CO103"/>
  <c r="CJ103"/>
  <c r="CH103"/>
  <c r="DE103"/>
  <c r="DF103"/>
  <c r="BY103"/>
  <c r="CI103"/>
  <c r="BS103"/>
  <c r="CP103"/>
  <c r="DC103"/>
  <c r="BO103"/>
  <c r="CY103"/>
  <c r="CG103"/>
  <c r="CZ103"/>
  <c r="DB103"/>
  <c r="L115" i="22" l="1"/>
  <c r="L80"/>
  <c r="M78"/>
  <c r="N63"/>
  <c r="DH103" i="78"/>
  <c r="Q103"/>
  <c r="D103"/>
  <c r="D102"/>
  <c r="DH101"/>
  <c r="DH100"/>
  <c r="CB102"/>
  <c r="M102"/>
  <c r="G102"/>
  <c r="CD102"/>
  <c r="AM102"/>
  <c r="CW102"/>
  <c r="AF102"/>
  <c r="CG102"/>
  <c r="CP102"/>
  <c r="CO102"/>
  <c r="AZ102"/>
  <c r="BS102"/>
  <c r="BZ102"/>
  <c r="CF102"/>
  <c r="DA102"/>
  <c r="AU102"/>
  <c r="AR102"/>
  <c r="P102"/>
  <c r="BQ102"/>
  <c r="CZ102"/>
  <c r="DB102"/>
  <c r="CS102"/>
  <c r="AQ102"/>
  <c r="CA102"/>
  <c r="AT102"/>
  <c r="AA102"/>
  <c r="AW102"/>
  <c r="AN102"/>
  <c r="CK102"/>
  <c r="BE102"/>
  <c r="BY102"/>
  <c r="AG102"/>
  <c r="CU102"/>
  <c r="BX102"/>
  <c r="DE102"/>
  <c r="AJ102"/>
  <c r="BD102"/>
  <c r="BC102"/>
  <c r="DD102"/>
  <c r="CN102"/>
  <c r="O102"/>
  <c r="DF102"/>
  <c r="CX102"/>
  <c r="CE102"/>
  <c r="BR102"/>
  <c r="J102"/>
  <c r="K102"/>
  <c r="AI102"/>
  <c r="T102"/>
  <c r="CM102"/>
  <c r="N102"/>
  <c r="H102"/>
  <c r="AD102"/>
  <c r="BW102"/>
  <c r="I102"/>
  <c r="CI102"/>
  <c r="CJ102"/>
  <c r="BP102"/>
  <c r="AO102"/>
  <c r="BU102"/>
  <c r="L102"/>
  <c r="BO102"/>
  <c r="AX102"/>
  <c r="CY102"/>
  <c r="CV102"/>
  <c r="AB102"/>
  <c r="BV102"/>
  <c r="BH102"/>
  <c r="AY102"/>
  <c r="CC102"/>
  <c r="AV102"/>
  <c r="BA102"/>
  <c r="CT102"/>
  <c r="AS102"/>
  <c r="DC102"/>
  <c r="CL102"/>
  <c r="CQ102"/>
  <c r="AC102"/>
  <c r="BB102"/>
  <c r="CH102"/>
  <c r="CR102"/>
  <c r="AP102"/>
  <c r="S102"/>
  <c r="M115" i="22" l="1"/>
  <c r="M80"/>
  <c r="O63"/>
  <c r="O78" s="1"/>
  <c r="N78"/>
  <c r="J104" i="78"/>
  <c r="N104"/>
  <c r="S104"/>
  <c r="AA104"/>
  <c r="AF104"/>
  <c r="AN104"/>
  <c r="AV104"/>
  <c r="G104"/>
  <c r="Q102"/>
  <c r="I104"/>
  <c r="K104"/>
  <c r="M104"/>
  <c r="O104"/>
  <c r="AB104"/>
  <c r="AD104"/>
  <c r="AG104"/>
  <c r="AJ104"/>
  <c r="AM104"/>
  <c r="BF102"/>
  <c r="AO104"/>
  <c r="AW104"/>
  <c r="AY104"/>
  <c r="BA104"/>
  <c r="BC104"/>
  <c r="BE104"/>
  <c r="BH104"/>
  <c r="BP104"/>
  <c r="BR104"/>
  <c r="BV104"/>
  <c r="BX104"/>
  <c r="BZ104"/>
  <c r="CB104"/>
  <c r="CD104"/>
  <c r="CF104"/>
  <c r="CH104"/>
  <c r="CJ104"/>
  <c r="CL104"/>
  <c r="CN104"/>
  <c r="CP104"/>
  <c r="CR104"/>
  <c r="CT104"/>
  <c r="CV104"/>
  <c r="CX104"/>
  <c r="CZ104"/>
  <c r="DB104"/>
  <c r="DD104"/>
  <c r="DF104"/>
  <c r="H104"/>
  <c r="L104"/>
  <c r="P104"/>
  <c r="AC104"/>
  <c r="AI104"/>
  <c r="AP104"/>
  <c r="AX104"/>
  <c r="AZ104"/>
  <c r="BB104"/>
  <c r="BD104"/>
  <c r="BO104"/>
  <c r="BQ104"/>
  <c r="BS104"/>
  <c r="BU104"/>
  <c r="BW104"/>
  <c r="BY104"/>
  <c r="CA104"/>
  <c r="CC104"/>
  <c r="CE104"/>
  <c r="CG104"/>
  <c r="CI104"/>
  <c r="CK104"/>
  <c r="CM104"/>
  <c r="CO104"/>
  <c r="CQ104"/>
  <c r="CS104"/>
  <c r="CU104"/>
  <c r="CW104"/>
  <c r="CY104"/>
  <c r="DA104"/>
  <c r="DC104"/>
  <c r="DE104"/>
  <c r="O115" i="22" l="1"/>
  <c r="O80"/>
  <c r="N115"/>
  <c r="N80"/>
  <c r="Q104" i="78"/>
  <c r="D99" l="1"/>
  <c r="CD98"/>
  <c r="BS98"/>
  <c r="CZ98"/>
  <c r="BQ98"/>
  <c r="CV98"/>
  <c r="CF98"/>
  <c r="CW98"/>
  <c r="CB98"/>
  <c r="DE98"/>
  <c r="DA98"/>
  <c r="CK98"/>
  <c r="CQ98"/>
  <c r="BY98"/>
  <c r="BZ98"/>
  <c r="CO98"/>
  <c r="DB98"/>
  <c r="BX98"/>
  <c r="BP98"/>
  <c r="DC98"/>
  <c r="CS98"/>
  <c r="CG98"/>
  <c r="CA98"/>
  <c r="CE98"/>
  <c r="CR98"/>
  <c r="BU98"/>
  <c r="BT98"/>
  <c r="CH98"/>
  <c r="DF98"/>
  <c r="CX98"/>
  <c r="CU98"/>
  <c r="DD98"/>
  <c r="CP98"/>
  <c r="CI98"/>
  <c r="CJ98"/>
  <c r="CM98"/>
  <c r="CT98"/>
  <c r="BO98"/>
  <c r="CN98"/>
  <c r="BV98"/>
  <c r="BW98"/>
  <c r="CL98"/>
  <c r="BR98"/>
  <c r="CC98"/>
  <c r="D98" l="1"/>
  <c r="DH97"/>
  <c r="D96"/>
  <c r="DH95"/>
  <c r="DH94"/>
  <c r="BL94"/>
  <c r="BO96"/>
  <c r="AJ98"/>
  <c r="BY96"/>
  <c r="L98"/>
  <c r="BI98"/>
  <c r="X98"/>
  <c r="AJ96"/>
  <c r="CV96"/>
  <c r="Y96"/>
  <c r="I96"/>
  <c r="BE98"/>
  <c r="BW96"/>
  <c r="J98"/>
  <c r="CC96"/>
  <c r="T96"/>
  <c r="BS96"/>
  <c r="AC98"/>
  <c r="H98"/>
  <c r="K96"/>
  <c r="AY98"/>
  <c r="N98"/>
  <c r="AZ98"/>
  <c r="S96"/>
  <c r="L96"/>
  <c r="AI98"/>
  <c r="AC96"/>
  <c r="CE96"/>
  <c r="BA98"/>
  <c r="AW98"/>
  <c r="AS98"/>
  <c r="DC96"/>
  <c r="DE96"/>
  <c r="Z96"/>
  <c r="CS96"/>
  <c r="AZ96"/>
  <c r="CM96"/>
  <c r="AG98"/>
  <c r="CB96"/>
  <c r="AX98"/>
  <c r="AF98"/>
  <c r="DD96"/>
  <c r="CL96"/>
  <c r="CP96"/>
  <c r="I98"/>
  <c r="AT96"/>
  <c r="AU98"/>
  <c r="AR96"/>
  <c r="AS96"/>
  <c r="H96"/>
  <c r="CA96"/>
  <c r="K98"/>
  <c r="DA96"/>
  <c r="BA96"/>
  <c r="O98"/>
  <c r="CZ96"/>
  <c r="AW96"/>
  <c r="BI96"/>
  <c r="Z98"/>
  <c r="AB96"/>
  <c r="CI96"/>
  <c r="DF96"/>
  <c r="AX96"/>
  <c r="CO96"/>
  <c r="AY96"/>
  <c r="BH98"/>
  <c r="BX96"/>
  <c r="AT98"/>
  <c r="AO96"/>
  <c r="BB96"/>
  <c r="T98"/>
  <c r="Y98"/>
  <c r="X96"/>
  <c r="AD98"/>
  <c r="CN96"/>
  <c r="M98"/>
  <c r="P98"/>
  <c r="CQ96"/>
  <c r="BV96"/>
  <c r="N96"/>
  <c r="AV98"/>
  <c r="O96"/>
  <c r="BD98"/>
  <c r="DB96"/>
  <c r="J96"/>
  <c r="BE96"/>
  <c r="CD96"/>
  <c r="BZ96"/>
  <c r="P96"/>
  <c r="AP96"/>
  <c r="S98"/>
  <c r="BC96"/>
  <c r="G98"/>
  <c r="AA96"/>
  <c r="AM98"/>
  <c r="W98"/>
  <c r="AV96"/>
  <c r="CG96"/>
  <c r="BQ96"/>
  <c r="CF96"/>
  <c r="CJ96"/>
  <c r="BU96"/>
  <c r="AR98"/>
  <c r="CW96"/>
  <c r="AN96"/>
  <c r="BB98"/>
  <c r="AO98"/>
  <c r="AN98"/>
  <c r="AQ96"/>
  <c r="CT96"/>
  <c r="AA98"/>
  <c r="AQ98"/>
  <c r="BR96"/>
  <c r="BT96"/>
  <c r="G96"/>
  <c r="CK96"/>
  <c r="CR96"/>
  <c r="BP96"/>
  <c r="AI96"/>
  <c r="CU96"/>
  <c r="BD96"/>
  <c r="CX96"/>
  <c r="AB98"/>
  <c r="BC98"/>
  <c r="CH96"/>
  <c r="M96"/>
  <c r="AM96"/>
  <c r="AU96"/>
  <c r="H99" l="1"/>
  <c r="L99"/>
  <c r="P99"/>
  <c r="Y99"/>
  <c r="AC99"/>
  <c r="AI99"/>
  <c r="AT99"/>
  <c r="AX99"/>
  <c r="G99"/>
  <c r="Q96"/>
  <c r="I99"/>
  <c r="K99"/>
  <c r="M99"/>
  <c r="O99"/>
  <c r="T99"/>
  <c r="X99"/>
  <c r="Z99"/>
  <c r="AB99"/>
  <c r="AJ99"/>
  <c r="AM99"/>
  <c r="BF96"/>
  <c r="AO99"/>
  <c r="AQ99"/>
  <c r="AS99"/>
  <c r="AU99"/>
  <c r="AW99"/>
  <c r="AY99"/>
  <c r="BA99"/>
  <c r="BC99"/>
  <c r="BE99"/>
  <c r="BO99"/>
  <c r="BQ99"/>
  <c r="BS99"/>
  <c r="BU99"/>
  <c r="BW99"/>
  <c r="BY99"/>
  <c r="CA99"/>
  <c r="CC99"/>
  <c r="CE99"/>
  <c r="CG99"/>
  <c r="CI99"/>
  <c r="CK99"/>
  <c r="CM99"/>
  <c r="CO99"/>
  <c r="CQ99"/>
  <c r="CS99"/>
  <c r="CU99"/>
  <c r="CW99"/>
  <c r="DA99"/>
  <c r="DC99"/>
  <c r="DE99"/>
  <c r="Q98"/>
  <c r="J99"/>
  <c r="N99"/>
  <c r="S99"/>
  <c r="AA99"/>
  <c r="AN99"/>
  <c r="AR99"/>
  <c r="AV99"/>
  <c r="AZ99"/>
  <c r="BB99"/>
  <c r="BD99"/>
  <c r="BI99"/>
  <c r="BP99"/>
  <c r="BR99"/>
  <c r="BT99"/>
  <c r="BV99"/>
  <c r="BX99"/>
  <c r="BZ99"/>
  <c r="CB99"/>
  <c r="CD99"/>
  <c r="CF99"/>
  <c r="CH99"/>
  <c r="CJ99"/>
  <c r="CL99"/>
  <c r="CN99"/>
  <c r="CP99"/>
  <c r="CR99"/>
  <c r="CT99"/>
  <c r="CV99"/>
  <c r="CX99"/>
  <c r="CZ99"/>
  <c r="DB99"/>
  <c r="DD99"/>
  <c r="DF99"/>
  <c r="BJ98"/>
  <c r="Q99" l="1"/>
  <c r="D93" l="1"/>
  <c r="CM92"/>
  <c r="CH92"/>
  <c r="CV92"/>
  <c r="CZ92"/>
  <c r="CB92"/>
  <c r="CE92"/>
  <c r="DC92"/>
  <c r="CL92"/>
  <c r="CR92"/>
  <c r="DF92"/>
  <c r="BS92"/>
  <c r="CF92"/>
  <c r="CA92"/>
  <c r="BR92"/>
  <c r="CD92"/>
  <c r="BU92"/>
  <c r="CJ92"/>
  <c r="CX92"/>
  <c r="CG92"/>
  <c r="CO92"/>
  <c r="BP92"/>
  <c r="CQ92"/>
  <c r="BZ92"/>
  <c r="CI92"/>
  <c r="BO92"/>
  <c r="DE92"/>
  <c r="BX92"/>
  <c r="CU92"/>
  <c r="CP92"/>
  <c r="CW92"/>
  <c r="BV92"/>
  <c r="BT92"/>
  <c r="BQ92"/>
  <c r="CK92"/>
  <c r="CT92"/>
  <c r="BW92"/>
  <c r="CN92"/>
  <c r="DA92"/>
  <c r="BY92"/>
  <c r="CS92"/>
  <c r="DB92"/>
  <c r="DD92"/>
  <c r="CC92"/>
  <c r="CY92"/>
  <c r="D92" l="1"/>
  <c r="BD92"/>
  <c r="AU92"/>
  <c r="L92"/>
  <c r="AR92"/>
  <c r="H92"/>
  <c r="DD91"/>
  <c r="CV91"/>
  <c r="CQ91"/>
  <c r="CW91"/>
  <c r="CZ91"/>
  <c r="BX91"/>
  <c r="J92"/>
  <c r="CX91"/>
  <c r="AD92"/>
  <c r="CR91"/>
  <c r="CY91"/>
  <c r="CP91"/>
  <c r="S92"/>
  <c r="M92"/>
  <c r="AA92"/>
  <c r="AV92"/>
  <c r="Z92"/>
  <c r="BO91"/>
  <c r="AX92"/>
  <c r="O92"/>
  <c r="AQ92"/>
  <c r="AN92"/>
  <c r="BS91"/>
  <c r="BE92"/>
  <c r="AP92"/>
  <c r="CI91"/>
  <c r="AF92"/>
  <c r="BB92"/>
  <c r="CS91"/>
  <c r="CM91"/>
  <c r="CE91"/>
  <c r="P92"/>
  <c r="AM92"/>
  <c r="BP91"/>
  <c r="BT91"/>
  <c r="U92"/>
  <c r="BH91"/>
  <c r="K92"/>
  <c r="AC92"/>
  <c r="DC91"/>
  <c r="AS92"/>
  <c r="CA91"/>
  <c r="DE91"/>
  <c r="AJ92"/>
  <c r="Y92"/>
  <c r="CJ91"/>
  <c r="CC91"/>
  <c r="BC92"/>
  <c r="CL91"/>
  <c r="BI92"/>
  <c r="CT91"/>
  <c r="BY91"/>
  <c r="BQ91"/>
  <c r="AI92"/>
  <c r="CH91"/>
  <c r="CD91"/>
  <c r="AO92"/>
  <c r="N92"/>
  <c r="AB92"/>
  <c r="CU91"/>
  <c r="AZ92"/>
  <c r="DF91"/>
  <c r="CB91"/>
  <c r="AG92"/>
  <c r="CO91"/>
  <c r="AT92"/>
  <c r="CN91"/>
  <c r="W92"/>
  <c r="V92"/>
  <c r="BU91"/>
  <c r="DB91"/>
  <c r="BZ91"/>
  <c r="AW92"/>
  <c r="BA92"/>
  <c r="G92"/>
  <c r="CG91"/>
  <c r="X92"/>
  <c r="BR91"/>
  <c r="CF91"/>
  <c r="BV91"/>
  <c r="AY92"/>
  <c r="BW91"/>
  <c r="CK91"/>
  <c r="DA91"/>
  <c r="I92"/>
  <c r="Q92" l="1"/>
  <c r="BF92"/>
  <c r="AP91"/>
  <c r="AM91"/>
  <c r="Y91"/>
  <c r="AU91"/>
  <c r="U91"/>
  <c r="BC91"/>
  <c r="AJ91"/>
  <c r="AG91"/>
  <c r="AA91"/>
  <c r="AC91"/>
  <c r="AS91"/>
  <c r="AW91"/>
  <c r="AB91"/>
  <c r="Z91"/>
  <c r="AD91"/>
  <c r="BD91"/>
  <c r="S91"/>
  <c r="AT91"/>
  <c r="AR91"/>
  <c r="AQ91"/>
  <c r="AY91"/>
  <c r="AV91"/>
  <c r="AF91"/>
  <c r="V91"/>
  <c r="W91"/>
  <c r="BB91"/>
  <c r="AN91"/>
  <c r="X91"/>
  <c r="AX91"/>
  <c r="BE91"/>
  <c r="AO91"/>
  <c r="AZ91"/>
  <c r="BA91"/>
  <c r="AI91"/>
  <c r="BF91" l="1"/>
  <c r="D91"/>
  <c r="BL90"/>
  <c r="D89"/>
  <c r="BL87"/>
  <c r="BL86"/>
  <c r="BL85"/>
  <c r="BF83"/>
  <c r="J91"/>
  <c r="BE89"/>
  <c r="J89"/>
  <c r="U89"/>
  <c r="CJ89"/>
  <c r="O91"/>
  <c r="BC89"/>
  <c r="CA89"/>
  <c r="Y89"/>
  <c r="CP89"/>
  <c r="AQ89"/>
  <c r="I89"/>
  <c r="V89"/>
  <c r="AV89"/>
  <c r="BA89"/>
  <c r="BX89"/>
  <c r="CZ89"/>
  <c r="BT89"/>
  <c r="AU89"/>
  <c r="AN89"/>
  <c r="G89"/>
  <c r="CS89"/>
  <c r="CF89"/>
  <c r="CW89"/>
  <c r="BQ89"/>
  <c r="BU89"/>
  <c r="CI89"/>
  <c r="S89"/>
  <c r="L89"/>
  <c r="H91"/>
  <c r="AZ89"/>
  <c r="CC89"/>
  <c r="CR89"/>
  <c r="BV89"/>
  <c r="AP89"/>
  <c r="BZ89"/>
  <c r="CO89"/>
  <c r="CD89"/>
  <c r="CV89"/>
  <c r="AG89"/>
  <c r="BW89"/>
  <c r="AW89"/>
  <c r="AS89"/>
  <c r="X89"/>
  <c r="DD89"/>
  <c r="M89"/>
  <c r="Z89"/>
  <c r="AD89"/>
  <c r="CU89"/>
  <c r="AX89"/>
  <c r="AB89"/>
  <c r="BI89"/>
  <c r="DC89"/>
  <c r="AA89"/>
  <c r="P91"/>
  <c r="CN89"/>
  <c r="CM89"/>
  <c r="BD89"/>
  <c r="M91"/>
  <c r="BR89"/>
  <c r="AI89"/>
  <c r="AJ89"/>
  <c r="CQ89"/>
  <c r="I91"/>
  <c r="T89"/>
  <c r="CE89"/>
  <c r="N89"/>
  <c r="N91"/>
  <c r="K91"/>
  <c r="CK89"/>
  <c r="AR89"/>
  <c r="CB89"/>
  <c r="H89"/>
  <c r="K89"/>
  <c r="DE89"/>
  <c r="W89"/>
  <c r="DB89"/>
  <c r="G91"/>
  <c r="P89"/>
  <c r="BP89"/>
  <c r="BB89"/>
  <c r="DF89"/>
  <c r="CL89"/>
  <c r="AY89"/>
  <c r="AF89"/>
  <c r="BO89"/>
  <c r="BH89"/>
  <c r="O89"/>
  <c r="BS89"/>
  <c r="BY89"/>
  <c r="AT89"/>
  <c r="CT89"/>
  <c r="AM89"/>
  <c r="CY89"/>
  <c r="CG89"/>
  <c r="AO89"/>
  <c r="L91"/>
  <c r="AC89"/>
  <c r="CX89"/>
  <c r="CH89"/>
  <c r="DA89"/>
  <c r="I93" l="1"/>
  <c r="M93"/>
  <c r="X93"/>
  <c r="AB93"/>
  <c r="AG93"/>
  <c r="AM93"/>
  <c r="BF89"/>
  <c r="H93"/>
  <c r="J93"/>
  <c r="L93"/>
  <c r="L106" s="1"/>
  <c r="N93"/>
  <c r="P93"/>
  <c r="S93"/>
  <c r="AK89"/>
  <c r="U93"/>
  <c r="W93"/>
  <c r="Y93"/>
  <c r="AA93"/>
  <c r="AC93"/>
  <c r="AF93"/>
  <c r="AI93"/>
  <c r="AN93"/>
  <c r="AP93"/>
  <c r="AR93"/>
  <c r="AT93"/>
  <c r="AV93"/>
  <c r="AX93"/>
  <c r="AZ93"/>
  <c r="BB93"/>
  <c r="BB106" s="1"/>
  <c r="BD93"/>
  <c r="BD106" s="1"/>
  <c r="BO93"/>
  <c r="BQ93"/>
  <c r="BS93"/>
  <c r="BU93"/>
  <c r="BW93"/>
  <c r="BY93"/>
  <c r="CA93"/>
  <c r="CC93"/>
  <c r="CE93"/>
  <c r="CG93"/>
  <c r="CI93"/>
  <c r="CK93"/>
  <c r="CM93"/>
  <c r="CO93"/>
  <c r="CQ93"/>
  <c r="CS93"/>
  <c r="CU93"/>
  <c r="CW93"/>
  <c r="CY93"/>
  <c r="DA93"/>
  <c r="DC93"/>
  <c r="DE93"/>
  <c r="Q91"/>
  <c r="G93"/>
  <c r="Q89"/>
  <c r="K93"/>
  <c r="O93"/>
  <c r="V93"/>
  <c r="Z93"/>
  <c r="AD93"/>
  <c r="AJ93"/>
  <c r="AO93"/>
  <c r="AQ93"/>
  <c r="AS93"/>
  <c r="AU93"/>
  <c r="AW93"/>
  <c r="AW106" s="1"/>
  <c r="AV106" s="1"/>
  <c r="AY93"/>
  <c r="AY106" s="1"/>
  <c r="BA93"/>
  <c r="BC93"/>
  <c r="BC106" s="1"/>
  <c r="BE93"/>
  <c r="BJ89"/>
  <c r="BP93"/>
  <c r="BR93"/>
  <c r="BT93"/>
  <c r="BV93"/>
  <c r="BX93"/>
  <c r="BZ93"/>
  <c r="CB93"/>
  <c r="CD93"/>
  <c r="CF93"/>
  <c r="CH93"/>
  <c r="CJ93"/>
  <c r="CL93"/>
  <c r="CN93"/>
  <c r="CP93"/>
  <c r="CR93"/>
  <c r="CT93"/>
  <c r="CV93"/>
  <c r="CX93"/>
  <c r="CZ93"/>
  <c r="DB93"/>
  <c r="DD93"/>
  <c r="DF93"/>
  <c r="Q110" i="59"/>
  <c r="AX106" i="78" l="1"/>
  <c r="BL89"/>
  <c r="BA106"/>
  <c r="AZ106" s="1"/>
  <c r="Q93"/>
  <c r="K106"/>
  <c r="J106" s="1"/>
  <c r="I106" s="1"/>
  <c r="H106" s="1"/>
  <c r="G106" s="1"/>
  <c r="BF93"/>
  <c r="BO106"/>
  <c r="DH93"/>
  <c r="D82" l="1"/>
  <c r="DD81"/>
  <c r="BT81"/>
  <c r="BW81"/>
  <c r="CD81"/>
  <c r="BX81"/>
  <c r="CX81"/>
  <c r="CO81"/>
  <c r="DB81"/>
  <c r="CB81"/>
  <c r="CY81"/>
  <c r="CL81"/>
  <c r="BU81"/>
  <c r="DE81"/>
  <c r="CK81"/>
  <c r="DC81"/>
  <c r="DA81"/>
  <c r="CV81"/>
  <c r="CR81"/>
  <c r="CT81"/>
  <c r="CS81"/>
  <c r="CM81"/>
  <c r="CQ81"/>
  <c r="CJ81"/>
  <c r="BV81"/>
  <c r="CG81"/>
  <c r="BY81"/>
  <c r="CU81"/>
  <c r="CI81"/>
  <c r="CZ81"/>
  <c r="CN81"/>
  <c r="CE81"/>
  <c r="BS81"/>
  <c r="BZ81"/>
  <c r="CP81"/>
  <c r="CW81"/>
  <c r="CH81"/>
  <c r="DF81"/>
  <c r="CC81"/>
  <c r="CF81"/>
  <c r="BR81"/>
  <c r="CA81"/>
  <c r="D81" l="1"/>
  <c r="DH80"/>
  <c r="BL80"/>
  <c r="D79"/>
  <c r="DH78"/>
  <c r="BL78"/>
  <c r="DH77"/>
  <c r="BL77"/>
  <c r="P79"/>
  <c r="AM79"/>
  <c r="CF79"/>
  <c r="Z79"/>
  <c r="BD79"/>
  <c r="BE81"/>
  <c r="CX79"/>
  <c r="DA79"/>
  <c r="S81"/>
  <c r="AO81"/>
  <c r="BA81"/>
  <c r="K81"/>
  <c r="DF79"/>
  <c r="AQ79"/>
  <c r="CE79"/>
  <c r="AD79"/>
  <c r="BD81"/>
  <c r="V79"/>
  <c r="CR79"/>
  <c r="BV79"/>
  <c r="BR79"/>
  <c r="AU81"/>
  <c r="AR79"/>
  <c r="BU79"/>
  <c r="AW79"/>
  <c r="Z81"/>
  <c r="BB79"/>
  <c r="AD81"/>
  <c r="AF81"/>
  <c r="AI81"/>
  <c r="O81"/>
  <c r="W79"/>
  <c r="AJ81"/>
  <c r="BT79"/>
  <c r="CT79"/>
  <c r="AV79"/>
  <c r="J79"/>
  <c r="AB79"/>
  <c r="CO79"/>
  <c r="AI79"/>
  <c r="AZ79"/>
  <c r="G81"/>
  <c r="AJ79"/>
  <c r="AT81"/>
  <c r="CB79"/>
  <c r="DE79"/>
  <c r="CI79"/>
  <c r="H79"/>
  <c r="N79"/>
  <c r="BX79"/>
  <c r="CD79"/>
  <c r="DB79"/>
  <c r="BE79"/>
  <c r="S79"/>
  <c r="AR81"/>
  <c r="CH79"/>
  <c r="CS79"/>
  <c r="CK79"/>
  <c r="CW79"/>
  <c r="CP79"/>
  <c r="AS81"/>
  <c r="X79"/>
  <c r="AO79"/>
  <c r="BC81"/>
  <c r="CL79"/>
  <c r="AC79"/>
  <c r="CA79"/>
  <c r="BS79"/>
  <c r="BW79"/>
  <c r="CC79"/>
  <c r="AY79"/>
  <c r="H81"/>
  <c r="AG79"/>
  <c r="CG79"/>
  <c r="BA79"/>
  <c r="AP79"/>
  <c r="M79"/>
  <c r="AX79"/>
  <c r="AB81"/>
  <c r="BC79"/>
  <c r="BY79"/>
  <c r="AN81"/>
  <c r="CQ79"/>
  <c r="AA81"/>
  <c r="BZ79"/>
  <c r="M81"/>
  <c r="N81"/>
  <c r="AZ81"/>
  <c r="CM79"/>
  <c r="O79"/>
  <c r="BB81"/>
  <c r="AN79"/>
  <c r="I79"/>
  <c r="AV81"/>
  <c r="CN79"/>
  <c r="AQ81"/>
  <c r="DD79"/>
  <c r="Y79"/>
  <c r="K79"/>
  <c r="AY81"/>
  <c r="AT79"/>
  <c r="CY79"/>
  <c r="G79"/>
  <c r="X81"/>
  <c r="AU79"/>
  <c r="CU79"/>
  <c r="Y81"/>
  <c r="CZ79"/>
  <c r="AS79"/>
  <c r="AC81"/>
  <c r="L79"/>
  <c r="J81"/>
  <c r="AG81"/>
  <c r="CV79"/>
  <c r="AA79"/>
  <c r="L81"/>
  <c r="AF79"/>
  <c r="AM81"/>
  <c r="P81"/>
  <c r="I81"/>
  <c r="AW81"/>
  <c r="AP81"/>
  <c r="AX81"/>
  <c r="CJ79"/>
  <c r="G82" l="1"/>
  <c r="Q79"/>
  <c r="K82"/>
  <c r="O82"/>
  <c r="X82"/>
  <c r="AB82"/>
  <c r="AG82"/>
  <c r="H82"/>
  <c r="J82"/>
  <c r="L82"/>
  <c r="N82"/>
  <c r="P82"/>
  <c r="S82"/>
  <c r="Y82"/>
  <c r="AA82"/>
  <c r="AC82"/>
  <c r="AF82"/>
  <c r="AI82"/>
  <c r="AN82"/>
  <c r="AP82"/>
  <c r="AR82"/>
  <c r="AT82"/>
  <c r="AV82"/>
  <c r="AX82"/>
  <c r="AZ82"/>
  <c r="BB82"/>
  <c r="BD82"/>
  <c r="BS82"/>
  <c r="BU82"/>
  <c r="BW82"/>
  <c r="BY82"/>
  <c r="CA82"/>
  <c r="CC82"/>
  <c r="CE82"/>
  <c r="CG82"/>
  <c r="CI82"/>
  <c r="CK82"/>
  <c r="CM82"/>
  <c r="CO82"/>
  <c r="CQ82"/>
  <c r="CS82"/>
  <c r="CU82"/>
  <c r="CW82"/>
  <c r="CY82"/>
  <c r="DA82"/>
  <c r="DE82"/>
  <c r="Q81"/>
  <c r="I82"/>
  <c r="M82"/>
  <c r="Z82"/>
  <c r="AD82"/>
  <c r="AJ82"/>
  <c r="AM82"/>
  <c r="BF79"/>
  <c r="AO82"/>
  <c r="AQ82"/>
  <c r="AS82"/>
  <c r="AU82"/>
  <c r="AW82"/>
  <c r="AY82"/>
  <c r="BA82"/>
  <c r="BC82"/>
  <c r="BE82"/>
  <c r="BR82"/>
  <c r="BT82"/>
  <c r="BV82"/>
  <c r="BX82"/>
  <c r="BZ82"/>
  <c r="CB82"/>
  <c r="CD82"/>
  <c r="CF82"/>
  <c r="CH82"/>
  <c r="CJ82"/>
  <c r="CL82"/>
  <c r="CN82"/>
  <c r="CP82"/>
  <c r="CR82"/>
  <c r="CT82"/>
  <c r="CV82"/>
  <c r="CX82"/>
  <c r="CZ82"/>
  <c r="DB82"/>
  <c r="DD82"/>
  <c r="DF82"/>
  <c r="BF81"/>
  <c r="BF82" l="1"/>
  <c r="Q82"/>
  <c r="D76" l="1"/>
  <c r="D75" l="1"/>
  <c r="DH74"/>
  <c r="BJ74"/>
  <c r="DH73"/>
  <c r="DB75"/>
  <c r="AJ75"/>
  <c r="BD75"/>
  <c r="CC75"/>
  <c r="BW75"/>
  <c r="CG75"/>
  <c r="M75"/>
  <c r="AB75"/>
  <c r="CI75"/>
  <c r="BT75"/>
  <c r="V75"/>
  <c r="AD75"/>
  <c r="AX75"/>
  <c r="H75"/>
  <c r="BC75"/>
  <c r="J75"/>
  <c r="AZ75"/>
  <c r="BP75"/>
  <c r="CO75"/>
  <c r="K75"/>
  <c r="CD75"/>
  <c r="I75"/>
  <c r="O75"/>
  <c r="CY75"/>
  <c r="AW75"/>
  <c r="AQ75"/>
  <c r="AM75"/>
  <c r="CM75"/>
  <c r="AS75"/>
  <c r="CA75"/>
  <c r="CW75"/>
  <c r="CZ75"/>
  <c r="AF75"/>
  <c r="U75"/>
  <c r="CP75"/>
  <c r="BR75"/>
  <c r="BV75"/>
  <c r="AP75"/>
  <c r="S75"/>
  <c r="BA75"/>
  <c r="BQ75"/>
  <c r="DA75"/>
  <c r="DD75"/>
  <c r="L75"/>
  <c r="AG75"/>
  <c r="CR75"/>
  <c r="BX75"/>
  <c r="G75"/>
  <c r="CQ75"/>
  <c r="AO75"/>
  <c r="Z75"/>
  <c r="AA75"/>
  <c r="X75"/>
  <c r="DC75"/>
  <c r="CX75"/>
  <c r="BO75"/>
  <c r="BB75"/>
  <c r="BU75"/>
  <c r="N75"/>
  <c r="CT75"/>
  <c r="CH75"/>
  <c r="BZ75"/>
  <c r="CK75"/>
  <c r="Y75"/>
  <c r="CB75"/>
  <c r="CE75"/>
  <c r="P75"/>
  <c r="CF75"/>
  <c r="AU75"/>
  <c r="AY75"/>
  <c r="DE75"/>
  <c r="CL75"/>
  <c r="CU75"/>
  <c r="BE75"/>
  <c r="CV75"/>
  <c r="CJ75"/>
  <c r="AT75"/>
  <c r="AI75"/>
  <c r="CS75"/>
  <c r="AC75"/>
  <c r="AR75"/>
  <c r="W75"/>
  <c r="BS75"/>
  <c r="DF75"/>
  <c r="BY75"/>
  <c r="CN75"/>
  <c r="AN75"/>
  <c r="BL74" l="1"/>
  <c r="I76"/>
  <c r="M76"/>
  <c r="X76"/>
  <c r="AB76"/>
  <c r="AG76"/>
  <c r="AM76"/>
  <c r="AQ76"/>
  <c r="AU76"/>
  <c r="AY76"/>
  <c r="H76"/>
  <c r="J76"/>
  <c r="L76"/>
  <c r="N76"/>
  <c r="P76"/>
  <c r="S76"/>
  <c r="U76"/>
  <c r="W76"/>
  <c r="Y76"/>
  <c r="AA76"/>
  <c r="AC76"/>
  <c r="AF76"/>
  <c r="AI76"/>
  <c r="AN76"/>
  <c r="AP76"/>
  <c r="AR76"/>
  <c r="AT76"/>
  <c r="AX76"/>
  <c r="AZ76"/>
  <c r="BB76"/>
  <c r="BD76"/>
  <c r="BO76"/>
  <c r="DH75"/>
  <c r="BQ76"/>
  <c r="BS76"/>
  <c r="BU76"/>
  <c r="BW76"/>
  <c r="BY76"/>
  <c r="CA76"/>
  <c r="CC76"/>
  <c r="CE76"/>
  <c r="CG76"/>
  <c r="CI76"/>
  <c r="CK76"/>
  <c r="CM76"/>
  <c r="CO76"/>
  <c r="CQ76"/>
  <c r="CS76"/>
  <c r="CU76"/>
  <c r="CW76"/>
  <c r="CY76"/>
  <c r="DA76"/>
  <c r="DC76"/>
  <c r="DE76"/>
  <c r="G76"/>
  <c r="Q75"/>
  <c r="K76"/>
  <c r="O76"/>
  <c r="V76"/>
  <c r="Z76"/>
  <c r="AD76"/>
  <c r="AJ76"/>
  <c r="AO76"/>
  <c r="AS76"/>
  <c r="AW76"/>
  <c r="BA76"/>
  <c r="BC76"/>
  <c r="BE76"/>
  <c r="BP76"/>
  <c r="BR76"/>
  <c r="BT76"/>
  <c r="BV76"/>
  <c r="BX76"/>
  <c r="BZ76"/>
  <c r="CB76"/>
  <c r="CD76"/>
  <c r="CF76"/>
  <c r="CH76"/>
  <c r="CJ76"/>
  <c r="CL76"/>
  <c r="CN76"/>
  <c r="CP76"/>
  <c r="CR76"/>
  <c r="CT76"/>
  <c r="CV76"/>
  <c r="CX76"/>
  <c r="CZ76"/>
  <c r="DB76"/>
  <c r="DD76"/>
  <c r="DF76"/>
  <c r="DH76" l="1"/>
  <c r="Q76"/>
  <c r="D72" l="1"/>
  <c r="D71" l="1"/>
  <c r="DH70"/>
  <c r="BJ70"/>
  <c r="DH69"/>
  <c r="BL69"/>
  <c r="K71"/>
  <c r="CS71"/>
  <c r="BV71"/>
  <c r="AA71"/>
  <c r="CW71"/>
  <c r="AJ71"/>
  <c r="DB71"/>
  <c r="DA71"/>
  <c r="CP71"/>
  <c r="AG71"/>
  <c r="CI71"/>
  <c r="U71"/>
  <c r="AO71"/>
  <c r="Z71"/>
  <c r="L71"/>
  <c r="CN71"/>
  <c r="AC71"/>
  <c r="CE71"/>
  <c r="AW71"/>
  <c r="AX71"/>
  <c r="AY71"/>
  <c r="CB71"/>
  <c r="CH71"/>
  <c r="CG71"/>
  <c r="BI71"/>
  <c r="CO71"/>
  <c r="BP71"/>
  <c r="CX71"/>
  <c r="DE71"/>
  <c r="M71"/>
  <c r="DF71"/>
  <c r="AZ71"/>
  <c r="CA71"/>
  <c r="AQ71"/>
  <c r="AP71"/>
  <c r="DC71"/>
  <c r="CC71"/>
  <c r="CL71"/>
  <c r="CU71"/>
  <c r="AT71"/>
  <c r="CF71"/>
  <c r="BY71"/>
  <c r="CY71"/>
  <c r="CZ71"/>
  <c r="BQ71"/>
  <c r="BZ71"/>
  <c r="I71"/>
  <c r="AM71"/>
  <c r="AR71"/>
  <c r="S71"/>
  <c r="BA71"/>
  <c r="BR71"/>
  <c r="BO71"/>
  <c r="O71"/>
  <c r="BE71"/>
  <c r="BT71"/>
  <c r="BB71"/>
  <c r="AS71"/>
  <c r="G71"/>
  <c r="AI71"/>
  <c r="BW71"/>
  <c r="AN71"/>
  <c r="AV71"/>
  <c r="CM71"/>
  <c r="X71"/>
  <c r="AD71"/>
  <c r="N71"/>
  <c r="CV71"/>
  <c r="V71"/>
  <c r="J71"/>
  <c r="CK71"/>
  <c r="AF71"/>
  <c r="W71"/>
  <c r="DD71"/>
  <c r="BS71"/>
  <c r="Y71"/>
  <c r="BX71"/>
  <c r="P71"/>
  <c r="H71"/>
  <c r="CR71"/>
  <c r="BC71"/>
  <c r="CQ71"/>
  <c r="AU71"/>
  <c r="CT71"/>
  <c r="BD71"/>
  <c r="CJ71"/>
  <c r="CD71"/>
  <c r="BU71"/>
  <c r="BL70" l="1"/>
  <c r="J72"/>
  <c r="N72"/>
  <c r="S72"/>
  <c r="W72"/>
  <c r="AA72"/>
  <c r="AF72"/>
  <c r="AN72"/>
  <c r="AR72"/>
  <c r="AV72"/>
  <c r="G72"/>
  <c r="Q71"/>
  <c r="I72"/>
  <c r="K72"/>
  <c r="M72"/>
  <c r="O72"/>
  <c r="V72"/>
  <c r="X72"/>
  <c r="Z72"/>
  <c r="AD72"/>
  <c r="AG72"/>
  <c r="AJ72"/>
  <c r="AM72"/>
  <c r="BF71"/>
  <c r="AO72"/>
  <c r="AQ72"/>
  <c r="AS72"/>
  <c r="AU72"/>
  <c r="AW72"/>
  <c r="AY72"/>
  <c r="BA72"/>
  <c r="BC72"/>
  <c r="BE72"/>
  <c r="BO72"/>
  <c r="DH71"/>
  <c r="BQ72"/>
  <c r="BS72"/>
  <c r="BU72"/>
  <c r="BW72"/>
  <c r="BY72"/>
  <c r="CA72"/>
  <c r="CC72"/>
  <c r="CE72"/>
  <c r="CG72"/>
  <c r="CI72"/>
  <c r="CK72"/>
  <c r="CM72"/>
  <c r="CO72"/>
  <c r="CQ72"/>
  <c r="CS72"/>
  <c r="CU72"/>
  <c r="CW72"/>
  <c r="CY72"/>
  <c r="DA72"/>
  <c r="DC72"/>
  <c r="DE72"/>
  <c r="H72"/>
  <c r="L72"/>
  <c r="P72"/>
  <c r="U72"/>
  <c r="Y72"/>
  <c r="AC72"/>
  <c r="AI72"/>
  <c r="AP72"/>
  <c r="AT72"/>
  <c r="AX72"/>
  <c r="AZ72"/>
  <c r="BB72"/>
  <c r="BD72"/>
  <c r="BI72"/>
  <c r="BP72"/>
  <c r="BR72"/>
  <c r="BT72"/>
  <c r="BV72"/>
  <c r="BX72"/>
  <c r="BZ72"/>
  <c r="CB72"/>
  <c r="CD72"/>
  <c r="CF72"/>
  <c r="CH72"/>
  <c r="CJ72"/>
  <c r="CL72"/>
  <c r="CN72"/>
  <c r="CP72"/>
  <c r="CR72"/>
  <c r="CT72"/>
  <c r="CV72"/>
  <c r="CX72"/>
  <c r="CZ72"/>
  <c r="DB72"/>
  <c r="DD72"/>
  <c r="DF72"/>
  <c r="DH72" l="1"/>
  <c r="BF72"/>
  <c r="Q72"/>
  <c r="D68" l="1"/>
  <c r="CJ67"/>
  <c r="BY67"/>
  <c r="BR67"/>
  <c r="CV67"/>
  <c r="BV67"/>
  <c r="CE67"/>
  <c r="BU67"/>
  <c r="CK67"/>
  <c r="CW67"/>
  <c r="CM67"/>
  <c r="BW67"/>
  <c r="CL67"/>
  <c r="CY67"/>
  <c r="BX67"/>
  <c r="CD67"/>
  <c r="CB67"/>
  <c r="CU67"/>
  <c r="CG67"/>
  <c r="DA67"/>
  <c r="CZ67"/>
  <c r="CN67"/>
  <c r="CX67"/>
  <c r="CI67"/>
  <c r="CR67"/>
  <c r="DD67"/>
  <c r="CP67"/>
  <c r="BP67"/>
  <c r="CC67"/>
  <c r="BO67"/>
  <c r="BZ67"/>
  <c r="DB67"/>
  <c r="BT67"/>
  <c r="CQ67"/>
  <c r="CA67"/>
  <c r="CF67"/>
  <c r="DF67"/>
  <c r="CH67"/>
  <c r="DC67"/>
  <c r="BS67"/>
  <c r="CT67"/>
  <c r="DE67"/>
  <c r="BQ67"/>
  <c r="CO67"/>
  <c r="CS67"/>
  <c r="DH67" l="1"/>
  <c r="U67"/>
  <c r="BD67"/>
  <c r="AW67"/>
  <c r="AB67"/>
  <c r="W67"/>
  <c r="AU67"/>
  <c r="AZ67"/>
  <c r="BB67"/>
  <c r="AR67"/>
  <c r="AS67"/>
  <c r="AJ67"/>
  <c r="AT67"/>
  <c r="BH67"/>
  <c r="AO67"/>
  <c r="AA67"/>
  <c r="AP67"/>
  <c r="V67"/>
  <c r="BC67"/>
  <c r="AV67"/>
  <c r="X67"/>
  <c r="AG67"/>
  <c r="AQ67"/>
  <c r="BI67"/>
  <c r="AD67"/>
  <c r="S67"/>
  <c r="AI67"/>
  <c r="BE67"/>
  <c r="BA67"/>
  <c r="Z67"/>
  <c r="AN67"/>
  <c r="AC67"/>
  <c r="AF67"/>
  <c r="AM67"/>
  <c r="Y67"/>
  <c r="AY67"/>
  <c r="BJ67" l="1"/>
  <c r="D67"/>
  <c r="K67"/>
  <c r="O67"/>
  <c r="H67"/>
  <c r="G67"/>
  <c r="I67"/>
  <c r="J67"/>
  <c r="N67"/>
  <c r="M67"/>
  <c r="P67"/>
  <c r="L67"/>
  <c r="Q67" l="1"/>
  <c r="D66"/>
  <c r="AQ66"/>
  <c r="CP66"/>
  <c r="O66"/>
  <c r="BB66"/>
  <c r="BH66"/>
  <c r="AC66"/>
  <c r="AJ66"/>
  <c r="W66"/>
  <c r="CN66"/>
  <c r="M66"/>
  <c r="CT66"/>
  <c r="AG66"/>
  <c r="AV66"/>
  <c r="CZ66"/>
  <c r="CV66"/>
  <c r="L66"/>
  <c r="CG66"/>
  <c r="AM66"/>
  <c r="K66"/>
  <c r="U66"/>
  <c r="AT66"/>
  <c r="AN66"/>
  <c r="CJ66"/>
  <c r="G66"/>
  <c r="BE66"/>
  <c r="CF66"/>
  <c r="BT66"/>
  <c r="DB66"/>
  <c r="DD66"/>
  <c r="N66"/>
  <c r="CW66"/>
  <c r="CU66"/>
  <c r="CE66"/>
  <c r="DE66"/>
  <c r="DA66"/>
  <c r="AF66"/>
  <c r="BV66"/>
  <c r="BX66"/>
  <c r="BZ66"/>
  <c r="AA66"/>
  <c r="I66"/>
  <c r="CX66"/>
  <c r="AU66"/>
  <c r="AD66"/>
  <c r="Y66"/>
  <c r="CR66"/>
  <c r="BY66"/>
  <c r="X66"/>
  <c r="BP66"/>
  <c r="V66"/>
  <c r="BC66"/>
  <c r="Z66"/>
  <c r="AP66"/>
  <c r="CK66"/>
  <c r="DC66"/>
  <c r="AS66"/>
  <c r="CQ66"/>
  <c r="AY66"/>
  <c r="BI66"/>
  <c r="AR66"/>
  <c r="CD66"/>
  <c r="DF66"/>
  <c r="BS66"/>
  <c r="CH66"/>
  <c r="CY66"/>
  <c r="BQ66"/>
  <c r="CI66"/>
  <c r="CL66"/>
  <c r="CC66"/>
  <c r="BR66"/>
  <c r="CA66"/>
  <c r="AZ66"/>
  <c r="CM66"/>
  <c r="BU66"/>
  <c r="T66"/>
  <c r="BW66"/>
  <c r="CB66"/>
  <c r="CS66"/>
  <c r="CO66"/>
  <c r="BD66"/>
  <c r="P66"/>
  <c r="BO66"/>
  <c r="AX66"/>
  <c r="BA66"/>
  <c r="AB66"/>
  <c r="J66"/>
  <c r="AO66"/>
  <c r="BJ66" l="1"/>
  <c r="DH66"/>
  <c r="DC65"/>
  <c r="CD65"/>
  <c r="CH65"/>
  <c r="CN65"/>
  <c r="BZ65"/>
  <c r="CX65"/>
  <c r="CZ65"/>
  <c r="CJ65"/>
  <c r="CE65"/>
  <c r="DF65"/>
  <c r="CF65"/>
  <c r="CT65"/>
  <c r="CB65"/>
  <c r="CM65"/>
  <c r="BY65"/>
  <c r="BO65"/>
  <c r="CW65"/>
  <c r="BU65"/>
  <c r="CQ65"/>
  <c r="BP65"/>
  <c r="BS65"/>
  <c r="BR65"/>
  <c r="CL65"/>
  <c r="CS65"/>
  <c r="BW65"/>
  <c r="DB65"/>
  <c r="DE65"/>
  <c r="CC65"/>
  <c r="DD65"/>
  <c r="CK65"/>
  <c r="CG65"/>
  <c r="CY65"/>
  <c r="CI65"/>
  <c r="CP65"/>
  <c r="CU65"/>
  <c r="CO65"/>
  <c r="CA65"/>
  <c r="BX65"/>
  <c r="CR65"/>
  <c r="BV65"/>
  <c r="CV65"/>
  <c r="BT65"/>
  <c r="DA65"/>
  <c r="BQ65"/>
  <c r="BQ68" l="1"/>
  <c r="BU68"/>
  <c r="BY68"/>
  <c r="CC68"/>
  <c r="CG68"/>
  <c r="CK68"/>
  <c r="CO68"/>
  <c r="CS68"/>
  <c r="CW68"/>
  <c r="BP68"/>
  <c r="BR68"/>
  <c r="BT68"/>
  <c r="BV68"/>
  <c r="BX68"/>
  <c r="BZ68"/>
  <c r="CB68"/>
  <c r="CD68"/>
  <c r="CF68"/>
  <c r="CH68"/>
  <c r="CJ68"/>
  <c r="CL68"/>
  <c r="CN68"/>
  <c r="CP68"/>
  <c r="CR68"/>
  <c r="CT68"/>
  <c r="CV68"/>
  <c r="CX68"/>
  <c r="CZ68"/>
  <c r="DB68"/>
  <c r="DD68"/>
  <c r="DF68"/>
  <c r="BO68"/>
  <c r="DH65"/>
  <c r="BS68"/>
  <c r="BW68"/>
  <c r="CA68"/>
  <c r="CE68"/>
  <c r="CI68"/>
  <c r="CM68"/>
  <c r="CQ68"/>
  <c r="CU68"/>
  <c r="CY68"/>
  <c r="DA68"/>
  <c r="DC68"/>
  <c r="DE68"/>
  <c r="AD65"/>
  <c r="X65"/>
  <c r="AC65"/>
  <c r="AT65"/>
  <c r="U65"/>
  <c r="AB65"/>
  <c r="Y65"/>
  <c r="AG65"/>
  <c r="BD65"/>
  <c r="AF65"/>
  <c r="AA65"/>
  <c r="S65"/>
  <c r="BE65"/>
  <c r="BC65"/>
  <c r="AS65"/>
  <c r="AN65"/>
  <c r="BA65"/>
  <c r="AZ65"/>
  <c r="AR65"/>
  <c r="AO65"/>
  <c r="W65"/>
  <c r="AI65"/>
  <c r="AY65"/>
  <c r="AP65"/>
  <c r="Z65"/>
  <c r="AM65"/>
  <c r="AU65"/>
  <c r="AX65"/>
  <c r="BH65"/>
  <c r="AV65"/>
  <c r="BI65"/>
  <c r="BB65"/>
  <c r="AJ65"/>
  <c r="V65"/>
  <c r="AQ65"/>
  <c r="U68" l="1"/>
  <c r="Y68"/>
  <c r="AC68"/>
  <c r="AP68"/>
  <c r="AT68"/>
  <c r="AZ68"/>
  <c r="BD68"/>
  <c r="V68"/>
  <c r="X68"/>
  <c r="Z68"/>
  <c r="AB68"/>
  <c r="AD68"/>
  <c r="AG68"/>
  <c r="AJ68"/>
  <c r="AM68"/>
  <c r="AO68"/>
  <c r="AQ68"/>
  <c r="AS68"/>
  <c r="AU68"/>
  <c r="AY68"/>
  <c r="BA68"/>
  <c r="BC68"/>
  <c r="BE68"/>
  <c r="BH68"/>
  <c r="BJ65"/>
  <c r="W68"/>
  <c r="AA68"/>
  <c r="AF68"/>
  <c r="AN68"/>
  <c r="AR68"/>
  <c r="AV68"/>
  <c r="BB68"/>
  <c r="BI68"/>
  <c r="DH68"/>
  <c r="D65"/>
  <c r="DH64"/>
  <c r="P65"/>
  <c r="K65"/>
  <c r="G65"/>
  <c r="N65"/>
  <c r="H65"/>
  <c r="L65"/>
  <c r="I65"/>
  <c r="O65"/>
  <c r="J65"/>
  <c r="M65"/>
  <c r="G68" l="1"/>
  <c r="Q65"/>
  <c r="I68"/>
  <c r="M68"/>
  <c r="O68"/>
  <c r="J68"/>
  <c r="L68"/>
  <c r="N68"/>
  <c r="P68"/>
  <c r="K68"/>
  <c r="BJ68"/>
  <c r="D63" l="1"/>
  <c r="BU62"/>
  <c r="BS62"/>
  <c r="CR62"/>
  <c r="BR62"/>
  <c r="CC62"/>
  <c r="CQ62"/>
  <c r="BQ62"/>
  <c r="DB62"/>
  <c r="CU62"/>
  <c r="CP62"/>
  <c r="BP62"/>
  <c r="CK62"/>
  <c r="CM62"/>
  <c r="DA62"/>
  <c r="BZ62"/>
  <c r="BT62"/>
  <c r="BY62"/>
  <c r="CS62"/>
  <c r="CA62"/>
  <c r="CN62"/>
  <c r="CX62"/>
  <c r="CL62"/>
  <c r="BX62"/>
  <c r="CV62"/>
  <c r="CF62"/>
  <c r="CY62"/>
  <c r="BW62"/>
  <c r="CD62"/>
  <c r="DC62"/>
  <c r="CT62"/>
  <c r="CE62"/>
  <c r="DE62"/>
  <c r="CW62"/>
  <c r="CO62"/>
  <c r="CG62"/>
  <c r="DF62"/>
  <c r="CZ62"/>
  <c r="BO62"/>
  <c r="CH62"/>
  <c r="CJ62"/>
  <c r="CB62"/>
  <c r="DD62"/>
  <c r="CI62"/>
  <c r="BV62"/>
  <c r="DH62" l="1"/>
  <c r="AC62"/>
  <c r="BB62"/>
  <c r="AX62"/>
  <c r="BD62"/>
  <c r="AM62"/>
  <c r="V62"/>
  <c r="AP62"/>
  <c r="AG62"/>
  <c r="AR62"/>
  <c r="AO62"/>
  <c r="AB62"/>
  <c r="AS62"/>
  <c r="AI62"/>
  <c r="X62"/>
  <c r="AW62"/>
  <c r="S62"/>
  <c r="BC62"/>
  <c r="AD62"/>
  <c r="BI62"/>
  <c r="U62"/>
  <c r="AZ62"/>
  <c r="BE62"/>
  <c r="AV62"/>
  <c r="AQ62"/>
  <c r="AU62"/>
  <c r="BA62"/>
  <c r="Y62"/>
  <c r="Z62"/>
  <c r="BH62"/>
  <c r="AA62"/>
  <c r="AN62"/>
  <c r="AF62"/>
  <c r="AT62"/>
  <c r="AJ62"/>
  <c r="W62"/>
  <c r="BJ62" l="1"/>
  <c r="D62"/>
  <c r="L62"/>
  <c r="G62"/>
  <c r="I62"/>
  <c r="M62"/>
  <c r="O62"/>
  <c r="J62"/>
  <c r="N62"/>
  <c r="H62"/>
  <c r="K62"/>
  <c r="P62"/>
  <c r="Q62" l="1"/>
  <c r="DE61"/>
  <c r="CA61"/>
  <c r="BV61"/>
  <c r="CN61"/>
  <c r="BP61"/>
  <c r="DA61"/>
  <c r="CS61"/>
  <c r="DF61"/>
  <c r="BQ61"/>
  <c r="CH61"/>
  <c r="CD61"/>
  <c r="BO61"/>
  <c r="BH61"/>
  <c r="CG61"/>
  <c r="DB61"/>
  <c r="CU61"/>
  <c r="BZ61"/>
  <c r="CM61"/>
  <c r="CC61"/>
  <c r="CQ61"/>
  <c r="BX61"/>
  <c r="DD61"/>
  <c r="CK61"/>
  <c r="CY61"/>
  <c r="BY61"/>
  <c r="BT61"/>
  <c r="CR61"/>
  <c r="BW61"/>
  <c r="CJ61"/>
  <c r="CW61"/>
  <c r="CE61"/>
  <c r="CV61"/>
  <c r="CP61"/>
  <c r="BI61"/>
  <c r="CT61"/>
  <c r="CX61"/>
  <c r="DC61"/>
  <c r="BR61"/>
  <c r="CL61"/>
  <c r="CF61"/>
  <c r="CB61"/>
  <c r="CZ61"/>
  <c r="CO61"/>
  <c r="CI61"/>
  <c r="BU61"/>
  <c r="BS61"/>
  <c r="DH61" l="1"/>
  <c r="BJ61"/>
  <c r="AM61"/>
  <c r="W61"/>
  <c r="AU61"/>
  <c r="BE61"/>
  <c r="AX61"/>
  <c r="AR61"/>
  <c r="AG61"/>
  <c r="AB61"/>
  <c r="AO61"/>
  <c r="Y61"/>
  <c r="AZ61"/>
  <c r="BD61"/>
  <c r="AC61"/>
  <c r="AV61"/>
  <c r="S61"/>
  <c r="AD61"/>
  <c r="AT61"/>
  <c r="AJ61"/>
  <c r="X61"/>
  <c r="AF61"/>
  <c r="AQ61"/>
  <c r="AP61"/>
  <c r="V61"/>
  <c r="AS61"/>
  <c r="AA61"/>
  <c r="AN61"/>
  <c r="AI61"/>
  <c r="U61"/>
  <c r="Z61"/>
  <c r="AY61"/>
  <c r="BC61"/>
  <c r="AW61"/>
  <c r="D61" l="1"/>
  <c r="L61"/>
  <c r="K61"/>
  <c r="G61"/>
  <c r="O61"/>
  <c r="I61"/>
  <c r="N61"/>
  <c r="J61"/>
  <c r="P61"/>
  <c r="M61"/>
  <c r="H61"/>
  <c r="Q61" l="1"/>
  <c r="DE60"/>
  <c r="S60"/>
  <c r="CJ60"/>
  <c r="CN60"/>
  <c r="AD60"/>
  <c r="Z60"/>
  <c r="BO60"/>
  <c r="DF60"/>
  <c r="CV60"/>
  <c r="BU60"/>
  <c r="AW60"/>
  <c r="BY60"/>
  <c r="BI60"/>
  <c r="DC60"/>
  <c r="BZ60"/>
  <c r="DD60"/>
  <c r="CP60"/>
  <c r="X60"/>
  <c r="CZ60"/>
  <c r="Y60"/>
  <c r="CO60"/>
  <c r="CA60"/>
  <c r="BA60"/>
  <c r="BV60"/>
  <c r="CU60"/>
  <c r="AA60"/>
  <c r="AP60"/>
  <c r="CW60"/>
  <c r="BQ60"/>
  <c r="AS60"/>
  <c r="CK60"/>
  <c r="DB60"/>
  <c r="BW60"/>
  <c r="AX60"/>
  <c r="BT60"/>
  <c r="BP60"/>
  <c r="AI60"/>
  <c r="AR60"/>
  <c r="CM60"/>
  <c r="CR60"/>
  <c r="AV60"/>
  <c r="AC60"/>
  <c r="CH60"/>
  <c r="CS60"/>
  <c r="AU60"/>
  <c r="CL60"/>
  <c r="AT60"/>
  <c r="CY60"/>
  <c r="AJ60"/>
  <c r="W60"/>
  <c r="BD60"/>
  <c r="BC60"/>
  <c r="BE60"/>
  <c r="CT60"/>
  <c r="BS60"/>
  <c r="V60"/>
  <c r="AQ60"/>
  <c r="CD60"/>
  <c r="AN60"/>
  <c r="AB60"/>
  <c r="CC60"/>
  <c r="BR60"/>
  <c r="AM60"/>
  <c r="CB60"/>
  <c r="CE60"/>
  <c r="BH60"/>
  <c r="DA60"/>
  <c r="AF60"/>
  <c r="BB60"/>
  <c r="CX60"/>
  <c r="CQ60"/>
  <c r="AG60"/>
  <c r="CG60"/>
  <c r="U60"/>
  <c r="CF60"/>
  <c r="AO60"/>
  <c r="CI60"/>
  <c r="BX60"/>
  <c r="BJ60" l="1"/>
  <c r="DH60"/>
  <c r="D60"/>
  <c r="N60"/>
  <c r="P60"/>
  <c r="M60"/>
  <c r="I60"/>
  <c r="G60"/>
  <c r="K60"/>
  <c r="J60"/>
  <c r="L60"/>
  <c r="O60"/>
  <c r="H60"/>
  <c r="Q60" l="1"/>
  <c r="DE59"/>
  <c r="AX59"/>
  <c r="AO59"/>
  <c r="X59"/>
  <c r="BQ59"/>
  <c r="CB59"/>
  <c r="W59"/>
  <c r="CR59"/>
  <c r="AW59"/>
  <c r="DF59"/>
  <c r="BO59"/>
  <c r="CS59"/>
  <c r="CA59"/>
  <c r="CU59"/>
  <c r="CK59"/>
  <c r="BU59"/>
  <c r="AS59"/>
  <c r="BS59"/>
  <c r="CP59"/>
  <c r="AG59"/>
  <c r="CO59"/>
  <c r="CN59"/>
  <c r="DC59"/>
  <c r="BR59"/>
  <c r="CX59"/>
  <c r="BX59"/>
  <c r="DB59"/>
  <c r="Y59"/>
  <c r="Z59"/>
  <c r="CL59"/>
  <c r="BP59"/>
  <c r="AC59"/>
  <c r="AU59"/>
  <c r="V59"/>
  <c r="AZ59"/>
  <c r="U59"/>
  <c r="BC59"/>
  <c r="BW59"/>
  <c r="BE59"/>
  <c r="BI59"/>
  <c r="CW59"/>
  <c r="CG59"/>
  <c r="BV59"/>
  <c r="AY59"/>
  <c r="CE59"/>
  <c r="CC59"/>
  <c r="BH59"/>
  <c r="AN59"/>
  <c r="CY59"/>
  <c r="BA59"/>
  <c r="DD59"/>
  <c r="AT59"/>
  <c r="AV59"/>
  <c r="BD59"/>
  <c r="BT59"/>
  <c r="CJ59"/>
  <c r="AB59"/>
  <c r="AI59"/>
  <c r="CH59"/>
  <c r="BY59"/>
  <c r="AM59"/>
  <c r="AP59"/>
  <c r="CI59"/>
  <c r="BZ59"/>
  <c r="AD59"/>
  <c r="CQ59"/>
  <c r="AR59"/>
  <c r="CV59"/>
  <c r="CT59"/>
  <c r="AQ59"/>
  <c r="CF59"/>
  <c r="S59"/>
  <c r="AA59"/>
  <c r="AJ59"/>
  <c r="AF59"/>
  <c r="DA59"/>
  <c r="CD59"/>
  <c r="CM59"/>
  <c r="CZ59"/>
  <c r="DH59" l="1"/>
  <c r="BJ59"/>
  <c r="D59"/>
  <c r="L59"/>
  <c r="M59"/>
  <c r="J59"/>
  <c r="G59"/>
  <c r="N59"/>
  <c r="O59"/>
  <c r="H59"/>
  <c r="K59"/>
  <c r="P59"/>
  <c r="I59"/>
  <c r="Q59" l="1"/>
  <c r="DE58"/>
  <c r="CS58"/>
  <c r="BQ58"/>
  <c r="CM58"/>
  <c r="CI58"/>
  <c r="CB58"/>
  <c r="BP58"/>
  <c r="BO58"/>
  <c r="CL58"/>
  <c r="BT58"/>
  <c r="BS58"/>
  <c r="CD58"/>
  <c r="BU58"/>
  <c r="CA58"/>
  <c r="DC58"/>
  <c r="BY58"/>
  <c r="CU58"/>
  <c r="DD58"/>
  <c r="DF58"/>
  <c r="CO58"/>
  <c r="CV58"/>
  <c r="CF58"/>
  <c r="CE58"/>
  <c r="CJ58"/>
  <c r="BR58"/>
  <c r="CR58"/>
  <c r="CT58"/>
  <c r="BW58"/>
  <c r="CW58"/>
  <c r="DA58"/>
  <c r="BZ58"/>
  <c r="BV58"/>
  <c r="CP58"/>
  <c r="CK58"/>
  <c r="CZ58"/>
  <c r="CC58"/>
  <c r="CX58"/>
  <c r="CG58"/>
  <c r="CN58"/>
  <c r="CY58"/>
  <c r="DB58"/>
  <c r="CQ58"/>
  <c r="CH58"/>
  <c r="BX58"/>
  <c r="DH58" l="1"/>
  <c r="AO58"/>
  <c r="AG58"/>
  <c r="BD58"/>
  <c r="AT58"/>
  <c r="AR58"/>
  <c r="AD58"/>
  <c r="BI58"/>
  <c r="AA58"/>
  <c r="BA58"/>
  <c r="BH58"/>
  <c r="BE58"/>
  <c r="AM58"/>
  <c r="AI58"/>
  <c r="AP58"/>
  <c r="AV58"/>
  <c r="Z58"/>
  <c r="AC58"/>
  <c r="AN58"/>
  <c r="W58"/>
  <c r="AF58"/>
  <c r="BB58"/>
  <c r="X58"/>
  <c r="AQ58"/>
  <c r="AJ58"/>
  <c r="AW58"/>
  <c r="AZ58"/>
  <c r="AS58"/>
  <c r="U58"/>
  <c r="S58"/>
  <c r="Y58"/>
  <c r="AB58"/>
  <c r="AU58"/>
  <c r="AY58"/>
  <c r="BC58"/>
  <c r="V58"/>
  <c r="BJ58" l="1"/>
  <c r="D58"/>
  <c r="I58"/>
  <c r="J58"/>
  <c r="N58"/>
  <c r="P58"/>
  <c r="M58"/>
  <c r="K58"/>
  <c r="G58"/>
  <c r="L58"/>
  <c r="O58"/>
  <c r="H58"/>
  <c r="Q58" l="1"/>
  <c r="D57"/>
  <c r="DH56"/>
  <c r="BL56"/>
  <c r="S57"/>
  <c r="CT57"/>
  <c r="H57"/>
  <c r="DA57"/>
  <c r="AR57"/>
  <c r="CY57"/>
  <c r="BS57"/>
  <c r="L57"/>
  <c r="BQ57"/>
  <c r="BX57"/>
  <c r="AQ57"/>
  <c r="CP57"/>
  <c r="DB57"/>
  <c r="AF57"/>
  <c r="I57"/>
  <c r="BW57"/>
  <c r="BZ57"/>
  <c r="AM57"/>
  <c r="BO57"/>
  <c r="DD57"/>
  <c r="BU57"/>
  <c r="Y57"/>
  <c r="BB57"/>
  <c r="AU57"/>
  <c r="O57"/>
  <c r="AV57"/>
  <c r="N57"/>
  <c r="CM57"/>
  <c r="CS57"/>
  <c r="CK57"/>
  <c r="BD57"/>
  <c r="CB57"/>
  <c r="BA57"/>
  <c r="CX57"/>
  <c r="AZ57"/>
  <c r="P57"/>
  <c r="BE57"/>
  <c r="CW57"/>
  <c r="Z57"/>
  <c r="CF57"/>
  <c r="G57"/>
  <c r="BY57"/>
  <c r="CE57"/>
  <c r="BI57"/>
  <c r="AJ57"/>
  <c r="M57"/>
  <c r="AB57"/>
  <c r="CG57"/>
  <c r="CR57"/>
  <c r="AI57"/>
  <c r="AP57"/>
  <c r="X57"/>
  <c r="CL57"/>
  <c r="BH57"/>
  <c r="CV57"/>
  <c r="K57"/>
  <c r="U57"/>
  <c r="CZ57"/>
  <c r="CH57"/>
  <c r="CU57"/>
  <c r="CC57"/>
  <c r="CN57"/>
  <c r="DC57"/>
  <c r="J57"/>
  <c r="AT57"/>
  <c r="BT57"/>
  <c r="DE57"/>
  <c r="CO57"/>
  <c r="AO57"/>
  <c r="AC57"/>
  <c r="W57"/>
  <c r="AD57"/>
  <c r="AS57"/>
  <c r="BP57"/>
  <c r="AA57"/>
  <c r="CQ57"/>
  <c r="BC57"/>
  <c r="DF57"/>
  <c r="AY57"/>
  <c r="BR57"/>
  <c r="V57"/>
  <c r="CJ57"/>
  <c r="AW57"/>
  <c r="AG57"/>
  <c r="CD57"/>
  <c r="AN57"/>
  <c r="CA57"/>
  <c r="BV57"/>
  <c r="CI57"/>
  <c r="H63" l="1"/>
  <c r="L63"/>
  <c r="P63"/>
  <c r="U63"/>
  <c r="Y63"/>
  <c r="AC63"/>
  <c r="AI63"/>
  <c r="AP63"/>
  <c r="AT63"/>
  <c r="AV63"/>
  <c r="BD63"/>
  <c r="BI63"/>
  <c r="BP63"/>
  <c r="BR63"/>
  <c r="BT63"/>
  <c r="BV63"/>
  <c r="BX63"/>
  <c r="BZ63"/>
  <c r="CB63"/>
  <c r="CD63"/>
  <c r="CF63"/>
  <c r="CH63"/>
  <c r="CJ63"/>
  <c r="CL63"/>
  <c r="CN63"/>
  <c r="CP63"/>
  <c r="CR63"/>
  <c r="CT63"/>
  <c r="CV63"/>
  <c r="CX63"/>
  <c r="CZ63"/>
  <c r="DB63"/>
  <c r="DD63"/>
  <c r="DF63"/>
  <c r="J63"/>
  <c r="N63"/>
  <c r="S63"/>
  <c r="W63"/>
  <c r="AA63"/>
  <c r="AF63"/>
  <c r="AN63"/>
  <c r="AR63"/>
  <c r="G63"/>
  <c r="Q57"/>
  <c r="I63"/>
  <c r="K63"/>
  <c r="M63"/>
  <c r="O63"/>
  <c r="V63"/>
  <c r="X63"/>
  <c r="Z63"/>
  <c r="AB63"/>
  <c r="AD63"/>
  <c r="AG63"/>
  <c r="AJ63"/>
  <c r="AM63"/>
  <c r="AO63"/>
  <c r="AQ63"/>
  <c r="AS63"/>
  <c r="AU63"/>
  <c r="AW63"/>
  <c r="BC63"/>
  <c r="BE63"/>
  <c r="BH63"/>
  <c r="BJ57"/>
  <c r="BO63"/>
  <c r="DH57"/>
  <c r="BQ63"/>
  <c r="BS63"/>
  <c r="BU63"/>
  <c r="BW63"/>
  <c r="BY63"/>
  <c r="CA63"/>
  <c r="CC63"/>
  <c r="CE63"/>
  <c r="CG63"/>
  <c r="CI63"/>
  <c r="CK63"/>
  <c r="CM63"/>
  <c r="CO63"/>
  <c r="CQ63"/>
  <c r="CS63"/>
  <c r="CU63"/>
  <c r="CW63"/>
  <c r="CY63"/>
  <c r="DA63"/>
  <c r="DC63"/>
  <c r="DE63"/>
  <c r="BJ63" l="1"/>
  <c r="DH63"/>
  <c r="Q63"/>
  <c r="D55" l="1"/>
  <c r="CD54"/>
  <c r="M54"/>
  <c r="AA54"/>
  <c r="DF54"/>
  <c r="DE54"/>
  <c r="CM54"/>
  <c r="CT54"/>
  <c r="AC54"/>
  <c r="N54"/>
  <c r="CR54"/>
  <c r="CB54"/>
  <c r="AY54"/>
  <c r="DA54"/>
  <c r="AB54"/>
  <c r="AI54"/>
  <c r="BC54"/>
  <c r="AQ54"/>
  <c r="DB54"/>
  <c r="CC54"/>
  <c r="CU54"/>
  <c r="L54"/>
  <c r="CY54"/>
  <c r="BR54"/>
  <c r="CE54"/>
  <c r="DC54"/>
  <c r="AV54"/>
  <c r="CS54"/>
  <c r="CV54"/>
  <c r="CG54"/>
  <c r="BY54"/>
  <c r="AZ54"/>
  <c r="CK54"/>
  <c r="AW54"/>
  <c r="CI54"/>
  <c r="BU54"/>
  <c r="P54"/>
  <c r="AG54"/>
  <c r="AF54"/>
  <c r="CQ54"/>
  <c r="CW54"/>
  <c r="BW54"/>
  <c r="CZ54"/>
  <c r="BE54"/>
  <c r="K54"/>
  <c r="CO54"/>
  <c r="BI54"/>
  <c r="CJ54"/>
  <c r="AR54"/>
  <c r="AD54"/>
  <c r="CX54"/>
  <c r="AP54"/>
  <c r="AS54"/>
  <c r="BZ54"/>
  <c r="V54"/>
  <c r="BX54"/>
  <c r="CF54"/>
  <c r="BV54"/>
  <c r="AJ54"/>
  <c r="CP54"/>
  <c r="CL54"/>
  <c r="BH54"/>
  <c r="CH54"/>
  <c r="AU54"/>
  <c r="CA54"/>
  <c r="H54"/>
  <c r="BA54"/>
  <c r="J54"/>
  <c r="O54"/>
  <c r="AX54"/>
  <c r="AT54"/>
  <c r="G54"/>
  <c r="CN54"/>
  <c r="T54"/>
  <c r="DD54"/>
  <c r="BD54"/>
  <c r="BB54"/>
  <c r="BJ54" l="1"/>
  <c r="D54"/>
  <c r="BY53"/>
  <c r="CT53"/>
  <c r="CW53"/>
  <c r="BS53"/>
  <c r="CA53"/>
  <c r="CR53"/>
  <c r="CB53"/>
  <c r="CE53"/>
  <c r="CD53"/>
  <c r="DC53"/>
  <c r="BT53"/>
  <c r="DB53"/>
  <c r="DD53"/>
  <c r="CP53"/>
  <c r="CI53"/>
  <c r="CH53"/>
  <c r="BR53"/>
  <c r="BU53"/>
  <c r="CL53"/>
  <c r="DA53"/>
  <c r="CU53"/>
  <c r="BW53"/>
  <c r="CC53"/>
  <c r="CJ53"/>
  <c r="CV53"/>
  <c r="DE53"/>
  <c r="CY53"/>
  <c r="CG53"/>
  <c r="CF53"/>
  <c r="CN53"/>
  <c r="DF53"/>
  <c r="BZ53"/>
  <c r="CS53"/>
  <c r="CK53"/>
  <c r="CM53"/>
  <c r="CZ53"/>
  <c r="CX53"/>
  <c r="BV53"/>
  <c r="BX53"/>
  <c r="CQ53"/>
  <c r="CO53"/>
  <c r="BW55" l="1"/>
  <c r="CA55"/>
  <c r="CC55"/>
  <c r="CG55"/>
  <c r="CK55"/>
  <c r="CO55"/>
  <c r="CS55"/>
  <c r="CW55"/>
  <c r="BR55"/>
  <c r="BV55"/>
  <c r="BX55"/>
  <c r="BZ55"/>
  <c r="CB55"/>
  <c r="CD55"/>
  <c r="CF55"/>
  <c r="CH55"/>
  <c r="CJ55"/>
  <c r="CL55"/>
  <c r="CN55"/>
  <c r="CP55"/>
  <c r="CR55"/>
  <c r="CT55"/>
  <c r="CV55"/>
  <c r="CX55"/>
  <c r="CZ55"/>
  <c r="DB55"/>
  <c r="DD55"/>
  <c r="DF55"/>
  <c r="BU55"/>
  <c r="BY55"/>
  <c r="CE55"/>
  <c r="CI55"/>
  <c r="CM55"/>
  <c r="CQ55"/>
  <c r="CU55"/>
  <c r="CY55"/>
  <c r="DA55"/>
  <c r="DC55"/>
  <c r="DE55"/>
  <c r="D53"/>
  <c r="DH52"/>
  <c r="BL52"/>
  <c r="L53"/>
  <c r="M53"/>
  <c r="AR53"/>
  <c r="J53"/>
  <c r="T53"/>
  <c r="AY53"/>
  <c r="AZ53"/>
  <c r="AC53"/>
  <c r="AF53"/>
  <c r="AM53"/>
  <c r="AN53"/>
  <c r="AS53"/>
  <c r="AI53"/>
  <c r="AP53"/>
  <c r="AV53"/>
  <c r="H53"/>
  <c r="Z53"/>
  <c r="AJ53"/>
  <c r="AG53"/>
  <c r="G53"/>
  <c r="X53"/>
  <c r="P53"/>
  <c r="BE53"/>
  <c r="O53"/>
  <c r="BB53"/>
  <c r="AX53"/>
  <c r="AO53"/>
  <c r="BD53"/>
  <c r="N53"/>
  <c r="AU53"/>
  <c r="AW53"/>
  <c r="BC53"/>
  <c r="AA53"/>
  <c r="AD53"/>
  <c r="U53"/>
  <c r="K53"/>
  <c r="AT53"/>
  <c r="BA53"/>
  <c r="I53"/>
  <c r="AQ53"/>
  <c r="H55" l="1"/>
  <c r="J55"/>
  <c r="N55"/>
  <c r="AC55"/>
  <c r="G55"/>
  <c r="Q53"/>
  <c r="K55"/>
  <c r="M55"/>
  <c r="O55"/>
  <c r="T55"/>
  <c r="AD55"/>
  <c r="AG55"/>
  <c r="AJ55"/>
  <c r="BF53"/>
  <c r="AQ55"/>
  <c r="AS55"/>
  <c r="AU55"/>
  <c r="AW55"/>
  <c r="AY55"/>
  <c r="BA55"/>
  <c r="BC55"/>
  <c r="BE55"/>
  <c r="L55"/>
  <c r="P55"/>
  <c r="AA55"/>
  <c r="AF55"/>
  <c r="AI55"/>
  <c r="AP55"/>
  <c r="AR55"/>
  <c r="AT55"/>
  <c r="AV55"/>
  <c r="AX55"/>
  <c r="AZ55"/>
  <c r="BB55"/>
  <c r="BD55"/>
  <c r="D51" l="1"/>
  <c r="CQ50"/>
  <c r="BR50"/>
  <c r="DE50"/>
  <c r="AS50"/>
  <c r="AP50"/>
  <c r="AA50"/>
  <c r="T50"/>
  <c r="BA50"/>
  <c r="AJ50"/>
  <c r="CI50"/>
  <c r="AN50"/>
  <c r="CN50"/>
  <c r="Z50"/>
  <c r="AZ50"/>
  <c r="AX50"/>
  <c r="DD50"/>
  <c r="BB50"/>
  <c r="BI50"/>
  <c r="Y50"/>
  <c r="BE50"/>
  <c r="CB50"/>
  <c r="BW50"/>
  <c r="CJ50"/>
  <c r="AD50"/>
  <c r="CR50"/>
  <c r="CT50"/>
  <c r="CD50"/>
  <c r="CW50"/>
  <c r="AB50"/>
  <c r="BU50"/>
  <c r="CX50"/>
  <c r="AO50"/>
  <c r="CY50"/>
  <c r="BX50"/>
  <c r="CA50"/>
  <c r="CL50"/>
  <c r="AM50"/>
  <c r="CP50"/>
  <c r="CZ50"/>
  <c r="CV50"/>
  <c r="AG50"/>
  <c r="BH50"/>
  <c r="BZ50"/>
  <c r="X50"/>
  <c r="BT50"/>
  <c r="CC50"/>
  <c r="AY50"/>
  <c r="BS50"/>
  <c r="CH50"/>
  <c r="AF50"/>
  <c r="BC50"/>
  <c r="CU50"/>
  <c r="AV50"/>
  <c r="BY50"/>
  <c r="DF50"/>
  <c r="CM50"/>
  <c r="CF50"/>
  <c r="DC50"/>
  <c r="AC50"/>
  <c r="AW50"/>
  <c r="AT50"/>
  <c r="DB50"/>
  <c r="CO50"/>
  <c r="CS50"/>
  <c r="CK50"/>
  <c r="BV50"/>
  <c r="CE50"/>
  <c r="AR50"/>
  <c r="CG50"/>
  <c r="AQ50"/>
  <c r="BD50"/>
  <c r="DA50"/>
  <c r="AU50"/>
  <c r="AI50"/>
  <c r="BF50" l="1"/>
  <c r="BJ50"/>
  <c r="D50"/>
  <c r="D49"/>
  <c r="DH47"/>
  <c r="BL47"/>
  <c r="CX49"/>
  <c r="N50"/>
  <c r="AN49"/>
  <c r="AQ49"/>
  <c r="T49"/>
  <c r="J49"/>
  <c r="CQ49"/>
  <c r="I49"/>
  <c r="CP49"/>
  <c r="AX49"/>
  <c r="K49"/>
  <c r="DF49"/>
  <c r="CL49"/>
  <c r="DE49"/>
  <c r="U49"/>
  <c r="AB49"/>
  <c r="BA49"/>
  <c r="CR49"/>
  <c r="AD49"/>
  <c r="CM49"/>
  <c r="S49"/>
  <c r="CJ49"/>
  <c r="CE49"/>
  <c r="CT49"/>
  <c r="AU49"/>
  <c r="CS49"/>
  <c r="CB49"/>
  <c r="BQ49"/>
  <c r="CD49"/>
  <c r="P49"/>
  <c r="DC49"/>
  <c r="O49"/>
  <c r="BI49"/>
  <c r="AA49"/>
  <c r="AY49"/>
  <c r="AT49"/>
  <c r="BX49"/>
  <c r="AJ49"/>
  <c r="BD49"/>
  <c r="BV49"/>
  <c r="BW49"/>
  <c r="P50"/>
  <c r="BU49"/>
  <c r="Y49"/>
  <c r="G50"/>
  <c r="L49"/>
  <c r="AO49"/>
  <c r="CC49"/>
  <c r="CK49"/>
  <c r="BS49"/>
  <c r="J50"/>
  <c r="BC49"/>
  <c r="BY49"/>
  <c r="N49"/>
  <c r="X49"/>
  <c r="BR49"/>
  <c r="CV49"/>
  <c r="AC49"/>
  <c r="CW49"/>
  <c r="BB49"/>
  <c r="BZ49"/>
  <c r="BH49"/>
  <c r="G49"/>
  <c r="CG49"/>
  <c r="AI49"/>
  <c r="CZ49"/>
  <c r="CI49"/>
  <c r="DB49"/>
  <c r="O50"/>
  <c r="AZ49"/>
  <c r="Z49"/>
  <c r="CF49"/>
  <c r="BP49"/>
  <c r="CH49"/>
  <c r="BO49"/>
  <c r="AR49"/>
  <c r="AS49"/>
  <c r="V49"/>
  <c r="CU49"/>
  <c r="CA49"/>
  <c r="AM49"/>
  <c r="AW49"/>
  <c r="M50"/>
  <c r="H50"/>
  <c r="AV49"/>
  <c r="M49"/>
  <c r="H49"/>
  <c r="AP49"/>
  <c r="DD49"/>
  <c r="BT49"/>
  <c r="L50"/>
  <c r="K50"/>
  <c r="DA49"/>
  <c r="CH51" l="1"/>
  <c r="CT51"/>
  <c r="BT51"/>
  <c r="BB51"/>
  <c r="AI51"/>
  <c r="BD51"/>
  <c r="CE51"/>
  <c r="DD51"/>
  <c r="AY51"/>
  <c r="CU51"/>
  <c r="DE51"/>
  <c r="BW51"/>
  <c r="BR51"/>
  <c r="AD51"/>
  <c r="BC51"/>
  <c r="AC51"/>
  <c r="CZ51"/>
  <c r="CR51"/>
  <c r="P51"/>
  <c r="AX51"/>
  <c r="CJ51"/>
  <c r="AM51"/>
  <c r="CS51"/>
  <c r="CW51"/>
  <c r="BU51"/>
  <c r="K51"/>
  <c r="X51"/>
  <c r="CK51"/>
  <c r="J51"/>
  <c r="CQ51"/>
  <c r="G51"/>
  <c r="CI51"/>
  <c r="BH51"/>
  <c r="BV51"/>
  <c r="DB51"/>
  <c r="AO51"/>
  <c r="M51"/>
  <c r="N51"/>
  <c r="BZ51"/>
  <c r="AS51"/>
  <c r="AB51"/>
  <c r="AU51"/>
  <c r="CC51"/>
  <c r="AV51"/>
  <c r="AN51"/>
  <c r="CD51"/>
  <c r="DA51"/>
  <c r="CX51"/>
  <c r="AZ51"/>
  <c r="CB51"/>
  <c r="AA51"/>
  <c r="T51"/>
  <c r="Y51"/>
  <c r="DF51"/>
  <c r="AW51"/>
  <c r="CV51"/>
  <c r="AR51"/>
  <c r="CM51"/>
  <c r="BI51"/>
  <c r="H51"/>
  <c r="CF51"/>
  <c r="CP51"/>
  <c r="BA51"/>
  <c r="DC51"/>
  <c r="AQ51"/>
  <c r="AT51"/>
  <c r="BY51"/>
  <c r="CL51"/>
  <c r="O51"/>
  <c r="L51"/>
  <c r="AP51"/>
  <c r="CA51"/>
  <c r="CG51"/>
  <c r="AJ51"/>
  <c r="BS51"/>
  <c r="Z51"/>
  <c r="BX51"/>
  <c r="Q49"/>
  <c r="BJ49"/>
  <c r="BJ51" l="1"/>
  <c r="D46" l="1"/>
  <c r="D45"/>
  <c r="BL43"/>
  <c r="BL42"/>
  <c r="BL41"/>
  <c r="BF39"/>
  <c r="I45"/>
  <c r="CM45"/>
  <c r="CC45"/>
  <c r="BT45"/>
  <c r="AC45"/>
  <c r="N45"/>
  <c r="DB45"/>
  <c r="AU45"/>
  <c r="CD45"/>
  <c r="Z45"/>
  <c r="BD45"/>
  <c r="AG45"/>
  <c r="CW45"/>
  <c r="K45"/>
  <c r="AB45"/>
  <c r="BB45"/>
  <c r="BX45"/>
  <c r="BO45"/>
  <c r="AV45"/>
  <c r="O45"/>
  <c r="CP45"/>
  <c r="BA45"/>
  <c r="AM45"/>
  <c r="CB45"/>
  <c r="CF45"/>
  <c r="BZ45"/>
  <c r="P45"/>
  <c r="BQ45"/>
  <c r="AQ45"/>
  <c r="J45"/>
  <c r="Y45"/>
  <c r="BE45"/>
  <c r="CJ45"/>
  <c r="CL45"/>
  <c r="BW45"/>
  <c r="BP45"/>
  <c r="BY45"/>
  <c r="CG45"/>
  <c r="CX45"/>
  <c r="CA45"/>
  <c r="AR45"/>
  <c r="CR45"/>
  <c r="CY45"/>
  <c r="BU45"/>
  <c r="G45"/>
  <c r="CI45"/>
  <c r="W45"/>
  <c r="BV45"/>
  <c r="CV45"/>
  <c r="X45"/>
  <c r="H45"/>
  <c r="AS45"/>
  <c r="CN45"/>
  <c r="AW45"/>
  <c r="BR45"/>
  <c r="V45"/>
  <c r="BI45"/>
  <c r="CQ45"/>
  <c r="CK45"/>
  <c r="L45"/>
  <c r="DC45"/>
  <c r="AX45"/>
  <c r="AF45"/>
  <c r="BS45"/>
  <c r="AZ45"/>
  <c r="M45"/>
  <c r="DD45"/>
  <c r="AA45"/>
  <c r="AI45"/>
  <c r="AP45"/>
  <c r="U45"/>
  <c r="AY45"/>
  <c r="CU45"/>
  <c r="CO45"/>
  <c r="CE45"/>
  <c r="AO45"/>
  <c r="T45"/>
  <c r="CZ45"/>
  <c r="DE45"/>
  <c r="CH45"/>
  <c r="DF45"/>
  <c r="CT45"/>
  <c r="BC45"/>
  <c r="CS45"/>
  <c r="DA45"/>
  <c r="AN45"/>
  <c r="AT45"/>
  <c r="AD45"/>
  <c r="G46" l="1"/>
  <c r="Q45"/>
  <c r="I46"/>
  <c r="K46"/>
  <c r="M46"/>
  <c r="O46"/>
  <c r="T46"/>
  <c r="V46"/>
  <c r="X46"/>
  <c r="Z46"/>
  <c r="AB46"/>
  <c r="AD46"/>
  <c r="AG46"/>
  <c r="AM46"/>
  <c r="BF45"/>
  <c r="AO46"/>
  <c r="AQ46"/>
  <c r="AS46"/>
  <c r="AU46"/>
  <c r="AW46"/>
  <c r="AY46"/>
  <c r="BA46"/>
  <c r="BC46"/>
  <c r="BE46"/>
  <c r="BP46"/>
  <c r="BR46"/>
  <c r="BT46"/>
  <c r="BV46"/>
  <c r="BX46"/>
  <c r="BZ46"/>
  <c r="CB46"/>
  <c r="CD46"/>
  <c r="CF46"/>
  <c r="CF84" s="1"/>
  <c r="CH46"/>
  <c r="CJ46"/>
  <c r="CL46"/>
  <c r="CN46"/>
  <c r="CP46"/>
  <c r="CR46"/>
  <c r="CT46"/>
  <c r="CV46"/>
  <c r="CX46"/>
  <c r="CZ46"/>
  <c r="DB46"/>
  <c r="DD46"/>
  <c r="DF46"/>
  <c r="H46"/>
  <c r="J46"/>
  <c r="L46"/>
  <c r="N46"/>
  <c r="P46"/>
  <c r="U46"/>
  <c r="W46"/>
  <c r="Y46"/>
  <c r="AA46"/>
  <c r="AC46"/>
  <c r="AF46"/>
  <c r="AI46"/>
  <c r="AN46"/>
  <c r="AP46"/>
  <c r="AR46"/>
  <c r="AT46"/>
  <c r="AV46"/>
  <c r="AX46"/>
  <c r="AZ46"/>
  <c r="BB46"/>
  <c r="BD46"/>
  <c r="BI46"/>
  <c r="BO46"/>
  <c r="BQ46"/>
  <c r="BS46"/>
  <c r="BU46"/>
  <c r="BW46"/>
  <c r="BY46"/>
  <c r="CA46"/>
  <c r="CC46"/>
  <c r="CE46"/>
  <c r="CG46"/>
  <c r="CG84" s="1"/>
  <c r="CI46"/>
  <c r="CK46"/>
  <c r="CM46"/>
  <c r="CO46"/>
  <c r="CQ46"/>
  <c r="CS46"/>
  <c r="CU46"/>
  <c r="CW46"/>
  <c r="CY46"/>
  <c r="DA46"/>
  <c r="DC46"/>
  <c r="DE46"/>
  <c r="BD84" l="1"/>
  <c r="BC84" s="1"/>
  <c r="BF46"/>
  <c r="Q46"/>
  <c r="DH46"/>
  <c r="CE84"/>
  <c r="CD84" s="1"/>
  <c r="CC84" s="1"/>
  <c r="CB84" s="1"/>
  <c r="CA84" s="1"/>
  <c r="BZ84" s="1"/>
  <c r="BY84" s="1"/>
  <c r="BX84" s="1"/>
  <c r="BW84" s="1"/>
  <c r="BV84" s="1"/>
  <c r="BU84" s="1"/>
  <c r="D38" l="1"/>
  <c r="D37" l="1"/>
  <c r="DH36"/>
  <c r="BL36"/>
  <c r="DF37"/>
  <c r="CQ37"/>
  <c r="CX37"/>
  <c r="DE37"/>
  <c r="BI37"/>
  <c r="BR37"/>
  <c r="AY37"/>
  <c r="AX37"/>
  <c r="CK37"/>
  <c r="I37"/>
  <c r="BX37"/>
  <c r="AA37"/>
  <c r="DB37"/>
  <c r="AF37"/>
  <c r="O37"/>
  <c r="BD37"/>
  <c r="BH37"/>
  <c r="N37"/>
  <c r="BC37"/>
  <c r="AP37"/>
  <c r="BE37"/>
  <c r="P37"/>
  <c r="CT37"/>
  <c r="T37"/>
  <c r="BS37"/>
  <c r="K37"/>
  <c r="Y37"/>
  <c r="CC37"/>
  <c r="BW37"/>
  <c r="CN37"/>
  <c r="AC37"/>
  <c r="CD37"/>
  <c r="L37"/>
  <c r="BQ37"/>
  <c r="G37"/>
  <c r="AJ37"/>
  <c r="CF37"/>
  <c r="AR37"/>
  <c r="X37"/>
  <c r="BT37"/>
  <c r="CP37"/>
  <c r="DD37"/>
  <c r="CM37"/>
  <c r="CY37"/>
  <c r="W37"/>
  <c r="AT37"/>
  <c r="BU37"/>
  <c r="AM37"/>
  <c r="AI37"/>
  <c r="AG37"/>
  <c r="BZ37"/>
  <c r="CS37"/>
  <c r="Z37"/>
  <c r="CJ37"/>
  <c r="CL37"/>
  <c r="AQ37"/>
  <c r="M37"/>
  <c r="BB37"/>
  <c r="AW37"/>
  <c r="BO37"/>
  <c r="CR37"/>
  <c r="CO37"/>
  <c r="J37"/>
  <c r="CE37"/>
  <c r="AV37"/>
  <c r="CH37"/>
  <c r="AU37"/>
  <c r="CG37"/>
  <c r="CZ37"/>
  <c r="CW37"/>
  <c r="AO37"/>
  <c r="CV37"/>
  <c r="AN37"/>
  <c r="AS37"/>
  <c r="CU37"/>
  <c r="H37"/>
  <c r="AD37"/>
  <c r="BA37"/>
  <c r="CI37"/>
  <c r="AB37"/>
  <c r="BV37"/>
  <c r="BP37"/>
  <c r="AZ37"/>
  <c r="CB37"/>
  <c r="CA37"/>
  <c r="DA37"/>
  <c r="BY37"/>
  <c r="S37"/>
  <c r="U37"/>
  <c r="V37"/>
  <c r="I38" l="1"/>
  <c r="M38"/>
  <c r="V38"/>
  <c r="Z38"/>
  <c r="AD38"/>
  <c r="H38"/>
  <c r="J38"/>
  <c r="L38"/>
  <c r="N38"/>
  <c r="P38"/>
  <c r="S38"/>
  <c r="AK37"/>
  <c r="U38"/>
  <c r="W38"/>
  <c r="Y38"/>
  <c r="AA38"/>
  <c r="AC38"/>
  <c r="AF38"/>
  <c r="AI38"/>
  <c r="AN38"/>
  <c r="AP38"/>
  <c r="AR38"/>
  <c r="AT38"/>
  <c r="AV38"/>
  <c r="AX38"/>
  <c r="AZ38"/>
  <c r="BB38"/>
  <c r="BD38"/>
  <c r="BI38"/>
  <c r="BO38"/>
  <c r="BQ38"/>
  <c r="BS38"/>
  <c r="BU38"/>
  <c r="BW38"/>
  <c r="BY38"/>
  <c r="CA38"/>
  <c r="CC38"/>
  <c r="CE38"/>
  <c r="CG38"/>
  <c r="CI38"/>
  <c r="CK38"/>
  <c r="CM38"/>
  <c r="CO38"/>
  <c r="CQ38"/>
  <c r="CS38"/>
  <c r="CU38"/>
  <c r="CW38"/>
  <c r="CY38"/>
  <c r="DA38"/>
  <c r="DE38"/>
  <c r="G38"/>
  <c r="Q37"/>
  <c r="K38"/>
  <c r="O38"/>
  <c r="T38"/>
  <c r="X38"/>
  <c r="AB38"/>
  <c r="AG38"/>
  <c r="AJ38"/>
  <c r="AM38"/>
  <c r="BF37"/>
  <c r="AO38"/>
  <c r="AQ38"/>
  <c r="AS38"/>
  <c r="AU38"/>
  <c r="AW38"/>
  <c r="AY38"/>
  <c r="BA38"/>
  <c r="BC38"/>
  <c r="BE38"/>
  <c r="BH38"/>
  <c r="BJ37"/>
  <c r="BP38"/>
  <c r="BR38"/>
  <c r="BT38"/>
  <c r="BV38"/>
  <c r="BX38"/>
  <c r="BZ38"/>
  <c r="CB38"/>
  <c r="CD38"/>
  <c r="CF38"/>
  <c r="CH38"/>
  <c r="CJ38"/>
  <c r="CL38"/>
  <c r="CN38"/>
  <c r="CP38"/>
  <c r="CR38"/>
  <c r="CT38"/>
  <c r="CV38"/>
  <c r="CX38"/>
  <c r="CZ38"/>
  <c r="DB38"/>
  <c r="DD38"/>
  <c r="DF38"/>
  <c r="BL37" l="1"/>
  <c r="AK38"/>
  <c r="BF38"/>
  <c r="Q38"/>
  <c r="D35" l="1"/>
  <c r="D34" l="1"/>
  <c r="DH33"/>
  <c r="CO34"/>
  <c r="AF34"/>
  <c r="CL34"/>
  <c r="S34"/>
  <c r="BX34"/>
  <c r="G34"/>
  <c r="H34"/>
  <c r="BO34"/>
  <c r="CH34"/>
  <c r="CF34"/>
  <c r="AV34"/>
  <c r="O34"/>
  <c r="AT34"/>
  <c r="AA34"/>
  <c r="CB34"/>
  <c r="DF34"/>
  <c r="DD34"/>
  <c r="AG34"/>
  <c r="AX34"/>
  <c r="L34"/>
  <c r="I34"/>
  <c r="CA34"/>
  <c r="BW34"/>
  <c r="W34"/>
  <c r="CK34"/>
  <c r="U34"/>
  <c r="BA34"/>
  <c r="DB34"/>
  <c r="BU34"/>
  <c r="Z34"/>
  <c r="BS34"/>
  <c r="AN34"/>
  <c r="BV34"/>
  <c r="AD34"/>
  <c r="CR34"/>
  <c r="BI34"/>
  <c r="K34"/>
  <c r="AS34"/>
  <c r="CY34"/>
  <c r="Y34"/>
  <c r="BC34"/>
  <c r="CW34"/>
  <c r="N34"/>
  <c r="V34"/>
  <c r="CS34"/>
  <c r="BB34"/>
  <c r="CD34"/>
  <c r="CQ34"/>
  <c r="AI34"/>
  <c r="AY34"/>
  <c r="AU34"/>
  <c r="AQ34"/>
  <c r="CN34"/>
  <c r="AP34"/>
  <c r="T34"/>
  <c r="CI34"/>
  <c r="BQ34"/>
  <c r="CC34"/>
  <c r="CV34"/>
  <c r="DE34"/>
  <c r="AB34"/>
  <c r="AJ34"/>
  <c r="CG34"/>
  <c r="M34"/>
  <c r="J34"/>
  <c r="CE34"/>
  <c r="CZ34"/>
  <c r="CM34"/>
  <c r="BZ34"/>
  <c r="BY34"/>
  <c r="BP34"/>
  <c r="AZ34"/>
  <c r="CJ34"/>
  <c r="X34"/>
  <c r="AR34"/>
  <c r="CP34"/>
  <c r="CU34"/>
  <c r="BR34"/>
  <c r="DC34"/>
  <c r="BT34"/>
  <c r="AW34"/>
  <c r="CT34"/>
  <c r="BD34"/>
  <c r="DA34"/>
  <c r="CX34"/>
  <c r="AM34"/>
  <c r="AO34"/>
  <c r="J35" l="1"/>
  <c r="N35"/>
  <c r="G35"/>
  <c r="I35"/>
  <c r="K35"/>
  <c r="M35"/>
  <c r="O35"/>
  <c r="T35"/>
  <c r="V35"/>
  <c r="X35"/>
  <c r="Z35"/>
  <c r="AB35"/>
  <c r="AD35"/>
  <c r="AG35"/>
  <c r="AJ35"/>
  <c r="AM35"/>
  <c r="AO35"/>
  <c r="AQ35"/>
  <c r="AS35"/>
  <c r="AU35"/>
  <c r="AW35"/>
  <c r="AY35"/>
  <c r="BA35"/>
  <c r="BC35"/>
  <c r="BO35"/>
  <c r="DH34"/>
  <c r="BQ35"/>
  <c r="BS35"/>
  <c r="BU35"/>
  <c r="BW35"/>
  <c r="BY35"/>
  <c r="CA35"/>
  <c r="CC35"/>
  <c r="CE35"/>
  <c r="CG35"/>
  <c r="CI35"/>
  <c r="CK35"/>
  <c r="CM35"/>
  <c r="CO35"/>
  <c r="CQ35"/>
  <c r="CS35"/>
  <c r="CU35"/>
  <c r="CW35"/>
  <c r="CY35"/>
  <c r="DA35"/>
  <c r="DC35"/>
  <c r="DE35"/>
  <c r="H35"/>
  <c r="L35"/>
  <c r="S35"/>
  <c r="U35"/>
  <c r="W35"/>
  <c r="Y35"/>
  <c r="AA35"/>
  <c r="AF35"/>
  <c r="AI35"/>
  <c r="AN35"/>
  <c r="AP35"/>
  <c r="AR35"/>
  <c r="AT35"/>
  <c r="AV35"/>
  <c r="AX35"/>
  <c r="AZ35"/>
  <c r="BB35"/>
  <c r="BD35"/>
  <c r="BI35"/>
  <c r="BP35"/>
  <c r="BR35"/>
  <c r="BT35"/>
  <c r="BV35"/>
  <c r="BX35"/>
  <c r="BZ35"/>
  <c r="CB35"/>
  <c r="CD35"/>
  <c r="CF35"/>
  <c r="CH35"/>
  <c r="CJ35"/>
  <c r="CL35"/>
  <c r="CN35"/>
  <c r="CP35"/>
  <c r="CR35"/>
  <c r="CT35"/>
  <c r="CV35"/>
  <c r="CX35"/>
  <c r="CZ35"/>
  <c r="DB35"/>
  <c r="DD35"/>
  <c r="DF35"/>
  <c r="DH35" l="1"/>
  <c r="D32" l="1"/>
  <c r="D30" l="1"/>
  <c r="D29"/>
  <c r="CA30"/>
  <c r="CJ30"/>
  <c r="CM29"/>
  <c r="BZ30"/>
  <c r="CZ30"/>
  <c r="CR30"/>
  <c r="AV29"/>
  <c r="K30"/>
  <c r="CD30"/>
  <c r="CN29"/>
  <c r="AO30"/>
  <c r="BO29"/>
  <c r="CQ30"/>
  <c r="AY29"/>
  <c r="L29"/>
  <c r="BC30"/>
  <c r="Y30"/>
  <c r="T29"/>
  <c r="AX30"/>
  <c r="BO30"/>
  <c r="CY29"/>
  <c r="AA29"/>
  <c r="J30"/>
  <c r="CS29"/>
  <c r="CE29"/>
  <c r="O30"/>
  <c r="BD30"/>
  <c r="AT30"/>
  <c r="Z30"/>
  <c r="CG30"/>
  <c r="P30"/>
  <c r="CW30"/>
  <c r="N30"/>
  <c r="BY29"/>
  <c r="L30"/>
  <c r="H29"/>
  <c r="AG29"/>
  <c r="CM30"/>
  <c r="CP30"/>
  <c r="DB29"/>
  <c r="CN30"/>
  <c r="V30"/>
  <c r="BT30"/>
  <c r="N29"/>
  <c r="AO29"/>
  <c r="CT30"/>
  <c r="AM29"/>
  <c r="AC29"/>
  <c r="AA30"/>
  <c r="BE29"/>
  <c r="BV30"/>
  <c r="BH30"/>
  <c r="AQ30"/>
  <c r="CV30"/>
  <c r="DA30"/>
  <c r="CH30"/>
  <c r="CL29"/>
  <c r="AP30"/>
  <c r="M29"/>
  <c r="K29"/>
  <c r="BB30"/>
  <c r="CO29"/>
  <c r="S30"/>
  <c r="AJ29"/>
  <c r="AX29"/>
  <c r="BR30"/>
  <c r="AB30"/>
  <c r="DC29"/>
  <c r="AC30"/>
  <c r="X29"/>
  <c r="BX29"/>
  <c r="AZ29"/>
  <c r="CJ29"/>
  <c r="DB30"/>
  <c r="BA29"/>
  <c r="AP29"/>
  <c r="AY30"/>
  <c r="BD29"/>
  <c r="CR29"/>
  <c r="BU29"/>
  <c r="BQ30"/>
  <c r="U30"/>
  <c r="W30"/>
  <c r="AF29"/>
  <c r="BI30"/>
  <c r="CB29"/>
  <c r="BA30"/>
  <c r="BC29"/>
  <c r="CC30"/>
  <c r="P29"/>
  <c r="J29"/>
  <c r="CY30"/>
  <c r="BP30"/>
  <c r="AW29"/>
  <c r="CI30"/>
  <c r="AS30"/>
  <c r="CK30"/>
  <c r="BX30"/>
  <c r="DE30"/>
  <c r="W29"/>
  <c r="G29"/>
  <c r="BU30"/>
  <c r="AT29"/>
  <c r="BW30"/>
  <c r="T30"/>
  <c r="CX30"/>
  <c r="CI29"/>
  <c r="H30"/>
  <c r="AR30"/>
  <c r="AU30"/>
  <c r="CD29"/>
  <c r="CB30"/>
  <c r="BH29"/>
  <c r="X30"/>
  <c r="AN29"/>
  <c r="AJ30"/>
  <c r="CQ29"/>
  <c r="BV29"/>
  <c r="CC29"/>
  <c r="AG30"/>
  <c r="AZ30"/>
  <c r="AR29"/>
  <c r="BE30"/>
  <c r="AD30"/>
  <c r="DA29"/>
  <c r="CE30"/>
  <c r="BZ29"/>
  <c r="S29"/>
  <c r="DD30"/>
  <c r="AB29"/>
  <c r="AI29"/>
  <c r="CZ29"/>
  <c r="BI29"/>
  <c r="BS29"/>
  <c r="CF30"/>
  <c r="CL30"/>
  <c r="AN30"/>
  <c r="U29"/>
  <c r="M30"/>
  <c r="AM30"/>
  <c r="BT29"/>
  <c r="AV30"/>
  <c r="CK29"/>
  <c r="CF29"/>
  <c r="AS29"/>
  <c r="AQ29"/>
  <c r="Z29"/>
  <c r="BR29"/>
  <c r="BS30"/>
  <c r="CG29"/>
  <c r="CT29"/>
  <c r="DF30"/>
  <c r="G30"/>
  <c r="BW29"/>
  <c r="BB29"/>
  <c r="AW30"/>
  <c r="AU29"/>
  <c r="CH29"/>
  <c r="CO30"/>
  <c r="I29"/>
  <c r="CU30"/>
  <c r="AI30"/>
  <c r="BY30"/>
  <c r="DE29"/>
  <c r="Y29"/>
  <c r="CS30"/>
  <c r="CA29"/>
  <c r="AD29"/>
  <c r="BQ29"/>
  <c r="BP29"/>
  <c r="DC30"/>
  <c r="I30"/>
  <c r="CX29"/>
  <c r="CP29"/>
  <c r="DF29"/>
  <c r="AF30"/>
  <c r="DD29"/>
  <c r="G31" l="1"/>
  <c r="I31"/>
  <c r="K31"/>
  <c r="M31"/>
  <c r="T31"/>
  <c r="X31"/>
  <c r="Z31"/>
  <c r="AB31"/>
  <c r="AD31"/>
  <c r="AG31"/>
  <c r="AJ31"/>
  <c r="AM31"/>
  <c r="BF29"/>
  <c r="AO31"/>
  <c r="AQ31"/>
  <c r="AS31"/>
  <c r="AU31"/>
  <c r="AW31"/>
  <c r="AY31"/>
  <c r="BA31"/>
  <c r="BC31"/>
  <c r="BE31"/>
  <c r="BH31"/>
  <c r="BJ29"/>
  <c r="BO31"/>
  <c r="BQ31"/>
  <c r="BS31"/>
  <c r="BU31"/>
  <c r="BW31"/>
  <c r="BY31"/>
  <c r="CA31"/>
  <c r="CC31"/>
  <c r="CE31"/>
  <c r="CG31"/>
  <c r="CI31"/>
  <c r="CK31"/>
  <c r="CM31"/>
  <c r="CO31"/>
  <c r="CQ31"/>
  <c r="CS31"/>
  <c r="CY31"/>
  <c r="DA31"/>
  <c r="DC31"/>
  <c r="DE31"/>
  <c r="Q30"/>
  <c r="H31"/>
  <c r="J31"/>
  <c r="L31"/>
  <c r="N31"/>
  <c r="P31"/>
  <c r="S31"/>
  <c r="U31"/>
  <c r="W31"/>
  <c r="Y31"/>
  <c r="AA31"/>
  <c r="AC31"/>
  <c r="AF31"/>
  <c r="AI31"/>
  <c r="AN31"/>
  <c r="AP31"/>
  <c r="AR31"/>
  <c r="AT31"/>
  <c r="AV31"/>
  <c r="AX31"/>
  <c r="AZ31"/>
  <c r="BB31"/>
  <c r="BD31"/>
  <c r="BI31"/>
  <c r="BP31"/>
  <c r="BR31"/>
  <c r="BT31"/>
  <c r="BV31"/>
  <c r="BX31"/>
  <c r="BZ31"/>
  <c r="CB31"/>
  <c r="CD31"/>
  <c r="CF31"/>
  <c r="CH31"/>
  <c r="CJ31"/>
  <c r="CL31"/>
  <c r="CN31"/>
  <c r="CP31"/>
  <c r="CR31"/>
  <c r="CT31"/>
  <c r="CX31"/>
  <c r="CZ31"/>
  <c r="DB31"/>
  <c r="DD31"/>
  <c r="DF31"/>
  <c r="AK30"/>
  <c r="BF30"/>
  <c r="BJ30"/>
  <c r="DH30"/>
  <c r="BL30" l="1"/>
  <c r="BJ31"/>
  <c r="BF31"/>
  <c r="D27" l="1"/>
  <c r="D26"/>
  <c r="BT26"/>
  <c r="DE27"/>
  <c r="BR27"/>
  <c r="CM25"/>
  <c r="H26"/>
  <c r="V27"/>
  <c r="AG27"/>
  <c r="CF27"/>
  <c r="DD25"/>
  <c r="CE25"/>
  <c r="BP27"/>
  <c r="BS25"/>
  <c r="CZ27"/>
  <c r="AR26"/>
  <c r="BV25"/>
  <c r="DA27"/>
  <c r="BV26"/>
  <c r="AQ26"/>
  <c r="AX26"/>
  <c r="DC26"/>
  <c r="AS27"/>
  <c r="BZ27"/>
  <c r="CH26"/>
  <c r="CD26"/>
  <c r="CN26"/>
  <c r="BR26"/>
  <c r="CE27"/>
  <c r="CF26"/>
  <c r="CJ25"/>
  <c r="Z26"/>
  <c r="AD26"/>
  <c r="J26"/>
  <c r="O27"/>
  <c r="CL26"/>
  <c r="S27"/>
  <c r="AS26"/>
  <c r="AM27"/>
  <c r="DF25"/>
  <c r="DB26"/>
  <c r="CC26"/>
  <c r="J27"/>
  <c r="BX26"/>
  <c r="DA25"/>
  <c r="BX27"/>
  <c r="AZ27"/>
  <c r="CA27"/>
  <c r="I26"/>
  <c r="BE27"/>
  <c r="AB27"/>
  <c r="H27"/>
  <c r="CV27"/>
  <c r="X26"/>
  <c r="BA26"/>
  <c r="BT27"/>
  <c r="AF27"/>
  <c r="BC26"/>
  <c r="DD26"/>
  <c r="CD25"/>
  <c r="CT27"/>
  <c r="DC27"/>
  <c r="AU27"/>
  <c r="M26"/>
  <c r="CR27"/>
  <c r="AV27"/>
  <c r="CT26"/>
  <c r="CY25"/>
  <c r="AC26"/>
  <c r="CO26"/>
  <c r="CJ26"/>
  <c r="BP26"/>
  <c r="CT25"/>
  <c r="DB25"/>
  <c r="DE25"/>
  <c r="CW25"/>
  <c r="BW26"/>
  <c r="AJ27"/>
  <c r="BV27"/>
  <c r="AU26"/>
  <c r="L26"/>
  <c r="AT26"/>
  <c r="G27"/>
  <c r="AR27"/>
  <c r="AA26"/>
  <c r="CS27"/>
  <c r="Z27"/>
  <c r="AI26"/>
  <c r="CJ27"/>
  <c r="CY27"/>
  <c r="CB27"/>
  <c r="M27"/>
  <c r="AM26"/>
  <c r="AI27"/>
  <c r="DF26"/>
  <c r="DE26"/>
  <c r="AV26"/>
  <c r="CG26"/>
  <c r="CQ25"/>
  <c r="CI27"/>
  <c r="P26"/>
  <c r="AO27"/>
  <c r="CC27"/>
  <c r="CL25"/>
  <c r="Y26"/>
  <c r="BS27"/>
  <c r="T26"/>
  <c r="CZ25"/>
  <c r="CX26"/>
  <c r="CN25"/>
  <c r="BX25"/>
  <c r="DB27"/>
  <c r="AT27"/>
  <c r="BI27"/>
  <c r="CL27"/>
  <c r="O26"/>
  <c r="CU25"/>
  <c r="BB26"/>
  <c r="CP25"/>
  <c r="CZ26"/>
  <c r="P27"/>
  <c r="CN27"/>
  <c r="BQ27"/>
  <c r="BW25"/>
  <c r="CM27"/>
  <c r="DC25"/>
  <c r="L27"/>
  <c r="BU25"/>
  <c r="CI26"/>
  <c r="N27"/>
  <c r="BA27"/>
  <c r="AW27"/>
  <c r="BU26"/>
  <c r="BI26"/>
  <c r="CE26"/>
  <c r="CS25"/>
  <c r="BY25"/>
  <c r="CI25"/>
  <c r="CR26"/>
  <c r="AZ26"/>
  <c r="CG27"/>
  <c r="CO25"/>
  <c r="CQ27"/>
  <c r="Y27"/>
  <c r="BH27"/>
  <c r="AW26"/>
  <c r="BD27"/>
  <c r="BO26"/>
  <c r="CU27"/>
  <c r="CM26"/>
  <c r="CO27"/>
  <c r="BE26"/>
  <c r="BW27"/>
  <c r="CV25"/>
  <c r="BO27"/>
  <c r="CP27"/>
  <c r="CA25"/>
  <c r="CR25"/>
  <c r="AO26"/>
  <c r="CQ26"/>
  <c r="I27"/>
  <c r="BY27"/>
  <c r="CC25"/>
  <c r="T27"/>
  <c r="K27"/>
  <c r="BT25"/>
  <c r="CH27"/>
  <c r="AP27"/>
  <c r="AA27"/>
  <c r="CX25"/>
  <c r="CX27"/>
  <c r="CK26"/>
  <c r="AJ26"/>
  <c r="CP26"/>
  <c r="W27"/>
  <c r="W26"/>
  <c r="AN27"/>
  <c r="AG26"/>
  <c r="CH25"/>
  <c r="CA26"/>
  <c r="DF27"/>
  <c r="BQ26"/>
  <c r="X27"/>
  <c r="U26"/>
  <c r="DD27"/>
  <c r="AP26"/>
  <c r="BD26"/>
  <c r="BB27"/>
  <c r="BC27"/>
  <c r="AX27"/>
  <c r="CG25"/>
  <c r="BZ25"/>
  <c r="BY26"/>
  <c r="G26"/>
  <c r="AD27"/>
  <c r="K26"/>
  <c r="BH26"/>
  <c r="CK25"/>
  <c r="BR25"/>
  <c r="CF25"/>
  <c r="AC27"/>
  <c r="AY26"/>
  <c r="BU27"/>
  <c r="AF26"/>
  <c r="CW27"/>
  <c r="DA26"/>
  <c r="AY27"/>
  <c r="AN26"/>
  <c r="CS26"/>
  <c r="CB25"/>
  <c r="S26"/>
  <c r="CB26"/>
  <c r="CK27"/>
  <c r="U27"/>
  <c r="AQ27"/>
  <c r="CD27"/>
  <c r="BZ26"/>
  <c r="CY26"/>
  <c r="BS26"/>
  <c r="AB26"/>
  <c r="H28" l="1"/>
  <c r="J28"/>
  <c r="L28"/>
  <c r="P28"/>
  <c r="S28"/>
  <c r="U28"/>
  <c r="W28"/>
  <c r="Y28"/>
  <c r="AA28"/>
  <c r="AC28"/>
  <c r="AF28"/>
  <c r="AI28"/>
  <c r="AN28"/>
  <c r="AP28"/>
  <c r="AR28"/>
  <c r="AT28"/>
  <c r="AV28"/>
  <c r="AX28"/>
  <c r="AZ28"/>
  <c r="BB28"/>
  <c r="BD28"/>
  <c r="BI28"/>
  <c r="BO28"/>
  <c r="BQ28"/>
  <c r="BS28"/>
  <c r="BU28"/>
  <c r="BW28"/>
  <c r="BY28"/>
  <c r="CA28"/>
  <c r="CC28"/>
  <c r="CE28"/>
  <c r="CG28"/>
  <c r="CI28"/>
  <c r="CK28"/>
  <c r="CM28"/>
  <c r="CO28"/>
  <c r="CQ28"/>
  <c r="CS28"/>
  <c r="CY28"/>
  <c r="DA28"/>
  <c r="DC28"/>
  <c r="DE28"/>
  <c r="Q27"/>
  <c r="G28"/>
  <c r="I28"/>
  <c r="K28"/>
  <c r="M28"/>
  <c r="O28"/>
  <c r="T28"/>
  <c r="X28"/>
  <c r="Z28"/>
  <c r="AB28"/>
  <c r="AD28"/>
  <c r="AG28"/>
  <c r="AJ28"/>
  <c r="AM28"/>
  <c r="BF26"/>
  <c r="AO28"/>
  <c r="AQ28"/>
  <c r="AS28"/>
  <c r="AU28"/>
  <c r="AW28"/>
  <c r="AY28"/>
  <c r="BA28"/>
  <c r="BC28"/>
  <c r="BE28"/>
  <c r="BH28"/>
  <c r="BJ26"/>
  <c r="BP28"/>
  <c r="BR28"/>
  <c r="BT28"/>
  <c r="BV28"/>
  <c r="BX28"/>
  <c r="BZ28"/>
  <c r="CB28"/>
  <c r="CD28"/>
  <c r="CF28"/>
  <c r="CH28"/>
  <c r="CJ28"/>
  <c r="CL28"/>
  <c r="CN28"/>
  <c r="CP28"/>
  <c r="CR28"/>
  <c r="CT28"/>
  <c r="CX28"/>
  <c r="CZ28"/>
  <c r="DB28"/>
  <c r="DD28"/>
  <c r="DF28"/>
  <c r="AK27"/>
  <c r="BF27"/>
  <c r="BJ27"/>
  <c r="DH27"/>
  <c r="BH25"/>
  <c r="BI25"/>
  <c r="BL27" l="1"/>
  <c r="BJ28"/>
  <c r="BJ25"/>
  <c r="BF28"/>
  <c r="BA25"/>
  <c r="O25"/>
  <c r="AI25"/>
  <c r="AQ25"/>
  <c r="J25"/>
  <c r="X25"/>
  <c r="AV25"/>
  <c r="AA25"/>
  <c r="AT25"/>
  <c r="BD25"/>
  <c r="W25"/>
  <c r="H25"/>
  <c r="I25"/>
  <c r="AX25"/>
  <c r="AP25"/>
  <c r="AC25"/>
  <c r="AS25"/>
  <c r="AY25"/>
  <c r="AU25"/>
  <c r="P25"/>
  <c r="AN25"/>
  <c r="N25"/>
  <c r="AO25"/>
  <c r="AM25"/>
  <c r="AJ25"/>
  <c r="S25"/>
  <c r="BC25"/>
  <c r="AW25"/>
  <c r="Y25"/>
  <c r="AG25"/>
  <c r="U25"/>
  <c r="Z25"/>
  <c r="L25"/>
  <c r="AD25"/>
  <c r="G25"/>
  <c r="K25"/>
  <c r="AF25"/>
  <c r="AZ25"/>
  <c r="AB25"/>
  <c r="T25"/>
  <c r="BB25"/>
  <c r="BE25"/>
  <c r="AR25"/>
  <c r="BF25" l="1"/>
  <c r="D25"/>
  <c r="D24"/>
  <c r="DH23"/>
  <c r="BL23"/>
  <c r="DF24"/>
  <c r="I24"/>
  <c r="BW24"/>
  <c r="CN24"/>
  <c r="CL24"/>
  <c r="BV24"/>
  <c r="AZ24"/>
  <c r="CI24"/>
  <c r="T24"/>
  <c r="H24"/>
  <c r="CG24"/>
  <c r="DB24"/>
  <c r="CK24"/>
  <c r="AF24"/>
  <c r="BT24"/>
  <c r="AA24"/>
  <c r="AS24"/>
  <c r="CF24"/>
  <c r="CA24"/>
  <c r="G24"/>
  <c r="BD24"/>
  <c r="AQ24"/>
  <c r="AG24"/>
  <c r="CQ24"/>
  <c r="CB24"/>
  <c r="BX24"/>
  <c r="DC24"/>
  <c r="AI24"/>
  <c r="AX24"/>
  <c r="M24"/>
  <c r="AB24"/>
  <c r="DD24"/>
  <c r="AV24"/>
  <c r="AY24"/>
  <c r="BI24"/>
  <c r="AP24"/>
  <c r="CM24"/>
  <c r="CV24"/>
  <c r="CD24"/>
  <c r="W24"/>
  <c r="BE24"/>
  <c r="AW24"/>
  <c r="CH24"/>
  <c r="CE24"/>
  <c r="CO24"/>
  <c r="BY24"/>
  <c r="AM24"/>
  <c r="AN24"/>
  <c r="DA24"/>
  <c r="AT24"/>
  <c r="X24"/>
  <c r="AO24"/>
  <c r="CS24"/>
  <c r="BZ24"/>
  <c r="CY24"/>
  <c r="CU24"/>
  <c r="AJ24"/>
  <c r="DE24"/>
  <c r="BH24"/>
  <c r="BB24"/>
  <c r="CC24"/>
  <c r="AD24"/>
  <c r="CT24"/>
  <c r="CZ24"/>
  <c r="AC24"/>
  <c r="BA24"/>
  <c r="BS24"/>
  <c r="CJ24"/>
  <c r="N24"/>
  <c r="CX24"/>
  <c r="O24"/>
  <c r="BC24"/>
  <c r="BR24"/>
  <c r="P24"/>
  <c r="Y24"/>
  <c r="CR24"/>
  <c r="BU24"/>
  <c r="U24"/>
  <c r="Z24"/>
  <c r="AR24"/>
  <c r="AU24"/>
  <c r="CW24"/>
  <c r="CP24"/>
  <c r="W32" l="1"/>
  <c r="AA32"/>
  <c r="AF32"/>
  <c r="AD32" s="1"/>
  <c r="AP32"/>
  <c r="AT32"/>
  <c r="AX32"/>
  <c r="G32"/>
  <c r="I32"/>
  <c r="T32"/>
  <c r="X32"/>
  <c r="Z32"/>
  <c r="AB32"/>
  <c r="AJ32"/>
  <c r="AI32" s="1"/>
  <c r="AG32" s="1"/>
  <c r="AM32"/>
  <c r="BF24"/>
  <c r="AO32"/>
  <c r="AQ32"/>
  <c r="AS32"/>
  <c r="AU32"/>
  <c r="AW32"/>
  <c r="AY32"/>
  <c r="BA32"/>
  <c r="BC32"/>
  <c r="BE32"/>
  <c r="BH32"/>
  <c r="BJ24"/>
  <c r="BS32"/>
  <c r="BU32"/>
  <c r="BW32"/>
  <c r="BY32"/>
  <c r="CA32"/>
  <c r="CC32"/>
  <c r="CE32"/>
  <c r="CG32"/>
  <c r="CI32"/>
  <c r="CK32"/>
  <c r="CM32"/>
  <c r="CO32"/>
  <c r="CQ32"/>
  <c r="CS32"/>
  <c r="CY32"/>
  <c r="DA32"/>
  <c r="DC32"/>
  <c r="DE32"/>
  <c r="H32"/>
  <c r="P32"/>
  <c r="U32"/>
  <c r="Y32"/>
  <c r="AC32"/>
  <c r="AN32"/>
  <c r="AR32"/>
  <c r="AV32"/>
  <c r="AZ32"/>
  <c r="BB32"/>
  <c r="BD32"/>
  <c r="BI32"/>
  <c r="BR32"/>
  <c r="BT32"/>
  <c r="BV32"/>
  <c r="BX32"/>
  <c r="BZ32"/>
  <c r="CB32"/>
  <c r="CD32"/>
  <c r="CF32"/>
  <c r="CH32"/>
  <c r="CJ32"/>
  <c r="CL32"/>
  <c r="CN32"/>
  <c r="CP32"/>
  <c r="CR32"/>
  <c r="CT32"/>
  <c r="CX32"/>
  <c r="CZ32"/>
  <c r="DB32"/>
  <c r="DD32"/>
  <c r="DF32"/>
  <c r="BJ32" l="1"/>
  <c r="BF32"/>
  <c r="D22" l="1"/>
  <c r="D21"/>
  <c r="DH20"/>
  <c r="BL20"/>
  <c r="AO21"/>
  <c r="CC21"/>
  <c r="O21"/>
  <c r="AY21"/>
  <c r="CZ21"/>
  <c r="AI21"/>
  <c r="BH21"/>
  <c r="BV21"/>
  <c r="CM21"/>
  <c r="BY21"/>
  <c r="BR21"/>
  <c r="AC21"/>
  <c r="CH21"/>
  <c r="X21"/>
  <c r="DE21"/>
  <c r="AS21"/>
  <c r="BZ21"/>
  <c r="CU21"/>
  <c r="BI21"/>
  <c r="CR21"/>
  <c r="AV21"/>
  <c r="AG21"/>
  <c r="BS21"/>
  <c r="P21"/>
  <c r="BD21"/>
  <c r="CF21"/>
  <c r="CT21"/>
  <c r="G21"/>
  <c r="L21"/>
  <c r="AU21"/>
  <c r="AR21"/>
  <c r="M21"/>
  <c r="DD21"/>
  <c r="BX21"/>
  <c r="J21"/>
  <c r="AT21"/>
  <c r="CN21"/>
  <c r="AM21"/>
  <c r="AP21"/>
  <c r="K21"/>
  <c r="AF21"/>
  <c r="CL21"/>
  <c r="DB21"/>
  <c r="CE21"/>
  <c r="CJ21"/>
  <c r="BB21"/>
  <c r="CD21"/>
  <c r="CP21"/>
  <c r="BE21"/>
  <c r="CG21"/>
  <c r="Y21"/>
  <c r="N21"/>
  <c r="CV21"/>
  <c r="AA21"/>
  <c r="DF21"/>
  <c r="CK21"/>
  <c r="BT21"/>
  <c r="DA21"/>
  <c r="AX21"/>
  <c r="CQ21"/>
  <c r="AD21"/>
  <c r="T21"/>
  <c r="CX21"/>
  <c r="CA21"/>
  <c r="CB21"/>
  <c r="AW21"/>
  <c r="AN21"/>
  <c r="AQ21"/>
  <c r="H21"/>
  <c r="BA21"/>
  <c r="BC21"/>
  <c r="BU21"/>
  <c r="CI21"/>
  <c r="CY21"/>
  <c r="CS21"/>
  <c r="AZ21"/>
  <c r="AJ21"/>
  <c r="CW21"/>
  <c r="Z21"/>
  <c r="BW21"/>
  <c r="CO21"/>
  <c r="M22" l="1"/>
  <c r="Z22"/>
  <c r="AD22"/>
  <c r="AJ22"/>
  <c r="AO22"/>
  <c r="AS22"/>
  <c r="H22"/>
  <c r="J22"/>
  <c r="L22"/>
  <c r="N22"/>
  <c r="P22"/>
  <c r="Y22"/>
  <c r="AA22"/>
  <c r="AC22"/>
  <c r="AF22"/>
  <c r="AI22"/>
  <c r="AN22"/>
  <c r="AP22"/>
  <c r="AR22"/>
  <c r="AT22"/>
  <c r="AV22"/>
  <c r="AX22"/>
  <c r="AZ22"/>
  <c r="BB22"/>
  <c r="BD22"/>
  <c r="BI22"/>
  <c r="BS22"/>
  <c r="BU22"/>
  <c r="BW22"/>
  <c r="BY22"/>
  <c r="CA22"/>
  <c r="CC22"/>
  <c r="CE22"/>
  <c r="CG22"/>
  <c r="CI22"/>
  <c r="CK22"/>
  <c r="CM22"/>
  <c r="CO22"/>
  <c r="CQ22"/>
  <c r="CS22"/>
  <c r="CU22"/>
  <c r="CW22"/>
  <c r="CY22"/>
  <c r="DA22"/>
  <c r="DE22"/>
  <c r="G22"/>
  <c r="K22"/>
  <c r="O22"/>
  <c r="T22"/>
  <c r="X22"/>
  <c r="AG22"/>
  <c r="AM22"/>
  <c r="BF21"/>
  <c r="AQ22"/>
  <c r="AU22"/>
  <c r="AW22"/>
  <c r="AY22"/>
  <c r="BA22"/>
  <c r="BC22"/>
  <c r="BE22"/>
  <c r="BH22"/>
  <c r="BJ21"/>
  <c r="BR22"/>
  <c r="BT22"/>
  <c r="BV22"/>
  <c r="BX22"/>
  <c r="BZ22"/>
  <c r="CB22"/>
  <c r="CD22"/>
  <c r="CF22"/>
  <c r="CH22"/>
  <c r="CJ22"/>
  <c r="CL22"/>
  <c r="CN22"/>
  <c r="CP22"/>
  <c r="CR22"/>
  <c r="CT22"/>
  <c r="CV22"/>
  <c r="CX22"/>
  <c r="CZ22"/>
  <c r="DB22"/>
  <c r="DD22"/>
  <c r="DF22"/>
  <c r="BJ22" l="1"/>
  <c r="BF22"/>
  <c r="D19" l="1"/>
  <c r="CU18"/>
  <c r="CD18"/>
  <c r="CF18"/>
  <c r="DB18"/>
  <c r="BP18"/>
  <c r="CW18"/>
  <c r="CS18"/>
  <c r="CO18"/>
  <c r="CV18"/>
  <c r="BZ18"/>
  <c r="CG18"/>
  <c r="DD18"/>
  <c r="CI18"/>
  <c r="CK18"/>
  <c r="CR18"/>
  <c r="CP18"/>
  <c r="CX18"/>
  <c r="BT18"/>
  <c r="BX18"/>
  <c r="CH18"/>
  <c r="DF18"/>
  <c r="CT18"/>
  <c r="BR18"/>
  <c r="BV18"/>
  <c r="CJ18"/>
  <c r="CY18"/>
  <c r="DA18"/>
  <c r="CC18"/>
  <c r="DE18"/>
  <c r="BO18"/>
  <c r="CZ18"/>
  <c r="CN18"/>
  <c r="CA18"/>
  <c r="CL18"/>
  <c r="BS18"/>
  <c r="BY18"/>
  <c r="CQ18"/>
  <c r="CB18"/>
  <c r="DC18"/>
  <c r="BU18"/>
  <c r="CE18"/>
  <c r="BW18"/>
  <c r="CM18"/>
  <c r="D18" l="1"/>
  <c r="D17"/>
  <c r="DH16"/>
  <c r="BL16"/>
  <c r="D15"/>
  <c r="BH18"/>
  <c r="AV17"/>
  <c r="AI17"/>
  <c r="AQ17"/>
  <c r="BD18"/>
  <c r="AC17"/>
  <c r="BH17"/>
  <c r="AS18"/>
  <c r="AW18"/>
  <c r="Z18"/>
  <c r="X18"/>
  <c r="CR17"/>
  <c r="M17"/>
  <c r="CJ17"/>
  <c r="BR17"/>
  <c r="CO17"/>
  <c r="CY17"/>
  <c r="CS17"/>
  <c r="AU17"/>
  <c r="CT17"/>
  <c r="CV17"/>
  <c r="O17"/>
  <c r="U17"/>
  <c r="DB17"/>
  <c r="BY17"/>
  <c r="BB17"/>
  <c r="CH17"/>
  <c r="CC17"/>
  <c r="AD17"/>
  <c r="Y17"/>
  <c r="CL17"/>
  <c r="G18"/>
  <c r="AB18"/>
  <c r="K18"/>
  <c r="U18"/>
  <c r="AG17"/>
  <c r="AC18"/>
  <c r="CD17"/>
  <c r="AM17"/>
  <c r="K17"/>
  <c r="AU18"/>
  <c r="BU17"/>
  <c r="BS17"/>
  <c r="DF17"/>
  <c r="CX17"/>
  <c r="AR18"/>
  <c r="CA17"/>
  <c r="H18"/>
  <c r="CZ17"/>
  <c r="I17"/>
  <c r="BP17"/>
  <c r="AF17"/>
  <c r="AV18"/>
  <c r="AT18"/>
  <c r="AJ17"/>
  <c r="BE18"/>
  <c r="CU17"/>
  <c r="BE17"/>
  <c r="O18"/>
  <c r="CM17"/>
  <c r="DD17"/>
  <c r="H17"/>
  <c r="AZ17"/>
  <c r="T18"/>
  <c r="V18"/>
  <c r="G17"/>
  <c r="T17"/>
  <c r="S18"/>
  <c r="N18"/>
  <c r="CK17"/>
  <c r="BC17"/>
  <c r="AI18"/>
  <c r="DC17"/>
  <c r="BX17"/>
  <c r="P17"/>
  <c r="M18"/>
  <c r="AN18"/>
  <c r="N17"/>
  <c r="AX17"/>
  <c r="BA17"/>
  <c r="L17"/>
  <c r="AO17"/>
  <c r="J17"/>
  <c r="AZ18"/>
  <c r="CG17"/>
  <c r="AX18"/>
  <c r="BT17"/>
  <c r="BC18"/>
  <c r="AP17"/>
  <c r="AY18"/>
  <c r="AM18"/>
  <c r="AJ18"/>
  <c r="Y18"/>
  <c r="AQ18"/>
  <c r="AW17"/>
  <c r="CP17"/>
  <c r="BZ17"/>
  <c r="Z17"/>
  <c r="CQ17"/>
  <c r="L18"/>
  <c r="BB18"/>
  <c r="I18"/>
  <c r="BD17"/>
  <c r="BW17"/>
  <c r="BI18"/>
  <c r="J18"/>
  <c r="CN17"/>
  <c r="CW17"/>
  <c r="AY17"/>
  <c r="AS17"/>
  <c r="AO18"/>
  <c r="CF17"/>
  <c r="P18"/>
  <c r="AT17"/>
  <c r="CB17"/>
  <c r="AP18"/>
  <c r="X17"/>
  <c r="CI17"/>
  <c r="BA18"/>
  <c r="BO17"/>
  <c r="BV17"/>
  <c r="AA17"/>
  <c r="DA17"/>
  <c r="V17"/>
  <c r="S17"/>
  <c r="AA18"/>
  <c r="AR17"/>
  <c r="AB17"/>
  <c r="AF18"/>
  <c r="AD18"/>
  <c r="BI17"/>
  <c r="DE17"/>
  <c r="AN17"/>
  <c r="AG18"/>
  <c r="CE17"/>
  <c r="H19" l="1"/>
  <c r="L19"/>
  <c r="G19"/>
  <c r="Q17"/>
  <c r="I19"/>
  <c r="K19"/>
  <c r="M19"/>
  <c r="O19"/>
  <c r="T19"/>
  <c r="V19"/>
  <c r="X19"/>
  <c r="Z19"/>
  <c r="AB19"/>
  <c r="AD19"/>
  <c r="AG19"/>
  <c r="AJ19"/>
  <c r="AM19"/>
  <c r="BF17"/>
  <c r="AO19"/>
  <c r="AQ19"/>
  <c r="AS19"/>
  <c r="AU19"/>
  <c r="AW19"/>
  <c r="AY19"/>
  <c r="BA19"/>
  <c r="BC19"/>
  <c r="BE19"/>
  <c r="BH19"/>
  <c r="BJ17"/>
  <c r="BP19"/>
  <c r="BR19"/>
  <c r="BT19"/>
  <c r="BV19"/>
  <c r="BX19"/>
  <c r="BZ19"/>
  <c r="CB19"/>
  <c r="CD19"/>
  <c r="CF19"/>
  <c r="CH19"/>
  <c r="CJ19"/>
  <c r="CL19"/>
  <c r="CN19"/>
  <c r="CP19"/>
  <c r="CR19"/>
  <c r="CT19"/>
  <c r="CV19"/>
  <c r="CX19"/>
  <c r="CZ19"/>
  <c r="DB19"/>
  <c r="DD19"/>
  <c r="DF19"/>
  <c r="J19"/>
  <c r="N19"/>
  <c r="P19"/>
  <c r="S19"/>
  <c r="U19"/>
  <c r="Y19"/>
  <c r="AA19"/>
  <c r="AC19"/>
  <c r="AF19"/>
  <c r="AI19"/>
  <c r="AN19"/>
  <c r="AP19"/>
  <c r="AR19"/>
  <c r="AT19"/>
  <c r="AV19"/>
  <c r="AX19"/>
  <c r="AZ19"/>
  <c r="BB19"/>
  <c r="BD19"/>
  <c r="BI19"/>
  <c r="BO19"/>
  <c r="BS19"/>
  <c r="BU19"/>
  <c r="BW19"/>
  <c r="BY19"/>
  <c r="CA19"/>
  <c r="CC19"/>
  <c r="CE19"/>
  <c r="CG19"/>
  <c r="CI19"/>
  <c r="CK19"/>
  <c r="CM19"/>
  <c r="CO19"/>
  <c r="CQ19"/>
  <c r="CS19"/>
  <c r="CU19"/>
  <c r="CW19"/>
  <c r="CY19"/>
  <c r="DA19"/>
  <c r="DC19"/>
  <c r="DE19"/>
  <c r="Q18"/>
  <c r="BF18"/>
  <c r="BJ18"/>
  <c r="O31" i="36"/>
  <c r="Q19" i="78" l="1"/>
  <c r="BF19"/>
  <c r="BJ19"/>
  <c r="D13" l="1"/>
  <c r="D12"/>
  <c r="BA13"/>
  <c r="AM12"/>
  <c r="CL13"/>
  <c r="Z13"/>
  <c r="AT13"/>
  <c r="BU12"/>
  <c r="CQ13"/>
  <c r="DE12"/>
  <c r="CL12"/>
  <c r="DB13"/>
  <c r="CU12"/>
  <c r="Y12"/>
  <c r="BS13"/>
  <c r="AT12"/>
  <c r="AF12"/>
  <c r="AG12"/>
  <c r="CA12"/>
  <c r="I13"/>
  <c r="M12"/>
  <c r="CA13"/>
  <c r="DC13"/>
  <c r="CN12"/>
  <c r="CE13"/>
  <c r="CX12"/>
  <c r="L12"/>
  <c r="P12"/>
  <c r="DD12"/>
  <c r="CJ12"/>
  <c r="CJ13"/>
  <c r="CP13"/>
  <c r="BT13"/>
  <c r="BO13"/>
  <c r="BX13"/>
  <c r="CW13"/>
  <c r="DB12"/>
  <c r="K13"/>
  <c r="BV12"/>
  <c r="AZ12"/>
  <c r="DF12"/>
  <c r="CM12"/>
  <c r="BD13"/>
  <c r="AG13"/>
  <c r="BB13"/>
  <c r="H13"/>
  <c r="CT13"/>
  <c r="CM13"/>
  <c r="AI12"/>
  <c r="CE12"/>
  <c r="J13"/>
  <c r="CY12"/>
  <c r="W13"/>
  <c r="BD12"/>
  <c r="CV12"/>
  <c r="Y13"/>
  <c r="O13"/>
  <c r="DA12"/>
  <c r="M13"/>
  <c r="BC13"/>
  <c r="CB13"/>
  <c r="J12"/>
  <c r="BE12"/>
  <c r="O12"/>
  <c r="K12"/>
  <c r="BB12"/>
  <c r="AS12"/>
  <c r="AU13"/>
  <c r="DC12"/>
  <c r="CY13"/>
  <c r="AA13"/>
  <c r="AJ12"/>
  <c r="AF13"/>
  <c r="DE13"/>
  <c r="BU13"/>
  <c r="BQ13"/>
  <c r="BY13"/>
  <c r="U13"/>
  <c r="AC13"/>
  <c r="G13"/>
  <c r="CG13"/>
  <c r="X12"/>
  <c r="DD13"/>
  <c r="AX13"/>
  <c r="AR13"/>
  <c r="CS12"/>
  <c r="I12"/>
  <c r="BE13"/>
  <c r="CK13"/>
  <c r="CR12"/>
  <c r="BZ12"/>
  <c r="N13"/>
  <c r="BY12"/>
  <c r="L13"/>
  <c r="CO12"/>
  <c r="AO12"/>
  <c r="AV12"/>
  <c r="BI12"/>
  <c r="CZ12"/>
  <c r="CD12"/>
  <c r="AS13"/>
  <c r="CT12"/>
  <c r="BA12"/>
  <c r="P13"/>
  <c r="BR12"/>
  <c r="AZ13"/>
  <c r="CI12"/>
  <c r="Z12"/>
  <c r="AQ13"/>
  <c r="CS13"/>
  <c r="CH12"/>
  <c r="CH13"/>
  <c r="AD12"/>
  <c r="DF13"/>
  <c r="CU13"/>
  <c r="AU12"/>
  <c r="CI13"/>
  <c r="T13"/>
  <c r="BT12"/>
  <c r="BR13"/>
  <c r="AC12"/>
  <c r="BW12"/>
  <c r="AM13"/>
  <c r="CP12"/>
  <c r="DA13"/>
  <c r="CZ13"/>
  <c r="AQ12"/>
  <c r="AN13"/>
  <c r="CD13"/>
  <c r="CF12"/>
  <c r="CO13"/>
  <c r="BX12"/>
  <c r="AD13"/>
  <c r="CB12"/>
  <c r="CR13"/>
  <c r="V13"/>
  <c r="AV13"/>
  <c r="N12"/>
  <c r="AX12"/>
  <c r="BV13"/>
  <c r="CC13"/>
  <c r="CC12"/>
  <c r="BI13"/>
  <c r="AR12"/>
  <c r="BS12"/>
  <c r="X13"/>
  <c r="AP13"/>
  <c r="CK12"/>
  <c r="CX13"/>
  <c r="S13"/>
  <c r="AJ13"/>
  <c r="BP13"/>
  <c r="AB13"/>
  <c r="CW12"/>
  <c r="BW13"/>
  <c r="CQ12"/>
  <c r="CN13"/>
  <c r="AN12"/>
  <c r="AW12"/>
  <c r="AO13"/>
  <c r="CV13"/>
  <c r="AA12"/>
  <c r="CF13"/>
  <c r="AI13"/>
  <c r="H12"/>
  <c r="AY13"/>
  <c r="BZ13"/>
  <c r="AY12"/>
  <c r="BH13"/>
  <c r="CG12"/>
  <c r="AP12"/>
  <c r="AW13"/>
  <c r="K14" l="1"/>
  <c r="O14"/>
  <c r="X14"/>
  <c r="AG14"/>
  <c r="H14"/>
  <c r="J14"/>
  <c r="L14"/>
  <c r="N14"/>
  <c r="P14"/>
  <c r="Y14"/>
  <c r="AA14"/>
  <c r="AC14"/>
  <c r="AF14"/>
  <c r="AI14"/>
  <c r="AN14"/>
  <c r="AP14"/>
  <c r="AR14"/>
  <c r="AT14"/>
  <c r="AV14"/>
  <c r="AX14"/>
  <c r="AZ14"/>
  <c r="BB14"/>
  <c r="BD14"/>
  <c r="BI14"/>
  <c r="BR14"/>
  <c r="BT14"/>
  <c r="BV14"/>
  <c r="BX14"/>
  <c r="BZ14"/>
  <c r="CB14"/>
  <c r="CD14"/>
  <c r="CF14"/>
  <c r="CH14"/>
  <c r="CJ14"/>
  <c r="CL14"/>
  <c r="CN14"/>
  <c r="CP14"/>
  <c r="CR14"/>
  <c r="CT14"/>
  <c r="CV14"/>
  <c r="CX14"/>
  <c r="CZ14"/>
  <c r="DB14"/>
  <c r="DD14"/>
  <c r="DF14"/>
  <c r="Q13"/>
  <c r="I14"/>
  <c r="M14"/>
  <c r="Z14"/>
  <c r="AD14"/>
  <c r="AJ14"/>
  <c r="AM14"/>
  <c r="AO14"/>
  <c r="AQ14"/>
  <c r="AS14"/>
  <c r="AU14"/>
  <c r="AW14"/>
  <c r="AY14"/>
  <c r="BA14"/>
  <c r="BE14"/>
  <c r="BS14"/>
  <c r="BU14"/>
  <c r="BW14"/>
  <c r="BY14"/>
  <c r="CA14"/>
  <c r="CC14"/>
  <c r="CE14"/>
  <c r="CG14"/>
  <c r="CI14"/>
  <c r="CK14"/>
  <c r="CM14"/>
  <c r="CO14"/>
  <c r="CQ14"/>
  <c r="CS14"/>
  <c r="CU14"/>
  <c r="CW14"/>
  <c r="CY14"/>
  <c r="DA14"/>
  <c r="DC14"/>
  <c r="DE14"/>
  <c r="AK13"/>
  <c r="BF13"/>
  <c r="BJ13"/>
  <c r="BL13" l="1"/>
  <c r="D10"/>
  <c r="D9"/>
  <c r="DC4"/>
  <c r="CY4"/>
  <c r="CU4"/>
  <c r="CQ4"/>
  <c r="CM4"/>
  <c r="CI4"/>
  <c r="CE4"/>
  <c r="CA4"/>
  <c r="BW4"/>
  <c r="BS4"/>
  <c r="BO4"/>
  <c r="BL4"/>
  <c r="BI4"/>
  <c r="BH4"/>
  <c r="BE4"/>
  <c r="BD4"/>
  <c r="BC4"/>
  <c r="BB4"/>
  <c r="BA4"/>
  <c r="AZ4"/>
  <c r="AY4"/>
  <c r="AX4"/>
  <c r="AW4"/>
  <c r="AV4"/>
  <c r="AU4"/>
  <c r="AT4"/>
  <c r="AS4"/>
  <c r="AR4"/>
  <c r="AQ4"/>
  <c r="AP4"/>
  <c r="AO4"/>
  <c r="AN4"/>
  <c r="AM4"/>
  <c r="AJ4"/>
  <c r="DE10"/>
  <c r="CP10"/>
  <c r="BA9"/>
  <c r="AU9"/>
  <c r="BS10"/>
  <c r="DB9"/>
  <c r="K10"/>
  <c r="BR10"/>
  <c r="AO9"/>
  <c r="CZ10"/>
  <c r="BU10"/>
  <c r="AU10"/>
  <c r="CP9"/>
  <c r="CU9"/>
  <c r="AQ9"/>
  <c r="DB10"/>
  <c r="CB10"/>
  <c r="CX10"/>
  <c r="CX9"/>
  <c r="CL9"/>
  <c r="Y10"/>
  <c r="AS9"/>
  <c r="AD9"/>
  <c r="CU10"/>
  <c r="CQ9"/>
  <c r="CD10"/>
  <c r="CV9"/>
  <c r="DC10"/>
  <c r="CF9"/>
  <c r="DF9"/>
  <c r="AV10"/>
  <c r="CQ10"/>
  <c r="AV9"/>
  <c r="BE9"/>
  <c r="AR10"/>
  <c r="AZ9"/>
  <c r="BI10"/>
  <c r="CS10"/>
  <c r="AO10"/>
  <c r="AT10"/>
  <c r="CN10"/>
  <c r="AX10"/>
  <c r="AB10"/>
  <c r="M9"/>
  <c r="BD10"/>
  <c r="L10"/>
  <c r="BE10"/>
  <c r="X9"/>
  <c r="AI10"/>
  <c r="AW9"/>
  <c r="CY9"/>
  <c r="DD9"/>
  <c r="AW10"/>
  <c r="BU9"/>
  <c r="CS9"/>
  <c r="Z9"/>
  <c r="CR10"/>
  <c r="CN9"/>
  <c r="CJ9"/>
  <c r="CW10"/>
  <c r="CD9"/>
  <c r="V10"/>
  <c r="CC10"/>
  <c r="U10"/>
  <c r="CJ10"/>
  <c r="BP10"/>
  <c r="CO10"/>
  <c r="AM10"/>
  <c r="BV10"/>
  <c r="O10"/>
  <c r="AX9"/>
  <c r="AT9"/>
  <c r="CH9"/>
  <c r="N9"/>
  <c r="BH9"/>
  <c r="BA10"/>
  <c r="AJ10"/>
  <c r="O9"/>
  <c r="AG9"/>
  <c r="H10"/>
  <c r="CR9"/>
  <c r="CO9"/>
  <c r="BI9"/>
  <c r="CM10"/>
  <c r="BQ10"/>
  <c r="AJ9"/>
  <c r="BH10"/>
  <c r="H9"/>
  <c r="BV9"/>
  <c r="J10"/>
  <c r="BW9"/>
  <c r="DF10"/>
  <c r="AR9"/>
  <c r="K9"/>
  <c r="AY9"/>
  <c r="AA9"/>
  <c r="DE9"/>
  <c r="BT10"/>
  <c r="AQ10"/>
  <c r="BB9"/>
  <c r="CI9"/>
  <c r="AY10"/>
  <c r="BO10"/>
  <c r="CG9"/>
  <c r="J9"/>
  <c r="AF9"/>
  <c r="AN10"/>
  <c r="CE9"/>
  <c r="BX10"/>
  <c r="I10"/>
  <c r="BR9"/>
  <c r="P10"/>
  <c r="M10"/>
  <c r="CZ9"/>
  <c r="CF10"/>
  <c r="AF10"/>
  <c r="P9"/>
  <c r="BC10"/>
  <c r="AS10"/>
  <c r="CI10"/>
  <c r="CE10"/>
  <c r="DA9"/>
  <c r="BB10"/>
  <c r="AD10"/>
  <c r="AC10"/>
  <c r="CW9"/>
  <c r="I9"/>
  <c r="CB9"/>
  <c r="BS9"/>
  <c r="BY10"/>
  <c r="G10"/>
  <c r="L9"/>
  <c r="AN9"/>
  <c r="AP10"/>
  <c r="X10"/>
  <c r="CH10"/>
  <c r="CK9"/>
  <c r="AP9"/>
  <c r="CC9"/>
  <c r="CM9"/>
  <c r="CT9"/>
  <c r="S10"/>
  <c r="CA9"/>
  <c r="CV10"/>
  <c r="AC9"/>
  <c r="BZ10"/>
  <c r="BX9"/>
  <c r="T10"/>
  <c r="W10"/>
  <c r="CY10"/>
  <c r="N10"/>
  <c r="Y9"/>
  <c r="AA10"/>
  <c r="CG10"/>
  <c r="AG10"/>
  <c r="DC9"/>
  <c r="BZ9"/>
  <c r="DD10"/>
  <c r="CT10"/>
  <c r="BT9"/>
  <c r="BW10"/>
  <c r="BD9"/>
  <c r="CA10"/>
  <c r="DA10"/>
  <c r="AZ10"/>
  <c r="Z10"/>
  <c r="AM9"/>
  <c r="CK10"/>
  <c r="CL10"/>
  <c r="BY9"/>
  <c r="J11" l="1"/>
  <c r="N11"/>
  <c r="AA11"/>
  <c r="AF11"/>
  <c r="AN11"/>
  <c r="AR11"/>
  <c r="AV11"/>
  <c r="I11"/>
  <c r="K11"/>
  <c r="M11"/>
  <c r="O11"/>
  <c r="X11"/>
  <c r="Z11"/>
  <c r="AD11"/>
  <c r="AG11"/>
  <c r="AJ11"/>
  <c r="AM11"/>
  <c r="AM15" s="1"/>
  <c r="AM40" s="1"/>
  <c r="AO11"/>
  <c r="AQ11"/>
  <c r="AS11"/>
  <c r="AU11"/>
  <c r="AW11"/>
  <c r="AY11"/>
  <c r="BA11"/>
  <c r="BE11"/>
  <c r="BH11"/>
  <c r="BJ9"/>
  <c r="BS11"/>
  <c r="BU11"/>
  <c r="BW11"/>
  <c r="BY11"/>
  <c r="CA11"/>
  <c r="CC11"/>
  <c r="CE11"/>
  <c r="CG11"/>
  <c r="CI11"/>
  <c r="CK11"/>
  <c r="CM11"/>
  <c r="CO11"/>
  <c r="CQ11"/>
  <c r="CS11"/>
  <c r="CU11"/>
  <c r="CW11"/>
  <c r="CY11"/>
  <c r="DA11"/>
  <c r="DC11"/>
  <c r="DE11"/>
  <c r="AK10"/>
  <c r="H11"/>
  <c r="L11"/>
  <c r="P11"/>
  <c r="Y11"/>
  <c r="AC11"/>
  <c r="AP11"/>
  <c r="AT11"/>
  <c r="AX11"/>
  <c r="AZ11"/>
  <c r="BB11"/>
  <c r="BD11"/>
  <c r="BI11"/>
  <c r="BR11"/>
  <c r="BT11"/>
  <c r="BV11"/>
  <c r="BX11"/>
  <c r="BZ11"/>
  <c r="CB11"/>
  <c r="CD11"/>
  <c r="CF11"/>
  <c r="CH11"/>
  <c r="CJ11"/>
  <c r="CL11"/>
  <c r="CN11"/>
  <c r="CP11"/>
  <c r="CR11"/>
  <c r="CT11"/>
  <c r="CV11"/>
  <c r="CX11"/>
  <c r="CZ11"/>
  <c r="DB11"/>
  <c r="DD11"/>
  <c r="DF11"/>
  <c r="Q10"/>
  <c r="BF10"/>
  <c r="BJ10"/>
  <c r="AI4"/>
  <c r="AG4"/>
  <c r="AF4"/>
  <c r="AD4"/>
  <c r="AC4"/>
  <c r="AB4"/>
  <c r="AA4"/>
  <c r="Z4"/>
  <c r="Y4"/>
  <c r="X4"/>
  <c r="W4"/>
  <c r="V4"/>
  <c r="U4"/>
  <c r="T4"/>
  <c r="S4"/>
  <c r="P4"/>
  <c r="O4"/>
  <c r="N4"/>
  <c r="M4"/>
  <c r="L4"/>
  <c r="K4"/>
  <c r="J4"/>
  <c r="I4"/>
  <c r="H4"/>
  <c r="G4"/>
  <c r="E3"/>
  <c r="BL108" i="77"/>
  <c r="BL107"/>
  <c r="BL10" i="78" l="1"/>
  <c r="BJ11"/>
  <c r="BL105" i="77"/>
  <c r="D104" l="1"/>
  <c r="BJ103" l="1"/>
  <c r="AR103"/>
  <c r="Q103"/>
  <c r="D103"/>
  <c r="D102"/>
  <c r="DH101"/>
  <c r="DH100"/>
  <c r="DF103"/>
  <c r="T102"/>
  <c r="CQ102"/>
  <c r="BB102"/>
  <c r="CX103"/>
  <c r="CE102"/>
  <c r="CW103"/>
  <c r="BA102"/>
  <c r="BO103"/>
  <c r="BZ102"/>
  <c r="DB103"/>
  <c r="AX102"/>
  <c r="AB102"/>
  <c r="CC102"/>
  <c r="BS103"/>
  <c r="DC103"/>
  <c r="AG102"/>
  <c r="CS103"/>
  <c r="CU102"/>
  <c r="AA102"/>
  <c r="CA102"/>
  <c r="S102"/>
  <c r="AT102"/>
  <c r="CD102"/>
  <c r="BW102"/>
  <c r="DF102"/>
  <c r="CI102"/>
  <c r="CM102"/>
  <c r="CJ102"/>
  <c r="AR102"/>
  <c r="AI102"/>
  <c r="BO102"/>
  <c r="CB103"/>
  <c r="DE103"/>
  <c r="BC102"/>
  <c r="AW102"/>
  <c r="DE102"/>
  <c r="BZ103"/>
  <c r="CF103"/>
  <c r="CM103"/>
  <c r="BV103"/>
  <c r="CK102"/>
  <c r="BQ103"/>
  <c r="G102"/>
  <c r="BP102"/>
  <c r="CE103"/>
  <c r="CK103"/>
  <c r="CT102"/>
  <c r="CU103"/>
  <c r="I102"/>
  <c r="DD102"/>
  <c r="L102"/>
  <c r="CY102"/>
  <c r="CV102"/>
  <c r="BR102"/>
  <c r="CZ103"/>
  <c r="BW103"/>
  <c r="BS102"/>
  <c r="CP102"/>
  <c r="CC103"/>
  <c r="CL102"/>
  <c r="AM102"/>
  <c r="BR103"/>
  <c r="AZ102"/>
  <c r="K102"/>
  <c r="CH102"/>
  <c r="CX102"/>
  <c r="J102"/>
  <c r="BY102"/>
  <c r="CS102"/>
  <c r="CB102"/>
  <c r="BV102"/>
  <c r="CJ103"/>
  <c r="DA103"/>
  <c r="H102"/>
  <c r="BQ102"/>
  <c r="DC102"/>
  <c r="CQ103"/>
  <c r="CG102"/>
  <c r="BE102"/>
  <c r="CT103"/>
  <c r="AN102"/>
  <c r="CR102"/>
  <c r="AQ102"/>
  <c r="CA103"/>
  <c r="DA102"/>
  <c r="CH103"/>
  <c r="AU102"/>
  <c r="CG103"/>
  <c r="CR103"/>
  <c r="AJ102"/>
  <c r="AO102"/>
  <c r="CO103"/>
  <c r="CN102"/>
  <c r="DB102"/>
  <c r="AP102"/>
  <c r="BU102"/>
  <c r="BT103"/>
  <c r="M102"/>
  <c r="CZ102"/>
  <c r="DD103"/>
  <c r="BH102"/>
  <c r="P102"/>
  <c r="CL103"/>
  <c r="AC102"/>
  <c r="CV103"/>
  <c r="CP103"/>
  <c r="BX103"/>
  <c r="O102"/>
  <c r="CW102"/>
  <c r="BU103"/>
  <c r="CI103"/>
  <c r="BD102"/>
  <c r="BY103"/>
  <c r="AF102"/>
  <c r="BX102"/>
  <c r="AS102"/>
  <c r="AD102"/>
  <c r="CO102"/>
  <c r="CN103"/>
  <c r="N102"/>
  <c r="CD103"/>
  <c r="AY102"/>
  <c r="CF102"/>
  <c r="BP103"/>
  <c r="CY103"/>
  <c r="AV102"/>
  <c r="J104" l="1"/>
  <c r="N104"/>
  <c r="S104"/>
  <c r="AC104"/>
  <c r="G104"/>
  <c r="Q102"/>
  <c r="I104"/>
  <c r="K104"/>
  <c r="M104"/>
  <c r="O104"/>
  <c r="AB104"/>
  <c r="AD104"/>
  <c r="AG104"/>
  <c r="AJ104"/>
  <c r="AM104"/>
  <c r="BF102"/>
  <c r="AO104"/>
  <c r="AW104"/>
  <c r="AY104"/>
  <c r="BA104"/>
  <c r="BC104"/>
  <c r="BE104"/>
  <c r="BH104"/>
  <c r="BP104"/>
  <c r="BR104"/>
  <c r="BV104"/>
  <c r="BX104"/>
  <c r="BZ104"/>
  <c r="CB104"/>
  <c r="CD104"/>
  <c r="CF104"/>
  <c r="CH104"/>
  <c r="CJ104"/>
  <c r="CL104"/>
  <c r="CN104"/>
  <c r="CP104"/>
  <c r="CR104"/>
  <c r="CT104"/>
  <c r="CV104"/>
  <c r="CX104"/>
  <c r="CZ104"/>
  <c r="DB104"/>
  <c r="DD104"/>
  <c r="DF104"/>
  <c r="DH103"/>
  <c r="H104"/>
  <c r="L104"/>
  <c r="P104"/>
  <c r="AA104"/>
  <c r="AF104"/>
  <c r="AI104"/>
  <c r="AN104"/>
  <c r="AP104"/>
  <c r="AV104"/>
  <c r="AX104"/>
  <c r="AZ104"/>
  <c r="BB104"/>
  <c r="BD104"/>
  <c r="BO104"/>
  <c r="BQ104"/>
  <c r="BS104"/>
  <c r="BU104"/>
  <c r="BW104"/>
  <c r="BY104"/>
  <c r="CA104"/>
  <c r="CC104"/>
  <c r="CE104"/>
  <c r="CG104"/>
  <c r="CI104"/>
  <c r="CK104"/>
  <c r="CM104"/>
  <c r="CO104"/>
  <c r="CQ104"/>
  <c r="CS104"/>
  <c r="CU104"/>
  <c r="CW104"/>
  <c r="CY104"/>
  <c r="DA104"/>
  <c r="DC104"/>
  <c r="DE104"/>
  <c r="Q104" l="1"/>
  <c r="D99" l="1"/>
  <c r="D98" l="1"/>
  <c r="DH97"/>
  <c r="AO98"/>
  <c r="AY98"/>
  <c r="J98"/>
  <c r="G98"/>
  <c r="AT98"/>
  <c r="AN98"/>
  <c r="N98"/>
  <c r="AW98"/>
  <c r="CQ98"/>
  <c r="AR98"/>
  <c r="AQ98"/>
  <c r="CH98"/>
  <c r="BR98"/>
  <c r="DF98"/>
  <c r="CU98"/>
  <c r="BI98"/>
  <c r="BY98"/>
  <c r="CW98"/>
  <c r="CL98"/>
  <c r="AG98"/>
  <c r="BH98"/>
  <c r="CV98"/>
  <c r="AX98"/>
  <c r="BW98"/>
  <c r="H98"/>
  <c r="BA98"/>
  <c r="O98"/>
  <c r="CR98"/>
  <c r="BS98"/>
  <c r="X98"/>
  <c r="CB98"/>
  <c r="DE98"/>
  <c r="BD98"/>
  <c r="CK98"/>
  <c r="AD98"/>
  <c r="BB98"/>
  <c r="DC98"/>
  <c r="AJ98"/>
  <c r="AA98"/>
  <c r="CF98"/>
  <c r="AI98"/>
  <c r="AV98"/>
  <c r="CX98"/>
  <c r="K98"/>
  <c r="AB98"/>
  <c r="T98"/>
  <c r="L98"/>
  <c r="CJ98"/>
  <c r="CM98"/>
  <c r="DA98"/>
  <c r="CN98"/>
  <c r="CE98"/>
  <c r="CI98"/>
  <c r="CZ98"/>
  <c r="Z98"/>
  <c r="AS98"/>
  <c r="BV98"/>
  <c r="BT98"/>
  <c r="CP98"/>
  <c r="DD98"/>
  <c r="BQ98"/>
  <c r="M98"/>
  <c r="CO98"/>
  <c r="AM98"/>
  <c r="P98"/>
  <c r="AZ98"/>
  <c r="BZ98"/>
  <c r="BC98"/>
  <c r="CC98"/>
  <c r="S98"/>
  <c r="CA98"/>
  <c r="BX98"/>
  <c r="CD98"/>
  <c r="DB98"/>
  <c r="I98"/>
  <c r="W98"/>
  <c r="AC98"/>
  <c r="BP98"/>
  <c r="CS98"/>
  <c r="BU98"/>
  <c r="CT98"/>
  <c r="BE98"/>
  <c r="AF98"/>
  <c r="AU98"/>
  <c r="BO98"/>
  <c r="Y98"/>
  <c r="CG98"/>
  <c r="Q98" l="1"/>
  <c r="BJ98"/>
  <c r="D96"/>
  <c r="DH95"/>
  <c r="DH94"/>
  <c r="BL94"/>
  <c r="X96"/>
  <c r="BW96"/>
  <c r="AW96"/>
  <c r="BY96"/>
  <c r="BR96"/>
  <c r="AU96"/>
  <c r="BE96"/>
  <c r="CC96"/>
  <c r="CM96"/>
  <c r="CV96"/>
  <c r="AR96"/>
  <c r="DA96"/>
  <c r="CN96"/>
  <c r="CQ96"/>
  <c r="BA96"/>
  <c r="AV96"/>
  <c r="CS96"/>
  <c r="AB96"/>
  <c r="CX96"/>
  <c r="BB96"/>
  <c r="BS96"/>
  <c r="CI96"/>
  <c r="CD96"/>
  <c r="G96"/>
  <c r="AS96"/>
  <c r="AY96"/>
  <c r="H96"/>
  <c r="CT96"/>
  <c r="S96"/>
  <c r="CW96"/>
  <c r="CR96"/>
  <c r="Z96"/>
  <c r="AT96"/>
  <c r="CF96"/>
  <c r="DD96"/>
  <c r="BU96"/>
  <c r="BC96"/>
  <c r="J96"/>
  <c r="Y96"/>
  <c r="AC96"/>
  <c r="CZ96"/>
  <c r="CL96"/>
  <c r="T96"/>
  <c r="AA96"/>
  <c r="BP96"/>
  <c r="BT96"/>
  <c r="CK96"/>
  <c r="BI96"/>
  <c r="BD96"/>
  <c r="BO96"/>
  <c r="I96"/>
  <c r="CP96"/>
  <c r="CU96"/>
  <c r="DF96"/>
  <c r="DE96"/>
  <c r="AI96"/>
  <c r="AX96"/>
  <c r="P96"/>
  <c r="AM96"/>
  <c r="M96"/>
  <c r="AN96"/>
  <c r="BZ96"/>
  <c r="CO96"/>
  <c r="BQ96"/>
  <c r="CA96"/>
  <c r="CE96"/>
  <c r="AJ96"/>
  <c r="CB96"/>
  <c r="AZ96"/>
  <c r="AP96"/>
  <c r="L96"/>
  <c r="DB96"/>
  <c r="N96"/>
  <c r="AQ96"/>
  <c r="CJ96"/>
  <c r="CH96"/>
  <c r="CG96"/>
  <c r="AO96"/>
  <c r="BX96"/>
  <c r="O96"/>
  <c r="K96"/>
  <c r="DC96"/>
  <c r="BV96"/>
  <c r="G99" l="1"/>
  <c r="Q96"/>
  <c r="K99"/>
  <c r="O99"/>
  <c r="Z99"/>
  <c r="AJ99"/>
  <c r="AO99"/>
  <c r="AS99"/>
  <c r="AY99"/>
  <c r="H99"/>
  <c r="J99"/>
  <c r="L99"/>
  <c r="N99"/>
  <c r="P99"/>
  <c r="S99"/>
  <c r="Y99"/>
  <c r="AA99"/>
  <c r="AC99"/>
  <c r="AI99"/>
  <c r="AN99"/>
  <c r="AR99"/>
  <c r="AT99"/>
  <c r="AV99"/>
  <c r="AX99"/>
  <c r="AZ99"/>
  <c r="BB99"/>
  <c r="BD99"/>
  <c r="BI99"/>
  <c r="BP99"/>
  <c r="BR99"/>
  <c r="BT99"/>
  <c r="BV99"/>
  <c r="BX99"/>
  <c r="BZ99"/>
  <c r="CB99"/>
  <c r="CD99"/>
  <c r="CF99"/>
  <c r="CH99"/>
  <c r="CJ99"/>
  <c r="CL99"/>
  <c r="CN99"/>
  <c r="CP99"/>
  <c r="CR99"/>
  <c r="CT99"/>
  <c r="CV99"/>
  <c r="CX99"/>
  <c r="CZ99"/>
  <c r="DB99"/>
  <c r="DD99"/>
  <c r="DF99"/>
  <c r="I99"/>
  <c r="M99"/>
  <c r="T99"/>
  <c r="X99"/>
  <c r="AB99"/>
  <c r="AM99"/>
  <c r="BF96"/>
  <c r="AQ99"/>
  <c r="AU99"/>
  <c r="AW99"/>
  <c r="BA99"/>
  <c r="BC99"/>
  <c r="BE99"/>
  <c r="BO99"/>
  <c r="BQ99"/>
  <c r="BS99"/>
  <c r="BU99"/>
  <c r="BW99"/>
  <c r="BY99"/>
  <c r="CA99"/>
  <c r="CC99"/>
  <c r="CE99"/>
  <c r="CG99"/>
  <c r="CI99"/>
  <c r="CK99"/>
  <c r="CM99"/>
  <c r="CO99"/>
  <c r="CQ99"/>
  <c r="CS99"/>
  <c r="CU99"/>
  <c r="CW99"/>
  <c r="DA99"/>
  <c r="DC99"/>
  <c r="DE99"/>
  <c r="Q99" l="1"/>
  <c r="D93" l="1"/>
  <c r="CR92"/>
  <c r="CU92"/>
  <c r="CD92"/>
  <c r="DC92"/>
  <c r="CB92"/>
  <c r="DD92"/>
  <c r="CE92"/>
  <c r="CW92"/>
  <c r="CA92"/>
  <c r="BX92"/>
  <c r="DF92"/>
  <c r="CT92"/>
  <c r="CC92"/>
  <c r="CS92"/>
  <c r="BR92"/>
  <c r="BY92"/>
  <c r="CH92"/>
  <c r="BP92"/>
  <c r="CV92"/>
  <c r="BO92"/>
  <c r="CF92"/>
  <c r="CL92"/>
  <c r="CJ92"/>
  <c r="CY92"/>
  <c r="DA92"/>
  <c r="CM92"/>
  <c r="DE92"/>
  <c r="CG92"/>
  <c r="BU92"/>
  <c r="BS92"/>
  <c r="CP92"/>
  <c r="DB92"/>
  <c r="CN92"/>
  <c r="BT92"/>
  <c r="CO92"/>
  <c r="CX92"/>
  <c r="BV92"/>
  <c r="CZ92"/>
  <c r="CI92"/>
  <c r="CK92"/>
  <c r="CQ92"/>
  <c r="BW92"/>
  <c r="BQ92"/>
  <c r="BZ92"/>
  <c r="D92" l="1"/>
  <c r="CR91"/>
  <c r="BE92"/>
  <c r="S92"/>
  <c r="AD92"/>
  <c r="CG91"/>
  <c r="BO91"/>
  <c r="CC91"/>
  <c r="BH91"/>
  <c r="N92"/>
  <c r="CY91"/>
  <c r="AN92"/>
  <c r="CB91"/>
  <c r="BS91"/>
  <c r="CV91"/>
  <c r="CM91"/>
  <c r="BP91"/>
  <c r="DD91"/>
  <c r="AS92"/>
  <c r="U92"/>
  <c r="K92"/>
  <c r="DF91"/>
  <c r="CX91"/>
  <c r="AF92"/>
  <c r="BA92"/>
  <c r="CF91"/>
  <c r="J92"/>
  <c r="BC92"/>
  <c r="BZ91"/>
  <c r="X92"/>
  <c r="CH91"/>
  <c r="BQ91"/>
  <c r="CT91"/>
  <c r="CW91"/>
  <c r="CU91"/>
  <c r="DA91"/>
  <c r="CJ91"/>
  <c r="CZ91"/>
  <c r="L92"/>
  <c r="AC92"/>
  <c r="G92"/>
  <c r="BT91"/>
  <c r="DB91"/>
  <c r="DE91"/>
  <c r="AJ92"/>
  <c r="AI92"/>
  <c r="Y92"/>
  <c r="CL91"/>
  <c r="BR91"/>
  <c r="CN91"/>
  <c r="H92"/>
  <c r="P92"/>
  <c r="BU91"/>
  <c r="AV92"/>
  <c r="AU92"/>
  <c r="CQ91"/>
  <c r="CS91"/>
  <c r="AR92"/>
  <c r="CI91"/>
  <c r="AT92"/>
  <c r="AB92"/>
  <c r="AX92"/>
  <c r="AP92"/>
  <c r="AY92"/>
  <c r="CK91"/>
  <c r="DC91"/>
  <c r="BV91"/>
  <c r="AW92"/>
  <c r="BD92"/>
  <c r="BI92"/>
  <c r="M92"/>
  <c r="CO91"/>
  <c r="AZ92"/>
  <c r="W92"/>
  <c r="BB92"/>
  <c r="AG92"/>
  <c r="BX91"/>
  <c r="AQ92"/>
  <c r="V92"/>
  <c r="O92"/>
  <c r="AA92"/>
  <c r="AO92"/>
  <c r="I92"/>
  <c r="BY91"/>
  <c r="AM92"/>
  <c r="CD91"/>
  <c r="Z92"/>
  <c r="CE91"/>
  <c r="BW91"/>
  <c r="CP91"/>
  <c r="CA91"/>
  <c r="Q92" l="1"/>
  <c r="BF92"/>
  <c r="AX91"/>
  <c r="AP91"/>
  <c r="Y91"/>
  <c r="AZ91"/>
  <c r="BB91"/>
  <c r="AV91"/>
  <c r="AF91"/>
  <c r="V91"/>
  <c r="AC91"/>
  <c r="BD91"/>
  <c r="AQ91"/>
  <c r="AR91"/>
  <c r="S91"/>
  <c r="U91"/>
  <c r="BC91"/>
  <c r="AY91"/>
  <c r="AD91"/>
  <c r="AU91"/>
  <c r="AJ91"/>
  <c r="AS91"/>
  <c r="AO91"/>
  <c r="BA91"/>
  <c r="W91"/>
  <c r="X91"/>
  <c r="AM91"/>
  <c r="AG91"/>
  <c r="AI91"/>
  <c r="AW91"/>
  <c r="AT91"/>
  <c r="Z91"/>
  <c r="AN91"/>
  <c r="AA91"/>
  <c r="AB91"/>
  <c r="BE91"/>
  <c r="BF91" l="1"/>
  <c r="D91"/>
  <c r="BL90"/>
  <c r="D89"/>
  <c r="BL87"/>
  <c r="BL86"/>
  <c r="BL85"/>
  <c r="BF83"/>
  <c r="AQ89"/>
  <c r="CR89"/>
  <c r="BY89"/>
  <c r="P89"/>
  <c r="AG89"/>
  <c r="I91"/>
  <c r="BX89"/>
  <c r="BD89"/>
  <c r="CP89"/>
  <c r="Y89"/>
  <c r="Z89"/>
  <c r="CX89"/>
  <c r="BV89"/>
  <c r="BI89"/>
  <c r="H91"/>
  <c r="L89"/>
  <c r="X89"/>
  <c r="G91"/>
  <c r="DA89"/>
  <c r="O89"/>
  <c r="CT89"/>
  <c r="CH89"/>
  <c r="O91"/>
  <c r="AW89"/>
  <c r="M89"/>
  <c r="DD89"/>
  <c r="AU89"/>
  <c r="BB89"/>
  <c r="T89"/>
  <c r="CE89"/>
  <c r="AN89"/>
  <c r="U89"/>
  <c r="CS89"/>
  <c r="N89"/>
  <c r="BS89"/>
  <c r="CQ89"/>
  <c r="BR89"/>
  <c r="CI89"/>
  <c r="P91"/>
  <c r="CK89"/>
  <c r="AY89"/>
  <c r="S89"/>
  <c r="W89"/>
  <c r="AT89"/>
  <c r="AI89"/>
  <c r="CY89"/>
  <c r="BO89"/>
  <c r="BP89"/>
  <c r="I89"/>
  <c r="AD89"/>
  <c r="CW89"/>
  <c r="AS89"/>
  <c r="G89"/>
  <c r="CD89"/>
  <c r="CG89"/>
  <c r="V89"/>
  <c r="BC89"/>
  <c r="BW89"/>
  <c r="BA89"/>
  <c r="K89"/>
  <c r="AV89"/>
  <c r="AJ89"/>
  <c r="AF89"/>
  <c r="CO89"/>
  <c r="BT89"/>
  <c r="CL89"/>
  <c r="M91"/>
  <c r="BE89"/>
  <c r="AZ89"/>
  <c r="DF89"/>
  <c r="CU89"/>
  <c r="K91"/>
  <c r="BQ89"/>
  <c r="CN89"/>
  <c r="AM89"/>
  <c r="AC89"/>
  <c r="AP89"/>
  <c r="J91"/>
  <c r="CV89"/>
  <c r="AR89"/>
  <c r="BH89"/>
  <c r="H89"/>
  <c r="DB89"/>
  <c r="BZ89"/>
  <c r="CC89"/>
  <c r="DC89"/>
  <c r="AX89"/>
  <c r="CA89"/>
  <c r="CJ89"/>
  <c r="CM89"/>
  <c r="AA89"/>
  <c r="CF89"/>
  <c r="BU89"/>
  <c r="CZ89"/>
  <c r="J89"/>
  <c r="AB89"/>
  <c r="N91"/>
  <c r="DE89"/>
  <c r="CB89"/>
  <c r="L91"/>
  <c r="AO89"/>
  <c r="H93" l="1"/>
  <c r="L93"/>
  <c r="L106" s="1"/>
  <c r="P93"/>
  <c r="U93"/>
  <c r="Y93"/>
  <c r="AC93"/>
  <c r="AI93"/>
  <c r="G93"/>
  <c r="Q89"/>
  <c r="I93"/>
  <c r="K93"/>
  <c r="M93"/>
  <c r="O93"/>
  <c r="V93"/>
  <c r="X93"/>
  <c r="Z93"/>
  <c r="AB93"/>
  <c r="AD93"/>
  <c r="AG93"/>
  <c r="AJ93"/>
  <c r="AM93"/>
  <c r="BF89"/>
  <c r="AO93"/>
  <c r="AQ93"/>
  <c r="AS93"/>
  <c r="AU93"/>
  <c r="AW93"/>
  <c r="AY93"/>
  <c r="BA93"/>
  <c r="BC93"/>
  <c r="BC106" s="1"/>
  <c r="BE93"/>
  <c r="BJ89"/>
  <c r="BP93"/>
  <c r="BR93"/>
  <c r="BT93"/>
  <c r="BV93"/>
  <c r="BX93"/>
  <c r="BZ93"/>
  <c r="CB93"/>
  <c r="CD93"/>
  <c r="CF93"/>
  <c r="CH93"/>
  <c r="CJ93"/>
  <c r="CJ106" s="1"/>
  <c r="CL93"/>
  <c r="CN93"/>
  <c r="CP93"/>
  <c r="CR93"/>
  <c r="CT93"/>
  <c r="CV93"/>
  <c r="CV106" s="1"/>
  <c r="CX93"/>
  <c r="CZ93"/>
  <c r="DB93"/>
  <c r="DD93"/>
  <c r="DF93"/>
  <c r="J93"/>
  <c r="N93"/>
  <c r="S93"/>
  <c r="AK89"/>
  <c r="W93"/>
  <c r="AA93"/>
  <c r="AF93"/>
  <c r="AN93"/>
  <c r="AP93"/>
  <c r="AR93"/>
  <c r="AT93"/>
  <c r="AV93"/>
  <c r="AX93"/>
  <c r="AX106" s="1"/>
  <c r="AZ93"/>
  <c r="BB93"/>
  <c r="BB106" s="1"/>
  <c r="BD93"/>
  <c r="BD106" s="1"/>
  <c r="BO93"/>
  <c r="BQ93"/>
  <c r="BS93"/>
  <c r="BU93"/>
  <c r="BW93"/>
  <c r="BY93"/>
  <c r="CA93"/>
  <c r="CC93"/>
  <c r="CE93"/>
  <c r="CG93"/>
  <c r="CI93"/>
  <c r="CK93"/>
  <c r="CM93"/>
  <c r="CO93"/>
  <c r="CQ93"/>
  <c r="CS93"/>
  <c r="CU93"/>
  <c r="CW93"/>
  <c r="CY93"/>
  <c r="DA93"/>
  <c r="DC93"/>
  <c r="DE93"/>
  <c r="Q91"/>
  <c r="P110" i="59"/>
  <c r="BL89" i="77" l="1"/>
  <c r="BA106"/>
  <c r="AW106"/>
  <c r="K106"/>
  <c r="BO106"/>
  <c r="DH93"/>
  <c r="AZ106"/>
  <c r="AY106" s="1"/>
  <c r="AV106"/>
  <c r="CU106"/>
  <c r="CT106" s="1"/>
  <c r="CS106" s="1"/>
  <c r="CR106" s="1"/>
  <c r="CQ106" s="1"/>
  <c r="CP106" s="1"/>
  <c r="CO106" s="1"/>
  <c r="CN106" s="1"/>
  <c r="CM106" s="1"/>
  <c r="CL106" s="1"/>
  <c r="CK106" s="1"/>
  <c r="CI106"/>
  <c r="CH106" s="1"/>
  <c r="CG106" s="1"/>
  <c r="CF106" s="1"/>
  <c r="CE106" s="1"/>
  <c r="CD106" s="1"/>
  <c r="CC106" s="1"/>
  <c r="CB106" s="1"/>
  <c r="CA106" s="1"/>
  <c r="BZ106" s="1"/>
  <c r="BY106" s="1"/>
  <c r="BX106" s="1"/>
  <c r="BW106" s="1"/>
  <c r="BV106" s="1"/>
  <c r="BU106" s="1"/>
  <c r="BF93"/>
  <c r="Q93"/>
  <c r="J106"/>
  <c r="I106" s="1"/>
  <c r="H106" s="1"/>
  <c r="G106" s="1"/>
  <c r="D82" l="1"/>
  <c r="BS81"/>
  <c r="DB81"/>
  <c r="BT81"/>
  <c r="CV81"/>
  <c r="DE81"/>
  <c r="CO81"/>
  <c r="CL81"/>
  <c r="CR81"/>
  <c r="BX81"/>
  <c r="CQ81"/>
  <c r="CU81"/>
  <c r="CE81"/>
  <c r="CN81"/>
  <c r="CW81"/>
  <c r="CZ81"/>
  <c r="CK81"/>
  <c r="DA81"/>
  <c r="BZ81"/>
  <c r="CF81"/>
  <c r="BV81"/>
  <c r="CM81"/>
  <c r="CP81"/>
  <c r="BY81"/>
  <c r="BU81"/>
  <c r="DD81"/>
  <c r="DF81"/>
  <c r="CI81"/>
  <c r="BR81"/>
  <c r="CY81"/>
  <c r="BW81"/>
  <c r="CD81"/>
  <c r="CX81"/>
  <c r="CT81"/>
  <c r="DC81"/>
  <c r="CG81"/>
  <c r="CS81"/>
  <c r="CJ81"/>
  <c r="CB81"/>
  <c r="CA81"/>
  <c r="CH81"/>
  <c r="CC81"/>
  <c r="D81" l="1"/>
  <c r="DH80"/>
  <c r="BL80"/>
  <c r="D79"/>
  <c r="DH78"/>
  <c r="BL78"/>
  <c r="DH77"/>
  <c r="BL77"/>
  <c r="AV79"/>
  <c r="H79"/>
  <c r="CZ79"/>
  <c r="V79"/>
  <c r="Y81"/>
  <c r="CH79"/>
  <c r="CU79"/>
  <c r="CP79"/>
  <c r="BB81"/>
  <c r="L81"/>
  <c r="J81"/>
  <c r="CL79"/>
  <c r="AP81"/>
  <c r="CX79"/>
  <c r="I81"/>
  <c r="AX81"/>
  <c r="BA81"/>
  <c r="CI79"/>
  <c r="AO81"/>
  <c r="BW79"/>
  <c r="AZ79"/>
  <c r="X79"/>
  <c r="DE79"/>
  <c r="CW79"/>
  <c r="CK79"/>
  <c r="CE79"/>
  <c r="AA81"/>
  <c r="CG79"/>
  <c r="AP79"/>
  <c r="AF79"/>
  <c r="M79"/>
  <c r="W79"/>
  <c r="AU79"/>
  <c r="BC79"/>
  <c r="CN79"/>
  <c r="M81"/>
  <c r="DD79"/>
  <c r="BA79"/>
  <c r="AA79"/>
  <c r="CA79"/>
  <c r="BE79"/>
  <c r="CM79"/>
  <c r="CF79"/>
  <c r="AS81"/>
  <c r="S79"/>
  <c r="G79"/>
  <c r="BB79"/>
  <c r="AI79"/>
  <c r="AI81"/>
  <c r="K79"/>
  <c r="AQ79"/>
  <c r="AC79"/>
  <c r="H81"/>
  <c r="AJ79"/>
  <c r="Y79"/>
  <c r="AW81"/>
  <c r="X81"/>
  <c r="L79"/>
  <c r="CV79"/>
  <c r="CD79"/>
  <c r="AB81"/>
  <c r="AO79"/>
  <c r="AG79"/>
  <c r="AM79"/>
  <c r="AX79"/>
  <c r="AC81"/>
  <c r="AW79"/>
  <c r="DA79"/>
  <c r="AB79"/>
  <c r="J79"/>
  <c r="N79"/>
  <c r="O81"/>
  <c r="K81"/>
  <c r="BY79"/>
  <c r="AR79"/>
  <c r="AM81"/>
  <c r="CJ79"/>
  <c r="AY81"/>
  <c r="AD79"/>
  <c r="DF79"/>
  <c r="AV81"/>
  <c r="AJ81"/>
  <c r="CS79"/>
  <c r="AT81"/>
  <c r="P81"/>
  <c r="AU81"/>
  <c r="Z81"/>
  <c r="BT79"/>
  <c r="AD81"/>
  <c r="CY79"/>
  <c r="DB79"/>
  <c r="I79"/>
  <c r="CQ79"/>
  <c r="AS79"/>
  <c r="O79"/>
  <c r="AY79"/>
  <c r="CR79"/>
  <c r="S81"/>
  <c r="BD79"/>
  <c r="AZ81"/>
  <c r="BV79"/>
  <c r="CT79"/>
  <c r="BU79"/>
  <c r="BX79"/>
  <c r="BS79"/>
  <c r="CC79"/>
  <c r="BC81"/>
  <c r="G81"/>
  <c r="AF81"/>
  <c r="AR81"/>
  <c r="CO79"/>
  <c r="AQ81"/>
  <c r="AG81"/>
  <c r="AN79"/>
  <c r="AT79"/>
  <c r="P79"/>
  <c r="AN81"/>
  <c r="BZ79"/>
  <c r="Z79"/>
  <c r="BE81"/>
  <c r="BD81"/>
  <c r="N81"/>
  <c r="CB79"/>
  <c r="BR79"/>
  <c r="G82" l="1"/>
  <c r="Q79"/>
  <c r="I82"/>
  <c r="K82"/>
  <c r="M82"/>
  <c r="O82"/>
  <c r="X82"/>
  <c r="Z82"/>
  <c r="AB82"/>
  <c r="AD82"/>
  <c r="AG82"/>
  <c r="AJ82"/>
  <c r="AM82"/>
  <c r="BF79"/>
  <c r="AO82"/>
  <c r="AQ82"/>
  <c r="AS82"/>
  <c r="AU82"/>
  <c r="AW82"/>
  <c r="AY82"/>
  <c r="BA82"/>
  <c r="BC82"/>
  <c r="BE82"/>
  <c r="BS82"/>
  <c r="BU82"/>
  <c r="BW82"/>
  <c r="BY82"/>
  <c r="CA82"/>
  <c r="CC82"/>
  <c r="CE82"/>
  <c r="CG82"/>
  <c r="CI82"/>
  <c r="CK82"/>
  <c r="CM82"/>
  <c r="CO82"/>
  <c r="CQ82"/>
  <c r="CS82"/>
  <c r="CU82"/>
  <c r="CW82"/>
  <c r="CY82"/>
  <c r="DA82"/>
  <c r="DE82"/>
  <c r="Q81"/>
  <c r="H82"/>
  <c r="J82"/>
  <c r="L82"/>
  <c r="N82"/>
  <c r="P82"/>
  <c r="S82"/>
  <c r="Y82"/>
  <c r="AA82"/>
  <c r="AC82"/>
  <c r="AF82"/>
  <c r="AI82"/>
  <c r="AN82"/>
  <c r="AP82"/>
  <c r="AR82"/>
  <c r="AT82"/>
  <c r="AV82"/>
  <c r="AX82"/>
  <c r="AZ82"/>
  <c r="BB82"/>
  <c r="BD82"/>
  <c r="BR82"/>
  <c r="BT82"/>
  <c r="BV82"/>
  <c r="BX82"/>
  <c r="BZ82"/>
  <c r="CB82"/>
  <c r="CD82"/>
  <c r="CF82"/>
  <c r="CH82"/>
  <c r="CJ82"/>
  <c r="CL82"/>
  <c r="CN82"/>
  <c r="CP82"/>
  <c r="CR82"/>
  <c r="CT82"/>
  <c r="CV82"/>
  <c r="CX82"/>
  <c r="CZ82"/>
  <c r="DB82"/>
  <c r="DD82"/>
  <c r="DF82"/>
  <c r="BF81"/>
  <c r="Q82" l="1"/>
  <c r="BF82"/>
  <c r="D76" l="1"/>
  <c r="D75" l="1"/>
  <c r="DH74"/>
  <c r="BL74" s="1"/>
  <c r="BJ74"/>
  <c r="DH73"/>
  <c r="AD75"/>
  <c r="AB75"/>
  <c r="DC75"/>
  <c r="K75"/>
  <c r="BO75"/>
  <c r="CC75"/>
  <c r="BY75"/>
  <c r="CJ75"/>
  <c r="CP75"/>
  <c r="CM75"/>
  <c r="S75"/>
  <c r="CG75"/>
  <c r="BT75"/>
  <c r="BP75"/>
  <c r="P75"/>
  <c r="BW75"/>
  <c r="AJ75"/>
  <c r="U75"/>
  <c r="BZ75"/>
  <c r="BE75"/>
  <c r="CX75"/>
  <c r="V75"/>
  <c r="I75"/>
  <c r="CO75"/>
  <c r="BC75"/>
  <c r="M75"/>
  <c r="CI75"/>
  <c r="AQ75"/>
  <c r="CE75"/>
  <c r="BV75"/>
  <c r="BB75"/>
  <c r="BX75"/>
  <c r="N75"/>
  <c r="CK75"/>
  <c r="X75"/>
  <c r="O75"/>
  <c r="AT75"/>
  <c r="BS75"/>
  <c r="AG75"/>
  <c r="BD75"/>
  <c r="CB75"/>
  <c r="BU75"/>
  <c r="CZ75"/>
  <c r="Z75"/>
  <c r="DD75"/>
  <c r="CR75"/>
  <c r="AR75"/>
  <c r="CS75"/>
  <c r="CU75"/>
  <c r="AY75"/>
  <c r="CA75"/>
  <c r="CT75"/>
  <c r="CY75"/>
  <c r="AN75"/>
  <c r="BR75"/>
  <c r="CL75"/>
  <c r="Y75"/>
  <c r="L75"/>
  <c r="AP75"/>
  <c r="CH75"/>
  <c r="AC75"/>
  <c r="H75"/>
  <c r="AX75"/>
  <c r="BQ75"/>
  <c r="BA75"/>
  <c r="CN75"/>
  <c r="CW75"/>
  <c r="DA75"/>
  <c r="AW75"/>
  <c r="G75"/>
  <c r="AZ75"/>
  <c r="AI75"/>
  <c r="DE75"/>
  <c r="DF75"/>
  <c r="AM75"/>
  <c r="W75"/>
  <c r="AU75"/>
  <c r="J75"/>
  <c r="AO75"/>
  <c r="AA75"/>
  <c r="AS75"/>
  <c r="DB75"/>
  <c r="CF75"/>
  <c r="CV75"/>
  <c r="CQ75"/>
  <c r="AF75"/>
  <c r="CD75"/>
  <c r="J76" l="1"/>
  <c r="N76"/>
  <c r="S76"/>
  <c r="W76"/>
  <c r="AA76"/>
  <c r="G76"/>
  <c r="Q75"/>
  <c r="I76"/>
  <c r="K76"/>
  <c r="M76"/>
  <c r="O76"/>
  <c r="V76"/>
  <c r="X76"/>
  <c r="Z76"/>
  <c r="AB76"/>
  <c r="AD76"/>
  <c r="AG76"/>
  <c r="AJ76"/>
  <c r="AM76"/>
  <c r="AO76"/>
  <c r="AQ76"/>
  <c r="AS76"/>
  <c r="AU76"/>
  <c r="AW76"/>
  <c r="AY76"/>
  <c r="BA76"/>
  <c r="BC76"/>
  <c r="BE76"/>
  <c r="BO76"/>
  <c r="DH75"/>
  <c r="BQ76"/>
  <c r="BS76"/>
  <c r="BU76"/>
  <c r="BW76"/>
  <c r="BY76"/>
  <c r="CA76"/>
  <c r="CC76"/>
  <c r="CE76"/>
  <c r="CG76"/>
  <c r="CI76"/>
  <c r="CK76"/>
  <c r="CM76"/>
  <c r="CO76"/>
  <c r="CQ76"/>
  <c r="CS76"/>
  <c r="CU76"/>
  <c r="CW76"/>
  <c r="CY76"/>
  <c r="DA76"/>
  <c r="DC76"/>
  <c r="DE76"/>
  <c r="H76"/>
  <c r="L76"/>
  <c r="P76"/>
  <c r="U76"/>
  <c r="Y76"/>
  <c r="AC76"/>
  <c r="AF76"/>
  <c r="AI76"/>
  <c r="AN76"/>
  <c r="AP76"/>
  <c r="AR76"/>
  <c r="AT76"/>
  <c r="AX76"/>
  <c r="AZ76"/>
  <c r="BB76"/>
  <c r="BD76"/>
  <c r="BP76"/>
  <c r="BR76"/>
  <c r="BT76"/>
  <c r="BV76"/>
  <c r="BX76"/>
  <c r="BZ76"/>
  <c r="CB76"/>
  <c r="CD76"/>
  <c r="CF76"/>
  <c r="CH76"/>
  <c r="CJ76"/>
  <c r="CL76"/>
  <c r="CN76"/>
  <c r="CP76"/>
  <c r="CR76"/>
  <c r="CT76"/>
  <c r="CV76"/>
  <c r="CX76"/>
  <c r="CZ76"/>
  <c r="DB76"/>
  <c r="DD76"/>
  <c r="DF76"/>
  <c r="DH76" l="1"/>
  <c r="Q76"/>
  <c r="D72" l="1"/>
  <c r="D71" l="1"/>
  <c r="DH70"/>
  <c r="BJ70"/>
  <c r="DH69"/>
  <c r="BL69"/>
  <c r="DF71"/>
  <c r="BY71"/>
  <c r="AF71"/>
  <c r="I71"/>
  <c r="BR71"/>
  <c r="CW71"/>
  <c r="CY71"/>
  <c r="AW71"/>
  <c r="AC71"/>
  <c r="S71"/>
  <c r="BB71"/>
  <c r="U71"/>
  <c r="BZ71"/>
  <c r="AX71"/>
  <c r="BE71"/>
  <c r="CU71"/>
  <c r="BX71"/>
  <c r="CK71"/>
  <c r="AQ71"/>
  <c r="CZ71"/>
  <c r="AD71"/>
  <c r="CC71"/>
  <c r="BC71"/>
  <c r="AO71"/>
  <c r="DA71"/>
  <c r="J71"/>
  <c r="AR71"/>
  <c r="BU71"/>
  <c r="AA71"/>
  <c r="CA71"/>
  <c r="CM71"/>
  <c r="AS71"/>
  <c r="CE71"/>
  <c r="BO71"/>
  <c r="BW71"/>
  <c r="CX71"/>
  <c r="BP71"/>
  <c r="CV71"/>
  <c r="CQ71"/>
  <c r="CG71"/>
  <c r="W71"/>
  <c r="CT71"/>
  <c r="Y71"/>
  <c r="AN71"/>
  <c r="H71"/>
  <c r="DC71"/>
  <c r="BV71"/>
  <c r="AP71"/>
  <c r="BA71"/>
  <c r="X71"/>
  <c r="Z71"/>
  <c r="CD71"/>
  <c r="CN71"/>
  <c r="P71"/>
  <c r="BT71"/>
  <c r="AY71"/>
  <c r="CI71"/>
  <c r="CP71"/>
  <c r="CR71"/>
  <c r="DB71"/>
  <c r="AM71"/>
  <c r="CB71"/>
  <c r="M71"/>
  <c r="CF71"/>
  <c r="K71"/>
  <c r="DD71"/>
  <c r="CJ71"/>
  <c r="AV71"/>
  <c r="AJ71"/>
  <c r="G71"/>
  <c r="CS71"/>
  <c r="AU71"/>
  <c r="AT71"/>
  <c r="AG71"/>
  <c r="O71"/>
  <c r="L71"/>
  <c r="CL71"/>
  <c r="CO71"/>
  <c r="CH71"/>
  <c r="BS71"/>
  <c r="BI71"/>
  <c r="AZ71"/>
  <c r="AI71"/>
  <c r="DE71"/>
  <c r="BQ71"/>
  <c r="N71"/>
  <c r="BD71"/>
  <c r="V71"/>
  <c r="BL70" l="1"/>
  <c r="I72"/>
  <c r="M72"/>
  <c r="V72"/>
  <c r="Z72"/>
  <c r="H72"/>
  <c r="J72"/>
  <c r="L72"/>
  <c r="N72"/>
  <c r="P72"/>
  <c r="S72"/>
  <c r="U72"/>
  <c r="W72"/>
  <c r="Y72"/>
  <c r="AA72"/>
  <c r="AC72"/>
  <c r="AF72"/>
  <c r="AI72"/>
  <c r="AN72"/>
  <c r="AP72"/>
  <c r="AR72"/>
  <c r="AT72"/>
  <c r="AV72"/>
  <c r="AX72"/>
  <c r="AZ72"/>
  <c r="BB72"/>
  <c r="BD72"/>
  <c r="BI72"/>
  <c r="BO72"/>
  <c r="DH71"/>
  <c r="BQ72"/>
  <c r="BS72"/>
  <c r="BU72"/>
  <c r="BW72"/>
  <c r="BY72"/>
  <c r="CA72"/>
  <c r="CC72"/>
  <c r="CE72"/>
  <c r="CG72"/>
  <c r="CI72"/>
  <c r="CK72"/>
  <c r="CM72"/>
  <c r="CO72"/>
  <c r="CQ72"/>
  <c r="CS72"/>
  <c r="CU72"/>
  <c r="CW72"/>
  <c r="CY72"/>
  <c r="DA72"/>
  <c r="DC72"/>
  <c r="DE72"/>
  <c r="G72"/>
  <c r="Q71"/>
  <c r="K72"/>
  <c r="O72"/>
  <c r="X72"/>
  <c r="AD72"/>
  <c r="AG72"/>
  <c r="AJ72"/>
  <c r="AM72"/>
  <c r="BF71"/>
  <c r="AO72"/>
  <c r="AQ72"/>
  <c r="AS72"/>
  <c r="AU72"/>
  <c r="AW72"/>
  <c r="AY72"/>
  <c r="BA72"/>
  <c r="BC72"/>
  <c r="BE72"/>
  <c r="BP72"/>
  <c r="BR72"/>
  <c r="BT72"/>
  <c r="BV72"/>
  <c r="BX72"/>
  <c r="BZ72"/>
  <c r="CB72"/>
  <c r="CD72"/>
  <c r="CF72"/>
  <c r="CH72"/>
  <c r="CJ72"/>
  <c r="CL72"/>
  <c r="CN72"/>
  <c r="CP72"/>
  <c r="CR72"/>
  <c r="CT72"/>
  <c r="CV72"/>
  <c r="CX72"/>
  <c r="CZ72"/>
  <c r="DB72"/>
  <c r="DD72"/>
  <c r="DF72"/>
  <c r="BF72" l="1"/>
  <c r="Q72"/>
  <c r="DH72"/>
  <c r="D68" l="1"/>
  <c r="CY67"/>
  <c r="BO67"/>
  <c r="BW67"/>
  <c r="DF67"/>
  <c r="DD67"/>
  <c r="CD67"/>
  <c r="BZ67"/>
  <c r="BU67"/>
  <c r="BQ67"/>
  <c r="BY67"/>
  <c r="BT67"/>
  <c r="CN67"/>
  <c r="BR67"/>
  <c r="CK67"/>
  <c r="CQ67"/>
  <c r="CM67"/>
  <c r="CV67"/>
  <c r="CE67"/>
  <c r="CF67"/>
  <c r="CZ67"/>
  <c r="CB67"/>
  <c r="BS67"/>
  <c r="CJ67"/>
  <c r="BP67"/>
  <c r="CW67"/>
  <c r="DC67"/>
  <c r="CG67"/>
  <c r="CO67"/>
  <c r="CA67"/>
  <c r="CC67"/>
  <c r="DE67"/>
  <c r="CU67"/>
  <c r="CI67"/>
  <c r="CS67"/>
  <c r="CR67"/>
  <c r="DA67"/>
  <c r="CH67"/>
  <c r="CT67"/>
  <c r="CX67"/>
  <c r="DB67"/>
  <c r="CL67"/>
  <c r="BV67"/>
  <c r="CP67"/>
  <c r="BX67"/>
  <c r="DH67" l="1"/>
  <c r="AY67"/>
  <c r="AC67"/>
  <c r="Z67"/>
  <c r="AI67"/>
  <c r="AM67"/>
  <c r="AJ67"/>
  <c r="AF67"/>
  <c r="X67"/>
  <c r="AA67"/>
  <c r="AP67"/>
  <c r="Y67"/>
  <c r="AZ67"/>
  <c r="AD67"/>
  <c r="AB67"/>
  <c r="AG67"/>
  <c r="AO67"/>
  <c r="AR67"/>
  <c r="AS67"/>
  <c r="V67"/>
  <c r="BH67"/>
  <c r="AU67"/>
  <c r="BD67"/>
  <c r="U67"/>
  <c r="AV67"/>
  <c r="AQ67"/>
  <c r="BC67"/>
  <c r="BA67"/>
  <c r="W67"/>
  <c r="BB67"/>
  <c r="AT67"/>
  <c r="BE67"/>
  <c r="BI67"/>
  <c r="S67"/>
  <c r="AN67"/>
  <c r="AW67"/>
  <c r="BJ67" l="1"/>
  <c r="D67"/>
  <c r="H67"/>
  <c r="P67"/>
  <c r="K67"/>
  <c r="M67"/>
  <c r="O67"/>
  <c r="N67"/>
  <c r="J67"/>
  <c r="L67"/>
  <c r="I67"/>
  <c r="G67"/>
  <c r="Q67" l="1"/>
  <c r="D66"/>
  <c r="CE66"/>
  <c r="CH66"/>
  <c r="CB66"/>
  <c r="X66"/>
  <c r="CS66"/>
  <c r="CA66"/>
  <c r="M66"/>
  <c r="BU66"/>
  <c r="AT66"/>
  <c r="K66"/>
  <c r="Z66"/>
  <c r="U66"/>
  <c r="CF66"/>
  <c r="CK66"/>
  <c r="AC66"/>
  <c r="CQ66"/>
  <c r="DB66"/>
  <c r="BH66"/>
  <c r="CI66"/>
  <c r="CO66"/>
  <c r="AB66"/>
  <c r="CJ66"/>
  <c r="AQ66"/>
  <c r="CN66"/>
  <c r="BQ66"/>
  <c r="AS66"/>
  <c r="Y66"/>
  <c r="CZ66"/>
  <c r="W66"/>
  <c r="BC66"/>
  <c r="G66"/>
  <c r="DF66"/>
  <c r="O66"/>
  <c r="T66"/>
  <c r="AV66"/>
  <c r="AJ66"/>
  <c r="BX66"/>
  <c r="BB66"/>
  <c r="CC66"/>
  <c r="BR66"/>
  <c r="BZ66"/>
  <c r="AN66"/>
  <c r="CP66"/>
  <c r="BO66"/>
  <c r="AU66"/>
  <c r="BA66"/>
  <c r="CR66"/>
  <c r="BV66"/>
  <c r="CT66"/>
  <c r="AR66"/>
  <c r="CD66"/>
  <c r="DC66"/>
  <c r="CY66"/>
  <c r="AO66"/>
  <c r="BS66"/>
  <c r="CL66"/>
  <c r="AP66"/>
  <c r="AD66"/>
  <c r="DA66"/>
  <c r="AY66"/>
  <c r="AX66"/>
  <c r="CW66"/>
  <c r="BI66"/>
  <c r="BP66"/>
  <c r="V66"/>
  <c r="P66"/>
  <c r="AZ66"/>
  <c r="CX66"/>
  <c r="BW66"/>
  <c r="AG66"/>
  <c r="BD66"/>
  <c r="L66"/>
  <c r="AM66"/>
  <c r="CG66"/>
  <c r="J66"/>
  <c r="AF66"/>
  <c r="DE66"/>
  <c r="DD66"/>
  <c r="BE66"/>
  <c r="N66"/>
  <c r="AA66"/>
  <c r="CV66"/>
  <c r="CM66"/>
  <c r="BY66"/>
  <c r="CU66"/>
  <c r="I66"/>
  <c r="BT66"/>
  <c r="BJ66" l="1"/>
  <c r="DH66"/>
  <c r="CB65"/>
  <c r="CH65"/>
  <c r="CQ65"/>
  <c r="CJ65"/>
  <c r="CS65"/>
  <c r="CI65"/>
  <c r="BQ65"/>
  <c r="DF65"/>
  <c r="DC65"/>
  <c r="BX65"/>
  <c r="CD65"/>
  <c r="CE65"/>
  <c r="DA65"/>
  <c r="BO65"/>
  <c r="BT65"/>
  <c r="DD65"/>
  <c r="DE65"/>
  <c r="CA65"/>
  <c r="CN65"/>
  <c r="CW65"/>
  <c r="BR65"/>
  <c r="CX65"/>
  <c r="CP65"/>
  <c r="CU65"/>
  <c r="BP65"/>
  <c r="DB65"/>
  <c r="BW65"/>
  <c r="CR65"/>
  <c r="CT65"/>
  <c r="CZ65"/>
  <c r="BS65"/>
  <c r="CF65"/>
  <c r="BY65"/>
  <c r="CL65"/>
  <c r="CG65"/>
  <c r="CV65"/>
  <c r="CK65"/>
  <c r="BU65"/>
  <c r="BZ65"/>
  <c r="BV65"/>
  <c r="CO65"/>
  <c r="CC65"/>
  <c r="CM65"/>
  <c r="CY65"/>
  <c r="BO68" l="1"/>
  <c r="DH65"/>
  <c r="BS68"/>
  <c r="BW68"/>
  <c r="CA68"/>
  <c r="CE68"/>
  <c r="CI68"/>
  <c r="CM68"/>
  <c r="CQ68"/>
  <c r="CU68"/>
  <c r="CY68"/>
  <c r="BP68"/>
  <c r="BR68"/>
  <c r="BT68"/>
  <c r="BV68"/>
  <c r="BX68"/>
  <c r="BZ68"/>
  <c r="CB68"/>
  <c r="CD68"/>
  <c r="CF68"/>
  <c r="CH68"/>
  <c r="CJ68"/>
  <c r="CL68"/>
  <c r="CN68"/>
  <c r="CP68"/>
  <c r="CR68"/>
  <c r="CT68"/>
  <c r="CV68"/>
  <c r="CX68"/>
  <c r="CZ68"/>
  <c r="DB68"/>
  <c r="DD68"/>
  <c r="DF68"/>
  <c r="BQ68"/>
  <c r="BU68"/>
  <c r="BY68"/>
  <c r="CC68"/>
  <c r="CG68"/>
  <c r="CK68"/>
  <c r="CO68"/>
  <c r="CS68"/>
  <c r="CW68"/>
  <c r="DA68"/>
  <c r="DC68"/>
  <c r="DE68"/>
  <c r="D65"/>
  <c r="DH64"/>
  <c r="AO65"/>
  <c r="AZ65"/>
  <c r="I65"/>
  <c r="AM65"/>
  <c r="N65"/>
  <c r="AU65"/>
  <c r="K65"/>
  <c r="AV65"/>
  <c r="AJ65"/>
  <c r="AQ65"/>
  <c r="BI65"/>
  <c r="Z65"/>
  <c r="U65"/>
  <c r="X65"/>
  <c r="L65"/>
  <c r="AI65"/>
  <c r="BB65"/>
  <c r="BH65"/>
  <c r="AB65"/>
  <c r="AY65"/>
  <c r="V65"/>
  <c r="AP65"/>
  <c r="AF65"/>
  <c r="BD65"/>
  <c r="AA65"/>
  <c r="AX65"/>
  <c r="M65"/>
  <c r="Y65"/>
  <c r="AT65"/>
  <c r="P65"/>
  <c r="AS65"/>
  <c r="BE65"/>
  <c r="AR65"/>
  <c r="G65"/>
  <c r="H65"/>
  <c r="AG65"/>
  <c r="J65"/>
  <c r="O65"/>
  <c r="AC65"/>
  <c r="AN65"/>
  <c r="BA65"/>
  <c r="W65"/>
  <c r="S65"/>
  <c r="BC65"/>
  <c r="AD65"/>
  <c r="G68" l="1"/>
  <c r="Q65"/>
  <c r="I68"/>
  <c r="K68"/>
  <c r="M68"/>
  <c r="O68"/>
  <c r="V68"/>
  <c r="X68"/>
  <c r="Z68"/>
  <c r="AB68"/>
  <c r="AD68"/>
  <c r="AG68"/>
  <c r="AJ68"/>
  <c r="AM68"/>
  <c r="AO68"/>
  <c r="AQ68"/>
  <c r="AS68"/>
  <c r="AU68"/>
  <c r="AY68"/>
  <c r="BA68"/>
  <c r="BC68"/>
  <c r="BE68"/>
  <c r="BH68"/>
  <c r="BJ65"/>
  <c r="J68"/>
  <c r="L68"/>
  <c r="N68"/>
  <c r="P68"/>
  <c r="U68"/>
  <c r="W68"/>
  <c r="Y68"/>
  <c r="AA68"/>
  <c r="AC68"/>
  <c r="AF68"/>
  <c r="AN68"/>
  <c r="AP68"/>
  <c r="AR68"/>
  <c r="AT68"/>
  <c r="AV68"/>
  <c r="AZ68"/>
  <c r="BB68"/>
  <c r="BD68"/>
  <c r="BI68"/>
  <c r="DH68"/>
  <c r="BJ68" l="1"/>
  <c r="D63" l="1"/>
  <c r="DF62"/>
  <c r="DA62"/>
  <c r="CS62"/>
  <c r="CI62"/>
  <c r="CR62"/>
  <c r="CF62"/>
  <c r="DC62"/>
  <c r="CL62"/>
  <c r="CX62"/>
  <c r="CP62"/>
  <c r="CZ62"/>
  <c r="CH62"/>
  <c r="BY62"/>
  <c r="CD62"/>
  <c r="CB62"/>
  <c r="DE62"/>
  <c r="CK62"/>
  <c r="CW62"/>
  <c r="CE62"/>
  <c r="CM62"/>
  <c r="BX62"/>
  <c r="BZ62"/>
  <c r="BU62"/>
  <c r="BP62"/>
  <c r="BT62"/>
  <c r="CQ62"/>
  <c r="BR62"/>
  <c r="CU62"/>
  <c r="CJ62"/>
  <c r="CY62"/>
  <c r="CO62"/>
  <c r="CT62"/>
  <c r="CC62"/>
  <c r="BW62"/>
  <c r="BV62"/>
  <c r="BO62"/>
  <c r="CA62"/>
  <c r="CN62"/>
  <c r="CG62"/>
  <c r="CV62"/>
  <c r="BS62"/>
  <c r="BQ62"/>
  <c r="DD62"/>
  <c r="DB62"/>
  <c r="DH62" l="1"/>
  <c r="AX62"/>
  <c r="AR62"/>
  <c r="AF62"/>
  <c r="X62"/>
  <c r="Y62"/>
  <c r="AW62"/>
  <c r="BH62"/>
  <c r="W62"/>
  <c r="BB62"/>
  <c r="AT62"/>
  <c r="AD62"/>
  <c r="V62"/>
  <c r="BC62"/>
  <c r="AI62"/>
  <c r="AV62"/>
  <c r="U62"/>
  <c r="S62"/>
  <c r="BD62"/>
  <c r="AB62"/>
  <c r="BE62"/>
  <c r="BA62"/>
  <c r="AU62"/>
  <c r="AM62"/>
  <c r="AZ62"/>
  <c r="BI62"/>
  <c r="AS62"/>
  <c r="AA62"/>
  <c r="AC62"/>
  <c r="AG62"/>
  <c r="Z62"/>
  <c r="AP62"/>
  <c r="AN62"/>
  <c r="AO62"/>
  <c r="AQ62"/>
  <c r="AJ62"/>
  <c r="BJ62" l="1"/>
  <c r="D62"/>
  <c r="M62"/>
  <c r="J62"/>
  <c r="G62"/>
  <c r="I62"/>
  <c r="H62"/>
  <c r="P62"/>
  <c r="O62"/>
  <c r="L62"/>
  <c r="K62"/>
  <c r="N62"/>
  <c r="Q62" l="1"/>
  <c r="DE61"/>
  <c r="DD61"/>
  <c r="BI61"/>
  <c r="CB61"/>
  <c r="BP61"/>
  <c r="BZ61"/>
  <c r="DB61"/>
  <c r="CT61"/>
  <c r="CI61"/>
  <c r="BU61"/>
  <c r="CD61"/>
  <c r="BR61"/>
  <c r="CX61"/>
  <c r="BO61"/>
  <c r="CO61"/>
  <c r="CN61"/>
  <c r="CH61"/>
  <c r="BV61"/>
  <c r="CP61"/>
  <c r="CG61"/>
  <c r="DC61"/>
  <c r="BQ61"/>
  <c r="DA61"/>
  <c r="BX61"/>
  <c r="BT61"/>
  <c r="CQ61"/>
  <c r="CM61"/>
  <c r="BW61"/>
  <c r="CF61"/>
  <c r="CC61"/>
  <c r="CW61"/>
  <c r="CA61"/>
  <c r="BY61"/>
  <c r="CK61"/>
  <c r="DF61"/>
  <c r="CE61"/>
  <c r="CZ61"/>
  <c r="CR61"/>
  <c r="CJ61"/>
  <c r="BS61"/>
  <c r="BH61"/>
  <c r="CL61"/>
  <c r="CU61"/>
  <c r="CY61"/>
  <c r="CS61"/>
  <c r="CV61"/>
  <c r="BJ61" l="1"/>
  <c r="DH61"/>
  <c r="Z61"/>
  <c r="AM61"/>
  <c r="U61"/>
  <c r="V61"/>
  <c r="BE61"/>
  <c r="AF61"/>
  <c r="X61"/>
  <c r="AD61"/>
  <c r="AB61"/>
  <c r="BC61"/>
  <c r="AU61"/>
  <c r="AY61"/>
  <c r="AJ61"/>
  <c r="AN61"/>
  <c r="AQ61"/>
  <c r="AP61"/>
  <c r="AR61"/>
  <c r="AI61"/>
  <c r="AO61"/>
  <c r="AZ61"/>
  <c r="S61"/>
  <c r="W61"/>
  <c r="AC61"/>
  <c r="AV61"/>
  <c r="AW61"/>
  <c r="BD61"/>
  <c r="AG61"/>
  <c r="AA61"/>
  <c r="AX61"/>
  <c r="Y61"/>
  <c r="AT61"/>
  <c r="AS61"/>
  <c r="D61" l="1"/>
  <c r="O61"/>
  <c r="M61"/>
  <c r="G61"/>
  <c r="I61"/>
  <c r="P61"/>
  <c r="N61"/>
  <c r="J61"/>
  <c r="L61"/>
  <c r="H61"/>
  <c r="K61"/>
  <c r="Q61" l="1"/>
  <c r="DE60"/>
  <c r="CC60"/>
  <c r="CB60"/>
  <c r="W60"/>
  <c r="CK60"/>
  <c r="CZ60"/>
  <c r="AI60"/>
  <c r="CN60"/>
  <c r="CH60"/>
  <c r="BP60"/>
  <c r="BQ60"/>
  <c r="BA60"/>
  <c r="AW60"/>
  <c r="DD60"/>
  <c r="DC60"/>
  <c r="AU60"/>
  <c r="AA60"/>
  <c r="CE60"/>
  <c r="BB60"/>
  <c r="BO60"/>
  <c r="BD60"/>
  <c r="AS60"/>
  <c r="AX60"/>
  <c r="CD60"/>
  <c r="CO60"/>
  <c r="BC60"/>
  <c r="AM60"/>
  <c r="CJ60"/>
  <c r="BR60"/>
  <c r="CU60"/>
  <c r="V60"/>
  <c r="Y60"/>
  <c r="AV60"/>
  <c r="CS60"/>
  <c r="CP60"/>
  <c r="AO60"/>
  <c r="BS60"/>
  <c r="CX60"/>
  <c r="DF60"/>
  <c r="CV60"/>
  <c r="CT60"/>
  <c r="DB60"/>
  <c r="AP60"/>
  <c r="BU60"/>
  <c r="BY60"/>
  <c r="CM60"/>
  <c r="CF60"/>
  <c r="CA60"/>
  <c r="BV60"/>
  <c r="BH60"/>
  <c r="CI60"/>
  <c r="Z60"/>
  <c r="BW60"/>
  <c r="BT60"/>
  <c r="CR60"/>
  <c r="AB60"/>
  <c r="AG60"/>
  <c r="AF60"/>
  <c r="CW60"/>
  <c r="BI60"/>
  <c r="BZ60"/>
  <c r="U60"/>
  <c r="CG60"/>
  <c r="BE60"/>
  <c r="AT60"/>
  <c r="AR60"/>
  <c r="CQ60"/>
  <c r="AD60"/>
  <c r="AN60"/>
  <c r="CL60"/>
  <c r="DA60"/>
  <c r="AQ60"/>
  <c r="BX60"/>
  <c r="AJ60"/>
  <c r="AC60"/>
  <c r="S60"/>
  <c r="X60"/>
  <c r="CY60"/>
  <c r="BJ60" l="1"/>
  <c r="DH60"/>
  <c r="D60"/>
  <c r="J60"/>
  <c r="I60"/>
  <c r="M60"/>
  <c r="K60"/>
  <c r="H60"/>
  <c r="O60"/>
  <c r="P60"/>
  <c r="G60"/>
  <c r="N60"/>
  <c r="L60"/>
  <c r="Q60" l="1"/>
  <c r="DE59"/>
  <c r="CG59"/>
  <c r="CK59"/>
  <c r="BC59"/>
  <c r="U59"/>
  <c r="CQ59"/>
  <c r="AU59"/>
  <c r="BZ59"/>
  <c r="S59"/>
  <c r="AO59"/>
  <c r="AV59"/>
  <c r="BU59"/>
  <c r="X59"/>
  <c r="CW59"/>
  <c r="BI59"/>
  <c r="AD59"/>
  <c r="CA59"/>
  <c r="BO59"/>
  <c r="BS59"/>
  <c r="AS59"/>
  <c r="V59"/>
  <c r="CL59"/>
  <c r="BQ59"/>
  <c r="Y59"/>
  <c r="BA59"/>
  <c r="CO59"/>
  <c r="CE59"/>
  <c r="AC59"/>
  <c r="AM59"/>
  <c r="DB59"/>
  <c r="BY59"/>
  <c r="AR59"/>
  <c r="BR59"/>
  <c r="CU59"/>
  <c r="DF59"/>
  <c r="AX59"/>
  <c r="AI59"/>
  <c r="BV59"/>
  <c r="CX59"/>
  <c r="CB59"/>
  <c r="BE59"/>
  <c r="DC59"/>
  <c r="DD59"/>
  <c r="CZ59"/>
  <c r="CR59"/>
  <c r="AA59"/>
  <c r="CH59"/>
  <c r="AQ59"/>
  <c r="AB59"/>
  <c r="BW59"/>
  <c r="CP59"/>
  <c r="BX59"/>
  <c r="CD59"/>
  <c r="AN59"/>
  <c r="Z59"/>
  <c r="DA59"/>
  <c r="AG59"/>
  <c r="CI59"/>
  <c r="CC59"/>
  <c r="CT59"/>
  <c r="BH59"/>
  <c r="BD59"/>
  <c r="AP59"/>
  <c r="CJ59"/>
  <c r="AJ59"/>
  <c r="CV59"/>
  <c r="BT59"/>
  <c r="AY59"/>
  <c r="AF59"/>
  <c r="CM59"/>
  <c r="W59"/>
  <c r="AZ59"/>
  <c r="CS59"/>
  <c r="CF59"/>
  <c r="CN59"/>
  <c r="AT59"/>
  <c r="BP59"/>
  <c r="AW59"/>
  <c r="CY59"/>
  <c r="BJ59" l="1"/>
  <c r="DH59"/>
  <c r="D59"/>
  <c r="P59"/>
  <c r="I59"/>
  <c r="O59"/>
  <c r="L59"/>
  <c r="G59"/>
  <c r="H59"/>
  <c r="K59"/>
  <c r="J59"/>
  <c r="N59"/>
  <c r="M59"/>
  <c r="Q59" l="1"/>
  <c r="DE58"/>
  <c r="BW58"/>
  <c r="CQ58"/>
  <c r="CY58"/>
  <c r="CO58"/>
  <c r="BZ58"/>
  <c r="CP58"/>
  <c r="CT58"/>
  <c r="CA58"/>
  <c r="CB58"/>
  <c r="CK58"/>
  <c r="CE58"/>
  <c r="CF58"/>
  <c r="DF58"/>
  <c r="CX58"/>
  <c r="CI58"/>
  <c r="DB58"/>
  <c r="CH58"/>
  <c r="BX58"/>
  <c r="CN58"/>
  <c r="CL58"/>
  <c r="BY58"/>
  <c r="BR58"/>
  <c r="CV58"/>
  <c r="BS58"/>
  <c r="BT58"/>
  <c r="CU58"/>
  <c r="BO58"/>
  <c r="CG58"/>
  <c r="CZ58"/>
  <c r="BP58"/>
  <c r="BQ58"/>
  <c r="CR58"/>
  <c r="DC58"/>
  <c r="DD58"/>
  <c r="BV58"/>
  <c r="BU58"/>
  <c r="CM58"/>
  <c r="DA58"/>
  <c r="CS58"/>
  <c r="CW58"/>
  <c r="CJ58"/>
  <c r="CD58"/>
  <c r="CC58"/>
  <c r="DH58" l="1"/>
  <c r="U58"/>
  <c r="BE58"/>
  <c r="AP58"/>
  <c r="AU58"/>
  <c r="AI58"/>
  <c r="BC58"/>
  <c r="AS58"/>
  <c r="AV58"/>
  <c r="AO58"/>
  <c r="AF58"/>
  <c r="Y58"/>
  <c r="AA58"/>
  <c r="W58"/>
  <c r="AT58"/>
  <c r="BH58"/>
  <c r="AM58"/>
  <c r="BB58"/>
  <c r="S58"/>
  <c r="AN58"/>
  <c r="AY58"/>
  <c r="BA58"/>
  <c r="AQ58"/>
  <c r="BD58"/>
  <c r="AR58"/>
  <c r="AZ58"/>
  <c r="BI58"/>
  <c r="AD58"/>
  <c r="AW58"/>
  <c r="AC58"/>
  <c r="V58"/>
  <c r="X58"/>
  <c r="AG58"/>
  <c r="AB58"/>
  <c r="Z58"/>
  <c r="AJ58"/>
  <c r="BJ58" l="1"/>
  <c r="D58"/>
  <c r="J58"/>
  <c r="H58"/>
  <c r="P58"/>
  <c r="M58"/>
  <c r="N58"/>
  <c r="K58"/>
  <c r="I58"/>
  <c r="G58"/>
  <c r="O58"/>
  <c r="L58"/>
  <c r="Q58" l="1"/>
  <c r="D57"/>
  <c r="DH56"/>
  <c r="BL56"/>
  <c r="AB57"/>
  <c r="AS57"/>
  <c r="CV57"/>
  <c r="CN57"/>
  <c r="DC57"/>
  <c r="BA57"/>
  <c r="BY57"/>
  <c r="AU57"/>
  <c r="Y57"/>
  <c r="AO57"/>
  <c r="DB57"/>
  <c r="DE57"/>
  <c r="G57"/>
  <c r="M57"/>
  <c r="BP57"/>
  <c r="AZ57"/>
  <c r="CJ57"/>
  <c r="CC57"/>
  <c r="BD57"/>
  <c r="BQ57"/>
  <c r="AG57"/>
  <c r="AI57"/>
  <c r="CA57"/>
  <c r="CP57"/>
  <c r="CE57"/>
  <c r="AA57"/>
  <c r="X57"/>
  <c r="CF57"/>
  <c r="W57"/>
  <c r="K57"/>
  <c r="CZ57"/>
  <c r="N57"/>
  <c r="AD57"/>
  <c r="CD57"/>
  <c r="BS57"/>
  <c r="CM57"/>
  <c r="CQ57"/>
  <c r="AM57"/>
  <c r="P57"/>
  <c r="BV57"/>
  <c r="CB57"/>
  <c r="CK57"/>
  <c r="BR57"/>
  <c r="AN57"/>
  <c r="CT57"/>
  <c r="AR57"/>
  <c r="H57"/>
  <c r="CY57"/>
  <c r="CX57"/>
  <c r="BE57"/>
  <c r="CL57"/>
  <c r="CO57"/>
  <c r="BB57"/>
  <c r="BW57"/>
  <c r="BC57"/>
  <c r="CW57"/>
  <c r="BX57"/>
  <c r="AV57"/>
  <c r="L57"/>
  <c r="U57"/>
  <c r="AF57"/>
  <c r="CR57"/>
  <c r="J57"/>
  <c r="AJ57"/>
  <c r="AQ57"/>
  <c r="DA57"/>
  <c r="I57"/>
  <c r="BO57"/>
  <c r="O57"/>
  <c r="S57"/>
  <c r="CH57"/>
  <c r="AC57"/>
  <c r="CI57"/>
  <c r="BH57"/>
  <c r="BT57"/>
  <c r="DF57"/>
  <c r="BI57"/>
  <c r="V57"/>
  <c r="CU57"/>
  <c r="AP57"/>
  <c r="CG57"/>
  <c r="AT57"/>
  <c r="AW57"/>
  <c r="AY57"/>
  <c r="CS57"/>
  <c r="Z57"/>
  <c r="BZ57"/>
  <c r="BU57"/>
  <c r="DD57"/>
  <c r="H63" l="1"/>
  <c r="J63"/>
  <c r="L63"/>
  <c r="N63"/>
  <c r="P63"/>
  <c r="S63"/>
  <c r="U63"/>
  <c r="W63"/>
  <c r="Y63"/>
  <c r="AA63"/>
  <c r="AC63"/>
  <c r="AF63"/>
  <c r="AI63"/>
  <c r="AN63"/>
  <c r="AP63"/>
  <c r="AR63"/>
  <c r="AT63"/>
  <c r="AV63"/>
  <c r="BD63"/>
  <c r="BI63"/>
  <c r="BP63"/>
  <c r="BR63"/>
  <c r="BT63"/>
  <c r="BV63"/>
  <c r="BX63"/>
  <c r="BZ63"/>
  <c r="CB63"/>
  <c r="CD63"/>
  <c r="CF63"/>
  <c r="CH63"/>
  <c r="CJ63"/>
  <c r="CL63"/>
  <c r="CN63"/>
  <c r="CP63"/>
  <c r="CR63"/>
  <c r="CT63"/>
  <c r="CV63"/>
  <c r="CX63"/>
  <c r="CZ63"/>
  <c r="DB63"/>
  <c r="DD63"/>
  <c r="DF63"/>
  <c r="G63"/>
  <c r="Q57"/>
  <c r="I63"/>
  <c r="K63"/>
  <c r="M63"/>
  <c r="O63"/>
  <c r="V63"/>
  <c r="X63"/>
  <c r="Z63"/>
  <c r="AB63"/>
  <c r="AD63"/>
  <c r="AG63"/>
  <c r="AJ63"/>
  <c r="AM63"/>
  <c r="AO63"/>
  <c r="AQ63"/>
  <c r="AS63"/>
  <c r="AU63"/>
  <c r="AW63"/>
  <c r="BC63"/>
  <c r="BE63"/>
  <c r="BH63"/>
  <c r="BJ57"/>
  <c r="BO63"/>
  <c r="DH57"/>
  <c r="BQ63"/>
  <c r="BS63"/>
  <c r="BU63"/>
  <c r="BW63"/>
  <c r="BY63"/>
  <c r="CA63"/>
  <c r="CC63"/>
  <c r="CE63"/>
  <c r="CG63"/>
  <c r="CI63"/>
  <c r="CK63"/>
  <c r="CM63"/>
  <c r="CO63"/>
  <c r="CQ63"/>
  <c r="CS63"/>
  <c r="CU63"/>
  <c r="CW63"/>
  <c r="CY63"/>
  <c r="DA63"/>
  <c r="DC63"/>
  <c r="DE63"/>
  <c r="BJ63" l="1"/>
  <c r="Q63"/>
  <c r="DH63"/>
  <c r="D55" l="1"/>
  <c r="DF54"/>
  <c r="CP54"/>
  <c r="CG54"/>
  <c r="CT54"/>
  <c r="AD54"/>
  <c r="CW54"/>
  <c r="CZ54"/>
  <c r="CN54"/>
  <c r="AX54"/>
  <c r="CX54"/>
  <c r="AC54"/>
  <c r="CC54"/>
  <c r="CM54"/>
  <c r="BW54"/>
  <c r="G54"/>
  <c r="AB54"/>
  <c r="AP54"/>
  <c r="CR54"/>
  <c r="CD54"/>
  <c r="O54"/>
  <c r="BR54"/>
  <c r="BD54"/>
  <c r="J54"/>
  <c r="AW54"/>
  <c r="CO54"/>
  <c r="BU54"/>
  <c r="DE54"/>
  <c r="BY54"/>
  <c r="CJ54"/>
  <c r="N54"/>
  <c r="T54"/>
  <c r="AU54"/>
  <c r="M54"/>
  <c r="BB54"/>
  <c r="DA54"/>
  <c r="CL54"/>
  <c r="DB54"/>
  <c r="BI54"/>
  <c r="CV54"/>
  <c r="CS54"/>
  <c r="AF54"/>
  <c r="DD54"/>
  <c r="AQ54"/>
  <c r="CU54"/>
  <c r="BE54"/>
  <c r="V54"/>
  <c r="L54"/>
  <c r="CB54"/>
  <c r="CY54"/>
  <c r="CI54"/>
  <c r="AZ54"/>
  <c r="AV54"/>
  <c r="AJ54"/>
  <c r="AR54"/>
  <c r="CH54"/>
  <c r="BC54"/>
  <c r="K54"/>
  <c r="AY54"/>
  <c r="AI54"/>
  <c r="P54"/>
  <c r="BZ54"/>
  <c r="AG54"/>
  <c r="AS54"/>
  <c r="CF54"/>
  <c r="CK54"/>
  <c r="BV54"/>
  <c r="CQ54"/>
  <c r="CA54"/>
  <c r="CE54"/>
  <c r="AA54"/>
  <c r="BH54"/>
  <c r="DC54"/>
  <c r="BX54"/>
  <c r="AT54"/>
  <c r="H54"/>
  <c r="BA54"/>
  <c r="BJ54" l="1"/>
  <c r="D54"/>
  <c r="CY53"/>
  <c r="CC53"/>
  <c r="DB53"/>
  <c r="CR53"/>
  <c r="BY53"/>
  <c r="CF53"/>
  <c r="CG53"/>
  <c r="BW53"/>
  <c r="CO53"/>
  <c r="CW53"/>
  <c r="CM53"/>
  <c r="CH53"/>
  <c r="DF53"/>
  <c r="BV53"/>
  <c r="DA53"/>
  <c r="BU53"/>
  <c r="DE53"/>
  <c r="DC53"/>
  <c r="BZ53"/>
  <c r="CK53"/>
  <c r="CB53"/>
  <c r="CA53"/>
  <c r="CZ53"/>
  <c r="CN53"/>
  <c r="CI53"/>
  <c r="CJ53"/>
  <c r="CL53"/>
  <c r="CX53"/>
  <c r="BT53"/>
  <c r="CE53"/>
  <c r="CU53"/>
  <c r="CS53"/>
  <c r="CV53"/>
  <c r="CT53"/>
  <c r="CQ53"/>
  <c r="BR53"/>
  <c r="BX53"/>
  <c r="CD53"/>
  <c r="BS53"/>
  <c r="CP53"/>
  <c r="DD53"/>
  <c r="BR55" l="1"/>
  <c r="BV55"/>
  <c r="BX55"/>
  <c r="BZ55"/>
  <c r="CB55"/>
  <c r="CD55"/>
  <c r="CF55"/>
  <c r="CH55"/>
  <c r="CJ55"/>
  <c r="CL55"/>
  <c r="CN55"/>
  <c r="CP55"/>
  <c r="CR55"/>
  <c r="CT55"/>
  <c r="CV55"/>
  <c r="CX55"/>
  <c r="CZ55"/>
  <c r="DB55"/>
  <c r="DD55"/>
  <c r="DF55"/>
  <c r="BU55"/>
  <c r="BW55"/>
  <c r="BY55"/>
  <c r="CA55"/>
  <c r="CC55"/>
  <c r="CE55"/>
  <c r="CG55"/>
  <c r="CI55"/>
  <c r="CK55"/>
  <c r="CM55"/>
  <c r="CO55"/>
  <c r="CQ55"/>
  <c r="CS55"/>
  <c r="CU55"/>
  <c r="CW55"/>
  <c r="CY55"/>
  <c r="DA55"/>
  <c r="DC55"/>
  <c r="DE55"/>
  <c r="D53"/>
  <c r="DH52"/>
  <c r="BL52"/>
  <c r="K53"/>
  <c r="AW53"/>
  <c r="AR53"/>
  <c r="BA53"/>
  <c r="G53"/>
  <c r="AF53"/>
  <c r="BB53"/>
  <c r="P53"/>
  <c r="BC53"/>
  <c r="AN53"/>
  <c r="AA53"/>
  <c r="N53"/>
  <c r="M53"/>
  <c r="I53"/>
  <c r="O53"/>
  <c r="AS53"/>
  <c r="AV53"/>
  <c r="AO53"/>
  <c r="AU53"/>
  <c r="AX53"/>
  <c r="AT53"/>
  <c r="AD53"/>
  <c r="T53"/>
  <c r="AI53"/>
  <c r="AM53"/>
  <c r="BE53"/>
  <c r="BD53"/>
  <c r="U53"/>
  <c r="H53"/>
  <c r="Z53"/>
  <c r="AC53"/>
  <c r="AJ53"/>
  <c r="AQ53"/>
  <c r="AG53"/>
  <c r="AZ53"/>
  <c r="AP53"/>
  <c r="J53"/>
  <c r="AY53"/>
  <c r="X53"/>
  <c r="L53"/>
  <c r="G55" l="1"/>
  <c r="Q53"/>
  <c r="K55"/>
  <c r="M55"/>
  <c r="O55"/>
  <c r="T55"/>
  <c r="AD55"/>
  <c r="AG55"/>
  <c r="AJ55"/>
  <c r="BF53"/>
  <c r="AQ55"/>
  <c r="AS55"/>
  <c r="AU55"/>
  <c r="AW55"/>
  <c r="AY55"/>
  <c r="BA55"/>
  <c r="BC55"/>
  <c r="BE55"/>
  <c r="H55"/>
  <c r="J55"/>
  <c r="L55"/>
  <c r="N55"/>
  <c r="P55"/>
  <c r="AA55"/>
  <c r="AC55"/>
  <c r="AF55"/>
  <c r="AI55"/>
  <c r="AP55"/>
  <c r="AR55"/>
  <c r="AT55"/>
  <c r="AV55"/>
  <c r="AX55"/>
  <c r="AZ55"/>
  <c r="BB55"/>
  <c r="BD55"/>
  <c r="D51" l="1"/>
  <c r="CX50"/>
  <c r="AF50"/>
  <c r="AZ50"/>
  <c r="CL50"/>
  <c r="BD50"/>
  <c r="BW50"/>
  <c r="AI50"/>
  <c r="CR50"/>
  <c r="AC50"/>
  <c r="DD50"/>
  <c r="AG50"/>
  <c r="CW50"/>
  <c r="CV50"/>
  <c r="AY50"/>
  <c r="AD50"/>
  <c r="BI50"/>
  <c r="AV50"/>
  <c r="BZ50"/>
  <c r="BA50"/>
  <c r="AR50"/>
  <c r="BX50"/>
  <c r="CS50"/>
  <c r="CK50"/>
  <c r="Z50"/>
  <c r="AB50"/>
  <c r="X50"/>
  <c r="BY50"/>
  <c r="CE50"/>
  <c r="CT50"/>
  <c r="CB50"/>
  <c r="CJ50"/>
  <c r="DA50"/>
  <c r="AJ50"/>
  <c r="BT50"/>
  <c r="BH50"/>
  <c r="CH50"/>
  <c r="CP50"/>
  <c r="AM50"/>
  <c r="CU50"/>
  <c r="BE50"/>
  <c r="CM50"/>
  <c r="AN50"/>
  <c r="BB50"/>
  <c r="CQ50"/>
  <c r="CO50"/>
  <c r="DE50"/>
  <c r="CG50"/>
  <c r="Y50"/>
  <c r="AU50"/>
  <c r="BR50"/>
  <c r="BV50"/>
  <c r="AP50"/>
  <c r="CY50"/>
  <c r="DB50"/>
  <c r="CD50"/>
  <c r="AS50"/>
  <c r="DF50"/>
  <c r="BC50"/>
  <c r="AW50"/>
  <c r="CC50"/>
  <c r="CF50"/>
  <c r="CA50"/>
  <c r="CI50"/>
  <c r="AQ50"/>
  <c r="CN50"/>
  <c r="AT50"/>
  <c r="AO50"/>
  <c r="T50"/>
  <c r="CZ50"/>
  <c r="AX50"/>
  <c r="DC50"/>
  <c r="AA50"/>
  <c r="BU50"/>
  <c r="BS50"/>
  <c r="BF50" l="1"/>
  <c r="BJ50"/>
  <c r="D50"/>
  <c r="D49"/>
  <c r="DH47"/>
  <c r="BL47"/>
  <c r="AR49"/>
  <c r="CV49"/>
  <c r="BO49"/>
  <c r="CQ49"/>
  <c r="CC49"/>
  <c r="AU49"/>
  <c r="AM49"/>
  <c r="CB49"/>
  <c r="I49"/>
  <c r="AN49"/>
  <c r="P50"/>
  <c r="H49"/>
  <c r="DA49"/>
  <c r="AY49"/>
  <c r="CI49"/>
  <c r="DE49"/>
  <c r="Y49"/>
  <c r="CR49"/>
  <c r="AJ49"/>
  <c r="BS49"/>
  <c r="AV49"/>
  <c r="AO49"/>
  <c r="CT49"/>
  <c r="BZ49"/>
  <c r="CD49"/>
  <c r="CL49"/>
  <c r="AC49"/>
  <c r="U49"/>
  <c r="CK49"/>
  <c r="BI49"/>
  <c r="BY49"/>
  <c r="AP49"/>
  <c r="BB49"/>
  <c r="DD49"/>
  <c r="X49"/>
  <c r="G50"/>
  <c r="BU49"/>
  <c r="BX49"/>
  <c r="CU49"/>
  <c r="CA49"/>
  <c r="CE49"/>
  <c r="T49"/>
  <c r="K50"/>
  <c r="AW49"/>
  <c r="BA49"/>
  <c r="AS49"/>
  <c r="CP49"/>
  <c r="AZ49"/>
  <c r="CS49"/>
  <c r="CW49"/>
  <c r="AX49"/>
  <c r="AT49"/>
  <c r="CX49"/>
  <c r="P49"/>
  <c r="AB49"/>
  <c r="BQ49"/>
  <c r="J50"/>
  <c r="CM49"/>
  <c r="DC49"/>
  <c r="CZ49"/>
  <c r="CF49"/>
  <c r="AI49"/>
  <c r="O50"/>
  <c r="O49"/>
  <c r="BR49"/>
  <c r="M49"/>
  <c r="BV49"/>
  <c r="M50"/>
  <c r="CH49"/>
  <c r="BC49"/>
  <c r="Z49"/>
  <c r="BT49"/>
  <c r="S49"/>
  <c r="H50"/>
  <c r="AA49"/>
  <c r="DF49"/>
  <c r="DB49"/>
  <c r="AQ49"/>
  <c r="G49"/>
  <c r="BW49"/>
  <c r="V49"/>
  <c r="L49"/>
  <c r="J49"/>
  <c r="K49"/>
  <c r="BH49"/>
  <c r="AD49"/>
  <c r="BP49"/>
  <c r="CG49"/>
  <c r="N50"/>
  <c r="CJ49"/>
  <c r="L50"/>
  <c r="BD49"/>
  <c r="N49"/>
  <c r="AU51" l="1"/>
  <c r="DC51"/>
  <c r="AX51"/>
  <c r="CE51"/>
  <c r="CC51"/>
  <c r="AC51"/>
  <c r="AS51"/>
  <c r="K51"/>
  <c r="AI51"/>
  <c r="CG51"/>
  <c r="AR51"/>
  <c r="AN51"/>
  <c r="Z51"/>
  <c r="AJ51"/>
  <c r="CD51"/>
  <c r="AW51"/>
  <c r="N51"/>
  <c r="BI51"/>
  <c r="J51"/>
  <c r="AM51"/>
  <c r="H51"/>
  <c r="BX51"/>
  <c r="AQ51"/>
  <c r="L51"/>
  <c r="BH51"/>
  <c r="DA51"/>
  <c r="BY51"/>
  <c r="AO51"/>
  <c r="CR51"/>
  <c r="M51"/>
  <c r="CF51"/>
  <c r="CP51"/>
  <c r="BA51"/>
  <c r="AZ51"/>
  <c r="BR51"/>
  <c r="BD51"/>
  <c r="AD51"/>
  <c r="CT51"/>
  <c r="CH51"/>
  <c r="BS51"/>
  <c r="G51"/>
  <c r="AA51"/>
  <c r="CZ51"/>
  <c r="CW51"/>
  <c r="O51"/>
  <c r="CV51"/>
  <c r="CU51"/>
  <c r="P51"/>
  <c r="CQ51"/>
  <c r="CM51"/>
  <c r="BV51"/>
  <c r="BC51"/>
  <c r="DD51"/>
  <c r="AB51"/>
  <c r="CI51"/>
  <c r="AT51"/>
  <c r="DB51"/>
  <c r="DF51"/>
  <c r="BU51"/>
  <c r="BZ51"/>
  <c r="T51"/>
  <c r="BT51"/>
  <c r="CA51"/>
  <c r="Y51"/>
  <c r="AV51"/>
  <c r="CB51"/>
  <c r="CX51"/>
  <c r="AP51"/>
  <c r="X51"/>
  <c r="CJ51"/>
  <c r="DE51"/>
  <c r="CL51"/>
  <c r="BB51"/>
  <c r="CS51"/>
  <c r="CK51"/>
  <c r="BW51"/>
  <c r="AY51"/>
  <c r="Q49"/>
  <c r="BJ49"/>
  <c r="BJ51" l="1"/>
  <c r="D46" l="1"/>
  <c r="D45"/>
  <c r="BL43"/>
  <c r="BL42"/>
  <c r="BL41"/>
  <c r="DE45"/>
  <c r="DD45"/>
  <c r="AO45"/>
  <c r="AC45"/>
  <c r="CL45"/>
  <c r="BR45"/>
  <c r="K45"/>
  <c r="V45"/>
  <c r="O45"/>
  <c r="CH45"/>
  <c r="M45"/>
  <c r="BT45"/>
  <c r="G45"/>
  <c r="L45"/>
  <c r="BW45"/>
  <c r="AX45"/>
  <c r="CV45"/>
  <c r="DB45"/>
  <c r="DC45"/>
  <c r="CT45"/>
  <c r="AB45"/>
  <c r="CZ45"/>
  <c r="AP45"/>
  <c r="BS45"/>
  <c r="H45"/>
  <c r="CW45"/>
  <c r="BD45"/>
  <c r="CE45"/>
  <c r="U45"/>
  <c r="CB45"/>
  <c r="CR45"/>
  <c r="BV45"/>
  <c r="CK45"/>
  <c r="J45"/>
  <c r="BX45"/>
  <c r="AV45"/>
  <c r="AM45"/>
  <c r="DF45"/>
  <c r="AD45"/>
  <c r="CN45"/>
  <c r="CU45"/>
  <c r="BP45"/>
  <c r="BQ45"/>
  <c r="DA45"/>
  <c r="BI45"/>
  <c r="CF45"/>
  <c r="CS45"/>
  <c r="N45"/>
  <c r="AN45"/>
  <c r="BZ45"/>
  <c r="AG45"/>
  <c r="AU45"/>
  <c r="AW45"/>
  <c r="CO45"/>
  <c r="Z45"/>
  <c r="X45"/>
  <c r="CA45"/>
  <c r="CC45"/>
  <c r="AR45"/>
  <c r="CP45"/>
  <c r="AZ45"/>
  <c r="CI45"/>
  <c r="Y45"/>
  <c r="CJ45"/>
  <c r="BU45"/>
  <c r="BB45"/>
  <c r="BY45"/>
  <c r="AA45"/>
  <c r="AF45"/>
  <c r="CG45"/>
  <c r="CQ45"/>
  <c r="BA45"/>
  <c r="BO45"/>
  <c r="CX45"/>
  <c r="P45"/>
  <c r="AQ45"/>
  <c r="BC45"/>
  <c r="AY45"/>
  <c r="CD45"/>
  <c r="T45"/>
  <c r="AI45"/>
  <c r="AT45"/>
  <c r="W45"/>
  <c r="I45"/>
  <c r="AS45"/>
  <c r="CM45"/>
  <c r="BE45"/>
  <c r="CY45"/>
  <c r="G46" l="1"/>
  <c r="Q45"/>
  <c r="I46"/>
  <c r="K46"/>
  <c r="M46"/>
  <c r="O46"/>
  <c r="T46"/>
  <c r="V46"/>
  <c r="X46"/>
  <c r="Z46"/>
  <c r="AB46"/>
  <c r="AD46"/>
  <c r="AG46"/>
  <c r="AM46"/>
  <c r="BF45"/>
  <c r="AO46"/>
  <c r="AQ46"/>
  <c r="AS46"/>
  <c r="AU46"/>
  <c r="AW46"/>
  <c r="AY46"/>
  <c r="BA46"/>
  <c r="BC46"/>
  <c r="BE46"/>
  <c r="BP46"/>
  <c r="BR46"/>
  <c r="BT46"/>
  <c r="BV46"/>
  <c r="BX46"/>
  <c r="BZ46"/>
  <c r="CB46"/>
  <c r="CD46"/>
  <c r="CF46"/>
  <c r="CF84" s="1"/>
  <c r="CH46"/>
  <c r="CJ46"/>
  <c r="CL46"/>
  <c r="CN46"/>
  <c r="CP46"/>
  <c r="CR46"/>
  <c r="CT46"/>
  <c r="CV46"/>
  <c r="CX46"/>
  <c r="CZ46"/>
  <c r="DB46"/>
  <c r="DD46"/>
  <c r="DF46"/>
  <c r="H46"/>
  <c r="J46"/>
  <c r="L46"/>
  <c r="N46"/>
  <c r="P46"/>
  <c r="U46"/>
  <c r="W46"/>
  <c r="Y46"/>
  <c r="AA46"/>
  <c r="AC46"/>
  <c r="AF46"/>
  <c r="AI46"/>
  <c r="AN46"/>
  <c r="AP46"/>
  <c r="AR46"/>
  <c r="AT46"/>
  <c r="AV46"/>
  <c r="AX46"/>
  <c r="AZ46"/>
  <c r="BB46"/>
  <c r="BD46"/>
  <c r="BI46"/>
  <c r="BO46"/>
  <c r="BQ46"/>
  <c r="BS46"/>
  <c r="BU46"/>
  <c r="BW46"/>
  <c r="BY46"/>
  <c r="CA46"/>
  <c r="CC46"/>
  <c r="CE46"/>
  <c r="CG46"/>
  <c r="CG84" s="1"/>
  <c r="CI46"/>
  <c r="CK46"/>
  <c r="CM46"/>
  <c r="CO46"/>
  <c r="CQ46"/>
  <c r="CS46"/>
  <c r="CU46"/>
  <c r="CW46"/>
  <c r="CY46"/>
  <c r="DA46"/>
  <c r="DC46"/>
  <c r="DE46"/>
  <c r="BF39"/>
  <c r="AD84" l="1"/>
  <c r="AC84"/>
  <c r="DH46"/>
  <c r="BF46"/>
  <c r="Q46"/>
  <c r="CE84"/>
  <c r="CD84" s="1"/>
  <c r="CC84" s="1"/>
  <c r="CB84" s="1"/>
  <c r="CA84" s="1"/>
  <c r="BZ84" s="1"/>
  <c r="BY84" s="1"/>
  <c r="BX84" s="1"/>
  <c r="BW84" s="1"/>
  <c r="BV84" s="1"/>
  <c r="BU84" s="1"/>
  <c r="D38" l="1"/>
  <c r="D37" l="1"/>
  <c r="DH36"/>
  <c r="BL36"/>
  <c r="DF37"/>
  <c r="BC37"/>
  <c r="BT37"/>
  <c r="CE37"/>
  <c r="Y37"/>
  <c r="DB37"/>
  <c r="CP37"/>
  <c r="H37"/>
  <c r="CM37"/>
  <c r="N37"/>
  <c r="O37"/>
  <c r="AN37"/>
  <c r="AT37"/>
  <c r="U37"/>
  <c r="CX37"/>
  <c r="P37"/>
  <c r="AZ37"/>
  <c r="BO37"/>
  <c r="BQ37"/>
  <c r="CZ37"/>
  <c r="CL37"/>
  <c r="BW37"/>
  <c r="CY37"/>
  <c r="CA37"/>
  <c r="AO37"/>
  <c r="AB37"/>
  <c r="DD37"/>
  <c r="CC37"/>
  <c r="V37"/>
  <c r="BP37"/>
  <c r="CI37"/>
  <c r="CR37"/>
  <c r="BX37"/>
  <c r="AD37"/>
  <c r="CO37"/>
  <c r="BU37"/>
  <c r="CF37"/>
  <c r="DE37"/>
  <c r="BE37"/>
  <c r="J37"/>
  <c r="CD37"/>
  <c r="BS37"/>
  <c r="BR37"/>
  <c r="CJ37"/>
  <c r="CS37"/>
  <c r="AQ37"/>
  <c r="DA37"/>
  <c r="T37"/>
  <c r="BY37"/>
  <c r="AU37"/>
  <c r="BV37"/>
  <c r="CG37"/>
  <c r="AA37"/>
  <c r="CT37"/>
  <c r="AS37"/>
  <c r="M37"/>
  <c r="G37"/>
  <c r="K37"/>
  <c r="BD37"/>
  <c r="CH37"/>
  <c r="BH37"/>
  <c r="CV37"/>
  <c r="DC37"/>
  <c r="BB37"/>
  <c r="BZ37"/>
  <c r="AG37"/>
  <c r="S37"/>
  <c r="AW37"/>
  <c r="CK37"/>
  <c r="CB37"/>
  <c r="BA37"/>
  <c r="I37"/>
  <c r="AI37"/>
  <c r="AJ37"/>
  <c r="CN37"/>
  <c r="CU37"/>
  <c r="W37"/>
  <c r="L37"/>
  <c r="CW37"/>
  <c r="AR37"/>
  <c r="AY37"/>
  <c r="BI37"/>
  <c r="AF37"/>
  <c r="CQ37"/>
  <c r="Z37"/>
  <c r="AM37"/>
  <c r="AV37"/>
  <c r="AC37"/>
  <c r="AX37"/>
  <c r="X37"/>
  <c r="AP37"/>
  <c r="J38" l="1"/>
  <c r="G38"/>
  <c r="Q37"/>
  <c r="I38"/>
  <c r="K38"/>
  <c r="M38"/>
  <c r="O38"/>
  <c r="T38"/>
  <c r="V38"/>
  <c r="X38"/>
  <c r="Z38"/>
  <c r="AB38"/>
  <c r="AD38"/>
  <c r="AG38"/>
  <c r="AJ38"/>
  <c r="AM38"/>
  <c r="BF37"/>
  <c r="AO38"/>
  <c r="AQ38"/>
  <c r="AS38"/>
  <c r="AU38"/>
  <c r="AW38"/>
  <c r="AY38"/>
  <c r="BA38"/>
  <c r="BC38"/>
  <c r="BE38"/>
  <c r="BH38"/>
  <c r="BJ37"/>
  <c r="BO38"/>
  <c r="DH37"/>
  <c r="BQ38"/>
  <c r="BS38"/>
  <c r="BU38"/>
  <c r="BW38"/>
  <c r="BY38"/>
  <c r="CA38"/>
  <c r="CC38"/>
  <c r="CE38"/>
  <c r="CG38"/>
  <c r="CI38"/>
  <c r="CK38"/>
  <c r="CM38"/>
  <c r="CO38"/>
  <c r="CQ38"/>
  <c r="CS38"/>
  <c r="CU38"/>
  <c r="CW38"/>
  <c r="CY38"/>
  <c r="DA38"/>
  <c r="DC38"/>
  <c r="DE38"/>
  <c r="H38"/>
  <c r="L38"/>
  <c r="N38"/>
  <c r="P38"/>
  <c r="S38"/>
  <c r="AK37"/>
  <c r="U38"/>
  <c r="W38"/>
  <c r="Y38"/>
  <c r="AA38"/>
  <c r="AC38"/>
  <c r="AF38"/>
  <c r="AI38"/>
  <c r="AN38"/>
  <c r="AP38"/>
  <c r="AR38"/>
  <c r="AT38"/>
  <c r="AV38"/>
  <c r="AX38"/>
  <c r="AZ38"/>
  <c r="BB38"/>
  <c r="BD38"/>
  <c r="BI38"/>
  <c r="BP38"/>
  <c r="BR38"/>
  <c r="BT38"/>
  <c r="BV38"/>
  <c r="BX38"/>
  <c r="BZ38"/>
  <c r="CB38"/>
  <c r="CD38"/>
  <c r="CF38"/>
  <c r="CH38"/>
  <c r="CJ38"/>
  <c r="CL38"/>
  <c r="CN38"/>
  <c r="CP38"/>
  <c r="CR38"/>
  <c r="CT38"/>
  <c r="CV38"/>
  <c r="CX38"/>
  <c r="CZ38"/>
  <c r="DB38"/>
  <c r="DD38"/>
  <c r="DF38"/>
  <c r="DH38" l="1"/>
  <c r="BL37"/>
  <c r="AK38"/>
  <c r="BF38"/>
  <c r="Q38"/>
  <c r="D35" l="1"/>
  <c r="D34" l="1"/>
  <c r="DH33"/>
  <c r="BL33"/>
  <c r="BI34"/>
  <c r="BD34"/>
  <c r="BW34"/>
  <c r="BT34"/>
  <c r="AF34"/>
  <c r="BZ34"/>
  <c r="CJ34"/>
  <c r="T34"/>
  <c r="CL34"/>
  <c r="W34"/>
  <c r="CG34"/>
  <c r="DF34"/>
  <c r="AR34"/>
  <c r="DC34"/>
  <c r="AG34"/>
  <c r="CR34"/>
  <c r="BS34"/>
  <c r="CW34"/>
  <c r="CX34"/>
  <c r="BP34"/>
  <c r="BQ34"/>
  <c r="CN34"/>
  <c r="AZ34"/>
  <c r="DE34"/>
  <c r="AS34"/>
  <c r="CQ34"/>
  <c r="CO34"/>
  <c r="AP34"/>
  <c r="DA34"/>
  <c r="L34"/>
  <c r="CI34"/>
  <c r="BX34"/>
  <c r="CK34"/>
  <c r="CF34"/>
  <c r="CM34"/>
  <c r="AB34"/>
  <c r="M34"/>
  <c r="CH34"/>
  <c r="BU34"/>
  <c r="O34"/>
  <c r="CC34"/>
  <c r="X34"/>
  <c r="AO34"/>
  <c r="Z34"/>
  <c r="AX34"/>
  <c r="AU34"/>
  <c r="AD34"/>
  <c r="BR34"/>
  <c r="J34"/>
  <c r="CD34"/>
  <c r="CY34"/>
  <c r="S34"/>
  <c r="AI34"/>
  <c r="DB34"/>
  <c r="I34"/>
  <c r="AV34"/>
  <c r="CT34"/>
  <c r="AN34"/>
  <c r="Y34"/>
  <c r="BO34"/>
  <c r="DD34"/>
  <c r="AM34"/>
  <c r="CS34"/>
  <c r="CB34"/>
  <c r="CU34"/>
  <c r="CZ34"/>
  <c r="V34"/>
  <c r="BB34"/>
  <c r="BA34"/>
  <c r="BV34"/>
  <c r="AJ34"/>
  <c r="H34"/>
  <c r="AW34"/>
  <c r="CE34"/>
  <c r="AA34"/>
  <c r="G34"/>
  <c r="U34"/>
  <c r="CP34"/>
  <c r="BY34"/>
  <c r="K34"/>
  <c r="AT34"/>
  <c r="BC34"/>
  <c r="N34"/>
  <c r="AY34"/>
  <c r="CV34"/>
  <c r="CA34"/>
  <c r="AQ34"/>
  <c r="G35" l="1"/>
  <c r="K35"/>
  <c r="M35"/>
  <c r="O35"/>
  <c r="T35"/>
  <c r="V35"/>
  <c r="X35"/>
  <c r="Z35"/>
  <c r="AB35"/>
  <c r="AD35"/>
  <c r="AG35"/>
  <c r="AJ35"/>
  <c r="AM35"/>
  <c r="AO35"/>
  <c r="AQ35"/>
  <c r="AS35"/>
  <c r="AU35"/>
  <c r="AW35"/>
  <c r="AY35"/>
  <c r="BA35"/>
  <c r="BC35"/>
  <c r="BO35"/>
  <c r="DH34"/>
  <c r="BQ35"/>
  <c r="BS35"/>
  <c r="BU35"/>
  <c r="BW35"/>
  <c r="BY35"/>
  <c r="CA35"/>
  <c r="CC35"/>
  <c r="CE35"/>
  <c r="CG35"/>
  <c r="CI35"/>
  <c r="CK35"/>
  <c r="CM35"/>
  <c r="CO35"/>
  <c r="CQ35"/>
  <c r="CS35"/>
  <c r="CU35"/>
  <c r="CW35"/>
  <c r="CY35"/>
  <c r="DA35"/>
  <c r="DC35"/>
  <c r="DE35"/>
  <c r="I35"/>
  <c r="H35"/>
  <c r="J35"/>
  <c r="L35"/>
  <c r="N35"/>
  <c r="S35"/>
  <c r="U35"/>
  <c r="W35"/>
  <c r="Y35"/>
  <c r="AA35"/>
  <c r="AF35"/>
  <c r="AI35"/>
  <c r="AN35"/>
  <c r="AP35"/>
  <c r="AR35"/>
  <c r="AT35"/>
  <c r="AV35"/>
  <c r="AX35"/>
  <c r="AZ35"/>
  <c r="BB35"/>
  <c r="BD35"/>
  <c r="BI35"/>
  <c r="BP35"/>
  <c r="BR35"/>
  <c r="BT35"/>
  <c r="BV35"/>
  <c r="BX35"/>
  <c r="BZ35"/>
  <c r="CB35"/>
  <c r="CD35"/>
  <c r="CF35"/>
  <c r="CH35"/>
  <c r="CJ35"/>
  <c r="CL35"/>
  <c r="CN35"/>
  <c r="CP35"/>
  <c r="CR35"/>
  <c r="CT35"/>
  <c r="CV35"/>
  <c r="CX35"/>
  <c r="CZ35"/>
  <c r="DB35"/>
  <c r="DD35"/>
  <c r="DF35"/>
  <c r="DH35" l="1"/>
  <c r="D32" l="1"/>
  <c r="D30" l="1"/>
  <c r="D29"/>
  <c r="CK29"/>
  <c r="DA30"/>
  <c r="CK30"/>
  <c r="Y30"/>
  <c r="AQ29"/>
  <c r="CB29"/>
  <c r="AS29"/>
  <c r="BC30"/>
  <c r="DE30"/>
  <c r="AU30"/>
  <c r="S29"/>
  <c r="CB30"/>
  <c r="CF29"/>
  <c r="G29"/>
  <c r="BS29"/>
  <c r="CR30"/>
  <c r="DD30"/>
  <c r="J30"/>
  <c r="CY29"/>
  <c r="AT30"/>
  <c r="AQ30"/>
  <c r="AR29"/>
  <c r="O30"/>
  <c r="CZ29"/>
  <c r="AB29"/>
  <c r="BY30"/>
  <c r="BB30"/>
  <c r="W30"/>
  <c r="CQ29"/>
  <c r="CZ30"/>
  <c r="BI29"/>
  <c r="BO29"/>
  <c r="AJ29"/>
  <c r="DC29"/>
  <c r="CG29"/>
  <c r="BZ30"/>
  <c r="AC30"/>
  <c r="AF30"/>
  <c r="N29"/>
  <c r="I29"/>
  <c r="CA29"/>
  <c r="BU29"/>
  <c r="AD29"/>
  <c r="BD30"/>
  <c r="BA30"/>
  <c r="CH29"/>
  <c r="AN29"/>
  <c r="CL29"/>
  <c r="J29"/>
  <c r="M29"/>
  <c r="AT29"/>
  <c r="CQ30"/>
  <c r="I30"/>
  <c r="CJ29"/>
  <c r="CV30"/>
  <c r="CI30"/>
  <c r="CH30"/>
  <c r="AW30"/>
  <c r="U30"/>
  <c r="BO30"/>
  <c r="AP29"/>
  <c r="AC29"/>
  <c r="BC29"/>
  <c r="AX30"/>
  <c r="BV29"/>
  <c r="AA30"/>
  <c r="AI29"/>
  <c r="AV30"/>
  <c r="AI30"/>
  <c r="BT29"/>
  <c r="BX30"/>
  <c r="BE30"/>
  <c r="CD30"/>
  <c r="AM30"/>
  <c r="BR29"/>
  <c r="CW30"/>
  <c r="CG30"/>
  <c r="AY29"/>
  <c r="P29"/>
  <c r="BA29"/>
  <c r="CJ30"/>
  <c r="AO29"/>
  <c r="DB29"/>
  <c r="BH30"/>
  <c r="P30"/>
  <c r="AR30"/>
  <c r="BX29"/>
  <c r="DE29"/>
  <c r="CM30"/>
  <c r="AY30"/>
  <c r="AZ29"/>
  <c r="N30"/>
  <c r="BU30"/>
  <c r="L30"/>
  <c r="H29"/>
  <c r="CC29"/>
  <c r="AD30"/>
  <c r="AB30"/>
  <c r="CX29"/>
  <c r="BW29"/>
  <c r="BZ29"/>
  <c r="AO30"/>
  <c r="BT30"/>
  <c r="CS30"/>
  <c r="CU30"/>
  <c r="CN29"/>
  <c r="BQ30"/>
  <c r="V30"/>
  <c r="AF29"/>
  <c r="CO30"/>
  <c r="DA29"/>
  <c r="CR29"/>
  <c r="AU29"/>
  <c r="DF30"/>
  <c r="DF29"/>
  <c r="BW30"/>
  <c r="Z29"/>
  <c r="CP29"/>
  <c r="AX29"/>
  <c r="CE30"/>
  <c r="BR30"/>
  <c r="DC30"/>
  <c r="Z30"/>
  <c r="BS30"/>
  <c r="CT29"/>
  <c r="CO29"/>
  <c r="L29"/>
  <c r="X29"/>
  <c r="K30"/>
  <c r="CN30"/>
  <c r="CY30"/>
  <c r="BE29"/>
  <c r="BP29"/>
  <c r="S30"/>
  <c r="M30"/>
  <c r="AW29"/>
  <c r="CS29"/>
  <c r="W29"/>
  <c r="AJ30"/>
  <c r="G30"/>
  <c r="CX30"/>
  <c r="AS30"/>
  <c r="AG30"/>
  <c r="H30"/>
  <c r="BI30"/>
  <c r="CF30"/>
  <c r="AZ30"/>
  <c r="CC30"/>
  <c r="CL30"/>
  <c r="AN30"/>
  <c r="AM29"/>
  <c r="AA29"/>
  <c r="T30"/>
  <c r="Y29"/>
  <c r="CI29"/>
  <c r="T29"/>
  <c r="BQ29"/>
  <c r="BY29"/>
  <c r="DD29"/>
  <c r="AV29"/>
  <c r="CD29"/>
  <c r="K29"/>
  <c r="AP30"/>
  <c r="X30"/>
  <c r="BH29"/>
  <c r="DB30"/>
  <c r="BV30"/>
  <c r="U29"/>
  <c r="CE29"/>
  <c r="CT30"/>
  <c r="CP30"/>
  <c r="CM29"/>
  <c r="AG29"/>
  <c r="BB29"/>
  <c r="BP30"/>
  <c r="CA30"/>
  <c r="BD29"/>
  <c r="G31" l="1"/>
  <c r="I31"/>
  <c r="K31"/>
  <c r="M31"/>
  <c r="T31"/>
  <c r="X31"/>
  <c r="Z31"/>
  <c r="AB31"/>
  <c r="AD31"/>
  <c r="AG31"/>
  <c r="AJ31"/>
  <c r="AM31"/>
  <c r="BF29"/>
  <c r="AO31"/>
  <c r="AQ31"/>
  <c r="AS31"/>
  <c r="AU31"/>
  <c r="AW31"/>
  <c r="AY31"/>
  <c r="BA31"/>
  <c r="BC31"/>
  <c r="BE31"/>
  <c r="BH31"/>
  <c r="BJ29"/>
  <c r="BO31"/>
  <c r="BQ31"/>
  <c r="BS31"/>
  <c r="BU31"/>
  <c r="BW31"/>
  <c r="BY31"/>
  <c r="CA31"/>
  <c r="CC31"/>
  <c r="CE31"/>
  <c r="CG31"/>
  <c r="CI31"/>
  <c r="CK31"/>
  <c r="CM31"/>
  <c r="CO31"/>
  <c r="CQ31"/>
  <c r="CS31"/>
  <c r="CY31"/>
  <c r="DA31"/>
  <c r="DC31"/>
  <c r="DE31"/>
  <c r="Q30"/>
  <c r="H31"/>
  <c r="J31"/>
  <c r="L31"/>
  <c r="N31"/>
  <c r="P31"/>
  <c r="S31"/>
  <c r="U31"/>
  <c r="W31"/>
  <c r="Y31"/>
  <c r="AA31"/>
  <c r="AC31"/>
  <c r="AF31"/>
  <c r="AI31"/>
  <c r="AN31"/>
  <c r="AP31"/>
  <c r="AR31"/>
  <c r="AT31"/>
  <c r="AV31"/>
  <c r="AX31"/>
  <c r="AZ31"/>
  <c r="BB31"/>
  <c r="BD31"/>
  <c r="BI31"/>
  <c r="BP31"/>
  <c r="BR31"/>
  <c r="BT31"/>
  <c r="BV31"/>
  <c r="BX31"/>
  <c r="BZ31"/>
  <c r="CB31"/>
  <c r="CD31"/>
  <c r="CF31"/>
  <c r="CH31"/>
  <c r="CJ31"/>
  <c r="CL31"/>
  <c r="CN31"/>
  <c r="CP31"/>
  <c r="CR31"/>
  <c r="CT31"/>
  <c r="CX31"/>
  <c r="CZ31"/>
  <c r="DB31"/>
  <c r="DD31"/>
  <c r="DF31"/>
  <c r="AK30"/>
  <c r="BF30"/>
  <c r="DH30"/>
  <c r="BJ30"/>
  <c r="BL30" l="1"/>
  <c r="BF31"/>
  <c r="BJ31"/>
  <c r="D27" l="1"/>
  <c r="D26"/>
  <c r="AR27"/>
  <c r="S27"/>
  <c r="DD27"/>
  <c r="O27"/>
  <c r="BE27"/>
  <c r="L26"/>
  <c r="BD27"/>
  <c r="AM27"/>
  <c r="BX27"/>
  <c r="CW27"/>
  <c r="T26"/>
  <c r="AZ27"/>
  <c r="U26"/>
  <c r="CJ26"/>
  <c r="BW26"/>
  <c r="BY26"/>
  <c r="AF27"/>
  <c r="BC27"/>
  <c r="CJ27"/>
  <c r="BI27"/>
  <c r="BH27"/>
  <c r="BU25"/>
  <c r="CH25"/>
  <c r="CP26"/>
  <c r="Z27"/>
  <c r="Z26"/>
  <c r="AD27"/>
  <c r="AN27"/>
  <c r="CD27"/>
  <c r="DA26"/>
  <c r="CL27"/>
  <c r="X27"/>
  <c r="CN26"/>
  <c r="AT26"/>
  <c r="BE26"/>
  <c r="CK26"/>
  <c r="AI26"/>
  <c r="BB26"/>
  <c r="BB27"/>
  <c r="CM26"/>
  <c r="BR27"/>
  <c r="BD26"/>
  <c r="CZ25"/>
  <c r="CB26"/>
  <c r="CT25"/>
  <c r="CO27"/>
  <c r="BY25"/>
  <c r="G26"/>
  <c r="AX27"/>
  <c r="CF27"/>
  <c r="AJ26"/>
  <c r="BT27"/>
  <c r="CU27"/>
  <c r="AP27"/>
  <c r="BZ26"/>
  <c r="CB27"/>
  <c r="CE27"/>
  <c r="DD26"/>
  <c r="BT26"/>
  <c r="CC26"/>
  <c r="AG27"/>
  <c r="BQ26"/>
  <c r="AY26"/>
  <c r="Y26"/>
  <c r="DF27"/>
  <c r="AS26"/>
  <c r="S26"/>
  <c r="CK25"/>
  <c r="BO27"/>
  <c r="CG27"/>
  <c r="CV27"/>
  <c r="AV27"/>
  <c r="I27"/>
  <c r="CS27"/>
  <c r="CF26"/>
  <c r="CL25"/>
  <c r="BZ27"/>
  <c r="CP27"/>
  <c r="CR26"/>
  <c r="CZ27"/>
  <c r="CY25"/>
  <c r="CS25"/>
  <c r="BR26"/>
  <c r="CY26"/>
  <c r="AG26"/>
  <c r="BR25"/>
  <c r="DC26"/>
  <c r="DC27"/>
  <c r="J27"/>
  <c r="CA25"/>
  <c r="CB25"/>
  <c r="CN27"/>
  <c r="W26"/>
  <c r="P26"/>
  <c r="BA26"/>
  <c r="CD26"/>
  <c r="BA27"/>
  <c r="H27"/>
  <c r="CH26"/>
  <c r="AY27"/>
  <c r="M27"/>
  <c r="AM26"/>
  <c r="G27"/>
  <c r="CT26"/>
  <c r="AX26"/>
  <c r="AN26"/>
  <c r="CX25"/>
  <c r="CD25"/>
  <c r="H26"/>
  <c r="N27"/>
  <c r="V27"/>
  <c r="J26"/>
  <c r="AI27"/>
  <c r="CG25"/>
  <c r="DB25"/>
  <c r="CA27"/>
  <c r="AD26"/>
  <c r="DB26"/>
  <c r="CF25"/>
  <c r="Y27"/>
  <c r="CS26"/>
  <c r="AW26"/>
  <c r="CH27"/>
  <c r="L27"/>
  <c r="CR27"/>
  <c r="BU26"/>
  <c r="AO26"/>
  <c r="CE26"/>
  <c r="CM27"/>
  <c r="CM25"/>
  <c r="I26"/>
  <c r="CK27"/>
  <c r="AP26"/>
  <c r="CT27"/>
  <c r="CP25"/>
  <c r="BX26"/>
  <c r="AF26"/>
  <c r="BI26"/>
  <c r="AW27"/>
  <c r="BV25"/>
  <c r="BV27"/>
  <c r="BS25"/>
  <c r="BP26"/>
  <c r="CZ26"/>
  <c r="DD25"/>
  <c r="DA25"/>
  <c r="AU27"/>
  <c r="CY27"/>
  <c r="M26"/>
  <c r="BH26"/>
  <c r="BW27"/>
  <c r="BX25"/>
  <c r="BP27"/>
  <c r="CR25"/>
  <c r="O26"/>
  <c r="BS26"/>
  <c r="AU26"/>
  <c r="BW25"/>
  <c r="CO26"/>
  <c r="AV26"/>
  <c r="AC26"/>
  <c r="DC25"/>
  <c r="T27"/>
  <c r="CG26"/>
  <c r="AZ26"/>
  <c r="BU27"/>
  <c r="K27"/>
  <c r="BV26"/>
  <c r="CQ27"/>
  <c r="K26"/>
  <c r="DB27"/>
  <c r="CI25"/>
  <c r="DF26"/>
  <c r="AQ26"/>
  <c r="DA27"/>
  <c r="CC25"/>
  <c r="AB27"/>
  <c r="CQ25"/>
  <c r="AS27"/>
  <c r="CN25"/>
  <c r="CW25"/>
  <c r="P27"/>
  <c r="AC27"/>
  <c r="AR26"/>
  <c r="BQ27"/>
  <c r="CV25"/>
  <c r="CX27"/>
  <c r="CX26"/>
  <c r="BO26"/>
  <c r="U27"/>
  <c r="DE26"/>
  <c r="CJ25"/>
  <c r="W27"/>
  <c r="BY27"/>
  <c r="CE25"/>
  <c r="AQ27"/>
  <c r="X26"/>
  <c r="BC26"/>
  <c r="CI26"/>
  <c r="AA26"/>
  <c r="CQ26"/>
  <c r="DE27"/>
  <c r="CC27"/>
  <c r="CL26"/>
  <c r="CA26"/>
  <c r="AA27"/>
  <c r="CI27"/>
  <c r="BS27"/>
  <c r="AB26"/>
  <c r="CU25"/>
  <c r="AJ27"/>
  <c r="BT25"/>
  <c r="AO27"/>
  <c r="DE25"/>
  <c r="CO25"/>
  <c r="AT27"/>
  <c r="DF25"/>
  <c r="BZ25"/>
  <c r="H28" l="1"/>
  <c r="J28"/>
  <c r="L28"/>
  <c r="P28"/>
  <c r="S28"/>
  <c r="U28"/>
  <c r="W28"/>
  <c r="Y28"/>
  <c r="AA28"/>
  <c r="AC28"/>
  <c r="AF28"/>
  <c r="AI28"/>
  <c r="AN28"/>
  <c r="AP28"/>
  <c r="AR28"/>
  <c r="AT28"/>
  <c r="AV28"/>
  <c r="AX28"/>
  <c r="AZ28"/>
  <c r="BB28"/>
  <c r="BD28"/>
  <c r="BI28"/>
  <c r="BO28"/>
  <c r="BQ28"/>
  <c r="BS28"/>
  <c r="BU28"/>
  <c r="BW28"/>
  <c r="BY28"/>
  <c r="CA28"/>
  <c r="CC28"/>
  <c r="CE28"/>
  <c r="CG28"/>
  <c r="CI28"/>
  <c r="CK28"/>
  <c r="CM28"/>
  <c r="CO28"/>
  <c r="CQ28"/>
  <c r="CS28"/>
  <c r="CY28"/>
  <c r="DA28"/>
  <c r="DC28"/>
  <c r="DE28"/>
  <c r="Q27"/>
  <c r="G28"/>
  <c r="I28"/>
  <c r="K28"/>
  <c r="M28"/>
  <c r="O28"/>
  <c r="T28"/>
  <c r="X28"/>
  <c r="Z28"/>
  <c r="AB28"/>
  <c r="AD28"/>
  <c r="AG28"/>
  <c r="AJ28"/>
  <c r="AM28"/>
  <c r="BF26"/>
  <c r="AO28"/>
  <c r="AQ28"/>
  <c r="AS28"/>
  <c r="AU28"/>
  <c r="AW28"/>
  <c r="AY28"/>
  <c r="BA28"/>
  <c r="BC28"/>
  <c r="BE28"/>
  <c r="BH28"/>
  <c r="BJ26"/>
  <c r="BP28"/>
  <c r="BR28"/>
  <c r="BT28"/>
  <c r="BV28"/>
  <c r="BX28"/>
  <c r="BZ28"/>
  <c r="CB28"/>
  <c r="CD28"/>
  <c r="CF28"/>
  <c r="CH28"/>
  <c r="CJ28"/>
  <c r="CL28"/>
  <c r="CN28"/>
  <c r="CP28"/>
  <c r="CR28"/>
  <c r="CT28"/>
  <c r="CX28"/>
  <c r="CZ28"/>
  <c r="DB28"/>
  <c r="DD28"/>
  <c r="DF28"/>
  <c r="AK27"/>
  <c r="BF27"/>
  <c r="BJ27"/>
  <c r="DH27"/>
  <c r="BI25"/>
  <c r="BH25"/>
  <c r="BL27" l="1"/>
  <c r="BJ28"/>
  <c r="BJ25"/>
  <c r="BF28"/>
  <c r="H25"/>
  <c r="AA25"/>
  <c r="BB25"/>
  <c r="BA25"/>
  <c r="P25"/>
  <c r="X25"/>
  <c r="S25"/>
  <c r="I25"/>
  <c r="BD25"/>
  <c r="AB25"/>
  <c r="G25"/>
  <c r="AM25"/>
  <c r="AX25"/>
  <c r="AC25"/>
  <c r="Y25"/>
  <c r="K25"/>
  <c r="O25"/>
  <c r="AI25"/>
  <c r="AJ25"/>
  <c r="AW25"/>
  <c r="AR25"/>
  <c r="AN25"/>
  <c r="Z25"/>
  <c r="AG25"/>
  <c r="AY25"/>
  <c r="AU25"/>
  <c r="AD25"/>
  <c r="AQ25"/>
  <c r="BE25"/>
  <c r="BC25"/>
  <c r="AT25"/>
  <c r="AP25"/>
  <c r="AZ25"/>
  <c r="L25"/>
  <c r="U25"/>
  <c r="N25"/>
  <c r="W25"/>
  <c r="AV25"/>
  <c r="AO25"/>
  <c r="AS25"/>
  <c r="AF25"/>
  <c r="T25"/>
  <c r="J25"/>
  <c r="BF25" l="1"/>
  <c r="D25"/>
  <c r="D24"/>
  <c r="DH23"/>
  <c r="BL23"/>
  <c r="DF24"/>
  <c r="CU24"/>
  <c r="BA24"/>
  <c r="BZ24"/>
  <c r="CI24"/>
  <c r="BB24"/>
  <c r="CT24"/>
  <c r="BC24"/>
  <c r="CQ24"/>
  <c r="W24"/>
  <c r="AM24"/>
  <c r="BR24"/>
  <c r="AW24"/>
  <c r="BH24"/>
  <c r="AR24"/>
  <c r="N24"/>
  <c r="BT24"/>
  <c r="O24"/>
  <c r="CG24"/>
  <c r="AD24"/>
  <c r="DB24"/>
  <c r="CE24"/>
  <c r="CZ24"/>
  <c r="CF24"/>
  <c r="AT24"/>
  <c r="T24"/>
  <c r="Z24"/>
  <c r="BX24"/>
  <c r="CR24"/>
  <c r="AC24"/>
  <c r="CN24"/>
  <c r="CM24"/>
  <c r="CS24"/>
  <c r="AZ24"/>
  <c r="G24"/>
  <c r="AS24"/>
  <c r="U24"/>
  <c r="CC24"/>
  <c r="CK24"/>
  <c r="CP24"/>
  <c r="BY24"/>
  <c r="P24"/>
  <c r="CO24"/>
  <c r="DD24"/>
  <c r="DE24"/>
  <c r="BI24"/>
  <c r="CY24"/>
  <c r="BU24"/>
  <c r="H24"/>
  <c r="X24"/>
  <c r="AJ24"/>
  <c r="CJ24"/>
  <c r="AO24"/>
  <c r="AX24"/>
  <c r="CB24"/>
  <c r="CX24"/>
  <c r="AA24"/>
  <c r="CD24"/>
  <c r="BW24"/>
  <c r="DA24"/>
  <c r="AB24"/>
  <c r="I24"/>
  <c r="AI24"/>
  <c r="CV24"/>
  <c r="BV24"/>
  <c r="BS24"/>
  <c r="Y24"/>
  <c r="AF24"/>
  <c r="BD24"/>
  <c r="CL24"/>
  <c r="M24"/>
  <c r="AY24"/>
  <c r="AN24"/>
  <c r="CA24"/>
  <c r="DC24"/>
  <c r="AP24"/>
  <c r="AG24"/>
  <c r="CH24"/>
  <c r="CW24"/>
  <c r="AU24"/>
  <c r="AQ24"/>
  <c r="BE24"/>
  <c r="AV24"/>
  <c r="G32" l="1"/>
  <c r="I32"/>
  <c r="T32"/>
  <c r="X32"/>
  <c r="Z32"/>
  <c r="AB32"/>
  <c r="AJ32"/>
  <c r="AI32" s="1"/>
  <c r="AG32" s="1"/>
  <c r="AM32"/>
  <c r="BF24"/>
  <c r="AO32"/>
  <c r="AQ32"/>
  <c r="AS32"/>
  <c r="AU32"/>
  <c r="AW32"/>
  <c r="AY32"/>
  <c r="BA32"/>
  <c r="BC32"/>
  <c r="BE32"/>
  <c r="BH32"/>
  <c r="BJ24"/>
  <c r="BS32"/>
  <c r="BU32"/>
  <c r="BW32"/>
  <c r="BY32"/>
  <c r="CA32"/>
  <c r="CC32"/>
  <c r="CE32"/>
  <c r="CG32"/>
  <c r="CI32"/>
  <c r="CK32"/>
  <c r="CM32"/>
  <c r="CO32"/>
  <c r="CQ32"/>
  <c r="CS32"/>
  <c r="CY32"/>
  <c r="DA32"/>
  <c r="DC32"/>
  <c r="DE32"/>
  <c r="H32"/>
  <c r="P32"/>
  <c r="U32"/>
  <c r="W32"/>
  <c r="Y32"/>
  <c r="AA32"/>
  <c r="AC32"/>
  <c r="AF32"/>
  <c r="AD32" s="1"/>
  <c r="AN32"/>
  <c r="AP32"/>
  <c r="AR32"/>
  <c r="AT32"/>
  <c r="AV32"/>
  <c r="AX32"/>
  <c r="AZ32"/>
  <c r="BB32"/>
  <c r="BD32"/>
  <c r="BI32"/>
  <c r="BR32"/>
  <c r="BT32"/>
  <c r="BV32"/>
  <c r="BX32"/>
  <c r="BZ32"/>
  <c r="CB32"/>
  <c r="CD32"/>
  <c r="CF32"/>
  <c r="CH32"/>
  <c r="CJ32"/>
  <c r="CL32"/>
  <c r="CN32"/>
  <c r="CP32"/>
  <c r="CR32"/>
  <c r="CT32"/>
  <c r="CX32"/>
  <c r="CZ32"/>
  <c r="DB32"/>
  <c r="DD32"/>
  <c r="DF32"/>
  <c r="BF32" l="1"/>
  <c r="BJ32"/>
  <c r="D22" l="1"/>
  <c r="D21"/>
  <c r="DH20"/>
  <c r="BL20"/>
  <c r="CC21"/>
  <c r="AO21"/>
  <c r="AP21"/>
  <c r="AF21"/>
  <c r="CF21"/>
  <c r="AZ21"/>
  <c r="O21"/>
  <c r="CP21"/>
  <c r="DE21"/>
  <c r="AW21"/>
  <c r="M21"/>
  <c r="Z21"/>
  <c r="CR21"/>
  <c r="DD21"/>
  <c r="AD21"/>
  <c r="BB21"/>
  <c r="BH21"/>
  <c r="AG21"/>
  <c r="AV21"/>
  <c r="BC21"/>
  <c r="AY21"/>
  <c r="CT21"/>
  <c r="CM21"/>
  <c r="AM21"/>
  <c r="AJ21"/>
  <c r="BA21"/>
  <c r="CZ21"/>
  <c r="AN21"/>
  <c r="CB21"/>
  <c r="L21"/>
  <c r="Y21"/>
  <c r="BY21"/>
  <c r="CO21"/>
  <c r="CX21"/>
  <c r="X21"/>
  <c r="BS21"/>
  <c r="AQ21"/>
  <c r="CN21"/>
  <c r="T21"/>
  <c r="CD21"/>
  <c r="CW21"/>
  <c r="CY21"/>
  <c r="AX21"/>
  <c r="AC21"/>
  <c r="CH21"/>
  <c r="G21"/>
  <c r="DF21"/>
  <c r="H21"/>
  <c r="CL21"/>
  <c r="DB21"/>
  <c r="CQ21"/>
  <c r="J21"/>
  <c r="BT21"/>
  <c r="CA21"/>
  <c r="BD21"/>
  <c r="N21"/>
  <c r="BV21"/>
  <c r="CK21"/>
  <c r="CJ21"/>
  <c r="CS21"/>
  <c r="CI21"/>
  <c r="AI21"/>
  <c r="AU21"/>
  <c r="AA21"/>
  <c r="CU21"/>
  <c r="BW21"/>
  <c r="CE21"/>
  <c r="CV21"/>
  <c r="BX21"/>
  <c r="CG21"/>
  <c r="K21"/>
  <c r="BU21"/>
  <c r="AR21"/>
  <c r="BR21"/>
  <c r="AT21"/>
  <c r="BZ21"/>
  <c r="P21"/>
  <c r="DA21"/>
  <c r="AS21"/>
  <c r="BE21"/>
  <c r="BI21"/>
  <c r="M22" l="1"/>
  <c r="Z22"/>
  <c r="H22"/>
  <c r="J22"/>
  <c r="L22"/>
  <c r="N22"/>
  <c r="P22"/>
  <c r="Y22"/>
  <c r="AA22"/>
  <c r="AC22"/>
  <c r="AF22"/>
  <c r="AI22"/>
  <c r="AN22"/>
  <c r="AP22"/>
  <c r="AR22"/>
  <c r="AT22"/>
  <c r="AV22"/>
  <c r="AX22"/>
  <c r="AZ22"/>
  <c r="BB22"/>
  <c r="BD22"/>
  <c r="BI22"/>
  <c r="BS22"/>
  <c r="BU22"/>
  <c r="BW22"/>
  <c r="BY22"/>
  <c r="CA22"/>
  <c r="CC22"/>
  <c r="CE22"/>
  <c r="CG22"/>
  <c r="CI22"/>
  <c r="CK22"/>
  <c r="CM22"/>
  <c r="CO22"/>
  <c r="CQ22"/>
  <c r="CS22"/>
  <c r="CU22"/>
  <c r="CW22"/>
  <c r="CY22"/>
  <c r="DA22"/>
  <c r="DE22"/>
  <c r="G22"/>
  <c r="K22"/>
  <c r="O22"/>
  <c r="T22"/>
  <c r="X22"/>
  <c r="AD22"/>
  <c r="AG22"/>
  <c r="AJ22"/>
  <c r="AM22"/>
  <c r="BF21"/>
  <c r="AO22"/>
  <c r="AQ22"/>
  <c r="AS22"/>
  <c r="AU22"/>
  <c r="AW22"/>
  <c r="AY22"/>
  <c r="BA22"/>
  <c r="BC22"/>
  <c r="BE22"/>
  <c r="BH22"/>
  <c r="BJ21"/>
  <c r="BR22"/>
  <c r="BT22"/>
  <c r="BV22"/>
  <c r="BX22"/>
  <c r="BZ22"/>
  <c r="CB22"/>
  <c r="CD22"/>
  <c r="CF22"/>
  <c r="CH22"/>
  <c r="CJ22"/>
  <c r="CL22"/>
  <c r="CN22"/>
  <c r="CP22"/>
  <c r="CR22"/>
  <c r="CT22"/>
  <c r="CV22"/>
  <c r="CX22"/>
  <c r="CZ22"/>
  <c r="DB22"/>
  <c r="DD22"/>
  <c r="DF22"/>
  <c r="BJ22" l="1"/>
  <c r="BF22"/>
  <c r="D19" l="1"/>
  <c r="CJ18"/>
  <c r="CA18"/>
  <c r="CN18"/>
  <c r="CH18"/>
  <c r="CR18"/>
  <c r="CG18"/>
  <c r="BY18"/>
  <c r="CY18"/>
  <c r="CV18"/>
  <c r="BS18"/>
  <c r="DA18"/>
  <c r="BX18"/>
  <c r="CI18"/>
  <c r="CM18"/>
  <c r="CF18"/>
  <c r="CP18"/>
  <c r="DB18"/>
  <c r="CK18"/>
  <c r="DE18"/>
  <c r="CS18"/>
  <c r="DC18"/>
  <c r="CL18"/>
  <c r="CD18"/>
  <c r="CO18"/>
  <c r="BV18"/>
  <c r="BZ18"/>
  <c r="CU18"/>
  <c r="BR18"/>
  <c r="BO18"/>
  <c r="DF18"/>
  <c r="DD18"/>
  <c r="CW18"/>
  <c r="CZ18"/>
  <c r="BT18"/>
  <c r="CC18"/>
  <c r="BU18"/>
  <c r="CB18"/>
  <c r="CQ18"/>
  <c r="CT18"/>
  <c r="BW18"/>
  <c r="CE18"/>
  <c r="CX18"/>
  <c r="D18" l="1"/>
  <c r="D17"/>
  <c r="DH16"/>
  <c r="BL16"/>
  <c r="D15"/>
  <c r="BI18"/>
  <c r="AS17"/>
  <c r="CR17"/>
  <c r="DA17"/>
  <c r="CT17"/>
  <c r="N18"/>
  <c r="AS18"/>
  <c r="AA17"/>
  <c r="BA17"/>
  <c r="BB18"/>
  <c r="AT18"/>
  <c r="Y18"/>
  <c r="BU17"/>
  <c r="BT17"/>
  <c r="I17"/>
  <c r="M17"/>
  <c r="CJ17"/>
  <c r="CQ17"/>
  <c r="J18"/>
  <c r="AW18"/>
  <c r="BR17"/>
  <c r="CW17"/>
  <c r="BB17"/>
  <c r="CL17"/>
  <c r="CZ17"/>
  <c r="Y17"/>
  <c r="AG17"/>
  <c r="AZ17"/>
  <c r="CN17"/>
  <c r="O17"/>
  <c r="BX17"/>
  <c r="DC17"/>
  <c r="H17"/>
  <c r="L17"/>
  <c r="AD18"/>
  <c r="AF18"/>
  <c r="K18"/>
  <c r="CX17"/>
  <c r="AN18"/>
  <c r="BZ17"/>
  <c r="AP18"/>
  <c r="AQ17"/>
  <c r="AX18"/>
  <c r="CU17"/>
  <c r="BI17"/>
  <c r="DB17"/>
  <c r="M18"/>
  <c r="CV17"/>
  <c r="CK17"/>
  <c r="AJ17"/>
  <c r="AW17"/>
  <c r="X18"/>
  <c r="AA18"/>
  <c r="S18"/>
  <c r="AO18"/>
  <c r="BH17"/>
  <c r="L18"/>
  <c r="AB17"/>
  <c r="AV17"/>
  <c r="CH17"/>
  <c r="BE17"/>
  <c r="AX17"/>
  <c r="T18"/>
  <c r="N17"/>
  <c r="BC17"/>
  <c r="CY17"/>
  <c r="AF17"/>
  <c r="AV18"/>
  <c r="O18"/>
  <c r="BH18"/>
  <c r="S17"/>
  <c r="CA17"/>
  <c r="AM17"/>
  <c r="AI17"/>
  <c r="CB17"/>
  <c r="BD18"/>
  <c r="BP17"/>
  <c r="CO17"/>
  <c r="AC18"/>
  <c r="P18"/>
  <c r="AT17"/>
  <c r="CG17"/>
  <c r="J17"/>
  <c r="P17"/>
  <c r="AC17"/>
  <c r="AR18"/>
  <c r="AQ18"/>
  <c r="CF17"/>
  <c r="AJ18"/>
  <c r="U18"/>
  <c r="AB18"/>
  <c r="CM17"/>
  <c r="AY18"/>
  <c r="BA18"/>
  <c r="AU17"/>
  <c r="BC18"/>
  <c r="K17"/>
  <c r="BS17"/>
  <c r="X17"/>
  <c r="DE17"/>
  <c r="AP17"/>
  <c r="G18"/>
  <c r="CI17"/>
  <c r="AO17"/>
  <c r="AN17"/>
  <c r="CE17"/>
  <c r="CD17"/>
  <c r="G17"/>
  <c r="AG18"/>
  <c r="T17"/>
  <c r="BE18"/>
  <c r="BO17"/>
  <c r="CP17"/>
  <c r="CC17"/>
  <c r="BD17"/>
  <c r="DD17"/>
  <c r="H18"/>
  <c r="V18"/>
  <c r="AI18"/>
  <c r="AD17"/>
  <c r="BV17"/>
  <c r="V17"/>
  <c r="CS17"/>
  <c r="AY17"/>
  <c r="BY17"/>
  <c r="DF17"/>
  <c r="AZ18"/>
  <c r="U17"/>
  <c r="Z18"/>
  <c r="Z17"/>
  <c r="AU18"/>
  <c r="AR17"/>
  <c r="BW17"/>
  <c r="I18"/>
  <c r="AM18"/>
  <c r="H19" l="1"/>
  <c r="J19"/>
  <c r="L19"/>
  <c r="N19"/>
  <c r="P19"/>
  <c r="S19"/>
  <c r="U19"/>
  <c r="Y19"/>
  <c r="AA19"/>
  <c r="AC19"/>
  <c r="AF19"/>
  <c r="AI19"/>
  <c r="AN19"/>
  <c r="AP19"/>
  <c r="AR19"/>
  <c r="AT19"/>
  <c r="AV19"/>
  <c r="AX19"/>
  <c r="AZ19"/>
  <c r="BB19"/>
  <c r="BD19"/>
  <c r="BI19"/>
  <c r="BR19"/>
  <c r="BT19"/>
  <c r="BV19"/>
  <c r="BX19"/>
  <c r="BZ19"/>
  <c r="CB19"/>
  <c r="CD19"/>
  <c r="CF19"/>
  <c r="CH19"/>
  <c r="CJ19"/>
  <c r="CL19"/>
  <c r="CN19"/>
  <c r="CP19"/>
  <c r="CR19"/>
  <c r="CT19"/>
  <c r="CV19"/>
  <c r="CX19"/>
  <c r="CZ19"/>
  <c r="DB19"/>
  <c r="DD19"/>
  <c r="DF19"/>
  <c r="G19"/>
  <c r="Q17"/>
  <c r="I19"/>
  <c r="K19"/>
  <c r="M19"/>
  <c r="O19"/>
  <c r="T19"/>
  <c r="V19"/>
  <c r="X19"/>
  <c r="Z19"/>
  <c r="AB19"/>
  <c r="AD19"/>
  <c r="AG19"/>
  <c r="AJ19"/>
  <c r="AM19"/>
  <c r="BF17"/>
  <c r="AO19"/>
  <c r="AQ19"/>
  <c r="AS19"/>
  <c r="AU19"/>
  <c r="AW19"/>
  <c r="AY19"/>
  <c r="BA19"/>
  <c r="BC19"/>
  <c r="BE19"/>
  <c r="BH19"/>
  <c r="BJ17"/>
  <c r="BO19"/>
  <c r="BS19"/>
  <c r="BU19"/>
  <c r="BW19"/>
  <c r="BY19"/>
  <c r="CA19"/>
  <c r="CC19"/>
  <c r="CE19"/>
  <c r="CG19"/>
  <c r="CI19"/>
  <c r="CK19"/>
  <c r="CM19"/>
  <c r="CO19"/>
  <c r="CQ19"/>
  <c r="CS19"/>
  <c r="CU19"/>
  <c r="CW19"/>
  <c r="CY19"/>
  <c r="DA19"/>
  <c r="DC19"/>
  <c r="DE19"/>
  <c r="Q18"/>
  <c r="BF18"/>
  <c r="BJ18"/>
  <c r="N31" i="36"/>
  <c r="BJ19" i="77" l="1"/>
  <c r="BF19"/>
  <c r="Q19"/>
  <c r="D13" l="1"/>
  <c r="D12"/>
  <c r="CY13"/>
  <c r="J12"/>
  <c r="AR12"/>
  <c r="CP12"/>
  <c r="N12"/>
  <c r="AP12"/>
  <c r="BX13"/>
  <c r="AX13"/>
  <c r="CT13"/>
  <c r="DC12"/>
  <c r="AW13"/>
  <c r="CV13"/>
  <c r="DA13"/>
  <c r="O12"/>
  <c r="AR13"/>
  <c r="CC13"/>
  <c r="AJ13"/>
  <c r="CX13"/>
  <c r="L13"/>
  <c r="DA12"/>
  <c r="AT12"/>
  <c r="AM13"/>
  <c r="AW12"/>
  <c r="BP13"/>
  <c r="J13"/>
  <c r="Z12"/>
  <c r="P12"/>
  <c r="CE12"/>
  <c r="DD13"/>
  <c r="CH12"/>
  <c r="AC12"/>
  <c r="CT12"/>
  <c r="AS12"/>
  <c r="CP13"/>
  <c r="AV12"/>
  <c r="BX12"/>
  <c r="N13"/>
  <c r="AF12"/>
  <c r="CR12"/>
  <c r="BD12"/>
  <c r="CU13"/>
  <c r="BI13"/>
  <c r="BE12"/>
  <c r="BI12"/>
  <c r="CC12"/>
  <c r="BA13"/>
  <c r="BA12"/>
  <c r="AD13"/>
  <c r="CZ13"/>
  <c r="AG12"/>
  <c r="AF13"/>
  <c r="AD12"/>
  <c r="DE12"/>
  <c r="AP13"/>
  <c r="BS13"/>
  <c r="BQ13"/>
  <c r="BS12"/>
  <c r="BO13"/>
  <c r="BW13"/>
  <c r="BY12"/>
  <c r="DE13"/>
  <c r="M13"/>
  <c r="CL12"/>
  <c r="V13"/>
  <c r="CD13"/>
  <c r="DB13"/>
  <c r="AY12"/>
  <c r="AM12"/>
  <c r="K13"/>
  <c r="I13"/>
  <c r="CN12"/>
  <c r="CV12"/>
  <c r="CG12"/>
  <c r="Y13"/>
  <c r="BV12"/>
  <c r="CW12"/>
  <c r="CF13"/>
  <c r="CN13"/>
  <c r="Y12"/>
  <c r="AI12"/>
  <c r="H12"/>
  <c r="AO13"/>
  <c r="CX12"/>
  <c r="BC13"/>
  <c r="CY12"/>
  <c r="BR13"/>
  <c r="AQ12"/>
  <c r="CD12"/>
  <c r="AQ13"/>
  <c r="AG13"/>
  <c r="CA13"/>
  <c r="CO12"/>
  <c r="AJ12"/>
  <c r="DF13"/>
  <c r="BT12"/>
  <c r="L12"/>
  <c r="DD12"/>
  <c r="BU12"/>
  <c r="CA12"/>
  <c r="CG13"/>
  <c r="BW12"/>
  <c r="BH13"/>
  <c r="AZ12"/>
  <c r="CS13"/>
  <c r="AN13"/>
  <c r="CF12"/>
  <c r="Z13"/>
  <c r="BB12"/>
  <c r="S13"/>
  <c r="AA13"/>
  <c r="BU13"/>
  <c r="CH13"/>
  <c r="U13"/>
  <c r="CO13"/>
  <c r="AT13"/>
  <c r="O13"/>
  <c r="BT13"/>
  <c r="CU12"/>
  <c r="BY13"/>
  <c r="AU12"/>
  <c r="AB13"/>
  <c r="BV13"/>
  <c r="AY13"/>
  <c r="G13"/>
  <c r="CQ12"/>
  <c r="AX12"/>
  <c r="CS12"/>
  <c r="CI12"/>
  <c r="M12"/>
  <c r="CK13"/>
  <c r="X12"/>
  <c r="CQ13"/>
  <c r="AV13"/>
  <c r="BR12"/>
  <c r="CK12"/>
  <c r="CJ12"/>
  <c r="P13"/>
  <c r="AZ13"/>
  <c r="CI13"/>
  <c r="H13"/>
  <c r="BZ13"/>
  <c r="AS13"/>
  <c r="I12"/>
  <c r="CW13"/>
  <c r="CB13"/>
  <c r="CL13"/>
  <c r="CM12"/>
  <c r="BE13"/>
  <c r="AC13"/>
  <c r="CB12"/>
  <c r="CR13"/>
  <c r="W13"/>
  <c r="AA12"/>
  <c r="AN12"/>
  <c r="DC13"/>
  <c r="BB13"/>
  <c r="AI13"/>
  <c r="CJ13"/>
  <c r="DF12"/>
  <c r="K12"/>
  <c r="BZ12"/>
  <c r="T13"/>
  <c r="DB12"/>
  <c r="CE13"/>
  <c r="BD13"/>
  <c r="AO12"/>
  <c r="CM13"/>
  <c r="AU13"/>
  <c r="X13"/>
  <c r="CZ12"/>
  <c r="H14" l="1"/>
  <c r="J14"/>
  <c r="L14"/>
  <c r="N14"/>
  <c r="P14"/>
  <c r="Y14"/>
  <c r="AA14"/>
  <c r="AC14"/>
  <c r="AF14"/>
  <c r="AI14"/>
  <c r="AN14"/>
  <c r="AP14"/>
  <c r="AR14"/>
  <c r="AT14"/>
  <c r="AV14"/>
  <c r="AX14"/>
  <c r="AZ14"/>
  <c r="BB14"/>
  <c r="BD14"/>
  <c r="BI14"/>
  <c r="BR14"/>
  <c r="BT14"/>
  <c r="BV14"/>
  <c r="BX14"/>
  <c r="BZ14"/>
  <c r="CB14"/>
  <c r="CD14"/>
  <c r="CF14"/>
  <c r="CH14"/>
  <c r="CJ14"/>
  <c r="CL14"/>
  <c r="CN14"/>
  <c r="CP14"/>
  <c r="CR14"/>
  <c r="CT14"/>
  <c r="CV14"/>
  <c r="CX14"/>
  <c r="CZ14"/>
  <c r="DB14"/>
  <c r="DD14"/>
  <c r="DF14"/>
  <c r="Q13"/>
  <c r="I14"/>
  <c r="K14"/>
  <c r="M14"/>
  <c r="O14"/>
  <c r="X14"/>
  <c r="Z14"/>
  <c r="AD14"/>
  <c r="AG14"/>
  <c r="AJ14"/>
  <c r="AM14"/>
  <c r="AO14"/>
  <c r="AQ14"/>
  <c r="AS14"/>
  <c r="AU14"/>
  <c r="AW14"/>
  <c r="AY14"/>
  <c r="BA14"/>
  <c r="BE14"/>
  <c r="BS14"/>
  <c r="BU14"/>
  <c r="BW14"/>
  <c r="BY14"/>
  <c r="CA14"/>
  <c r="CC14"/>
  <c r="CE14"/>
  <c r="CG14"/>
  <c r="CI14"/>
  <c r="CK14"/>
  <c r="CM14"/>
  <c r="CO14"/>
  <c r="CQ14"/>
  <c r="CS14"/>
  <c r="CU14"/>
  <c r="CW14"/>
  <c r="CY14"/>
  <c r="DA14"/>
  <c r="DC14"/>
  <c r="DE14"/>
  <c r="AK13"/>
  <c r="BF13"/>
  <c r="BJ13"/>
  <c r="BL13" l="1"/>
  <c r="D10"/>
  <c r="CQ10"/>
  <c r="AX10"/>
  <c r="CO10"/>
  <c r="CU10"/>
  <c r="CT10"/>
  <c r="CS10"/>
  <c r="AS10"/>
  <c r="DC10"/>
  <c r="AV10"/>
  <c r="BT10"/>
  <c r="W10"/>
  <c r="O10"/>
  <c r="BZ10"/>
  <c r="DD10"/>
  <c r="BW10"/>
  <c r="T10"/>
  <c r="CP9"/>
  <c r="BZ9"/>
  <c r="BH9"/>
  <c r="CO9"/>
  <c r="CT9"/>
  <c r="AC10"/>
  <c r="CN9"/>
  <c r="BR9"/>
  <c r="AR10"/>
  <c r="CH10"/>
  <c r="H10"/>
  <c r="CR9"/>
  <c r="DE10"/>
  <c r="Z10"/>
  <c r="S10"/>
  <c r="Y10"/>
  <c r="AZ10"/>
  <c r="CW9"/>
  <c r="BI9"/>
  <c r="AM10"/>
  <c r="BS9"/>
  <c r="BX10"/>
  <c r="AF10"/>
  <c r="CE9"/>
  <c r="AB10"/>
  <c r="J10"/>
  <c r="CA10"/>
  <c r="BU9"/>
  <c r="CC9"/>
  <c r="BU10"/>
  <c r="AI10"/>
  <c r="BA10"/>
  <c r="CE10"/>
  <c r="CY10"/>
  <c r="CC10"/>
  <c r="I10"/>
  <c r="BV10"/>
  <c r="DF10"/>
  <c r="CJ10"/>
  <c r="CB10"/>
  <c r="G10"/>
  <c r="CD9"/>
  <c r="DA9"/>
  <c r="CL9"/>
  <c r="L10"/>
  <c r="CY9"/>
  <c r="CB9"/>
  <c r="CA9"/>
  <c r="BV9"/>
  <c r="M10"/>
  <c r="BI10"/>
  <c r="AY10"/>
  <c r="CZ10"/>
  <c r="BD10"/>
  <c r="BY9"/>
  <c r="CK10"/>
  <c r="BC10"/>
  <c r="CI9"/>
  <c r="BY10"/>
  <c r="BB10"/>
  <c r="DD9"/>
  <c r="CD10"/>
  <c r="K10"/>
  <c r="CL10"/>
  <c r="CR10"/>
  <c r="CU9"/>
  <c r="DB9"/>
  <c r="AW10"/>
  <c r="CF10"/>
  <c r="BR10"/>
  <c r="BH10"/>
  <c r="CF9"/>
  <c r="X10"/>
  <c r="P10"/>
  <c r="BQ10"/>
  <c r="CG10"/>
  <c r="CP10"/>
  <c r="CJ9"/>
  <c r="CK9"/>
  <c r="CZ9"/>
  <c r="AA10"/>
  <c r="BS10"/>
  <c r="CM9"/>
  <c r="CV10"/>
  <c r="AU10"/>
  <c r="CW10"/>
  <c r="CS9"/>
  <c r="AO10"/>
  <c r="N10"/>
  <c r="V10"/>
  <c r="AG10"/>
  <c r="CX10"/>
  <c r="AJ10"/>
  <c r="CX9"/>
  <c r="DE9"/>
  <c r="DC9"/>
  <c r="BO10"/>
  <c r="CQ9"/>
  <c r="DB10"/>
  <c r="BT9"/>
  <c r="CV9"/>
  <c r="AP10"/>
  <c r="CH9"/>
  <c r="CM10"/>
  <c r="AQ10"/>
  <c r="BW9"/>
  <c r="CN10"/>
  <c r="U10"/>
  <c r="BP10"/>
  <c r="AD10"/>
  <c r="AN10"/>
  <c r="CG9"/>
  <c r="DF9"/>
  <c r="CI10"/>
  <c r="DA10"/>
  <c r="BE10"/>
  <c r="AT10"/>
  <c r="BX9"/>
  <c r="BI11" l="1"/>
  <c r="BT11"/>
  <c r="BX11"/>
  <c r="CB11"/>
  <c r="CF11"/>
  <c r="CJ11"/>
  <c r="BH11"/>
  <c r="BJ9"/>
  <c r="BS11"/>
  <c r="BU11"/>
  <c r="BW11"/>
  <c r="BY11"/>
  <c r="CA11"/>
  <c r="CC11"/>
  <c r="CE11"/>
  <c r="CG11"/>
  <c r="CI11"/>
  <c r="CK11"/>
  <c r="CM11"/>
  <c r="CO11"/>
  <c r="CQ11"/>
  <c r="CS11"/>
  <c r="CU11"/>
  <c r="CW11"/>
  <c r="CY11"/>
  <c r="DA11"/>
  <c r="DC11"/>
  <c r="DE11"/>
  <c r="AK10"/>
  <c r="BR11"/>
  <c r="BV11"/>
  <c r="BZ11"/>
  <c r="CD11"/>
  <c r="CH11"/>
  <c r="CL11"/>
  <c r="CN11"/>
  <c r="CP11"/>
  <c r="CR11"/>
  <c r="CT11"/>
  <c r="CV11"/>
  <c r="CX11"/>
  <c r="CZ11"/>
  <c r="DB11"/>
  <c r="DD11"/>
  <c r="DF11"/>
  <c r="Q10"/>
  <c r="BF10"/>
  <c r="BJ10"/>
  <c r="D9"/>
  <c r="DC4"/>
  <c r="CY4"/>
  <c r="CU4"/>
  <c r="CQ4"/>
  <c r="CM4"/>
  <c r="CI4"/>
  <c r="CE4"/>
  <c r="CA4"/>
  <c r="BW4"/>
  <c r="BS4"/>
  <c r="BO4"/>
  <c r="BL4"/>
  <c r="BI4"/>
  <c r="BH4"/>
  <c r="BE4"/>
  <c r="BD4"/>
  <c r="BC4"/>
  <c r="BB4"/>
  <c r="BA4"/>
  <c r="AZ4"/>
  <c r="AY4"/>
  <c r="AX4"/>
  <c r="AW4"/>
  <c r="AV4"/>
  <c r="AU4"/>
  <c r="AT4"/>
  <c r="AS4"/>
  <c r="AR4"/>
  <c r="AQ4"/>
  <c r="AP4"/>
  <c r="AO4"/>
  <c r="AN4"/>
  <c r="AM4"/>
  <c r="AJ4"/>
  <c r="BD9"/>
  <c r="P9"/>
  <c r="AQ9"/>
  <c r="BE9"/>
  <c r="J9"/>
  <c r="AJ9"/>
  <c r="AF9"/>
  <c r="AM9"/>
  <c r="L9"/>
  <c r="AN9"/>
  <c r="AY9"/>
  <c r="N9"/>
  <c r="AX9"/>
  <c r="AW9"/>
  <c r="AG9"/>
  <c r="AS9"/>
  <c r="K9"/>
  <c r="AZ9"/>
  <c r="AP9"/>
  <c r="AR9"/>
  <c r="H9"/>
  <c r="AV9"/>
  <c r="I9"/>
  <c r="AO9"/>
  <c r="BB9"/>
  <c r="AC9"/>
  <c r="AU9"/>
  <c r="M9"/>
  <c r="X9"/>
  <c r="Z9"/>
  <c r="AA9"/>
  <c r="AD9"/>
  <c r="AT9"/>
  <c r="O9"/>
  <c r="BA9"/>
  <c r="Y9"/>
  <c r="BJ11" l="1"/>
  <c r="BL10"/>
  <c r="J11"/>
  <c r="N11"/>
  <c r="AA11"/>
  <c r="AF11"/>
  <c r="AN11"/>
  <c r="AR11"/>
  <c r="I11"/>
  <c r="K11"/>
  <c r="M11"/>
  <c r="O11"/>
  <c r="X11"/>
  <c r="Z11"/>
  <c r="AD11"/>
  <c r="AG11"/>
  <c r="AJ11"/>
  <c r="AM11"/>
  <c r="AO11"/>
  <c r="AQ11"/>
  <c r="AS11"/>
  <c r="AU11"/>
  <c r="AW11"/>
  <c r="AY11"/>
  <c r="BA11"/>
  <c r="BE11"/>
  <c r="H11"/>
  <c r="L11"/>
  <c r="P11"/>
  <c r="Y11"/>
  <c r="AC11"/>
  <c r="AP11"/>
  <c r="AT11"/>
  <c r="AV11"/>
  <c r="AX11"/>
  <c r="AZ11"/>
  <c r="BB11"/>
  <c r="BD11"/>
  <c r="AI4"/>
  <c r="AG4"/>
  <c r="AF4"/>
  <c r="AD4"/>
  <c r="AC4"/>
  <c r="AB4"/>
  <c r="AA4"/>
  <c r="Z4"/>
  <c r="Y4"/>
  <c r="X4"/>
  <c r="W4"/>
  <c r="V4"/>
  <c r="U4"/>
  <c r="T4"/>
  <c r="S4"/>
  <c r="P4"/>
  <c r="O4"/>
  <c r="N4"/>
  <c r="M4"/>
  <c r="L4"/>
  <c r="K4"/>
  <c r="J4"/>
  <c r="I4"/>
  <c r="H4"/>
  <c r="G4"/>
  <c r="E3"/>
  <c r="BL108" i="76"/>
  <c r="BL107"/>
  <c r="AM15" i="77" l="1"/>
  <c r="AM40" s="1"/>
  <c r="BL105" i="76"/>
  <c r="D104" l="1"/>
  <c r="BJ103" l="1"/>
  <c r="AR103"/>
  <c r="Q103"/>
  <c r="D103"/>
  <c r="D102"/>
  <c r="DH101"/>
  <c r="DH100"/>
  <c r="DF103"/>
  <c r="BV102"/>
  <c r="CV103"/>
  <c r="BW102"/>
  <c r="BX102"/>
  <c r="BP102"/>
  <c r="AM102"/>
  <c r="P102"/>
  <c r="BA102"/>
  <c r="AV102"/>
  <c r="CL103"/>
  <c r="BV103"/>
  <c r="CN102"/>
  <c r="CV102"/>
  <c r="BH102"/>
  <c r="CS102"/>
  <c r="DD102"/>
  <c r="K102"/>
  <c r="O102"/>
  <c r="AQ102"/>
  <c r="CZ103"/>
  <c r="AA102"/>
  <c r="G102"/>
  <c r="CF102"/>
  <c r="CC102"/>
  <c r="AP102"/>
  <c r="AC102"/>
  <c r="BQ103"/>
  <c r="DC103"/>
  <c r="AY102"/>
  <c r="CE102"/>
  <c r="BP103"/>
  <c r="CZ102"/>
  <c r="AI102"/>
  <c r="CM102"/>
  <c r="CB103"/>
  <c r="BO103"/>
  <c r="CE103"/>
  <c r="AU102"/>
  <c r="CM103"/>
  <c r="BZ103"/>
  <c r="CH102"/>
  <c r="AT102"/>
  <c r="AS102"/>
  <c r="AG102"/>
  <c r="CQ103"/>
  <c r="CX102"/>
  <c r="CJ102"/>
  <c r="CX103"/>
  <c r="CA102"/>
  <c r="DA103"/>
  <c r="BY102"/>
  <c r="DA102"/>
  <c r="CS103"/>
  <c r="I102"/>
  <c r="CK103"/>
  <c r="BS102"/>
  <c r="CQ102"/>
  <c r="AJ102"/>
  <c r="CL102"/>
  <c r="CU103"/>
  <c r="CT103"/>
  <c r="CN103"/>
  <c r="BQ102"/>
  <c r="BR102"/>
  <c r="CI103"/>
  <c r="CH103"/>
  <c r="BS103"/>
  <c r="N102"/>
  <c r="AN102"/>
  <c r="BT103"/>
  <c r="CA103"/>
  <c r="CR102"/>
  <c r="CO102"/>
  <c r="BY103"/>
  <c r="CR103"/>
  <c r="BE102"/>
  <c r="M102"/>
  <c r="CW102"/>
  <c r="AW102"/>
  <c r="BZ102"/>
  <c r="AR102"/>
  <c r="CD103"/>
  <c r="BC102"/>
  <c r="CY102"/>
  <c r="CG102"/>
  <c r="CW103"/>
  <c r="CU102"/>
  <c r="BU103"/>
  <c r="AF102"/>
  <c r="T102"/>
  <c r="CD102"/>
  <c r="DB102"/>
  <c r="L102"/>
  <c r="BR103"/>
  <c r="AD102"/>
  <c r="DE102"/>
  <c r="BO102"/>
  <c r="CY103"/>
  <c r="DD103"/>
  <c r="AX102"/>
  <c r="CJ103"/>
  <c r="CK102"/>
  <c r="DC102"/>
  <c r="CP103"/>
  <c r="CO103"/>
  <c r="BB102"/>
  <c r="AZ102"/>
  <c r="CB102"/>
  <c r="AO102"/>
  <c r="CP102"/>
  <c r="CT102"/>
  <c r="DE103"/>
  <c r="BW103"/>
  <c r="DF102"/>
  <c r="BU102"/>
  <c r="S102"/>
  <c r="CF103"/>
  <c r="AB102"/>
  <c r="CG103"/>
  <c r="BD102"/>
  <c r="J102"/>
  <c r="CC103"/>
  <c r="BX103"/>
  <c r="DB103"/>
  <c r="H102"/>
  <c r="CI102"/>
  <c r="I104" l="1"/>
  <c r="M104"/>
  <c r="H104"/>
  <c r="J104"/>
  <c r="L104"/>
  <c r="N104"/>
  <c r="P104"/>
  <c r="S104"/>
  <c r="AA104"/>
  <c r="AC104"/>
  <c r="AF104"/>
  <c r="AI104"/>
  <c r="AN104"/>
  <c r="AP104"/>
  <c r="AV104"/>
  <c r="AX104"/>
  <c r="AZ104"/>
  <c r="BB104"/>
  <c r="BD104"/>
  <c r="BO104"/>
  <c r="BQ104"/>
  <c r="BS104"/>
  <c r="BU104"/>
  <c r="BW104"/>
  <c r="BY104"/>
  <c r="CA104"/>
  <c r="CC104"/>
  <c r="CE104"/>
  <c r="CG104"/>
  <c r="CI104"/>
  <c r="CK104"/>
  <c r="CM104"/>
  <c r="CO104"/>
  <c r="CQ104"/>
  <c r="CS104"/>
  <c r="CU104"/>
  <c r="CW104"/>
  <c r="CY104"/>
  <c r="DA104"/>
  <c r="DC104"/>
  <c r="DE104"/>
  <c r="DH103"/>
  <c r="G104"/>
  <c r="Q102"/>
  <c r="K104"/>
  <c r="O104"/>
  <c r="AB104"/>
  <c r="AD104"/>
  <c r="AG104"/>
  <c r="AJ104"/>
  <c r="AM104"/>
  <c r="BF102"/>
  <c r="AO104"/>
  <c r="AW104"/>
  <c r="AY104"/>
  <c r="BA104"/>
  <c r="BC104"/>
  <c r="BE104"/>
  <c r="BH104"/>
  <c r="BP104"/>
  <c r="BR104"/>
  <c r="BV104"/>
  <c r="BX104"/>
  <c r="BZ104"/>
  <c r="CB104"/>
  <c r="CD104"/>
  <c r="CF104"/>
  <c r="CH104"/>
  <c r="CJ104"/>
  <c r="CL104"/>
  <c r="CN104"/>
  <c r="CP104"/>
  <c r="CR104"/>
  <c r="CT104"/>
  <c r="CV104"/>
  <c r="CX104"/>
  <c r="CZ104"/>
  <c r="DB104"/>
  <c r="DD104"/>
  <c r="DF104"/>
  <c r="Q104" l="1"/>
  <c r="D99" l="1"/>
  <c r="CJ98"/>
  <c r="BX98"/>
  <c r="CQ98"/>
  <c r="CF98"/>
  <c r="DA98"/>
  <c r="CW98"/>
  <c r="CD98"/>
  <c r="DE98"/>
  <c r="BS98"/>
  <c r="CX98"/>
  <c r="CR98"/>
  <c r="BY98"/>
  <c r="CC98"/>
  <c r="CZ98"/>
  <c r="CH98"/>
  <c r="BV98"/>
  <c r="CU98"/>
  <c r="CK98"/>
  <c r="BT98"/>
  <c r="CS98"/>
  <c r="DF98"/>
  <c r="CI98"/>
  <c r="BR98"/>
  <c r="BU98"/>
  <c r="CV98"/>
  <c r="CN98"/>
  <c r="CG98"/>
  <c r="DD98"/>
  <c r="CE98"/>
  <c r="DC98"/>
  <c r="CB98"/>
  <c r="DB98"/>
  <c r="BQ98"/>
  <c r="BO98"/>
  <c r="CM98"/>
  <c r="CT98"/>
  <c r="BZ98"/>
  <c r="CO98"/>
  <c r="BW98"/>
  <c r="CA98"/>
  <c r="CP98"/>
  <c r="CL98"/>
  <c r="BP98"/>
  <c r="D98" l="1"/>
  <c r="DH97"/>
  <c r="D96"/>
  <c r="DH95"/>
  <c r="DH94"/>
  <c r="BL94"/>
  <c r="AI96"/>
  <c r="CG96"/>
  <c r="CM96"/>
  <c r="AB96"/>
  <c r="G96"/>
  <c r="BA98"/>
  <c r="AU96"/>
  <c r="AS98"/>
  <c r="W98"/>
  <c r="BA96"/>
  <c r="K98"/>
  <c r="Y98"/>
  <c r="T98"/>
  <c r="CZ96"/>
  <c r="CC96"/>
  <c r="AO96"/>
  <c r="BC98"/>
  <c r="AO98"/>
  <c r="AI98"/>
  <c r="AV98"/>
  <c r="CS96"/>
  <c r="BW96"/>
  <c r="CE96"/>
  <c r="BB96"/>
  <c r="AW98"/>
  <c r="AD98"/>
  <c r="AG98"/>
  <c r="BS96"/>
  <c r="AC98"/>
  <c r="BB98"/>
  <c r="DC96"/>
  <c r="M96"/>
  <c r="AN96"/>
  <c r="CL96"/>
  <c r="CR96"/>
  <c r="AR96"/>
  <c r="BX96"/>
  <c r="Y96"/>
  <c r="BE96"/>
  <c r="DE96"/>
  <c r="BR96"/>
  <c r="AS96"/>
  <c r="L96"/>
  <c r="J98"/>
  <c r="DD96"/>
  <c r="AV96"/>
  <c r="AZ96"/>
  <c r="AR98"/>
  <c r="T96"/>
  <c r="S98"/>
  <c r="AA98"/>
  <c r="DF96"/>
  <c r="CD96"/>
  <c r="Z98"/>
  <c r="AN98"/>
  <c r="AA96"/>
  <c r="CJ96"/>
  <c r="BT96"/>
  <c r="I96"/>
  <c r="O98"/>
  <c r="DA96"/>
  <c r="AB98"/>
  <c r="I98"/>
  <c r="L98"/>
  <c r="N98"/>
  <c r="BI98"/>
  <c r="CQ96"/>
  <c r="BQ96"/>
  <c r="AX96"/>
  <c r="CB96"/>
  <c r="J96"/>
  <c r="BV96"/>
  <c r="CW96"/>
  <c r="Z96"/>
  <c r="P96"/>
  <c r="CP96"/>
  <c r="CA96"/>
  <c r="BI96"/>
  <c r="CV96"/>
  <c r="BU96"/>
  <c r="BD96"/>
  <c r="CN96"/>
  <c r="AY98"/>
  <c r="K96"/>
  <c r="CH96"/>
  <c r="AQ96"/>
  <c r="CO96"/>
  <c r="CK96"/>
  <c r="AC96"/>
  <c r="AM96"/>
  <c r="DB96"/>
  <c r="M98"/>
  <c r="AT98"/>
  <c r="AX98"/>
  <c r="AM98"/>
  <c r="AU98"/>
  <c r="CI96"/>
  <c r="BE98"/>
  <c r="CT96"/>
  <c r="BO96"/>
  <c r="CF96"/>
  <c r="G98"/>
  <c r="CX96"/>
  <c r="AZ98"/>
  <c r="BC96"/>
  <c r="BP96"/>
  <c r="AQ98"/>
  <c r="H98"/>
  <c r="N96"/>
  <c r="AJ96"/>
  <c r="AY96"/>
  <c r="AP96"/>
  <c r="H96"/>
  <c r="X98"/>
  <c r="AJ98"/>
  <c r="AW96"/>
  <c r="BD98"/>
  <c r="O96"/>
  <c r="CU96"/>
  <c r="AF98"/>
  <c r="BZ96"/>
  <c r="BY96"/>
  <c r="AT96"/>
  <c r="BH98"/>
  <c r="P98"/>
  <c r="X96"/>
  <c r="S96"/>
  <c r="G99" l="1"/>
  <c r="Q96"/>
  <c r="K99"/>
  <c r="H99"/>
  <c r="J99"/>
  <c r="L99"/>
  <c r="N99"/>
  <c r="P99"/>
  <c r="S99"/>
  <c r="Y99"/>
  <c r="AA99"/>
  <c r="AC99"/>
  <c r="AI99"/>
  <c r="AN99"/>
  <c r="AR99"/>
  <c r="AT99"/>
  <c r="AV99"/>
  <c r="AX99"/>
  <c r="AZ99"/>
  <c r="BB99"/>
  <c r="BD99"/>
  <c r="BI99"/>
  <c r="BO99"/>
  <c r="BQ99"/>
  <c r="BS99"/>
  <c r="BU99"/>
  <c r="BW99"/>
  <c r="BY99"/>
  <c r="CA99"/>
  <c r="CC99"/>
  <c r="CE99"/>
  <c r="CG99"/>
  <c r="CI99"/>
  <c r="CK99"/>
  <c r="CM99"/>
  <c r="CO99"/>
  <c r="CQ99"/>
  <c r="CS99"/>
  <c r="CU99"/>
  <c r="CW99"/>
  <c r="DA99"/>
  <c r="DC99"/>
  <c r="DE99"/>
  <c r="Q98"/>
  <c r="I99"/>
  <c r="M99"/>
  <c r="O99"/>
  <c r="T99"/>
  <c r="X99"/>
  <c r="Z99"/>
  <c r="AB99"/>
  <c r="AJ99"/>
  <c r="AM99"/>
  <c r="BF96"/>
  <c r="AO99"/>
  <c r="AQ99"/>
  <c r="AS99"/>
  <c r="AU99"/>
  <c r="AW99"/>
  <c r="AY99"/>
  <c r="BA99"/>
  <c r="BC99"/>
  <c r="BE99"/>
  <c r="BP99"/>
  <c r="BR99"/>
  <c r="BT99"/>
  <c r="BV99"/>
  <c r="BX99"/>
  <c r="BZ99"/>
  <c r="CB99"/>
  <c r="CD99"/>
  <c r="CF99"/>
  <c r="CH99"/>
  <c r="CJ99"/>
  <c r="CL99"/>
  <c r="CN99"/>
  <c r="CP99"/>
  <c r="CR99"/>
  <c r="CT99"/>
  <c r="CV99"/>
  <c r="CX99"/>
  <c r="CZ99"/>
  <c r="DB99"/>
  <c r="DD99"/>
  <c r="DF99"/>
  <c r="BJ98"/>
  <c r="Q99" l="1"/>
  <c r="D93" l="1"/>
  <c r="BQ92"/>
  <c r="CD92"/>
  <c r="CY92"/>
  <c r="BZ92"/>
  <c r="CN92"/>
  <c r="BV92"/>
  <c r="BX92"/>
  <c r="CX92"/>
  <c r="CU92"/>
  <c r="BY92"/>
  <c r="CT92"/>
  <c r="CE92"/>
  <c r="CG92"/>
  <c r="DE92"/>
  <c r="CC92"/>
  <c r="BU92"/>
  <c r="BS92"/>
  <c r="CR92"/>
  <c r="CL92"/>
  <c r="BP92"/>
  <c r="CP92"/>
  <c r="CZ92"/>
  <c r="DF92"/>
  <c r="BW92"/>
  <c r="CQ92"/>
  <c r="CV92"/>
  <c r="CJ92"/>
  <c r="DD92"/>
  <c r="CB92"/>
  <c r="CH92"/>
  <c r="CF92"/>
  <c r="CO92"/>
  <c r="CI92"/>
  <c r="CM92"/>
  <c r="CW92"/>
  <c r="BO92"/>
  <c r="BT92"/>
  <c r="DB92"/>
  <c r="CA92"/>
  <c r="CS92"/>
  <c r="CK92"/>
  <c r="BR92"/>
  <c r="DC92"/>
  <c r="DA92"/>
  <c r="D92" l="1"/>
  <c r="Z92"/>
  <c r="CE91"/>
  <c r="BB92"/>
  <c r="AZ92"/>
  <c r="CY91"/>
  <c r="CU91"/>
  <c r="AC92"/>
  <c r="AQ92"/>
  <c r="AF92"/>
  <c r="M92"/>
  <c r="BQ91"/>
  <c r="AT92"/>
  <c r="BY91"/>
  <c r="BW91"/>
  <c r="BH91"/>
  <c r="BR91"/>
  <c r="CN91"/>
  <c r="AU92"/>
  <c r="CS91"/>
  <c r="AD92"/>
  <c r="BS91"/>
  <c r="BX91"/>
  <c r="CM91"/>
  <c r="BZ91"/>
  <c r="K92"/>
  <c r="AJ92"/>
  <c r="J92"/>
  <c r="V92"/>
  <c r="L92"/>
  <c r="CP91"/>
  <c r="CW91"/>
  <c r="CO91"/>
  <c r="AX92"/>
  <c r="AS92"/>
  <c r="AG92"/>
  <c r="DF91"/>
  <c r="CR91"/>
  <c r="CH91"/>
  <c r="BP91"/>
  <c r="AN92"/>
  <c r="DD91"/>
  <c r="CA91"/>
  <c r="CX91"/>
  <c r="G92"/>
  <c r="AO92"/>
  <c r="CF91"/>
  <c r="CZ91"/>
  <c r="CQ91"/>
  <c r="CK91"/>
  <c r="W92"/>
  <c r="AA92"/>
  <c r="I92"/>
  <c r="H92"/>
  <c r="DB91"/>
  <c r="AV92"/>
  <c r="S92"/>
  <c r="BA92"/>
  <c r="BI92"/>
  <c r="BC92"/>
  <c r="BT91"/>
  <c r="BD92"/>
  <c r="BE92"/>
  <c r="BU91"/>
  <c r="CL91"/>
  <c r="CC91"/>
  <c r="Y92"/>
  <c r="CD91"/>
  <c r="X92"/>
  <c r="AR92"/>
  <c r="AB92"/>
  <c r="AI92"/>
  <c r="CG91"/>
  <c r="DA91"/>
  <c r="AP92"/>
  <c r="CT91"/>
  <c r="BO91"/>
  <c r="DC91"/>
  <c r="BV91"/>
  <c r="CB91"/>
  <c r="O92"/>
  <c r="AY92"/>
  <c r="CV91"/>
  <c r="P92"/>
  <c r="AW92"/>
  <c r="AM92"/>
  <c r="CJ91"/>
  <c r="U92"/>
  <c r="DE91"/>
  <c r="N92"/>
  <c r="CI91"/>
  <c r="Q92" l="1"/>
  <c r="BF92"/>
  <c r="AM91"/>
  <c r="AU91"/>
  <c r="X91"/>
  <c r="Z91"/>
  <c r="BB91"/>
  <c r="AT91"/>
  <c r="AS91"/>
  <c r="BE91"/>
  <c r="AN91"/>
  <c r="AF91"/>
  <c r="W91"/>
  <c r="BC91"/>
  <c r="U91"/>
  <c r="BD91"/>
  <c r="Y91"/>
  <c r="V91"/>
  <c r="AQ91"/>
  <c r="AZ91"/>
  <c r="BA91"/>
  <c r="AC91"/>
  <c r="AJ91"/>
  <c r="AA91"/>
  <c r="AV91"/>
  <c r="AI91"/>
  <c r="AR91"/>
  <c r="AY91"/>
  <c r="AB91"/>
  <c r="AP91"/>
  <c r="AX91"/>
  <c r="AW91"/>
  <c r="AO91"/>
  <c r="S91"/>
  <c r="AD91"/>
  <c r="AG91"/>
  <c r="BF91" l="1"/>
  <c r="D91"/>
  <c r="BL90"/>
  <c r="D89"/>
  <c r="BL87"/>
  <c r="BL86"/>
  <c r="BL85"/>
  <c r="BF83"/>
  <c r="BX89"/>
  <c r="P91"/>
  <c r="CD89"/>
  <c r="BD89"/>
  <c r="L89"/>
  <c r="AR89"/>
  <c r="J89"/>
  <c r="K89"/>
  <c r="BU89"/>
  <c r="Y89"/>
  <c r="CW89"/>
  <c r="AS89"/>
  <c r="G89"/>
  <c r="AY89"/>
  <c r="CT89"/>
  <c r="DC89"/>
  <c r="AP89"/>
  <c r="CG89"/>
  <c r="AN89"/>
  <c r="BT89"/>
  <c r="DB89"/>
  <c r="BV89"/>
  <c r="AO89"/>
  <c r="CP89"/>
  <c r="AW89"/>
  <c r="BO89"/>
  <c r="BH89"/>
  <c r="BP89"/>
  <c r="CH89"/>
  <c r="H91"/>
  <c r="CO89"/>
  <c r="CN89"/>
  <c r="CC89"/>
  <c r="N91"/>
  <c r="O89"/>
  <c r="CJ89"/>
  <c r="BR89"/>
  <c r="DF89"/>
  <c r="AV89"/>
  <c r="BC89"/>
  <c r="BB89"/>
  <c r="J91"/>
  <c r="CX89"/>
  <c r="AJ89"/>
  <c r="AB89"/>
  <c r="AI89"/>
  <c r="G91"/>
  <c r="CU89"/>
  <c r="AZ89"/>
  <c r="BA89"/>
  <c r="AU89"/>
  <c r="BY89"/>
  <c r="CE89"/>
  <c r="CS89"/>
  <c r="CA89"/>
  <c r="M89"/>
  <c r="V89"/>
  <c r="L91"/>
  <c r="H89"/>
  <c r="BS89"/>
  <c r="BQ89"/>
  <c r="AT89"/>
  <c r="CY89"/>
  <c r="W89"/>
  <c r="CK89"/>
  <c r="I89"/>
  <c r="CZ89"/>
  <c r="I91"/>
  <c r="CM89"/>
  <c r="M91"/>
  <c r="AF89"/>
  <c r="AM89"/>
  <c r="N89"/>
  <c r="Z89"/>
  <c r="CL89"/>
  <c r="CV89"/>
  <c r="X89"/>
  <c r="CF89"/>
  <c r="AD89"/>
  <c r="K91"/>
  <c r="AG89"/>
  <c r="BI89"/>
  <c r="AQ89"/>
  <c r="BW89"/>
  <c r="DD89"/>
  <c r="CR89"/>
  <c r="CI89"/>
  <c r="BZ89"/>
  <c r="BE89"/>
  <c r="CQ89"/>
  <c r="O91"/>
  <c r="AC89"/>
  <c r="AA89"/>
  <c r="T89"/>
  <c r="S89"/>
  <c r="P89"/>
  <c r="CB89"/>
  <c r="AX89"/>
  <c r="DA89"/>
  <c r="U89"/>
  <c r="DE89"/>
  <c r="H93" l="1"/>
  <c r="J93"/>
  <c r="J106" s="1"/>
  <c r="L93"/>
  <c r="L106" s="1"/>
  <c r="N93"/>
  <c r="P93"/>
  <c r="S93"/>
  <c r="AK89"/>
  <c r="U93"/>
  <c r="W93"/>
  <c r="Y93"/>
  <c r="AA93"/>
  <c r="AC93"/>
  <c r="AF93"/>
  <c r="AI93"/>
  <c r="AN93"/>
  <c r="AP93"/>
  <c r="AR93"/>
  <c r="AT93"/>
  <c r="AV93"/>
  <c r="AX93"/>
  <c r="AX106" s="1"/>
  <c r="AZ93"/>
  <c r="BB93"/>
  <c r="BB106" s="1"/>
  <c r="BD93"/>
  <c r="BO93"/>
  <c r="BQ93"/>
  <c r="BS93"/>
  <c r="BU93"/>
  <c r="BW93"/>
  <c r="BY93"/>
  <c r="CA93"/>
  <c r="CC93"/>
  <c r="CE93"/>
  <c r="CG93"/>
  <c r="CI93"/>
  <c r="CK93"/>
  <c r="CM93"/>
  <c r="CO93"/>
  <c r="CQ93"/>
  <c r="CS93"/>
  <c r="CU93"/>
  <c r="CW93"/>
  <c r="CW106" s="1"/>
  <c r="CY93"/>
  <c r="DA93"/>
  <c r="DC93"/>
  <c r="DE93"/>
  <c r="Q91"/>
  <c r="G93"/>
  <c r="Q89"/>
  <c r="I93"/>
  <c r="K93"/>
  <c r="M93"/>
  <c r="O93"/>
  <c r="V93"/>
  <c r="X93"/>
  <c r="Z93"/>
  <c r="AB93"/>
  <c r="AD93"/>
  <c r="AG93"/>
  <c r="AJ93"/>
  <c r="AM93"/>
  <c r="BF89"/>
  <c r="AO93"/>
  <c r="AQ93"/>
  <c r="AS93"/>
  <c r="AU93"/>
  <c r="AW93"/>
  <c r="AY93"/>
  <c r="BA93"/>
  <c r="BC93"/>
  <c r="BE93"/>
  <c r="BJ89"/>
  <c r="BP93"/>
  <c r="BR93"/>
  <c r="BT93"/>
  <c r="BV93"/>
  <c r="BX93"/>
  <c r="BZ93"/>
  <c r="CB93"/>
  <c r="CD93"/>
  <c r="CF93"/>
  <c r="CH93"/>
  <c r="CJ93"/>
  <c r="CL93"/>
  <c r="CN93"/>
  <c r="CP93"/>
  <c r="CR93"/>
  <c r="CT93"/>
  <c r="CV93"/>
  <c r="CV106" s="1"/>
  <c r="CX93"/>
  <c r="CZ93"/>
  <c r="DB93"/>
  <c r="DD93"/>
  <c r="DF93"/>
  <c r="O110" i="59"/>
  <c r="I106" i="76" l="1"/>
  <c r="H106" s="1"/>
  <c r="G106" s="1"/>
  <c r="BL89"/>
  <c r="BA106"/>
  <c r="AZ106" s="1"/>
  <c r="AW106"/>
  <c r="AV106" s="1"/>
  <c r="CU106"/>
  <c r="CT106" s="1"/>
  <c r="CS106" s="1"/>
  <c r="CR106" s="1"/>
  <c r="CQ106" s="1"/>
  <c r="CP106" s="1"/>
  <c r="CO106" s="1"/>
  <c r="CN106" s="1"/>
  <c r="CM106" s="1"/>
  <c r="CL106" s="1"/>
  <c r="CK106" s="1"/>
  <c r="CJ106" s="1"/>
  <c r="CI106" s="1"/>
  <c r="CH106" s="1"/>
  <c r="CG106" s="1"/>
  <c r="CF106" s="1"/>
  <c r="CE106" s="1"/>
  <c r="CD106" s="1"/>
  <c r="CC106" s="1"/>
  <c r="CB106" s="1"/>
  <c r="CA106" s="1"/>
  <c r="BZ106" s="1"/>
  <c r="BY106" s="1"/>
  <c r="BX106" s="1"/>
  <c r="BW106" s="1"/>
  <c r="BV106" s="1"/>
  <c r="BU106" s="1"/>
  <c r="BO106"/>
  <c r="DH93"/>
  <c r="AY106"/>
  <c r="BF93"/>
  <c r="Q93"/>
  <c r="K106"/>
  <c r="D82" l="1"/>
  <c r="DF81"/>
  <c r="CU81"/>
  <c r="CG81"/>
  <c r="CF81"/>
  <c r="BX81"/>
  <c r="BS81"/>
  <c r="CC81"/>
  <c r="CI81"/>
  <c r="CP81"/>
  <c r="CV81"/>
  <c r="BY81"/>
  <c r="DD81"/>
  <c r="CA81"/>
  <c r="BT81"/>
  <c r="BU81"/>
  <c r="DC81"/>
  <c r="DA81"/>
  <c r="CT81"/>
  <c r="CH81"/>
  <c r="BZ81"/>
  <c r="CW81"/>
  <c r="CX81"/>
  <c r="CK81"/>
  <c r="BW81"/>
  <c r="CN81"/>
  <c r="CR81"/>
  <c r="CQ81"/>
  <c r="CY81"/>
  <c r="CE81"/>
  <c r="CJ81"/>
  <c r="CL81"/>
  <c r="CB81"/>
  <c r="CO81"/>
  <c r="BV81"/>
  <c r="CD81"/>
  <c r="CS81"/>
  <c r="CZ81"/>
  <c r="BR81"/>
  <c r="DB81"/>
  <c r="CM81"/>
  <c r="DE81"/>
  <c r="D81" l="1"/>
  <c r="DH80"/>
  <c r="BL80"/>
  <c r="D79"/>
  <c r="DH78"/>
  <c r="BL78"/>
  <c r="DH77"/>
  <c r="BL77"/>
  <c r="DF79"/>
  <c r="BA79"/>
  <c r="AT81"/>
  <c r="X79"/>
  <c r="AS81"/>
  <c r="BU79"/>
  <c r="AO79"/>
  <c r="M79"/>
  <c r="AO81"/>
  <c r="AF81"/>
  <c r="AA79"/>
  <c r="M81"/>
  <c r="AW79"/>
  <c r="AU81"/>
  <c r="Y79"/>
  <c r="CM79"/>
  <c r="AS79"/>
  <c r="V79"/>
  <c r="AU79"/>
  <c r="H81"/>
  <c r="AX81"/>
  <c r="AV81"/>
  <c r="AM81"/>
  <c r="AX79"/>
  <c r="X81"/>
  <c r="AA81"/>
  <c r="L79"/>
  <c r="BD79"/>
  <c r="CU79"/>
  <c r="J81"/>
  <c r="CL79"/>
  <c r="Y81"/>
  <c r="BS79"/>
  <c r="CZ79"/>
  <c r="CK79"/>
  <c r="G79"/>
  <c r="CN79"/>
  <c r="BZ79"/>
  <c r="BX79"/>
  <c r="CP79"/>
  <c r="CS79"/>
  <c r="N79"/>
  <c r="CI79"/>
  <c r="BE79"/>
  <c r="CV79"/>
  <c r="AD81"/>
  <c r="AJ81"/>
  <c r="CO79"/>
  <c r="CB79"/>
  <c r="BC81"/>
  <c r="AV79"/>
  <c r="CW79"/>
  <c r="AN81"/>
  <c r="P79"/>
  <c r="AR79"/>
  <c r="AY81"/>
  <c r="K81"/>
  <c r="P81"/>
  <c r="O81"/>
  <c r="N81"/>
  <c r="AC81"/>
  <c r="BT79"/>
  <c r="BE81"/>
  <c r="DD79"/>
  <c r="O79"/>
  <c r="CE79"/>
  <c r="CD79"/>
  <c r="CC79"/>
  <c r="DB79"/>
  <c r="S81"/>
  <c r="BB79"/>
  <c r="I81"/>
  <c r="S79"/>
  <c r="CG79"/>
  <c r="BV79"/>
  <c r="AZ81"/>
  <c r="CH79"/>
  <c r="CR79"/>
  <c r="AI81"/>
  <c r="AY79"/>
  <c r="BW79"/>
  <c r="AC79"/>
  <c r="DA79"/>
  <c r="I79"/>
  <c r="AW81"/>
  <c r="AI79"/>
  <c r="CJ79"/>
  <c r="L81"/>
  <c r="BC79"/>
  <c r="AB81"/>
  <c r="Z79"/>
  <c r="AP79"/>
  <c r="AM79"/>
  <c r="BB81"/>
  <c r="BD81"/>
  <c r="CA79"/>
  <c r="AN79"/>
  <c r="K79"/>
  <c r="BR79"/>
  <c r="AP81"/>
  <c r="AD79"/>
  <c r="BA81"/>
  <c r="H79"/>
  <c r="AZ79"/>
  <c r="G81"/>
  <c r="Z81"/>
  <c r="AG81"/>
  <c r="AF79"/>
  <c r="CT79"/>
  <c r="AG79"/>
  <c r="J79"/>
  <c r="DE79"/>
  <c r="AQ81"/>
  <c r="BY79"/>
  <c r="W79"/>
  <c r="AT79"/>
  <c r="CY79"/>
  <c r="CQ79"/>
  <c r="CF79"/>
  <c r="AB79"/>
  <c r="AQ79"/>
  <c r="AR81"/>
  <c r="CX79"/>
  <c r="AJ79"/>
  <c r="H82" l="1"/>
  <c r="G82"/>
  <c r="Q79"/>
  <c r="I82"/>
  <c r="K82"/>
  <c r="M82"/>
  <c r="O82"/>
  <c r="X82"/>
  <c r="Z82"/>
  <c r="AB82"/>
  <c r="AD82"/>
  <c r="AG82"/>
  <c r="AJ82"/>
  <c r="AM82"/>
  <c r="BF79"/>
  <c r="AO82"/>
  <c r="AQ82"/>
  <c r="AS82"/>
  <c r="AU82"/>
  <c r="AW82"/>
  <c r="AY82"/>
  <c r="BA82"/>
  <c r="BC82"/>
  <c r="BE82"/>
  <c r="BS82"/>
  <c r="BU82"/>
  <c r="BW82"/>
  <c r="BY82"/>
  <c r="CA82"/>
  <c r="CC82"/>
  <c r="CE82"/>
  <c r="CG82"/>
  <c r="CI82"/>
  <c r="CK82"/>
  <c r="CM82"/>
  <c r="CO82"/>
  <c r="CQ82"/>
  <c r="CS82"/>
  <c r="CU82"/>
  <c r="CW82"/>
  <c r="CY82"/>
  <c r="DA82"/>
  <c r="DE82"/>
  <c r="Q81"/>
  <c r="J82"/>
  <c r="L82"/>
  <c r="N82"/>
  <c r="P82"/>
  <c r="S82"/>
  <c r="Y82"/>
  <c r="AA82"/>
  <c r="AC82"/>
  <c r="AF82"/>
  <c r="AI82"/>
  <c r="AN82"/>
  <c r="AP82"/>
  <c r="AR82"/>
  <c r="AT82"/>
  <c r="AV82"/>
  <c r="AX82"/>
  <c r="AZ82"/>
  <c r="BB82"/>
  <c r="BD82"/>
  <c r="BR82"/>
  <c r="BT82"/>
  <c r="BV82"/>
  <c r="BX82"/>
  <c r="BZ82"/>
  <c r="CB82"/>
  <c r="CD82"/>
  <c r="CF82"/>
  <c r="CH82"/>
  <c r="CJ82"/>
  <c r="CL82"/>
  <c r="CN82"/>
  <c r="CP82"/>
  <c r="CR82"/>
  <c r="CT82"/>
  <c r="CV82"/>
  <c r="CX82"/>
  <c r="CZ82"/>
  <c r="DB82"/>
  <c r="DD82"/>
  <c r="DF82"/>
  <c r="BF81"/>
  <c r="BF82" l="1"/>
  <c r="Q82"/>
  <c r="D76" l="1"/>
  <c r="D75" l="1"/>
  <c r="DH74"/>
  <c r="BJ74"/>
  <c r="DH73"/>
  <c r="DF75"/>
  <c r="BV75"/>
  <c r="AG75"/>
  <c r="AN75"/>
  <c r="AF75"/>
  <c r="I75"/>
  <c r="BE75"/>
  <c r="DE75"/>
  <c r="DA75"/>
  <c r="H75"/>
  <c r="V75"/>
  <c r="CT75"/>
  <c r="M75"/>
  <c r="CH75"/>
  <c r="O75"/>
  <c r="CO75"/>
  <c r="AC75"/>
  <c r="CB75"/>
  <c r="AQ75"/>
  <c r="AP75"/>
  <c r="CM75"/>
  <c r="BY75"/>
  <c r="CE75"/>
  <c r="AD75"/>
  <c r="CD75"/>
  <c r="AZ75"/>
  <c r="S75"/>
  <c r="CA75"/>
  <c r="CX75"/>
  <c r="W75"/>
  <c r="BD75"/>
  <c r="G75"/>
  <c r="CY75"/>
  <c r="AX75"/>
  <c r="U75"/>
  <c r="BB75"/>
  <c r="BO75"/>
  <c r="J75"/>
  <c r="CP75"/>
  <c r="P75"/>
  <c r="AU75"/>
  <c r="CV75"/>
  <c r="AM75"/>
  <c r="BS75"/>
  <c r="BX75"/>
  <c r="CK75"/>
  <c r="N75"/>
  <c r="BA75"/>
  <c r="BC75"/>
  <c r="BQ75"/>
  <c r="CS75"/>
  <c r="AO75"/>
  <c r="X75"/>
  <c r="CG75"/>
  <c r="DD75"/>
  <c r="BU75"/>
  <c r="L75"/>
  <c r="BZ75"/>
  <c r="DB75"/>
  <c r="CZ75"/>
  <c r="AR75"/>
  <c r="CN75"/>
  <c r="CL75"/>
  <c r="CI75"/>
  <c r="AB75"/>
  <c r="BR75"/>
  <c r="AS75"/>
  <c r="CF75"/>
  <c r="AJ75"/>
  <c r="BW75"/>
  <c r="BP75"/>
  <c r="CU75"/>
  <c r="BT75"/>
  <c r="DC75"/>
  <c r="CJ75"/>
  <c r="AW75"/>
  <c r="CW75"/>
  <c r="AI75"/>
  <c r="CR75"/>
  <c r="AT75"/>
  <c r="Z75"/>
  <c r="K75"/>
  <c r="Y75"/>
  <c r="CC75"/>
  <c r="AA75"/>
  <c r="CQ75"/>
  <c r="AY75"/>
  <c r="BL74" l="1"/>
  <c r="G76"/>
  <c r="Q75"/>
  <c r="K76"/>
  <c r="O76"/>
  <c r="V76"/>
  <c r="Z76"/>
  <c r="AG76"/>
  <c r="H76"/>
  <c r="J76"/>
  <c r="L76"/>
  <c r="N76"/>
  <c r="P76"/>
  <c r="S76"/>
  <c r="U76"/>
  <c r="W76"/>
  <c r="Y76"/>
  <c r="AA76"/>
  <c r="AC76"/>
  <c r="AF76"/>
  <c r="AI76"/>
  <c r="AN76"/>
  <c r="AP76"/>
  <c r="AR76"/>
  <c r="AT76"/>
  <c r="AX76"/>
  <c r="AZ76"/>
  <c r="BB76"/>
  <c r="BD76"/>
  <c r="BO76"/>
  <c r="DH75"/>
  <c r="BQ76"/>
  <c r="BS76"/>
  <c r="BU76"/>
  <c r="BW76"/>
  <c r="BY76"/>
  <c r="CA76"/>
  <c r="CC76"/>
  <c r="CE76"/>
  <c r="CG76"/>
  <c r="CI76"/>
  <c r="CK76"/>
  <c r="CM76"/>
  <c r="CO76"/>
  <c r="CQ76"/>
  <c r="CS76"/>
  <c r="CU76"/>
  <c r="CW76"/>
  <c r="CY76"/>
  <c r="DA76"/>
  <c r="DC76"/>
  <c r="DE76"/>
  <c r="I76"/>
  <c r="M76"/>
  <c r="X76"/>
  <c r="AB76"/>
  <c r="AD76"/>
  <c r="AJ76"/>
  <c r="AM76"/>
  <c r="AO76"/>
  <c r="AQ76"/>
  <c r="AS76"/>
  <c r="AU76"/>
  <c r="AW76"/>
  <c r="AY76"/>
  <c r="BA76"/>
  <c r="BC76"/>
  <c r="BE76"/>
  <c r="BP76"/>
  <c r="BR76"/>
  <c r="BT76"/>
  <c r="BV76"/>
  <c r="BX76"/>
  <c r="BZ76"/>
  <c r="CB76"/>
  <c r="CD76"/>
  <c r="CF76"/>
  <c r="CH76"/>
  <c r="CJ76"/>
  <c r="CL76"/>
  <c r="CN76"/>
  <c r="CP76"/>
  <c r="CR76"/>
  <c r="CT76"/>
  <c r="CV76"/>
  <c r="CX76"/>
  <c r="CZ76"/>
  <c r="DB76"/>
  <c r="DD76"/>
  <c r="DF76"/>
  <c r="DH76" l="1"/>
  <c r="Q76"/>
  <c r="D72" l="1"/>
  <c r="D71" l="1"/>
  <c r="DH70"/>
  <c r="BJ70"/>
  <c r="DH69"/>
  <c r="BL69"/>
  <c r="AR71"/>
  <c r="BY71"/>
  <c r="AX71"/>
  <c r="CV71"/>
  <c r="S71"/>
  <c r="BT71"/>
  <c r="BC71"/>
  <c r="CR71"/>
  <c r="L71"/>
  <c r="CS71"/>
  <c r="K71"/>
  <c r="BE71"/>
  <c r="CE71"/>
  <c r="CN71"/>
  <c r="AD71"/>
  <c r="Z71"/>
  <c r="CQ71"/>
  <c r="BD71"/>
  <c r="M71"/>
  <c r="CD71"/>
  <c r="CW71"/>
  <c r="W71"/>
  <c r="G71"/>
  <c r="AV71"/>
  <c r="CT71"/>
  <c r="BR71"/>
  <c r="AZ71"/>
  <c r="BP71"/>
  <c r="BX71"/>
  <c r="BI71"/>
  <c r="AA71"/>
  <c r="CO71"/>
  <c r="DB71"/>
  <c r="BV71"/>
  <c r="CI71"/>
  <c r="AU71"/>
  <c r="AC71"/>
  <c r="AT71"/>
  <c r="AM71"/>
  <c r="DD71"/>
  <c r="BA71"/>
  <c r="CK71"/>
  <c r="I71"/>
  <c r="AO71"/>
  <c r="DF71"/>
  <c r="AP71"/>
  <c r="CZ71"/>
  <c r="V71"/>
  <c r="CX71"/>
  <c r="BQ71"/>
  <c r="CC71"/>
  <c r="CA71"/>
  <c r="CB71"/>
  <c r="CM71"/>
  <c r="BU71"/>
  <c r="J71"/>
  <c r="DA71"/>
  <c r="BS71"/>
  <c r="N71"/>
  <c r="CF71"/>
  <c r="AQ71"/>
  <c r="AG71"/>
  <c r="BZ71"/>
  <c r="O71"/>
  <c r="CY71"/>
  <c r="U71"/>
  <c r="DC71"/>
  <c r="AS71"/>
  <c r="BW71"/>
  <c r="CP71"/>
  <c r="BO71"/>
  <c r="CL71"/>
  <c r="CG71"/>
  <c r="CJ71"/>
  <c r="CH71"/>
  <c r="AN71"/>
  <c r="H71"/>
  <c r="AF71"/>
  <c r="DE71"/>
  <c r="Y71"/>
  <c r="AI71"/>
  <c r="AW71"/>
  <c r="AJ71"/>
  <c r="X71"/>
  <c r="BB71"/>
  <c r="P71"/>
  <c r="CU71"/>
  <c r="AY71"/>
  <c r="BL70" l="1"/>
  <c r="J72"/>
  <c r="N72"/>
  <c r="S72"/>
  <c r="W72"/>
  <c r="G72"/>
  <c r="Q71"/>
  <c r="I72"/>
  <c r="K72"/>
  <c r="M72"/>
  <c r="O72"/>
  <c r="V72"/>
  <c r="X72"/>
  <c r="Z72"/>
  <c r="AD72"/>
  <c r="AG72"/>
  <c r="AJ72"/>
  <c r="AM72"/>
  <c r="BF71"/>
  <c r="AO72"/>
  <c r="AQ72"/>
  <c r="AS72"/>
  <c r="AU72"/>
  <c r="AW72"/>
  <c r="AY72"/>
  <c r="BA72"/>
  <c r="BC72"/>
  <c r="BE72"/>
  <c r="BO72"/>
  <c r="DH71"/>
  <c r="BQ72"/>
  <c r="BS72"/>
  <c r="BU72"/>
  <c r="BW72"/>
  <c r="BY72"/>
  <c r="CA72"/>
  <c r="CC72"/>
  <c r="CE72"/>
  <c r="CG72"/>
  <c r="CI72"/>
  <c r="CK72"/>
  <c r="CM72"/>
  <c r="CO72"/>
  <c r="CQ72"/>
  <c r="CS72"/>
  <c r="CU72"/>
  <c r="CW72"/>
  <c r="CY72"/>
  <c r="DA72"/>
  <c r="DC72"/>
  <c r="DE72"/>
  <c r="H72"/>
  <c r="L72"/>
  <c r="P72"/>
  <c r="U72"/>
  <c r="Y72"/>
  <c r="AA72"/>
  <c r="AC72"/>
  <c r="AF72"/>
  <c r="AI72"/>
  <c r="AN72"/>
  <c r="AP72"/>
  <c r="AR72"/>
  <c r="AT72"/>
  <c r="AV72"/>
  <c r="AX72"/>
  <c r="AZ72"/>
  <c r="BB72"/>
  <c r="BD72"/>
  <c r="BI72"/>
  <c r="BP72"/>
  <c r="BR72"/>
  <c r="BT72"/>
  <c r="BV72"/>
  <c r="BX72"/>
  <c r="BZ72"/>
  <c r="CB72"/>
  <c r="CD72"/>
  <c r="CF72"/>
  <c r="CH72"/>
  <c r="CJ72"/>
  <c r="CL72"/>
  <c r="CN72"/>
  <c r="CP72"/>
  <c r="CR72"/>
  <c r="CT72"/>
  <c r="CV72"/>
  <c r="CX72"/>
  <c r="CZ72"/>
  <c r="DB72"/>
  <c r="DD72"/>
  <c r="DF72"/>
  <c r="DH72" l="1"/>
  <c r="BF72"/>
  <c r="Q72"/>
  <c r="D68" l="1"/>
  <c r="CS67"/>
  <c r="BW67"/>
  <c r="DF67"/>
  <c r="CI67"/>
  <c r="BP67"/>
  <c r="CV67"/>
  <c r="CY67"/>
  <c r="DA67"/>
  <c r="CJ67"/>
  <c r="BR67"/>
  <c r="CK67"/>
  <c r="BS67"/>
  <c r="BZ67"/>
  <c r="CN67"/>
  <c r="CE67"/>
  <c r="DB67"/>
  <c r="BV67"/>
  <c r="CQ67"/>
  <c r="CH67"/>
  <c r="CP67"/>
  <c r="DD67"/>
  <c r="CM67"/>
  <c r="CL67"/>
  <c r="CU67"/>
  <c r="BY67"/>
  <c r="CO67"/>
  <c r="BT67"/>
  <c r="CB67"/>
  <c r="CW67"/>
  <c r="CG67"/>
  <c r="BU67"/>
  <c r="BX67"/>
  <c r="BQ67"/>
  <c r="DC67"/>
  <c r="CT67"/>
  <c r="BO67"/>
  <c r="DE67"/>
  <c r="CC67"/>
  <c r="CF67"/>
  <c r="CX67"/>
  <c r="CA67"/>
  <c r="CR67"/>
  <c r="CD67"/>
  <c r="CZ67"/>
  <c r="DH67" l="1"/>
  <c r="AM67"/>
  <c r="AO67"/>
  <c r="V67"/>
  <c r="U67"/>
  <c r="BC67"/>
  <c r="AB67"/>
  <c r="BH67"/>
  <c r="AN67"/>
  <c r="AD67"/>
  <c r="AC67"/>
  <c r="AY67"/>
  <c r="AF67"/>
  <c r="AZ67"/>
  <c r="BB67"/>
  <c r="BI67"/>
  <c r="X67"/>
  <c r="W67"/>
  <c r="AJ67"/>
  <c r="AT67"/>
  <c r="AS67"/>
  <c r="AI67"/>
  <c r="Z67"/>
  <c r="AQ67"/>
  <c r="BD67"/>
  <c r="AG67"/>
  <c r="AU67"/>
  <c r="AP67"/>
  <c r="AV67"/>
  <c r="S67"/>
  <c r="Y67"/>
  <c r="BA67"/>
  <c r="AW67"/>
  <c r="AR67"/>
  <c r="AA67"/>
  <c r="BE67"/>
  <c r="BJ67" l="1"/>
  <c r="D67"/>
  <c r="M67"/>
  <c r="K67"/>
  <c r="P67"/>
  <c r="G67"/>
  <c r="O67"/>
  <c r="J67"/>
  <c r="L67"/>
  <c r="H67"/>
  <c r="N67"/>
  <c r="I67"/>
  <c r="Q67" l="1"/>
  <c r="D66"/>
  <c r="W66"/>
  <c r="CC66"/>
  <c r="AV66"/>
  <c r="CF66"/>
  <c r="AA66"/>
  <c r="CQ66"/>
  <c r="AF66"/>
  <c r="CX66"/>
  <c r="CL66"/>
  <c r="AP66"/>
  <c r="CN66"/>
  <c r="I66"/>
  <c r="AJ66"/>
  <c r="AN66"/>
  <c r="BX66"/>
  <c r="CJ66"/>
  <c r="BY66"/>
  <c r="CB66"/>
  <c r="AY66"/>
  <c r="DE66"/>
  <c r="CP66"/>
  <c r="BV66"/>
  <c r="CU66"/>
  <c r="CH66"/>
  <c r="U66"/>
  <c r="BB66"/>
  <c r="CZ66"/>
  <c r="DD66"/>
  <c r="M66"/>
  <c r="CD66"/>
  <c r="AB66"/>
  <c r="BW66"/>
  <c r="CK66"/>
  <c r="BZ66"/>
  <c r="DF66"/>
  <c r="CI66"/>
  <c r="AG66"/>
  <c r="BU66"/>
  <c r="P66"/>
  <c r="BR66"/>
  <c r="CY66"/>
  <c r="G66"/>
  <c r="CS66"/>
  <c r="CW66"/>
  <c r="BT66"/>
  <c r="AS66"/>
  <c r="CV66"/>
  <c r="CO66"/>
  <c r="BH66"/>
  <c r="Z66"/>
  <c r="AO66"/>
  <c r="BQ66"/>
  <c r="T66"/>
  <c r="N66"/>
  <c r="AC66"/>
  <c r="DC66"/>
  <c r="X66"/>
  <c r="BA66"/>
  <c r="BC66"/>
  <c r="AU66"/>
  <c r="AM66"/>
  <c r="J66"/>
  <c r="CR66"/>
  <c r="BP66"/>
  <c r="Y66"/>
  <c r="BI66"/>
  <c r="CM66"/>
  <c r="AX66"/>
  <c r="CA66"/>
  <c r="BE66"/>
  <c r="AZ66"/>
  <c r="DA66"/>
  <c r="CG66"/>
  <c r="V66"/>
  <c r="K66"/>
  <c r="DB66"/>
  <c r="AQ66"/>
  <c r="L66"/>
  <c r="CT66"/>
  <c r="AT66"/>
  <c r="AD66"/>
  <c r="AR66"/>
  <c r="BO66"/>
  <c r="BD66"/>
  <c r="CE66"/>
  <c r="O66"/>
  <c r="BS66"/>
  <c r="BJ66" l="1"/>
  <c r="DH66"/>
  <c r="CS65"/>
  <c r="CR65"/>
  <c r="BV65"/>
  <c r="CX65"/>
  <c r="CC65"/>
  <c r="BT65"/>
  <c r="DB65"/>
  <c r="CY65"/>
  <c r="CF65"/>
  <c r="CK65"/>
  <c r="DA65"/>
  <c r="BQ65"/>
  <c r="CJ65"/>
  <c r="BW65"/>
  <c r="DE65"/>
  <c r="DD65"/>
  <c r="CW65"/>
  <c r="CZ65"/>
  <c r="CN65"/>
  <c r="BX65"/>
  <c r="BR65"/>
  <c r="BY65"/>
  <c r="CA65"/>
  <c r="CH65"/>
  <c r="DF65"/>
  <c r="CO65"/>
  <c r="CB65"/>
  <c r="CT65"/>
  <c r="DC65"/>
  <c r="CP65"/>
  <c r="CI65"/>
  <c r="CD65"/>
  <c r="BO65"/>
  <c r="BU65"/>
  <c r="CU65"/>
  <c r="BP65"/>
  <c r="CM65"/>
  <c r="CE65"/>
  <c r="CQ65"/>
  <c r="CV65"/>
  <c r="BS65"/>
  <c r="CL65"/>
  <c r="CG65"/>
  <c r="BZ65"/>
  <c r="BQ68" l="1"/>
  <c r="BP68"/>
  <c r="BR68"/>
  <c r="BT68"/>
  <c r="BV68"/>
  <c r="BX68"/>
  <c r="BZ68"/>
  <c r="CB68"/>
  <c r="CD68"/>
  <c r="CF68"/>
  <c r="CH68"/>
  <c r="CJ68"/>
  <c r="CL68"/>
  <c r="CN68"/>
  <c r="CP68"/>
  <c r="CR68"/>
  <c r="CT68"/>
  <c r="CV68"/>
  <c r="CX68"/>
  <c r="CZ68"/>
  <c r="DB68"/>
  <c r="DD68"/>
  <c r="DF68"/>
  <c r="BO68"/>
  <c r="DH65"/>
  <c r="BS68"/>
  <c r="BU68"/>
  <c r="BW68"/>
  <c r="BY68"/>
  <c r="CA68"/>
  <c r="CC68"/>
  <c r="CE68"/>
  <c r="CG68"/>
  <c r="CI68"/>
  <c r="CK68"/>
  <c r="CM68"/>
  <c r="CO68"/>
  <c r="CQ68"/>
  <c r="CS68"/>
  <c r="CU68"/>
  <c r="CW68"/>
  <c r="CY68"/>
  <c r="DA68"/>
  <c r="DC68"/>
  <c r="DE68"/>
  <c r="D65"/>
  <c r="DH64"/>
  <c r="AY65"/>
  <c r="AT65"/>
  <c r="AJ65"/>
  <c r="BB65"/>
  <c r="L65"/>
  <c r="K65"/>
  <c r="AA65"/>
  <c r="U65"/>
  <c r="X65"/>
  <c r="S65"/>
  <c r="BH65"/>
  <c r="AR65"/>
  <c r="P65"/>
  <c r="AG65"/>
  <c r="N65"/>
  <c r="BE65"/>
  <c r="W65"/>
  <c r="AU65"/>
  <c r="J65"/>
  <c r="O65"/>
  <c r="AF65"/>
  <c r="BI65"/>
  <c r="AM65"/>
  <c r="AI65"/>
  <c r="BD65"/>
  <c r="I65"/>
  <c r="Z65"/>
  <c r="AZ65"/>
  <c r="AC65"/>
  <c r="AO65"/>
  <c r="AP65"/>
  <c r="AD65"/>
  <c r="AV65"/>
  <c r="Y65"/>
  <c r="AX65"/>
  <c r="V65"/>
  <c r="BC65"/>
  <c r="AN65"/>
  <c r="M65"/>
  <c r="H65"/>
  <c r="AB65"/>
  <c r="G65"/>
  <c r="AS65"/>
  <c r="AQ65"/>
  <c r="BA65"/>
  <c r="J68" l="1"/>
  <c r="N68"/>
  <c r="G68"/>
  <c r="Q65"/>
  <c r="I68"/>
  <c r="K68"/>
  <c r="M68"/>
  <c r="O68"/>
  <c r="V68"/>
  <c r="X68"/>
  <c r="Z68"/>
  <c r="AB68"/>
  <c r="AD68"/>
  <c r="AG68"/>
  <c r="AJ68"/>
  <c r="AM68"/>
  <c r="AO68"/>
  <c r="AQ68"/>
  <c r="AS68"/>
  <c r="AU68"/>
  <c r="AY68"/>
  <c r="BA68"/>
  <c r="BC68"/>
  <c r="BE68"/>
  <c r="BH68"/>
  <c r="BJ65"/>
  <c r="L68"/>
  <c r="P68"/>
  <c r="U68"/>
  <c r="W68"/>
  <c r="Y68"/>
  <c r="AA68"/>
  <c r="AC68"/>
  <c r="AF68"/>
  <c r="AN68"/>
  <c r="AP68"/>
  <c r="AR68"/>
  <c r="AT68"/>
  <c r="AV68"/>
  <c r="AZ68"/>
  <c r="BB68"/>
  <c r="BD68"/>
  <c r="BI68"/>
  <c r="DH68"/>
  <c r="BJ68" l="1"/>
  <c r="D63" l="1"/>
  <c r="CU62"/>
  <c r="BV62"/>
  <c r="CG62"/>
  <c r="CO62"/>
  <c r="BU62"/>
  <c r="CW62"/>
  <c r="CI62"/>
  <c r="CR62"/>
  <c r="CD62"/>
  <c r="DD62"/>
  <c r="CS62"/>
  <c r="BT62"/>
  <c r="BR62"/>
  <c r="BX62"/>
  <c r="CC62"/>
  <c r="BW62"/>
  <c r="BP62"/>
  <c r="CL62"/>
  <c r="BY62"/>
  <c r="CB62"/>
  <c r="CH62"/>
  <c r="CF62"/>
  <c r="DF62"/>
  <c r="BZ62"/>
  <c r="DC62"/>
  <c r="BO62"/>
  <c r="CQ62"/>
  <c r="CZ62"/>
  <c r="BS62"/>
  <c r="BQ62"/>
  <c r="CE62"/>
  <c r="CY62"/>
  <c r="DA62"/>
  <c r="CM62"/>
  <c r="DE62"/>
  <c r="CX62"/>
  <c r="CV62"/>
  <c r="CA62"/>
  <c r="CN62"/>
  <c r="CK62"/>
  <c r="CJ62"/>
  <c r="CP62"/>
  <c r="DB62"/>
  <c r="CT62"/>
  <c r="DH62" l="1"/>
  <c r="AT62"/>
  <c r="S62"/>
  <c r="AR62"/>
  <c r="AG62"/>
  <c r="AB62"/>
  <c r="X62"/>
  <c r="BB62"/>
  <c r="AW62"/>
  <c r="W62"/>
  <c r="AO62"/>
  <c r="BE62"/>
  <c r="AX62"/>
  <c r="AQ62"/>
  <c r="BH62"/>
  <c r="AC62"/>
  <c r="BD62"/>
  <c r="AD62"/>
  <c r="BI62"/>
  <c r="AI62"/>
  <c r="AS62"/>
  <c r="AV62"/>
  <c r="AM62"/>
  <c r="BA62"/>
  <c r="Z62"/>
  <c r="U62"/>
  <c r="AJ62"/>
  <c r="Y62"/>
  <c r="AP62"/>
  <c r="AZ62"/>
  <c r="AU62"/>
  <c r="V62"/>
  <c r="AN62"/>
  <c r="AA62"/>
  <c r="BC62"/>
  <c r="AF62"/>
  <c r="BJ62" l="1"/>
  <c r="D62"/>
  <c r="K62"/>
  <c r="M62"/>
  <c r="G62"/>
  <c r="P62"/>
  <c r="L62"/>
  <c r="I62"/>
  <c r="N62"/>
  <c r="O62"/>
  <c r="H62"/>
  <c r="J62"/>
  <c r="Q62" l="1"/>
  <c r="BW61"/>
  <c r="CM61"/>
  <c r="DE61"/>
  <c r="BP61"/>
  <c r="BO61"/>
  <c r="BU61"/>
  <c r="CJ61"/>
  <c r="CU61"/>
  <c r="CI61"/>
  <c r="CR61"/>
  <c r="CX61"/>
  <c r="CO61"/>
  <c r="BZ61"/>
  <c r="BS61"/>
  <c r="BY61"/>
  <c r="DD61"/>
  <c r="CN61"/>
  <c r="CH61"/>
  <c r="CK61"/>
  <c r="CP61"/>
  <c r="CG61"/>
  <c r="CS61"/>
  <c r="BX61"/>
  <c r="CV61"/>
  <c r="BV61"/>
  <c r="DF61"/>
  <c r="CZ61"/>
  <c r="CC61"/>
  <c r="DB61"/>
  <c r="DA61"/>
  <c r="CQ61"/>
  <c r="BT61"/>
  <c r="BH61"/>
  <c r="DC61"/>
  <c r="CA61"/>
  <c r="CL61"/>
  <c r="CB61"/>
  <c r="BQ61"/>
  <c r="CF61"/>
  <c r="CY61"/>
  <c r="CT61"/>
  <c r="CW61"/>
  <c r="CD61"/>
  <c r="BI61"/>
  <c r="BR61"/>
  <c r="CE61"/>
  <c r="BJ61" l="1"/>
  <c r="DH61"/>
  <c r="AT61"/>
  <c r="AZ61"/>
  <c r="AY61"/>
  <c r="X61"/>
  <c r="AR61"/>
  <c r="AF61"/>
  <c r="AU61"/>
  <c r="AM61"/>
  <c r="AD61"/>
  <c r="S61"/>
  <c r="AB61"/>
  <c r="V61"/>
  <c r="AN61"/>
  <c r="Z61"/>
  <c r="AA61"/>
  <c r="AJ61"/>
  <c r="BE61"/>
  <c r="AO61"/>
  <c r="AX61"/>
  <c r="AS61"/>
  <c r="AP61"/>
  <c r="AC61"/>
  <c r="W61"/>
  <c r="AG61"/>
  <c r="AI61"/>
  <c r="BD61"/>
  <c r="BC61"/>
  <c r="AV61"/>
  <c r="AW61"/>
  <c r="Y61"/>
  <c r="U61"/>
  <c r="AQ61"/>
  <c r="D61" l="1"/>
  <c r="P61"/>
  <c r="J61"/>
  <c r="L61"/>
  <c r="K61"/>
  <c r="H61"/>
  <c r="G61"/>
  <c r="N61"/>
  <c r="M61"/>
  <c r="I61"/>
  <c r="O61"/>
  <c r="Q61" l="1"/>
  <c r="Y60"/>
  <c r="U60"/>
  <c r="CZ60"/>
  <c r="AR60"/>
  <c r="DB60"/>
  <c r="AQ60"/>
  <c r="CP60"/>
  <c r="BU60"/>
  <c r="BZ60"/>
  <c r="CL60"/>
  <c r="AO60"/>
  <c r="BR60"/>
  <c r="AW60"/>
  <c r="W60"/>
  <c r="CK60"/>
  <c r="BS60"/>
  <c r="CB60"/>
  <c r="BY60"/>
  <c r="CH60"/>
  <c r="CI60"/>
  <c r="CS60"/>
  <c r="BB60"/>
  <c r="CU60"/>
  <c r="CV60"/>
  <c r="AU60"/>
  <c r="DC60"/>
  <c r="CD60"/>
  <c r="AA60"/>
  <c r="CE60"/>
  <c r="V60"/>
  <c r="AJ60"/>
  <c r="DA60"/>
  <c r="BW60"/>
  <c r="X60"/>
  <c r="BA60"/>
  <c r="BD60"/>
  <c r="CX60"/>
  <c r="AI60"/>
  <c r="Z60"/>
  <c r="AF60"/>
  <c r="CR60"/>
  <c r="CT60"/>
  <c r="BX60"/>
  <c r="AD60"/>
  <c r="BE60"/>
  <c r="DF60"/>
  <c r="CF60"/>
  <c r="BH60"/>
  <c r="CG60"/>
  <c r="AX60"/>
  <c r="BV60"/>
  <c r="AC60"/>
  <c r="DD60"/>
  <c r="AT60"/>
  <c r="BC60"/>
  <c r="BO60"/>
  <c r="BT60"/>
  <c r="AB60"/>
  <c r="CC60"/>
  <c r="AV60"/>
  <c r="AP60"/>
  <c r="CA60"/>
  <c r="BP60"/>
  <c r="CO60"/>
  <c r="CJ60"/>
  <c r="BI60"/>
  <c r="DE60"/>
  <c r="AM60"/>
  <c r="BQ60"/>
  <c r="CY60"/>
  <c r="AS60"/>
  <c r="CN60"/>
  <c r="CM60"/>
  <c r="CW60"/>
  <c r="CQ60"/>
  <c r="S60"/>
  <c r="AN60"/>
  <c r="AG60"/>
  <c r="BJ60" l="1"/>
  <c r="DH60"/>
  <c r="D60"/>
  <c r="N60"/>
  <c r="L60"/>
  <c r="G60"/>
  <c r="P60"/>
  <c r="I60"/>
  <c r="H60"/>
  <c r="K60"/>
  <c r="M60"/>
  <c r="O60"/>
  <c r="J60"/>
  <c r="Q60" l="1"/>
  <c r="AP59"/>
  <c r="CR59"/>
  <c r="BP59"/>
  <c r="AG59"/>
  <c r="CV59"/>
  <c r="AS59"/>
  <c r="BC59"/>
  <c r="CW59"/>
  <c r="BE59"/>
  <c r="BW59"/>
  <c r="X59"/>
  <c r="CL59"/>
  <c r="CC59"/>
  <c r="AR59"/>
  <c r="BY59"/>
  <c r="CI59"/>
  <c r="BZ59"/>
  <c r="CO59"/>
  <c r="BS59"/>
  <c r="CB59"/>
  <c r="CE59"/>
  <c r="BT59"/>
  <c r="S59"/>
  <c r="Y59"/>
  <c r="AN59"/>
  <c r="BA59"/>
  <c r="BI59"/>
  <c r="AC59"/>
  <c r="AU59"/>
  <c r="AO59"/>
  <c r="CP59"/>
  <c r="DE59"/>
  <c r="BR59"/>
  <c r="AZ59"/>
  <c r="AV59"/>
  <c r="Z59"/>
  <c r="CU59"/>
  <c r="DF59"/>
  <c r="CN59"/>
  <c r="AT59"/>
  <c r="DB59"/>
  <c r="CY59"/>
  <c r="BO59"/>
  <c r="CS59"/>
  <c r="AA59"/>
  <c r="AQ59"/>
  <c r="CJ59"/>
  <c r="CM59"/>
  <c r="BD59"/>
  <c r="CT59"/>
  <c r="AF59"/>
  <c r="CK59"/>
  <c r="DC59"/>
  <c r="AJ59"/>
  <c r="AD59"/>
  <c r="DD59"/>
  <c r="BV59"/>
  <c r="CD59"/>
  <c r="DA59"/>
  <c r="CG59"/>
  <c r="W59"/>
  <c r="AY59"/>
  <c r="V59"/>
  <c r="AX59"/>
  <c r="AM59"/>
  <c r="BX59"/>
  <c r="CA59"/>
  <c r="BQ59"/>
  <c r="CH59"/>
  <c r="CQ59"/>
  <c r="AW59"/>
  <c r="U59"/>
  <c r="CZ59"/>
  <c r="BH59"/>
  <c r="AB59"/>
  <c r="CX59"/>
  <c r="BU59"/>
  <c r="CF59"/>
  <c r="AI59"/>
  <c r="DH59" l="1"/>
  <c r="BJ59"/>
  <c r="D59"/>
  <c r="P59"/>
  <c r="N59"/>
  <c r="L59"/>
  <c r="J59"/>
  <c r="O59"/>
  <c r="M59"/>
  <c r="K59"/>
  <c r="G59"/>
  <c r="I59"/>
  <c r="H59"/>
  <c r="Q59" l="1"/>
  <c r="BX58"/>
  <c r="BW58"/>
  <c r="CL58"/>
  <c r="BP58"/>
  <c r="CO58"/>
  <c r="DC58"/>
  <c r="DE58"/>
  <c r="CS58"/>
  <c r="CB58"/>
  <c r="BR58"/>
  <c r="CZ58"/>
  <c r="BQ58"/>
  <c r="BV58"/>
  <c r="CR58"/>
  <c r="DF58"/>
  <c r="CE58"/>
  <c r="BT58"/>
  <c r="BU58"/>
  <c r="CQ58"/>
  <c r="CK58"/>
  <c r="BO58"/>
  <c r="CI58"/>
  <c r="CY58"/>
  <c r="CX58"/>
  <c r="CM58"/>
  <c r="CJ58"/>
  <c r="DB58"/>
  <c r="BY58"/>
  <c r="CC58"/>
  <c r="BS58"/>
  <c r="CW58"/>
  <c r="DA58"/>
  <c r="DD58"/>
  <c r="CH58"/>
  <c r="CD58"/>
  <c r="BZ58"/>
  <c r="CG58"/>
  <c r="CA58"/>
  <c r="CU58"/>
  <c r="CV58"/>
  <c r="CP58"/>
  <c r="CF58"/>
  <c r="CN58"/>
  <c r="CT58"/>
  <c r="DH58" l="1"/>
  <c r="AS58"/>
  <c r="AT58"/>
  <c r="AU58"/>
  <c r="AD58"/>
  <c r="AG58"/>
  <c r="AC58"/>
  <c r="Z58"/>
  <c r="BC58"/>
  <c r="AN58"/>
  <c r="Y58"/>
  <c r="AJ58"/>
  <c r="AI58"/>
  <c r="AR58"/>
  <c r="AW58"/>
  <c r="AA58"/>
  <c r="AZ58"/>
  <c r="AP58"/>
  <c r="AO58"/>
  <c r="BH58"/>
  <c r="U58"/>
  <c r="X58"/>
  <c r="AB58"/>
  <c r="BB58"/>
  <c r="V58"/>
  <c r="S58"/>
  <c r="BA58"/>
  <c r="BI58"/>
  <c r="AY58"/>
  <c r="AF58"/>
  <c r="W58"/>
  <c r="AQ58"/>
  <c r="AM58"/>
  <c r="BD58"/>
  <c r="AV58"/>
  <c r="BE58"/>
  <c r="BJ58" l="1"/>
  <c r="D58"/>
  <c r="I58"/>
  <c r="G58"/>
  <c r="M58"/>
  <c r="J58"/>
  <c r="N58"/>
  <c r="H58"/>
  <c r="P58"/>
  <c r="L58"/>
  <c r="O58"/>
  <c r="K58"/>
  <c r="Q58" l="1"/>
  <c r="D57"/>
  <c r="DH56"/>
  <c r="BL56"/>
  <c r="AD57"/>
  <c r="CI57"/>
  <c r="BH57"/>
  <c r="CL57"/>
  <c r="G57"/>
  <c r="DB57"/>
  <c r="AB57"/>
  <c r="CZ57"/>
  <c r="AQ57"/>
  <c r="H57"/>
  <c r="BP57"/>
  <c r="CO57"/>
  <c r="CE57"/>
  <c r="U57"/>
  <c r="CU57"/>
  <c r="AN57"/>
  <c r="CK57"/>
  <c r="CM57"/>
  <c r="CF57"/>
  <c r="CR57"/>
  <c r="CJ57"/>
  <c r="Y57"/>
  <c r="CP57"/>
  <c r="X57"/>
  <c r="I57"/>
  <c r="CH57"/>
  <c r="DD57"/>
  <c r="BV57"/>
  <c r="BD57"/>
  <c r="BR57"/>
  <c r="AO57"/>
  <c r="BQ57"/>
  <c r="BY57"/>
  <c r="CY57"/>
  <c r="CN57"/>
  <c r="CT57"/>
  <c r="CW57"/>
  <c r="M57"/>
  <c r="DF57"/>
  <c r="BE57"/>
  <c r="BA57"/>
  <c r="CV57"/>
  <c r="BT57"/>
  <c r="CQ57"/>
  <c r="DE57"/>
  <c r="BC57"/>
  <c r="W57"/>
  <c r="AT57"/>
  <c r="CX57"/>
  <c r="S57"/>
  <c r="N57"/>
  <c r="K57"/>
  <c r="CS57"/>
  <c r="AA57"/>
  <c r="CD57"/>
  <c r="BW57"/>
  <c r="BU57"/>
  <c r="Z57"/>
  <c r="O57"/>
  <c r="BB57"/>
  <c r="AJ57"/>
  <c r="AP57"/>
  <c r="AC57"/>
  <c r="AS57"/>
  <c r="BZ57"/>
  <c r="J57"/>
  <c r="AG57"/>
  <c r="AW57"/>
  <c r="BO57"/>
  <c r="AY57"/>
  <c r="AI57"/>
  <c r="AR57"/>
  <c r="CB57"/>
  <c r="DA57"/>
  <c r="BI57"/>
  <c r="AU57"/>
  <c r="L57"/>
  <c r="BS57"/>
  <c r="AZ57"/>
  <c r="P57"/>
  <c r="BX57"/>
  <c r="CG57"/>
  <c r="DC57"/>
  <c r="V57"/>
  <c r="CC57"/>
  <c r="AV57"/>
  <c r="AF57"/>
  <c r="CA57"/>
  <c r="AM57"/>
  <c r="I63" l="1"/>
  <c r="M63"/>
  <c r="X63"/>
  <c r="AB63"/>
  <c r="AG63"/>
  <c r="AM63"/>
  <c r="H63"/>
  <c r="J63"/>
  <c r="L63"/>
  <c r="N63"/>
  <c r="P63"/>
  <c r="S63"/>
  <c r="U63"/>
  <c r="W63"/>
  <c r="Y63"/>
  <c r="AA63"/>
  <c r="AC63"/>
  <c r="AF63"/>
  <c r="AI63"/>
  <c r="AN63"/>
  <c r="AP63"/>
  <c r="AR63"/>
  <c r="AT63"/>
  <c r="AV63"/>
  <c r="BD63"/>
  <c r="BI63"/>
  <c r="BP63"/>
  <c r="BR63"/>
  <c r="BT63"/>
  <c r="BV63"/>
  <c r="BX63"/>
  <c r="BZ63"/>
  <c r="CB63"/>
  <c r="CD63"/>
  <c r="CF63"/>
  <c r="CH63"/>
  <c r="CJ63"/>
  <c r="CL63"/>
  <c r="CN63"/>
  <c r="CP63"/>
  <c r="CR63"/>
  <c r="CT63"/>
  <c r="CV63"/>
  <c r="CX63"/>
  <c r="CZ63"/>
  <c r="DB63"/>
  <c r="DD63"/>
  <c r="DF63"/>
  <c r="G63"/>
  <c r="Q57"/>
  <c r="K63"/>
  <c r="O63"/>
  <c r="V63"/>
  <c r="Z63"/>
  <c r="AD63"/>
  <c r="AJ63"/>
  <c r="AO63"/>
  <c r="AQ63"/>
  <c r="AS63"/>
  <c r="AU63"/>
  <c r="AW63"/>
  <c r="BC63"/>
  <c r="BE63"/>
  <c r="BH63"/>
  <c r="BJ57"/>
  <c r="BO63"/>
  <c r="DH57"/>
  <c r="BQ63"/>
  <c r="BS63"/>
  <c r="BU63"/>
  <c r="BW63"/>
  <c r="BY63"/>
  <c r="CA63"/>
  <c r="CC63"/>
  <c r="CE63"/>
  <c r="CG63"/>
  <c r="CI63"/>
  <c r="CK63"/>
  <c r="CM63"/>
  <c r="CO63"/>
  <c r="CQ63"/>
  <c r="CS63"/>
  <c r="CU63"/>
  <c r="CW63"/>
  <c r="CY63"/>
  <c r="DA63"/>
  <c r="DC63"/>
  <c r="DE63"/>
  <c r="BJ63" l="1"/>
  <c r="Q63"/>
  <c r="DH63"/>
  <c r="D55" l="1"/>
  <c r="CV54"/>
  <c r="J54"/>
  <c r="K54"/>
  <c r="CA54"/>
  <c r="BB54"/>
  <c r="BU54"/>
  <c r="BV54"/>
  <c r="AF54"/>
  <c r="CM54"/>
  <c r="CF54"/>
  <c r="O54"/>
  <c r="CK54"/>
  <c r="AI54"/>
  <c r="CE54"/>
  <c r="N54"/>
  <c r="AP54"/>
  <c r="CU54"/>
  <c r="CJ54"/>
  <c r="G54"/>
  <c r="DD54"/>
  <c r="AC54"/>
  <c r="CO54"/>
  <c r="BE54"/>
  <c r="CN54"/>
  <c r="AV54"/>
  <c r="BX54"/>
  <c r="CI54"/>
  <c r="DF54"/>
  <c r="H54"/>
  <c r="AU54"/>
  <c r="CL54"/>
  <c r="AA54"/>
  <c r="AW54"/>
  <c r="BH54"/>
  <c r="AQ54"/>
  <c r="CH54"/>
  <c r="CW54"/>
  <c r="AB54"/>
  <c r="AS54"/>
  <c r="DC54"/>
  <c r="BD54"/>
  <c r="BZ54"/>
  <c r="AD54"/>
  <c r="P54"/>
  <c r="V54"/>
  <c r="CR54"/>
  <c r="BR54"/>
  <c r="L54"/>
  <c r="CP54"/>
  <c r="BW54"/>
  <c r="T54"/>
  <c r="CD54"/>
  <c r="AY54"/>
  <c r="AT54"/>
  <c r="DE54"/>
  <c r="AJ54"/>
  <c r="BC54"/>
  <c r="AR54"/>
  <c r="AZ54"/>
  <c r="CT54"/>
  <c r="CB54"/>
  <c r="AG54"/>
  <c r="CY54"/>
  <c r="DA54"/>
  <c r="CQ54"/>
  <c r="CG54"/>
  <c r="CC54"/>
  <c r="BY54"/>
  <c r="CX54"/>
  <c r="CS54"/>
  <c r="DB54"/>
  <c r="BI54"/>
  <c r="BA54"/>
  <c r="CZ54"/>
  <c r="M54"/>
  <c r="AX54"/>
  <c r="BJ54" l="1"/>
  <c r="D54"/>
  <c r="BU53"/>
  <c r="CL53"/>
  <c r="DD53"/>
  <c r="CJ53"/>
  <c r="DF53"/>
  <c r="BR53"/>
  <c r="CU53"/>
  <c r="DA53"/>
  <c r="CR53"/>
  <c r="BW53"/>
  <c r="BT53"/>
  <c r="CD53"/>
  <c r="CB53"/>
  <c r="CI53"/>
  <c r="BS53"/>
  <c r="CP53"/>
  <c r="CE53"/>
  <c r="CW53"/>
  <c r="CG53"/>
  <c r="CZ53"/>
  <c r="CO53"/>
  <c r="BX53"/>
  <c r="CT53"/>
  <c r="BY53"/>
  <c r="CC53"/>
  <c r="CQ53"/>
  <c r="CA53"/>
  <c r="CM53"/>
  <c r="BZ53"/>
  <c r="CH53"/>
  <c r="CN53"/>
  <c r="CK53"/>
  <c r="DE53"/>
  <c r="CS53"/>
  <c r="CY53"/>
  <c r="CV53"/>
  <c r="BV53"/>
  <c r="DC53"/>
  <c r="CF53"/>
  <c r="CX53"/>
  <c r="DB53"/>
  <c r="BR55" l="1"/>
  <c r="BV55"/>
  <c r="BX55"/>
  <c r="BZ55"/>
  <c r="CB55"/>
  <c r="CD55"/>
  <c r="CF55"/>
  <c r="CH55"/>
  <c r="CJ55"/>
  <c r="CL55"/>
  <c r="CN55"/>
  <c r="CP55"/>
  <c r="CR55"/>
  <c r="CT55"/>
  <c r="CV55"/>
  <c r="CX55"/>
  <c r="CZ55"/>
  <c r="DB55"/>
  <c r="DD55"/>
  <c r="DF55"/>
  <c r="BU55"/>
  <c r="BW55"/>
  <c r="BY55"/>
  <c r="CA55"/>
  <c r="CC55"/>
  <c r="CE55"/>
  <c r="CG55"/>
  <c r="CI55"/>
  <c r="CK55"/>
  <c r="CM55"/>
  <c r="CO55"/>
  <c r="CQ55"/>
  <c r="CS55"/>
  <c r="CU55"/>
  <c r="CW55"/>
  <c r="CY55"/>
  <c r="DA55"/>
  <c r="DC55"/>
  <c r="DE55"/>
  <c r="D53"/>
  <c r="DH52"/>
  <c r="BL52"/>
  <c r="G53"/>
  <c r="O53"/>
  <c r="BB53"/>
  <c r="AR53"/>
  <c r="AY53"/>
  <c r="AX53"/>
  <c r="AT53"/>
  <c r="AF53"/>
  <c r="AQ53"/>
  <c r="L53"/>
  <c r="AA53"/>
  <c r="K53"/>
  <c r="H53"/>
  <c r="AJ53"/>
  <c r="T53"/>
  <c r="AM53"/>
  <c r="AG53"/>
  <c r="J53"/>
  <c r="AC53"/>
  <c r="BE53"/>
  <c r="AP53"/>
  <c r="U53"/>
  <c r="BA53"/>
  <c r="AZ53"/>
  <c r="AW53"/>
  <c r="AV53"/>
  <c r="AN53"/>
  <c r="Z53"/>
  <c r="AO53"/>
  <c r="X53"/>
  <c r="BD53"/>
  <c r="AI53"/>
  <c r="AS53"/>
  <c r="AD53"/>
  <c r="I53"/>
  <c r="P53"/>
  <c r="M53"/>
  <c r="AU53"/>
  <c r="BC53"/>
  <c r="N53"/>
  <c r="G55" l="1"/>
  <c r="Q53"/>
  <c r="K55"/>
  <c r="M55"/>
  <c r="O55"/>
  <c r="T55"/>
  <c r="AD55"/>
  <c r="AG55"/>
  <c r="AJ55"/>
  <c r="BF53"/>
  <c r="AQ55"/>
  <c r="AS55"/>
  <c r="AU55"/>
  <c r="AW55"/>
  <c r="AY55"/>
  <c r="BA55"/>
  <c r="BC55"/>
  <c r="BE55"/>
  <c r="H55"/>
  <c r="J55"/>
  <c r="L55"/>
  <c r="N55"/>
  <c r="P55"/>
  <c r="AA55"/>
  <c r="AC55"/>
  <c r="AF55"/>
  <c r="AI55"/>
  <c r="AP55"/>
  <c r="AR55"/>
  <c r="AT55"/>
  <c r="AV55"/>
  <c r="AX55"/>
  <c r="AZ55"/>
  <c r="BB55"/>
  <c r="BD55"/>
  <c r="D51" l="1"/>
  <c r="CL50"/>
  <c r="X50"/>
  <c r="BC50"/>
  <c r="CN50"/>
  <c r="BX50"/>
  <c r="AY50"/>
  <c r="CW50"/>
  <c r="CO50"/>
  <c r="BE50"/>
  <c r="CA50"/>
  <c r="AB50"/>
  <c r="DD50"/>
  <c r="AX50"/>
  <c r="BD50"/>
  <c r="T50"/>
  <c r="CE50"/>
  <c r="AG50"/>
  <c r="AO50"/>
  <c r="CG50"/>
  <c r="CY50"/>
  <c r="BW50"/>
  <c r="AQ50"/>
  <c r="CP50"/>
  <c r="AW50"/>
  <c r="CZ50"/>
  <c r="AZ50"/>
  <c r="AS50"/>
  <c r="CF50"/>
  <c r="DC50"/>
  <c r="CR50"/>
  <c r="AN50"/>
  <c r="Y50"/>
  <c r="CV50"/>
  <c r="CD50"/>
  <c r="CX50"/>
  <c r="CU50"/>
  <c r="DB50"/>
  <c r="BA50"/>
  <c r="CH50"/>
  <c r="AV50"/>
  <c r="AP50"/>
  <c r="AD50"/>
  <c r="BV50"/>
  <c r="CJ50"/>
  <c r="CK50"/>
  <c r="BB50"/>
  <c r="CQ50"/>
  <c r="BR50"/>
  <c r="AT50"/>
  <c r="BT50"/>
  <c r="AC50"/>
  <c r="CB50"/>
  <c r="Z50"/>
  <c r="AR50"/>
  <c r="BZ50"/>
  <c r="AM50"/>
  <c r="BH50"/>
  <c r="BY50"/>
  <c r="CM50"/>
  <c r="AI50"/>
  <c r="CC50"/>
  <c r="AF50"/>
  <c r="BI50"/>
  <c r="DA50"/>
  <c r="AU50"/>
  <c r="BS50"/>
  <c r="CI50"/>
  <c r="CS50"/>
  <c r="DE50"/>
  <c r="DF50"/>
  <c r="BU50"/>
  <c r="CT50"/>
  <c r="AA50"/>
  <c r="AJ50"/>
  <c r="BF50" l="1"/>
  <c r="BJ50"/>
  <c r="D50"/>
  <c r="D49"/>
  <c r="DH47"/>
  <c r="BL47"/>
  <c r="BY49"/>
  <c r="CM49"/>
  <c r="I49"/>
  <c r="BC49"/>
  <c r="CT49"/>
  <c r="AZ49"/>
  <c r="CH49"/>
  <c r="K50"/>
  <c r="CK49"/>
  <c r="AI49"/>
  <c r="CE49"/>
  <c r="BR49"/>
  <c r="AS49"/>
  <c r="DE49"/>
  <c r="L49"/>
  <c r="BW49"/>
  <c r="AV49"/>
  <c r="Z49"/>
  <c r="AT49"/>
  <c r="DA49"/>
  <c r="J49"/>
  <c r="P49"/>
  <c r="BD49"/>
  <c r="CS49"/>
  <c r="CU49"/>
  <c r="O50"/>
  <c r="BV49"/>
  <c r="AO49"/>
  <c r="AY49"/>
  <c r="BX49"/>
  <c r="M49"/>
  <c r="Y49"/>
  <c r="CB49"/>
  <c r="H49"/>
  <c r="CD49"/>
  <c r="DC49"/>
  <c r="U49"/>
  <c r="AD49"/>
  <c r="AA49"/>
  <c r="CR49"/>
  <c r="CC49"/>
  <c r="G50"/>
  <c r="P50"/>
  <c r="CQ49"/>
  <c r="AJ49"/>
  <c r="K49"/>
  <c r="CJ49"/>
  <c r="T49"/>
  <c r="N49"/>
  <c r="DB49"/>
  <c r="J50"/>
  <c r="CI49"/>
  <c r="BA49"/>
  <c r="BZ49"/>
  <c r="BH49"/>
  <c r="M50"/>
  <c r="BI49"/>
  <c r="CL49"/>
  <c r="L50"/>
  <c r="AB49"/>
  <c r="DF49"/>
  <c r="CP49"/>
  <c r="BU49"/>
  <c r="N50"/>
  <c r="CX49"/>
  <c r="CZ49"/>
  <c r="X49"/>
  <c r="AC49"/>
  <c r="AN49"/>
  <c r="CG49"/>
  <c r="BT49"/>
  <c r="AQ49"/>
  <c r="BS49"/>
  <c r="DD49"/>
  <c r="BO49"/>
  <c r="BB49"/>
  <c r="O49"/>
  <c r="AU49"/>
  <c r="AW49"/>
  <c r="V49"/>
  <c r="AX49"/>
  <c r="CF49"/>
  <c r="CV49"/>
  <c r="S49"/>
  <c r="AP49"/>
  <c r="AR49"/>
  <c r="BQ49"/>
  <c r="BP49"/>
  <c r="CW49"/>
  <c r="G49"/>
  <c r="H50"/>
  <c r="CA49"/>
  <c r="AM49"/>
  <c r="AD51" l="1"/>
  <c r="CH51"/>
  <c r="BY51"/>
  <c r="CQ51"/>
  <c r="AS51"/>
  <c r="AO51"/>
  <c r="BZ51"/>
  <c r="CE51"/>
  <c r="DF51"/>
  <c r="Z51"/>
  <c r="AB51"/>
  <c r="CK51"/>
  <c r="DB51"/>
  <c r="BD51"/>
  <c r="P51"/>
  <c r="BS51"/>
  <c r="DC51"/>
  <c r="BI51"/>
  <c r="CZ51"/>
  <c r="AZ51"/>
  <c r="CL51"/>
  <c r="CS51"/>
  <c r="N51"/>
  <c r="AJ51"/>
  <c r="AA51"/>
  <c r="AY51"/>
  <c r="BV51"/>
  <c r="DA51"/>
  <c r="DD51"/>
  <c r="BU51"/>
  <c r="AU51"/>
  <c r="Y51"/>
  <c r="CG51"/>
  <c r="AR51"/>
  <c r="CD51"/>
  <c r="AP51"/>
  <c r="CF51"/>
  <c r="CJ51"/>
  <c r="CT51"/>
  <c r="CR51"/>
  <c r="CA51"/>
  <c r="K51"/>
  <c r="BB51"/>
  <c r="CV51"/>
  <c r="CC51"/>
  <c r="H51"/>
  <c r="AC51"/>
  <c r="M51"/>
  <c r="CW51"/>
  <c r="BC51"/>
  <c r="BT51"/>
  <c r="AI51"/>
  <c r="BX51"/>
  <c r="AT51"/>
  <c r="CX51"/>
  <c r="G51"/>
  <c r="DE51"/>
  <c r="CM51"/>
  <c r="CP51"/>
  <c r="CB51"/>
  <c r="CU51"/>
  <c r="X51"/>
  <c r="T51"/>
  <c r="BR51"/>
  <c r="O51"/>
  <c r="BH51"/>
  <c r="BA51"/>
  <c r="AV51"/>
  <c r="AQ51"/>
  <c r="BW51"/>
  <c r="AN51"/>
  <c r="CI51"/>
  <c r="AM51"/>
  <c r="J51"/>
  <c r="L51"/>
  <c r="AW51"/>
  <c r="AX51"/>
  <c r="Q49"/>
  <c r="BJ49"/>
  <c r="BJ51" l="1"/>
  <c r="D46" l="1"/>
  <c r="D45"/>
  <c r="BL43"/>
  <c r="BL42"/>
  <c r="BL41"/>
  <c r="BF39"/>
  <c r="CR45"/>
  <c r="BC45"/>
  <c r="I45"/>
  <c r="CM45"/>
  <c r="P45"/>
  <c r="V45"/>
  <c r="CH45"/>
  <c r="BU45"/>
  <c r="CA45"/>
  <c r="U45"/>
  <c r="N45"/>
  <c r="DC45"/>
  <c r="CO45"/>
  <c r="AU45"/>
  <c r="CW45"/>
  <c r="BV45"/>
  <c r="AG45"/>
  <c r="CF45"/>
  <c r="CY45"/>
  <c r="CK45"/>
  <c r="CT45"/>
  <c r="O45"/>
  <c r="AO45"/>
  <c r="BD45"/>
  <c r="BX45"/>
  <c r="AY45"/>
  <c r="BS45"/>
  <c r="DB45"/>
  <c r="BZ45"/>
  <c r="BO45"/>
  <c r="BE45"/>
  <c r="AR45"/>
  <c r="J45"/>
  <c r="DD45"/>
  <c r="Y45"/>
  <c r="AF45"/>
  <c r="AT45"/>
  <c r="CL45"/>
  <c r="BY45"/>
  <c r="AX45"/>
  <c r="Z45"/>
  <c r="CN45"/>
  <c r="BP45"/>
  <c r="CP45"/>
  <c r="CD45"/>
  <c r="CI45"/>
  <c r="CB45"/>
  <c r="CX45"/>
  <c r="AC45"/>
  <c r="CU45"/>
  <c r="AZ45"/>
  <c r="BR45"/>
  <c r="T45"/>
  <c r="AI45"/>
  <c r="M45"/>
  <c r="AV45"/>
  <c r="BI45"/>
  <c r="W45"/>
  <c r="BW45"/>
  <c r="X45"/>
  <c r="AQ45"/>
  <c r="AM45"/>
  <c r="AP45"/>
  <c r="CG45"/>
  <c r="CZ45"/>
  <c r="AA45"/>
  <c r="H45"/>
  <c r="CC45"/>
  <c r="AS45"/>
  <c r="AW45"/>
  <c r="BA45"/>
  <c r="K45"/>
  <c r="BT45"/>
  <c r="CJ45"/>
  <c r="AB45"/>
  <c r="BB45"/>
  <c r="CE45"/>
  <c r="AN45"/>
  <c r="DF45"/>
  <c r="G45"/>
  <c r="CV45"/>
  <c r="BQ45"/>
  <c r="CS45"/>
  <c r="AD45"/>
  <c r="CQ45"/>
  <c r="L45"/>
  <c r="DA45"/>
  <c r="DE45"/>
  <c r="G46" l="1"/>
  <c r="Q45"/>
  <c r="I46"/>
  <c r="K46"/>
  <c r="M46"/>
  <c r="O46"/>
  <c r="T46"/>
  <c r="V46"/>
  <c r="X46"/>
  <c r="Z46"/>
  <c r="AB46"/>
  <c r="AD46"/>
  <c r="AG46"/>
  <c r="AM46"/>
  <c r="BF45"/>
  <c r="AO46"/>
  <c r="AQ46"/>
  <c r="AS46"/>
  <c r="AU46"/>
  <c r="AW46"/>
  <c r="AY46"/>
  <c r="BA46"/>
  <c r="BC46"/>
  <c r="BE46"/>
  <c r="BP46"/>
  <c r="BR46"/>
  <c r="BT46"/>
  <c r="BV46"/>
  <c r="BX46"/>
  <c r="BZ46"/>
  <c r="CB46"/>
  <c r="CD46"/>
  <c r="CF46"/>
  <c r="CF84" s="1"/>
  <c r="CH46"/>
  <c r="CJ46"/>
  <c r="CL46"/>
  <c r="CN46"/>
  <c r="CP46"/>
  <c r="CR46"/>
  <c r="CT46"/>
  <c r="CV46"/>
  <c r="CX46"/>
  <c r="CZ46"/>
  <c r="DB46"/>
  <c r="DD46"/>
  <c r="DF46"/>
  <c r="H46"/>
  <c r="J46"/>
  <c r="L46"/>
  <c r="N46"/>
  <c r="P46"/>
  <c r="U46"/>
  <c r="W46"/>
  <c r="Y46"/>
  <c r="AA46"/>
  <c r="AC46"/>
  <c r="AF46"/>
  <c r="AI46"/>
  <c r="AN46"/>
  <c r="AP46"/>
  <c r="AR46"/>
  <c r="AT46"/>
  <c r="AV46"/>
  <c r="AX46"/>
  <c r="AZ46"/>
  <c r="BB46"/>
  <c r="BD46"/>
  <c r="BI46"/>
  <c r="BO46"/>
  <c r="BQ46"/>
  <c r="BS46"/>
  <c r="BU46"/>
  <c r="BW46"/>
  <c r="BY46"/>
  <c r="CA46"/>
  <c r="CC46"/>
  <c r="CE46"/>
  <c r="CG46"/>
  <c r="CG84" s="1"/>
  <c r="CI46"/>
  <c r="CK46"/>
  <c r="CM46"/>
  <c r="CO46"/>
  <c r="CQ46"/>
  <c r="CS46"/>
  <c r="CU46"/>
  <c r="CW46"/>
  <c r="CY46"/>
  <c r="DA46"/>
  <c r="DC46"/>
  <c r="DE46"/>
  <c r="AD84" l="1"/>
  <c r="BR84"/>
  <c r="AC84"/>
  <c r="CE84"/>
  <c r="CD84" s="1"/>
  <c r="CC84" s="1"/>
  <c r="CB84" s="1"/>
  <c r="CA84" s="1"/>
  <c r="BZ84" s="1"/>
  <c r="BY84" s="1"/>
  <c r="BX84" s="1"/>
  <c r="BW84" s="1"/>
  <c r="BV84" s="1"/>
  <c r="BU84" s="1"/>
  <c r="BF46"/>
  <c r="Q46"/>
  <c r="DH46"/>
  <c r="D38" l="1"/>
  <c r="D37" l="1"/>
  <c r="DH36"/>
  <c r="BL36"/>
  <c r="CL37"/>
  <c r="Y37"/>
  <c r="AX37"/>
  <c r="CQ37"/>
  <c r="BU37"/>
  <c r="CS37"/>
  <c r="S37"/>
  <c r="AA37"/>
  <c r="CA37"/>
  <c r="BE37"/>
  <c r="DC37"/>
  <c r="BX37"/>
  <c r="DD37"/>
  <c r="BY37"/>
  <c r="Z37"/>
  <c r="CM37"/>
  <c r="X37"/>
  <c r="O37"/>
  <c r="N37"/>
  <c r="BB37"/>
  <c r="AQ37"/>
  <c r="CD37"/>
  <c r="BC37"/>
  <c r="CK37"/>
  <c r="AP37"/>
  <c r="DF37"/>
  <c r="BV37"/>
  <c r="BS37"/>
  <c r="I37"/>
  <c r="U37"/>
  <c r="AW37"/>
  <c r="J37"/>
  <c r="CE37"/>
  <c r="BT37"/>
  <c r="AS37"/>
  <c r="BI37"/>
  <c r="BQ37"/>
  <c r="CZ37"/>
  <c r="AJ37"/>
  <c r="AT37"/>
  <c r="CO37"/>
  <c r="AI37"/>
  <c r="AF37"/>
  <c r="BP37"/>
  <c r="CV37"/>
  <c r="AD37"/>
  <c r="BA37"/>
  <c r="AN37"/>
  <c r="AG37"/>
  <c r="DB37"/>
  <c r="K37"/>
  <c r="AM37"/>
  <c r="H37"/>
  <c r="W37"/>
  <c r="L37"/>
  <c r="CU37"/>
  <c r="CC37"/>
  <c r="CR37"/>
  <c r="CP37"/>
  <c r="G37"/>
  <c r="AY37"/>
  <c r="CX37"/>
  <c r="CW37"/>
  <c r="AR37"/>
  <c r="BH37"/>
  <c r="AB37"/>
  <c r="CJ37"/>
  <c r="M37"/>
  <c r="CN37"/>
  <c r="CT37"/>
  <c r="BD37"/>
  <c r="CI37"/>
  <c r="CY37"/>
  <c r="BZ37"/>
  <c r="BW37"/>
  <c r="CB37"/>
  <c r="CG37"/>
  <c r="CF37"/>
  <c r="T37"/>
  <c r="V37"/>
  <c r="DA37"/>
  <c r="AZ37"/>
  <c r="AU37"/>
  <c r="AO37"/>
  <c r="AV37"/>
  <c r="DE37"/>
  <c r="BR37"/>
  <c r="CH37"/>
  <c r="P37"/>
  <c r="AC37"/>
  <c r="BO37"/>
  <c r="G38" l="1"/>
  <c r="Q37"/>
  <c r="K38"/>
  <c r="O38"/>
  <c r="V38"/>
  <c r="Z38"/>
  <c r="AD38"/>
  <c r="AJ38"/>
  <c r="H38"/>
  <c r="J38"/>
  <c r="L38"/>
  <c r="N38"/>
  <c r="P38"/>
  <c r="S38"/>
  <c r="AK37"/>
  <c r="U38"/>
  <c r="W38"/>
  <c r="Y38"/>
  <c r="AA38"/>
  <c r="AC38"/>
  <c r="AF38"/>
  <c r="AI38"/>
  <c r="AN38"/>
  <c r="AP38"/>
  <c r="AR38"/>
  <c r="AT38"/>
  <c r="AV38"/>
  <c r="AX38"/>
  <c r="AZ38"/>
  <c r="BB38"/>
  <c r="BD38"/>
  <c r="BI38"/>
  <c r="BO38"/>
  <c r="DH37"/>
  <c r="BQ38"/>
  <c r="BS38"/>
  <c r="BU38"/>
  <c r="BW38"/>
  <c r="BY38"/>
  <c r="CA38"/>
  <c r="CC38"/>
  <c r="CE38"/>
  <c r="CG38"/>
  <c r="CI38"/>
  <c r="CK38"/>
  <c r="CM38"/>
  <c r="CO38"/>
  <c r="CQ38"/>
  <c r="CS38"/>
  <c r="CU38"/>
  <c r="CW38"/>
  <c r="CY38"/>
  <c r="DA38"/>
  <c r="DC38"/>
  <c r="DE38"/>
  <c r="I38"/>
  <c r="M38"/>
  <c r="T38"/>
  <c r="X38"/>
  <c r="AB38"/>
  <c r="AG38"/>
  <c r="AM38"/>
  <c r="BF37"/>
  <c r="AO38"/>
  <c r="AQ38"/>
  <c r="AS38"/>
  <c r="AU38"/>
  <c r="AW38"/>
  <c r="AY38"/>
  <c r="BA38"/>
  <c r="BC38"/>
  <c r="BE38"/>
  <c r="BH38"/>
  <c r="BJ37"/>
  <c r="BP38"/>
  <c r="BR38"/>
  <c r="BT38"/>
  <c r="BV38"/>
  <c r="BX38"/>
  <c r="BZ38"/>
  <c r="CB38"/>
  <c r="CD38"/>
  <c r="CF38"/>
  <c r="CH38"/>
  <c r="CJ38"/>
  <c r="CL38"/>
  <c r="CN38"/>
  <c r="CP38"/>
  <c r="CR38"/>
  <c r="CT38"/>
  <c r="CV38"/>
  <c r="CX38"/>
  <c r="CZ38"/>
  <c r="DB38"/>
  <c r="DD38"/>
  <c r="DF38"/>
  <c r="BL37" l="1"/>
  <c r="AK38"/>
  <c r="BF38"/>
  <c r="Q38"/>
  <c r="DH38"/>
  <c r="D35" l="1"/>
  <c r="D34" l="1"/>
  <c r="DH33"/>
  <c r="BL33"/>
  <c r="CT34"/>
  <c r="AO34"/>
  <c r="M34"/>
  <c r="AY34"/>
  <c r="N34"/>
  <c r="AF34"/>
  <c r="AS34"/>
  <c r="AZ34"/>
  <c r="Y34"/>
  <c r="AN34"/>
  <c r="T34"/>
  <c r="DD34"/>
  <c r="CH34"/>
  <c r="CG34"/>
  <c r="BY34"/>
  <c r="J34"/>
  <c r="AI34"/>
  <c r="CZ34"/>
  <c r="AW34"/>
  <c r="BS34"/>
  <c r="AV34"/>
  <c r="BQ34"/>
  <c r="CM34"/>
  <c r="AG34"/>
  <c r="AP34"/>
  <c r="O34"/>
  <c r="CD34"/>
  <c r="K34"/>
  <c r="S34"/>
  <c r="DE34"/>
  <c r="DB34"/>
  <c r="CO34"/>
  <c r="BX34"/>
  <c r="G34"/>
  <c r="BI34"/>
  <c r="CI34"/>
  <c r="AR34"/>
  <c r="X34"/>
  <c r="AT34"/>
  <c r="CA34"/>
  <c r="CV34"/>
  <c r="CX34"/>
  <c r="CR34"/>
  <c r="BA34"/>
  <c r="CF34"/>
  <c r="CN34"/>
  <c r="BU34"/>
  <c r="BO34"/>
  <c r="DF34"/>
  <c r="H34"/>
  <c r="CS34"/>
  <c r="CU34"/>
  <c r="BP34"/>
  <c r="DC34"/>
  <c r="V34"/>
  <c r="U34"/>
  <c r="BD34"/>
  <c r="CW34"/>
  <c r="BV34"/>
  <c r="AQ34"/>
  <c r="AA34"/>
  <c r="BZ34"/>
  <c r="CB34"/>
  <c r="CJ34"/>
  <c r="AM34"/>
  <c r="CK34"/>
  <c r="L34"/>
  <c r="AB34"/>
  <c r="W34"/>
  <c r="AD34"/>
  <c r="I34"/>
  <c r="CL34"/>
  <c r="BC34"/>
  <c r="Z34"/>
  <c r="AJ34"/>
  <c r="CQ34"/>
  <c r="BB34"/>
  <c r="CE34"/>
  <c r="BW34"/>
  <c r="BT34"/>
  <c r="AU34"/>
  <c r="CP34"/>
  <c r="BR34"/>
  <c r="CY34"/>
  <c r="DA34"/>
  <c r="CC34"/>
  <c r="AX34"/>
  <c r="J35" l="1"/>
  <c r="N35"/>
  <c r="S35"/>
  <c r="W35"/>
  <c r="G35"/>
  <c r="I35"/>
  <c r="K35"/>
  <c r="M35"/>
  <c r="O35"/>
  <c r="T35"/>
  <c r="V35"/>
  <c r="X35"/>
  <c r="Z35"/>
  <c r="AB35"/>
  <c r="AD35"/>
  <c r="AG35"/>
  <c r="AJ35"/>
  <c r="AM35"/>
  <c r="AO35"/>
  <c r="AQ35"/>
  <c r="AS35"/>
  <c r="AU35"/>
  <c r="AW35"/>
  <c r="AY35"/>
  <c r="BA35"/>
  <c r="BC35"/>
  <c r="BO35"/>
  <c r="DH34"/>
  <c r="BQ35"/>
  <c r="BS35"/>
  <c r="BU35"/>
  <c r="BW35"/>
  <c r="BY35"/>
  <c r="CA35"/>
  <c r="CC35"/>
  <c r="CE35"/>
  <c r="CG35"/>
  <c r="CI35"/>
  <c r="CK35"/>
  <c r="CM35"/>
  <c r="CO35"/>
  <c r="CQ35"/>
  <c r="CS35"/>
  <c r="CU35"/>
  <c r="CW35"/>
  <c r="CY35"/>
  <c r="DA35"/>
  <c r="DC35"/>
  <c r="DE35"/>
  <c r="H35"/>
  <c r="L35"/>
  <c r="U35"/>
  <c r="Y35"/>
  <c r="AA35"/>
  <c r="AF35"/>
  <c r="AI35"/>
  <c r="AN35"/>
  <c r="AP35"/>
  <c r="AR35"/>
  <c r="AT35"/>
  <c r="AV35"/>
  <c r="AX35"/>
  <c r="AZ35"/>
  <c r="BB35"/>
  <c r="BD35"/>
  <c r="BI35"/>
  <c r="BP35"/>
  <c r="BR35"/>
  <c r="BT35"/>
  <c r="BV35"/>
  <c r="BX35"/>
  <c r="BZ35"/>
  <c r="CB35"/>
  <c r="CD35"/>
  <c r="CF35"/>
  <c r="CH35"/>
  <c r="CJ35"/>
  <c r="CL35"/>
  <c r="CN35"/>
  <c r="CP35"/>
  <c r="CR35"/>
  <c r="CT35"/>
  <c r="CV35"/>
  <c r="CX35"/>
  <c r="CZ35"/>
  <c r="DB35"/>
  <c r="DD35"/>
  <c r="DF35"/>
  <c r="DH35" l="1"/>
  <c r="D32" l="1"/>
  <c r="D30" l="1"/>
  <c r="D29"/>
  <c r="J30"/>
  <c r="AG30"/>
  <c r="CB29"/>
  <c r="CC29"/>
  <c r="AI29"/>
  <c r="CO30"/>
  <c r="BB30"/>
  <c r="P29"/>
  <c r="CA30"/>
  <c r="U30"/>
  <c r="DE29"/>
  <c r="BT30"/>
  <c r="BY29"/>
  <c r="AB30"/>
  <c r="G29"/>
  <c r="O30"/>
  <c r="AY30"/>
  <c r="CG30"/>
  <c r="BX29"/>
  <c r="CB30"/>
  <c r="AO30"/>
  <c r="DF30"/>
  <c r="DB29"/>
  <c r="CH30"/>
  <c r="CX29"/>
  <c r="BA30"/>
  <c r="AR30"/>
  <c r="AA30"/>
  <c r="CD30"/>
  <c r="AB29"/>
  <c r="CN30"/>
  <c r="AU30"/>
  <c r="BV30"/>
  <c r="BI29"/>
  <c r="AU29"/>
  <c r="CT30"/>
  <c r="AQ29"/>
  <c r="AV30"/>
  <c r="CU30"/>
  <c r="CX30"/>
  <c r="AT30"/>
  <c r="CJ29"/>
  <c r="CK30"/>
  <c r="AT29"/>
  <c r="CF30"/>
  <c r="DA29"/>
  <c r="CR30"/>
  <c r="U29"/>
  <c r="K29"/>
  <c r="BW29"/>
  <c r="BE30"/>
  <c r="BS29"/>
  <c r="AY29"/>
  <c r="CW30"/>
  <c r="N30"/>
  <c r="I30"/>
  <c r="CZ30"/>
  <c r="W29"/>
  <c r="Y30"/>
  <c r="T29"/>
  <c r="CI30"/>
  <c r="CP30"/>
  <c r="CE29"/>
  <c r="CI29"/>
  <c r="X29"/>
  <c r="CZ29"/>
  <c r="CO29"/>
  <c r="AF30"/>
  <c r="DC29"/>
  <c r="BE29"/>
  <c r="X30"/>
  <c r="CV30"/>
  <c r="BI30"/>
  <c r="DC30"/>
  <c r="CQ29"/>
  <c r="AQ30"/>
  <c r="S29"/>
  <c r="CT29"/>
  <c r="CC30"/>
  <c r="P30"/>
  <c r="CQ30"/>
  <c r="AD30"/>
  <c r="AC30"/>
  <c r="W30"/>
  <c r="Z29"/>
  <c r="BY30"/>
  <c r="CP29"/>
  <c r="DE30"/>
  <c r="AM29"/>
  <c r="AJ30"/>
  <c r="BW30"/>
  <c r="CG29"/>
  <c r="CM29"/>
  <c r="BZ29"/>
  <c r="BC30"/>
  <c r="BU30"/>
  <c r="BH29"/>
  <c r="AD29"/>
  <c r="BR29"/>
  <c r="AM30"/>
  <c r="CA29"/>
  <c r="AP29"/>
  <c r="BT29"/>
  <c r="CK29"/>
  <c r="BQ29"/>
  <c r="AV29"/>
  <c r="DD30"/>
  <c r="AX30"/>
  <c r="CF29"/>
  <c r="CS30"/>
  <c r="AS29"/>
  <c r="AI30"/>
  <c r="BZ30"/>
  <c r="AC29"/>
  <c r="BH30"/>
  <c r="S30"/>
  <c r="CE30"/>
  <c r="J29"/>
  <c r="M30"/>
  <c r="BC29"/>
  <c r="CR29"/>
  <c r="K30"/>
  <c r="BD29"/>
  <c r="DD29"/>
  <c r="AW30"/>
  <c r="N29"/>
  <c r="DA30"/>
  <c r="BQ30"/>
  <c r="AZ30"/>
  <c r="DF29"/>
  <c r="BD30"/>
  <c r="AO29"/>
  <c r="BO29"/>
  <c r="AG29"/>
  <c r="AJ29"/>
  <c r="AP30"/>
  <c r="CN29"/>
  <c r="CY30"/>
  <c r="G30"/>
  <c r="BR30"/>
  <c r="BV29"/>
  <c r="Z30"/>
  <c r="AZ29"/>
  <c r="BA29"/>
  <c r="BP29"/>
  <c r="H30"/>
  <c r="CS29"/>
  <c r="BO30"/>
  <c r="AR29"/>
  <c r="CL30"/>
  <c r="AF29"/>
  <c r="Y29"/>
  <c r="CL29"/>
  <c r="I29"/>
  <c r="L30"/>
  <c r="CH29"/>
  <c r="BS30"/>
  <c r="AA29"/>
  <c r="BP30"/>
  <c r="H29"/>
  <c r="AN29"/>
  <c r="BX30"/>
  <c r="AS30"/>
  <c r="BU29"/>
  <c r="CM30"/>
  <c r="BB29"/>
  <c r="CJ30"/>
  <c r="AN30"/>
  <c r="AX29"/>
  <c r="AW29"/>
  <c r="CD29"/>
  <c r="M29"/>
  <c r="DB30"/>
  <c r="V30"/>
  <c r="CY29"/>
  <c r="T30"/>
  <c r="L29"/>
  <c r="H31" l="1"/>
  <c r="L31"/>
  <c r="P31"/>
  <c r="G31"/>
  <c r="I31"/>
  <c r="K31"/>
  <c r="M31"/>
  <c r="T31"/>
  <c r="X31"/>
  <c r="Z31"/>
  <c r="AB31"/>
  <c r="AD31"/>
  <c r="AG31"/>
  <c r="AJ31"/>
  <c r="AM31"/>
  <c r="BF29"/>
  <c r="AO31"/>
  <c r="AQ31"/>
  <c r="AS31"/>
  <c r="AU31"/>
  <c r="AW31"/>
  <c r="AY31"/>
  <c r="BA31"/>
  <c r="BC31"/>
  <c r="BE31"/>
  <c r="BH31"/>
  <c r="BJ29"/>
  <c r="BO31"/>
  <c r="BQ31"/>
  <c r="BS31"/>
  <c r="BU31"/>
  <c r="BW31"/>
  <c r="BY31"/>
  <c r="CA31"/>
  <c r="CC31"/>
  <c r="CE31"/>
  <c r="CG31"/>
  <c r="CI31"/>
  <c r="CK31"/>
  <c r="CM31"/>
  <c r="CO31"/>
  <c r="CQ31"/>
  <c r="CS31"/>
  <c r="CY31"/>
  <c r="DA31"/>
  <c r="DC31"/>
  <c r="DE31"/>
  <c r="Q30"/>
  <c r="J31"/>
  <c r="N31"/>
  <c r="S31"/>
  <c r="U31"/>
  <c r="W31"/>
  <c r="Y31"/>
  <c r="AA31"/>
  <c r="AC31"/>
  <c r="AF31"/>
  <c r="AI31"/>
  <c r="AN31"/>
  <c r="AP31"/>
  <c r="AR31"/>
  <c r="AT31"/>
  <c r="AV31"/>
  <c r="AX31"/>
  <c r="AZ31"/>
  <c r="BB31"/>
  <c r="BD31"/>
  <c r="BI31"/>
  <c r="BP31"/>
  <c r="BR31"/>
  <c r="BT31"/>
  <c r="BV31"/>
  <c r="BX31"/>
  <c r="BZ31"/>
  <c r="CB31"/>
  <c r="CD31"/>
  <c r="CF31"/>
  <c r="CH31"/>
  <c r="CJ31"/>
  <c r="CL31"/>
  <c r="CN31"/>
  <c r="CP31"/>
  <c r="CR31"/>
  <c r="CT31"/>
  <c r="CX31"/>
  <c r="CZ31"/>
  <c r="DB31"/>
  <c r="DD31"/>
  <c r="DF31"/>
  <c r="AK30"/>
  <c r="BF30"/>
  <c r="BJ30"/>
  <c r="DH30"/>
  <c r="BL30" l="1"/>
  <c r="BJ31"/>
  <c r="BF31"/>
  <c r="D27" l="1"/>
  <c r="D26"/>
  <c r="CA25"/>
  <c r="CD26"/>
  <c r="P26"/>
  <c r="CE27"/>
  <c r="AN26"/>
  <c r="BH27"/>
  <c r="DC25"/>
  <c r="AS27"/>
  <c r="CX26"/>
  <c r="BA27"/>
  <c r="CS25"/>
  <c r="CY25"/>
  <c r="BP26"/>
  <c r="CS26"/>
  <c r="CQ25"/>
  <c r="CZ27"/>
  <c r="BX26"/>
  <c r="CL27"/>
  <c r="DA27"/>
  <c r="AX26"/>
  <c r="DB25"/>
  <c r="CX27"/>
  <c r="CH27"/>
  <c r="AD27"/>
  <c r="AP27"/>
  <c r="AP26"/>
  <c r="X26"/>
  <c r="I26"/>
  <c r="CB25"/>
  <c r="CT26"/>
  <c r="CT25"/>
  <c r="CK26"/>
  <c r="CH26"/>
  <c r="G27"/>
  <c r="AN27"/>
  <c r="AV26"/>
  <c r="CA26"/>
  <c r="DF27"/>
  <c r="CK27"/>
  <c r="BS25"/>
  <c r="BR25"/>
  <c r="CX25"/>
  <c r="CD25"/>
  <c r="CJ26"/>
  <c r="CW27"/>
  <c r="L26"/>
  <c r="CN26"/>
  <c r="CN25"/>
  <c r="M27"/>
  <c r="BR27"/>
  <c r="CW25"/>
  <c r="CJ25"/>
  <c r="CT27"/>
  <c r="CH25"/>
  <c r="CY26"/>
  <c r="AC26"/>
  <c r="J27"/>
  <c r="BC27"/>
  <c r="BT26"/>
  <c r="CO26"/>
  <c r="CR27"/>
  <c r="BO27"/>
  <c r="AO26"/>
  <c r="CV25"/>
  <c r="DE27"/>
  <c r="U26"/>
  <c r="CO27"/>
  <c r="DE26"/>
  <c r="G26"/>
  <c r="DC27"/>
  <c r="BI26"/>
  <c r="W27"/>
  <c r="AC27"/>
  <c r="BS26"/>
  <c r="AI26"/>
  <c r="CG27"/>
  <c r="CV27"/>
  <c r="CD27"/>
  <c r="BB26"/>
  <c r="CP26"/>
  <c r="CB27"/>
  <c r="BZ27"/>
  <c r="CA27"/>
  <c r="AY27"/>
  <c r="DA26"/>
  <c r="BV26"/>
  <c r="L27"/>
  <c r="AZ27"/>
  <c r="CE25"/>
  <c r="BP27"/>
  <c r="S27"/>
  <c r="BZ25"/>
  <c r="AV27"/>
  <c r="AB27"/>
  <c r="CL26"/>
  <c r="BB27"/>
  <c r="K26"/>
  <c r="O26"/>
  <c r="BC26"/>
  <c r="T27"/>
  <c r="CI27"/>
  <c r="DE25"/>
  <c r="CI25"/>
  <c r="CM25"/>
  <c r="DD25"/>
  <c r="Z27"/>
  <c r="AO27"/>
  <c r="BE27"/>
  <c r="AW26"/>
  <c r="CG25"/>
  <c r="CF27"/>
  <c r="V27"/>
  <c r="CJ27"/>
  <c r="CQ27"/>
  <c r="AW27"/>
  <c r="X27"/>
  <c r="BT27"/>
  <c r="AF27"/>
  <c r="AZ26"/>
  <c r="AF26"/>
  <c r="CC26"/>
  <c r="CR26"/>
  <c r="CC27"/>
  <c r="Y27"/>
  <c r="BU27"/>
  <c r="Z26"/>
  <c r="BU25"/>
  <c r="AU26"/>
  <c r="CB26"/>
  <c r="BY26"/>
  <c r="BS27"/>
  <c r="AU27"/>
  <c r="BD27"/>
  <c r="AT26"/>
  <c r="CZ26"/>
  <c r="W26"/>
  <c r="H27"/>
  <c r="AG26"/>
  <c r="DD26"/>
  <c r="DC26"/>
  <c r="CP27"/>
  <c r="BQ27"/>
  <c r="CF25"/>
  <c r="DD27"/>
  <c r="BV25"/>
  <c r="BW25"/>
  <c r="K27"/>
  <c r="O27"/>
  <c r="BI27"/>
  <c r="M26"/>
  <c r="CU25"/>
  <c r="N27"/>
  <c r="AT27"/>
  <c r="H26"/>
  <c r="BX25"/>
  <c r="AY26"/>
  <c r="CM26"/>
  <c r="T26"/>
  <c r="P27"/>
  <c r="CM27"/>
  <c r="BY27"/>
  <c r="CY27"/>
  <c r="BU26"/>
  <c r="BO26"/>
  <c r="BW27"/>
  <c r="AR27"/>
  <c r="AI27"/>
  <c r="CO25"/>
  <c r="CQ26"/>
  <c r="BD26"/>
  <c r="AD26"/>
  <c r="AJ27"/>
  <c r="AQ26"/>
  <c r="CU27"/>
  <c r="DF25"/>
  <c r="AR26"/>
  <c r="AA26"/>
  <c r="CK25"/>
  <c r="AG27"/>
  <c r="BE26"/>
  <c r="CR25"/>
  <c r="BY25"/>
  <c r="I27"/>
  <c r="CF26"/>
  <c r="AQ27"/>
  <c r="CG26"/>
  <c r="CI26"/>
  <c r="AJ26"/>
  <c r="AA27"/>
  <c r="AB26"/>
  <c r="BH26"/>
  <c r="J26"/>
  <c r="DB26"/>
  <c r="BZ26"/>
  <c r="BW26"/>
  <c r="DF26"/>
  <c r="AS26"/>
  <c r="U27"/>
  <c r="AX27"/>
  <c r="BA26"/>
  <c r="BQ26"/>
  <c r="BX27"/>
  <c r="BV27"/>
  <c r="BT25"/>
  <c r="CC25"/>
  <c r="CS27"/>
  <c r="BR26"/>
  <c r="S26"/>
  <c r="CP25"/>
  <c r="CZ25"/>
  <c r="CE26"/>
  <c r="Y26"/>
  <c r="AM27"/>
  <c r="AM26"/>
  <c r="CN27"/>
  <c r="CL25"/>
  <c r="DA25"/>
  <c r="DB27"/>
  <c r="H28" l="1"/>
  <c r="J28"/>
  <c r="L28"/>
  <c r="P28"/>
  <c r="S28"/>
  <c r="U28"/>
  <c r="W28"/>
  <c r="Y28"/>
  <c r="AA28"/>
  <c r="AC28"/>
  <c r="AF28"/>
  <c r="AI28"/>
  <c r="AN28"/>
  <c r="AP28"/>
  <c r="AR28"/>
  <c r="AT28"/>
  <c r="AV28"/>
  <c r="AX28"/>
  <c r="AZ28"/>
  <c r="BB28"/>
  <c r="BD28"/>
  <c r="BI28"/>
  <c r="BO28"/>
  <c r="BQ28"/>
  <c r="BS28"/>
  <c r="BU28"/>
  <c r="BW28"/>
  <c r="BY28"/>
  <c r="CA28"/>
  <c r="CC28"/>
  <c r="CE28"/>
  <c r="CG28"/>
  <c r="CI28"/>
  <c r="CK28"/>
  <c r="CM28"/>
  <c r="CO28"/>
  <c r="CQ28"/>
  <c r="CS28"/>
  <c r="CY28"/>
  <c r="DA28"/>
  <c r="DC28"/>
  <c r="DE28"/>
  <c r="Q27"/>
  <c r="G28"/>
  <c r="I28"/>
  <c r="K28"/>
  <c r="M28"/>
  <c r="O28"/>
  <c r="T28"/>
  <c r="X28"/>
  <c r="Z28"/>
  <c r="AB28"/>
  <c r="AD28"/>
  <c r="AG28"/>
  <c r="AJ28"/>
  <c r="AM28"/>
  <c r="BF26"/>
  <c r="AO28"/>
  <c r="AQ28"/>
  <c r="AS28"/>
  <c r="AU28"/>
  <c r="AW28"/>
  <c r="AY28"/>
  <c r="BA28"/>
  <c r="BC28"/>
  <c r="BE28"/>
  <c r="BH28"/>
  <c r="BJ26"/>
  <c r="BP28"/>
  <c r="BR28"/>
  <c r="BT28"/>
  <c r="BV28"/>
  <c r="BX28"/>
  <c r="BZ28"/>
  <c r="CB28"/>
  <c r="CD28"/>
  <c r="CF28"/>
  <c r="CH28"/>
  <c r="CJ28"/>
  <c r="CL28"/>
  <c r="CN28"/>
  <c r="CP28"/>
  <c r="CR28"/>
  <c r="CT28"/>
  <c r="CX28"/>
  <c r="CZ28"/>
  <c r="DB28"/>
  <c r="DD28"/>
  <c r="DF28"/>
  <c r="AK27"/>
  <c r="BF27"/>
  <c r="DH27"/>
  <c r="BJ27"/>
  <c r="BH25"/>
  <c r="BI25"/>
  <c r="BL27" l="1"/>
  <c r="BJ28"/>
  <c r="BJ25"/>
  <c r="BF28"/>
  <c r="AD25"/>
  <c r="AZ25"/>
  <c r="U25"/>
  <c r="X25"/>
  <c r="S25"/>
  <c r="AI25"/>
  <c r="AU25"/>
  <c r="AJ25"/>
  <c r="BA25"/>
  <c r="L25"/>
  <c r="AP25"/>
  <c r="AR25"/>
  <c r="AM25"/>
  <c r="G25"/>
  <c r="K25"/>
  <c r="J25"/>
  <c r="AF25"/>
  <c r="O25"/>
  <c r="AC25"/>
  <c r="AX25"/>
  <c r="AN25"/>
  <c r="AY25"/>
  <c r="AB25"/>
  <c r="AG25"/>
  <c r="Z25"/>
  <c r="AW25"/>
  <c r="AS25"/>
  <c r="AO25"/>
  <c r="N25"/>
  <c r="W25"/>
  <c r="AV25"/>
  <c r="AT25"/>
  <c r="P25"/>
  <c r="Y25"/>
  <c r="BE25"/>
  <c r="AQ25"/>
  <c r="BB25"/>
  <c r="H25"/>
  <c r="I25"/>
  <c r="BC25"/>
  <c r="T25"/>
  <c r="BD25"/>
  <c r="AA25"/>
  <c r="BF25" l="1"/>
  <c r="D25"/>
  <c r="D24"/>
  <c r="DH23"/>
  <c r="BL23"/>
  <c r="CK24"/>
  <c r="AG24"/>
  <c r="CI24"/>
  <c r="CO24"/>
  <c r="CU24"/>
  <c r="BW24"/>
  <c r="BC24"/>
  <c r="W24"/>
  <c r="AO24"/>
  <c r="CB24"/>
  <c r="M24"/>
  <c r="CP24"/>
  <c r="Y24"/>
  <c r="P24"/>
  <c r="H24"/>
  <c r="BU24"/>
  <c r="O24"/>
  <c r="CG24"/>
  <c r="CE24"/>
  <c r="CX24"/>
  <c r="CR24"/>
  <c r="BH24"/>
  <c r="BX24"/>
  <c r="CQ24"/>
  <c r="AI24"/>
  <c r="CY24"/>
  <c r="CZ24"/>
  <c r="AC24"/>
  <c r="CT24"/>
  <c r="AF24"/>
  <c r="T24"/>
  <c r="AR24"/>
  <c r="AZ24"/>
  <c r="AP24"/>
  <c r="CS24"/>
  <c r="BV24"/>
  <c r="BS24"/>
  <c r="AY24"/>
  <c r="CC24"/>
  <c r="AX24"/>
  <c r="CA24"/>
  <c r="G24"/>
  <c r="CF24"/>
  <c r="AA24"/>
  <c r="BA24"/>
  <c r="X24"/>
  <c r="AV24"/>
  <c r="BY24"/>
  <c r="CD24"/>
  <c r="DA24"/>
  <c r="CN24"/>
  <c r="AS24"/>
  <c r="CM24"/>
  <c r="CV24"/>
  <c r="AM24"/>
  <c r="BT24"/>
  <c r="BB24"/>
  <c r="U24"/>
  <c r="AD24"/>
  <c r="DE24"/>
  <c r="Z24"/>
  <c r="AQ24"/>
  <c r="CW24"/>
  <c r="DB24"/>
  <c r="N24"/>
  <c r="BR24"/>
  <c r="BE24"/>
  <c r="I24"/>
  <c r="DC24"/>
  <c r="AJ24"/>
  <c r="BI24"/>
  <c r="AU24"/>
  <c r="AB24"/>
  <c r="CH24"/>
  <c r="DF24"/>
  <c r="CJ24"/>
  <c r="BZ24"/>
  <c r="AT24"/>
  <c r="BD24"/>
  <c r="AW24"/>
  <c r="DD24"/>
  <c r="AN24"/>
  <c r="CL24"/>
  <c r="G32" l="1"/>
  <c r="I32"/>
  <c r="T32"/>
  <c r="X32"/>
  <c r="Z32"/>
  <c r="AB32"/>
  <c r="AJ32"/>
  <c r="AI32" s="1"/>
  <c r="AG32" s="1"/>
  <c r="AM32"/>
  <c r="BF24"/>
  <c r="AO32"/>
  <c r="AQ32"/>
  <c r="AS32"/>
  <c r="AU32"/>
  <c r="AW32"/>
  <c r="AY32"/>
  <c r="BA32"/>
  <c r="BC32"/>
  <c r="BE32"/>
  <c r="BH32"/>
  <c r="BJ24"/>
  <c r="BS32"/>
  <c r="BU32"/>
  <c r="BW32"/>
  <c r="BY32"/>
  <c r="CA32"/>
  <c r="CC32"/>
  <c r="CE32"/>
  <c r="CG32"/>
  <c r="CI32"/>
  <c r="CK32"/>
  <c r="CM32"/>
  <c r="CO32"/>
  <c r="CQ32"/>
  <c r="CS32"/>
  <c r="CY32"/>
  <c r="DA32"/>
  <c r="DC32"/>
  <c r="DE32"/>
  <c r="H32"/>
  <c r="P32"/>
  <c r="U32"/>
  <c r="W32"/>
  <c r="Y32"/>
  <c r="AA32"/>
  <c r="AC32"/>
  <c r="AF32"/>
  <c r="AD32" s="1"/>
  <c r="AN32"/>
  <c r="AP32"/>
  <c r="AR32"/>
  <c r="AT32"/>
  <c r="AV32"/>
  <c r="AX32"/>
  <c r="AZ32"/>
  <c r="BB32"/>
  <c r="BD32"/>
  <c r="BI32"/>
  <c r="BR32"/>
  <c r="BT32"/>
  <c r="BV32"/>
  <c r="BX32"/>
  <c r="BZ32"/>
  <c r="CB32"/>
  <c r="CD32"/>
  <c r="CF32"/>
  <c r="CH32"/>
  <c r="CJ32"/>
  <c r="CL32"/>
  <c r="CN32"/>
  <c r="CP32"/>
  <c r="CR32"/>
  <c r="CT32"/>
  <c r="CX32"/>
  <c r="CZ32"/>
  <c r="DB32"/>
  <c r="DD32"/>
  <c r="DF32"/>
  <c r="BF32" l="1"/>
  <c r="BJ32"/>
  <c r="D22" l="1"/>
  <c r="D21"/>
  <c r="DH20"/>
  <c r="BL20"/>
  <c r="AD21"/>
  <c r="CB21"/>
  <c r="CG21"/>
  <c r="J21"/>
  <c r="AO21"/>
  <c r="X21"/>
  <c r="BC21"/>
  <c r="CH21"/>
  <c r="AT21"/>
  <c r="BV21"/>
  <c r="BI21"/>
  <c r="AM21"/>
  <c r="CE21"/>
  <c r="DD21"/>
  <c r="BE21"/>
  <c r="CI21"/>
  <c r="CO21"/>
  <c r="BS21"/>
  <c r="CX21"/>
  <c r="AQ21"/>
  <c r="AU21"/>
  <c r="M21"/>
  <c r="DB21"/>
  <c r="T21"/>
  <c r="Y21"/>
  <c r="DA21"/>
  <c r="CA21"/>
  <c r="AZ21"/>
  <c r="AS21"/>
  <c r="CS21"/>
  <c r="AY21"/>
  <c r="BR21"/>
  <c r="CV21"/>
  <c r="CJ21"/>
  <c r="CR21"/>
  <c r="AV21"/>
  <c r="G21"/>
  <c r="BZ21"/>
  <c r="DE21"/>
  <c r="CP21"/>
  <c r="BD21"/>
  <c r="CW21"/>
  <c r="AW21"/>
  <c r="AI21"/>
  <c r="BT21"/>
  <c r="N21"/>
  <c r="P21"/>
  <c r="CZ21"/>
  <c r="AG21"/>
  <c r="CT21"/>
  <c r="BX21"/>
  <c r="BB21"/>
  <c r="CM21"/>
  <c r="AC21"/>
  <c r="CF21"/>
  <c r="Z21"/>
  <c r="L21"/>
  <c r="CL21"/>
  <c r="AX21"/>
  <c r="O21"/>
  <c r="CC21"/>
  <c r="CU21"/>
  <c r="BA21"/>
  <c r="AJ21"/>
  <c r="CD21"/>
  <c r="BH21"/>
  <c r="AR21"/>
  <c r="AP21"/>
  <c r="CY21"/>
  <c r="BU21"/>
  <c r="H21"/>
  <c r="DF21"/>
  <c r="CK21"/>
  <c r="AN21"/>
  <c r="AA21"/>
  <c r="CQ21"/>
  <c r="BW21"/>
  <c r="AF21"/>
  <c r="BY21"/>
  <c r="K21"/>
  <c r="CN21"/>
  <c r="M22" l="1"/>
  <c r="Z22"/>
  <c r="H22"/>
  <c r="J22"/>
  <c r="L22"/>
  <c r="N22"/>
  <c r="P22"/>
  <c r="Y22"/>
  <c r="AA22"/>
  <c r="AC22"/>
  <c r="AF22"/>
  <c r="AI22"/>
  <c r="AN22"/>
  <c r="AP22"/>
  <c r="AR22"/>
  <c r="AT22"/>
  <c r="AV22"/>
  <c r="AX22"/>
  <c r="AZ22"/>
  <c r="BB22"/>
  <c r="BD22"/>
  <c r="BI22"/>
  <c r="BS22"/>
  <c r="BU22"/>
  <c r="BW22"/>
  <c r="BY22"/>
  <c r="CA22"/>
  <c r="CC22"/>
  <c r="CE22"/>
  <c r="CG22"/>
  <c r="CI22"/>
  <c r="CK22"/>
  <c r="CM22"/>
  <c r="CO22"/>
  <c r="CQ22"/>
  <c r="CS22"/>
  <c r="CU22"/>
  <c r="CW22"/>
  <c r="CY22"/>
  <c r="DA22"/>
  <c r="DE22"/>
  <c r="G22"/>
  <c r="K22"/>
  <c r="O22"/>
  <c r="T22"/>
  <c r="X22"/>
  <c r="AD22"/>
  <c r="AG22"/>
  <c r="AJ22"/>
  <c r="AM22"/>
  <c r="BF21"/>
  <c r="AO22"/>
  <c r="AQ22"/>
  <c r="AS22"/>
  <c r="AU22"/>
  <c r="AW22"/>
  <c r="AY22"/>
  <c r="BA22"/>
  <c r="BC22"/>
  <c r="BE22"/>
  <c r="BH22"/>
  <c r="BJ21"/>
  <c r="BR22"/>
  <c r="BT22"/>
  <c r="BV22"/>
  <c r="BX22"/>
  <c r="BZ22"/>
  <c r="CB22"/>
  <c r="CD22"/>
  <c r="CF22"/>
  <c r="CH22"/>
  <c r="CJ22"/>
  <c r="CL22"/>
  <c r="CN22"/>
  <c r="CP22"/>
  <c r="CR22"/>
  <c r="CT22"/>
  <c r="CV22"/>
  <c r="CX22"/>
  <c r="CZ22"/>
  <c r="DB22"/>
  <c r="DD22"/>
  <c r="DF22"/>
  <c r="BJ22" l="1"/>
  <c r="BF22"/>
  <c r="D19" l="1"/>
  <c r="CU18"/>
  <c r="CE18"/>
  <c r="DD18"/>
  <c r="BS18"/>
  <c r="BZ18"/>
  <c r="DA18"/>
  <c r="BV18"/>
  <c r="CD18"/>
  <c r="BU18"/>
  <c r="BY18"/>
  <c r="CW18"/>
  <c r="CG18"/>
  <c r="CP18"/>
  <c r="CQ18"/>
  <c r="CS18"/>
  <c r="CF18"/>
  <c r="CL18"/>
  <c r="CO18"/>
  <c r="CX18"/>
  <c r="DC18"/>
  <c r="CK18"/>
  <c r="DB18"/>
  <c r="BO18"/>
  <c r="BW18"/>
  <c r="CR18"/>
  <c r="CH18"/>
  <c r="CC18"/>
  <c r="BR18"/>
  <c r="CN18"/>
  <c r="BX18"/>
  <c r="CT18"/>
  <c r="CM18"/>
  <c r="CY18"/>
  <c r="CV18"/>
  <c r="CA18"/>
  <c r="BT18"/>
  <c r="CZ18"/>
  <c r="CJ18"/>
  <c r="DF18"/>
  <c r="DE18"/>
  <c r="CB18"/>
  <c r="CI18"/>
  <c r="D18" l="1"/>
  <c r="D17"/>
  <c r="DH16"/>
  <c r="BL16"/>
  <c r="D15"/>
  <c r="AN18"/>
  <c r="AS17"/>
  <c r="AG17"/>
  <c r="BU17"/>
  <c r="G18"/>
  <c r="M18"/>
  <c r="J18"/>
  <c r="CZ17"/>
  <c r="X18"/>
  <c r="CG17"/>
  <c r="AO17"/>
  <c r="DE17"/>
  <c r="AZ17"/>
  <c r="AG18"/>
  <c r="CN17"/>
  <c r="AX18"/>
  <c r="AB18"/>
  <c r="CB17"/>
  <c r="H17"/>
  <c r="AR17"/>
  <c r="BX17"/>
  <c r="AP18"/>
  <c r="CC17"/>
  <c r="BA17"/>
  <c r="O17"/>
  <c r="BR17"/>
  <c r="N18"/>
  <c r="Z17"/>
  <c r="CD17"/>
  <c r="I17"/>
  <c r="BW17"/>
  <c r="M17"/>
  <c r="P18"/>
  <c r="BZ17"/>
  <c r="DF17"/>
  <c r="K17"/>
  <c r="AJ17"/>
  <c r="V18"/>
  <c r="AA17"/>
  <c r="AN17"/>
  <c r="BP17"/>
  <c r="AQ18"/>
  <c r="BD17"/>
  <c r="Y17"/>
  <c r="BS17"/>
  <c r="DA17"/>
  <c r="CI17"/>
  <c r="U17"/>
  <c r="AW17"/>
  <c r="BV17"/>
  <c r="S18"/>
  <c r="AI18"/>
  <c r="AY17"/>
  <c r="AV18"/>
  <c r="AF18"/>
  <c r="V17"/>
  <c r="Z18"/>
  <c r="CE17"/>
  <c r="T18"/>
  <c r="BD18"/>
  <c r="AA18"/>
  <c r="CL17"/>
  <c r="X17"/>
  <c r="AS18"/>
  <c r="BH18"/>
  <c r="BB18"/>
  <c r="AI17"/>
  <c r="BE17"/>
  <c r="BB17"/>
  <c r="CA17"/>
  <c r="BI17"/>
  <c r="AY18"/>
  <c r="L18"/>
  <c r="CT17"/>
  <c r="AX17"/>
  <c r="AO18"/>
  <c r="CR17"/>
  <c r="BI18"/>
  <c r="BE18"/>
  <c r="AV17"/>
  <c r="BO17"/>
  <c r="CM17"/>
  <c r="J17"/>
  <c r="AF17"/>
  <c r="AT18"/>
  <c r="AU18"/>
  <c r="BH17"/>
  <c r="AZ18"/>
  <c r="CO17"/>
  <c r="AR18"/>
  <c r="BY17"/>
  <c r="AB17"/>
  <c r="CP17"/>
  <c r="K18"/>
  <c r="CX17"/>
  <c r="AM18"/>
  <c r="AQ17"/>
  <c r="AJ18"/>
  <c r="I18"/>
  <c r="CS17"/>
  <c r="BC18"/>
  <c r="AD18"/>
  <c r="S17"/>
  <c r="AC17"/>
  <c r="CU17"/>
  <c r="CW17"/>
  <c r="CQ17"/>
  <c r="T17"/>
  <c r="CY17"/>
  <c r="CJ17"/>
  <c r="CH17"/>
  <c r="AU17"/>
  <c r="AM17"/>
  <c r="H18"/>
  <c r="N17"/>
  <c r="P17"/>
  <c r="CK17"/>
  <c r="DB17"/>
  <c r="AP17"/>
  <c r="BC17"/>
  <c r="DC17"/>
  <c r="G17"/>
  <c r="AC18"/>
  <c r="U18"/>
  <c r="AT17"/>
  <c r="AD17"/>
  <c r="BT17"/>
  <c r="Y18"/>
  <c r="L17"/>
  <c r="O18"/>
  <c r="CF17"/>
  <c r="AW18"/>
  <c r="CV17"/>
  <c r="DD17"/>
  <c r="BA18"/>
  <c r="G19" l="1"/>
  <c r="Q17"/>
  <c r="I19"/>
  <c r="K19"/>
  <c r="M19"/>
  <c r="O19"/>
  <c r="T19"/>
  <c r="V19"/>
  <c r="X19"/>
  <c r="Z19"/>
  <c r="AB19"/>
  <c r="AD19"/>
  <c r="AG19"/>
  <c r="AJ19"/>
  <c r="AM19"/>
  <c r="BF17"/>
  <c r="AO19"/>
  <c r="AQ19"/>
  <c r="AS19"/>
  <c r="AU19"/>
  <c r="AW19"/>
  <c r="AY19"/>
  <c r="BA19"/>
  <c r="BC19"/>
  <c r="BE19"/>
  <c r="BH19"/>
  <c r="BJ17"/>
  <c r="BR19"/>
  <c r="BT19"/>
  <c r="BV19"/>
  <c r="BX19"/>
  <c r="BZ19"/>
  <c r="CB19"/>
  <c r="CD19"/>
  <c r="CF19"/>
  <c r="CH19"/>
  <c r="CJ19"/>
  <c r="CL19"/>
  <c r="CN19"/>
  <c r="CP19"/>
  <c r="CR19"/>
  <c r="CT19"/>
  <c r="CV19"/>
  <c r="CX19"/>
  <c r="CZ19"/>
  <c r="DB19"/>
  <c r="DD19"/>
  <c r="DF19"/>
  <c r="H19"/>
  <c r="J19"/>
  <c r="L19"/>
  <c r="N19"/>
  <c r="P19"/>
  <c r="S19"/>
  <c r="U19"/>
  <c r="Y19"/>
  <c r="AA19"/>
  <c r="AC19"/>
  <c r="AF19"/>
  <c r="AI19"/>
  <c r="AN19"/>
  <c r="AP19"/>
  <c r="AR19"/>
  <c r="AT19"/>
  <c r="AV19"/>
  <c r="AX19"/>
  <c r="AZ19"/>
  <c r="BB19"/>
  <c r="BD19"/>
  <c r="BI19"/>
  <c r="BO19"/>
  <c r="BS19"/>
  <c r="BU19"/>
  <c r="BW19"/>
  <c r="BY19"/>
  <c r="CA19"/>
  <c r="CC19"/>
  <c r="CE19"/>
  <c r="CG19"/>
  <c r="CI19"/>
  <c r="CK19"/>
  <c r="CM19"/>
  <c r="CO19"/>
  <c r="CQ19"/>
  <c r="CS19"/>
  <c r="CU19"/>
  <c r="CW19"/>
  <c r="CY19"/>
  <c r="DA19"/>
  <c r="DC19"/>
  <c r="DE19"/>
  <c r="Q18"/>
  <c r="BF18"/>
  <c r="BJ18"/>
  <c r="M31" i="36"/>
  <c r="Q19" i="76" l="1"/>
  <c r="BF19"/>
  <c r="BJ19"/>
  <c r="D13" l="1"/>
  <c r="D12"/>
  <c r="K12"/>
  <c r="W13"/>
  <c r="L13"/>
  <c r="AT12"/>
  <c r="J13"/>
  <c r="CQ12"/>
  <c r="DC12"/>
  <c r="CC12"/>
  <c r="CU12"/>
  <c r="BH13"/>
  <c r="AX12"/>
  <c r="CE12"/>
  <c r="CP13"/>
  <c r="O13"/>
  <c r="DE13"/>
  <c r="U13"/>
  <c r="DF13"/>
  <c r="BD12"/>
  <c r="BA13"/>
  <c r="AO12"/>
  <c r="BB13"/>
  <c r="P12"/>
  <c r="BU13"/>
  <c r="CK12"/>
  <c r="BD13"/>
  <c r="CD13"/>
  <c r="BE12"/>
  <c r="AX13"/>
  <c r="CL12"/>
  <c r="AN12"/>
  <c r="X13"/>
  <c r="Y13"/>
  <c r="DD13"/>
  <c r="Z13"/>
  <c r="AS12"/>
  <c r="AY13"/>
  <c r="AR12"/>
  <c r="CI13"/>
  <c r="CE13"/>
  <c r="CJ12"/>
  <c r="X12"/>
  <c r="CH12"/>
  <c r="AJ13"/>
  <c r="BV13"/>
  <c r="I12"/>
  <c r="AD12"/>
  <c r="BA12"/>
  <c r="CB12"/>
  <c r="CL13"/>
  <c r="T13"/>
  <c r="AY12"/>
  <c r="K13"/>
  <c r="H13"/>
  <c r="P13"/>
  <c r="N12"/>
  <c r="Z12"/>
  <c r="BZ12"/>
  <c r="AU12"/>
  <c r="AF12"/>
  <c r="DE12"/>
  <c r="AU13"/>
  <c r="AJ12"/>
  <c r="AA13"/>
  <c r="I13"/>
  <c r="AP13"/>
  <c r="AV12"/>
  <c r="BI13"/>
  <c r="AC13"/>
  <c r="CH13"/>
  <c r="CQ13"/>
  <c r="DD12"/>
  <c r="DA12"/>
  <c r="AI12"/>
  <c r="CX12"/>
  <c r="DF12"/>
  <c r="BV12"/>
  <c r="BY12"/>
  <c r="CG13"/>
  <c r="AC12"/>
  <c r="CX13"/>
  <c r="AP12"/>
  <c r="CS13"/>
  <c r="AD13"/>
  <c r="BT13"/>
  <c r="AZ13"/>
  <c r="CY12"/>
  <c r="CO13"/>
  <c r="CO12"/>
  <c r="CY13"/>
  <c r="CG12"/>
  <c r="CS12"/>
  <c r="BS12"/>
  <c r="CK13"/>
  <c r="CZ12"/>
  <c r="M13"/>
  <c r="AB13"/>
  <c r="AZ12"/>
  <c r="AO13"/>
  <c r="O12"/>
  <c r="BP13"/>
  <c r="CW13"/>
  <c r="AN13"/>
  <c r="M12"/>
  <c r="N13"/>
  <c r="BO13"/>
  <c r="J12"/>
  <c r="CA13"/>
  <c r="BT12"/>
  <c r="DB13"/>
  <c r="CN13"/>
  <c r="AI13"/>
  <c r="AQ13"/>
  <c r="BU12"/>
  <c r="AS13"/>
  <c r="BC13"/>
  <c r="AF13"/>
  <c r="CR12"/>
  <c r="CT12"/>
  <c r="G13"/>
  <c r="CD12"/>
  <c r="DC13"/>
  <c r="BI12"/>
  <c r="CF13"/>
  <c r="CP12"/>
  <c r="CT13"/>
  <c r="CR13"/>
  <c r="AV13"/>
  <c r="CA12"/>
  <c r="CF12"/>
  <c r="BB12"/>
  <c r="BZ13"/>
  <c r="Y12"/>
  <c r="BW13"/>
  <c r="CZ13"/>
  <c r="BY13"/>
  <c r="BR12"/>
  <c r="BX12"/>
  <c r="BR13"/>
  <c r="CU13"/>
  <c r="DB12"/>
  <c r="AA12"/>
  <c r="CV12"/>
  <c r="DA13"/>
  <c r="CV13"/>
  <c r="CJ13"/>
  <c r="AQ12"/>
  <c r="AG12"/>
  <c r="AW13"/>
  <c r="S13"/>
  <c r="CW12"/>
  <c r="AW12"/>
  <c r="CM13"/>
  <c r="BW12"/>
  <c r="AG13"/>
  <c r="H12"/>
  <c r="V13"/>
  <c r="CC13"/>
  <c r="BE13"/>
  <c r="BS13"/>
  <c r="AT13"/>
  <c r="CB13"/>
  <c r="CN12"/>
  <c r="BQ13"/>
  <c r="L12"/>
  <c r="AR13"/>
  <c r="AM13"/>
  <c r="CI12"/>
  <c r="AM12"/>
  <c r="BX13"/>
  <c r="CM12"/>
  <c r="J14" l="1"/>
  <c r="N14"/>
  <c r="Y14"/>
  <c r="AA14"/>
  <c r="AC14"/>
  <c r="AF14"/>
  <c r="AI14"/>
  <c r="AN14"/>
  <c r="AP14"/>
  <c r="AR14"/>
  <c r="AT14"/>
  <c r="AV14"/>
  <c r="AX14"/>
  <c r="AZ14"/>
  <c r="BB14"/>
  <c r="BD14"/>
  <c r="BI14"/>
  <c r="BR14"/>
  <c r="BT14"/>
  <c r="BV14"/>
  <c r="BX14"/>
  <c r="BZ14"/>
  <c r="CB14"/>
  <c r="CD14"/>
  <c r="CF14"/>
  <c r="CH14"/>
  <c r="CJ14"/>
  <c r="CL14"/>
  <c r="CN14"/>
  <c r="CP14"/>
  <c r="CR14"/>
  <c r="CT14"/>
  <c r="CV14"/>
  <c r="CX14"/>
  <c r="CZ14"/>
  <c r="DB14"/>
  <c r="DD14"/>
  <c r="DF14"/>
  <c r="Q13"/>
  <c r="H14"/>
  <c r="L14"/>
  <c r="P14"/>
  <c r="I14"/>
  <c r="K14"/>
  <c r="M14"/>
  <c r="O14"/>
  <c r="X14"/>
  <c r="Z14"/>
  <c r="AD14"/>
  <c r="AG14"/>
  <c r="AJ14"/>
  <c r="AM14"/>
  <c r="AO14"/>
  <c r="AQ14"/>
  <c r="AS14"/>
  <c r="AU14"/>
  <c r="AW14"/>
  <c r="AY14"/>
  <c r="BA14"/>
  <c r="BE14"/>
  <c r="BS14"/>
  <c r="BU14"/>
  <c r="BW14"/>
  <c r="BY14"/>
  <c r="CA14"/>
  <c r="CC14"/>
  <c r="CE14"/>
  <c r="CG14"/>
  <c r="CI14"/>
  <c r="CK14"/>
  <c r="CM14"/>
  <c r="CO14"/>
  <c r="CQ14"/>
  <c r="CS14"/>
  <c r="CU14"/>
  <c r="CW14"/>
  <c r="CY14"/>
  <c r="DA14"/>
  <c r="DC14"/>
  <c r="DE14"/>
  <c r="AK13"/>
  <c r="BF13"/>
  <c r="BJ13"/>
  <c r="BL13" l="1"/>
  <c r="D10"/>
  <c r="D9"/>
  <c r="DC4"/>
  <c r="CY4"/>
  <c r="CU4"/>
  <c r="CQ4"/>
  <c r="CM4"/>
  <c r="CI4"/>
  <c r="CE4"/>
  <c r="CA4"/>
  <c r="BW4"/>
  <c r="BS4"/>
  <c r="BO4"/>
  <c r="BL4"/>
  <c r="BI4"/>
  <c r="BH4"/>
  <c r="BE4"/>
  <c r="BD4"/>
  <c r="BC4"/>
  <c r="BB4"/>
  <c r="BA4"/>
  <c r="AZ4"/>
  <c r="AY4"/>
  <c r="AX4"/>
  <c r="AW4"/>
  <c r="AV4"/>
  <c r="AU4"/>
  <c r="AT4"/>
  <c r="AS4"/>
  <c r="AR4"/>
  <c r="AQ4"/>
  <c r="AP4"/>
  <c r="AO4"/>
  <c r="AN4"/>
  <c r="AM4"/>
  <c r="AJ4"/>
  <c r="DE10"/>
  <c r="CG10"/>
  <c r="CM10"/>
  <c r="BA10"/>
  <c r="BE9"/>
  <c r="AV10"/>
  <c r="U10"/>
  <c r="DE9"/>
  <c r="BS9"/>
  <c r="CW9"/>
  <c r="X9"/>
  <c r="AN9"/>
  <c r="AT10"/>
  <c r="BI9"/>
  <c r="CV9"/>
  <c r="CO10"/>
  <c r="CT9"/>
  <c r="AA9"/>
  <c r="CG9"/>
  <c r="BW10"/>
  <c r="CX10"/>
  <c r="CN9"/>
  <c r="CS9"/>
  <c r="BT10"/>
  <c r="DD10"/>
  <c r="BA9"/>
  <c r="AC10"/>
  <c r="BE10"/>
  <c r="L10"/>
  <c r="BR10"/>
  <c r="CE9"/>
  <c r="CQ9"/>
  <c r="O9"/>
  <c r="BD10"/>
  <c r="P10"/>
  <c r="CI10"/>
  <c r="CV10"/>
  <c r="K10"/>
  <c r="BX10"/>
  <c r="DF9"/>
  <c r="CL10"/>
  <c r="CN10"/>
  <c r="CY10"/>
  <c r="BS10"/>
  <c r="M9"/>
  <c r="BZ9"/>
  <c r="DC9"/>
  <c r="AR9"/>
  <c r="CR9"/>
  <c r="BU10"/>
  <c r="BH10"/>
  <c r="AU9"/>
  <c r="BC10"/>
  <c r="AD10"/>
  <c r="AX9"/>
  <c r="DF10"/>
  <c r="BV9"/>
  <c r="AG10"/>
  <c r="CJ9"/>
  <c r="W10"/>
  <c r="AC9"/>
  <c r="Y10"/>
  <c r="BQ10"/>
  <c r="CO9"/>
  <c r="AI10"/>
  <c r="CD10"/>
  <c r="AO10"/>
  <c r="CH10"/>
  <c r="H9"/>
  <c r="AD9"/>
  <c r="T10"/>
  <c r="AS9"/>
  <c r="AR10"/>
  <c r="BV10"/>
  <c r="CB9"/>
  <c r="Y9"/>
  <c r="CC10"/>
  <c r="CM9"/>
  <c r="BH9"/>
  <c r="AZ10"/>
  <c r="AA10"/>
  <c r="DA10"/>
  <c r="AV9"/>
  <c r="G10"/>
  <c r="CE10"/>
  <c r="BU9"/>
  <c r="DD9"/>
  <c r="AW9"/>
  <c r="BO10"/>
  <c r="AJ9"/>
  <c r="BP10"/>
  <c r="CZ9"/>
  <c r="BW9"/>
  <c r="BX9"/>
  <c r="BY10"/>
  <c r="DB9"/>
  <c r="BB10"/>
  <c r="CF9"/>
  <c r="I9"/>
  <c r="CC9"/>
  <c r="CU9"/>
  <c r="AW10"/>
  <c r="CP10"/>
  <c r="AN10"/>
  <c r="CW10"/>
  <c r="AS10"/>
  <c r="BT9"/>
  <c r="L9"/>
  <c r="BR9"/>
  <c r="CQ10"/>
  <c r="X10"/>
  <c r="AO9"/>
  <c r="DB10"/>
  <c r="H10"/>
  <c r="CU10"/>
  <c r="AF9"/>
  <c r="BY9"/>
  <c r="CI9"/>
  <c r="CL9"/>
  <c r="S10"/>
  <c r="CK9"/>
  <c r="BB9"/>
  <c r="CF10"/>
  <c r="CP9"/>
  <c r="N9"/>
  <c r="AP10"/>
  <c r="AB10"/>
  <c r="CZ10"/>
  <c r="CK10"/>
  <c r="AG9"/>
  <c r="AJ10"/>
  <c r="J10"/>
  <c r="CY9"/>
  <c r="DA9"/>
  <c r="M10"/>
  <c r="CH9"/>
  <c r="CT10"/>
  <c r="AQ9"/>
  <c r="AY9"/>
  <c r="Z9"/>
  <c r="K9"/>
  <c r="AF10"/>
  <c r="AP9"/>
  <c r="AY10"/>
  <c r="CA9"/>
  <c r="CS10"/>
  <c r="BD9"/>
  <c r="AT9"/>
  <c r="V10"/>
  <c r="AU10"/>
  <c r="AZ9"/>
  <c r="Z10"/>
  <c r="AQ10"/>
  <c r="CJ10"/>
  <c r="P9"/>
  <c r="DC10"/>
  <c r="AM10"/>
  <c r="CB10"/>
  <c r="BZ10"/>
  <c r="AM9"/>
  <c r="CA10"/>
  <c r="J9"/>
  <c r="AX10"/>
  <c r="CD9"/>
  <c r="N10"/>
  <c r="O10"/>
  <c r="I10"/>
  <c r="BI10"/>
  <c r="CX9"/>
  <c r="CR10"/>
  <c r="H11" l="1"/>
  <c r="J11"/>
  <c r="L11"/>
  <c r="N11"/>
  <c r="P11"/>
  <c r="Y11"/>
  <c r="AA11"/>
  <c r="AC11"/>
  <c r="AF11"/>
  <c r="AN11"/>
  <c r="AP11"/>
  <c r="AR11"/>
  <c r="AT11"/>
  <c r="AV11"/>
  <c r="AX11"/>
  <c r="AZ11"/>
  <c r="BB11"/>
  <c r="BD11"/>
  <c r="BI11"/>
  <c r="BS11"/>
  <c r="BU11"/>
  <c r="BW11"/>
  <c r="BY11"/>
  <c r="CA11"/>
  <c r="CC11"/>
  <c r="CE11"/>
  <c r="CG11"/>
  <c r="CI11"/>
  <c r="CK11"/>
  <c r="CM11"/>
  <c r="CO11"/>
  <c r="CQ11"/>
  <c r="CS11"/>
  <c r="CU11"/>
  <c r="CW11"/>
  <c r="CY11"/>
  <c r="DA11"/>
  <c r="DC11"/>
  <c r="DE11"/>
  <c r="AK10"/>
  <c r="I11"/>
  <c r="K11"/>
  <c r="M11"/>
  <c r="O11"/>
  <c r="X11"/>
  <c r="Z11"/>
  <c r="AD11"/>
  <c r="AG11"/>
  <c r="AJ11"/>
  <c r="AM11"/>
  <c r="AM15" s="1"/>
  <c r="AO11"/>
  <c r="AQ11"/>
  <c r="AS11"/>
  <c r="AU11"/>
  <c r="AW11"/>
  <c r="AY11"/>
  <c r="BA11"/>
  <c r="BE11"/>
  <c r="BH11"/>
  <c r="BJ9"/>
  <c r="BR11"/>
  <c r="BT11"/>
  <c r="BV11"/>
  <c r="BX11"/>
  <c r="BZ11"/>
  <c r="CB11"/>
  <c r="CD11"/>
  <c r="CF11"/>
  <c r="CH11"/>
  <c r="CJ11"/>
  <c r="CL11"/>
  <c r="CN11"/>
  <c r="CP11"/>
  <c r="CR11"/>
  <c r="CT11"/>
  <c r="CV11"/>
  <c r="CX11"/>
  <c r="CZ11"/>
  <c r="DB11"/>
  <c r="DD11"/>
  <c r="DF11"/>
  <c r="Q10"/>
  <c r="BF10"/>
  <c r="BJ10"/>
  <c r="AI4"/>
  <c r="AG4"/>
  <c r="AF4"/>
  <c r="AD4"/>
  <c r="AC4"/>
  <c r="AB4"/>
  <c r="AA4"/>
  <c r="Z4"/>
  <c r="Y4"/>
  <c r="X4"/>
  <c r="W4"/>
  <c r="V4"/>
  <c r="U4"/>
  <c r="T4"/>
  <c r="S4"/>
  <c r="P4"/>
  <c r="O4"/>
  <c r="N4"/>
  <c r="M4"/>
  <c r="L4"/>
  <c r="K4"/>
  <c r="J4"/>
  <c r="I4"/>
  <c r="H4"/>
  <c r="G4"/>
  <c r="E3"/>
  <c r="BL108" i="75"/>
  <c r="BL107"/>
  <c r="BL10" i="76" l="1"/>
  <c r="BJ11"/>
  <c r="AM40"/>
  <c r="BL105" i="75"/>
  <c r="D104" l="1"/>
  <c r="BJ103" l="1"/>
  <c r="AR103"/>
  <c r="Q103"/>
  <c r="D103"/>
  <c r="D102"/>
  <c r="DH101"/>
  <c r="DH100"/>
  <c r="DB103"/>
  <c r="T102"/>
  <c r="CB103"/>
  <c r="AR102"/>
  <c r="CX102"/>
  <c r="CN102"/>
  <c r="CQ103"/>
  <c r="BR103"/>
  <c r="BU103"/>
  <c r="CY103"/>
  <c r="CL103"/>
  <c r="CW103"/>
  <c r="CZ103"/>
  <c r="AZ102"/>
  <c r="CE102"/>
  <c r="AN102"/>
  <c r="BZ102"/>
  <c r="AA102"/>
  <c r="DB102"/>
  <c r="CK102"/>
  <c r="CJ102"/>
  <c r="BS102"/>
  <c r="CA102"/>
  <c r="DA102"/>
  <c r="CI103"/>
  <c r="AJ102"/>
  <c r="CL102"/>
  <c r="K102"/>
  <c r="BC102"/>
  <c r="BX102"/>
  <c r="CC103"/>
  <c r="BE102"/>
  <c r="CD102"/>
  <c r="AQ102"/>
  <c r="CF103"/>
  <c r="AM102"/>
  <c r="CO102"/>
  <c r="I102"/>
  <c r="CP102"/>
  <c r="DF103"/>
  <c r="CS102"/>
  <c r="CI102"/>
  <c r="DF102"/>
  <c r="CT103"/>
  <c r="BP103"/>
  <c r="P102"/>
  <c r="J102"/>
  <c r="AX102"/>
  <c r="BT103"/>
  <c r="CK103"/>
  <c r="AP102"/>
  <c r="H102"/>
  <c r="BW102"/>
  <c r="BH102"/>
  <c r="AV102"/>
  <c r="CG102"/>
  <c r="CM102"/>
  <c r="DD102"/>
  <c r="BO102"/>
  <c r="AB102"/>
  <c r="DC103"/>
  <c r="BA102"/>
  <c r="BQ102"/>
  <c r="CE103"/>
  <c r="AU102"/>
  <c r="CP103"/>
  <c r="AF102"/>
  <c r="CD103"/>
  <c r="BV102"/>
  <c r="CJ103"/>
  <c r="AW102"/>
  <c r="AO102"/>
  <c r="BY103"/>
  <c r="AG102"/>
  <c r="CG103"/>
  <c r="CC102"/>
  <c r="CZ102"/>
  <c r="BB102"/>
  <c r="CM103"/>
  <c r="CB102"/>
  <c r="DE102"/>
  <c r="CV102"/>
  <c r="BP102"/>
  <c r="CW102"/>
  <c r="CR103"/>
  <c r="BD102"/>
  <c r="CX103"/>
  <c r="BW103"/>
  <c r="CQ102"/>
  <c r="L102"/>
  <c r="BZ103"/>
  <c r="CA103"/>
  <c r="DA103"/>
  <c r="CU102"/>
  <c r="CF102"/>
  <c r="DD103"/>
  <c r="CS103"/>
  <c r="BV103"/>
  <c r="CR102"/>
  <c r="BX103"/>
  <c r="CN103"/>
  <c r="AC102"/>
  <c r="O102"/>
  <c r="G102"/>
  <c r="AD102"/>
  <c r="N102"/>
  <c r="AS102"/>
  <c r="BY102"/>
  <c r="BS103"/>
  <c r="AT102"/>
  <c r="M102"/>
  <c r="S102"/>
  <c r="AI102"/>
  <c r="BQ103"/>
  <c r="CV103"/>
  <c r="AY102"/>
  <c r="CU103"/>
  <c r="BO103"/>
  <c r="CH103"/>
  <c r="CT102"/>
  <c r="CH102"/>
  <c r="CO103"/>
  <c r="BU102"/>
  <c r="CY102"/>
  <c r="DE103"/>
  <c r="DC102"/>
  <c r="BR102"/>
  <c r="H104" l="1"/>
  <c r="N104"/>
  <c r="S104"/>
  <c r="G104"/>
  <c r="Q102"/>
  <c r="I104"/>
  <c r="K104"/>
  <c r="M104"/>
  <c r="O104"/>
  <c r="AB104"/>
  <c r="AD104"/>
  <c r="AG104"/>
  <c r="AJ104"/>
  <c r="AM104"/>
  <c r="BF102"/>
  <c r="AO104"/>
  <c r="AW104"/>
  <c r="AY104"/>
  <c r="BA104"/>
  <c r="BC104"/>
  <c r="BE104"/>
  <c r="BH104"/>
  <c r="BP104"/>
  <c r="BR104"/>
  <c r="BV104"/>
  <c r="BX104"/>
  <c r="BZ104"/>
  <c r="CB104"/>
  <c r="CD104"/>
  <c r="CF104"/>
  <c r="CH104"/>
  <c r="CJ104"/>
  <c r="CL104"/>
  <c r="CN104"/>
  <c r="CP104"/>
  <c r="CR104"/>
  <c r="CT104"/>
  <c r="CV104"/>
  <c r="CX104"/>
  <c r="CZ104"/>
  <c r="DB104"/>
  <c r="DD104"/>
  <c r="DF104"/>
  <c r="DH103"/>
  <c r="J104"/>
  <c r="L104"/>
  <c r="P104"/>
  <c r="AA104"/>
  <c r="AC104"/>
  <c r="AF104"/>
  <c r="AI104"/>
  <c r="AN104"/>
  <c r="AP104"/>
  <c r="AV104"/>
  <c r="AX104"/>
  <c r="AZ104"/>
  <c r="BB104"/>
  <c r="BD104"/>
  <c r="BO104"/>
  <c r="BQ104"/>
  <c r="BS104"/>
  <c r="BU104"/>
  <c r="BW104"/>
  <c r="BY104"/>
  <c r="CA104"/>
  <c r="CC104"/>
  <c r="CE104"/>
  <c r="CG104"/>
  <c r="CI104"/>
  <c r="CK104"/>
  <c r="CM104"/>
  <c r="CO104"/>
  <c r="CQ104"/>
  <c r="CS104"/>
  <c r="CU104"/>
  <c r="CW104"/>
  <c r="CY104"/>
  <c r="DA104"/>
  <c r="DC104"/>
  <c r="DE104"/>
  <c r="Q104" l="1"/>
  <c r="D99" l="1"/>
  <c r="BT98"/>
  <c r="BQ98"/>
  <c r="CG98"/>
  <c r="BO98"/>
  <c r="BY98"/>
  <c r="DD98"/>
  <c r="CL98"/>
  <c r="BR98"/>
  <c r="DF98"/>
  <c r="DC98"/>
  <c r="DB98"/>
  <c r="CH98"/>
  <c r="CJ98"/>
  <c r="CA98"/>
  <c r="CQ98"/>
  <c r="CE98"/>
  <c r="BU98"/>
  <c r="DE98"/>
  <c r="CR98"/>
  <c r="CW98"/>
  <c r="CZ98"/>
  <c r="CX98"/>
  <c r="BV98"/>
  <c r="BP98"/>
  <c r="CN98"/>
  <c r="CV98"/>
  <c r="CP98"/>
  <c r="CB98"/>
  <c r="CD98"/>
  <c r="CM98"/>
  <c r="CI98"/>
  <c r="CT98"/>
  <c r="CF98"/>
  <c r="CO98"/>
  <c r="CK98"/>
  <c r="BX98"/>
  <c r="BW98"/>
  <c r="BZ98"/>
  <c r="CS98"/>
  <c r="CC98"/>
  <c r="DA98"/>
  <c r="CU98"/>
  <c r="BS98"/>
  <c r="D98" l="1"/>
  <c r="DH97"/>
  <c r="D96"/>
  <c r="DH95"/>
  <c r="DH94"/>
  <c r="BL94"/>
  <c r="AR98"/>
  <c r="AT96"/>
  <c r="AZ96"/>
  <c r="BQ96"/>
  <c r="AO96"/>
  <c r="CN96"/>
  <c r="AJ98"/>
  <c r="I98"/>
  <c r="CU96"/>
  <c r="AA98"/>
  <c r="AN96"/>
  <c r="H98"/>
  <c r="AV96"/>
  <c r="BY96"/>
  <c r="BI98"/>
  <c r="CZ96"/>
  <c r="AX96"/>
  <c r="AN98"/>
  <c r="Z96"/>
  <c r="T98"/>
  <c r="BD98"/>
  <c r="AI98"/>
  <c r="J98"/>
  <c r="BW96"/>
  <c r="P98"/>
  <c r="CS96"/>
  <c r="L98"/>
  <c r="Y96"/>
  <c r="X98"/>
  <c r="CX96"/>
  <c r="CL96"/>
  <c r="AO98"/>
  <c r="O98"/>
  <c r="M96"/>
  <c r="CC96"/>
  <c r="AX98"/>
  <c r="CM96"/>
  <c r="BD96"/>
  <c r="Y98"/>
  <c r="AZ98"/>
  <c r="BI96"/>
  <c r="CJ96"/>
  <c r="AY96"/>
  <c r="AM98"/>
  <c r="BH98"/>
  <c r="CG96"/>
  <c r="CD96"/>
  <c r="CW96"/>
  <c r="CI96"/>
  <c r="AC96"/>
  <c r="AR96"/>
  <c r="DD96"/>
  <c r="CH96"/>
  <c r="N96"/>
  <c r="CR96"/>
  <c r="AU96"/>
  <c r="DC96"/>
  <c r="BS96"/>
  <c r="X96"/>
  <c r="BA96"/>
  <c r="S96"/>
  <c r="CA96"/>
  <c r="BC96"/>
  <c r="N98"/>
  <c r="AG98"/>
  <c r="Z98"/>
  <c r="CV96"/>
  <c r="BA98"/>
  <c r="AV98"/>
  <c r="DB96"/>
  <c r="BX96"/>
  <c r="J96"/>
  <c r="AW96"/>
  <c r="CF96"/>
  <c r="T96"/>
  <c r="BC98"/>
  <c r="AW98"/>
  <c r="AT98"/>
  <c r="AI96"/>
  <c r="BP96"/>
  <c r="DF96"/>
  <c r="AB96"/>
  <c r="BZ96"/>
  <c r="AJ96"/>
  <c r="BR96"/>
  <c r="K96"/>
  <c r="S98"/>
  <c r="I96"/>
  <c r="AD98"/>
  <c r="P96"/>
  <c r="H96"/>
  <c r="AY98"/>
  <c r="W98"/>
  <c r="AA96"/>
  <c r="CB96"/>
  <c r="M98"/>
  <c r="BV96"/>
  <c r="CQ96"/>
  <c r="DA96"/>
  <c r="CT96"/>
  <c r="AM96"/>
  <c r="AQ96"/>
  <c r="G96"/>
  <c r="BE96"/>
  <c r="BB96"/>
  <c r="AQ98"/>
  <c r="L96"/>
  <c r="DE96"/>
  <c r="O96"/>
  <c r="BE98"/>
  <c r="BB98"/>
  <c r="AU98"/>
  <c r="AC98"/>
  <c r="AB98"/>
  <c r="AS98"/>
  <c r="G98"/>
  <c r="CP96"/>
  <c r="CO96"/>
  <c r="BU96"/>
  <c r="BT96"/>
  <c r="AS96"/>
  <c r="BO96"/>
  <c r="AF98"/>
  <c r="CE96"/>
  <c r="K98"/>
  <c r="CK96"/>
  <c r="AP96"/>
  <c r="G99" l="1"/>
  <c r="Q96"/>
  <c r="I99"/>
  <c r="K99"/>
  <c r="M99"/>
  <c r="O99"/>
  <c r="T99"/>
  <c r="X99"/>
  <c r="Z99"/>
  <c r="AB99"/>
  <c r="AJ99"/>
  <c r="AM99"/>
  <c r="BF96"/>
  <c r="AO99"/>
  <c r="AQ99"/>
  <c r="AS99"/>
  <c r="AU99"/>
  <c r="AW99"/>
  <c r="AY99"/>
  <c r="BA99"/>
  <c r="BC99"/>
  <c r="BE99"/>
  <c r="BO99"/>
  <c r="BQ99"/>
  <c r="BS99"/>
  <c r="BU99"/>
  <c r="BW99"/>
  <c r="BY99"/>
  <c r="CA99"/>
  <c r="CC99"/>
  <c r="CE99"/>
  <c r="CG99"/>
  <c r="CI99"/>
  <c r="CK99"/>
  <c r="CM99"/>
  <c r="CO99"/>
  <c r="CQ99"/>
  <c r="CS99"/>
  <c r="CU99"/>
  <c r="CW99"/>
  <c r="DA99"/>
  <c r="DC99"/>
  <c r="DE99"/>
  <c r="Q98"/>
  <c r="H99"/>
  <c r="J99"/>
  <c r="L99"/>
  <c r="N99"/>
  <c r="P99"/>
  <c r="S99"/>
  <c r="Y99"/>
  <c r="AA99"/>
  <c r="AC99"/>
  <c r="AI99"/>
  <c r="AN99"/>
  <c r="AR99"/>
  <c r="AT99"/>
  <c r="AV99"/>
  <c r="AX99"/>
  <c r="AZ99"/>
  <c r="BB99"/>
  <c r="BD99"/>
  <c r="BI99"/>
  <c r="BP99"/>
  <c r="BR99"/>
  <c r="BT99"/>
  <c r="BV99"/>
  <c r="BX99"/>
  <c r="BZ99"/>
  <c r="CB99"/>
  <c r="CD99"/>
  <c r="CF99"/>
  <c r="CH99"/>
  <c r="CJ99"/>
  <c r="CL99"/>
  <c r="CN99"/>
  <c r="CP99"/>
  <c r="CR99"/>
  <c r="CT99"/>
  <c r="CV99"/>
  <c r="CX99"/>
  <c r="CZ99"/>
  <c r="DB99"/>
  <c r="DD99"/>
  <c r="DF99"/>
  <c r="BJ98"/>
  <c r="Q99" l="1"/>
  <c r="D93" l="1"/>
  <c r="DE92"/>
  <c r="DD92"/>
  <c r="CX92"/>
  <c r="CM92"/>
  <c r="BS92"/>
  <c r="CK92"/>
  <c r="DC92"/>
  <c r="CS92"/>
  <c r="CB92"/>
  <c r="DF92"/>
  <c r="CY92"/>
  <c r="CG92"/>
  <c r="CQ92"/>
  <c r="CT92"/>
  <c r="BY92"/>
  <c r="BU92"/>
  <c r="CA92"/>
  <c r="CJ92"/>
  <c r="BX92"/>
  <c r="CW92"/>
  <c r="BV92"/>
  <c r="BO92"/>
  <c r="DB92"/>
  <c r="CU92"/>
  <c r="CH92"/>
  <c r="CI92"/>
  <c r="CN92"/>
  <c r="CL92"/>
  <c r="CF92"/>
  <c r="CD92"/>
  <c r="CP92"/>
  <c r="BQ92"/>
  <c r="DA92"/>
  <c r="CZ92"/>
  <c r="BP92"/>
  <c r="BW92"/>
  <c r="CE92"/>
  <c r="CR92"/>
  <c r="CO92"/>
  <c r="CC92"/>
  <c r="BR92"/>
  <c r="BT92"/>
  <c r="BZ92"/>
  <c r="CV92"/>
  <c r="D92" l="1"/>
  <c r="BI92"/>
  <c r="CC91"/>
  <c r="BB92"/>
  <c r="AJ92"/>
  <c r="V92"/>
  <c r="CI91"/>
  <c r="BQ91"/>
  <c r="CQ91"/>
  <c r="AT92"/>
  <c r="CY91"/>
  <c r="AG92"/>
  <c r="BZ91"/>
  <c r="G92"/>
  <c r="P92"/>
  <c r="DB91"/>
  <c r="CP91"/>
  <c r="CS91"/>
  <c r="BW91"/>
  <c r="AQ92"/>
  <c r="DF91"/>
  <c r="BA92"/>
  <c r="Z92"/>
  <c r="CB91"/>
  <c r="BD92"/>
  <c r="BH91"/>
  <c r="J92"/>
  <c r="AZ92"/>
  <c r="CJ91"/>
  <c r="AD92"/>
  <c r="CL91"/>
  <c r="DD91"/>
  <c r="AR92"/>
  <c r="CX91"/>
  <c r="AF92"/>
  <c r="CO91"/>
  <c r="BX91"/>
  <c r="CR91"/>
  <c r="S92"/>
  <c r="CH91"/>
  <c r="BS91"/>
  <c r="BO91"/>
  <c r="AP92"/>
  <c r="AY92"/>
  <c r="I92"/>
  <c r="CK91"/>
  <c r="CD91"/>
  <c r="BT91"/>
  <c r="X92"/>
  <c r="AX92"/>
  <c r="N92"/>
  <c r="BY91"/>
  <c r="CW91"/>
  <c r="AW92"/>
  <c r="U92"/>
  <c r="AV92"/>
  <c r="CV91"/>
  <c r="CE91"/>
  <c r="Y92"/>
  <c r="AM92"/>
  <c r="AU92"/>
  <c r="AC92"/>
  <c r="BE92"/>
  <c r="DC91"/>
  <c r="W92"/>
  <c r="CZ91"/>
  <c r="DE91"/>
  <c r="AN92"/>
  <c r="CN91"/>
  <c r="CA91"/>
  <c r="BR91"/>
  <c r="AI92"/>
  <c r="BU91"/>
  <c r="AA92"/>
  <c r="L92"/>
  <c r="AB92"/>
  <c r="CT91"/>
  <c r="DA91"/>
  <c r="BP91"/>
  <c r="O92"/>
  <c r="AO92"/>
  <c r="M92"/>
  <c r="AS92"/>
  <c r="CM91"/>
  <c r="CG91"/>
  <c r="BV91"/>
  <c r="CF91"/>
  <c r="H92"/>
  <c r="K92"/>
  <c r="CU91"/>
  <c r="BC92"/>
  <c r="Q92" l="1"/>
  <c r="BF92"/>
  <c r="W91"/>
  <c r="AC91"/>
  <c r="BC91"/>
  <c r="AG91"/>
  <c r="BD91"/>
  <c r="BE91"/>
  <c r="AT91"/>
  <c r="Z91"/>
  <c r="AB91"/>
  <c r="AJ91"/>
  <c r="AP91"/>
  <c r="BA91"/>
  <c r="AF91"/>
  <c r="AQ91"/>
  <c r="AS91"/>
  <c r="AM91"/>
  <c r="U91"/>
  <c r="AI91"/>
  <c r="AN91"/>
  <c r="BB91"/>
  <c r="AR91"/>
  <c r="V91"/>
  <c r="AZ91"/>
  <c r="S91"/>
  <c r="AD91"/>
  <c r="AW91"/>
  <c r="Y91"/>
  <c r="X91"/>
  <c r="AU91"/>
  <c r="AX91"/>
  <c r="AV91"/>
  <c r="AA91"/>
  <c r="AY91"/>
  <c r="AO91"/>
  <c r="BF91" l="1"/>
  <c r="D91"/>
  <c r="BL90"/>
  <c r="D89"/>
  <c r="BL87"/>
  <c r="BL86"/>
  <c r="BL85"/>
  <c r="BF83"/>
  <c r="AG89"/>
  <c r="V89"/>
  <c r="BD89"/>
  <c r="BH89"/>
  <c r="AF89"/>
  <c r="K91"/>
  <c r="CA89"/>
  <c r="J89"/>
  <c r="CR89"/>
  <c r="CX89"/>
  <c r="CZ89"/>
  <c r="M91"/>
  <c r="CN89"/>
  <c r="BU89"/>
  <c r="K89"/>
  <c r="CO89"/>
  <c r="CQ89"/>
  <c r="AD89"/>
  <c r="CW89"/>
  <c r="AI89"/>
  <c r="AU89"/>
  <c r="G89"/>
  <c r="BT89"/>
  <c r="AR89"/>
  <c r="S89"/>
  <c r="BB89"/>
  <c r="H91"/>
  <c r="I91"/>
  <c r="AS89"/>
  <c r="H89"/>
  <c r="AN89"/>
  <c r="BW89"/>
  <c r="CJ89"/>
  <c r="P91"/>
  <c r="BA89"/>
  <c r="DD89"/>
  <c r="BO89"/>
  <c r="CY89"/>
  <c r="X89"/>
  <c r="AY89"/>
  <c r="AB89"/>
  <c r="AT89"/>
  <c r="W89"/>
  <c r="CU89"/>
  <c r="N91"/>
  <c r="U89"/>
  <c r="AV89"/>
  <c r="BC89"/>
  <c r="AC89"/>
  <c r="Y89"/>
  <c r="AO89"/>
  <c r="J91"/>
  <c r="DB89"/>
  <c r="CK89"/>
  <c r="T89"/>
  <c r="CP89"/>
  <c r="BE89"/>
  <c r="AZ89"/>
  <c r="CB89"/>
  <c r="AW89"/>
  <c r="AM89"/>
  <c r="L91"/>
  <c r="I89"/>
  <c r="BQ89"/>
  <c r="CE89"/>
  <c r="BX89"/>
  <c r="BS89"/>
  <c r="AP89"/>
  <c r="CL89"/>
  <c r="O91"/>
  <c r="M89"/>
  <c r="AJ89"/>
  <c r="AA89"/>
  <c r="Z89"/>
  <c r="DA89"/>
  <c r="O89"/>
  <c r="L89"/>
  <c r="DC89"/>
  <c r="BP89"/>
  <c r="CT89"/>
  <c r="CG89"/>
  <c r="CS89"/>
  <c r="CF89"/>
  <c r="G91"/>
  <c r="DF89"/>
  <c r="BZ89"/>
  <c r="CI89"/>
  <c r="BY89"/>
  <c r="CC89"/>
  <c r="N89"/>
  <c r="AX89"/>
  <c r="BI89"/>
  <c r="AQ89"/>
  <c r="P89"/>
  <c r="DE89"/>
  <c r="CV89"/>
  <c r="BR89"/>
  <c r="CD89"/>
  <c r="CM89"/>
  <c r="BV89"/>
  <c r="CH89"/>
  <c r="J93" l="1"/>
  <c r="N93"/>
  <c r="N106" s="1"/>
  <c r="S93"/>
  <c r="AK89"/>
  <c r="W93"/>
  <c r="AA93"/>
  <c r="G93"/>
  <c r="Q89"/>
  <c r="I93"/>
  <c r="K93"/>
  <c r="M93"/>
  <c r="O93"/>
  <c r="V93"/>
  <c r="X93"/>
  <c r="Z93"/>
  <c r="AB93"/>
  <c r="AD93"/>
  <c r="AG93"/>
  <c r="AJ93"/>
  <c r="AM93"/>
  <c r="BF89"/>
  <c r="AO93"/>
  <c r="AQ93"/>
  <c r="AS93"/>
  <c r="AU93"/>
  <c r="AW93"/>
  <c r="AY93"/>
  <c r="BA93"/>
  <c r="BC93"/>
  <c r="BE93"/>
  <c r="BJ89"/>
  <c r="BP93"/>
  <c r="BR93"/>
  <c r="BT93"/>
  <c r="BV93"/>
  <c r="BX93"/>
  <c r="BZ93"/>
  <c r="CB93"/>
  <c r="CD93"/>
  <c r="CF93"/>
  <c r="CH93"/>
  <c r="CJ93"/>
  <c r="CL93"/>
  <c r="CN93"/>
  <c r="CP93"/>
  <c r="CR93"/>
  <c r="CT93"/>
  <c r="CV93"/>
  <c r="CX93"/>
  <c r="CZ93"/>
  <c r="DB93"/>
  <c r="DD93"/>
  <c r="DF93"/>
  <c r="H93"/>
  <c r="L93"/>
  <c r="P93"/>
  <c r="U93"/>
  <c r="Y93"/>
  <c r="AC93"/>
  <c r="AF93"/>
  <c r="AI93"/>
  <c r="AN93"/>
  <c r="AP93"/>
  <c r="AR93"/>
  <c r="AT93"/>
  <c r="AV93"/>
  <c r="AV106" s="1"/>
  <c r="AX93"/>
  <c r="AZ93"/>
  <c r="BB93"/>
  <c r="BB106" s="1"/>
  <c r="BD93"/>
  <c r="BO93"/>
  <c r="BQ93"/>
  <c r="BS93"/>
  <c r="BU93"/>
  <c r="BW93"/>
  <c r="BY93"/>
  <c r="CA93"/>
  <c r="CC93"/>
  <c r="CE93"/>
  <c r="CG93"/>
  <c r="CI93"/>
  <c r="CK93"/>
  <c r="CM93"/>
  <c r="CO93"/>
  <c r="CQ93"/>
  <c r="CS93"/>
  <c r="CU93"/>
  <c r="CW93"/>
  <c r="CY93"/>
  <c r="DA93"/>
  <c r="DC93"/>
  <c r="DE93"/>
  <c r="Q91"/>
  <c r="N110" i="59"/>
  <c r="BA106" i="75" l="1"/>
  <c r="BL89"/>
  <c r="M106"/>
  <c r="L106"/>
  <c r="BO106"/>
  <c r="DH93"/>
  <c r="K106"/>
  <c r="J106" s="1"/>
  <c r="I106" s="1"/>
  <c r="H106" s="1"/>
  <c r="G106" s="1"/>
  <c r="AZ106"/>
  <c r="AY106" s="1"/>
  <c r="AX106" s="1"/>
  <c r="AW106" s="1"/>
  <c r="BF93"/>
  <c r="Q93"/>
  <c r="D82" l="1"/>
  <c r="CL81"/>
  <c r="DF81"/>
  <c r="CN81"/>
  <c r="BW81"/>
  <c r="CB81"/>
  <c r="CI81"/>
  <c r="BT81"/>
  <c r="CV81"/>
  <c r="CK81"/>
  <c r="CE81"/>
  <c r="BX81"/>
  <c r="CA81"/>
  <c r="DA81"/>
  <c r="CO81"/>
  <c r="CX81"/>
  <c r="BU81"/>
  <c r="CQ81"/>
  <c r="CY81"/>
  <c r="BS81"/>
  <c r="CJ81"/>
  <c r="CD81"/>
  <c r="CT81"/>
  <c r="BY81"/>
  <c r="CM81"/>
  <c r="CH81"/>
  <c r="CS81"/>
  <c r="BR81"/>
  <c r="CC81"/>
  <c r="CU81"/>
  <c r="CF81"/>
  <c r="BV81"/>
  <c r="CW81"/>
  <c r="CG81"/>
  <c r="DD81"/>
  <c r="DC81"/>
  <c r="BZ81"/>
  <c r="DB81"/>
  <c r="CR81"/>
  <c r="CZ81"/>
  <c r="CP81"/>
  <c r="DE81"/>
  <c r="D81" l="1"/>
  <c r="DH80"/>
  <c r="BL80"/>
  <c r="D79"/>
  <c r="DH78"/>
  <c r="BL78"/>
  <c r="DH77"/>
  <c r="BL77"/>
  <c r="BR79"/>
  <c r="X81"/>
  <c r="AS79"/>
  <c r="Z79"/>
  <c r="CE79"/>
  <c r="CA79"/>
  <c r="BE81"/>
  <c r="AO81"/>
  <c r="BE79"/>
  <c r="AC79"/>
  <c r="CU79"/>
  <c r="DD79"/>
  <c r="H81"/>
  <c r="BD79"/>
  <c r="AB79"/>
  <c r="I81"/>
  <c r="L81"/>
  <c r="AA79"/>
  <c r="CC79"/>
  <c r="AX79"/>
  <c r="G81"/>
  <c r="AC81"/>
  <c r="S81"/>
  <c r="AG81"/>
  <c r="BC79"/>
  <c r="CR79"/>
  <c r="Y79"/>
  <c r="BD81"/>
  <c r="DA79"/>
  <c r="CY79"/>
  <c r="CB79"/>
  <c r="AX81"/>
  <c r="AR81"/>
  <c r="AZ79"/>
  <c r="CD79"/>
  <c r="AS81"/>
  <c r="CZ79"/>
  <c r="AF81"/>
  <c r="CL79"/>
  <c r="N79"/>
  <c r="H79"/>
  <c r="G79"/>
  <c r="AI79"/>
  <c r="CV79"/>
  <c r="AT81"/>
  <c r="AI81"/>
  <c r="K81"/>
  <c r="O79"/>
  <c r="Y81"/>
  <c r="I79"/>
  <c r="AA81"/>
  <c r="CN79"/>
  <c r="CK79"/>
  <c r="CG79"/>
  <c r="AQ79"/>
  <c r="CI79"/>
  <c r="J79"/>
  <c r="CO79"/>
  <c r="BB79"/>
  <c r="AJ81"/>
  <c r="L79"/>
  <c r="S79"/>
  <c r="CX79"/>
  <c r="AU81"/>
  <c r="X79"/>
  <c r="BA81"/>
  <c r="AF79"/>
  <c r="AD81"/>
  <c r="Z81"/>
  <c r="CJ79"/>
  <c r="AN81"/>
  <c r="BC81"/>
  <c r="W79"/>
  <c r="V79"/>
  <c r="AJ79"/>
  <c r="CH79"/>
  <c r="CQ79"/>
  <c r="P79"/>
  <c r="BY79"/>
  <c r="AT79"/>
  <c r="CM79"/>
  <c r="O81"/>
  <c r="M79"/>
  <c r="BZ79"/>
  <c r="P81"/>
  <c r="AD79"/>
  <c r="AN79"/>
  <c r="AY81"/>
  <c r="AY79"/>
  <c r="BT79"/>
  <c r="AM81"/>
  <c r="AW79"/>
  <c r="BB81"/>
  <c r="BW79"/>
  <c r="AM79"/>
  <c r="AP79"/>
  <c r="AV81"/>
  <c r="N81"/>
  <c r="BU79"/>
  <c r="AW81"/>
  <c r="BV79"/>
  <c r="AV79"/>
  <c r="AU79"/>
  <c r="DB79"/>
  <c r="J81"/>
  <c r="AZ81"/>
  <c r="AP81"/>
  <c r="DE79"/>
  <c r="AB81"/>
  <c r="CF79"/>
  <c r="K79"/>
  <c r="AG79"/>
  <c r="CP79"/>
  <c r="DF79"/>
  <c r="CW79"/>
  <c r="M81"/>
  <c r="AR79"/>
  <c r="AQ81"/>
  <c r="AO79"/>
  <c r="BX79"/>
  <c r="CT79"/>
  <c r="CS79"/>
  <c r="BA79"/>
  <c r="BS79"/>
  <c r="G82" l="1"/>
  <c r="Q79"/>
  <c r="I82"/>
  <c r="K82"/>
  <c r="M82"/>
  <c r="O82"/>
  <c r="X82"/>
  <c r="Z82"/>
  <c r="AB82"/>
  <c r="AD82"/>
  <c r="AG82"/>
  <c r="AJ82"/>
  <c r="AM82"/>
  <c r="BF79"/>
  <c r="AO82"/>
  <c r="AQ82"/>
  <c r="AS82"/>
  <c r="AU82"/>
  <c r="AW82"/>
  <c r="AY82"/>
  <c r="BA82"/>
  <c r="BC82"/>
  <c r="BE82"/>
  <c r="BS82"/>
  <c r="BU82"/>
  <c r="BW82"/>
  <c r="BY82"/>
  <c r="CA82"/>
  <c r="CC82"/>
  <c r="CE82"/>
  <c r="CG82"/>
  <c r="CI82"/>
  <c r="CK82"/>
  <c r="CM82"/>
  <c r="CO82"/>
  <c r="CQ82"/>
  <c r="CS82"/>
  <c r="CU82"/>
  <c r="CW82"/>
  <c r="CY82"/>
  <c r="DA82"/>
  <c r="DE82"/>
  <c r="Q81"/>
  <c r="H82"/>
  <c r="J82"/>
  <c r="L82"/>
  <c r="N82"/>
  <c r="P82"/>
  <c r="S82"/>
  <c r="Y82"/>
  <c r="AA82"/>
  <c r="AC82"/>
  <c r="AF82"/>
  <c r="AI82"/>
  <c r="AN82"/>
  <c r="AP82"/>
  <c r="AR82"/>
  <c r="AT82"/>
  <c r="AV82"/>
  <c r="AX82"/>
  <c r="AZ82"/>
  <c r="BB82"/>
  <c r="BD82"/>
  <c r="BR82"/>
  <c r="BT82"/>
  <c r="BV82"/>
  <c r="BX82"/>
  <c r="BZ82"/>
  <c r="CB82"/>
  <c r="CD82"/>
  <c r="CF82"/>
  <c r="CH82"/>
  <c r="CJ82"/>
  <c r="CL82"/>
  <c r="CN82"/>
  <c r="CP82"/>
  <c r="CR82"/>
  <c r="CT82"/>
  <c r="CV82"/>
  <c r="CX82"/>
  <c r="CZ82"/>
  <c r="DB82"/>
  <c r="DD82"/>
  <c r="DF82"/>
  <c r="BF81"/>
  <c r="BF82" l="1"/>
  <c r="Q82"/>
  <c r="D76" l="1"/>
  <c r="D75" l="1"/>
  <c r="DH74"/>
  <c r="BJ74"/>
  <c r="DH73"/>
  <c r="AZ75"/>
  <c r="DE75"/>
  <c r="BX75"/>
  <c r="BS75"/>
  <c r="CX75"/>
  <c r="CM75"/>
  <c r="CG75"/>
  <c r="N75"/>
  <c r="DB75"/>
  <c r="BW75"/>
  <c r="BD75"/>
  <c r="AN75"/>
  <c r="CA75"/>
  <c r="AD75"/>
  <c r="CC75"/>
  <c r="AG75"/>
  <c r="AT75"/>
  <c r="CN75"/>
  <c r="J75"/>
  <c r="AS75"/>
  <c r="AB75"/>
  <c r="CS75"/>
  <c r="AM75"/>
  <c r="L75"/>
  <c r="AP75"/>
  <c r="CD75"/>
  <c r="CW75"/>
  <c r="AO75"/>
  <c r="G75"/>
  <c r="Z75"/>
  <c r="BT75"/>
  <c r="AR75"/>
  <c r="K75"/>
  <c r="AJ75"/>
  <c r="CL75"/>
  <c r="BB75"/>
  <c r="CP75"/>
  <c r="CI75"/>
  <c r="BC75"/>
  <c r="CK75"/>
  <c r="BZ75"/>
  <c r="M75"/>
  <c r="BV75"/>
  <c r="BA75"/>
  <c r="S75"/>
  <c r="BE75"/>
  <c r="AY75"/>
  <c r="CY75"/>
  <c r="CJ75"/>
  <c r="H75"/>
  <c r="AF75"/>
  <c r="I75"/>
  <c r="BQ75"/>
  <c r="CE75"/>
  <c r="CU75"/>
  <c r="BP75"/>
  <c r="O75"/>
  <c r="CH75"/>
  <c r="CF75"/>
  <c r="BR75"/>
  <c r="AW75"/>
  <c r="W75"/>
  <c r="CQ75"/>
  <c r="AA75"/>
  <c r="DF75"/>
  <c r="CO75"/>
  <c r="X75"/>
  <c r="CZ75"/>
  <c r="BO75"/>
  <c r="V75"/>
  <c r="DA75"/>
  <c r="AC75"/>
  <c r="BY75"/>
  <c r="AQ75"/>
  <c r="CV75"/>
  <c r="AU75"/>
  <c r="AI75"/>
  <c r="DC75"/>
  <c r="U75"/>
  <c r="Y75"/>
  <c r="CB75"/>
  <c r="AX75"/>
  <c r="P75"/>
  <c r="CR75"/>
  <c r="CT75"/>
  <c r="DD75"/>
  <c r="BU75"/>
  <c r="BL74" l="1"/>
  <c r="I76"/>
  <c r="M76"/>
  <c r="X76"/>
  <c r="AB76"/>
  <c r="AG76"/>
  <c r="AM76"/>
  <c r="H76"/>
  <c r="J76"/>
  <c r="L76"/>
  <c r="N76"/>
  <c r="P76"/>
  <c r="S76"/>
  <c r="U76"/>
  <c r="W76"/>
  <c r="Y76"/>
  <c r="AA76"/>
  <c r="AC76"/>
  <c r="AF76"/>
  <c r="AI76"/>
  <c r="AN76"/>
  <c r="AP76"/>
  <c r="AR76"/>
  <c r="AT76"/>
  <c r="AX76"/>
  <c r="AZ76"/>
  <c r="BB76"/>
  <c r="BD76"/>
  <c r="BO76"/>
  <c r="DH75"/>
  <c r="BQ76"/>
  <c r="BS76"/>
  <c r="BU76"/>
  <c r="BW76"/>
  <c r="BY76"/>
  <c r="CA76"/>
  <c r="CC76"/>
  <c r="CE76"/>
  <c r="CG76"/>
  <c r="CI76"/>
  <c r="CK76"/>
  <c r="CM76"/>
  <c r="CO76"/>
  <c r="CQ76"/>
  <c r="CS76"/>
  <c r="CU76"/>
  <c r="CW76"/>
  <c r="CY76"/>
  <c r="DA76"/>
  <c r="DC76"/>
  <c r="DE76"/>
  <c r="G76"/>
  <c r="Q75"/>
  <c r="K76"/>
  <c r="O76"/>
  <c r="V76"/>
  <c r="Z76"/>
  <c r="AD76"/>
  <c r="AJ76"/>
  <c r="AO76"/>
  <c r="AQ76"/>
  <c r="AS76"/>
  <c r="AU76"/>
  <c r="AW76"/>
  <c r="AY76"/>
  <c r="BA76"/>
  <c r="BC76"/>
  <c r="BE76"/>
  <c r="BP76"/>
  <c r="BR76"/>
  <c r="BT76"/>
  <c r="BV76"/>
  <c r="BX76"/>
  <c r="BZ76"/>
  <c r="CB76"/>
  <c r="CD76"/>
  <c r="CF76"/>
  <c r="CH76"/>
  <c r="CJ76"/>
  <c r="CL76"/>
  <c r="CN76"/>
  <c r="CP76"/>
  <c r="CR76"/>
  <c r="CT76"/>
  <c r="CV76"/>
  <c r="CX76"/>
  <c r="CZ76"/>
  <c r="DB76"/>
  <c r="DD76"/>
  <c r="DF76"/>
  <c r="DH76" l="1"/>
  <c r="Q76"/>
  <c r="D72" l="1"/>
  <c r="D71" l="1"/>
  <c r="DH70"/>
  <c r="BJ70"/>
  <c r="DH69"/>
  <c r="BL69"/>
  <c r="DF71"/>
  <c r="BO71"/>
  <c r="CG71"/>
  <c r="BS71"/>
  <c r="AW71"/>
  <c r="S71"/>
  <c r="CD71"/>
  <c r="AF71"/>
  <c r="J71"/>
  <c r="AN71"/>
  <c r="AC71"/>
  <c r="CS71"/>
  <c r="BQ71"/>
  <c r="M71"/>
  <c r="CN71"/>
  <c r="AO71"/>
  <c r="BC71"/>
  <c r="AA71"/>
  <c r="CB71"/>
  <c r="CM71"/>
  <c r="CJ71"/>
  <c r="CU71"/>
  <c r="V71"/>
  <c r="AR71"/>
  <c r="AV71"/>
  <c r="BE71"/>
  <c r="AG71"/>
  <c r="K71"/>
  <c r="DE71"/>
  <c r="BR71"/>
  <c r="CF71"/>
  <c r="AT71"/>
  <c r="U71"/>
  <c r="BI71"/>
  <c r="BP71"/>
  <c r="CE71"/>
  <c r="X71"/>
  <c r="L71"/>
  <c r="I71"/>
  <c r="CO71"/>
  <c r="BB71"/>
  <c r="AS71"/>
  <c r="DA71"/>
  <c r="N71"/>
  <c r="Y71"/>
  <c r="AQ71"/>
  <c r="CP71"/>
  <c r="DB71"/>
  <c r="CC71"/>
  <c r="BA71"/>
  <c r="AZ71"/>
  <c r="AI71"/>
  <c r="BY71"/>
  <c r="BD71"/>
  <c r="CH71"/>
  <c r="CR71"/>
  <c r="CQ71"/>
  <c r="AM71"/>
  <c r="BZ71"/>
  <c r="CX71"/>
  <c r="CA71"/>
  <c r="AU71"/>
  <c r="AJ71"/>
  <c r="AP71"/>
  <c r="G71"/>
  <c r="O71"/>
  <c r="BW71"/>
  <c r="CW71"/>
  <c r="CL71"/>
  <c r="Z71"/>
  <c r="AY71"/>
  <c r="W71"/>
  <c r="DD71"/>
  <c r="H71"/>
  <c r="BX71"/>
  <c r="CY71"/>
  <c r="BU71"/>
  <c r="CK71"/>
  <c r="AD71"/>
  <c r="BT71"/>
  <c r="P71"/>
  <c r="CV71"/>
  <c r="CZ71"/>
  <c r="CI71"/>
  <c r="DC71"/>
  <c r="AX71"/>
  <c r="BV71"/>
  <c r="CT71"/>
  <c r="BL70" l="1"/>
  <c r="J72"/>
  <c r="N72"/>
  <c r="S72"/>
  <c r="W72"/>
  <c r="AA72"/>
  <c r="G72"/>
  <c r="Q71"/>
  <c r="I72"/>
  <c r="K72"/>
  <c r="M72"/>
  <c r="O72"/>
  <c r="V72"/>
  <c r="X72"/>
  <c r="Z72"/>
  <c r="AD72"/>
  <c r="AG72"/>
  <c r="AJ72"/>
  <c r="AM72"/>
  <c r="BF71"/>
  <c r="AO72"/>
  <c r="AQ72"/>
  <c r="AS72"/>
  <c r="AU72"/>
  <c r="AW72"/>
  <c r="AY72"/>
  <c r="BA72"/>
  <c r="BC72"/>
  <c r="BE72"/>
  <c r="H72"/>
  <c r="L72"/>
  <c r="P72"/>
  <c r="U72"/>
  <c r="Y72"/>
  <c r="AC72"/>
  <c r="AF72"/>
  <c r="AI72"/>
  <c r="AN72"/>
  <c r="AP72"/>
  <c r="AR72"/>
  <c r="AT72"/>
  <c r="AV72"/>
  <c r="AX72"/>
  <c r="AZ72"/>
  <c r="BB72"/>
  <c r="BD72"/>
  <c r="BI72"/>
  <c r="BP72"/>
  <c r="BT72"/>
  <c r="BX72"/>
  <c r="CB72"/>
  <c r="CF72"/>
  <c r="CJ72"/>
  <c r="BO72"/>
  <c r="DH71"/>
  <c r="BQ72"/>
  <c r="BS72"/>
  <c r="BU72"/>
  <c r="BW72"/>
  <c r="BY72"/>
  <c r="CA72"/>
  <c r="CC72"/>
  <c r="CE72"/>
  <c r="CG72"/>
  <c r="CI72"/>
  <c r="CK72"/>
  <c r="CM72"/>
  <c r="CO72"/>
  <c r="CQ72"/>
  <c r="CS72"/>
  <c r="CU72"/>
  <c r="CW72"/>
  <c r="CY72"/>
  <c r="DA72"/>
  <c r="DC72"/>
  <c r="DE72"/>
  <c r="BR72"/>
  <c r="BV72"/>
  <c r="BZ72"/>
  <c r="CD72"/>
  <c r="CH72"/>
  <c r="CL72"/>
  <c r="CN72"/>
  <c r="CP72"/>
  <c r="CR72"/>
  <c r="CT72"/>
  <c r="CV72"/>
  <c r="CX72"/>
  <c r="CZ72"/>
  <c r="DB72"/>
  <c r="DD72"/>
  <c r="DF72"/>
  <c r="DH72" l="1"/>
  <c r="BF72"/>
  <c r="Q72"/>
  <c r="D68" l="1"/>
  <c r="DE67"/>
  <c r="BX67"/>
  <c r="CN67"/>
  <c r="CM67"/>
  <c r="BR67"/>
  <c r="CZ67"/>
  <c r="BU67"/>
  <c r="CT67"/>
  <c r="DA67"/>
  <c r="CY67"/>
  <c r="BP67"/>
  <c r="BZ67"/>
  <c r="CI67"/>
  <c r="CK67"/>
  <c r="CL67"/>
  <c r="CS67"/>
  <c r="CE67"/>
  <c r="BO67"/>
  <c r="CR67"/>
  <c r="CX67"/>
  <c r="CW67"/>
  <c r="CP67"/>
  <c r="BS67"/>
  <c r="CO67"/>
  <c r="DC67"/>
  <c r="CF67"/>
  <c r="CB67"/>
  <c r="CQ67"/>
  <c r="CC67"/>
  <c r="CJ67"/>
  <c r="DB67"/>
  <c r="DD67"/>
  <c r="DF67"/>
  <c r="BT67"/>
  <c r="CV67"/>
  <c r="BW67"/>
  <c r="CH67"/>
  <c r="BV67"/>
  <c r="BQ67"/>
  <c r="CU67"/>
  <c r="CA67"/>
  <c r="CD67"/>
  <c r="CG67"/>
  <c r="BY67"/>
  <c r="DH67" l="1"/>
  <c r="AI67"/>
  <c r="V67"/>
  <c r="AU67"/>
  <c r="BB67"/>
  <c r="AN67"/>
  <c r="AA67"/>
  <c r="Z67"/>
  <c r="BE67"/>
  <c r="BH67"/>
  <c r="AR67"/>
  <c r="S67"/>
  <c r="BC67"/>
  <c r="W67"/>
  <c r="Y67"/>
  <c r="X67"/>
  <c r="AT67"/>
  <c r="AZ67"/>
  <c r="AB67"/>
  <c r="AM67"/>
  <c r="U67"/>
  <c r="AO67"/>
  <c r="AC67"/>
  <c r="AP67"/>
  <c r="AJ67"/>
  <c r="BD67"/>
  <c r="AW67"/>
  <c r="BI67"/>
  <c r="AS67"/>
  <c r="AQ67"/>
  <c r="AV67"/>
  <c r="AG67"/>
  <c r="AY67"/>
  <c r="AD67"/>
  <c r="AF67"/>
  <c r="BA67"/>
  <c r="BJ67" l="1"/>
  <c r="D67"/>
  <c r="M67"/>
  <c r="N67"/>
  <c r="I67"/>
  <c r="H67"/>
  <c r="L67"/>
  <c r="O67"/>
  <c r="P67"/>
  <c r="J67"/>
  <c r="K67"/>
  <c r="G67"/>
  <c r="Q67" l="1"/>
  <c r="D66"/>
  <c r="W66"/>
  <c r="BE66"/>
  <c r="CR66"/>
  <c r="AP66"/>
  <c r="AV66"/>
  <c r="AA66"/>
  <c r="N66"/>
  <c r="BA66"/>
  <c r="AX66"/>
  <c r="M66"/>
  <c r="BU66"/>
  <c r="CI66"/>
  <c r="CC66"/>
  <c r="BQ66"/>
  <c r="CK66"/>
  <c r="BC66"/>
  <c r="CU66"/>
  <c r="CA66"/>
  <c r="BH66"/>
  <c r="CF66"/>
  <c r="J66"/>
  <c r="CL66"/>
  <c r="Z66"/>
  <c r="T66"/>
  <c r="AY66"/>
  <c r="DF66"/>
  <c r="BW66"/>
  <c r="BO66"/>
  <c r="AM66"/>
  <c r="L66"/>
  <c r="BX66"/>
  <c r="DB66"/>
  <c r="AO66"/>
  <c r="BD66"/>
  <c r="AB66"/>
  <c r="AN66"/>
  <c r="O66"/>
  <c r="I66"/>
  <c r="CX66"/>
  <c r="AQ66"/>
  <c r="CQ66"/>
  <c r="G66"/>
  <c r="AJ66"/>
  <c r="BR66"/>
  <c r="BB66"/>
  <c r="BV66"/>
  <c r="CE66"/>
  <c r="Y66"/>
  <c r="AF66"/>
  <c r="CV66"/>
  <c r="AC66"/>
  <c r="BZ66"/>
  <c r="CH66"/>
  <c r="CD66"/>
  <c r="CJ66"/>
  <c r="CO66"/>
  <c r="BI66"/>
  <c r="CW66"/>
  <c r="K66"/>
  <c r="DD66"/>
  <c r="CG66"/>
  <c r="BY66"/>
  <c r="U66"/>
  <c r="DE66"/>
  <c r="BP66"/>
  <c r="DA66"/>
  <c r="CM66"/>
  <c r="AS66"/>
  <c r="V66"/>
  <c r="AU66"/>
  <c r="X66"/>
  <c r="CY66"/>
  <c r="BS66"/>
  <c r="AD66"/>
  <c r="P66"/>
  <c r="AR66"/>
  <c r="CN66"/>
  <c r="CP66"/>
  <c r="CZ66"/>
  <c r="AG66"/>
  <c r="CS66"/>
  <c r="BT66"/>
  <c r="CT66"/>
  <c r="CB66"/>
  <c r="DC66"/>
  <c r="AZ66"/>
  <c r="AT66"/>
  <c r="BJ66" l="1"/>
  <c r="DH66"/>
  <c r="CY65"/>
  <c r="CK65"/>
  <c r="DA65"/>
  <c r="CQ65"/>
  <c r="CE65"/>
  <c r="CS65"/>
  <c r="CT65"/>
  <c r="DC65"/>
  <c r="BV65"/>
  <c r="CF65"/>
  <c r="CJ65"/>
  <c r="CB65"/>
  <c r="CN65"/>
  <c r="CV65"/>
  <c r="BO65"/>
  <c r="CO65"/>
  <c r="BX65"/>
  <c r="BZ65"/>
  <c r="CA65"/>
  <c r="CH65"/>
  <c r="CW65"/>
  <c r="BQ65"/>
  <c r="DD65"/>
  <c r="CM65"/>
  <c r="BR65"/>
  <c r="BU65"/>
  <c r="CZ65"/>
  <c r="DB65"/>
  <c r="BS65"/>
  <c r="CC65"/>
  <c r="CX65"/>
  <c r="CP65"/>
  <c r="BW65"/>
  <c r="CR65"/>
  <c r="DF65"/>
  <c r="BP65"/>
  <c r="CG65"/>
  <c r="CD65"/>
  <c r="BY65"/>
  <c r="BT65"/>
  <c r="DE65"/>
  <c r="CI65"/>
  <c r="CL65"/>
  <c r="CU65"/>
  <c r="BO68" l="1"/>
  <c r="DH65"/>
  <c r="BS68"/>
  <c r="BW68"/>
  <c r="CA68"/>
  <c r="CE68"/>
  <c r="CI68"/>
  <c r="CM68"/>
  <c r="CQ68"/>
  <c r="CS68"/>
  <c r="CY68"/>
  <c r="BP68"/>
  <c r="BR68"/>
  <c r="BT68"/>
  <c r="BV68"/>
  <c r="BX68"/>
  <c r="BZ68"/>
  <c r="CB68"/>
  <c r="CD68"/>
  <c r="CF68"/>
  <c r="CH68"/>
  <c r="CJ68"/>
  <c r="CL68"/>
  <c r="CN68"/>
  <c r="CP68"/>
  <c r="CR68"/>
  <c r="CT68"/>
  <c r="CV68"/>
  <c r="CX68"/>
  <c r="CZ68"/>
  <c r="DB68"/>
  <c r="DD68"/>
  <c r="DF68"/>
  <c r="BQ68"/>
  <c r="BU68"/>
  <c r="BY68"/>
  <c r="CC68"/>
  <c r="CG68"/>
  <c r="CK68"/>
  <c r="CO68"/>
  <c r="CU68"/>
  <c r="CW68"/>
  <c r="DA68"/>
  <c r="DC68"/>
  <c r="DE68"/>
  <c r="D65"/>
  <c r="DH64"/>
  <c r="K65"/>
  <c r="AQ65"/>
  <c r="V65"/>
  <c r="AY65"/>
  <c r="N65"/>
  <c r="G65"/>
  <c r="BB65"/>
  <c r="BA65"/>
  <c r="Y65"/>
  <c r="J65"/>
  <c r="M65"/>
  <c r="P65"/>
  <c r="S65"/>
  <c r="AM65"/>
  <c r="AT65"/>
  <c r="AG65"/>
  <c r="AS65"/>
  <c r="AO65"/>
  <c r="AZ65"/>
  <c r="BE65"/>
  <c r="L65"/>
  <c r="U65"/>
  <c r="AI65"/>
  <c r="AU65"/>
  <c r="O65"/>
  <c r="BC65"/>
  <c r="AF65"/>
  <c r="AR65"/>
  <c r="AA65"/>
  <c r="AD65"/>
  <c r="AP65"/>
  <c r="AJ65"/>
  <c r="AX65"/>
  <c r="I65"/>
  <c r="BH65"/>
  <c r="W65"/>
  <c r="X65"/>
  <c r="AC65"/>
  <c r="Z65"/>
  <c r="BD65"/>
  <c r="AB65"/>
  <c r="BI65"/>
  <c r="AN65"/>
  <c r="AV65"/>
  <c r="H65"/>
  <c r="G68" l="1"/>
  <c r="Q65"/>
  <c r="I68"/>
  <c r="K68"/>
  <c r="M68"/>
  <c r="O68"/>
  <c r="V68"/>
  <c r="X68"/>
  <c r="Z68"/>
  <c r="AB68"/>
  <c r="AD68"/>
  <c r="AG68"/>
  <c r="AJ68"/>
  <c r="AM68"/>
  <c r="AO68"/>
  <c r="AQ68"/>
  <c r="AS68"/>
  <c r="AU68"/>
  <c r="AY68"/>
  <c r="BA68"/>
  <c r="BC68"/>
  <c r="BE68"/>
  <c r="BH68"/>
  <c r="BJ65"/>
  <c r="J68"/>
  <c r="L68"/>
  <c r="N68"/>
  <c r="P68"/>
  <c r="U68"/>
  <c r="W68"/>
  <c r="Y68"/>
  <c r="AA68"/>
  <c r="AC68"/>
  <c r="AF68"/>
  <c r="AN68"/>
  <c r="AP68"/>
  <c r="AR68"/>
  <c r="AT68"/>
  <c r="AV68"/>
  <c r="AZ68"/>
  <c r="BB68"/>
  <c r="BD68"/>
  <c r="BI68"/>
  <c r="DH68"/>
  <c r="BJ68" l="1"/>
  <c r="D63" l="1"/>
  <c r="DD62"/>
  <c r="CM62"/>
  <c r="BO62"/>
  <c r="CQ62"/>
  <c r="BQ62"/>
  <c r="BW62"/>
  <c r="CA62"/>
  <c r="BZ62"/>
  <c r="DE62"/>
  <c r="CF62"/>
  <c r="CP62"/>
  <c r="BS62"/>
  <c r="BR62"/>
  <c r="CX62"/>
  <c r="CG62"/>
  <c r="DF62"/>
  <c r="CO62"/>
  <c r="CV62"/>
  <c r="DC62"/>
  <c r="DB62"/>
  <c r="BU62"/>
  <c r="CL62"/>
  <c r="DA62"/>
  <c r="BY62"/>
  <c r="CY62"/>
  <c r="CI62"/>
  <c r="BV62"/>
  <c r="CT62"/>
  <c r="CZ62"/>
  <c r="CW62"/>
  <c r="BT62"/>
  <c r="CB62"/>
  <c r="CC62"/>
  <c r="CN62"/>
  <c r="CJ62"/>
  <c r="CH62"/>
  <c r="CS62"/>
  <c r="CK62"/>
  <c r="CU62"/>
  <c r="CD62"/>
  <c r="BX62"/>
  <c r="BP62"/>
  <c r="CR62"/>
  <c r="CE62"/>
  <c r="DH62" l="1"/>
  <c r="AG62"/>
  <c r="AM62"/>
  <c r="AC62"/>
  <c r="U62"/>
  <c r="AQ62"/>
  <c r="AN62"/>
  <c r="AP62"/>
  <c r="AZ62"/>
  <c r="S62"/>
  <c r="AV62"/>
  <c r="BC62"/>
  <c r="Y62"/>
  <c r="AA62"/>
  <c r="BH62"/>
  <c r="BI62"/>
  <c r="AB62"/>
  <c r="AS62"/>
  <c r="BD62"/>
  <c r="AI62"/>
  <c r="AU62"/>
  <c r="AR62"/>
  <c r="AD62"/>
  <c r="Z62"/>
  <c r="AW62"/>
  <c r="AO62"/>
  <c r="BE62"/>
  <c r="AJ62"/>
  <c r="AT62"/>
  <c r="W62"/>
  <c r="V62"/>
  <c r="AX62"/>
  <c r="BA62"/>
  <c r="X62"/>
  <c r="AF62"/>
  <c r="BB62"/>
  <c r="BJ62" l="1"/>
  <c r="D62"/>
  <c r="H62"/>
  <c r="M62"/>
  <c r="N62"/>
  <c r="J62"/>
  <c r="I62"/>
  <c r="L62"/>
  <c r="G62"/>
  <c r="O62"/>
  <c r="P62"/>
  <c r="K62"/>
  <c r="Q62" l="1"/>
  <c r="DE61"/>
  <c r="CV61"/>
  <c r="CD61"/>
  <c r="CR61"/>
  <c r="BS61"/>
  <c r="CE61"/>
  <c r="BH61"/>
  <c r="BO61"/>
  <c r="BQ61"/>
  <c r="CS61"/>
  <c r="DC61"/>
  <c r="CK61"/>
  <c r="CT61"/>
  <c r="BV61"/>
  <c r="DB61"/>
  <c r="CI61"/>
  <c r="BP61"/>
  <c r="BI61"/>
  <c r="CU61"/>
  <c r="DF61"/>
  <c r="CG61"/>
  <c r="CP61"/>
  <c r="CZ61"/>
  <c r="BW61"/>
  <c r="BZ61"/>
  <c r="CX61"/>
  <c r="DA61"/>
  <c r="CO61"/>
  <c r="CB61"/>
  <c r="CL61"/>
  <c r="CW61"/>
  <c r="CF61"/>
  <c r="BX61"/>
  <c r="CQ61"/>
  <c r="CH61"/>
  <c r="CA61"/>
  <c r="BR61"/>
  <c r="BU61"/>
  <c r="CM61"/>
  <c r="BY61"/>
  <c r="CC61"/>
  <c r="CY61"/>
  <c r="BT61"/>
  <c r="CN61"/>
  <c r="DD61"/>
  <c r="CJ61"/>
  <c r="DH61" l="1"/>
  <c r="BJ61"/>
  <c r="AM61"/>
  <c r="AA61"/>
  <c r="AG61"/>
  <c r="U61"/>
  <c r="AC61"/>
  <c r="S61"/>
  <c r="AN61"/>
  <c r="AW61"/>
  <c r="BC61"/>
  <c r="AO61"/>
  <c r="AB61"/>
  <c r="AP61"/>
  <c r="AF61"/>
  <c r="AY61"/>
  <c r="V61"/>
  <c r="AZ61"/>
  <c r="AV61"/>
  <c r="AJ61"/>
  <c r="Z61"/>
  <c r="AD61"/>
  <c r="AR61"/>
  <c r="AQ61"/>
  <c r="AX61"/>
  <c r="AU61"/>
  <c r="X61"/>
  <c r="BD61"/>
  <c r="AT61"/>
  <c r="AI61"/>
  <c r="AS61"/>
  <c r="BE61"/>
  <c r="Y61"/>
  <c r="W61"/>
  <c r="D61" l="1"/>
  <c r="O61"/>
  <c r="J61"/>
  <c r="I61"/>
  <c r="L61"/>
  <c r="N61"/>
  <c r="K61"/>
  <c r="P61"/>
  <c r="H61"/>
  <c r="M61"/>
  <c r="G61"/>
  <c r="Q61" l="1"/>
  <c r="CG60"/>
  <c r="AX60"/>
  <c r="AG60"/>
  <c r="BI60"/>
  <c r="AC60"/>
  <c r="CK60"/>
  <c r="AA60"/>
  <c r="AS60"/>
  <c r="BQ60"/>
  <c r="BE60"/>
  <c r="BC60"/>
  <c r="AO60"/>
  <c r="CI60"/>
  <c r="W60"/>
  <c r="CV60"/>
  <c r="CY60"/>
  <c r="BP60"/>
  <c r="BY60"/>
  <c r="CX60"/>
  <c r="BB60"/>
  <c r="CE60"/>
  <c r="CN60"/>
  <c r="X60"/>
  <c r="AB60"/>
  <c r="CW60"/>
  <c r="DE60"/>
  <c r="CZ60"/>
  <c r="CF60"/>
  <c r="S60"/>
  <c r="CA60"/>
  <c r="AT60"/>
  <c r="U60"/>
  <c r="CH60"/>
  <c r="Y60"/>
  <c r="DD60"/>
  <c r="CU60"/>
  <c r="AQ60"/>
  <c r="CD60"/>
  <c r="BT60"/>
  <c r="AW60"/>
  <c r="BX60"/>
  <c r="BS60"/>
  <c r="CR60"/>
  <c r="AU60"/>
  <c r="BH60"/>
  <c r="CS60"/>
  <c r="V60"/>
  <c r="AI60"/>
  <c r="AN60"/>
  <c r="CB60"/>
  <c r="CP60"/>
  <c r="AP60"/>
  <c r="BW60"/>
  <c r="AV60"/>
  <c r="CC60"/>
  <c r="BO60"/>
  <c r="AM60"/>
  <c r="AR60"/>
  <c r="DB60"/>
  <c r="BD60"/>
  <c r="DF60"/>
  <c r="DA60"/>
  <c r="AJ60"/>
  <c r="CJ60"/>
  <c r="BZ60"/>
  <c r="DC60"/>
  <c r="BV60"/>
  <c r="BR60"/>
  <c r="CT60"/>
  <c r="CM60"/>
  <c r="Z60"/>
  <c r="BA60"/>
  <c r="AD60"/>
  <c r="AF60"/>
  <c r="BU60"/>
  <c r="CO60"/>
  <c r="CL60"/>
  <c r="CQ60"/>
  <c r="BJ60" l="1"/>
  <c r="DH60"/>
  <c r="D60"/>
  <c r="K60"/>
  <c r="N60"/>
  <c r="J60"/>
  <c r="H60"/>
  <c r="I60"/>
  <c r="G60"/>
  <c r="M60"/>
  <c r="O60"/>
  <c r="P60"/>
  <c r="L60"/>
  <c r="Q60" l="1"/>
  <c r="BO59"/>
  <c r="CU59"/>
  <c r="BQ59"/>
  <c r="BW59"/>
  <c r="DE59"/>
  <c r="CA59"/>
  <c r="BC59"/>
  <c r="CQ59"/>
  <c r="AD59"/>
  <c r="CI59"/>
  <c r="DA59"/>
  <c r="BA59"/>
  <c r="V59"/>
  <c r="CO59"/>
  <c r="CZ59"/>
  <c r="CM59"/>
  <c r="CG59"/>
  <c r="S59"/>
  <c r="CW59"/>
  <c r="BU59"/>
  <c r="BX59"/>
  <c r="CY59"/>
  <c r="DB59"/>
  <c r="U59"/>
  <c r="BI59"/>
  <c r="BP59"/>
  <c r="CB59"/>
  <c r="DD59"/>
  <c r="AP59"/>
  <c r="BE59"/>
  <c r="AW59"/>
  <c r="BV59"/>
  <c r="AI59"/>
  <c r="AA59"/>
  <c r="CF59"/>
  <c r="AU59"/>
  <c r="AO59"/>
  <c r="CJ59"/>
  <c r="CP59"/>
  <c r="AR59"/>
  <c r="BT59"/>
  <c r="CL59"/>
  <c r="BH59"/>
  <c r="AZ59"/>
  <c r="BR59"/>
  <c r="CE59"/>
  <c r="AG59"/>
  <c r="AM59"/>
  <c r="AY59"/>
  <c r="CC59"/>
  <c r="BZ59"/>
  <c r="CR59"/>
  <c r="BS59"/>
  <c r="AT59"/>
  <c r="DC59"/>
  <c r="CX59"/>
  <c r="AF59"/>
  <c r="Y59"/>
  <c r="DF59"/>
  <c r="CK59"/>
  <c r="CD59"/>
  <c r="BD59"/>
  <c r="AS59"/>
  <c r="CS59"/>
  <c r="AB59"/>
  <c r="AQ59"/>
  <c r="BY59"/>
  <c r="CT59"/>
  <c r="Z59"/>
  <c r="CN59"/>
  <c r="AV59"/>
  <c r="AJ59"/>
  <c r="AC59"/>
  <c r="W59"/>
  <c r="CV59"/>
  <c r="CH59"/>
  <c r="AN59"/>
  <c r="X59"/>
  <c r="AX59"/>
  <c r="BJ59" l="1"/>
  <c r="DH59"/>
  <c r="D59"/>
  <c r="O59"/>
  <c r="J59"/>
  <c r="G59"/>
  <c r="H59"/>
  <c r="I59"/>
  <c r="P59"/>
  <c r="N59"/>
  <c r="L59"/>
  <c r="K59"/>
  <c r="M59"/>
  <c r="Q59" l="1"/>
  <c r="CX58"/>
  <c r="CQ58"/>
  <c r="CH58"/>
  <c r="DE58"/>
  <c r="BO58"/>
  <c r="CK58"/>
  <c r="CR58"/>
  <c r="BV58"/>
  <c r="CI58"/>
  <c r="CN58"/>
  <c r="BZ58"/>
  <c r="CE58"/>
  <c r="CD58"/>
  <c r="CS58"/>
  <c r="CT58"/>
  <c r="CO58"/>
  <c r="CU58"/>
  <c r="CF58"/>
  <c r="CZ58"/>
  <c r="BQ58"/>
  <c r="CY58"/>
  <c r="CM58"/>
  <c r="BT58"/>
  <c r="DC58"/>
  <c r="DA58"/>
  <c r="BP58"/>
  <c r="BU58"/>
  <c r="BW58"/>
  <c r="DB58"/>
  <c r="CL58"/>
  <c r="CV58"/>
  <c r="CW58"/>
  <c r="CJ58"/>
  <c r="BS58"/>
  <c r="CB58"/>
  <c r="BR58"/>
  <c r="CC58"/>
  <c r="DF58"/>
  <c r="BY58"/>
  <c r="DD58"/>
  <c r="BX58"/>
  <c r="CG58"/>
  <c r="CA58"/>
  <c r="CP58"/>
  <c r="DH58" l="1"/>
  <c r="AB58"/>
  <c r="AW58"/>
  <c r="AQ58"/>
  <c r="BB58"/>
  <c r="AG58"/>
  <c r="AR58"/>
  <c r="AC58"/>
  <c r="AI58"/>
  <c r="S58"/>
  <c r="Y58"/>
  <c r="BA58"/>
  <c r="AJ58"/>
  <c r="BH58"/>
  <c r="AY58"/>
  <c r="BC58"/>
  <c r="X58"/>
  <c r="BE58"/>
  <c r="AZ58"/>
  <c r="AN58"/>
  <c r="AS58"/>
  <c r="U58"/>
  <c r="AV58"/>
  <c r="AP58"/>
  <c r="V58"/>
  <c r="AO58"/>
  <c r="AF58"/>
  <c r="BD58"/>
  <c r="AU58"/>
  <c r="Z58"/>
  <c r="AM58"/>
  <c r="AT58"/>
  <c r="AD58"/>
  <c r="W58"/>
  <c r="AA58"/>
  <c r="BI58"/>
  <c r="BJ58" l="1"/>
  <c r="D58"/>
  <c r="K58"/>
  <c r="H58"/>
  <c r="G58"/>
  <c r="I58"/>
  <c r="J58"/>
  <c r="O58"/>
  <c r="N58"/>
  <c r="P58"/>
  <c r="M58"/>
  <c r="L58"/>
  <c r="Q58" l="1"/>
  <c r="D57"/>
  <c r="DH56"/>
  <c r="BL56"/>
  <c r="AY57"/>
  <c r="J57"/>
  <c r="CC57"/>
  <c r="AF57"/>
  <c r="K57"/>
  <c r="G57"/>
  <c r="AO57"/>
  <c r="CF57"/>
  <c r="BC57"/>
  <c r="CS57"/>
  <c r="AR57"/>
  <c r="CY57"/>
  <c r="AD57"/>
  <c r="DB57"/>
  <c r="M57"/>
  <c r="DC57"/>
  <c r="CQ57"/>
  <c r="CN57"/>
  <c r="CO57"/>
  <c r="BU57"/>
  <c r="AP57"/>
  <c r="BV57"/>
  <c r="CL57"/>
  <c r="AT57"/>
  <c r="AA57"/>
  <c r="CW57"/>
  <c r="CB57"/>
  <c r="CJ57"/>
  <c r="U57"/>
  <c r="CT57"/>
  <c r="BI57"/>
  <c r="W57"/>
  <c r="BR57"/>
  <c r="CP57"/>
  <c r="CR57"/>
  <c r="BH57"/>
  <c r="AW57"/>
  <c r="AS57"/>
  <c r="CU57"/>
  <c r="BS57"/>
  <c r="AC57"/>
  <c r="DE57"/>
  <c r="CZ57"/>
  <c r="N57"/>
  <c r="L57"/>
  <c r="BB57"/>
  <c r="I57"/>
  <c r="BX57"/>
  <c r="P57"/>
  <c r="H57"/>
  <c r="CV57"/>
  <c r="CX57"/>
  <c r="AQ57"/>
  <c r="CA57"/>
  <c r="BA57"/>
  <c r="BZ57"/>
  <c r="DD57"/>
  <c r="BT57"/>
  <c r="AJ57"/>
  <c r="AM57"/>
  <c r="S57"/>
  <c r="CH57"/>
  <c r="DF57"/>
  <c r="BP57"/>
  <c r="AG57"/>
  <c r="BO57"/>
  <c r="CM57"/>
  <c r="CD57"/>
  <c r="BE57"/>
  <c r="AU57"/>
  <c r="O57"/>
  <c r="AN57"/>
  <c r="AI57"/>
  <c r="AZ57"/>
  <c r="CK57"/>
  <c r="BQ57"/>
  <c r="AV57"/>
  <c r="CG57"/>
  <c r="DA57"/>
  <c r="BW57"/>
  <c r="V57"/>
  <c r="CI57"/>
  <c r="AB57"/>
  <c r="CE57"/>
  <c r="X57"/>
  <c r="BD57"/>
  <c r="BY57"/>
  <c r="Y57"/>
  <c r="Z57"/>
  <c r="I63" l="1"/>
  <c r="M63"/>
  <c r="V63"/>
  <c r="Z63"/>
  <c r="AD63"/>
  <c r="AJ63"/>
  <c r="AO63"/>
  <c r="H63"/>
  <c r="J63"/>
  <c r="L63"/>
  <c r="N63"/>
  <c r="P63"/>
  <c r="S63"/>
  <c r="U63"/>
  <c r="W63"/>
  <c r="Y63"/>
  <c r="AA63"/>
  <c r="AC63"/>
  <c r="AF63"/>
  <c r="AI63"/>
  <c r="AN63"/>
  <c r="AP63"/>
  <c r="AR63"/>
  <c r="AT63"/>
  <c r="AV63"/>
  <c r="BD63"/>
  <c r="BI63"/>
  <c r="BP63"/>
  <c r="BR63"/>
  <c r="BT63"/>
  <c r="BV63"/>
  <c r="BX63"/>
  <c r="BZ63"/>
  <c r="CB63"/>
  <c r="CD63"/>
  <c r="CF63"/>
  <c r="CH63"/>
  <c r="CJ63"/>
  <c r="CL63"/>
  <c r="CN63"/>
  <c r="CP63"/>
  <c r="CR63"/>
  <c r="CT63"/>
  <c r="CV63"/>
  <c r="CX63"/>
  <c r="CZ63"/>
  <c r="DB63"/>
  <c r="DD63"/>
  <c r="DF63"/>
  <c r="G63"/>
  <c r="Q57"/>
  <c r="K63"/>
  <c r="O63"/>
  <c r="X63"/>
  <c r="AB63"/>
  <c r="AG63"/>
  <c r="AM63"/>
  <c r="AQ63"/>
  <c r="AS63"/>
  <c r="AU63"/>
  <c r="AW63"/>
  <c r="BC63"/>
  <c r="BE63"/>
  <c r="BH63"/>
  <c r="BJ57"/>
  <c r="BO63"/>
  <c r="DH57"/>
  <c r="BQ63"/>
  <c r="BS63"/>
  <c r="BU63"/>
  <c r="BW63"/>
  <c r="BY63"/>
  <c r="CA63"/>
  <c r="CC63"/>
  <c r="CE63"/>
  <c r="CG63"/>
  <c r="CI63"/>
  <c r="CK63"/>
  <c r="CM63"/>
  <c r="CO63"/>
  <c r="CQ63"/>
  <c r="CS63"/>
  <c r="CU63"/>
  <c r="CW63"/>
  <c r="CY63"/>
  <c r="DA63"/>
  <c r="DC63"/>
  <c r="DE63"/>
  <c r="BJ63" l="1"/>
  <c r="DH63"/>
  <c r="Q63"/>
  <c r="D55" l="1"/>
  <c r="BZ54"/>
  <c r="AT54"/>
  <c r="J54"/>
  <c r="AJ54"/>
  <c r="AA54"/>
  <c r="T54"/>
  <c r="CH54"/>
  <c r="CX54"/>
  <c r="BE54"/>
  <c r="AB54"/>
  <c r="BW54"/>
  <c r="AP54"/>
  <c r="CS54"/>
  <c r="BR54"/>
  <c r="CR54"/>
  <c r="BY54"/>
  <c r="DA54"/>
  <c r="DB54"/>
  <c r="CG54"/>
  <c r="CT54"/>
  <c r="CW54"/>
  <c r="BA54"/>
  <c r="CN54"/>
  <c r="AV54"/>
  <c r="CL54"/>
  <c r="CM54"/>
  <c r="CK54"/>
  <c r="AI54"/>
  <c r="CC54"/>
  <c r="AS54"/>
  <c r="DD54"/>
  <c r="DE54"/>
  <c r="AU54"/>
  <c r="BD54"/>
  <c r="K54"/>
  <c r="AC54"/>
  <c r="AZ54"/>
  <c r="CY54"/>
  <c r="BB54"/>
  <c r="AR54"/>
  <c r="BH54"/>
  <c r="BI54"/>
  <c r="CZ54"/>
  <c r="CU54"/>
  <c r="H54"/>
  <c r="G54"/>
  <c r="AD54"/>
  <c r="AW54"/>
  <c r="P54"/>
  <c r="AQ54"/>
  <c r="BX54"/>
  <c r="O54"/>
  <c r="V54"/>
  <c r="BV54"/>
  <c r="CV54"/>
  <c r="AX54"/>
  <c r="M54"/>
  <c r="CB54"/>
  <c r="CI54"/>
  <c r="N54"/>
  <c r="CJ54"/>
  <c r="CO54"/>
  <c r="CF54"/>
  <c r="BC54"/>
  <c r="DC54"/>
  <c r="DF54"/>
  <c r="CA54"/>
  <c r="AG54"/>
  <c r="CQ54"/>
  <c r="L54"/>
  <c r="CD54"/>
  <c r="AF54"/>
  <c r="AY54"/>
  <c r="CP54"/>
  <c r="CE54"/>
  <c r="BU54"/>
  <c r="BJ54" l="1"/>
  <c r="D54"/>
  <c r="CQ53"/>
  <c r="BV53"/>
  <c r="CM53"/>
  <c r="DC53"/>
  <c r="CZ53"/>
  <c r="BS53"/>
  <c r="BU53"/>
  <c r="CS53"/>
  <c r="DA53"/>
  <c r="CA53"/>
  <c r="BW53"/>
  <c r="CO53"/>
  <c r="CL53"/>
  <c r="DB53"/>
  <c r="CN53"/>
  <c r="BR53"/>
  <c r="CJ53"/>
  <c r="CT53"/>
  <c r="CI53"/>
  <c r="CE53"/>
  <c r="CU53"/>
  <c r="CC53"/>
  <c r="BT53"/>
  <c r="CW53"/>
  <c r="CR53"/>
  <c r="CG53"/>
  <c r="DD53"/>
  <c r="DF53"/>
  <c r="CP53"/>
  <c r="CH53"/>
  <c r="BZ53"/>
  <c r="DE53"/>
  <c r="CD53"/>
  <c r="CV53"/>
  <c r="CB53"/>
  <c r="CF53"/>
  <c r="CY53"/>
  <c r="CK53"/>
  <c r="BY53"/>
  <c r="CX53"/>
  <c r="BX53"/>
  <c r="BR55" l="1"/>
  <c r="BV55"/>
  <c r="BX55"/>
  <c r="BZ55"/>
  <c r="CB55"/>
  <c r="CD55"/>
  <c r="CF55"/>
  <c r="CH55"/>
  <c r="CJ55"/>
  <c r="CL55"/>
  <c r="CN55"/>
  <c r="CP55"/>
  <c r="CR55"/>
  <c r="CT55"/>
  <c r="CV55"/>
  <c r="CX55"/>
  <c r="CZ55"/>
  <c r="DB55"/>
  <c r="DD55"/>
  <c r="DF55"/>
  <c r="BU55"/>
  <c r="BW55"/>
  <c r="BY55"/>
  <c r="CA55"/>
  <c r="CC55"/>
  <c r="CE55"/>
  <c r="CG55"/>
  <c r="CI55"/>
  <c r="CK55"/>
  <c r="CM55"/>
  <c r="CO55"/>
  <c r="CQ55"/>
  <c r="CS55"/>
  <c r="CU55"/>
  <c r="CW55"/>
  <c r="CY55"/>
  <c r="DA55"/>
  <c r="DC55"/>
  <c r="DE55"/>
  <c r="D53"/>
  <c r="DH52"/>
  <c r="BL52"/>
  <c r="AU53"/>
  <c r="AP53"/>
  <c r="AJ53"/>
  <c r="AV53"/>
  <c r="AC53"/>
  <c r="K53"/>
  <c r="G53"/>
  <c r="I53"/>
  <c r="AD53"/>
  <c r="BB53"/>
  <c r="AT53"/>
  <c r="AN53"/>
  <c r="BD53"/>
  <c r="J53"/>
  <c r="N53"/>
  <c r="AI53"/>
  <c r="M53"/>
  <c r="BC53"/>
  <c r="T53"/>
  <c r="H53"/>
  <c r="AZ53"/>
  <c r="AM53"/>
  <c r="X53"/>
  <c r="AG53"/>
  <c r="AR53"/>
  <c r="AS53"/>
  <c r="AO53"/>
  <c r="AF53"/>
  <c r="AQ53"/>
  <c r="AX53"/>
  <c r="AA53"/>
  <c r="U53"/>
  <c r="BE53"/>
  <c r="P53"/>
  <c r="AW53"/>
  <c r="Z53"/>
  <c r="L53"/>
  <c r="BA53"/>
  <c r="AY53"/>
  <c r="O53"/>
  <c r="G55" l="1"/>
  <c r="Q53"/>
  <c r="K55"/>
  <c r="M55"/>
  <c r="O55"/>
  <c r="T55"/>
  <c r="AD55"/>
  <c r="AG55"/>
  <c r="AJ55"/>
  <c r="BF53"/>
  <c r="AQ55"/>
  <c r="AS55"/>
  <c r="AU55"/>
  <c r="AW55"/>
  <c r="AY55"/>
  <c r="BA55"/>
  <c r="BC55"/>
  <c r="BE55"/>
  <c r="H55"/>
  <c r="J55"/>
  <c r="L55"/>
  <c r="N55"/>
  <c r="P55"/>
  <c r="AA55"/>
  <c r="AC55"/>
  <c r="AF55"/>
  <c r="AI55"/>
  <c r="AP55"/>
  <c r="AR55"/>
  <c r="AT55"/>
  <c r="AV55"/>
  <c r="AX55"/>
  <c r="AZ55"/>
  <c r="BB55"/>
  <c r="BD55"/>
  <c r="D51" l="1"/>
  <c r="CB50"/>
  <c r="BT50"/>
  <c r="CG50"/>
  <c r="DE50"/>
  <c r="DB50"/>
  <c r="CH50"/>
  <c r="CF50"/>
  <c r="BC50"/>
  <c r="CA50"/>
  <c r="BY50"/>
  <c r="BD50"/>
  <c r="CK50"/>
  <c r="CV50"/>
  <c r="AO50"/>
  <c r="AQ50"/>
  <c r="CI50"/>
  <c r="AC50"/>
  <c r="BI50"/>
  <c r="AM50"/>
  <c r="AT50"/>
  <c r="BS50"/>
  <c r="BE50"/>
  <c r="CY50"/>
  <c r="AI50"/>
  <c r="DC50"/>
  <c r="X50"/>
  <c r="CS50"/>
  <c r="BA50"/>
  <c r="CC50"/>
  <c r="AB50"/>
  <c r="DD50"/>
  <c r="BR50"/>
  <c r="CU50"/>
  <c r="DF50"/>
  <c r="CT50"/>
  <c r="CJ50"/>
  <c r="BB50"/>
  <c r="BH50"/>
  <c r="CD50"/>
  <c r="CM50"/>
  <c r="AJ50"/>
  <c r="Z50"/>
  <c r="BX50"/>
  <c r="BZ50"/>
  <c r="CO50"/>
  <c r="BW50"/>
  <c r="AD50"/>
  <c r="AU50"/>
  <c r="CZ50"/>
  <c r="CE50"/>
  <c r="AW50"/>
  <c r="CP50"/>
  <c r="T50"/>
  <c r="CQ50"/>
  <c r="Y50"/>
  <c r="CW50"/>
  <c r="BV50"/>
  <c r="AG50"/>
  <c r="AF50"/>
  <c r="CX50"/>
  <c r="AV50"/>
  <c r="AY50"/>
  <c r="CN50"/>
  <c r="AX50"/>
  <c r="CL50"/>
  <c r="AR50"/>
  <c r="AS50"/>
  <c r="AN50"/>
  <c r="AZ50"/>
  <c r="DA50"/>
  <c r="AP50"/>
  <c r="AA50"/>
  <c r="CR50"/>
  <c r="BU50"/>
  <c r="BF50" l="1"/>
  <c r="BJ50"/>
  <c r="D50"/>
  <c r="D49"/>
  <c r="DH47"/>
  <c r="BL47"/>
  <c r="AI49"/>
  <c r="AR49"/>
  <c r="AN49"/>
  <c r="L50"/>
  <c r="N49"/>
  <c r="AA49"/>
  <c r="CS49"/>
  <c r="AZ49"/>
  <c r="BI49"/>
  <c r="BS49"/>
  <c r="AS49"/>
  <c r="BA49"/>
  <c r="BP49"/>
  <c r="AP49"/>
  <c r="BD49"/>
  <c r="AJ49"/>
  <c r="J50"/>
  <c r="BQ49"/>
  <c r="V49"/>
  <c r="CD49"/>
  <c r="BT49"/>
  <c r="G49"/>
  <c r="CU49"/>
  <c r="H49"/>
  <c r="BB49"/>
  <c r="BX49"/>
  <c r="BH49"/>
  <c r="CV49"/>
  <c r="G50"/>
  <c r="O50"/>
  <c r="AM49"/>
  <c r="AY49"/>
  <c r="O49"/>
  <c r="CT49"/>
  <c r="BO49"/>
  <c r="CZ49"/>
  <c r="S49"/>
  <c r="BC49"/>
  <c r="DE49"/>
  <c r="BV49"/>
  <c r="U49"/>
  <c r="CJ49"/>
  <c r="L49"/>
  <c r="DF49"/>
  <c r="CX49"/>
  <c r="BZ49"/>
  <c r="CC49"/>
  <c r="CH49"/>
  <c r="DA49"/>
  <c r="AO49"/>
  <c r="DD49"/>
  <c r="M50"/>
  <c r="CE49"/>
  <c r="H50"/>
  <c r="Z49"/>
  <c r="CR49"/>
  <c r="T49"/>
  <c r="CW49"/>
  <c r="K49"/>
  <c r="CP49"/>
  <c r="N50"/>
  <c r="AD49"/>
  <c r="BY49"/>
  <c r="DC49"/>
  <c r="CK49"/>
  <c r="P49"/>
  <c r="CQ49"/>
  <c r="J49"/>
  <c r="I49"/>
  <c r="AW49"/>
  <c r="BU49"/>
  <c r="CF49"/>
  <c r="AV49"/>
  <c r="DB49"/>
  <c r="Y49"/>
  <c r="P50"/>
  <c r="CA49"/>
  <c r="AX49"/>
  <c r="AT49"/>
  <c r="CM49"/>
  <c r="K50"/>
  <c r="AB49"/>
  <c r="M49"/>
  <c r="BR49"/>
  <c r="BW49"/>
  <c r="AU49"/>
  <c r="CL49"/>
  <c r="CB49"/>
  <c r="X49"/>
  <c r="CG49"/>
  <c r="AC49"/>
  <c r="CI49"/>
  <c r="AQ49"/>
  <c r="BT51" l="1"/>
  <c r="BR51"/>
  <c r="DB51"/>
  <c r="AI51"/>
  <c r="CF51"/>
  <c r="DF51"/>
  <c r="G51"/>
  <c r="T51"/>
  <c r="CA51"/>
  <c r="CB51"/>
  <c r="BZ51"/>
  <c r="CU51"/>
  <c r="H51"/>
  <c r="BV51"/>
  <c r="CX51"/>
  <c r="AZ51"/>
  <c r="AO51"/>
  <c r="BI51"/>
  <c r="BC51"/>
  <c r="BD51"/>
  <c r="CQ51"/>
  <c r="AD51"/>
  <c r="CJ51"/>
  <c r="AA51"/>
  <c r="CM51"/>
  <c r="BA51"/>
  <c r="CK51"/>
  <c r="AJ51"/>
  <c r="CS51"/>
  <c r="AU51"/>
  <c r="X51"/>
  <c r="AV51"/>
  <c r="DA51"/>
  <c r="AP51"/>
  <c r="BB51"/>
  <c r="BW51"/>
  <c r="DE51"/>
  <c r="BY51"/>
  <c r="CL51"/>
  <c r="AN51"/>
  <c r="M51"/>
  <c r="AC51"/>
  <c r="DD51"/>
  <c r="CG51"/>
  <c r="BU51"/>
  <c r="CC51"/>
  <c r="DC51"/>
  <c r="O51"/>
  <c r="AS51"/>
  <c r="CR51"/>
  <c r="L51"/>
  <c r="Z51"/>
  <c r="CH51"/>
  <c r="AY51"/>
  <c r="CP51"/>
  <c r="Y51"/>
  <c r="AX51"/>
  <c r="AR51"/>
  <c r="CI51"/>
  <c r="J51"/>
  <c r="CV51"/>
  <c r="N51"/>
  <c r="CT51"/>
  <c r="AQ51"/>
  <c r="CD51"/>
  <c r="CE51"/>
  <c r="K51"/>
  <c r="AM51"/>
  <c r="AB51"/>
  <c r="BX51"/>
  <c r="CW51"/>
  <c r="BH51"/>
  <c r="AT51"/>
  <c r="AW51"/>
  <c r="P51"/>
  <c r="BS51"/>
  <c r="CZ51"/>
  <c r="Q49"/>
  <c r="BJ49"/>
  <c r="BJ51" l="1"/>
  <c r="D46" l="1"/>
  <c r="D45"/>
  <c r="BL43"/>
  <c r="BL42"/>
  <c r="BL41"/>
  <c r="N45"/>
  <c r="CU45"/>
  <c r="V45"/>
  <c r="AI45"/>
  <c r="AA45"/>
  <c r="L45"/>
  <c r="CE45"/>
  <c r="CF45"/>
  <c r="DD45"/>
  <c r="CZ45"/>
  <c r="AB45"/>
  <c r="CA45"/>
  <c r="AP45"/>
  <c r="AR45"/>
  <c r="X45"/>
  <c r="K45"/>
  <c r="CN45"/>
  <c r="CS45"/>
  <c r="BY45"/>
  <c r="AS45"/>
  <c r="M45"/>
  <c r="T45"/>
  <c r="CP45"/>
  <c r="BV45"/>
  <c r="U45"/>
  <c r="BU45"/>
  <c r="CQ45"/>
  <c r="AN45"/>
  <c r="AF45"/>
  <c r="BI45"/>
  <c r="AW45"/>
  <c r="BR45"/>
  <c r="CT45"/>
  <c r="BE45"/>
  <c r="BO45"/>
  <c r="AD45"/>
  <c r="DB45"/>
  <c r="AY45"/>
  <c r="CG45"/>
  <c r="CL45"/>
  <c r="BZ45"/>
  <c r="DA45"/>
  <c r="Z45"/>
  <c r="G45"/>
  <c r="Y45"/>
  <c r="CR45"/>
  <c r="AX45"/>
  <c r="AU45"/>
  <c r="BP45"/>
  <c r="BD45"/>
  <c r="CW45"/>
  <c r="W45"/>
  <c r="CX45"/>
  <c r="AQ45"/>
  <c r="CH45"/>
  <c r="BS45"/>
  <c r="H45"/>
  <c r="CY45"/>
  <c r="BA45"/>
  <c r="P45"/>
  <c r="AM45"/>
  <c r="O45"/>
  <c r="BC45"/>
  <c r="AG45"/>
  <c r="CM45"/>
  <c r="I45"/>
  <c r="CJ45"/>
  <c r="CC45"/>
  <c r="BQ45"/>
  <c r="AT45"/>
  <c r="DE45"/>
  <c r="CV45"/>
  <c r="AC45"/>
  <c r="CI45"/>
  <c r="BB45"/>
  <c r="CO45"/>
  <c r="AO45"/>
  <c r="CK45"/>
  <c r="CD45"/>
  <c r="AV45"/>
  <c r="DF45"/>
  <c r="CB45"/>
  <c r="DC45"/>
  <c r="J45"/>
  <c r="BW45"/>
  <c r="BX45"/>
  <c r="AZ45"/>
  <c r="BT45"/>
  <c r="I46" l="1"/>
  <c r="O46"/>
  <c r="V46"/>
  <c r="Z46"/>
  <c r="AD46"/>
  <c r="AM46"/>
  <c r="BF45"/>
  <c r="AO46"/>
  <c r="AQ46"/>
  <c r="AS46"/>
  <c r="AU46"/>
  <c r="AW46"/>
  <c r="AY46"/>
  <c r="BA46"/>
  <c r="BC46"/>
  <c r="BE46"/>
  <c r="BP46"/>
  <c r="BR46"/>
  <c r="BT46"/>
  <c r="BV46"/>
  <c r="BX46"/>
  <c r="BZ46"/>
  <c r="CB46"/>
  <c r="CD46"/>
  <c r="CF46"/>
  <c r="CF84" s="1"/>
  <c r="CH46"/>
  <c r="CJ46"/>
  <c r="CL46"/>
  <c r="CN46"/>
  <c r="CP46"/>
  <c r="CR46"/>
  <c r="CT46"/>
  <c r="CV46"/>
  <c r="CX46"/>
  <c r="CZ46"/>
  <c r="DB46"/>
  <c r="DD46"/>
  <c r="DF46"/>
  <c r="G46"/>
  <c r="Q45"/>
  <c r="K46"/>
  <c r="M46"/>
  <c r="T46"/>
  <c r="X46"/>
  <c r="AB46"/>
  <c r="AG46"/>
  <c r="H46"/>
  <c r="J46"/>
  <c r="L46"/>
  <c r="N46"/>
  <c r="P46"/>
  <c r="U46"/>
  <c r="W46"/>
  <c r="Y46"/>
  <c r="AA46"/>
  <c r="AC46"/>
  <c r="AF46"/>
  <c r="AI46"/>
  <c r="AN46"/>
  <c r="AP46"/>
  <c r="AR46"/>
  <c r="AT46"/>
  <c r="AV46"/>
  <c r="AX46"/>
  <c r="AZ46"/>
  <c r="BB46"/>
  <c r="BD46"/>
  <c r="BI46"/>
  <c r="BO46"/>
  <c r="BQ46"/>
  <c r="BS46"/>
  <c r="BU46"/>
  <c r="BW46"/>
  <c r="BY46"/>
  <c r="CA46"/>
  <c r="CC46"/>
  <c r="CE46"/>
  <c r="CG46"/>
  <c r="CG84" s="1"/>
  <c r="CI46"/>
  <c r="CK46"/>
  <c r="CM46"/>
  <c r="CO46"/>
  <c r="CQ46"/>
  <c r="CS46"/>
  <c r="CU46"/>
  <c r="CW46"/>
  <c r="CY46"/>
  <c r="DA46"/>
  <c r="DC46"/>
  <c r="DE46"/>
  <c r="BF39"/>
  <c r="AD84" l="1"/>
  <c r="AC84" s="1"/>
  <c r="DH46"/>
  <c r="Q46"/>
  <c r="CE84"/>
  <c r="CD84" s="1"/>
  <c r="CC84" s="1"/>
  <c r="CB84" s="1"/>
  <c r="CA84" s="1"/>
  <c r="BZ84" s="1"/>
  <c r="BY84" s="1"/>
  <c r="BX84" s="1"/>
  <c r="BW84" s="1"/>
  <c r="BV84" s="1"/>
  <c r="BU84" s="1"/>
  <c r="BF46"/>
  <c r="D38" l="1"/>
  <c r="D37" l="1"/>
  <c r="DH36"/>
  <c r="BL36"/>
  <c r="DB37"/>
  <c r="Z37"/>
  <c r="AF37"/>
  <c r="BI37"/>
  <c r="Y37"/>
  <c r="CQ37"/>
  <c r="AB37"/>
  <c r="P37"/>
  <c r="CN37"/>
  <c r="BW37"/>
  <c r="CX37"/>
  <c r="AQ37"/>
  <c r="AZ37"/>
  <c r="H37"/>
  <c r="AN37"/>
  <c r="DC37"/>
  <c r="DF37"/>
  <c r="AD37"/>
  <c r="M37"/>
  <c r="BP37"/>
  <c r="BD37"/>
  <c r="BU37"/>
  <c r="CJ37"/>
  <c r="AA37"/>
  <c r="BT37"/>
  <c r="S37"/>
  <c r="AW37"/>
  <c r="AJ37"/>
  <c r="AX37"/>
  <c r="CP37"/>
  <c r="DD37"/>
  <c r="BX37"/>
  <c r="BC37"/>
  <c r="CM37"/>
  <c r="AY37"/>
  <c r="CK37"/>
  <c r="BH37"/>
  <c r="BE37"/>
  <c r="CR37"/>
  <c r="CE37"/>
  <c r="CT37"/>
  <c r="CY37"/>
  <c r="CA37"/>
  <c r="CV37"/>
  <c r="DE37"/>
  <c r="CG37"/>
  <c r="AT37"/>
  <c r="CZ37"/>
  <c r="AC37"/>
  <c r="DA37"/>
  <c r="CC37"/>
  <c r="BZ37"/>
  <c r="AG37"/>
  <c r="AI37"/>
  <c r="AO37"/>
  <c r="O37"/>
  <c r="X37"/>
  <c r="BV37"/>
  <c r="CB37"/>
  <c r="BB37"/>
  <c r="U37"/>
  <c r="CL37"/>
  <c r="CF37"/>
  <c r="V37"/>
  <c r="AM37"/>
  <c r="I37"/>
  <c r="CO37"/>
  <c r="BS37"/>
  <c r="BO37"/>
  <c r="N37"/>
  <c r="CH37"/>
  <c r="CU37"/>
  <c r="CS37"/>
  <c r="BY37"/>
  <c r="G37"/>
  <c r="CD37"/>
  <c r="AU37"/>
  <c r="L37"/>
  <c r="W37"/>
  <c r="BR37"/>
  <c r="BA37"/>
  <c r="T37"/>
  <c r="AR37"/>
  <c r="CW37"/>
  <c r="AP37"/>
  <c r="AS37"/>
  <c r="AV37"/>
  <c r="J37"/>
  <c r="K37"/>
  <c r="BQ37"/>
  <c r="CI37"/>
  <c r="J38" l="1"/>
  <c r="N38"/>
  <c r="S38"/>
  <c r="AK37"/>
  <c r="W38"/>
  <c r="AA38"/>
  <c r="AF38"/>
  <c r="G38"/>
  <c r="Q37"/>
  <c r="I38"/>
  <c r="K38"/>
  <c r="M38"/>
  <c r="O38"/>
  <c r="T38"/>
  <c r="V38"/>
  <c r="X38"/>
  <c r="Z38"/>
  <c r="AB38"/>
  <c r="AD38"/>
  <c r="AG38"/>
  <c r="AJ38"/>
  <c r="AM38"/>
  <c r="BF37"/>
  <c r="AO38"/>
  <c r="AQ38"/>
  <c r="AS38"/>
  <c r="AU38"/>
  <c r="AW38"/>
  <c r="AY38"/>
  <c r="BA38"/>
  <c r="BC38"/>
  <c r="BE38"/>
  <c r="BH38"/>
  <c r="BJ37"/>
  <c r="BO38"/>
  <c r="DH37"/>
  <c r="BQ38"/>
  <c r="BS38"/>
  <c r="BU38"/>
  <c r="BW38"/>
  <c r="BY38"/>
  <c r="CA38"/>
  <c r="CC38"/>
  <c r="CE38"/>
  <c r="CG38"/>
  <c r="CI38"/>
  <c r="CK38"/>
  <c r="CM38"/>
  <c r="CO38"/>
  <c r="CQ38"/>
  <c r="CS38"/>
  <c r="CU38"/>
  <c r="CW38"/>
  <c r="CY38"/>
  <c r="DA38"/>
  <c r="DC38"/>
  <c r="DE38"/>
  <c r="H38"/>
  <c r="L38"/>
  <c r="P38"/>
  <c r="U38"/>
  <c r="Y38"/>
  <c r="AC38"/>
  <c r="AI38"/>
  <c r="AN38"/>
  <c r="AP38"/>
  <c r="AR38"/>
  <c r="AT38"/>
  <c r="AV38"/>
  <c r="AX38"/>
  <c r="AZ38"/>
  <c r="BB38"/>
  <c r="BD38"/>
  <c r="BI38"/>
  <c r="BP38"/>
  <c r="BR38"/>
  <c r="BT38"/>
  <c r="BV38"/>
  <c r="BX38"/>
  <c r="BZ38"/>
  <c r="CB38"/>
  <c r="CD38"/>
  <c r="CF38"/>
  <c r="CH38"/>
  <c r="CJ38"/>
  <c r="CL38"/>
  <c r="CN38"/>
  <c r="CP38"/>
  <c r="CR38"/>
  <c r="CT38"/>
  <c r="CV38"/>
  <c r="CX38"/>
  <c r="CZ38"/>
  <c r="DB38"/>
  <c r="DD38"/>
  <c r="DF38"/>
  <c r="AK38" l="1"/>
  <c r="BF38"/>
  <c r="Q38"/>
  <c r="DH38"/>
  <c r="BL37"/>
  <c r="D35" l="1"/>
  <c r="D34" l="1"/>
  <c r="DH33"/>
  <c r="BL33"/>
  <c r="CI34"/>
  <c r="BC34"/>
  <c r="CV34"/>
  <c r="I34"/>
  <c r="AQ34"/>
  <c r="DE34"/>
  <c r="BX34"/>
  <c r="AS34"/>
  <c r="DA34"/>
  <c r="AJ34"/>
  <c r="K34"/>
  <c r="BY34"/>
  <c r="V34"/>
  <c r="AN34"/>
  <c r="CE34"/>
  <c r="AZ34"/>
  <c r="CD34"/>
  <c r="AI34"/>
  <c r="CQ34"/>
  <c r="H34"/>
  <c r="W34"/>
  <c r="L34"/>
  <c r="AP34"/>
  <c r="CT34"/>
  <c r="CB34"/>
  <c r="DB34"/>
  <c r="CN34"/>
  <c r="CO34"/>
  <c r="BP34"/>
  <c r="BA34"/>
  <c r="BD34"/>
  <c r="CL34"/>
  <c r="O34"/>
  <c r="AX34"/>
  <c r="AT34"/>
  <c r="DD34"/>
  <c r="AD34"/>
  <c r="Z34"/>
  <c r="AB34"/>
  <c r="BS34"/>
  <c r="S34"/>
  <c r="CC34"/>
  <c r="Y34"/>
  <c r="CU34"/>
  <c r="AY34"/>
  <c r="CW34"/>
  <c r="AF34"/>
  <c r="CH34"/>
  <c r="AM34"/>
  <c r="BW34"/>
  <c r="AO34"/>
  <c r="BI34"/>
  <c r="DC34"/>
  <c r="AV34"/>
  <c r="N34"/>
  <c r="AA34"/>
  <c r="BZ34"/>
  <c r="CP34"/>
  <c r="X34"/>
  <c r="CY34"/>
  <c r="DF34"/>
  <c r="AU34"/>
  <c r="BV34"/>
  <c r="BQ34"/>
  <c r="CG34"/>
  <c r="BR34"/>
  <c r="AR34"/>
  <c r="BT34"/>
  <c r="T34"/>
  <c r="CK34"/>
  <c r="CS34"/>
  <c r="CJ34"/>
  <c r="U34"/>
  <c r="CF34"/>
  <c r="CR34"/>
  <c r="J34"/>
  <c r="CZ34"/>
  <c r="AG34"/>
  <c r="G34"/>
  <c r="M34"/>
  <c r="CA34"/>
  <c r="BB34"/>
  <c r="CM34"/>
  <c r="BU34"/>
  <c r="BO34"/>
  <c r="AW34"/>
  <c r="CX34"/>
  <c r="J35" l="1"/>
  <c r="N35"/>
  <c r="S35"/>
  <c r="G35"/>
  <c r="I35"/>
  <c r="K35"/>
  <c r="M35"/>
  <c r="O35"/>
  <c r="T35"/>
  <c r="V35"/>
  <c r="X35"/>
  <c r="Z35"/>
  <c r="AB35"/>
  <c r="AD35"/>
  <c r="AG35"/>
  <c r="AJ35"/>
  <c r="AM35"/>
  <c r="AO35"/>
  <c r="AQ35"/>
  <c r="AS35"/>
  <c r="AU35"/>
  <c r="AW35"/>
  <c r="AY35"/>
  <c r="BA35"/>
  <c r="BC35"/>
  <c r="BO35"/>
  <c r="DH34"/>
  <c r="BQ35"/>
  <c r="BS35"/>
  <c r="BU35"/>
  <c r="BW35"/>
  <c r="BY35"/>
  <c r="CA35"/>
  <c r="CC35"/>
  <c r="CE35"/>
  <c r="CG35"/>
  <c r="CI35"/>
  <c r="CK35"/>
  <c r="CM35"/>
  <c r="CO35"/>
  <c r="CQ35"/>
  <c r="CS35"/>
  <c r="CU35"/>
  <c r="CW35"/>
  <c r="CY35"/>
  <c r="DA35"/>
  <c r="DC35"/>
  <c r="DE35"/>
  <c r="H35"/>
  <c r="L35"/>
  <c r="U35"/>
  <c r="W35"/>
  <c r="Y35"/>
  <c r="AA35"/>
  <c r="AF35"/>
  <c r="AI35"/>
  <c r="AN35"/>
  <c r="AP35"/>
  <c r="AR35"/>
  <c r="AT35"/>
  <c r="AV35"/>
  <c r="AX35"/>
  <c r="AZ35"/>
  <c r="BB35"/>
  <c r="BD35"/>
  <c r="BI35"/>
  <c r="BP35"/>
  <c r="BR35"/>
  <c r="BT35"/>
  <c r="BV35"/>
  <c r="BX35"/>
  <c r="BZ35"/>
  <c r="CB35"/>
  <c r="CD35"/>
  <c r="CF35"/>
  <c r="CH35"/>
  <c r="CJ35"/>
  <c r="CL35"/>
  <c r="CN35"/>
  <c r="CP35"/>
  <c r="CR35"/>
  <c r="CT35"/>
  <c r="CV35"/>
  <c r="CX35"/>
  <c r="CZ35"/>
  <c r="DB35"/>
  <c r="DD35"/>
  <c r="DF35"/>
  <c r="DH35" l="1"/>
  <c r="D32" l="1"/>
  <c r="D30" l="1"/>
  <c r="D29"/>
  <c r="AY29"/>
  <c r="BX30"/>
  <c r="BW30"/>
  <c r="BI30"/>
  <c r="AV29"/>
  <c r="CU30"/>
  <c r="CY30"/>
  <c r="AI29"/>
  <c r="CG29"/>
  <c r="CA30"/>
  <c r="BX29"/>
  <c r="AA30"/>
  <c r="BQ29"/>
  <c r="BQ30"/>
  <c r="DD30"/>
  <c r="CX29"/>
  <c r="CG30"/>
  <c r="CE29"/>
  <c r="CH29"/>
  <c r="BO29"/>
  <c r="AS29"/>
  <c r="DA29"/>
  <c r="CL30"/>
  <c r="BD29"/>
  <c r="BS30"/>
  <c r="Y30"/>
  <c r="G30"/>
  <c r="DE30"/>
  <c r="AV30"/>
  <c r="BA30"/>
  <c r="BO30"/>
  <c r="AI30"/>
  <c r="CT30"/>
  <c r="AP29"/>
  <c r="T29"/>
  <c r="DB29"/>
  <c r="BC29"/>
  <c r="AF30"/>
  <c r="CR30"/>
  <c r="BI29"/>
  <c r="CZ30"/>
  <c r="AF29"/>
  <c r="CF29"/>
  <c r="CD30"/>
  <c r="L30"/>
  <c r="CF30"/>
  <c r="V30"/>
  <c r="M30"/>
  <c r="Y29"/>
  <c r="G29"/>
  <c r="AZ30"/>
  <c r="BW29"/>
  <c r="CQ29"/>
  <c r="CR29"/>
  <c r="P29"/>
  <c r="AP30"/>
  <c r="J29"/>
  <c r="BU29"/>
  <c r="BA29"/>
  <c r="DA30"/>
  <c r="AJ30"/>
  <c r="BY30"/>
  <c r="DC30"/>
  <c r="AY30"/>
  <c r="W29"/>
  <c r="CS29"/>
  <c r="CI30"/>
  <c r="CD29"/>
  <c r="AG30"/>
  <c r="O30"/>
  <c r="CO30"/>
  <c r="AC29"/>
  <c r="N29"/>
  <c r="AN29"/>
  <c r="CO29"/>
  <c r="AO29"/>
  <c r="CP29"/>
  <c r="Z30"/>
  <c r="DD29"/>
  <c r="X29"/>
  <c r="AR29"/>
  <c r="AB29"/>
  <c r="BH30"/>
  <c r="BZ30"/>
  <c r="P30"/>
  <c r="CC29"/>
  <c r="BE30"/>
  <c r="H29"/>
  <c r="CM29"/>
  <c r="AZ29"/>
  <c r="AD29"/>
  <c r="BC30"/>
  <c r="BP30"/>
  <c r="BU30"/>
  <c r="AD30"/>
  <c r="CX30"/>
  <c r="BR30"/>
  <c r="CA29"/>
  <c r="AU30"/>
  <c r="CJ30"/>
  <c r="CB30"/>
  <c r="DC29"/>
  <c r="CV30"/>
  <c r="CQ30"/>
  <c r="AT30"/>
  <c r="S29"/>
  <c r="I30"/>
  <c r="CC30"/>
  <c r="DF29"/>
  <c r="H30"/>
  <c r="BH29"/>
  <c r="AQ30"/>
  <c r="CI29"/>
  <c r="X30"/>
  <c r="AR30"/>
  <c r="AA29"/>
  <c r="BR29"/>
  <c r="AJ29"/>
  <c r="BT29"/>
  <c r="BE29"/>
  <c r="AC30"/>
  <c r="W30"/>
  <c r="CH30"/>
  <c r="CT29"/>
  <c r="K29"/>
  <c r="AB30"/>
  <c r="CS30"/>
  <c r="Z29"/>
  <c r="I29"/>
  <c r="AW30"/>
  <c r="AM29"/>
  <c r="U29"/>
  <c r="CM30"/>
  <c r="AM30"/>
  <c r="DE29"/>
  <c r="DF30"/>
  <c r="BV30"/>
  <c r="L29"/>
  <c r="AQ29"/>
  <c r="S30"/>
  <c r="CJ29"/>
  <c r="CE30"/>
  <c r="BD30"/>
  <c r="CK29"/>
  <c r="AX30"/>
  <c r="AN30"/>
  <c r="CZ29"/>
  <c r="AG29"/>
  <c r="BY29"/>
  <c r="BP29"/>
  <c r="BB29"/>
  <c r="M29"/>
  <c r="AO30"/>
  <c r="U30"/>
  <c r="CN30"/>
  <c r="BB30"/>
  <c r="J30"/>
  <c r="BV29"/>
  <c r="BT30"/>
  <c r="K30"/>
  <c r="CW30"/>
  <c r="CN29"/>
  <c r="CK30"/>
  <c r="CB29"/>
  <c r="AT29"/>
  <c r="N30"/>
  <c r="T30"/>
  <c r="BZ29"/>
  <c r="AS30"/>
  <c r="AX29"/>
  <c r="AW29"/>
  <c r="CL29"/>
  <c r="CY29"/>
  <c r="BS29"/>
  <c r="DB30"/>
  <c r="CP30"/>
  <c r="AU29"/>
  <c r="G31" l="1"/>
  <c r="I31"/>
  <c r="K31"/>
  <c r="M31"/>
  <c r="T31"/>
  <c r="X31"/>
  <c r="Z31"/>
  <c r="AB31"/>
  <c r="AD31"/>
  <c r="AG31"/>
  <c r="AJ31"/>
  <c r="AM31"/>
  <c r="BF29"/>
  <c r="AO31"/>
  <c r="AQ31"/>
  <c r="AS31"/>
  <c r="AU31"/>
  <c r="AW31"/>
  <c r="AY31"/>
  <c r="BA31"/>
  <c r="BC31"/>
  <c r="BE31"/>
  <c r="BH31"/>
  <c r="BJ29"/>
  <c r="BO31"/>
  <c r="BQ31"/>
  <c r="BS31"/>
  <c r="BU31"/>
  <c r="BW31"/>
  <c r="BY31"/>
  <c r="CA31"/>
  <c r="CC31"/>
  <c r="CE31"/>
  <c r="CG31"/>
  <c r="CI31"/>
  <c r="CK31"/>
  <c r="CM31"/>
  <c r="CO31"/>
  <c r="CQ31"/>
  <c r="CS31"/>
  <c r="CY31"/>
  <c r="DA31"/>
  <c r="DC31"/>
  <c r="DE31"/>
  <c r="Q30"/>
  <c r="H31"/>
  <c r="J31"/>
  <c r="L31"/>
  <c r="N31"/>
  <c r="P31"/>
  <c r="S31"/>
  <c r="U31"/>
  <c r="W31"/>
  <c r="Y31"/>
  <c r="AA31"/>
  <c r="AC31"/>
  <c r="AF31"/>
  <c r="AI31"/>
  <c r="AN31"/>
  <c r="AP31"/>
  <c r="AR31"/>
  <c r="AT31"/>
  <c r="AV31"/>
  <c r="AX31"/>
  <c r="AZ31"/>
  <c r="BB31"/>
  <c r="BD31"/>
  <c r="BI31"/>
  <c r="BP31"/>
  <c r="BR31"/>
  <c r="BT31"/>
  <c r="BV31"/>
  <c r="BX31"/>
  <c r="BZ31"/>
  <c r="CB31"/>
  <c r="CD31"/>
  <c r="CF31"/>
  <c r="CH31"/>
  <c r="CJ31"/>
  <c r="CL31"/>
  <c r="CN31"/>
  <c r="CP31"/>
  <c r="CR31"/>
  <c r="CT31"/>
  <c r="CX31"/>
  <c r="CZ31"/>
  <c r="DB31"/>
  <c r="DD31"/>
  <c r="DF31"/>
  <c r="AK30"/>
  <c r="BF30"/>
  <c r="BJ30"/>
  <c r="DH30"/>
  <c r="BL30" l="1"/>
  <c r="BF31"/>
  <c r="BJ31"/>
  <c r="D27" l="1"/>
  <c r="D26"/>
  <c r="CA27"/>
  <c r="CK25"/>
  <c r="I26"/>
  <c r="AO26"/>
  <c r="BE27"/>
  <c r="CI25"/>
  <c r="AQ27"/>
  <c r="CJ26"/>
  <c r="BZ26"/>
  <c r="CC26"/>
  <c r="DF26"/>
  <c r="AA27"/>
  <c r="CW25"/>
  <c r="CI26"/>
  <c r="DB25"/>
  <c r="M27"/>
  <c r="CE27"/>
  <c r="DF25"/>
  <c r="CX27"/>
  <c r="CH27"/>
  <c r="DC27"/>
  <c r="BZ25"/>
  <c r="BX25"/>
  <c r="AV27"/>
  <c r="BU26"/>
  <c r="AI26"/>
  <c r="DA26"/>
  <c r="AB27"/>
  <c r="BR27"/>
  <c r="W26"/>
  <c r="S26"/>
  <c r="BD27"/>
  <c r="CJ25"/>
  <c r="N27"/>
  <c r="P27"/>
  <c r="L27"/>
  <c r="CY25"/>
  <c r="CQ26"/>
  <c r="CO27"/>
  <c r="BS25"/>
  <c r="BX26"/>
  <c r="AU27"/>
  <c r="L26"/>
  <c r="AI27"/>
  <c r="CR26"/>
  <c r="BO27"/>
  <c r="BE26"/>
  <c r="BH27"/>
  <c r="CE26"/>
  <c r="BW25"/>
  <c r="CB27"/>
  <c r="BU25"/>
  <c r="I27"/>
  <c r="CS25"/>
  <c r="U26"/>
  <c r="BR26"/>
  <c r="AX27"/>
  <c r="Y26"/>
  <c r="BA26"/>
  <c r="CN25"/>
  <c r="BU27"/>
  <c r="CT27"/>
  <c r="AN27"/>
  <c r="CL26"/>
  <c r="CS26"/>
  <c r="AS27"/>
  <c r="AP27"/>
  <c r="BT25"/>
  <c r="CS27"/>
  <c r="DA27"/>
  <c r="CX26"/>
  <c r="AR27"/>
  <c r="BH26"/>
  <c r="BX27"/>
  <c r="BQ26"/>
  <c r="CT26"/>
  <c r="BB26"/>
  <c r="AM26"/>
  <c r="Y27"/>
  <c r="CR25"/>
  <c r="BQ27"/>
  <c r="BC27"/>
  <c r="BV25"/>
  <c r="AY27"/>
  <c r="BC26"/>
  <c r="AC27"/>
  <c r="CM25"/>
  <c r="CA26"/>
  <c r="AT26"/>
  <c r="M26"/>
  <c r="CG27"/>
  <c r="BS26"/>
  <c r="BI26"/>
  <c r="CW27"/>
  <c r="DB26"/>
  <c r="CC25"/>
  <c r="CI27"/>
  <c r="CU25"/>
  <c r="AF26"/>
  <c r="CQ27"/>
  <c r="CK26"/>
  <c r="DA25"/>
  <c r="CF26"/>
  <c r="CF27"/>
  <c r="AS26"/>
  <c r="CE25"/>
  <c r="AZ27"/>
  <c r="DF27"/>
  <c r="CD27"/>
  <c r="AU26"/>
  <c r="BO26"/>
  <c r="CH25"/>
  <c r="CP26"/>
  <c r="AD27"/>
  <c r="BD26"/>
  <c r="K26"/>
  <c r="BT27"/>
  <c r="CY27"/>
  <c r="DE25"/>
  <c r="CY26"/>
  <c r="S27"/>
  <c r="H26"/>
  <c r="AC26"/>
  <c r="DC25"/>
  <c r="CX25"/>
  <c r="AP26"/>
  <c r="CH26"/>
  <c r="AT27"/>
  <c r="Z27"/>
  <c r="Z26"/>
  <c r="CD26"/>
  <c r="AG27"/>
  <c r="AJ27"/>
  <c r="CP27"/>
  <c r="K27"/>
  <c r="O27"/>
  <c r="BZ27"/>
  <c r="V27"/>
  <c r="AF27"/>
  <c r="AX26"/>
  <c r="W27"/>
  <c r="CN26"/>
  <c r="X26"/>
  <c r="X27"/>
  <c r="AR26"/>
  <c r="DE27"/>
  <c r="DD26"/>
  <c r="CB26"/>
  <c r="J27"/>
  <c r="O26"/>
  <c r="CP25"/>
  <c r="BW27"/>
  <c r="CO25"/>
  <c r="CG26"/>
  <c r="CZ25"/>
  <c r="U27"/>
  <c r="CD25"/>
  <c r="BY25"/>
  <c r="J26"/>
  <c r="CV25"/>
  <c r="CL25"/>
  <c r="AW27"/>
  <c r="BW26"/>
  <c r="BV26"/>
  <c r="DB27"/>
  <c r="AV26"/>
  <c r="BI27"/>
  <c r="CZ27"/>
  <c r="CU27"/>
  <c r="BV27"/>
  <c r="P26"/>
  <c r="CF25"/>
  <c r="DE26"/>
  <c r="CM27"/>
  <c r="AO27"/>
  <c r="BB27"/>
  <c r="BP27"/>
  <c r="AG26"/>
  <c r="CB25"/>
  <c r="BY26"/>
  <c r="AQ26"/>
  <c r="AB26"/>
  <c r="DD27"/>
  <c r="BT26"/>
  <c r="CR27"/>
  <c r="G26"/>
  <c r="BR25"/>
  <c r="AN26"/>
  <c r="T26"/>
  <c r="CQ25"/>
  <c r="CV27"/>
  <c r="T27"/>
  <c r="AD26"/>
  <c r="AA26"/>
  <c r="CO26"/>
  <c r="CC27"/>
  <c r="CM26"/>
  <c r="CN27"/>
  <c r="BS27"/>
  <c r="AY26"/>
  <c r="G27"/>
  <c r="CG25"/>
  <c r="CK27"/>
  <c r="CZ26"/>
  <c r="BY27"/>
  <c r="DD25"/>
  <c r="H27"/>
  <c r="AZ26"/>
  <c r="AM27"/>
  <c r="CT25"/>
  <c r="DC26"/>
  <c r="CL27"/>
  <c r="BP26"/>
  <c r="AW26"/>
  <c r="AJ26"/>
  <c r="CA25"/>
  <c r="CJ27"/>
  <c r="BA27"/>
  <c r="H28" l="1"/>
  <c r="J28"/>
  <c r="L28"/>
  <c r="P28"/>
  <c r="S28"/>
  <c r="U28"/>
  <c r="W28"/>
  <c r="Y28"/>
  <c r="AA28"/>
  <c r="AC28"/>
  <c r="AF28"/>
  <c r="AI28"/>
  <c r="AN28"/>
  <c r="AP28"/>
  <c r="AR28"/>
  <c r="AT28"/>
  <c r="AV28"/>
  <c r="AX28"/>
  <c r="AZ28"/>
  <c r="BB28"/>
  <c r="BD28"/>
  <c r="BI28"/>
  <c r="BO28"/>
  <c r="BQ28"/>
  <c r="BS28"/>
  <c r="BU28"/>
  <c r="BW28"/>
  <c r="BY28"/>
  <c r="CA28"/>
  <c r="CC28"/>
  <c r="CE28"/>
  <c r="CG28"/>
  <c r="CI28"/>
  <c r="CK28"/>
  <c r="CM28"/>
  <c r="CO28"/>
  <c r="CQ28"/>
  <c r="CS28"/>
  <c r="CY28"/>
  <c r="DA28"/>
  <c r="DC28"/>
  <c r="DE28"/>
  <c r="Q27"/>
  <c r="G28"/>
  <c r="I28"/>
  <c r="K28"/>
  <c r="M28"/>
  <c r="O28"/>
  <c r="T28"/>
  <c r="X28"/>
  <c r="Z28"/>
  <c r="AB28"/>
  <c r="AD28"/>
  <c r="AG28"/>
  <c r="AJ28"/>
  <c r="AM28"/>
  <c r="BF26"/>
  <c r="AO28"/>
  <c r="AQ28"/>
  <c r="AS28"/>
  <c r="AU28"/>
  <c r="AW28"/>
  <c r="AY28"/>
  <c r="BA28"/>
  <c r="BC28"/>
  <c r="BE28"/>
  <c r="BH28"/>
  <c r="BJ26"/>
  <c r="BP28"/>
  <c r="BR28"/>
  <c r="BT28"/>
  <c r="BV28"/>
  <c r="BX28"/>
  <c r="BZ28"/>
  <c r="CB28"/>
  <c r="CD28"/>
  <c r="CF28"/>
  <c r="CH28"/>
  <c r="CJ28"/>
  <c r="CL28"/>
  <c r="CN28"/>
  <c r="CP28"/>
  <c r="CR28"/>
  <c r="CT28"/>
  <c r="CX28"/>
  <c r="CZ28"/>
  <c r="DB28"/>
  <c r="DD28"/>
  <c r="DF28"/>
  <c r="AK27"/>
  <c r="BF27"/>
  <c r="BJ27"/>
  <c r="DH27"/>
  <c r="BH25"/>
  <c r="BI25"/>
  <c r="BL27" l="1"/>
  <c r="BJ28"/>
  <c r="BJ25"/>
  <c r="BF28"/>
  <c r="Z25"/>
  <c r="AI25"/>
  <c r="AC25"/>
  <c r="AX25"/>
  <c r="BB25"/>
  <c r="BA25"/>
  <c r="O25"/>
  <c r="AS25"/>
  <c r="AM25"/>
  <c r="L25"/>
  <c r="J25"/>
  <c r="AR25"/>
  <c r="H25"/>
  <c r="BE25"/>
  <c r="AJ25"/>
  <c r="AN25"/>
  <c r="AD25"/>
  <c r="W25"/>
  <c r="AT25"/>
  <c r="AV25"/>
  <c r="AO25"/>
  <c r="AG25"/>
  <c r="AA25"/>
  <c r="Y25"/>
  <c r="AQ25"/>
  <c r="AB25"/>
  <c r="AZ25"/>
  <c r="AW25"/>
  <c r="I25"/>
  <c r="P25"/>
  <c r="AF25"/>
  <c r="G25"/>
  <c r="AY25"/>
  <c r="BD25"/>
  <c r="T25"/>
  <c r="X25"/>
  <c r="AU25"/>
  <c r="S25"/>
  <c r="AP25"/>
  <c r="N25"/>
  <c r="K25"/>
  <c r="BC25"/>
  <c r="U25"/>
  <c r="BF25" l="1"/>
  <c r="D25"/>
  <c r="D24"/>
  <c r="DH23"/>
  <c r="BL23"/>
  <c r="DF24"/>
  <c r="CZ24"/>
  <c r="CO24"/>
  <c r="AZ24"/>
  <c r="G24"/>
  <c r="AD24"/>
  <c r="BV24"/>
  <c r="CN24"/>
  <c r="BS24"/>
  <c r="N24"/>
  <c r="AY24"/>
  <c r="CI24"/>
  <c r="Y24"/>
  <c r="CQ24"/>
  <c r="CR24"/>
  <c r="CM24"/>
  <c r="AM24"/>
  <c r="AX24"/>
  <c r="BI24"/>
  <c r="DD24"/>
  <c r="CG24"/>
  <c r="O24"/>
  <c r="AA24"/>
  <c r="BB24"/>
  <c r="DB24"/>
  <c r="CH24"/>
  <c r="I24"/>
  <c r="BH24"/>
  <c r="CX24"/>
  <c r="CC24"/>
  <c r="CW24"/>
  <c r="BX24"/>
  <c r="CK24"/>
  <c r="CL24"/>
  <c r="BR24"/>
  <c r="H24"/>
  <c r="CJ24"/>
  <c r="CS24"/>
  <c r="X24"/>
  <c r="BC24"/>
  <c r="AN24"/>
  <c r="CU24"/>
  <c r="CT24"/>
  <c r="CV24"/>
  <c r="CP24"/>
  <c r="AT24"/>
  <c r="CE24"/>
  <c r="CD24"/>
  <c r="P24"/>
  <c r="DC24"/>
  <c r="AU24"/>
  <c r="W24"/>
  <c r="AQ24"/>
  <c r="AB24"/>
  <c r="AS24"/>
  <c r="BA24"/>
  <c r="BU24"/>
  <c r="Z24"/>
  <c r="CA24"/>
  <c r="AO24"/>
  <c r="DA24"/>
  <c r="BT24"/>
  <c r="CY24"/>
  <c r="AF24"/>
  <c r="M24"/>
  <c r="CB24"/>
  <c r="AR24"/>
  <c r="AC24"/>
  <c r="AW24"/>
  <c r="BE24"/>
  <c r="CF24"/>
  <c r="AG24"/>
  <c r="BW24"/>
  <c r="T24"/>
  <c r="U24"/>
  <c r="AJ24"/>
  <c r="AV24"/>
  <c r="BY24"/>
  <c r="DE24"/>
  <c r="AI24"/>
  <c r="BZ24"/>
  <c r="BD24"/>
  <c r="AP24"/>
  <c r="H32" l="1"/>
  <c r="P32"/>
  <c r="U32"/>
  <c r="Y32"/>
  <c r="AC32"/>
  <c r="AP32"/>
  <c r="AT32"/>
  <c r="G32"/>
  <c r="I32"/>
  <c r="T32"/>
  <c r="X32"/>
  <c r="Z32"/>
  <c r="AB32"/>
  <c r="AJ32"/>
  <c r="AI32" s="1"/>
  <c r="AG32" s="1"/>
  <c r="AM32"/>
  <c r="BF24"/>
  <c r="AO32"/>
  <c r="AQ32"/>
  <c r="AS32"/>
  <c r="AU32"/>
  <c r="AW32"/>
  <c r="AY32"/>
  <c r="BA32"/>
  <c r="BC32"/>
  <c r="BE32"/>
  <c r="BH32"/>
  <c r="BJ24"/>
  <c r="BS32"/>
  <c r="BU32"/>
  <c r="BW32"/>
  <c r="BY32"/>
  <c r="CA32"/>
  <c r="CC32"/>
  <c r="CE32"/>
  <c r="CG32"/>
  <c r="CI32"/>
  <c r="CK32"/>
  <c r="CM32"/>
  <c r="CO32"/>
  <c r="CQ32"/>
  <c r="CS32"/>
  <c r="CY32"/>
  <c r="DA32"/>
  <c r="DC32"/>
  <c r="DE32"/>
  <c r="W32"/>
  <c r="AA32"/>
  <c r="AF32"/>
  <c r="AD32" s="1"/>
  <c r="AN32"/>
  <c r="AR32"/>
  <c r="AV32"/>
  <c r="AX32"/>
  <c r="AZ32"/>
  <c r="BB32"/>
  <c r="BD32"/>
  <c r="BI32"/>
  <c r="BR32"/>
  <c r="BT32"/>
  <c r="BV32"/>
  <c r="BX32"/>
  <c r="BZ32"/>
  <c r="CB32"/>
  <c r="CD32"/>
  <c r="CF32"/>
  <c r="CH32"/>
  <c r="CJ32"/>
  <c r="CL32"/>
  <c r="CN32"/>
  <c r="CP32"/>
  <c r="CR32"/>
  <c r="CT32"/>
  <c r="CX32"/>
  <c r="CZ32"/>
  <c r="DB32"/>
  <c r="DD32"/>
  <c r="DF32"/>
  <c r="BF32" l="1"/>
  <c r="BJ32"/>
  <c r="D22" l="1"/>
  <c r="D21"/>
  <c r="DH20"/>
  <c r="BL20"/>
  <c r="H21"/>
  <c r="AU21"/>
  <c r="CO21"/>
  <c r="BT21"/>
  <c r="CR21"/>
  <c r="M21"/>
  <c r="AW21"/>
  <c r="CV21"/>
  <c r="DA21"/>
  <c r="BH21"/>
  <c r="CK21"/>
  <c r="G21"/>
  <c r="AS21"/>
  <c r="CN21"/>
  <c r="CY21"/>
  <c r="AO21"/>
  <c r="BR21"/>
  <c r="CQ21"/>
  <c r="CG21"/>
  <c r="BX21"/>
  <c r="X21"/>
  <c r="O21"/>
  <c r="CE21"/>
  <c r="DE21"/>
  <c r="AQ21"/>
  <c r="CD21"/>
  <c r="AT21"/>
  <c r="AN21"/>
  <c r="T21"/>
  <c r="CJ21"/>
  <c r="BZ21"/>
  <c r="K21"/>
  <c r="CT21"/>
  <c r="CW21"/>
  <c r="AG21"/>
  <c r="BY21"/>
  <c r="AM21"/>
  <c r="BC21"/>
  <c r="CX21"/>
  <c r="AP21"/>
  <c r="BA21"/>
  <c r="BB21"/>
  <c r="AX21"/>
  <c r="Y21"/>
  <c r="AY21"/>
  <c r="AR21"/>
  <c r="CB21"/>
  <c r="BU21"/>
  <c r="BI21"/>
  <c r="Z21"/>
  <c r="BS21"/>
  <c r="P21"/>
  <c r="CF21"/>
  <c r="CH21"/>
  <c r="BE21"/>
  <c r="AA21"/>
  <c r="AF21"/>
  <c r="AI21"/>
  <c r="BV21"/>
  <c r="DD21"/>
  <c r="DB21"/>
  <c r="L21"/>
  <c r="CC21"/>
  <c r="AV21"/>
  <c r="BD21"/>
  <c r="AC21"/>
  <c r="AZ21"/>
  <c r="CP21"/>
  <c r="CS21"/>
  <c r="CL21"/>
  <c r="CA21"/>
  <c r="CM21"/>
  <c r="CZ21"/>
  <c r="AJ21"/>
  <c r="N21"/>
  <c r="J21"/>
  <c r="CU21"/>
  <c r="AD21"/>
  <c r="BW21"/>
  <c r="CI21"/>
  <c r="DF21"/>
  <c r="G22" l="1"/>
  <c r="K22"/>
  <c r="O22"/>
  <c r="H22"/>
  <c r="J22"/>
  <c r="L22"/>
  <c r="N22"/>
  <c r="P22"/>
  <c r="Y22"/>
  <c r="AA22"/>
  <c r="AC22"/>
  <c r="AF22"/>
  <c r="AI22"/>
  <c r="AN22"/>
  <c r="AP22"/>
  <c r="AR22"/>
  <c r="AT22"/>
  <c r="AV22"/>
  <c r="AX22"/>
  <c r="AZ22"/>
  <c r="BB22"/>
  <c r="BD22"/>
  <c r="BI22"/>
  <c r="BS22"/>
  <c r="BU22"/>
  <c r="BW22"/>
  <c r="BY22"/>
  <c r="CA22"/>
  <c r="CC22"/>
  <c r="CE22"/>
  <c r="CG22"/>
  <c r="CI22"/>
  <c r="CK22"/>
  <c r="CM22"/>
  <c r="CO22"/>
  <c r="CQ22"/>
  <c r="CS22"/>
  <c r="CU22"/>
  <c r="CW22"/>
  <c r="CY22"/>
  <c r="DA22"/>
  <c r="DE22"/>
  <c r="M22"/>
  <c r="T22"/>
  <c r="X22"/>
  <c r="Z22"/>
  <c r="AD22"/>
  <c r="AG22"/>
  <c r="AJ22"/>
  <c r="AM22"/>
  <c r="BF21"/>
  <c r="AO22"/>
  <c r="AQ22"/>
  <c r="AS22"/>
  <c r="AU22"/>
  <c r="AW22"/>
  <c r="AY22"/>
  <c r="BA22"/>
  <c r="BC22"/>
  <c r="BE22"/>
  <c r="BH22"/>
  <c r="BJ22" s="1"/>
  <c r="BJ21"/>
  <c r="BR22"/>
  <c r="BT22"/>
  <c r="BV22"/>
  <c r="BX22"/>
  <c r="BZ22"/>
  <c r="CB22"/>
  <c r="CD22"/>
  <c r="CF22"/>
  <c r="CH22"/>
  <c r="CJ22"/>
  <c r="CL22"/>
  <c r="CN22"/>
  <c r="CP22"/>
  <c r="CR22"/>
  <c r="CT22"/>
  <c r="CV22"/>
  <c r="CX22"/>
  <c r="CZ22"/>
  <c r="DB22"/>
  <c r="DD22"/>
  <c r="DF22"/>
  <c r="BF22" l="1"/>
  <c r="D19" l="1"/>
  <c r="CN18"/>
  <c r="DD18"/>
  <c r="DF18"/>
  <c r="BU18"/>
  <c r="CY18"/>
  <c r="BO18"/>
  <c r="CM18"/>
  <c r="BY18"/>
  <c r="CP18"/>
  <c r="BT18"/>
  <c r="CH18"/>
  <c r="BW18"/>
  <c r="DC18"/>
  <c r="CW18"/>
  <c r="CR18"/>
  <c r="DA18"/>
  <c r="CO18"/>
  <c r="CK18"/>
  <c r="CG18"/>
  <c r="CQ18"/>
  <c r="CS18"/>
  <c r="CV18"/>
  <c r="BS18"/>
  <c r="CC18"/>
  <c r="CJ18"/>
  <c r="CX18"/>
  <c r="CT18"/>
  <c r="CZ18"/>
  <c r="BV18"/>
  <c r="CE18"/>
  <c r="CI18"/>
  <c r="CB18"/>
  <c r="CD18"/>
  <c r="BX18"/>
  <c r="CL18"/>
  <c r="CF18"/>
  <c r="BR18"/>
  <c r="CU18"/>
  <c r="DE18"/>
  <c r="DB18"/>
  <c r="BZ18"/>
  <c r="CA18"/>
  <c r="D18" l="1"/>
  <c r="D17"/>
  <c r="DH16"/>
  <c r="BL16"/>
  <c r="D15"/>
  <c r="AG17"/>
  <c r="BH18"/>
  <c r="X17"/>
  <c r="AV18"/>
  <c r="AN17"/>
  <c r="CF17"/>
  <c r="G18"/>
  <c r="U18"/>
  <c r="N18"/>
  <c r="BD17"/>
  <c r="AF17"/>
  <c r="Z17"/>
  <c r="M18"/>
  <c r="AF18"/>
  <c r="BI18"/>
  <c r="BY17"/>
  <c r="S17"/>
  <c r="AX18"/>
  <c r="L18"/>
  <c r="CK17"/>
  <c r="DF17"/>
  <c r="DB17"/>
  <c r="CD17"/>
  <c r="BX17"/>
  <c r="BB17"/>
  <c r="BA18"/>
  <c r="DA17"/>
  <c r="AT17"/>
  <c r="AM18"/>
  <c r="T17"/>
  <c r="AI18"/>
  <c r="T18"/>
  <c r="AG18"/>
  <c r="CR17"/>
  <c r="AS17"/>
  <c r="AR17"/>
  <c r="AM17"/>
  <c r="L17"/>
  <c r="BE17"/>
  <c r="AP17"/>
  <c r="CS17"/>
  <c r="AU17"/>
  <c r="AS18"/>
  <c r="AZ17"/>
  <c r="AW17"/>
  <c r="AQ17"/>
  <c r="CI17"/>
  <c r="I18"/>
  <c r="P18"/>
  <c r="CH17"/>
  <c r="AT18"/>
  <c r="CJ17"/>
  <c r="CZ17"/>
  <c r="BZ17"/>
  <c r="O17"/>
  <c r="BT17"/>
  <c r="CQ17"/>
  <c r="Z18"/>
  <c r="CY17"/>
  <c r="AV17"/>
  <c r="CL17"/>
  <c r="AO17"/>
  <c r="AD17"/>
  <c r="Y17"/>
  <c r="V17"/>
  <c r="CA17"/>
  <c r="CC17"/>
  <c r="BH17"/>
  <c r="AA17"/>
  <c r="O18"/>
  <c r="X18"/>
  <c r="CG17"/>
  <c r="BE18"/>
  <c r="CO17"/>
  <c r="CX17"/>
  <c r="AD18"/>
  <c r="AI17"/>
  <c r="AX17"/>
  <c r="BW17"/>
  <c r="AB17"/>
  <c r="AC18"/>
  <c r="K18"/>
  <c r="AA18"/>
  <c r="U17"/>
  <c r="AO18"/>
  <c r="K17"/>
  <c r="BV17"/>
  <c r="BR17"/>
  <c r="AW18"/>
  <c r="DE17"/>
  <c r="V18"/>
  <c r="CW17"/>
  <c r="BP17"/>
  <c r="AP18"/>
  <c r="I17"/>
  <c r="H17"/>
  <c r="S18"/>
  <c r="BD18"/>
  <c r="CU17"/>
  <c r="CN17"/>
  <c r="DC17"/>
  <c r="BO17"/>
  <c r="AU18"/>
  <c r="CP17"/>
  <c r="P17"/>
  <c r="BS17"/>
  <c r="CV17"/>
  <c r="AY18"/>
  <c r="BU17"/>
  <c r="AC17"/>
  <c r="CB17"/>
  <c r="AQ18"/>
  <c r="Y18"/>
  <c r="CE17"/>
  <c r="H18"/>
  <c r="BC18"/>
  <c r="N17"/>
  <c r="BB18"/>
  <c r="CT17"/>
  <c r="BA17"/>
  <c r="AZ18"/>
  <c r="AN18"/>
  <c r="M17"/>
  <c r="AJ17"/>
  <c r="AR18"/>
  <c r="AJ18"/>
  <c r="CM17"/>
  <c r="AY17"/>
  <c r="J18"/>
  <c r="J17"/>
  <c r="DD17"/>
  <c r="BI17"/>
  <c r="G17"/>
  <c r="BC17"/>
  <c r="AB18"/>
  <c r="H19" l="1"/>
  <c r="J19"/>
  <c r="L19"/>
  <c r="N19"/>
  <c r="P19"/>
  <c r="S19"/>
  <c r="U19"/>
  <c r="Y19"/>
  <c r="AA19"/>
  <c r="AC19"/>
  <c r="AF19"/>
  <c r="AI19"/>
  <c r="AN19"/>
  <c r="AP19"/>
  <c r="AR19"/>
  <c r="AT19"/>
  <c r="AV19"/>
  <c r="AX19"/>
  <c r="AZ19"/>
  <c r="BB19"/>
  <c r="BD19"/>
  <c r="BI19"/>
  <c r="BR19"/>
  <c r="BT19"/>
  <c r="BV19"/>
  <c r="BX19"/>
  <c r="BZ19"/>
  <c r="CB19"/>
  <c r="CD19"/>
  <c r="CF19"/>
  <c r="CH19"/>
  <c r="CJ19"/>
  <c r="CL19"/>
  <c r="CN19"/>
  <c r="CP19"/>
  <c r="CR19"/>
  <c r="CT19"/>
  <c r="CV19"/>
  <c r="CX19"/>
  <c r="CZ19"/>
  <c r="DB19"/>
  <c r="DD19"/>
  <c r="DF19"/>
  <c r="G19"/>
  <c r="Q17"/>
  <c r="I19"/>
  <c r="K19"/>
  <c r="M19"/>
  <c r="O19"/>
  <c r="T19"/>
  <c r="V19"/>
  <c r="X19"/>
  <c r="Z19"/>
  <c r="AB19"/>
  <c r="AD19"/>
  <c r="AG19"/>
  <c r="AJ19"/>
  <c r="AM19"/>
  <c r="BF17"/>
  <c r="AO19"/>
  <c r="AQ19"/>
  <c r="AS19"/>
  <c r="AU19"/>
  <c r="AW19"/>
  <c r="AY19"/>
  <c r="BA19"/>
  <c r="BC19"/>
  <c r="BE19"/>
  <c r="BH19"/>
  <c r="BJ17"/>
  <c r="BO19"/>
  <c r="BS19"/>
  <c r="BU19"/>
  <c r="BW19"/>
  <c r="BY19"/>
  <c r="CA19"/>
  <c r="CC19"/>
  <c r="CE19"/>
  <c r="CG19"/>
  <c r="CI19"/>
  <c r="CK19"/>
  <c r="CM19"/>
  <c r="CO19"/>
  <c r="CQ19"/>
  <c r="CS19"/>
  <c r="CU19"/>
  <c r="CW19"/>
  <c r="CY19"/>
  <c r="DA19"/>
  <c r="DC19"/>
  <c r="DE19"/>
  <c r="Q18"/>
  <c r="BF18"/>
  <c r="BJ18"/>
  <c r="L31" i="36"/>
  <c r="BJ19" i="75" l="1"/>
  <c r="BF19"/>
  <c r="Q19"/>
  <c r="D13" l="1"/>
  <c r="D12"/>
  <c r="CE12"/>
  <c r="BA13"/>
  <c r="CB12"/>
  <c r="AD12"/>
  <c r="CM13"/>
  <c r="AO12"/>
  <c r="X12"/>
  <c r="AY13"/>
  <c r="CT13"/>
  <c r="AJ12"/>
  <c r="M13"/>
  <c r="CN13"/>
  <c r="CV12"/>
  <c r="I12"/>
  <c r="X13"/>
  <c r="CG12"/>
  <c r="CN12"/>
  <c r="AN12"/>
  <c r="BI12"/>
  <c r="CL13"/>
  <c r="CO13"/>
  <c r="CX13"/>
  <c r="CR12"/>
  <c r="DE12"/>
  <c r="AS12"/>
  <c r="CU12"/>
  <c r="AX12"/>
  <c r="AR12"/>
  <c r="Z12"/>
  <c r="CS13"/>
  <c r="CF13"/>
  <c r="DE13"/>
  <c r="L13"/>
  <c r="CR13"/>
  <c r="AA12"/>
  <c r="BT13"/>
  <c r="AI13"/>
  <c r="S13"/>
  <c r="BI13"/>
  <c r="M12"/>
  <c r="AA13"/>
  <c r="CP13"/>
  <c r="AJ13"/>
  <c r="BV13"/>
  <c r="Z13"/>
  <c r="CI12"/>
  <c r="CE13"/>
  <c r="H12"/>
  <c r="CB13"/>
  <c r="AV13"/>
  <c r="AZ13"/>
  <c r="AB13"/>
  <c r="AU13"/>
  <c r="CA12"/>
  <c r="AR13"/>
  <c r="L12"/>
  <c r="CK12"/>
  <c r="K12"/>
  <c r="CH13"/>
  <c r="AI12"/>
  <c r="CV13"/>
  <c r="BY12"/>
  <c r="AS13"/>
  <c r="BY13"/>
  <c r="CQ12"/>
  <c r="BP13"/>
  <c r="CI13"/>
  <c r="BB12"/>
  <c r="CZ13"/>
  <c r="BZ12"/>
  <c r="CO12"/>
  <c r="V13"/>
  <c r="H13"/>
  <c r="Y13"/>
  <c r="AG13"/>
  <c r="CM12"/>
  <c r="BR12"/>
  <c r="DF12"/>
  <c r="AY12"/>
  <c r="AX13"/>
  <c r="AW13"/>
  <c r="AQ12"/>
  <c r="BU12"/>
  <c r="BQ13"/>
  <c r="CW12"/>
  <c r="BS13"/>
  <c r="CC13"/>
  <c r="AT12"/>
  <c r="P13"/>
  <c r="AZ12"/>
  <c r="W13"/>
  <c r="BD12"/>
  <c r="CG13"/>
  <c r="BE13"/>
  <c r="N12"/>
  <c r="AC12"/>
  <c r="CD12"/>
  <c r="N13"/>
  <c r="AT13"/>
  <c r="AU12"/>
  <c r="CP12"/>
  <c r="BO13"/>
  <c r="AM12"/>
  <c r="CQ13"/>
  <c r="AF12"/>
  <c r="BC13"/>
  <c r="K13"/>
  <c r="CZ12"/>
  <c r="P12"/>
  <c r="O12"/>
  <c r="BH13"/>
  <c r="CJ12"/>
  <c r="DA13"/>
  <c r="BV12"/>
  <c r="CL12"/>
  <c r="AQ13"/>
  <c r="AC13"/>
  <c r="CC12"/>
  <c r="O13"/>
  <c r="DD13"/>
  <c r="DF13"/>
  <c r="DA12"/>
  <c r="BW13"/>
  <c r="AD13"/>
  <c r="BU13"/>
  <c r="T13"/>
  <c r="DB12"/>
  <c r="CW13"/>
  <c r="CX12"/>
  <c r="CH12"/>
  <c r="BR13"/>
  <c r="BZ13"/>
  <c r="BX13"/>
  <c r="U13"/>
  <c r="CD13"/>
  <c r="BS12"/>
  <c r="AW12"/>
  <c r="AF13"/>
  <c r="DD12"/>
  <c r="AV12"/>
  <c r="CU13"/>
  <c r="BD13"/>
  <c r="BT12"/>
  <c r="BW12"/>
  <c r="G13"/>
  <c r="AG12"/>
  <c r="BE12"/>
  <c r="J13"/>
  <c r="BX12"/>
  <c r="J12"/>
  <c r="I13"/>
  <c r="BA12"/>
  <c r="CY12"/>
  <c r="AM13"/>
  <c r="AP12"/>
  <c r="CF12"/>
  <c r="CA13"/>
  <c r="CS12"/>
  <c r="CJ13"/>
  <c r="DC12"/>
  <c r="CK13"/>
  <c r="CT12"/>
  <c r="AP13"/>
  <c r="BB13"/>
  <c r="AN13"/>
  <c r="CY13"/>
  <c r="Y12"/>
  <c r="DC13"/>
  <c r="AO13"/>
  <c r="DB13"/>
  <c r="K14" l="1"/>
  <c r="O14"/>
  <c r="H14"/>
  <c r="J14"/>
  <c r="L14"/>
  <c r="N14"/>
  <c r="P14"/>
  <c r="Y14"/>
  <c r="AA14"/>
  <c r="AC14"/>
  <c r="AF14"/>
  <c r="AI14"/>
  <c r="AN14"/>
  <c r="AP14"/>
  <c r="AR14"/>
  <c r="AT14"/>
  <c r="AV14"/>
  <c r="AX14"/>
  <c r="AZ14"/>
  <c r="BB14"/>
  <c r="BD14"/>
  <c r="BI14"/>
  <c r="BR14"/>
  <c r="BT14"/>
  <c r="BV14"/>
  <c r="BX14"/>
  <c r="BZ14"/>
  <c r="CB14"/>
  <c r="CD14"/>
  <c r="CF14"/>
  <c r="CH14"/>
  <c r="CJ14"/>
  <c r="CL14"/>
  <c r="CN14"/>
  <c r="CP14"/>
  <c r="CR14"/>
  <c r="CT14"/>
  <c r="CV14"/>
  <c r="CX14"/>
  <c r="CZ14"/>
  <c r="DB14"/>
  <c r="DD14"/>
  <c r="DF14"/>
  <c r="Q13"/>
  <c r="I14"/>
  <c r="M14"/>
  <c r="X14"/>
  <c r="Z14"/>
  <c r="AD14"/>
  <c r="AG14"/>
  <c r="AJ14"/>
  <c r="AM14"/>
  <c r="AO14"/>
  <c r="AQ14"/>
  <c r="AS14"/>
  <c r="AU14"/>
  <c r="AW14"/>
  <c r="AY14"/>
  <c r="BA14"/>
  <c r="BE14"/>
  <c r="BS14"/>
  <c r="BU14"/>
  <c r="BW14"/>
  <c r="BY14"/>
  <c r="CA14"/>
  <c r="CC14"/>
  <c r="CE14"/>
  <c r="CG14"/>
  <c r="CI14"/>
  <c r="CK14"/>
  <c r="CM14"/>
  <c r="CO14"/>
  <c r="CQ14"/>
  <c r="CS14"/>
  <c r="CU14"/>
  <c r="CW14"/>
  <c r="CY14"/>
  <c r="DA14"/>
  <c r="DC14"/>
  <c r="DE14"/>
  <c r="AK13"/>
  <c r="BF13"/>
  <c r="BJ13"/>
  <c r="BL13" l="1"/>
  <c r="D10"/>
  <c r="D9"/>
  <c r="DC4"/>
  <c r="CY4"/>
  <c r="CU4"/>
  <c r="CQ4"/>
  <c r="CM4"/>
  <c r="CI4"/>
  <c r="CE4"/>
  <c r="CA4"/>
  <c r="BW4"/>
  <c r="BS4"/>
  <c r="BO4"/>
  <c r="BL4"/>
  <c r="BI4"/>
  <c r="BH4"/>
  <c r="BE4"/>
  <c r="BD4"/>
  <c r="BC4"/>
  <c r="BB4"/>
  <c r="BA4"/>
  <c r="AZ4"/>
  <c r="AY4"/>
  <c r="AX4"/>
  <c r="AW4"/>
  <c r="AV4"/>
  <c r="AU4"/>
  <c r="AT4"/>
  <c r="AS4"/>
  <c r="AR4"/>
  <c r="AQ4"/>
  <c r="AP4"/>
  <c r="AO4"/>
  <c r="AN4"/>
  <c r="AM4"/>
  <c r="AJ4"/>
  <c r="BV9"/>
  <c r="CV9"/>
  <c r="CI10"/>
  <c r="CC10"/>
  <c r="CO10"/>
  <c r="AY9"/>
  <c r="BH9"/>
  <c r="DC10"/>
  <c r="BC10"/>
  <c r="BO10"/>
  <c r="AQ9"/>
  <c r="AR10"/>
  <c r="BW9"/>
  <c r="BA9"/>
  <c r="CM10"/>
  <c r="BX10"/>
  <c r="W10"/>
  <c r="S10"/>
  <c r="BY10"/>
  <c r="CG9"/>
  <c r="O9"/>
  <c r="CX9"/>
  <c r="AG10"/>
  <c r="H9"/>
  <c r="BT9"/>
  <c r="AD10"/>
  <c r="CH10"/>
  <c r="BU10"/>
  <c r="AB10"/>
  <c r="CE9"/>
  <c r="DE9"/>
  <c r="Z9"/>
  <c r="BZ10"/>
  <c r="AZ10"/>
  <c r="CY10"/>
  <c r="BE10"/>
  <c r="O10"/>
  <c r="AW9"/>
  <c r="AO10"/>
  <c r="AU10"/>
  <c r="CZ10"/>
  <c r="AV9"/>
  <c r="DD9"/>
  <c r="M9"/>
  <c r="CK9"/>
  <c r="BU9"/>
  <c r="CM9"/>
  <c r="N9"/>
  <c r="U10"/>
  <c r="G10"/>
  <c r="CA9"/>
  <c r="AP10"/>
  <c r="AR9"/>
  <c r="I9"/>
  <c r="BB9"/>
  <c r="AC9"/>
  <c r="AU9"/>
  <c r="BD9"/>
  <c r="CZ9"/>
  <c r="AA10"/>
  <c r="BS9"/>
  <c r="CT10"/>
  <c r="CD10"/>
  <c r="BI10"/>
  <c r="DA9"/>
  <c r="K10"/>
  <c r="CP10"/>
  <c r="J9"/>
  <c r="AC10"/>
  <c r="CH9"/>
  <c r="BY9"/>
  <c r="X9"/>
  <c r="CU10"/>
  <c r="K9"/>
  <c r="CB10"/>
  <c r="M10"/>
  <c r="BP10"/>
  <c r="CS10"/>
  <c r="CB9"/>
  <c r="Y9"/>
  <c r="AX9"/>
  <c r="X10"/>
  <c r="BT10"/>
  <c r="H10"/>
  <c r="AF10"/>
  <c r="BS10"/>
  <c r="AQ10"/>
  <c r="CF10"/>
  <c r="AZ9"/>
  <c r="BI9"/>
  <c r="CN9"/>
  <c r="AF9"/>
  <c r="CP9"/>
  <c r="CQ9"/>
  <c r="AI10"/>
  <c r="AY10"/>
  <c r="CR10"/>
  <c r="CL10"/>
  <c r="CQ10"/>
  <c r="P9"/>
  <c r="CR9"/>
  <c r="AT9"/>
  <c r="CV10"/>
  <c r="BZ9"/>
  <c r="DF10"/>
  <c r="AX10"/>
  <c r="AM9"/>
  <c r="AM10"/>
  <c r="CD9"/>
  <c r="L9"/>
  <c r="CJ10"/>
  <c r="CW10"/>
  <c r="CI9"/>
  <c r="BQ10"/>
  <c r="AW10"/>
  <c r="BX9"/>
  <c r="CK10"/>
  <c r="CA10"/>
  <c r="BB10"/>
  <c r="BE9"/>
  <c r="BW10"/>
  <c r="AS10"/>
  <c r="CJ9"/>
  <c r="Z10"/>
  <c r="CL9"/>
  <c r="AS9"/>
  <c r="AP9"/>
  <c r="V10"/>
  <c r="T10"/>
  <c r="BD10"/>
  <c r="CW9"/>
  <c r="DF9"/>
  <c r="AV10"/>
  <c r="Y10"/>
  <c r="CO9"/>
  <c r="AN9"/>
  <c r="AT10"/>
  <c r="CG10"/>
  <c r="CS9"/>
  <c r="BV10"/>
  <c r="CY9"/>
  <c r="BH10"/>
  <c r="BA10"/>
  <c r="AO9"/>
  <c r="AN10"/>
  <c r="DB10"/>
  <c r="AJ10"/>
  <c r="CF9"/>
  <c r="J10"/>
  <c r="DA10"/>
  <c r="CU9"/>
  <c r="BR10"/>
  <c r="DB9"/>
  <c r="AD9"/>
  <c r="DC9"/>
  <c r="AG9"/>
  <c r="DD10"/>
  <c r="I10"/>
  <c r="P10"/>
  <c r="AA9"/>
  <c r="N10"/>
  <c r="L10"/>
  <c r="BR9"/>
  <c r="CN10"/>
  <c r="CX10"/>
  <c r="DE10"/>
  <c r="CC9"/>
  <c r="CT9"/>
  <c r="AJ9"/>
  <c r="CE10"/>
  <c r="H11" l="1"/>
  <c r="J11"/>
  <c r="N11"/>
  <c r="I11"/>
  <c r="K11"/>
  <c r="M11"/>
  <c r="O11"/>
  <c r="X11"/>
  <c r="Z11"/>
  <c r="AD11"/>
  <c r="AG11"/>
  <c r="AJ11"/>
  <c r="AM11"/>
  <c r="AO11"/>
  <c r="AQ11"/>
  <c r="AS11"/>
  <c r="AU11"/>
  <c r="AW11"/>
  <c r="AY11"/>
  <c r="BA11"/>
  <c r="BE11"/>
  <c r="BH11"/>
  <c r="BJ9"/>
  <c r="BS11"/>
  <c r="BU11"/>
  <c r="BW11"/>
  <c r="BY11"/>
  <c r="CA11"/>
  <c r="CC11"/>
  <c r="CE11"/>
  <c r="CG11"/>
  <c r="CI11"/>
  <c r="CK11"/>
  <c r="CM11"/>
  <c r="CO11"/>
  <c r="CQ11"/>
  <c r="CS11"/>
  <c r="CU11"/>
  <c r="CW11"/>
  <c r="CY11"/>
  <c r="DA11"/>
  <c r="DC11"/>
  <c r="DE11"/>
  <c r="AK10"/>
  <c r="L11"/>
  <c r="P11"/>
  <c r="Y11"/>
  <c r="AA11"/>
  <c r="AC11"/>
  <c r="AF11"/>
  <c r="AN11"/>
  <c r="AP11"/>
  <c r="AR11"/>
  <c r="AT11"/>
  <c r="AV11"/>
  <c r="AX11"/>
  <c r="AZ11"/>
  <c r="BB11"/>
  <c r="BD11"/>
  <c r="BI11"/>
  <c r="BR11"/>
  <c r="BT11"/>
  <c r="BV11"/>
  <c r="BX11"/>
  <c r="BZ11"/>
  <c r="CB11"/>
  <c r="CD11"/>
  <c r="CF11"/>
  <c r="CH11"/>
  <c r="CJ11"/>
  <c r="CL11"/>
  <c r="CN11"/>
  <c r="CP11"/>
  <c r="CR11"/>
  <c r="CT11"/>
  <c r="CV11"/>
  <c r="CX11"/>
  <c r="CZ11"/>
  <c r="DB11"/>
  <c r="DD11"/>
  <c r="DF11"/>
  <c r="Q10"/>
  <c r="BF10"/>
  <c r="BJ10"/>
  <c r="AI4"/>
  <c r="AG4"/>
  <c r="AF4"/>
  <c r="AD4"/>
  <c r="AC4"/>
  <c r="AB4"/>
  <c r="AA4"/>
  <c r="Z4"/>
  <c r="Y4"/>
  <c r="X4"/>
  <c r="W4"/>
  <c r="V4"/>
  <c r="U4"/>
  <c r="T4"/>
  <c r="S4"/>
  <c r="P4"/>
  <c r="O4"/>
  <c r="N4"/>
  <c r="M4"/>
  <c r="L4"/>
  <c r="K4"/>
  <c r="J4"/>
  <c r="I4"/>
  <c r="H4"/>
  <c r="G4"/>
  <c r="E3"/>
  <c r="BL108" i="74"/>
  <c r="BL107"/>
  <c r="BL10" i="75" l="1"/>
  <c r="AM15"/>
  <c r="BJ11"/>
  <c r="BL105" i="74"/>
  <c r="AM40" i="75" l="1"/>
  <c r="D104" i="74" l="1"/>
  <c r="BJ103" l="1"/>
  <c r="AR103"/>
  <c r="Q103"/>
  <c r="D103"/>
  <c r="D102"/>
  <c r="DH101"/>
  <c r="DH100"/>
  <c r="DF103"/>
  <c r="AC102"/>
  <c r="DC103"/>
  <c r="DE103"/>
  <c r="AP102"/>
  <c r="AN102"/>
  <c r="BT103"/>
  <c r="CU103"/>
  <c r="BD102"/>
  <c r="BZ102"/>
  <c r="DA102"/>
  <c r="AB102"/>
  <c r="BP103"/>
  <c r="BH102"/>
  <c r="AR102"/>
  <c r="O102"/>
  <c r="CP103"/>
  <c r="BX102"/>
  <c r="CQ103"/>
  <c r="DE102"/>
  <c r="BR102"/>
  <c r="CL103"/>
  <c r="BQ102"/>
  <c r="CJ103"/>
  <c r="AV102"/>
  <c r="DB102"/>
  <c r="DA103"/>
  <c r="CN102"/>
  <c r="CB102"/>
  <c r="BV103"/>
  <c r="CD102"/>
  <c r="M102"/>
  <c r="BX103"/>
  <c r="AZ102"/>
  <c r="BA102"/>
  <c r="CZ103"/>
  <c r="CW103"/>
  <c r="CF103"/>
  <c r="DC102"/>
  <c r="BO102"/>
  <c r="AG102"/>
  <c r="AI102"/>
  <c r="CX102"/>
  <c r="CS103"/>
  <c r="CA102"/>
  <c r="AW102"/>
  <c r="AM102"/>
  <c r="CJ102"/>
  <c r="AY102"/>
  <c r="CD103"/>
  <c r="BS103"/>
  <c r="CK103"/>
  <c r="DD103"/>
  <c r="G102"/>
  <c r="P102"/>
  <c r="CE103"/>
  <c r="N102"/>
  <c r="AX102"/>
  <c r="AD102"/>
  <c r="CA103"/>
  <c r="BO103"/>
  <c r="CV103"/>
  <c r="CC102"/>
  <c r="CH103"/>
  <c r="AT102"/>
  <c r="CC103"/>
  <c r="BP102"/>
  <c r="CG102"/>
  <c r="CW102"/>
  <c r="CX103"/>
  <c r="CZ102"/>
  <c r="AJ102"/>
  <c r="J102"/>
  <c r="AO102"/>
  <c r="CO102"/>
  <c r="K102"/>
  <c r="T102"/>
  <c r="CE102"/>
  <c r="CB103"/>
  <c r="CT102"/>
  <c r="L102"/>
  <c r="CT103"/>
  <c r="DD102"/>
  <c r="CP102"/>
  <c r="AS102"/>
  <c r="CV102"/>
  <c r="CN103"/>
  <c r="BY103"/>
  <c r="CM102"/>
  <c r="AF102"/>
  <c r="AQ102"/>
  <c r="BU102"/>
  <c r="BE102"/>
  <c r="CR103"/>
  <c r="I102"/>
  <c r="S102"/>
  <c r="CI102"/>
  <c r="BU103"/>
  <c r="DF102"/>
  <c r="DB103"/>
  <c r="CL102"/>
  <c r="AA102"/>
  <c r="BS102"/>
  <c r="BW103"/>
  <c r="CF102"/>
  <c r="BW102"/>
  <c r="BC102"/>
  <c r="CY103"/>
  <c r="BV102"/>
  <c r="BR103"/>
  <c r="CG103"/>
  <c r="BQ103"/>
  <c r="AU102"/>
  <c r="CH102"/>
  <c r="CM103"/>
  <c r="H102"/>
  <c r="CO103"/>
  <c r="CK102"/>
  <c r="CQ102"/>
  <c r="CR102"/>
  <c r="BZ103"/>
  <c r="CI103"/>
  <c r="BY102"/>
  <c r="CS102"/>
  <c r="CY102"/>
  <c r="CU102"/>
  <c r="BB102"/>
  <c r="I104" l="1"/>
  <c r="H104"/>
  <c r="J104"/>
  <c r="L104"/>
  <c r="N104"/>
  <c r="P104"/>
  <c r="S104"/>
  <c r="AA104"/>
  <c r="AC104"/>
  <c r="AF104"/>
  <c r="AI104"/>
  <c r="AN104"/>
  <c r="AP104"/>
  <c r="AV104"/>
  <c r="AX104"/>
  <c r="AZ104"/>
  <c r="BB104"/>
  <c r="BD104"/>
  <c r="BO104"/>
  <c r="BQ104"/>
  <c r="BS104"/>
  <c r="BU104"/>
  <c r="BW104"/>
  <c r="BY104"/>
  <c r="CA104"/>
  <c r="CC104"/>
  <c r="CE104"/>
  <c r="CG104"/>
  <c r="CI104"/>
  <c r="CK104"/>
  <c r="CM104"/>
  <c r="CO104"/>
  <c r="CQ104"/>
  <c r="CS104"/>
  <c r="CU104"/>
  <c r="CW104"/>
  <c r="CY104"/>
  <c r="DA104"/>
  <c r="DC104"/>
  <c r="DE104"/>
  <c r="DH103"/>
  <c r="G104"/>
  <c r="Q102"/>
  <c r="K104"/>
  <c r="M104"/>
  <c r="O104"/>
  <c r="AB104"/>
  <c r="AD104"/>
  <c r="AG104"/>
  <c r="AJ104"/>
  <c r="AM104"/>
  <c r="BF102"/>
  <c r="AO104"/>
  <c r="AW104"/>
  <c r="AY104"/>
  <c r="BA104"/>
  <c r="BC104"/>
  <c r="BE104"/>
  <c r="BH104"/>
  <c r="BP104"/>
  <c r="BR104"/>
  <c r="BV104"/>
  <c r="BX104"/>
  <c r="BZ104"/>
  <c r="CB104"/>
  <c r="CD104"/>
  <c r="CF104"/>
  <c r="CH104"/>
  <c r="CJ104"/>
  <c r="CL104"/>
  <c r="CN104"/>
  <c r="CP104"/>
  <c r="CR104"/>
  <c r="CT104"/>
  <c r="CV104"/>
  <c r="CX104"/>
  <c r="CZ104"/>
  <c r="DB104"/>
  <c r="DD104"/>
  <c r="DF104"/>
  <c r="Q104" l="1"/>
  <c r="D99" l="1"/>
  <c r="CP98"/>
  <c r="CM98"/>
  <c r="CJ98"/>
  <c r="BW98"/>
  <c r="CF98"/>
  <c r="BR98"/>
  <c r="CS98"/>
  <c r="DF98"/>
  <c r="CB98"/>
  <c r="CV98"/>
  <c r="BZ98"/>
  <c r="CZ98"/>
  <c r="DD98"/>
  <c r="BT98"/>
  <c r="BP98"/>
  <c r="CW98"/>
  <c r="CL98"/>
  <c r="DB98"/>
  <c r="DE98"/>
  <c r="DC98"/>
  <c r="BS98"/>
  <c r="CE98"/>
  <c r="CQ98"/>
  <c r="CC98"/>
  <c r="BU98"/>
  <c r="DA98"/>
  <c r="CD98"/>
  <c r="BV98"/>
  <c r="CT98"/>
  <c r="CA98"/>
  <c r="CU98"/>
  <c r="CG98"/>
  <c r="CX98"/>
  <c r="BO98"/>
  <c r="BQ98"/>
  <c r="CN98"/>
  <c r="CR98"/>
  <c r="CH98"/>
  <c r="CO98"/>
  <c r="BY98"/>
  <c r="CK98"/>
  <c r="BX98"/>
  <c r="CI98"/>
  <c r="D98" l="1"/>
  <c r="DH97"/>
  <c r="D96"/>
  <c r="DH95"/>
  <c r="DH94"/>
  <c r="BL94"/>
  <c r="BZ96"/>
  <c r="BI98"/>
  <c r="BC98"/>
  <c r="CA96"/>
  <c r="CQ96"/>
  <c r="AS98"/>
  <c r="W98"/>
  <c r="BA98"/>
  <c r="AQ98"/>
  <c r="P98"/>
  <c r="M96"/>
  <c r="AA98"/>
  <c r="CX96"/>
  <c r="AM96"/>
  <c r="CN96"/>
  <c r="AJ96"/>
  <c r="AX96"/>
  <c r="AY98"/>
  <c r="AB98"/>
  <c r="BQ96"/>
  <c r="CF96"/>
  <c r="Z98"/>
  <c r="CK96"/>
  <c r="AT96"/>
  <c r="AO98"/>
  <c r="AR96"/>
  <c r="K98"/>
  <c r="DA96"/>
  <c r="AI96"/>
  <c r="CM96"/>
  <c r="AU98"/>
  <c r="O98"/>
  <c r="CV96"/>
  <c r="AW96"/>
  <c r="Y98"/>
  <c r="DF96"/>
  <c r="CT96"/>
  <c r="T96"/>
  <c r="CC96"/>
  <c r="AX98"/>
  <c r="M98"/>
  <c r="CI96"/>
  <c r="AV96"/>
  <c r="AI98"/>
  <c r="CJ96"/>
  <c r="AO96"/>
  <c r="AZ98"/>
  <c r="AY96"/>
  <c r="DB96"/>
  <c r="G98"/>
  <c r="BC96"/>
  <c r="BW96"/>
  <c r="Y96"/>
  <c r="BD98"/>
  <c r="DE96"/>
  <c r="BT96"/>
  <c r="AZ96"/>
  <c r="BR96"/>
  <c r="BD96"/>
  <c r="BE98"/>
  <c r="O96"/>
  <c r="BX96"/>
  <c r="AU96"/>
  <c r="H98"/>
  <c r="X96"/>
  <c r="N96"/>
  <c r="AQ96"/>
  <c r="CD96"/>
  <c r="P96"/>
  <c r="CE96"/>
  <c r="S96"/>
  <c r="AN98"/>
  <c r="AR98"/>
  <c r="CL96"/>
  <c r="AC96"/>
  <c r="BB98"/>
  <c r="AG98"/>
  <c r="CO96"/>
  <c r="T98"/>
  <c r="G96"/>
  <c r="J96"/>
  <c r="AF98"/>
  <c r="AD98"/>
  <c r="DC96"/>
  <c r="CW96"/>
  <c r="BE96"/>
  <c r="AS96"/>
  <c r="CU96"/>
  <c r="CH96"/>
  <c r="BP96"/>
  <c r="BI96"/>
  <c r="H96"/>
  <c r="L96"/>
  <c r="AP96"/>
  <c r="CB96"/>
  <c r="DD96"/>
  <c r="AT98"/>
  <c r="N98"/>
  <c r="X98"/>
  <c r="CZ96"/>
  <c r="I98"/>
  <c r="CP96"/>
  <c r="CR96"/>
  <c r="CG96"/>
  <c r="AM98"/>
  <c r="AB96"/>
  <c r="AA96"/>
  <c r="J98"/>
  <c r="BY96"/>
  <c r="BO96"/>
  <c r="BV96"/>
  <c r="BA96"/>
  <c r="L98"/>
  <c r="BB96"/>
  <c r="AC98"/>
  <c r="Z96"/>
  <c r="AN96"/>
  <c r="AJ98"/>
  <c r="BS96"/>
  <c r="BH98"/>
  <c r="I96"/>
  <c r="CS96"/>
  <c r="K96"/>
  <c r="AW98"/>
  <c r="AV98"/>
  <c r="BU96"/>
  <c r="S98"/>
  <c r="G99" l="1"/>
  <c r="Q96"/>
  <c r="K99"/>
  <c r="H99"/>
  <c r="J99"/>
  <c r="L99"/>
  <c r="N99"/>
  <c r="P99"/>
  <c r="S99"/>
  <c r="Y99"/>
  <c r="AA99"/>
  <c r="AC99"/>
  <c r="AI99"/>
  <c r="AN99"/>
  <c r="AR99"/>
  <c r="AT99"/>
  <c r="AV99"/>
  <c r="AX99"/>
  <c r="AZ99"/>
  <c r="BB99"/>
  <c r="BD99"/>
  <c r="BI99"/>
  <c r="BO99"/>
  <c r="BQ99"/>
  <c r="BS99"/>
  <c r="BU99"/>
  <c r="BW99"/>
  <c r="BY99"/>
  <c r="CA99"/>
  <c r="CC99"/>
  <c r="CE99"/>
  <c r="CG99"/>
  <c r="CI99"/>
  <c r="CK99"/>
  <c r="CM99"/>
  <c r="CO99"/>
  <c r="CQ99"/>
  <c r="CS99"/>
  <c r="CU99"/>
  <c r="CW99"/>
  <c r="DA99"/>
  <c r="DC99"/>
  <c r="DE99"/>
  <c r="Q98"/>
  <c r="I99"/>
  <c r="M99"/>
  <c r="O99"/>
  <c r="T99"/>
  <c r="X99"/>
  <c r="Z99"/>
  <c r="AB99"/>
  <c r="AJ99"/>
  <c r="AM99"/>
  <c r="BF96"/>
  <c r="AO99"/>
  <c r="AQ99"/>
  <c r="AS99"/>
  <c r="AU99"/>
  <c r="AW99"/>
  <c r="AY99"/>
  <c r="BA99"/>
  <c r="BC99"/>
  <c r="BE99"/>
  <c r="BP99"/>
  <c r="BR99"/>
  <c r="BT99"/>
  <c r="BV99"/>
  <c r="BX99"/>
  <c r="BZ99"/>
  <c r="CB99"/>
  <c r="CD99"/>
  <c r="CF99"/>
  <c r="CH99"/>
  <c r="CJ99"/>
  <c r="CL99"/>
  <c r="CN99"/>
  <c r="CP99"/>
  <c r="CR99"/>
  <c r="CT99"/>
  <c r="CV99"/>
  <c r="CX99"/>
  <c r="CZ99"/>
  <c r="DB99"/>
  <c r="DD99"/>
  <c r="DF99"/>
  <c r="BJ98"/>
  <c r="Q99" l="1"/>
  <c r="D93" l="1"/>
  <c r="DE92"/>
  <c r="DB92"/>
  <c r="BZ92"/>
  <c r="BV92"/>
  <c r="CY92"/>
  <c r="BT92"/>
  <c r="CX92"/>
  <c r="CF92"/>
  <c r="BR92"/>
  <c r="CD92"/>
  <c r="CM92"/>
  <c r="DF92"/>
  <c r="CA92"/>
  <c r="BU92"/>
  <c r="CP92"/>
  <c r="CL92"/>
  <c r="BP92"/>
  <c r="CV92"/>
  <c r="DD92"/>
  <c r="CO92"/>
  <c r="CK92"/>
  <c r="BW92"/>
  <c r="BO92"/>
  <c r="DA92"/>
  <c r="CU92"/>
  <c r="CZ92"/>
  <c r="BY92"/>
  <c r="BS92"/>
  <c r="CG92"/>
  <c r="CJ92"/>
  <c r="CS92"/>
  <c r="BQ92"/>
  <c r="CI92"/>
  <c r="CB92"/>
  <c r="CQ92"/>
  <c r="CC92"/>
  <c r="DC92"/>
  <c r="CH92"/>
  <c r="CN92"/>
  <c r="CR92"/>
  <c r="BX92"/>
  <c r="CT92"/>
  <c r="CE92"/>
  <c r="CW92"/>
  <c r="D92" l="1"/>
  <c r="CV91"/>
  <c r="N92"/>
  <c r="X92"/>
  <c r="L92"/>
  <c r="CO91"/>
  <c r="CZ91"/>
  <c r="CC91"/>
  <c r="DC91"/>
  <c r="BQ91"/>
  <c r="J92"/>
  <c r="CI91"/>
  <c r="BE92"/>
  <c r="BZ91"/>
  <c r="AA92"/>
  <c r="BV91"/>
  <c r="AS92"/>
  <c r="CL91"/>
  <c r="P92"/>
  <c r="H92"/>
  <c r="M92"/>
  <c r="O92"/>
  <c r="AP92"/>
  <c r="AF92"/>
  <c r="BP91"/>
  <c r="AT92"/>
  <c r="BC92"/>
  <c r="BB92"/>
  <c r="S92"/>
  <c r="BD92"/>
  <c r="AY92"/>
  <c r="AN92"/>
  <c r="CS91"/>
  <c r="CK91"/>
  <c r="BO91"/>
  <c r="BW91"/>
  <c r="CD91"/>
  <c r="DA91"/>
  <c r="AG92"/>
  <c r="CB91"/>
  <c r="DD91"/>
  <c r="BR91"/>
  <c r="BI92"/>
  <c r="BS91"/>
  <c r="DB91"/>
  <c r="AC92"/>
  <c r="BU91"/>
  <c r="AM92"/>
  <c r="AD92"/>
  <c r="CG91"/>
  <c r="AO92"/>
  <c r="BY91"/>
  <c r="G92"/>
  <c r="AB92"/>
  <c r="K92"/>
  <c r="CF91"/>
  <c r="DE91"/>
  <c r="BH91"/>
  <c r="AJ92"/>
  <c r="V92"/>
  <c r="CE91"/>
  <c r="AQ92"/>
  <c r="CR91"/>
  <c r="AV92"/>
  <c r="AI92"/>
  <c r="CY91"/>
  <c r="BT91"/>
  <c r="CN91"/>
  <c r="AZ92"/>
  <c r="CQ91"/>
  <c r="CA91"/>
  <c r="CU91"/>
  <c r="DF91"/>
  <c r="AX92"/>
  <c r="CT91"/>
  <c r="W92"/>
  <c r="Z92"/>
  <c r="AR92"/>
  <c r="I92"/>
  <c r="CJ91"/>
  <c r="BA92"/>
  <c r="CP91"/>
  <c r="CM91"/>
  <c r="AW92"/>
  <c r="CW91"/>
  <c r="U92"/>
  <c r="CX91"/>
  <c r="Y92"/>
  <c r="AU92"/>
  <c r="BX91"/>
  <c r="CH91"/>
  <c r="Q92" l="1"/>
  <c r="BF92"/>
  <c r="X91"/>
  <c r="AN91"/>
  <c r="AB91"/>
  <c r="AS91"/>
  <c r="AY91"/>
  <c r="BD91"/>
  <c r="AD91"/>
  <c r="AI91"/>
  <c r="AW91"/>
  <c r="S91"/>
  <c r="Z91"/>
  <c r="AM91"/>
  <c r="AT91"/>
  <c r="BC91"/>
  <c r="BA91"/>
  <c r="U91"/>
  <c r="BE91"/>
  <c r="AV91"/>
  <c r="AQ91"/>
  <c r="BB91"/>
  <c r="Y91"/>
  <c r="AJ91"/>
  <c r="W91"/>
  <c r="AU91"/>
  <c r="AX91"/>
  <c r="AG91"/>
  <c r="AF91"/>
  <c r="AZ91"/>
  <c r="AO91"/>
  <c r="AR91"/>
  <c r="AP91"/>
  <c r="AA91"/>
  <c r="AC91"/>
  <c r="V91"/>
  <c r="BF91" l="1"/>
  <c r="D91"/>
  <c r="BL90"/>
  <c r="D89"/>
  <c r="BL87"/>
  <c r="BL86"/>
  <c r="BL85"/>
  <c r="BF83"/>
  <c r="CY89"/>
  <c r="CQ89"/>
  <c r="AG89"/>
  <c r="AZ89"/>
  <c r="BI89"/>
  <c r="CL89"/>
  <c r="W89"/>
  <c r="BW89"/>
  <c r="BC89"/>
  <c r="CX89"/>
  <c r="I89"/>
  <c r="AF89"/>
  <c r="X89"/>
  <c r="AB89"/>
  <c r="BD89"/>
  <c r="CP89"/>
  <c r="J91"/>
  <c r="DC89"/>
  <c r="BX89"/>
  <c r="AY89"/>
  <c r="V89"/>
  <c r="G91"/>
  <c r="BR89"/>
  <c r="P89"/>
  <c r="DF89"/>
  <c r="DE89"/>
  <c r="BO89"/>
  <c r="AQ89"/>
  <c r="I91"/>
  <c r="P91"/>
  <c r="AX89"/>
  <c r="N91"/>
  <c r="BQ89"/>
  <c r="DB89"/>
  <c r="AV89"/>
  <c r="BS89"/>
  <c r="CI89"/>
  <c r="G89"/>
  <c r="AW89"/>
  <c r="AP89"/>
  <c r="CF89"/>
  <c r="AO89"/>
  <c r="AI89"/>
  <c r="BZ89"/>
  <c r="M89"/>
  <c r="AR89"/>
  <c r="CM89"/>
  <c r="CG89"/>
  <c r="CB89"/>
  <c r="CH89"/>
  <c r="M91"/>
  <c r="O91"/>
  <c r="AC89"/>
  <c r="CC89"/>
  <c r="AD89"/>
  <c r="S89"/>
  <c r="CN89"/>
  <c r="J89"/>
  <c r="CZ89"/>
  <c r="CS89"/>
  <c r="CA89"/>
  <c r="K89"/>
  <c r="Y89"/>
  <c r="AA89"/>
  <c r="BH89"/>
  <c r="H91"/>
  <c r="CO89"/>
  <c r="BA89"/>
  <c r="T89"/>
  <c r="H89"/>
  <c r="Z89"/>
  <c r="CT89"/>
  <c r="BV89"/>
  <c r="BE89"/>
  <c r="AS89"/>
  <c r="BY89"/>
  <c r="CR89"/>
  <c r="CE89"/>
  <c r="AU89"/>
  <c r="AJ89"/>
  <c r="AN89"/>
  <c r="K91"/>
  <c r="BP89"/>
  <c r="BU89"/>
  <c r="AM89"/>
  <c r="CK89"/>
  <c r="CW89"/>
  <c r="CV89"/>
  <c r="BT89"/>
  <c r="CU89"/>
  <c r="BB89"/>
  <c r="L89"/>
  <c r="AT89"/>
  <c r="CJ89"/>
  <c r="O89"/>
  <c r="N89"/>
  <c r="U89"/>
  <c r="DA89"/>
  <c r="L91"/>
  <c r="CD89"/>
  <c r="DD89"/>
  <c r="I93" l="1"/>
  <c r="M93"/>
  <c r="V93"/>
  <c r="Z93"/>
  <c r="AD93"/>
  <c r="H93"/>
  <c r="J93"/>
  <c r="L93"/>
  <c r="N93"/>
  <c r="N106" s="1"/>
  <c r="P93"/>
  <c r="S93"/>
  <c r="AK89"/>
  <c r="U93"/>
  <c r="W93"/>
  <c r="Y93"/>
  <c r="AA93"/>
  <c r="AC93"/>
  <c r="AF93"/>
  <c r="AI93"/>
  <c r="AN93"/>
  <c r="AP93"/>
  <c r="AR93"/>
  <c r="AT93"/>
  <c r="AV93"/>
  <c r="AX93"/>
  <c r="AZ93"/>
  <c r="BB93"/>
  <c r="BB106" s="1"/>
  <c r="BD93"/>
  <c r="BO93"/>
  <c r="BQ93"/>
  <c r="BS93"/>
  <c r="BU93"/>
  <c r="BW93"/>
  <c r="BY93"/>
  <c r="CA93"/>
  <c r="CC93"/>
  <c r="CE93"/>
  <c r="CG93"/>
  <c r="CI93"/>
  <c r="CK93"/>
  <c r="CM93"/>
  <c r="CO93"/>
  <c r="CQ93"/>
  <c r="CS93"/>
  <c r="CU93"/>
  <c r="CW93"/>
  <c r="CY93"/>
  <c r="DA93"/>
  <c r="DC93"/>
  <c r="DE93"/>
  <c r="Q91"/>
  <c r="G93"/>
  <c r="Q89"/>
  <c r="K93"/>
  <c r="O93"/>
  <c r="X93"/>
  <c r="AB93"/>
  <c r="AG93"/>
  <c r="AJ93"/>
  <c r="AM93"/>
  <c r="BF89"/>
  <c r="AO93"/>
  <c r="AQ93"/>
  <c r="AS93"/>
  <c r="AU93"/>
  <c r="AW93"/>
  <c r="AW106" s="1"/>
  <c r="AV106" s="1"/>
  <c r="AY93"/>
  <c r="AY106" s="1"/>
  <c r="AX106" s="1"/>
  <c r="BA93"/>
  <c r="BC93"/>
  <c r="BE93"/>
  <c r="BJ89"/>
  <c r="BP93"/>
  <c r="BR93"/>
  <c r="BT93"/>
  <c r="BV93"/>
  <c r="BX93"/>
  <c r="BZ93"/>
  <c r="CB93"/>
  <c r="CD93"/>
  <c r="CF93"/>
  <c r="CH93"/>
  <c r="CJ93"/>
  <c r="CL93"/>
  <c r="CN93"/>
  <c r="CP93"/>
  <c r="CR93"/>
  <c r="CT93"/>
  <c r="CV93"/>
  <c r="CX93"/>
  <c r="CZ93"/>
  <c r="DB93"/>
  <c r="DD93"/>
  <c r="DF93"/>
  <c r="M110" i="59"/>
  <c r="BL89" i="74" l="1"/>
  <c r="BO106"/>
  <c r="DH93"/>
  <c r="BF93"/>
  <c r="BA106"/>
  <c r="AZ106" s="1"/>
  <c r="M106"/>
  <c r="L106" s="1"/>
  <c r="K106" s="1"/>
  <c r="J106" s="1"/>
  <c r="I106" s="1"/>
  <c r="H106" s="1"/>
  <c r="G106" s="1"/>
  <c r="Q93"/>
  <c r="D82" l="1"/>
  <c r="DE81"/>
  <c r="CY81"/>
  <c r="CQ81"/>
  <c r="CK81"/>
  <c r="DA81"/>
  <c r="BS81"/>
  <c r="CE81"/>
  <c r="CX81"/>
  <c r="CS81"/>
  <c r="BV81"/>
  <c r="BR81"/>
  <c r="CH81"/>
  <c r="CB81"/>
  <c r="BW81"/>
  <c r="CV81"/>
  <c r="DD81"/>
  <c r="CU81"/>
  <c r="CD81"/>
  <c r="BY81"/>
  <c r="CL81"/>
  <c r="BT81"/>
  <c r="CO81"/>
  <c r="DC81"/>
  <c r="BX81"/>
  <c r="CA81"/>
  <c r="CT81"/>
  <c r="BU81"/>
  <c r="CM81"/>
  <c r="CF81"/>
  <c r="BZ81"/>
  <c r="CC81"/>
  <c r="DB81"/>
  <c r="CP81"/>
  <c r="DF81"/>
  <c r="CZ81"/>
  <c r="CI81"/>
  <c r="CN81"/>
  <c r="CW81"/>
  <c r="CJ81"/>
  <c r="CG81"/>
  <c r="CR81"/>
  <c r="D81" l="1"/>
  <c r="DH80"/>
  <c r="BL80"/>
  <c r="D79"/>
  <c r="DH78"/>
  <c r="BL78"/>
  <c r="DH77"/>
  <c r="BL77"/>
  <c r="AA79"/>
  <c r="AS81"/>
  <c r="DB79"/>
  <c r="AP79"/>
  <c r="AO79"/>
  <c r="AU79"/>
  <c r="AM79"/>
  <c r="CN79"/>
  <c r="AG79"/>
  <c r="P79"/>
  <c r="AB79"/>
  <c r="AQ79"/>
  <c r="CH79"/>
  <c r="DF79"/>
  <c r="CO79"/>
  <c r="DA79"/>
  <c r="W79"/>
  <c r="CU79"/>
  <c r="O81"/>
  <c r="BA79"/>
  <c r="CB79"/>
  <c r="BT79"/>
  <c r="CC79"/>
  <c r="I81"/>
  <c r="AJ79"/>
  <c r="AX81"/>
  <c r="BA81"/>
  <c r="AS79"/>
  <c r="CA79"/>
  <c r="CP79"/>
  <c r="AT81"/>
  <c r="N79"/>
  <c r="AZ79"/>
  <c r="BV79"/>
  <c r="AB81"/>
  <c r="AY79"/>
  <c r="AD81"/>
  <c r="CF79"/>
  <c r="AI79"/>
  <c r="AW79"/>
  <c r="AR81"/>
  <c r="CL79"/>
  <c r="BC81"/>
  <c r="AV79"/>
  <c r="CX79"/>
  <c r="BR79"/>
  <c r="AC79"/>
  <c r="Z81"/>
  <c r="AI81"/>
  <c r="CJ79"/>
  <c r="G79"/>
  <c r="AC81"/>
  <c r="BX79"/>
  <c r="BW79"/>
  <c r="AU81"/>
  <c r="L81"/>
  <c r="AR79"/>
  <c r="BY79"/>
  <c r="K81"/>
  <c r="K79"/>
  <c r="J79"/>
  <c r="AG81"/>
  <c r="CE79"/>
  <c r="Y81"/>
  <c r="P81"/>
  <c r="CY79"/>
  <c r="S81"/>
  <c r="AF81"/>
  <c r="CR79"/>
  <c r="BD79"/>
  <c r="CT79"/>
  <c r="DE79"/>
  <c r="I79"/>
  <c r="AX79"/>
  <c r="BB79"/>
  <c r="BD81"/>
  <c r="BS79"/>
  <c r="CW79"/>
  <c r="BB81"/>
  <c r="CV79"/>
  <c r="H79"/>
  <c r="AW81"/>
  <c r="CS79"/>
  <c r="CM79"/>
  <c r="AA81"/>
  <c r="M81"/>
  <c r="V79"/>
  <c r="BE79"/>
  <c r="BE81"/>
  <c r="X79"/>
  <c r="AD79"/>
  <c r="CI79"/>
  <c r="AJ81"/>
  <c r="AN81"/>
  <c r="AQ81"/>
  <c r="AM81"/>
  <c r="AV81"/>
  <c r="AF79"/>
  <c r="AZ81"/>
  <c r="L79"/>
  <c r="Z79"/>
  <c r="AO81"/>
  <c r="M79"/>
  <c r="N81"/>
  <c r="AN79"/>
  <c r="CK79"/>
  <c r="AP81"/>
  <c r="CG79"/>
  <c r="Y79"/>
  <c r="CZ79"/>
  <c r="BU79"/>
  <c r="X81"/>
  <c r="AY81"/>
  <c r="CQ79"/>
  <c r="BC79"/>
  <c r="CD79"/>
  <c r="H81"/>
  <c r="J81"/>
  <c r="O79"/>
  <c r="S79"/>
  <c r="DD79"/>
  <c r="G81"/>
  <c r="BZ79"/>
  <c r="AT79"/>
  <c r="G82" l="1"/>
  <c r="Q79"/>
  <c r="I82"/>
  <c r="K82"/>
  <c r="M82"/>
  <c r="O82"/>
  <c r="X82"/>
  <c r="Z82"/>
  <c r="AB82"/>
  <c r="AD82"/>
  <c r="AG82"/>
  <c r="AJ82"/>
  <c r="AM82"/>
  <c r="BF79"/>
  <c r="AO82"/>
  <c r="AQ82"/>
  <c r="AS82"/>
  <c r="AU82"/>
  <c r="AW82"/>
  <c r="AY82"/>
  <c r="BA82"/>
  <c r="BC82"/>
  <c r="BE82"/>
  <c r="BS82"/>
  <c r="BU82"/>
  <c r="BW82"/>
  <c r="BY82"/>
  <c r="CA82"/>
  <c r="CC82"/>
  <c r="CE82"/>
  <c r="CG82"/>
  <c r="CI82"/>
  <c r="CK82"/>
  <c r="CM82"/>
  <c r="CO82"/>
  <c r="CQ82"/>
  <c r="CS82"/>
  <c r="CU82"/>
  <c r="CW82"/>
  <c r="CY82"/>
  <c r="DA82"/>
  <c r="DE82"/>
  <c r="Q81"/>
  <c r="H82"/>
  <c r="J82"/>
  <c r="L82"/>
  <c r="N82"/>
  <c r="P82"/>
  <c r="S82"/>
  <c r="Y82"/>
  <c r="AA82"/>
  <c r="AC82"/>
  <c r="AF82"/>
  <c r="AI82"/>
  <c r="AN82"/>
  <c r="AP82"/>
  <c r="AR82"/>
  <c r="AT82"/>
  <c r="AV82"/>
  <c r="AX82"/>
  <c r="AZ82"/>
  <c r="BB82"/>
  <c r="BD82"/>
  <c r="BR82"/>
  <c r="BT82"/>
  <c r="BV82"/>
  <c r="BX82"/>
  <c r="BZ82"/>
  <c r="CB82"/>
  <c r="CD82"/>
  <c r="CF82"/>
  <c r="CH82"/>
  <c r="CJ82"/>
  <c r="CL82"/>
  <c r="CN82"/>
  <c r="CP82"/>
  <c r="CR82"/>
  <c r="CT82"/>
  <c r="CV82"/>
  <c r="CX82"/>
  <c r="CZ82"/>
  <c r="DB82"/>
  <c r="DD82"/>
  <c r="DF82"/>
  <c r="BF81"/>
  <c r="Q82" l="1"/>
  <c r="BF82"/>
  <c r="D76" l="1"/>
  <c r="D75" l="1"/>
  <c r="DH74"/>
  <c r="BJ74"/>
  <c r="DH73"/>
  <c r="DF75"/>
  <c r="DB75"/>
  <c r="BR75"/>
  <c r="AD75"/>
  <c r="CP75"/>
  <c r="CF75"/>
  <c r="AA75"/>
  <c r="CC75"/>
  <c r="AW75"/>
  <c r="CI75"/>
  <c r="BP75"/>
  <c r="CK75"/>
  <c r="BQ75"/>
  <c r="K75"/>
  <c r="BX75"/>
  <c r="DD75"/>
  <c r="H75"/>
  <c r="BC75"/>
  <c r="Z75"/>
  <c r="CE75"/>
  <c r="G75"/>
  <c r="BD75"/>
  <c r="CU75"/>
  <c r="BY75"/>
  <c r="BS75"/>
  <c r="DC75"/>
  <c r="CZ75"/>
  <c r="P75"/>
  <c r="CT75"/>
  <c r="AY75"/>
  <c r="BV75"/>
  <c r="BA75"/>
  <c r="AR75"/>
  <c r="O75"/>
  <c r="AP75"/>
  <c r="CH75"/>
  <c r="CX75"/>
  <c r="AI75"/>
  <c r="CY75"/>
  <c r="AN75"/>
  <c r="AU75"/>
  <c r="AZ75"/>
  <c r="AX75"/>
  <c r="CA75"/>
  <c r="DA75"/>
  <c r="CD75"/>
  <c r="AS75"/>
  <c r="AQ75"/>
  <c r="AB75"/>
  <c r="DE75"/>
  <c r="CL75"/>
  <c r="BE75"/>
  <c r="BW75"/>
  <c r="CV75"/>
  <c r="AT75"/>
  <c r="CW75"/>
  <c r="CG75"/>
  <c r="BO75"/>
  <c r="Y75"/>
  <c r="CO75"/>
  <c r="S75"/>
  <c r="X75"/>
  <c r="J75"/>
  <c r="CM75"/>
  <c r="CQ75"/>
  <c r="AJ75"/>
  <c r="W75"/>
  <c r="BZ75"/>
  <c r="L75"/>
  <c r="CN75"/>
  <c r="CB75"/>
  <c r="BB75"/>
  <c r="AM75"/>
  <c r="AC75"/>
  <c r="BU75"/>
  <c r="N75"/>
  <c r="CS75"/>
  <c r="I75"/>
  <c r="AG75"/>
  <c r="V75"/>
  <c r="M75"/>
  <c r="BT75"/>
  <c r="AO75"/>
  <c r="CR75"/>
  <c r="CJ75"/>
  <c r="U75"/>
  <c r="AF75"/>
  <c r="BL74" l="1"/>
  <c r="H76"/>
  <c r="G76"/>
  <c r="Q75"/>
  <c r="I76"/>
  <c r="K76"/>
  <c r="M76"/>
  <c r="O76"/>
  <c r="V76"/>
  <c r="X76"/>
  <c r="Z76"/>
  <c r="AB76"/>
  <c r="AD76"/>
  <c r="AG76"/>
  <c r="AJ76"/>
  <c r="AM76"/>
  <c r="AO76"/>
  <c r="AQ76"/>
  <c r="AS76"/>
  <c r="AU76"/>
  <c r="AW76"/>
  <c r="AY76"/>
  <c r="BA76"/>
  <c r="BC76"/>
  <c r="BE76"/>
  <c r="BO76"/>
  <c r="DH75"/>
  <c r="BQ76"/>
  <c r="BS76"/>
  <c r="BU76"/>
  <c r="BW76"/>
  <c r="BY76"/>
  <c r="CA76"/>
  <c r="CC76"/>
  <c r="CE76"/>
  <c r="CG76"/>
  <c r="CI76"/>
  <c r="CK76"/>
  <c r="CM76"/>
  <c r="CO76"/>
  <c r="CQ76"/>
  <c r="CS76"/>
  <c r="CU76"/>
  <c r="CW76"/>
  <c r="CY76"/>
  <c r="DA76"/>
  <c r="DC76"/>
  <c r="DE76"/>
  <c r="J76"/>
  <c r="L76"/>
  <c r="N76"/>
  <c r="P76"/>
  <c r="S76"/>
  <c r="U76"/>
  <c r="W76"/>
  <c r="Y76"/>
  <c r="AA76"/>
  <c r="AC76"/>
  <c r="AF76"/>
  <c r="AI76"/>
  <c r="AN76"/>
  <c r="AP76"/>
  <c r="AR76"/>
  <c r="AT76"/>
  <c r="AX76"/>
  <c r="AZ76"/>
  <c r="BB76"/>
  <c r="BD76"/>
  <c r="BP76"/>
  <c r="BR76"/>
  <c r="BT76"/>
  <c r="BV76"/>
  <c r="BX76"/>
  <c r="BZ76"/>
  <c r="CB76"/>
  <c r="CD76"/>
  <c r="CF76"/>
  <c r="CH76"/>
  <c r="CJ76"/>
  <c r="CL76"/>
  <c r="CN76"/>
  <c r="CP76"/>
  <c r="CR76"/>
  <c r="CT76"/>
  <c r="CV76"/>
  <c r="CX76"/>
  <c r="CZ76"/>
  <c r="DB76"/>
  <c r="DD76"/>
  <c r="DF76"/>
  <c r="DH76" l="1"/>
  <c r="Q76"/>
  <c r="D72" l="1"/>
  <c r="D71" l="1"/>
  <c r="DH70"/>
  <c r="BJ70"/>
  <c r="DH69"/>
  <c r="BL69"/>
  <c r="DF71"/>
  <c r="BT71"/>
  <c r="CU71"/>
  <c r="CZ71"/>
  <c r="CN71"/>
  <c r="CX71"/>
  <c r="BW71"/>
  <c r="AD71"/>
  <c r="DD71"/>
  <c r="CD71"/>
  <c r="BV71"/>
  <c r="BA71"/>
  <c r="AQ71"/>
  <c r="BP71"/>
  <c r="BI71"/>
  <c r="BZ71"/>
  <c r="I71"/>
  <c r="CC71"/>
  <c r="AJ71"/>
  <c r="AT71"/>
  <c r="CK71"/>
  <c r="BS71"/>
  <c r="M71"/>
  <c r="N71"/>
  <c r="CW71"/>
  <c r="S71"/>
  <c r="G71"/>
  <c r="W71"/>
  <c r="Z71"/>
  <c r="P71"/>
  <c r="AY71"/>
  <c r="AM71"/>
  <c r="AG71"/>
  <c r="CE71"/>
  <c r="CM71"/>
  <c r="CA71"/>
  <c r="AW71"/>
  <c r="CT71"/>
  <c r="CL71"/>
  <c r="Y71"/>
  <c r="AP71"/>
  <c r="CY71"/>
  <c r="AZ71"/>
  <c r="H71"/>
  <c r="CO71"/>
  <c r="BY71"/>
  <c r="CB71"/>
  <c r="BU71"/>
  <c r="CF71"/>
  <c r="DE71"/>
  <c r="BO71"/>
  <c r="CJ71"/>
  <c r="AU71"/>
  <c r="CR71"/>
  <c r="DB71"/>
  <c r="AC71"/>
  <c r="X71"/>
  <c r="U71"/>
  <c r="AI71"/>
  <c r="BQ71"/>
  <c r="AF71"/>
  <c r="BB71"/>
  <c r="AS71"/>
  <c r="AN71"/>
  <c r="DA71"/>
  <c r="CP71"/>
  <c r="O71"/>
  <c r="CQ71"/>
  <c r="CG71"/>
  <c r="V71"/>
  <c r="CV71"/>
  <c r="CI71"/>
  <c r="CH71"/>
  <c r="BC71"/>
  <c r="AR71"/>
  <c r="AA71"/>
  <c r="CS71"/>
  <c r="BX71"/>
  <c r="AV71"/>
  <c r="AO71"/>
  <c r="AX71"/>
  <c r="K71"/>
  <c r="BE71"/>
  <c r="BD71"/>
  <c r="DC71"/>
  <c r="J71"/>
  <c r="BR71"/>
  <c r="L71"/>
  <c r="BL70" l="1"/>
  <c r="G72"/>
  <c r="Q71"/>
  <c r="K72"/>
  <c r="H72"/>
  <c r="J72"/>
  <c r="L72"/>
  <c r="N72"/>
  <c r="P72"/>
  <c r="S72"/>
  <c r="U72"/>
  <c r="W72"/>
  <c r="Y72"/>
  <c r="AA72"/>
  <c r="AC72"/>
  <c r="AF72"/>
  <c r="AI72"/>
  <c r="AN72"/>
  <c r="AP72"/>
  <c r="AR72"/>
  <c r="AT72"/>
  <c r="AV72"/>
  <c r="AX72"/>
  <c r="AZ72"/>
  <c r="BB72"/>
  <c r="BD72"/>
  <c r="BI72"/>
  <c r="BO72"/>
  <c r="DH71"/>
  <c r="BQ72"/>
  <c r="BS72"/>
  <c r="BU72"/>
  <c r="BW72"/>
  <c r="BY72"/>
  <c r="CA72"/>
  <c r="CC72"/>
  <c r="CE72"/>
  <c r="CG72"/>
  <c r="CI72"/>
  <c r="CK72"/>
  <c r="CM72"/>
  <c r="CO72"/>
  <c r="CQ72"/>
  <c r="CS72"/>
  <c r="CU72"/>
  <c r="CW72"/>
  <c r="CY72"/>
  <c r="DA72"/>
  <c r="DC72"/>
  <c r="DE72"/>
  <c r="I72"/>
  <c r="M72"/>
  <c r="O72"/>
  <c r="V72"/>
  <c r="X72"/>
  <c r="Z72"/>
  <c r="AD72"/>
  <c r="AG72"/>
  <c r="AJ72"/>
  <c r="AM72"/>
  <c r="BF71"/>
  <c r="AO72"/>
  <c r="AQ72"/>
  <c r="AS72"/>
  <c r="AU72"/>
  <c r="AW72"/>
  <c r="AY72"/>
  <c r="BA72"/>
  <c r="BC72"/>
  <c r="BE72"/>
  <c r="BP72"/>
  <c r="BR72"/>
  <c r="BT72"/>
  <c r="BV72"/>
  <c r="BX72"/>
  <c r="BZ72"/>
  <c r="CB72"/>
  <c r="CD72"/>
  <c r="CF72"/>
  <c r="CH72"/>
  <c r="CJ72"/>
  <c r="CL72"/>
  <c r="CN72"/>
  <c r="CP72"/>
  <c r="CR72"/>
  <c r="CT72"/>
  <c r="CV72"/>
  <c r="CX72"/>
  <c r="CZ72"/>
  <c r="DB72"/>
  <c r="DD72"/>
  <c r="DF72"/>
  <c r="BF72" l="1"/>
  <c r="DH72"/>
  <c r="Q72"/>
  <c r="D68" l="1"/>
  <c r="DE67"/>
  <c r="BQ67"/>
  <c r="CD67"/>
  <c r="BO67"/>
  <c r="BV67"/>
  <c r="CQ67"/>
  <c r="CA67"/>
  <c r="CB67"/>
  <c r="CX67"/>
  <c r="BU67"/>
  <c r="CR67"/>
  <c r="CC67"/>
  <c r="CZ67"/>
  <c r="CL67"/>
  <c r="CU67"/>
  <c r="DB67"/>
  <c r="DD67"/>
  <c r="CM67"/>
  <c r="BY67"/>
  <c r="BX67"/>
  <c r="BW67"/>
  <c r="BS67"/>
  <c r="CT67"/>
  <c r="CI67"/>
  <c r="DF67"/>
  <c r="CO67"/>
  <c r="BR67"/>
  <c r="CF67"/>
  <c r="CY67"/>
  <c r="CK67"/>
  <c r="DC67"/>
  <c r="CS67"/>
  <c r="BP67"/>
  <c r="CJ67"/>
  <c r="CV67"/>
  <c r="CW67"/>
  <c r="CE67"/>
  <c r="BZ67"/>
  <c r="CN67"/>
  <c r="DA67"/>
  <c r="CH67"/>
  <c r="CG67"/>
  <c r="CP67"/>
  <c r="BT67"/>
  <c r="DH67" l="1"/>
  <c r="AI67"/>
  <c r="BD67"/>
  <c r="BC67"/>
  <c r="AD67"/>
  <c r="AC67"/>
  <c r="AO67"/>
  <c r="AS67"/>
  <c r="BB67"/>
  <c r="BH67"/>
  <c r="AM67"/>
  <c r="AB67"/>
  <c r="AY67"/>
  <c r="AR67"/>
  <c r="AT67"/>
  <c r="V67"/>
  <c r="BI67"/>
  <c r="AW67"/>
  <c r="AQ67"/>
  <c r="BA67"/>
  <c r="Z67"/>
  <c r="AU67"/>
  <c r="U67"/>
  <c r="AJ67"/>
  <c r="AF67"/>
  <c r="AZ67"/>
  <c r="AP67"/>
  <c r="X67"/>
  <c r="BE67"/>
  <c r="AV67"/>
  <c r="Y67"/>
  <c r="S67"/>
  <c r="W67"/>
  <c r="AG67"/>
  <c r="AN67"/>
  <c r="AA67"/>
  <c r="BJ67" l="1"/>
  <c r="D67"/>
  <c r="O67"/>
  <c r="P67"/>
  <c r="L67"/>
  <c r="I67"/>
  <c r="N67"/>
  <c r="G67"/>
  <c r="M67"/>
  <c r="H67"/>
  <c r="K67"/>
  <c r="J67"/>
  <c r="Q67" l="1"/>
  <c r="D66"/>
  <c r="L66"/>
  <c r="AG66"/>
  <c r="CR66"/>
  <c r="CN66"/>
  <c r="BW66"/>
  <c r="CS66"/>
  <c r="V66"/>
  <c r="AN66"/>
  <c r="BO66"/>
  <c r="BU66"/>
  <c r="CG66"/>
  <c r="CZ66"/>
  <c r="J66"/>
  <c r="CQ66"/>
  <c r="BQ66"/>
  <c r="AC66"/>
  <c r="CV66"/>
  <c r="AX66"/>
  <c r="I66"/>
  <c r="BT66"/>
  <c r="AA66"/>
  <c r="BR66"/>
  <c r="CM66"/>
  <c r="CX66"/>
  <c r="DB66"/>
  <c r="AF66"/>
  <c r="P66"/>
  <c r="BY66"/>
  <c r="AJ66"/>
  <c r="CI66"/>
  <c r="BH66"/>
  <c r="DE66"/>
  <c r="BZ66"/>
  <c r="AU66"/>
  <c r="AM66"/>
  <c r="BB66"/>
  <c r="W66"/>
  <c r="DA66"/>
  <c r="CO66"/>
  <c r="BD66"/>
  <c r="CC66"/>
  <c r="O66"/>
  <c r="BP66"/>
  <c r="N66"/>
  <c r="T66"/>
  <c r="CH66"/>
  <c r="CD66"/>
  <c r="G66"/>
  <c r="DD66"/>
  <c r="CB66"/>
  <c r="AZ66"/>
  <c r="CF66"/>
  <c r="BX66"/>
  <c r="BI66"/>
  <c r="AS66"/>
  <c r="BV66"/>
  <c r="CW66"/>
  <c r="Z66"/>
  <c r="X66"/>
  <c r="AR66"/>
  <c r="BE66"/>
  <c r="BA66"/>
  <c r="CY66"/>
  <c r="AD66"/>
  <c r="AP66"/>
  <c r="CT66"/>
  <c r="AV66"/>
  <c r="AB66"/>
  <c r="BS66"/>
  <c r="Y66"/>
  <c r="CK66"/>
  <c r="BC66"/>
  <c r="K66"/>
  <c r="CL66"/>
  <c r="CE66"/>
  <c r="DC66"/>
  <c r="CA66"/>
  <c r="CP66"/>
  <c r="AY66"/>
  <c r="AQ66"/>
  <c r="AT66"/>
  <c r="U66"/>
  <c r="AO66"/>
  <c r="DF66"/>
  <c r="CJ66"/>
  <c r="CU66"/>
  <c r="M66"/>
  <c r="BJ66" l="1"/>
  <c r="DH66"/>
  <c r="DA65"/>
  <c r="CO65"/>
  <c r="CW65"/>
  <c r="CQ65"/>
  <c r="CF65"/>
  <c r="BU65"/>
  <c r="CS65"/>
  <c r="CZ65"/>
  <c r="DF65"/>
  <c r="DB65"/>
  <c r="BR65"/>
  <c r="DD65"/>
  <c r="CI65"/>
  <c r="BY65"/>
  <c r="CH65"/>
  <c r="BT65"/>
  <c r="CK65"/>
  <c r="CM65"/>
  <c r="CP65"/>
  <c r="CC65"/>
  <c r="CR65"/>
  <c r="CY65"/>
  <c r="CT65"/>
  <c r="BZ65"/>
  <c r="CN65"/>
  <c r="CX65"/>
  <c r="CV65"/>
  <c r="CJ65"/>
  <c r="DE65"/>
  <c r="CB65"/>
  <c r="BQ65"/>
  <c r="BO65"/>
  <c r="CA65"/>
  <c r="BX65"/>
  <c r="CE65"/>
  <c r="CL65"/>
  <c r="DC65"/>
  <c r="CG65"/>
  <c r="CD65"/>
  <c r="BP65"/>
  <c r="CU65"/>
  <c r="BV65"/>
  <c r="BW65"/>
  <c r="BS65"/>
  <c r="BO68" l="1"/>
  <c r="DH65"/>
  <c r="BS68"/>
  <c r="BW68"/>
  <c r="CA68"/>
  <c r="CE68"/>
  <c r="CI68"/>
  <c r="CM68"/>
  <c r="CO68"/>
  <c r="CS68"/>
  <c r="CW68"/>
  <c r="BP68"/>
  <c r="BR68"/>
  <c r="BT68"/>
  <c r="BV68"/>
  <c r="BX68"/>
  <c r="BZ68"/>
  <c r="CB68"/>
  <c r="CD68"/>
  <c r="CF68"/>
  <c r="CH68"/>
  <c r="CJ68"/>
  <c r="CL68"/>
  <c r="CN68"/>
  <c r="CP68"/>
  <c r="CR68"/>
  <c r="CT68"/>
  <c r="CV68"/>
  <c r="CX68"/>
  <c r="CZ68"/>
  <c r="DB68"/>
  <c r="DD68"/>
  <c r="DF68"/>
  <c r="BQ68"/>
  <c r="BU68"/>
  <c r="BY68"/>
  <c r="CC68"/>
  <c r="CG68"/>
  <c r="CK68"/>
  <c r="CQ68"/>
  <c r="CU68"/>
  <c r="CY68"/>
  <c r="DA68"/>
  <c r="DC68"/>
  <c r="DE68"/>
  <c r="D65"/>
  <c r="DH64"/>
  <c r="Z65"/>
  <c r="AU65"/>
  <c r="AJ65"/>
  <c r="N65"/>
  <c r="I65"/>
  <c r="AG65"/>
  <c r="W65"/>
  <c r="AB65"/>
  <c r="J65"/>
  <c r="AR65"/>
  <c r="AZ65"/>
  <c r="BE65"/>
  <c r="Y65"/>
  <c r="AS65"/>
  <c r="BH65"/>
  <c r="M65"/>
  <c r="O65"/>
  <c r="AI65"/>
  <c r="K65"/>
  <c r="AO65"/>
  <c r="AC65"/>
  <c r="AY65"/>
  <c r="BB65"/>
  <c r="AV65"/>
  <c r="BA65"/>
  <c r="P65"/>
  <c r="G65"/>
  <c r="L65"/>
  <c r="BI65"/>
  <c r="S65"/>
  <c r="AD65"/>
  <c r="AF65"/>
  <c r="H65"/>
  <c r="BD65"/>
  <c r="V65"/>
  <c r="AP65"/>
  <c r="AT65"/>
  <c r="AA65"/>
  <c r="AX65"/>
  <c r="AQ65"/>
  <c r="BC65"/>
  <c r="X65"/>
  <c r="AM65"/>
  <c r="U65"/>
  <c r="AN65"/>
  <c r="G68" l="1"/>
  <c r="Q65"/>
  <c r="I68"/>
  <c r="K68"/>
  <c r="M68"/>
  <c r="O68"/>
  <c r="V68"/>
  <c r="X68"/>
  <c r="Z68"/>
  <c r="AB68"/>
  <c r="AD68"/>
  <c r="AG68"/>
  <c r="AJ68"/>
  <c r="AM68"/>
  <c r="AO68"/>
  <c r="AQ68"/>
  <c r="AS68"/>
  <c r="AU68"/>
  <c r="AY68"/>
  <c r="BA68"/>
  <c r="BC68"/>
  <c r="BE68"/>
  <c r="BH68"/>
  <c r="BJ65"/>
  <c r="J68"/>
  <c r="L68"/>
  <c r="N68"/>
  <c r="P68"/>
  <c r="U68"/>
  <c r="W68"/>
  <c r="Y68"/>
  <c r="AA68"/>
  <c r="AC68"/>
  <c r="AF68"/>
  <c r="AN68"/>
  <c r="AP68"/>
  <c r="AR68"/>
  <c r="AT68"/>
  <c r="AV68"/>
  <c r="AZ68"/>
  <c r="BB68"/>
  <c r="BD68"/>
  <c r="BI68"/>
  <c r="DH68"/>
  <c r="BJ68" l="1"/>
  <c r="D63" l="1"/>
  <c r="CC62"/>
  <c r="DB62"/>
  <c r="CP62"/>
  <c r="CJ62"/>
  <c r="CI62"/>
  <c r="CB62"/>
  <c r="CL62"/>
  <c r="BV62"/>
  <c r="CO62"/>
  <c r="CA62"/>
  <c r="CH62"/>
  <c r="CX62"/>
  <c r="CD62"/>
  <c r="CF62"/>
  <c r="CV62"/>
  <c r="CR62"/>
  <c r="CQ62"/>
  <c r="CU62"/>
  <c r="CY62"/>
  <c r="CG62"/>
  <c r="BQ62"/>
  <c r="CW62"/>
  <c r="DD62"/>
  <c r="BS62"/>
  <c r="CE62"/>
  <c r="CT62"/>
  <c r="DA62"/>
  <c r="BZ62"/>
  <c r="DE62"/>
  <c r="BT62"/>
  <c r="DC62"/>
  <c r="BX62"/>
  <c r="BR62"/>
  <c r="BU62"/>
  <c r="CN62"/>
  <c r="CK62"/>
  <c r="CM62"/>
  <c r="BY62"/>
  <c r="CZ62"/>
  <c r="DF62"/>
  <c r="CS62"/>
  <c r="BP62"/>
  <c r="BO62"/>
  <c r="BW62"/>
  <c r="DH62" l="1"/>
  <c r="AX62"/>
  <c r="BC62"/>
  <c r="V62"/>
  <c r="AV62"/>
  <c r="BD62"/>
  <c r="AG62"/>
  <c r="AR62"/>
  <c r="AZ62"/>
  <c r="AD62"/>
  <c r="Y62"/>
  <c r="S62"/>
  <c r="BA62"/>
  <c r="AT62"/>
  <c r="AB62"/>
  <c r="BH62"/>
  <c r="X62"/>
  <c r="W62"/>
  <c r="Z62"/>
  <c r="AO62"/>
  <c r="AS62"/>
  <c r="AA62"/>
  <c r="AU62"/>
  <c r="AF62"/>
  <c r="AW62"/>
  <c r="AI62"/>
  <c r="BI62"/>
  <c r="AJ62"/>
  <c r="BE62"/>
  <c r="AN62"/>
  <c r="AP62"/>
  <c r="AQ62"/>
  <c r="BB62"/>
  <c r="AM62"/>
  <c r="AC62"/>
  <c r="U62"/>
  <c r="BJ62" l="1"/>
  <c r="D62"/>
  <c r="I62"/>
  <c r="K62"/>
  <c r="J62"/>
  <c r="G62"/>
  <c r="N62"/>
  <c r="H62"/>
  <c r="M62"/>
  <c r="P62"/>
  <c r="L62"/>
  <c r="O62"/>
  <c r="Q62" l="1"/>
  <c r="DE61"/>
  <c r="CS61"/>
  <c r="BI61"/>
  <c r="CW61"/>
  <c r="CF61"/>
  <c r="CU61"/>
  <c r="CR61"/>
  <c r="CC61"/>
  <c r="CV61"/>
  <c r="DC61"/>
  <c r="BO61"/>
  <c r="CD61"/>
  <c r="CT61"/>
  <c r="DF61"/>
  <c r="BQ61"/>
  <c r="CQ61"/>
  <c r="BX61"/>
  <c r="CO61"/>
  <c r="CM61"/>
  <c r="BV61"/>
  <c r="CE61"/>
  <c r="CX61"/>
  <c r="CG61"/>
  <c r="BT61"/>
  <c r="CL61"/>
  <c r="DD61"/>
  <c r="CB61"/>
  <c r="CN61"/>
  <c r="BY61"/>
  <c r="BS61"/>
  <c r="CP61"/>
  <c r="CH61"/>
  <c r="CZ61"/>
  <c r="CY61"/>
  <c r="BU61"/>
  <c r="BR61"/>
  <c r="BP61"/>
  <c r="BW61"/>
  <c r="BH61"/>
  <c r="BZ61"/>
  <c r="CK61"/>
  <c r="DB61"/>
  <c r="CI61"/>
  <c r="CJ61"/>
  <c r="CA61"/>
  <c r="DA61"/>
  <c r="BJ61" l="1"/>
  <c r="DH61"/>
  <c r="S61"/>
  <c r="X61"/>
  <c r="AR61"/>
  <c r="AN61"/>
  <c r="AQ61"/>
  <c r="BE61"/>
  <c r="BC61"/>
  <c r="BD61"/>
  <c r="AG61"/>
  <c r="U61"/>
  <c r="AI61"/>
  <c r="AD61"/>
  <c r="AS61"/>
  <c r="V61"/>
  <c r="AX61"/>
  <c r="AJ61"/>
  <c r="AT61"/>
  <c r="AP61"/>
  <c r="AO61"/>
  <c r="Z61"/>
  <c r="Y61"/>
  <c r="AF61"/>
  <c r="AW61"/>
  <c r="W61"/>
  <c r="AC61"/>
  <c r="AY61"/>
  <c r="AA61"/>
  <c r="AM61"/>
  <c r="AB61"/>
  <c r="AU61"/>
  <c r="AV61"/>
  <c r="AZ61"/>
  <c r="D61" l="1"/>
  <c r="J61"/>
  <c r="G61"/>
  <c r="M61"/>
  <c r="L61"/>
  <c r="O61"/>
  <c r="I61"/>
  <c r="P61"/>
  <c r="N61"/>
  <c r="H61"/>
  <c r="K61"/>
  <c r="Q61" l="1"/>
  <c r="AF60"/>
  <c r="U60"/>
  <c r="CP60"/>
  <c r="BW60"/>
  <c r="BU60"/>
  <c r="AG60"/>
  <c r="BA60"/>
  <c r="CJ60"/>
  <c r="AP60"/>
  <c r="CE60"/>
  <c r="BZ60"/>
  <c r="DD60"/>
  <c r="BP60"/>
  <c r="CK60"/>
  <c r="CM60"/>
  <c r="CF60"/>
  <c r="BX60"/>
  <c r="CB60"/>
  <c r="S60"/>
  <c r="CR60"/>
  <c r="CG60"/>
  <c r="CD60"/>
  <c r="CV60"/>
  <c r="CQ60"/>
  <c r="AM60"/>
  <c r="V60"/>
  <c r="CW60"/>
  <c r="BQ60"/>
  <c r="CT60"/>
  <c r="AN60"/>
  <c r="AV60"/>
  <c r="CY60"/>
  <c r="AX60"/>
  <c r="CZ60"/>
  <c r="AR60"/>
  <c r="X60"/>
  <c r="AU60"/>
  <c r="AQ60"/>
  <c r="CA60"/>
  <c r="DE60"/>
  <c r="AB60"/>
  <c r="BT60"/>
  <c r="DC60"/>
  <c r="AW60"/>
  <c r="DB60"/>
  <c r="CL60"/>
  <c r="AA60"/>
  <c r="BE60"/>
  <c r="BR60"/>
  <c r="CO60"/>
  <c r="BY60"/>
  <c r="BI60"/>
  <c r="Y60"/>
  <c r="AT60"/>
  <c r="BO60"/>
  <c r="CI60"/>
  <c r="BD60"/>
  <c r="BB60"/>
  <c r="DF60"/>
  <c r="BS60"/>
  <c r="AI60"/>
  <c r="Z60"/>
  <c r="CN60"/>
  <c r="BC60"/>
  <c r="DA60"/>
  <c r="CU60"/>
  <c r="AO60"/>
  <c r="W60"/>
  <c r="BV60"/>
  <c r="AD60"/>
  <c r="CS60"/>
  <c r="CC60"/>
  <c r="CH60"/>
  <c r="AS60"/>
  <c r="AJ60"/>
  <c r="AC60"/>
  <c r="BH60"/>
  <c r="CX60"/>
  <c r="BJ60" l="1"/>
  <c r="DH60"/>
  <c r="D60"/>
  <c r="J60"/>
  <c r="H60"/>
  <c r="M60"/>
  <c r="G60"/>
  <c r="N60"/>
  <c r="P60"/>
  <c r="L60"/>
  <c r="O60"/>
  <c r="I60"/>
  <c r="K60"/>
  <c r="Q60" l="1"/>
  <c r="AN59"/>
  <c r="DF59"/>
  <c r="DD59"/>
  <c r="BA59"/>
  <c r="CG59"/>
  <c r="Z59"/>
  <c r="V59"/>
  <c r="CJ59"/>
  <c r="AA59"/>
  <c r="CL59"/>
  <c r="AF59"/>
  <c r="CA59"/>
  <c r="CP59"/>
  <c r="CK59"/>
  <c r="AT59"/>
  <c r="BX59"/>
  <c r="AG59"/>
  <c r="AD59"/>
  <c r="AC59"/>
  <c r="AM59"/>
  <c r="DB59"/>
  <c r="BZ59"/>
  <c r="W59"/>
  <c r="CY59"/>
  <c r="CW59"/>
  <c r="AS59"/>
  <c r="BW59"/>
  <c r="BQ59"/>
  <c r="X59"/>
  <c r="BU59"/>
  <c r="BT59"/>
  <c r="U59"/>
  <c r="BY59"/>
  <c r="BD59"/>
  <c r="CF59"/>
  <c r="BE59"/>
  <c r="AB59"/>
  <c r="CN59"/>
  <c r="CO59"/>
  <c r="BH59"/>
  <c r="CU59"/>
  <c r="AI59"/>
  <c r="CM59"/>
  <c r="DE59"/>
  <c r="CQ59"/>
  <c r="AO59"/>
  <c r="AJ59"/>
  <c r="AU59"/>
  <c r="BS59"/>
  <c r="CZ59"/>
  <c r="AZ59"/>
  <c r="Y59"/>
  <c r="CV59"/>
  <c r="CX59"/>
  <c r="BO59"/>
  <c r="BP59"/>
  <c r="AX59"/>
  <c r="AY59"/>
  <c r="CD59"/>
  <c r="CB59"/>
  <c r="BR59"/>
  <c r="CE59"/>
  <c r="AV59"/>
  <c r="CI59"/>
  <c r="BV59"/>
  <c r="AQ59"/>
  <c r="CH59"/>
  <c r="BC59"/>
  <c r="AR59"/>
  <c r="S59"/>
  <c r="CR59"/>
  <c r="AW59"/>
  <c r="AP59"/>
  <c r="DC59"/>
  <c r="CT59"/>
  <c r="BI59"/>
  <c r="DA59"/>
  <c r="CS59"/>
  <c r="CC59"/>
  <c r="BJ59" l="1"/>
  <c r="DH59"/>
  <c r="D59"/>
  <c r="P59"/>
  <c r="M59"/>
  <c r="O59"/>
  <c r="I59"/>
  <c r="G59"/>
  <c r="H59"/>
  <c r="L59"/>
  <c r="J59"/>
  <c r="K59"/>
  <c r="N59"/>
  <c r="Q59" l="1"/>
  <c r="CH58"/>
  <c r="BV58"/>
  <c r="CJ58"/>
  <c r="CR58"/>
  <c r="CV58"/>
  <c r="CL58"/>
  <c r="CM58"/>
  <c r="CS58"/>
  <c r="BU58"/>
  <c r="BR58"/>
  <c r="CG58"/>
  <c r="CB58"/>
  <c r="BP58"/>
  <c r="CA58"/>
  <c r="CE58"/>
  <c r="CW58"/>
  <c r="BY58"/>
  <c r="CN58"/>
  <c r="CI58"/>
  <c r="CC58"/>
  <c r="BS58"/>
  <c r="CU58"/>
  <c r="DA58"/>
  <c r="DC58"/>
  <c r="BW58"/>
  <c r="CF58"/>
  <c r="DD58"/>
  <c r="CZ58"/>
  <c r="DE58"/>
  <c r="BQ58"/>
  <c r="BX58"/>
  <c r="BO58"/>
  <c r="CO58"/>
  <c r="DB58"/>
  <c r="CD58"/>
  <c r="CP58"/>
  <c r="BZ58"/>
  <c r="CT58"/>
  <c r="CK58"/>
  <c r="CX58"/>
  <c r="DF58"/>
  <c r="BT58"/>
  <c r="CQ58"/>
  <c r="CY58"/>
  <c r="DH58" l="1"/>
  <c r="AI58"/>
  <c r="AY58"/>
  <c r="AU58"/>
  <c r="AP58"/>
  <c r="X58"/>
  <c r="AB58"/>
  <c r="AQ58"/>
  <c r="BD58"/>
  <c r="AS58"/>
  <c r="AR58"/>
  <c r="S58"/>
  <c r="AF58"/>
  <c r="AN58"/>
  <c r="BE58"/>
  <c r="U58"/>
  <c r="AO58"/>
  <c r="Y58"/>
  <c r="AG58"/>
  <c r="AD58"/>
  <c r="AT58"/>
  <c r="V58"/>
  <c r="AJ58"/>
  <c r="W58"/>
  <c r="AZ58"/>
  <c r="BI58"/>
  <c r="BA58"/>
  <c r="BB58"/>
  <c r="AC58"/>
  <c r="AM58"/>
  <c r="BH58"/>
  <c r="AA58"/>
  <c r="Z58"/>
  <c r="AV58"/>
  <c r="AW58"/>
  <c r="BC58"/>
  <c r="BJ58" l="1"/>
  <c r="D58"/>
  <c r="I58"/>
  <c r="K58"/>
  <c r="N58"/>
  <c r="O58"/>
  <c r="L58"/>
  <c r="M58"/>
  <c r="P58"/>
  <c r="J58"/>
  <c r="G58"/>
  <c r="H58"/>
  <c r="Q58" l="1"/>
  <c r="D57"/>
  <c r="DH56"/>
  <c r="BL56"/>
  <c r="CP57"/>
  <c r="AJ57"/>
  <c r="AD57"/>
  <c r="CC57"/>
  <c r="N57"/>
  <c r="CI57"/>
  <c r="AZ57"/>
  <c r="O57"/>
  <c r="CG57"/>
  <c r="DD57"/>
  <c r="CQ57"/>
  <c r="BQ57"/>
  <c r="BS57"/>
  <c r="CS57"/>
  <c r="BD57"/>
  <c r="AY57"/>
  <c r="BA57"/>
  <c r="CZ57"/>
  <c r="CR57"/>
  <c r="BE57"/>
  <c r="CO57"/>
  <c r="DE57"/>
  <c r="V57"/>
  <c r="S57"/>
  <c r="AS57"/>
  <c r="BI57"/>
  <c r="CB57"/>
  <c r="CE57"/>
  <c r="G57"/>
  <c r="BV57"/>
  <c r="CF57"/>
  <c r="AO57"/>
  <c r="CK57"/>
  <c r="CW57"/>
  <c r="X57"/>
  <c r="AI57"/>
  <c r="BH57"/>
  <c r="CM57"/>
  <c r="CL57"/>
  <c r="I57"/>
  <c r="BO57"/>
  <c r="L57"/>
  <c r="AC57"/>
  <c r="DA57"/>
  <c r="P57"/>
  <c r="AQ57"/>
  <c r="DC57"/>
  <c r="BU57"/>
  <c r="AP57"/>
  <c r="CD57"/>
  <c r="CJ57"/>
  <c r="CV57"/>
  <c r="CT57"/>
  <c r="CX57"/>
  <c r="Z57"/>
  <c r="CU57"/>
  <c r="BZ57"/>
  <c r="BW57"/>
  <c r="DB57"/>
  <c r="H57"/>
  <c r="AG57"/>
  <c r="CN57"/>
  <c r="BX57"/>
  <c r="AA57"/>
  <c r="AN57"/>
  <c r="K57"/>
  <c r="AU57"/>
  <c r="BT57"/>
  <c r="BR57"/>
  <c r="AT57"/>
  <c r="M57"/>
  <c r="CH57"/>
  <c r="BC57"/>
  <c r="AM57"/>
  <c r="BY57"/>
  <c r="AW57"/>
  <c r="BP57"/>
  <c r="CY57"/>
  <c r="AB57"/>
  <c r="AF57"/>
  <c r="Y57"/>
  <c r="J57"/>
  <c r="W57"/>
  <c r="DF57"/>
  <c r="U57"/>
  <c r="AR57"/>
  <c r="BB57"/>
  <c r="CA57"/>
  <c r="AV57"/>
  <c r="H63" l="1"/>
  <c r="J63"/>
  <c r="L63"/>
  <c r="N63"/>
  <c r="P63"/>
  <c r="S63"/>
  <c r="U63"/>
  <c r="W63"/>
  <c r="Y63"/>
  <c r="AA63"/>
  <c r="AC63"/>
  <c r="AF63"/>
  <c r="AI63"/>
  <c r="AN63"/>
  <c r="AP63"/>
  <c r="AR63"/>
  <c r="AT63"/>
  <c r="AV63"/>
  <c r="BD63"/>
  <c r="BI63"/>
  <c r="BP63"/>
  <c r="BR63"/>
  <c r="BT63"/>
  <c r="BV63"/>
  <c r="BX63"/>
  <c r="BZ63"/>
  <c r="CB63"/>
  <c r="CD63"/>
  <c r="CF63"/>
  <c r="CH63"/>
  <c r="CJ63"/>
  <c r="CL63"/>
  <c r="CN63"/>
  <c r="CP63"/>
  <c r="CR63"/>
  <c r="CT63"/>
  <c r="CV63"/>
  <c r="CX63"/>
  <c r="CZ63"/>
  <c r="DB63"/>
  <c r="DD63"/>
  <c r="DF63"/>
  <c r="G63"/>
  <c r="Q57"/>
  <c r="I63"/>
  <c r="K63"/>
  <c r="M63"/>
  <c r="O63"/>
  <c r="V63"/>
  <c r="X63"/>
  <c r="Z63"/>
  <c r="AB63"/>
  <c r="AD63"/>
  <c r="AG63"/>
  <c r="AJ63"/>
  <c r="AM63"/>
  <c r="AO63"/>
  <c r="AQ63"/>
  <c r="AS63"/>
  <c r="AU63"/>
  <c r="AW63"/>
  <c r="BC63"/>
  <c r="BE63"/>
  <c r="BH63"/>
  <c r="BJ57"/>
  <c r="BO63"/>
  <c r="DH57"/>
  <c r="BQ63"/>
  <c r="BS63"/>
  <c r="BU63"/>
  <c r="BW63"/>
  <c r="BY63"/>
  <c r="CA63"/>
  <c r="CC63"/>
  <c r="CE63"/>
  <c r="CG63"/>
  <c r="CI63"/>
  <c r="CK63"/>
  <c r="CM63"/>
  <c r="CO63"/>
  <c r="CQ63"/>
  <c r="CS63"/>
  <c r="CU63"/>
  <c r="CW63"/>
  <c r="CY63"/>
  <c r="DA63"/>
  <c r="DC63"/>
  <c r="DE63"/>
  <c r="BJ63" l="1"/>
  <c r="DH63"/>
  <c r="Q63"/>
  <c r="D55" l="1"/>
  <c r="DF54"/>
  <c r="CA54"/>
  <c r="K54"/>
  <c r="CK54"/>
  <c r="CG54"/>
  <c r="CM54"/>
  <c r="AB54"/>
  <c r="AY54"/>
  <c r="M54"/>
  <c r="BD54"/>
  <c r="T54"/>
  <c r="CT54"/>
  <c r="P54"/>
  <c r="CD54"/>
  <c r="DD54"/>
  <c r="AI54"/>
  <c r="G54"/>
  <c r="AQ54"/>
  <c r="CS54"/>
  <c r="AZ54"/>
  <c r="BR54"/>
  <c r="BE54"/>
  <c r="CY54"/>
  <c r="N54"/>
  <c r="CV54"/>
  <c r="BA54"/>
  <c r="CI54"/>
  <c r="CP54"/>
  <c r="BW54"/>
  <c r="DB54"/>
  <c r="AV54"/>
  <c r="DC54"/>
  <c r="BH54"/>
  <c r="CB54"/>
  <c r="L54"/>
  <c r="CC54"/>
  <c r="CZ54"/>
  <c r="J54"/>
  <c r="BI54"/>
  <c r="AA54"/>
  <c r="AW54"/>
  <c r="AF54"/>
  <c r="CE54"/>
  <c r="AP54"/>
  <c r="CL54"/>
  <c r="BB54"/>
  <c r="AS54"/>
  <c r="AJ54"/>
  <c r="H54"/>
  <c r="BC54"/>
  <c r="CW54"/>
  <c r="V54"/>
  <c r="DA54"/>
  <c r="CO54"/>
  <c r="BY54"/>
  <c r="O54"/>
  <c r="BX54"/>
  <c r="AT54"/>
  <c r="BZ54"/>
  <c r="CJ54"/>
  <c r="DE54"/>
  <c r="CF54"/>
  <c r="CR54"/>
  <c r="BU54"/>
  <c r="AG54"/>
  <c r="CX54"/>
  <c r="CN54"/>
  <c r="AC54"/>
  <c r="AX54"/>
  <c r="AD54"/>
  <c r="CQ54"/>
  <c r="AU54"/>
  <c r="CH54"/>
  <c r="BV54"/>
  <c r="CU54"/>
  <c r="AR54"/>
  <c r="BJ54" l="1"/>
  <c r="D54"/>
  <c r="BX53"/>
  <c r="CS53"/>
  <c r="CJ53"/>
  <c r="CF53"/>
  <c r="CL53"/>
  <c r="CB53"/>
  <c r="BT53"/>
  <c r="CU53"/>
  <c r="BS53"/>
  <c r="BY53"/>
  <c r="CP53"/>
  <c r="CZ53"/>
  <c r="CX53"/>
  <c r="DE53"/>
  <c r="DA53"/>
  <c r="CM53"/>
  <c r="BZ53"/>
  <c r="DB53"/>
  <c r="CC53"/>
  <c r="BU53"/>
  <c r="BV53"/>
  <c r="CK53"/>
  <c r="BW53"/>
  <c r="CQ53"/>
  <c r="BR53"/>
  <c r="CW53"/>
  <c r="CV53"/>
  <c r="CT53"/>
  <c r="CR53"/>
  <c r="CN53"/>
  <c r="DF53"/>
  <c r="CY53"/>
  <c r="CI53"/>
  <c r="CA53"/>
  <c r="CG53"/>
  <c r="DC53"/>
  <c r="CE53"/>
  <c r="CH53"/>
  <c r="DD53"/>
  <c r="CD53"/>
  <c r="CO53"/>
  <c r="BW55" l="1"/>
  <c r="CA55"/>
  <c r="CE55"/>
  <c r="CI55"/>
  <c r="CM55"/>
  <c r="CQ55"/>
  <c r="CU55"/>
  <c r="BR55"/>
  <c r="BV55"/>
  <c r="BX55"/>
  <c r="BZ55"/>
  <c r="CB55"/>
  <c r="CD55"/>
  <c r="CF55"/>
  <c r="CH55"/>
  <c r="CJ55"/>
  <c r="CL55"/>
  <c r="CN55"/>
  <c r="CP55"/>
  <c r="CR55"/>
  <c r="CT55"/>
  <c r="CV55"/>
  <c r="CX55"/>
  <c r="CZ55"/>
  <c r="DB55"/>
  <c r="DD55"/>
  <c r="DF55"/>
  <c r="BU55"/>
  <c r="BY55"/>
  <c r="CC55"/>
  <c r="CG55"/>
  <c r="CK55"/>
  <c r="CO55"/>
  <c r="CS55"/>
  <c r="CW55"/>
  <c r="CY55"/>
  <c r="DA55"/>
  <c r="DC55"/>
  <c r="DE55"/>
  <c r="D53"/>
  <c r="DH52"/>
  <c r="BL52"/>
  <c r="H53"/>
  <c r="L53"/>
  <c r="BE53"/>
  <c r="AO53"/>
  <c r="K53"/>
  <c r="AD53"/>
  <c r="AZ53"/>
  <c r="AJ53"/>
  <c r="AP53"/>
  <c r="N53"/>
  <c r="X53"/>
  <c r="I53"/>
  <c r="AA53"/>
  <c r="AI53"/>
  <c r="P53"/>
  <c r="AM53"/>
  <c r="AF53"/>
  <c r="T53"/>
  <c r="AN53"/>
  <c r="AW53"/>
  <c r="M53"/>
  <c r="AU53"/>
  <c r="U53"/>
  <c r="Z53"/>
  <c r="AS53"/>
  <c r="AR53"/>
  <c r="BB53"/>
  <c r="J53"/>
  <c r="AY53"/>
  <c r="AX53"/>
  <c r="BA53"/>
  <c r="AT53"/>
  <c r="BD53"/>
  <c r="AV53"/>
  <c r="AC53"/>
  <c r="AG53"/>
  <c r="O53"/>
  <c r="AQ53"/>
  <c r="G53"/>
  <c r="BC53"/>
  <c r="J55" l="1"/>
  <c r="N55"/>
  <c r="AA55"/>
  <c r="AF55"/>
  <c r="G55"/>
  <c r="Q53"/>
  <c r="K55"/>
  <c r="M55"/>
  <c r="O55"/>
  <c r="T55"/>
  <c r="AD55"/>
  <c r="AG55"/>
  <c r="AJ55"/>
  <c r="BF53"/>
  <c r="AQ55"/>
  <c r="AS55"/>
  <c r="AU55"/>
  <c r="AW55"/>
  <c r="AY55"/>
  <c r="BA55"/>
  <c r="BC55"/>
  <c r="BE55"/>
  <c r="H55"/>
  <c r="L55"/>
  <c r="P55"/>
  <c r="AC55"/>
  <c r="AI55"/>
  <c r="AP55"/>
  <c r="AR55"/>
  <c r="AT55"/>
  <c r="AV55"/>
  <c r="AX55"/>
  <c r="AZ55"/>
  <c r="BB55"/>
  <c r="BD55"/>
  <c r="D51" l="1"/>
  <c r="DF50"/>
  <c r="AY50"/>
  <c r="CW50"/>
  <c r="BZ50"/>
  <c r="CR50"/>
  <c r="CJ50"/>
  <c r="BC50"/>
  <c r="CV50"/>
  <c r="DA50"/>
  <c r="AB50"/>
  <c r="AC50"/>
  <c r="X50"/>
  <c r="CC50"/>
  <c r="CM50"/>
  <c r="AG50"/>
  <c r="CH50"/>
  <c r="AZ50"/>
  <c r="CA50"/>
  <c r="Y50"/>
  <c r="BB50"/>
  <c r="AO50"/>
  <c r="AT50"/>
  <c r="AI50"/>
  <c r="BE50"/>
  <c r="CO50"/>
  <c r="AU50"/>
  <c r="AF50"/>
  <c r="AR50"/>
  <c r="CE50"/>
  <c r="BT50"/>
  <c r="CU50"/>
  <c r="BY50"/>
  <c r="BW50"/>
  <c r="CB50"/>
  <c r="CL50"/>
  <c r="AD50"/>
  <c r="CG50"/>
  <c r="CF50"/>
  <c r="AQ50"/>
  <c r="CT50"/>
  <c r="BU50"/>
  <c r="CN50"/>
  <c r="BX50"/>
  <c r="CY50"/>
  <c r="AW50"/>
  <c r="BV50"/>
  <c r="BH50"/>
  <c r="BA50"/>
  <c r="AP50"/>
  <c r="DC50"/>
  <c r="BS50"/>
  <c r="BR50"/>
  <c r="CZ50"/>
  <c r="Z50"/>
  <c r="CS50"/>
  <c r="CQ50"/>
  <c r="BI50"/>
  <c r="AJ50"/>
  <c r="CX50"/>
  <c r="DD50"/>
  <c r="AX50"/>
  <c r="T50"/>
  <c r="DB50"/>
  <c r="AM50"/>
  <c r="CD50"/>
  <c r="CK50"/>
  <c r="AA50"/>
  <c r="DE50"/>
  <c r="CI50"/>
  <c r="AV50"/>
  <c r="AN50"/>
  <c r="BD50"/>
  <c r="CP50"/>
  <c r="AS50"/>
  <c r="BF50" l="1"/>
  <c r="BJ50"/>
  <c r="D50"/>
  <c r="D49"/>
  <c r="DH47"/>
  <c r="BL47"/>
  <c r="T49"/>
  <c r="CA49"/>
  <c r="AU49"/>
  <c r="CS49"/>
  <c r="CM49"/>
  <c r="BQ49"/>
  <c r="M50"/>
  <c r="X49"/>
  <c r="CK49"/>
  <c r="DD49"/>
  <c r="L50"/>
  <c r="J50"/>
  <c r="BH49"/>
  <c r="AZ49"/>
  <c r="CP49"/>
  <c r="CR49"/>
  <c r="BT49"/>
  <c r="CU49"/>
  <c r="BC49"/>
  <c r="AX49"/>
  <c r="S49"/>
  <c r="V49"/>
  <c r="BZ49"/>
  <c r="DE49"/>
  <c r="O49"/>
  <c r="Z49"/>
  <c r="BV49"/>
  <c r="AS49"/>
  <c r="AW49"/>
  <c r="I49"/>
  <c r="K50"/>
  <c r="AY49"/>
  <c r="AC49"/>
  <c r="CH49"/>
  <c r="G49"/>
  <c r="U49"/>
  <c r="CV49"/>
  <c r="CZ49"/>
  <c r="CB49"/>
  <c r="CX49"/>
  <c r="H49"/>
  <c r="K49"/>
  <c r="L49"/>
  <c r="BO49"/>
  <c r="BP49"/>
  <c r="CJ49"/>
  <c r="BU49"/>
  <c r="BR49"/>
  <c r="AR49"/>
  <c r="N50"/>
  <c r="BW49"/>
  <c r="CQ49"/>
  <c r="AJ49"/>
  <c r="H50"/>
  <c r="AV49"/>
  <c r="J49"/>
  <c r="CC49"/>
  <c r="BA49"/>
  <c r="CE49"/>
  <c r="AB49"/>
  <c r="P49"/>
  <c r="DB49"/>
  <c r="M49"/>
  <c r="AQ49"/>
  <c r="BX49"/>
  <c r="AP49"/>
  <c r="BB49"/>
  <c r="Y49"/>
  <c r="AD49"/>
  <c r="DF49"/>
  <c r="CG49"/>
  <c r="BY49"/>
  <c r="CL49"/>
  <c r="AT49"/>
  <c r="AI49"/>
  <c r="AN49"/>
  <c r="BI49"/>
  <c r="G50"/>
  <c r="AA49"/>
  <c r="CF49"/>
  <c r="DC49"/>
  <c r="AO49"/>
  <c r="CW49"/>
  <c r="O50"/>
  <c r="AM49"/>
  <c r="CD49"/>
  <c r="CT49"/>
  <c r="BS49"/>
  <c r="CI49"/>
  <c r="DA49"/>
  <c r="BD49"/>
  <c r="P50"/>
  <c r="N49"/>
  <c r="AO51" l="1"/>
  <c r="K51"/>
  <c r="BW51"/>
  <c r="BB51"/>
  <c r="AX51"/>
  <c r="CH51"/>
  <c r="CV51"/>
  <c r="M51"/>
  <c r="CL51"/>
  <c r="DA51"/>
  <c r="DC51"/>
  <c r="CS51"/>
  <c r="CJ51"/>
  <c r="AY51"/>
  <c r="AB51"/>
  <c r="AM51"/>
  <c r="BI51"/>
  <c r="CK51"/>
  <c r="L51"/>
  <c r="O51"/>
  <c r="Z51"/>
  <c r="DE51"/>
  <c r="AA51"/>
  <c r="BX51"/>
  <c r="AV51"/>
  <c r="DF51"/>
  <c r="CI51"/>
  <c r="J51"/>
  <c r="CU51"/>
  <c r="T51"/>
  <c r="BU51"/>
  <c r="BC51"/>
  <c r="CZ51"/>
  <c r="BT51"/>
  <c r="BD51"/>
  <c r="BR51"/>
  <c r="DD51"/>
  <c r="CM51"/>
  <c r="AQ51"/>
  <c r="CQ51"/>
  <c r="AJ51"/>
  <c r="CG51"/>
  <c r="CP51"/>
  <c r="AN51"/>
  <c r="AD51"/>
  <c r="AZ51"/>
  <c r="CR51"/>
  <c r="H51"/>
  <c r="CC51"/>
  <c r="BY51"/>
  <c r="AP51"/>
  <c r="AI51"/>
  <c r="BS51"/>
  <c r="CW51"/>
  <c r="P51"/>
  <c r="CT51"/>
  <c r="CF51"/>
  <c r="Y51"/>
  <c r="AS51"/>
  <c r="X51"/>
  <c r="CA51"/>
  <c r="CX51"/>
  <c r="AR51"/>
  <c r="AW51"/>
  <c r="BA51"/>
  <c r="CE51"/>
  <c r="G51"/>
  <c r="AT51"/>
  <c r="CD51"/>
  <c r="N51"/>
  <c r="AU51"/>
  <c r="AC51"/>
  <c r="DB51"/>
  <c r="BZ51"/>
  <c r="BH51"/>
  <c r="BV51"/>
  <c r="CB51"/>
  <c r="Q49"/>
  <c r="BJ49"/>
  <c r="BJ51" l="1"/>
  <c r="D46" l="1"/>
  <c r="D45"/>
  <c r="BL43"/>
  <c r="BL42"/>
  <c r="BL41"/>
  <c r="BF39"/>
  <c r="AM45"/>
  <c r="CI45"/>
  <c r="CK45"/>
  <c r="AC45"/>
  <c r="AN45"/>
  <c r="CT45"/>
  <c r="BZ45"/>
  <c r="CH45"/>
  <c r="AB45"/>
  <c r="CC45"/>
  <c r="BA45"/>
  <c r="CJ45"/>
  <c r="BD45"/>
  <c r="CO45"/>
  <c r="DF45"/>
  <c r="P45"/>
  <c r="W45"/>
  <c r="I45"/>
  <c r="CD45"/>
  <c r="U45"/>
  <c r="O45"/>
  <c r="DD45"/>
  <c r="BR45"/>
  <c r="AZ45"/>
  <c r="AO45"/>
  <c r="BP45"/>
  <c r="CS45"/>
  <c r="CR45"/>
  <c r="CW45"/>
  <c r="DE45"/>
  <c r="AA45"/>
  <c r="AY45"/>
  <c r="CQ45"/>
  <c r="DB45"/>
  <c r="CU45"/>
  <c r="AX45"/>
  <c r="AD45"/>
  <c r="Y45"/>
  <c r="AG45"/>
  <c r="BX45"/>
  <c r="BS45"/>
  <c r="BC45"/>
  <c r="AT45"/>
  <c r="T45"/>
  <c r="AP45"/>
  <c r="AS45"/>
  <c r="AR45"/>
  <c r="V45"/>
  <c r="L45"/>
  <c r="AF45"/>
  <c r="J45"/>
  <c r="G45"/>
  <c r="CV45"/>
  <c r="BW45"/>
  <c r="CP45"/>
  <c r="CN45"/>
  <c r="BQ45"/>
  <c r="N45"/>
  <c r="Z45"/>
  <c r="CY45"/>
  <c r="M45"/>
  <c r="BU45"/>
  <c r="AU45"/>
  <c r="CZ45"/>
  <c r="CA45"/>
  <c r="AW45"/>
  <c r="CE45"/>
  <c r="BE45"/>
  <c r="AV45"/>
  <c r="AI45"/>
  <c r="AQ45"/>
  <c r="BO45"/>
  <c r="CM45"/>
  <c r="BV45"/>
  <c r="BT45"/>
  <c r="CF45"/>
  <c r="K45"/>
  <c r="CG45"/>
  <c r="DA45"/>
  <c r="CL45"/>
  <c r="CB45"/>
  <c r="CX45"/>
  <c r="BY45"/>
  <c r="DC45"/>
  <c r="H45"/>
  <c r="BI45"/>
  <c r="BB45"/>
  <c r="X45"/>
  <c r="H46" l="1"/>
  <c r="L46"/>
  <c r="N46"/>
  <c r="G46"/>
  <c r="Q45"/>
  <c r="I46"/>
  <c r="K46"/>
  <c r="M46"/>
  <c r="O46"/>
  <c r="T46"/>
  <c r="V46"/>
  <c r="X46"/>
  <c r="Z46"/>
  <c r="AB46"/>
  <c r="AD46"/>
  <c r="AG46"/>
  <c r="AM46"/>
  <c r="BF45"/>
  <c r="AO46"/>
  <c r="AQ46"/>
  <c r="AS46"/>
  <c r="AU46"/>
  <c r="AW46"/>
  <c r="AY46"/>
  <c r="BA46"/>
  <c r="BC46"/>
  <c r="BE46"/>
  <c r="BP46"/>
  <c r="BR46"/>
  <c r="BT46"/>
  <c r="BV46"/>
  <c r="BX46"/>
  <c r="BZ46"/>
  <c r="CB46"/>
  <c r="CD46"/>
  <c r="CF46"/>
  <c r="CF84" s="1"/>
  <c r="CH46"/>
  <c r="CJ46"/>
  <c r="CL46"/>
  <c r="CN46"/>
  <c r="CP46"/>
  <c r="CR46"/>
  <c r="CT46"/>
  <c r="CV46"/>
  <c r="CX46"/>
  <c r="CZ46"/>
  <c r="DB46"/>
  <c r="DD46"/>
  <c r="DF46"/>
  <c r="J46"/>
  <c r="P46"/>
  <c r="U46"/>
  <c r="W46"/>
  <c r="Y46"/>
  <c r="AA46"/>
  <c r="AC46"/>
  <c r="AF46"/>
  <c r="AI46"/>
  <c r="AN46"/>
  <c r="AP46"/>
  <c r="AR46"/>
  <c r="AT46"/>
  <c r="AV46"/>
  <c r="AX46"/>
  <c r="AZ46"/>
  <c r="BB46"/>
  <c r="BD46"/>
  <c r="BD84" s="1"/>
  <c r="BI46"/>
  <c r="BO46"/>
  <c r="BQ46"/>
  <c r="BS46"/>
  <c r="BU46"/>
  <c r="BW46"/>
  <c r="BY46"/>
  <c r="CA46"/>
  <c r="CC46"/>
  <c r="CE46"/>
  <c r="CG46"/>
  <c r="CG84" s="1"/>
  <c r="CI46"/>
  <c r="CK46"/>
  <c r="CM46"/>
  <c r="CO46"/>
  <c r="CQ46"/>
  <c r="CS46"/>
  <c r="CU46"/>
  <c r="CW46"/>
  <c r="CY46"/>
  <c r="DA46"/>
  <c r="DC46"/>
  <c r="DE46"/>
  <c r="BC84" l="1"/>
  <c r="AD84"/>
  <c r="AC84" s="1"/>
  <c r="BF46"/>
  <c r="Q46"/>
  <c r="CE84"/>
  <c r="CD84" s="1"/>
  <c r="CC84" s="1"/>
  <c r="CB84" s="1"/>
  <c r="CA84" s="1"/>
  <c r="BZ84" s="1"/>
  <c r="BY84" s="1"/>
  <c r="BX84" s="1"/>
  <c r="BW84" s="1"/>
  <c r="BV84" s="1"/>
  <c r="BU84" s="1"/>
  <c r="DH46"/>
  <c r="D38" l="1"/>
  <c r="D37" l="1"/>
  <c r="DH36"/>
  <c r="BL36"/>
  <c r="BI37"/>
  <c r="AJ37"/>
  <c r="CB37"/>
  <c r="AD37"/>
  <c r="T37"/>
  <c r="H37"/>
  <c r="BY37"/>
  <c r="CE37"/>
  <c r="AX37"/>
  <c r="AI37"/>
  <c r="BS37"/>
  <c r="AR37"/>
  <c r="BB37"/>
  <c r="CN37"/>
  <c r="AB37"/>
  <c r="BQ37"/>
  <c r="J37"/>
  <c r="AY37"/>
  <c r="CM37"/>
  <c r="DC37"/>
  <c r="CT37"/>
  <c r="CY37"/>
  <c r="AZ37"/>
  <c r="AQ37"/>
  <c r="CF37"/>
  <c r="DA37"/>
  <c r="CS37"/>
  <c r="N37"/>
  <c r="CJ37"/>
  <c r="BC37"/>
  <c r="DB37"/>
  <c r="AP37"/>
  <c r="P37"/>
  <c r="O37"/>
  <c r="AF37"/>
  <c r="L37"/>
  <c r="AO37"/>
  <c r="BE37"/>
  <c r="DE37"/>
  <c r="CH37"/>
  <c r="CD37"/>
  <c r="W37"/>
  <c r="AW37"/>
  <c r="AU37"/>
  <c r="K37"/>
  <c r="CV37"/>
  <c r="AC37"/>
  <c r="AA37"/>
  <c r="M37"/>
  <c r="BW37"/>
  <c r="Z37"/>
  <c r="BO37"/>
  <c r="X37"/>
  <c r="S37"/>
  <c r="BA37"/>
  <c r="BU37"/>
  <c r="CA37"/>
  <c r="BD37"/>
  <c r="CK37"/>
  <c r="BH37"/>
  <c r="CZ37"/>
  <c r="CP37"/>
  <c r="G37"/>
  <c r="Y37"/>
  <c r="CR37"/>
  <c r="CG37"/>
  <c r="CQ37"/>
  <c r="U37"/>
  <c r="V37"/>
  <c r="AT37"/>
  <c r="CU37"/>
  <c r="I37"/>
  <c r="BZ37"/>
  <c r="CI37"/>
  <c r="DD37"/>
  <c r="DF37"/>
  <c r="AN37"/>
  <c r="AM37"/>
  <c r="CO37"/>
  <c r="CC37"/>
  <c r="CL37"/>
  <c r="BP37"/>
  <c r="BX37"/>
  <c r="AV37"/>
  <c r="CX37"/>
  <c r="BR37"/>
  <c r="CW37"/>
  <c r="AS37"/>
  <c r="AG37"/>
  <c r="BT37"/>
  <c r="BV37"/>
  <c r="I38" l="1"/>
  <c r="H38"/>
  <c r="J38"/>
  <c r="L38"/>
  <c r="N38"/>
  <c r="P38"/>
  <c r="S38"/>
  <c r="AK37"/>
  <c r="U38"/>
  <c r="W38"/>
  <c r="Y38"/>
  <c r="AA38"/>
  <c r="AC38"/>
  <c r="AF38"/>
  <c r="AI38"/>
  <c r="AN38"/>
  <c r="AP38"/>
  <c r="AR38"/>
  <c r="AT38"/>
  <c r="AV38"/>
  <c r="AX38"/>
  <c r="AZ38"/>
  <c r="BB38"/>
  <c r="BD38"/>
  <c r="BI38"/>
  <c r="BO38"/>
  <c r="DH37"/>
  <c r="BQ38"/>
  <c r="BS38"/>
  <c r="BU38"/>
  <c r="BW38"/>
  <c r="BY38"/>
  <c r="CA38"/>
  <c r="CC38"/>
  <c r="CE38"/>
  <c r="CG38"/>
  <c r="CI38"/>
  <c r="CK38"/>
  <c r="CM38"/>
  <c r="CO38"/>
  <c r="CQ38"/>
  <c r="CS38"/>
  <c r="CU38"/>
  <c r="CW38"/>
  <c r="CY38"/>
  <c r="DA38"/>
  <c r="DC38"/>
  <c r="DE38"/>
  <c r="G38"/>
  <c r="Q37"/>
  <c r="K38"/>
  <c r="M38"/>
  <c r="O38"/>
  <c r="T38"/>
  <c r="V38"/>
  <c r="X38"/>
  <c r="Z38"/>
  <c r="AB38"/>
  <c r="AD38"/>
  <c r="AG38"/>
  <c r="AJ38"/>
  <c r="AM38"/>
  <c r="BF37"/>
  <c r="AO38"/>
  <c r="AQ38"/>
  <c r="AS38"/>
  <c r="AU38"/>
  <c r="AW38"/>
  <c r="AY38"/>
  <c r="BA38"/>
  <c r="BC38"/>
  <c r="BE38"/>
  <c r="BH38"/>
  <c r="BJ37"/>
  <c r="BP38"/>
  <c r="BR38"/>
  <c r="BT38"/>
  <c r="BV38"/>
  <c r="BX38"/>
  <c r="BZ38"/>
  <c r="CB38"/>
  <c r="CD38"/>
  <c r="CF38"/>
  <c r="CH38"/>
  <c r="CJ38"/>
  <c r="CL38"/>
  <c r="CN38"/>
  <c r="CP38"/>
  <c r="CR38"/>
  <c r="CT38"/>
  <c r="CV38"/>
  <c r="CX38"/>
  <c r="CZ38"/>
  <c r="DB38"/>
  <c r="DD38"/>
  <c r="DF38"/>
  <c r="BL37" l="1"/>
  <c r="AK38"/>
  <c r="BF38"/>
  <c r="DH38"/>
  <c r="Q38"/>
  <c r="D35" l="1"/>
  <c r="D34" l="1"/>
  <c r="DH33"/>
  <c r="BL33"/>
  <c r="V34"/>
  <c r="AO34"/>
  <c r="AB34"/>
  <c r="DE34"/>
  <c r="BC34"/>
  <c r="AW34"/>
  <c r="S34"/>
  <c r="CQ34"/>
  <c r="W34"/>
  <c r="BV34"/>
  <c r="CY34"/>
  <c r="AN34"/>
  <c r="BI34"/>
  <c r="CV34"/>
  <c r="CX34"/>
  <c r="BW34"/>
  <c r="DB34"/>
  <c r="CT34"/>
  <c r="G34"/>
  <c r="J34"/>
  <c r="CR34"/>
  <c r="BX34"/>
  <c r="L34"/>
  <c r="BO34"/>
  <c r="CJ34"/>
  <c r="T34"/>
  <c r="AT34"/>
  <c r="AQ34"/>
  <c r="BQ34"/>
  <c r="CG34"/>
  <c r="CB34"/>
  <c r="M34"/>
  <c r="DF34"/>
  <c r="CD34"/>
  <c r="DC34"/>
  <c r="CU34"/>
  <c r="Z34"/>
  <c r="CP34"/>
  <c r="K34"/>
  <c r="X34"/>
  <c r="BP34"/>
  <c r="AV34"/>
  <c r="CS34"/>
  <c r="BS34"/>
  <c r="AA34"/>
  <c r="O34"/>
  <c r="BA34"/>
  <c r="AX34"/>
  <c r="I34"/>
  <c r="AR34"/>
  <c r="CZ34"/>
  <c r="BB34"/>
  <c r="BZ34"/>
  <c r="CW34"/>
  <c r="AU34"/>
  <c r="N34"/>
  <c r="BD34"/>
  <c r="AG34"/>
  <c r="CO34"/>
  <c r="AF34"/>
  <c r="AJ34"/>
  <c r="CH34"/>
  <c r="AS34"/>
  <c r="Y34"/>
  <c r="BU34"/>
  <c r="CE34"/>
  <c r="U34"/>
  <c r="AY34"/>
  <c r="CA34"/>
  <c r="BT34"/>
  <c r="AP34"/>
  <c r="BY34"/>
  <c r="H34"/>
  <c r="CM34"/>
  <c r="AZ34"/>
  <c r="CC34"/>
  <c r="DA34"/>
  <c r="AM34"/>
  <c r="DD34"/>
  <c r="AI34"/>
  <c r="CK34"/>
  <c r="CN34"/>
  <c r="BR34"/>
  <c r="AD34"/>
  <c r="CI34"/>
  <c r="CF34"/>
  <c r="CL34"/>
  <c r="J35" l="1"/>
  <c r="N35"/>
  <c r="S35"/>
  <c r="G35"/>
  <c r="I35"/>
  <c r="K35"/>
  <c r="M35"/>
  <c r="O35"/>
  <c r="T35"/>
  <c r="V35"/>
  <c r="X35"/>
  <c r="Z35"/>
  <c r="AB35"/>
  <c r="AD35"/>
  <c r="AG35"/>
  <c r="AJ35"/>
  <c r="AM35"/>
  <c r="AO35"/>
  <c r="AQ35"/>
  <c r="AS35"/>
  <c r="AU35"/>
  <c r="AW35"/>
  <c r="AY35"/>
  <c r="BA35"/>
  <c r="BC35"/>
  <c r="BO35"/>
  <c r="DH34"/>
  <c r="BQ35"/>
  <c r="BS35"/>
  <c r="BU35"/>
  <c r="BW35"/>
  <c r="BY35"/>
  <c r="CA35"/>
  <c r="CC35"/>
  <c r="CE35"/>
  <c r="CG35"/>
  <c r="CI35"/>
  <c r="CK35"/>
  <c r="CM35"/>
  <c r="CO35"/>
  <c r="CQ35"/>
  <c r="CS35"/>
  <c r="CU35"/>
  <c r="CW35"/>
  <c r="CY35"/>
  <c r="DA35"/>
  <c r="DC35"/>
  <c r="DE35"/>
  <c r="H35"/>
  <c r="L35"/>
  <c r="U35"/>
  <c r="W35"/>
  <c r="Y35"/>
  <c r="AA35"/>
  <c r="AF35"/>
  <c r="AI35"/>
  <c r="AN35"/>
  <c r="AP35"/>
  <c r="AR35"/>
  <c r="AT35"/>
  <c r="AV35"/>
  <c r="AX35"/>
  <c r="AZ35"/>
  <c r="BB35"/>
  <c r="BD35"/>
  <c r="BI35"/>
  <c r="BP35"/>
  <c r="BR35"/>
  <c r="BT35"/>
  <c r="BV35"/>
  <c r="BX35"/>
  <c r="BZ35"/>
  <c r="CB35"/>
  <c r="CD35"/>
  <c r="CF35"/>
  <c r="CH35"/>
  <c r="CJ35"/>
  <c r="CL35"/>
  <c r="CN35"/>
  <c r="CP35"/>
  <c r="CR35"/>
  <c r="CT35"/>
  <c r="CV35"/>
  <c r="CX35"/>
  <c r="CZ35"/>
  <c r="DB35"/>
  <c r="DD35"/>
  <c r="DF35"/>
  <c r="DH35" l="1"/>
  <c r="D32" l="1"/>
  <c r="D30" l="1"/>
  <c r="D29"/>
  <c r="AO29"/>
  <c r="BP30"/>
  <c r="BT29"/>
  <c r="CL30"/>
  <c r="BR30"/>
  <c r="AM30"/>
  <c r="AG30"/>
  <c r="CT30"/>
  <c r="H30"/>
  <c r="AW30"/>
  <c r="BS29"/>
  <c r="AP30"/>
  <c r="BI30"/>
  <c r="AU30"/>
  <c r="G30"/>
  <c r="CM29"/>
  <c r="AQ30"/>
  <c r="AF30"/>
  <c r="DE30"/>
  <c r="CZ29"/>
  <c r="AU29"/>
  <c r="AR30"/>
  <c r="AP29"/>
  <c r="CR29"/>
  <c r="BA30"/>
  <c r="AT30"/>
  <c r="AA30"/>
  <c r="K29"/>
  <c r="DF30"/>
  <c r="AS30"/>
  <c r="BD30"/>
  <c r="CR30"/>
  <c r="M30"/>
  <c r="CB30"/>
  <c r="DA29"/>
  <c r="CY29"/>
  <c r="BZ29"/>
  <c r="AJ29"/>
  <c r="AQ29"/>
  <c r="BE29"/>
  <c r="DB29"/>
  <c r="M29"/>
  <c r="AF29"/>
  <c r="DC30"/>
  <c r="CU30"/>
  <c r="CS30"/>
  <c r="CD30"/>
  <c r="BI29"/>
  <c r="AR29"/>
  <c r="U30"/>
  <c r="DE29"/>
  <c r="CX29"/>
  <c r="AX29"/>
  <c r="AI29"/>
  <c r="W30"/>
  <c r="AC30"/>
  <c r="CD29"/>
  <c r="CA29"/>
  <c r="T29"/>
  <c r="CA30"/>
  <c r="CE29"/>
  <c r="DB30"/>
  <c r="BT30"/>
  <c r="J29"/>
  <c r="BC30"/>
  <c r="BX30"/>
  <c r="CC30"/>
  <c r="BB30"/>
  <c r="AI30"/>
  <c r="BQ30"/>
  <c r="BU29"/>
  <c r="U29"/>
  <c r="P29"/>
  <c r="CN29"/>
  <c r="BV30"/>
  <c r="H29"/>
  <c r="O30"/>
  <c r="AB30"/>
  <c r="CG29"/>
  <c r="BX29"/>
  <c r="N30"/>
  <c r="AG29"/>
  <c r="AB29"/>
  <c r="BY29"/>
  <c r="CJ30"/>
  <c r="AD29"/>
  <c r="K30"/>
  <c r="L30"/>
  <c r="BO29"/>
  <c r="L29"/>
  <c r="AS29"/>
  <c r="Z30"/>
  <c r="CO30"/>
  <c r="CZ30"/>
  <c r="BZ30"/>
  <c r="AD30"/>
  <c r="CI29"/>
  <c r="Z29"/>
  <c r="X30"/>
  <c r="CN30"/>
  <c r="BA29"/>
  <c r="T30"/>
  <c r="DF29"/>
  <c r="Y30"/>
  <c r="AN30"/>
  <c r="AV29"/>
  <c r="CF30"/>
  <c r="CT29"/>
  <c r="AZ30"/>
  <c r="BP29"/>
  <c r="CP29"/>
  <c r="AJ30"/>
  <c r="CW30"/>
  <c r="AA29"/>
  <c r="BW30"/>
  <c r="CK30"/>
  <c r="DA30"/>
  <c r="CI30"/>
  <c r="BS30"/>
  <c r="BW29"/>
  <c r="CL29"/>
  <c r="BV29"/>
  <c r="S29"/>
  <c r="G29"/>
  <c r="DD30"/>
  <c r="S30"/>
  <c r="BC29"/>
  <c r="X29"/>
  <c r="N29"/>
  <c r="AV30"/>
  <c r="AY29"/>
  <c r="BE30"/>
  <c r="BH30"/>
  <c r="BO30"/>
  <c r="CH29"/>
  <c r="BH29"/>
  <c r="V30"/>
  <c r="CM30"/>
  <c r="CH30"/>
  <c r="AX30"/>
  <c r="CJ29"/>
  <c r="AO30"/>
  <c r="CY30"/>
  <c r="CE30"/>
  <c r="CF29"/>
  <c r="CK29"/>
  <c r="CS29"/>
  <c r="BR29"/>
  <c r="CO29"/>
  <c r="CC29"/>
  <c r="DC29"/>
  <c r="BD29"/>
  <c r="BB29"/>
  <c r="J30"/>
  <c r="AT29"/>
  <c r="P30"/>
  <c r="CP30"/>
  <c r="I29"/>
  <c r="AZ29"/>
  <c r="W29"/>
  <c r="DD29"/>
  <c r="CG30"/>
  <c r="CB29"/>
  <c r="CX30"/>
  <c r="AY30"/>
  <c r="BQ29"/>
  <c r="AW29"/>
  <c r="BU30"/>
  <c r="AM29"/>
  <c r="CQ29"/>
  <c r="AN29"/>
  <c r="AC29"/>
  <c r="I30"/>
  <c r="Y29"/>
  <c r="CQ30"/>
  <c r="CV30"/>
  <c r="BY30"/>
  <c r="H31" l="1"/>
  <c r="J31"/>
  <c r="L31"/>
  <c r="N31"/>
  <c r="P31"/>
  <c r="S31"/>
  <c r="U31"/>
  <c r="W31"/>
  <c r="Y31"/>
  <c r="AA31"/>
  <c r="AC31"/>
  <c r="AF31"/>
  <c r="AI31"/>
  <c r="AN31"/>
  <c r="AP31"/>
  <c r="AR31"/>
  <c r="AT31"/>
  <c r="AV31"/>
  <c r="AX31"/>
  <c r="AZ31"/>
  <c r="BB31"/>
  <c r="BD31"/>
  <c r="BI31"/>
  <c r="BO31"/>
  <c r="BQ31"/>
  <c r="BS31"/>
  <c r="BU31"/>
  <c r="BW31"/>
  <c r="BY31"/>
  <c r="CA31"/>
  <c r="CC31"/>
  <c r="CE31"/>
  <c r="CG31"/>
  <c r="CI31"/>
  <c r="CK31"/>
  <c r="CM31"/>
  <c r="CO31"/>
  <c r="CQ31"/>
  <c r="CS31"/>
  <c r="CY31"/>
  <c r="DA31"/>
  <c r="DC31"/>
  <c r="DE31"/>
  <c r="Q30"/>
  <c r="G31"/>
  <c r="I31"/>
  <c r="K31"/>
  <c r="M31"/>
  <c r="T31"/>
  <c r="X31"/>
  <c r="Z31"/>
  <c r="AB31"/>
  <c r="AD31"/>
  <c r="AG31"/>
  <c r="AJ31"/>
  <c r="AM31"/>
  <c r="BF29"/>
  <c r="AO31"/>
  <c r="AQ31"/>
  <c r="AS31"/>
  <c r="AU31"/>
  <c r="AW31"/>
  <c r="AY31"/>
  <c r="BA31"/>
  <c r="BC31"/>
  <c r="BE31"/>
  <c r="BH31"/>
  <c r="BJ31" s="1"/>
  <c r="BJ29"/>
  <c r="BP31"/>
  <c r="BR31"/>
  <c r="BT31"/>
  <c r="BV31"/>
  <c r="BX31"/>
  <c r="BZ31"/>
  <c r="CB31"/>
  <c r="CD31"/>
  <c r="CF31"/>
  <c r="CH31"/>
  <c r="CJ31"/>
  <c r="CL31"/>
  <c r="CN31"/>
  <c r="CP31"/>
  <c r="CR31"/>
  <c r="CT31"/>
  <c r="CX31"/>
  <c r="CZ31"/>
  <c r="DB31"/>
  <c r="DD31"/>
  <c r="DF31"/>
  <c r="AK30"/>
  <c r="BF30"/>
  <c r="BJ30"/>
  <c r="DH30"/>
  <c r="BL30" l="1"/>
  <c r="BF31"/>
  <c r="D27" l="1"/>
  <c r="D26"/>
  <c r="BI26"/>
  <c r="CP26"/>
  <c r="I27"/>
  <c r="G26"/>
  <c r="CR25"/>
  <c r="AT26"/>
  <c r="CM27"/>
  <c r="BC26"/>
  <c r="AN26"/>
  <c r="CF25"/>
  <c r="CB26"/>
  <c r="DC25"/>
  <c r="CD25"/>
  <c r="AW27"/>
  <c r="CW25"/>
  <c r="BX27"/>
  <c r="AF27"/>
  <c r="BD27"/>
  <c r="H27"/>
  <c r="AO27"/>
  <c r="T27"/>
  <c r="BW27"/>
  <c r="CK26"/>
  <c r="CH26"/>
  <c r="AB26"/>
  <c r="CN27"/>
  <c r="BV26"/>
  <c r="X27"/>
  <c r="CS25"/>
  <c r="CZ27"/>
  <c r="CL26"/>
  <c r="CO26"/>
  <c r="BP26"/>
  <c r="BS25"/>
  <c r="CG25"/>
  <c r="AM27"/>
  <c r="AP26"/>
  <c r="U26"/>
  <c r="CR27"/>
  <c r="AG27"/>
  <c r="CU25"/>
  <c r="BX25"/>
  <c r="CL25"/>
  <c r="K27"/>
  <c r="L26"/>
  <c r="M26"/>
  <c r="DF26"/>
  <c r="DC27"/>
  <c r="AJ27"/>
  <c r="AV27"/>
  <c r="CX27"/>
  <c r="BR26"/>
  <c r="S27"/>
  <c r="CA26"/>
  <c r="O27"/>
  <c r="BE26"/>
  <c r="Z26"/>
  <c r="AV26"/>
  <c r="BS26"/>
  <c r="H26"/>
  <c r="CI27"/>
  <c r="CD27"/>
  <c r="DB26"/>
  <c r="BX26"/>
  <c r="AQ27"/>
  <c r="J27"/>
  <c r="CO27"/>
  <c r="AY27"/>
  <c r="CF27"/>
  <c r="AZ27"/>
  <c r="AN27"/>
  <c r="CX26"/>
  <c r="CF26"/>
  <c r="K26"/>
  <c r="BZ26"/>
  <c r="AR27"/>
  <c r="DD27"/>
  <c r="Z27"/>
  <c r="CV25"/>
  <c r="CB27"/>
  <c r="DA27"/>
  <c r="CI26"/>
  <c r="BC27"/>
  <c r="CU27"/>
  <c r="CG26"/>
  <c r="CP27"/>
  <c r="CI25"/>
  <c r="AT27"/>
  <c r="AD26"/>
  <c r="AA26"/>
  <c r="L27"/>
  <c r="AC27"/>
  <c r="AD27"/>
  <c r="CQ26"/>
  <c r="BV27"/>
  <c r="CT26"/>
  <c r="T26"/>
  <c r="BZ25"/>
  <c r="AB27"/>
  <c r="BS27"/>
  <c r="BO27"/>
  <c r="AQ26"/>
  <c r="BT26"/>
  <c r="O26"/>
  <c r="X26"/>
  <c r="CE25"/>
  <c r="CC25"/>
  <c r="BH26"/>
  <c r="AA27"/>
  <c r="BT25"/>
  <c r="W26"/>
  <c r="CK25"/>
  <c r="AF26"/>
  <c r="CX25"/>
  <c r="BI27"/>
  <c r="BY27"/>
  <c r="AO26"/>
  <c r="CV27"/>
  <c r="CQ25"/>
  <c r="CA25"/>
  <c r="DE27"/>
  <c r="CH27"/>
  <c r="CJ25"/>
  <c r="AW26"/>
  <c r="AC26"/>
  <c r="Y27"/>
  <c r="AU26"/>
  <c r="BE27"/>
  <c r="P27"/>
  <c r="DB27"/>
  <c r="CY25"/>
  <c r="AS27"/>
  <c r="BA27"/>
  <c r="DF25"/>
  <c r="AJ26"/>
  <c r="CE26"/>
  <c r="AX26"/>
  <c r="CB25"/>
  <c r="AI27"/>
  <c r="DA26"/>
  <c r="CY27"/>
  <c r="BU26"/>
  <c r="AG26"/>
  <c r="CA27"/>
  <c r="CQ27"/>
  <c r="I26"/>
  <c r="AU27"/>
  <c r="BO26"/>
  <c r="DB25"/>
  <c r="DC26"/>
  <c r="M27"/>
  <c r="CM25"/>
  <c r="G27"/>
  <c r="CR26"/>
  <c r="CO25"/>
  <c r="CT25"/>
  <c r="CG27"/>
  <c r="BY26"/>
  <c r="BQ27"/>
  <c r="AR26"/>
  <c r="CD26"/>
  <c r="CC27"/>
  <c r="N27"/>
  <c r="BU25"/>
  <c r="DA25"/>
  <c r="CH25"/>
  <c r="BQ26"/>
  <c r="BZ27"/>
  <c r="DD25"/>
  <c r="CL27"/>
  <c r="AS26"/>
  <c r="AM26"/>
  <c r="BT27"/>
  <c r="BU27"/>
  <c r="CN26"/>
  <c r="CY26"/>
  <c r="AI26"/>
  <c r="BW25"/>
  <c r="V27"/>
  <c r="CM26"/>
  <c r="DF27"/>
  <c r="W27"/>
  <c r="CS26"/>
  <c r="DD26"/>
  <c r="CJ27"/>
  <c r="BR25"/>
  <c r="BH27"/>
  <c r="AX27"/>
  <c r="BW26"/>
  <c r="BY25"/>
  <c r="CK27"/>
  <c r="CS27"/>
  <c r="CP25"/>
  <c r="BV25"/>
  <c r="CT27"/>
  <c r="DE25"/>
  <c r="AZ26"/>
  <c r="Y26"/>
  <c r="J26"/>
  <c r="BB27"/>
  <c r="P26"/>
  <c r="BA26"/>
  <c r="AP27"/>
  <c r="CZ25"/>
  <c r="BB26"/>
  <c r="AY26"/>
  <c r="BD26"/>
  <c r="DE26"/>
  <c r="BP27"/>
  <c r="S26"/>
  <c r="CE27"/>
  <c r="CZ26"/>
  <c r="CN25"/>
  <c r="BR27"/>
  <c r="U27"/>
  <c r="CJ26"/>
  <c r="CW27"/>
  <c r="CC26"/>
  <c r="H28" l="1"/>
  <c r="J28"/>
  <c r="L28"/>
  <c r="P28"/>
  <c r="S28"/>
  <c r="U28"/>
  <c r="W28"/>
  <c r="Y28"/>
  <c r="AA28"/>
  <c r="AC28"/>
  <c r="AF28"/>
  <c r="AI28"/>
  <c r="AN28"/>
  <c r="AP28"/>
  <c r="AR28"/>
  <c r="AT28"/>
  <c r="AV28"/>
  <c r="AX28"/>
  <c r="AZ28"/>
  <c r="BB28"/>
  <c r="BD28"/>
  <c r="BI28"/>
  <c r="BO28"/>
  <c r="BQ28"/>
  <c r="BS28"/>
  <c r="BU28"/>
  <c r="BW28"/>
  <c r="BY28"/>
  <c r="CA28"/>
  <c r="CC28"/>
  <c r="CE28"/>
  <c r="CG28"/>
  <c r="CI28"/>
  <c r="CK28"/>
  <c r="CM28"/>
  <c r="CO28"/>
  <c r="CQ28"/>
  <c r="CS28"/>
  <c r="CY28"/>
  <c r="DA28"/>
  <c r="DC28"/>
  <c r="DE28"/>
  <c r="Q27"/>
  <c r="G28"/>
  <c r="I28"/>
  <c r="K28"/>
  <c r="M28"/>
  <c r="O28"/>
  <c r="T28"/>
  <c r="X28"/>
  <c r="Z28"/>
  <c r="AB28"/>
  <c r="AD28"/>
  <c r="AG28"/>
  <c r="AJ28"/>
  <c r="AM28"/>
  <c r="BF26"/>
  <c r="AO28"/>
  <c r="AQ28"/>
  <c r="AS28"/>
  <c r="AU28"/>
  <c r="AW28"/>
  <c r="AY28"/>
  <c r="BA28"/>
  <c r="BC28"/>
  <c r="BE28"/>
  <c r="BH28"/>
  <c r="BJ26"/>
  <c r="BP28"/>
  <c r="BR28"/>
  <c r="BT28"/>
  <c r="BV28"/>
  <c r="BX28"/>
  <c r="BZ28"/>
  <c r="CB28"/>
  <c r="CD28"/>
  <c r="CF28"/>
  <c r="CH28"/>
  <c r="CJ28"/>
  <c r="CL28"/>
  <c r="CN28"/>
  <c r="CP28"/>
  <c r="CR28"/>
  <c r="CT28"/>
  <c r="CX28"/>
  <c r="CZ28"/>
  <c r="DB28"/>
  <c r="DD28"/>
  <c r="DF28"/>
  <c r="AK27"/>
  <c r="BF27"/>
  <c r="DH27"/>
  <c r="BJ27"/>
  <c r="BH25"/>
  <c r="BI25"/>
  <c r="BL27" l="1"/>
  <c r="BJ28"/>
  <c r="BJ25"/>
  <c r="BF28"/>
  <c r="N25"/>
  <c r="AP25"/>
  <c r="AY25"/>
  <c r="AU25"/>
  <c r="X25"/>
  <c r="AS25"/>
  <c r="AR25"/>
  <c r="AD25"/>
  <c r="BC25"/>
  <c r="G25"/>
  <c r="BD25"/>
  <c r="Z25"/>
  <c r="AC25"/>
  <c r="AZ25"/>
  <c r="AO25"/>
  <c r="AB25"/>
  <c r="BA25"/>
  <c r="J25"/>
  <c r="L25"/>
  <c r="K25"/>
  <c r="P25"/>
  <c r="AG25"/>
  <c r="AQ25"/>
  <c r="I25"/>
  <c r="O25"/>
  <c r="W25"/>
  <c r="AN25"/>
  <c r="AA25"/>
  <c r="AX25"/>
  <c r="BB25"/>
  <c r="AF25"/>
  <c r="U25"/>
  <c r="AM25"/>
  <c r="AJ25"/>
  <c r="AI25"/>
  <c r="AT25"/>
  <c r="AW25"/>
  <c r="AV25"/>
  <c r="T25"/>
  <c r="H25"/>
  <c r="S25"/>
  <c r="BE25"/>
  <c r="Y25"/>
  <c r="BF25" l="1"/>
  <c r="D25"/>
  <c r="D24"/>
  <c r="DH23"/>
  <c r="BL23"/>
  <c r="CM24"/>
  <c r="CK24"/>
  <c r="AU24"/>
  <c r="BA24"/>
  <c r="AN24"/>
  <c r="DC24"/>
  <c r="CW24"/>
  <c r="AB24"/>
  <c r="CT24"/>
  <c r="AO24"/>
  <c r="BZ24"/>
  <c r="DD24"/>
  <c r="BX24"/>
  <c r="BR24"/>
  <c r="AD24"/>
  <c r="AT24"/>
  <c r="CG24"/>
  <c r="AZ24"/>
  <c r="CP24"/>
  <c r="AM24"/>
  <c r="DE24"/>
  <c r="DF24"/>
  <c r="BE24"/>
  <c r="CB24"/>
  <c r="AY24"/>
  <c r="CY24"/>
  <c r="DA24"/>
  <c r="W24"/>
  <c r="AP24"/>
  <c r="CE24"/>
  <c r="BC24"/>
  <c r="AR24"/>
  <c r="BT24"/>
  <c r="AX24"/>
  <c r="CU24"/>
  <c r="BW24"/>
  <c r="BU24"/>
  <c r="H24"/>
  <c r="T24"/>
  <c r="AC24"/>
  <c r="AI24"/>
  <c r="AS24"/>
  <c r="AQ24"/>
  <c r="CC24"/>
  <c r="CV24"/>
  <c r="U24"/>
  <c r="CD24"/>
  <c r="N24"/>
  <c r="CQ24"/>
  <c r="CF24"/>
  <c r="CR24"/>
  <c r="CA24"/>
  <c r="CO24"/>
  <c r="BB24"/>
  <c r="AV24"/>
  <c r="G24"/>
  <c r="CI24"/>
  <c r="CZ24"/>
  <c r="DB24"/>
  <c r="CH24"/>
  <c r="BI24"/>
  <c r="CL24"/>
  <c r="BV24"/>
  <c r="M24"/>
  <c r="AW24"/>
  <c r="AA24"/>
  <c r="AJ24"/>
  <c r="AG24"/>
  <c r="P24"/>
  <c r="Y24"/>
  <c r="I24"/>
  <c r="X24"/>
  <c r="CN24"/>
  <c r="BH24"/>
  <c r="CX24"/>
  <c r="AF24"/>
  <c r="BS24"/>
  <c r="O24"/>
  <c r="Z24"/>
  <c r="BY24"/>
  <c r="BD24"/>
  <c r="CJ24"/>
  <c r="CS24"/>
  <c r="G32" l="1"/>
  <c r="I32"/>
  <c r="T32"/>
  <c r="X32"/>
  <c r="AB32"/>
  <c r="AM32"/>
  <c r="BF24"/>
  <c r="AQ32"/>
  <c r="H32"/>
  <c r="P32"/>
  <c r="U32"/>
  <c r="W32"/>
  <c r="Y32"/>
  <c r="AA32"/>
  <c r="AC32"/>
  <c r="AF32"/>
  <c r="AD32" s="1"/>
  <c r="AN32"/>
  <c r="AP32"/>
  <c r="AR32"/>
  <c r="AT32"/>
  <c r="AV32"/>
  <c r="AX32"/>
  <c r="AZ32"/>
  <c r="BB32"/>
  <c r="BD32"/>
  <c r="BI32"/>
  <c r="BS32"/>
  <c r="BU32"/>
  <c r="BW32"/>
  <c r="BY32"/>
  <c r="CA32"/>
  <c r="CC32"/>
  <c r="CE32"/>
  <c r="CG32"/>
  <c r="CI32"/>
  <c r="CK32"/>
  <c r="CM32"/>
  <c r="CO32"/>
  <c r="CQ32"/>
  <c r="CS32"/>
  <c r="CY32"/>
  <c r="DA32"/>
  <c r="DC32"/>
  <c r="DE32"/>
  <c r="Z32"/>
  <c r="AJ32"/>
  <c r="AI32" s="1"/>
  <c r="AG32" s="1"/>
  <c r="AO32"/>
  <c r="AS32"/>
  <c r="AU32"/>
  <c r="AW32"/>
  <c r="AY32"/>
  <c r="BA32"/>
  <c r="BC32"/>
  <c r="BE32"/>
  <c r="BH32"/>
  <c r="BJ24"/>
  <c r="BR32"/>
  <c r="BT32"/>
  <c r="BV32"/>
  <c r="BX32"/>
  <c r="BZ32"/>
  <c r="CB32"/>
  <c r="CD32"/>
  <c r="CF32"/>
  <c r="CH32"/>
  <c r="CJ32"/>
  <c r="CL32"/>
  <c r="CN32"/>
  <c r="CP32"/>
  <c r="CR32"/>
  <c r="CT32"/>
  <c r="CX32"/>
  <c r="CZ32"/>
  <c r="DB32"/>
  <c r="DD32"/>
  <c r="DF32"/>
  <c r="BJ32" l="1"/>
  <c r="BF32"/>
  <c r="D22" l="1"/>
  <c r="D21"/>
  <c r="DH20"/>
  <c r="BL20"/>
  <c r="AS21"/>
  <c r="BV21"/>
  <c r="AC21"/>
  <c r="AZ21"/>
  <c r="AT21"/>
  <c r="BI21"/>
  <c r="CV21"/>
  <c r="BT21"/>
  <c r="CE21"/>
  <c r="AW21"/>
  <c r="CA21"/>
  <c r="DD21"/>
  <c r="AY21"/>
  <c r="P21"/>
  <c r="CK21"/>
  <c r="BB21"/>
  <c r="AA21"/>
  <c r="CB21"/>
  <c r="AJ21"/>
  <c r="J21"/>
  <c r="BC21"/>
  <c r="BH21"/>
  <c r="BW21"/>
  <c r="CZ21"/>
  <c r="CP21"/>
  <c r="N21"/>
  <c r="CN21"/>
  <c r="T21"/>
  <c r="BE21"/>
  <c r="AR21"/>
  <c r="CQ21"/>
  <c r="AP21"/>
  <c r="AG21"/>
  <c r="AU21"/>
  <c r="CC21"/>
  <c r="M21"/>
  <c r="CM21"/>
  <c r="CJ21"/>
  <c r="CR21"/>
  <c r="CH21"/>
  <c r="BX21"/>
  <c r="BZ21"/>
  <c r="CG21"/>
  <c r="CY21"/>
  <c r="AV21"/>
  <c r="Y21"/>
  <c r="AM21"/>
  <c r="BS21"/>
  <c r="K21"/>
  <c r="AD21"/>
  <c r="BA21"/>
  <c r="BY21"/>
  <c r="CX21"/>
  <c r="O21"/>
  <c r="CO21"/>
  <c r="G21"/>
  <c r="BD21"/>
  <c r="CF21"/>
  <c r="AN21"/>
  <c r="H21"/>
  <c r="AX21"/>
  <c r="CL21"/>
  <c r="CT21"/>
  <c r="DB21"/>
  <c r="L21"/>
  <c r="AO21"/>
  <c r="CI21"/>
  <c r="DA21"/>
  <c r="CW21"/>
  <c r="CU21"/>
  <c r="BR21"/>
  <c r="AF21"/>
  <c r="CS21"/>
  <c r="DE21"/>
  <c r="CD21"/>
  <c r="DF21"/>
  <c r="X21"/>
  <c r="Z21"/>
  <c r="AQ21"/>
  <c r="BU21"/>
  <c r="AI21"/>
  <c r="M22" l="1"/>
  <c r="T22"/>
  <c r="X22"/>
  <c r="H22"/>
  <c r="J22"/>
  <c r="L22"/>
  <c r="N22"/>
  <c r="P22"/>
  <c r="Y22"/>
  <c r="AA22"/>
  <c r="AC22"/>
  <c r="AF22"/>
  <c r="AI22"/>
  <c r="AN22"/>
  <c r="AP22"/>
  <c r="AR22"/>
  <c r="AT22"/>
  <c r="AV22"/>
  <c r="AX22"/>
  <c r="AZ22"/>
  <c r="BB22"/>
  <c r="BD22"/>
  <c r="BI22"/>
  <c r="BS22"/>
  <c r="BU22"/>
  <c r="BW22"/>
  <c r="BY22"/>
  <c r="CA22"/>
  <c r="CC22"/>
  <c r="CE22"/>
  <c r="CG22"/>
  <c r="CI22"/>
  <c r="CK22"/>
  <c r="CM22"/>
  <c r="CO22"/>
  <c r="CQ22"/>
  <c r="CS22"/>
  <c r="CU22"/>
  <c r="CW22"/>
  <c r="CY22"/>
  <c r="DA22"/>
  <c r="DE22"/>
  <c r="G22"/>
  <c r="K22"/>
  <c r="O22"/>
  <c r="Z22"/>
  <c r="AD22"/>
  <c r="AG22"/>
  <c r="AJ22"/>
  <c r="AM22"/>
  <c r="BF21"/>
  <c r="AO22"/>
  <c r="AQ22"/>
  <c r="AS22"/>
  <c r="AU22"/>
  <c r="AW22"/>
  <c r="AY22"/>
  <c r="BA22"/>
  <c r="BC22"/>
  <c r="BE22"/>
  <c r="BH22"/>
  <c r="BJ21"/>
  <c r="BR22"/>
  <c r="BT22"/>
  <c r="BV22"/>
  <c r="BX22"/>
  <c r="BZ22"/>
  <c r="CB22"/>
  <c r="CD22"/>
  <c r="CF22"/>
  <c r="CH22"/>
  <c r="CJ22"/>
  <c r="CL22"/>
  <c r="CN22"/>
  <c r="CP22"/>
  <c r="CR22"/>
  <c r="CT22"/>
  <c r="CV22"/>
  <c r="CX22"/>
  <c r="CZ22"/>
  <c r="DB22"/>
  <c r="DD22"/>
  <c r="DF22"/>
  <c r="BJ22" l="1"/>
  <c r="BF22"/>
  <c r="D19" l="1"/>
  <c r="CR18"/>
  <c r="CW18"/>
  <c r="BT18"/>
  <c r="CI18"/>
  <c r="CN18"/>
  <c r="BX18"/>
  <c r="BO18"/>
  <c r="BZ18"/>
  <c r="BR18"/>
  <c r="CZ18"/>
  <c r="CU18"/>
  <c r="CH18"/>
  <c r="CK18"/>
  <c r="CA18"/>
  <c r="CM18"/>
  <c r="CF18"/>
  <c r="CX18"/>
  <c r="CO18"/>
  <c r="BW18"/>
  <c r="CP18"/>
  <c r="DC18"/>
  <c r="CY18"/>
  <c r="DB18"/>
  <c r="BV18"/>
  <c r="DA18"/>
  <c r="CC18"/>
  <c r="DE18"/>
  <c r="CD18"/>
  <c r="BY18"/>
  <c r="CJ18"/>
  <c r="CE18"/>
  <c r="CG18"/>
  <c r="CV18"/>
  <c r="CT18"/>
  <c r="DF18"/>
  <c r="CQ18"/>
  <c r="CL18"/>
  <c r="BS18"/>
  <c r="DD18"/>
  <c r="CB18"/>
  <c r="CS18"/>
  <c r="BU18"/>
  <c r="D18" l="1"/>
  <c r="D17"/>
  <c r="DH16"/>
  <c r="BL16"/>
  <c r="D15"/>
  <c r="BH18"/>
  <c r="AD18"/>
  <c r="CO17"/>
  <c r="U18"/>
  <c r="AA17"/>
  <c r="DA17"/>
  <c r="AO17"/>
  <c r="AM17"/>
  <c r="AD17"/>
  <c r="AV17"/>
  <c r="BC17"/>
  <c r="CX17"/>
  <c r="DC17"/>
  <c r="AQ17"/>
  <c r="AT18"/>
  <c r="BI18"/>
  <c r="CQ17"/>
  <c r="BO17"/>
  <c r="CC17"/>
  <c r="CJ17"/>
  <c r="CW17"/>
  <c r="DD17"/>
  <c r="AJ18"/>
  <c r="AQ18"/>
  <c r="AF17"/>
  <c r="CN17"/>
  <c r="Z17"/>
  <c r="CU17"/>
  <c r="CY17"/>
  <c r="AR18"/>
  <c r="CB17"/>
  <c r="CI17"/>
  <c r="AB18"/>
  <c r="BU17"/>
  <c r="AI17"/>
  <c r="S17"/>
  <c r="AJ17"/>
  <c r="CA17"/>
  <c r="AG17"/>
  <c r="G17"/>
  <c r="AY18"/>
  <c r="V17"/>
  <c r="BA17"/>
  <c r="DB17"/>
  <c r="S18"/>
  <c r="CP17"/>
  <c r="AN17"/>
  <c r="CK17"/>
  <c r="BY17"/>
  <c r="CV17"/>
  <c r="AO18"/>
  <c r="T17"/>
  <c r="L18"/>
  <c r="CL17"/>
  <c r="AC17"/>
  <c r="AC18"/>
  <c r="BE17"/>
  <c r="AZ17"/>
  <c r="BW17"/>
  <c r="BC18"/>
  <c r="K17"/>
  <c r="G18"/>
  <c r="AS17"/>
  <c r="CR17"/>
  <c r="BX17"/>
  <c r="L17"/>
  <c r="AG18"/>
  <c r="J18"/>
  <c r="N18"/>
  <c r="AM18"/>
  <c r="CS17"/>
  <c r="BT17"/>
  <c r="AX17"/>
  <c r="M17"/>
  <c r="AR17"/>
  <c r="AP17"/>
  <c r="CF17"/>
  <c r="Y18"/>
  <c r="X17"/>
  <c r="AF18"/>
  <c r="I17"/>
  <c r="M18"/>
  <c r="H18"/>
  <c r="N17"/>
  <c r="AX18"/>
  <c r="BE18"/>
  <c r="BB17"/>
  <c r="AP18"/>
  <c r="I18"/>
  <c r="BZ17"/>
  <c r="AT17"/>
  <c r="AA18"/>
  <c r="AU17"/>
  <c r="DF17"/>
  <c r="P18"/>
  <c r="P17"/>
  <c r="AB17"/>
  <c r="AS18"/>
  <c r="BA18"/>
  <c r="O18"/>
  <c r="Y17"/>
  <c r="H17"/>
  <c r="AW18"/>
  <c r="BP17"/>
  <c r="BS17"/>
  <c r="V18"/>
  <c r="AV18"/>
  <c r="BH17"/>
  <c r="AI18"/>
  <c r="K18"/>
  <c r="AN18"/>
  <c r="BV17"/>
  <c r="AW17"/>
  <c r="O17"/>
  <c r="AU18"/>
  <c r="BD18"/>
  <c r="Z18"/>
  <c r="AY17"/>
  <c r="T18"/>
  <c r="BB18"/>
  <c r="CG17"/>
  <c r="CH17"/>
  <c r="BR17"/>
  <c r="J17"/>
  <c r="DE17"/>
  <c r="CD17"/>
  <c r="X18"/>
  <c r="CM17"/>
  <c r="BD17"/>
  <c r="U17"/>
  <c r="CZ17"/>
  <c r="BI17"/>
  <c r="CE17"/>
  <c r="CT17"/>
  <c r="AZ18"/>
  <c r="H19" l="1"/>
  <c r="J19"/>
  <c r="L19"/>
  <c r="N19"/>
  <c r="P19"/>
  <c r="S19"/>
  <c r="U19"/>
  <c r="Y19"/>
  <c r="AA19"/>
  <c r="AC19"/>
  <c r="AF19"/>
  <c r="AI19"/>
  <c r="AN19"/>
  <c r="AP19"/>
  <c r="AR19"/>
  <c r="AT19"/>
  <c r="AV19"/>
  <c r="AX19"/>
  <c r="AZ19"/>
  <c r="BB19"/>
  <c r="BD19"/>
  <c r="BI19"/>
  <c r="BR19"/>
  <c r="BT19"/>
  <c r="BV19"/>
  <c r="BX19"/>
  <c r="BZ19"/>
  <c r="CB19"/>
  <c r="CD19"/>
  <c r="CF19"/>
  <c r="CH19"/>
  <c r="CJ19"/>
  <c r="CL19"/>
  <c r="CN19"/>
  <c r="CP19"/>
  <c r="CR19"/>
  <c r="CT19"/>
  <c r="CV19"/>
  <c r="CX19"/>
  <c r="CZ19"/>
  <c r="DB19"/>
  <c r="DD19"/>
  <c r="DF19"/>
  <c r="G19"/>
  <c r="Q17"/>
  <c r="I19"/>
  <c r="K19"/>
  <c r="M19"/>
  <c r="O19"/>
  <c r="T19"/>
  <c r="V19"/>
  <c r="X19"/>
  <c r="Z19"/>
  <c r="AB19"/>
  <c r="AD19"/>
  <c r="AG19"/>
  <c r="AJ19"/>
  <c r="AM19"/>
  <c r="BF17"/>
  <c r="AO19"/>
  <c r="AQ19"/>
  <c r="AS19"/>
  <c r="AU19"/>
  <c r="AW19"/>
  <c r="AY19"/>
  <c r="BA19"/>
  <c r="BC19"/>
  <c r="BE19"/>
  <c r="BH19"/>
  <c r="BJ17"/>
  <c r="BO19"/>
  <c r="BS19"/>
  <c r="BU19"/>
  <c r="BW19"/>
  <c r="BY19"/>
  <c r="CA19"/>
  <c r="CC19"/>
  <c r="CE19"/>
  <c r="CG19"/>
  <c r="CI19"/>
  <c r="CK19"/>
  <c r="CM19"/>
  <c r="CO19"/>
  <c r="CQ19"/>
  <c r="CS19"/>
  <c r="CU19"/>
  <c r="CW19"/>
  <c r="CY19"/>
  <c r="DA19"/>
  <c r="DC19"/>
  <c r="DE19"/>
  <c r="Q18"/>
  <c r="BF18"/>
  <c r="BJ18"/>
  <c r="K31" i="36"/>
  <c r="BJ19" i="74" l="1"/>
  <c r="BF19"/>
  <c r="Q19"/>
  <c r="D13" l="1"/>
  <c r="D12"/>
  <c r="BH13"/>
  <c r="AR13"/>
  <c r="V13"/>
  <c r="AV12"/>
  <c r="AI13"/>
  <c r="DA12"/>
  <c r="AM13"/>
  <c r="CV12"/>
  <c r="AC13"/>
  <c r="S13"/>
  <c r="Y12"/>
  <c r="CD13"/>
  <c r="BV12"/>
  <c r="X12"/>
  <c r="BU13"/>
  <c r="AA13"/>
  <c r="BE13"/>
  <c r="CB12"/>
  <c r="BZ12"/>
  <c r="BT13"/>
  <c r="BI12"/>
  <c r="BR13"/>
  <c r="DC12"/>
  <c r="J12"/>
  <c r="CU13"/>
  <c r="DF12"/>
  <c r="CR12"/>
  <c r="BT12"/>
  <c r="CE12"/>
  <c r="DE12"/>
  <c r="AY13"/>
  <c r="AU13"/>
  <c r="BB13"/>
  <c r="CW13"/>
  <c r="AZ13"/>
  <c r="BB12"/>
  <c r="BP13"/>
  <c r="AS12"/>
  <c r="AP12"/>
  <c r="I12"/>
  <c r="CS13"/>
  <c r="AF12"/>
  <c r="CF12"/>
  <c r="CC13"/>
  <c r="T13"/>
  <c r="BD13"/>
  <c r="AV13"/>
  <c r="AC12"/>
  <c r="CQ13"/>
  <c r="DB12"/>
  <c r="CN12"/>
  <c r="CR13"/>
  <c r="CD12"/>
  <c r="AW13"/>
  <c r="CN13"/>
  <c r="I13"/>
  <c r="BX13"/>
  <c r="BV13"/>
  <c r="AN12"/>
  <c r="AX12"/>
  <c r="CK12"/>
  <c r="DB13"/>
  <c r="AD13"/>
  <c r="CV13"/>
  <c r="CY12"/>
  <c r="K12"/>
  <c r="DD13"/>
  <c r="CX13"/>
  <c r="CT12"/>
  <c r="CA13"/>
  <c r="CY13"/>
  <c r="DD12"/>
  <c r="AX13"/>
  <c r="U13"/>
  <c r="AB13"/>
  <c r="AT12"/>
  <c r="DA13"/>
  <c r="CX12"/>
  <c r="BA13"/>
  <c r="CW12"/>
  <c r="CB13"/>
  <c r="CU12"/>
  <c r="AG13"/>
  <c r="CP12"/>
  <c r="AW12"/>
  <c r="H12"/>
  <c r="CZ12"/>
  <c r="BE12"/>
  <c r="CK13"/>
  <c r="AT13"/>
  <c r="H13"/>
  <c r="CL12"/>
  <c r="CC12"/>
  <c r="AD12"/>
  <c r="O13"/>
  <c r="CJ13"/>
  <c r="L12"/>
  <c r="DE13"/>
  <c r="M13"/>
  <c r="AO13"/>
  <c r="AO12"/>
  <c r="CO13"/>
  <c r="AG12"/>
  <c r="J13"/>
  <c r="N12"/>
  <c r="AU12"/>
  <c r="CM12"/>
  <c r="Z12"/>
  <c r="G13"/>
  <c r="BX12"/>
  <c r="CM13"/>
  <c r="DC13"/>
  <c r="CL13"/>
  <c r="BI13"/>
  <c r="BS13"/>
  <c r="CJ12"/>
  <c r="BY12"/>
  <c r="AP13"/>
  <c r="AY12"/>
  <c r="CQ12"/>
  <c r="AF13"/>
  <c r="K13"/>
  <c r="P12"/>
  <c r="BW12"/>
  <c r="CE13"/>
  <c r="BU12"/>
  <c r="BY13"/>
  <c r="CH12"/>
  <c r="CG13"/>
  <c r="AJ13"/>
  <c r="AQ13"/>
  <c r="CI13"/>
  <c r="CG12"/>
  <c r="BC13"/>
  <c r="AJ12"/>
  <c r="CZ13"/>
  <c r="O12"/>
  <c r="N13"/>
  <c r="CF13"/>
  <c r="AS13"/>
  <c r="BR12"/>
  <c r="BS12"/>
  <c r="Y13"/>
  <c r="BA12"/>
  <c r="BQ13"/>
  <c r="BZ13"/>
  <c r="AI12"/>
  <c r="AA12"/>
  <c r="Z13"/>
  <c r="W13"/>
  <c r="AQ12"/>
  <c r="CA12"/>
  <c r="CH13"/>
  <c r="L13"/>
  <c r="CI12"/>
  <c r="M12"/>
  <c r="AZ12"/>
  <c r="CT13"/>
  <c r="CS12"/>
  <c r="CP13"/>
  <c r="BW13"/>
  <c r="CO12"/>
  <c r="P13"/>
  <c r="AM12"/>
  <c r="BO13"/>
  <c r="AR12"/>
  <c r="DF13"/>
  <c r="BD12"/>
  <c r="AN13"/>
  <c r="X13"/>
  <c r="H14" l="1"/>
  <c r="J14"/>
  <c r="L14"/>
  <c r="N14"/>
  <c r="P14"/>
  <c r="Y14"/>
  <c r="AA14"/>
  <c r="AC14"/>
  <c r="AF14"/>
  <c r="AI14"/>
  <c r="AN14"/>
  <c r="AP14"/>
  <c r="AR14"/>
  <c r="AT14"/>
  <c r="AV14"/>
  <c r="AX14"/>
  <c r="AZ14"/>
  <c r="BB14"/>
  <c r="BD14"/>
  <c r="BI14"/>
  <c r="BR14"/>
  <c r="BT14"/>
  <c r="BV14"/>
  <c r="BX14"/>
  <c r="BZ14"/>
  <c r="CB14"/>
  <c r="CD14"/>
  <c r="CF14"/>
  <c r="CH14"/>
  <c r="CJ14"/>
  <c r="CL14"/>
  <c r="CN14"/>
  <c r="CP14"/>
  <c r="CR14"/>
  <c r="CT14"/>
  <c r="CV14"/>
  <c r="CX14"/>
  <c r="CZ14"/>
  <c r="DB14"/>
  <c r="DD14"/>
  <c r="DF14"/>
  <c r="Q13"/>
  <c r="I14"/>
  <c r="K14"/>
  <c r="M14"/>
  <c r="O14"/>
  <c r="X14"/>
  <c r="Z14"/>
  <c r="AD14"/>
  <c r="AG14"/>
  <c r="AJ14"/>
  <c r="AM14"/>
  <c r="AO14"/>
  <c r="AQ14"/>
  <c r="AS14"/>
  <c r="AU14"/>
  <c r="AW14"/>
  <c r="AY14"/>
  <c r="BA14"/>
  <c r="BE14"/>
  <c r="BS14"/>
  <c r="BU14"/>
  <c r="BW14"/>
  <c r="BY14"/>
  <c r="CA14"/>
  <c r="CC14"/>
  <c r="CE14"/>
  <c r="CG14"/>
  <c r="CI14"/>
  <c r="CK14"/>
  <c r="CM14"/>
  <c r="CO14"/>
  <c r="CQ14"/>
  <c r="CS14"/>
  <c r="CU14"/>
  <c r="CW14"/>
  <c r="CY14"/>
  <c r="DA14"/>
  <c r="DC14"/>
  <c r="DE14"/>
  <c r="AK13"/>
  <c r="BF13"/>
  <c r="BJ13"/>
  <c r="BL13" l="1"/>
  <c r="D10"/>
  <c r="D9"/>
  <c r="DC4"/>
  <c r="CY4"/>
  <c r="CU4"/>
  <c r="CQ4"/>
  <c r="CM4"/>
  <c r="CI4"/>
  <c r="CE4"/>
  <c r="CA4"/>
  <c r="BW4"/>
  <c r="BS4"/>
  <c r="BO4"/>
  <c r="BL4"/>
  <c r="BI4"/>
  <c r="BH4"/>
  <c r="BE4"/>
  <c r="BD4"/>
  <c r="BC4"/>
  <c r="BB4"/>
  <c r="BA4"/>
  <c r="AZ4"/>
  <c r="AY4"/>
  <c r="AX4"/>
  <c r="AW4"/>
  <c r="AV4"/>
  <c r="AU4"/>
  <c r="AT4"/>
  <c r="AS4"/>
  <c r="AR4"/>
  <c r="AQ4"/>
  <c r="AP4"/>
  <c r="AO4"/>
  <c r="AN4"/>
  <c r="AM4"/>
  <c r="AJ4"/>
  <c r="AQ9"/>
  <c r="AP10"/>
  <c r="DC9"/>
  <c r="AV9"/>
  <c r="BB10"/>
  <c r="AW9"/>
  <c r="BA10"/>
  <c r="BT10"/>
  <c r="W10"/>
  <c r="AY10"/>
  <c r="J9"/>
  <c r="CF10"/>
  <c r="BY10"/>
  <c r="AV10"/>
  <c r="AY9"/>
  <c r="AG10"/>
  <c r="AI10"/>
  <c r="AS9"/>
  <c r="L9"/>
  <c r="DE10"/>
  <c r="AN10"/>
  <c r="CC10"/>
  <c r="CP10"/>
  <c r="CJ9"/>
  <c r="CU10"/>
  <c r="AB10"/>
  <c r="CM9"/>
  <c r="BH10"/>
  <c r="BS9"/>
  <c r="Y9"/>
  <c r="CO9"/>
  <c r="CV9"/>
  <c r="AP9"/>
  <c r="DE9"/>
  <c r="AT10"/>
  <c r="BZ9"/>
  <c r="AW10"/>
  <c r="CE9"/>
  <c r="BU9"/>
  <c r="BH9"/>
  <c r="AM10"/>
  <c r="CI10"/>
  <c r="CC9"/>
  <c r="M9"/>
  <c r="AZ9"/>
  <c r="AZ10"/>
  <c r="J10"/>
  <c r="BE9"/>
  <c r="BV9"/>
  <c r="AD9"/>
  <c r="BD9"/>
  <c r="CO10"/>
  <c r="DA9"/>
  <c r="DD10"/>
  <c r="AJ9"/>
  <c r="AC9"/>
  <c r="AJ10"/>
  <c r="DC10"/>
  <c r="CB9"/>
  <c r="BS10"/>
  <c r="CU9"/>
  <c r="G10"/>
  <c r="CQ10"/>
  <c r="AD10"/>
  <c r="BI9"/>
  <c r="X9"/>
  <c r="M10"/>
  <c r="CF9"/>
  <c r="BT9"/>
  <c r="DF10"/>
  <c r="BR9"/>
  <c r="AU9"/>
  <c r="AA10"/>
  <c r="O10"/>
  <c r="AO9"/>
  <c r="K10"/>
  <c r="AU10"/>
  <c r="CN9"/>
  <c r="AX9"/>
  <c r="CJ10"/>
  <c r="DD9"/>
  <c r="DB10"/>
  <c r="CL10"/>
  <c r="CX10"/>
  <c r="BU10"/>
  <c r="CY9"/>
  <c r="CR10"/>
  <c r="CG10"/>
  <c r="BC10"/>
  <c r="CY10"/>
  <c r="AT9"/>
  <c r="DF9"/>
  <c r="CP9"/>
  <c r="U10"/>
  <c r="N10"/>
  <c r="AR10"/>
  <c r="CD9"/>
  <c r="CS10"/>
  <c r="BO10"/>
  <c r="H9"/>
  <c r="AR9"/>
  <c r="BW9"/>
  <c r="CW9"/>
  <c r="CT10"/>
  <c r="CK9"/>
  <c r="CR9"/>
  <c r="CH10"/>
  <c r="AF9"/>
  <c r="CI9"/>
  <c r="CK10"/>
  <c r="BA9"/>
  <c r="BX9"/>
  <c r="AC10"/>
  <c r="H10"/>
  <c r="CQ9"/>
  <c r="BE10"/>
  <c r="CD10"/>
  <c r="CZ9"/>
  <c r="T10"/>
  <c r="Z9"/>
  <c r="AG9"/>
  <c r="P9"/>
  <c r="CB10"/>
  <c r="DB9"/>
  <c r="BP10"/>
  <c r="BD10"/>
  <c r="BI10"/>
  <c r="BZ10"/>
  <c r="CV10"/>
  <c r="AO10"/>
  <c r="BY9"/>
  <c r="CS9"/>
  <c r="CG9"/>
  <c r="L10"/>
  <c r="DA10"/>
  <c r="AX10"/>
  <c r="Y10"/>
  <c r="AQ10"/>
  <c r="CT9"/>
  <c r="I9"/>
  <c r="AM9"/>
  <c r="P10"/>
  <c r="CX9"/>
  <c r="Z10"/>
  <c r="X10"/>
  <c r="BX10"/>
  <c r="BV10"/>
  <c r="AF10"/>
  <c r="K9"/>
  <c r="BQ10"/>
  <c r="I10"/>
  <c r="CM10"/>
  <c r="BW10"/>
  <c r="AS10"/>
  <c r="CE10"/>
  <c r="CN10"/>
  <c r="AA9"/>
  <c r="CH9"/>
  <c r="BR10"/>
  <c r="CA9"/>
  <c r="CZ10"/>
  <c r="N9"/>
  <c r="CA10"/>
  <c r="AN9"/>
  <c r="CW10"/>
  <c r="CL9"/>
  <c r="O9"/>
  <c r="V10"/>
  <c r="S10"/>
  <c r="BB9"/>
  <c r="I11" l="1"/>
  <c r="M11"/>
  <c r="Z11"/>
  <c r="AD11"/>
  <c r="H11"/>
  <c r="J11"/>
  <c r="L11"/>
  <c r="N11"/>
  <c r="P11"/>
  <c r="Y11"/>
  <c r="AA11"/>
  <c r="AC11"/>
  <c r="AF11"/>
  <c r="AN11"/>
  <c r="AP11"/>
  <c r="AR11"/>
  <c r="AT11"/>
  <c r="AV11"/>
  <c r="AX11"/>
  <c r="AZ11"/>
  <c r="BB11"/>
  <c r="BD11"/>
  <c r="BI11"/>
  <c r="BS11"/>
  <c r="BU11"/>
  <c r="BW11"/>
  <c r="BY11"/>
  <c r="CA11"/>
  <c r="CC11"/>
  <c r="CE11"/>
  <c r="CG11"/>
  <c r="CI11"/>
  <c r="CK11"/>
  <c r="CM11"/>
  <c r="CO11"/>
  <c r="CQ11"/>
  <c r="CS11"/>
  <c r="CU11"/>
  <c r="CW11"/>
  <c r="CY11"/>
  <c r="DA11"/>
  <c r="DC11"/>
  <c r="DE11"/>
  <c r="AK10"/>
  <c r="K11"/>
  <c r="O11"/>
  <c r="X11"/>
  <c r="AG11"/>
  <c r="AJ11"/>
  <c r="AM11"/>
  <c r="AO11"/>
  <c r="AQ11"/>
  <c r="AS11"/>
  <c r="AU11"/>
  <c r="AW11"/>
  <c r="AY11"/>
  <c r="BA11"/>
  <c r="BE11"/>
  <c r="BH11"/>
  <c r="BJ11" s="1"/>
  <c r="BJ9"/>
  <c r="BR11"/>
  <c r="BT11"/>
  <c r="BV11"/>
  <c r="BX11"/>
  <c r="BZ11"/>
  <c r="CB11"/>
  <c r="CD11"/>
  <c r="CF11"/>
  <c r="CH11"/>
  <c r="CJ11"/>
  <c r="CL11"/>
  <c r="CN11"/>
  <c r="CP11"/>
  <c r="CR11"/>
  <c r="CT11"/>
  <c r="CV11"/>
  <c r="CX11"/>
  <c r="CZ11"/>
  <c r="DB11"/>
  <c r="DD11"/>
  <c r="DF11"/>
  <c r="Q10"/>
  <c r="BF10"/>
  <c r="BJ10"/>
  <c r="AI4"/>
  <c r="AG4"/>
  <c r="AF4"/>
  <c r="AD4"/>
  <c r="AC4"/>
  <c r="AB4"/>
  <c r="AA4"/>
  <c r="Z4"/>
  <c r="Y4"/>
  <c r="X4"/>
  <c r="W4"/>
  <c r="V4"/>
  <c r="U4"/>
  <c r="T4"/>
  <c r="S4"/>
  <c r="P4"/>
  <c r="O4"/>
  <c r="N4"/>
  <c r="M4"/>
  <c r="L4"/>
  <c r="K4"/>
  <c r="J4"/>
  <c r="I4"/>
  <c r="H4"/>
  <c r="G4"/>
  <c r="E3"/>
  <c r="BL108" i="73"/>
  <c r="BL107"/>
  <c r="BL10" i="74" l="1"/>
  <c r="AM15"/>
  <c r="BL105" i="73"/>
  <c r="AM40" i="74" l="1"/>
  <c r="D104" i="73" l="1"/>
  <c r="BJ103" l="1"/>
  <c r="AR103"/>
  <c r="Q103"/>
  <c r="D103"/>
  <c r="D102"/>
  <c r="DH101"/>
  <c r="DH100"/>
  <c r="BV102"/>
  <c r="DB102"/>
  <c r="AV102"/>
  <c r="AA102"/>
  <c r="CX103"/>
  <c r="BR103"/>
  <c r="CU102"/>
  <c r="BH102"/>
  <c r="DD102"/>
  <c r="CB102"/>
  <c r="BQ102"/>
  <c r="BQ103"/>
  <c r="AB102"/>
  <c r="J102"/>
  <c r="CE103"/>
  <c r="CW102"/>
  <c r="DA103"/>
  <c r="DE102"/>
  <c r="CT103"/>
  <c r="CY102"/>
  <c r="AD102"/>
  <c r="CF103"/>
  <c r="DF103"/>
  <c r="CX102"/>
  <c r="DC103"/>
  <c r="BS102"/>
  <c r="AR102"/>
  <c r="BZ103"/>
  <c r="CV102"/>
  <c r="I102"/>
  <c r="AS102"/>
  <c r="AC102"/>
  <c r="AQ102"/>
  <c r="CO102"/>
  <c r="CL102"/>
  <c r="CS102"/>
  <c r="AM102"/>
  <c r="BW103"/>
  <c r="CG102"/>
  <c r="S102"/>
  <c r="CM103"/>
  <c r="AT102"/>
  <c r="CC102"/>
  <c r="BO102"/>
  <c r="CP103"/>
  <c r="BX103"/>
  <c r="AZ102"/>
  <c r="BU102"/>
  <c r="L102"/>
  <c r="CJ102"/>
  <c r="CL103"/>
  <c r="CI103"/>
  <c r="N102"/>
  <c r="CQ102"/>
  <c r="BY103"/>
  <c r="CE102"/>
  <c r="DD103"/>
  <c r="CZ102"/>
  <c r="CV103"/>
  <c r="AX102"/>
  <c r="CO103"/>
  <c r="DE103"/>
  <c r="G102"/>
  <c r="AY102"/>
  <c r="AU102"/>
  <c r="BP102"/>
  <c r="CW103"/>
  <c r="BA102"/>
  <c r="BC102"/>
  <c r="BD102"/>
  <c r="CU103"/>
  <c r="CC103"/>
  <c r="CT102"/>
  <c r="M102"/>
  <c r="AJ102"/>
  <c r="H102"/>
  <c r="CY103"/>
  <c r="CP102"/>
  <c r="CQ103"/>
  <c r="T102"/>
  <c r="CD102"/>
  <c r="CD103"/>
  <c r="CH102"/>
  <c r="BP103"/>
  <c r="CK103"/>
  <c r="BR102"/>
  <c r="CB103"/>
  <c r="CA102"/>
  <c r="CJ103"/>
  <c r="BU103"/>
  <c r="CI102"/>
  <c r="CA103"/>
  <c r="BO103"/>
  <c r="BE102"/>
  <c r="BX102"/>
  <c r="CR103"/>
  <c r="BS103"/>
  <c r="AW102"/>
  <c r="DA102"/>
  <c r="BZ102"/>
  <c r="CK102"/>
  <c r="BW102"/>
  <c r="O102"/>
  <c r="BV103"/>
  <c r="DC102"/>
  <c r="AP102"/>
  <c r="CG103"/>
  <c r="CR102"/>
  <c r="DF102"/>
  <c r="DB103"/>
  <c r="AF102"/>
  <c r="AN102"/>
  <c r="K102"/>
  <c r="CZ103"/>
  <c r="CM102"/>
  <c r="BT103"/>
  <c r="P102"/>
  <c r="CN103"/>
  <c r="CH103"/>
  <c r="CS103"/>
  <c r="CN102"/>
  <c r="CF102"/>
  <c r="BY102"/>
  <c r="AO102"/>
  <c r="AI102"/>
  <c r="AG102"/>
  <c r="BB102"/>
  <c r="J104" l="1"/>
  <c r="P104"/>
  <c r="G104"/>
  <c r="Q102"/>
  <c r="I104"/>
  <c r="K104"/>
  <c r="M104"/>
  <c r="O104"/>
  <c r="AB104"/>
  <c r="AD104"/>
  <c r="AG104"/>
  <c r="AJ104"/>
  <c r="AM104"/>
  <c r="BF102"/>
  <c r="AO104"/>
  <c r="AW104"/>
  <c r="AY104"/>
  <c r="BA104"/>
  <c r="BC104"/>
  <c r="BE104"/>
  <c r="BH104"/>
  <c r="BP104"/>
  <c r="BR104"/>
  <c r="BV104"/>
  <c r="BX104"/>
  <c r="BZ104"/>
  <c r="CB104"/>
  <c r="CD104"/>
  <c r="CF104"/>
  <c r="CH104"/>
  <c r="CJ104"/>
  <c r="CL104"/>
  <c r="CN104"/>
  <c r="CP104"/>
  <c r="CR104"/>
  <c r="CT104"/>
  <c r="CV104"/>
  <c r="CX104"/>
  <c r="CZ104"/>
  <c r="DB104"/>
  <c r="DD104"/>
  <c r="DF104"/>
  <c r="DH103"/>
  <c r="H104"/>
  <c r="L104"/>
  <c r="N104"/>
  <c r="S104"/>
  <c r="AA104"/>
  <c r="AC104"/>
  <c r="AF104"/>
  <c r="AI104"/>
  <c r="AN104"/>
  <c r="AP104"/>
  <c r="AV104"/>
  <c r="AX104"/>
  <c r="AZ104"/>
  <c r="BB104"/>
  <c r="BD104"/>
  <c r="BO104"/>
  <c r="BQ104"/>
  <c r="BS104"/>
  <c r="BU104"/>
  <c r="BW104"/>
  <c r="BY104"/>
  <c r="CA104"/>
  <c r="CC104"/>
  <c r="CE104"/>
  <c r="CG104"/>
  <c r="CI104"/>
  <c r="CK104"/>
  <c r="CM104"/>
  <c r="CO104"/>
  <c r="CQ104"/>
  <c r="CS104"/>
  <c r="CU104"/>
  <c r="CW104"/>
  <c r="CY104"/>
  <c r="DA104"/>
  <c r="DC104"/>
  <c r="DE104"/>
  <c r="Q104" l="1"/>
  <c r="D99" l="1"/>
  <c r="D98" l="1"/>
  <c r="DH97"/>
  <c r="DF96"/>
  <c r="BI98"/>
  <c r="AZ98"/>
  <c r="AC98"/>
  <c r="AS98"/>
  <c r="BY98"/>
  <c r="CF98"/>
  <c r="DE98"/>
  <c r="CK96"/>
  <c r="CE96"/>
  <c r="AQ98"/>
  <c r="CR96"/>
  <c r="BA98"/>
  <c r="AW98"/>
  <c r="BT96"/>
  <c r="CG98"/>
  <c r="BO96"/>
  <c r="AI98"/>
  <c r="AF98"/>
  <c r="CQ96"/>
  <c r="AX98"/>
  <c r="BP98"/>
  <c r="Y98"/>
  <c r="CA96"/>
  <c r="BX96"/>
  <c r="CV96"/>
  <c r="DD98"/>
  <c r="CB96"/>
  <c r="AM98"/>
  <c r="CS98"/>
  <c r="BQ98"/>
  <c r="BR98"/>
  <c r="BX98"/>
  <c r="T98"/>
  <c r="AR98"/>
  <c r="CB98"/>
  <c r="CI98"/>
  <c r="AO98"/>
  <c r="AY98"/>
  <c r="DB96"/>
  <c r="CU96"/>
  <c r="BZ96"/>
  <c r="CX96"/>
  <c r="BH98"/>
  <c r="CI96"/>
  <c r="BD98"/>
  <c r="CL96"/>
  <c r="CJ96"/>
  <c r="CZ96"/>
  <c r="BR96"/>
  <c r="CH96"/>
  <c r="CC96"/>
  <c r="M98"/>
  <c r="DD96"/>
  <c r="CX98"/>
  <c r="N98"/>
  <c r="BQ96"/>
  <c r="CJ98"/>
  <c r="AA98"/>
  <c r="H98"/>
  <c r="CC98"/>
  <c r="BO98"/>
  <c r="AU98"/>
  <c r="L98"/>
  <c r="CH98"/>
  <c r="K98"/>
  <c r="W98"/>
  <c r="AG98"/>
  <c r="X98"/>
  <c r="O98"/>
  <c r="AN98"/>
  <c r="I98"/>
  <c r="BV98"/>
  <c r="CF96"/>
  <c r="CG96"/>
  <c r="AB98"/>
  <c r="CV98"/>
  <c r="CL98"/>
  <c r="BU96"/>
  <c r="BE98"/>
  <c r="BU98"/>
  <c r="DB98"/>
  <c r="CQ98"/>
  <c r="CW98"/>
  <c r="BC98"/>
  <c r="BS98"/>
  <c r="CM98"/>
  <c r="S98"/>
  <c r="DE96"/>
  <c r="BW96"/>
  <c r="CP98"/>
  <c r="G98"/>
  <c r="CS96"/>
  <c r="P98"/>
  <c r="DC96"/>
  <c r="CR98"/>
  <c r="CT96"/>
  <c r="CU98"/>
  <c r="CZ98"/>
  <c r="CE98"/>
  <c r="DC98"/>
  <c r="CM96"/>
  <c r="DF98"/>
  <c r="AD98"/>
  <c r="AV98"/>
  <c r="AJ98"/>
  <c r="DA98"/>
  <c r="CN96"/>
  <c r="BV96"/>
  <c r="BT98"/>
  <c r="CW96"/>
  <c r="BY96"/>
  <c r="CD96"/>
  <c r="CA98"/>
  <c r="BS96"/>
  <c r="AT98"/>
  <c r="J98"/>
  <c r="CP96"/>
  <c r="BW98"/>
  <c r="CO98"/>
  <c r="CN98"/>
  <c r="BP96"/>
  <c r="BB98"/>
  <c r="CT98"/>
  <c r="Z98"/>
  <c r="CK98"/>
  <c r="DA96"/>
  <c r="CO96"/>
  <c r="BZ98"/>
  <c r="CD98"/>
  <c r="BO99" l="1"/>
  <c r="BQ99"/>
  <c r="BS99"/>
  <c r="BU99"/>
  <c r="BW99"/>
  <c r="BY99"/>
  <c r="CA99"/>
  <c r="CC99"/>
  <c r="CE99"/>
  <c r="CG99"/>
  <c r="CI99"/>
  <c r="CK99"/>
  <c r="CM99"/>
  <c r="CO99"/>
  <c r="CQ99"/>
  <c r="CS99"/>
  <c r="CU99"/>
  <c r="CW99"/>
  <c r="DA99"/>
  <c r="DC99"/>
  <c r="DE99"/>
  <c r="Q98"/>
  <c r="BP99"/>
  <c r="BR99"/>
  <c r="BT99"/>
  <c r="BV99"/>
  <c r="BX99"/>
  <c r="BZ99"/>
  <c r="CB99"/>
  <c r="CD99"/>
  <c r="CF99"/>
  <c r="CH99"/>
  <c r="CJ99"/>
  <c r="CL99"/>
  <c r="CN99"/>
  <c r="CP99"/>
  <c r="CR99"/>
  <c r="CT99"/>
  <c r="CV99"/>
  <c r="CX99"/>
  <c r="CZ99"/>
  <c r="DB99"/>
  <c r="DD99"/>
  <c r="DF99"/>
  <c r="BJ98"/>
  <c r="D96"/>
  <c r="DH95"/>
  <c r="DH94"/>
  <c r="BL94"/>
  <c r="G96"/>
  <c r="S96"/>
  <c r="AT96"/>
  <c r="AS96"/>
  <c r="AA96"/>
  <c r="N96"/>
  <c r="AO96"/>
  <c r="AB96"/>
  <c r="AN96"/>
  <c r="T96"/>
  <c r="AI96"/>
  <c r="J96"/>
  <c r="O96"/>
  <c r="BD96"/>
  <c r="AJ96"/>
  <c r="X96"/>
  <c r="AC96"/>
  <c r="BC96"/>
  <c r="BB96"/>
  <c r="AQ96"/>
  <c r="AP96"/>
  <c r="AR96"/>
  <c r="AM96"/>
  <c r="AW96"/>
  <c r="AY96"/>
  <c r="H96"/>
  <c r="AZ96"/>
  <c r="L96"/>
  <c r="AV96"/>
  <c r="AX96"/>
  <c r="Z96"/>
  <c r="K96"/>
  <c r="Y96"/>
  <c r="M96"/>
  <c r="BE96"/>
  <c r="BA96"/>
  <c r="P96"/>
  <c r="AU96"/>
  <c r="BI96"/>
  <c r="I96"/>
  <c r="H99" l="1"/>
  <c r="J99"/>
  <c r="L99"/>
  <c r="N99"/>
  <c r="P99"/>
  <c r="S99"/>
  <c r="Y99"/>
  <c r="AA99"/>
  <c r="AC99"/>
  <c r="AI99"/>
  <c r="AN99"/>
  <c r="AR99"/>
  <c r="AT99"/>
  <c r="AV99"/>
  <c r="AX99"/>
  <c r="AZ99"/>
  <c r="BB99"/>
  <c r="BD99"/>
  <c r="BI99"/>
  <c r="G99"/>
  <c r="Q96"/>
  <c r="I99"/>
  <c r="K99"/>
  <c r="M99"/>
  <c r="O99"/>
  <c r="T99"/>
  <c r="X99"/>
  <c r="Z99"/>
  <c r="AB99"/>
  <c r="AJ99"/>
  <c r="AM99"/>
  <c r="BF96"/>
  <c r="AO99"/>
  <c r="AQ99"/>
  <c r="AS99"/>
  <c r="AU99"/>
  <c r="AW99"/>
  <c r="AY99"/>
  <c r="BA99"/>
  <c r="BC99"/>
  <c r="BE99"/>
  <c r="Q99" l="1"/>
  <c r="D93" l="1"/>
  <c r="CV92"/>
  <c r="CS92"/>
  <c r="CP92"/>
  <c r="BX92"/>
  <c r="CU92"/>
  <c r="CN92"/>
  <c r="DE92"/>
  <c r="CL92"/>
  <c r="CY92"/>
  <c r="CX92"/>
  <c r="CI92"/>
  <c r="CF92"/>
  <c r="CQ92"/>
  <c r="DA92"/>
  <c r="BO92"/>
  <c r="DB92"/>
  <c r="CT92"/>
  <c r="BT92"/>
  <c r="CH92"/>
  <c r="CR92"/>
  <c r="BU92"/>
  <c r="BV92"/>
  <c r="CD92"/>
  <c r="BP92"/>
  <c r="CZ92"/>
  <c r="CJ92"/>
  <c r="CO92"/>
  <c r="CW92"/>
  <c r="CK92"/>
  <c r="BS92"/>
  <c r="CM92"/>
  <c r="CG92"/>
  <c r="DC92"/>
  <c r="BY92"/>
  <c r="DF92"/>
  <c r="CC92"/>
  <c r="BW92"/>
  <c r="BQ92"/>
  <c r="BR92"/>
  <c r="CB92"/>
  <c r="DD92"/>
  <c r="CA92"/>
  <c r="CE92"/>
  <c r="BZ92"/>
  <c r="D92" l="1"/>
  <c r="BI92"/>
  <c r="CC91"/>
  <c r="CA91"/>
  <c r="BA92"/>
  <c r="CH91"/>
  <c r="BH91"/>
  <c r="AU92"/>
  <c r="CQ91"/>
  <c r="CJ91"/>
  <c r="BR91"/>
  <c r="BB92"/>
  <c r="V92"/>
  <c r="CU91"/>
  <c r="AP92"/>
  <c r="AY92"/>
  <c r="N92"/>
  <c r="CX91"/>
  <c r="AN92"/>
  <c r="AF92"/>
  <c r="CE91"/>
  <c r="BO91"/>
  <c r="BT91"/>
  <c r="L92"/>
  <c r="BV91"/>
  <c r="CO91"/>
  <c r="BD92"/>
  <c r="CL91"/>
  <c r="AV92"/>
  <c r="AC92"/>
  <c r="G92"/>
  <c r="DB91"/>
  <c r="AJ92"/>
  <c r="DA91"/>
  <c r="BY91"/>
  <c r="CN91"/>
  <c r="CS91"/>
  <c r="DD91"/>
  <c r="BU91"/>
  <c r="M92"/>
  <c r="P92"/>
  <c r="CY91"/>
  <c r="DE91"/>
  <c r="CF91"/>
  <c r="CD91"/>
  <c r="S92"/>
  <c r="BZ91"/>
  <c r="AR92"/>
  <c r="CV91"/>
  <c r="AS92"/>
  <c r="CP91"/>
  <c r="CZ91"/>
  <c r="AD92"/>
  <c r="CK91"/>
  <c r="AT92"/>
  <c r="DC91"/>
  <c r="I92"/>
  <c r="DF91"/>
  <c r="AO92"/>
  <c r="BW91"/>
  <c r="AI92"/>
  <c r="U92"/>
  <c r="CR91"/>
  <c r="BC92"/>
  <c r="J92"/>
  <c r="AQ92"/>
  <c r="CM91"/>
  <c r="AG92"/>
  <c r="BS91"/>
  <c r="O92"/>
  <c r="X92"/>
  <c r="AA92"/>
  <c r="BQ91"/>
  <c r="AX92"/>
  <c r="H92"/>
  <c r="CW91"/>
  <c r="CB91"/>
  <c r="CI91"/>
  <c r="BX91"/>
  <c r="CG91"/>
  <c r="W92"/>
  <c r="CT91"/>
  <c r="AW92"/>
  <c r="AB92"/>
  <c r="AZ92"/>
  <c r="K92"/>
  <c r="Y92"/>
  <c r="AM92"/>
  <c r="BP91"/>
  <c r="BE92"/>
  <c r="Z92"/>
  <c r="Q92" l="1"/>
  <c r="BF92"/>
  <c r="AZ91"/>
  <c r="BE91"/>
  <c r="AX91"/>
  <c r="BA91"/>
  <c r="AB91"/>
  <c r="AN91"/>
  <c r="AF91"/>
  <c r="AG91"/>
  <c r="BB91"/>
  <c r="AI91"/>
  <c r="AC91"/>
  <c r="S91"/>
  <c r="W91"/>
  <c r="AA91"/>
  <c r="BC91"/>
  <c r="X91"/>
  <c r="AD91"/>
  <c r="AV91"/>
  <c r="AP91"/>
  <c r="AQ91"/>
  <c r="AT91"/>
  <c r="U91"/>
  <c r="AS91"/>
  <c r="AU91"/>
  <c r="V91"/>
  <c r="AJ91"/>
  <c r="Z91"/>
  <c r="AW91"/>
  <c r="BD91"/>
  <c r="AR91"/>
  <c r="Y91"/>
  <c r="AM91"/>
  <c r="AO91"/>
  <c r="AY91"/>
  <c r="BF91" l="1"/>
  <c r="D91"/>
  <c r="BL90"/>
  <c r="D89"/>
  <c r="BL87"/>
  <c r="BL86"/>
  <c r="BL85"/>
  <c r="CW89"/>
  <c r="BE89"/>
  <c r="DF89"/>
  <c r="AV89"/>
  <c r="H89"/>
  <c r="O89"/>
  <c r="AC89"/>
  <c r="BT89"/>
  <c r="DD89"/>
  <c r="AD89"/>
  <c r="BS89"/>
  <c r="M91"/>
  <c r="AP89"/>
  <c r="AA89"/>
  <c r="BD89"/>
  <c r="G91"/>
  <c r="BI89"/>
  <c r="AX89"/>
  <c r="BQ89"/>
  <c r="BW89"/>
  <c r="DC89"/>
  <c r="CS89"/>
  <c r="L89"/>
  <c r="AM89"/>
  <c r="BC89"/>
  <c r="N91"/>
  <c r="BR89"/>
  <c r="CP89"/>
  <c r="BP89"/>
  <c r="CQ89"/>
  <c r="AN89"/>
  <c r="L91"/>
  <c r="U89"/>
  <c r="AO89"/>
  <c r="BV89"/>
  <c r="AW89"/>
  <c r="DB89"/>
  <c r="H91"/>
  <c r="AZ89"/>
  <c r="CM89"/>
  <c r="CA89"/>
  <c r="CJ89"/>
  <c r="AQ89"/>
  <c r="AU89"/>
  <c r="BY89"/>
  <c r="BZ89"/>
  <c r="CH89"/>
  <c r="CZ89"/>
  <c r="W89"/>
  <c r="P91"/>
  <c r="CY89"/>
  <c r="AT89"/>
  <c r="CX89"/>
  <c r="O91"/>
  <c r="AG89"/>
  <c r="CR89"/>
  <c r="AI89"/>
  <c r="DA89"/>
  <c r="BX89"/>
  <c r="P89"/>
  <c r="BH89"/>
  <c r="CT89"/>
  <c r="M89"/>
  <c r="CN89"/>
  <c r="BU89"/>
  <c r="AS89"/>
  <c r="CG89"/>
  <c r="K89"/>
  <c r="K91"/>
  <c r="BA89"/>
  <c r="Z89"/>
  <c r="CB89"/>
  <c r="CI89"/>
  <c r="CF89"/>
  <c r="AF89"/>
  <c r="CC89"/>
  <c r="CE89"/>
  <c r="J91"/>
  <c r="AR89"/>
  <c r="DE89"/>
  <c r="CO89"/>
  <c r="AY89"/>
  <c r="I89"/>
  <c r="N89"/>
  <c r="X89"/>
  <c r="J89"/>
  <c r="CK89"/>
  <c r="T89"/>
  <c r="I91"/>
  <c r="BO89"/>
  <c r="BB89"/>
  <c r="G89"/>
  <c r="CL89"/>
  <c r="CV89"/>
  <c r="V89"/>
  <c r="CD89"/>
  <c r="AB89"/>
  <c r="Y89"/>
  <c r="CU89"/>
  <c r="S89"/>
  <c r="AJ89"/>
  <c r="G93" l="1"/>
  <c r="Q89"/>
  <c r="I93"/>
  <c r="K93"/>
  <c r="M93"/>
  <c r="M106" s="1"/>
  <c r="O93"/>
  <c r="V93"/>
  <c r="X93"/>
  <c r="Z93"/>
  <c r="AB93"/>
  <c r="AB106" s="1"/>
  <c r="AD93"/>
  <c r="AG93"/>
  <c r="AJ93"/>
  <c r="AM93"/>
  <c r="BF89"/>
  <c r="AO93"/>
  <c r="AQ93"/>
  <c r="AS93"/>
  <c r="AU93"/>
  <c r="AW93"/>
  <c r="AY93"/>
  <c r="BA93"/>
  <c r="BC93"/>
  <c r="BE93"/>
  <c r="BJ89"/>
  <c r="BP93"/>
  <c r="BR93"/>
  <c r="BT93"/>
  <c r="BV93"/>
  <c r="BX93"/>
  <c r="BZ93"/>
  <c r="CB93"/>
  <c r="CD93"/>
  <c r="CF93"/>
  <c r="CH93"/>
  <c r="CJ93"/>
  <c r="CL93"/>
  <c r="CN93"/>
  <c r="CP93"/>
  <c r="CP106" s="1"/>
  <c r="CR93"/>
  <c r="CT93"/>
  <c r="CV93"/>
  <c r="CX93"/>
  <c r="CZ93"/>
  <c r="DB93"/>
  <c r="DD93"/>
  <c r="DF93"/>
  <c r="H93"/>
  <c r="J93"/>
  <c r="L93"/>
  <c r="N93"/>
  <c r="P93"/>
  <c r="S93"/>
  <c r="AK89"/>
  <c r="U93"/>
  <c r="W93"/>
  <c r="Y93"/>
  <c r="AA93"/>
  <c r="AA106" s="1"/>
  <c r="AC93"/>
  <c r="AF93"/>
  <c r="AI93"/>
  <c r="AN93"/>
  <c r="AP93"/>
  <c r="AR93"/>
  <c r="AT93"/>
  <c r="AV93"/>
  <c r="AX93"/>
  <c r="AZ93"/>
  <c r="BB93"/>
  <c r="BB106" s="1"/>
  <c r="BD93"/>
  <c r="BO93"/>
  <c r="BQ93"/>
  <c r="BS93"/>
  <c r="BU93"/>
  <c r="BW93"/>
  <c r="BY93"/>
  <c r="CA93"/>
  <c r="CC93"/>
  <c r="CE93"/>
  <c r="CG93"/>
  <c r="CI93"/>
  <c r="CK93"/>
  <c r="CM93"/>
  <c r="CO93"/>
  <c r="CQ93"/>
  <c r="CS93"/>
  <c r="CU93"/>
  <c r="CU106" s="1"/>
  <c r="CW93"/>
  <c r="CY93"/>
  <c r="DA93"/>
  <c r="DC93"/>
  <c r="DE93"/>
  <c r="Q91"/>
  <c r="BF83"/>
  <c r="L110" i="59"/>
  <c r="BA106" i="73" l="1"/>
  <c r="BL89"/>
  <c r="CT106"/>
  <c r="BO106"/>
  <c r="DH93"/>
  <c r="AM106"/>
  <c r="BF93"/>
  <c r="CS106"/>
  <c r="CR106" s="1"/>
  <c r="CQ106" s="1"/>
  <c r="AZ106"/>
  <c r="AY106" s="1"/>
  <c r="AX106" s="1"/>
  <c r="AW106" s="1"/>
  <c r="AV106" s="1"/>
  <c r="CO106"/>
  <c r="CN106" s="1"/>
  <c r="CM106" s="1"/>
  <c r="CL106" s="1"/>
  <c r="CK106" s="1"/>
  <c r="CJ106" s="1"/>
  <c r="CI106" s="1"/>
  <c r="CH106" s="1"/>
  <c r="CG106" s="1"/>
  <c r="CF106" s="1"/>
  <c r="CE106" s="1"/>
  <c r="CD106" s="1"/>
  <c r="CC106" s="1"/>
  <c r="CB106" s="1"/>
  <c r="CA106" s="1"/>
  <c r="BZ106" s="1"/>
  <c r="BY106" s="1"/>
  <c r="BX106" s="1"/>
  <c r="BW106" s="1"/>
  <c r="BV106" s="1"/>
  <c r="BU106" s="1"/>
  <c r="L106"/>
  <c r="K106" s="1"/>
  <c r="J106" s="1"/>
  <c r="I106" s="1"/>
  <c r="H106" s="1"/>
  <c r="G106" s="1"/>
  <c r="Q93"/>
  <c r="D82" l="1"/>
  <c r="BR81"/>
  <c r="DE81"/>
  <c r="CG81"/>
  <c r="CF81"/>
  <c r="CL81"/>
  <c r="CX81"/>
  <c r="BY81"/>
  <c r="BS81"/>
  <c r="CI81"/>
  <c r="CS81"/>
  <c r="CH81"/>
  <c r="CP81"/>
  <c r="BX81"/>
  <c r="CR81"/>
  <c r="CD81"/>
  <c r="DF81"/>
  <c r="CT81"/>
  <c r="BV81"/>
  <c r="DD81"/>
  <c r="DA81"/>
  <c r="CZ81"/>
  <c r="BU81"/>
  <c r="CQ81"/>
  <c r="CO81"/>
  <c r="CK81"/>
  <c r="DC81"/>
  <c r="CW81"/>
  <c r="DB81"/>
  <c r="CU81"/>
  <c r="CY81"/>
  <c r="CB81"/>
  <c r="CC81"/>
  <c r="CM81"/>
  <c r="CV81"/>
  <c r="CE81"/>
  <c r="BW81"/>
  <c r="BT81"/>
  <c r="CA81"/>
  <c r="BZ81"/>
  <c r="CJ81"/>
  <c r="CN81"/>
  <c r="D81" l="1"/>
  <c r="DH80"/>
  <c r="BL80"/>
  <c r="D79"/>
  <c r="DH78"/>
  <c r="BL78"/>
  <c r="DH77"/>
  <c r="BL77"/>
  <c r="CG79"/>
  <c r="AV81"/>
  <c r="O79"/>
  <c r="Z81"/>
  <c r="AI79"/>
  <c r="AS79"/>
  <c r="AR79"/>
  <c r="CO79"/>
  <c r="Y81"/>
  <c r="CU79"/>
  <c r="BE81"/>
  <c r="CW79"/>
  <c r="CX79"/>
  <c r="AD81"/>
  <c r="AY81"/>
  <c r="BR79"/>
  <c r="AT81"/>
  <c r="AB79"/>
  <c r="AV79"/>
  <c r="K79"/>
  <c r="BB81"/>
  <c r="O81"/>
  <c r="AO81"/>
  <c r="CC79"/>
  <c r="AF79"/>
  <c r="AW81"/>
  <c r="P81"/>
  <c r="AB81"/>
  <c r="BX79"/>
  <c r="BC81"/>
  <c r="AZ79"/>
  <c r="AP79"/>
  <c r="CT79"/>
  <c r="DA79"/>
  <c r="AI81"/>
  <c r="CV79"/>
  <c r="BD79"/>
  <c r="AY79"/>
  <c r="V79"/>
  <c r="AC81"/>
  <c r="AX81"/>
  <c r="W79"/>
  <c r="S79"/>
  <c r="BT79"/>
  <c r="L81"/>
  <c r="AD79"/>
  <c r="AM79"/>
  <c r="AW79"/>
  <c r="AU79"/>
  <c r="AF81"/>
  <c r="AA81"/>
  <c r="S81"/>
  <c r="M79"/>
  <c r="CF79"/>
  <c r="AA79"/>
  <c r="AJ81"/>
  <c r="H79"/>
  <c r="CS79"/>
  <c r="M81"/>
  <c r="I79"/>
  <c r="AQ81"/>
  <c r="AG81"/>
  <c r="BB79"/>
  <c r="AM81"/>
  <c r="AU81"/>
  <c r="AN81"/>
  <c r="L79"/>
  <c r="CH79"/>
  <c r="P79"/>
  <c r="AP81"/>
  <c r="I81"/>
  <c r="CM79"/>
  <c r="CQ79"/>
  <c r="N79"/>
  <c r="DE79"/>
  <c r="AR81"/>
  <c r="AZ81"/>
  <c r="CE79"/>
  <c r="BD81"/>
  <c r="J81"/>
  <c r="BZ79"/>
  <c r="Z79"/>
  <c r="AG79"/>
  <c r="AT79"/>
  <c r="J79"/>
  <c r="AO79"/>
  <c r="CN79"/>
  <c r="BW79"/>
  <c r="AS81"/>
  <c r="BA81"/>
  <c r="AX79"/>
  <c r="H81"/>
  <c r="DF79"/>
  <c r="N81"/>
  <c r="BU79"/>
  <c r="CB79"/>
  <c r="BC79"/>
  <c r="BE79"/>
  <c r="CJ79"/>
  <c r="G79"/>
  <c r="BS79"/>
  <c r="CL79"/>
  <c r="K81"/>
  <c r="CY79"/>
  <c r="AC79"/>
  <c r="AN79"/>
  <c r="CR79"/>
  <c r="G81"/>
  <c r="DB79"/>
  <c r="DD79"/>
  <c r="CK79"/>
  <c r="BV79"/>
  <c r="CI79"/>
  <c r="BA79"/>
  <c r="AQ79"/>
  <c r="CA79"/>
  <c r="CP79"/>
  <c r="Y79"/>
  <c r="X79"/>
  <c r="X81"/>
  <c r="BY79"/>
  <c r="CD79"/>
  <c r="CZ79"/>
  <c r="AJ79"/>
  <c r="G82" l="1"/>
  <c r="Q79"/>
  <c r="I82"/>
  <c r="K82"/>
  <c r="M82"/>
  <c r="O82"/>
  <c r="X82"/>
  <c r="Z82"/>
  <c r="AB82"/>
  <c r="AD82"/>
  <c r="AG82"/>
  <c r="AJ82"/>
  <c r="AM82"/>
  <c r="BF79"/>
  <c r="AO82"/>
  <c r="AQ82"/>
  <c r="AS82"/>
  <c r="AU82"/>
  <c r="AW82"/>
  <c r="AY82"/>
  <c r="BA82"/>
  <c r="BC82"/>
  <c r="BE82"/>
  <c r="BS82"/>
  <c r="BU82"/>
  <c r="BW82"/>
  <c r="BY82"/>
  <c r="CA82"/>
  <c r="CC82"/>
  <c r="CE82"/>
  <c r="CG82"/>
  <c r="CI82"/>
  <c r="CK82"/>
  <c r="CM82"/>
  <c r="CO82"/>
  <c r="CQ82"/>
  <c r="CS82"/>
  <c r="CU82"/>
  <c r="CW82"/>
  <c r="CY82"/>
  <c r="DA82"/>
  <c r="DE82"/>
  <c r="Q81"/>
  <c r="H82"/>
  <c r="J82"/>
  <c r="L82"/>
  <c r="N82"/>
  <c r="P82"/>
  <c r="S82"/>
  <c r="Y82"/>
  <c r="AA82"/>
  <c r="AC82"/>
  <c r="AF82"/>
  <c r="AI82"/>
  <c r="AN82"/>
  <c r="AP82"/>
  <c r="AR82"/>
  <c r="AT82"/>
  <c r="AV82"/>
  <c r="AX82"/>
  <c r="AZ82"/>
  <c r="BB82"/>
  <c r="BD82"/>
  <c r="BR82"/>
  <c r="BT82"/>
  <c r="BV82"/>
  <c r="BX82"/>
  <c r="BZ82"/>
  <c r="CB82"/>
  <c r="CD82"/>
  <c r="CF82"/>
  <c r="CH82"/>
  <c r="CJ82"/>
  <c r="CL82"/>
  <c r="CN82"/>
  <c r="CP82"/>
  <c r="CR82"/>
  <c r="CT82"/>
  <c r="CV82"/>
  <c r="CX82"/>
  <c r="CZ82"/>
  <c r="DB82"/>
  <c r="DD82"/>
  <c r="DF82"/>
  <c r="BF81"/>
  <c r="BF82" l="1"/>
  <c r="Q82"/>
  <c r="D76" l="1"/>
  <c r="D75" l="1"/>
  <c r="DH74"/>
  <c r="BL74" s="1"/>
  <c r="BJ74"/>
  <c r="DH73"/>
  <c r="CM75"/>
  <c r="CT75"/>
  <c r="BU75"/>
  <c r="W75"/>
  <c r="AQ75"/>
  <c r="X75"/>
  <c r="CH75"/>
  <c r="Y75"/>
  <c r="CD75"/>
  <c r="AP75"/>
  <c r="AZ75"/>
  <c r="BT75"/>
  <c r="AY75"/>
  <c r="BY75"/>
  <c r="CJ75"/>
  <c r="AM75"/>
  <c r="O75"/>
  <c r="AR75"/>
  <c r="BC75"/>
  <c r="U75"/>
  <c r="CE75"/>
  <c r="Z75"/>
  <c r="CA75"/>
  <c r="CZ75"/>
  <c r="AT75"/>
  <c r="AF75"/>
  <c r="CL75"/>
  <c r="CN75"/>
  <c r="P75"/>
  <c r="CC75"/>
  <c r="AO75"/>
  <c r="AI75"/>
  <c r="BV75"/>
  <c r="BE75"/>
  <c r="CB75"/>
  <c r="V75"/>
  <c r="CY75"/>
  <c r="BQ75"/>
  <c r="CR75"/>
  <c r="DD75"/>
  <c r="J75"/>
  <c r="AA75"/>
  <c r="DE75"/>
  <c r="S75"/>
  <c r="BO75"/>
  <c r="BS75"/>
  <c r="BB75"/>
  <c r="DB75"/>
  <c r="BA75"/>
  <c r="CK75"/>
  <c r="N75"/>
  <c r="H75"/>
  <c r="AB75"/>
  <c r="CP75"/>
  <c r="CO75"/>
  <c r="AD75"/>
  <c r="CQ75"/>
  <c r="AN75"/>
  <c r="CG75"/>
  <c r="G75"/>
  <c r="AW75"/>
  <c r="BZ75"/>
  <c r="CX75"/>
  <c r="AX75"/>
  <c r="DF75"/>
  <c r="BR75"/>
  <c r="CI75"/>
  <c r="AS75"/>
  <c r="BW75"/>
  <c r="CW75"/>
  <c r="DA75"/>
  <c r="CV75"/>
  <c r="I75"/>
  <c r="AU75"/>
  <c r="BD75"/>
  <c r="CS75"/>
  <c r="CU75"/>
  <c r="AC75"/>
  <c r="M75"/>
  <c r="L75"/>
  <c r="AJ75"/>
  <c r="K75"/>
  <c r="BX75"/>
  <c r="DC75"/>
  <c r="BP75"/>
  <c r="CF75"/>
  <c r="AG75"/>
  <c r="G76" l="1"/>
  <c r="Q75"/>
  <c r="H76"/>
  <c r="J76"/>
  <c r="L76"/>
  <c r="N76"/>
  <c r="P76"/>
  <c r="S76"/>
  <c r="U76"/>
  <c r="W76"/>
  <c r="Y76"/>
  <c r="AA76"/>
  <c r="AC76"/>
  <c r="AF76"/>
  <c r="AI76"/>
  <c r="AN76"/>
  <c r="AP76"/>
  <c r="AR76"/>
  <c r="AT76"/>
  <c r="AX76"/>
  <c r="AZ76"/>
  <c r="BB76"/>
  <c r="BD76"/>
  <c r="BO76"/>
  <c r="DH75"/>
  <c r="BQ76"/>
  <c r="BS76"/>
  <c r="BU76"/>
  <c r="BW76"/>
  <c r="BY76"/>
  <c r="CA76"/>
  <c r="CC76"/>
  <c r="CE76"/>
  <c r="CG76"/>
  <c r="CI76"/>
  <c r="CK76"/>
  <c r="CM76"/>
  <c r="CO76"/>
  <c r="CQ76"/>
  <c r="CS76"/>
  <c r="CU76"/>
  <c r="CW76"/>
  <c r="CY76"/>
  <c r="DA76"/>
  <c r="DC76"/>
  <c r="DE76"/>
  <c r="I76"/>
  <c r="K76"/>
  <c r="M76"/>
  <c r="O76"/>
  <c r="V76"/>
  <c r="X76"/>
  <c r="Z76"/>
  <c r="AB76"/>
  <c r="AD76"/>
  <c r="AG76"/>
  <c r="AJ76"/>
  <c r="AM76"/>
  <c r="AO76"/>
  <c r="AQ76"/>
  <c r="AS76"/>
  <c r="AU76"/>
  <c r="AW76"/>
  <c r="AY76"/>
  <c r="BA76"/>
  <c r="BC76"/>
  <c r="BE76"/>
  <c r="BP76"/>
  <c r="BR76"/>
  <c r="BT76"/>
  <c r="BV76"/>
  <c r="BX76"/>
  <c r="BZ76"/>
  <c r="CB76"/>
  <c r="CD76"/>
  <c r="CF76"/>
  <c r="CH76"/>
  <c r="CJ76"/>
  <c r="CL76"/>
  <c r="CN76"/>
  <c r="CP76"/>
  <c r="CR76"/>
  <c r="CT76"/>
  <c r="CV76"/>
  <c r="CX76"/>
  <c r="CZ76"/>
  <c r="DB76"/>
  <c r="DD76"/>
  <c r="DF76"/>
  <c r="DH76" l="1"/>
  <c r="Q76"/>
  <c r="D72" l="1"/>
  <c r="D71" l="1"/>
  <c r="DH70"/>
  <c r="BJ70"/>
  <c r="DH69"/>
  <c r="BL69"/>
  <c r="DF71"/>
  <c r="CS71"/>
  <c r="CG71"/>
  <c r="BE71"/>
  <c r="U71"/>
  <c r="AS71"/>
  <c r="BU71"/>
  <c r="M71"/>
  <c r="CU71"/>
  <c r="CX71"/>
  <c r="Y71"/>
  <c r="DA71"/>
  <c r="CZ71"/>
  <c r="DD71"/>
  <c r="CV71"/>
  <c r="CF71"/>
  <c r="BV71"/>
  <c r="AU71"/>
  <c r="AY71"/>
  <c r="AV71"/>
  <c r="I71"/>
  <c r="AO71"/>
  <c r="CI71"/>
  <c r="X71"/>
  <c r="CN71"/>
  <c r="AR71"/>
  <c r="CK71"/>
  <c r="W71"/>
  <c r="N71"/>
  <c r="CD71"/>
  <c r="BP71"/>
  <c r="CC71"/>
  <c r="DC71"/>
  <c r="CA71"/>
  <c r="AG71"/>
  <c r="DB71"/>
  <c r="AJ71"/>
  <c r="P71"/>
  <c r="AT71"/>
  <c r="CB71"/>
  <c r="BY71"/>
  <c r="AZ71"/>
  <c r="BD71"/>
  <c r="BO71"/>
  <c r="S71"/>
  <c r="CW71"/>
  <c r="Z71"/>
  <c r="AQ71"/>
  <c r="CY71"/>
  <c r="CE71"/>
  <c r="AA71"/>
  <c r="V71"/>
  <c r="CT71"/>
  <c r="CQ71"/>
  <c r="BT71"/>
  <c r="AD71"/>
  <c r="BC71"/>
  <c r="L71"/>
  <c r="AN71"/>
  <c r="BW71"/>
  <c r="BQ71"/>
  <c r="K71"/>
  <c r="J71"/>
  <c r="AW71"/>
  <c r="O71"/>
  <c r="AI71"/>
  <c r="BI71"/>
  <c r="CJ71"/>
  <c r="G71"/>
  <c r="CM71"/>
  <c r="AX71"/>
  <c r="CP71"/>
  <c r="BA71"/>
  <c r="CO71"/>
  <c r="BS71"/>
  <c r="AM71"/>
  <c r="AF71"/>
  <c r="BB71"/>
  <c r="DE71"/>
  <c r="BZ71"/>
  <c r="H71"/>
  <c r="CL71"/>
  <c r="BX71"/>
  <c r="BR71"/>
  <c r="AP71"/>
  <c r="CR71"/>
  <c r="CH71"/>
  <c r="AC71"/>
  <c r="BL70" l="1"/>
  <c r="G72"/>
  <c r="Q71"/>
  <c r="K72"/>
  <c r="O72"/>
  <c r="V72"/>
  <c r="Z72"/>
  <c r="AD72"/>
  <c r="AJ72"/>
  <c r="H72"/>
  <c r="J72"/>
  <c r="L72"/>
  <c r="N72"/>
  <c r="P72"/>
  <c r="S72"/>
  <c r="U72"/>
  <c r="W72"/>
  <c r="Y72"/>
  <c r="AA72"/>
  <c r="AC72"/>
  <c r="AF72"/>
  <c r="AI72"/>
  <c r="AN72"/>
  <c r="AP72"/>
  <c r="AR72"/>
  <c r="AT72"/>
  <c r="AV72"/>
  <c r="AX72"/>
  <c r="AZ72"/>
  <c r="BB72"/>
  <c r="BD72"/>
  <c r="BI72"/>
  <c r="BO72"/>
  <c r="DH71"/>
  <c r="BQ72"/>
  <c r="BS72"/>
  <c r="BU72"/>
  <c r="BW72"/>
  <c r="BY72"/>
  <c r="CA72"/>
  <c r="CC72"/>
  <c r="CE72"/>
  <c r="CG72"/>
  <c r="CI72"/>
  <c r="CK72"/>
  <c r="CM72"/>
  <c r="CO72"/>
  <c r="CQ72"/>
  <c r="CS72"/>
  <c r="CU72"/>
  <c r="CW72"/>
  <c r="CY72"/>
  <c r="DA72"/>
  <c r="DC72"/>
  <c r="DE72"/>
  <c r="I72"/>
  <c r="M72"/>
  <c r="X72"/>
  <c r="AG72"/>
  <c r="AM72"/>
  <c r="BF71"/>
  <c r="AO72"/>
  <c r="AQ72"/>
  <c r="AS72"/>
  <c r="AU72"/>
  <c r="AW72"/>
  <c r="AY72"/>
  <c r="BA72"/>
  <c r="BC72"/>
  <c r="BE72"/>
  <c r="BP72"/>
  <c r="BR72"/>
  <c r="BT72"/>
  <c r="BV72"/>
  <c r="BX72"/>
  <c r="BZ72"/>
  <c r="CB72"/>
  <c r="CD72"/>
  <c r="CF72"/>
  <c r="CH72"/>
  <c r="CJ72"/>
  <c r="CL72"/>
  <c r="CN72"/>
  <c r="CP72"/>
  <c r="CR72"/>
  <c r="CT72"/>
  <c r="CV72"/>
  <c r="CX72"/>
  <c r="CZ72"/>
  <c r="DB72"/>
  <c r="DD72"/>
  <c r="DF72"/>
  <c r="DH72" l="1"/>
  <c r="BF72"/>
  <c r="Q72"/>
  <c r="D68" l="1"/>
  <c r="BO67"/>
  <c r="CG67"/>
  <c r="DD67"/>
  <c r="DA67"/>
  <c r="DC67"/>
  <c r="BV67"/>
  <c r="BQ67"/>
  <c r="BZ67"/>
  <c r="CJ67"/>
  <c r="CQ67"/>
  <c r="DB67"/>
  <c r="DF67"/>
  <c r="CP67"/>
  <c r="CI67"/>
  <c r="CO67"/>
  <c r="CF67"/>
  <c r="BW67"/>
  <c r="CR67"/>
  <c r="CC67"/>
  <c r="CU67"/>
  <c r="CS67"/>
  <c r="CH67"/>
  <c r="BP67"/>
  <c r="BT67"/>
  <c r="CK67"/>
  <c r="BS67"/>
  <c r="CX67"/>
  <c r="CZ67"/>
  <c r="BY67"/>
  <c r="BU67"/>
  <c r="CV67"/>
  <c r="CM67"/>
  <c r="CE67"/>
  <c r="CW67"/>
  <c r="BX67"/>
  <c r="CY67"/>
  <c r="CA67"/>
  <c r="BR67"/>
  <c r="CT67"/>
  <c r="CL67"/>
  <c r="CN67"/>
  <c r="DE67"/>
  <c r="CB67"/>
  <c r="CD67"/>
  <c r="DH67" l="1"/>
  <c r="AO67"/>
  <c r="AD67"/>
  <c r="BA67"/>
  <c r="Z67"/>
  <c r="AI67"/>
  <c r="AA67"/>
  <c r="AU67"/>
  <c r="AR67"/>
  <c r="AY67"/>
  <c r="AM67"/>
  <c r="BC67"/>
  <c r="BE67"/>
  <c r="AV67"/>
  <c r="AG67"/>
  <c r="BH67"/>
  <c r="W67"/>
  <c r="AQ67"/>
  <c r="AB67"/>
  <c r="AN67"/>
  <c r="BD67"/>
  <c r="AT67"/>
  <c r="BB67"/>
  <c r="AP67"/>
  <c r="S67"/>
  <c r="U67"/>
  <c r="AC67"/>
  <c r="X67"/>
  <c r="AS67"/>
  <c r="AW67"/>
  <c r="AZ67"/>
  <c r="V67"/>
  <c r="AF67"/>
  <c r="Y67"/>
  <c r="BI67"/>
  <c r="AJ67"/>
  <c r="BJ67" l="1"/>
  <c r="D67"/>
  <c r="K67"/>
  <c r="L67"/>
  <c r="M67"/>
  <c r="O67"/>
  <c r="P67"/>
  <c r="J67"/>
  <c r="N67"/>
  <c r="I67"/>
  <c r="G67"/>
  <c r="H67"/>
  <c r="Q67" l="1"/>
  <c r="D66"/>
  <c r="M66"/>
  <c r="CX66"/>
  <c r="BU66"/>
  <c r="DF66"/>
  <c r="BA66"/>
  <c r="CH66"/>
  <c r="CQ66"/>
  <c r="AT66"/>
  <c r="CR66"/>
  <c r="J66"/>
  <c r="BS66"/>
  <c r="N66"/>
  <c r="AF66"/>
  <c r="CE66"/>
  <c r="CF66"/>
  <c r="CU66"/>
  <c r="AD66"/>
  <c r="BX66"/>
  <c r="BO66"/>
  <c r="AJ66"/>
  <c r="DC66"/>
  <c r="U66"/>
  <c r="AM66"/>
  <c r="O66"/>
  <c r="BE66"/>
  <c r="CN66"/>
  <c r="CI66"/>
  <c r="CK66"/>
  <c r="AA66"/>
  <c r="BZ66"/>
  <c r="W66"/>
  <c r="DA66"/>
  <c r="AS66"/>
  <c r="I66"/>
  <c r="AC66"/>
  <c r="CL66"/>
  <c r="AX66"/>
  <c r="AR66"/>
  <c r="BB66"/>
  <c r="CZ66"/>
  <c r="AU66"/>
  <c r="AZ66"/>
  <c r="Y66"/>
  <c r="CC66"/>
  <c r="T66"/>
  <c r="AV66"/>
  <c r="X66"/>
  <c r="BC66"/>
  <c r="BI66"/>
  <c r="Z66"/>
  <c r="BR66"/>
  <c r="BT66"/>
  <c r="BH66"/>
  <c r="V66"/>
  <c r="DE66"/>
  <c r="AB66"/>
  <c r="CW66"/>
  <c r="CO66"/>
  <c r="BW66"/>
  <c r="CV66"/>
  <c r="DD66"/>
  <c r="CT66"/>
  <c r="CP66"/>
  <c r="AG66"/>
  <c r="K66"/>
  <c r="BP66"/>
  <c r="P66"/>
  <c r="BV66"/>
  <c r="AO66"/>
  <c r="CM66"/>
  <c r="BY66"/>
  <c r="CB66"/>
  <c r="G66"/>
  <c r="CG66"/>
  <c r="BQ66"/>
  <c r="AY66"/>
  <c r="L66"/>
  <c r="DB66"/>
  <c r="AQ66"/>
  <c r="CD66"/>
  <c r="AP66"/>
  <c r="CY66"/>
  <c r="CS66"/>
  <c r="CA66"/>
  <c r="AN66"/>
  <c r="CJ66"/>
  <c r="BD66"/>
  <c r="BJ66" l="1"/>
  <c r="DH66"/>
  <c r="CY65"/>
  <c r="CQ65"/>
  <c r="BO65"/>
  <c r="CZ65"/>
  <c r="CH65"/>
  <c r="CM65"/>
  <c r="DC65"/>
  <c r="DA65"/>
  <c r="CJ65"/>
  <c r="CF65"/>
  <c r="CX65"/>
  <c r="CU65"/>
  <c r="BR65"/>
  <c r="DE65"/>
  <c r="BU65"/>
  <c r="DF65"/>
  <c r="CN65"/>
  <c r="BX65"/>
  <c r="CS65"/>
  <c r="CC65"/>
  <c r="BP65"/>
  <c r="BS65"/>
  <c r="CO65"/>
  <c r="CL65"/>
  <c r="CD65"/>
  <c r="CR65"/>
  <c r="BV65"/>
  <c r="BZ65"/>
  <c r="DD65"/>
  <c r="CB65"/>
  <c r="CP65"/>
  <c r="BY65"/>
  <c r="CI65"/>
  <c r="CT65"/>
  <c r="CV65"/>
  <c r="DB65"/>
  <c r="CA65"/>
  <c r="CK65"/>
  <c r="BT65"/>
  <c r="CW65"/>
  <c r="BQ65"/>
  <c r="CG65"/>
  <c r="BW65"/>
  <c r="CE65"/>
  <c r="BO68" l="1"/>
  <c r="DH65"/>
  <c r="BP68"/>
  <c r="BR68"/>
  <c r="BT68"/>
  <c r="BV68"/>
  <c r="BX68"/>
  <c r="BZ68"/>
  <c r="CB68"/>
  <c r="CD68"/>
  <c r="CF68"/>
  <c r="CH68"/>
  <c r="CJ68"/>
  <c r="CL68"/>
  <c r="CN68"/>
  <c r="CP68"/>
  <c r="CR68"/>
  <c r="CT68"/>
  <c r="CV68"/>
  <c r="CX68"/>
  <c r="CZ68"/>
  <c r="DB68"/>
  <c r="DD68"/>
  <c r="DF68"/>
  <c r="BQ68"/>
  <c r="BS68"/>
  <c r="BU68"/>
  <c r="BW68"/>
  <c r="BY68"/>
  <c r="CA68"/>
  <c r="CC68"/>
  <c r="CE68"/>
  <c r="CG68"/>
  <c r="CI68"/>
  <c r="CK68"/>
  <c r="CM68"/>
  <c r="CO68"/>
  <c r="CQ68"/>
  <c r="CS68"/>
  <c r="CU68"/>
  <c r="CW68"/>
  <c r="CY68"/>
  <c r="DA68"/>
  <c r="DC68"/>
  <c r="DE68"/>
  <c r="D65"/>
  <c r="DH64"/>
  <c r="P65"/>
  <c r="AG65"/>
  <c r="AQ65"/>
  <c r="BB65"/>
  <c r="M65"/>
  <c r="AJ65"/>
  <c r="AT65"/>
  <c r="K65"/>
  <c r="AZ65"/>
  <c r="AR65"/>
  <c r="U65"/>
  <c r="I65"/>
  <c r="BI65"/>
  <c r="S65"/>
  <c r="V65"/>
  <c r="N65"/>
  <c r="G65"/>
  <c r="Z65"/>
  <c r="AD65"/>
  <c r="AU65"/>
  <c r="H65"/>
  <c r="Y65"/>
  <c r="AM65"/>
  <c r="X65"/>
  <c r="AO65"/>
  <c r="AX65"/>
  <c r="BH65"/>
  <c r="AY65"/>
  <c r="BD65"/>
  <c r="J65"/>
  <c r="L65"/>
  <c r="AC65"/>
  <c r="AA65"/>
  <c r="W65"/>
  <c r="AN65"/>
  <c r="AI65"/>
  <c r="AV65"/>
  <c r="AS65"/>
  <c r="AB65"/>
  <c r="BC65"/>
  <c r="BA65"/>
  <c r="BE65"/>
  <c r="AF65"/>
  <c r="AP65"/>
  <c r="O65"/>
  <c r="L68" l="1"/>
  <c r="P68"/>
  <c r="U68"/>
  <c r="Y68"/>
  <c r="AC68"/>
  <c r="AN68"/>
  <c r="AR68"/>
  <c r="AV68"/>
  <c r="G68"/>
  <c r="Q65"/>
  <c r="I68"/>
  <c r="K68"/>
  <c r="M68"/>
  <c r="O68"/>
  <c r="V68"/>
  <c r="X68"/>
  <c r="Z68"/>
  <c r="AB68"/>
  <c r="AD68"/>
  <c r="AG68"/>
  <c r="AJ68"/>
  <c r="AM68"/>
  <c r="AO68"/>
  <c r="AQ68"/>
  <c r="AS68"/>
  <c r="AU68"/>
  <c r="AY68"/>
  <c r="BA68"/>
  <c r="BC68"/>
  <c r="BE68"/>
  <c r="BH68"/>
  <c r="BJ65"/>
  <c r="J68"/>
  <c r="N68"/>
  <c r="W68"/>
  <c r="AA68"/>
  <c r="AF68"/>
  <c r="AP68"/>
  <c r="AT68"/>
  <c r="AZ68"/>
  <c r="BB68"/>
  <c r="BD68"/>
  <c r="BI68"/>
  <c r="DH68"/>
  <c r="BJ68" l="1"/>
  <c r="D63" l="1"/>
  <c r="CK62"/>
  <c r="CL62"/>
  <c r="BS62"/>
  <c r="DB62"/>
  <c r="CI62"/>
  <c r="DF62"/>
  <c r="BW62"/>
  <c r="CW62"/>
  <c r="CY62"/>
  <c r="BX62"/>
  <c r="CT62"/>
  <c r="CJ62"/>
  <c r="CG62"/>
  <c r="DE62"/>
  <c r="CR62"/>
  <c r="CM62"/>
  <c r="BO62"/>
  <c r="DA62"/>
  <c r="CA62"/>
  <c r="BY62"/>
  <c r="BU62"/>
  <c r="CZ62"/>
  <c r="CU62"/>
  <c r="DC62"/>
  <c r="CH62"/>
  <c r="BQ62"/>
  <c r="CX62"/>
  <c r="CE62"/>
  <c r="CF62"/>
  <c r="BP62"/>
  <c r="CC62"/>
  <c r="CV62"/>
  <c r="CS62"/>
  <c r="CQ62"/>
  <c r="DD62"/>
  <c r="BV62"/>
  <c r="CP62"/>
  <c r="BR62"/>
  <c r="BT62"/>
  <c r="CB62"/>
  <c r="BZ62"/>
  <c r="CD62"/>
  <c r="CN62"/>
  <c r="CO62"/>
  <c r="DH62" l="1"/>
  <c r="AS62"/>
  <c r="AN62"/>
  <c r="AV62"/>
  <c r="AD62"/>
  <c r="BA62"/>
  <c r="AG62"/>
  <c r="AU62"/>
  <c r="AJ62"/>
  <c r="S62"/>
  <c r="V62"/>
  <c r="W62"/>
  <c r="BD62"/>
  <c r="AQ62"/>
  <c r="Y62"/>
  <c r="AP62"/>
  <c r="U62"/>
  <c r="AF62"/>
  <c r="AC62"/>
  <c r="AT62"/>
  <c r="AX62"/>
  <c r="AA62"/>
  <c r="AW62"/>
  <c r="BB62"/>
  <c r="BC62"/>
  <c r="BI62"/>
  <c r="Z62"/>
  <c r="BE62"/>
  <c r="AB62"/>
  <c r="BH62"/>
  <c r="AR62"/>
  <c r="AZ62"/>
  <c r="AI62"/>
  <c r="AM62"/>
  <c r="AO62"/>
  <c r="X62"/>
  <c r="BJ62" l="1"/>
  <c r="D62"/>
  <c r="N62"/>
  <c r="H62"/>
  <c r="I62"/>
  <c r="G62"/>
  <c r="J62"/>
  <c r="L62"/>
  <c r="M62"/>
  <c r="K62"/>
  <c r="P62"/>
  <c r="O62"/>
  <c r="Q62" l="1"/>
  <c r="CQ61"/>
  <c r="BW61"/>
  <c r="BO61"/>
  <c r="CV61"/>
  <c r="BS61"/>
  <c r="CX61"/>
  <c r="CC61"/>
  <c r="BR61"/>
  <c r="CE61"/>
  <c r="DE61"/>
  <c r="CT61"/>
  <c r="BZ61"/>
  <c r="CD61"/>
  <c r="CN61"/>
  <c r="CU61"/>
  <c r="CF61"/>
  <c r="DC61"/>
  <c r="DD61"/>
  <c r="BP61"/>
  <c r="CR61"/>
  <c r="CH61"/>
  <c r="CS61"/>
  <c r="BQ61"/>
  <c r="CY61"/>
  <c r="BY61"/>
  <c r="CW61"/>
  <c r="CI61"/>
  <c r="CA61"/>
  <c r="CK61"/>
  <c r="CL61"/>
  <c r="CO61"/>
  <c r="DA61"/>
  <c r="BU61"/>
  <c r="CG61"/>
  <c r="BI61"/>
  <c r="CJ61"/>
  <c r="BH61"/>
  <c r="CP61"/>
  <c r="BV61"/>
  <c r="DF61"/>
  <c r="CZ61"/>
  <c r="BT61"/>
  <c r="BX61"/>
  <c r="CM61"/>
  <c r="DB61"/>
  <c r="CB61"/>
  <c r="DH61" l="1"/>
  <c r="BJ61"/>
  <c r="AV61"/>
  <c r="AO61"/>
  <c r="BE61"/>
  <c r="BC61"/>
  <c r="W61"/>
  <c r="AG61"/>
  <c r="AI61"/>
  <c r="AA61"/>
  <c r="AW61"/>
  <c r="AZ61"/>
  <c r="AC61"/>
  <c r="AP61"/>
  <c r="AU61"/>
  <c r="U61"/>
  <c r="AD61"/>
  <c r="Y61"/>
  <c r="AB61"/>
  <c r="AX61"/>
  <c r="AT61"/>
  <c r="AS61"/>
  <c r="AQ61"/>
  <c r="AM61"/>
  <c r="Z61"/>
  <c r="V61"/>
  <c r="AY61"/>
  <c r="AF61"/>
  <c r="BD61"/>
  <c r="AJ61"/>
  <c r="AR61"/>
  <c r="S61"/>
  <c r="AN61"/>
  <c r="X61"/>
  <c r="D61" l="1"/>
  <c r="I61"/>
  <c r="H61"/>
  <c r="P61"/>
  <c r="K61"/>
  <c r="N61"/>
  <c r="J61"/>
  <c r="L61"/>
  <c r="G61"/>
  <c r="M61"/>
  <c r="O61"/>
  <c r="Q61" l="1"/>
  <c r="BD60"/>
  <c r="BZ60"/>
  <c r="AQ60"/>
  <c r="AS60"/>
  <c r="BI60"/>
  <c r="DB60"/>
  <c r="CT60"/>
  <c r="AW60"/>
  <c r="BO60"/>
  <c r="AI60"/>
  <c r="CY60"/>
  <c r="AJ60"/>
  <c r="BA60"/>
  <c r="CG60"/>
  <c r="CX60"/>
  <c r="CO60"/>
  <c r="V60"/>
  <c r="CA60"/>
  <c r="DD60"/>
  <c r="BY60"/>
  <c r="CI60"/>
  <c r="BU60"/>
  <c r="AF60"/>
  <c r="BP60"/>
  <c r="BS60"/>
  <c r="CS60"/>
  <c r="BE60"/>
  <c r="AN60"/>
  <c r="BH60"/>
  <c r="AU60"/>
  <c r="CB60"/>
  <c r="W60"/>
  <c r="AM60"/>
  <c r="AX60"/>
  <c r="BV60"/>
  <c r="DE60"/>
  <c r="DC60"/>
  <c r="AO60"/>
  <c r="Z60"/>
  <c r="AG60"/>
  <c r="X60"/>
  <c r="CU60"/>
  <c r="CD60"/>
  <c r="BC60"/>
  <c r="CV60"/>
  <c r="CZ60"/>
  <c r="AR60"/>
  <c r="CK60"/>
  <c r="CN60"/>
  <c r="CF60"/>
  <c r="BX60"/>
  <c r="CC60"/>
  <c r="CR60"/>
  <c r="DA60"/>
  <c r="BT60"/>
  <c r="AC60"/>
  <c r="CW60"/>
  <c r="U60"/>
  <c r="BQ60"/>
  <c r="AP60"/>
  <c r="AA60"/>
  <c r="AB60"/>
  <c r="AD60"/>
  <c r="AV60"/>
  <c r="CJ60"/>
  <c r="DF60"/>
  <c r="CM60"/>
  <c r="AT60"/>
  <c r="BW60"/>
  <c r="BR60"/>
  <c r="Y60"/>
  <c r="CE60"/>
  <c r="BB60"/>
  <c r="CH60"/>
  <c r="CQ60"/>
  <c r="CL60"/>
  <c r="S60"/>
  <c r="CP60"/>
  <c r="DH60" l="1"/>
  <c r="BJ60"/>
  <c r="D60"/>
  <c r="O60"/>
  <c r="K60"/>
  <c r="J60"/>
  <c r="I60"/>
  <c r="H60"/>
  <c r="N60"/>
  <c r="L60"/>
  <c r="P60"/>
  <c r="M60"/>
  <c r="G60"/>
  <c r="Q60" l="1"/>
  <c r="CC59"/>
  <c r="BE59"/>
  <c r="AZ59"/>
  <c r="CT59"/>
  <c r="BW59"/>
  <c r="AJ59"/>
  <c r="CQ59"/>
  <c r="U59"/>
  <c r="BS59"/>
  <c r="BQ59"/>
  <c r="Z59"/>
  <c r="DB59"/>
  <c r="DD59"/>
  <c r="CZ59"/>
  <c r="AQ59"/>
  <c r="AN59"/>
  <c r="CG59"/>
  <c r="CJ59"/>
  <c r="BU59"/>
  <c r="Y59"/>
  <c r="BO59"/>
  <c r="BT59"/>
  <c r="DE59"/>
  <c r="AF59"/>
  <c r="CF59"/>
  <c r="BA59"/>
  <c r="CB59"/>
  <c r="BY59"/>
  <c r="AO59"/>
  <c r="DC59"/>
  <c r="BR59"/>
  <c r="CK59"/>
  <c r="CW59"/>
  <c r="AM59"/>
  <c r="X59"/>
  <c r="AX59"/>
  <c r="CE59"/>
  <c r="BI59"/>
  <c r="DA59"/>
  <c r="CO59"/>
  <c r="CR59"/>
  <c r="AV59"/>
  <c r="BD59"/>
  <c r="AT59"/>
  <c r="BX59"/>
  <c r="CD59"/>
  <c r="CX59"/>
  <c r="AG59"/>
  <c r="BP59"/>
  <c r="BC59"/>
  <c r="CA59"/>
  <c r="CU59"/>
  <c r="S59"/>
  <c r="AU59"/>
  <c r="CV59"/>
  <c r="AA59"/>
  <c r="CI59"/>
  <c r="AD59"/>
  <c r="AY59"/>
  <c r="CM59"/>
  <c r="V59"/>
  <c r="AR59"/>
  <c r="AC59"/>
  <c r="BH59"/>
  <c r="W59"/>
  <c r="CP59"/>
  <c r="AS59"/>
  <c r="CL59"/>
  <c r="AW59"/>
  <c r="AB59"/>
  <c r="DF59"/>
  <c r="CY59"/>
  <c r="BV59"/>
  <c r="AP59"/>
  <c r="CN59"/>
  <c r="AI59"/>
  <c r="CH59"/>
  <c r="BZ59"/>
  <c r="CS59"/>
  <c r="BJ59" l="1"/>
  <c r="DH59"/>
  <c r="D59"/>
  <c r="N59"/>
  <c r="K59"/>
  <c r="P59"/>
  <c r="I59"/>
  <c r="M59"/>
  <c r="H59"/>
  <c r="O59"/>
  <c r="G59"/>
  <c r="J59"/>
  <c r="L59"/>
  <c r="Q59" l="1"/>
  <c r="CB58"/>
  <c r="CG58"/>
  <c r="BY58"/>
  <c r="BZ58"/>
  <c r="CY58"/>
  <c r="CF58"/>
  <c r="BV58"/>
  <c r="CM58"/>
  <c r="DA58"/>
  <c r="CV58"/>
  <c r="BO58"/>
  <c r="BR58"/>
  <c r="CC58"/>
  <c r="BU58"/>
  <c r="BX58"/>
  <c r="CR58"/>
  <c r="DF58"/>
  <c r="BW58"/>
  <c r="CK58"/>
  <c r="CQ58"/>
  <c r="BS58"/>
  <c r="CD58"/>
  <c r="BQ58"/>
  <c r="DC58"/>
  <c r="DB58"/>
  <c r="CL58"/>
  <c r="CO58"/>
  <c r="CP58"/>
  <c r="CT58"/>
  <c r="DD58"/>
  <c r="CH58"/>
  <c r="DE58"/>
  <c r="CW58"/>
  <c r="CA58"/>
  <c r="BP58"/>
  <c r="CS58"/>
  <c r="CJ58"/>
  <c r="CE58"/>
  <c r="CI58"/>
  <c r="CN58"/>
  <c r="CX58"/>
  <c r="CU58"/>
  <c r="CZ58"/>
  <c r="BT58"/>
  <c r="DH58" l="1"/>
  <c r="BB58"/>
  <c r="BD58"/>
  <c r="AU58"/>
  <c r="AJ58"/>
  <c r="V58"/>
  <c r="AN58"/>
  <c r="Z58"/>
  <c r="BC58"/>
  <c r="X58"/>
  <c r="BA58"/>
  <c r="AQ58"/>
  <c r="W58"/>
  <c r="AF58"/>
  <c r="AR58"/>
  <c r="AO58"/>
  <c r="AI58"/>
  <c r="AG58"/>
  <c r="AV58"/>
  <c r="BH58"/>
  <c r="AW58"/>
  <c r="S58"/>
  <c r="AC58"/>
  <c r="AS58"/>
  <c r="BE58"/>
  <c r="BI58"/>
  <c r="AD58"/>
  <c r="AY58"/>
  <c r="AM58"/>
  <c r="Y58"/>
  <c r="U58"/>
  <c r="AZ58"/>
  <c r="AP58"/>
  <c r="AB58"/>
  <c r="AA58"/>
  <c r="AT58"/>
  <c r="BJ58" l="1"/>
  <c r="D58"/>
  <c r="I58"/>
  <c r="P58"/>
  <c r="O58"/>
  <c r="M58"/>
  <c r="N58"/>
  <c r="L58"/>
  <c r="H58"/>
  <c r="G58"/>
  <c r="J58"/>
  <c r="K58"/>
  <c r="Q58" l="1"/>
  <c r="D57"/>
  <c r="DH56"/>
  <c r="BL56"/>
  <c r="BU57"/>
  <c r="DC57"/>
  <c r="CG57"/>
  <c r="I57"/>
  <c r="BT57"/>
  <c r="AA57"/>
  <c r="CM57"/>
  <c r="AY57"/>
  <c r="CL57"/>
  <c r="CV57"/>
  <c r="AR57"/>
  <c r="AZ57"/>
  <c r="AW57"/>
  <c r="AD57"/>
  <c r="O57"/>
  <c r="AJ57"/>
  <c r="AC57"/>
  <c r="J57"/>
  <c r="CA57"/>
  <c r="P57"/>
  <c r="DB57"/>
  <c r="S57"/>
  <c r="CO57"/>
  <c r="BW57"/>
  <c r="CC57"/>
  <c r="AO57"/>
  <c r="BQ57"/>
  <c r="DA57"/>
  <c r="BB57"/>
  <c r="Z57"/>
  <c r="AI57"/>
  <c r="M57"/>
  <c r="CT57"/>
  <c r="BP57"/>
  <c r="CU57"/>
  <c r="BR57"/>
  <c r="H57"/>
  <c r="BS57"/>
  <c r="AS57"/>
  <c r="AB57"/>
  <c r="BH57"/>
  <c r="K57"/>
  <c r="DF57"/>
  <c r="CJ57"/>
  <c r="CQ57"/>
  <c r="BE57"/>
  <c r="BZ57"/>
  <c r="BY57"/>
  <c r="L57"/>
  <c r="CD57"/>
  <c r="CS57"/>
  <c r="DD57"/>
  <c r="CN57"/>
  <c r="AT57"/>
  <c r="BD57"/>
  <c r="W57"/>
  <c r="CW57"/>
  <c r="CY57"/>
  <c r="CB57"/>
  <c r="DE57"/>
  <c r="CR57"/>
  <c r="CP57"/>
  <c r="AM57"/>
  <c r="BC57"/>
  <c r="CK57"/>
  <c r="BO57"/>
  <c r="CH57"/>
  <c r="BA57"/>
  <c r="V57"/>
  <c r="G57"/>
  <c r="AF57"/>
  <c r="AG57"/>
  <c r="AV57"/>
  <c r="BI57"/>
  <c r="Y57"/>
  <c r="BV57"/>
  <c r="CF57"/>
  <c r="CE57"/>
  <c r="AQ57"/>
  <c r="CZ57"/>
  <c r="U57"/>
  <c r="X57"/>
  <c r="CX57"/>
  <c r="CI57"/>
  <c r="AN57"/>
  <c r="AU57"/>
  <c r="BX57"/>
  <c r="N57"/>
  <c r="AP57"/>
  <c r="H63" l="1"/>
  <c r="J63"/>
  <c r="L63"/>
  <c r="N63"/>
  <c r="P63"/>
  <c r="S63"/>
  <c r="U63"/>
  <c r="W63"/>
  <c r="Y63"/>
  <c r="AA63"/>
  <c r="AC63"/>
  <c r="AF63"/>
  <c r="AI63"/>
  <c r="AN63"/>
  <c r="AP63"/>
  <c r="AR63"/>
  <c r="AT63"/>
  <c r="AV63"/>
  <c r="BD63"/>
  <c r="BI63"/>
  <c r="BP63"/>
  <c r="BR63"/>
  <c r="BT63"/>
  <c r="BV63"/>
  <c r="BX63"/>
  <c r="BZ63"/>
  <c r="CB63"/>
  <c r="CD63"/>
  <c r="CF63"/>
  <c r="CH63"/>
  <c r="CJ63"/>
  <c r="CL63"/>
  <c r="CN63"/>
  <c r="CP63"/>
  <c r="CR63"/>
  <c r="CT63"/>
  <c r="CV63"/>
  <c r="CX63"/>
  <c r="CZ63"/>
  <c r="DB63"/>
  <c r="DD63"/>
  <c r="DF63"/>
  <c r="G63"/>
  <c r="Q57"/>
  <c r="I63"/>
  <c r="K63"/>
  <c r="M63"/>
  <c r="O63"/>
  <c r="V63"/>
  <c r="X63"/>
  <c r="Z63"/>
  <c r="AB63"/>
  <c r="AD63"/>
  <c r="AG63"/>
  <c r="AJ63"/>
  <c r="AM63"/>
  <c r="AO63"/>
  <c r="AQ63"/>
  <c r="AS63"/>
  <c r="AU63"/>
  <c r="AW63"/>
  <c r="BC63"/>
  <c r="BE63"/>
  <c r="BH63"/>
  <c r="BJ57"/>
  <c r="BO63"/>
  <c r="DH57"/>
  <c r="BQ63"/>
  <c r="BS63"/>
  <c r="BU63"/>
  <c r="BW63"/>
  <c r="BY63"/>
  <c r="CA63"/>
  <c r="CC63"/>
  <c r="CE63"/>
  <c r="CG63"/>
  <c r="CI63"/>
  <c r="CK63"/>
  <c r="CM63"/>
  <c r="CO63"/>
  <c r="CQ63"/>
  <c r="CS63"/>
  <c r="CU63"/>
  <c r="CW63"/>
  <c r="CY63"/>
  <c r="DA63"/>
  <c r="DC63"/>
  <c r="DE63"/>
  <c r="BJ63" l="1"/>
  <c r="Q63"/>
  <c r="DH63"/>
  <c r="D55" l="1"/>
  <c r="AT54"/>
  <c r="AC54"/>
  <c r="BY54"/>
  <c r="AZ54"/>
  <c r="AJ54"/>
  <c r="AG54"/>
  <c r="CB54"/>
  <c r="CW54"/>
  <c r="BH54"/>
  <c r="CT54"/>
  <c r="L54"/>
  <c r="BD54"/>
  <c r="DA54"/>
  <c r="DF54"/>
  <c r="M54"/>
  <c r="AU54"/>
  <c r="AA54"/>
  <c r="AP54"/>
  <c r="CM54"/>
  <c r="BB54"/>
  <c r="T54"/>
  <c r="BR54"/>
  <c r="BV54"/>
  <c r="O54"/>
  <c r="CD54"/>
  <c r="CZ54"/>
  <c r="DD54"/>
  <c r="BW54"/>
  <c r="G54"/>
  <c r="CO54"/>
  <c r="AV54"/>
  <c r="BA54"/>
  <c r="CI54"/>
  <c r="AQ54"/>
  <c r="CX54"/>
  <c r="H54"/>
  <c r="AB54"/>
  <c r="AS54"/>
  <c r="CH54"/>
  <c r="BX54"/>
  <c r="BI54"/>
  <c r="CL54"/>
  <c r="CQ54"/>
  <c r="BU54"/>
  <c r="CE54"/>
  <c r="CC54"/>
  <c r="CG54"/>
  <c r="AX54"/>
  <c r="DB54"/>
  <c r="P54"/>
  <c r="BE54"/>
  <c r="CN54"/>
  <c r="DC54"/>
  <c r="CK54"/>
  <c r="DE54"/>
  <c r="N54"/>
  <c r="AR54"/>
  <c r="AW54"/>
  <c r="J54"/>
  <c r="AF54"/>
  <c r="CV54"/>
  <c r="CR54"/>
  <c r="CS54"/>
  <c r="BZ54"/>
  <c r="CY54"/>
  <c r="CU54"/>
  <c r="CA54"/>
  <c r="CP54"/>
  <c r="CJ54"/>
  <c r="CF54"/>
  <c r="AI54"/>
  <c r="K54"/>
  <c r="BC54"/>
  <c r="V54"/>
  <c r="AD54"/>
  <c r="AY54"/>
  <c r="BJ54" l="1"/>
  <c r="D54"/>
  <c r="CZ53"/>
  <c r="BV53"/>
  <c r="CP53"/>
  <c r="CV53"/>
  <c r="CA53"/>
  <c r="CS53"/>
  <c r="CX53"/>
  <c r="DA53"/>
  <c r="CF53"/>
  <c r="CM53"/>
  <c r="CK53"/>
  <c r="BX53"/>
  <c r="BZ53"/>
  <c r="BR53"/>
  <c r="CR53"/>
  <c r="CE53"/>
  <c r="BS53"/>
  <c r="CL53"/>
  <c r="CH53"/>
  <c r="DB53"/>
  <c r="CD53"/>
  <c r="DD53"/>
  <c r="CY53"/>
  <c r="DE53"/>
  <c r="DC53"/>
  <c r="BW53"/>
  <c r="CC53"/>
  <c r="BY53"/>
  <c r="CU53"/>
  <c r="CO53"/>
  <c r="CG53"/>
  <c r="CT53"/>
  <c r="BT53"/>
  <c r="CN53"/>
  <c r="BU53"/>
  <c r="CI53"/>
  <c r="CQ53"/>
  <c r="DF53"/>
  <c r="CJ53"/>
  <c r="CB53"/>
  <c r="CW53"/>
  <c r="BR55" l="1"/>
  <c r="BV55"/>
  <c r="BX55"/>
  <c r="BZ55"/>
  <c r="CB55"/>
  <c r="CD55"/>
  <c r="CF55"/>
  <c r="CH55"/>
  <c r="CJ55"/>
  <c r="CL55"/>
  <c r="CN55"/>
  <c r="CP55"/>
  <c r="CR55"/>
  <c r="CT55"/>
  <c r="CV55"/>
  <c r="CX55"/>
  <c r="CZ55"/>
  <c r="DB55"/>
  <c r="DD55"/>
  <c r="DF55"/>
  <c r="BU55"/>
  <c r="BW55"/>
  <c r="BY55"/>
  <c r="CA55"/>
  <c r="CC55"/>
  <c r="CE55"/>
  <c r="CG55"/>
  <c r="CI55"/>
  <c r="CK55"/>
  <c r="CM55"/>
  <c r="CO55"/>
  <c r="CQ55"/>
  <c r="CS55"/>
  <c r="CU55"/>
  <c r="CW55"/>
  <c r="CY55"/>
  <c r="DA55"/>
  <c r="DC55"/>
  <c r="DE55"/>
  <c r="D53"/>
  <c r="DH52"/>
  <c r="BL52"/>
  <c r="P53"/>
  <c r="BD53"/>
  <c r="L53"/>
  <c r="AQ53"/>
  <c r="AO53"/>
  <c r="AP53"/>
  <c r="AV53"/>
  <c r="AJ53"/>
  <c r="M53"/>
  <c r="G53"/>
  <c r="O53"/>
  <c r="K53"/>
  <c r="AI53"/>
  <c r="AG53"/>
  <c r="N53"/>
  <c r="T53"/>
  <c r="BA53"/>
  <c r="AS53"/>
  <c r="AX53"/>
  <c r="X53"/>
  <c r="AT53"/>
  <c r="AC53"/>
  <c r="BC53"/>
  <c r="AR53"/>
  <c r="J53"/>
  <c r="I53"/>
  <c r="AA53"/>
  <c r="BE53"/>
  <c r="AU53"/>
  <c r="Z53"/>
  <c r="AF53"/>
  <c r="AZ53"/>
  <c r="AN53"/>
  <c r="AD53"/>
  <c r="AW53"/>
  <c r="BB53"/>
  <c r="AM53"/>
  <c r="U53"/>
  <c r="AY53"/>
  <c r="H53"/>
  <c r="J55" l="1"/>
  <c r="N55"/>
  <c r="AA55"/>
  <c r="AF55"/>
  <c r="G55"/>
  <c r="Q53"/>
  <c r="K55"/>
  <c r="M55"/>
  <c r="O55"/>
  <c r="T55"/>
  <c r="AD55"/>
  <c r="AG55"/>
  <c r="AJ55"/>
  <c r="BF53"/>
  <c r="AQ55"/>
  <c r="AS55"/>
  <c r="AU55"/>
  <c r="AW55"/>
  <c r="AY55"/>
  <c r="BA55"/>
  <c r="BC55"/>
  <c r="BE55"/>
  <c r="H55"/>
  <c r="L55"/>
  <c r="P55"/>
  <c r="AC55"/>
  <c r="AI55"/>
  <c r="AP55"/>
  <c r="AR55"/>
  <c r="AT55"/>
  <c r="AV55"/>
  <c r="AX55"/>
  <c r="AZ55"/>
  <c r="BB55"/>
  <c r="BD55"/>
  <c r="D51" l="1"/>
  <c r="AN50"/>
  <c r="BH50"/>
  <c r="AA50"/>
  <c r="CS50"/>
  <c r="BD50"/>
  <c r="CB50"/>
  <c r="AO50"/>
  <c r="CP50"/>
  <c r="AI50"/>
  <c r="DA50"/>
  <c r="CV50"/>
  <c r="CW50"/>
  <c r="Z50"/>
  <c r="DE50"/>
  <c r="CY50"/>
  <c r="BI50"/>
  <c r="BB50"/>
  <c r="BR50"/>
  <c r="DF50"/>
  <c r="CI50"/>
  <c r="CM50"/>
  <c r="DC50"/>
  <c r="BW50"/>
  <c r="BX50"/>
  <c r="AD50"/>
  <c r="BC50"/>
  <c r="BS50"/>
  <c r="AV50"/>
  <c r="Y50"/>
  <c r="CU50"/>
  <c r="CX50"/>
  <c r="BZ50"/>
  <c r="BE50"/>
  <c r="DD50"/>
  <c r="AG50"/>
  <c r="CL50"/>
  <c r="CH50"/>
  <c r="AQ50"/>
  <c r="AX50"/>
  <c r="BA50"/>
  <c r="AB50"/>
  <c r="AR50"/>
  <c r="BV50"/>
  <c r="CT50"/>
  <c r="AU50"/>
  <c r="CF50"/>
  <c r="AJ50"/>
  <c r="AT50"/>
  <c r="CO50"/>
  <c r="DB50"/>
  <c r="AP50"/>
  <c r="CE50"/>
  <c r="CQ50"/>
  <c r="CN50"/>
  <c r="AM50"/>
  <c r="BT50"/>
  <c r="BY50"/>
  <c r="CJ50"/>
  <c r="AF50"/>
  <c r="CD50"/>
  <c r="AZ50"/>
  <c r="CG50"/>
  <c r="AW50"/>
  <c r="AS50"/>
  <c r="CA50"/>
  <c r="CC50"/>
  <c r="BU50"/>
  <c r="AC50"/>
  <c r="CZ50"/>
  <c r="X50"/>
  <c r="CR50"/>
  <c r="T50"/>
  <c r="AY50"/>
  <c r="CK50"/>
  <c r="BF50" l="1"/>
  <c r="BJ50"/>
  <c r="D50"/>
  <c r="D49"/>
  <c r="DH47"/>
  <c r="BL47"/>
  <c r="J49"/>
  <c r="M49"/>
  <c r="CE49"/>
  <c r="P49"/>
  <c r="AD49"/>
  <c r="M50"/>
  <c r="BQ49"/>
  <c r="BO49"/>
  <c r="BH49"/>
  <c r="N49"/>
  <c r="CR49"/>
  <c r="AY49"/>
  <c r="CI49"/>
  <c r="BX49"/>
  <c r="BW49"/>
  <c r="DF49"/>
  <c r="BR49"/>
  <c r="BV49"/>
  <c r="Y49"/>
  <c r="CX49"/>
  <c r="AO49"/>
  <c r="AW49"/>
  <c r="CW49"/>
  <c r="AP49"/>
  <c r="AI49"/>
  <c r="AN49"/>
  <c r="AZ49"/>
  <c r="CK49"/>
  <c r="AV49"/>
  <c r="T49"/>
  <c r="AU49"/>
  <c r="CF49"/>
  <c r="G49"/>
  <c r="CC49"/>
  <c r="AR49"/>
  <c r="AT49"/>
  <c r="CU49"/>
  <c r="AQ49"/>
  <c r="CM49"/>
  <c r="O50"/>
  <c r="V49"/>
  <c r="AX49"/>
  <c r="BB49"/>
  <c r="CQ49"/>
  <c r="DB49"/>
  <c r="O49"/>
  <c r="DA49"/>
  <c r="P50"/>
  <c r="K50"/>
  <c r="K49"/>
  <c r="AS49"/>
  <c r="CL49"/>
  <c r="CT49"/>
  <c r="AB49"/>
  <c r="CG49"/>
  <c r="BA49"/>
  <c r="CD49"/>
  <c r="BT49"/>
  <c r="BD49"/>
  <c r="BY49"/>
  <c r="CP49"/>
  <c r="N50"/>
  <c r="S49"/>
  <c r="H50"/>
  <c r="CH49"/>
  <c r="CZ49"/>
  <c r="AC49"/>
  <c r="DE49"/>
  <c r="CV49"/>
  <c r="X49"/>
  <c r="BU49"/>
  <c r="CB49"/>
  <c r="BS49"/>
  <c r="AA49"/>
  <c r="AJ49"/>
  <c r="DD49"/>
  <c r="Z49"/>
  <c r="BZ49"/>
  <c r="L50"/>
  <c r="CA49"/>
  <c r="AM49"/>
  <c r="J50"/>
  <c r="G50"/>
  <c r="I49"/>
  <c r="BC49"/>
  <c r="CS49"/>
  <c r="CJ49"/>
  <c r="DC49"/>
  <c r="BP49"/>
  <c r="L49"/>
  <c r="BI49"/>
  <c r="U49"/>
  <c r="H49"/>
  <c r="BW51" l="1"/>
  <c r="DE51"/>
  <c r="AC51"/>
  <c r="CQ51"/>
  <c r="BS51"/>
  <c r="O51"/>
  <c r="BD51"/>
  <c r="G51"/>
  <c r="AI51"/>
  <c r="AS51"/>
  <c r="AX51"/>
  <c r="CH51"/>
  <c r="BY51"/>
  <c r="BX51"/>
  <c r="CF51"/>
  <c r="BH51"/>
  <c r="AQ51"/>
  <c r="CJ51"/>
  <c r="CE51"/>
  <c r="DB51"/>
  <c r="AO51"/>
  <c r="CW51"/>
  <c r="AN51"/>
  <c r="CC51"/>
  <c r="AV51"/>
  <c r="CA51"/>
  <c r="DC51"/>
  <c r="CG51"/>
  <c r="T51"/>
  <c r="AR51"/>
  <c r="AA51"/>
  <c r="K51"/>
  <c r="AJ51"/>
  <c r="BU51"/>
  <c r="CK51"/>
  <c r="CI51"/>
  <c r="AY51"/>
  <c r="DF51"/>
  <c r="Y51"/>
  <c r="AT51"/>
  <c r="AU51"/>
  <c r="BZ51"/>
  <c r="J51"/>
  <c r="DA51"/>
  <c r="DD51"/>
  <c r="CR51"/>
  <c r="CU51"/>
  <c r="CD51"/>
  <c r="M51"/>
  <c r="CP51"/>
  <c r="CM51"/>
  <c r="P51"/>
  <c r="AB51"/>
  <c r="BA51"/>
  <c r="L51"/>
  <c r="CZ51"/>
  <c r="AD51"/>
  <c r="X51"/>
  <c r="BC51"/>
  <c r="CT51"/>
  <c r="N51"/>
  <c r="Z51"/>
  <c r="CS51"/>
  <c r="BI51"/>
  <c r="AM51"/>
  <c r="BT51"/>
  <c r="CL51"/>
  <c r="AW51"/>
  <c r="CV51"/>
  <c r="CX51"/>
  <c r="BB51"/>
  <c r="CB51"/>
  <c r="BR51"/>
  <c r="BV51"/>
  <c r="AP51"/>
  <c r="AZ51"/>
  <c r="H51"/>
  <c r="Q49"/>
  <c r="BJ49"/>
  <c r="BJ51" l="1"/>
  <c r="D46" l="1"/>
  <c r="D45"/>
  <c r="BL43"/>
  <c r="BL42"/>
  <c r="BL41"/>
  <c r="BF39"/>
  <c r="AF45"/>
  <c r="DC45"/>
  <c r="CV45"/>
  <c r="BS45"/>
  <c r="BZ45"/>
  <c r="BA45"/>
  <c r="CM45"/>
  <c r="G45"/>
  <c r="H45"/>
  <c r="M45"/>
  <c r="BV45"/>
  <c r="BY45"/>
  <c r="AG45"/>
  <c r="O45"/>
  <c r="CS45"/>
  <c r="AW45"/>
  <c r="CT45"/>
  <c r="CD45"/>
  <c r="K45"/>
  <c r="CK45"/>
  <c r="CU45"/>
  <c r="AT45"/>
  <c r="W45"/>
  <c r="BU45"/>
  <c r="T45"/>
  <c r="AD45"/>
  <c r="X45"/>
  <c r="P45"/>
  <c r="CP45"/>
  <c r="CZ45"/>
  <c r="BQ45"/>
  <c r="BB45"/>
  <c r="AR45"/>
  <c r="CE45"/>
  <c r="Y45"/>
  <c r="AU45"/>
  <c r="BI45"/>
  <c r="CX45"/>
  <c r="AN45"/>
  <c r="DA45"/>
  <c r="CF45"/>
  <c r="CJ45"/>
  <c r="AZ45"/>
  <c r="CG45"/>
  <c r="U45"/>
  <c r="BC45"/>
  <c r="BD45"/>
  <c r="CQ45"/>
  <c r="DE45"/>
  <c r="BP45"/>
  <c r="BE45"/>
  <c r="L45"/>
  <c r="CY45"/>
  <c r="AP45"/>
  <c r="AS45"/>
  <c r="AQ45"/>
  <c r="Z45"/>
  <c r="AI45"/>
  <c r="AY45"/>
  <c r="AV45"/>
  <c r="AA45"/>
  <c r="CN45"/>
  <c r="AO45"/>
  <c r="DF45"/>
  <c r="DD45"/>
  <c r="AM45"/>
  <c r="V45"/>
  <c r="AB45"/>
  <c r="BR45"/>
  <c r="I45"/>
  <c r="N45"/>
  <c r="CC45"/>
  <c r="CA45"/>
  <c r="AC45"/>
  <c r="BX45"/>
  <c r="AX45"/>
  <c r="DB45"/>
  <c r="CB45"/>
  <c r="CH45"/>
  <c r="BT45"/>
  <c r="BW45"/>
  <c r="CR45"/>
  <c r="CO45"/>
  <c r="CL45"/>
  <c r="BO45"/>
  <c r="CW45"/>
  <c r="CI45"/>
  <c r="J45"/>
  <c r="J46" l="1"/>
  <c r="N46"/>
  <c r="W46"/>
  <c r="G46"/>
  <c r="Q45"/>
  <c r="I46"/>
  <c r="K46"/>
  <c r="M46"/>
  <c r="O46"/>
  <c r="T46"/>
  <c r="V46"/>
  <c r="X46"/>
  <c r="Z46"/>
  <c r="AB46"/>
  <c r="AD46"/>
  <c r="AG46"/>
  <c r="AM46"/>
  <c r="BF45"/>
  <c r="AO46"/>
  <c r="AQ46"/>
  <c r="AS46"/>
  <c r="AU46"/>
  <c r="AW46"/>
  <c r="AY46"/>
  <c r="BA46"/>
  <c r="BC46"/>
  <c r="BE46"/>
  <c r="BP46"/>
  <c r="BR46"/>
  <c r="BT46"/>
  <c r="BV46"/>
  <c r="BX46"/>
  <c r="BZ46"/>
  <c r="CB46"/>
  <c r="CD46"/>
  <c r="CF46"/>
  <c r="CF84" s="1"/>
  <c r="CH46"/>
  <c r="CJ46"/>
  <c r="CL46"/>
  <c r="CN46"/>
  <c r="CP46"/>
  <c r="CR46"/>
  <c r="CT46"/>
  <c r="CV46"/>
  <c r="CX46"/>
  <c r="CZ46"/>
  <c r="DB46"/>
  <c r="DD46"/>
  <c r="DF46"/>
  <c r="H46"/>
  <c r="L46"/>
  <c r="P46"/>
  <c r="U46"/>
  <c r="Y46"/>
  <c r="AA46"/>
  <c r="AC46"/>
  <c r="AF46"/>
  <c r="AI46"/>
  <c r="AN46"/>
  <c r="AP46"/>
  <c r="AR46"/>
  <c r="AT46"/>
  <c r="AV46"/>
  <c r="AX46"/>
  <c r="AZ46"/>
  <c r="BB46"/>
  <c r="BD46"/>
  <c r="BD84" s="1"/>
  <c r="BI46"/>
  <c r="BO46"/>
  <c r="BQ46"/>
  <c r="BS46"/>
  <c r="BU46"/>
  <c r="BW46"/>
  <c r="BY46"/>
  <c r="CA46"/>
  <c r="CC46"/>
  <c r="CE46"/>
  <c r="CG46"/>
  <c r="CG84" s="1"/>
  <c r="CI46"/>
  <c r="CK46"/>
  <c r="CM46"/>
  <c r="CO46"/>
  <c r="CQ46"/>
  <c r="CS46"/>
  <c r="CU46"/>
  <c r="CW46"/>
  <c r="CY46"/>
  <c r="DA46"/>
  <c r="DC46"/>
  <c r="DE46"/>
  <c r="BC84" l="1"/>
  <c r="AD84"/>
  <c r="AC84" s="1"/>
  <c r="BF46"/>
  <c r="Q46"/>
  <c r="CE84"/>
  <c r="CD84" s="1"/>
  <c r="CC84" s="1"/>
  <c r="CB84" s="1"/>
  <c r="CA84" s="1"/>
  <c r="BZ84" s="1"/>
  <c r="BY84" s="1"/>
  <c r="BX84" s="1"/>
  <c r="BW84" s="1"/>
  <c r="BV84" s="1"/>
  <c r="BU84" s="1"/>
  <c r="DH46"/>
  <c r="D38" l="1"/>
  <c r="D37" l="1"/>
  <c r="DH36"/>
  <c r="BL36"/>
  <c r="CL37"/>
  <c r="AS37"/>
  <c r="Y37"/>
  <c r="CX37"/>
  <c r="DA37"/>
  <c r="AU37"/>
  <c r="U37"/>
  <c r="CD37"/>
  <c r="CY37"/>
  <c r="AC37"/>
  <c r="J37"/>
  <c r="AW37"/>
  <c r="CZ37"/>
  <c r="AQ37"/>
  <c r="AF37"/>
  <c r="BP37"/>
  <c r="AP37"/>
  <c r="AG37"/>
  <c r="AO37"/>
  <c r="AR37"/>
  <c r="AN37"/>
  <c r="CE37"/>
  <c r="CB37"/>
  <c r="DC37"/>
  <c r="T37"/>
  <c r="BV37"/>
  <c r="BD37"/>
  <c r="AJ37"/>
  <c r="H37"/>
  <c r="BC37"/>
  <c r="BX37"/>
  <c r="AY37"/>
  <c r="DD37"/>
  <c r="S37"/>
  <c r="BY37"/>
  <c r="BI37"/>
  <c r="AX37"/>
  <c r="CG37"/>
  <c r="AI37"/>
  <c r="X37"/>
  <c r="AB37"/>
  <c r="BW37"/>
  <c r="BA37"/>
  <c r="BQ37"/>
  <c r="N37"/>
  <c r="DF37"/>
  <c r="BH37"/>
  <c r="CM37"/>
  <c r="CJ37"/>
  <c r="CK37"/>
  <c r="AD37"/>
  <c r="DB37"/>
  <c r="I37"/>
  <c r="AM37"/>
  <c r="BS37"/>
  <c r="CC37"/>
  <c r="CV37"/>
  <c r="CO37"/>
  <c r="CW37"/>
  <c r="V37"/>
  <c r="AA37"/>
  <c r="M37"/>
  <c r="BT37"/>
  <c r="O37"/>
  <c r="CS37"/>
  <c r="BO37"/>
  <c r="DE37"/>
  <c r="CH37"/>
  <c r="CA37"/>
  <c r="CI37"/>
  <c r="L37"/>
  <c r="CU37"/>
  <c r="BZ37"/>
  <c r="P37"/>
  <c r="BU37"/>
  <c r="AZ37"/>
  <c r="CT37"/>
  <c r="CR37"/>
  <c r="AV37"/>
  <c r="W37"/>
  <c r="Z37"/>
  <c r="CP37"/>
  <c r="G37"/>
  <c r="CQ37"/>
  <c r="AT37"/>
  <c r="CF37"/>
  <c r="BR37"/>
  <c r="BB37"/>
  <c r="K37"/>
  <c r="BE37"/>
  <c r="CN37"/>
  <c r="G38" l="1"/>
  <c r="Q37"/>
  <c r="I38"/>
  <c r="M38"/>
  <c r="T38"/>
  <c r="X38"/>
  <c r="AB38"/>
  <c r="AG38"/>
  <c r="AM38"/>
  <c r="BF37"/>
  <c r="H38"/>
  <c r="J38"/>
  <c r="L38"/>
  <c r="N38"/>
  <c r="P38"/>
  <c r="S38"/>
  <c r="AK37"/>
  <c r="U38"/>
  <c r="W38"/>
  <c r="Y38"/>
  <c r="AA38"/>
  <c r="AC38"/>
  <c r="AF38"/>
  <c r="AI38"/>
  <c r="AN38"/>
  <c r="AP38"/>
  <c r="AR38"/>
  <c r="AT38"/>
  <c r="AV38"/>
  <c r="AX38"/>
  <c r="AZ38"/>
  <c r="BB38"/>
  <c r="BD38"/>
  <c r="BI38"/>
  <c r="BO38"/>
  <c r="DH37"/>
  <c r="BQ38"/>
  <c r="BS38"/>
  <c r="BU38"/>
  <c r="BW38"/>
  <c r="BY38"/>
  <c r="CA38"/>
  <c r="CC38"/>
  <c r="CE38"/>
  <c r="CG38"/>
  <c r="CI38"/>
  <c r="CK38"/>
  <c r="CM38"/>
  <c r="CO38"/>
  <c r="CQ38"/>
  <c r="CS38"/>
  <c r="CU38"/>
  <c r="CW38"/>
  <c r="CY38"/>
  <c r="DA38"/>
  <c r="DC38"/>
  <c r="DE38"/>
  <c r="K38"/>
  <c r="O38"/>
  <c r="V38"/>
  <c r="Z38"/>
  <c r="AD38"/>
  <c r="AJ38"/>
  <c r="AO38"/>
  <c r="AQ38"/>
  <c r="AS38"/>
  <c r="AU38"/>
  <c r="AW38"/>
  <c r="AY38"/>
  <c r="BA38"/>
  <c r="BC38"/>
  <c r="BE38"/>
  <c r="BH38"/>
  <c r="BJ37"/>
  <c r="BP38"/>
  <c r="BR38"/>
  <c r="BT38"/>
  <c r="BV38"/>
  <c r="BX38"/>
  <c r="BZ38"/>
  <c r="CB38"/>
  <c r="CD38"/>
  <c r="CF38"/>
  <c r="CH38"/>
  <c r="CJ38"/>
  <c r="CL38"/>
  <c r="CN38"/>
  <c r="CP38"/>
  <c r="CR38"/>
  <c r="CT38"/>
  <c r="CV38"/>
  <c r="CX38"/>
  <c r="CZ38"/>
  <c r="DB38"/>
  <c r="DD38"/>
  <c r="DF38"/>
  <c r="BL37" l="1"/>
  <c r="AK38"/>
  <c r="BF38"/>
  <c r="Q38"/>
  <c r="DH38"/>
  <c r="D35" l="1"/>
  <c r="D34" l="1"/>
  <c r="DH33"/>
  <c r="BL33"/>
  <c r="CX34"/>
  <c r="AP34"/>
  <c r="AQ34"/>
  <c r="CB34"/>
  <c r="BT34"/>
  <c r="AF34"/>
  <c r="BA34"/>
  <c r="AI34"/>
  <c r="AG34"/>
  <c r="Y34"/>
  <c r="M34"/>
  <c r="AT34"/>
  <c r="CN34"/>
  <c r="BU34"/>
  <c r="CY34"/>
  <c r="CJ34"/>
  <c r="V34"/>
  <c r="AZ34"/>
  <c r="AB34"/>
  <c r="CK34"/>
  <c r="CA34"/>
  <c r="CF34"/>
  <c r="CT34"/>
  <c r="DF34"/>
  <c r="BS34"/>
  <c r="BD34"/>
  <c r="AJ34"/>
  <c r="BB34"/>
  <c r="G34"/>
  <c r="BR34"/>
  <c r="AX34"/>
  <c r="CM34"/>
  <c r="CE34"/>
  <c r="AD34"/>
  <c r="CL34"/>
  <c r="Z34"/>
  <c r="CV34"/>
  <c r="W34"/>
  <c r="BC34"/>
  <c r="CU34"/>
  <c r="AA34"/>
  <c r="U34"/>
  <c r="K34"/>
  <c r="AU34"/>
  <c r="CQ34"/>
  <c r="BO34"/>
  <c r="AN34"/>
  <c r="J34"/>
  <c r="BW34"/>
  <c r="BQ34"/>
  <c r="DD34"/>
  <c r="I34"/>
  <c r="CO34"/>
  <c r="CD34"/>
  <c r="CI34"/>
  <c r="CP34"/>
  <c r="X34"/>
  <c r="CR34"/>
  <c r="CW34"/>
  <c r="AO34"/>
  <c r="CG34"/>
  <c r="DC34"/>
  <c r="BI34"/>
  <c r="CC34"/>
  <c r="S34"/>
  <c r="T34"/>
  <c r="BP34"/>
  <c r="AS34"/>
  <c r="H34"/>
  <c r="BX34"/>
  <c r="AY34"/>
  <c r="L34"/>
  <c r="BY34"/>
  <c r="AM34"/>
  <c r="CH34"/>
  <c r="CS34"/>
  <c r="AV34"/>
  <c r="AR34"/>
  <c r="CZ34"/>
  <c r="DE34"/>
  <c r="BV34"/>
  <c r="N34"/>
  <c r="BZ34"/>
  <c r="O34"/>
  <c r="AW34"/>
  <c r="DB34"/>
  <c r="DA34"/>
  <c r="J35" l="1"/>
  <c r="N35"/>
  <c r="S35"/>
  <c r="W35"/>
  <c r="G35"/>
  <c r="I35"/>
  <c r="K35"/>
  <c r="M35"/>
  <c r="O35"/>
  <c r="T35"/>
  <c r="V35"/>
  <c r="X35"/>
  <c r="Z35"/>
  <c r="AB35"/>
  <c r="AD35"/>
  <c r="AG35"/>
  <c r="AJ35"/>
  <c r="AM35"/>
  <c r="AO35"/>
  <c r="AQ35"/>
  <c r="AS35"/>
  <c r="AU35"/>
  <c r="AW35"/>
  <c r="AY35"/>
  <c r="BA35"/>
  <c r="BC35"/>
  <c r="BO35"/>
  <c r="DH34"/>
  <c r="BQ35"/>
  <c r="BS35"/>
  <c r="BU35"/>
  <c r="BW35"/>
  <c r="BY35"/>
  <c r="CA35"/>
  <c r="CC35"/>
  <c r="CE35"/>
  <c r="CG35"/>
  <c r="CI35"/>
  <c r="CK35"/>
  <c r="CM35"/>
  <c r="CO35"/>
  <c r="CQ35"/>
  <c r="CS35"/>
  <c r="CU35"/>
  <c r="CW35"/>
  <c r="CY35"/>
  <c r="DA35"/>
  <c r="DC35"/>
  <c r="DE35"/>
  <c r="H35"/>
  <c r="L35"/>
  <c r="U35"/>
  <c r="Y35"/>
  <c r="AA35"/>
  <c r="AF35"/>
  <c r="AI35"/>
  <c r="AN35"/>
  <c r="AP35"/>
  <c r="AR35"/>
  <c r="AT35"/>
  <c r="AV35"/>
  <c r="AX35"/>
  <c r="AZ35"/>
  <c r="BB35"/>
  <c r="BD35"/>
  <c r="BI35"/>
  <c r="BP35"/>
  <c r="BR35"/>
  <c r="BT35"/>
  <c r="BV35"/>
  <c r="BX35"/>
  <c r="BZ35"/>
  <c r="CB35"/>
  <c r="CD35"/>
  <c r="CF35"/>
  <c r="CH35"/>
  <c r="CJ35"/>
  <c r="CL35"/>
  <c r="CN35"/>
  <c r="CP35"/>
  <c r="CR35"/>
  <c r="CT35"/>
  <c r="CV35"/>
  <c r="CX35"/>
  <c r="CZ35"/>
  <c r="DB35"/>
  <c r="DD35"/>
  <c r="DF35"/>
  <c r="DH35" l="1"/>
  <c r="D32" l="1"/>
  <c r="D30" l="1"/>
  <c r="D29"/>
  <c r="AN30"/>
  <c r="BA29"/>
  <c r="CQ29"/>
  <c r="AA29"/>
  <c r="BY30"/>
  <c r="CI29"/>
  <c r="BW30"/>
  <c r="Y29"/>
  <c r="L30"/>
  <c r="BT29"/>
  <c r="AT29"/>
  <c r="BV29"/>
  <c r="U30"/>
  <c r="CR30"/>
  <c r="CX30"/>
  <c r="CT30"/>
  <c r="V30"/>
  <c r="CF30"/>
  <c r="CZ29"/>
  <c r="DF29"/>
  <c r="DD29"/>
  <c r="AC29"/>
  <c r="CX29"/>
  <c r="AM30"/>
  <c r="AW29"/>
  <c r="CP30"/>
  <c r="AV29"/>
  <c r="CH30"/>
  <c r="BB29"/>
  <c r="BB30"/>
  <c r="CU30"/>
  <c r="BZ29"/>
  <c r="BO30"/>
  <c r="Z30"/>
  <c r="AG29"/>
  <c r="CJ30"/>
  <c r="K30"/>
  <c r="AY30"/>
  <c r="AG30"/>
  <c r="BR30"/>
  <c r="J30"/>
  <c r="P30"/>
  <c r="AM29"/>
  <c r="AW30"/>
  <c r="BY29"/>
  <c r="BC29"/>
  <c r="AA30"/>
  <c r="AD29"/>
  <c r="AU30"/>
  <c r="BH30"/>
  <c r="AI29"/>
  <c r="T30"/>
  <c r="CE29"/>
  <c r="BW29"/>
  <c r="U29"/>
  <c r="CF29"/>
  <c r="CO30"/>
  <c r="CY30"/>
  <c r="AX29"/>
  <c r="AB30"/>
  <c r="CD30"/>
  <c r="AQ30"/>
  <c r="CV30"/>
  <c r="X29"/>
  <c r="AF30"/>
  <c r="BD30"/>
  <c r="AF29"/>
  <c r="AR29"/>
  <c r="N29"/>
  <c r="CG29"/>
  <c r="BI30"/>
  <c r="AZ29"/>
  <c r="DB29"/>
  <c r="BI29"/>
  <c r="BS29"/>
  <c r="AR30"/>
  <c r="Z29"/>
  <c r="AO29"/>
  <c r="BP30"/>
  <c r="AT30"/>
  <c r="CJ29"/>
  <c r="J29"/>
  <c r="AZ30"/>
  <c r="CY29"/>
  <c r="O30"/>
  <c r="BE30"/>
  <c r="DF30"/>
  <c r="M29"/>
  <c r="BV30"/>
  <c r="CS29"/>
  <c r="BS30"/>
  <c r="K29"/>
  <c r="S30"/>
  <c r="CN29"/>
  <c r="I29"/>
  <c r="DC29"/>
  <c r="M30"/>
  <c r="AY29"/>
  <c r="CQ30"/>
  <c r="BX30"/>
  <c r="W29"/>
  <c r="CK30"/>
  <c r="BU30"/>
  <c r="CH29"/>
  <c r="CC29"/>
  <c r="CZ30"/>
  <c r="BA30"/>
  <c r="CS30"/>
  <c r="AQ29"/>
  <c r="CM29"/>
  <c r="BE29"/>
  <c r="AP29"/>
  <c r="AS29"/>
  <c r="AX30"/>
  <c r="DE29"/>
  <c r="CM30"/>
  <c r="BQ29"/>
  <c r="P29"/>
  <c r="X30"/>
  <c r="DB30"/>
  <c r="DE30"/>
  <c r="G29"/>
  <c r="CC30"/>
  <c r="CA29"/>
  <c r="BH29"/>
  <c r="BQ30"/>
  <c r="G30"/>
  <c r="AC30"/>
  <c r="CA30"/>
  <c r="BU29"/>
  <c r="DA30"/>
  <c r="CK29"/>
  <c r="CT29"/>
  <c r="AJ29"/>
  <c r="CB30"/>
  <c r="BP29"/>
  <c r="CR29"/>
  <c r="CL29"/>
  <c r="DC30"/>
  <c r="AS30"/>
  <c r="BZ30"/>
  <c r="CW30"/>
  <c r="AV30"/>
  <c r="DD30"/>
  <c r="AU29"/>
  <c r="CN30"/>
  <c r="AJ30"/>
  <c r="BR29"/>
  <c r="S29"/>
  <c r="AD30"/>
  <c r="BC30"/>
  <c r="N30"/>
  <c r="CD29"/>
  <c r="AN29"/>
  <c r="H29"/>
  <c r="CG30"/>
  <c r="CL30"/>
  <c r="CE30"/>
  <c r="CI30"/>
  <c r="Y30"/>
  <c r="AP30"/>
  <c r="AB29"/>
  <c r="BO29"/>
  <c r="CO29"/>
  <c r="W30"/>
  <c r="DA29"/>
  <c r="BX29"/>
  <c r="CP29"/>
  <c r="BD29"/>
  <c r="L29"/>
  <c r="H30"/>
  <c r="AO30"/>
  <c r="AI30"/>
  <c r="CB29"/>
  <c r="BT30"/>
  <c r="I30"/>
  <c r="T29"/>
  <c r="H31" l="1"/>
  <c r="L31"/>
  <c r="G31"/>
  <c r="I31"/>
  <c r="K31"/>
  <c r="M31"/>
  <c r="T31"/>
  <c r="X31"/>
  <c r="Z31"/>
  <c r="AB31"/>
  <c r="AD31"/>
  <c r="AG31"/>
  <c r="AJ31"/>
  <c r="AM31"/>
  <c r="BF29"/>
  <c r="AO31"/>
  <c r="AQ31"/>
  <c r="AS31"/>
  <c r="AU31"/>
  <c r="AW31"/>
  <c r="AY31"/>
  <c r="BA31"/>
  <c r="BC31"/>
  <c r="BE31"/>
  <c r="BH31"/>
  <c r="BJ29"/>
  <c r="BO31"/>
  <c r="BQ31"/>
  <c r="BS31"/>
  <c r="BU31"/>
  <c r="BW31"/>
  <c r="BY31"/>
  <c r="CA31"/>
  <c r="CC31"/>
  <c r="CE31"/>
  <c r="CG31"/>
  <c r="CI31"/>
  <c r="CK31"/>
  <c r="CM31"/>
  <c r="CO31"/>
  <c r="CQ31"/>
  <c r="CS31"/>
  <c r="CY31"/>
  <c r="DA31"/>
  <c r="DC31"/>
  <c r="DE31"/>
  <c r="Q30"/>
  <c r="J31"/>
  <c r="N31"/>
  <c r="P31"/>
  <c r="S31"/>
  <c r="U31"/>
  <c r="W31"/>
  <c r="Y31"/>
  <c r="AA31"/>
  <c r="AC31"/>
  <c r="AF31"/>
  <c r="AI31"/>
  <c r="AN31"/>
  <c r="AP31"/>
  <c r="AR31"/>
  <c r="AT31"/>
  <c r="AV31"/>
  <c r="AX31"/>
  <c r="AZ31"/>
  <c r="BB31"/>
  <c r="BD31"/>
  <c r="BI31"/>
  <c r="BP31"/>
  <c r="BR31"/>
  <c r="BT31"/>
  <c r="BV31"/>
  <c r="BX31"/>
  <c r="BZ31"/>
  <c r="CB31"/>
  <c r="CD31"/>
  <c r="CF31"/>
  <c r="CH31"/>
  <c r="CJ31"/>
  <c r="CL31"/>
  <c r="CN31"/>
  <c r="CP31"/>
  <c r="CR31"/>
  <c r="CT31"/>
  <c r="CX31"/>
  <c r="CZ31"/>
  <c r="DB31"/>
  <c r="DD31"/>
  <c r="DF31"/>
  <c r="AK30"/>
  <c r="BF30"/>
  <c r="BJ30"/>
  <c r="DH30"/>
  <c r="BL30" l="1"/>
  <c r="BF31"/>
  <c r="BJ31"/>
  <c r="D27" l="1"/>
  <c r="D26"/>
  <c r="I27"/>
  <c r="AC27"/>
  <c r="AV27"/>
  <c r="AS26"/>
  <c r="CV27"/>
  <c r="BH26"/>
  <c r="BA27"/>
  <c r="AD27"/>
  <c r="AI26"/>
  <c r="CD27"/>
  <c r="BD26"/>
  <c r="AX26"/>
  <c r="CH25"/>
  <c r="BW25"/>
  <c r="BE26"/>
  <c r="J27"/>
  <c r="CB27"/>
  <c r="CM26"/>
  <c r="CF25"/>
  <c r="CW25"/>
  <c r="AU27"/>
  <c r="CZ26"/>
  <c r="BX26"/>
  <c r="DC27"/>
  <c r="AF27"/>
  <c r="AY27"/>
  <c r="P26"/>
  <c r="CI25"/>
  <c r="CY27"/>
  <c r="AQ27"/>
  <c r="BC27"/>
  <c r="N27"/>
  <c r="DE26"/>
  <c r="CL25"/>
  <c r="BB27"/>
  <c r="W27"/>
  <c r="CY26"/>
  <c r="BE27"/>
  <c r="H26"/>
  <c r="BU26"/>
  <c r="CJ25"/>
  <c r="CE26"/>
  <c r="BZ25"/>
  <c r="BS27"/>
  <c r="AX27"/>
  <c r="CG27"/>
  <c r="L27"/>
  <c r="CJ27"/>
  <c r="CP27"/>
  <c r="CV25"/>
  <c r="CQ27"/>
  <c r="Z27"/>
  <c r="CA27"/>
  <c r="CP25"/>
  <c r="P27"/>
  <c r="BR26"/>
  <c r="CR27"/>
  <c r="AU26"/>
  <c r="CK27"/>
  <c r="DE25"/>
  <c r="CH26"/>
  <c r="DA26"/>
  <c r="AY26"/>
  <c r="AT27"/>
  <c r="CY25"/>
  <c r="BZ27"/>
  <c r="CC26"/>
  <c r="BO26"/>
  <c r="BH27"/>
  <c r="Z26"/>
  <c r="DC26"/>
  <c r="CX27"/>
  <c r="AP26"/>
  <c r="AT26"/>
  <c r="AG27"/>
  <c r="CO25"/>
  <c r="CZ25"/>
  <c r="BT27"/>
  <c r="DD25"/>
  <c r="AF26"/>
  <c r="O26"/>
  <c r="AJ27"/>
  <c r="CN26"/>
  <c r="DD27"/>
  <c r="BX27"/>
  <c r="AB26"/>
  <c r="G27"/>
  <c r="AM27"/>
  <c r="AA26"/>
  <c r="CM25"/>
  <c r="DC25"/>
  <c r="CD26"/>
  <c r="AG26"/>
  <c r="O27"/>
  <c r="CN27"/>
  <c r="BZ26"/>
  <c r="BV26"/>
  <c r="U26"/>
  <c r="M27"/>
  <c r="BP27"/>
  <c r="AN26"/>
  <c r="CE25"/>
  <c r="CC25"/>
  <c r="CZ27"/>
  <c r="CM27"/>
  <c r="BS25"/>
  <c r="J26"/>
  <c r="S26"/>
  <c r="AI27"/>
  <c r="AM26"/>
  <c r="AJ26"/>
  <c r="H27"/>
  <c r="BV25"/>
  <c r="BI27"/>
  <c r="CI27"/>
  <c r="BW27"/>
  <c r="CJ26"/>
  <c r="AA27"/>
  <c r="CW27"/>
  <c r="DE27"/>
  <c r="CT26"/>
  <c r="BT26"/>
  <c r="AD26"/>
  <c r="CA25"/>
  <c r="CR25"/>
  <c r="BY25"/>
  <c r="CL26"/>
  <c r="CS26"/>
  <c r="BT25"/>
  <c r="DF25"/>
  <c r="CP26"/>
  <c r="CG26"/>
  <c r="BP26"/>
  <c r="V27"/>
  <c r="BA26"/>
  <c r="AW27"/>
  <c r="AW26"/>
  <c r="CX25"/>
  <c r="CG25"/>
  <c r="X27"/>
  <c r="CF26"/>
  <c r="CR26"/>
  <c r="AS27"/>
  <c r="CQ26"/>
  <c r="BW26"/>
  <c r="W26"/>
  <c r="DF26"/>
  <c r="CT27"/>
  <c r="AR27"/>
  <c r="DA25"/>
  <c r="M26"/>
  <c r="BU27"/>
  <c r="BO27"/>
  <c r="AP27"/>
  <c r="DB25"/>
  <c r="CS27"/>
  <c r="AZ27"/>
  <c r="BR25"/>
  <c r="U27"/>
  <c r="CB26"/>
  <c r="AV26"/>
  <c r="CH27"/>
  <c r="CI26"/>
  <c r="CT25"/>
  <c r="BY26"/>
  <c r="AB27"/>
  <c r="DB26"/>
  <c r="AZ26"/>
  <c r="DD26"/>
  <c r="AR26"/>
  <c r="BD27"/>
  <c r="CF27"/>
  <c r="AO26"/>
  <c r="CD25"/>
  <c r="CA26"/>
  <c r="BQ27"/>
  <c r="CU25"/>
  <c r="BC26"/>
  <c r="CS25"/>
  <c r="X26"/>
  <c r="Y27"/>
  <c r="CO27"/>
  <c r="AQ26"/>
  <c r="CK25"/>
  <c r="BU25"/>
  <c r="CQ25"/>
  <c r="AC26"/>
  <c r="G26"/>
  <c r="T27"/>
  <c r="CE27"/>
  <c r="CL27"/>
  <c r="I26"/>
  <c r="BV27"/>
  <c r="S27"/>
  <c r="BR27"/>
  <c r="BB26"/>
  <c r="K26"/>
  <c r="AO27"/>
  <c r="CC27"/>
  <c r="DA27"/>
  <c r="BQ26"/>
  <c r="BY27"/>
  <c r="CU27"/>
  <c r="CB25"/>
  <c r="CX26"/>
  <c r="CK26"/>
  <c r="BI26"/>
  <c r="CO26"/>
  <c r="BS26"/>
  <c r="L26"/>
  <c r="T26"/>
  <c r="BX25"/>
  <c r="Y26"/>
  <c r="K27"/>
  <c r="DF27"/>
  <c r="DB27"/>
  <c r="AN27"/>
  <c r="CN25"/>
  <c r="H28" l="1"/>
  <c r="J28"/>
  <c r="L28"/>
  <c r="P28"/>
  <c r="S28"/>
  <c r="U28"/>
  <c r="W28"/>
  <c r="Y28"/>
  <c r="AA28"/>
  <c r="AC28"/>
  <c r="AF28"/>
  <c r="AI28"/>
  <c r="AN28"/>
  <c r="AP28"/>
  <c r="AR28"/>
  <c r="AT28"/>
  <c r="AV28"/>
  <c r="AX28"/>
  <c r="AZ28"/>
  <c r="BB28"/>
  <c r="BD28"/>
  <c r="BI28"/>
  <c r="BO28"/>
  <c r="BQ28"/>
  <c r="BS28"/>
  <c r="BU28"/>
  <c r="BW28"/>
  <c r="BY28"/>
  <c r="CA28"/>
  <c r="CC28"/>
  <c r="CE28"/>
  <c r="CG28"/>
  <c r="CI28"/>
  <c r="CK28"/>
  <c r="CM28"/>
  <c r="CO28"/>
  <c r="CQ28"/>
  <c r="CS28"/>
  <c r="CY28"/>
  <c r="DA28"/>
  <c r="DC28"/>
  <c r="DE28"/>
  <c r="Q27"/>
  <c r="G28"/>
  <c r="I28"/>
  <c r="K28"/>
  <c r="M28"/>
  <c r="O28"/>
  <c r="T28"/>
  <c r="X28"/>
  <c r="Z28"/>
  <c r="AB28"/>
  <c r="AD28"/>
  <c r="AG28"/>
  <c r="AJ28"/>
  <c r="AM28"/>
  <c r="BF26"/>
  <c r="AO28"/>
  <c r="AQ28"/>
  <c r="AS28"/>
  <c r="AU28"/>
  <c r="AW28"/>
  <c r="AY28"/>
  <c r="BA28"/>
  <c r="BC28"/>
  <c r="BE28"/>
  <c r="BH28"/>
  <c r="BJ26"/>
  <c r="BP28"/>
  <c r="BR28"/>
  <c r="BT28"/>
  <c r="BV28"/>
  <c r="BX28"/>
  <c r="BZ28"/>
  <c r="CB28"/>
  <c r="CD28"/>
  <c r="CF28"/>
  <c r="CH28"/>
  <c r="CJ28"/>
  <c r="CL28"/>
  <c r="CN28"/>
  <c r="CP28"/>
  <c r="CR28"/>
  <c r="CT28"/>
  <c r="CX28"/>
  <c r="CZ28"/>
  <c r="DB28"/>
  <c r="DD28"/>
  <c r="DF28"/>
  <c r="AK27"/>
  <c r="BF27"/>
  <c r="BJ27"/>
  <c r="DH27"/>
  <c r="BI25"/>
  <c r="BH25"/>
  <c r="BL27" l="1"/>
  <c r="BJ28"/>
  <c r="BJ25"/>
  <c r="BF28"/>
  <c r="AS25"/>
  <c r="X25"/>
  <c r="AV25"/>
  <c r="T25"/>
  <c r="AT25"/>
  <c r="O25"/>
  <c r="N25"/>
  <c r="K25"/>
  <c r="AD25"/>
  <c r="AW25"/>
  <c r="AI25"/>
  <c r="BC25"/>
  <c r="AR25"/>
  <c r="AA25"/>
  <c r="AG25"/>
  <c r="Z25"/>
  <c r="BA25"/>
  <c r="S25"/>
  <c r="AP25"/>
  <c r="AM25"/>
  <c r="G25"/>
  <c r="AJ25"/>
  <c r="AO25"/>
  <c r="Y25"/>
  <c r="P25"/>
  <c r="AQ25"/>
  <c r="AB25"/>
  <c r="AF25"/>
  <c r="H25"/>
  <c r="AY25"/>
  <c r="L25"/>
  <c r="AZ25"/>
  <c r="AN25"/>
  <c r="U25"/>
  <c r="J25"/>
  <c r="AX25"/>
  <c r="AU25"/>
  <c r="AC25"/>
  <c r="W25"/>
  <c r="BB25"/>
  <c r="BD25"/>
  <c r="I25"/>
  <c r="BE25"/>
  <c r="BF25" l="1"/>
  <c r="D25"/>
  <c r="D24"/>
  <c r="DH23"/>
  <c r="BL23"/>
  <c r="AA24"/>
  <c r="I24"/>
  <c r="N24"/>
  <c r="CX24"/>
  <c r="AQ24"/>
  <c r="CY24"/>
  <c r="AP24"/>
  <c r="T24"/>
  <c r="AR24"/>
  <c r="AX24"/>
  <c r="AV24"/>
  <c r="CZ24"/>
  <c r="P24"/>
  <c r="CD24"/>
  <c r="CW24"/>
  <c r="BI24"/>
  <c r="CL24"/>
  <c r="BV24"/>
  <c r="DF24"/>
  <c r="X24"/>
  <c r="CG24"/>
  <c r="Y24"/>
  <c r="CU24"/>
  <c r="AN24"/>
  <c r="BR24"/>
  <c r="AT24"/>
  <c r="AY24"/>
  <c r="BY24"/>
  <c r="CE24"/>
  <c r="CC24"/>
  <c r="AJ24"/>
  <c r="BT24"/>
  <c r="AB24"/>
  <c r="BH24"/>
  <c r="AO24"/>
  <c r="CA24"/>
  <c r="DB24"/>
  <c r="BS24"/>
  <c r="AU24"/>
  <c r="CP24"/>
  <c r="U24"/>
  <c r="BU24"/>
  <c r="CH24"/>
  <c r="AW24"/>
  <c r="AD24"/>
  <c r="BC24"/>
  <c r="CM24"/>
  <c r="G24"/>
  <c r="BB24"/>
  <c r="AF24"/>
  <c r="AI24"/>
  <c r="M24"/>
  <c r="BD24"/>
  <c r="H24"/>
  <c r="AM24"/>
  <c r="BE24"/>
  <c r="CO24"/>
  <c r="AG24"/>
  <c r="DE24"/>
  <c r="BZ24"/>
  <c r="O24"/>
  <c r="CS24"/>
  <c r="AS24"/>
  <c r="BW24"/>
  <c r="Z24"/>
  <c r="CV24"/>
  <c r="CB24"/>
  <c r="CT24"/>
  <c r="CF24"/>
  <c r="CJ24"/>
  <c r="AZ24"/>
  <c r="BA24"/>
  <c r="DA24"/>
  <c r="CK24"/>
  <c r="CI24"/>
  <c r="CN24"/>
  <c r="BX24"/>
  <c r="CQ24"/>
  <c r="W24"/>
  <c r="AC24"/>
  <c r="DD24"/>
  <c r="CR24"/>
  <c r="DC24"/>
  <c r="G32" l="1"/>
  <c r="T32"/>
  <c r="X32"/>
  <c r="AB32"/>
  <c r="AM32"/>
  <c r="BF24"/>
  <c r="H32"/>
  <c r="P32"/>
  <c r="U32"/>
  <c r="W32"/>
  <c r="Y32"/>
  <c r="AA32"/>
  <c r="AC32"/>
  <c r="AF32"/>
  <c r="AD32" s="1"/>
  <c r="AN32"/>
  <c r="AP32"/>
  <c r="AR32"/>
  <c r="AT32"/>
  <c r="AV32"/>
  <c r="AX32"/>
  <c r="AZ32"/>
  <c r="BB32"/>
  <c r="BD32"/>
  <c r="BI32"/>
  <c r="BS32"/>
  <c r="BU32"/>
  <c r="BW32"/>
  <c r="BY32"/>
  <c r="CA32"/>
  <c r="CC32"/>
  <c r="CE32"/>
  <c r="CG32"/>
  <c r="CI32"/>
  <c r="CK32"/>
  <c r="CM32"/>
  <c r="CO32"/>
  <c r="CQ32"/>
  <c r="CS32"/>
  <c r="CY32"/>
  <c r="DA32"/>
  <c r="DC32"/>
  <c r="DE32"/>
  <c r="I32"/>
  <c r="Z32"/>
  <c r="AJ32"/>
  <c r="AI32" s="1"/>
  <c r="AG32" s="1"/>
  <c r="AO32"/>
  <c r="AQ32"/>
  <c r="AS32"/>
  <c r="AU32"/>
  <c r="AW32"/>
  <c r="AY32"/>
  <c r="BA32"/>
  <c r="BC32"/>
  <c r="BE32"/>
  <c r="BH32"/>
  <c r="BJ24"/>
  <c r="BR32"/>
  <c r="BT32"/>
  <c r="BV32"/>
  <c r="BX32"/>
  <c r="BZ32"/>
  <c r="CB32"/>
  <c r="CD32"/>
  <c r="CF32"/>
  <c r="CH32"/>
  <c r="CJ32"/>
  <c r="CL32"/>
  <c r="CN32"/>
  <c r="CP32"/>
  <c r="CR32"/>
  <c r="CT32"/>
  <c r="CX32"/>
  <c r="CZ32"/>
  <c r="DB32"/>
  <c r="DD32"/>
  <c r="DF32"/>
  <c r="BF32" l="1"/>
  <c r="BJ32"/>
  <c r="D22" l="1"/>
  <c r="D21"/>
  <c r="DH20"/>
  <c r="BL20"/>
  <c r="CT21"/>
  <c r="AF21"/>
  <c r="CA21"/>
  <c r="H21"/>
  <c r="BE21"/>
  <c r="L21"/>
  <c r="CS21"/>
  <c r="AO21"/>
  <c r="AN21"/>
  <c r="P21"/>
  <c r="DA21"/>
  <c r="CJ21"/>
  <c r="DE21"/>
  <c r="AG21"/>
  <c r="CQ21"/>
  <c r="AI21"/>
  <c r="AR21"/>
  <c r="CP21"/>
  <c r="CV21"/>
  <c r="J21"/>
  <c r="AX21"/>
  <c r="AT21"/>
  <c r="O21"/>
  <c r="BB21"/>
  <c r="BH21"/>
  <c r="CF21"/>
  <c r="BY21"/>
  <c r="CH21"/>
  <c r="CG21"/>
  <c r="BS21"/>
  <c r="BX21"/>
  <c r="X21"/>
  <c r="DB21"/>
  <c r="CD21"/>
  <c r="AV21"/>
  <c r="K21"/>
  <c r="Z21"/>
  <c r="CN21"/>
  <c r="DF21"/>
  <c r="CB21"/>
  <c r="BI21"/>
  <c r="BC21"/>
  <c r="CY21"/>
  <c r="BV21"/>
  <c r="CM21"/>
  <c r="AA21"/>
  <c r="CO21"/>
  <c r="AJ21"/>
  <c r="AQ21"/>
  <c r="T21"/>
  <c r="CR21"/>
  <c r="CZ21"/>
  <c r="AC21"/>
  <c r="CL21"/>
  <c r="AY21"/>
  <c r="BD21"/>
  <c r="BT21"/>
  <c r="BA21"/>
  <c r="CC21"/>
  <c r="BR21"/>
  <c r="AZ21"/>
  <c r="CW21"/>
  <c r="CI21"/>
  <c r="CE21"/>
  <c r="AP21"/>
  <c r="AW21"/>
  <c r="AS21"/>
  <c r="AM21"/>
  <c r="AD21"/>
  <c r="CK21"/>
  <c r="Y21"/>
  <c r="BU21"/>
  <c r="BZ21"/>
  <c r="AU21"/>
  <c r="M21"/>
  <c r="BW21"/>
  <c r="CU21"/>
  <c r="G21"/>
  <c r="N21"/>
  <c r="CX21"/>
  <c r="DD21"/>
  <c r="H22" l="1"/>
  <c r="J22"/>
  <c r="L22"/>
  <c r="N22"/>
  <c r="P22"/>
  <c r="Y22"/>
  <c r="AA22"/>
  <c r="AC22"/>
  <c r="AF22"/>
  <c r="AI22"/>
  <c r="AN22"/>
  <c r="AP22"/>
  <c r="AR22"/>
  <c r="AT22"/>
  <c r="AV22"/>
  <c r="AX22"/>
  <c r="AZ22"/>
  <c r="BB22"/>
  <c r="BD22"/>
  <c r="BI22"/>
  <c r="BS22"/>
  <c r="BU22"/>
  <c r="BW22"/>
  <c r="BY22"/>
  <c r="CA22"/>
  <c r="CC22"/>
  <c r="CE22"/>
  <c r="CG22"/>
  <c r="CI22"/>
  <c r="CK22"/>
  <c r="CM22"/>
  <c r="CO22"/>
  <c r="CQ22"/>
  <c r="CS22"/>
  <c r="CU22"/>
  <c r="CW22"/>
  <c r="CY22"/>
  <c r="DA22"/>
  <c r="DE22"/>
  <c r="G22"/>
  <c r="K22"/>
  <c r="M22"/>
  <c r="O22"/>
  <c r="T22"/>
  <c r="X22"/>
  <c r="Z22"/>
  <c r="AD22"/>
  <c r="AG22"/>
  <c r="AJ22"/>
  <c r="AM22"/>
  <c r="BF21"/>
  <c r="AO22"/>
  <c r="AQ22"/>
  <c r="AS22"/>
  <c r="AU22"/>
  <c r="AW22"/>
  <c r="AY22"/>
  <c r="BA22"/>
  <c r="BC22"/>
  <c r="BE22"/>
  <c r="BH22"/>
  <c r="BJ21"/>
  <c r="BR22"/>
  <c r="BT22"/>
  <c r="BV22"/>
  <c r="BX22"/>
  <c r="BZ22"/>
  <c r="CB22"/>
  <c r="CD22"/>
  <c r="CF22"/>
  <c r="CH22"/>
  <c r="CJ22"/>
  <c r="CL22"/>
  <c r="CN22"/>
  <c r="CP22"/>
  <c r="CR22"/>
  <c r="CT22"/>
  <c r="CV22"/>
  <c r="CX22"/>
  <c r="CZ22"/>
  <c r="DB22"/>
  <c r="DD22"/>
  <c r="DF22"/>
  <c r="BJ22" l="1"/>
  <c r="BF22"/>
  <c r="D19" l="1"/>
  <c r="CR18"/>
  <c r="BY18"/>
  <c r="CP18"/>
  <c r="CA18"/>
  <c r="DD18"/>
  <c r="CI18"/>
  <c r="CT18"/>
  <c r="CM18"/>
  <c r="CE18"/>
  <c r="CG18"/>
  <c r="CN18"/>
  <c r="BU18"/>
  <c r="CB18"/>
  <c r="CF18"/>
  <c r="CX18"/>
  <c r="DA18"/>
  <c r="CW18"/>
  <c r="CQ18"/>
  <c r="CU18"/>
  <c r="CO18"/>
  <c r="CS18"/>
  <c r="BS18"/>
  <c r="DC18"/>
  <c r="BR18"/>
  <c r="BX18"/>
  <c r="DE18"/>
  <c r="BV18"/>
  <c r="DF18"/>
  <c r="CV18"/>
  <c r="BT18"/>
  <c r="CC18"/>
  <c r="CK18"/>
  <c r="DB18"/>
  <c r="CD18"/>
  <c r="CL18"/>
  <c r="CZ18"/>
  <c r="CJ18"/>
  <c r="BO18"/>
  <c r="CY18"/>
  <c r="BW18"/>
  <c r="CH18"/>
  <c r="BZ18"/>
  <c r="D18" l="1"/>
  <c r="D17"/>
  <c r="DH16"/>
  <c r="BL16"/>
  <c r="D15"/>
  <c r="BH18"/>
  <c r="AD17"/>
  <c r="CM17"/>
  <c r="BW17"/>
  <c r="H18"/>
  <c r="AM18"/>
  <c r="N17"/>
  <c r="BA17"/>
  <c r="T18"/>
  <c r="AX17"/>
  <c r="AY18"/>
  <c r="AA17"/>
  <c r="AP18"/>
  <c r="AQ18"/>
  <c r="CU17"/>
  <c r="AG17"/>
  <c r="AP17"/>
  <c r="AC18"/>
  <c r="AT18"/>
  <c r="DB17"/>
  <c r="Z18"/>
  <c r="G17"/>
  <c r="BD18"/>
  <c r="CH17"/>
  <c r="Y17"/>
  <c r="CB17"/>
  <c r="Z17"/>
  <c r="AJ17"/>
  <c r="BY17"/>
  <c r="CL17"/>
  <c r="CC17"/>
  <c r="AJ18"/>
  <c r="CV17"/>
  <c r="O18"/>
  <c r="AO18"/>
  <c r="AU17"/>
  <c r="BH17"/>
  <c r="M17"/>
  <c r="O17"/>
  <c r="T17"/>
  <c r="Y18"/>
  <c r="CI17"/>
  <c r="CT17"/>
  <c r="AR17"/>
  <c r="BU17"/>
  <c r="BV17"/>
  <c r="AD18"/>
  <c r="BC17"/>
  <c r="CG17"/>
  <c r="L18"/>
  <c r="DF17"/>
  <c r="AS17"/>
  <c r="N18"/>
  <c r="CD17"/>
  <c r="I17"/>
  <c r="AT17"/>
  <c r="BC18"/>
  <c r="H17"/>
  <c r="CA17"/>
  <c r="BX17"/>
  <c r="AG18"/>
  <c r="AV17"/>
  <c r="DD17"/>
  <c r="J18"/>
  <c r="DE17"/>
  <c r="CQ17"/>
  <c r="CS17"/>
  <c r="AW18"/>
  <c r="AU18"/>
  <c r="U18"/>
  <c r="AR18"/>
  <c r="BE17"/>
  <c r="K17"/>
  <c r="CR17"/>
  <c r="CZ17"/>
  <c r="X18"/>
  <c r="DA17"/>
  <c r="AN18"/>
  <c r="AC17"/>
  <c r="BT17"/>
  <c r="AO17"/>
  <c r="BR17"/>
  <c r="BE18"/>
  <c r="L17"/>
  <c r="AZ17"/>
  <c r="AB17"/>
  <c r="AF18"/>
  <c r="AY17"/>
  <c r="AW17"/>
  <c r="BI18"/>
  <c r="S17"/>
  <c r="U17"/>
  <c r="BI17"/>
  <c r="CN17"/>
  <c r="AZ18"/>
  <c r="BA18"/>
  <c r="AA18"/>
  <c r="AI18"/>
  <c r="BO17"/>
  <c r="X17"/>
  <c r="P17"/>
  <c r="V18"/>
  <c r="AV18"/>
  <c r="AI17"/>
  <c r="K18"/>
  <c r="AQ17"/>
  <c r="AB18"/>
  <c r="AF17"/>
  <c r="V17"/>
  <c r="BP17"/>
  <c r="AX18"/>
  <c r="CJ17"/>
  <c r="AM17"/>
  <c r="CX17"/>
  <c r="AS18"/>
  <c r="CK17"/>
  <c r="CY17"/>
  <c r="BB18"/>
  <c r="BS17"/>
  <c r="BB17"/>
  <c r="BD17"/>
  <c r="CF17"/>
  <c r="AN17"/>
  <c r="S18"/>
  <c r="I18"/>
  <c r="P18"/>
  <c r="CO17"/>
  <c r="CE17"/>
  <c r="DC17"/>
  <c r="J17"/>
  <c r="BZ17"/>
  <c r="M18"/>
  <c r="CW17"/>
  <c r="CP17"/>
  <c r="G18"/>
  <c r="H19" l="1"/>
  <c r="J19"/>
  <c r="L19"/>
  <c r="N19"/>
  <c r="P19"/>
  <c r="S19"/>
  <c r="U19"/>
  <c r="Y19"/>
  <c r="AA19"/>
  <c r="AC19"/>
  <c r="AF19"/>
  <c r="AI19"/>
  <c r="AN19"/>
  <c r="AP19"/>
  <c r="AR19"/>
  <c r="AT19"/>
  <c r="AV19"/>
  <c r="AX19"/>
  <c r="AZ19"/>
  <c r="BB19"/>
  <c r="BD19"/>
  <c r="BI19"/>
  <c r="BR19"/>
  <c r="BT19"/>
  <c r="BV19"/>
  <c r="BX19"/>
  <c r="BZ19"/>
  <c r="CB19"/>
  <c r="CD19"/>
  <c r="CF19"/>
  <c r="CH19"/>
  <c r="CJ19"/>
  <c r="CL19"/>
  <c r="CN19"/>
  <c r="CP19"/>
  <c r="CR19"/>
  <c r="CT19"/>
  <c r="CV19"/>
  <c r="CX19"/>
  <c r="CZ19"/>
  <c r="DB19"/>
  <c r="DD19"/>
  <c r="DF19"/>
  <c r="G19"/>
  <c r="Q17"/>
  <c r="I19"/>
  <c r="K19"/>
  <c r="M19"/>
  <c r="O19"/>
  <c r="T19"/>
  <c r="V19"/>
  <c r="X19"/>
  <c r="Z19"/>
  <c r="AB19"/>
  <c r="AD19"/>
  <c r="AG19"/>
  <c r="AJ19"/>
  <c r="AM19"/>
  <c r="BF17"/>
  <c r="AO19"/>
  <c r="AQ19"/>
  <c r="AS19"/>
  <c r="AU19"/>
  <c r="AW19"/>
  <c r="AY19"/>
  <c r="BA19"/>
  <c r="BC19"/>
  <c r="BE19"/>
  <c r="BH19"/>
  <c r="BJ17"/>
  <c r="BO19"/>
  <c r="BS19"/>
  <c r="BU19"/>
  <c r="BW19"/>
  <c r="BY19"/>
  <c r="CA19"/>
  <c r="CC19"/>
  <c r="CE19"/>
  <c r="CG19"/>
  <c r="CI19"/>
  <c r="CK19"/>
  <c r="CM19"/>
  <c r="CO19"/>
  <c r="CQ19"/>
  <c r="CS19"/>
  <c r="CU19"/>
  <c r="CW19"/>
  <c r="CY19"/>
  <c r="DA19"/>
  <c r="DC19"/>
  <c r="DE19"/>
  <c r="Q18"/>
  <c r="BF18"/>
  <c r="BJ18"/>
  <c r="J31" i="36"/>
  <c r="BJ19" i="73" l="1"/>
  <c r="BF19"/>
  <c r="Q19"/>
  <c r="D13" l="1"/>
  <c r="D12"/>
  <c r="Y13"/>
  <c r="CS12"/>
  <c r="BT12"/>
  <c r="AB13"/>
  <c r="BR13"/>
  <c r="X13"/>
  <c r="AX12"/>
  <c r="BB13"/>
  <c r="H13"/>
  <c r="T13"/>
  <c r="O12"/>
  <c r="CJ12"/>
  <c r="AQ13"/>
  <c r="CK12"/>
  <c r="BD12"/>
  <c r="CB13"/>
  <c r="BT13"/>
  <c r="CD12"/>
  <c r="CO12"/>
  <c r="BA13"/>
  <c r="AA12"/>
  <c r="BP13"/>
  <c r="BY13"/>
  <c r="CR12"/>
  <c r="CQ12"/>
  <c r="CP12"/>
  <c r="H12"/>
  <c r="AO13"/>
  <c r="BE12"/>
  <c r="U13"/>
  <c r="DD13"/>
  <c r="CA13"/>
  <c r="AI12"/>
  <c r="AZ13"/>
  <c r="BI12"/>
  <c r="CZ12"/>
  <c r="AJ13"/>
  <c r="AG12"/>
  <c r="BI13"/>
  <c r="J13"/>
  <c r="L13"/>
  <c r="AT12"/>
  <c r="DF12"/>
  <c r="P13"/>
  <c r="BC13"/>
  <c r="DF13"/>
  <c r="I12"/>
  <c r="L12"/>
  <c r="BV13"/>
  <c r="K12"/>
  <c r="DE13"/>
  <c r="AD13"/>
  <c r="N12"/>
  <c r="DA13"/>
  <c r="S13"/>
  <c r="AX13"/>
  <c r="CU13"/>
  <c r="CA12"/>
  <c r="CF12"/>
  <c r="AJ12"/>
  <c r="BY12"/>
  <c r="CT13"/>
  <c r="CI12"/>
  <c r="AM12"/>
  <c r="CG13"/>
  <c r="Z12"/>
  <c r="CW12"/>
  <c r="AG13"/>
  <c r="BO13"/>
  <c r="AW12"/>
  <c r="G13"/>
  <c r="CL13"/>
  <c r="AU13"/>
  <c r="M12"/>
  <c r="AR13"/>
  <c r="BU13"/>
  <c r="CC12"/>
  <c r="P12"/>
  <c r="AR12"/>
  <c r="CG12"/>
  <c r="BH13"/>
  <c r="DE12"/>
  <c r="CT12"/>
  <c r="CV13"/>
  <c r="AU12"/>
  <c r="I13"/>
  <c r="Y12"/>
  <c r="AN13"/>
  <c r="CV12"/>
  <c r="AY13"/>
  <c r="AC13"/>
  <c r="CM12"/>
  <c r="BE13"/>
  <c r="BX13"/>
  <c r="BS12"/>
  <c r="W13"/>
  <c r="BV12"/>
  <c r="AF12"/>
  <c r="AC12"/>
  <c r="DB13"/>
  <c r="DB12"/>
  <c r="AS13"/>
  <c r="CB12"/>
  <c r="AZ12"/>
  <c r="CO13"/>
  <c r="DD12"/>
  <c r="CY12"/>
  <c r="J12"/>
  <c r="AN12"/>
  <c r="AT13"/>
  <c r="AV13"/>
  <c r="CP13"/>
  <c r="AW13"/>
  <c r="CX12"/>
  <c r="CM13"/>
  <c r="CC13"/>
  <c r="BZ13"/>
  <c r="CH13"/>
  <c r="BX12"/>
  <c r="BZ12"/>
  <c r="BA12"/>
  <c r="K13"/>
  <c r="AP12"/>
  <c r="AF13"/>
  <c r="CW13"/>
  <c r="CF13"/>
  <c r="O13"/>
  <c r="N13"/>
  <c r="CQ13"/>
  <c r="BB12"/>
  <c r="DC12"/>
  <c r="AA13"/>
  <c r="CN12"/>
  <c r="CI13"/>
  <c r="CN13"/>
  <c r="BW13"/>
  <c r="CY13"/>
  <c r="AP13"/>
  <c r="AY12"/>
  <c r="M13"/>
  <c r="AM13"/>
  <c r="BR12"/>
  <c r="CD13"/>
  <c r="CE13"/>
  <c r="AQ12"/>
  <c r="DC13"/>
  <c r="CS13"/>
  <c r="DA12"/>
  <c r="CU12"/>
  <c r="CZ13"/>
  <c r="CH12"/>
  <c r="X12"/>
  <c r="BW12"/>
  <c r="BD13"/>
  <c r="CK13"/>
  <c r="AD12"/>
  <c r="AI13"/>
  <c r="Z13"/>
  <c r="BU12"/>
  <c r="CL12"/>
  <c r="BQ13"/>
  <c r="CR13"/>
  <c r="V13"/>
  <c r="AO12"/>
  <c r="BS13"/>
  <c r="AV12"/>
  <c r="CX13"/>
  <c r="CJ13"/>
  <c r="CE12"/>
  <c r="AS12"/>
  <c r="I14" l="1"/>
  <c r="M14"/>
  <c r="X14"/>
  <c r="H14"/>
  <c r="J14"/>
  <c r="L14"/>
  <c r="N14"/>
  <c r="P14"/>
  <c r="Y14"/>
  <c r="AA14"/>
  <c r="AC14"/>
  <c r="AF14"/>
  <c r="AI14"/>
  <c r="AN14"/>
  <c r="AP14"/>
  <c r="AR14"/>
  <c r="AT14"/>
  <c r="AV14"/>
  <c r="AX14"/>
  <c r="AZ14"/>
  <c r="BB14"/>
  <c r="BD14"/>
  <c r="BI14"/>
  <c r="BR14"/>
  <c r="BT14"/>
  <c r="BV14"/>
  <c r="BX14"/>
  <c r="BZ14"/>
  <c r="CB14"/>
  <c r="CD14"/>
  <c r="CF14"/>
  <c r="CH14"/>
  <c r="CJ14"/>
  <c r="CL14"/>
  <c r="CN14"/>
  <c r="CP14"/>
  <c r="CR14"/>
  <c r="CT14"/>
  <c r="CV14"/>
  <c r="CX14"/>
  <c r="CZ14"/>
  <c r="DB14"/>
  <c r="DD14"/>
  <c r="DF14"/>
  <c r="Q13"/>
  <c r="K14"/>
  <c r="O14"/>
  <c r="Z14"/>
  <c r="AD14"/>
  <c r="AG14"/>
  <c r="AJ14"/>
  <c r="AM14"/>
  <c r="AO14"/>
  <c r="AQ14"/>
  <c r="AS14"/>
  <c r="AU14"/>
  <c r="AW14"/>
  <c r="AY14"/>
  <c r="BA14"/>
  <c r="BE14"/>
  <c r="BS14"/>
  <c r="BU14"/>
  <c r="BW14"/>
  <c r="BY14"/>
  <c r="CA14"/>
  <c r="CC14"/>
  <c r="CE14"/>
  <c r="CG14"/>
  <c r="CI14"/>
  <c r="CK14"/>
  <c r="CM14"/>
  <c r="CO14"/>
  <c r="CQ14"/>
  <c r="CS14"/>
  <c r="CU14"/>
  <c r="CW14"/>
  <c r="CY14"/>
  <c r="DA14"/>
  <c r="DC14"/>
  <c r="DE14"/>
  <c r="AK13"/>
  <c r="BF13"/>
  <c r="BJ13"/>
  <c r="BL13" l="1"/>
  <c r="D10"/>
  <c r="D9"/>
  <c r="DC4"/>
  <c r="CY4"/>
  <c r="CU4"/>
  <c r="CQ4"/>
  <c r="CM4"/>
  <c r="CI4"/>
  <c r="CE4"/>
  <c r="CA4"/>
  <c r="BW4"/>
  <c r="BS4"/>
  <c r="BO4"/>
  <c r="BL4"/>
  <c r="BI4"/>
  <c r="BH4"/>
  <c r="BE4"/>
  <c r="BD4"/>
  <c r="BC4"/>
  <c r="BB4"/>
  <c r="BA4"/>
  <c r="AZ4"/>
  <c r="AY4"/>
  <c r="AX4"/>
  <c r="AW4"/>
  <c r="AV4"/>
  <c r="AU4"/>
  <c r="AT4"/>
  <c r="AS4"/>
  <c r="AR4"/>
  <c r="AQ4"/>
  <c r="AP4"/>
  <c r="AO4"/>
  <c r="AN4"/>
  <c r="AM4"/>
  <c r="AJ4"/>
  <c r="CD10"/>
  <c r="CN9"/>
  <c r="CH10"/>
  <c r="CC9"/>
  <c r="CQ10"/>
  <c r="CB10"/>
  <c r="AX10"/>
  <c r="CA10"/>
  <c r="BP10"/>
  <c r="U10"/>
  <c r="W10"/>
  <c r="CK9"/>
  <c r="BQ10"/>
  <c r="BB9"/>
  <c r="CH9"/>
  <c r="AU10"/>
  <c r="O10"/>
  <c r="T10"/>
  <c r="CO9"/>
  <c r="BW10"/>
  <c r="CG9"/>
  <c r="CY10"/>
  <c r="AF10"/>
  <c r="BO10"/>
  <c r="CF10"/>
  <c r="DA9"/>
  <c r="CN10"/>
  <c r="X10"/>
  <c r="CV9"/>
  <c r="BI9"/>
  <c r="CP10"/>
  <c r="P9"/>
  <c r="AZ10"/>
  <c r="AM9"/>
  <c r="X9"/>
  <c r="K10"/>
  <c r="AY9"/>
  <c r="BU10"/>
  <c r="AW9"/>
  <c r="DB10"/>
  <c r="CA9"/>
  <c r="AP9"/>
  <c r="BU9"/>
  <c r="BZ9"/>
  <c r="BC10"/>
  <c r="BI10"/>
  <c r="CR9"/>
  <c r="AX9"/>
  <c r="CX10"/>
  <c r="BS10"/>
  <c r="AU9"/>
  <c r="DE9"/>
  <c r="CV10"/>
  <c r="BW9"/>
  <c r="AI10"/>
  <c r="AC9"/>
  <c r="AB10"/>
  <c r="BR9"/>
  <c r="N10"/>
  <c r="BV10"/>
  <c r="CY9"/>
  <c r="AQ10"/>
  <c r="BA9"/>
  <c r="I9"/>
  <c r="CG10"/>
  <c r="BE10"/>
  <c r="BR10"/>
  <c r="AA10"/>
  <c r="M9"/>
  <c r="AT9"/>
  <c r="AR9"/>
  <c r="DB9"/>
  <c r="CL10"/>
  <c r="BH9"/>
  <c r="N9"/>
  <c r="CM10"/>
  <c r="AV9"/>
  <c r="CE9"/>
  <c r="CX9"/>
  <c r="J9"/>
  <c r="BZ10"/>
  <c r="AV10"/>
  <c r="Z10"/>
  <c r="CR10"/>
  <c r="L9"/>
  <c r="CU9"/>
  <c r="CZ9"/>
  <c r="BE9"/>
  <c r="AA9"/>
  <c r="CI9"/>
  <c r="J10"/>
  <c r="AG10"/>
  <c r="CF9"/>
  <c r="CT10"/>
  <c r="CE10"/>
  <c r="DC9"/>
  <c r="DD9"/>
  <c r="L10"/>
  <c r="AP10"/>
  <c r="CJ9"/>
  <c r="BX9"/>
  <c r="BY10"/>
  <c r="AW10"/>
  <c r="BD9"/>
  <c r="CP9"/>
  <c r="H9"/>
  <c r="BB10"/>
  <c r="AY10"/>
  <c r="AJ10"/>
  <c r="BT10"/>
  <c r="Y10"/>
  <c r="AM10"/>
  <c r="CD9"/>
  <c r="S10"/>
  <c r="AS9"/>
  <c r="AQ9"/>
  <c r="AO10"/>
  <c r="CM9"/>
  <c r="Z9"/>
  <c r="CU10"/>
  <c r="BA10"/>
  <c r="DF9"/>
  <c r="CI10"/>
  <c r="AD9"/>
  <c r="CJ10"/>
  <c r="BT9"/>
  <c r="Y9"/>
  <c r="AG9"/>
  <c r="BY9"/>
  <c r="AC10"/>
  <c r="BX10"/>
  <c r="K9"/>
  <c r="CS10"/>
  <c r="AF9"/>
  <c r="BD10"/>
  <c r="CL9"/>
  <c r="AT10"/>
  <c r="AR10"/>
  <c r="DE10"/>
  <c r="AN9"/>
  <c r="CK10"/>
  <c r="CZ10"/>
  <c r="AN10"/>
  <c r="DF10"/>
  <c r="AZ9"/>
  <c r="AS10"/>
  <c r="M10"/>
  <c r="CW10"/>
  <c r="CO10"/>
  <c r="BV9"/>
  <c r="DA10"/>
  <c r="O9"/>
  <c r="G10"/>
  <c r="H10"/>
  <c r="CQ9"/>
  <c r="BH10"/>
  <c r="AJ9"/>
  <c r="CC10"/>
  <c r="BS9"/>
  <c r="CS9"/>
  <c r="I10"/>
  <c r="V10"/>
  <c r="CB9"/>
  <c r="DC10"/>
  <c r="AO9"/>
  <c r="AD10"/>
  <c r="P10"/>
  <c r="CW9"/>
  <c r="DD10"/>
  <c r="CT9"/>
  <c r="K11" l="1"/>
  <c r="O11"/>
  <c r="Z11"/>
  <c r="AD11"/>
  <c r="H11"/>
  <c r="J11"/>
  <c r="L11"/>
  <c r="N11"/>
  <c r="P11"/>
  <c r="Y11"/>
  <c r="AA11"/>
  <c r="AC11"/>
  <c r="AF11"/>
  <c r="AN11"/>
  <c r="AP11"/>
  <c r="AR11"/>
  <c r="AT11"/>
  <c r="AV11"/>
  <c r="AX11"/>
  <c r="AZ11"/>
  <c r="BB11"/>
  <c r="BD11"/>
  <c r="BI11"/>
  <c r="BS11"/>
  <c r="BU11"/>
  <c r="BW11"/>
  <c r="BY11"/>
  <c r="CA11"/>
  <c r="CC11"/>
  <c r="CE11"/>
  <c r="CG11"/>
  <c r="CI11"/>
  <c r="CK11"/>
  <c r="CM11"/>
  <c r="CO11"/>
  <c r="CQ11"/>
  <c r="CS11"/>
  <c r="CU11"/>
  <c r="CW11"/>
  <c r="CY11"/>
  <c r="DA11"/>
  <c r="DC11"/>
  <c r="DE11"/>
  <c r="AK10"/>
  <c r="I11"/>
  <c r="M11"/>
  <c r="X11"/>
  <c r="AG11"/>
  <c r="AJ11"/>
  <c r="AM11"/>
  <c r="AO11"/>
  <c r="AQ11"/>
  <c r="AS11"/>
  <c r="AU11"/>
  <c r="AW11"/>
  <c r="AY11"/>
  <c r="BA11"/>
  <c r="BE11"/>
  <c r="BH11"/>
  <c r="BJ11" s="1"/>
  <c r="BJ9"/>
  <c r="BR11"/>
  <c r="BT11"/>
  <c r="BV11"/>
  <c r="BX11"/>
  <c r="BZ11"/>
  <c r="CB11"/>
  <c r="CD11"/>
  <c r="CF11"/>
  <c r="CH11"/>
  <c r="CJ11"/>
  <c r="CL11"/>
  <c r="CN11"/>
  <c r="CP11"/>
  <c r="CR11"/>
  <c r="CT11"/>
  <c r="CV11"/>
  <c r="CX11"/>
  <c r="CZ11"/>
  <c r="DB11"/>
  <c r="DD11"/>
  <c r="DF11"/>
  <c r="Q10"/>
  <c r="BF10"/>
  <c r="BJ10"/>
  <c r="AI4"/>
  <c r="AG4"/>
  <c r="AF4"/>
  <c r="AD4"/>
  <c r="AC4"/>
  <c r="AB4"/>
  <c r="AA4"/>
  <c r="Z4"/>
  <c r="Y4"/>
  <c r="X4"/>
  <c r="W4"/>
  <c r="V4"/>
  <c r="U4"/>
  <c r="T4"/>
  <c r="S4"/>
  <c r="P4"/>
  <c r="O4"/>
  <c r="N4"/>
  <c r="M4"/>
  <c r="L4"/>
  <c r="K4"/>
  <c r="J4"/>
  <c r="I4"/>
  <c r="H4"/>
  <c r="G4"/>
  <c r="E3"/>
  <c r="BL108" i="72"/>
  <c r="BL107"/>
  <c r="BL10" i="73" l="1"/>
  <c r="AM15"/>
  <c r="BL105" i="72"/>
  <c r="AM40" i="73" l="1"/>
  <c r="D104" i="72" l="1"/>
  <c r="BJ103" l="1"/>
  <c r="AR103"/>
  <c r="Q103"/>
  <c r="D103"/>
  <c r="D102"/>
  <c r="DH101"/>
  <c r="DH100"/>
  <c r="BY102"/>
  <c r="BW102"/>
  <c r="CE103"/>
  <c r="CD102"/>
  <c r="CC103"/>
  <c r="DD102"/>
  <c r="CP103"/>
  <c r="BY103"/>
  <c r="O102"/>
  <c r="CI103"/>
  <c r="CE102"/>
  <c r="BZ103"/>
  <c r="AV102"/>
  <c r="BE102"/>
  <c r="AJ102"/>
  <c r="CX103"/>
  <c r="BU102"/>
  <c r="CN102"/>
  <c r="BV103"/>
  <c r="AF102"/>
  <c r="P102"/>
  <c r="J102"/>
  <c r="CW103"/>
  <c r="G102"/>
  <c r="BX103"/>
  <c r="CK103"/>
  <c r="AN102"/>
  <c r="BS102"/>
  <c r="CO102"/>
  <c r="AB102"/>
  <c r="CG103"/>
  <c r="BW103"/>
  <c r="CA103"/>
  <c r="CM102"/>
  <c r="AI102"/>
  <c r="BS103"/>
  <c r="BA102"/>
  <c r="BR102"/>
  <c r="CB103"/>
  <c r="CL102"/>
  <c r="CT103"/>
  <c r="CJ102"/>
  <c r="BX102"/>
  <c r="DB102"/>
  <c r="CN103"/>
  <c r="CX102"/>
  <c r="CM103"/>
  <c r="S102"/>
  <c r="CZ102"/>
  <c r="CF102"/>
  <c r="CR103"/>
  <c r="BQ102"/>
  <c r="AR102"/>
  <c r="AT102"/>
  <c r="CA102"/>
  <c r="CG102"/>
  <c r="BT103"/>
  <c r="AM102"/>
  <c r="DE103"/>
  <c r="BO103"/>
  <c r="CQ103"/>
  <c r="AO102"/>
  <c r="BU103"/>
  <c r="AC102"/>
  <c r="CL103"/>
  <c r="T102"/>
  <c r="CP102"/>
  <c r="CF103"/>
  <c r="AW102"/>
  <c r="CR102"/>
  <c r="BP102"/>
  <c r="CQ102"/>
  <c r="CV102"/>
  <c r="CI102"/>
  <c r="CB102"/>
  <c r="CC102"/>
  <c r="L102"/>
  <c r="DB103"/>
  <c r="DA103"/>
  <c r="BO102"/>
  <c r="DA102"/>
  <c r="BP103"/>
  <c r="CU102"/>
  <c r="I102"/>
  <c r="CH102"/>
  <c r="CK102"/>
  <c r="K102"/>
  <c r="CU103"/>
  <c r="AQ102"/>
  <c r="AY102"/>
  <c r="AP102"/>
  <c r="H102"/>
  <c r="CS103"/>
  <c r="AG102"/>
  <c r="CO103"/>
  <c r="CH103"/>
  <c r="BZ102"/>
  <c r="DE102"/>
  <c r="CW102"/>
  <c r="CT102"/>
  <c r="CJ103"/>
  <c r="DC103"/>
  <c r="AX102"/>
  <c r="DC102"/>
  <c r="N102"/>
  <c r="AZ102"/>
  <c r="DF102"/>
  <c r="BH102"/>
  <c r="CY103"/>
  <c r="AD102"/>
  <c r="CV103"/>
  <c r="BQ103"/>
  <c r="CD103"/>
  <c r="CS102"/>
  <c r="CY102"/>
  <c r="DF103"/>
  <c r="BR103"/>
  <c r="AU102"/>
  <c r="M102"/>
  <c r="BB102"/>
  <c r="DD103"/>
  <c r="BC102"/>
  <c r="BD102"/>
  <c r="AA102"/>
  <c r="AS102"/>
  <c r="CZ103"/>
  <c r="BV102"/>
  <c r="G104" l="1"/>
  <c r="Q102"/>
  <c r="I104"/>
  <c r="K104"/>
  <c r="M104"/>
  <c r="O104"/>
  <c r="AB104"/>
  <c r="AD104"/>
  <c r="AG104"/>
  <c r="AJ104"/>
  <c r="AM104"/>
  <c r="BF102"/>
  <c r="AO104"/>
  <c r="AW104"/>
  <c r="AY104"/>
  <c r="BA104"/>
  <c r="BC104"/>
  <c r="BE104"/>
  <c r="BH104"/>
  <c r="BP104"/>
  <c r="BR104"/>
  <c r="BV104"/>
  <c r="BX104"/>
  <c r="BZ104"/>
  <c r="CB104"/>
  <c r="CD104"/>
  <c r="CF104"/>
  <c r="CH104"/>
  <c r="CJ104"/>
  <c r="CL104"/>
  <c r="CN104"/>
  <c r="CP104"/>
  <c r="CR104"/>
  <c r="CT104"/>
  <c r="CV104"/>
  <c r="CX104"/>
  <c r="CZ104"/>
  <c r="DB104"/>
  <c r="DD104"/>
  <c r="DF104"/>
  <c r="DH103"/>
  <c r="H104"/>
  <c r="J104"/>
  <c r="L104"/>
  <c r="N104"/>
  <c r="P104"/>
  <c r="S104"/>
  <c r="AA104"/>
  <c r="AC104"/>
  <c r="AF104"/>
  <c r="AI104"/>
  <c r="AN104"/>
  <c r="AP104"/>
  <c r="AV104"/>
  <c r="AX104"/>
  <c r="AZ104"/>
  <c r="BB104"/>
  <c r="BD104"/>
  <c r="BO104"/>
  <c r="BQ104"/>
  <c r="BS104"/>
  <c r="BU104"/>
  <c r="BW104"/>
  <c r="BY104"/>
  <c r="CA104"/>
  <c r="CC104"/>
  <c r="CE104"/>
  <c r="CG104"/>
  <c r="CI104"/>
  <c r="CK104"/>
  <c r="CM104"/>
  <c r="CO104"/>
  <c r="CQ104"/>
  <c r="CS104"/>
  <c r="CU104"/>
  <c r="CW104"/>
  <c r="CY104"/>
  <c r="DA104"/>
  <c r="DC104"/>
  <c r="DE104"/>
  <c r="Q104" l="1"/>
  <c r="D99" l="1"/>
  <c r="DE98"/>
  <c r="BV98"/>
  <c r="CD98"/>
  <c r="CE98"/>
  <c r="CI98"/>
  <c r="BS98"/>
  <c r="CB98"/>
  <c r="CG98"/>
  <c r="CP98"/>
  <c r="CU98"/>
  <c r="CQ98"/>
  <c r="CF98"/>
  <c r="DD98"/>
  <c r="CO98"/>
  <c r="BO98"/>
  <c r="CC98"/>
  <c r="CK98"/>
  <c r="BY98"/>
  <c r="DC98"/>
  <c r="CN98"/>
  <c r="BZ98"/>
  <c r="BX98"/>
  <c r="DA98"/>
  <c r="CJ98"/>
  <c r="BW98"/>
  <c r="DB98"/>
  <c r="BQ98"/>
  <c r="BU98"/>
  <c r="BR98"/>
  <c r="CS98"/>
  <c r="CT98"/>
  <c r="CM98"/>
  <c r="CL98"/>
  <c r="BP98"/>
  <c r="CX98"/>
  <c r="CW98"/>
  <c r="CA98"/>
  <c r="CZ98"/>
  <c r="CR98"/>
  <c r="DF98"/>
  <c r="BT98"/>
  <c r="CV98"/>
  <c r="CH98"/>
  <c r="D98" l="1"/>
  <c r="DH97"/>
  <c r="D96"/>
  <c r="DH95"/>
  <c r="DH94"/>
  <c r="BL94"/>
  <c r="L96"/>
  <c r="Y96"/>
  <c r="AO96"/>
  <c r="AT98"/>
  <c r="BE98"/>
  <c r="DA96"/>
  <c r="BT96"/>
  <c r="AC96"/>
  <c r="CS96"/>
  <c r="X96"/>
  <c r="J98"/>
  <c r="Z96"/>
  <c r="CE96"/>
  <c r="K98"/>
  <c r="CB96"/>
  <c r="AS96"/>
  <c r="DF96"/>
  <c r="AN98"/>
  <c r="P96"/>
  <c r="BH98"/>
  <c r="AV96"/>
  <c r="AJ98"/>
  <c r="AZ98"/>
  <c r="BB96"/>
  <c r="AB98"/>
  <c r="P98"/>
  <c r="AV98"/>
  <c r="AQ98"/>
  <c r="W98"/>
  <c r="AO98"/>
  <c r="X98"/>
  <c r="BX96"/>
  <c r="BB98"/>
  <c r="AJ96"/>
  <c r="AD98"/>
  <c r="BY96"/>
  <c r="AP96"/>
  <c r="L98"/>
  <c r="AY98"/>
  <c r="BW96"/>
  <c r="BD98"/>
  <c r="BP96"/>
  <c r="AQ96"/>
  <c r="CG96"/>
  <c r="J96"/>
  <c r="CH96"/>
  <c r="BU96"/>
  <c r="AW98"/>
  <c r="CJ96"/>
  <c r="K96"/>
  <c r="Z98"/>
  <c r="M98"/>
  <c r="BE96"/>
  <c r="Y98"/>
  <c r="AG98"/>
  <c r="H98"/>
  <c r="I96"/>
  <c r="DC96"/>
  <c r="CO96"/>
  <c r="BC98"/>
  <c r="AT96"/>
  <c r="CR96"/>
  <c r="G98"/>
  <c r="DB96"/>
  <c r="AU98"/>
  <c r="AN96"/>
  <c r="AZ96"/>
  <c r="T96"/>
  <c r="BI96"/>
  <c r="CN96"/>
  <c r="AR96"/>
  <c r="AU96"/>
  <c r="CD96"/>
  <c r="BV96"/>
  <c r="T98"/>
  <c r="AA96"/>
  <c r="BD96"/>
  <c r="AC98"/>
  <c r="AI98"/>
  <c r="CQ96"/>
  <c r="AI96"/>
  <c r="N98"/>
  <c r="AS98"/>
  <c r="CU96"/>
  <c r="CC96"/>
  <c r="O98"/>
  <c r="BZ96"/>
  <c r="CK96"/>
  <c r="O96"/>
  <c r="CW96"/>
  <c r="BR96"/>
  <c r="BC96"/>
  <c r="CT96"/>
  <c r="BA96"/>
  <c r="CV96"/>
  <c r="AX96"/>
  <c r="M96"/>
  <c r="DD96"/>
  <c r="BS96"/>
  <c r="BI98"/>
  <c r="AM96"/>
  <c r="CL96"/>
  <c r="I98"/>
  <c r="CM96"/>
  <c r="DE96"/>
  <c r="CA96"/>
  <c r="CZ96"/>
  <c r="CX96"/>
  <c r="CI96"/>
  <c r="AB96"/>
  <c r="S98"/>
  <c r="AX98"/>
  <c r="BA98"/>
  <c r="H96"/>
  <c r="BO96"/>
  <c r="AM98"/>
  <c r="CP96"/>
  <c r="CF96"/>
  <c r="G96"/>
  <c r="AW96"/>
  <c r="N96"/>
  <c r="BQ96"/>
  <c r="AY96"/>
  <c r="AR98"/>
  <c r="AF98"/>
  <c r="AA98"/>
  <c r="S96"/>
  <c r="G99" l="1"/>
  <c r="Q96"/>
  <c r="I99"/>
  <c r="K99"/>
  <c r="M99"/>
  <c r="O99"/>
  <c r="T99"/>
  <c r="X99"/>
  <c r="Z99"/>
  <c r="AB99"/>
  <c r="AJ99"/>
  <c r="AM99"/>
  <c r="BF96"/>
  <c r="AO99"/>
  <c r="AQ99"/>
  <c r="AS99"/>
  <c r="AU99"/>
  <c r="AW99"/>
  <c r="AY99"/>
  <c r="BA99"/>
  <c r="BC99"/>
  <c r="BE99"/>
  <c r="BO99"/>
  <c r="BQ99"/>
  <c r="BS99"/>
  <c r="BU99"/>
  <c r="BW99"/>
  <c r="BY99"/>
  <c r="CA99"/>
  <c r="CC99"/>
  <c r="CE99"/>
  <c r="CG99"/>
  <c r="CI99"/>
  <c r="CK99"/>
  <c r="CM99"/>
  <c r="CO99"/>
  <c r="CQ99"/>
  <c r="CS99"/>
  <c r="CU99"/>
  <c r="CW99"/>
  <c r="DA99"/>
  <c r="DC99"/>
  <c r="DE99"/>
  <c r="Q98"/>
  <c r="H99"/>
  <c r="J99"/>
  <c r="L99"/>
  <c r="N99"/>
  <c r="P99"/>
  <c r="S99"/>
  <c r="Y99"/>
  <c r="AA99"/>
  <c r="AC99"/>
  <c r="AI99"/>
  <c r="AN99"/>
  <c r="AR99"/>
  <c r="AT99"/>
  <c r="AV99"/>
  <c r="AX99"/>
  <c r="AZ99"/>
  <c r="BB99"/>
  <c r="BD99"/>
  <c r="BI99"/>
  <c r="BP99"/>
  <c r="BR99"/>
  <c r="BT99"/>
  <c r="BV99"/>
  <c r="BX99"/>
  <c r="BZ99"/>
  <c r="CB99"/>
  <c r="CD99"/>
  <c r="CF99"/>
  <c r="CH99"/>
  <c r="CJ99"/>
  <c r="CL99"/>
  <c r="CN99"/>
  <c r="CP99"/>
  <c r="CR99"/>
  <c r="CT99"/>
  <c r="CV99"/>
  <c r="CX99"/>
  <c r="CZ99"/>
  <c r="DB99"/>
  <c r="DD99"/>
  <c r="DF99"/>
  <c r="BJ98"/>
  <c r="Q99" l="1"/>
  <c r="D93" l="1"/>
  <c r="DE92"/>
  <c r="CU92"/>
  <c r="CN92"/>
  <c r="CY92"/>
  <c r="CG92"/>
  <c r="CK92"/>
  <c r="BP92"/>
  <c r="CA92"/>
  <c r="CO92"/>
  <c r="CI92"/>
  <c r="CC92"/>
  <c r="CJ92"/>
  <c r="CP92"/>
  <c r="DC92"/>
  <c r="DD92"/>
  <c r="CX92"/>
  <c r="CT92"/>
  <c r="CV92"/>
  <c r="DF92"/>
  <c r="BV92"/>
  <c r="BO92"/>
  <c r="DB92"/>
  <c r="CZ92"/>
  <c r="BS92"/>
  <c r="BZ92"/>
  <c r="BX92"/>
  <c r="CQ92"/>
  <c r="BR92"/>
  <c r="BU92"/>
  <c r="CF92"/>
  <c r="CB92"/>
  <c r="CL92"/>
  <c r="CS92"/>
  <c r="CH92"/>
  <c r="BW92"/>
  <c r="CD92"/>
  <c r="BY92"/>
  <c r="CM92"/>
  <c r="CW92"/>
  <c r="CE92"/>
  <c r="BT92"/>
  <c r="CR92"/>
  <c r="BQ92"/>
  <c r="DA92"/>
  <c r="D92" l="1"/>
  <c r="BI92"/>
  <c r="S92"/>
  <c r="CF91"/>
  <c r="Z92"/>
  <c r="CS91"/>
  <c r="AP92"/>
  <c r="DF91"/>
  <c r="CO91"/>
  <c r="AI92"/>
  <c r="AO92"/>
  <c r="AS92"/>
  <c r="CK91"/>
  <c r="CY91"/>
  <c r="CB91"/>
  <c r="BD92"/>
  <c r="J92"/>
  <c r="DD91"/>
  <c r="BU91"/>
  <c r="I92"/>
  <c r="BB92"/>
  <c r="AX92"/>
  <c r="AW92"/>
  <c r="CM91"/>
  <c r="AT92"/>
  <c r="DC91"/>
  <c r="CD91"/>
  <c r="DA91"/>
  <c r="CH91"/>
  <c r="CT91"/>
  <c r="CV91"/>
  <c r="CZ91"/>
  <c r="BQ91"/>
  <c r="AD92"/>
  <c r="AU92"/>
  <c r="AB92"/>
  <c r="BA92"/>
  <c r="BY91"/>
  <c r="CP91"/>
  <c r="CI91"/>
  <c r="AY92"/>
  <c r="BW91"/>
  <c r="AC92"/>
  <c r="U92"/>
  <c r="G92"/>
  <c r="BX91"/>
  <c r="BS91"/>
  <c r="CW91"/>
  <c r="CA91"/>
  <c r="AA92"/>
  <c r="DB91"/>
  <c r="BE92"/>
  <c r="AR92"/>
  <c r="CN91"/>
  <c r="AZ92"/>
  <c r="BO91"/>
  <c r="V92"/>
  <c r="Y92"/>
  <c r="BV91"/>
  <c r="AF92"/>
  <c r="H92"/>
  <c r="CL91"/>
  <c r="M92"/>
  <c r="BT91"/>
  <c r="L92"/>
  <c r="W92"/>
  <c r="CR91"/>
  <c r="BP91"/>
  <c r="AQ92"/>
  <c r="CJ91"/>
  <c r="AN92"/>
  <c r="CG91"/>
  <c r="O92"/>
  <c r="X92"/>
  <c r="K92"/>
  <c r="BH91"/>
  <c r="AJ92"/>
  <c r="AV92"/>
  <c r="BR91"/>
  <c r="N92"/>
  <c r="BC92"/>
  <c r="AM92"/>
  <c r="BZ91"/>
  <c r="DE91"/>
  <c r="AG92"/>
  <c r="CQ91"/>
  <c r="CC91"/>
  <c r="CU91"/>
  <c r="P92"/>
  <c r="CE91"/>
  <c r="CX91"/>
  <c r="Q92" l="1"/>
  <c r="BF92"/>
  <c r="W91"/>
  <c r="X91"/>
  <c r="Y91"/>
  <c r="BB91"/>
  <c r="AM91"/>
  <c r="AN91"/>
  <c r="BE91"/>
  <c r="U91"/>
  <c r="AB91"/>
  <c r="AV91"/>
  <c r="AJ91"/>
  <c r="BD91"/>
  <c r="AY91"/>
  <c r="S91"/>
  <c r="AI91"/>
  <c r="AP91"/>
  <c r="AW91"/>
  <c r="BC91"/>
  <c r="AF91"/>
  <c r="AQ91"/>
  <c r="Z91"/>
  <c r="AS91"/>
  <c r="AC91"/>
  <c r="BA91"/>
  <c r="AD91"/>
  <c r="V91"/>
  <c r="AT91"/>
  <c r="AG91"/>
  <c r="AU91"/>
  <c r="AA91"/>
  <c r="AX91"/>
  <c r="AR91"/>
  <c r="AZ91"/>
  <c r="AO91"/>
  <c r="BF91" l="1"/>
  <c r="D91"/>
  <c r="BL90"/>
  <c r="D89"/>
  <c r="BL87"/>
  <c r="BL86"/>
  <c r="BL85"/>
  <c r="BF83"/>
  <c r="BR89"/>
  <c r="AF89"/>
  <c r="M89"/>
  <c r="BY89"/>
  <c r="G89"/>
  <c r="Z89"/>
  <c r="J91"/>
  <c r="AW89"/>
  <c r="AS89"/>
  <c r="CP89"/>
  <c r="AU89"/>
  <c r="K91"/>
  <c r="CS89"/>
  <c r="CO89"/>
  <c r="CC89"/>
  <c r="I89"/>
  <c r="G91"/>
  <c r="W89"/>
  <c r="CM89"/>
  <c r="J89"/>
  <c r="BV89"/>
  <c r="DA89"/>
  <c r="AD89"/>
  <c r="L89"/>
  <c r="AR89"/>
  <c r="H91"/>
  <c r="CY89"/>
  <c r="DE89"/>
  <c r="N89"/>
  <c r="DB89"/>
  <c r="AV89"/>
  <c r="BE89"/>
  <c r="BZ89"/>
  <c r="X89"/>
  <c r="T89"/>
  <c r="CA89"/>
  <c r="CG89"/>
  <c r="CE89"/>
  <c r="BD89"/>
  <c r="DD89"/>
  <c r="CZ89"/>
  <c r="BA89"/>
  <c r="BB89"/>
  <c r="O89"/>
  <c r="AM89"/>
  <c r="BI89"/>
  <c r="L91"/>
  <c r="P91"/>
  <c r="CJ89"/>
  <c r="K89"/>
  <c r="CF89"/>
  <c r="BS89"/>
  <c r="AP89"/>
  <c r="CB89"/>
  <c r="DC89"/>
  <c r="AG89"/>
  <c r="CL89"/>
  <c r="O91"/>
  <c r="CR89"/>
  <c r="P89"/>
  <c r="AI89"/>
  <c r="CT89"/>
  <c r="CK89"/>
  <c r="BQ89"/>
  <c r="AY89"/>
  <c r="CN89"/>
  <c r="AQ89"/>
  <c r="DF89"/>
  <c r="AN89"/>
  <c r="CX89"/>
  <c r="BW89"/>
  <c r="AA89"/>
  <c r="CH89"/>
  <c r="AB89"/>
  <c r="AC89"/>
  <c r="AO89"/>
  <c r="AT89"/>
  <c r="BT89"/>
  <c r="M91"/>
  <c r="CW89"/>
  <c r="H89"/>
  <c r="CI89"/>
  <c r="CD89"/>
  <c r="U89"/>
  <c r="CQ89"/>
  <c r="BH89"/>
  <c r="BP89"/>
  <c r="CU89"/>
  <c r="CV89"/>
  <c r="BO89"/>
  <c r="I91"/>
  <c r="AJ89"/>
  <c r="BU89"/>
  <c r="V89"/>
  <c r="AZ89"/>
  <c r="AX89"/>
  <c r="BC89"/>
  <c r="Y89"/>
  <c r="N91"/>
  <c r="S89"/>
  <c r="BX89"/>
  <c r="J93" l="1"/>
  <c r="J106" s="1"/>
  <c r="N93"/>
  <c r="S93"/>
  <c r="AK89"/>
  <c r="W93"/>
  <c r="AA93"/>
  <c r="G93"/>
  <c r="Q89"/>
  <c r="I93"/>
  <c r="K93"/>
  <c r="M93"/>
  <c r="O93"/>
  <c r="V93"/>
  <c r="X93"/>
  <c r="Z93"/>
  <c r="AB93"/>
  <c r="AD93"/>
  <c r="AG93"/>
  <c r="AJ93"/>
  <c r="AM93"/>
  <c r="BF89"/>
  <c r="AO93"/>
  <c r="AQ93"/>
  <c r="AS93"/>
  <c r="AU93"/>
  <c r="AW93"/>
  <c r="AY93"/>
  <c r="BA93"/>
  <c r="BA106" s="1"/>
  <c r="BC93"/>
  <c r="BE93"/>
  <c r="BJ89"/>
  <c r="BP93"/>
  <c r="BR93"/>
  <c r="BT93"/>
  <c r="BV93"/>
  <c r="BX93"/>
  <c r="BZ93"/>
  <c r="CB93"/>
  <c r="CD93"/>
  <c r="CF93"/>
  <c r="CH93"/>
  <c r="CJ93"/>
  <c r="CL93"/>
  <c r="CN93"/>
  <c r="CP93"/>
  <c r="CR93"/>
  <c r="CT93"/>
  <c r="CV93"/>
  <c r="CX93"/>
  <c r="CZ93"/>
  <c r="DB93"/>
  <c r="DD93"/>
  <c r="DF93"/>
  <c r="H93"/>
  <c r="L93"/>
  <c r="P93"/>
  <c r="U93"/>
  <c r="Y93"/>
  <c r="AC93"/>
  <c r="AF93"/>
  <c r="AI93"/>
  <c r="AN93"/>
  <c r="AP93"/>
  <c r="AR93"/>
  <c r="AT93"/>
  <c r="AV93"/>
  <c r="AX93"/>
  <c r="AZ93"/>
  <c r="BB93"/>
  <c r="BB106" s="1"/>
  <c r="BD93"/>
  <c r="BO93"/>
  <c r="BQ93"/>
  <c r="BS93"/>
  <c r="BU93"/>
  <c r="BW93"/>
  <c r="BY93"/>
  <c r="CA93"/>
  <c r="CC93"/>
  <c r="CE93"/>
  <c r="CG93"/>
  <c r="CI93"/>
  <c r="CK93"/>
  <c r="CM93"/>
  <c r="CO93"/>
  <c r="CQ93"/>
  <c r="CS93"/>
  <c r="CU93"/>
  <c r="CW93"/>
  <c r="CY93"/>
  <c r="DA93"/>
  <c r="DC93"/>
  <c r="DE93"/>
  <c r="Q91"/>
  <c r="K110" i="59"/>
  <c r="BL89" i="72" l="1"/>
  <c r="BO106"/>
  <c r="DH93"/>
  <c r="AZ106"/>
  <c r="AY106" s="1"/>
  <c r="AX106" s="1"/>
  <c r="AW106" s="1"/>
  <c r="AV106" s="1"/>
  <c r="BF93"/>
  <c r="Q93"/>
  <c r="I106"/>
  <c r="H106" s="1"/>
  <c r="G106" s="1"/>
  <c r="D82" l="1"/>
  <c r="CF81"/>
  <c r="CB81"/>
  <c r="CJ81"/>
  <c r="DC81"/>
  <c r="CN81"/>
  <c r="CV81"/>
  <c r="BV81"/>
  <c r="DD81"/>
  <c r="CA81"/>
  <c r="BW81"/>
  <c r="CL81"/>
  <c r="CE81"/>
  <c r="CT81"/>
  <c r="CC81"/>
  <c r="CU81"/>
  <c r="CO81"/>
  <c r="CW81"/>
  <c r="CK81"/>
  <c r="DA81"/>
  <c r="CZ81"/>
  <c r="DF81"/>
  <c r="CR81"/>
  <c r="BY81"/>
  <c r="BR81"/>
  <c r="CP81"/>
  <c r="CS81"/>
  <c r="DB81"/>
  <c r="CQ81"/>
  <c r="BT81"/>
  <c r="DE81"/>
  <c r="BX81"/>
  <c r="BZ81"/>
  <c r="BS81"/>
  <c r="CH81"/>
  <c r="CM81"/>
  <c r="CY81"/>
  <c r="CX81"/>
  <c r="BU81"/>
  <c r="CD81"/>
  <c r="CI81"/>
  <c r="CG81"/>
  <c r="D81" l="1"/>
  <c r="DH80"/>
  <c r="BL80"/>
  <c r="D79"/>
  <c r="DH78"/>
  <c r="BL78"/>
  <c r="DH77"/>
  <c r="BL77"/>
  <c r="J81"/>
  <c r="AV81"/>
  <c r="CF79"/>
  <c r="CG79"/>
  <c r="AW81"/>
  <c r="CZ79"/>
  <c r="P81"/>
  <c r="AF81"/>
  <c r="BB79"/>
  <c r="M79"/>
  <c r="AA79"/>
  <c r="DB79"/>
  <c r="BC79"/>
  <c r="AR79"/>
  <c r="X81"/>
  <c r="CH79"/>
  <c r="AG79"/>
  <c r="AI79"/>
  <c r="DF79"/>
  <c r="BC81"/>
  <c r="CV79"/>
  <c r="AC81"/>
  <c r="AJ81"/>
  <c r="CJ79"/>
  <c r="AX81"/>
  <c r="AJ79"/>
  <c r="BX79"/>
  <c r="CK79"/>
  <c r="I81"/>
  <c r="AY81"/>
  <c r="CN79"/>
  <c r="AZ79"/>
  <c r="CI79"/>
  <c r="CP79"/>
  <c r="L81"/>
  <c r="AM81"/>
  <c r="AS81"/>
  <c r="CU79"/>
  <c r="CL79"/>
  <c r="BU79"/>
  <c r="BR79"/>
  <c r="AB81"/>
  <c r="AU79"/>
  <c r="BD81"/>
  <c r="AA81"/>
  <c r="M81"/>
  <c r="CA79"/>
  <c r="CS79"/>
  <c r="DA79"/>
  <c r="AD81"/>
  <c r="AY79"/>
  <c r="G81"/>
  <c r="CX79"/>
  <c r="S81"/>
  <c r="DD79"/>
  <c r="H81"/>
  <c r="L79"/>
  <c r="AT81"/>
  <c r="Z79"/>
  <c r="BA81"/>
  <c r="BS79"/>
  <c r="CR79"/>
  <c r="O79"/>
  <c r="AV79"/>
  <c r="CM79"/>
  <c r="G79"/>
  <c r="CQ79"/>
  <c r="X79"/>
  <c r="AN81"/>
  <c r="AT79"/>
  <c r="DE79"/>
  <c r="AW79"/>
  <c r="BB81"/>
  <c r="BY79"/>
  <c r="O81"/>
  <c r="AN79"/>
  <c r="W79"/>
  <c r="S79"/>
  <c r="AQ79"/>
  <c r="CT79"/>
  <c r="I79"/>
  <c r="N81"/>
  <c r="AF79"/>
  <c r="AC79"/>
  <c r="Y79"/>
  <c r="AD79"/>
  <c r="CB79"/>
  <c r="CO79"/>
  <c r="AU81"/>
  <c r="Z81"/>
  <c r="V79"/>
  <c r="AZ81"/>
  <c r="CD79"/>
  <c r="AG81"/>
  <c r="BT79"/>
  <c r="AO81"/>
  <c r="BA79"/>
  <c r="BZ79"/>
  <c r="AQ81"/>
  <c r="CC79"/>
  <c r="K81"/>
  <c r="N79"/>
  <c r="CE79"/>
  <c r="BW79"/>
  <c r="AP81"/>
  <c r="CY79"/>
  <c r="BE79"/>
  <c r="J79"/>
  <c r="BV79"/>
  <c r="H79"/>
  <c r="Y81"/>
  <c r="AR81"/>
  <c r="AP79"/>
  <c r="P79"/>
  <c r="AM79"/>
  <c r="AB79"/>
  <c r="AO79"/>
  <c r="AS79"/>
  <c r="AX79"/>
  <c r="BE81"/>
  <c r="AI81"/>
  <c r="CW79"/>
  <c r="BD79"/>
  <c r="K79"/>
  <c r="H82" l="1"/>
  <c r="L82"/>
  <c r="P82"/>
  <c r="Y82"/>
  <c r="AC82"/>
  <c r="AI82"/>
  <c r="AN82"/>
  <c r="AR82"/>
  <c r="AV82"/>
  <c r="AZ82"/>
  <c r="G82"/>
  <c r="Q79"/>
  <c r="I82"/>
  <c r="K82"/>
  <c r="M82"/>
  <c r="O82"/>
  <c r="X82"/>
  <c r="Z82"/>
  <c r="AB82"/>
  <c r="AD82"/>
  <c r="AG82"/>
  <c r="AJ82"/>
  <c r="AM82"/>
  <c r="BF79"/>
  <c r="AO82"/>
  <c r="AQ82"/>
  <c r="AS82"/>
  <c r="AU82"/>
  <c r="AW82"/>
  <c r="AY82"/>
  <c r="BA82"/>
  <c r="BC82"/>
  <c r="BE82"/>
  <c r="BS82"/>
  <c r="BU82"/>
  <c r="BW82"/>
  <c r="BY82"/>
  <c r="CA82"/>
  <c r="CC82"/>
  <c r="CE82"/>
  <c r="CG82"/>
  <c r="CI82"/>
  <c r="CK82"/>
  <c r="CM82"/>
  <c r="CO82"/>
  <c r="CQ82"/>
  <c r="CS82"/>
  <c r="CU82"/>
  <c r="CW82"/>
  <c r="CY82"/>
  <c r="DA82"/>
  <c r="DE82"/>
  <c r="Q81"/>
  <c r="J82"/>
  <c r="N82"/>
  <c r="S82"/>
  <c r="AA82"/>
  <c r="AF82"/>
  <c r="AP82"/>
  <c r="AT82"/>
  <c r="AX82"/>
  <c r="BB82"/>
  <c r="BD82"/>
  <c r="BR82"/>
  <c r="BT82"/>
  <c r="BV82"/>
  <c r="BX82"/>
  <c r="BZ82"/>
  <c r="CB82"/>
  <c r="CD82"/>
  <c r="CF82"/>
  <c r="CH82"/>
  <c r="CJ82"/>
  <c r="CL82"/>
  <c r="CN82"/>
  <c r="CP82"/>
  <c r="CR82"/>
  <c r="CT82"/>
  <c r="CV82"/>
  <c r="CX82"/>
  <c r="CZ82"/>
  <c r="DB82"/>
  <c r="DD82"/>
  <c r="DF82"/>
  <c r="BF81"/>
  <c r="BF82" l="1"/>
  <c r="Q82"/>
  <c r="D76" l="1"/>
  <c r="D75" l="1"/>
  <c r="DH74"/>
  <c r="BL74" s="1"/>
  <c r="BJ74"/>
  <c r="DH73"/>
  <c r="U75"/>
  <c r="CG75"/>
  <c r="BQ75"/>
  <c r="AF75"/>
  <c r="G75"/>
  <c r="DF75"/>
  <c r="AM75"/>
  <c r="CP75"/>
  <c r="CQ75"/>
  <c r="BV75"/>
  <c r="AQ75"/>
  <c r="AG75"/>
  <c r="CB75"/>
  <c r="AP75"/>
  <c r="BE75"/>
  <c r="BP75"/>
  <c r="CW75"/>
  <c r="CY75"/>
  <c r="CZ75"/>
  <c r="BU75"/>
  <c r="Z75"/>
  <c r="J75"/>
  <c r="AO75"/>
  <c r="CO75"/>
  <c r="CH75"/>
  <c r="CM75"/>
  <c r="DA75"/>
  <c r="BZ75"/>
  <c r="N75"/>
  <c r="CS75"/>
  <c r="BC75"/>
  <c r="CE75"/>
  <c r="W75"/>
  <c r="CF75"/>
  <c r="V75"/>
  <c r="BD75"/>
  <c r="AU75"/>
  <c r="CR75"/>
  <c r="BO75"/>
  <c r="AR75"/>
  <c r="CT75"/>
  <c r="CK75"/>
  <c r="CU75"/>
  <c r="CC75"/>
  <c r="AX75"/>
  <c r="AY75"/>
  <c r="DD75"/>
  <c r="DB75"/>
  <c r="AA75"/>
  <c r="AW75"/>
  <c r="O75"/>
  <c r="AD75"/>
  <c r="H75"/>
  <c r="BR75"/>
  <c r="DE75"/>
  <c r="M75"/>
  <c r="I75"/>
  <c r="AT75"/>
  <c r="S75"/>
  <c r="Y75"/>
  <c r="CD75"/>
  <c r="BX75"/>
  <c r="AJ75"/>
  <c r="BA75"/>
  <c r="CA75"/>
  <c r="AZ75"/>
  <c r="BS75"/>
  <c r="K75"/>
  <c r="DC75"/>
  <c r="CN75"/>
  <c r="BB75"/>
  <c r="BY75"/>
  <c r="L75"/>
  <c r="CX75"/>
  <c r="AI75"/>
  <c r="AC75"/>
  <c r="BT75"/>
  <c r="X75"/>
  <c r="P75"/>
  <c r="AN75"/>
  <c r="AS75"/>
  <c r="CV75"/>
  <c r="AB75"/>
  <c r="BW75"/>
  <c r="CI75"/>
  <c r="CL75"/>
  <c r="CJ75"/>
  <c r="H76" l="1"/>
  <c r="L76"/>
  <c r="P76"/>
  <c r="U76"/>
  <c r="W76"/>
  <c r="AA76"/>
  <c r="AF76"/>
  <c r="AN76"/>
  <c r="AR76"/>
  <c r="G76"/>
  <c r="Q75"/>
  <c r="I76"/>
  <c r="K76"/>
  <c r="M76"/>
  <c r="O76"/>
  <c r="V76"/>
  <c r="X76"/>
  <c r="Z76"/>
  <c r="AB76"/>
  <c r="AD76"/>
  <c r="AG76"/>
  <c r="AJ76"/>
  <c r="AM76"/>
  <c r="AO76"/>
  <c r="AQ76"/>
  <c r="AS76"/>
  <c r="AU76"/>
  <c r="AW76"/>
  <c r="AY76"/>
  <c r="BA76"/>
  <c r="BC76"/>
  <c r="BE76"/>
  <c r="BO76"/>
  <c r="DH75"/>
  <c r="BQ76"/>
  <c r="BS76"/>
  <c r="BU76"/>
  <c r="BW76"/>
  <c r="BY76"/>
  <c r="CA76"/>
  <c r="CC76"/>
  <c r="CE76"/>
  <c r="CG76"/>
  <c r="CI76"/>
  <c r="CK76"/>
  <c r="CM76"/>
  <c r="CO76"/>
  <c r="CQ76"/>
  <c r="CS76"/>
  <c r="CU76"/>
  <c r="CW76"/>
  <c r="CY76"/>
  <c r="DA76"/>
  <c r="DC76"/>
  <c r="DE76"/>
  <c r="J76"/>
  <c r="N76"/>
  <c r="S76"/>
  <c r="Y76"/>
  <c r="AC76"/>
  <c r="AI76"/>
  <c r="AP76"/>
  <c r="AT76"/>
  <c r="AX76"/>
  <c r="AZ76"/>
  <c r="BB76"/>
  <c r="BD76"/>
  <c r="BP76"/>
  <c r="BR76"/>
  <c r="BT76"/>
  <c r="BV76"/>
  <c r="BX76"/>
  <c r="BZ76"/>
  <c r="CB76"/>
  <c r="CD76"/>
  <c r="CF76"/>
  <c r="CH76"/>
  <c r="CJ76"/>
  <c r="CL76"/>
  <c r="CN76"/>
  <c r="CP76"/>
  <c r="CR76"/>
  <c r="CT76"/>
  <c r="CV76"/>
  <c r="CX76"/>
  <c r="CZ76"/>
  <c r="DB76"/>
  <c r="DD76"/>
  <c r="DF76"/>
  <c r="DH76" l="1"/>
  <c r="Q76"/>
  <c r="D72" l="1"/>
  <c r="D71" l="1"/>
  <c r="DH70"/>
  <c r="BJ70"/>
  <c r="DH69"/>
  <c r="BL69"/>
  <c r="BA71"/>
  <c r="DA71"/>
  <c r="AF71"/>
  <c r="CN71"/>
  <c r="CX71"/>
  <c r="BS71"/>
  <c r="DD71"/>
  <c r="O71"/>
  <c r="BX71"/>
  <c r="CV71"/>
  <c r="AJ71"/>
  <c r="BZ71"/>
  <c r="J71"/>
  <c r="AM71"/>
  <c r="W71"/>
  <c r="K71"/>
  <c r="CC71"/>
  <c r="N71"/>
  <c r="AW71"/>
  <c r="CZ71"/>
  <c r="BE71"/>
  <c r="M71"/>
  <c r="BD71"/>
  <c r="CA71"/>
  <c r="CH71"/>
  <c r="BO71"/>
  <c r="U71"/>
  <c r="P71"/>
  <c r="BU71"/>
  <c r="G71"/>
  <c r="AD71"/>
  <c r="CU71"/>
  <c r="BC71"/>
  <c r="H71"/>
  <c r="DF71"/>
  <c r="CY71"/>
  <c r="CP71"/>
  <c r="AU71"/>
  <c r="CE71"/>
  <c r="AI71"/>
  <c r="CF71"/>
  <c r="DB71"/>
  <c r="AN71"/>
  <c r="Y71"/>
  <c r="BW71"/>
  <c r="CR71"/>
  <c r="AX71"/>
  <c r="CM71"/>
  <c r="CW71"/>
  <c r="CQ71"/>
  <c r="CI71"/>
  <c r="CL71"/>
  <c r="AP71"/>
  <c r="BB71"/>
  <c r="CJ71"/>
  <c r="CB71"/>
  <c r="X71"/>
  <c r="AY71"/>
  <c r="CO71"/>
  <c r="CS71"/>
  <c r="CG71"/>
  <c r="BT71"/>
  <c r="BY71"/>
  <c r="AT71"/>
  <c r="AZ71"/>
  <c r="BR71"/>
  <c r="BI71"/>
  <c r="L71"/>
  <c r="BP71"/>
  <c r="BQ71"/>
  <c r="AA71"/>
  <c r="V71"/>
  <c r="I71"/>
  <c r="CT71"/>
  <c r="S71"/>
  <c r="DC71"/>
  <c r="AC71"/>
  <c r="DE71"/>
  <c r="AS71"/>
  <c r="CD71"/>
  <c r="AQ71"/>
  <c r="AG71"/>
  <c r="AV71"/>
  <c r="AO71"/>
  <c r="CK71"/>
  <c r="Z71"/>
  <c r="BV71"/>
  <c r="AR71"/>
  <c r="BL70" l="1"/>
  <c r="G72"/>
  <c r="Q71"/>
  <c r="K72"/>
  <c r="O72"/>
  <c r="V72"/>
  <c r="Z72"/>
  <c r="AD72"/>
  <c r="AJ72"/>
  <c r="AO72"/>
  <c r="AS72"/>
  <c r="AW72"/>
  <c r="BA72"/>
  <c r="H72"/>
  <c r="J72"/>
  <c r="L72"/>
  <c r="N72"/>
  <c r="P72"/>
  <c r="S72"/>
  <c r="U72"/>
  <c r="W72"/>
  <c r="Y72"/>
  <c r="AA72"/>
  <c r="AC72"/>
  <c r="AF72"/>
  <c r="AI72"/>
  <c r="AN72"/>
  <c r="AP72"/>
  <c r="AR72"/>
  <c r="AT72"/>
  <c r="AV72"/>
  <c r="AX72"/>
  <c r="AZ72"/>
  <c r="BB72"/>
  <c r="BD72"/>
  <c r="BI72"/>
  <c r="I72"/>
  <c r="M72"/>
  <c r="X72"/>
  <c r="AG72"/>
  <c r="AM72"/>
  <c r="BF71"/>
  <c r="AQ72"/>
  <c r="AU72"/>
  <c r="AY72"/>
  <c r="BC72"/>
  <c r="BE72"/>
  <c r="BP72"/>
  <c r="BT72"/>
  <c r="BX72"/>
  <c r="CB72"/>
  <c r="CF72"/>
  <c r="CJ72"/>
  <c r="CN72"/>
  <c r="CR72"/>
  <c r="CV72"/>
  <c r="BO72"/>
  <c r="DH71"/>
  <c r="BQ72"/>
  <c r="BS72"/>
  <c r="BU72"/>
  <c r="BW72"/>
  <c r="BY72"/>
  <c r="CA72"/>
  <c r="CC72"/>
  <c r="CE72"/>
  <c r="CG72"/>
  <c r="CI72"/>
  <c r="CK72"/>
  <c r="CM72"/>
  <c r="CO72"/>
  <c r="CQ72"/>
  <c r="CS72"/>
  <c r="CU72"/>
  <c r="CW72"/>
  <c r="CY72"/>
  <c r="DA72"/>
  <c r="DC72"/>
  <c r="DE72"/>
  <c r="BR72"/>
  <c r="BV72"/>
  <c r="BZ72"/>
  <c r="CD72"/>
  <c r="CH72"/>
  <c r="CL72"/>
  <c r="CP72"/>
  <c r="CT72"/>
  <c r="CX72"/>
  <c r="CZ72"/>
  <c r="DB72"/>
  <c r="DD72"/>
  <c r="DF72"/>
  <c r="DH72" l="1"/>
  <c r="BF72"/>
  <c r="Q72"/>
  <c r="D68" l="1"/>
  <c r="DE67"/>
  <c r="BX67"/>
  <c r="CA67"/>
  <c r="CN67"/>
  <c r="CZ67"/>
  <c r="BT67"/>
  <c r="CU67"/>
  <c r="CP67"/>
  <c r="CM67"/>
  <c r="CY67"/>
  <c r="BR67"/>
  <c r="CT67"/>
  <c r="DC67"/>
  <c r="CX67"/>
  <c r="BV67"/>
  <c r="CR67"/>
  <c r="BZ67"/>
  <c r="CF67"/>
  <c r="CV67"/>
  <c r="CK67"/>
  <c r="CO67"/>
  <c r="CW67"/>
  <c r="BO67"/>
  <c r="BP67"/>
  <c r="BS67"/>
  <c r="CB67"/>
  <c r="CI67"/>
  <c r="DB67"/>
  <c r="BU67"/>
  <c r="BY67"/>
  <c r="CD67"/>
  <c r="CJ67"/>
  <c r="CL67"/>
  <c r="DD67"/>
  <c r="CE67"/>
  <c r="CC67"/>
  <c r="BQ67"/>
  <c r="CS67"/>
  <c r="CH67"/>
  <c r="CQ67"/>
  <c r="DF67"/>
  <c r="BW67"/>
  <c r="DA67"/>
  <c r="CG67"/>
  <c r="DH67" l="1"/>
  <c r="AN67"/>
  <c r="V67"/>
  <c r="BC67"/>
  <c r="AA67"/>
  <c r="BA67"/>
  <c r="W67"/>
  <c r="AF67"/>
  <c r="AR67"/>
  <c r="AQ67"/>
  <c r="BE67"/>
  <c r="S67"/>
  <c r="BH67"/>
  <c r="Z67"/>
  <c r="Y67"/>
  <c r="AG67"/>
  <c r="AS67"/>
  <c r="AT67"/>
  <c r="AC67"/>
  <c r="AY67"/>
  <c r="AW67"/>
  <c r="AI67"/>
  <c r="AO67"/>
  <c r="BB67"/>
  <c r="U67"/>
  <c r="AP67"/>
  <c r="BD67"/>
  <c r="AU67"/>
  <c r="AJ67"/>
  <c r="AM67"/>
  <c r="AD67"/>
  <c r="AV67"/>
  <c r="X67"/>
  <c r="AZ67"/>
  <c r="AB67"/>
  <c r="BI67"/>
  <c r="BJ67" l="1"/>
  <c r="D67"/>
  <c r="N67"/>
  <c r="P67"/>
  <c r="L67"/>
  <c r="J67"/>
  <c r="H67"/>
  <c r="M67"/>
  <c r="K67"/>
  <c r="I67"/>
  <c r="O67"/>
  <c r="G67"/>
  <c r="Q67" l="1"/>
  <c r="D66"/>
  <c r="AM66"/>
  <c r="BY66"/>
  <c r="I66"/>
  <c r="BZ66"/>
  <c r="AB66"/>
  <c r="CZ66"/>
  <c r="AX66"/>
  <c r="V66"/>
  <c r="DD66"/>
  <c r="X66"/>
  <c r="BC66"/>
  <c r="CM66"/>
  <c r="BP66"/>
  <c r="BR66"/>
  <c r="AV66"/>
  <c r="AF66"/>
  <c r="Y66"/>
  <c r="CQ66"/>
  <c r="CL66"/>
  <c r="AZ66"/>
  <c r="BU66"/>
  <c r="AP66"/>
  <c r="CS66"/>
  <c r="K66"/>
  <c r="AO66"/>
  <c r="AN66"/>
  <c r="DC66"/>
  <c r="BH66"/>
  <c r="CH66"/>
  <c r="P66"/>
  <c r="CB66"/>
  <c r="CT66"/>
  <c r="DA66"/>
  <c r="BB66"/>
  <c r="BI66"/>
  <c r="BQ66"/>
  <c r="U66"/>
  <c r="AG66"/>
  <c r="CC66"/>
  <c r="AY66"/>
  <c r="O66"/>
  <c r="CU66"/>
  <c r="BE66"/>
  <c r="BO66"/>
  <c r="CY66"/>
  <c r="T66"/>
  <c r="BX66"/>
  <c r="CX66"/>
  <c r="CJ66"/>
  <c r="CN66"/>
  <c r="DB66"/>
  <c r="DF66"/>
  <c r="CD66"/>
  <c r="BS66"/>
  <c r="CF66"/>
  <c r="J66"/>
  <c r="AC66"/>
  <c r="AA66"/>
  <c r="BV66"/>
  <c r="CI66"/>
  <c r="AS66"/>
  <c r="DE66"/>
  <c r="AQ66"/>
  <c r="AJ66"/>
  <c r="AR66"/>
  <c r="AU66"/>
  <c r="CR66"/>
  <c r="CK66"/>
  <c r="BW66"/>
  <c r="L66"/>
  <c r="CV66"/>
  <c r="CO66"/>
  <c r="M66"/>
  <c r="G66"/>
  <c r="BD66"/>
  <c r="CP66"/>
  <c r="BA66"/>
  <c r="CA66"/>
  <c r="AT66"/>
  <c r="CE66"/>
  <c r="CG66"/>
  <c r="W66"/>
  <c r="Z66"/>
  <c r="N66"/>
  <c r="CW66"/>
  <c r="AD66"/>
  <c r="BT66"/>
  <c r="BJ66" l="1"/>
  <c r="DH66"/>
  <c r="CV65"/>
  <c r="CO65"/>
  <c r="BP65"/>
  <c r="DA65"/>
  <c r="CQ65"/>
  <c r="BU65"/>
  <c r="CW65"/>
  <c r="CX65"/>
  <c r="CC65"/>
  <c r="CB65"/>
  <c r="CK65"/>
  <c r="DC65"/>
  <c r="BO65"/>
  <c r="CF65"/>
  <c r="CP65"/>
  <c r="CR65"/>
  <c r="CZ65"/>
  <c r="CT65"/>
  <c r="DB65"/>
  <c r="BR65"/>
  <c r="CE65"/>
  <c r="CI65"/>
  <c r="CH65"/>
  <c r="CJ65"/>
  <c r="CN65"/>
  <c r="CY65"/>
  <c r="BT65"/>
  <c r="BS65"/>
  <c r="BV65"/>
  <c r="CD65"/>
  <c r="CL65"/>
  <c r="CA65"/>
  <c r="CS65"/>
  <c r="CG65"/>
  <c r="DE65"/>
  <c r="DF65"/>
  <c r="BX65"/>
  <c r="BY65"/>
  <c r="DD65"/>
  <c r="CU65"/>
  <c r="BQ65"/>
  <c r="BW65"/>
  <c r="CM65"/>
  <c r="BZ65"/>
  <c r="BO68" l="1"/>
  <c r="DH65"/>
  <c r="BS68"/>
  <c r="BW68"/>
  <c r="CA68"/>
  <c r="CE68"/>
  <c r="CI68"/>
  <c r="CM68"/>
  <c r="CQ68"/>
  <c r="CU68"/>
  <c r="BP68"/>
  <c r="BR68"/>
  <c r="BT68"/>
  <c r="BV68"/>
  <c r="BX68"/>
  <c r="BZ68"/>
  <c r="CB68"/>
  <c r="CD68"/>
  <c r="CF68"/>
  <c r="CH68"/>
  <c r="CJ68"/>
  <c r="CL68"/>
  <c r="CN68"/>
  <c r="CP68"/>
  <c r="CR68"/>
  <c r="CT68"/>
  <c r="CV68"/>
  <c r="CX68"/>
  <c r="CZ68"/>
  <c r="DB68"/>
  <c r="DD68"/>
  <c r="DF68"/>
  <c r="BQ68"/>
  <c r="BU68"/>
  <c r="BY68"/>
  <c r="CC68"/>
  <c r="CG68"/>
  <c r="CK68"/>
  <c r="CO68"/>
  <c r="CS68"/>
  <c r="CW68"/>
  <c r="CY68"/>
  <c r="DA68"/>
  <c r="DC68"/>
  <c r="DE68"/>
  <c r="D65"/>
  <c r="DH64"/>
  <c r="AM65"/>
  <c r="AN65"/>
  <c r="L65"/>
  <c r="AU65"/>
  <c r="Y65"/>
  <c r="BH65"/>
  <c r="AX65"/>
  <c r="AB65"/>
  <c r="BB65"/>
  <c r="X65"/>
  <c r="O65"/>
  <c r="S65"/>
  <c r="AF65"/>
  <c r="BD65"/>
  <c r="AQ65"/>
  <c r="AP65"/>
  <c r="H65"/>
  <c r="BA65"/>
  <c r="AR65"/>
  <c r="Z65"/>
  <c r="BC65"/>
  <c r="AA65"/>
  <c r="AY65"/>
  <c r="J65"/>
  <c r="U65"/>
  <c r="M65"/>
  <c r="I65"/>
  <c r="AC65"/>
  <c r="AZ65"/>
  <c r="AO65"/>
  <c r="K65"/>
  <c r="AG65"/>
  <c r="BI65"/>
  <c r="AT65"/>
  <c r="P65"/>
  <c r="AJ65"/>
  <c r="N65"/>
  <c r="V65"/>
  <c r="G65"/>
  <c r="AV65"/>
  <c r="BE65"/>
  <c r="AI65"/>
  <c r="W65"/>
  <c r="AD65"/>
  <c r="AS65"/>
  <c r="L68" l="1"/>
  <c r="P68"/>
  <c r="U68"/>
  <c r="Y68"/>
  <c r="AC68"/>
  <c r="AP68"/>
  <c r="AT68"/>
  <c r="G68"/>
  <c r="Q65"/>
  <c r="I68"/>
  <c r="K68"/>
  <c r="M68"/>
  <c r="O68"/>
  <c r="V68"/>
  <c r="X68"/>
  <c r="Z68"/>
  <c r="AB68"/>
  <c r="AD68"/>
  <c r="AG68"/>
  <c r="AJ68"/>
  <c r="AM68"/>
  <c r="AO68"/>
  <c r="AQ68"/>
  <c r="AS68"/>
  <c r="AU68"/>
  <c r="AY68"/>
  <c r="BA68"/>
  <c r="BC68"/>
  <c r="BE68"/>
  <c r="BH68"/>
  <c r="BJ65"/>
  <c r="J68"/>
  <c r="N68"/>
  <c r="W68"/>
  <c r="AA68"/>
  <c r="AF68"/>
  <c r="AN68"/>
  <c r="AR68"/>
  <c r="AV68"/>
  <c r="AZ68"/>
  <c r="BB68"/>
  <c r="BD68"/>
  <c r="BI68"/>
  <c r="DH68"/>
  <c r="BJ68" l="1"/>
  <c r="D63" l="1"/>
  <c r="CF62"/>
  <c r="CT62"/>
  <c r="BV62"/>
  <c r="BX62"/>
  <c r="CR62"/>
  <c r="CL62"/>
  <c r="CW62"/>
  <c r="DD62"/>
  <c r="DE62"/>
  <c r="BZ62"/>
  <c r="CU62"/>
  <c r="CV62"/>
  <c r="CY62"/>
  <c r="CO62"/>
  <c r="CB62"/>
  <c r="BS62"/>
  <c r="CM62"/>
  <c r="DC62"/>
  <c r="CZ62"/>
  <c r="BT62"/>
  <c r="CK62"/>
  <c r="DA62"/>
  <c r="CQ62"/>
  <c r="BW62"/>
  <c r="BU62"/>
  <c r="CN62"/>
  <c r="CD62"/>
  <c r="CG62"/>
  <c r="DF62"/>
  <c r="BQ62"/>
  <c r="CJ62"/>
  <c r="CC62"/>
  <c r="BO62"/>
  <c r="CH62"/>
  <c r="BP62"/>
  <c r="BR62"/>
  <c r="CX62"/>
  <c r="CS62"/>
  <c r="CI62"/>
  <c r="CA62"/>
  <c r="CP62"/>
  <c r="BY62"/>
  <c r="CE62"/>
  <c r="DB62"/>
  <c r="DH62" l="1"/>
  <c r="BD62"/>
  <c r="W62"/>
  <c r="AV62"/>
  <c r="AA62"/>
  <c r="AO62"/>
  <c r="BH62"/>
  <c r="AZ62"/>
  <c r="BC62"/>
  <c r="AP62"/>
  <c r="Z62"/>
  <c r="BB62"/>
  <c r="AD62"/>
  <c r="AI62"/>
  <c r="AT62"/>
  <c r="BA62"/>
  <c r="AW62"/>
  <c r="AR62"/>
  <c r="U62"/>
  <c r="AM62"/>
  <c r="AC62"/>
  <c r="AG62"/>
  <c r="AB62"/>
  <c r="AU62"/>
  <c r="Y62"/>
  <c r="AX62"/>
  <c r="AJ62"/>
  <c r="AQ62"/>
  <c r="AF62"/>
  <c r="S62"/>
  <c r="X62"/>
  <c r="V62"/>
  <c r="BE62"/>
  <c r="AS62"/>
  <c r="BI62"/>
  <c r="AN62"/>
  <c r="BJ62" l="1"/>
  <c r="D62"/>
  <c r="G62"/>
  <c r="O62"/>
  <c r="J62"/>
  <c r="I62"/>
  <c r="M62"/>
  <c r="P62"/>
  <c r="L62"/>
  <c r="N62"/>
  <c r="K62"/>
  <c r="H62"/>
  <c r="Q62" l="1"/>
  <c r="DE61"/>
  <c r="DA61"/>
  <c r="CR61"/>
  <c r="DD61"/>
  <c r="CS61"/>
  <c r="BW61"/>
  <c r="CX61"/>
  <c r="CV61"/>
  <c r="CA61"/>
  <c r="BX61"/>
  <c r="CD61"/>
  <c r="CQ61"/>
  <c r="BS61"/>
  <c r="DB61"/>
  <c r="CC61"/>
  <c r="BH61"/>
  <c r="CZ61"/>
  <c r="DF61"/>
  <c r="CG61"/>
  <c r="CY61"/>
  <c r="BQ61"/>
  <c r="CL61"/>
  <c r="CH61"/>
  <c r="CJ61"/>
  <c r="BP61"/>
  <c r="CN61"/>
  <c r="BO61"/>
  <c r="CK61"/>
  <c r="DC61"/>
  <c r="CM61"/>
  <c r="BR61"/>
  <c r="CE61"/>
  <c r="CB61"/>
  <c r="BI61"/>
  <c r="BU61"/>
  <c r="CW61"/>
  <c r="CP61"/>
  <c r="CI61"/>
  <c r="BZ61"/>
  <c r="BT61"/>
  <c r="CF61"/>
  <c r="CT61"/>
  <c r="BV61"/>
  <c r="CU61"/>
  <c r="CO61"/>
  <c r="BY61"/>
  <c r="DH61" l="1"/>
  <c r="BJ61"/>
  <c r="Y61"/>
  <c r="BC61"/>
  <c r="AZ61"/>
  <c r="AG61"/>
  <c r="AU61"/>
  <c r="AX61"/>
  <c r="BD61"/>
  <c r="V61"/>
  <c r="X61"/>
  <c r="S61"/>
  <c r="W61"/>
  <c r="AD61"/>
  <c r="BE61"/>
  <c r="AM61"/>
  <c r="AA61"/>
  <c r="AV61"/>
  <c r="AS61"/>
  <c r="AN61"/>
  <c r="AI61"/>
  <c r="AO61"/>
  <c r="AC61"/>
  <c r="AF61"/>
  <c r="AW61"/>
  <c r="AJ61"/>
  <c r="AT61"/>
  <c r="AB61"/>
  <c r="AY61"/>
  <c r="AR61"/>
  <c r="AQ61"/>
  <c r="Z61"/>
  <c r="U61"/>
  <c r="AP61"/>
  <c r="D61" l="1"/>
  <c r="G61"/>
  <c r="K61"/>
  <c r="L61"/>
  <c r="I61"/>
  <c r="H61"/>
  <c r="P61"/>
  <c r="M61"/>
  <c r="O61"/>
  <c r="J61"/>
  <c r="N61"/>
  <c r="Q61" l="1"/>
  <c r="DE60"/>
  <c r="AU60"/>
  <c r="AQ60"/>
  <c r="AV60"/>
  <c r="CM60"/>
  <c r="CO60"/>
  <c r="CH60"/>
  <c r="Y60"/>
  <c r="AG60"/>
  <c r="V60"/>
  <c r="CL60"/>
  <c r="CG60"/>
  <c r="AI60"/>
  <c r="BY60"/>
  <c r="BH60"/>
  <c r="AO60"/>
  <c r="CU60"/>
  <c r="BV60"/>
  <c r="CS60"/>
  <c r="BB60"/>
  <c r="BW60"/>
  <c r="DD60"/>
  <c r="CW60"/>
  <c r="CQ60"/>
  <c r="CV60"/>
  <c r="BT60"/>
  <c r="AR60"/>
  <c r="AC60"/>
  <c r="CY60"/>
  <c r="BQ60"/>
  <c r="CA60"/>
  <c r="AT60"/>
  <c r="BO60"/>
  <c r="W60"/>
  <c r="CT60"/>
  <c r="BA60"/>
  <c r="S60"/>
  <c r="AB60"/>
  <c r="AP60"/>
  <c r="BR60"/>
  <c r="AS60"/>
  <c r="CN60"/>
  <c r="AM60"/>
  <c r="AJ60"/>
  <c r="AW60"/>
  <c r="BS60"/>
  <c r="CK60"/>
  <c r="CB60"/>
  <c r="BZ60"/>
  <c r="X60"/>
  <c r="U60"/>
  <c r="CF60"/>
  <c r="BX60"/>
  <c r="AF60"/>
  <c r="BD60"/>
  <c r="BE60"/>
  <c r="AX60"/>
  <c r="AA60"/>
  <c r="BP60"/>
  <c r="CX60"/>
  <c r="CI60"/>
  <c r="DA60"/>
  <c r="Z60"/>
  <c r="CC60"/>
  <c r="DF60"/>
  <c r="CJ60"/>
  <c r="BC60"/>
  <c r="BU60"/>
  <c r="CR60"/>
  <c r="AN60"/>
  <c r="DC60"/>
  <c r="CE60"/>
  <c r="AD60"/>
  <c r="DB60"/>
  <c r="BI60"/>
  <c r="CZ60"/>
  <c r="CD60"/>
  <c r="CP60"/>
  <c r="BJ60" l="1"/>
  <c r="DH60"/>
  <c r="D60"/>
  <c r="I60"/>
  <c r="L60"/>
  <c r="N60"/>
  <c r="G60"/>
  <c r="J60"/>
  <c r="O60"/>
  <c r="H60"/>
  <c r="M60"/>
  <c r="K60"/>
  <c r="P60"/>
  <c r="Q60" l="1"/>
  <c r="CG59"/>
  <c r="X59"/>
  <c r="AZ59"/>
  <c r="AW59"/>
  <c r="CM59"/>
  <c r="BO59"/>
  <c r="W59"/>
  <c r="BQ59"/>
  <c r="CK59"/>
  <c r="V59"/>
  <c r="AN59"/>
  <c r="DE59"/>
  <c r="BY59"/>
  <c r="CS59"/>
  <c r="CZ59"/>
  <c r="CY59"/>
  <c r="BR59"/>
  <c r="CF59"/>
  <c r="BE59"/>
  <c r="CB59"/>
  <c r="BC59"/>
  <c r="BD59"/>
  <c r="DA59"/>
  <c r="DD59"/>
  <c r="AG59"/>
  <c r="CV59"/>
  <c r="BP59"/>
  <c r="AY59"/>
  <c r="AU59"/>
  <c r="CO59"/>
  <c r="DC59"/>
  <c r="AR59"/>
  <c r="CA59"/>
  <c r="DB59"/>
  <c r="CR59"/>
  <c r="CQ59"/>
  <c r="CU59"/>
  <c r="CP59"/>
  <c r="BX59"/>
  <c r="CL59"/>
  <c r="AM59"/>
  <c r="CC59"/>
  <c r="CW59"/>
  <c r="Z59"/>
  <c r="BW59"/>
  <c r="AO59"/>
  <c r="BV59"/>
  <c r="CN59"/>
  <c r="AS59"/>
  <c r="AQ59"/>
  <c r="AC59"/>
  <c r="CI59"/>
  <c r="AT59"/>
  <c r="AF59"/>
  <c r="U59"/>
  <c r="AJ59"/>
  <c r="BZ59"/>
  <c r="CH59"/>
  <c r="BT59"/>
  <c r="BS59"/>
  <c r="AV59"/>
  <c r="AX59"/>
  <c r="CT59"/>
  <c r="CJ59"/>
  <c r="CE59"/>
  <c r="BH59"/>
  <c r="BI59"/>
  <c r="AA59"/>
  <c r="AB59"/>
  <c r="BU59"/>
  <c r="S59"/>
  <c r="CX59"/>
  <c r="BA59"/>
  <c r="AI59"/>
  <c r="AD59"/>
  <c r="CD59"/>
  <c r="DF59"/>
  <c r="Y59"/>
  <c r="AP59"/>
  <c r="BJ59" l="1"/>
  <c r="DH59"/>
  <c r="D59"/>
  <c r="I59"/>
  <c r="K59"/>
  <c r="M59"/>
  <c r="N59"/>
  <c r="H59"/>
  <c r="J59"/>
  <c r="L59"/>
  <c r="G59"/>
  <c r="P59"/>
  <c r="O59"/>
  <c r="Q59" l="1"/>
  <c r="DE58"/>
  <c r="BR58"/>
  <c r="CX58"/>
  <c r="BY58"/>
  <c r="BQ58"/>
  <c r="BO58"/>
  <c r="CO58"/>
  <c r="BU58"/>
  <c r="BS58"/>
  <c r="BX58"/>
  <c r="CE58"/>
  <c r="BZ58"/>
  <c r="BP58"/>
  <c r="CI58"/>
  <c r="BV58"/>
  <c r="DF58"/>
  <c r="CU58"/>
  <c r="CQ58"/>
  <c r="CJ58"/>
  <c r="CH58"/>
  <c r="CZ58"/>
  <c r="DC58"/>
  <c r="CM58"/>
  <c r="CA58"/>
  <c r="BW58"/>
  <c r="CB58"/>
  <c r="CL58"/>
  <c r="CV58"/>
  <c r="CP58"/>
  <c r="CK58"/>
  <c r="DA58"/>
  <c r="CN58"/>
  <c r="CD58"/>
  <c r="CT58"/>
  <c r="CG58"/>
  <c r="CW58"/>
  <c r="CS58"/>
  <c r="CF58"/>
  <c r="CR58"/>
  <c r="CY58"/>
  <c r="DB58"/>
  <c r="CC58"/>
  <c r="DD58"/>
  <c r="BT58"/>
  <c r="DH58" l="1"/>
  <c r="Y58"/>
  <c r="BA58"/>
  <c r="AP58"/>
  <c r="BB58"/>
  <c r="AR58"/>
  <c r="AM58"/>
  <c r="BH58"/>
  <c r="U58"/>
  <c r="BD58"/>
  <c r="AQ58"/>
  <c r="BC58"/>
  <c r="AA58"/>
  <c r="V58"/>
  <c r="AF58"/>
  <c r="AC58"/>
  <c r="AU58"/>
  <c r="AD58"/>
  <c r="AV58"/>
  <c r="AS58"/>
  <c r="W58"/>
  <c r="AB58"/>
  <c r="AG58"/>
  <c r="AO58"/>
  <c r="Z58"/>
  <c r="BE58"/>
  <c r="AZ58"/>
  <c r="BI58"/>
  <c r="AY58"/>
  <c r="X58"/>
  <c r="AJ58"/>
  <c r="AW58"/>
  <c r="AN58"/>
  <c r="S58"/>
  <c r="AI58"/>
  <c r="AT58"/>
  <c r="BJ58" l="1"/>
  <c r="D58"/>
  <c r="J58"/>
  <c r="M58"/>
  <c r="G58"/>
  <c r="I58"/>
  <c r="N58"/>
  <c r="O58"/>
  <c r="L58"/>
  <c r="K58"/>
  <c r="P58"/>
  <c r="H58"/>
  <c r="Q58" l="1"/>
  <c r="D57"/>
  <c r="DH56"/>
  <c r="BL56"/>
  <c r="BY57"/>
  <c r="CT57"/>
  <c r="BB57"/>
  <c r="H57"/>
  <c r="CE57"/>
  <c r="AD57"/>
  <c r="N57"/>
  <c r="G57"/>
  <c r="CL57"/>
  <c r="CM57"/>
  <c r="CH57"/>
  <c r="AS57"/>
  <c r="L57"/>
  <c r="CO57"/>
  <c r="BC57"/>
  <c r="Z57"/>
  <c r="BI57"/>
  <c r="AJ57"/>
  <c r="DC57"/>
  <c r="AW57"/>
  <c r="AV57"/>
  <c r="CF57"/>
  <c r="CQ57"/>
  <c r="CN57"/>
  <c r="BO57"/>
  <c r="AU57"/>
  <c r="CU57"/>
  <c r="AG57"/>
  <c r="BV57"/>
  <c r="CV57"/>
  <c r="X57"/>
  <c r="AI57"/>
  <c r="CA57"/>
  <c r="AC57"/>
  <c r="CS57"/>
  <c r="CX57"/>
  <c r="DB57"/>
  <c r="AZ57"/>
  <c r="CB57"/>
  <c r="CZ57"/>
  <c r="V57"/>
  <c r="BS57"/>
  <c r="CJ57"/>
  <c r="S57"/>
  <c r="M57"/>
  <c r="CK57"/>
  <c r="BQ57"/>
  <c r="O57"/>
  <c r="I57"/>
  <c r="BH57"/>
  <c r="CP57"/>
  <c r="Y57"/>
  <c r="J57"/>
  <c r="AY57"/>
  <c r="AO57"/>
  <c r="DA57"/>
  <c r="BX57"/>
  <c r="BW57"/>
  <c r="AT57"/>
  <c r="BE57"/>
  <c r="BZ57"/>
  <c r="U57"/>
  <c r="BA57"/>
  <c r="AN57"/>
  <c r="CD57"/>
  <c r="BT57"/>
  <c r="CW57"/>
  <c r="W57"/>
  <c r="CI57"/>
  <c r="AR57"/>
  <c r="BP57"/>
  <c r="AA57"/>
  <c r="DD57"/>
  <c r="DE57"/>
  <c r="CC57"/>
  <c r="AQ57"/>
  <c r="CY57"/>
  <c r="CR57"/>
  <c r="BU57"/>
  <c r="BD57"/>
  <c r="P57"/>
  <c r="CG57"/>
  <c r="AB57"/>
  <c r="K57"/>
  <c r="DF57"/>
  <c r="AP57"/>
  <c r="AM57"/>
  <c r="BR57"/>
  <c r="AF57"/>
  <c r="J63" l="1"/>
  <c r="N63"/>
  <c r="S63"/>
  <c r="W63"/>
  <c r="AA63"/>
  <c r="AF63"/>
  <c r="AN63"/>
  <c r="G63"/>
  <c r="Q57"/>
  <c r="I63"/>
  <c r="K63"/>
  <c r="M63"/>
  <c r="O63"/>
  <c r="V63"/>
  <c r="X63"/>
  <c r="Z63"/>
  <c r="AB63"/>
  <c r="AD63"/>
  <c r="AG63"/>
  <c r="AJ63"/>
  <c r="AM63"/>
  <c r="AO63"/>
  <c r="AQ63"/>
  <c r="AS63"/>
  <c r="AU63"/>
  <c r="AW63"/>
  <c r="BC63"/>
  <c r="BE63"/>
  <c r="BH63"/>
  <c r="BJ57"/>
  <c r="BP63"/>
  <c r="BR63"/>
  <c r="BT63"/>
  <c r="BV63"/>
  <c r="BX63"/>
  <c r="BZ63"/>
  <c r="CB63"/>
  <c r="CD63"/>
  <c r="CF63"/>
  <c r="CH63"/>
  <c r="CJ63"/>
  <c r="CL63"/>
  <c r="CN63"/>
  <c r="CP63"/>
  <c r="CR63"/>
  <c r="CT63"/>
  <c r="CV63"/>
  <c r="CX63"/>
  <c r="CZ63"/>
  <c r="DB63"/>
  <c r="DD63"/>
  <c r="DF63"/>
  <c r="H63"/>
  <c r="L63"/>
  <c r="P63"/>
  <c r="U63"/>
  <c r="Y63"/>
  <c r="AC63"/>
  <c r="AI63"/>
  <c r="AP63"/>
  <c r="AR63"/>
  <c r="AT63"/>
  <c r="AV63"/>
  <c r="BD63"/>
  <c r="BI63"/>
  <c r="BO63"/>
  <c r="DH57"/>
  <c r="BQ63"/>
  <c r="BS63"/>
  <c r="BU63"/>
  <c r="BW63"/>
  <c r="BY63"/>
  <c r="CA63"/>
  <c r="CC63"/>
  <c r="CE63"/>
  <c r="CG63"/>
  <c r="CI63"/>
  <c r="CK63"/>
  <c r="CM63"/>
  <c r="CO63"/>
  <c r="CQ63"/>
  <c r="CS63"/>
  <c r="CU63"/>
  <c r="CW63"/>
  <c r="CY63"/>
  <c r="DA63"/>
  <c r="DC63"/>
  <c r="DE63"/>
  <c r="DH63" l="1"/>
  <c r="Q63"/>
  <c r="BJ63"/>
  <c r="D55" l="1"/>
  <c r="CZ54"/>
  <c r="AD54"/>
  <c r="AU54"/>
  <c r="AT54"/>
  <c r="CB54"/>
  <c r="AS54"/>
  <c r="CO54"/>
  <c r="BR54"/>
  <c r="BI54"/>
  <c r="CP54"/>
  <c r="CN54"/>
  <c r="AC54"/>
  <c r="BX54"/>
  <c r="AX54"/>
  <c r="BB54"/>
  <c r="V54"/>
  <c r="DD54"/>
  <c r="CX54"/>
  <c r="BV54"/>
  <c r="AA54"/>
  <c r="CW54"/>
  <c r="CF54"/>
  <c r="BA54"/>
  <c r="L54"/>
  <c r="AI54"/>
  <c r="CC54"/>
  <c r="AJ54"/>
  <c r="DF54"/>
  <c r="CG54"/>
  <c r="AY54"/>
  <c r="AQ54"/>
  <c r="CE54"/>
  <c r="DB54"/>
  <c r="DC54"/>
  <c r="N54"/>
  <c r="T54"/>
  <c r="O54"/>
  <c r="BY54"/>
  <c r="CH54"/>
  <c r="BH54"/>
  <c r="CV54"/>
  <c r="CT54"/>
  <c r="BZ54"/>
  <c r="H54"/>
  <c r="AG54"/>
  <c r="DE54"/>
  <c r="BC54"/>
  <c r="AV54"/>
  <c r="BU54"/>
  <c r="CS54"/>
  <c r="CD54"/>
  <c r="CR54"/>
  <c r="DA54"/>
  <c r="P54"/>
  <c r="CQ54"/>
  <c r="AP54"/>
  <c r="CA54"/>
  <c r="CK54"/>
  <c r="CI54"/>
  <c r="K54"/>
  <c r="BD54"/>
  <c r="AW54"/>
  <c r="M54"/>
  <c r="AR54"/>
  <c r="BW54"/>
  <c r="AZ54"/>
  <c r="AB54"/>
  <c r="AF54"/>
  <c r="CM54"/>
  <c r="BE54"/>
  <c r="CL54"/>
  <c r="CU54"/>
  <c r="G54"/>
  <c r="CY54"/>
  <c r="CJ54"/>
  <c r="J54"/>
  <c r="BJ54" l="1"/>
  <c r="D54"/>
  <c r="CE53"/>
  <c r="CN53"/>
  <c r="CT53"/>
  <c r="CZ53"/>
  <c r="BW53"/>
  <c r="BV53"/>
  <c r="CX53"/>
  <c r="CA53"/>
  <c r="DD53"/>
  <c r="DC53"/>
  <c r="CB53"/>
  <c r="BZ53"/>
  <c r="CU53"/>
  <c r="CK53"/>
  <c r="CW53"/>
  <c r="CM53"/>
  <c r="CL53"/>
  <c r="CP53"/>
  <c r="DF53"/>
  <c r="DA53"/>
  <c r="CJ53"/>
  <c r="CG53"/>
  <c r="BR53"/>
  <c r="BS53"/>
  <c r="CF53"/>
  <c r="CI53"/>
  <c r="BY53"/>
  <c r="DB53"/>
  <c r="CH53"/>
  <c r="CR53"/>
  <c r="CS53"/>
  <c r="CV53"/>
  <c r="CC53"/>
  <c r="BT53"/>
  <c r="BU53"/>
  <c r="BX53"/>
  <c r="CY53"/>
  <c r="CO53"/>
  <c r="DE53"/>
  <c r="CQ53"/>
  <c r="CD53"/>
  <c r="BW55" l="1"/>
  <c r="CA55"/>
  <c r="CE55"/>
  <c r="CI55"/>
  <c r="CM55"/>
  <c r="CQ55"/>
  <c r="CU55"/>
  <c r="BR55"/>
  <c r="BV55"/>
  <c r="BX55"/>
  <c r="BZ55"/>
  <c r="CB55"/>
  <c r="CD55"/>
  <c r="CF55"/>
  <c r="CH55"/>
  <c r="CJ55"/>
  <c r="CL55"/>
  <c r="CN55"/>
  <c r="CP55"/>
  <c r="CR55"/>
  <c r="CT55"/>
  <c r="CV55"/>
  <c r="CX55"/>
  <c r="CZ55"/>
  <c r="DB55"/>
  <c r="DD55"/>
  <c r="DF55"/>
  <c r="BU55"/>
  <c r="BY55"/>
  <c r="CC55"/>
  <c r="CG55"/>
  <c r="CK55"/>
  <c r="CO55"/>
  <c r="CS55"/>
  <c r="CW55"/>
  <c r="CY55"/>
  <c r="DA55"/>
  <c r="DC55"/>
  <c r="DE55"/>
  <c r="D53"/>
  <c r="DH52"/>
  <c r="BL52"/>
  <c r="T53"/>
  <c r="AG53"/>
  <c r="U53"/>
  <c r="AR53"/>
  <c r="L53"/>
  <c r="K53"/>
  <c r="AC53"/>
  <c r="AF53"/>
  <c r="P53"/>
  <c r="AA53"/>
  <c r="BB53"/>
  <c r="M53"/>
  <c r="J53"/>
  <c r="N53"/>
  <c r="AM53"/>
  <c r="AQ53"/>
  <c r="AT53"/>
  <c r="H53"/>
  <c r="AY53"/>
  <c r="Z53"/>
  <c r="X53"/>
  <c r="AD53"/>
  <c r="AN53"/>
  <c r="AP53"/>
  <c r="AZ53"/>
  <c r="AO53"/>
  <c r="AU53"/>
  <c r="AI53"/>
  <c r="BE53"/>
  <c r="BC53"/>
  <c r="O53"/>
  <c r="BA53"/>
  <c r="AW53"/>
  <c r="AX53"/>
  <c r="G53"/>
  <c r="AV53"/>
  <c r="BD53"/>
  <c r="AS53"/>
  <c r="AJ53"/>
  <c r="I53"/>
  <c r="H55" l="1"/>
  <c r="J55"/>
  <c r="L55"/>
  <c r="N55"/>
  <c r="P55"/>
  <c r="AA55"/>
  <c r="AC55"/>
  <c r="AF55"/>
  <c r="AI55"/>
  <c r="AP55"/>
  <c r="AR55"/>
  <c r="AT55"/>
  <c r="AV55"/>
  <c r="AX55"/>
  <c r="AZ55"/>
  <c r="BB55"/>
  <c r="BD55"/>
  <c r="G55"/>
  <c r="Q53"/>
  <c r="K55"/>
  <c r="M55"/>
  <c r="O55"/>
  <c r="T55"/>
  <c r="AD55"/>
  <c r="AG55"/>
  <c r="AJ55"/>
  <c r="BF53"/>
  <c r="AQ55"/>
  <c r="AS55"/>
  <c r="AU55"/>
  <c r="AW55"/>
  <c r="AY55"/>
  <c r="BA55"/>
  <c r="BC55"/>
  <c r="BE55"/>
  <c r="D51" l="1"/>
  <c r="BI50"/>
  <c r="BB50"/>
  <c r="CS50"/>
  <c r="DB50"/>
  <c r="AD50"/>
  <c r="CN50"/>
  <c r="CI50"/>
  <c r="CZ50"/>
  <c r="DD50"/>
  <c r="CO50"/>
  <c r="CG50"/>
  <c r="AW50"/>
  <c r="AQ50"/>
  <c r="AP50"/>
  <c r="DE50"/>
  <c r="CC50"/>
  <c r="AR50"/>
  <c r="AB50"/>
  <c r="BA50"/>
  <c r="T50"/>
  <c r="CP50"/>
  <c r="BH50"/>
  <c r="AY50"/>
  <c r="AU50"/>
  <c r="BR50"/>
  <c r="AM50"/>
  <c r="AI50"/>
  <c r="CE50"/>
  <c r="AJ50"/>
  <c r="Z50"/>
  <c r="BX50"/>
  <c r="BS50"/>
  <c r="Y50"/>
  <c r="AN50"/>
  <c r="DA50"/>
  <c r="AT50"/>
  <c r="AX50"/>
  <c r="DF50"/>
  <c r="AC50"/>
  <c r="CX50"/>
  <c r="CU50"/>
  <c r="CW50"/>
  <c r="BD50"/>
  <c r="CH50"/>
  <c r="BW50"/>
  <c r="AA50"/>
  <c r="CT50"/>
  <c r="AS50"/>
  <c r="CL50"/>
  <c r="X50"/>
  <c r="CK50"/>
  <c r="BE50"/>
  <c r="BT50"/>
  <c r="CY50"/>
  <c r="AZ50"/>
  <c r="CD50"/>
  <c r="CM50"/>
  <c r="BZ50"/>
  <c r="CR50"/>
  <c r="CA50"/>
  <c r="BY50"/>
  <c r="AV50"/>
  <c r="BC50"/>
  <c r="BV50"/>
  <c r="BU50"/>
  <c r="CB50"/>
  <c r="CV50"/>
  <c r="AF50"/>
  <c r="CQ50"/>
  <c r="DC50"/>
  <c r="AG50"/>
  <c r="CF50"/>
  <c r="CJ50"/>
  <c r="AO50"/>
  <c r="BF50" l="1"/>
  <c r="BJ50"/>
  <c r="D50"/>
  <c r="D49"/>
  <c r="DH47"/>
  <c r="BL47"/>
  <c r="K50"/>
  <c r="P49"/>
  <c r="BI49"/>
  <c r="DD49"/>
  <c r="CA49"/>
  <c r="DF49"/>
  <c r="CG49"/>
  <c r="O49"/>
  <c r="CT49"/>
  <c r="CD49"/>
  <c r="CF49"/>
  <c r="AA49"/>
  <c r="BA49"/>
  <c r="AP49"/>
  <c r="CI49"/>
  <c r="AR49"/>
  <c r="AD49"/>
  <c r="V49"/>
  <c r="BP49"/>
  <c r="Y49"/>
  <c r="AW49"/>
  <c r="U49"/>
  <c r="DB49"/>
  <c r="CV49"/>
  <c r="S49"/>
  <c r="CW49"/>
  <c r="BZ49"/>
  <c r="L50"/>
  <c r="AI49"/>
  <c r="AN49"/>
  <c r="CQ49"/>
  <c r="DA49"/>
  <c r="AS49"/>
  <c r="CH49"/>
  <c r="I49"/>
  <c r="H49"/>
  <c r="CM49"/>
  <c r="AM49"/>
  <c r="BT49"/>
  <c r="BW49"/>
  <c r="T49"/>
  <c r="AU49"/>
  <c r="AV49"/>
  <c r="X49"/>
  <c r="BH49"/>
  <c r="P50"/>
  <c r="AZ49"/>
  <c r="M50"/>
  <c r="CX49"/>
  <c r="BC49"/>
  <c r="N50"/>
  <c r="BO49"/>
  <c r="N49"/>
  <c r="CK49"/>
  <c r="Z49"/>
  <c r="BS49"/>
  <c r="AC49"/>
  <c r="L49"/>
  <c r="AJ49"/>
  <c r="BY49"/>
  <c r="CE49"/>
  <c r="AY49"/>
  <c r="DC49"/>
  <c r="G50"/>
  <c r="BV49"/>
  <c r="BQ49"/>
  <c r="BX49"/>
  <c r="CS49"/>
  <c r="CP49"/>
  <c r="AB49"/>
  <c r="AQ49"/>
  <c r="BB49"/>
  <c r="J49"/>
  <c r="J50"/>
  <c r="CJ49"/>
  <c r="AT49"/>
  <c r="CR49"/>
  <c r="M49"/>
  <c r="H50"/>
  <c r="CZ49"/>
  <c r="AX49"/>
  <c r="BU49"/>
  <c r="G49"/>
  <c r="DE49"/>
  <c r="AO49"/>
  <c r="CB49"/>
  <c r="CC49"/>
  <c r="BD49"/>
  <c r="BR49"/>
  <c r="CU49"/>
  <c r="CL49"/>
  <c r="K49"/>
  <c r="O50"/>
  <c r="BR51" l="1"/>
  <c r="CD51"/>
  <c r="BS51"/>
  <c r="BI51"/>
  <c r="AX51"/>
  <c r="AW51"/>
  <c r="AV51"/>
  <c r="BW51"/>
  <c r="J51"/>
  <c r="CP51"/>
  <c r="CQ51"/>
  <c r="BY51"/>
  <c r="Z51"/>
  <c r="CX51"/>
  <c r="AN51"/>
  <c r="AT51"/>
  <c r="AY51"/>
  <c r="AI51"/>
  <c r="CM51"/>
  <c r="CR51"/>
  <c r="BD51"/>
  <c r="CJ51"/>
  <c r="AD51"/>
  <c r="AR51"/>
  <c r="H51"/>
  <c r="BA51"/>
  <c r="AM51"/>
  <c r="P51"/>
  <c r="AB51"/>
  <c r="BT51"/>
  <c r="BH51"/>
  <c r="G51"/>
  <c r="CI51"/>
  <c r="CG51"/>
  <c r="CU51"/>
  <c r="DA51"/>
  <c r="BU51"/>
  <c r="AU51"/>
  <c r="DB51"/>
  <c r="T51"/>
  <c r="CK51"/>
  <c r="DD51"/>
  <c r="X51"/>
  <c r="DF51"/>
  <c r="CC51"/>
  <c r="CV51"/>
  <c r="AZ51"/>
  <c r="AP51"/>
  <c r="CZ51"/>
  <c r="CL51"/>
  <c r="DE51"/>
  <c r="CE51"/>
  <c r="AJ51"/>
  <c r="AO51"/>
  <c r="BB51"/>
  <c r="CA51"/>
  <c r="CB51"/>
  <c r="Y51"/>
  <c r="BZ51"/>
  <c r="AS51"/>
  <c r="BX51"/>
  <c r="BC51"/>
  <c r="DC51"/>
  <c r="BV51"/>
  <c r="AA51"/>
  <c r="K51"/>
  <c r="CW51"/>
  <c r="M51"/>
  <c r="CF51"/>
  <c r="N51"/>
  <c r="AQ51"/>
  <c r="CS51"/>
  <c r="AC51"/>
  <c r="CH51"/>
  <c r="CT51"/>
  <c r="L51"/>
  <c r="O51"/>
  <c r="Q49"/>
  <c r="BJ49"/>
  <c r="BJ51" l="1"/>
  <c r="D46" l="1"/>
  <c r="D45"/>
  <c r="BL43"/>
  <c r="BL42"/>
  <c r="BL41"/>
  <c r="BF39"/>
  <c r="N45"/>
  <c r="Z45"/>
  <c r="H45"/>
  <c r="AP45"/>
  <c r="BR45"/>
  <c r="CR45"/>
  <c r="BV45"/>
  <c r="DE45"/>
  <c r="BQ45"/>
  <c r="L45"/>
  <c r="CN45"/>
  <c r="AC45"/>
  <c r="CE45"/>
  <c r="DC45"/>
  <c r="DF45"/>
  <c r="CX45"/>
  <c r="CP45"/>
  <c r="AV45"/>
  <c r="T45"/>
  <c r="CC45"/>
  <c r="CI45"/>
  <c r="V45"/>
  <c r="BA45"/>
  <c r="AN45"/>
  <c r="BT45"/>
  <c r="J45"/>
  <c r="AX45"/>
  <c r="CT45"/>
  <c r="CW45"/>
  <c r="DA45"/>
  <c r="BU45"/>
  <c r="AM45"/>
  <c r="W45"/>
  <c r="AI45"/>
  <c r="AD45"/>
  <c r="CY45"/>
  <c r="BO45"/>
  <c r="AT45"/>
  <c r="DD45"/>
  <c r="AS45"/>
  <c r="CM45"/>
  <c r="CF45"/>
  <c r="I45"/>
  <c r="CZ45"/>
  <c r="AW45"/>
  <c r="U45"/>
  <c r="CJ45"/>
  <c r="CD45"/>
  <c r="P45"/>
  <c r="G45"/>
  <c r="X45"/>
  <c r="BS45"/>
  <c r="BP45"/>
  <c r="BI45"/>
  <c r="BD45"/>
  <c r="CO45"/>
  <c r="CL45"/>
  <c r="BC45"/>
  <c r="BB45"/>
  <c r="AZ45"/>
  <c r="CV45"/>
  <c r="CU45"/>
  <c r="CA45"/>
  <c r="AO45"/>
  <c r="BZ45"/>
  <c r="AR45"/>
  <c r="AG45"/>
  <c r="M45"/>
  <c r="AB45"/>
  <c r="AU45"/>
  <c r="AQ45"/>
  <c r="BE45"/>
  <c r="BY45"/>
  <c r="AA45"/>
  <c r="AY45"/>
  <c r="CG45"/>
  <c r="CH45"/>
  <c r="DB45"/>
  <c r="AF45"/>
  <c r="O45"/>
  <c r="Y45"/>
  <c r="CK45"/>
  <c r="BW45"/>
  <c r="CQ45"/>
  <c r="K45"/>
  <c r="BX45"/>
  <c r="CB45"/>
  <c r="CS45"/>
  <c r="J46" l="1"/>
  <c r="N46"/>
  <c r="W46"/>
  <c r="AA46"/>
  <c r="AF46"/>
  <c r="AN46"/>
  <c r="G46"/>
  <c r="Q45"/>
  <c r="I46"/>
  <c r="K46"/>
  <c r="M46"/>
  <c r="O46"/>
  <c r="T46"/>
  <c r="V46"/>
  <c r="X46"/>
  <c r="Z46"/>
  <c r="AB46"/>
  <c r="AD46"/>
  <c r="AG46"/>
  <c r="AM46"/>
  <c r="BF45"/>
  <c r="AO46"/>
  <c r="AQ46"/>
  <c r="AS46"/>
  <c r="AU46"/>
  <c r="AW46"/>
  <c r="AY46"/>
  <c r="BA46"/>
  <c r="BC46"/>
  <c r="BE46"/>
  <c r="BP46"/>
  <c r="BR46"/>
  <c r="BT46"/>
  <c r="BV46"/>
  <c r="BX46"/>
  <c r="BZ46"/>
  <c r="CB46"/>
  <c r="CD46"/>
  <c r="CF46"/>
  <c r="CF84" s="1"/>
  <c r="CH46"/>
  <c r="CJ46"/>
  <c r="CL46"/>
  <c r="CN46"/>
  <c r="CP46"/>
  <c r="CR46"/>
  <c r="CT46"/>
  <c r="CV46"/>
  <c r="CX46"/>
  <c r="CZ46"/>
  <c r="DB46"/>
  <c r="DD46"/>
  <c r="DF46"/>
  <c r="H46"/>
  <c r="L46"/>
  <c r="P46"/>
  <c r="U46"/>
  <c r="Y46"/>
  <c r="AC46"/>
  <c r="AI46"/>
  <c r="AP46"/>
  <c r="AR46"/>
  <c r="AT46"/>
  <c r="AV46"/>
  <c r="AX46"/>
  <c r="AZ46"/>
  <c r="BB46"/>
  <c r="BD46"/>
  <c r="BD84" s="1"/>
  <c r="BC84" s="1"/>
  <c r="BI46"/>
  <c r="BO46"/>
  <c r="BQ46"/>
  <c r="BS46"/>
  <c r="BU46"/>
  <c r="BW46"/>
  <c r="BY46"/>
  <c r="CA46"/>
  <c r="CC46"/>
  <c r="CE46"/>
  <c r="CG46"/>
  <c r="CG84" s="1"/>
  <c r="CI46"/>
  <c r="CK46"/>
  <c r="CM46"/>
  <c r="CO46"/>
  <c r="CQ46"/>
  <c r="CS46"/>
  <c r="CU46"/>
  <c r="CW46"/>
  <c r="CY46"/>
  <c r="DA46"/>
  <c r="DC46"/>
  <c r="DE46"/>
  <c r="BF46" l="1"/>
  <c r="Q46"/>
  <c r="AD84"/>
  <c r="AC84" s="1"/>
  <c r="DH46"/>
  <c r="CE84"/>
  <c r="CD84" s="1"/>
  <c r="CC84" s="1"/>
  <c r="CB84" s="1"/>
  <c r="CA84" s="1"/>
  <c r="BZ84" s="1"/>
  <c r="BY84" s="1"/>
  <c r="BX84" s="1"/>
  <c r="BW84" s="1"/>
  <c r="BV84" s="1"/>
  <c r="BU84" s="1"/>
  <c r="D38" l="1"/>
  <c r="D37" l="1"/>
  <c r="DH36"/>
  <c r="BL36"/>
  <c r="CX37"/>
  <c r="J37"/>
  <c r="DD37"/>
  <c r="AT37"/>
  <c r="CL37"/>
  <c r="DC37"/>
  <c r="K37"/>
  <c r="CQ37"/>
  <c r="AG37"/>
  <c r="N37"/>
  <c r="CW37"/>
  <c r="BR37"/>
  <c r="BD37"/>
  <c r="AX37"/>
  <c r="CG37"/>
  <c r="I37"/>
  <c r="AZ37"/>
  <c r="AM37"/>
  <c r="U37"/>
  <c r="CY37"/>
  <c r="CD37"/>
  <c r="AO37"/>
  <c r="G37"/>
  <c r="AD37"/>
  <c r="BS37"/>
  <c r="BE37"/>
  <c r="CB37"/>
  <c r="W37"/>
  <c r="CI37"/>
  <c r="H37"/>
  <c r="CO37"/>
  <c r="AW37"/>
  <c r="CF37"/>
  <c r="CU37"/>
  <c r="CS37"/>
  <c r="AC37"/>
  <c r="CV37"/>
  <c r="T37"/>
  <c r="X37"/>
  <c r="BC37"/>
  <c r="BY37"/>
  <c r="AA37"/>
  <c r="AR37"/>
  <c r="AQ37"/>
  <c r="AJ37"/>
  <c r="M37"/>
  <c r="BO37"/>
  <c r="CZ37"/>
  <c r="CJ37"/>
  <c r="CK37"/>
  <c r="BA37"/>
  <c r="CH37"/>
  <c r="BQ37"/>
  <c r="CP37"/>
  <c r="BU37"/>
  <c r="DF37"/>
  <c r="CM37"/>
  <c r="BZ37"/>
  <c r="Z37"/>
  <c r="L37"/>
  <c r="AY37"/>
  <c r="BV37"/>
  <c r="DA37"/>
  <c r="AN37"/>
  <c r="AS37"/>
  <c r="V37"/>
  <c r="BI37"/>
  <c r="P37"/>
  <c r="CE37"/>
  <c r="AV37"/>
  <c r="DB37"/>
  <c r="AU37"/>
  <c r="CR37"/>
  <c r="DE37"/>
  <c r="Y37"/>
  <c r="BW37"/>
  <c r="BB37"/>
  <c r="CA37"/>
  <c r="BT37"/>
  <c r="CN37"/>
  <c r="S37"/>
  <c r="BX37"/>
  <c r="BP37"/>
  <c r="CC37"/>
  <c r="AI37"/>
  <c r="CT37"/>
  <c r="AP37"/>
  <c r="AB37"/>
  <c r="O37"/>
  <c r="BH37"/>
  <c r="AF37"/>
  <c r="G38" l="1"/>
  <c r="Q37"/>
  <c r="I38"/>
  <c r="K38"/>
  <c r="M38"/>
  <c r="O38"/>
  <c r="T38"/>
  <c r="V38"/>
  <c r="X38"/>
  <c r="Z38"/>
  <c r="AB38"/>
  <c r="AD38"/>
  <c r="AG38"/>
  <c r="AJ38"/>
  <c r="AM38"/>
  <c r="BF37"/>
  <c r="AO38"/>
  <c r="AQ38"/>
  <c r="AS38"/>
  <c r="AU38"/>
  <c r="AW38"/>
  <c r="AY38"/>
  <c r="BA38"/>
  <c r="BC38"/>
  <c r="BE38"/>
  <c r="BH38"/>
  <c r="BJ37"/>
  <c r="BP38"/>
  <c r="BR38"/>
  <c r="BT38"/>
  <c r="BV38"/>
  <c r="BX38"/>
  <c r="BZ38"/>
  <c r="CB38"/>
  <c r="CD38"/>
  <c r="CF38"/>
  <c r="CH38"/>
  <c r="CJ38"/>
  <c r="CL38"/>
  <c r="CN38"/>
  <c r="CP38"/>
  <c r="CR38"/>
  <c r="CT38"/>
  <c r="CV38"/>
  <c r="CX38"/>
  <c r="CZ38"/>
  <c r="DB38"/>
  <c r="DD38"/>
  <c r="DF38"/>
  <c r="H38"/>
  <c r="J38"/>
  <c r="L38"/>
  <c r="N38"/>
  <c r="P38"/>
  <c r="S38"/>
  <c r="AK37"/>
  <c r="U38"/>
  <c r="W38"/>
  <c r="Y38"/>
  <c r="AA38"/>
  <c r="AC38"/>
  <c r="AF38"/>
  <c r="AI38"/>
  <c r="AN38"/>
  <c r="AP38"/>
  <c r="AR38"/>
  <c r="AT38"/>
  <c r="AV38"/>
  <c r="AX38"/>
  <c r="AZ38"/>
  <c r="BB38"/>
  <c r="BD38"/>
  <c r="BI38"/>
  <c r="BO38"/>
  <c r="DH37"/>
  <c r="BQ38"/>
  <c r="BS38"/>
  <c r="BU38"/>
  <c r="BW38"/>
  <c r="BY38"/>
  <c r="CA38"/>
  <c r="CC38"/>
  <c r="CE38"/>
  <c r="CG38"/>
  <c r="CI38"/>
  <c r="CK38"/>
  <c r="CM38"/>
  <c r="CO38"/>
  <c r="CQ38"/>
  <c r="CS38"/>
  <c r="CU38"/>
  <c r="CW38"/>
  <c r="CY38"/>
  <c r="DA38"/>
  <c r="DC38"/>
  <c r="DE38"/>
  <c r="BL37" l="1"/>
  <c r="DH38"/>
  <c r="AK38"/>
  <c r="BF38"/>
  <c r="Q38"/>
  <c r="D35" l="1"/>
  <c r="D34" l="1"/>
  <c r="DH33"/>
  <c r="BL33"/>
  <c r="CQ34"/>
  <c r="CK34"/>
  <c r="BI34"/>
  <c r="AW34"/>
  <c r="U34"/>
  <c r="S34"/>
  <c r="AD34"/>
  <c r="AO34"/>
  <c r="AS34"/>
  <c r="CY34"/>
  <c r="CE34"/>
  <c r="BB34"/>
  <c r="AB34"/>
  <c r="CC34"/>
  <c r="BP34"/>
  <c r="BQ34"/>
  <c r="AN34"/>
  <c r="CV34"/>
  <c r="I34"/>
  <c r="AY34"/>
  <c r="L34"/>
  <c r="V34"/>
  <c r="AF34"/>
  <c r="AU34"/>
  <c r="CI34"/>
  <c r="AP34"/>
  <c r="CF34"/>
  <c r="BU34"/>
  <c r="CM34"/>
  <c r="CP34"/>
  <c r="DD34"/>
  <c r="DA34"/>
  <c r="N34"/>
  <c r="CR34"/>
  <c r="CS34"/>
  <c r="BO34"/>
  <c r="AX34"/>
  <c r="CL34"/>
  <c r="AG34"/>
  <c r="J34"/>
  <c r="CX34"/>
  <c r="AT34"/>
  <c r="BD34"/>
  <c r="Z34"/>
  <c r="BZ34"/>
  <c r="G34"/>
  <c r="CD34"/>
  <c r="BR34"/>
  <c r="BX34"/>
  <c r="DB34"/>
  <c r="AI34"/>
  <c r="M34"/>
  <c r="CH34"/>
  <c r="AJ34"/>
  <c r="AR34"/>
  <c r="BS34"/>
  <c r="BT34"/>
  <c r="CJ34"/>
  <c r="AA34"/>
  <c r="AQ34"/>
  <c r="BA34"/>
  <c r="X34"/>
  <c r="K34"/>
  <c r="CZ34"/>
  <c r="CU34"/>
  <c r="AV34"/>
  <c r="BV34"/>
  <c r="DC34"/>
  <c r="T34"/>
  <c r="W34"/>
  <c r="H34"/>
  <c r="CG34"/>
  <c r="CB34"/>
  <c r="DE34"/>
  <c r="CO34"/>
  <c r="AM34"/>
  <c r="CW34"/>
  <c r="CT34"/>
  <c r="DF34"/>
  <c r="BY34"/>
  <c r="Y34"/>
  <c r="AZ34"/>
  <c r="O34"/>
  <c r="CA34"/>
  <c r="CN34"/>
  <c r="BC34"/>
  <c r="BW34"/>
  <c r="J35" l="1"/>
  <c r="N35"/>
  <c r="S35"/>
  <c r="W35"/>
  <c r="AA35"/>
  <c r="AF35"/>
  <c r="AP35"/>
  <c r="G35"/>
  <c r="I35"/>
  <c r="K35"/>
  <c r="M35"/>
  <c r="O35"/>
  <c r="T35"/>
  <c r="V35"/>
  <c r="X35"/>
  <c r="Z35"/>
  <c r="AB35"/>
  <c r="AD35"/>
  <c r="AG35"/>
  <c r="AJ35"/>
  <c r="AM35"/>
  <c r="AO35"/>
  <c r="AQ35"/>
  <c r="AS35"/>
  <c r="AU35"/>
  <c r="AW35"/>
  <c r="AY35"/>
  <c r="BA35"/>
  <c r="BC35"/>
  <c r="BO35"/>
  <c r="DH34"/>
  <c r="BQ35"/>
  <c r="BS35"/>
  <c r="BU35"/>
  <c r="BW35"/>
  <c r="BY35"/>
  <c r="CA35"/>
  <c r="CC35"/>
  <c r="CE35"/>
  <c r="CG35"/>
  <c r="CI35"/>
  <c r="CK35"/>
  <c r="CM35"/>
  <c r="CO35"/>
  <c r="CQ35"/>
  <c r="CS35"/>
  <c r="CU35"/>
  <c r="CW35"/>
  <c r="CY35"/>
  <c r="DA35"/>
  <c r="DC35"/>
  <c r="DE35"/>
  <c r="H35"/>
  <c r="L35"/>
  <c r="U35"/>
  <c r="Y35"/>
  <c r="AI35"/>
  <c r="AN35"/>
  <c r="AR35"/>
  <c r="AT35"/>
  <c r="AV35"/>
  <c r="AX35"/>
  <c r="AZ35"/>
  <c r="BB35"/>
  <c r="BD35"/>
  <c r="BI35"/>
  <c r="BP35"/>
  <c r="BR35"/>
  <c r="BT35"/>
  <c r="BV35"/>
  <c r="BX35"/>
  <c r="BZ35"/>
  <c r="CB35"/>
  <c r="CD35"/>
  <c r="CF35"/>
  <c r="CH35"/>
  <c r="CJ35"/>
  <c r="CL35"/>
  <c r="CN35"/>
  <c r="CP35"/>
  <c r="CR35"/>
  <c r="CT35"/>
  <c r="CV35"/>
  <c r="CX35"/>
  <c r="CZ35"/>
  <c r="DB35"/>
  <c r="DD35"/>
  <c r="DF35"/>
  <c r="DH35" l="1"/>
  <c r="D32" l="1"/>
  <c r="D30" l="1"/>
  <c r="D29"/>
  <c r="CG30"/>
  <c r="S29"/>
  <c r="BU29"/>
  <c r="BR30"/>
  <c r="AD29"/>
  <c r="DB30"/>
  <c r="BD29"/>
  <c r="AO29"/>
  <c r="P29"/>
  <c r="AT30"/>
  <c r="CC30"/>
  <c r="CX29"/>
  <c r="DA29"/>
  <c r="CR30"/>
  <c r="AT29"/>
  <c r="BB30"/>
  <c r="CC29"/>
  <c r="AF30"/>
  <c r="CU30"/>
  <c r="AB29"/>
  <c r="AJ30"/>
  <c r="CK29"/>
  <c r="I30"/>
  <c r="W30"/>
  <c r="Y30"/>
  <c r="AW29"/>
  <c r="AW30"/>
  <c r="AG30"/>
  <c r="AX29"/>
  <c r="M29"/>
  <c r="BP29"/>
  <c r="P30"/>
  <c r="AI29"/>
  <c r="AU30"/>
  <c r="CP29"/>
  <c r="AU29"/>
  <c r="I29"/>
  <c r="BT30"/>
  <c r="CM30"/>
  <c r="CE29"/>
  <c r="AS29"/>
  <c r="CL30"/>
  <c r="BP30"/>
  <c r="G29"/>
  <c r="DE30"/>
  <c r="CI29"/>
  <c r="CZ30"/>
  <c r="BH30"/>
  <c r="BV30"/>
  <c r="CX30"/>
  <c r="N29"/>
  <c r="CW30"/>
  <c r="CQ29"/>
  <c r="DB29"/>
  <c r="M30"/>
  <c r="CA30"/>
  <c r="AP29"/>
  <c r="BC30"/>
  <c r="AN30"/>
  <c r="BI29"/>
  <c r="DC29"/>
  <c r="AG29"/>
  <c r="CF30"/>
  <c r="BS29"/>
  <c r="CS29"/>
  <c r="AA30"/>
  <c r="K30"/>
  <c r="AR29"/>
  <c r="CG29"/>
  <c r="H29"/>
  <c r="N30"/>
  <c r="CH30"/>
  <c r="CF29"/>
  <c r="CN30"/>
  <c r="AO30"/>
  <c r="AQ30"/>
  <c r="K29"/>
  <c r="W29"/>
  <c r="DD29"/>
  <c r="CL29"/>
  <c r="BS30"/>
  <c r="BA30"/>
  <c r="AC30"/>
  <c r="DE29"/>
  <c r="Z30"/>
  <c r="CQ30"/>
  <c r="S30"/>
  <c r="DF30"/>
  <c r="BZ29"/>
  <c r="CT30"/>
  <c r="BQ30"/>
  <c r="CR29"/>
  <c r="BI30"/>
  <c r="AS30"/>
  <c r="BY30"/>
  <c r="U30"/>
  <c r="CZ29"/>
  <c r="AY29"/>
  <c r="J29"/>
  <c r="CB30"/>
  <c r="CM29"/>
  <c r="CT29"/>
  <c r="DD30"/>
  <c r="BH29"/>
  <c r="CO30"/>
  <c r="AJ29"/>
  <c r="BC29"/>
  <c r="BE29"/>
  <c r="CO29"/>
  <c r="CK30"/>
  <c r="T29"/>
  <c r="BX30"/>
  <c r="AP30"/>
  <c r="CS30"/>
  <c r="CJ30"/>
  <c r="AR30"/>
  <c r="CI30"/>
  <c r="BQ29"/>
  <c r="AZ30"/>
  <c r="CA29"/>
  <c r="U29"/>
  <c r="BY29"/>
  <c r="AV29"/>
  <c r="DC30"/>
  <c r="AX30"/>
  <c r="L30"/>
  <c r="X30"/>
  <c r="CN29"/>
  <c r="J30"/>
  <c r="AI30"/>
  <c r="CY29"/>
  <c r="G30"/>
  <c r="AV30"/>
  <c r="BU30"/>
  <c r="AF29"/>
  <c r="DF29"/>
  <c r="AM30"/>
  <c r="AA29"/>
  <c r="BW29"/>
  <c r="BX29"/>
  <c r="BT29"/>
  <c r="CE30"/>
  <c r="H30"/>
  <c r="AN29"/>
  <c r="CY30"/>
  <c r="AB30"/>
  <c r="CP30"/>
  <c r="CH29"/>
  <c r="Z29"/>
  <c r="BO29"/>
  <c r="BD30"/>
  <c r="Y29"/>
  <c r="AZ29"/>
  <c r="BV29"/>
  <c r="CD29"/>
  <c r="BR29"/>
  <c r="BZ30"/>
  <c r="BB29"/>
  <c r="CD30"/>
  <c r="O30"/>
  <c r="X29"/>
  <c r="CV30"/>
  <c r="T30"/>
  <c r="BW30"/>
  <c r="AM29"/>
  <c r="BA29"/>
  <c r="CJ29"/>
  <c r="L29"/>
  <c r="DA30"/>
  <c r="AC29"/>
  <c r="AQ29"/>
  <c r="V30"/>
  <c r="BO30"/>
  <c r="BE30"/>
  <c r="AD30"/>
  <c r="CB29"/>
  <c r="AY30"/>
  <c r="G31" l="1"/>
  <c r="K31"/>
  <c r="H31"/>
  <c r="J31"/>
  <c r="L31"/>
  <c r="N31"/>
  <c r="P31"/>
  <c r="S31"/>
  <c r="U31"/>
  <c r="W31"/>
  <c r="Y31"/>
  <c r="AA31"/>
  <c r="AC31"/>
  <c r="AF31"/>
  <c r="AI31"/>
  <c r="AN31"/>
  <c r="AP31"/>
  <c r="AR31"/>
  <c r="AT31"/>
  <c r="AV31"/>
  <c r="AX31"/>
  <c r="AZ31"/>
  <c r="BB31"/>
  <c r="BD31"/>
  <c r="BI31"/>
  <c r="BO31"/>
  <c r="BQ31"/>
  <c r="BS31"/>
  <c r="BU31"/>
  <c r="BW31"/>
  <c r="BY31"/>
  <c r="CA31"/>
  <c r="CC31"/>
  <c r="CE31"/>
  <c r="CG31"/>
  <c r="CI31"/>
  <c r="CK31"/>
  <c r="CM31"/>
  <c r="CO31"/>
  <c r="CQ31"/>
  <c r="CS31"/>
  <c r="CY31"/>
  <c r="DA31"/>
  <c r="DC31"/>
  <c r="DE31"/>
  <c r="Q30"/>
  <c r="I31"/>
  <c r="M31"/>
  <c r="T31"/>
  <c r="X31"/>
  <c r="Z31"/>
  <c r="AB31"/>
  <c r="AD31"/>
  <c r="AG31"/>
  <c r="AJ31"/>
  <c r="AM31"/>
  <c r="BF29"/>
  <c r="AO31"/>
  <c r="AQ31"/>
  <c r="AS31"/>
  <c r="AU31"/>
  <c r="AW31"/>
  <c r="AY31"/>
  <c r="BA31"/>
  <c r="BC31"/>
  <c r="BE31"/>
  <c r="BH31"/>
  <c r="BJ31" s="1"/>
  <c r="BJ29"/>
  <c r="BP31"/>
  <c r="BR31"/>
  <c r="BT31"/>
  <c r="BV31"/>
  <c r="BX31"/>
  <c r="BZ31"/>
  <c r="CB31"/>
  <c r="CD31"/>
  <c r="CF31"/>
  <c r="CH31"/>
  <c r="CJ31"/>
  <c r="CL31"/>
  <c r="CN31"/>
  <c r="CP31"/>
  <c r="CR31"/>
  <c r="CT31"/>
  <c r="CX31"/>
  <c r="CZ31"/>
  <c r="DB31"/>
  <c r="DD31"/>
  <c r="DF31"/>
  <c r="AK30"/>
  <c r="BF30"/>
  <c r="BJ30"/>
  <c r="DH30"/>
  <c r="BL30" l="1"/>
  <c r="BF31"/>
  <c r="D27" l="1"/>
  <c r="D26"/>
  <c r="CF26"/>
  <c r="T26"/>
  <c r="CI25"/>
  <c r="DA26"/>
  <c r="P26"/>
  <c r="AS27"/>
  <c r="BZ25"/>
  <c r="CF25"/>
  <c r="BR26"/>
  <c r="W26"/>
  <c r="AM27"/>
  <c r="G26"/>
  <c r="CK26"/>
  <c r="CM25"/>
  <c r="CZ27"/>
  <c r="BT26"/>
  <c r="CY27"/>
  <c r="AP26"/>
  <c r="CG27"/>
  <c r="AR26"/>
  <c r="CF27"/>
  <c r="AR27"/>
  <c r="W27"/>
  <c r="CV27"/>
  <c r="Y27"/>
  <c r="DA25"/>
  <c r="BH26"/>
  <c r="BD26"/>
  <c r="CK25"/>
  <c r="AF26"/>
  <c r="AC26"/>
  <c r="AW27"/>
  <c r="CM27"/>
  <c r="S27"/>
  <c r="CY25"/>
  <c r="AO27"/>
  <c r="CU25"/>
  <c r="AC27"/>
  <c r="CT27"/>
  <c r="AZ26"/>
  <c r="AQ27"/>
  <c r="CQ26"/>
  <c r="CC25"/>
  <c r="CB26"/>
  <c r="AD27"/>
  <c r="CD27"/>
  <c r="BI26"/>
  <c r="CP25"/>
  <c r="U27"/>
  <c r="BT25"/>
  <c r="BZ27"/>
  <c r="CN26"/>
  <c r="BO26"/>
  <c r="Y26"/>
  <c r="I26"/>
  <c r="CH25"/>
  <c r="DD27"/>
  <c r="CA26"/>
  <c r="CO25"/>
  <c r="X26"/>
  <c r="AV26"/>
  <c r="J26"/>
  <c r="CW25"/>
  <c r="U26"/>
  <c r="DE27"/>
  <c r="BC26"/>
  <c r="BZ26"/>
  <c r="BW25"/>
  <c r="CX25"/>
  <c r="O27"/>
  <c r="S26"/>
  <c r="BO27"/>
  <c r="CH27"/>
  <c r="AW26"/>
  <c r="BH27"/>
  <c r="CQ25"/>
  <c r="DF26"/>
  <c r="DB26"/>
  <c r="CB27"/>
  <c r="BR27"/>
  <c r="AF27"/>
  <c r="AT26"/>
  <c r="M26"/>
  <c r="CX26"/>
  <c r="N27"/>
  <c r="BX26"/>
  <c r="AO26"/>
  <c r="BT27"/>
  <c r="BU25"/>
  <c r="AA27"/>
  <c r="CV25"/>
  <c r="AQ26"/>
  <c r="AJ26"/>
  <c r="CZ26"/>
  <c r="CR27"/>
  <c r="DD25"/>
  <c r="K26"/>
  <c r="CS25"/>
  <c r="Z26"/>
  <c r="AU26"/>
  <c r="CE26"/>
  <c r="CL26"/>
  <c r="DB25"/>
  <c r="AN26"/>
  <c r="AX26"/>
  <c r="BS25"/>
  <c r="CI26"/>
  <c r="CX27"/>
  <c r="BB27"/>
  <c r="AI26"/>
  <c r="CM26"/>
  <c r="L26"/>
  <c r="BA26"/>
  <c r="BY25"/>
  <c r="P27"/>
  <c r="BY27"/>
  <c r="CK27"/>
  <c r="BU27"/>
  <c r="DE25"/>
  <c r="BW27"/>
  <c r="BE26"/>
  <c r="AN27"/>
  <c r="AX27"/>
  <c r="BS26"/>
  <c r="CQ27"/>
  <c r="BV26"/>
  <c r="BQ26"/>
  <c r="CE25"/>
  <c r="CD25"/>
  <c r="CN27"/>
  <c r="BW26"/>
  <c r="CJ27"/>
  <c r="AT27"/>
  <c r="BE27"/>
  <c r="AY26"/>
  <c r="BY26"/>
  <c r="BR25"/>
  <c r="L27"/>
  <c r="DF25"/>
  <c r="O26"/>
  <c r="CW27"/>
  <c r="CA27"/>
  <c r="DC27"/>
  <c r="CG26"/>
  <c r="BU26"/>
  <c r="BI27"/>
  <c r="BV25"/>
  <c r="AA26"/>
  <c r="T27"/>
  <c r="Z27"/>
  <c r="DC26"/>
  <c r="BQ27"/>
  <c r="CT26"/>
  <c r="DD26"/>
  <c r="DF27"/>
  <c r="AS26"/>
  <c r="CA25"/>
  <c r="DE26"/>
  <c r="CO27"/>
  <c r="DB27"/>
  <c r="CN25"/>
  <c r="BC27"/>
  <c r="CZ25"/>
  <c r="CT25"/>
  <c r="X27"/>
  <c r="CS27"/>
  <c r="H26"/>
  <c r="CJ25"/>
  <c r="AG27"/>
  <c r="DC25"/>
  <c r="CG25"/>
  <c r="CY26"/>
  <c r="K27"/>
  <c r="AU27"/>
  <c r="BP27"/>
  <c r="CP26"/>
  <c r="BV27"/>
  <c r="CI27"/>
  <c r="CL27"/>
  <c r="CH26"/>
  <c r="CC27"/>
  <c r="CL25"/>
  <c r="M27"/>
  <c r="CE27"/>
  <c r="BP26"/>
  <c r="BS27"/>
  <c r="BB26"/>
  <c r="AB27"/>
  <c r="BA27"/>
  <c r="H27"/>
  <c r="BX25"/>
  <c r="DA27"/>
  <c r="AD26"/>
  <c r="CP27"/>
  <c r="CS26"/>
  <c r="AZ27"/>
  <c r="AV27"/>
  <c r="AM26"/>
  <c r="G27"/>
  <c r="CU27"/>
  <c r="AB26"/>
  <c r="BD27"/>
  <c r="I27"/>
  <c r="BX27"/>
  <c r="CR26"/>
  <c r="CO26"/>
  <c r="CB25"/>
  <c r="AY27"/>
  <c r="AG26"/>
  <c r="CR25"/>
  <c r="CC26"/>
  <c r="V27"/>
  <c r="J27"/>
  <c r="AP27"/>
  <c r="AJ27"/>
  <c r="CJ26"/>
  <c r="CD26"/>
  <c r="AI27"/>
  <c r="H28" l="1"/>
  <c r="J28"/>
  <c r="L28"/>
  <c r="P28"/>
  <c r="S28"/>
  <c r="U28"/>
  <c r="W28"/>
  <c r="Y28"/>
  <c r="AA28"/>
  <c r="AC28"/>
  <c r="AF28"/>
  <c r="AI28"/>
  <c r="AN28"/>
  <c r="AP28"/>
  <c r="AR28"/>
  <c r="AT28"/>
  <c r="AV28"/>
  <c r="AX28"/>
  <c r="AZ28"/>
  <c r="BB28"/>
  <c r="BD28"/>
  <c r="BI28"/>
  <c r="BO28"/>
  <c r="BQ28"/>
  <c r="BS28"/>
  <c r="BU28"/>
  <c r="BW28"/>
  <c r="BY28"/>
  <c r="CA28"/>
  <c r="CC28"/>
  <c r="CE28"/>
  <c r="CG28"/>
  <c r="CI28"/>
  <c r="CK28"/>
  <c r="CM28"/>
  <c r="CO28"/>
  <c r="CQ28"/>
  <c r="CS28"/>
  <c r="CY28"/>
  <c r="DA28"/>
  <c r="DC28"/>
  <c r="DE28"/>
  <c r="Q27"/>
  <c r="G28"/>
  <c r="I28"/>
  <c r="K28"/>
  <c r="M28"/>
  <c r="O28"/>
  <c r="T28"/>
  <c r="X28"/>
  <c r="Z28"/>
  <c r="AB28"/>
  <c r="AD28"/>
  <c r="AG28"/>
  <c r="AJ28"/>
  <c r="AM28"/>
  <c r="BF26"/>
  <c r="AO28"/>
  <c r="AQ28"/>
  <c r="AS28"/>
  <c r="AU28"/>
  <c r="AW28"/>
  <c r="AY28"/>
  <c r="BA28"/>
  <c r="BC28"/>
  <c r="BE28"/>
  <c r="BH28"/>
  <c r="BJ26"/>
  <c r="BP28"/>
  <c r="BR28"/>
  <c r="BT28"/>
  <c r="BV28"/>
  <c r="BX28"/>
  <c r="BZ28"/>
  <c r="CB28"/>
  <c r="CD28"/>
  <c r="CF28"/>
  <c r="CH28"/>
  <c r="CJ28"/>
  <c r="CL28"/>
  <c r="CN28"/>
  <c r="CP28"/>
  <c r="CR28"/>
  <c r="CT28"/>
  <c r="CX28"/>
  <c r="CZ28"/>
  <c r="DB28"/>
  <c r="DD28"/>
  <c r="DF28"/>
  <c r="AK27"/>
  <c r="BF27"/>
  <c r="BJ27"/>
  <c r="DH27"/>
  <c r="BI25"/>
  <c r="BH25"/>
  <c r="BL27" l="1"/>
  <c r="BJ28"/>
  <c r="BJ25"/>
  <c r="BF28"/>
  <c r="Y25"/>
  <c r="U25"/>
  <c r="AI25"/>
  <c r="AW25"/>
  <c r="AM25"/>
  <c r="BB25"/>
  <c r="AN25"/>
  <c r="AA25"/>
  <c r="N25"/>
  <c r="AR25"/>
  <c r="AF25"/>
  <c r="AD25"/>
  <c r="L25"/>
  <c r="AB25"/>
  <c r="AC25"/>
  <c r="BA25"/>
  <c r="I25"/>
  <c r="AG25"/>
  <c r="S25"/>
  <c r="AV25"/>
  <c r="AO25"/>
  <c r="K25"/>
  <c r="O25"/>
  <c r="G25"/>
  <c r="P25"/>
  <c r="AJ25"/>
  <c r="Z25"/>
  <c r="AX25"/>
  <c r="W25"/>
  <c r="AZ25"/>
  <c r="AT25"/>
  <c r="H25"/>
  <c r="X25"/>
  <c r="AP25"/>
  <c r="AS25"/>
  <c r="AU25"/>
  <c r="BE25"/>
  <c r="AY25"/>
  <c r="BC25"/>
  <c r="J25"/>
  <c r="BD25"/>
  <c r="T25"/>
  <c r="AQ25"/>
  <c r="BF25" l="1"/>
  <c r="D25"/>
  <c r="D24"/>
  <c r="DH23"/>
  <c r="BL23"/>
  <c r="DF24"/>
  <c r="N24"/>
  <c r="CD24"/>
  <c r="AS24"/>
  <c r="AV24"/>
  <c r="G24"/>
  <c r="BW24"/>
  <c r="CE24"/>
  <c r="Z24"/>
  <c r="CW24"/>
  <c r="X24"/>
  <c r="DE24"/>
  <c r="AZ24"/>
  <c r="BB24"/>
  <c r="AQ24"/>
  <c r="CT24"/>
  <c r="CK24"/>
  <c r="AW24"/>
  <c r="AC24"/>
  <c r="Y24"/>
  <c r="M24"/>
  <c r="BS24"/>
  <c r="P24"/>
  <c r="AX24"/>
  <c r="CR24"/>
  <c r="AT24"/>
  <c r="U24"/>
  <c r="AM24"/>
  <c r="BD24"/>
  <c r="BC24"/>
  <c r="CL24"/>
  <c r="CO24"/>
  <c r="BT24"/>
  <c r="CG24"/>
  <c r="CB24"/>
  <c r="AJ24"/>
  <c r="BZ24"/>
  <c r="H24"/>
  <c r="AR24"/>
  <c r="DA24"/>
  <c r="AF24"/>
  <c r="CJ24"/>
  <c r="BH24"/>
  <c r="AO24"/>
  <c r="BX24"/>
  <c r="CY24"/>
  <c r="AA24"/>
  <c r="W24"/>
  <c r="CX24"/>
  <c r="O24"/>
  <c r="BV24"/>
  <c r="BR24"/>
  <c r="CZ24"/>
  <c r="CA24"/>
  <c r="CV24"/>
  <c r="AP24"/>
  <c r="CN24"/>
  <c r="CP24"/>
  <c r="BI24"/>
  <c r="BE24"/>
  <c r="BY24"/>
  <c r="CU24"/>
  <c r="CF24"/>
  <c r="AU24"/>
  <c r="AG24"/>
  <c r="BU24"/>
  <c r="AD24"/>
  <c r="CC24"/>
  <c r="CI24"/>
  <c r="AN24"/>
  <c r="BA24"/>
  <c r="CQ24"/>
  <c r="I24"/>
  <c r="DD24"/>
  <c r="CH24"/>
  <c r="T24"/>
  <c r="AY24"/>
  <c r="DC24"/>
  <c r="AB24"/>
  <c r="AI24"/>
  <c r="CS24"/>
  <c r="DB24"/>
  <c r="CM24"/>
  <c r="G32" l="1"/>
  <c r="I32"/>
  <c r="T32"/>
  <c r="X32"/>
  <c r="Z32"/>
  <c r="AB32"/>
  <c r="AJ32"/>
  <c r="AI32" s="1"/>
  <c r="AG32" s="1"/>
  <c r="AM32"/>
  <c r="BF24"/>
  <c r="AO32"/>
  <c r="AQ32"/>
  <c r="AS32"/>
  <c r="AU32"/>
  <c r="AW32"/>
  <c r="AY32"/>
  <c r="BA32"/>
  <c r="BC32"/>
  <c r="BE32"/>
  <c r="BH32"/>
  <c r="BJ24"/>
  <c r="BS32"/>
  <c r="BU32"/>
  <c r="BW32"/>
  <c r="BY32"/>
  <c r="CA32"/>
  <c r="CC32"/>
  <c r="CE32"/>
  <c r="CG32"/>
  <c r="CI32"/>
  <c r="CK32"/>
  <c r="CM32"/>
  <c r="CO32"/>
  <c r="CQ32"/>
  <c r="CS32"/>
  <c r="CY32"/>
  <c r="DA32"/>
  <c r="DC32"/>
  <c r="DE32"/>
  <c r="H32"/>
  <c r="P32"/>
  <c r="U32"/>
  <c r="W32"/>
  <c r="Y32"/>
  <c r="AA32"/>
  <c r="AC32"/>
  <c r="AF32"/>
  <c r="AD32" s="1"/>
  <c r="AN32"/>
  <c r="AP32"/>
  <c r="AR32"/>
  <c r="AT32"/>
  <c r="AV32"/>
  <c r="AX32"/>
  <c r="AZ32"/>
  <c r="BB32"/>
  <c r="BD32"/>
  <c r="BI32"/>
  <c r="BR32"/>
  <c r="BT32"/>
  <c r="BV32"/>
  <c r="BX32"/>
  <c r="BZ32"/>
  <c r="CB32"/>
  <c r="CD32"/>
  <c r="CF32"/>
  <c r="CH32"/>
  <c r="CJ32"/>
  <c r="CL32"/>
  <c r="CN32"/>
  <c r="CP32"/>
  <c r="CR32"/>
  <c r="CT32"/>
  <c r="CX32"/>
  <c r="CZ32"/>
  <c r="DB32"/>
  <c r="DD32"/>
  <c r="DF32"/>
  <c r="BF32" l="1"/>
  <c r="BJ32"/>
  <c r="D22" l="1"/>
  <c r="D21"/>
  <c r="DH20"/>
  <c r="BL20"/>
  <c r="CL21"/>
  <c r="AA21"/>
  <c r="BT21"/>
  <c r="T21"/>
  <c r="BZ21"/>
  <c r="CI21"/>
  <c r="AY21"/>
  <c r="AW21"/>
  <c r="CV21"/>
  <c r="AS21"/>
  <c r="CC21"/>
  <c r="BV21"/>
  <c r="AG21"/>
  <c r="AT21"/>
  <c r="BY21"/>
  <c r="AC21"/>
  <c r="G21"/>
  <c r="CT21"/>
  <c r="AF21"/>
  <c r="AM21"/>
  <c r="CA21"/>
  <c r="AO21"/>
  <c r="CP21"/>
  <c r="H21"/>
  <c r="CK21"/>
  <c r="CB21"/>
  <c r="DB21"/>
  <c r="DF21"/>
  <c r="CR21"/>
  <c r="DD21"/>
  <c r="M21"/>
  <c r="X21"/>
  <c r="AP21"/>
  <c r="Y21"/>
  <c r="BC21"/>
  <c r="BW21"/>
  <c r="J21"/>
  <c r="O21"/>
  <c r="CY21"/>
  <c r="CO21"/>
  <c r="CH21"/>
  <c r="BE21"/>
  <c r="CF21"/>
  <c r="DA21"/>
  <c r="BR21"/>
  <c r="CG21"/>
  <c r="BA21"/>
  <c r="BH21"/>
  <c r="CU21"/>
  <c r="CM21"/>
  <c r="CE21"/>
  <c r="AX21"/>
  <c r="L21"/>
  <c r="CQ21"/>
  <c r="CS21"/>
  <c r="AJ21"/>
  <c r="N21"/>
  <c r="AN21"/>
  <c r="AD21"/>
  <c r="BS21"/>
  <c r="AI21"/>
  <c r="AU21"/>
  <c r="CW21"/>
  <c r="AZ21"/>
  <c r="BI21"/>
  <c r="DE21"/>
  <c r="K21"/>
  <c r="CJ21"/>
  <c r="CZ21"/>
  <c r="CD21"/>
  <c r="AV21"/>
  <c r="AR21"/>
  <c r="Z21"/>
  <c r="P21"/>
  <c r="CN21"/>
  <c r="BU21"/>
  <c r="CX21"/>
  <c r="AQ21"/>
  <c r="BD21"/>
  <c r="BB21"/>
  <c r="G22" l="1"/>
  <c r="K22"/>
  <c r="O22"/>
  <c r="H22"/>
  <c r="J22"/>
  <c r="L22"/>
  <c r="N22"/>
  <c r="P22"/>
  <c r="Y22"/>
  <c r="AA22"/>
  <c r="AC22"/>
  <c r="AF22"/>
  <c r="AI22"/>
  <c r="AN22"/>
  <c r="AP22"/>
  <c r="AR22"/>
  <c r="AT22"/>
  <c r="AV22"/>
  <c r="AX22"/>
  <c r="AZ22"/>
  <c r="BB22"/>
  <c r="BD22"/>
  <c r="BI22"/>
  <c r="BS22"/>
  <c r="BU22"/>
  <c r="BW22"/>
  <c r="BY22"/>
  <c r="CA22"/>
  <c r="CC22"/>
  <c r="CE22"/>
  <c r="CG22"/>
  <c r="CI22"/>
  <c r="CK22"/>
  <c r="CM22"/>
  <c r="CO22"/>
  <c r="CQ22"/>
  <c r="CS22"/>
  <c r="CU22"/>
  <c r="CW22"/>
  <c r="CY22"/>
  <c r="DA22"/>
  <c r="DE22"/>
  <c r="M22"/>
  <c r="T22"/>
  <c r="X22"/>
  <c r="Z22"/>
  <c r="AD22"/>
  <c r="AG22"/>
  <c r="AJ22"/>
  <c r="AM22"/>
  <c r="BF21"/>
  <c r="AO22"/>
  <c r="AQ22"/>
  <c r="AS22"/>
  <c r="AU22"/>
  <c r="AW22"/>
  <c r="AY22"/>
  <c r="BA22"/>
  <c r="BC22"/>
  <c r="BE22"/>
  <c r="BH22"/>
  <c r="BJ22" s="1"/>
  <c r="BJ21"/>
  <c r="BR22"/>
  <c r="BT22"/>
  <c r="BV22"/>
  <c r="BZ22"/>
  <c r="CB22"/>
  <c r="CD22"/>
  <c r="CF22"/>
  <c r="CH22"/>
  <c r="CJ22"/>
  <c r="CL22"/>
  <c r="CN22"/>
  <c r="CP22"/>
  <c r="CR22"/>
  <c r="CT22"/>
  <c r="CV22"/>
  <c r="CX22"/>
  <c r="CZ22"/>
  <c r="DB22"/>
  <c r="DD22"/>
  <c r="DF22"/>
  <c r="BF22" l="1"/>
  <c r="D19" l="1"/>
  <c r="CH18"/>
  <c r="CG18"/>
  <c r="CZ18"/>
  <c r="CM18"/>
  <c r="BV18"/>
  <c r="CB18"/>
  <c r="BT18"/>
  <c r="CQ18"/>
  <c r="CC18"/>
  <c r="CR18"/>
  <c r="CS18"/>
  <c r="CE18"/>
  <c r="BX18"/>
  <c r="BZ18"/>
  <c r="DC18"/>
  <c r="DD18"/>
  <c r="CX18"/>
  <c r="CY18"/>
  <c r="CU18"/>
  <c r="CJ18"/>
  <c r="DA18"/>
  <c r="BS18"/>
  <c r="DE18"/>
  <c r="BW18"/>
  <c r="DF18"/>
  <c r="CT18"/>
  <c r="BY18"/>
  <c r="CI18"/>
  <c r="CA18"/>
  <c r="CV18"/>
  <c r="CP18"/>
  <c r="CW18"/>
  <c r="DB18"/>
  <c r="CN18"/>
  <c r="CF18"/>
  <c r="CK18"/>
  <c r="BO18"/>
  <c r="BR18"/>
  <c r="CD18"/>
  <c r="CO18"/>
  <c r="CL18"/>
  <c r="BU18"/>
  <c r="D18" l="1"/>
  <c r="D17"/>
  <c r="DH16"/>
  <c r="BL16"/>
  <c r="K18"/>
  <c r="BO17"/>
  <c r="G17"/>
  <c r="BD17"/>
  <c r="BI18"/>
  <c r="AM17"/>
  <c r="AM18"/>
  <c r="X18"/>
  <c r="AQ18"/>
  <c r="X17"/>
  <c r="M17"/>
  <c r="CP17"/>
  <c r="DA17"/>
  <c r="BB18"/>
  <c r="CL17"/>
  <c r="CV17"/>
  <c r="T18"/>
  <c r="H17"/>
  <c r="CH17"/>
  <c r="BT17"/>
  <c r="BD18"/>
  <c r="CO17"/>
  <c r="CI17"/>
  <c r="O18"/>
  <c r="AY17"/>
  <c r="J18"/>
  <c r="CJ17"/>
  <c r="BY17"/>
  <c r="BA17"/>
  <c r="AJ18"/>
  <c r="BH18"/>
  <c r="CR17"/>
  <c r="U18"/>
  <c r="BZ17"/>
  <c r="H18"/>
  <c r="AC17"/>
  <c r="AT18"/>
  <c r="M18"/>
  <c r="Z17"/>
  <c r="DD17"/>
  <c r="AR17"/>
  <c r="DE17"/>
  <c r="U17"/>
  <c r="AD17"/>
  <c r="O17"/>
  <c r="AB17"/>
  <c r="BW17"/>
  <c r="AD18"/>
  <c r="P18"/>
  <c r="CZ17"/>
  <c r="AA18"/>
  <c r="AO18"/>
  <c r="N18"/>
  <c r="S18"/>
  <c r="AU17"/>
  <c r="AJ17"/>
  <c r="L18"/>
  <c r="I18"/>
  <c r="S17"/>
  <c r="I17"/>
  <c r="AU18"/>
  <c r="BC18"/>
  <c r="L17"/>
  <c r="AP18"/>
  <c r="N17"/>
  <c r="AS17"/>
  <c r="CM17"/>
  <c r="AC18"/>
  <c r="AF17"/>
  <c r="AV17"/>
  <c r="AP17"/>
  <c r="AW18"/>
  <c r="CQ17"/>
  <c r="T17"/>
  <c r="BI17"/>
  <c r="BA18"/>
  <c r="AA17"/>
  <c r="AV18"/>
  <c r="CT17"/>
  <c r="AQ17"/>
  <c r="J17"/>
  <c r="G18"/>
  <c r="BE18"/>
  <c r="BU17"/>
  <c r="AI18"/>
  <c r="AN18"/>
  <c r="AB18"/>
  <c r="AS18"/>
  <c r="CN17"/>
  <c r="CK17"/>
  <c r="BB17"/>
  <c r="AZ18"/>
  <c r="AI17"/>
  <c r="BX17"/>
  <c r="CC17"/>
  <c r="BP17"/>
  <c r="AY18"/>
  <c r="AF18"/>
  <c r="AW17"/>
  <c r="DF17"/>
  <c r="BE17"/>
  <c r="CE17"/>
  <c r="CU17"/>
  <c r="CY17"/>
  <c r="V18"/>
  <c r="AG18"/>
  <c r="BC17"/>
  <c r="AN17"/>
  <c r="CW17"/>
  <c r="CG17"/>
  <c r="BV17"/>
  <c r="AR18"/>
  <c r="AG17"/>
  <c r="CF17"/>
  <c r="AZ17"/>
  <c r="AO17"/>
  <c r="Y17"/>
  <c r="DB17"/>
  <c r="CD17"/>
  <c r="CS17"/>
  <c r="V17"/>
  <c r="Z18"/>
  <c r="BR17"/>
  <c r="AX17"/>
  <c r="AX18"/>
  <c r="BS17"/>
  <c r="CB17"/>
  <c r="BH17"/>
  <c r="CA17"/>
  <c r="AT17"/>
  <c r="K17"/>
  <c r="Y18"/>
  <c r="DC17"/>
  <c r="P17"/>
  <c r="CX17"/>
  <c r="G19" l="1"/>
  <c r="Q17"/>
  <c r="K19"/>
  <c r="O19"/>
  <c r="V19"/>
  <c r="Z19"/>
  <c r="H19"/>
  <c r="J19"/>
  <c r="L19"/>
  <c r="N19"/>
  <c r="P19"/>
  <c r="S19"/>
  <c r="U19"/>
  <c r="Y19"/>
  <c r="AA19"/>
  <c r="AC19"/>
  <c r="AF19"/>
  <c r="AI19"/>
  <c r="AN19"/>
  <c r="AP19"/>
  <c r="AR19"/>
  <c r="AT19"/>
  <c r="AV19"/>
  <c r="AX19"/>
  <c r="AZ19"/>
  <c r="BB19"/>
  <c r="BD19"/>
  <c r="BI19"/>
  <c r="BR19"/>
  <c r="BT19"/>
  <c r="BV19"/>
  <c r="BX19"/>
  <c r="BZ19"/>
  <c r="CB19"/>
  <c r="CD19"/>
  <c r="CF19"/>
  <c r="CH19"/>
  <c r="CJ19"/>
  <c r="CL19"/>
  <c r="CN19"/>
  <c r="CP19"/>
  <c r="CR19"/>
  <c r="CT19"/>
  <c r="CV19"/>
  <c r="CX19"/>
  <c r="CZ19"/>
  <c r="DB19"/>
  <c r="DD19"/>
  <c r="DF19"/>
  <c r="I19"/>
  <c r="M19"/>
  <c r="T19"/>
  <c r="X19"/>
  <c r="AB19"/>
  <c r="AD19"/>
  <c r="AG19"/>
  <c r="AJ19"/>
  <c r="AM19"/>
  <c r="BF17"/>
  <c r="AO19"/>
  <c r="AQ19"/>
  <c r="AS19"/>
  <c r="AU19"/>
  <c r="AW19"/>
  <c r="AY19"/>
  <c r="BA19"/>
  <c r="BC19"/>
  <c r="BE19"/>
  <c r="BH19"/>
  <c r="BJ17"/>
  <c r="BO19"/>
  <c r="BS19"/>
  <c r="BU19"/>
  <c r="BW19"/>
  <c r="BY19"/>
  <c r="CA19"/>
  <c r="CC19"/>
  <c r="CE19"/>
  <c r="CG19"/>
  <c r="CI19"/>
  <c r="CK19"/>
  <c r="CM19"/>
  <c r="CO19"/>
  <c r="CQ19"/>
  <c r="CS19"/>
  <c r="CU19"/>
  <c r="CW19"/>
  <c r="CY19"/>
  <c r="DA19"/>
  <c r="DC19"/>
  <c r="DE19"/>
  <c r="Q18"/>
  <c r="BF18"/>
  <c r="BJ18"/>
  <c r="D15"/>
  <c r="I31" i="36"/>
  <c r="BJ19" i="72" l="1"/>
  <c r="BF19"/>
  <c r="Q19"/>
  <c r="D13" l="1"/>
  <c r="D12"/>
  <c r="BU12"/>
  <c r="AG13"/>
  <c r="CZ13"/>
  <c r="CO13"/>
  <c r="AY13"/>
  <c r="AW12"/>
  <c r="W13"/>
  <c r="BY13"/>
  <c r="AD13"/>
  <c r="BA13"/>
  <c r="BV12"/>
  <c r="DE12"/>
  <c r="CV13"/>
  <c r="AU12"/>
  <c r="AY12"/>
  <c r="CP12"/>
  <c r="AG12"/>
  <c r="CT13"/>
  <c r="AI13"/>
  <c r="AR13"/>
  <c r="CA12"/>
  <c r="CR12"/>
  <c r="BO13"/>
  <c r="BI12"/>
  <c r="CZ12"/>
  <c r="CL12"/>
  <c r="AO12"/>
  <c r="O12"/>
  <c r="AS13"/>
  <c r="BQ13"/>
  <c r="CH12"/>
  <c r="CC13"/>
  <c r="BX13"/>
  <c r="CL13"/>
  <c r="AT13"/>
  <c r="CE13"/>
  <c r="X12"/>
  <c r="J13"/>
  <c r="AQ13"/>
  <c r="BR13"/>
  <c r="X13"/>
  <c r="CK13"/>
  <c r="AP12"/>
  <c r="AP13"/>
  <c r="M12"/>
  <c r="AF13"/>
  <c r="AC12"/>
  <c r="DC13"/>
  <c r="AU13"/>
  <c r="CE12"/>
  <c r="Y13"/>
  <c r="CU13"/>
  <c r="AM13"/>
  <c r="K13"/>
  <c r="AF12"/>
  <c r="BI13"/>
  <c r="CM12"/>
  <c r="BZ13"/>
  <c r="CU12"/>
  <c r="CO12"/>
  <c r="Z13"/>
  <c r="CI12"/>
  <c r="DB13"/>
  <c r="Y12"/>
  <c r="AV13"/>
  <c r="CX13"/>
  <c r="BP13"/>
  <c r="N12"/>
  <c r="K12"/>
  <c r="AO13"/>
  <c r="CI13"/>
  <c r="CN12"/>
  <c r="AZ13"/>
  <c r="BT13"/>
  <c r="CQ13"/>
  <c r="H12"/>
  <c r="CW13"/>
  <c r="CD13"/>
  <c r="BH13"/>
  <c r="CD12"/>
  <c r="DA12"/>
  <c r="CH13"/>
  <c r="G13"/>
  <c r="BC13"/>
  <c r="BS13"/>
  <c r="M13"/>
  <c r="DD12"/>
  <c r="AQ12"/>
  <c r="CG13"/>
  <c r="CR13"/>
  <c r="CC12"/>
  <c r="CW12"/>
  <c r="DB12"/>
  <c r="V13"/>
  <c r="CX12"/>
  <c r="L13"/>
  <c r="J12"/>
  <c r="H13"/>
  <c r="CM13"/>
  <c r="BB13"/>
  <c r="AV12"/>
  <c r="AR12"/>
  <c r="CJ12"/>
  <c r="AT12"/>
  <c r="BA12"/>
  <c r="BX12"/>
  <c r="BV13"/>
  <c r="AX12"/>
  <c r="BW13"/>
  <c r="BW12"/>
  <c r="CA13"/>
  <c r="DD13"/>
  <c r="AC13"/>
  <c r="AZ12"/>
  <c r="CY12"/>
  <c r="CT12"/>
  <c r="BD12"/>
  <c r="CN13"/>
  <c r="CF12"/>
  <c r="BE12"/>
  <c r="AN12"/>
  <c r="P13"/>
  <c r="AN13"/>
  <c r="Z12"/>
  <c r="AW13"/>
  <c r="BD13"/>
  <c r="CF13"/>
  <c r="CG12"/>
  <c r="P12"/>
  <c r="AA13"/>
  <c r="BE13"/>
  <c r="BT12"/>
  <c r="CB12"/>
  <c r="AA12"/>
  <c r="AM12"/>
  <c r="AJ12"/>
  <c r="CS12"/>
  <c r="DA13"/>
  <c r="N13"/>
  <c r="S13"/>
  <c r="CV12"/>
  <c r="AD12"/>
  <c r="CY13"/>
  <c r="AJ13"/>
  <c r="T13"/>
  <c r="BS12"/>
  <c r="BU13"/>
  <c r="AB13"/>
  <c r="CB13"/>
  <c r="U13"/>
  <c r="L12"/>
  <c r="BB12"/>
  <c r="AI12"/>
  <c r="DF13"/>
  <c r="BR12"/>
  <c r="BY12"/>
  <c r="DE13"/>
  <c r="DF12"/>
  <c r="I12"/>
  <c r="O13"/>
  <c r="CQ12"/>
  <c r="CK12"/>
  <c r="AS12"/>
  <c r="CS13"/>
  <c r="I13"/>
  <c r="CJ13"/>
  <c r="AX13"/>
  <c r="BZ12"/>
  <c r="DC12"/>
  <c r="CP13"/>
  <c r="J14" l="1"/>
  <c r="I14"/>
  <c r="K14"/>
  <c r="M14"/>
  <c r="O14"/>
  <c r="X14"/>
  <c r="Z14"/>
  <c r="AD14"/>
  <c r="AG14"/>
  <c r="AJ14"/>
  <c r="AM14"/>
  <c r="AO14"/>
  <c r="AQ14"/>
  <c r="AS14"/>
  <c r="AU14"/>
  <c r="AW14"/>
  <c r="AY14"/>
  <c r="BA14"/>
  <c r="BE14"/>
  <c r="BR14"/>
  <c r="BT14"/>
  <c r="BV14"/>
  <c r="BX14"/>
  <c r="BZ14"/>
  <c r="CB14"/>
  <c r="CD14"/>
  <c r="CF14"/>
  <c r="CH14"/>
  <c r="CJ14"/>
  <c r="CL14"/>
  <c r="CN14"/>
  <c r="CP14"/>
  <c r="CR14"/>
  <c r="CT14"/>
  <c r="CV14"/>
  <c r="CX14"/>
  <c r="CZ14"/>
  <c r="DB14"/>
  <c r="DD14"/>
  <c r="DF14"/>
  <c r="Q13"/>
  <c r="H14"/>
  <c r="L14"/>
  <c r="N14"/>
  <c r="P14"/>
  <c r="Y14"/>
  <c r="AA14"/>
  <c r="AC14"/>
  <c r="AF14"/>
  <c r="AI14"/>
  <c r="AN14"/>
  <c r="AP14"/>
  <c r="AR14"/>
  <c r="AT14"/>
  <c r="AV14"/>
  <c r="AX14"/>
  <c r="AZ14"/>
  <c r="BB14"/>
  <c r="BD14"/>
  <c r="BI14"/>
  <c r="BS14"/>
  <c r="BU14"/>
  <c r="BW14"/>
  <c r="BY14"/>
  <c r="CA14"/>
  <c r="CC14"/>
  <c r="CE14"/>
  <c r="CG14"/>
  <c r="CI14"/>
  <c r="CK14"/>
  <c r="CM14"/>
  <c r="CO14"/>
  <c r="CQ14"/>
  <c r="CS14"/>
  <c r="CU14"/>
  <c r="CW14"/>
  <c r="CY14"/>
  <c r="DA14"/>
  <c r="DC14"/>
  <c r="DE14"/>
  <c r="AK13"/>
  <c r="BF13"/>
  <c r="BJ13"/>
  <c r="BL13" l="1"/>
  <c r="D10"/>
  <c r="CI9"/>
  <c r="I10"/>
  <c r="H10"/>
  <c r="BW9"/>
  <c r="CB9"/>
  <c r="AW10"/>
  <c r="AS10"/>
  <c r="CP10"/>
  <c r="DB10"/>
  <c r="BH9"/>
  <c r="L10"/>
  <c r="AI10"/>
  <c r="CE9"/>
  <c r="AX10"/>
  <c r="CH10"/>
  <c r="DA10"/>
  <c r="P10"/>
  <c r="BV10"/>
  <c r="AR10"/>
  <c r="BT9"/>
  <c r="CT9"/>
  <c r="BI10"/>
  <c r="CH9"/>
  <c r="CB10"/>
  <c r="CG9"/>
  <c r="BW10"/>
  <c r="CA10"/>
  <c r="BP10"/>
  <c r="CG10"/>
  <c r="AV10"/>
  <c r="J10"/>
  <c r="AU10"/>
  <c r="AO10"/>
  <c r="AD10"/>
  <c r="V10"/>
  <c r="AT10"/>
  <c r="CV9"/>
  <c r="X10"/>
  <c r="BS9"/>
  <c r="BZ10"/>
  <c r="CR9"/>
  <c r="DD9"/>
  <c r="DD10"/>
  <c r="AA10"/>
  <c r="CL10"/>
  <c r="CC9"/>
  <c r="CJ10"/>
  <c r="BY10"/>
  <c r="CD10"/>
  <c r="BX10"/>
  <c r="CF10"/>
  <c r="Z10"/>
  <c r="CX9"/>
  <c r="BV9"/>
  <c r="CZ10"/>
  <c r="CM10"/>
  <c r="CX10"/>
  <c r="CU9"/>
  <c r="U10"/>
  <c r="CS10"/>
  <c r="CY10"/>
  <c r="DF10"/>
  <c r="BR10"/>
  <c r="DB9"/>
  <c r="BA10"/>
  <c r="AJ10"/>
  <c r="AN10"/>
  <c r="CI10"/>
  <c r="DF9"/>
  <c r="BR9"/>
  <c r="CC10"/>
  <c r="S10"/>
  <c r="DA9"/>
  <c r="CA9"/>
  <c r="M10"/>
  <c r="BZ9"/>
  <c r="BO10"/>
  <c r="CO10"/>
  <c r="CN9"/>
  <c r="CN10"/>
  <c r="CT10"/>
  <c r="CL9"/>
  <c r="O10"/>
  <c r="CM9"/>
  <c r="BD10"/>
  <c r="CJ9"/>
  <c r="DE9"/>
  <c r="BB10"/>
  <c r="BT10"/>
  <c r="CQ10"/>
  <c r="DC9"/>
  <c r="AG10"/>
  <c r="AQ10"/>
  <c r="CO9"/>
  <c r="AB10"/>
  <c r="CE10"/>
  <c r="T10"/>
  <c r="AM10"/>
  <c r="AC10"/>
  <c r="BH10"/>
  <c r="BX9"/>
  <c r="CW10"/>
  <c r="CR10"/>
  <c r="CK9"/>
  <c r="BU10"/>
  <c r="N10"/>
  <c r="CD9"/>
  <c r="BU9"/>
  <c r="CP9"/>
  <c r="CF9"/>
  <c r="W10"/>
  <c r="BS10"/>
  <c r="BE10"/>
  <c r="G10"/>
  <c r="BQ10"/>
  <c r="CY9"/>
  <c r="Y10"/>
  <c r="AP10"/>
  <c r="CQ9"/>
  <c r="CZ9"/>
  <c r="BY9"/>
  <c r="AY10"/>
  <c r="DC10"/>
  <c r="CU10"/>
  <c r="CW9"/>
  <c r="CK10"/>
  <c r="AZ10"/>
  <c r="BC10"/>
  <c r="AF10"/>
  <c r="K10"/>
  <c r="DE10"/>
  <c r="CS9"/>
  <c r="CV10"/>
  <c r="BI9"/>
  <c r="BI11" l="1"/>
  <c r="BR11"/>
  <c r="BV11"/>
  <c r="BZ11"/>
  <c r="CD11"/>
  <c r="CH11"/>
  <c r="BH11"/>
  <c r="BJ9"/>
  <c r="BS11"/>
  <c r="BU11"/>
  <c r="BW11"/>
  <c r="BY11"/>
  <c r="CA11"/>
  <c r="CC11"/>
  <c r="CE11"/>
  <c r="CG11"/>
  <c r="CI11"/>
  <c r="CK11"/>
  <c r="CM11"/>
  <c r="CO11"/>
  <c r="CQ11"/>
  <c r="CS11"/>
  <c r="CU11"/>
  <c r="CW11"/>
  <c r="CY11"/>
  <c r="DA11"/>
  <c r="DC11"/>
  <c r="DE11"/>
  <c r="AK10"/>
  <c r="BT11"/>
  <c r="BX11"/>
  <c r="CB11"/>
  <c r="CF11"/>
  <c r="CJ11"/>
  <c r="CL11"/>
  <c r="CN11"/>
  <c r="CP11"/>
  <c r="CR11"/>
  <c r="CT11"/>
  <c r="CV11"/>
  <c r="CX11"/>
  <c r="CZ11"/>
  <c r="DB11"/>
  <c r="DD11"/>
  <c r="DF11"/>
  <c r="Q10"/>
  <c r="BF10"/>
  <c r="BJ10"/>
  <c r="D9"/>
  <c r="DC4"/>
  <c r="CY4"/>
  <c r="CU4"/>
  <c r="CQ4"/>
  <c r="CM4"/>
  <c r="CI4"/>
  <c r="CE4"/>
  <c r="CA4"/>
  <c r="BW4"/>
  <c r="BS4"/>
  <c r="BO4"/>
  <c r="BL4"/>
  <c r="BI4"/>
  <c r="BH4"/>
  <c r="BE4"/>
  <c r="BD4"/>
  <c r="BC4"/>
  <c r="BB4"/>
  <c r="BA4"/>
  <c r="AZ4"/>
  <c r="AY4"/>
  <c r="AX4"/>
  <c r="AW4"/>
  <c r="AV4"/>
  <c r="AU4"/>
  <c r="AT4"/>
  <c r="AS4"/>
  <c r="AR4"/>
  <c r="AQ4"/>
  <c r="AP4"/>
  <c r="AO4"/>
  <c r="AN4"/>
  <c r="AM4"/>
  <c r="AJ4"/>
  <c r="Z9"/>
  <c r="H9"/>
  <c r="BD9"/>
  <c r="AP9"/>
  <c r="AA9"/>
  <c r="AM9"/>
  <c r="AQ9"/>
  <c r="J9"/>
  <c r="AG9"/>
  <c r="O9"/>
  <c r="Y9"/>
  <c r="AC9"/>
  <c r="AN9"/>
  <c r="AS9"/>
  <c r="N9"/>
  <c r="BA9"/>
  <c r="AZ9"/>
  <c r="AO9"/>
  <c r="M9"/>
  <c r="AD9"/>
  <c r="AR9"/>
  <c r="AX9"/>
  <c r="AV9"/>
  <c r="BB9"/>
  <c r="AY9"/>
  <c r="AT9"/>
  <c r="K9"/>
  <c r="AF9"/>
  <c r="BE9"/>
  <c r="AU9"/>
  <c r="L9"/>
  <c r="AW9"/>
  <c r="AJ9"/>
  <c r="X9"/>
  <c r="I9"/>
  <c r="P9"/>
  <c r="BL10" l="1"/>
  <c r="I11"/>
  <c r="K11"/>
  <c r="M11"/>
  <c r="O11"/>
  <c r="X11"/>
  <c r="Z11"/>
  <c r="AD11"/>
  <c r="AG11"/>
  <c r="AJ11"/>
  <c r="AM11"/>
  <c r="AM15" s="1"/>
  <c r="AM40" s="1"/>
  <c r="AO11"/>
  <c r="AQ11"/>
  <c r="AS11"/>
  <c r="AU11"/>
  <c r="AW11"/>
  <c r="AY11"/>
  <c r="BA11"/>
  <c r="BE11"/>
  <c r="H11"/>
  <c r="J11"/>
  <c r="L11"/>
  <c r="N11"/>
  <c r="P11"/>
  <c r="Y11"/>
  <c r="AA11"/>
  <c r="AC11"/>
  <c r="AF11"/>
  <c r="AN11"/>
  <c r="AP11"/>
  <c r="AR11"/>
  <c r="AT11"/>
  <c r="AV11"/>
  <c r="AX11"/>
  <c r="AZ11"/>
  <c r="BB11"/>
  <c r="BD11"/>
  <c r="BJ11"/>
  <c r="AI4"/>
  <c r="AG4"/>
  <c r="AF4"/>
  <c r="AD4"/>
  <c r="AC4"/>
  <c r="AB4"/>
  <c r="AA4"/>
  <c r="Z4"/>
  <c r="Y4"/>
  <c r="X4"/>
  <c r="W4"/>
  <c r="V4"/>
  <c r="U4"/>
  <c r="T4"/>
  <c r="S4"/>
  <c r="P4"/>
  <c r="O4"/>
  <c r="N4"/>
  <c r="M4"/>
  <c r="L4"/>
  <c r="K4"/>
  <c r="J4"/>
  <c r="I4"/>
  <c r="H4"/>
  <c r="G4"/>
  <c r="E3"/>
  <c r="BL108" i="71"/>
  <c r="BL107"/>
  <c r="BL105" l="1"/>
  <c r="D104" l="1"/>
  <c r="BJ103" l="1"/>
  <c r="AR103"/>
  <c r="Q103"/>
  <c r="D103"/>
  <c r="D102"/>
  <c r="DH101"/>
  <c r="DH100"/>
  <c r="DF103"/>
  <c r="BP103"/>
  <c r="CW103"/>
  <c r="BU103"/>
  <c r="BZ102"/>
  <c r="CB103"/>
  <c r="CU102"/>
  <c r="CM102"/>
  <c r="CB102"/>
  <c r="DB102"/>
  <c r="BW102"/>
  <c r="CO102"/>
  <c r="AX102"/>
  <c r="BX103"/>
  <c r="CF102"/>
  <c r="AB102"/>
  <c r="BA102"/>
  <c r="AA102"/>
  <c r="CG103"/>
  <c r="CD103"/>
  <c r="CO103"/>
  <c r="DC102"/>
  <c r="CA102"/>
  <c r="AI102"/>
  <c r="I102"/>
  <c r="AO102"/>
  <c r="BV102"/>
  <c r="CY102"/>
  <c r="T102"/>
  <c r="DA103"/>
  <c r="CY103"/>
  <c r="CF103"/>
  <c r="BS103"/>
  <c r="CQ103"/>
  <c r="DE102"/>
  <c r="CQ102"/>
  <c r="CV103"/>
  <c r="AC102"/>
  <c r="H102"/>
  <c r="BU102"/>
  <c r="CR103"/>
  <c r="CH103"/>
  <c r="CC102"/>
  <c r="AY102"/>
  <c r="AG102"/>
  <c r="O102"/>
  <c r="AU102"/>
  <c r="DD102"/>
  <c r="DC103"/>
  <c r="AV102"/>
  <c r="CS102"/>
  <c r="BY102"/>
  <c r="CU103"/>
  <c r="CH102"/>
  <c r="K102"/>
  <c r="CZ102"/>
  <c r="BT103"/>
  <c r="AP102"/>
  <c r="CE103"/>
  <c r="BB102"/>
  <c r="BW103"/>
  <c r="AS102"/>
  <c r="CI103"/>
  <c r="AT102"/>
  <c r="BZ103"/>
  <c r="CJ102"/>
  <c r="CI102"/>
  <c r="AF102"/>
  <c r="CR102"/>
  <c r="AD102"/>
  <c r="CP102"/>
  <c r="AN102"/>
  <c r="CX102"/>
  <c r="DD103"/>
  <c r="CK103"/>
  <c r="BQ103"/>
  <c r="CW102"/>
  <c r="AZ102"/>
  <c r="CM103"/>
  <c r="CL102"/>
  <c r="AR102"/>
  <c r="G102"/>
  <c r="BE102"/>
  <c r="DF102"/>
  <c r="BO103"/>
  <c r="BC102"/>
  <c r="CA103"/>
  <c r="CJ103"/>
  <c r="CX103"/>
  <c r="DB103"/>
  <c r="CG102"/>
  <c r="CP103"/>
  <c r="CE102"/>
  <c r="CN102"/>
  <c r="AQ102"/>
  <c r="BY103"/>
  <c r="N102"/>
  <c r="CD102"/>
  <c r="BS102"/>
  <c r="DE103"/>
  <c r="CS103"/>
  <c r="BX102"/>
  <c r="BR103"/>
  <c r="BV103"/>
  <c r="P102"/>
  <c r="CT102"/>
  <c r="CN103"/>
  <c r="CL103"/>
  <c r="J102"/>
  <c r="BD102"/>
  <c r="BQ102"/>
  <c r="BH102"/>
  <c r="AM102"/>
  <c r="M102"/>
  <c r="CC103"/>
  <c r="BO102"/>
  <c r="BR102"/>
  <c r="CK102"/>
  <c r="AW102"/>
  <c r="DA102"/>
  <c r="L102"/>
  <c r="CV102"/>
  <c r="S102"/>
  <c r="AJ102"/>
  <c r="BP102"/>
  <c r="CZ103"/>
  <c r="CT103"/>
  <c r="H104" l="1"/>
  <c r="J104"/>
  <c r="L104"/>
  <c r="N104"/>
  <c r="P104"/>
  <c r="S104"/>
  <c r="AA104"/>
  <c r="AC104"/>
  <c r="AF104"/>
  <c r="AI104"/>
  <c r="AN104"/>
  <c r="AP104"/>
  <c r="AV104"/>
  <c r="AX104"/>
  <c r="AZ104"/>
  <c r="BB104"/>
  <c r="BD104"/>
  <c r="BO104"/>
  <c r="BQ104"/>
  <c r="BS104"/>
  <c r="BU104"/>
  <c r="BW104"/>
  <c r="BY104"/>
  <c r="CA104"/>
  <c r="CC104"/>
  <c r="CE104"/>
  <c r="CG104"/>
  <c r="CI104"/>
  <c r="CK104"/>
  <c r="CM104"/>
  <c r="CO104"/>
  <c r="CQ104"/>
  <c r="CS104"/>
  <c r="CU104"/>
  <c r="CW104"/>
  <c r="CY104"/>
  <c r="DA104"/>
  <c r="DC104"/>
  <c r="DE104"/>
  <c r="DH103"/>
  <c r="G104"/>
  <c r="Q102"/>
  <c r="I104"/>
  <c r="K104"/>
  <c r="M104"/>
  <c r="O104"/>
  <c r="AB104"/>
  <c r="AD104"/>
  <c r="AG104"/>
  <c r="AJ104"/>
  <c r="AM104"/>
  <c r="BF102"/>
  <c r="AO104"/>
  <c r="AW104"/>
  <c r="AY104"/>
  <c r="BA104"/>
  <c r="BC104"/>
  <c r="BE104"/>
  <c r="BH104"/>
  <c r="BP104"/>
  <c r="BR104"/>
  <c r="BV104"/>
  <c r="BX104"/>
  <c r="BZ104"/>
  <c r="CB104"/>
  <c r="CD104"/>
  <c r="CF104"/>
  <c r="CH104"/>
  <c r="CJ104"/>
  <c r="CL104"/>
  <c r="CN104"/>
  <c r="CP104"/>
  <c r="CR104"/>
  <c r="CT104"/>
  <c r="CV104"/>
  <c r="CX104"/>
  <c r="CZ104"/>
  <c r="DB104"/>
  <c r="DD104"/>
  <c r="DF104"/>
  <c r="Q104" l="1"/>
  <c r="D99" l="1"/>
  <c r="CE98"/>
  <c r="DB98"/>
  <c r="CB98"/>
  <c r="CS98"/>
  <c r="CZ98"/>
  <c r="CF98"/>
  <c r="DA98"/>
  <c r="CP98"/>
  <c r="CU98"/>
  <c r="BU98"/>
  <c r="CJ98"/>
  <c r="BW98"/>
  <c r="BZ98"/>
  <c r="BY98"/>
  <c r="CW98"/>
  <c r="DF98"/>
  <c r="DE98"/>
  <c r="DC98"/>
  <c r="CD98"/>
  <c r="CN98"/>
  <c r="DD98"/>
  <c r="BT98"/>
  <c r="CM98"/>
  <c r="BV98"/>
  <c r="BR98"/>
  <c r="CI98"/>
  <c r="CK98"/>
  <c r="CX98"/>
  <c r="CC98"/>
  <c r="BS98"/>
  <c r="CA98"/>
  <c r="CG98"/>
  <c r="BO98"/>
  <c r="BQ98"/>
  <c r="CO98"/>
  <c r="CT98"/>
  <c r="CV98"/>
  <c r="CQ98"/>
  <c r="BP98"/>
  <c r="BX98"/>
  <c r="CH98"/>
  <c r="CR98"/>
  <c r="CL98"/>
  <c r="D98" l="1"/>
  <c r="DH97"/>
  <c r="D96"/>
  <c r="DH95"/>
  <c r="DH94"/>
  <c r="BL94"/>
  <c r="AC96"/>
  <c r="I96"/>
  <c r="P96"/>
  <c r="AQ98"/>
  <c r="I98"/>
  <c r="AP96"/>
  <c r="BH98"/>
  <c r="AV96"/>
  <c r="Z96"/>
  <c r="K98"/>
  <c r="BB98"/>
  <c r="X96"/>
  <c r="J98"/>
  <c r="J96"/>
  <c r="P98"/>
  <c r="BO96"/>
  <c r="CJ96"/>
  <c r="AY96"/>
  <c r="BT96"/>
  <c r="BC96"/>
  <c r="DF96"/>
  <c r="BY96"/>
  <c r="H96"/>
  <c r="N96"/>
  <c r="AR98"/>
  <c r="AI98"/>
  <c r="CC96"/>
  <c r="AZ98"/>
  <c r="K96"/>
  <c r="BZ96"/>
  <c r="S96"/>
  <c r="AM96"/>
  <c r="AX96"/>
  <c r="AN96"/>
  <c r="BI96"/>
  <c r="CP96"/>
  <c r="DC96"/>
  <c r="AN98"/>
  <c r="BQ96"/>
  <c r="AG98"/>
  <c r="DE96"/>
  <c r="BP96"/>
  <c r="AS98"/>
  <c r="AY98"/>
  <c r="BA96"/>
  <c r="CO96"/>
  <c r="AI96"/>
  <c r="AJ98"/>
  <c r="AU96"/>
  <c r="CT96"/>
  <c r="L96"/>
  <c r="BD96"/>
  <c r="AO98"/>
  <c r="AV98"/>
  <c r="CW96"/>
  <c r="L98"/>
  <c r="CK96"/>
  <c r="AZ96"/>
  <c r="AF98"/>
  <c r="BA98"/>
  <c r="CU96"/>
  <c r="CV96"/>
  <c r="CS96"/>
  <c r="DD96"/>
  <c r="CB96"/>
  <c r="X98"/>
  <c r="AA98"/>
  <c r="CZ96"/>
  <c r="AR96"/>
  <c r="CA96"/>
  <c r="AO96"/>
  <c r="CG96"/>
  <c r="BE98"/>
  <c r="T96"/>
  <c r="T98"/>
  <c r="AJ96"/>
  <c r="M96"/>
  <c r="CQ96"/>
  <c r="AD98"/>
  <c r="AT98"/>
  <c r="AU98"/>
  <c r="BD98"/>
  <c r="DA96"/>
  <c r="BS96"/>
  <c r="AB98"/>
  <c r="BC98"/>
  <c r="O96"/>
  <c r="BB96"/>
  <c r="Y96"/>
  <c r="AX98"/>
  <c r="G96"/>
  <c r="BE96"/>
  <c r="AM98"/>
  <c r="Z98"/>
  <c r="BV96"/>
  <c r="CD96"/>
  <c r="CL96"/>
  <c r="CI96"/>
  <c r="DB96"/>
  <c r="M98"/>
  <c r="W98"/>
  <c r="BX96"/>
  <c r="CM96"/>
  <c r="S98"/>
  <c r="CN96"/>
  <c r="AC98"/>
  <c r="BR96"/>
  <c r="G98"/>
  <c r="O98"/>
  <c r="AT96"/>
  <c r="AB96"/>
  <c r="AW96"/>
  <c r="Y98"/>
  <c r="BI98"/>
  <c r="CX96"/>
  <c r="CR96"/>
  <c r="N98"/>
  <c r="BU96"/>
  <c r="BW96"/>
  <c r="CE96"/>
  <c r="AW98"/>
  <c r="AQ96"/>
  <c r="H98"/>
  <c r="AS96"/>
  <c r="CH96"/>
  <c r="CF96"/>
  <c r="AA96"/>
  <c r="G99" l="1"/>
  <c r="Q96"/>
  <c r="H99"/>
  <c r="J99"/>
  <c r="L99"/>
  <c r="N99"/>
  <c r="P99"/>
  <c r="S99"/>
  <c r="Y99"/>
  <c r="AA99"/>
  <c r="AC99"/>
  <c r="AI99"/>
  <c r="AN99"/>
  <c r="AR99"/>
  <c r="AT99"/>
  <c r="AV99"/>
  <c r="AX99"/>
  <c r="AZ99"/>
  <c r="BB99"/>
  <c r="BD99"/>
  <c r="BI99"/>
  <c r="BO99"/>
  <c r="BQ99"/>
  <c r="BS99"/>
  <c r="BU99"/>
  <c r="BW99"/>
  <c r="BY99"/>
  <c r="CA99"/>
  <c r="CC99"/>
  <c r="CE99"/>
  <c r="CG99"/>
  <c r="CI99"/>
  <c r="CK99"/>
  <c r="CM99"/>
  <c r="CO99"/>
  <c r="CQ99"/>
  <c r="CS99"/>
  <c r="CU99"/>
  <c r="CW99"/>
  <c r="DA99"/>
  <c r="DC99"/>
  <c r="DE99"/>
  <c r="Q98"/>
  <c r="I99"/>
  <c r="K99"/>
  <c r="M99"/>
  <c r="O99"/>
  <c r="T99"/>
  <c r="X99"/>
  <c r="Z99"/>
  <c r="AB99"/>
  <c r="AJ99"/>
  <c r="AM99"/>
  <c r="BF96"/>
  <c r="AO99"/>
  <c r="AQ99"/>
  <c r="AS99"/>
  <c r="AU99"/>
  <c r="AW99"/>
  <c r="AY99"/>
  <c r="BA99"/>
  <c r="BC99"/>
  <c r="BE99"/>
  <c r="BP99"/>
  <c r="BR99"/>
  <c r="BT99"/>
  <c r="BV99"/>
  <c r="BX99"/>
  <c r="BZ99"/>
  <c r="CB99"/>
  <c r="CD99"/>
  <c r="CF99"/>
  <c r="CH99"/>
  <c r="CJ99"/>
  <c r="CL99"/>
  <c r="CN99"/>
  <c r="CP99"/>
  <c r="CR99"/>
  <c r="CT99"/>
  <c r="CV99"/>
  <c r="CX99"/>
  <c r="CZ99"/>
  <c r="DB99"/>
  <c r="DD99"/>
  <c r="DF99"/>
  <c r="BJ98"/>
  <c r="Q99" l="1"/>
  <c r="D93" l="1"/>
  <c r="CN92"/>
  <c r="DB92"/>
  <c r="BS92"/>
  <c r="CH92"/>
  <c r="CD92"/>
  <c r="BR92"/>
  <c r="DD92"/>
  <c r="DA92"/>
  <c r="CO92"/>
  <c r="CX92"/>
  <c r="CF92"/>
  <c r="CJ92"/>
  <c r="BY92"/>
  <c r="CU92"/>
  <c r="CT92"/>
  <c r="CI92"/>
  <c r="DF92"/>
  <c r="CS92"/>
  <c r="CY92"/>
  <c r="DE92"/>
  <c r="CZ92"/>
  <c r="BQ92"/>
  <c r="CW92"/>
  <c r="BP92"/>
  <c r="CP92"/>
  <c r="CM92"/>
  <c r="CR92"/>
  <c r="BO92"/>
  <c r="CQ92"/>
  <c r="BX92"/>
  <c r="BU92"/>
  <c r="BZ92"/>
  <c r="CC92"/>
  <c r="CB92"/>
  <c r="CK92"/>
  <c r="CE92"/>
  <c r="BT92"/>
  <c r="DC92"/>
  <c r="CV92"/>
  <c r="CG92"/>
  <c r="BW92"/>
  <c r="CA92"/>
  <c r="CL92"/>
  <c r="BV92"/>
  <c r="D92" l="1"/>
  <c r="BI92"/>
  <c r="BR91"/>
  <c r="BA92"/>
  <c r="AD92"/>
  <c r="BZ91"/>
  <c r="CY91"/>
  <c r="DD91"/>
  <c r="BX91"/>
  <c r="H92"/>
  <c r="AO92"/>
  <c r="V92"/>
  <c r="AI92"/>
  <c r="CJ91"/>
  <c r="CP91"/>
  <c r="J92"/>
  <c r="BO91"/>
  <c r="BQ91"/>
  <c r="Z92"/>
  <c r="CU91"/>
  <c r="X92"/>
  <c r="AR92"/>
  <c r="O92"/>
  <c r="DB91"/>
  <c r="AU92"/>
  <c r="CQ91"/>
  <c r="BS91"/>
  <c r="CM91"/>
  <c r="N92"/>
  <c r="G92"/>
  <c r="CN91"/>
  <c r="BE92"/>
  <c r="CS91"/>
  <c r="S92"/>
  <c r="CA91"/>
  <c r="CV91"/>
  <c r="K92"/>
  <c r="CK91"/>
  <c r="AY92"/>
  <c r="W92"/>
  <c r="CT91"/>
  <c r="Y92"/>
  <c r="P92"/>
  <c r="CG91"/>
  <c r="AS92"/>
  <c r="AW92"/>
  <c r="U92"/>
  <c r="M92"/>
  <c r="BT91"/>
  <c r="BD92"/>
  <c r="AA92"/>
  <c r="AP92"/>
  <c r="AQ92"/>
  <c r="CO91"/>
  <c r="CB91"/>
  <c r="AV92"/>
  <c r="DA91"/>
  <c r="CZ91"/>
  <c r="CL91"/>
  <c r="BW91"/>
  <c r="L92"/>
  <c r="BU91"/>
  <c r="CE91"/>
  <c r="BC92"/>
  <c r="CC91"/>
  <c r="CD91"/>
  <c r="CW91"/>
  <c r="CH91"/>
  <c r="AZ92"/>
  <c r="BH91"/>
  <c r="AT92"/>
  <c r="AX92"/>
  <c r="I92"/>
  <c r="CR91"/>
  <c r="DF91"/>
  <c r="AB92"/>
  <c r="AC92"/>
  <c r="AJ92"/>
  <c r="DE91"/>
  <c r="BV91"/>
  <c r="AM92"/>
  <c r="BP91"/>
  <c r="AF92"/>
  <c r="BY91"/>
  <c r="AN92"/>
  <c r="BB92"/>
  <c r="DC91"/>
  <c r="CI91"/>
  <c r="AG92"/>
  <c r="CF91"/>
  <c r="CX91"/>
  <c r="Q92" l="1"/>
  <c r="BF92"/>
  <c r="Z91"/>
  <c r="BE91"/>
  <c r="AT91"/>
  <c r="AU91"/>
  <c r="AS91"/>
  <c r="AX91"/>
  <c r="AI91"/>
  <c r="AB91"/>
  <c r="AG91"/>
  <c r="AF91"/>
  <c r="BA91"/>
  <c r="AP91"/>
  <c r="Y91"/>
  <c r="W91"/>
  <c r="AV91"/>
  <c r="AQ91"/>
  <c r="AR91"/>
  <c r="AN91"/>
  <c r="AW91"/>
  <c r="BC91"/>
  <c r="AO91"/>
  <c r="V91"/>
  <c r="AA91"/>
  <c r="AJ91"/>
  <c r="U91"/>
  <c r="AD91"/>
  <c r="AY91"/>
  <c r="BD91"/>
  <c r="X91"/>
  <c r="AZ91"/>
  <c r="AM91"/>
  <c r="S91"/>
  <c r="BB91"/>
  <c r="AC91"/>
  <c r="BF91" l="1"/>
  <c r="D91"/>
  <c r="BL90"/>
  <c r="D89"/>
  <c r="BL87"/>
  <c r="BL86"/>
  <c r="BL85"/>
  <c r="BF83"/>
  <c r="AP89"/>
  <c r="S89"/>
  <c r="AN89"/>
  <c r="CT89"/>
  <c r="CG89"/>
  <c r="T89"/>
  <c r="DF89"/>
  <c r="L89"/>
  <c r="U89"/>
  <c r="BO89"/>
  <c r="BI89"/>
  <c r="AC89"/>
  <c r="CH89"/>
  <c r="CE89"/>
  <c r="AR89"/>
  <c r="P89"/>
  <c r="N91"/>
  <c r="AV89"/>
  <c r="BB89"/>
  <c r="AT89"/>
  <c r="CP89"/>
  <c r="AB89"/>
  <c r="CO89"/>
  <c r="AJ89"/>
  <c r="CV89"/>
  <c r="AM89"/>
  <c r="CR89"/>
  <c r="BP89"/>
  <c r="AW89"/>
  <c r="AU89"/>
  <c r="CN89"/>
  <c r="AO89"/>
  <c r="CZ89"/>
  <c r="BQ89"/>
  <c r="AG89"/>
  <c r="CA89"/>
  <c r="M89"/>
  <c r="K91"/>
  <c r="M91"/>
  <c r="CD89"/>
  <c r="CK89"/>
  <c r="O91"/>
  <c r="DA89"/>
  <c r="BX89"/>
  <c r="W89"/>
  <c r="J89"/>
  <c r="AA89"/>
  <c r="BC89"/>
  <c r="N89"/>
  <c r="CF89"/>
  <c r="AS89"/>
  <c r="X89"/>
  <c r="BW89"/>
  <c r="BE89"/>
  <c r="CU89"/>
  <c r="AX89"/>
  <c r="CW89"/>
  <c r="DC89"/>
  <c r="K89"/>
  <c r="H89"/>
  <c r="DB89"/>
  <c r="J91"/>
  <c r="AI89"/>
  <c r="CX89"/>
  <c r="CB89"/>
  <c r="CJ89"/>
  <c r="BR89"/>
  <c r="CL89"/>
  <c r="Z89"/>
  <c r="G91"/>
  <c r="AY89"/>
  <c r="BA89"/>
  <c r="BV89"/>
  <c r="CM89"/>
  <c r="BT89"/>
  <c r="AD89"/>
  <c r="DE89"/>
  <c r="CS89"/>
  <c r="CY89"/>
  <c r="CC89"/>
  <c r="CQ89"/>
  <c r="I91"/>
  <c r="P91"/>
  <c r="AF89"/>
  <c r="BD89"/>
  <c r="Y89"/>
  <c r="BH89"/>
  <c r="H91"/>
  <c r="DD89"/>
  <c r="BY89"/>
  <c r="BU89"/>
  <c r="BZ89"/>
  <c r="L91"/>
  <c r="O89"/>
  <c r="V89"/>
  <c r="CI89"/>
  <c r="AQ89"/>
  <c r="BS89"/>
  <c r="I89"/>
  <c r="AZ89"/>
  <c r="G89"/>
  <c r="G93" l="1"/>
  <c r="Q89"/>
  <c r="I93"/>
  <c r="K93"/>
  <c r="K106" s="1"/>
  <c r="M93"/>
  <c r="O93"/>
  <c r="V93"/>
  <c r="X93"/>
  <c r="Z93"/>
  <c r="AB93"/>
  <c r="AD93"/>
  <c r="AG93"/>
  <c r="AJ93"/>
  <c r="AM93"/>
  <c r="BF89"/>
  <c r="AO93"/>
  <c r="AQ93"/>
  <c r="AS93"/>
  <c r="AU93"/>
  <c r="AW93"/>
  <c r="AY93"/>
  <c r="BA93"/>
  <c r="BC93"/>
  <c r="BE93"/>
  <c r="BJ89"/>
  <c r="BP93"/>
  <c r="BR93"/>
  <c r="BT93"/>
  <c r="BV93"/>
  <c r="BX93"/>
  <c r="BZ93"/>
  <c r="CB93"/>
  <c r="CD93"/>
  <c r="CF93"/>
  <c r="CH93"/>
  <c r="CJ93"/>
  <c r="CL93"/>
  <c r="CN93"/>
  <c r="CP93"/>
  <c r="CR93"/>
  <c r="CT93"/>
  <c r="CV93"/>
  <c r="CX93"/>
  <c r="CZ93"/>
  <c r="CZ106" s="1"/>
  <c r="DB93"/>
  <c r="DD93"/>
  <c r="DF93"/>
  <c r="H93"/>
  <c r="J93"/>
  <c r="L93"/>
  <c r="N93"/>
  <c r="N106" s="1"/>
  <c r="P93"/>
  <c r="P106" s="1"/>
  <c r="S93"/>
  <c r="AK89"/>
  <c r="U93"/>
  <c r="W93"/>
  <c r="Y93"/>
  <c r="AA93"/>
  <c r="AC93"/>
  <c r="AF93"/>
  <c r="AI93"/>
  <c r="AN93"/>
  <c r="AN106" s="1"/>
  <c r="AP93"/>
  <c r="AR93"/>
  <c r="AT93"/>
  <c r="AV93"/>
  <c r="AX93"/>
  <c r="AZ93"/>
  <c r="BB93"/>
  <c r="BB106" s="1"/>
  <c r="BD93"/>
  <c r="BO93"/>
  <c r="BQ93"/>
  <c r="BS93"/>
  <c r="BU93"/>
  <c r="BW93"/>
  <c r="BY93"/>
  <c r="CA93"/>
  <c r="CC93"/>
  <c r="CE93"/>
  <c r="CG93"/>
  <c r="CI93"/>
  <c r="CK93"/>
  <c r="CM93"/>
  <c r="CO93"/>
  <c r="CO106" s="1"/>
  <c r="CQ93"/>
  <c r="CS93"/>
  <c r="CU93"/>
  <c r="CW93"/>
  <c r="CY93"/>
  <c r="DA93"/>
  <c r="DC93"/>
  <c r="DE93"/>
  <c r="Q91"/>
  <c r="J110" i="59"/>
  <c r="BA106" i="71" l="1"/>
  <c r="BL89"/>
  <c r="CN106"/>
  <c r="CM106" s="1"/>
  <c r="CL106" s="1"/>
  <c r="CK106" s="1"/>
  <c r="CJ106" s="1"/>
  <c r="CI106" s="1"/>
  <c r="CH106" s="1"/>
  <c r="CG106" s="1"/>
  <c r="CF106" s="1"/>
  <c r="CE106" s="1"/>
  <c r="CD106" s="1"/>
  <c r="CC106" s="1"/>
  <c r="CB106" s="1"/>
  <c r="CA106" s="1"/>
  <c r="BZ106" s="1"/>
  <c r="BY106" s="1"/>
  <c r="BX106" s="1"/>
  <c r="BW106" s="1"/>
  <c r="BV106" s="1"/>
  <c r="BU106" s="1"/>
  <c r="M106"/>
  <c r="AM106"/>
  <c r="O106"/>
  <c r="BO106"/>
  <c r="DH93"/>
  <c r="AZ106"/>
  <c r="AY106" s="1"/>
  <c r="AX106" s="1"/>
  <c r="AW106" s="1"/>
  <c r="AV106" s="1"/>
  <c r="L106"/>
  <c r="BF93"/>
  <c r="Q93"/>
  <c r="J106"/>
  <c r="I106" s="1"/>
  <c r="H106" s="1"/>
  <c r="G106" s="1"/>
  <c r="Q106" l="1"/>
  <c r="D82"/>
  <c r="DE81"/>
  <c r="CW81"/>
  <c r="CA81"/>
  <c r="CZ81"/>
  <c r="BZ81"/>
  <c r="CH81"/>
  <c r="BV81"/>
  <c r="BY81"/>
  <c r="CV81"/>
  <c r="DD81"/>
  <c r="CT81"/>
  <c r="CM81"/>
  <c r="BW81"/>
  <c r="CO81"/>
  <c r="CQ81"/>
  <c r="BS81"/>
  <c r="CJ81"/>
  <c r="CD81"/>
  <c r="CB81"/>
  <c r="BR81"/>
  <c r="CR81"/>
  <c r="BT81"/>
  <c r="DC81"/>
  <c r="CN81"/>
  <c r="DF81"/>
  <c r="CC81"/>
  <c r="CX81"/>
  <c r="CS81"/>
  <c r="CY81"/>
  <c r="CU81"/>
  <c r="CP81"/>
  <c r="DA81"/>
  <c r="CE81"/>
  <c r="CI81"/>
  <c r="CK81"/>
  <c r="DB81"/>
  <c r="CL81"/>
  <c r="BU81"/>
  <c r="CG81"/>
  <c r="BX81"/>
  <c r="CF81"/>
  <c r="D81" l="1"/>
  <c r="DH80"/>
  <c r="BL80"/>
  <c r="D79"/>
  <c r="DH78"/>
  <c r="BL78"/>
  <c r="DH77"/>
  <c r="BL77"/>
  <c r="AI79"/>
  <c r="CM79"/>
  <c r="Z81"/>
  <c r="BE79"/>
  <c r="CL79"/>
  <c r="AS79"/>
  <c r="CG79"/>
  <c r="M79"/>
  <c r="AQ81"/>
  <c r="BA81"/>
  <c r="AC79"/>
  <c r="AW79"/>
  <c r="AS81"/>
  <c r="BW79"/>
  <c r="AO81"/>
  <c r="CD79"/>
  <c r="AF81"/>
  <c r="CN79"/>
  <c r="S79"/>
  <c r="X81"/>
  <c r="BU79"/>
  <c r="M81"/>
  <c r="AD81"/>
  <c r="X79"/>
  <c r="BZ79"/>
  <c r="K81"/>
  <c r="BC79"/>
  <c r="CH79"/>
  <c r="AD79"/>
  <c r="DA79"/>
  <c r="AQ79"/>
  <c r="I81"/>
  <c r="AP79"/>
  <c r="O79"/>
  <c r="I79"/>
  <c r="AX81"/>
  <c r="CT79"/>
  <c r="DE79"/>
  <c r="J79"/>
  <c r="P79"/>
  <c r="AY81"/>
  <c r="AV81"/>
  <c r="W79"/>
  <c r="AN81"/>
  <c r="AB81"/>
  <c r="AX79"/>
  <c r="CW79"/>
  <c r="AM81"/>
  <c r="AV79"/>
  <c r="AN79"/>
  <c r="CK79"/>
  <c r="J81"/>
  <c r="AG81"/>
  <c r="BE81"/>
  <c r="CJ79"/>
  <c r="DD79"/>
  <c r="AC81"/>
  <c r="O81"/>
  <c r="AJ81"/>
  <c r="CA79"/>
  <c r="V79"/>
  <c r="AG79"/>
  <c r="AF79"/>
  <c r="CY79"/>
  <c r="BA79"/>
  <c r="Z79"/>
  <c r="BD79"/>
  <c r="AZ81"/>
  <c r="L81"/>
  <c r="AY79"/>
  <c r="AI81"/>
  <c r="CP79"/>
  <c r="AB79"/>
  <c r="CF79"/>
  <c r="CR79"/>
  <c r="AR79"/>
  <c r="AJ79"/>
  <c r="AM79"/>
  <c r="BY79"/>
  <c r="AA79"/>
  <c r="BR79"/>
  <c r="AT79"/>
  <c r="AW81"/>
  <c r="BT79"/>
  <c r="AT81"/>
  <c r="AU81"/>
  <c r="Y79"/>
  <c r="BB81"/>
  <c r="BX79"/>
  <c r="CI79"/>
  <c r="G81"/>
  <c r="CU79"/>
  <c r="CS79"/>
  <c r="G79"/>
  <c r="CB79"/>
  <c r="CV79"/>
  <c r="CC79"/>
  <c r="AA81"/>
  <c r="CX79"/>
  <c r="AU79"/>
  <c r="BV79"/>
  <c r="CE79"/>
  <c r="BB79"/>
  <c r="H79"/>
  <c r="K79"/>
  <c r="BC81"/>
  <c r="L79"/>
  <c r="DB79"/>
  <c r="AP81"/>
  <c r="BS79"/>
  <c r="AZ79"/>
  <c r="AO79"/>
  <c r="CZ79"/>
  <c r="Y81"/>
  <c r="H81"/>
  <c r="N79"/>
  <c r="AR81"/>
  <c r="BD81"/>
  <c r="N81"/>
  <c r="CQ79"/>
  <c r="S81"/>
  <c r="DF79"/>
  <c r="CO79"/>
  <c r="P81"/>
  <c r="J82" l="1"/>
  <c r="G82"/>
  <c r="Q79"/>
  <c r="I82"/>
  <c r="K82"/>
  <c r="M82"/>
  <c r="O82"/>
  <c r="X82"/>
  <c r="Z82"/>
  <c r="AB82"/>
  <c r="AD82"/>
  <c r="AG82"/>
  <c r="AJ82"/>
  <c r="AM82"/>
  <c r="BF79"/>
  <c r="AO82"/>
  <c r="AQ82"/>
  <c r="AS82"/>
  <c r="AU82"/>
  <c r="AW82"/>
  <c r="AY82"/>
  <c r="BA82"/>
  <c r="BC82"/>
  <c r="BE82"/>
  <c r="BS82"/>
  <c r="BU82"/>
  <c r="BW82"/>
  <c r="BY82"/>
  <c r="CA82"/>
  <c r="CC82"/>
  <c r="CE82"/>
  <c r="CG82"/>
  <c r="CI82"/>
  <c r="CK82"/>
  <c r="CM82"/>
  <c r="CO82"/>
  <c r="CQ82"/>
  <c r="CS82"/>
  <c r="CU82"/>
  <c r="CW82"/>
  <c r="CY82"/>
  <c r="DA82"/>
  <c r="DE82"/>
  <c r="Q81"/>
  <c r="H82"/>
  <c r="L82"/>
  <c r="N82"/>
  <c r="P82"/>
  <c r="S82"/>
  <c r="Y82"/>
  <c r="AA82"/>
  <c r="AC82"/>
  <c r="AF82"/>
  <c r="AI82"/>
  <c r="AN82"/>
  <c r="AP82"/>
  <c r="AR82"/>
  <c r="AT82"/>
  <c r="AV82"/>
  <c r="AX82"/>
  <c r="AZ82"/>
  <c r="BB82"/>
  <c r="BD82"/>
  <c r="BR82"/>
  <c r="BT82"/>
  <c r="BV82"/>
  <c r="BX82"/>
  <c r="BZ82"/>
  <c r="CB82"/>
  <c r="CD82"/>
  <c r="CF82"/>
  <c r="CH82"/>
  <c r="CJ82"/>
  <c r="CL82"/>
  <c r="CN82"/>
  <c r="CP82"/>
  <c r="CR82"/>
  <c r="CT82"/>
  <c r="CV82"/>
  <c r="CX82"/>
  <c r="CZ82"/>
  <c r="DB82"/>
  <c r="DD82"/>
  <c r="DF82"/>
  <c r="BF81"/>
  <c r="Q82" l="1"/>
  <c r="BF82"/>
  <c r="D76" l="1"/>
  <c r="D75" l="1"/>
  <c r="DH74"/>
  <c r="BJ74"/>
  <c r="DH73"/>
  <c r="L75"/>
  <c r="AG75"/>
  <c r="DA75"/>
  <c r="S75"/>
  <c r="CT75"/>
  <c r="CG75"/>
  <c r="H75"/>
  <c r="CU75"/>
  <c r="N75"/>
  <c r="CE75"/>
  <c r="U75"/>
  <c r="CC75"/>
  <c r="V75"/>
  <c r="CY75"/>
  <c r="AP75"/>
  <c r="CX75"/>
  <c r="BP75"/>
  <c r="DF75"/>
  <c r="DB75"/>
  <c r="AT75"/>
  <c r="BV75"/>
  <c r="AY75"/>
  <c r="AX75"/>
  <c r="M75"/>
  <c r="CJ75"/>
  <c r="J75"/>
  <c r="AZ75"/>
  <c r="AO75"/>
  <c r="AB75"/>
  <c r="CP75"/>
  <c r="CM75"/>
  <c r="BO75"/>
  <c r="AA75"/>
  <c r="CI75"/>
  <c r="BU75"/>
  <c r="AM75"/>
  <c r="AN75"/>
  <c r="AJ75"/>
  <c r="I75"/>
  <c r="CR75"/>
  <c r="BQ75"/>
  <c r="BE75"/>
  <c r="BW75"/>
  <c r="CN75"/>
  <c r="CB75"/>
  <c r="O75"/>
  <c r="DC75"/>
  <c r="BY75"/>
  <c r="BT75"/>
  <c r="CA75"/>
  <c r="Z75"/>
  <c r="AC75"/>
  <c r="Y75"/>
  <c r="BR75"/>
  <c r="BX75"/>
  <c r="CH75"/>
  <c r="CW75"/>
  <c r="DD75"/>
  <c r="AU75"/>
  <c r="W75"/>
  <c r="AW75"/>
  <c r="G75"/>
  <c r="CZ75"/>
  <c r="CV75"/>
  <c r="BC75"/>
  <c r="BS75"/>
  <c r="CL75"/>
  <c r="CO75"/>
  <c r="CD75"/>
  <c r="BD75"/>
  <c r="K75"/>
  <c r="CK75"/>
  <c r="DE75"/>
  <c r="AF75"/>
  <c r="BZ75"/>
  <c r="X75"/>
  <c r="AR75"/>
  <c r="AD75"/>
  <c r="AQ75"/>
  <c r="AS75"/>
  <c r="CQ75"/>
  <c r="BA75"/>
  <c r="P75"/>
  <c r="CF75"/>
  <c r="BB75"/>
  <c r="CS75"/>
  <c r="AI75"/>
  <c r="BL74" l="1"/>
  <c r="I76"/>
  <c r="M76"/>
  <c r="V76"/>
  <c r="Z76"/>
  <c r="AD76"/>
  <c r="H76"/>
  <c r="J76"/>
  <c r="L76"/>
  <c r="N76"/>
  <c r="P76"/>
  <c r="S76"/>
  <c r="U76"/>
  <c r="W76"/>
  <c r="Y76"/>
  <c r="AA76"/>
  <c r="AC76"/>
  <c r="AF76"/>
  <c r="AI76"/>
  <c r="AN76"/>
  <c r="AP76"/>
  <c r="AR76"/>
  <c r="AT76"/>
  <c r="AX76"/>
  <c r="AZ76"/>
  <c r="BB76"/>
  <c r="BD76"/>
  <c r="BO76"/>
  <c r="DH75"/>
  <c r="BQ76"/>
  <c r="BS76"/>
  <c r="BU76"/>
  <c r="BW76"/>
  <c r="BY76"/>
  <c r="CA76"/>
  <c r="CC76"/>
  <c r="CE76"/>
  <c r="CG76"/>
  <c r="CI76"/>
  <c r="CK76"/>
  <c r="CM76"/>
  <c r="CO76"/>
  <c r="CQ76"/>
  <c r="CS76"/>
  <c r="CU76"/>
  <c r="CW76"/>
  <c r="CY76"/>
  <c r="DA76"/>
  <c r="DC76"/>
  <c r="DE76"/>
  <c r="G76"/>
  <c r="Q75"/>
  <c r="K76"/>
  <c r="O76"/>
  <c r="X76"/>
  <c r="AB76"/>
  <c r="AG76"/>
  <c r="AJ76"/>
  <c r="AM76"/>
  <c r="AO76"/>
  <c r="AQ76"/>
  <c r="AS76"/>
  <c r="AU76"/>
  <c r="AW76"/>
  <c r="AY76"/>
  <c r="BA76"/>
  <c r="BC76"/>
  <c r="BE76"/>
  <c r="BP76"/>
  <c r="BR76"/>
  <c r="BT76"/>
  <c r="BV76"/>
  <c r="BX76"/>
  <c r="BZ76"/>
  <c r="CB76"/>
  <c r="CD76"/>
  <c r="CF76"/>
  <c r="CH76"/>
  <c r="CJ76"/>
  <c r="CL76"/>
  <c r="CN76"/>
  <c r="CP76"/>
  <c r="CR76"/>
  <c r="CT76"/>
  <c r="CV76"/>
  <c r="CX76"/>
  <c r="CZ76"/>
  <c r="DB76"/>
  <c r="DD76"/>
  <c r="DF76"/>
  <c r="DH76" l="1"/>
  <c r="Q76"/>
  <c r="D72" l="1"/>
  <c r="D71" l="1"/>
  <c r="DH70"/>
  <c r="BJ70"/>
  <c r="DH69"/>
  <c r="BL69"/>
  <c r="K71"/>
  <c r="BO71"/>
  <c r="CJ71"/>
  <c r="CW71"/>
  <c r="CS71"/>
  <c r="AR71"/>
  <c r="AX71"/>
  <c r="AG71"/>
  <c r="CQ71"/>
  <c r="CA71"/>
  <c r="CP71"/>
  <c r="G71"/>
  <c r="V71"/>
  <c r="DA71"/>
  <c r="Z71"/>
  <c r="M71"/>
  <c r="AF71"/>
  <c r="DF71"/>
  <c r="DE71"/>
  <c r="J71"/>
  <c r="CD71"/>
  <c r="CZ71"/>
  <c r="CC71"/>
  <c r="CM71"/>
  <c r="BB71"/>
  <c r="CH71"/>
  <c r="BQ71"/>
  <c r="AP71"/>
  <c r="CU71"/>
  <c r="BS71"/>
  <c r="CI71"/>
  <c r="N71"/>
  <c r="BV71"/>
  <c r="BA71"/>
  <c r="CR71"/>
  <c r="CE71"/>
  <c r="AW71"/>
  <c r="BP71"/>
  <c r="BE71"/>
  <c r="AV71"/>
  <c r="DB71"/>
  <c r="Y71"/>
  <c r="CN71"/>
  <c r="I71"/>
  <c r="AS71"/>
  <c r="AT71"/>
  <c r="BW71"/>
  <c r="S71"/>
  <c r="AD71"/>
  <c r="CT71"/>
  <c r="CX71"/>
  <c r="U71"/>
  <c r="CV71"/>
  <c r="DC71"/>
  <c r="DD71"/>
  <c r="CG71"/>
  <c r="AO71"/>
  <c r="BC71"/>
  <c r="CY71"/>
  <c r="CK71"/>
  <c r="W71"/>
  <c r="AA71"/>
  <c r="AZ71"/>
  <c r="AY71"/>
  <c r="BR71"/>
  <c r="AJ71"/>
  <c r="L71"/>
  <c r="P71"/>
  <c r="CB71"/>
  <c r="CL71"/>
  <c r="AQ71"/>
  <c r="BZ71"/>
  <c r="AN71"/>
  <c r="X71"/>
  <c r="BI71"/>
  <c r="H71"/>
  <c r="CO71"/>
  <c r="BU71"/>
  <c r="AM71"/>
  <c r="CF71"/>
  <c r="AU71"/>
  <c r="BX71"/>
  <c r="AI71"/>
  <c r="BD71"/>
  <c r="BY71"/>
  <c r="BT71"/>
  <c r="AC71"/>
  <c r="O71"/>
  <c r="BL70" l="1"/>
  <c r="I72"/>
  <c r="M72"/>
  <c r="H72"/>
  <c r="J72"/>
  <c r="L72"/>
  <c r="N72"/>
  <c r="P72"/>
  <c r="S72"/>
  <c r="U72"/>
  <c r="W72"/>
  <c r="Y72"/>
  <c r="AA72"/>
  <c r="AC72"/>
  <c r="AF72"/>
  <c r="AI72"/>
  <c r="AN72"/>
  <c r="AP72"/>
  <c r="AR72"/>
  <c r="AT72"/>
  <c r="AV72"/>
  <c r="AX72"/>
  <c r="AZ72"/>
  <c r="BB72"/>
  <c r="BD72"/>
  <c r="BI72"/>
  <c r="BO72"/>
  <c r="DH71"/>
  <c r="BQ72"/>
  <c r="BS72"/>
  <c r="BU72"/>
  <c r="BW72"/>
  <c r="BY72"/>
  <c r="CA72"/>
  <c r="CC72"/>
  <c r="CE72"/>
  <c r="CG72"/>
  <c r="CI72"/>
  <c r="CK72"/>
  <c r="CM72"/>
  <c r="CO72"/>
  <c r="CQ72"/>
  <c r="CS72"/>
  <c r="CU72"/>
  <c r="CW72"/>
  <c r="CY72"/>
  <c r="DA72"/>
  <c r="DC72"/>
  <c r="DE72"/>
  <c r="G72"/>
  <c r="Q71"/>
  <c r="K72"/>
  <c r="O72"/>
  <c r="V72"/>
  <c r="X72"/>
  <c r="Z72"/>
  <c r="AD72"/>
  <c r="AG72"/>
  <c r="AJ72"/>
  <c r="AM72"/>
  <c r="BF71"/>
  <c r="AO72"/>
  <c r="AQ72"/>
  <c r="AS72"/>
  <c r="AU72"/>
  <c r="AW72"/>
  <c r="AY72"/>
  <c r="BA72"/>
  <c r="BC72"/>
  <c r="BE72"/>
  <c r="BP72"/>
  <c r="BR72"/>
  <c r="BT72"/>
  <c r="BV72"/>
  <c r="BX72"/>
  <c r="BZ72"/>
  <c r="CB72"/>
  <c r="CD72"/>
  <c r="CF72"/>
  <c r="CH72"/>
  <c r="CJ72"/>
  <c r="CL72"/>
  <c r="CN72"/>
  <c r="CP72"/>
  <c r="CR72"/>
  <c r="CT72"/>
  <c r="CV72"/>
  <c r="CX72"/>
  <c r="CZ72"/>
  <c r="DB72"/>
  <c r="DD72"/>
  <c r="DF72"/>
  <c r="BF72" l="1"/>
  <c r="Q72"/>
  <c r="DH72"/>
  <c r="D68" l="1"/>
  <c r="BT67"/>
  <c r="CT67"/>
  <c r="AY67"/>
  <c r="AI67"/>
  <c r="AV67"/>
  <c r="DC67"/>
  <c r="BV67"/>
  <c r="CR67"/>
  <c r="AZ67"/>
  <c r="BR67"/>
  <c r="BE67"/>
  <c r="AC67"/>
  <c r="AS67"/>
  <c r="CO67"/>
  <c r="BQ67"/>
  <c r="AG67"/>
  <c r="DD67"/>
  <c r="AT67"/>
  <c r="BP67"/>
  <c r="CS67"/>
  <c r="CJ67"/>
  <c r="AO67"/>
  <c r="CD67"/>
  <c r="CP67"/>
  <c r="BD67"/>
  <c r="CU67"/>
  <c r="BS67"/>
  <c r="CN67"/>
  <c r="DB67"/>
  <c r="AB67"/>
  <c r="BC67"/>
  <c r="U67"/>
  <c r="CM67"/>
  <c r="BB67"/>
  <c r="X67"/>
  <c r="CF67"/>
  <c r="AF67"/>
  <c r="AR67"/>
  <c r="CC67"/>
  <c r="CH67"/>
  <c r="CB67"/>
  <c r="BW67"/>
  <c r="BX67"/>
  <c r="CX67"/>
  <c r="CY67"/>
  <c r="S67"/>
  <c r="AM67"/>
  <c r="AN67"/>
  <c r="AW67"/>
  <c r="W67"/>
  <c r="CL67"/>
  <c r="CA67"/>
  <c r="BZ67"/>
  <c r="CZ67"/>
  <c r="AJ67"/>
  <c r="AP67"/>
  <c r="BH67"/>
  <c r="Y67"/>
  <c r="BA67"/>
  <c r="CE67"/>
  <c r="BI67"/>
  <c r="CG67"/>
  <c r="AD67"/>
  <c r="DE67"/>
  <c r="BU67"/>
  <c r="DA67"/>
  <c r="AU67"/>
  <c r="CK67"/>
  <c r="CI67"/>
  <c r="BY67"/>
  <c r="AQ67"/>
  <c r="CQ67"/>
  <c r="Z67"/>
  <c r="AA67"/>
  <c r="CV67"/>
  <c r="CW67"/>
  <c r="BO67"/>
  <c r="DF67"/>
  <c r="V67"/>
  <c r="BJ67" l="1"/>
  <c r="DH67"/>
  <c r="D67"/>
  <c r="O67"/>
  <c r="L67"/>
  <c r="H67"/>
  <c r="I67"/>
  <c r="K67"/>
  <c r="P67"/>
  <c r="G67"/>
  <c r="M67"/>
  <c r="N67"/>
  <c r="J67"/>
  <c r="Q67" l="1"/>
  <c r="D66"/>
  <c r="P66"/>
  <c r="Z66"/>
  <c r="BU66"/>
  <c r="CI66"/>
  <c r="CF66"/>
  <c r="AT66"/>
  <c r="AA66"/>
  <c r="AG66"/>
  <c r="CD66"/>
  <c r="CY66"/>
  <c r="CO66"/>
  <c r="CN66"/>
  <c r="AV66"/>
  <c r="DE66"/>
  <c r="CW66"/>
  <c r="BS66"/>
  <c r="BT66"/>
  <c r="AM66"/>
  <c r="AC66"/>
  <c r="AU66"/>
  <c r="BB66"/>
  <c r="DC66"/>
  <c r="DB66"/>
  <c r="AX66"/>
  <c r="CL66"/>
  <c r="N66"/>
  <c r="V66"/>
  <c r="AN66"/>
  <c r="AD66"/>
  <c r="CH66"/>
  <c r="AS66"/>
  <c r="AY66"/>
  <c r="BV66"/>
  <c r="O66"/>
  <c r="U66"/>
  <c r="BI66"/>
  <c r="BW66"/>
  <c r="Y66"/>
  <c r="T66"/>
  <c r="AZ66"/>
  <c r="CM66"/>
  <c r="CJ66"/>
  <c r="CX66"/>
  <c r="CS66"/>
  <c r="CC66"/>
  <c r="BQ66"/>
  <c r="M66"/>
  <c r="CZ66"/>
  <c r="CU66"/>
  <c r="DF66"/>
  <c r="CP66"/>
  <c r="AR66"/>
  <c r="CV66"/>
  <c r="BR66"/>
  <c r="BX66"/>
  <c r="BO66"/>
  <c r="X66"/>
  <c r="DA66"/>
  <c r="CA66"/>
  <c r="AJ66"/>
  <c r="AQ66"/>
  <c r="AO66"/>
  <c r="CG66"/>
  <c r="BE66"/>
  <c r="W66"/>
  <c r="DD66"/>
  <c r="CR66"/>
  <c r="CT66"/>
  <c r="BP66"/>
  <c r="BC66"/>
  <c r="AB66"/>
  <c r="BY66"/>
  <c r="G66"/>
  <c r="CQ66"/>
  <c r="AP66"/>
  <c r="BH66"/>
  <c r="CK66"/>
  <c r="K66"/>
  <c r="L66"/>
  <c r="AF66"/>
  <c r="BZ66"/>
  <c r="J66"/>
  <c r="BD66"/>
  <c r="I66"/>
  <c r="CB66"/>
  <c r="BA66"/>
  <c r="CE66"/>
  <c r="BJ66" l="1"/>
  <c r="DH66"/>
  <c r="CF65"/>
  <c r="DD65"/>
  <c r="CV65"/>
  <c r="CT65"/>
  <c r="CR65"/>
  <c r="CA65"/>
  <c r="CX65"/>
  <c r="BZ65"/>
  <c r="BO65"/>
  <c r="CN65"/>
  <c r="CE65"/>
  <c r="CO65"/>
  <c r="BY65"/>
  <c r="DA65"/>
  <c r="BP65"/>
  <c r="BW65"/>
  <c r="BQ65"/>
  <c r="CL65"/>
  <c r="BT65"/>
  <c r="CS65"/>
  <c r="BX65"/>
  <c r="CG65"/>
  <c r="BU65"/>
  <c r="DF65"/>
  <c r="CY65"/>
  <c r="CQ65"/>
  <c r="CZ65"/>
  <c r="CJ65"/>
  <c r="CK65"/>
  <c r="CI65"/>
  <c r="CD65"/>
  <c r="CB65"/>
  <c r="BV65"/>
  <c r="BS65"/>
  <c r="CU65"/>
  <c r="DE65"/>
  <c r="CW65"/>
  <c r="CC65"/>
  <c r="CM65"/>
  <c r="CP65"/>
  <c r="DB65"/>
  <c r="CH65"/>
  <c r="BR65"/>
  <c r="DC65"/>
  <c r="BQ68" l="1"/>
  <c r="BP68"/>
  <c r="BR68"/>
  <c r="BT68"/>
  <c r="BV68"/>
  <c r="BX68"/>
  <c r="BZ68"/>
  <c r="CB68"/>
  <c r="CD68"/>
  <c r="CF68"/>
  <c r="CH68"/>
  <c r="CJ68"/>
  <c r="CL68"/>
  <c r="CN68"/>
  <c r="CP68"/>
  <c r="CR68"/>
  <c r="CT68"/>
  <c r="CV68"/>
  <c r="CX68"/>
  <c r="CZ68"/>
  <c r="DB68"/>
  <c r="DD68"/>
  <c r="DF68"/>
  <c r="BO68"/>
  <c r="DH65"/>
  <c r="BS68"/>
  <c r="BU68"/>
  <c r="BW68"/>
  <c r="BY68"/>
  <c r="CA68"/>
  <c r="CC68"/>
  <c r="CE68"/>
  <c r="CG68"/>
  <c r="CI68"/>
  <c r="CK68"/>
  <c r="CM68"/>
  <c r="CO68"/>
  <c r="CQ68"/>
  <c r="CS68"/>
  <c r="CU68"/>
  <c r="CW68"/>
  <c r="CY68"/>
  <c r="DA68"/>
  <c r="DC68"/>
  <c r="DE68"/>
  <c r="D65"/>
  <c r="DH64"/>
  <c r="L65"/>
  <c r="AX65"/>
  <c r="BA65"/>
  <c r="BB65"/>
  <c r="AB65"/>
  <c r="BI65"/>
  <c r="M65"/>
  <c r="AZ65"/>
  <c r="V65"/>
  <c r="AP65"/>
  <c r="AQ65"/>
  <c r="G65"/>
  <c r="S65"/>
  <c r="AU65"/>
  <c r="AA65"/>
  <c r="AJ65"/>
  <c r="W65"/>
  <c r="AC65"/>
  <c r="AT65"/>
  <c r="AV65"/>
  <c r="AR65"/>
  <c r="P65"/>
  <c r="K65"/>
  <c r="J65"/>
  <c r="AS65"/>
  <c r="AO65"/>
  <c r="BE65"/>
  <c r="O65"/>
  <c r="U65"/>
  <c r="I65"/>
  <c r="AF65"/>
  <c r="N65"/>
  <c r="AY65"/>
  <c r="BC65"/>
  <c r="H65"/>
  <c r="AG65"/>
  <c r="BD65"/>
  <c r="AI65"/>
  <c r="X65"/>
  <c r="AM65"/>
  <c r="Y65"/>
  <c r="AD65"/>
  <c r="Z65"/>
  <c r="BH65"/>
  <c r="AN65"/>
  <c r="L68" l="1"/>
  <c r="P68"/>
  <c r="W68"/>
  <c r="AA68"/>
  <c r="AF68"/>
  <c r="AN68"/>
  <c r="AR68"/>
  <c r="AV68"/>
  <c r="AZ68"/>
  <c r="G68"/>
  <c r="Q65"/>
  <c r="I68"/>
  <c r="K68"/>
  <c r="M68"/>
  <c r="O68"/>
  <c r="V68"/>
  <c r="X68"/>
  <c r="Z68"/>
  <c r="AB68"/>
  <c r="AD68"/>
  <c r="AG68"/>
  <c r="AJ68"/>
  <c r="AM68"/>
  <c r="AO68"/>
  <c r="AQ68"/>
  <c r="AS68"/>
  <c r="AU68"/>
  <c r="AY68"/>
  <c r="BA68"/>
  <c r="BC68"/>
  <c r="BE68"/>
  <c r="BH68"/>
  <c r="BJ65"/>
  <c r="J68"/>
  <c r="N68"/>
  <c r="U68"/>
  <c r="Y68"/>
  <c r="AC68"/>
  <c r="AP68"/>
  <c r="AT68"/>
  <c r="BB68"/>
  <c r="BD68"/>
  <c r="BI68"/>
  <c r="DH68"/>
  <c r="BJ68" l="1"/>
  <c r="D63" l="1"/>
  <c r="BY62"/>
  <c r="CR62"/>
  <c r="DE62"/>
  <c r="DA62"/>
  <c r="DB62"/>
  <c r="CM62"/>
  <c r="CE62"/>
  <c r="BW62"/>
  <c r="BS62"/>
  <c r="CJ62"/>
  <c r="BU62"/>
  <c r="CK62"/>
  <c r="BV62"/>
  <c r="CF62"/>
  <c r="CW62"/>
  <c r="DC62"/>
  <c r="CN62"/>
  <c r="CC62"/>
  <c r="CZ62"/>
  <c r="CY62"/>
  <c r="CQ62"/>
  <c r="DD62"/>
  <c r="BR62"/>
  <c r="BZ62"/>
  <c r="CL62"/>
  <c r="CH62"/>
  <c r="CB62"/>
  <c r="BX62"/>
  <c r="CO62"/>
  <c r="CT62"/>
  <c r="BQ62"/>
  <c r="CP62"/>
  <c r="CV62"/>
  <c r="CD62"/>
  <c r="CS62"/>
  <c r="CX62"/>
  <c r="BT62"/>
  <c r="CI62"/>
  <c r="BO62"/>
  <c r="CA62"/>
  <c r="CU62"/>
  <c r="BP62"/>
  <c r="CG62"/>
  <c r="DF62"/>
  <c r="DH62" l="1"/>
  <c r="AT62"/>
  <c r="AN62"/>
  <c r="AW62"/>
  <c r="AP62"/>
  <c r="V62"/>
  <c r="Y62"/>
  <c r="AD62"/>
  <c r="BD62"/>
  <c r="W62"/>
  <c r="BA62"/>
  <c r="AA62"/>
  <c r="AU62"/>
  <c r="AZ62"/>
  <c r="AC62"/>
  <c r="AX62"/>
  <c r="AJ62"/>
  <c r="BB62"/>
  <c r="AG62"/>
  <c r="BH62"/>
  <c r="AS62"/>
  <c r="AQ62"/>
  <c r="X62"/>
  <c r="AO62"/>
  <c r="U62"/>
  <c r="BI62"/>
  <c r="AF62"/>
  <c r="Z62"/>
  <c r="S62"/>
  <c r="AB62"/>
  <c r="BC62"/>
  <c r="AI62"/>
  <c r="AM62"/>
  <c r="AR62"/>
  <c r="BE62"/>
  <c r="AV62"/>
  <c r="BJ62" l="1"/>
  <c r="D62"/>
  <c r="I62"/>
  <c r="M62"/>
  <c r="J62"/>
  <c r="L62"/>
  <c r="P62"/>
  <c r="G62"/>
  <c r="K62"/>
  <c r="N62"/>
  <c r="O62"/>
  <c r="H62"/>
  <c r="Q62" l="1"/>
  <c r="DE61"/>
  <c r="CW61"/>
  <c r="CK61"/>
  <c r="BP61"/>
  <c r="CX61"/>
  <c r="CE61"/>
  <c r="CS61"/>
  <c r="BW61"/>
  <c r="CZ61"/>
  <c r="BO61"/>
  <c r="BV61"/>
  <c r="DC61"/>
  <c r="DF61"/>
  <c r="CH61"/>
  <c r="CJ61"/>
  <c r="CC61"/>
  <c r="BH61"/>
  <c r="BY61"/>
  <c r="BX61"/>
  <c r="DA61"/>
  <c r="CM61"/>
  <c r="BI61"/>
  <c r="CA61"/>
  <c r="CY61"/>
  <c r="CT61"/>
  <c r="BT61"/>
  <c r="BU61"/>
  <c r="CP61"/>
  <c r="BZ61"/>
  <c r="BS61"/>
  <c r="CV61"/>
  <c r="CL61"/>
  <c r="CF61"/>
  <c r="CN61"/>
  <c r="CB61"/>
  <c r="BR61"/>
  <c r="CI61"/>
  <c r="CD61"/>
  <c r="CQ61"/>
  <c r="DB61"/>
  <c r="BQ61"/>
  <c r="DD61"/>
  <c r="CU61"/>
  <c r="CO61"/>
  <c r="CG61"/>
  <c r="CR61"/>
  <c r="BJ61" l="1"/>
  <c r="DH61"/>
  <c r="AA61"/>
  <c r="AS61"/>
  <c r="Z61"/>
  <c r="AN61"/>
  <c r="AR61"/>
  <c r="U61"/>
  <c r="AG61"/>
  <c r="AT61"/>
  <c r="V61"/>
  <c r="X61"/>
  <c r="W61"/>
  <c r="AY61"/>
  <c r="BC61"/>
  <c r="AP61"/>
  <c r="AC61"/>
  <c r="AV61"/>
  <c r="S61"/>
  <c r="AF61"/>
  <c r="AZ61"/>
  <c r="AX61"/>
  <c r="AM61"/>
  <c r="AW61"/>
  <c r="AD61"/>
  <c r="AI61"/>
  <c r="BD61"/>
  <c r="AO61"/>
  <c r="AJ61"/>
  <c r="AU61"/>
  <c r="BE61"/>
  <c r="Y61"/>
  <c r="AB61"/>
  <c r="AQ61"/>
  <c r="D61" l="1"/>
  <c r="L61"/>
  <c r="P61"/>
  <c r="O61"/>
  <c r="I61"/>
  <c r="M61"/>
  <c r="G61"/>
  <c r="J61"/>
  <c r="N61"/>
  <c r="H61"/>
  <c r="K61"/>
  <c r="Q61" l="1"/>
  <c r="AA60"/>
  <c r="DC60"/>
  <c r="CF60"/>
  <c r="AX60"/>
  <c r="CH60"/>
  <c r="BU60"/>
  <c r="Z60"/>
  <c r="CT60"/>
  <c r="CE60"/>
  <c r="AN60"/>
  <c r="CS60"/>
  <c r="BS60"/>
  <c r="AR60"/>
  <c r="AT60"/>
  <c r="AV60"/>
  <c r="DA60"/>
  <c r="CA60"/>
  <c r="S60"/>
  <c r="CW60"/>
  <c r="CZ60"/>
  <c r="CQ60"/>
  <c r="AI60"/>
  <c r="CX60"/>
  <c r="AB60"/>
  <c r="BO60"/>
  <c r="CN60"/>
  <c r="V60"/>
  <c r="BI60"/>
  <c r="CC60"/>
  <c r="AU60"/>
  <c r="W60"/>
  <c r="BD60"/>
  <c r="CY60"/>
  <c r="CG60"/>
  <c r="AJ60"/>
  <c r="BC60"/>
  <c r="AM60"/>
  <c r="AF60"/>
  <c r="CR60"/>
  <c r="CI60"/>
  <c r="BB60"/>
  <c r="BW60"/>
  <c r="AP60"/>
  <c r="BE60"/>
  <c r="CM60"/>
  <c r="BA60"/>
  <c r="CV60"/>
  <c r="BZ60"/>
  <c r="BT60"/>
  <c r="BH60"/>
  <c r="AS60"/>
  <c r="BV60"/>
  <c r="DE60"/>
  <c r="CD60"/>
  <c r="CB60"/>
  <c r="AQ60"/>
  <c r="X60"/>
  <c r="DD60"/>
  <c r="AC60"/>
  <c r="BY60"/>
  <c r="CJ60"/>
  <c r="BP60"/>
  <c r="AD60"/>
  <c r="BR60"/>
  <c r="BQ60"/>
  <c r="CO60"/>
  <c r="AO60"/>
  <c r="CL60"/>
  <c r="AG60"/>
  <c r="CK60"/>
  <c r="DB60"/>
  <c r="U60"/>
  <c r="Y60"/>
  <c r="AW60"/>
  <c r="CP60"/>
  <c r="CU60"/>
  <c r="DF60"/>
  <c r="BX60"/>
  <c r="DH60" l="1"/>
  <c r="BJ60"/>
  <c r="D60"/>
  <c r="M60"/>
  <c r="P60"/>
  <c r="K60"/>
  <c r="I60"/>
  <c r="J60"/>
  <c r="H60"/>
  <c r="N60"/>
  <c r="O60"/>
  <c r="L60"/>
  <c r="G60"/>
  <c r="Q60" l="1"/>
  <c r="BP59"/>
  <c r="CO59"/>
  <c r="AA59"/>
  <c r="AP59"/>
  <c r="DA59"/>
  <c r="AI59"/>
  <c r="AM59"/>
  <c r="CA59"/>
  <c r="AJ59"/>
  <c r="BV59"/>
  <c r="DD59"/>
  <c r="CQ59"/>
  <c r="BQ59"/>
  <c r="AX59"/>
  <c r="X59"/>
  <c r="AS59"/>
  <c r="S59"/>
  <c r="CX59"/>
  <c r="BC59"/>
  <c r="Y59"/>
  <c r="AN59"/>
  <c r="Z59"/>
  <c r="CP59"/>
  <c r="CF59"/>
  <c r="CS59"/>
  <c r="CH59"/>
  <c r="DF59"/>
  <c r="CI59"/>
  <c r="BI59"/>
  <c r="AO59"/>
  <c r="CM59"/>
  <c r="W59"/>
  <c r="CV59"/>
  <c r="V59"/>
  <c r="AR59"/>
  <c r="BW59"/>
  <c r="U59"/>
  <c r="CL59"/>
  <c r="CW59"/>
  <c r="CJ59"/>
  <c r="AB59"/>
  <c r="AW59"/>
  <c r="BY59"/>
  <c r="AC59"/>
  <c r="CY59"/>
  <c r="DE59"/>
  <c r="AY59"/>
  <c r="CD59"/>
  <c r="BT59"/>
  <c r="CU59"/>
  <c r="AF59"/>
  <c r="CK59"/>
  <c r="AG59"/>
  <c r="CC59"/>
  <c r="DC59"/>
  <c r="DB59"/>
  <c r="BA59"/>
  <c r="AQ59"/>
  <c r="BE59"/>
  <c r="AT59"/>
  <c r="BX59"/>
  <c r="BZ59"/>
  <c r="CN59"/>
  <c r="CT59"/>
  <c r="AD59"/>
  <c r="BU59"/>
  <c r="CE59"/>
  <c r="BR59"/>
  <c r="CR59"/>
  <c r="BS59"/>
  <c r="CZ59"/>
  <c r="CG59"/>
  <c r="AZ59"/>
  <c r="AU59"/>
  <c r="BO59"/>
  <c r="AV59"/>
  <c r="CB59"/>
  <c r="BH59"/>
  <c r="BD59"/>
  <c r="BJ59" l="1"/>
  <c r="DH59"/>
  <c r="D59"/>
  <c r="G59"/>
  <c r="J59"/>
  <c r="H59"/>
  <c r="P59"/>
  <c r="M59"/>
  <c r="L59"/>
  <c r="N59"/>
  <c r="O59"/>
  <c r="I59"/>
  <c r="K59"/>
  <c r="Q59" l="1"/>
  <c r="CW58"/>
  <c r="CY58"/>
  <c r="BZ58"/>
  <c r="CM58"/>
  <c r="BU58"/>
  <c r="DD58"/>
  <c r="BR58"/>
  <c r="BQ58"/>
  <c r="CC58"/>
  <c r="CL58"/>
  <c r="CB58"/>
  <c r="BV58"/>
  <c r="BY58"/>
  <c r="CI58"/>
  <c r="CE58"/>
  <c r="CT58"/>
  <c r="CQ58"/>
  <c r="CK58"/>
  <c r="CD58"/>
  <c r="BT58"/>
  <c r="CR58"/>
  <c r="CJ58"/>
  <c r="CS58"/>
  <c r="BO58"/>
  <c r="CV58"/>
  <c r="CH58"/>
  <c r="BX58"/>
  <c r="CA58"/>
  <c r="DF58"/>
  <c r="CX58"/>
  <c r="DB58"/>
  <c r="DC58"/>
  <c r="CG58"/>
  <c r="CF58"/>
  <c r="CO58"/>
  <c r="BW58"/>
  <c r="CZ58"/>
  <c r="DA58"/>
  <c r="CN58"/>
  <c r="CU58"/>
  <c r="BS58"/>
  <c r="BP58"/>
  <c r="DE58"/>
  <c r="CP58"/>
  <c r="DH58" l="1"/>
  <c r="AC58"/>
  <c r="V58"/>
  <c r="AO58"/>
  <c r="S58"/>
  <c r="AN58"/>
  <c r="BH58"/>
  <c r="BI58"/>
  <c r="AY58"/>
  <c r="U58"/>
  <c r="BB58"/>
  <c r="AF58"/>
  <c r="X58"/>
  <c r="AU58"/>
  <c r="AZ58"/>
  <c r="AP58"/>
  <c r="AD58"/>
  <c r="AT58"/>
  <c r="AW58"/>
  <c r="AM58"/>
  <c r="W58"/>
  <c r="AJ58"/>
  <c r="AG58"/>
  <c r="Y58"/>
  <c r="BD58"/>
  <c r="BA58"/>
  <c r="Z58"/>
  <c r="BC58"/>
  <c r="AB58"/>
  <c r="AQ58"/>
  <c r="AA58"/>
  <c r="AR58"/>
  <c r="AV58"/>
  <c r="BE58"/>
  <c r="AI58"/>
  <c r="AS58"/>
  <c r="BJ58" l="1"/>
  <c r="D58"/>
  <c r="M58"/>
  <c r="O58"/>
  <c r="G58"/>
  <c r="N58"/>
  <c r="I58"/>
  <c r="K58"/>
  <c r="L58"/>
  <c r="P58"/>
  <c r="J58"/>
  <c r="H58"/>
  <c r="Q58" l="1"/>
  <c r="D57"/>
  <c r="DH56"/>
  <c r="BL56"/>
  <c r="AI57"/>
  <c r="BV57"/>
  <c r="AF57"/>
  <c r="BU57"/>
  <c r="AQ57"/>
  <c r="AS57"/>
  <c r="K57"/>
  <c r="CB57"/>
  <c r="W57"/>
  <c r="AP57"/>
  <c r="G57"/>
  <c r="AW57"/>
  <c r="AN57"/>
  <c r="DD57"/>
  <c r="DA57"/>
  <c r="CH57"/>
  <c r="CK57"/>
  <c r="BZ57"/>
  <c r="AJ57"/>
  <c r="DC57"/>
  <c r="CM57"/>
  <c r="CX57"/>
  <c r="BW57"/>
  <c r="AV57"/>
  <c r="P57"/>
  <c r="AU57"/>
  <c r="S57"/>
  <c r="Y57"/>
  <c r="CZ57"/>
  <c r="BB57"/>
  <c r="CY57"/>
  <c r="CI57"/>
  <c r="U57"/>
  <c r="CL57"/>
  <c r="CC57"/>
  <c r="AC57"/>
  <c r="N57"/>
  <c r="CN57"/>
  <c r="AY57"/>
  <c r="BO57"/>
  <c r="CD57"/>
  <c r="CW57"/>
  <c r="AB57"/>
  <c r="Z57"/>
  <c r="DF57"/>
  <c r="AT57"/>
  <c r="I57"/>
  <c r="AM57"/>
  <c r="BH57"/>
  <c r="BQ57"/>
  <c r="BI57"/>
  <c r="O57"/>
  <c r="CV57"/>
  <c r="M57"/>
  <c r="BA57"/>
  <c r="CE57"/>
  <c r="DB57"/>
  <c r="BS57"/>
  <c r="CG57"/>
  <c r="J57"/>
  <c r="BP57"/>
  <c r="CO57"/>
  <c r="CR57"/>
  <c r="X57"/>
  <c r="CT57"/>
  <c r="CP57"/>
  <c r="BX57"/>
  <c r="CJ57"/>
  <c r="AA57"/>
  <c r="V57"/>
  <c r="BT57"/>
  <c r="BC57"/>
  <c r="CS57"/>
  <c r="CF57"/>
  <c r="H57"/>
  <c r="AR57"/>
  <c r="CA57"/>
  <c r="L57"/>
  <c r="CQ57"/>
  <c r="AG57"/>
  <c r="AO57"/>
  <c r="AZ57"/>
  <c r="DE57"/>
  <c r="BD57"/>
  <c r="AD57"/>
  <c r="BR57"/>
  <c r="BE57"/>
  <c r="BY57"/>
  <c r="CU57"/>
  <c r="J63" l="1"/>
  <c r="N63"/>
  <c r="S63"/>
  <c r="W63"/>
  <c r="AA63"/>
  <c r="AF63"/>
  <c r="AN63"/>
  <c r="G63"/>
  <c r="Q57"/>
  <c r="I63"/>
  <c r="K63"/>
  <c r="M63"/>
  <c r="O63"/>
  <c r="V63"/>
  <c r="X63"/>
  <c r="Z63"/>
  <c r="AB63"/>
  <c r="AD63"/>
  <c r="AG63"/>
  <c r="AJ63"/>
  <c r="AM63"/>
  <c r="AO63"/>
  <c r="AQ63"/>
  <c r="AS63"/>
  <c r="AU63"/>
  <c r="AW63"/>
  <c r="BC63"/>
  <c r="BE63"/>
  <c r="BH63"/>
  <c r="BJ57"/>
  <c r="BP63"/>
  <c r="BR63"/>
  <c r="BT63"/>
  <c r="BV63"/>
  <c r="BX63"/>
  <c r="BZ63"/>
  <c r="CB63"/>
  <c r="CD63"/>
  <c r="CF63"/>
  <c r="CH63"/>
  <c r="CJ63"/>
  <c r="CL63"/>
  <c r="CN63"/>
  <c r="CP63"/>
  <c r="CR63"/>
  <c r="CT63"/>
  <c r="CV63"/>
  <c r="CX63"/>
  <c r="CZ63"/>
  <c r="DB63"/>
  <c r="DD63"/>
  <c r="DF63"/>
  <c r="H63"/>
  <c r="L63"/>
  <c r="P63"/>
  <c r="U63"/>
  <c r="Y63"/>
  <c r="AC63"/>
  <c r="AI63"/>
  <c r="AP63"/>
  <c r="AR63"/>
  <c r="AT63"/>
  <c r="AV63"/>
  <c r="BD63"/>
  <c r="BI63"/>
  <c r="BO63"/>
  <c r="DH57"/>
  <c r="BQ63"/>
  <c r="BS63"/>
  <c r="BU63"/>
  <c r="BW63"/>
  <c r="BY63"/>
  <c r="CA63"/>
  <c r="CC63"/>
  <c r="CE63"/>
  <c r="CG63"/>
  <c r="CI63"/>
  <c r="CK63"/>
  <c r="CM63"/>
  <c r="CO63"/>
  <c r="CQ63"/>
  <c r="CS63"/>
  <c r="CU63"/>
  <c r="CW63"/>
  <c r="CY63"/>
  <c r="DA63"/>
  <c r="DC63"/>
  <c r="DE63"/>
  <c r="BJ63" l="1"/>
  <c r="DH63"/>
  <c r="Q63"/>
  <c r="D55" l="1"/>
  <c r="CJ54"/>
  <c r="DA54"/>
  <c r="J54"/>
  <c r="AX54"/>
  <c r="CY54"/>
  <c r="AA54"/>
  <c r="CR54"/>
  <c r="CM54"/>
  <c r="DB54"/>
  <c r="M54"/>
  <c r="DF54"/>
  <c r="DE54"/>
  <c r="AC54"/>
  <c r="CN54"/>
  <c r="BH54"/>
  <c r="CO54"/>
  <c r="AY54"/>
  <c r="AO54"/>
  <c r="BY54"/>
  <c r="K54"/>
  <c r="CP54"/>
  <c r="CB54"/>
  <c r="CF54"/>
  <c r="L54"/>
  <c r="CQ54"/>
  <c r="BZ54"/>
  <c r="AB54"/>
  <c r="BE54"/>
  <c r="BC54"/>
  <c r="CI54"/>
  <c r="CE54"/>
  <c r="AV54"/>
  <c r="N54"/>
  <c r="AG54"/>
  <c r="Z54"/>
  <c r="CX54"/>
  <c r="AU54"/>
  <c r="CU54"/>
  <c r="AD54"/>
  <c r="AQ54"/>
  <c r="CL54"/>
  <c r="AN54"/>
  <c r="AR54"/>
  <c r="CW54"/>
  <c r="CZ54"/>
  <c r="H54"/>
  <c r="BA54"/>
  <c r="CK54"/>
  <c r="CG54"/>
  <c r="AP54"/>
  <c r="O54"/>
  <c r="CD54"/>
  <c r="V54"/>
  <c r="AS54"/>
  <c r="BU54"/>
  <c r="G54"/>
  <c r="BW54"/>
  <c r="BD54"/>
  <c r="AW54"/>
  <c r="AJ54"/>
  <c r="BX54"/>
  <c r="AI54"/>
  <c r="AF54"/>
  <c r="CT54"/>
  <c r="Y54"/>
  <c r="AZ54"/>
  <c r="CA54"/>
  <c r="CS54"/>
  <c r="BR54"/>
  <c r="CC54"/>
  <c r="T54"/>
  <c r="DD54"/>
  <c r="BI54"/>
  <c r="DC54"/>
  <c r="BB54"/>
  <c r="CH54"/>
  <c r="P54"/>
  <c r="CV54"/>
  <c r="BV54"/>
  <c r="AT54"/>
  <c r="BJ54" l="1"/>
  <c r="D54"/>
  <c r="CD53"/>
  <c r="BX53"/>
  <c r="BT53"/>
  <c r="BY53"/>
  <c r="CY53"/>
  <c r="BZ53"/>
  <c r="CA53"/>
  <c r="CV53"/>
  <c r="CG53"/>
  <c r="CK53"/>
  <c r="DC53"/>
  <c r="DB53"/>
  <c r="CP53"/>
  <c r="DA53"/>
  <c r="CU53"/>
  <c r="BR53"/>
  <c r="CS53"/>
  <c r="DE53"/>
  <c r="BU53"/>
  <c r="CJ53"/>
  <c r="DF53"/>
  <c r="BS53"/>
  <c r="CZ53"/>
  <c r="CX53"/>
  <c r="DD53"/>
  <c r="CE53"/>
  <c r="CC53"/>
  <c r="CW53"/>
  <c r="CF53"/>
  <c r="CI53"/>
  <c r="CQ53"/>
  <c r="CB53"/>
  <c r="CN53"/>
  <c r="CL53"/>
  <c r="CH53"/>
  <c r="BV53"/>
  <c r="CO53"/>
  <c r="CR53"/>
  <c r="BW53"/>
  <c r="CM53"/>
  <c r="CT53"/>
  <c r="BR55" l="1"/>
  <c r="BV55"/>
  <c r="BX55"/>
  <c r="BZ55"/>
  <c r="CB55"/>
  <c r="CD55"/>
  <c r="CF55"/>
  <c r="CH55"/>
  <c r="CJ55"/>
  <c r="CL55"/>
  <c r="CN55"/>
  <c r="CP55"/>
  <c r="CR55"/>
  <c r="CT55"/>
  <c r="CV55"/>
  <c r="CX55"/>
  <c r="CZ55"/>
  <c r="DB55"/>
  <c r="DD55"/>
  <c r="DF55"/>
  <c r="BU55"/>
  <c r="BW55"/>
  <c r="BY55"/>
  <c r="CA55"/>
  <c r="CC55"/>
  <c r="CE55"/>
  <c r="CG55"/>
  <c r="CI55"/>
  <c r="CK55"/>
  <c r="CM55"/>
  <c r="CO55"/>
  <c r="CQ55"/>
  <c r="CS55"/>
  <c r="CU55"/>
  <c r="CW55"/>
  <c r="CY55"/>
  <c r="DA55"/>
  <c r="DC55"/>
  <c r="DE55"/>
  <c r="D53"/>
  <c r="DH52"/>
  <c r="BL52"/>
  <c r="AT53"/>
  <c r="AG53"/>
  <c r="U53"/>
  <c r="AN53"/>
  <c r="AO53"/>
  <c r="AF53"/>
  <c r="AX53"/>
  <c r="G53"/>
  <c r="BE53"/>
  <c r="BC53"/>
  <c r="AU53"/>
  <c r="N53"/>
  <c r="AW53"/>
  <c r="P53"/>
  <c r="K53"/>
  <c r="BA53"/>
  <c r="X53"/>
  <c r="AM53"/>
  <c r="AS53"/>
  <c r="AI53"/>
  <c r="AC53"/>
  <c r="O53"/>
  <c r="I53"/>
  <c r="AY53"/>
  <c r="AR53"/>
  <c r="J53"/>
  <c r="AA53"/>
  <c r="T53"/>
  <c r="AP53"/>
  <c r="BB53"/>
  <c r="BD53"/>
  <c r="L53"/>
  <c r="AD53"/>
  <c r="AQ53"/>
  <c r="Z53"/>
  <c r="M53"/>
  <c r="AJ53"/>
  <c r="AV53"/>
  <c r="AZ53"/>
  <c r="H53"/>
  <c r="H55" l="1"/>
  <c r="L55"/>
  <c r="P55"/>
  <c r="AC55"/>
  <c r="AI55"/>
  <c r="G55"/>
  <c r="Q53"/>
  <c r="K55"/>
  <c r="M55"/>
  <c r="O55"/>
  <c r="T55"/>
  <c r="Z55"/>
  <c r="AD55"/>
  <c r="AG55"/>
  <c r="AJ55"/>
  <c r="BF53"/>
  <c r="AO55"/>
  <c r="AQ55"/>
  <c r="AS55"/>
  <c r="AU55"/>
  <c r="AW55"/>
  <c r="AY55"/>
  <c r="BA55"/>
  <c r="BC55"/>
  <c r="BE55"/>
  <c r="J55"/>
  <c r="N55"/>
  <c r="AA55"/>
  <c r="AF55"/>
  <c r="AN55"/>
  <c r="AP55"/>
  <c r="AR55"/>
  <c r="AT55"/>
  <c r="AV55"/>
  <c r="AX55"/>
  <c r="AZ55"/>
  <c r="BB55"/>
  <c r="BD55"/>
  <c r="D51" l="1"/>
  <c r="CA50"/>
  <c r="BU50"/>
  <c r="AG50"/>
  <c r="AP50"/>
  <c r="AB50"/>
  <c r="CY50"/>
  <c r="CJ50"/>
  <c r="CQ50"/>
  <c r="AC50"/>
  <c r="AW50"/>
  <c r="AF50"/>
  <c r="AD50"/>
  <c r="DD50"/>
  <c r="DC50"/>
  <c r="CK50"/>
  <c r="CW50"/>
  <c r="CT50"/>
  <c r="CO50"/>
  <c r="AQ50"/>
  <c r="AM50"/>
  <c r="X50"/>
  <c r="CD50"/>
  <c r="BE50"/>
  <c r="CS50"/>
  <c r="BB50"/>
  <c r="CX50"/>
  <c r="Y50"/>
  <c r="BD50"/>
  <c r="AV50"/>
  <c r="CC50"/>
  <c r="BS50"/>
  <c r="CR50"/>
  <c r="Z50"/>
  <c r="DB50"/>
  <c r="BZ50"/>
  <c r="BY50"/>
  <c r="BH50"/>
  <c r="BR50"/>
  <c r="BV50"/>
  <c r="CE50"/>
  <c r="CB50"/>
  <c r="AJ50"/>
  <c r="AS50"/>
  <c r="AZ50"/>
  <c r="BA50"/>
  <c r="AN50"/>
  <c r="BT50"/>
  <c r="CL50"/>
  <c r="AT50"/>
  <c r="T50"/>
  <c r="BX50"/>
  <c r="AX50"/>
  <c r="CU50"/>
  <c r="DE50"/>
  <c r="AO50"/>
  <c r="DF50"/>
  <c r="CF50"/>
  <c r="AI50"/>
  <c r="CZ50"/>
  <c r="CP50"/>
  <c r="AU50"/>
  <c r="CV50"/>
  <c r="AR50"/>
  <c r="AY50"/>
  <c r="BW50"/>
  <c r="CI50"/>
  <c r="CH50"/>
  <c r="CM50"/>
  <c r="BC50"/>
  <c r="AA50"/>
  <c r="CN50"/>
  <c r="CG50"/>
  <c r="DA50"/>
  <c r="BI50"/>
  <c r="BF50" l="1"/>
  <c r="BJ50"/>
  <c r="D50"/>
  <c r="D49"/>
  <c r="DH47"/>
  <c r="BL47"/>
  <c r="AZ49"/>
  <c r="AI49"/>
  <c r="CA49"/>
  <c r="BZ49"/>
  <c r="CB49"/>
  <c r="M50"/>
  <c r="X49"/>
  <c r="BT49"/>
  <c r="AT49"/>
  <c r="CT49"/>
  <c r="BC49"/>
  <c r="CQ49"/>
  <c r="BI49"/>
  <c r="AJ49"/>
  <c r="CK49"/>
  <c r="AB49"/>
  <c r="AS49"/>
  <c r="CD49"/>
  <c r="BW49"/>
  <c r="AW49"/>
  <c r="H50"/>
  <c r="BR49"/>
  <c r="CC49"/>
  <c r="N50"/>
  <c r="P50"/>
  <c r="S49"/>
  <c r="K49"/>
  <c r="CM49"/>
  <c r="CW49"/>
  <c r="DB49"/>
  <c r="G49"/>
  <c r="K50"/>
  <c r="CI49"/>
  <c r="CP49"/>
  <c r="DC49"/>
  <c r="J50"/>
  <c r="CR49"/>
  <c r="BB49"/>
  <c r="AR49"/>
  <c r="N49"/>
  <c r="CF49"/>
  <c r="AC49"/>
  <c r="I49"/>
  <c r="Y49"/>
  <c r="CS49"/>
  <c r="DE49"/>
  <c r="T49"/>
  <c r="H49"/>
  <c r="BQ49"/>
  <c r="AQ49"/>
  <c r="BD49"/>
  <c r="O49"/>
  <c r="O50"/>
  <c r="BU49"/>
  <c r="DD49"/>
  <c r="CV49"/>
  <c r="BV49"/>
  <c r="CG49"/>
  <c r="CE49"/>
  <c r="J49"/>
  <c r="BS49"/>
  <c r="AX49"/>
  <c r="AA49"/>
  <c r="G50"/>
  <c r="AN49"/>
  <c r="BH49"/>
  <c r="CL49"/>
  <c r="DF49"/>
  <c r="CU49"/>
  <c r="BA49"/>
  <c r="AV49"/>
  <c r="CH49"/>
  <c r="L50"/>
  <c r="AM49"/>
  <c r="BP49"/>
  <c r="M49"/>
  <c r="CJ49"/>
  <c r="AO49"/>
  <c r="AU49"/>
  <c r="AD49"/>
  <c r="P49"/>
  <c r="BO49"/>
  <c r="CZ49"/>
  <c r="U49"/>
  <c r="L49"/>
  <c r="DA49"/>
  <c r="BY49"/>
  <c r="Z49"/>
  <c r="V49"/>
  <c r="AY49"/>
  <c r="BX49"/>
  <c r="CX49"/>
  <c r="AP49"/>
  <c r="CE51" l="1"/>
  <c r="BA51"/>
  <c r="CS51"/>
  <c r="K51"/>
  <c r="AU51"/>
  <c r="X51"/>
  <c r="N51"/>
  <c r="AO51"/>
  <c r="L51"/>
  <c r="CZ51"/>
  <c r="BU51"/>
  <c r="G51"/>
  <c r="DA51"/>
  <c r="CD51"/>
  <c r="J51"/>
  <c r="AX51"/>
  <c r="AV51"/>
  <c r="Z51"/>
  <c r="BY51"/>
  <c r="AM51"/>
  <c r="AR51"/>
  <c r="CU51"/>
  <c r="DD51"/>
  <c r="BR51"/>
  <c r="Y51"/>
  <c r="M51"/>
  <c r="AW51"/>
  <c r="CL51"/>
  <c r="DE51"/>
  <c r="CR51"/>
  <c r="AQ51"/>
  <c r="CM51"/>
  <c r="AD51"/>
  <c r="CV51"/>
  <c r="DC51"/>
  <c r="AP51"/>
  <c r="CF51"/>
  <c r="T51"/>
  <c r="BX51"/>
  <c r="AA51"/>
  <c r="DB51"/>
  <c r="CT51"/>
  <c r="BW51"/>
  <c r="AC51"/>
  <c r="CK51"/>
  <c r="BC51"/>
  <c r="BH51"/>
  <c r="P51"/>
  <c r="DF51"/>
  <c r="CH51"/>
  <c r="CA51"/>
  <c r="CX51"/>
  <c r="AZ51"/>
  <c r="CI51"/>
  <c r="AT51"/>
  <c r="BV51"/>
  <c r="AS51"/>
  <c r="AJ51"/>
  <c r="CB51"/>
  <c r="BD51"/>
  <c r="CC51"/>
  <c r="CP51"/>
  <c r="AB51"/>
  <c r="CJ51"/>
  <c r="BT51"/>
  <c r="BS51"/>
  <c r="CW51"/>
  <c r="CG51"/>
  <c r="AN51"/>
  <c r="O51"/>
  <c r="CQ51"/>
  <c r="BI51"/>
  <c r="AI51"/>
  <c r="BB51"/>
  <c r="BZ51"/>
  <c r="AY51"/>
  <c r="H51"/>
  <c r="Q49"/>
  <c r="BJ49"/>
  <c r="BJ51" l="1"/>
  <c r="D46" l="1"/>
  <c r="D45"/>
  <c r="BL43"/>
  <c r="BL42"/>
  <c r="BL41"/>
  <c r="BF39"/>
  <c r="AY45"/>
  <c r="AU45"/>
  <c r="X45"/>
  <c r="V45"/>
  <c r="CV45"/>
  <c r="CU45"/>
  <c r="K45"/>
  <c r="BR45"/>
  <c r="AG45"/>
  <c r="CT45"/>
  <c r="AP45"/>
  <c r="CP45"/>
  <c r="BE45"/>
  <c r="BQ45"/>
  <c r="P45"/>
  <c r="CJ45"/>
  <c r="CE45"/>
  <c r="CB45"/>
  <c r="W45"/>
  <c r="BB45"/>
  <c r="BX45"/>
  <c r="M45"/>
  <c r="DB45"/>
  <c r="DE45"/>
  <c r="CF45"/>
  <c r="CZ45"/>
  <c r="CY45"/>
  <c r="BO45"/>
  <c r="AA45"/>
  <c r="L45"/>
  <c r="BU45"/>
  <c r="H45"/>
  <c r="CX45"/>
  <c r="AV45"/>
  <c r="Y45"/>
  <c r="AQ45"/>
  <c r="AI45"/>
  <c r="BZ45"/>
  <c r="AR45"/>
  <c r="DF45"/>
  <c r="CN45"/>
  <c r="BV45"/>
  <c r="CW45"/>
  <c r="CH45"/>
  <c r="O45"/>
  <c r="CG45"/>
  <c r="CC45"/>
  <c r="BS45"/>
  <c r="I45"/>
  <c r="CI45"/>
  <c r="CS45"/>
  <c r="BD45"/>
  <c r="AF45"/>
  <c r="N45"/>
  <c r="AX45"/>
  <c r="AZ45"/>
  <c r="CK45"/>
  <c r="G45"/>
  <c r="AD45"/>
  <c r="AW45"/>
  <c r="BA45"/>
  <c r="CQ45"/>
  <c r="AO45"/>
  <c r="CA45"/>
  <c r="AN45"/>
  <c r="BP45"/>
  <c r="CL45"/>
  <c r="AS45"/>
  <c r="BW45"/>
  <c r="J45"/>
  <c r="CR45"/>
  <c r="DD45"/>
  <c r="AT45"/>
  <c r="CM45"/>
  <c r="BC45"/>
  <c r="AB45"/>
  <c r="BT45"/>
  <c r="CO45"/>
  <c r="AM45"/>
  <c r="U45"/>
  <c r="BY45"/>
  <c r="DC45"/>
  <c r="BI45"/>
  <c r="DA45"/>
  <c r="Z45"/>
  <c r="AC45"/>
  <c r="CD45"/>
  <c r="T45"/>
  <c r="G46" l="1"/>
  <c r="Q45"/>
  <c r="I46"/>
  <c r="K46"/>
  <c r="M46"/>
  <c r="O46"/>
  <c r="T46"/>
  <c r="V46"/>
  <c r="X46"/>
  <c r="Z46"/>
  <c r="AB46"/>
  <c r="AD46"/>
  <c r="AG46"/>
  <c r="AM46"/>
  <c r="BF45"/>
  <c r="AO46"/>
  <c r="AO84" s="1"/>
  <c r="AQ46"/>
  <c r="AS46"/>
  <c r="AU46"/>
  <c r="AW46"/>
  <c r="AY46"/>
  <c r="BA46"/>
  <c r="BC46"/>
  <c r="BE46"/>
  <c r="BP46"/>
  <c r="BR46"/>
  <c r="BT46"/>
  <c r="BV46"/>
  <c r="BX46"/>
  <c r="BZ46"/>
  <c r="CB46"/>
  <c r="CD46"/>
  <c r="CF46"/>
  <c r="CF84" s="1"/>
  <c r="CH46"/>
  <c r="CJ46"/>
  <c r="CL46"/>
  <c r="CN46"/>
  <c r="CP46"/>
  <c r="CR46"/>
  <c r="CT46"/>
  <c r="CV46"/>
  <c r="CX46"/>
  <c r="CZ46"/>
  <c r="DB46"/>
  <c r="DD46"/>
  <c r="DF46"/>
  <c r="H46"/>
  <c r="J46"/>
  <c r="L46"/>
  <c r="N46"/>
  <c r="P46"/>
  <c r="U46"/>
  <c r="W46"/>
  <c r="Y46"/>
  <c r="AA46"/>
  <c r="AC46"/>
  <c r="AF46"/>
  <c r="AI46"/>
  <c r="AN46"/>
  <c r="AN84" s="1"/>
  <c r="AP46"/>
  <c r="AR46"/>
  <c r="AT46"/>
  <c r="AV46"/>
  <c r="AX46"/>
  <c r="AZ46"/>
  <c r="BB46"/>
  <c r="BD46"/>
  <c r="BI46"/>
  <c r="BO46"/>
  <c r="BQ46"/>
  <c r="BS46"/>
  <c r="BU46"/>
  <c r="BW46"/>
  <c r="BY46"/>
  <c r="CA46"/>
  <c r="CC46"/>
  <c r="CE46"/>
  <c r="CG46"/>
  <c r="CG84" s="1"/>
  <c r="CI46"/>
  <c r="CK46"/>
  <c r="CM46"/>
  <c r="CO46"/>
  <c r="CQ46"/>
  <c r="CS46"/>
  <c r="CU46"/>
  <c r="CW46"/>
  <c r="CY46"/>
  <c r="DA46"/>
  <c r="DC46"/>
  <c r="DE46"/>
  <c r="AD84" l="1"/>
  <c r="AC84"/>
  <c r="BD84"/>
  <c r="BC84" s="1"/>
  <c r="BF46"/>
  <c r="Q46"/>
  <c r="DH46"/>
  <c r="CE84"/>
  <c r="CD84" s="1"/>
  <c r="CC84" s="1"/>
  <c r="CB84" s="1"/>
  <c r="CA84" s="1"/>
  <c r="BZ84" s="1"/>
  <c r="BY84" s="1"/>
  <c r="BX84" s="1"/>
  <c r="BW84" s="1"/>
  <c r="BV84" s="1"/>
  <c r="BU84" s="1"/>
  <c r="D38" l="1"/>
  <c r="D37" l="1"/>
  <c r="DH36"/>
  <c r="BL36"/>
  <c r="CO37"/>
  <c r="H37"/>
  <c r="T37"/>
  <c r="K37"/>
  <c r="AP37"/>
  <c r="J37"/>
  <c r="BZ37"/>
  <c r="U37"/>
  <c r="CX37"/>
  <c r="CL37"/>
  <c r="CB37"/>
  <c r="CG37"/>
  <c r="DC37"/>
  <c r="X37"/>
  <c r="AT37"/>
  <c r="CN37"/>
  <c r="BT37"/>
  <c r="N37"/>
  <c r="BD37"/>
  <c r="CV37"/>
  <c r="AX37"/>
  <c r="AR37"/>
  <c r="Z37"/>
  <c r="CW37"/>
  <c r="BR37"/>
  <c r="CC37"/>
  <c r="AC37"/>
  <c r="AO37"/>
  <c r="BA37"/>
  <c r="AD37"/>
  <c r="BC37"/>
  <c r="BP37"/>
  <c r="CQ37"/>
  <c r="CF37"/>
  <c r="CJ37"/>
  <c r="AW37"/>
  <c r="BH37"/>
  <c r="CE37"/>
  <c r="L37"/>
  <c r="BB37"/>
  <c r="BY37"/>
  <c r="G37"/>
  <c r="CR37"/>
  <c r="AY37"/>
  <c r="AI37"/>
  <c r="AV37"/>
  <c r="AN37"/>
  <c r="AF37"/>
  <c r="O37"/>
  <c r="DE37"/>
  <c r="CH37"/>
  <c r="P37"/>
  <c r="BV37"/>
  <c r="CT37"/>
  <c r="CP37"/>
  <c r="CM37"/>
  <c r="I37"/>
  <c r="M37"/>
  <c r="AZ37"/>
  <c r="CD37"/>
  <c r="DB37"/>
  <c r="CU37"/>
  <c r="BX37"/>
  <c r="CI37"/>
  <c r="DD37"/>
  <c r="BI37"/>
  <c r="S37"/>
  <c r="AU37"/>
  <c r="AJ37"/>
  <c r="BW37"/>
  <c r="W37"/>
  <c r="CS37"/>
  <c r="BS37"/>
  <c r="CA37"/>
  <c r="CY37"/>
  <c r="DF37"/>
  <c r="AQ37"/>
  <c r="CZ37"/>
  <c r="AS37"/>
  <c r="Y37"/>
  <c r="AB37"/>
  <c r="BQ37"/>
  <c r="AM37"/>
  <c r="CK37"/>
  <c r="AA37"/>
  <c r="BE37"/>
  <c r="DA37"/>
  <c r="BU37"/>
  <c r="V37"/>
  <c r="BO37"/>
  <c r="AG37"/>
  <c r="J38" l="1"/>
  <c r="N38"/>
  <c r="S38"/>
  <c r="AK37"/>
  <c r="W38"/>
  <c r="AA38"/>
  <c r="AF38"/>
  <c r="G38"/>
  <c r="Q37"/>
  <c r="I38"/>
  <c r="K38"/>
  <c r="M38"/>
  <c r="O38"/>
  <c r="T38"/>
  <c r="V38"/>
  <c r="X38"/>
  <c r="Z38"/>
  <c r="AB38"/>
  <c r="AD38"/>
  <c r="AG38"/>
  <c r="AJ38"/>
  <c r="AM38"/>
  <c r="BF37"/>
  <c r="AO38"/>
  <c r="AQ38"/>
  <c r="AS38"/>
  <c r="AU38"/>
  <c r="AW38"/>
  <c r="AY38"/>
  <c r="BA38"/>
  <c r="BC38"/>
  <c r="BE38"/>
  <c r="BH38"/>
  <c r="BJ37"/>
  <c r="BO38"/>
  <c r="DH37"/>
  <c r="BQ38"/>
  <c r="BS38"/>
  <c r="BU38"/>
  <c r="BW38"/>
  <c r="BY38"/>
  <c r="CA38"/>
  <c r="CC38"/>
  <c r="CE38"/>
  <c r="CG38"/>
  <c r="CI38"/>
  <c r="CK38"/>
  <c r="CM38"/>
  <c r="CO38"/>
  <c r="CQ38"/>
  <c r="CS38"/>
  <c r="CU38"/>
  <c r="CW38"/>
  <c r="CY38"/>
  <c r="DA38"/>
  <c r="DC38"/>
  <c r="DE38"/>
  <c r="H38"/>
  <c r="L38"/>
  <c r="P38"/>
  <c r="U38"/>
  <c r="Y38"/>
  <c r="AC38"/>
  <c r="AI38"/>
  <c r="AN38"/>
  <c r="AP38"/>
  <c r="AR38"/>
  <c r="AT38"/>
  <c r="AV38"/>
  <c r="AX38"/>
  <c r="AZ38"/>
  <c r="BB38"/>
  <c r="BD38"/>
  <c r="BI38"/>
  <c r="BP38"/>
  <c r="BR38"/>
  <c r="BT38"/>
  <c r="BV38"/>
  <c r="BX38"/>
  <c r="BZ38"/>
  <c r="CB38"/>
  <c r="CD38"/>
  <c r="CF38"/>
  <c r="CH38"/>
  <c r="CJ38"/>
  <c r="CL38"/>
  <c r="CN38"/>
  <c r="CP38"/>
  <c r="CR38"/>
  <c r="CT38"/>
  <c r="CV38"/>
  <c r="CX38"/>
  <c r="CZ38"/>
  <c r="DB38"/>
  <c r="DD38"/>
  <c r="DF38"/>
  <c r="AK38" l="1"/>
  <c r="BF38"/>
  <c r="Q38"/>
  <c r="DH38"/>
  <c r="BL37"/>
  <c r="D35" l="1"/>
  <c r="D34" l="1"/>
  <c r="DH33"/>
  <c r="BL33"/>
  <c r="DF34"/>
  <c r="CR34"/>
  <c r="BC34"/>
  <c r="O34"/>
  <c r="CX34"/>
  <c r="V34"/>
  <c r="DD34"/>
  <c r="DE34"/>
  <c r="BU34"/>
  <c r="AV34"/>
  <c r="CF34"/>
  <c r="CS34"/>
  <c r="AG34"/>
  <c r="CZ34"/>
  <c r="BY34"/>
  <c r="AU34"/>
  <c r="T34"/>
  <c r="AR34"/>
  <c r="BD34"/>
  <c r="BX34"/>
  <c r="CW34"/>
  <c r="AY34"/>
  <c r="BA34"/>
  <c r="BS34"/>
  <c r="CE34"/>
  <c r="CM34"/>
  <c r="CI34"/>
  <c r="CL34"/>
  <c r="BZ34"/>
  <c r="CD34"/>
  <c r="AD34"/>
  <c r="AJ34"/>
  <c r="DB34"/>
  <c r="CN34"/>
  <c r="AS34"/>
  <c r="BP34"/>
  <c r="AO34"/>
  <c r="AW34"/>
  <c r="M34"/>
  <c r="CT34"/>
  <c r="AX34"/>
  <c r="U34"/>
  <c r="BQ34"/>
  <c r="K34"/>
  <c r="Y34"/>
  <c r="BO34"/>
  <c r="Z34"/>
  <c r="AN34"/>
  <c r="CO34"/>
  <c r="CP34"/>
  <c r="W34"/>
  <c r="CB34"/>
  <c r="AM34"/>
  <c r="BR34"/>
  <c r="CK34"/>
  <c r="BT34"/>
  <c r="CJ34"/>
  <c r="CH34"/>
  <c r="CQ34"/>
  <c r="AP34"/>
  <c r="H34"/>
  <c r="BB34"/>
  <c r="CG34"/>
  <c r="AB34"/>
  <c r="CV34"/>
  <c r="CU34"/>
  <c r="N34"/>
  <c r="J34"/>
  <c r="AI34"/>
  <c r="AT34"/>
  <c r="CC34"/>
  <c r="X34"/>
  <c r="G34"/>
  <c r="AZ34"/>
  <c r="BI34"/>
  <c r="AA34"/>
  <c r="CY34"/>
  <c r="DA34"/>
  <c r="BV34"/>
  <c r="CA34"/>
  <c r="AQ34"/>
  <c r="S34"/>
  <c r="AF34"/>
  <c r="I34"/>
  <c r="DC34"/>
  <c r="L34"/>
  <c r="BW34"/>
  <c r="J35" l="1"/>
  <c r="N35"/>
  <c r="S35"/>
  <c r="G35"/>
  <c r="I35"/>
  <c r="K35"/>
  <c r="M35"/>
  <c r="O35"/>
  <c r="T35"/>
  <c r="V35"/>
  <c r="X35"/>
  <c r="Z35"/>
  <c r="AB35"/>
  <c r="AD35"/>
  <c r="AG35"/>
  <c r="AJ35"/>
  <c r="AM35"/>
  <c r="AO35"/>
  <c r="AQ35"/>
  <c r="AS35"/>
  <c r="AU35"/>
  <c r="AW35"/>
  <c r="AY35"/>
  <c r="BA35"/>
  <c r="BC35"/>
  <c r="BO35"/>
  <c r="DH34"/>
  <c r="BQ35"/>
  <c r="BS35"/>
  <c r="BU35"/>
  <c r="BW35"/>
  <c r="BY35"/>
  <c r="CA35"/>
  <c r="CC35"/>
  <c r="CE35"/>
  <c r="CG35"/>
  <c r="CI35"/>
  <c r="CK35"/>
  <c r="CM35"/>
  <c r="CO35"/>
  <c r="CQ35"/>
  <c r="CS35"/>
  <c r="CU35"/>
  <c r="CW35"/>
  <c r="CY35"/>
  <c r="DA35"/>
  <c r="DC35"/>
  <c r="DE35"/>
  <c r="H35"/>
  <c r="L35"/>
  <c r="U35"/>
  <c r="W35"/>
  <c r="Y35"/>
  <c r="AA35"/>
  <c r="AF35"/>
  <c r="AI35"/>
  <c r="AN35"/>
  <c r="AP35"/>
  <c r="AR35"/>
  <c r="AT35"/>
  <c r="AV35"/>
  <c r="AX35"/>
  <c r="AZ35"/>
  <c r="BB35"/>
  <c r="BD35"/>
  <c r="BI35"/>
  <c r="BP35"/>
  <c r="BR35"/>
  <c r="BT35"/>
  <c r="BV35"/>
  <c r="BX35"/>
  <c r="BZ35"/>
  <c r="CB35"/>
  <c r="CD35"/>
  <c r="CF35"/>
  <c r="CH35"/>
  <c r="CJ35"/>
  <c r="CL35"/>
  <c r="CN35"/>
  <c r="CP35"/>
  <c r="CR35"/>
  <c r="CT35"/>
  <c r="CV35"/>
  <c r="CX35"/>
  <c r="CZ35"/>
  <c r="DB35"/>
  <c r="DD35"/>
  <c r="DF35"/>
  <c r="DH35" l="1"/>
  <c r="D32" l="1"/>
  <c r="D30" l="1"/>
  <c r="D29"/>
  <c r="AW30"/>
  <c r="CX29"/>
  <c r="DD30"/>
  <c r="CT29"/>
  <c r="U29"/>
  <c r="P30"/>
  <c r="X30"/>
  <c r="AC30"/>
  <c r="CP30"/>
  <c r="CP29"/>
  <c r="BB30"/>
  <c r="W30"/>
  <c r="AR29"/>
  <c r="J30"/>
  <c r="CH30"/>
  <c r="I30"/>
  <c r="CF30"/>
  <c r="BB29"/>
  <c r="CU30"/>
  <c r="CC30"/>
  <c r="BQ30"/>
  <c r="AD30"/>
  <c r="DE30"/>
  <c r="AY30"/>
  <c r="G30"/>
  <c r="AP30"/>
  <c r="BT29"/>
  <c r="M29"/>
  <c r="CC29"/>
  <c r="DA29"/>
  <c r="CH29"/>
  <c r="AB30"/>
  <c r="CA29"/>
  <c r="AO30"/>
  <c r="W29"/>
  <c r="CN29"/>
  <c r="BR30"/>
  <c r="CR29"/>
  <c r="V30"/>
  <c r="K29"/>
  <c r="H29"/>
  <c r="AV30"/>
  <c r="G29"/>
  <c r="AI29"/>
  <c r="T30"/>
  <c r="AG30"/>
  <c r="CS29"/>
  <c r="CS30"/>
  <c r="AX30"/>
  <c r="AZ30"/>
  <c r="CY30"/>
  <c r="AA29"/>
  <c r="Y29"/>
  <c r="CX30"/>
  <c r="CI29"/>
  <c r="DF29"/>
  <c r="AY29"/>
  <c r="AN29"/>
  <c r="AU30"/>
  <c r="P29"/>
  <c r="CV30"/>
  <c r="BV29"/>
  <c r="AM30"/>
  <c r="CJ30"/>
  <c r="AQ29"/>
  <c r="BY30"/>
  <c r="M30"/>
  <c r="CF29"/>
  <c r="AX29"/>
  <c r="BH30"/>
  <c r="J29"/>
  <c r="BR29"/>
  <c r="BX29"/>
  <c r="X29"/>
  <c r="AG29"/>
  <c r="BZ30"/>
  <c r="U30"/>
  <c r="CN30"/>
  <c r="AR30"/>
  <c r="CA30"/>
  <c r="I29"/>
  <c r="L29"/>
  <c r="H30"/>
  <c r="Z29"/>
  <c r="N30"/>
  <c r="BI30"/>
  <c r="CW30"/>
  <c r="CJ29"/>
  <c r="L30"/>
  <c r="AT30"/>
  <c r="CQ30"/>
  <c r="AO29"/>
  <c r="BD30"/>
  <c r="CM29"/>
  <c r="DB29"/>
  <c r="CG30"/>
  <c r="AS30"/>
  <c r="AB29"/>
  <c r="DF30"/>
  <c r="CE30"/>
  <c r="CI30"/>
  <c r="CD30"/>
  <c r="DC29"/>
  <c r="CK29"/>
  <c r="CT30"/>
  <c r="AF30"/>
  <c r="N29"/>
  <c r="AM29"/>
  <c r="DC30"/>
  <c r="BC29"/>
  <c r="S29"/>
  <c r="BO29"/>
  <c r="CK30"/>
  <c r="BU30"/>
  <c r="CL29"/>
  <c r="AD29"/>
  <c r="AI30"/>
  <c r="BO30"/>
  <c r="AW29"/>
  <c r="CZ29"/>
  <c r="BP30"/>
  <c r="BU29"/>
  <c r="AZ29"/>
  <c r="CB29"/>
  <c r="AS29"/>
  <c r="AF29"/>
  <c r="DD29"/>
  <c r="AU29"/>
  <c r="BT30"/>
  <c r="BA30"/>
  <c r="BZ29"/>
  <c r="CG29"/>
  <c r="DB30"/>
  <c r="AP29"/>
  <c r="BS30"/>
  <c r="AT29"/>
  <c r="CY29"/>
  <c r="BW30"/>
  <c r="T29"/>
  <c r="BE29"/>
  <c r="BY29"/>
  <c r="DA30"/>
  <c r="CO30"/>
  <c r="AA30"/>
  <c r="BP29"/>
  <c r="K30"/>
  <c r="CZ30"/>
  <c r="AV29"/>
  <c r="BE30"/>
  <c r="CM30"/>
  <c r="BA29"/>
  <c r="BH29"/>
  <c r="Z30"/>
  <c r="CE29"/>
  <c r="CL30"/>
  <c r="CO29"/>
  <c r="CQ29"/>
  <c r="BQ29"/>
  <c r="AQ30"/>
  <c r="BI29"/>
  <c r="O30"/>
  <c r="AJ29"/>
  <c r="BS29"/>
  <c r="BX30"/>
  <c r="CD29"/>
  <c r="BW29"/>
  <c r="BC30"/>
  <c r="S30"/>
  <c r="AJ30"/>
  <c r="CB30"/>
  <c r="CR30"/>
  <c r="AC29"/>
  <c r="Y30"/>
  <c r="DE29"/>
  <c r="AN30"/>
  <c r="BD29"/>
  <c r="BV30"/>
  <c r="I31" l="1"/>
  <c r="M31"/>
  <c r="T31"/>
  <c r="H31"/>
  <c r="J31"/>
  <c r="L31"/>
  <c r="N31"/>
  <c r="P31"/>
  <c r="S31"/>
  <c r="U31"/>
  <c r="W31"/>
  <c r="Y31"/>
  <c r="AA31"/>
  <c r="AC31"/>
  <c r="AF31"/>
  <c r="AI31"/>
  <c r="AN31"/>
  <c r="AP31"/>
  <c r="AR31"/>
  <c r="AT31"/>
  <c r="AV31"/>
  <c r="AX31"/>
  <c r="AZ31"/>
  <c r="BB31"/>
  <c r="BD31"/>
  <c r="BI31"/>
  <c r="BO31"/>
  <c r="BQ31"/>
  <c r="BS31"/>
  <c r="BU31"/>
  <c r="BW31"/>
  <c r="BY31"/>
  <c r="CA31"/>
  <c r="CC31"/>
  <c r="CE31"/>
  <c r="CG31"/>
  <c r="CI31"/>
  <c r="CK31"/>
  <c r="CM31"/>
  <c r="CO31"/>
  <c r="CQ31"/>
  <c r="CS31"/>
  <c r="CY31"/>
  <c r="DA31"/>
  <c r="DC31"/>
  <c r="DE31"/>
  <c r="Q30"/>
  <c r="G31"/>
  <c r="K31"/>
  <c r="X31"/>
  <c r="Z31"/>
  <c r="AB31"/>
  <c r="AD31"/>
  <c r="AG31"/>
  <c r="AJ31"/>
  <c r="AM31"/>
  <c r="BF29"/>
  <c r="AO31"/>
  <c r="AQ31"/>
  <c r="AS31"/>
  <c r="AU31"/>
  <c r="AW31"/>
  <c r="AY31"/>
  <c r="BA31"/>
  <c r="BC31"/>
  <c r="BE31"/>
  <c r="BH31"/>
  <c r="BJ29"/>
  <c r="BP31"/>
  <c r="BR31"/>
  <c r="BT31"/>
  <c r="BV31"/>
  <c r="BX31"/>
  <c r="BZ31"/>
  <c r="CB31"/>
  <c r="CD31"/>
  <c r="CF31"/>
  <c r="CH31"/>
  <c r="CJ31"/>
  <c r="CL31"/>
  <c r="CN31"/>
  <c r="CP31"/>
  <c r="CR31"/>
  <c r="CT31"/>
  <c r="CX31"/>
  <c r="CZ31"/>
  <c r="DB31"/>
  <c r="DD31"/>
  <c r="DF31"/>
  <c r="AK30"/>
  <c r="BF30"/>
  <c r="BJ30"/>
  <c r="DH30"/>
  <c r="BJ31" l="1"/>
  <c r="BL30"/>
  <c r="BF31"/>
  <c r="D27" l="1"/>
  <c r="D26"/>
  <c r="BY25"/>
  <c r="CH26"/>
  <c r="BP27"/>
  <c r="CD27"/>
  <c r="AN27"/>
  <c r="U26"/>
  <c r="BI27"/>
  <c r="AT26"/>
  <c r="BC26"/>
  <c r="BR26"/>
  <c r="BU26"/>
  <c r="CF27"/>
  <c r="CO26"/>
  <c r="BS26"/>
  <c r="BR25"/>
  <c r="AJ27"/>
  <c r="BS25"/>
  <c r="M27"/>
  <c r="AA27"/>
  <c r="AI27"/>
  <c r="CH27"/>
  <c r="AU27"/>
  <c r="J26"/>
  <c r="AD27"/>
  <c r="W27"/>
  <c r="W26"/>
  <c r="AJ26"/>
  <c r="BZ25"/>
  <c r="AW26"/>
  <c r="AS26"/>
  <c r="AR26"/>
  <c r="CI26"/>
  <c r="BZ26"/>
  <c r="I26"/>
  <c r="AV27"/>
  <c r="DE27"/>
  <c r="BU25"/>
  <c r="BE27"/>
  <c r="BD26"/>
  <c r="CI25"/>
  <c r="BE26"/>
  <c r="BY26"/>
  <c r="BI26"/>
  <c r="CR25"/>
  <c r="CM25"/>
  <c r="CU25"/>
  <c r="CW27"/>
  <c r="AM26"/>
  <c r="K27"/>
  <c r="CK27"/>
  <c r="BB26"/>
  <c r="G27"/>
  <c r="CJ27"/>
  <c r="DB27"/>
  <c r="BW25"/>
  <c r="AI26"/>
  <c r="BO26"/>
  <c r="CJ26"/>
  <c r="CZ27"/>
  <c r="DE25"/>
  <c r="CS25"/>
  <c r="CL26"/>
  <c r="AQ27"/>
  <c r="BT26"/>
  <c r="CB25"/>
  <c r="BV25"/>
  <c r="CF26"/>
  <c r="BA27"/>
  <c r="AX27"/>
  <c r="CT26"/>
  <c r="AO27"/>
  <c r="CZ25"/>
  <c r="K26"/>
  <c r="V27"/>
  <c r="X27"/>
  <c r="CE25"/>
  <c r="AT27"/>
  <c r="CA25"/>
  <c r="AD26"/>
  <c r="BV27"/>
  <c r="DD26"/>
  <c r="L26"/>
  <c r="AR27"/>
  <c r="DA26"/>
  <c r="H27"/>
  <c r="AQ26"/>
  <c r="AV26"/>
  <c r="DC25"/>
  <c r="S27"/>
  <c r="CR26"/>
  <c r="CT25"/>
  <c r="CG25"/>
  <c r="CY27"/>
  <c r="CG27"/>
  <c r="CB27"/>
  <c r="BX27"/>
  <c r="CP25"/>
  <c r="DC26"/>
  <c r="H26"/>
  <c r="BZ27"/>
  <c r="AF26"/>
  <c r="BQ27"/>
  <c r="CC27"/>
  <c r="CE27"/>
  <c r="BW26"/>
  <c r="CZ26"/>
  <c r="CA27"/>
  <c r="CO25"/>
  <c r="AU26"/>
  <c r="AG26"/>
  <c r="CK26"/>
  <c r="BX26"/>
  <c r="BY27"/>
  <c r="CV27"/>
  <c r="DE26"/>
  <c r="DA25"/>
  <c r="CA26"/>
  <c r="BQ26"/>
  <c r="AO26"/>
  <c r="AF27"/>
  <c r="AP26"/>
  <c r="AA26"/>
  <c r="DF26"/>
  <c r="AW27"/>
  <c r="BW27"/>
  <c r="CD25"/>
  <c r="N27"/>
  <c r="AM27"/>
  <c r="CG26"/>
  <c r="L27"/>
  <c r="BH26"/>
  <c r="CN27"/>
  <c r="Z27"/>
  <c r="CL25"/>
  <c r="BR27"/>
  <c r="CW25"/>
  <c r="CX25"/>
  <c r="I27"/>
  <c r="DD25"/>
  <c r="CS26"/>
  <c r="BP26"/>
  <c r="CH25"/>
  <c r="AP27"/>
  <c r="CM27"/>
  <c r="AC26"/>
  <c r="O26"/>
  <c r="CR27"/>
  <c r="P26"/>
  <c r="BO27"/>
  <c r="DA27"/>
  <c r="AC27"/>
  <c r="CF25"/>
  <c r="AB27"/>
  <c r="AX26"/>
  <c r="DF25"/>
  <c r="CU27"/>
  <c r="CE26"/>
  <c r="AZ26"/>
  <c r="M26"/>
  <c r="CO27"/>
  <c r="AB26"/>
  <c r="CM26"/>
  <c r="BD27"/>
  <c r="BU27"/>
  <c r="CK25"/>
  <c r="CD26"/>
  <c r="CS27"/>
  <c r="Z26"/>
  <c r="CC26"/>
  <c r="T26"/>
  <c r="CQ26"/>
  <c r="O27"/>
  <c r="CT27"/>
  <c r="S26"/>
  <c r="AN26"/>
  <c r="BC27"/>
  <c r="BV26"/>
  <c r="CQ25"/>
  <c r="AY27"/>
  <c r="CN26"/>
  <c r="CL27"/>
  <c r="U27"/>
  <c r="CN25"/>
  <c r="CQ27"/>
  <c r="DB25"/>
  <c r="CV25"/>
  <c r="CJ25"/>
  <c r="DF27"/>
  <c r="BB27"/>
  <c r="CX26"/>
  <c r="CB26"/>
  <c r="AG27"/>
  <c r="BA26"/>
  <c r="AY26"/>
  <c r="AZ27"/>
  <c r="Y27"/>
  <c r="DC27"/>
  <c r="CP27"/>
  <c r="X26"/>
  <c r="DD27"/>
  <c r="P27"/>
  <c r="BH27"/>
  <c r="CX27"/>
  <c r="BT27"/>
  <c r="CC25"/>
  <c r="BT25"/>
  <c r="BS27"/>
  <c r="Y26"/>
  <c r="AS27"/>
  <c r="J27"/>
  <c r="CY26"/>
  <c r="BX25"/>
  <c r="CI27"/>
  <c r="T27"/>
  <c r="DB26"/>
  <c r="CY25"/>
  <c r="CP26"/>
  <c r="G26"/>
  <c r="H28" l="1"/>
  <c r="J28"/>
  <c r="L28"/>
  <c r="P28"/>
  <c r="S28"/>
  <c r="U28"/>
  <c r="W28"/>
  <c r="Y28"/>
  <c r="AA28"/>
  <c r="AC28"/>
  <c r="AF28"/>
  <c r="AI28"/>
  <c r="AN28"/>
  <c r="AP28"/>
  <c r="AR28"/>
  <c r="AT28"/>
  <c r="AV28"/>
  <c r="AX28"/>
  <c r="AZ28"/>
  <c r="BB28"/>
  <c r="BD28"/>
  <c r="BI28"/>
  <c r="BO28"/>
  <c r="BQ28"/>
  <c r="BS28"/>
  <c r="BU28"/>
  <c r="BW28"/>
  <c r="BY28"/>
  <c r="CA28"/>
  <c r="CC28"/>
  <c r="CE28"/>
  <c r="CG28"/>
  <c r="CI28"/>
  <c r="CK28"/>
  <c r="CM28"/>
  <c r="CO28"/>
  <c r="CQ28"/>
  <c r="CS28"/>
  <c r="CY28"/>
  <c r="DA28"/>
  <c r="DC28"/>
  <c r="DE28"/>
  <c r="Q27"/>
  <c r="G28"/>
  <c r="I28"/>
  <c r="K28"/>
  <c r="M28"/>
  <c r="O28"/>
  <c r="T28"/>
  <c r="X28"/>
  <c r="Z28"/>
  <c r="AB28"/>
  <c r="AD28"/>
  <c r="AG28"/>
  <c r="AJ28"/>
  <c r="AM28"/>
  <c r="BF26"/>
  <c r="AO28"/>
  <c r="AQ28"/>
  <c r="AS28"/>
  <c r="AU28"/>
  <c r="AW28"/>
  <c r="AY28"/>
  <c r="BA28"/>
  <c r="BC28"/>
  <c r="BE28"/>
  <c r="BH28"/>
  <c r="BJ26"/>
  <c r="BP28"/>
  <c r="BR28"/>
  <c r="BT28"/>
  <c r="BV28"/>
  <c r="BX28"/>
  <c r="BZ28"/>
  <c r="CB28"/>
  <c r="CD28"/>
  <c r="CF28"/>
  <c r="CH28"/>
  <c r="CJ28"/>
  <c r="CL28"/>
  <c r="CN28"/>
  <c r="CP28"/>
  <c r="CR28"/>
  <c r="CT28"/>
  <c r="CX28"/>
  <c r="CZ28"/>
  <c r="DB28"/>
  <c r="DD28"/>
  <c r="DF28"/>
  <c r="AK27"/>
  <c r="BF27"/>
  <c r="BJ27"/>
  <c r="DH27"/>
  <c r="BH25"/>
  <c r="BI25"/>
  <c r="BL27" l="1"/>
  <c r="BJ28"/>
  <c r="BJ25"/>
  <c r="BF28"/>
  <c r="BA25"/>
  <c r="AF25"/>
  <c r="Y25"/>
  <c r="AD25"/>
  <c r="L25"/>
  <c r="AA25"/>
  <c r="AS25"/>
  <c r="AZ25"/>
  <c r="AP25"/>
  <c r="BB25"/>
  <c r="W25"/>
  <c r="U25"/>
  <c r="J25"/>
  <c r="N25"/>
  <c r="X25"/>
  <c r="AN25"/>
  <c r="K25"/>
  <c r="AY25"/>
  <c r="AJ25"/>
  <c r="BC25"/>
  <c r="P25"/>
  <c r="I25"/>
  <c r="AI25"/>
  <c r="AM25"/>
  <c r="Z25"/>
  <c r="AB25"/>
  <c r="T25"/>
  <c r="AU25"/>
  <c r="G25"/>
  <c r="AC25"/>
  <c r="AT25"/>
  <c r="BD25"/>
  <c r="AX25"/>
  <c r="AW25"/>
  <c r="S25"/>
  <c r="AG25"/>
  <c r="AQ25"/>
  <c r="H25"/>
  <c r="AR25"/>
  <c r="BE25"/>
  <c r="O25"/>
  <c r="AV25"/>
  <c r="AO25"/>
  <c r="BF25" l="1"/>
  <c r="D25"/>
  <c r="D24"/>
  <c r="DH23"/>
  <c r="BL23"/>
  <c r="U24"/>
  <c r="CO24"/>
  <c r="AY24"/>
  <c r="AU24"/>
  <c r="BU24"/>
  <c r="H24"/>
  <c r="CU24"/>
  <c r="BH24"/>
  <c r="DE24"/>
  <c r="CI24"/>
  <c r="BE24"/>
  <c r="AS24"/>
  <c r="CY24"/>
  <c r="Y24"/>
  <c r="AG24"/>
  <c r="CB24"/>
  <c r="AO24"/>
  <c r="DA24"/>
  <c r="CN24"/>
  <c r="CA24"/>
  <c r="BX24"/>
  <c r="CP24"/>
  <c r="CR24"/>
  <c r="CQ24"/>
  <c r="BW24"/>
  <c r="BY24"/>
  <c r="N24"/>
  <c r="O24"/>
  <c r="I24"/>
  <c r="DF24"/>
  <c r="BC24"/>
  <c r="DD24"/>
  <c r="BI24"/>
  <c r="AC24"/>
  <c r="W24"/>
  <c r="AI24"/>
  <c r="CC24"/>
  <c r="M24"/>
  <c r="AJ24"/>
  <c r="P24"/>
  <c r="BZ24"/>
  <c r="AR24"/>
  <c r="CK24"/>
  <c r="AP24"/>
  <c r="DB24"/>
  <c r="CL24"/>
  <c r="CG24"/>
  <c r="CW24"/>
  <c r="AW24"/>
  <c r="CX24"/>
  <c r="BB24"/>
  <c r="BR24"/>
  <c r="G24"/>
  <c r="CF24"/>
  <c r="CM24"/>
  <c r="AV24"/>
  <c r="X24"/>
  <c r="AD24"/>
  <c r="CH24"/>
  <c r="BT24"/>
  <c r="CV24"/>
  <c r="CT24"/>
  <c r="AA24"/>
  <c r="BD24"/>
  <c r="CE24"/>
  <c r="BV24"/>
  <c r="AZ24"/>
  <c r="AQ24"/>
  <c r="BS24"/>
  <c r="AN24"/>
  <c r="CS24"/>
  <c r="CZ24"/>
  <c r="CJ24"/>
  <c r="AM24"/>
  <c r="DC24"/>
  <c r="AT24"/>
  <c r="AX24"/>
  <c r="CD24"/>
  <c r="T24"/>
  <c r="Z24"/>
  <c r="AB24"/>
  <c r="BA24"/>
  <c r="AF24"/>
  <c r="G32" l="1"/>
  <c r="I32"/>
  <c r="T32"/>
  <c r="X32"/>
  <c r="Z32"/>
  <c r="AB32"/>
  <c r="AJ32"/>
  <c r="AI32" s="1"/>
  <c r="AG32" s="1"/>
  <c r="AM32"/>
  <c r="BF24"/>
  <c r="AO32"/>
  <c r="AQ32"/>
  <c r="AS32"/>
  <c r="AU32"/>
  <c r="AW32"/>
  <c r="AY32"/>
  <c r="BA32"/>
  <c r="BC32"/>
  <c r="BE32"/>
  <c r="BH32"/>
  <c r="BJ24"/>
  <c r="BS32"/>
  <c r="BU32"/>
  <c r="BW32"/>
  <c r="BY32"/>
  <c r="CA32"/>
  <c r="CC32"/>
  <c r="CE32"/>
  <c r="CG32"/>
  <c r="CI32"/>
  <c r="CK32"/>
  <c r="CM32"/>
  <c r="CO32"/>
  <c r="CQ32"/>
  <c r="CS32"/>
  <c r="CY32"/>
  <c r="DA32"/>
  <c r="DC32"/>
  <c r="DE32"/>
  <c r="H32"/>
  <c r="P32"/>
  <c r="U32"/>
  <c r="W32"/>
  <c r="Y32"/>
  <c r="AA32"/>
  <c r="AC32"/>
  <c r="AF32"/>
  <c r="AD32" s="1"/>
  <c r="AN32"/>
  <c r="AP32"/>
  <c r="AR32"/>
  <c r="AT32"/>
  <c r="AV32"/>
  <c r="AX32"/>
  <c r="AZ32"/>
  <c r="BB32"/>
  <c r="BD32"/>
  <c r="BI32"/>
  <c r="BR32"/>
  <c r="BT32"/>
  <c r="BV32"/>
  <c r="BX32"/>
  <c r="BZ32"/>
  <c r="CB32"/>
  <c r="CD32"/>
  <c r="CF32"/>
  <c r="CH32"/>
  <c r="CJ32"/>
  <c r="CL32"/>
  <c r="CN32"/>
  <c r="CP32"/>
  <c r="CR32"/>
  <c r="CT32"/>
  <c r="CX32"/>
  <c r="CZ32"/>
  <c r="DB32"/>
  <c r="DD32"/>
  <c r="DF32"/>
  <c r="BJ32" l="1"/>
  <c r="BF32"/>
  <c r="D22" l="1"/>
  <c r="D21"/>
  <c r="DH20"/>
  <c r="BL20"/>
  <c r="CH21"/>
  <c r="AQ21"/>
  <c r="BD21"/>
  <c r="AY21"/>
  <c r="BR21"/>
  <c r="CI21"/>
  <c r="BC21"/>
  <c r="CX21"/>
  <c r="BA21"/>
  <c r="CM21"/>
  <c r="AP21"/>
  <c r="AS21"/>
  <c r="CG21"/>
  <c r="AW21"/>
  <c r="P21"/>
  <c r="DF21"/>
  <c r="AD21"/>
  <c r="CK21"/>
  <c r="BB21"/>
  <c r="BY21"/>
  <c r="BV21"/>
  <c r="CC21"/>
  <c r="CZ21"/>
  <c r="CQ21"/>
  <c r="AI21"/>
  <c r="AN21"/>
  <c r="N21"/>
  <c r="BT21"/>
  <c r="CL21"/>
  <c r="DE21"/>
  <c r="Z21"/>
  <c r="BI21"/>
  <c r="BU21"/>
  <c r="L21"/>
  <c r="CB21"/>
  <c r="CJ21"/>
  <c r="K21"/>
  <c r="DB21"/>
  <c r="AM21"/>
  <c r="BW21"/>
  <c r="CY21"/>
  <c r="AG21"/>
  <c r="AX21"/>
  <c r="H21"/>
  <c r="CD21"/>
  <c r="CA21"/>
  <c r="AV21"/>
  <c r="AJ21"/>
  <c r="CP21"/>
  <c r="BE21"/>
  <c r="CV21"/>
  <c r="J21"/>
  <c r="CW21"/>
  <c r="AA21"/>
  <c r="BH21"/>
  <c r="T21"/>
  <c r="X21"/>
  <c r="CU21"/>
  <c r="AT21"/>
  <c r="BZ21"/>
  <c r="AU21"/>
  <c r="CN21"/>
  <c r="CF21"/>
  <c r="CR21"/>
  <c r="G21"/>
  <c r="AF21"/>
  <c r="CE21"/>
  <c r="O21"/>
  <c r="CS21"/>
  <c r="M21"/>
  <c r="CO21"/>
  <c r="Y21"/>
  <c r="BS21"/>
  <c r="AZ21"/>
  <c r="AO21"/>
  <c r="AR21"/>
  <c r="DA21"/>
  <c r="CT21"/>
  <c r="AC21"/>
  <c r="DD21"/>
  <c r="J22" l="1"/>
  <c r="N22"/>
  <c r="G22"/>
  <c r="K22"/>
  <c r="M22"/>
  <c r="O22"/>
  <c r="T22"/>
  <c r="X22"/>
  <c r="Z22"/>
  <c r="AD22"/>
  <c r="AG22"/>
  <c r="AJ22"/>
  <c r="AM22"/>
  <c r="BF21"/>
  <c r="AO22"/>
  <c r="AQ22"/>
  <c r="AS22"/>
  <c r="AU22"/>
  <c r="AW22"/>
  <c r="AY22"/>
  <c r="BA22"/>
  <c r="BC22"/>
  <c r="BE22"/>
  <c r="BH22"/>
  <c r="BJ21"/>
  <c r="BS22"/>
  <c r="BU22"/>
  <c r="BW22"/>
  <c r="BY22"/>
  <c r="CA22"/>
  <c r="CC22"/>
  <c r="CE22"/>
  <c r="CG22"/>
  <c r="CI22"/>
  <c r="CK22"/>
  <c r="CM22"/>
  <c r="CO22"/>
  <c r="CQ22"/>
  <c r="CS22"/>
  <c r="CU22"/>
  <c r="CW22"/>
  <c r="CY22"/>
  <c r="DA22"/>
  <c r="DE22"/>
  <c r="H22"/>
  <c r="L22"/>
  <c r="P22"/>
  <c r="Y22"/>
  <c r="AA22"/>
  <c r="AC22"/>
  <c r="AF22"/>
  <c r="AI22"/>
  <c r="AN22"/>
  <c r="AP22"/>
  <c r="AR22"/>
  <c r="AT22"/>
  <c r="AV22"/>
  <c r="AX22"/>
  <c r="AZ22"/>
  <c r="BB22"/>
  <c r="BD22"/>
  <c r="BI22"/>
  <c r="BR22"/>
  <c r="BT22"/>
  <c r="BV22"/>
  <c r="BZ22"/>
  <c r="CB22"/>
  <c r="CD22"/>
  <c r="CF22"/>
  <c r="CH22"/>
  <c r="CJ22"/>
  <c r="CL22"/>
  <c r="CN22"/>
  <c r="CP22"/>
  <c r="CR22"/>
  <c r="CT22"/>
  <c r="CV22"/>
  <c r="CX22"/>
  <c r="CZ22"/>
  <c r="DB22"/>
  <c r="DD22"/>
  <c r="DF22"/>
  <c r="BF22" l="1"/>
  <c r="BJ22"/>
  <c r="D19" l="1"/>
  <c r="BO18"/>
  <c r="DA18"/>
  <c r="CV18"/>
  <c r="CE18"/>
  <c r="CN18"/>
  <c r="CP18"/>
  <c r="CS18"/>
  <c r="BW18"/>
  <c r="BS18"/>
  <c r="CD18"/>
  <c r="CW18"/>
  <c r="BR18"/>
  <c r="CK18"/>
  <c r="CA18"/>
  <c r="BZ18"/>
  <c r="DE18"/>
  <c r="CR18"/>
  <c r="BV18"/>
  <c r="BY18"/>
  <c r="CI18"/>
  <c r="CQ18"/>
  <c r="CG18"/>
  <c r="DC18"/>
  <c r="CT18"/>
  <c r="DF18"/>
  <c r="CZ18"/>
  <c r="BT18"/>
  <c r="CH18"/>
  <c r="CO18"/>
  <c r="DB18"/>
  <c r="CM18"/>
  <c r="CJ18"/>
  <c r="CL18"/>
  <c r="BU18"/>
  <c r="BX18"/>
  <c r="CU18"/>
  <c r="CX18"/>
  <c r="CY18"/>
  <c r="CF18"/>
  <c r="DD18"/>
  <c r="CC18"/>
  <c r="CB18"/>
  <c r="D18" l="1"/>
  <c r="D17"/>
  <c r="DH16"/>
  <c r="BL16"/>
  <c r="D15"/>
  <c r="CA17"/>
  <c r="AM18"/>
  <c r="DB17"/>
  <c r="BC17"/>
  <c r="AY18"/>
  <c r="H18"/>
  <c r="BH18"/>
  <c r="Y18"/>
  <c r="AF18"/>
  <c r="AC18"/>
  <c r="G17"/>
  <c r="CB17"/>
  <c r="AZ18"/>
  <c r="AY17"/>
  <c r="CF17"/>
  <c r="S17"/>
  <c r="AW17"/>
  <c r="T17"/>
  <c r="CO17"/>
  <c r="BD18"/>
  <c r="AZ17"/>
  <c r="CW17"/>
  <c r="BY17"/>
  <c r="AI18"/>
  <c r="N17"/>
  <c r="AJ17"/>
  <c r="M17"/>
  <c r="AS18"/>
  <c r="Y17"/>
  <c r="BU17"/>
  <c r="BV17"/>
  <c r="BH17"/>
  <c r="AU18"/>
  <c r="CI17"/>
  <c r="AX17"/>
  <c r="CL17"/>
  <c r="J18"/>
  <c r="CG17"/>
  <c r="AD17"/>
  <c r="BI18"/>
  <c r="V17"/>
  <c r="CX17"/>
  <c r="CJ17"/>
  <c r="L17"/>
  <c r="CP17"/>
  <c r="U18"/>
  <c r="K17"/>
  <c r="G18"/>
  <c r="K18"/>
  <c r="AT17"/>
  <c r="AM17"/>
  <c r="AR18"/>
  <c r="U17"/>
  <c r="CU17"/>
  <c r="BO17"/>
  <c r="P18"/>
  <c r="H17"/>
  <c r="M18"/>
  <c r="AO17"/>
  <c r="AF17"/>
  <c r="BB18"/>
  <c r="AJ18"/>
  <c r="S18"/>
  <c r="I17"/>
  <c r="Z18"/>
  <c r="AA17"/>
  <c r="P17"/>
  <c r="AW18"/>
  <c r="BE17"/>
  <c r="X18"/>
  <c r="CE17"/>
  <c r="CT17"/>
  <c r="O17"/>
  <c r="T18"/>
  <c r="V18"/>
  <c r="BA17"/>
  <c r="CD17"/>
  <c r="CQ17"/>
  <c r="BR17"/>
  <c r="AB17"/>
  <c r="CR17"/>
  <c r="AQ18"/>
  <c r="AN18"/>
  <c r="AA18"/>
  <c r="BI17"/>
  <c r="CC17"/>
  <c r="AQ17"/>
  <c r="BZ17"/>
  <c r="Z17"/>
  <c r="DC17"/>
  <c r="CH17"/>
  <c r="AR17"/>
  <c r="BW17"/>
  <c r="BC18"/>
  <c r="AP17"/>
  <c r="CV17"/>
  <c r="AG18"/>
  <c r="AV18"/>
  <c r="I18"/>
  <c r="AX18"/>
  <c r="DE17"/>
  <c r="BP17"/>
  <c r="L18"/>
  <c r="AB18"/>
  <c r="AO18"/>
  <c r="DF17"/>
  <c r="AS17"/>
  <c r="BD17"/>
  <c r="AT18"/>
  <c r="BB17"/>
  <c r="CY17"/>
  <c r="BX17"/>
  <c r="J17"/>
  <c r="BE18"/>
  <c r="AG17"/>
  <c r="X17"/>
  <c r="AV17"/>
  <c r="CS17"/>
  <c r="AN17"/>
  <c r="CN17"/>
  <c r="O18"/>
  <c r="AD18"/>
  <c r="AU17"/>
  <c r="CK17"/>
  <c r="AP18"/>
  <c r="AC17"/>
  <c r="CM17"/>
  <c r="BA18"/>
  <c r="N18"/>
  <c r="CZ17"/>
  <c r="BS17"/>
  <c r="BT17"/>
  <c r="AI17"/>
  <c r="DD17"/>
  <c r="DA17"/>
  <c r="H19" l="1"/>
  <c r="J19"/>
  <c r="L19"/>
  <c r="N19"/>
  <c r="P19"/>
  <c r="S19"/>
  <c r="U19"/>
  <c r="Y19"/>
  <c r="AA19"/>
  <c r="AC19"/>
  <c r="AF19"/>
  <c r="AI19"/>
  <c r="AN19"/>
  <c r="AP19"/>
  <c r="AR19"/>
  <c r="AT19"/>
  <c r="AV19"/>
  <c r="AX19"/>
  <c r="AZ19"/>
  <c r="BB19"/>
  <c r="BD19"/>
  <c r="BI19"/>
  <c r="BR19"/>
  <c r="BT19"/>
  <c r="BV19"/>
  <c r="BX19"/>
  <c r="BZ19"/>
  <c r="CB19"/>
  <c r="CD19"/>
  <c r="CF19"/>
  <c r="CH19"/>
  <c r="CJ19"/>
  <c r="CL19"/>
  <c r="CN19"/>
  <c r="CP19"/>
  <c r="CR19"/>
  <c r="CT19"/>
  <c r="CV19"/>
  <c r="CX19"/>
  <c r="CZ19"/>
  <c r="DB19"/>
  <c r="DD19"/>
  <c r="DF19"/>
  <c r="G19"/>
  <c r="Q17"/>
  <c r="I19"/>
  <c r="K19"/>
  <c r="M19"/>
  <c r="O19"/>
  <c r="T19"/>
  <c r="V19"/>
  <c r="X19"/>
  <c r="Z19"/>
  <c r="AB19"/>
  <c r="AD19"/>
  <c r="AG19"/>
  <c r="AJ19"/>
  <c r="AM19"/>
  <c r="BF17"/>
  <c r="AO19"/>
  <c r="AQ19"/>
  <c r="AS19"/>
  <c r="AU19"/>
  <c r="AW19"/>
  <c r="AY19"/>
  <c r="BA19"/>
  <c r="BC19"/>
  <c r="BE19"/>
  <c r="BH19"/>
  <c r="BJ17"/>
  <c r="BO19"/>
  <c r="BS19"/>
  <c r="BU19"/>
  <c r="BW19"/>
  <c r="BY19"/>
  <c r="CA19"/>
  <c r="CC19"/>
  <c r="CE19"/>
  <c r="CG19"/>
  <c r="CI19"/>
  <c r="CK19"/>
  <c r="CM19"/>
  <c r="CO19"/>
  <c r="CQ19"/>
  <c r="CS19"/>
  <c r="CU19"/>
  <c r="CW19"/>
  <c r="CY19"/>
  <c r="DA19"/>
  <c r="DC19"/>
  <c r="DE19"/>
  <c r="Q18"/>
  <c r="BF18"/>
  <c r="BJ18"/>
  <c r="H31" i="36"/>
  <c r="BJ19" i="71" l="1"/>
  <c r="BF19"/>
  <c r="Q19"/>
  <c r="D13" l="1"/>
  <c r="D12"/>
  <c r="BP13"/>
  <c r="CE12"/>
  <c r="CM13"/>
  <c r="L13"/>
  <c r="H13"/>
  <c r="CQ12"/>
  <c r="CS13"/>
  <c r="AS12"/>
  <c r="X12"/>
  <c r="CO13"/>
  <c r="AP12"/>
  <c r="BE13"/>
  <c r="BO13"/>
  <c r="CW13"/>
  <c r="AQ13"/>
  <c r="AO13"/>
  <c r="CZ12"/>
  <c r="T13"/>
  <c r="I12"/>
  <c r="CN12"/>
  <c r="BB12"/>
  <c r="BU12"/>
  <c r="CM12"/>
  <c r="AT13"/>
  <c r="AU13"/>
  <c r="BT12"/>
  <c r="CW12"/>
  <c r="CV13"/>
  <c r="AO12"/>
  <c r="J13"/>
  <c r="AD12"/>
  <c r="CF13"/>
  <c r="BW12"/>
  <c r="Z13"/>
  <c r="CP12"/>
  <c r="AG13"/>
  <c r="CG12"/>
  <c r="AT12"/>
  <c r="AW13"/>
  <c r="CO12"/>
  <c r="CR12"/>
  <c r="AY12"/>
  <c r="AV12"/>
  <c r="P13"/>
  <c r="CI12"/>
  <c r="AV13"/>
  <c r="AA13"/>
  <c r="K12"/>
  <c r="N12"/>
  <c r="DD13"/>
  <c r="CX13"/>
  <c r="CT12"/>
  <c r="H12"/>
  <c r="G13"/>
  <c r="X13"/>
  <c r="DF13"/>
  <c r="Z12"/>
  <c r="CX12"/>
  <c r="M12"/>
  <c r="BZ13"/>
  <c r="CY12"/>
  <c r="BC13"/>
  <c r="BI12"/>
  <c r="P12"/>
  <c r="AR13"/>
  <c r="AN13"/>
  <c r="AI13"/>
  <c r="CD13"/>
  <c r="CF12"/>
  <c r="BD12"/>
  <c r="AZ13"/>
  <c r="BT13"/>
  <c r="AB13"/>
  <c r="AJ12"/>
  <c r="CN13"/>
  <c r="CG13"/>
  <c r="CY13"/>
  <c r="BY12"/>
  <c r="BQ13"/>
  <c r="DB12"/>
  <c r="BR12"/>
  <c r="L12"/>
  <c r="DF12"/>
  <c r="CJ13"/>
  <c r="CB12"/>
  <c r="I13"/>
  <c r="CJ12"/>
  <c r="BS13"/>
  <c r="CL12"/>
  <c r="CH12"/>
  <c r="DE12"/>
  <c r="DA12"/>
  <c r="AU12"/>
  <c r="CC13"/>
  <c r="AR12"/>
  <c r="CU13"/>
  <c r="V13"/>
  <c r="AM13"/>
  <c r="CI13"/>
  <c r="CL13"/>
  <c r="BS12"/>
  <c r="AM12"/>
  <c r="BZ12"/>
  <c r="Y13"/>
  <c r="CD12"/>
  <c r="BV13"/>
  <c r="AF12"/>
  <c r="J12"/>
  <c r="AN12"/>
  <c r="BY13"/>
  <c r="CA12"/>
  <c r="M13"/>
  <c r="BX12"/>
  <c r="BI13"/>
  <c r="AW12"/>
  <c r="O12"/>
  <c r="CQ13"/>
  <c r="BR13"/>
  <c r="AS13"/>
  <c r="CZ13"/>
  <c r="CH13"/>
  <c r="AY13"/>
  <c r="BU13"/>
  <c r="CA13"/>
  <c r="BE12"/>
  <c r="CE13"/>
  <c r="BX13"/>
  <c r="DA13"/>
  <c r="S13"/>
  <c r="N13"/>
  <c r="BV12"/>
  <c r="BA13"/>
  <c r="AC12"/>
  <c r="BA12"/>
  <c r="Y12"/>
  <c r="AX12"/>
  <c r="BB13"/>
  <c r="CK12"/>
  <c r="AI12"/>
  <c r="CP13"/>
  <c r="AF13"/>
  <c r="AX13"/>
  <c r="BH13"/>
  <c r="AZ12"/>
  <c r="CK13"/>
  <c r="CT13"/>
  <c r="AG12"/>
  <c r="CC12"/>
  <c r="DC12"/>
  <c r="AC13"/>
  <c r="AJ13"/>
  <c r="CU12"/>
  <c r="O13"/>
  <c r="CS12"/>
  <c r="CB13"/>
  <c r="DD12"/>
  <c r="DB13"/>
  <c r="BD13"/>
  <c r="W13"/>
  <c r="CR13"/>
  <c r="DC13"/>
  <c r="CV12"/>
  <c r="AQ12"/>
  <c r="K13"/>
  <c r="DE13"/>
  <c r="AA12"/>
  <c r="AD13"/>
  <c r="BW13"/>
  <c r="U13"/>
  <c r="AP13"/>
  <c r="H14" l="1"/>
  <c r="J14"/>
  <c r="L14"/>
  <c r="N14"/>
  <c r="P14"/>
  <c r="Y14"/>
  <c r="AA14"/>
  <c r="AC14"/>
  <c r="AF14"/>
  <c r="AI14"/>
  <c r="AN14"/>
  <c r="AP14"/>
  <c r="AR14"/>
  <c r="AT14"/>
  <c r="AV14"/>
  <c r="AX14"/>
  <c r="AZ14"/>
  <c r="BB14"/>
  <c r="BD14"/>
  <c r="BI14"/>
  <c r="BR14"/>
  <c r="BT14"/>
  <c r="BV14"/>
  <c r="BX14"/>
  <c r="BZ14"/>
  <c r="CB14"/>
  <c r="CD14"/>
  <c r="CF14"/>
  <c r="CH14"/>
  <c r="CJ14"/>
  <c r="CL14"/>
  <c r="CN14"/>
  <c r="CP14"/>
  <c r="CR14"/>
  <c r="CT14"/>
  <c r="CV14"/>
  <c r="CX14"/>
  <c r="CZ14"/>
  <c r="DB14"/>
  <c r="DD14"/>
  <c r="DF14"/>
  <c r="Q13"/>
  <c r="I14"/>
  <c r="K14"/>
  <c r="M14"/>
  <c r="O14"/>
  <c r="X14"/>
  <c r="Z14"/>
  <c r="AD14"/>
  <c r="AG14"/>
  <c r="AJ14"/>
  <c r="AM14"/>
  <c r="AO14"/>
  <c r="AQ14"/>
  <c r="AS14"/>
  <c r="AU14"/>
  <c r="AW14"/>
  <c r="AY14"/>
  <c r="BA14"/>
  <c r="BE14"/>
  <c r="BS14"/>
  <c r="BU14"/>
  <c r="BW14"/>
  <c r="BY14"/>
  <c r="CA14"/>
  <c r="CC14"/>
  <c r="CE14"/>
  <c r="CG14"/>
  <c r="CI14"/>
  <c r="CK14"/>
  <c r="CM14"/>
  <c r="CO14"/>
  <c r="CQ14"/>
  <c r="CS14"/>
  <c r="CU14"/>
  <c r="CW14"/>
  <c r="CY14"/>
  <c r="DA14"/>
  <c r="DC14"/>
  <c r="DE14"/>
  <c r="AK13"/>
  <c r="BF13"/>
  <c r="BJ13"/>
  <c r="BL13" l="1"/>
  <c r="D10"/>
  <c r="D9"/>
  <c r="DC4"/>
  <c r="CY4"/>
  <c r="CU4"/>
  <c r="CQ4"/>
  <c r="CM4"/>
  <c r="CI4"/>
  <c r="CE4"/>
  <c r="CA4"/>
  <c r="BW4"/>
  <c r="BS4"/>
  <c r="BO4"/>
  <c r="BL4"/>
  <c r="BI4"/>
  <c r="BH4"/>
  <c r="BE4"/>
  <c r="BD4"/>
  <c r="BC4"/>
  <c r="BB4"/>
  <c r="BA4"/>
  <c r="AZ4"/>
  <c r="AY4"/>
  <c r="AX4"/>
  <c r="AW4"/>
  <c r="AV4"/>
  <c r="AU4"/>
  <c r="AT4"/>
  <c r="AS4"/>
  <c r="AR4"/>
  <c r="AQ4"/>
  <c r="AP4"/>
  <c r="AO4"/>
  <c r="AN4"/>
  <c r="AM4"/>
  <c r="AJ4"/>
  <c r="CA9"/>
  <c r="BS10"/>
  <c r="K9"/>
  <c r="AT10"/>
  <c r="AZ9"/>
  <c r="BV10"/>
  <c r="BV9"/>
  <c r="BA10"/>
  <c r="CI10"/>
  <c r="CN9"/>
  <c r="CA10"/>
  <c r="CW10"/>
  <c r="AW9"/>
  <c r="CP10"/>
  <c r="AS10"/>
  <c r="CN10"/>
  <c r="AF10"/>
  <c r="CC9"/>
  <c r="CM10"/>
  <c r="BU9"/>
  <c r="U10"/>
  <c r="BE10"/>
  <c r="N9"/>
  <c r="BR9"/>
  <c r="CU10"/>
  <c r="AB10"/>
  <c r="I9"/>
  <c r="AM10"/>
  <c r="CR9"/>
  <c r="BW9"/>
  <c r="CF9"/>
  <c r="CM9"/>
  <c r="BT9"/>
  <c r="AF9"/>
  <c r="CZ10"/>
  <c r="DD10"/>
  <c r="X9"/>
  <c r="CX10"/>
  <c r="CD9"/>
  <c r="H9"/>
  <c r="AG9"/>
  <c r="AM9"/>
  <c r="AJ10"/>
  <c r="CY10"/>
  <c r="CX9"/>
  <c r="AG10"/>
  <c r="Y10"/>
  <c r="AU9"/>
  <c r="CT9"/>
  <c r="J10"/>
  <c r="CH9"/>
  <c r="DB9"/>
  <c r="T10"/>
  <c r="CB10"/>
  <c r="AJ9"/>
  <c r="BI9"/>
  <c r="P10"/>
  <c r="P9"/>
  <c r="O9"/>
  <c r="J9"/>
  <c r="Z10"/>
  <c r="CH10"/>
  <c r="BI10"/>
  <c r="CU9"/>
  <c r="BY10"/>
  <c r="CG9"/>
  <c r="DE9"/>
  <c r="BE9"/>
  <c r="BR10"/>
  <c r="BX10"/>
  <c r="BD10"/>
  <c r="CP9"/>
  <c r="CL9"/>
  <c r="CY9"/>
  <c r="BA9"/>
  <c r="BY9"/>
  <c r="BB10"/>
  <c r="CL10"/>
  <c r="BW10"/>
  <c r="BO10"/>
  <c r="DC10"/>
  <c r="BZ10"/>
  <c r="AS9"/>
  <c r="BB9"/>
  <c r="BU10"/>
  <c r="AC9"/>
  <c r="Z9"/>
  <c r="AW10"/>
  <c r="AN10"/>
  <c r="CZ9"/>
  <c r="AC10"/>
  <c r="S10"/>
  <c r="AD10"/>
  <c r="CG10"/>
  <c r="CT10"/>
  <c r="AY9"/>
  <c r="CK10"/>
  <c r="DE10"/>
  <c r="BC10"/>
  <c r="AX10"/>
  <c r="CS9"/>
  <c r="CW9"/>
  <c r="AV9"/>
  <c r="L10"/>
  <c r="BX9"/>
  <c r="DF9"/>
  <c r="CB9"/>
  <c r="AR10"/>
  <c r="AQ10"/>
  <c r="CJ9"/>
  <c r="AP10"/>
  <c r="CD10"/>
  <c r="AR9"/>
  <c r="CQ10"/>
  <c r="CV9"/>
  <c r="O10"/>
  <c r="AQ9"/>
  <c r="AO10"/>
  <c r="AZ10"/>
  <c r="L9"/>
  <c r="CO10"/>
  <c r="AN9"/>
  <c r="DA9"/>
  <c r="BT10"/>
  <c r="BH10"/>
  <c r="AX9"/>
  <c r="CQ9"/>
  <c r="W10"/>
  <c r="G10"/>
  <c r="CK9"/>
  <c r="CV10"/>
  <c r="K10"/>
  <c r="CS10"/>
  <c r="BH9"/>
  <c r="DA10"/>
  <c r="I10"/>
  <c r="CJ10"/>
  <c r="AP9"/>
  <c r="DB10"/>
  <c r="H10"/>
  <c r="DF10"/>
  <c r="BS9"/>
  <c r="CI9"/>
  <c r="AU10"/>
  <c r="CR10"/>
  <c r="AV10"/>
  <c r="AY10"/>
  <c r="BZ9"/>
  <c r="BD9"/>
  <c r="AA9"/>
  <c r="AA10"/>
  <c r="CO9"/>
  <c r="AT9"/>
  <c r="CF10"/>
  <c r="V10"/>
  <c r="BQ10"/>
  <c r="DD9"/>
  <c r="M10"/>
  <c r="AI10"/>
  <c r="AD9"/>
  <c r="N10"/>
  <c r="X10"/>
  <c r="M9"/>
  <c r="BP10"/>
  <c r="AO9"/>
  <c r="CC10"/>
  <c r="CE9"/>
  <c r="Y9"/>
  <c r="DC9"/>
  <c r="CE10"/>
  <c r="I11" l="1"/>
  <c r="M11"/>
  <c r="X11"/>
  <c r="AG11"/>
  <c r="H11"/>
  <c r="J11"/>
  <c r="L11"/>
  <c r="N11"/>
  <c r="P11"/>
  <c r="Y11"/>
  <c r="AA11"/>
  <c r="AC11"/>
  <c r="AF11"/>
  <c r="AN11"/>
  <c r="AP11"/>
  <c r="AR11"/>
  <c r="AT11"/>
  <c r="AV11"/>
  <c r="AX11"/>
  <c r="AZ11"/>
  <c r="BB11"/>
  <c r="BD11"/>
  <c r="BI11"/>
  <c r="BS11"/>
  <c r="BU11"/>
  <c r="BW11"/>
  <c r="BY11"/>
  <c r="CA11"/>
  <c r="CC11"/>
  <c r="CE11"/>
  <c r="CG11"/>
  <c r="CI11"/>
  <c r="CK11"/>
  <c r="CM11"/>
  <c r="CO11"/>
  <c r="CQ11"/>
  <c r="CS11"/>
  <c r="CU11"/>
  <c r="CW11"/>
  <c r="CY11"/>
  <c r="DA11"/>
  <c r="DC11"/>
  <c r="DE11"/>
  <c r="AK10"/>
  <c r="K11"/>
  <c r="O11"/>
  <c r="Z11"/>
  <c r="AD11"/>
  <c r="AJ11"/>
  <c r="AM11"/>
  <c r="AO11"/>
  <c r="AQ11"/>
  <c r="AS11"/>
  <c r="AU11"/>
  <c r="AW11"/>
  <c r="AY11"/>
  <c r="BA11"/>
  <c r="BE11"/>
  <c r="BH11"/>
  <c r="BJ11" s="1"/>
  <c r="BJ9"/>
  <c r="BR11"/>
  <c r="BT11"/>
  <c r="BV11"/>
  <c r="BX11"/>
  <c r="BZ11"/>
  <c r="CB11"/>
  <c r="CD11"/>
  <c r="CF11"/>
  <c r="CH11"/>
  <c r="CJ11"/>
  <c r="CL11"/>
  <c r="CN11"/>
  <c r="CP11"/>
  <c r="CR11"/>
  <c r="CT11"/>
  <c r="CV11"/>
  <c r="CX11"/>
  <c r="CZ11"/>
  <c r="DB11"/>
  <c r="DD11"/>
  <c r="DF11"/>
  <c r="Q10"/>
  <c r="BF10"/>
  <c r="BJ10"/>
  <c r="AI4"/>
  <c r="AG4"/>
  <c r="AF4"/>
  <c r="AD4"/>
  <c r="AC4"/>
  <c r="AB4"/>
  <c r="AA4"/>
  <c r="Z4"/>
  <c r="Y4"/>
  <c r="X4"/>
  <c r="W4"/>
  <c r="V4"/>
  <c r="U4"/>
  <c r="T4"/>
  <c r="S4"/>
  <c r="P4"/>
  <c r="O4"/>
  <c r="N4"/>
  <c r="M4"/>
  <c r="L4"/>
  <c r="K4"/>
  <c r="J4"/>
  <c r="I4"/>
  <c r="H4"/>
  <c r="G4"/>
  <c r="E3"/>
  <c r="BL10" l="1"/>
  <c r="AM15"/>
  <c r="BL108" i="70"/>
  <c r="BL107"/>
  <c r="AM40" i="71" l="1"/>
  <c r="BL105" i="70" l="1"/>
  <c r="D104" l="1"/>
  <c r="BJ103" l="1"/>
  <c r="CR103"/>
  <c r="CP103"/>
  <c r="CU103"/>
  <c r="CN103"/>
  <c r="CV103"/>
  <c r="DC103"/>
  <c r="CY103"/>
  <c r="CH103"/>
  <c r="DA103"/>
  <c r="BU103"/>
  <c r="BY103"/>
  <c r="CA103"/>
  <c r="CK103"/>
  <c r="CC103"/>
  <c r="BP103"/>
  <c r="BS103"/>
  <c r="CE103"/>
  <c r="BV103"/>
  <c r="BO103"/>
  <c r="BZ103"/>
  <c r="CW103"/>
  <c r="BQ103"/>
  <c r="CZ103"/>
  <c r="CX103"/>
  <c r="DD103"/>
  <c r="DF103"/>
  <c r="BX103"/>
  <c r="CL103"/>
  <c r="DB103"/>
  <c r="CM103"/>
  <c r="CQ103"/>
  <c r="CO103"/>
  <c r="CS103"/>
  <c r="CB103"/>
  <c r="CT103"/>
  <c r="CF103"/>
  <c r="CI103"/>
  <c r="BW103"/>
  <c r="DE103"/>
  <c r="BT103"/>
  <c r="CG103"/>
  <c r="CJ103"/>
  <c r="BR103"/>
  <c r="CD103"/>
  <c r="DH103" l="1"/>
  <c r="AR103"/>
  <c r="Q103"/>
  <c r="D103"/>
  <c r="D102"/>
  <c r="DH101"/>
  <c r="DH100"/>
  <c r="BA102"/>
  <c r="AD102"/>
  <c r="CF102"/>
  <c r="BW102"/>
  <c r="N102"/>
  <c r="BU102"/>
  <c r="CC102"/>
  <c r="CY102"/>
  <c r="BV102"/>
  <c r="CN102"/>
  <c r="CD102"/>
  <c r="BS102"/>
  <c r="DC102"/>
  <c r="CM102"/>
  <c r="DA102"/>
  <c r="AF102"/>
  <c r="CL102"/>
  <c r="CI102"/>
  <c r="AG102"/>
  <c r="AA102"/>
  <c r="S102"/>
  <c r="CT102"/>
  <c r="L102"/>
  <c r="M102"/>
  <c r="AB102"/>
  <c r="AU102"/>
  <c r="P102"/>
  <c r="BY102"/>
  <c r="DB102"/>
  <c r="CV102"/>
  <c r="AY102"/>
  <c r="CH102"/>
  <c r="CA102"/>
  <c r="H102"/>
  <c r="AJ102"/>
  <c r="BB102"/>
  <c r="BE102"/>
  <c r="AX102"/>
  <c r="BP102"/>
  <c r="CZ102"/>
  <c r="DD102"/>
  <c r="BX102"/>
  <c r="BD102"/>
  <c r="CK102"/>
  <c r="CU102"/>
  <c r="CO102"/>
  <c r="AP102"/>
  <c r="CS102"/>
  <c r="BH102"/>
  <c r="BO102"/>
  <c r="G102"/>
  <c r="AN102"/>
  <c r="AQ102"/>
  <c r="CB102"/>
  <c r="BZ102"/>
  <c r="CJ102"/>
  <c r="CG102"/>
  <c r="O102"/>
  <c r="K102"/>
  <c r="BQ102"/>
  <c r="T102"/>
  <c r="CP102"/>
  <c r="I102"/>
  <c r="AZ102"/>
  <c r="J102"/>
  <c r="BC102"/>
  <c r="AR102"/>
  <c r="AC102"/>
  <c r="CR102"/>
  <c r="AV102"/>
  <c r="AT102"/>
  <c r="AM102"/>
  <c r="CQ102"/>
  <c r="CX102"/>
  <c r="BR102"/>
  <c r="CE102"/>
  <c r="DF102"/>
  <c r="DE102"/>
  <c r="AW102"/>
  <c r="AS102"/>
  <c r="CW102"/>
  <c r="AO102"/>
  <c r="AI102"/>
  <c r="I104" l="1"/>
  <c r="M104"/>
  <c r="AB104"/>
  <c r="AG104"/>
  <c r="AM104"/>
  <c r="BF102"/>
  <c r="H104"/>
  <c r="J104"/>
  <c r="L104"/>
  <c r="N104"/>
  <c r="P104"/>
  <c r="S104"/>
  <c r="AA104"/>
  <c r="AC104"/>
  <c r="AF104"/>
  <c r="AI104"/>
  <c r="AN104"/>
  <c r="AP104"/>
  <c r="AR104"/>
  <c r="AV104"/>
  <c r="AX104"/>
  <c r="AZ104"/>
  <c r="BB104"/>
  <c r="BD104"/>
  <c r="BO104"/>
  <c r="BQ104"/>
  <c r="BS104"/>
  <c r="BU104"/>
  <c r="BW104"/>
  <c r="BY104"/>
  <c r="CA104"/>
  <c r="CC104"/>
  <c r="CE104"/>
  <c r="CG104"/>
  <c r="CI104"/>
  <c r="CK104"/>
  <c r="CM104"/>
  <c r="CO104"/>
  <c r="CQ104"/>
  <c r="CS104"/>
  <c r="CU104"/>
  <c r="CW104"/>
  <c r="CY104"/>
  <c r="DA104"/>
  <c r="DC104"/>
  <c r="DE104"/>
  <c r="G104"/>
  <c r="Q102"/>
  <c r="K104"/>
  <c r="O104"/>
  <c r="AD104"/>
  <c r="AJ104"/>
  <c r="AO104"/>
  <c r="AW104"/>
  <c r="AY104"/>
  <c r="BA104"/>
  <c r="BC104"/>
  <c r="BE104"/>
  <c r="BH104"/>
  <c r="BP104"/>
  <c r="BR104"/>
  <c r="BV104"/>
  <c r="BX104"/>
  <c r="BZ104"/>
  <c r="CB104"/>
  <c r="CD104"/>
  <c r="CF104"/>
  <c r="CH104"/>
  <c r="CJ104"/>
  <c r="CL104"/>
  <c r="CN104"/>
  <c r="CP104"/>
  <c r="CR104"/>
  <c r="CT104"/>
  <c r="CV104"/>
  <c r="CX104"/>
  <c r="CZ104"/>
  <c r="DB104"/>
  <c r="DD104"/>
  <c r="DF104"/>
  <c r="Q104" l="1"/>
  <c r="D99" l="1"/>
  <c r="DE98"/>
  <c r="CX98"/>
  <c r="CU98"/>
  <c r="BX98"/>
  <c r="CN98"/>
  <c r="DB98"/>
  <c r="CJ98"/>
  <c r="BR98"/>
  <c r="CS98"/>
  <c r="BQ98"/>
  <c r="CW98"/>
  <c r="CG98"/>
  <c r="CO98"/>
  <c r="CH98"/>
  <c r="CV98"/>
  <c r="CA98"/>
  <c r="DC98"/>
  <c r="CD98"/>
  <c r="DD98"/>
  <c r="CC98"/>
  <c r="BP98"/>
  <c r="CR98"/>
  <c r="BS98"/>
  <c r="CZ98"/>
  <c r="DF98"/>
  <c r="CM98"/>
  <c r="CE98"/>
  <c r="BY98"/>
  <c r="BW98"/>
  <c r="CP98"/>
  <c r="CT98"/>
  <c r="BT98"/>
  <c r="CL98"/>
  <c r="BU98"/>
  <c r="CQ98"/>
  <c r="BZ98"/>
  <c r="BV98"/>
  <c r="CB98"/>
  <c r="BO98"/>
  <c r="CK98"/>
  <c r="DA98"/>
  <c r="CI98"/>
  <c r="CF98"/>
  <c r="D98" l="1"/>
  <c r="DH97"/>
  <c r="D96"/>
  <c r="DH95"/>
  <c r="DH94"/>
  <c r="BL94"/>
  <c r="J98"/>
  <c r="BY96"/>
  <c r="G98"/>
  <c r="AT96"/>
  <c r="CE96"/>
  <c r="AZ96"/>
  <c r="AQ96"/>
  <c r="X96"/>
  <c r="CB96"/>
  <c r="T98"/>
  <c r="AW98"/>
  <c r="DC96"/>
  <c r="CW96"/>
  <c r="AX98"/>
  <c r="AJ98"/>
  <c r="AA96"/>
  <c r="CU96"/>
  <c r="BE98"/>
  <c r="O96"/>
  <c r="DA96"/>
  <c r="CN96"/>
  <c r="G96"/>
  <c r="AT98"/>
  <c r="BT96"/>
  <c r="K98"/>
  <c r="AV96"/>
  <c r="N98"/>
  <c r="CZ96"/>
  <c r="DB96"/>
  <c r="CV96"/>
  <c r="AM98"/>
  <c r="CX96"/>
  <c r="Y98"/>
  <c r="AN96"/>
  <c r="Z98"/>
  <c r="BW96"/>
  <c r="O98"/>
  <c r="AX96"/>
  <c r="AG98"/>
  <c r="J96"/>
  <c r="AI96"/>
  <c r="AR98"/>
  <c r="AJ96"/>
  <c r="CS96"/>
  <c r="CK96"/>
  <c r="AM96"/>
  <c r="AN98"/>
  <c r="AI98"/>
  <c r="AZ98"/>
  <c r="CT96"/>
  <c r="L98"/>
  <c r="CI96"/>
  <c r="BS96"/>
  <c r="BI96"/>
  <c r="CO96"/>
  <c r="AB98"/>
  <c r="BQ96"/>
  <c r="BA98"/>
  <c r="Z96"/>
  <c r="AC96"/>
  <c r="S96"/>
  <c r="CF96"/>
  <c r="H96"/>
  <c r="BZ96"/>
  <c r="BA96"/>
  <c r="BH98"/>
  <c r="AB96"/>
  <c r="N96"/>
  <c r="CD96"/>
  <c r="CL96"/>
  <c r="AY98"/>
  <c r="CP96"/>
  <c r="DE96"/>
  <c r="BE96"/>
  <c r="AQ98"/>
  <c r="AC98"/>
  <c r="X98"/>
  <c r="K96"/>
  <c r="BU96"/>
  <c r="P98"/>
  <c r="AW96"/>
  <c r="AR96"/>
  <c r="L96"/>
  <c r="T96"/>
  <c r="AO98"/>
  <c r="BD96"/>
  <c r="DF96"/>
  <c r="CQ96"/>
  <c r="BX96"/>
  <c r="AS98"/>
  <c r="BI98"/>
  <c r="DD96"/>
  <c r="AF98"/>
  <c r="CJ96"/>
  <c r="CG96"/>
  <c r="AU98"/>
  <c r="BV96"/>
  <c r="AY96"/>
  <c r="P96"/>
  <c r="M98"/>
  <c r="BD98"/>
  <c r="CH96"/>
  <c r="AA98"/>
  <c r="AS96"/>
  <c r="BC96"/>
  <c r="CA96"/>
  <c r="AP96"/>
  <c r="AO96"/>
  <c r="AU96"/>
  <c r="BP96"/>
  <c r="M96"/>
  <c r="BB98"/>
  <c r="BC98"/>
  <c r="BB96"/>
  <c r="CC96"/>
  <c r="CM96"/>
  <c r="CR96"/>
  <c r="AD98"/>
  <c r="BO96"/>
  <c r="I98"/>
  <c r="I96"/>
  <c r="W98"/>
  <c r="Y96"/>
  <c r="H98"/>
  <c r="BR96"/>
  <c r="S98"/>
  <c r="AV98"/>
  <c r="I99" l="1"/>
  <c r="M99"/>
  <c r="Z99"/>
  <c r="H99"/>
  <c r="J99"/>
  <c r="L99"/>
  <c r="N99"/>
  <c r="P99"/>
  <c r="S99"/>
  <c r="Y99"/>
  <c r="AA99"/>
  <c r="AC99"/>
  <c r="AI99"/>
  <c r="AN99"/>
  <c r="AR99"/>
  <c r="AT99"/>
  <c r="AV99"/>
  <c r="AX99"/>
  <c r="AZ99"/>
  <c r="BB99"/>
  <c r="BD99"/>
  <c r="BI99"/>
  <c r="BO99"/>
  <c r="BQ99"/>
  <c r="BS99"/>
  <c r="BU99"/>
  <c r="BW99"/>
  <c r="BY99"/>
  <c r="CA99"/>
  <c r="CC99"/>
  <c r="CE99"/>
  <c r="CG99"/>
  <c r="CI99"/>
  <c r="CK99"/>
  <c r="CM99"/>
  <c r="CO99"/>
  <c r="CQ99"/>
  <c r="CS99"/>
  <c r="CU99"/>
  <c r="CW99"/>
  <c r="DA99"/>
  <c r="DC99"/>
  <c r="DE99"/>
  <c r="Q98"/>
  <c r="G99"/>
  <c r="Q96"/>
  <c r="K99"/>
  <c r="O99"/>
  <c r="T99"/>
  <c r="X99"/>
  <c r="AB99"/>
  <c r="AJ99"/>
  <c r="AM99"/>
  <c r="BF96"/>
  <c r="AO99"/>
  <c r="AQ99"/>
  <c r="AS99"/>
  <c r="AU99"/>
  <c r="AW99"/>
  <c r="AY99"/>
  <c r="BA99"/>
  <c r="BC99"/>
  <c r="BE99"/>
  <c r="BP99"/>
  <c r="BR99"/>
  <c r="BT99"/>
  <c r="BV99"/>
  <c r="BX99"/>
  <c r="BZ99"/>
  <c r="CB99"/>
  <c r="CD99"/>
  <c r="CF99"/>
  <c r="CH99"/>
  <c r="CJ99"/>
  <c r="CL99"/>
  <c r="CN99"/>
  <c r="CP99"/>
  <c r="CR99"/>
  <c r="CT99"/>
  <c r="CV99"/>
  <c r="CX99"/>
  <c r="CZ99"/>
  <c r="DB99"/>
  <c r="DD99"/>
  <c r="DF99"/>
  <c r="BJ98"/>
  <c r="Q99" l="1"/>
  <c r="D93" l="1"/>
  <c r="BO92"/>
  <c r="DF92"/>
  <c r="BV92"/>
  <c r="CX92"/>
  <c r="CQ92"/>
  <c r="CI92"/>
  <c r="DA92"/>
  <c r="CZ92"/>
  <c r="CO92"/>
  <c r="CD92"/>
  <c r="DB92"/>
  <c r="BT92"/>
  <c r="BZ92"/>
  <c r="CC92"/>
  <c r="CB92"/>
  <c r="CJ92"/>
  <c r="CL92"/>
  <c r="CU92"/>
  <c r="CS92"/>
  <c r="BW92"/>
  <c r="BR92"/>
  <c r="CP92"/>
  <c r="CM92"/>
  <c r="CF92"/>
  <c r="CT92"/>
  <c r="BP92"/>
  <c r="CY92"/>
  <c r="BX92"/>
  <c r="CR92"/>
  <c r="CV92"/>
  <c r="CK92"/>
  <c r="DE92"/>
  <c r="CN92"/>
  <c r="CH92"/>
  <c r="BQ92"/>
  <c r="CE92"/>
  <c r="CG92"/>
  <c r="CW92"/>
  <c r="BY92"/>
  <c r="BS92"/>
  <c r="DD92"/>
  <c r="DC92"/>
  <c r="BU92"/>
  <c r="CA92"/>
  <c r="D92" l="1"/>
  <c r="O92"/>
  <c r="Z92"/>
  <c r="BE92"/>
  <c r="AU92"/>
  <c r="X92"/>
  <c r="P92"/>
  <c r="CU91"/>
  <c r="BC92"/>
  <c r="AJ92"/>
  <c r="N92"/>
  <c r="H92"/>
  <c r="AC92"/>
  <c r="CO91"/>
  <c r="J92"/>
  <c r="CA91"/>
  <c r="CJ91"/>
  <c r="CS91"/>
  <c r="M92"/>
  <c r="W92"/>
  <c r="BD92"/>
  <c r="CB91"/>
  <c r="AM92"/>
  <c r="BI92"/>
  <c r="AB92"/>
  <c r="CH91"/>
  <c r="AP92"/>
  <c r="BP91"/>
  <c r="CM91"/>
  <c r="CF91"/>
  <c r="BQ91"/>
  <c r="CP91"/>
  <c r="CN91"/>
  <c r="AV92"/>
  <c r="BV91"/>
  <c r="I92"/>
  <c r="AF92"/>
  <c r="BX91"/>
  <c r="BW91"/>
  <c r="V92"/>
  <c r="BO91"/>
  <c r="AZ92"/>
  <c r="BR91"/>
  <c r="DD91"/>
  <c r="AD92"/>
  <c r="AS92"/>
  <c r="CT91"/>
  <c r="CK91"/>
  <c r="DC91"/>
  <c r="AW92"/>
  <c r="S92"/>
  <c r="DA91"/>
  <c r="BZ91"/>
  <c r="CZ91"/>
  <c r="CE91"/>
  <c r="CD91"/>
  <c r="AN92"/>
  <c r="AQ92"/>
  <c r="BU91"/>
  <c r="CC91"/>
  <c r="U92"/>
  <c r="AI92"/>
  <c r="CY91"/>
  <c r="AO92"/>
  <c r="CX91"/>
  <c r="AR92"/>
  <c r="CQ91"/>
  <c r="AA92"/>
  <c r="BY91"/>
  <c r="CI91"/>
  <c r="K92"/>
  <c r="CG91"/>
  <c r="BA92"/>
  <c r="DB91"/>
  <c r="CR91"/>
  <c r="CL91"/>
  <c r="Y92"/>
  <c r="BH91"/>
  <c r="G92"/>
  <c r="AX92"/>
  <c r="BS91"/>
  <c r="CW91"/>
  <c r="AG92"/>
  <c r="CV91"/>
  <c r="DE91"/>
  <c r="BT91"/>
  <c r="AY92"/>
  <c r="L92"/>
  <c r="DF91"/>
  <c r="AT92"/>
  <c r="BB92"/>
  <c r="Q92" l="1"/>
  <c r="BF92"/>
  <c r="AA91"/>
  <c r="BC91"/>
  <c r="AY91"/>
  <c r="AJ91"/>
  <c r="AO91"/>
  <c r="AS91"/>
  <c r="AW91"/>
  <c r="AQ91"/>
  <c r="BE91"/>
  <c r="V91"/>
  <c r="AI91"/>
  <c r="AM91"/>
  <c r="AN91"/>
  <c r="AF91"/>
  <c r="AU91"/>
  <c r="AV91"/>
  <c r="AG91"/>
  <c r="Z91"/>
  <c r="AT91"/>
  <c r="AB91"/>
  <c r="AC91"/>
  <c r="U91"/>
  <c r="AR91"/>
  <c r="AD91"/>
  <c r="BB91"/>
  <c r="W91"/>
  <c r="BD91"/>
  <c r="AX91"/>
  <c r="X91"/>
  <c r="S91"/>
  <c r="AP91"/>
  <c r="AZ91"/>
  <c r="Y91"/>
  <c r="BA91"/>
  <c r="BF91" l="1"/>
  <c r="D91"/>
  <c r="BL90"/>
  <c r="D89"/>
  <c r="BL87"/>
  <c r="BL86"/>
  <c r="BL85"/>
  <c r="BF83"/>
  <c r="AR89"/>
  <c r="CY89"/>
  <c r="CS89"/>
  <c r="T89"/>
  <c r="AW89"/>
  <c r="M91"/>
  <c r="BR89"/>
  <c r="BC89"/>
  <c r="G89"/>
  <c r="AQ89"/>
  <c r="L89"/>
  <c r="CD89"/>
  <c r="BW89"/>
  <c r="BB89"/>
  <c r="AZ89"/>
  <c r="Y89"/>
  <c r="N91"/>
  <c r="CX89"/>
  <c r="AB89"/>
  <c r="BE89"/>
  <c r="Z89"/>
  <c r="AJ89"/>
  <c r="I89"/>
  <c r="BV89"/>
  <c r="W89"/>
  <c r="M89"/>
  <c r="BZ89"/>
  <c r="K91"/>
  <c r="H89"/>
  <c r="N89"/>
  <c r="CR89"/>
  <c r="CU89"/>
  <c r="BY89"/>
  <c r="CW89"/>
  <c r="AP89"/>
  <c r="DC89"/>
  <c r="CJ89"/>
  <c r="AV89"/>
  <c r="AY89"/>
  <c r="CC89"/>
  <c r="BO89"/>
  <c r="CA89"/>
  <c r="BI89"/>
  <c r="CP89"/>
  <c r="CE89"/>
  <c r="AD89"/>
  <c r="CZ89"/>
  <c r="CH89"/>
  <c r="BT89"/>
  <c r="AF89"/>
  <c r="CF89"/>
  <c r="CQ89"/>
  <c r="L91"/>
  <c r="P89"/>
  <c r="O89"/>
  <c r="AC89"/>
  <c r="I91"/>
  <c r="DD89"/>
  <c r="BH89"/>
  <c r="CI89"/>
  <c r="BP89"/>
  <c r="O91"/>
  <c r="DA89"/>
  <c r="BA89"/>
  <c r="S89"/>
  <c r="CL89"/>
  <c r="BX89"/>
  <c r="U89"/>
  <c r="G91"/>
  <c r="AO89"/>
  <c r="P91"/>
  <c r="CN89"/>
  <c r="BS89"/>
  <c r="K89"/>
  <c r="J89"/>
  <c r="DB89"/>
  <c r="BD89"/>
  <c r="AN89"/>
  <c r="AS89"/>
  <c r="CG89"/>
  <c r="CT89"/>
  <c r="CK89"/>
  <c r="H91"/>
  <c r="AU89"/>
  <c r="DE89"/>
  <c r="AX89"/>
  <c r="CB89"/>
  <c r="CO89"/>
  <c r="V89"/>
  <c r="DF89"/>
  <c r="AI89"/>
  <c r="AT89"/>
  <c r="AA89"/>
  <c r="CV89"/>
  <c r="BU89"/>
  <c r="AM89"/>
  <c r="J91"/>
  <c r="AG89"/>
  <c r="BQ89"/>
  <c r="CM89"/>
  <c r="X89"/>
  <c r="H93" l="1"/>
  <c r="J93"/>
  <c r="L93"/>
  <c r="N93"/>
  <c r="P93"/>
  <c r="P106" s="1"/>
  <c r="S93"/>
  <c r="AK89"/>
  <c r="U93"/>
  <c r="W93"/>
  <c r="Y93"/>
  <c r="AA93"/>
  <c r="AC93"/>
  <c r="AF93"/>
  <c r="AI93"/>
  <c r="AN93"/>
  <c r="AP93"/>
  <c r="AR93"/>
  <c r="AR106" s="1"/>
  <c r="AT93"/>
  <c r="AV93"/>
  <c r="AX93"/>
  <c r="AZ93"/>
  <c r="BB93"/>
  <c r="BB106" s="1"/>
  <c r="BD93"/>
  <c r="BO93"/>
  <c r="BQ93"/>
  <c r="BS93"/>
  <c r="BU93"/>
  <c r="BW93"/>
  <c r="BY93"/>
  <c r="CA93"/>
  <c r="CC93"/>
  <c r="CE93"/>
  <c r="CG93"/>
  <c r="CI93"/>
  <c r="CK93"/>
  <c r="CM93"/>
  <c r="CO93"/>
  <c r="CQ93"/>
  <c r="CS93"/>
  <c r="CU93"/>
  <c r="CW93"/>
  <c r="CY93"/>
  <c r="DA93"/>
  <c r="DC93"/>
  <c r="DE93"/>
  <c r="Q91"/>
  <c r="G93"/>
  <c r="Q89"/>
  <c r="I93"/>
  <c r="K93"/>
  <c r="M93"/>
  <c r="O93"/>
  <c r="V93"/>
  <c r="X93"/>
  <c r="Z93"/>
  <c r="AB93"/>
  <c r="AD93"/>
  <c r="AG93"/>
  <c r="AJ93"/>
  <c r="AM93"/>
  <c r="BF89"/>
  <c r="AO93"/>
  <c r="AQ93"/>
  <c r="AS93"/>
  <c r="AU93"/>
  <c r="AW93"/>
  <c r="AY93"/>
  <c r="BA93"/>
  <c r="BA106" s="1"/>
  <c r="BC93"/>
  <c r="BE93"/>
  <c r="BJ89"/>
  <c r="BP93"/>
  <c r="BR93"/>
  <c r="BT93"/>
  <c r="BV93"/>
  <c r="BX93"/>
  <c r="BZ93"/>
  <c r="CB93"/>
  <c r="CD93"/>
  <c r="CF93"/>
  <c r="CH93"/>
  <c r="CJ93"/>
  <c r="CL93"/>
  <c r="CN93"/>
  <c r="CP93"/>
  <c r="CR93"/>
  <c r="CT93"/>
  <c r="CV93"/>
  <c r="CX93"/>
  <c r="CZ93"/>
  <c r="DB93"/>
  <c r="DD93"/>
  <c r="DF93"/>
  <c r="I110" i="59"/>
  <c r="AZ106" i="70" l="1"/>
  <c r="BL89"/>
  <c r="BO106"/>
  <c r="DH93"/>
  <c r="AY106"/>
  <c r="AX106" s="1"/>
  <c r="AW106" s="1"/>
  <c r="AV106" s="1"/>
  <c r="BF93"/>
  <c r="Q93"/>
  <c r="O106"/>
  <c r="N106" s="1"/>
  <c r="M106" s="1"/>
  <c r="L106" s="1"/>
  <c r="K106" s="1"/>
  <c r="J106" s="1"/>
  <c r="I106" s="1"/>
  <c r="H106" s="1"/>
  <c r="G106" s="1"/>
  <c r="Q106" s="1"/>
  <c r="D82" l="1"/>
  <c r="BR81"/>
  <c r="DF81"/>
  <c r="CN81"/>
  <c r="BZ81"/>
  <c r="CU81"/>
  <c r="CH81"/>
  <c r="CT81"/>
  <c r="CZ81"/>
  <c r="BS81"/>
  <c r="CL81"/>
  <c r="CR81"/>
  <c r="DA81"/>
  <c r="CP81"/>
  <c r="CM81"/>
  <c r="CW81"/>
  <c r="DE81"/>
  <c r="CD81"/>
  <c r="CE81"/>
  <c r="CV81"/>
  <c r="DB81"/>
  <c r="BU81"/>
  <c r="CY81"/>
  <c r="CC81"/>
  <c r="BW81"/>
  <c r="BY81"/>
  <c r="CO81"/>
  <c r="CF81"/>
  <c r="CA81"/>
  <c r="CK81"/>
  <c r="CQ81"/>
  <c r="CS81"/>
  <c r="CJ81"/>
  <c r="BX81"/>
  <c r="BT81"/>
  <c r="DD81"/>
  <c r="CI81"/>
  <c r="CB81"/>
  <c r="CG81"/>
  <c r="BV81"/>
  <c r="DC81"/>
  <c r="CX81"/>
  <c r="D81" l="1"/>
  <c r="DH80"/>
  <c r="BL80"/>
  <c r="D79"/>
  <c r="DH78"/>
  <c r="BL78"/>
  <c r="DH77"/>
  <c r="BL77"/>
  <c r="AF79"/>
  <c r="BE79"/>
  <c r="J79"/>
  <c r="DD79"/>
  <c r="AA79"/>
  <c r="CB79"/>
  <c r="L79"/>
  <c r="AR79"/>
  <c r="AF81"/>
  <c r="AD81"/>
  <c r="G81"/>
  <c r="CM79"/>
  <c r="BR79"/>
  <c r="AZ81"/>
  <c r="BX79"/>
  <c r="S81"/>
  <c r="AT79"/>
  <c r="AN79"/>
  <c r="AW79"/>
  <c r="P81"/>
  <c r="I81"/>
  <c r="M79"/>
  <c r="BA81"/>
  <c r="AB81"/>
  <c r="K81"/>
  <c r="AW81"/>
  <c r="BT79"/>
  <c r="V79"/>
  <c r="CE79"/>
  <c r="BB79"/>
  <c r="S79"/>
  <c r="AT81"/>
  <c r="AO81"/>
  <c r="M81"/>
  <c r="CR79"/>
  <c r="BU79"/>
  <c r="CZ79"/>
  <c r="AI81"/>
  <c r="AJ81"/>
  <c r="I79"/>
  <c r="CW79"/>
  <c r="BV79"/>
  <c r="CA79"/>
  <c r="DF79"/>
  <c r="AG79"/>
  <c r="AY79"/>
  <c r="AJ79"/>
  <c r="CL79"/>
  <c r="DB79"/>
  <c r="CV79"/>
  <c r="CD79"/>
  <c r="AQ79"/>
  <c r="AP81"/>
  <c r="CX79"/>
  <c r="DA79"/>
  <c r="AY81"/>
  <c r="X79"/>
  <c r="AZ79"/>
  <c r="CC79"/>
  <c r="AM79"/>
  <c r="AU79"/>
  <c r="AN81"/>
  <c r="AP79"/>
  <c r="N81"/>
  <c r="BB81"/>
  <c r="CT79"/>
  <c r="CP79"/>
  <c r="AS81"/>
  <c r="AC81"/>
  <c r="W79"/>
  <c r="Z81"/>
  <c r="N79"/>
  <c r="CN79"/>
  <c r="CQ79"/>
  <c r="CJ79"/>
  <c r="CU79"/>
  <c r="AR81"/>
  <c r="CS79"/>
  <c r="L81"/>
  <c r="AU81"/>
  <c r="BS79"/>
  <c r="H81"/>
  <c r="BA79"/>
  <c r="AM81"/>
  <c r="G79"/>
  <c r="AX79"/>
  <c r="Y79"/>
  <c r="AO79"/>
  <c r="H79"/>
  <c r="Z79"/>
  <c r="O81"/>
  <c r="AB79"/>
  <c r="AV81"/>
  <c r="BZ79"/>
  <c r="CO79"/>
  <c r="J81"/>
  <c r="AG81"/>
  <c r="CI79"/>
  <c r="Y81"/>
  <c r="BW79"/>
  <c r="AV79"/>
  <c r="X81"/>
  <c r="BD81"/>
  <c r="AD79"/>
  <c r="AI79"/>
  <c r="AA81"/>
  <c r="CK79"/>
  <c r="BD79"/>
  <c r="AX81"/>
  <c r="AQ81"/>
  <c r="BC79"/>
  <c r="BE81"/>
  <c r="DE79"/>
  <c r="CG79"/>
  <c r="BC81"/>
  <c r="O79"/>
  <c r="P79"/>
  <c r="CY79"/>
  <c r="AC79"/>
  <c r="AS79"/>
  <c r="BY79"/>
  <c r="CF79"/>
  <c r="CH79"/>
  <c r="K79"/>
  <c r="G82" l="1"/>
  <c r="Q79"/>
  <c r="I82"/>
  <c r="K82"/>
  <c r="M82"/>
  <c r="O82"/>
  <c r="X82"/>
  <c r="Z82"/>
  <c r="AB82"/>
  <c r="AD82"/>
  <c r="AG82"/>
  <c r="AJ82"/>
  <c r="AM82"/>
  <c r="BF79"/>
  <c r="AO82"/>
  <c r="AQ82"/>
  <c r="AS82"/>
  <c r="AU82"/>
  <c r="AW82"/>
  <c r="AY82"/>
  <c r="BA82"/>
  <c r="BC82"/>
  <c r="BE82"/>
  <c r="BS82"/>
  <c r="BU82"/>
  <c r="BW82"/>
  <c r="BY82"/>
  <c r="CA82"/>
  <c r="CC82"/>
  <c r="CE82"/>
  <c r="CG82"/>
  <c r="CI82"/>
  <c r="CK82"/>
  <c r="CM82"/>
  <c r="CO82"/>
  <c r="CQ82"/>
  <c r="CS82"/>
  <c r="CU82"/>
  <c r="CW82"/>
  <c r="CY82"/>
  <c r="DA82"/>
  <c r="DE82"/>
  <c r="Q81"/>
  <c r="H82"/>
  <c r="J82"/>
  <c r="L82"/>
  <c r="N82"/>
  <c r="P82"/>
  <c r="S82"/>
  <c r="Y82"/>
  <c r="AA82"/>
  <c r="AC82"/>
  <c r="AF82"/>
  <c r="AI82"/>
  <c r="AN82"/>
  <c r="AP82"/>
  <c r="AR82"/>
  <c r="AT82"/>
  <c r="AV82"/>
  <c r="AX82"/>
  <c r="AZ82"/>
  <c r="BB82"/>
  <c r="BD82"/>
  <c r="BR82"/>
  <c r="BT82"/>
  <c r="BV82"/>
  <c r="BX82"/>
  <c r="BZ82"/>
  <c r="CB82"/>
  <c r="CD82"/>
  <c r="CF82"/>
  <c r="CH82"/>
  <c r="CJ82"/>
  <c r="CL82"/>
  <c r="CN82"/>
  <c r="CP82"/>
  <c r="CR82"/>
  <c r="CT82"/>
  <c r="CV82"/>
  <c r="CX82"/>
  <c r="CZ82"/>
  <c r="DB82"/>
  <c r="DD82"/>
  <c r="DF82"/>
  <c r="BF81"/>
  <c r="Q82" l="1"/>
  <c r="BF82"/>
  <c r="D76" l="1"/>
  <c r="D75" l="1"/>
  <c r="DH74"/>
  <c r="BJ74"/>
  <c r="DH73"/>
  <c r="BQ75"/>
  <c r="AQ75"/>
  <c r="BX75"/>
  <c r="AO75"/>
  <c r="AY75"/>
  <c r="AI75"/>
  <c r="BC75"/>
  <c r="BU75"/>
  <c r="CX75"/>
  <c r="CJ75"/>
  <c r="Z75"/>
  <c r="I75"/>
  <c r="O75"/>
  <c r="CU75"/>
  <c r="CC75"/>
  <c r="AW75"/>
  <c r="BT75"/>
  <c r="L75"/>
  <c r="X75"/>
  <c r="AN75"/>
  <c r="AT75"/>
  <c r="CF75"/>
  <c r="BE75"/>
  <c r="DF75"/>
  <c r="AX75"/>
  <c r="BY75"/>
  <c r="G75"/>
  <c r="CN75"/>
  <c r="AR75"/>
  <c r="BZ75"/>
  <c r="V75"/>
  <c r="CP75"/>
  <c r="AJ75"/>
  <c r="BB75"/>
  <c r="AS75"/>
  <c r="BP75"/>
  <c r="CS75"/>
  <c r="AM75"/>
  <c r="H75"/>
  <c r="AB75"/>
  <c r="CG75"/>
  <c r="BO75"/>
  <c r="DC75"/>
  <c r="K75"/>
  <c r="J75"/>
  <c r="CA75"/>
  <c r="CO75"/>
  <c r="CQ75"/>
  <c r="CY75"/>
  <c r="CZ75"/>
  <c r="CR75"/>
  <c r="U75"/>
  <c r="CE75"/>
  <c r="Y75"/>
  <c r="BR75"/>
  <c r="CD75"/>
  <c r="DB75"/>
  <c r="CM75"/>
  <c r="CB75"/>
  <c r="CW75"/>
  <c r="BW75"/>
  <c r="N75"/>
  <c r="CL75"/>
  <c r="DA75"/>
  <c r="P75"/>
  <c r="CK75"/>
  <c r="BD75"/>
  <c r="DE75"/>
  <c r="CI75"/>
  <c r="AC75"/>
  <c r="AA75"/>
  <c r="AF75"/>
  <c r="DD75"/>
  <c r="CH75"/>
  <c r="CT75"/>
  <c r="S75"/>
  <c r="AP75"/>
  <c r="BV75"/>
  <c r="AD75"/>
  <c r="BA75"/>
  <c r="M75"/>
  <c r="AU75"/>
  <c r="CV75"/>
  <c r="BS75"/>
  <c r="AG75"/>
  <c r="AZ75"/>
  <c r="W75"/>
  <c r="BL74" l="1"/>
  <c r="H76"/>
  <c r="J76"/>
  <c r="L76"/>
  <c r="N76"/>
  <c r="P76"/>
  <c r="S76"/>
  <c r="U76"/>
  <c r="W76"/>
  <c r="Y76"/>
  <c r="AA76"/>
  <c r="AC76"/>
  <c r="AF76"/>
  <c r="AI76"/>
  <c r="AN76"/>
  <c r="AP76"/>
  <c r="AR76"/>
  <c r="AT76"/>
  <c r="AX76"/>
  <c r="AZ76"/>
  <c r="BB76"/>
  <c r="BD76"/>
  <c r="BO76"/>
  <c r="DH75"/>
  <c r="BQ76"/>
  <c r="BS76"/>
  <c r="BU76"/>
  <c r="BW76"/>
  <c r="BY76"/>
  <c r="CA76"/>
  <c r="CC76"/>
  <c r="CE76"/>
  <c r="CG76"/>
  <c r="CI76"/>
  <c r="CK76"/>
  <c r="CM76"/>
  <c r="CO76"/>
  <c r="CQ76"/>
  <c r="CS76"/>
  <c r="CU76"/>
  <c r="CW76"/>
  <c r="CY76"/>
  <c r="DA76"/>
  <c r="DC76"/>
  <c r="DE76"/>
  <c r="G76"/>
  <c r="Q75"/>
  <c r="I76"/>
  <c r="K76"/>
  <c r="M76"/>
  <c r="O76"/>
  <c r="V76"/>
  <c r="X76"/>
  <c r="Z76"/>
  <c r="AB76"/>
  <c r="AD76"/>
  <c r="AG76"/>
  <c r="AJ76"/>
  <c r="AM76"/>
  <c r="AO76"/>
  <c r="AQ76"/>
  <c r="AS76"/>
  <c r="AU76"/>
  <c r="AW76"/>
  <c r="AY76"/>
  <c r="BA76"/>
  <c r="BC76"/>
  <c r="BE76"/>
  <c r="BP76"/>
  <c r="BR76"/>
  <c r="BT76"/>
  <c r="BV76"/>
  <c r="BX76"/>
  <c r="BZ76"/>
  <c r="CB76"/>
  <c r="CD76"/>
  <c r="CF76"/>
  <c r="CH76"/>
  <c r="CJ76"/>
  <c r="CL76"/>
  <c r="CN76"/>
  <c r="CP76"/>
  <c r="CR76"/>
  <c r="CT76"/>
  <c r="CV76"/>
  <c r="CX76"/>
  <c r="CZ76"/>
  <c r="DB76"/>
  <c r="DD76"/>
  <c r="DF76"/>
  <c r="DH76" l="1"/>
  <c r="Q76"/>
  <c r="D72" l="1"/>
  <c r="D71" l="1"/>
  <c r="DH70"/>
  <c r="BL70" s="1"/>
  <c r="BJ70"/>
  <c r="DH69"/>
  <c r="BL69"/>
  <c r="CK71"/>
  <c r="BT71"/>
  <c r="N71"/>
  <c r="G71"/>
  <c r="BO71"/>
  <c r="Z71"/>
  <c r="CB71"/>
  <c r="CF71"/>
  <c r="J71"/>
  <c r="DC71"/>
  <c r="AI71"/>
  <c r="BC71"/>
  <c r="CY71"/>
  <c r="CJ71"/>
  <c r="CC71"/>
  <c r="BZ71"/>
  <c r="AF71"/>
  <c r="H71"/>
  <c r="AO71"/>
  <c r="DE71"/>
  <c r="AR71"/>
  <c r="O71"/>
  <c r="CQ71"/>
  <c r="CA71"/>
  <c r="BD71"/>
  <c r="AN71"/>
  <c r="CL71"/>
  <c r="CT71"/>
  <c r="BR71"/>
  <c r="AP71"/>
  <c r="DA71"/>
  <c r="BY71"/>
  <c r="AW71"/>
  <c r="BP71"/>
  <c r="CI71"/>
  <c r="CZ71"/>
  <c r="CP71"/>
  <c r="X71"/>
  <c r="CE71"/>
  <c r="Y71"/>
  <c r="DF71"/>
  <c r="CN71"/>
  <c r="DB71"/>
  <c r="AD71"/>
  <c r="DD71"/>
  <c r="CH71"/>
  <c r="I71"/>
  <c r="CX71"/>
  <c r="CU71"/>
  <c r="BW71"/>
  <c r="K71"/>
  <c r="BA71"/>
  <c r="AG71"/>
  <c r="AM71"/>
  <c r="BB71"/>
  <c r="CS71"/>
  <c r="AS71"/>
  <c r="AV71"/>
  <c r="BX71"/>
  <c r="AQ71"/>
  <c r="CW71"/>
  <c r="V71"/>
  <c r="BE71"/>
  <c r="AJ71"/>
  <c r="AU71"/>
  <c r="CR71"/>
  <c r="BU71"/>
  <c r="CV71"/>
  <c r="AT71"/>
  <c r="AA71"/>
  <c r="AX71"/>
  <c r="AZ71"/>
  <c r="U71"/>
  <c r="P71"/>
  <c r="CD71"/>
  <c r="W71"/>
  <c r="M71"/>
  <c r="BS71"/>
  <c r="AY71"/>
  <c r="L71"/>
  <c r="BQ71"/>
  <c r="BI71"/>
  <c r="AC71"/>
  <c r="CM71"/>
  <c r="S71"/>
  <c r="BV71"/>
  <c r="CO71"/>
  <c r="CG71"/>
  <c r="G72" l="1"/>
  <c r="Q71"/>
  <c r="K72"/>
  <c r="O72"/>
  <c r="V72"/>
  <c r="Z72"/>
  <c r="AD72"/>
  <c r="AJ72"/>
  <c r="AO72"/>
  <c r="H72"/>
  <c r="J72"/>
  <c r="L72"/>
  <c r="N72"/>
  <c r="P72"/>
  <c r="S72"/>
  <c r="U72"/>
  <c r="W72"/>
  <c r="Y72"/>
  <c r="AA72"/>
  <c r="AC72"/>
  <c r="AF72"/>
  <c r="AI72"/>
  <c r="AN72"/>
  <c r="AP72"/>
  <c r="AR72"/>
  <c r="AT72"/>
  <c r="AV72"/>
  <c r="AX72"/>
  <c r="AZ72"/>
  <c r="BB72"/>
  <c r="BD72"/>
  <c r="BI72"/>
  <c r="BO72"/>
  <c r="DH71"/>
  <c r="BQ72"/>
  <c r="BS72"/>
  <c r="BU72"/>
  <c r="BW72"/>
  <c r="BY72"/>
  <c r="CA72"/>
  <c r="CC72"/>
  <c r="CE72"/>
  <c r="CG72"/>
  <c r="CI72"/>
  <c r="CK72"/>
  <c r="CM72"/>
  <c r="CO72"/>
  <c r="CQ72"/>
  <c r="CS72"/>
  <c r="CU72"/>
  <c r="CW72"/>
  <c r="CY72"/>
  <c r="DA72"/>
  <c r="DC72"/>
  <c r="DE72"/>
  <c r="I72"/>
  <c r="M72"/>
  <c r="X72"/>
  <c r="AG72"/>
  <c r="AM72"/>
  <c r="BF71"/>
  <c r="AQ72"/>
  <c r="AS72"/>
  <c r="AU72"/>
  <c r="AW72"/>
  <c r="AY72"/>
  <c r="BA72"/>
  <c r="BC72"/>
  <c r="BE72"/>
  <c r="BP72"/>
  <c r="BR72"/>
  <c r="BT72"/>
  <c r="BV72"/>
  <c r="BX72"/>
  <c r="BZ72"/>
  <c r="CB72"/>
  <c r="CD72"/>
  <c r="CF72"/>
  <c r="CH72"/>
  <c r="CJ72"/>
  <c r="CL72"/>
  <c r="CN72"/>
  <c r="CP72"/>
  <c r="CR72"/>
  <c r="CT72"/>
  <c r="CV72"/>
  <c r="CX72"/>
  <c r="CZ72"/>
  <c r="DB72"/>
  <c r="DD72"/>
  <c r="DF72"/>
  <c r="DH72" l="1"/>
  <c r="BF72"/>
  <c r="Q72"/>
  <c r="D68" l="1"/>
  <c r="DE67"/>
  <c r="BH67"/>
  <c r="CP67"/>
  <c r="CO67"/>
  <c r="CM67"/>
  <c r="CI67"/>
  <c r="CU67"/>
  <c r="BC67"/>
  <c r="AR67"/>
  <c r="CH67"/>
  <c r="AG67"/>
  <c r="CR67"/>
  <c r="AF67"/>
  <c r="AP67"/>
  <c r="AV67"/>
  <c r="CD67"/>
  <c r="AI67"/>
  <c r="BO67"/>
  <c r="BY67"/>
  <c r="Y67"/>
  <c r="AT67"/>
  <c r="W67"/>
  <c r="BX67"/>
  <c r="BQ67"/>
  <c r="DC67"/>
  <c r="CN67"/>
  <c r="CF67"/>
  <c r="DA67"/>
  <c r="CB67"/>
  <c r="DB67"/>
  <c r="CV67"/>
  <c r="DF67"/>
  <c r="BS67"/>
  <c r="BB67"/>
  <c r="CC67"/>
  <c r="AN67"/>
  <c r="DD67"/>
  <c r="CT67"/>
  <c r="CZ67"/>
  <c r="CJ67"/>
  <c r="AD67"/>
  <c r="BD67"/>
  <c r="V67"/>
  <c r="BV67"/>
  <c r="BP67"/>
  <c r="AC67"/>
  <c r="CA67"/>
  <c r="AS67"/>
  <c r="Z67"/>
  <c r="BT67"/>
  <c r="CY67"/>
  <c r="BA67"/>
  <c r="CW67"/>
  <c r="BI67"/>
  <c r="AY67"/>
  <c r="S67"/>
  <c r="CL67"/>
  <c r="AB67"/>
  <c r="AA67"/>
  <c r="CG67"/>
  <c r="BE67"/>
  <c r="CX67"/>
  <c r="U67"/>
  <c r="AW67"/>
  <c r="CK67"/>
  <c r="BR67"/>
  <c r="AU67"/>
  <c r="BU67"/>
  <c r="AJ67"/>
  <c r="CE67"/>
  <c r="AO67"/>
  <c r="AM67"/>
  <c r="AZ67"/>
  <c r="BZ67"/>
  <c r="BW67"/>
  <c r="CS67"/>
  <c r="X67"/>
  <c r="CQ67"/>
  <c r="AQ67"/>
  <c r="BJ67" l="1"/>
  <c r="DH67"/>
  <c r="D67"/>
  <c r="L67"/>
  <c r="M67"/>
  <c r="O67"/>
  <c r="P67"/>
  <c r="G67"/>
  <c r="H67"/>
  <c r="J67"/>
  <c r="K67"/>
  <c r="I67"/>
  <c r="N67"/>
  <c r="Q67" l="1"/>
  <c r="D66"/>
  <c r="AS66"/>
  <c r="AN66"/>
  <c r="BO66"/>
  <c r="AX66"/>
  <c r="CK66"/>
  <c r="CT66"/>
  <c r="K66"/>
  <c r="V66"/>
  <c r="CO66"/>
  <c r="BQ66"/>
  <c r="CS66"/>
  <c r="AM66"/>
  <c r="CA66"/>
  <c r="BY66"/>
  <c r="DF66"/>
  <c r="L66"/>
  <c r="AD66"/>
  <c r="I66"/>
  <c r="CV66"/>
  <c r="BB66"/>
  <c r="P66"/>
  <c r="DC66"/>
  <c r="W66"/>
  <c r="AB66"/>
  <c r="CE66"/>
  <c r="Z66"/>
  <c r="BS66"/>
  <c r="AQ66"/>
  <c r="AU66"/>
  <c r="CL66"/>
  <c r="CW66"/>
  <c r="AV66"/>
  <c r="X66"/>
  <c r="M66"/>
  <c r="U66"/>
  <c r="AG66"/>
  <c r="T66"/>
  <c r="AC66"/>
  <c r="CD66"/>
  <c r="AR66"/>
  <c r="CN66"/>
  <c r="CI66"/>
  <c r="O66"/>
  <c r="DE66"/>
  <c r="CY66"/>
  <c r="CG66"/>
  <c r="AF66"/>
  <c r="BZ66"/>
  <c r="CM66"/>
  <c r="BU66"/>
  <c r="BP66"/>
  <c r="BD66"/>
  <c r="BE66"/>
  <c r="CU66"/>
  <c r="BT66"/>
  <c r="AJ66"/>
  <c r="AZ66"/>
  <c r="DD66"/>
  <c r="BH66"/>
  <c r="BC66"/>
  <c r="G66"/>
  <c r="BA66"/>
  <c r="AA66"/>
  <c r="AO66"/>
  <c r="CJ66"/>
  <c r="CX66"/>
  <c r="DA66"/>
  <c r="J66"/>
  <c r="BV66"/>
  <c r="CF66"/>
  <c r="N66"/>
  <c r="CC66"/>
  <c r="CR66"/>
  <c r="CZ66"/>
  <c r="CP66"/>
  <c r="AY66"/>
  <c r="AT66"/>
  <c r="Y66"/>
  <c r="AP66"/>
  <c r="DB66"/>
  <c r="BI66"/>
  <c r="BX66"/>
  <c r="CB66"/>
  <c r="CH66"/>
  <c r="BW66"/>
  <c r="CQ66"/>
  <c r="BR66"/>
  <c r="BJ66" l="1"/>
  <c r="DH66"/>
  <c r="BV65"/>
  <c r="CO65"/>
  <c r="CM65"/>
  <c r="BP65"/>
  <c r="DC65"/>
  <c r="DA65"/>
  <c r="DE65"/>
  <c r="DB65"/>
  <c r="CE65"/>
  <c r="BR65"/>
  <c r="CW65"/>
  <c r="CS65"/>
  <c r="BU65"/>
  <c r="CQ65"/>
  <c r="CX65"/>
  <c r="BX65"/>
  <c r="CH65"/>
  <c r="BY65"/>
  <c r="CU65"/>
  <c r="CR65"/>
  <c r="BZ65"/>
  <c r="CJ65"/>
  <c r="CK65"/>
  <c r="BQ65"/>
  <c r="CD65"/>
  <c r="DD65"/>
  <c r="CL65"/>
  <c r="BW65"/>
  <c r="CZ65"/>
  <c r="BT65"/>
  <c r="CV65"/>
  <c r="CF65"/>
  <c r="CN65"/>
  <c r="CC65"/>
  <c r="BS65"/>
  <c r="CT65"/>
  <c r="CG65"/>
  <c r="CY65"/>
  <c r="CB65"/>
  <c r="DF65"/>
  <c r="CA65"/>
  <c r="CP65"/>
  <c r="CI65"/>
  <c r="BO65"/>
  <c r="BQ68" l="1"/>
  <c r="BU68"/>
  <c r="BY68"/>
  <c r="CC68"/>
  <c r="CG68"/>
  <c r="CK68"/>
  <c r="CM68"/>
  <c r="CQ68"/>
  <c r="CU68"/>
  <c r="BP68"/>
  <c r="BR68"/>
  <c r="BT68"/>
  <c r="BV68"/>
  <c r="BX68"/>
  <c r="BZ68"/>
  <c r="CB68"/>
  <c r="CD68"/>
  <c r="CF68"/>
  <c r="CH68"/>
  <c r="CJ68"/>
  <c r="CL68"/>
  <c r="CN68"/>
  <c r="CP68"/>
  <c r="CR68"/>
  <c r="CT68"/>
  <c r="CV68"/>
  <c r="CX68"/>
  <c r="CZ68"/>
  <c r="DB68"/>
  <c r="DD68"/>
  <c r="DF68"/>
  <c r="BO68"/>
  <c r="DH65"/>
  <c r="BS68"/>
  <c r="BW68"/>
  <c r="CA68"/>
  <c r="CE68"/>
  <c r="CI68"/>
  <c r="CO68"/>
  <c r="CS68"/>
  <c r="CW68"/>
  <c r="CY68"/>
  <c r="DA68"/>
  <c r="DC68"/>
  <c r="DE68"/>
  <c r="D65"/>
  <c r="DH64"/>
  <c r="BB65"/>
  <c r="U65"/>
  <c r="S65"/>
  <c r="AO65"/>
  <c r="AA65"/>
  <c r="AT65"/>
  <c r="J65"/>
  <c r="V65"/>
  <c r="Z65"/>
  <c r="AN65"/>
  <c r="AG65"/>
  <c r="BD65"/>
  <c r="O65"/>
  <c r="M65"/>
  <c r="N65"/>
  <c r="AQ65"/>
  <c r="AZ65"/>
  <c r="AJ65"/>
  <c r="AR65"/>
  <c r="AU65"/>
  <c r="AM65"/>
  <c r="L65"/>
  <c r="AY65"/>
  <c r="AX65"/>
  <c r="I65"/>
  <c r="AI65"/>
  <c r="BH65"/>
  <c r="AD65"/>
  <c r="K65"/>
  <c r="P65"/>
  <c r="BA65"/>
  <c r="Y65"/>
  <c r="AC65"/>
  <c r="AV65"/>
  <c r="AF65"/>
  <c r="AP65"/>
  <c r="W65"/>
  <c r="H65"/>
  <c r="X65"/>
  <c r="G65"/>
  <c r="AS65"/>
  <c r="AB65"/>
  <c r="BI65"/>
  <c r="BE65"/>
  <c r="BC65"/>
  <c r="G68" l="1"/>
  <c r="Q65"/>
  <c r="I68"/>
  <c r="K68"/>
  <c r="M68"/>
  <c r="O68"/>
  <c r="V68"/>
  <c r="X68"/>
  <c r="Z68"/>
  <c r="AB68"/>
  <c r="AD68"/>
  <c r="AG68"/>
  <c r="AJ68"/>
  <c r="AM68"/>
  <c r="AO68"/>
  <c r="AQ68"/>
  <c r="AS68"/>
  <c r="AU68"/>
  <c r="AY68"/>
  <c r="BA68"/>
  <c r="BC68"/>
  <c r="BE68"/>
  <c r="BH68"/>
  <c r="BJ65"/>
  <c r="J68"/>
  <c r="L68"/>
  <c r="N68"/>
  <c r="P68"/>
  <c r="U68"/>
  <c r="W68"/>
  <c r="Y68"/>
  <c r="AA68"/>
  <c r="AC68"/>
  <c r="AF68"/>
  <c r="AN68"/>
  <c r="AP68"/>
  <c r="AR68"/>
  <c r="AT68"/>
  <c r="AV68"/>
  <c r="AZ68"/>
  <c r="BB68"/>
  <c r="BD68"/>
  <c r="BI68"/>
  <c r="DH68"/>
  <c r="BJ68" l="1"/>
  <c r="D63" l="1"/>
  <c r="BR62"/>
  <c r="CM62"/>
  <c r="CP62"/>
  <c r="BV62"/>
  <c r="CD62"/>
  <c r="CH62"/>
  <c r="CX62"/>
  <c r="CI62"/>
  <c r="CY62"/>
  <c r="CS62"/>
  <c r="DC62"/>
  <c r="CA62"/>
  <c r="CE62"/>
  <c r="DA62"/>
  <c r="BS62"/>
  <c r="CZ62"/>
  <c r="DD62"/>
  <c r="BX62"/>
  <c r="DB62"/>
  <c r="CG62"/>
  <c r="BP62"/>
  <c r="CJ62"/>
  <c r="BO62"/>
  <c r="CK62"/>
  <c r="CF62"/>
  <c r="DF62"/>
  <c r="BT62"/>
  <c r="DE62"/>
  <c r="CC62"/>
  <c r="BY62"/>
  <c r="CL62"/>
  <c r="CW62"/>
  <c r="CU62"/>
  <c r="BQ62"/>
  <c r="CR62"/>
  <c r="BW62"/>
  <c r="CV62"/>
  <c r="BU62"/>
  <c r="BZ62"/>
  <c r="CT62"/>
  <c r="CB62"/>
  <c r="CQ62"/>
  <c r="CN62"/>
  <c r="CO62"/>
  <c r="DH62" l="1"/>
  <c r="S62"/>
  <c r="AA62"/>
  <c r="AU62"/>
  <c r="AD62"/>
  <c r="AO62"/>
  <c r="AW62"/>
  <c r="AB62"/>
  <c r="AJ62"/>
  <c r="AC62"/>
  <c r="AR62"/>
  <c r="AN62"/>
  <c r="BI62"/>
  <c r="BE62"/>
  <c r="Y62"/>
  <c r="AG62"/>
  <c r="BC62"/>
  <c r="Z62"/>
  <c r="AQ62"/>
  <c r="AF62"/>
  <c r="AS62"/>
  <c r="V62"/>
  <c r="X62"/>
  <c r="BD62"/>
  <c r="AV62"/>
  <c r="AX62"/>
  <c r="AZ62"/>
  <c r="AM62"/>
  <c r="AP62"/>
  <c r="W62"/>
  <c r="BH62"/>
  <c r="BB62"/>
  <c r="AT62"/>
  <c r="U62"/>
  <c r="BA62"/>
  <c r="AI62"/>
  <c r="BJ62" l="1"/>
  <c r="D62"/>
  <c r="K62"/>
  <c r="I62"/>
  <c r="P62"/>
  <c r="N62"/>
  <c r="H62"/>
  <c r="L62"/>
  <c r="O62"/>
  <c r="G62"/>
  <c r="M62"/>
  <c r="J62"/>
  <c r="Q62" l="1"/>
  <c r="CC61"/>
  <c r="CT61"/>
  <c r="CD61"/>
  <c r="CH61"/>
  <c r="BT61"/>
  <c r="BV61"/>
  <c r="CQ61"/>
  <c r="BO61"/>
  <c r="BI61"/>
  <c r="CN61"/>
  <c r="CW61"/>
  <c r="CA61"/>
  <c r="BH61"/>
  <c r="BZ61"/>
  <c r="CX61"/>
  <c r="CS61"/>
  <c r="CJ61"/>
  <c r="BP61"/>
  <c r="DF61"/>
  <c r="CI61"/>
  <c r="CB61"/>
  <c r="CP61"/>
  <c r="DA61"/>
  <c r="CO61"/>
  <c r="CG61"/>
  <c r="CL61"/>
  <c r="DC61"/>
  <c r="CF61"/>
  <c r="BQ61"/>
  <c r="BR61"/>
  <c r="BX61"/>
  <c r="CM61"/>
  <c r="DE61"/>
  <c r="CU61"/>
  <c r="CY61"/>
  <c r="CZ61"/>
  <c r="DB61"/>
  <c r="CV61"/>
  <c r="CE61"/>
  <c r="BW61"/>
  <c r="BY61"/>
  <c r="BS61"/>
  <c r="CR61"/>
  <c r="BU61"/>
  <c r="DD61"/>
  <c r="CK61"/>
  <c r="BJ61" l="1"/>
  <c r="DH61"/>
  <c r="X61"/>
  <c r="BC61"/>
  <c r="AU61"/>
  <c r="W61"/>
  <c r="AC61"/>
  <c r="AN61"/>
  <c r="AO61"/>
  <c r="AZ61"/>
  <c r="AR61"/>
  <c r="AG61"/>
  <c r="AD61"/>
  <c r="V61"/>
  <c r="Z61"/>
  <c r="AP61"/>
  <c r="AV61"/>
  <c r="AI61"/>
  <c r="BD61"/>
  <c r="AB61"/>
  <c r="BE61"/>
  <c r="AJ61"/>
  <c r="Y61"/>
  <c r="AQ61"/>
  <c r="AS61"/>
  <c r="U61"/>
  <c r="AF61"/>
  <c r="AT61"/>
  <c r="AM61"/>
  <c r="AA61"/>
  <c r="S61"/>
  <c r="AY61"/>
  <c r="AX61"/>
  <c r="AW61"/>
  <c r="D61" l="1"/>
  <c r="K61"/>
  <c r="O61"/>
  <c r="J61"/>
  <c r="I61"/>
  <c r="M61"/>
  <c r="L61"/>
  <c r="P61"/>
  <c r="H61"/>
  <c r="G61"/>
  <c r="N61"/>
  <c r="Q61" l="1"/>
  <c r="CG60"/>
  <c r="V60"/>
  <c r="CJ60"/>
  <c r="AT60"/>
  <c r="BX60"/>
  <c r="CY60"/>
  <c r="S60"/>
  <c r="CZ60"/>
  <c r="CT60"/>
  <c r="AI60"/>
  <c r="W60"/>
  <c r="U60"/>
  <c r="AB60"/>
  <c r="DB60"/>
  <c r="BD60"/>
  <c r="BS60"/>
  <c r="CO60"/>
  <c r="BP60"/>
  <c r="BI60"/>
  <c r="Y60"/>
  <c r="DE60"/>
  <c r="CL60"/>
  <c r="AR60"/>
  <c r="CF60"/>
  <c r="CV60"/>
  <c r="BR60"/>
  <c r="AF60"/>
  <c r="X60"/>
  <c r="Z60"/>
  <c r="BO60"/>
  <c r="DC60"/>
  <c r="BB60"/>
  <c r="BW60"/>
  <c r="AO60"/>
  <c r="DD60"/>
  <c r="AW60"/>
  <c r="AQ60"/>
  <c r="BT60"/>
  <c r="AG60"/>
  <c r="AU60"/>
  <c r="CA60"/>
  <c r="CD60"/>
  <c r="CQ60"/>
  <c r="BA60"/>
  <c r="AX60"/>
  <c r="AN60"/>
  <c r="CX60"/>
  <c r="CH60"/>
  <c r="AJ60"/>
  <c r="AM60"/>
  <c r="CM60"/>
  <c r="BY60"/>
  <c r="CC60"/>
  <c r="AV60"/>
  <c r="CR60"/>
  <c r="AP60"/>
  <c r="BH60"/>
  <c r="AS60"/>
  <c r="BU60"/>
  <c r="DA60"/>
  <c r="AD60"/>
  <c r="BQ60"/>
  <c r="CP60"/>
  <c r="CE60"/>
  <c r="BV60"/>
  <c r="BC60"/>
  <c r="CI60"/>
  <c r="CS60"/>
  <c r="BZ60"/>
  <c r="AC60"/>
  <c r="CK60"/>
  <c r="CU60"/>
  <c r="AA60"/>
  <c r="DF60"/>
  <c r="CB60"/>
  <c r="CN60"/>
  <c r="CW60"/>
  <c r="BE60"/>
  <c r="BJ60" l="1"/>
  <c r="DH60"/>
  <c r="D60"/>
  <c r="P60"/>
  <c r="O60"/>
  <c r="N60"/>
  <c r="M60"/>
  <c r="L60"/>
  <c r="G60"/>
  <c r="J60"/>
  <c r="K60"/>
  <c r="H60"/>
  <c r="I60"/>
  <c r="Q60" l="1"/>
  <c r="Z59"/>
  <c r="AZ59"/>
  <c r="U59"/>
  <c r="DB59"/>
  <c r="CK59"/>
  <c r="BO59"/>
  <c r="CL59"/>
  <c r="W59"/>
  <c r="CG59"/>
  <c r="BR59"/>
  <c r="AW59"/>
  <c r="CE59"/>
  <c r="CZ59"/>
  <c r="AP59"/>
  <c r="CR59"/>
  <c r="CV59"/>
  <c r="BS59"/>
  <c r="AY59"/>
  <c r="CC59"/>
  <c r="AQ59"/>
  <c r="CT59"/>
  <c r="BE59"/>
  <c r="AC59"/>
  <c r="BT59"/>
  <c r="AG59"/>
  <c r="AI59"/>
  <c r="CQ59"/>
  <c r="AA59"/>
  <c r="CI59"/>
  <c r="DA59"/>
  <c r="CM59"/>
  <c r="CH59"/>
  <c r="AJ59"/>
  <c r="AB59"/>
  <c r="AR59"/>
  <c r="BV59"/>
  <c r="BZ59"/>
  <c r="DF59"/>
  <c r="BC59"/>
  <c r="AF59"/>
  <c r="DD59"/>
  <c r="BD59"/>
  <c r="BQ59"/>
  <c r="CU59"/>
  <c r="V59"/>
  <c r="AS59"/>
  <c r="CO59"/>
  <c r="BI59"/>
  <c r="CS59"/>
  <c r="DC59"/>
  <c r="CW59"/>
  <c r="CN59"/>
  <c r="CJ59"/>
  <c r="BX59"/>
  <c r="BU59"/>
  <c r="AU59"/>
  <c r="AV59"/>
  <c r="DE59"/>
  <c r="AX59"/>
  <c r="X59"/>
  <c r="CA59"/>
  <c r="AD59"/>
  <c r="AO59"/>
  <c r="CF59"/>
  <c r="CX59"/>
  <c r="BA59"/>
  <c r="CB59"/>
  <c r="AM59"/>
  <c r="CY59"/>
  <c r="BW59"/>
  <c r="AN59"/>
  <c r="CD59"/>
  <c r="CP59"/>
  <c r="BP59"/>
  <c r="BY59"/>
  <c r="BH59"/>
  <c r="Y59"/>
  <c r="AT59"/>
  <c r="S59"/>
  <c r="DH59" l="1"/>
  <c r="BJ59"/>
  <c r="D59"/>
  <c r="L59"/>
  <c r="G59"/>
  <c r="M59"/>
  <c r="N59"/>
  <c r="I59"/>
  <c r="H59"/>
  <c r="J59"/>
  <c r="P59"/>
  <c r="O59"/>
  <c r="K59"/>
  <c r="Q59" l="1"/>
  <c r="DC58"/>
  <c r="CK58"/>
  <c r="DF58"/>
  <c r="BO58"/>
  <c r="CH58"/>
  <c r="DA58"/>
  <c r="BY58"/>
  <c r="CO58"/>
  <c r="CR58"/>
  <c r="CY58"/>
  <c r="CI58"/>
  <c r="CW58"/>
  <c r="CQ58"/>
  <c r="BT58"/>
  <c r="BU58"/>
  <c r="CX58"/>
  <c r="DD58"/>
  <c r="CB58"/>
  <c r="CT58"/>
  <c r="CE58"/>
  <c r="CC58"/>
  <c r="BS58"/>
  <c r="BR58"/>
  <c r="BW58"/>
  <c r="BX58"/>
  <c r="CN58"/>
  <c r="CM58"/>
  <c r="DB58"/>
  <c r="CG58"/>
  <c r="CJ58"/>
  <c r="BZ58"/>
  <c r="CL58"/>
  <c r="BP58"/>
  <c r="CV58"/>
  <c r="CD58"/>
  <c r="BQ58"/>
  <c r="DE58"/>
  <c r="CA58"/>
  <c r="CZ58"/>
  <c r="CF58"/>
  <c r="CU58"/>
  <c r="CS58"/>
  <c r="BV58"/>
  <c r="CP58"/>
  <c r="DH58" l="1"/>
  <c r="AS58"/>
  <c r="W58"/>
  <c r="BH58"/>
  <c r="X58"/>
  <c r="AT58"/>
  <c r="V58"/>
  <c r="AA58"/>
  <c r="AU58"/>
  <c r="BD58"/>
  <c r="U58"/>
  <c r="AB58"/>
  <c r="BE58"/>
  <c r="AJ58"/>
  <c r="AG58"/>
  <c r="AN58"/>
  <c r="S58"/>
  <c r="AV58"/>
  <c r="AZ58"/>
  <c r="AC58"/>
  <c r="AW58"/>
  <c r="AO58"/>
  <c r="AI58"/>
  <c r="AY58"/>
  <c r="BC58"/>
  <c r="AF58"/>
  <c r="AR58"/>
  <c r="BA58"/>
  <c r="Z58"/>
  <c r="AD58"/>
  <c r="AQ58"/>
  <c r="AP58"/>
  <c r="BB58"/>
  <c r="BI58"/>
  <c r="AM58"/>
  <c r="Y58"/>
  <c r="BJ58" l="1"/>
  <c r="D58"/>
  <c r="H58"/>
  <c r="N58"/>
  <c r="J58"/>
  <c r="G58"/>
  <c r="P58"/>
  <c r="L58"/>
  <c r="I58"/>
  <c r="K58"/>
  <c r="O58"/>
  <c r="M58"/>
  <c r="Q58" l="1"/>
  <c r="D57"/>
  <c r="DH56"/>
  <c r="BL56"/>
  <c r="AR57"/>
  <c r="CD57"/>
  <c r="CI57"/>
  <c r="K57"/>
  <c r="CW57"/>
  <c r="AU57"/>
  <c r="CO57"/>
  <c r="J57"/>
  <c r="BS57"/>
  <c r="BA57"/>
  <c r="CQ57"/>
  <c r="AB57"/>
  <c r="L57"/>
  <c r="CN57"/>
  <c r="DC57"/>
  <c r="CE57"/>
  <c r="BR57"/>
  <c r="CF57"/>
  <c r="AQ57"/>
  <c r="AS57"/>
  <c r="AZ57"/>
  <c r="BU57"/>
  <c r="CU57"/>
  <c r="CK57"/>
  <c r="BT57"/>
  <c r="BC57"/>
  <c r="AN57"/>
  <c r="CC57"/>
  <c r="CL57"/>
  <c r="Y57"/>
  <c r="W57"/>
  <c r="DE57"/>
  <c r="DA57"/>
  <c r="CS57"/>
  <c r="BP57"/>
  <c r="U57"/>
  <c r="AF57"/>
  <c r="AM57"/>
  <c r="I57"/>
  <c r="AV57"/>
  <c r="S57"/>
  <c r="CX57"/>
  <c r="BZ57"/>
  <c r="BH57"/>
  <c r="AT57"/>
  <c r="X57"/>
  <c r="M57"/>
  <c r="CB57"/>
  <c r="V57"/>
  <c r="CM57"/>
  <c r="AJ57"/>
  <c r="AI57"/>
  <c r="AW57"/>
  <c r="AC57"/>
  <c r="AY57"/>
  <c r="O57"/>
  <c r="BD57"/>
  <c r="DB57"/>
  <c r="BE57"/>
  <c r="H57"/>
  <c r="Z57"/>
  <c r="AP57"/>
  <c r="DD57"/>
  <c r="AG57"/>
  <c r="BI57"/>
  <c r="CJ57"/>
  <c r="G57"/>
  <c r="CR57"/>
  <c r="CP57"/>
  <c r="BX57"/>
  <c r="CA57"/>
  <c r="P57"/>
  <c r="AO57"/>
  <c r="BY57"/>
  <c r="CZ57"/>
  <c r="CG57"/>
  <c r="BB57"/>
  <c r="BV57"/>
  <c r="CH57"/>
  <c r="DF57"/>
  <c r="CT57"/>
  <c r="BW57"/>
  <c r="N57"/>
  <c r="BO57"/>
  <c r="CY57"/>
  <c r="CV57"/>
  <c r="AA57"/>
  <c r="BQ57"/>
  <c r="AD57"/>
  <c r="G63" l="1"/>
  <c r="Q57"/>
  <c r="K63"/>
  <c r="O63"/>
  <c r="V63"/>
  <c r="Z63"/>
  <c r="AD63"/>
  <c r="AM63"/>
  <c r="H63"/>
  <c r="J63"/>
  <c r="L63"/>
  <c r="N63"/>
  <c r="P63"/>
  <c r="S63"/>
  <c r="U63"/>
  <c r="W63"/>
  <c r="Y63"/>
  <c r="AA63"/>
  <c r="AC63"/>
  <c r="AF63"/>
  <c r="AI63"/>
  <c r="AN63"/>
  <c r="AP63"/>
  <c r="AR63"/>
  <c r="AT63"/>
  <c r="AV63"/>
  <c r="BD63"/>
  <c r="BI63"/>
  <c r="BP63"/>
  <c r="BR63"/>
  <c r="BT63"/>
  <c r="BV63"/>
  <c r="BX63"/>
  <c r="BZ63"/>
  <c r="CB63"/>
  <c r="CD63"/>
  <c r="CF63"/>
  <c r="CH63"/>
  <c r="CJ63"/>
  <c r="CL63"/>
  <c r="CN63"/>
  <c r="CP63"/>
  <c r="CR63"/>
  <c r="CT63"/>
  <c r="CV63"/>
  <c r="CX63"/>
  <c r="CZ63"/>
  <c r="DB63"/>
  <c r="DD63"/>
  <c r="DF63"/>
  <c r="I63"/>
  <c r="M63"/>
  <c r="X63"/>
  <c r="AB63"/>
  <c r="AG63"/>
  <c r="AJ63"/>
  <c r="AO63"/>
  <c r="AQ63"/>
  <c r="AS63"/>
  <c r="AU63"/>
  <c r="AW63"/>
  <c r="BC63"/>
  <c r="BE63"/>
  <c r="BH63"/>
  <c r="BJ57"/>
  <c r="BO63"/>
  <c r="DH57"/>
  <c r="BQ63"/>
  <c r="BS63"/>
  <c r="BU63"/>
  <c r="BW63"/>
  <c r="BY63"/>
  <c r="CA63"/>
  <c r="CC63"/>
  <c r="CE63"/>
  <c r="CG63"/>
  <c r="CI63"/>
  <c r="CK63"/>
  <c r="CM63"/>
  <c r="CO63"/>
  <c r="CQ63"/>
  <c r="CS63"/>
  <c r="CU63"/>
  <c r="CW63"/>
  <c r="CY63"/>
  <c r="DA63"/>
  <c r="DC63"/>
  <c r="DE63"/>
  <c r="BJ63" l="1"/>
  <c r="DH63"/>
  <c r="Q63"/>
  <c r="D55" l="1"/>
  <c r="AU54"/>
  <c r="BC54"/>
  <c r="CV54"/>
  <c r="Y54"/>
  <c r="DD54"/>
  <c r="BW54"/>
  <c r="Z54"/>
  <c r="CA54"/>
  <c r="CX54"/>
  <c r="AV54"/>
  <c r="AX54"/>
  <c r="BD54"/>
  <c r="CL54"/>
  <c r="BR54"/>
  <c r="CM54"/>
  <c r="V54"/>
  <c r="N54"/>
  <c r="AW54"/>
  <c r="AS54"/>
  <c r="CC54"/>
  <c r="AZ54"/>
  <c r="BB54"/>
  <c r="CI54"/>
  <c r="BE54"/>
  <c r="O54"/>
  <c r="CJ54"/>
  <c r="L54"/>
  <c r="DE54"/>
  <c r="CH54"/>
  <c r="AR54"/>
  <c r="BA54"/>
  <c r="AJ54"/>
  <c r="BX54"/>
  <c r="AF54"/>
  <c r="G54"/>
  <c r="CT54"/>
  <c r="CZ54"/>
  <c r="CK54"/>
  <c r="CG54"/>
  <c r="CR54"/>
  <c r="AG54"/>
  <c r="CO54"/>
  <c r="AB54"/>
  <c r="CP54"/>
  <c r="CY54"/>
  <c r="BV54"/>
  <c r="AI54"/>
  <c r="AP54"/>
  <c r="AD54"/>
  <c r="AN54"/>
  <c r="J54"/>
  <c r="BY54"/>
  <c r="AY54"/>
  <c r="DC54"/>
  <c r="CD54"/>
  <c r="DF54"/>
  <c r="CW54"/>
  <c r="DA54"/>
  <c r="CN54"/>
  <c r="CF54"/>
  <c r="BI54"/>
  <c r="AC54"/>
  <c r="H54"/>
  <c r="CE54"/>
  <c r="CQ54"/>
  <c r="AT54"/>
  <c r="P54"/>
  <c r="CS54"/>
  <c r="K54"/>
  <c r="M54"/>
  <c r="DB54"/>
  <c r="AO54"/>
  <c r="BZ54"/>
  <c r="CB54"/>
  <c r="AQ54"/>
  <c r="BU54"/>
  <c r="AA54"/>
  <c r="T54"/>
  <c r="CU54"/>
  <c r="BH54"/>
  <c r="BJ54" l="1"/>
  <c r="D54"/>
  <c r="CQ53"/>
  <c r="BZ53"/>
  <c r="CL53"/>
  <c r="CB53"/>
  <c r="BW53"/>
  <c r="CU53"/>
  <c r="CT53"/>
  <c r="CW53"/>
  <c r="CK53"/>
  <c r="CX53"/>
  <c r="DC53"/>
  <c r="BS53"/>
  <c r="CM53"/>
  <c r="CZ53"/>
  <c r="CH53"/>
  <c r="BV53"/>
  <c r="CE53"/>
  <c r="CY53"/>
  <c r="CG53"/>
  <c r="CN53"/>
  <c r="DB53"/>
  <c r="BX53"/>
  <c r="CV53"/>
  <c r="CF53"/>
  <c r="CA53"/>
  <c r="DD53"/>
  <c r="CS53"/>
  <c r="DA53"/>
  <c r="CO53"/>
  <c r="CC53"/>
  <c r="BT53"/>
  <c r="CR53"/>
  <c r="CD53"/>
  <c r="DE53"/>
  <c r="CI53"/>
  <c r="BU53"/>
  <c r="DF53"/>
  <c r="BR53"/>
  <c r="CJ53"/>
  <c r="BY53"/>
  <c r="CP53"/>
  <c r="BR55" l="1"/>
  <c r="BV55"/>
  <c r="BX55"/>
  <c r="BZ55"/>
  <c r="CB55"/>
  <c r="CD55"/>
  <c r="CF55"/>
  <c r="CH55"/>
  <c r="CJ55"/>
  <c r="CL55"/>
  <c r="CN55"/>
  <c r="CP55"/>
  <c r="CR55"/>
  <c r="CT55"/>
  <c r="CV55"/>
  <c r="CX55"/>
  <c r="CZ55"/>
  <c r="DB55"/>
  <c r="DD55"/>
  <c r="DF55"/>
  <c r="BU55"/>
  <c r="BW55"/>
  <c r="BY55"/>
  <c r="CA55"/>
  <c r="CC55"/>
  <c r="CE55"/>
  <c r="CG55"/>
  <c r="CI55"/>
  <c r="CK55"/>
  <c r="CM55"/>
  <c r="CO55"/>
  <c r="CQ55"/>
  <c r="CS55"/>
  <c r="CU55"/>
  <c r="CW55"/>
  <c r="CY55"/>
  <c r="DA55"/>
  <c r="DC55"/>
  <c r="DE55"/>
  <c r="D53"/>
  <c r="DH52"/>
  <c r="BL52"/>
  <c r="AD53"/>
  <c r="I53"/>
  <c r="P53"/>
  <c r="G53"/>
  <c r="O53"/>
  <c r="J53"/>
  <c r="AF53"/>
  <c r="AJ53"/>
  <c r="AZ53"/>
  <c r="AY53"/>
  <c r="AC53"/>
  <c r="H53"/>
  <c r="BB53"/>
  <c r="L53"/>
  <c r="U53"/>
  <c r="AW53"/>
  <c r="AI53"/>
  <c r="X53"/>
  <c r="AG53"/>
  <c r="BA53"/>
  <c r="K53"/>
  <c r="BD53"/>
  <c r="AS53"/>
  <c r="BE53"/>
  <c r="AX53"/>
  <c r="AA53"/>
  <c r="AO53"/>
  <c r="M53"/>
  <c r="BC53"/>
  <c r="AT53"/>
  <c r="AU53"/>
  <c r="N53"/>
  <c r="T53"/>
  <c r="Z53"/>
  <c r="AN53"/>
  <c r="AV53"/>
  <c r="AR53"/>
  <c r="AP53"/>
  <c r="AM53"/>
  <c r="AQ53"/>
  <c r="G55" l="1"/>
  <c r="Q53"/>
  <c r="K55"/>
  <c r="M55"/>
  <c r="O55"/>
  <c r="T55"/>
  <c r="Z55"/>
  <c r="AD55"/>
  <c r="AG55"/>
  <c r="AJ55"/>
  <c r="BF53"/>
  <c r="AO55"/>
  <c r="AQ55"/>
  <c r="AS55"/>
  <c r="AU55"/>
  <c r="AW55"/>
  <c r="AY55"/>
  <c r="BA55"/>
  <c r="BC55"/>
  <c r="BE55"/>
  <c r="H55"/>
  <c r="J55"/>
  <c r="L55"/>
  <c r="N55"/>
  <c r="P55"/>
  <c r="AA55"/>
  <c r="AC55"/>
  <c r="AF55"/>
  <c r="AI55"/>
  <c r="AN55"/>
  <c r="AP55"/>
  <c r="AR55"/>
  <c r="AT55"/>
  <c r="AV55"/>
  <c r="AX55"/>
  <c r="AZ55"/>
  <c r="BB55"/>
  <c r="BD55"/>
  <c r="D51" l="1"/>
  <c r="CA50"/>
  <c r="CR50"/>
  <c r="BD50"/>
  <c r="BV50"/>
  <c r="CE50"/>
  <c r="Y50"/>
  <c r="AJ50"/>
  <c r="CY50"/>
  <c r="AT50"/>
  <c r="BW50"/>
  <c r="AG50"/>
  <c r="BB50"/>
  <c r="X50"/>
  <c r="CF50"/>
  <c r="T50"/>
  <c r="AP50"/>
  <c r="CD50"/>
  <c r="CI50"/>
  <c r="DE50"/>
  <c r="BE50"/>
  <c r="BT50"/>
  <c r="CK50"/>
  <c r="AQ50"/>
  <c r="AO50"/>
  <c r="CW50"/>
  <c r="AN50"/>
  <c r="CJ50"/>
  <c r="CC50"/>
  <c r="CS50"/>
  <c r="BS50"/>
  <c r="CB50"/>
  <c r="Z50"/>
  <c r="CO50"/>
  <c r="AV50"/>
  <c r="BX50"/>
  <c r="AW50"/>
  <c r="CM50"/>
  <c r="AY50"/>
  <c r="AU50"/>
  <c r="CG50"/>
  <c r="CN50"/>
  <c r="AF50"/>
  <c r="BR50"/>
  <c r="CH50"/>
  <c r="BZ50"/>
  <c r="BC50"/>
  <c r="BH50"/>
  <c r="BU50"/>
  <c r="DA50"/>
  <c r="CX50"/>
  <c r="AD50"/>
  <c r="BA50"/>
  <c r="AA50"/>
  <c r="DB50"/>
  <c r="AZ50"/>
  <c r="CP50"/>
  <c r="AB50"/>
  <c r="AM50"/>
  <c r="AC50"/>
  <c r="CV50"/>
  <c r="DD50"/>
  <c r="BI50"/>
  <c r="CT50"/>
  <c r="AX50"/>
  <c r="CZ50"/>
  <c r="AR50"/>
  <c r="DF50"/>
  <c r="AS50"/>
  <c r="CQ50"/>
  <c r="CL50"/>
  <c r="DC50"/>
  <c r="BY50"/>
  <c r="CU50"/>
  <c r="AI50"/>
  <c r="BF50" l="1"/>
  <c r="BJ50"/>
  <c r="D50"/>
  <c r="D49"/>
  <c r="DH47"/>
  <c r="BL47"/>
  <c r="BD49"/>
  <c r="DE49"/>
  <c r="BO49"/>
  <c r="M49"/>
  <c r="V49"/>
  <c r="AA49"/>
  <c r="AD49"/>
  <c r="BQ49"/>
  <c r="AO49"/>
  <c r="L49"/>
  <c r="CC49"/>
  <c r="CQ49"/>
  <c r="BP49"/>
  <c r="CB49"/>
  <c r="CK49"/>
  <c r="CV49"/>
  <c r="DB49"/>
  <c r="AY49"/>
  <c r="AR49"/>
  <c r="M50"/>
  <c r="AI49"/>
  <c r="CM49"/>
  <c r="N49"/>
  <c r="CX49"/>
  <c r="U49"/>
  <c r="X49"/>
  <c r="AN49"/>
  <c r="CG49"/>
  <c r="CH49"/>
  <c r="CE49"/>
  <c r="BC49"/>
  <c r="I49"/>
  <c r="BB49"/>
  <c r="CJ49"/>
  <c r="CL49"/>
  <c r="K50"/>
  <c r="P50"/>
  <c r="AM49"/>
  <c r="S49"/>
  <c r="BY49"/>
  <c r="G50"/>
  <c r="CT49"/>
  <c r="BR49"/>
  <c r="AS49"/>
  <c r="AB49"/>
  <c r="AT49"/>
  <c r="BW49"/>
  <c r="P49"/>
  <c r="O50"/>
  <c r="CS49"/>
  <c r="N50"/>
  <c r="BH49"/>
  <c r="CI49"/>
  <c r="J49"/>
  <c r="BU49"/>
  <c r="H50"/>
  <c r="CA49"/>
  <c r="BZ49"/>
  <c r="H49"/>
  <c r="BX49"/>
  <c r="AC49"/>
  <c r="Y49"/>
  <c r="O49"/>
  <c r="G49"/>
  <c r="BT49"/>
  <c r="DC49"/>
  <c r="AV49"/>
  <c r="K49"/>
  <c r="BV49"/>
  <c r="AQ49"/>
  <c r="T49"/>
  <c r="CZ49"/>
  <c r="CD49"/>
  <c r="AP49"/>
  <c r="AJ49"/>
  <c r="CP49"/>
  <c r="BI49"/>
  <c r="L50"/>
  <c r="BA49"/>
  <c r="CU49"/>
  <c r="CR49"/>
  <c r="AU49"/>
  <c r="BS49"/>
  <c r="AX49"/>
  <c r="DD49"/>
  <c r="DF49"/>
  <c r="AZ49"/>
  <c r="J50"/>
  <c r="CF49"/>
  <c r="DA49"/>
  <c r="AW49"/>
  <c r="CW49"/>
  <c r="Z49"/>
  <c r="AU51" l="1"/>
  <c r="DD51"/>
  <c r="AT51"/>
  <c r="AR51"/>
  <c r="BU51"/>
  <c r="CF51"/>
  <c r="CT51"/>
  <c r="BA51"/>
  <c r="AQ51"/>
  <c r="AY51"/>
  <c r="CW51"/>
  <c r="BB51"/>
  <c r="DA51"/>
  <c r="AM51"/>
  <c r="AB51"/>
  <c r="BR51"/>
  <c r="DB51"/>
  <c r="DF51"/>
  <c r="AI51"/>
  <c r="T51"/>
  <c r="AD51"/>
  <c r="BD51"/>
  <c r="CS51"/>
  <c r="K51"/>
  <c r="AP51"/>
  <c r="AA51"/>
  <c r="CL51"/>
  <c r="G51"/>
  <c r="X51"/>
  <c r="DC51"/>
  <c r="BZ51"/>
  <c r="CJ51"/>
  <c r="CU51"/>
  <c r="BW51"/>
  <c r="CG51"/>
  <c r="BS51"/>
  <c r="H51"/>
  <c r="AJ51"/>
  <c r="BC51"/>
  <c r="CE51"/>
  <c r="CM51"/>
  <c r="L51"/>
  <c r="BY51"/>
  <c r="CI51"/>
  <c r="CB51"/>
  <c r="CZ51"/>
  <c r="Z51"/>
  <c r="AW51"/>
  <c r="DE51"/>
  <c r="BX51"/>
  <c r="AN51"/>
  <c r="Y51"/>
  <c r="CR51"/>
  <c r="CV51"/>
  <c r="N51"/>
  <c r="AX51"/>
  <c r="CD51"/>
  <c r="BT51"/>
  <c r="P51"/>
  <c r="M51"/>
  <c r="O51"/>
  <c r="AC51"/>
  <c r="CK51"/>
  <c r="AS51"/>
  <c r="BI51"/>
  <c r="CC51"/>
  <c r="AV51"/>
  <c r="J51"/>
  <c r="AZ51"/>
  <c r="AO51"/>
  <c r="BV51"/>
  <c r="CQ51"/>
  <c r="CA51"/>
  <c r="CH51"/>
  <c r="CX51"/>
  <c r="BH51"/>
  <c r="CP51"/>
  <c r="Q49"/>
  <c r="BJ49"/>
  <c r="BJ51" l="1"/>
  <c r="D46" l="1"/>
  <c r="D45"/>
  <c r="BL43"/>
  <c r="BL42"/>
  <c r="BL41"/>
  <c r="BF39"/>
  <c r="BI45"/>
  <c r="AB45"/>
  <c r="CT45"/>
  <c r="CF45"/>
  <c r="AZ45"/>
  <c r="CP45"/>
  <c r="CJ45"/>
  <c r="BU45"/>
  <c r="CY45"/>
  <c r="DA45"/>
  <c r="L45"/>
  <c r="AO45"/>
  <c r="BW45"/>
  <c r="CW45"/>
  <c r="AF45"/>
  <c r="CM45"/>
  <c r="CI45"/>
  <c r="O45"/>
  <c r="CO45"/>
  <c r="AM45"/>
  <c r="DB45"/>
  <c r="BC45"/>
  <c r="BE45"/>
  <c r="BV45"/>
  <c r="BX45"/>
  <c r="X45"/>
  <c r="AP45"/>
  <c r="BT45"/>
  <c r="K45"/>
  <c r="AA45"/>
  <c r="AT45"/>
  <c r="AY45"/>
  <c r="AV45"/>
  <c r="AG45"/>
  <c r="AC45"/>
  <c r="AI45"/>
  <c r="V45"/>
  <c r="BR45"/>
  <c r="AN45"/>
  <c r="DD45"/>
  <c r="AX45"/>
  <c r="BZ45"/>
  <c r="BB45"/>
  <c r="Y45"/>
  <c r="BP45"/>
  <c r="BD45"/>
  <c r="CQ45"/>
  <c r="CR45"/>
  <c r="CC45"/>
  <c r="AR45"/>
  <c r="CK45"/>
  <c r="I45"/>
  <c r="CN45"/>
  <c r="CA45"/>
  <c r="G45"/>
  <c r="AU45"/>
  <c r="BY45"/>
  <c r="AQ45"/>
  <c r="DF45"/>
  <c r="W45"/>
  <c r="BQ45"/>
  <c r="Z45"/>
  <c r="DE45"/>
  <c r="CU45"/>
  <c r="AD45"/>
  <c r="H45"/>
  <c r="BA45"/>
  <c r="CG45"/>
  <c r="CX45"/>
  <c r="P45"/>
  <c r="CL45"/>
  <c r="BO45"/>
  <c r="M45"/>
  <c r="AS45"/>
  <c r="T45"/>
  <c r="CS45"/>
  <c r="DC45"/>
  <c r="CV45"/>
  <c r="CD45"/>
  <c r="N45"/>
  <c r="BS45"/>
  <c r="CE45"/>
  <c r="CZ45"/>
  <c r="J45"/>
  <c r="AW45"/>
  <c r="CB45"/>
  <c r="CH45"/>
  <c r="U45"/>
  <c r="J46" l="1"/>
  <c r="N46"/>
  <c r="W46"/>
  <c r="G46"/>
  <c r="Q45"/>
  <c r="I46"/>
  <c r="K46"/>
  <c r="M46"/>
  <c r="O46"/>
  <c r="T46"/>
  <c r="V46"/>
  <c r="X46"/>
  <c r="Z46"/>
  <c r="AB46"/>
  <c r="AD46"/>
  <c r="AG46"/>
  <c r="AM46"/>
  <c r="BF45"/>
  <c r="AO46"/>
  <c r="AO84" s="1"/>
  <c r="AQ46"/>
  <c r="AS46"/>
  <c r="AU46"/>
  <c r="AW46"/>
  <c r="AY46"/>
  <c r="BA46"/>
  <c r="BC46"/>
  <c r="BE46"/>
  <c r="BP46"/>
  <c r="BR46"/>
  <c r="BT46"/>
  <c r="BV46"/>
  <c r="BX46"/>
  <c r="BZ46"/>
  <c r="CB46"/>
  <c r="CD46"/>
  <c r="CF46"/>
  <c r="CF84" s="1"/>
  <c r="CH46"/>
  <c r="CJ46"/>
  <c r="CL46"/>
  <c r="CN46"/>
  <c r="CP46"/>
  <c r="CR46"/>
  <c r="CT46"/>
  <c r="CV46"/>
  <c r="CX46"/>
  <c r="CZ46"/>
  <c r="DB46"/>
  <c r="DD46"/>
  <c r="DF46"/>
  <c r="H46"/>
  <c r="L46"/>
  <c r="P46"/>
  <c r="U46"/>
  <c r="Y46"/>
  <c r="AA46"/>
  <c r="AC46"/>
  <c r="AF46"/>
  <c r="AI46"/>
  <c r="AN46"/>
  <c r="AN84" s="1"/>
  <c r="AP46"/>
  <c r="AR46"/>
  <c r="AT46"/>
  <c r="AV46"/>
  <c r="AX46"/>
  <c r="AZ46"/>
  <c r="BB46"/>
  <c r="BD46"/>
  <c r="BI46"/>
  <c r="BO46"/>
  <c r="BQ46"/>
  <c r="BS46"/>
  <c r="BU46"/>
  <c r="BW46"/>
  <c r="BY46"/>
  <c r="CA46"/>
  <c r="CC46"/>
  <c r="CE46"/>
  <c r="CG46"/>
  <c r="CG84" s="1"/>
  <c r="CI46"/>
  <c r="CK46"/>
  <c r="CM46"/>
  <c r="CO46"/>
  <c r="CQ46"/>
  <c r="CS46"/>
  <c r="CU46"/>
  <c r="CW46"/>
  <c r="CY46"/>
  <c r="DA46"/>
  <c r="DC46"/>
  <c r="DE46"/>
  <c r="AD84" l="1"/>
  <c r="AC84" s="1"/>
  <c r="CE84"/>
  <c r="CD84" s="1"/>
  <c r="CC84" s="1"/>
  <c r="CB84" s="1"/>
  <c r="CA84" s="1"/>
  <c r="BZ84" s="1"/>
  <c r="BY84" s="1"/>
  <c r="BX84" s="1"/>
  <c r="BW84" s="1"/>
  <c r="BV84" s="1"/>
  <c r="BU84" s="1"/>
  <c r="DH46"/>
  <c r="BD84"/>
  <c r="BC84" s="1"/>
  <c r="BF46"/>
  <c r="Q46"/>
  <c r="D38" l="1"/>
  <c r="D37" l="1"/>
  <c r="DH36"/>
  <c r="BL36"/>
  <c r="CQ37"/>
  <c r="CM37"/>
  <c r="BX37"/>
  <c r="I37"/>
  <c r="BH37"/>
  <c r="AG37"/>
  <c r="CH37"/>
  <c r="AB37"/>
  <c r="DC37"/>
  <c r="CX37"/>
  <c r="AW37"/>
  <c r="CU37"/>
  <c r="AX37"/>
  <c r="W37"/>
  <c r="CS37"/>
  <c r="CN37"/>
  <c r="N37"/>
  <c r="CA37"/>
  <c r="DB37"/>
  <c r="AM37"/>
  <c r="AN37"/>
  <c r="CC37"/>
  <c r="AR37"/>
  <c r="AV37"/>
  <c r="BB37"/>
  <c r="CF37"/>
  <c r="CI37"/>
  <c r="CT37"/>
  <c r="CK37"/>
  <c r="G37"/>
  <c r="BO37"/>
  <c r="Y37"/>
  <c r="CJ37"/>
  <c r="X37"/>
  <c r="AF37"/>
  <c r="BY37"/>
  <c r="U37"/>
  <c r="H37"/>
  <c r="Z37"/>
  <c r="AP37"/>
  <c r="CE37"/>
  <c r="BC37"/>
  <c r="T37"/>
  <c r="L37"/>
  <c r="AQ37"/>
  <c r="AJ37"/>
  <c r="CO37"/>
  <c r="K37"/>
  <c r="CY37"/>
  <c r="AZ37"/>
  <c r="P37"/>
  <c r="CG37"/>
  <c r="BR37"/>
  <c r="BT37"/>
  <c r="CD37"/>
  <c r="BW37"/>
  <c r="DF37"/>
  <c r="BA37"/>
  <c r="BD37"/>
  <c r="CZ37"/>
  <c r="DA37"/>
  <c r="O37"/>
  <c r="V37"/>
  <c r="M37"/>
  <c r="DD37"/>
  <c r="AC37"/>
  <c r="BP37"/>
  <c r="BZ37"/>
  <c r="BU37"/>
  <c r="CW37"/>
  <c r="BV37"/>
  <c r="AS37"/>
  <c r="BE37"/>
  <c r="CR37"/>
  <c r="DE37"/>
  <c r="AD37"/>
  <c r="CL37"/>
  <c r="BQ37"/>
  <c r="S37"/>
  <c r="BI37"/>
  <c r="AU37"/>
  <c r="CP37"/>
  <c r="AY37"/>
  <c r="J37"/>
  <c r="AO37"/>
  <c r="BS37"/>
  <c r="AT37"/>
  <c r="CV37"/>
  <c r="CB37"/>
  <c r="AI37"/>
  <c r="AA37"/>
  <c r="J38" l="1"/>
  <c r="G38"/>
  <c r="Q37"/>
  <c r="I38"/>
  <c r="K38"/>
  <c r="M38"/>
  <c r="O38"/>
  <c r="T38"/>
  <c r="V38"/>
  <c r="X38"/>
  <c r="Z38"/>
  <c r="AB38"/>
  <c r="AD38"/>
  <c r="AG38"/>
  <c r="AJ38"/>
  <c r="AM38"/>
  <c r="BF37"/>
  <c r="AO38"/>
  <c r="AQ38"/>
  <c r="AS38"/>
  <c r="AU38"/>
  <c r="AW38"/>
  <c r="AY38"/>
  <c r="BA38"/>
  <c r="BC38"/>
  <c r="BE38"/>
  <c r="BH38"/>
  <c r="BJ37"/>
  <c r="BO38"/>
  <c r="DH37"/>
  <c r="BQ38"/>
  <c r="BS38"/>
  <c r="BU38"/>
  <c r="BW38"/>
  <c r="BY38"/>
  <c r="CA38"/>
  <c r="CC38"/>
  <c r="CE38"/>
  <c r="CG38"/>
  <c r="CI38"/>
  <c r="CK38"/>
  <c r="CM38"/>
  <c r="CO38"/>
  <c r="CQ38"/>
  <c r="CS38"/>
  <c r="CU38"/>
  <c r="CW38"/>
  <c r="CY38"/>
  <c r="DA38"/>
  <c r="DC38"/>
  <c r="DE38"/>
  <c r="H38"/>
  <c r="L38"/>
  <c r="N38"/>
  <c r="P38"/>
  <c r="S38"/>
  <c r="AK37"/>
  <c r="U38"/>
  <c r="W38"/>
  <c r="Y38"/>
  <c r="AA38"/>
  <c r="AC38"/>
  <c r="AF38"/>
  <c r="AI38"/>
  <c r="AN38"/>
  <c r="AP38"/>
  <c r="AR38"/>
  <c r="AT38"/>
  <c r="AV38"/>
  <c r="AX38"/>
  <c r="AZ38"/>
  <c r="BB38"/>
  <c r="BD38"/>
  <c r="BI38"/>
  <c r="BP38"/>
  <c r="BR38"/>
  <c r="BT38"/>
  <c r="BV38"/>
  <c r="BX38"/>
  <c r="BZ38"/>
  <c r="CB38"/>
  <c r="CD38"/>
  <c r="CF38"/>
  <c r="CH38"/>
  <c r="CJ38"/>
  <c r="CL38"/>
  <c r="CN38"/>
  <c r="CP38"/>
  <c r="CR38"/>
  <c r="CT38"/>
  <c r="CV38"/>
  <c r="CX38"/>
  <c r="CZ38"/>
  <c r="DB38"/>
  <c r="DD38"/>
  <c r="DF38"/>
  <c r="DH38" l="1"/>
  <c r="BL37"/>
  <c r="AK38"/>
  <c r="BF38"/>
  <c r="Q38"/>
  <c r="D35" l="1"/>
  <c r="D34" l="1"/>
  <c r="DH33"/>
  <c r="BL33"/>
  <c r="G34"/>
  <c r="CS34"/>
  <c r="AB34"/>
  <c r="CG34"/>
  <c r="DC34"/>
  <c r="BY34"/>
  <c r="O34"/>
  <c r="BV34"/>
  <c r="BS34"/>
  <c r="DA34"/>
  <c r="CU34"/>
  <c r="CQ34"/>
  <c r="CP34"/>
  <c r="J34"/>
  <c r="CI34"/>
  <c r="AM34"/>
  <c r="CZ34"/>
  <c r="AA34"/>
  <c r="AW34"/>
  <c r="CH34"/>
  <c r="CV34"/>
  <c r="CN34"/>
  <c r="BI34"/>
  <c r="H34"/>
  <c r="S34"/>
  <c r="BC34"/>
  <c r="I34"/>
  <c r="BP34"/>
  <c r="Z34"/>
  <c r="BQ34"/>
  <c r="U34"/>
  <c r="CF34"/>
  <c r="BO34"/>
  <c r="K34"/>
  <c r="AV34"/>
  <c r="BW34"/>
  <c r="DD34"/>
  <c r="CM34"/>
  <c r="AT34"/>
  <c r="AP34"/>
  <c r="CT34"/>
  <c r="X34"/>
  <c r="AI34"/>
  <c r="CA34"/>
  <c r="M34"/>
  <c r="CD34"/>
  <c r="CO34"/>
  <c r="AS34"/>
  <c r="BB34"/>
  <c r="CB34"/>
  <c r="AD34"/>
  <c r="AF34"/>
  <c r="AX34"/>
  <c r="AR34"/>
  <c r="CE34"/>
  <c r="BZ34"/>
  <c r="BU34"/>
  <c r="AZ34"/>
  <c r="CX34"/>
  <c r="CW34"/>
  <c r="L34"/>
  <c r="BA34"/>
  <c r="V34"/>
  <c r="BR34"/>
  <c r="DB34"/>
  <c r="W34"/>
  <c r="CC34"/>
  <c r="CL34"/>
  <c r="DE34"/>
  <c r="CJ34"/>
  <c r="Y34"/>
  <c r="DF34"/>
  <c r="BX34"/>
  <c r="AQ34"/>
  <c r="CR34"/>
  <c r="AO34"/>
  <c r="BT34"/>
  <c r="AG34"/>
  <c r="AN34"/>
  <c r="AJ34"/>
  <c r="T34"/>
  <c r="BD34"/>
  <c r="AY34"/>
  <c r="AU34"/>
  <c r="CY34"/>
  <c r="CK34"/>
  <c r="N34"/>
  <c r="G35" l="1"/>
  <c r="I35"/>
  <c r="K35"/>
  <c r="M35"/>
  <c r="O35"/>
  <c r="T35"/>
  <c r="V35"/>
  <c r="X35"/>
  <c r="Z35"/>
  <c r="AB35"/>
  <c r="AD35"/>
  <c r="AG35"/>
  <c r="AJ35"/>
  <c r="AM35"/>
  <c r="AO35"/>
  <c r="AQ35"/>
  <c r="AS35"/>
  <c r="AU35"/>
  <c r="AW35"/>
  <c r="AY35"/>
  <c r="BA35"/>
  <c r="BC35"/>
  <c r="BO35"/>
  <c r="DH34"/>
  <c r="BQ35"/>
  <c r="BS35"/>
  <c r="BU35"/>
  <c r="BW35"/>
  <c r="BY35"/>
  <c r="CA35"/>
  <c r="CC35"/>
  <c r="CE35"/>
  <c r="CG35"/>
  <c r="CI35"/>
  <c r="CK35"/>
  <c r="CM35"/>
  <c r="CO35"/>
  <c r="CQ35"/>
  <c r="CS35"/>
  <c r="CU35"/>
  <c r="CW35"/>
  <c r="CY35"/>
  <c r="DA35"/>
  <c r="DC35"/>
  <c r="DE35"/>
  <c r="H35"/>
  <c r="J35"/>
  <c r="L35"/>
  <c r="N35"/>
  <c r="S35"/>
  <c r="U35"/>
  <c r="W35"/>
  <c r="Y35"/>
  <c r="AA35"/>
  <c r="AF35"/>
  <c r="AI35"/>
  <c r="AN35"/>
  <c r="AP35"/>
  <c r="AR35"/>
  <c r="AT35"/>
  <c r="AV35"/>
  <c r="AX35"/>
  <c r="AZ35"/>
  <c r="BB35"/>
  <c r="BD35"/>
  <c r="BI35"/>
  <c r="BP35"/>
  <c r="BR35"/>
  <c r="BT35"/>
  <c r="BV35"/>
  <c r="BX35"/>
  <c r="BZ35"/>
  <c r="CB35"/>
  <c r="CD35"/>
  <c r="CF35"/>
  <c r="CH35"/>
  <c r="CJ35"/>
  <c r="CL35"/>
  <c r="CN35"/>
  <c r="CP35"/>
  <c r="CR35"/>
  <c r="CT35"/>
  <c r="CV35"/>
  <c r="CX35"/>
  <c r="CZ35"/>
  <c r="DB35"/>
  <c r="DD35"/>
  <c r="DF35"/>
  <c r="DH35" l="1"/>
  <c r="D32" l="1"/>
  <c r="D30" l="1"/>
  <c r="D29"/>
  <c r="U29"/>
  <c r="AO30"/>
  <c r="CQ30"/>
  <c r="AA29"/>
  <c r="AZ30"/>
  <c r="BU30"/>
  <c r="AG30"/>
  <c r="CJ30"/>
  <c r="BZ29"/>
  <c r="CS30"/>
  <c r="CO29"/>
  <c r="X29"/>
  <c r="BR30"/>
  <c r="CM30"/>
  <c r="CF29"/>
  <c r="BE30"/>
  <c r="DA29"/>
  <c r="AC29"/>
  <c r="I30"/>
  <c r="CU30"/>
  <c r="W29"/>
  <c r="CH29"/>
  <c r="AP30"/>
  <c r="CP29"/>
  <c r="CN29"/>
  <c r="BI30"/>
  <c r="CV30"/>
  <c r="BQ30"/>
  <c r="BT29"/>
  <c r="CQ29"/>
  <c r="CM29"/>
  <c r="AR30"/>
  <c r="AG29"/>
  <c r="N29"/>
  <c r="N30"/>
  <c r="Y29"/>
  <c r="AT30"/>
  <c r="CJ29"/>
  <c r="CY30"/>
  <c r="CD29"/>
  <c r="BD30"/>
  <c r="G30"/>
  <c r="CR29"/>
  <c r="K30"/>
  <c r="J29"/>
  <c r="CB29"/>
  <c r="BY29"/>
  <c r="BT30"/>
  <c r="CL30"/>
  <c r="V30"/>
  <c r="CA29"/>
  <c r="DD29"/>
  <c r="AZ29"/>
  <c r="J30"/>
  <c r="CI30"/>
  <c r="BQ29"/>
  <c r="AS30"/>
  <c r="BZ30"/>
  <c r="AP29"/>
  <c r="BH29"/>
  <c r="AR29"/>
  <c r="CA30"/>
  <c r="DD30"/>
  <c r="CE29"/>
  <c r="BB29"/>
  <c r="AV30"/>
  <c r="BP30"/>
  <c r="H30"/>
  <c r="CZ29"/>
  <c r="DF30"/>
  <c r="X30"/>
  <c r="K29"/>
  <c r="AQ29"/>
  <c r="CR30"/>
  <c r="Z30"/>
  <c r="AY29"/>
  <c r="BP29"/>
  <c r="BV30"/>
  <c r="AS29"/>
  <c r="AV29"/>
  <c r="AD30"/>
  <c r="S30"/>
  <c r="CW30"/>
  <c r="BX29"/>
  <c r="AM29"/>
  <c r="T29"/>
  <c r="AN29"/>
  <c r="W30"/>
  <c r="CY29"/>
  <c r="H29"/>
  <c r="M29"/>
  <c r="AX29"/>
  <c r="CN30"/>
  <c r="CE30"/>
  <c r="BC29"/>
  <c r="BR29"/>
  <c r="U30"/>
  <c r="CF30"/>
  <c r="BW29"/>
  <c r="BD29"/>
  <c r="CG30"/>
  <c r="AT29"/>
  <c r="CT30"/>
  <c r="AU29"/>
  <c r="BV29"/>
  <c r="AA30"/>
  <c r="P30"/>
  <c r="CC29"/>
  <c r="AW29"/>
  <c r="CB30"/>
  <c r="BU29"/>
  <c r="O30"/>
  <c r="DC30"/>
  <c r="BE29"/>
  <c r="DB29"/>
  <c r="P29"/>
  <c r="T30"/>
  <c r="BY30"/>
  <c r="AM30"/>
  <c r="AI29"/>
  <c r="AW30"/>
  <c r="AY30"/>
  <c r="CO30"/>
  <c r="AD29"/>
  <c r="DE30"/>
  <c r="BA29"/>
  <c r="DC29"/>
  <c r="AJ29"/>
  <c r="G29"/>
  <c r="BS29"/>
  <c r="AF29"/>
  <c r="AQ30"/>
  <c r="AB29"/>
  <c r="CX29"/>
  <c r="AC30"/>
  <c r="CP30"/>
  <c r="I29"/>
  <c r="BX30"/>
  <c r="BH30"/>
  <c r="CC30"/>
  <c r="AI30"/>
  <c r="Z29"/>
  <c r="L30"/>
  <c r="CK30"/>
  <c r="AF30"/>
  <c r="AO29"/>
  <c r="M30"/>
  <c r="AN30"/>
  <c r="BS30"/>
  <c r="BO30"/>
  <c r="CS29"/>
  <c r="BI29"/>
  <c r="CK29"/>
  <c r="AX30"/>
  <c r="DB30"/>
  <c r="S29"/>
  <c r="CH30"/>
  <c r="BA30"/>
  <c r="AU30"/>
  <c r="DA30"/>
  <c r="BC30"/>
  <c r="CD30"/>
  <c r="CX30"/>
  <c r="AB30"/>
  <c r="BW30"/>
  <c r="AJ30"/>
  <c r="Y30"/>
  <c r="BO29"/>
  <c r="CI29"/>
  <c r="CG29"/>
  <c r="CZ30"/>
  <c r="DF29"/>
  <c r="L29"/>
  <c r="CT29"/>
  <c r="CL29"/>
  <c r="BB30"/>
  <c r="DE29"/>
  <c r="G31" l="1"/>
  <c r="K31"/>
  <c r="T31"/>
  <c r="Z31"/>
  <c r="H31"/>
  <c r="J31"/>
  <c r="L31"/>
  <c r="N31"/>
  <c r="P31"/>
  <c r="S31"/>
  <c r="U31"/>
  <c r="W31"/>
  <c r="Y31"/>
  <c r="AA31"/>
  <c r="AC31"/>
  <c r="AF31"/>
  <c r="AI31"/>
  <c r="AN31"/>
  <c r="AP31"/>
  <c r="AR31"/>
  <c r="AT31"/>
  <c r="AV31"/>
  <c r="AX31"/>
  <c r="AZ31"/>
  <c r="BB31"/>
  <c r="BD31"/>
  <c r="BI31"/>
  <c r="BO31"/>
  <c r="BQ31"/>
  <c r="BS31"/>
  <c r="BU31"/>
  <c r="BW31"/>
  <c r="BY31"/>
  <c r="CA31"/>
  <c r="CC31"/>
  <c r="CE31"/>
  <c r="CG31"/>
  <c r="CI31"/>
  <c r="CK31"/>
  <c r="CM31"/>
  <c r="CO31"/>
  <c r="CQ31"/>
  <c r="CS31"/>
  <c r="CY31"/>
  <c r="DA31"/>
  <c r="DC31"/>
  <c r="DE31"/>
  <c r="Q30"/>
  <c r="I31"/>
  <c r="M31"/>
  <c r="X31"/>
  <c r="AB31"/>
  <c r="AD31"/>
  <c r="AG31"/>
  <c r="AJ31"/>
  <c r="AM31"/>
  <c r="BF29"/>
  <c r="AO31"/>
  <c r="AQ31"/>
  <c r="AS31"/>
  <c r="AU31"/>
  <c r="AW31"/>
  <c r="AY31"/>
  <c r="BA31"/>
  <c r="BC31"/>
  <c r="BE31"/>
  <c r="BH31"/>
  <c r="BJ29"/>
  <c r="BP31"/>
  <c r="BR31"/>
  <c r="BT31"/>
  <c r="BV31"/>
  <c r="BX31"/>
  <c r="BZ31"/>
  <c r="CB31"/>
  <c r="CD31"/>
  <c r="CF31"/>
  <c r="CH31"/>
  <c r="CJ31"/>
  <c r="CL31"/>
  <c r="CN31"/>
  <c r="CP31"/>
  <c r="CR31"/>
  <c r="CT31"/>
  <c r="CX31"/>
  <c r="CZ31"/>
  <c r="DB31"/>
  <c r="DD31"/>
  <c r="DF31"/>
  <c r="AK30"/>
  <c r="BF30"/>
  <c r="BJ30"/>
  <c r="DH30"/>
  <c r="BL30" l="1"/>
  <c r="BF31"/>
  <c r="BJ31"/>
  <c r="D27" l="1"/>
  <c r="D26"/>
  <c r="BI27"/>
  <c r="CX27"/>
  <c r="DC27"/>
  <c r="BC27"/>
  <c r="BA27"/>
  <c r="AZ27"/>
  <c r="CA25"/>
  <c r="CO27"/>
  <c r="CJ25"/>
  <c r="DA25"/>
  <c r="CQ26"/>
  <c r="BI26"/>
  <c r="CN26"/>
  <c r="AB26"/>
  <c r="CX25"/>
  <c r="AY27"/>
  <c r="CS25"/>
  <c r="CV27"/>
  <c r="CM27"/>
  <c r="W26"/>
  <c r="BX26"/>
  <c r="DA27"/>
  <c r="BU27"/>
  <c r="S27"/>
  <c r="L26"/>
  <c r="CK26"/>
  <c r="CL25"/>
  <c r="AD27"/>
  <c r="BS27"/>
  <c r="AM26"/>
  <c r="BP26"/>
  <c r="AU26"/>
  <c r="AX27"/>
  <c r="X27"/>
  <c r="CD27"/>
  <c r="BR27"/>
  <c r="AB27"/>
  <c r="AF27"/>
  <c r="BA26"/>
  <c r="CI25"/>
  <c r="CR27"/>
  <c r="BD27"/>
  <c r="AW26"/>
  <c r="BS25"/>
  <c r="O27"/>
  <c r="AM27"/>
  <c r="BE27"/>
  <c r="CY25"/>
  <c r="T26"/>
  <c r="BV26"/>
  <c r="M27"/>
  <c r="K27"/>
  <c r="BW27"/>
  <c r="AD26"/>
  <c r="DB26"/>
  <c r="CZ27"/>
  <c r="CK25"/>
  <c r="G26"/>
  <c r="AW27"/>
  <c r="AI27"/>
  <c r="CD25"/>
  <c r="BS26"/>
  <c r="N27"/>
  <c r="J26"/>
  <c r="AS26"/>
  <c r="CT26"/>
  <c r="AC26"/>
  <c r="CH27"/>
  <c r="BC26"/>
  <c r="CG27"/>
  <c r="CU25"/>
  <c r="AT27"/>
  <c r="CO26"/>
  <c r="AS27"/>
  <c r="CF27"/>
  <c r="CC26"/>
  <c r="CB26"/>
  <c r="Y26"/>
  <c r="CJ26"/>
  <c r="BV27"/>
  <c r="CX26"/>
  <c r="AR27"/>
  <c r="BQ26"/>
  <c r="CH26"/>
  <c r="BW26"/>
  <c r="AJ27"/>
  <c r="CA26"/>
  <c r="CB27"/>
  <c r="CA27"/>
  <c r="CW25"/>
  <c r="AV26"/>
  <c r="BQ27"/>
  <c r="CP26"/>
  <c r="CT27"/>
  <c r="CL27"/>
  <c r="AP26"/>
  <c r="AO27"/>
  <c r="CE27"/>
  <c r="CP27"/>
  <c r="AU27"/>
  <c r="BT26"/>
  <c r="BX27"/>
  <c r="DB25"/>
  <c r="I27"/>
  <c r="AX26"/>
  <c r="DA26"/>
  <c r="CF25"/>
  <c r="U27"/>
  <c r="AP27"/>
  <c r="CW27"/>
  <c r="BZ27"/>
  <c r="CR25"/>
  <c r="AQ26"/>
  <c r="BE26"/>
  <c r="DB27"/>
  <c r="K26"/>
  <c r="AC27"/>
  <c r="Z26"/>
  <c r="DD27"/>
  <c r="AA26"/>
  <c r="AJ26"/>
  <c r="BY25"/>
  <c r="DF25"/>
  <c r="DF27"/>
  <c r="CV25"/>
  <c r="CM26"/>
  <c r="CJ27"/>
  <c r="CG25"/>
  <c r="CC27"/>
  <c r="BU26"/>
  <c r="BU25"/>
  <c r="BH26"/>
  <c r="AI26"/>
  <c r="BY27"/>
  <c r="AY26"/>
  <c r="AT26"/>
  <c r="CZ26"/>
  <c r="AV27"/>
  <c r="L27"/>
  <c r="AN27"/>
  <c r="CP25"/>
  <c r="BX25"/>
  <c r="CQ25"/>
  <c r="CC25"/>
  <c r="V27"/>
  <c r="U26"/>
  <c r="BB26"/>
  <c r="CB25"/>
  <c r="CY26"/>
  <c r="CK27"/>
  <c r="AN26"/>
  <c r="BR26"/>
  <c r="DD26"/>
  <c r="CS27"/>
  <c r="CF26"/>
  <c r="BH27"/>
  <c r="DC25"/>
  <c r="BT25"/>
  <c r="AZ26"/>
  <c r="CN27"/>
  <c r="G27"/>
  <c r="Y27"/>
  <c r="S26"/>
  <c r="I26"/>
  <c r="M26"/>
  <c r="J27"/>
  <c r="DF26"/>
  <c r="CE26"/>
  <c r="CH25"/>
  <c r="CL26"/>
  <c r="CM25"/>
  <c r="BR25"/>
  <c r="AG26"/>
  <c r="BZ25"/>
  <c r="DD25"/>
  <c r="BD26"/>
  <c r="BW25"/>
  <c r="CR26"/>
  <c r="CE25"/>
  <c r="BZ26"/>
  <c r="P27"/>
  <c r="Z27"/>
  <c r="AF26"/>
  <c r="CI27"/>
  <c r="AA27"/>
  <c r="AR26"/>
  <c r="CZ25"/>
  <c r="BP27"/>
  <c r="BY26"/>
  <c r="CQ27"/>
  <c r="AG27"/>
  <c r="DE26"/>
  <c r="CI26"/>
  <c r="AQ27"/>
  <c r="CS26"/>
  <c r="H26"/>
  <c r="BO26"/>
  <c r="T27"/>
  <c r="CO25"/>
  <c r="BO27"/>
  <c r="AO26"/>
  <c r="CU27"/>
  <c r="O26"/>
  <c r="BB27"/>
  <c r="W27"/>
  <c r="CT25"/>
  <c r="DE25"/>
  <c r="CN25"/>
  <c r="DC26"/>
  <c r="CY27"/>
  <c r="BT27"/>
  <c r="DE27"/>
  <c r="H27"/>
  <c r="CG26"/>
  <c r="BV25"/>
  <c r="X26"/>
  <c r="P26"/>
  <c r="CD26"/>
  <c r="I28" l="1"/>
  <c r="K28"/>
  <c r="O28"/>
  <c r="T28"/>
  <c r="X28"/>
  <c r="AB28"/>
  <c r="AG28"/>
  <c r="AM28"/>
  <c r="BF26"/>
  <c r="AQ28"/>
  <c r="AU28"/>
  <c r="AY28"/>
  <c r="BC28"/>
  <c r="BH28"/>
  <c r="BJ26"/>
  <c r="BP28"/>
  <c r="BR28"/>
  <c r="BV28"/>
  <c r="BX28"/>
  <c r="BZ28"/>
  <c r="CB28"/>
  <c r="CD28"/>
  <c r="CF28"/>
  <c r="CH28"/>
  <c r="CJ28"/>
  <c r="CL28"/>
  <c r="CN28"/>
  <c r="CP28"/>
  <c r="CR28"/>
  <c r="CT28"/>
  <c r="CX28"/>
  <c r="CZ28"/>
  <c r="DB28"/>
  <c r="DD28"/>
  <c r="DF28"/>
  <c r="H28"/>
  <c r="J28"/>
  <c r="L28"/>
  <c r="P28"/>
  <c r="S28"/>
  <c r="U28"/>
  <c r="W28"/>
  <c r="Y28"/>
  <c r="AA28"/>
  <c r="AC28"/>
  <c r="AF28"/>
  <c r="AI28"/>
  <c r="AN28"/>
  <c r="AP28"/>
  <c r="AR28"/>
  <c r="AT28"/>
  <c r="AV28"/>
  <c r="AX28"/>
  <c r="AZ28"/>
  <c r="BB28"/>
  <c r="BD28"/>
  <c r="BI28"/>
  <c r="BO28"/>
  <c r="BQ28"/>
  <c r="BS28"/>
  <c r="BU28"/>
  <c r="BW28"/>
  <c r="BY28"/>
  <c r="CA28"/>
  <c r="CC28"/>
  <c r="CE28"/>
  <c r="CG28"/>
  <c r="CI28"/>
  <c r="CK28"/>
  <c r="CM28"/>
  <c r="CO28"/>
  <c r="CQ28"/>
  <c r="CS28"/>
  <c r="CY28"/>
  <c r="DA28"/>
  <c r="DC28"/>
  <c r="DE28"/>
  <c r="Q27"/>
  <c r="G28"/>
  <c r="M28"/>
  <c r="Z28"/>
  <c r="AD28"/>
  <c r="AJ28"/>
  <c r="AO28"/>
  <c r="AS28"/>
  <c r="AW28"/>
  <c r="BA28"/>
  <c r="BE28"/>
  <c r="BT28"/>
  <c r="AK27"/>
  <c r="BF27"/>
  <c r="BJ27"/>
  <c r="DH27"/>
  <c r="BH25"/>
  <c r="BI25"/>
  <c r="BL27" l="1"/>
  <c r="BJ25"/>
  <c r="BF28"/>
  <c r="BJ28"/>
  <c r="I25"/>
  <c r="AC25"/>
  <c r="T25"/>
  <c r="BA25"/>
  <c r="AN25"/>
  <c r="AY25"/>
  <c r="O25"/>
  <c r="AR25"/>
  <c r="AZ25"/>
  <c r="AI25"/>
  <c r="AJ25"/>
  <c r="H25"/>
  <c r="AO25"/>
  <c r="S25"/>
  <c r="BC25"/>
  <c r="AQ25"/>
  <c r="P25"/>
  <c r="J25"/>
  <c r="BB25"/>
  <c r="W25"/>
  <c r="AW25"/>
  <c r="K25"/>
  <c r="U25"/>
  <c r="AM25"/>
  <c r="G25"/>
  <c r="AB25"/>
  <c r="Y25"/>
  <c r="L25"/>
  <c r="AS25"/>
  <c r="AP25"/>
  <c r="N25"/>
  <c r="AF25"/>
  <c r="BE25"/>
  <c r="AT25"/>
  <c r="BD25"/>
  <c r="AA25"/>
  <c r="X25"/>
  <c r="Z25"/>
  <c r="AX25"/>
  <c r="AD25"/>
  <c r="AU25"/>
  <c r="AV25"/>
  <c r="AG25"/>
  <c r="BF25" l="1"/>
  <c r="D25"/>
  <c r="D24"/>
  <c r="DH23"/>
  <c r="BL23"/>
  <c r="CO24"/>
  <c r="CM24"/>
  <c r="CV24"/>
  <c r="AT24"/>
  <c r="CT24"/>
  <c r="BB24"/>
  <c r="CF24"/>
  <c r="AM24"/>
  <c r="DF24"/>
  <c r="CD24"/>
  <c r="AQ24"/>
  <c r="AA24"/>
  <c r="Y24"/>
  <c r="X24"/>
  <c r="CS24"/>
  <c r="CE24"/>
  <c r="AR24"/>
  <c r="BY24"/>
  <c r="DD24"/>
  <c r="CA24"/>
  <c r="CY24"/>
  <c r="AB24"/>
  <c r="AX24"/>
  <c r="DB24"/>
  <c r="BW24"/>
  <c r="AU24"/>
  <c r="AS24"/>
  <c r="N24"/>
  <c r="AG24"/>
  <c r="H24"/>
  <c r="AY24"/>
  <c r="CX24"/>
  <c r="CR24"/>
  <c r="CC24"/>
  <c r="AV24"/>
  <c r="BI24"/>
  <c r="CH24"/>
  <c r="BX24"/>
  <c r="T24"/>
  <c r="BT24"/>
  <c r="AF24"/>
  <c r="BR24"/>
  <c r="CN24"/>
  <c r="O24"/>
  <c r="I24"/>
  <c r="CL24"/>
  <c r="CW24"/>
  <c r="AC24"/>
  <c r="AP24"/>
  <c r="CP24"/>
  <c r="BH24"/>
  <c r="BZ24"/>
  <c r="BA24"/>
  <c r="AD24"/>
  <c r="M24"/>
  <c r="BC24"/>
  <c r="W24"/>
  <c r="CB24"/>
  <c r="AN24"/>
  <c r="CG24"/>
  <c r="DA24"/>
  <c r="CZ24"/>
  <c r="CI24"/>
  <c r="CQ24"/>
  <c r="AZ24"/>
  <c r="BV24"/>
  <c r="BD24"/>
  <c r="DE24"/>
  <c r="BS24"/>
  <c r="CJ24"/>
  <c r="AW24"/>
  <c r="BU24"/>
  <c r="CU24"/>
  <c r="AJ24"/>
  <c r="U24"/>
  <c r="P24"/>
  <c r="AI24"/>
  <c r="CK24"/>
  <c r="DC24"/>
  <c r="Z24"/>
  <c r="AO24"/>
  <c r="G24"/>
  <c r="BE24"/>
  <c r="G32" l="1"/>
  <c r="I32"/>
  <c r="T32"/>
  <c r="X32"/>
  <c r="Z32"/>
  <c r="AB32"/>
  <c r="AJ32"/>
  <c r="AI32" s="1"/>
  <c r="AG32" s="1"/>
  <c r="AM32"/>
  <c r="BF24"/>
  <c r="AO32"/>
  <c r="AQ32"/>
  <c r="AS32"/>
  <c r="AU32"/>
  <c r="AW32"/>
  <c r="AY32"/>
  <c r="BA32"/>
  <c r="BC32"/>
  <c r="BE32"/>
  <c r="BH32"/>
  <c r="BJ24"/>
  <c r="BS32"/>
  <c r="BU32"/>
  <c r="BW32"/>
  <c r="BY32"/>
  <c r="CA32"/>
  <c r="CC32"/>
  <c r="CE32"/>
  <c r="CG32"/>
  <c r="CI32"/>
  <c r="CK32"/>
  <c r="CM32"/>
  <c r="CO32"/>
  <c r="CQ32"/>
  <c r="CS32"/>
  <c r="CY32"/>
  <c r="DA32"/>
  <c r="DC32"/>
  <c r="DE32"/>
  <c r="H32"/>
  <c r="P32"/>
  <c r="U32"/>
  <c r="W32"/>
  <c r="Y32"/>
  <c r="AA32"/>
  <c r="AC32"/>
  <c r="AF32"/>
  <c r="AD32" s="1"/>
  <c r="AN32"/>
  <c r="AP32"/>
  <c r="AR32"/>
  <c r="AT32"/>
  <c r="AV32"/>
  <c r="AX32"/>
  <c r="AZ32"/>
  <c r="BB32"/>
  <c r="BD32"/>
  <c r="BI32"/>
  <c r="BR32"/>
  <c r="BT32"/>
  <c r="BV32"/>
  <c r="BX32"/>
  <c r="BZ32"/>
  <c r="CB32"/>
  <c r="CD32"/>
  <c r="CF32"/>
  <c r="CH32"/>
  <c r="CJ32"/>
  <c r="CL32"/>
  <c r="CN32"/>
  <c r="CP32"/>
  <c r="CR32"/>
  <c r="CT32"/>
  <c r="CX32"/>
  <c r="CZ32"/>
  <c r="DB32"/>
  <c r="DD32"/>
  <c r="DF32"/>
  <c r="BF32" l="1"/>
  <c r="BJ32"/>
  <c r="D22" l="1"/>
  <c r="D21"/>
  <c r="DH20"/>
  <c r="BL20"/>
  <c r="CO21"/>
  <c r="AA21"/>
  <c r="CT21"/>
  <c r="BY21"/>
  <c r="DA21"/>
  <c r="BV21"/>
  <c r="BE21"/>
  <c r="J21"/>
  <c r="DB21"/>
  <c r="H21"/>
  <c r="AW21"/>
  <c r="CA21"/>
  <c r="AU21"/>
  <c r="CG21"/>
  <c r="BZ21"/>
  <c r="AI21"/>
  <c r="BT21"/>
  <c r="CW21"/>
  <c r="AZ21"/>
  <c r="AD21"/>
  <c r="CJ21"/>
  <c r="DF21"/>
  <c r="AO21"/>
  <c r="BB21"/>
  <c r="O21"/>
  <c r="AQ21"/>
  <c r="AT21"/>
  <c r="BR21"/>
  <c r="CE21"/>
  <c r="Z21"/>
  <c r="DD21"/>
  <c r="CR21"/>
  <c r="AF21"/>
  <c r="CF21"/>
  <c r="CL21"/>
  <c r="AN21"/>
  <c r="CI21"/>
  <c r="BD21"/>
  <c r="CZ21"/>
  <c r="CP21"/>
  <c r="DE21"/>
  <c r="AC21"/>
  <c r="BI21"/>
  <c r="BC21"/>
  <c r="L21"/>
  <c r="CV21"/>
  <c r="CX21"/>
  <c r="BA21"/>
  <c r="AR21"/>
  <c r="CC21"/>
  <c r="CU21"/>
  <c r="G21"/>
  <c r="P21"/>
  <c r="AY21"/>
  <c r="CS21"/>
  <c r="CM21"/>
  <c r="N21"/>
  <c r="CK21"/>
  <c r="AG21"/>
  <c r="AP21"/>
  <c r="Y21"/>
  <c r="CQ21"/>
  <c r="AJ21"/>
  <c r="BH21"/>
  <c r="CN21"/>
  <c r="CD21"/>
  <c r="CB21"/>
  <c r="AM21"/>
  <c r="T21"/>
  <c r="CY21"/>
  <c r="BW21"/>
  <c r="K21"/>
  <c r="BS21"/>
  <c r="X21"/>
  <c r="AX21"/>
  <c r="M21"/>
  <c r="AS21"/>
  <c r="AV21"/>
  <c r="CH21"/>
  <c r="BU21"/>
  <c r="H22" l="1"/>
  <c r="J22"/>
  <c r="L22"/>
  <c r="N22"/>
  <c r="P22"/>
  <c r="Y22"/>
  <c r="AA22"/>
  <c r="AC22"/>
  <c r="AF22"/>
  <c r="AI22"/>
  <c r="AN22"/>
  <c r="AP22"/>
  <c r="AR22"/>
  <c r="AT22"/>
  <c r="AV22"/>
  <c r="AX22"/>
  <c r="AZ22"/>
  <c r="BB22"/>
  <c r="BD22"/>
  <c r="BI22"/>
  <c r="BS22"/>
  <c r="BU22"/>
  <c r="BW22"/>
  <c r="BY22"/>
  <c r="CA22"/>
  <c r="CC22"/>
  <c r="CE22"/>
  <c r="CG22"/>
  <c r="CI22"/>
  <c r="CK22"/>
  <c r="CM22"/>
  <c r="CO22"/>
  <c r="CQ22"/>
  <c r="CS22"/>
  <c r="CU22"/>
  <c r="CW22"/>
  <c r="CY22"/>
  <c r="DA22"/>
  <c r="DE22"/>
  <c r="G22"/>
  <c r="K22"/>
  <c r="M22"/>
  <c r="O22"/>
  <c r="T22"/>
  <c r="X22"/>
  <c r="Z22"/>
  <c r="AD22"/>
  <c r="AG22"/>
  <c r="AJ22"/>
  <c r="AM22"/>
  <c r="BF21"/>
  <c r="AO22"/>
  <c r="AQ22"/>
  <c r="AS22"/>
  <c r="AU22"/>
  <c r="AW22"/>
  <c r="AY22"/>
  <c r="BA22"/>
  <c r="BC22"/>
  <c r="BE22"/>
  <c r="BH22"/>
  <c r="BJ21"/>
  <c r="BR22"/>
  <c r="BT22"/>
  <c r="BV22"/>
  <c r="BZ22"/>
  <c r="CB22"/>
  <c r="CD22"/>
  <c r="CF22"/>
  <c r="CH22"/>
  <c r="CJ22"/>
  <c r="CL22"/>
  <c r="CN22"/>
  <c r="CP22"/>
  <c r="CR22"/>
  <c r="CT22"/>
  <c r="CV22"/>
  <c r="CX22"/>
  <c r="CZ22"/>
  <c r="DB22"/>
  <c r="DD22"/>
  <c r="DF22"/>
  <c r="BJ22" l="1"/>
  <c r="BF22"/>
  <c r="D19" l="1"/>
  <c r="CF18"/>
  <c r="CG18"/>
  <c r="DD18"/>
  <c r="CN18"/>
  <c r="CY18"/>
  <c r="BT18"/>
  <c r="BU18"/>
  <c r="BS18"/>
  <c r="CI18"/>
  <c r="CC18"/>
  <c r="CT18"/>
  <c r="DA18"/>
  <c r="CX18"/>
  <c r="CE18"/>
  <c r="CK18"/>
  <c r="CS18"/>
  <c r="CP18"/>
  <c r="BO18"/>
  <c r="BW18"/>
  <c r="DF18"/>
  <c r="BY18"/>
  <c r="CO18"/>
  <c r="CM18"/>
  <c r="CD18"/>
  <c r="CR18"/>
  <c r="CU18"/>
  <c r="BR18"/>
  <c r="DC18"/>
  <c r="CB18"/>
  <c r="BV18"/>
  <c r="DE18"/>
  <c r="BX18"/>
  <c r="BZ18"/>
  <c r="CA18"/>
  <c r="CJ18"/>
  <c r="CZ18"/>
  <c r="CQ18"/>
  <c r="CW18"/>
  <c r="CH18"/>
  <c r="DB18"/>
  <c r="CV18"/>
  <c r="CL18"/>
  <c r="D18" l="1"/>
  <c r="D17"/>
  <c r="DH16"/>
  <c r="BL16"/>
  <c r="D15"/>
  <c r="BI18"/>
  <c r="BA18"/>
  <c r="AB17"/>
  <c r="L17"/>
  <c r="AF18"/>
  <c r="M18"/>
  <c r="S17"/>
  <c r="U17"/>
  <c r="AO17"/>
  <c r="BV17"/>
  <c r="AJ18"/>
  <c r="AS17"/>
  <c r="AU18"/>
  <c r="BX17"/>
  <c r="CO17"/>
  <c r="AP17"/>
  <c r="P18"/>
  <c r="BO17"/>
  <c r="CD17"/>
  <c r="CQ17"/>
  <c r="AU17"/>
  <c r="CI17"/>
  <c r="Z17"/>
  <c r="AI17"/>
  <c r="DF17"/>
  <c r="BA17"/>
  <c r="BU17"/>
  <c r="BB17"/>
  <c r="AM17"/>
  <c r="BE17"/>
  <c r="AF17"/>
  <c r="Y18"/>
  <c r="AC18"/>
  <c r="S18"/>
  <c r="AX18"/>
  <c r="BB18"/>
  <c r="AC17"/>
  <c r="BH17"/>
  <c r="AI18"/>
  <c r="G18"/>
  <c r="CY17"/>
  <c r="AP18"/>
  <c r="H17"/>
  <c r="AM18"/>
  <c r="G17"/>
  <c r="CZ17"/>
  <c r="P17"/>
  <c r="CL17"/>
  <c r="K17"/>
  <c r="AW17"/>
  <c r="BD17"/>
  <c r="AD18"/>
  <c r="CH17"/>
  <c r="CS17"/>
  <c r="AA18"/>
  <c r="AQ18"/>
  <c r="CA17"/>
  <c r="J17"/>
  <c r="AR18"/>
  <c r="CE17"/>
  <c r="CC17"/>
  <c r="CT17"/>
  <c r="AG17"/>
  <c r="H18"/>
  <c r="AT17"/>
  <c r="AV18"/>
  <c r="DD17"/>
  <c r="DC17"/>
  <c r="AS18"/>
  <c r="CR17"/>
  <c r="AZ17"/>
  <c r="K18"/>
  <c r="AA17"/>
  <c r="AQ17"/>
  <c r="BI17"/>
  <c r="CW17"/>
  <c r="CF17"/>
  <c r="BC18"/>
  <c r="BY17"/>
  <c r="AG18"/>
  <c r="AY18"/>
  <c r="BT17"/>
  <c r="N17"/>
  <c r="BE18"/>
  <c r="X17"/>
  <c r="CU17"/>
  <c r="BC17"/>
  <c r="AB18"/>
  <c r="U18"/>
  <c r="AY17"/>
  <c r="AW18"/>
  <c r="L18"/>
  <c r="O18"/>
  <c r="CB17"/>
  <c r="AV17"/>
  <c r="BD18"/>
  <c r="O17"/>
  <c r="AZ18"/>
  <c r="N18"/>
  <c r="M17"/>
  <c r="DE17"/>
  <c r="CX17"/>
  <c r="AN17"/>
  <c r="CM17"/>
  <c r="AJ17"/>
  <c r="CK17"/>
  <c r="Y17"/>
  <c r="BS17"/>
  <c r="CN17"/>
  <c r="V17"/>
  <c r="J18"/>
  <c r="AR17"/>
  <c r="I18"/>
  <c r="CP17"/>
  <c r="AO18"/>
  <c r="I17"/>
  <c r="BH18"/>
  <c r="Z18"/>
  <c r="CJ17"/>
  <c r="T18"/>
  <c r="CV17"/>
  <c r="BZ17"/>
  <c r="BW17"/>
  <c r="AD17"/>
  <c r="X18"/>
  <c r="DA17"/>
  <c r="AX17"/>
  <c r="DB17"/>
  <c r="BR17"/>
  <c r="V18"/>
  <c r="CG17"/>
  <c r="AN18"/>
  <c r="AT18"/>
  <c r="BP17"/>
  <c r="T17"/>
  <c r="H19" l="1"/>
  <c r="J19"/>
  <c r="L19"/>
  <c r="N19"/>
  <c r="P19"/>
  <c r="S19"/>
  <c r="U19"/>
  <c r="Y19"/>
  <c r="AA19"/>
  <c r="AC19"/>
  <c r="AF19"/>
  <c r="AI19"/>
  <c r="AN19"/>
  <c r="AP19"/>
  <c r="AR19"/>
  <c r="AT19"/>
  <c r="AV19"/>
  <c r="AX19"/>
  <c r="AZ19"/>
  <c r="BB19"/>
  <c r="BD19"/>
  <c r="BI19"/>
  <c r="BR19"/>
  <c r="BT19"/>
  <c r="BV19"/>
  <c r="BX19"/>
  <c r="BZ19"/>
  <c r="CB19"/>
  <c r="CD19"/>
  <c r="CF19"/>
  <c r="CH19"/>
  <c r="CJ19"/>
  <c r="CL19"/>
  <c r="CN19"/>
  <c r="CP19"/>
  <c r="CR19"/>
  <c r="CT19"/>
  <c r="CV19"/>
  <c r="CX19"/>
  <c r="CZ19"/>
  <c r="DB19"/>
  <c r="DD19"/>
  <c r="DF19"/>
  <c r="G19"/>
  <c r="Q17"/>
  <c r="I19"/>
  <c r="K19"/>
  <c r="M19"/>
  <c r="O19"/>
  <c r="T19"/>
  <c r="V19"/>
  <c r="X19"/>
  <c r="Z19"/>
  <c r="AB19"/>
  <c r="AD19"/>
  <c r="AG19"/>
  <c r="AJ19"/>
  <c r="AM19"/>
  <c r="BF17"/>
  <c r="AO19"/>
  <c r="AQ19"/>
  <c r="AS19"/>
  <c r="AU19"/>
  <c r="AW19"/>
  <c r="AY19"/>
  <c r="BA19"/>
  <c r="BC19"/>
  <c r="BE19"/>
  <c r="BH19"/>
  <c r="BJ17"/>
  <c r="BO19"/>
  <c r="BS19"/>
  <c r="BU19"/>
  <c r="BW19"/>
  <c r="BY19"/>
  <c r="CA19"/>
  <c r="CC19"/>
  <c r="CE19"/>
  <c r="CG19"/>
  <c r="CI19"/>
  <c r="CK19"/>
  <c r="CM19"/>
  <c r="CO19"/>
  <c r="CQ19"/>
  <c r="CS19"/>
  <c r="CU19"/>
  <c r="CW19"/>
  <c r="CY19"/>
  <c r="DA19"/>
  <c r="DC19"/>
  <c r="DE19"/>
  <c r="Q18"/>
  <c r="BF18"/>
  <c r="BJ18"/>
  <c r="G31" i="36"/>
  <c r="BJ19" i="70" l="1"/>
  <c r="BF19"/>
  <c r="Q19"/>
  <c r="D13" l="1"/>
  <c r="D12"/>
  <c r="DB13"/>
  <c r="CY13"/>
  <c r="BY12"/>
  <c r="AN13"/>
  <c r="DF12"/>
  <c r="CZ13"/>
  <c r="CN13"/>
  <c r="K12"/>
  <c r="O12"/>
  <c r="X12"/>
  <c r="AC12"/>
  <c r="BA13"/>
  <c r="CX12"/>
  <c r="CZ12"/>
  <c r="DB12"/>
  <c r="CM12"/>
  <c r="AZ13"/>
  <c r="CY12"/>
  <c r="CI12"/>
  <c r="CM13"/>
  <c r="BT13"/>
  <c r="H13"/>
  <c r="AG13"/>
  <c r="CP13"/>
  <c r="BV12"/>
  <c r="CQ13"/>
  <c r="CI13"/>
  <c r="AP12"/>
  <c r="V13"/>
  <c r="CR13"/>
  <c r="CH12"/>
  <c r="BZ12"/>
  <c r="BW12"/>
  <c r="AF12"/>
  <c r="AA13"/>
  <c r="BH13"/>
  <c r="DE12"/>
  <c r="CW12"/>
  <c r="AD12"/>
  <c r="CE12"/>
  <c r="BV13"/>
  <c r="DC13"/>
  <c r="BS13"/>
  <c r="CR12"/>
  <c r="AD13"/>
  <c r="Z12"/>
  <c r="X13"/>
  <c r="BX13"/>
  <c r="AF13"/>
  <c r="AY13"/>
  <c r="CA12"/>
  <c r="CL13"/>
  <c r="BX12"/>
  <c r="BR12"/>
  <c r="I13"/>
  <c r="BB13"/>
  <c r="BW13"/>
  <c r="CG13"/>
  <c r="AX12"/>
  <c r="CO12"/>
  <c r="Z13"/>
  <c r="AI13"/>
  <c r="CU13"/>
  <c r="CX13"/>
  <c r="CL12"/>
  <c r="DC12"/>
  <c r="BA12"/>
  <c r="BU13"/>
  <c r="AO13"/>
  <c r="BO13"/>
  <c r="DA12"/>
  <c r="BE12"/>
  <c r="CK13"/>
  <c r="CC13"/>
  <c r="CB12"/>
  <c r="M13"/>
  <c r="CT13"/>
  <c r="J12"/>
  <c r="O13"/>
  <c r="S13"/>
  <c r="AZ12"/>
  <c r="CP12"/>
  <c r="CK12"/>
  <c r="BD13"/>
  <c r="AG12"/>
  <c r="CV13"/>
  <c r="AV12"/>
  <c r="BY13"/>
  <c r="Y13"/>
  <c r="CQ12"/>
  <c r="AQ13"/>
  <c r="I12"/>
  <c r="CD12"/>
  <c r="AR13"/>
  <c r="BT12"/>
  <c r="AM13"/>
  <c r="AA12"/>
  <c r="L12"/>
  <c r="AQ12"/>
  <c r="AC13"/>
  <c r="AB13"/>
  <c r="CW13"/>
  <c r="AW12"/>
  <c r="AX13"/>
  <c r="J13"/>
  <c r="BZ13"/>
  <c r="N12"/>
  <c r="BB12"/>
  <c r="CJ12"/>
  <c r="AO12"/>
  <c r="AU13"/>
  <c r="BI13"/>
  <c r="CT12"/>
  <c r="N13"/>
  <c r="G13"/>
  <c r="CN12"/>
  <c r="BE13"/>
  <c r="BR13"/>
  <c r="AP13"/>
  <c r="BP13"/>
  <c r="CH13"/>
  <c r="CF13"/>
  <c r="AS12"/>
  <c r="BD12"/>
  <c r="DA13"/>
  <c r="AT12"/>
  <c r="CV12"/>
  <c r="CF12"/>
  <c r="W13"/>
  <c r="T13"/>
  <c r="K13"/>
  <c r="AU12"/>
  <c r="CB13"/>
  <c r="M12"/>
  <c r="AY12"/>
  <c r="P13"/>
  <c r="CJ13"/>
  <c r="CS13"/>
  <c r="CC12"/>
  <c r="CS12"/>
  <c r="CO13"/>
  <c r="AJ12"/>
  <c r="AJ13"/>
  <c r="H12"/>
  <c r="BI12"/>
  <c r="AM12"/>
  <c r="BC13"/>
  <c r="CA13"/>
  <c r="BU12"/>
  <c r="U13"/>
  <c r="DD12"/>
  <c r="CU12"/>
  <c r="L13"/>
  <c r="BQ13"/>
  <c r="DE13"/>
  <c r="CD13"/>
  <c r="DF13"/>
  <c r="AW13"/>
  <c r="CE13"/>
  <c r="Y12"/>
  <c r="DD13"/>
  <c r="AS13"/>
  <c r="AT13"/>
  <c r="AV13"/>
  <c r="CG12"/>
  <c r="BS12"/>
  <c r="AI12"/>
  <c r="AN12"/>
  <c r="P12"/>
  <c r="AR12"/>
  <c r="I14" l="1"/>
  <c r="K14"/>
  <c r="M14"/>
  <c r="O14"/>
  <c r="X14"/>
  <c r="Z14"/>
  <c r="AD14"/>
  <c r="AG14"/>
  <c r="AJ14"/>
  <c r="AM14"/>
  <c r="AO14"/>
  <c r="AQ14"/>
  <c r="AS14"/>
  <c r="AU14"/>
  <c r="AW14"/>
  <c r="AY14"/>
  <c r="BA14"/>
  <c r="BE14"/>
  <c r="BR14"/>
  <c r="BT14"/>
  <c r="BV14"/>
  <c r="BX14"/>
  <c r="BZ14"/>
  <c r="CB14"/>
  <c r="CD14"/>
  <c r="CF14"/>
  <c r="CH14"/>
  <c r="CJ14"/>
  <c r="CL14"/>
  <c r="CN14"/>
  <c r="CP14"/>
  <c r="CR14"/>
  <c r="CT14"/>
  <c r="CV14"/>
  <c r="CX14"/>
  <c r="CZ14"/>
  <c r="DB14"/>
  <c r="DD14"/>
  <c r="DF14"/>
  <c r="Q13"/>
  <c r="H14"/>
  <c r="J14"/>
  <c r="L14"/>
  <c r="N14"/>
  <c r="P14"/>
  <c r="Y14"/>
  <c r="AA14"/>
  <c r="AC14"/>
  <c r="AF14"/>
  <c r="AI14"/>
  <c r="AN14"/>
  <c r="AP14"/>
  <c r="AR14"/>
  <c r="AT14"/>
  <c r="AV14"/>
  <c r="AX14"/>
  <c r="AZ14"/>
  <c r="BB14"/>
  <c r="BD14"/>
  <c r="BI14"/>
  <c r="BS14"/>
  <c r="BU14"/>
  <c r="BW14"/>
  <c r="BY14"/>
  <c r="CA14"/>
  <c r="CC14"/>
  <c r="CE14"/>
  <c r="CG14"/>
  <c r="CI14"/>
  <c r="CK14"/>
  <c r="CM14"/>
  <c r="CO14"/>
  <c r="CQ14"/>
  <c r="CS14"/>
  <c r="CU14"/>
  <c r="CW14"/>
  <c r="CY14"/>
  <c r="DA14"/>
  <c r="DC14"/>
  <c r="DE14"/>
  <c r="AK13"/>
  <c r="BF13"/>
  <c r="BJ13"/>
  <c r="BL13" l="1"/>
  <c r="D10"/>
  <c r="D9"/>
  <c r="DC4"/>
  <c r="CY4"/>
  <c r="CU4"/>
  <c r="CQ4"/>
  <c r="CM4"/>
  <c r="CI4"/>
  <c r="CE4"/>
  <c r="CA4"/>
  <c r="BW4"/>
  <c r="BS4"/>
  <c r="BO4"/>
  <c r="BL4"/>
  <c r="BI4"/>
  <c r="BH4"/>
  <c r="BE4"/>
  <c r="BD4"/>
  <c r="BC4"/>
  <c r="BB4"/>
  <c r="BA4"/>
  <c r="AZ4"/>
  <c r="AY4"/>
  <c r="AX4"/>
  <c r="AW4"/>
  <c r="AV4"/>
  <c r="AU4"/>
  <c r="AT4"/>
  <c r="AS4"/>
  <c r="AR4"/>
  <c r="AQ4"/>
  <c r="AP4"/>
  <c r="AO4"/>
  <c r="AN4"/>
  <c r="AM4"/>
  <c r="AJ4"/>
  <c r="DE10"/>
  <c r="BZ9"/>
  <c r="BE10"/>
  <c r="AG9"/>
  <c r="BQ10"/>
  <c r="CT10"/>
  <c r="BB9"/>
  <c r="CM10"/>
  <c r="CH9"/>
  <c r="AW9"/>
  <c r="BX10"/>
  <c r="AX9"/>
  <c r="BY10"/>
  <c r="AM9"/>
  <c r="CW10"/>
  <c r="CU9"/>
  <c r="M9"/>
  <c r="AJ9"/>
  <c r="G10"/>
  <c r="P9"/>
  <c r="BI9"/>
  <c r="AP10"/>
  <c r="AR10"/>
  <c r="CM9"/>
  <c r="CE9"/>
  <c r="BR10"/>
  <c r="AN10"/>
  <c r="BV10"/>
  <c r="AF9"/>
  <c r="CA9"/>
  <c r="AF10"/>
  <c r="AM10"/>
  <c r="AV9"/>
  <c r="DB9"/>
  <c r="CJ10"/>
  <c r="Z9"/>
  <c r="CC9"/>
  <c r="I9"/>
  <c r="DA10"/>
  <c r="CU10"/>
  <c r="X10"/>
  <c r="Y10"/>
  <c r="AG10"/>
  <c r="H9"/>
  <c r="AY10"/>
  <c r="BD10"/>
  <c r="M10"/>
  <c r="AQ10"/>
  <c r="BI10"/>
  <c r="CV9"/>
  <c r="CP10"/>
  <c r="AR9"/>
  <c r="BZ10"/>
  <c r="O10"/>
  <c r="BD9"/>
  <c r="AC10"/>
  <c r="V10"/>
  <c r="BT10"/>
  <c r="BB10"/>
  <c r="BW10"/>
  <c r="AQ9"/>
  <c r="CR10"/>
  <c r="O9"/>
  <c r="AC9"/>
  <c r="CS9"/>
  <c r="CF9"/>
  <c r="BR9"/>
  <c r="CN10"/>
  <c r="S10"/>
  <c r="CK9"/>
  <c r="DC9"/>
  <c r="AO9"/>
  <c r="BH10"/>
  <c r="BO10"/>
  <c r="K10"/>
  <c r="AY9"/>
  <c r="CN9"/>
  <c r="CD9"/>
  <c r="BE9"/>
  <c r="CO10"/>
  <c r="CR9"/>
  <c r="J10"/>
  <c r="AZ9"/>
  <c r="DC10"/>
  <c r="CL10"/>
  <c r="AS9"/>
  <c r="H10"/>
  <c r="CF10"/>
  <c r="BY9"/>
  <c r="L10"/>
  <c r="CP9"/>
  <c r="CZ9"/>
  <c r="CI9"/>
  <c r="DE9"/>
  <c r="L9"/>
  <c r="AS10"/>
  <c r="AD9"/>
  <c r="DF9"/>
  <c r="CI10"/>
  <c r="CX9"/>
  <c r="AX10"/>
  <c r="CS10"/>
  <c r="CQ10"/>
  <c r="N10"/>
  <c r="CL9"/>
  <c r="J9"/>
  <c r="BU10"/>
  <c r="AU10"/>
  <c r="CQ9"/>
  <c r="CD10"/>
  <c r="AA9"/>
  <c r="AN9"/>
  <c r="AZ10"/>
  <c r="BA9"/>
  <c r="CG9"/>
  <c r="DD9"/>
  <c r="CK10"/>
  <c r="CV10"/>
  <c r="AD10"/>
  <c r="BP10"/>
  <c r="BH9"/>
  <c r="BW9"/>
  <c r="CW9"/>
  <c r="CE10"/>
  <c r="BS10"/>
  <c r="BV9"/>
  <c r="BC10"/>
  <c r="P10"/>
  <c r="U10"/>
  <c r="DF10"/>
  <c r="DB10"/>
  <c r="AW10"/>
  <c r="CJ9"/>
  <c r="CX10"/>
  <c r="CY9"/>
  <c r="DD10"/>
  <c r="AV10"/>
  <c r="AO10"/>
  <c r="DA9"/>
  <c r="N9"/>
  <c r="AJ10"/>
  <c r="CO9"/>
  <c r="CG10"/>
  <c r="BT9"/>
  <c r="CB10"/>
  <c r="T10"/>
  <c r="CT9"/>
  <c r="BU9"/>
  <c r="X9"/>
  <c r="CA10"/>
  <c r="BA10"/>
  <c r="Z10"/>
  <c r="CB9"/>
  <c r="BS9"/>
  <c r="I10"/>
  <c r="CC10"/>
  <c r="AP9"/>
  <c r="CH10"/>
  <c r="Y9"/>
  <c r="BX9"/>
  <c r="CY10"/>
  <c r="AB10"/>
  <c r="AT10"/>
  <c r="W10"/>
  <c r="K9"/>
  <c r="AT9"/>
  <c r="AA10"/>
  <c r="CZ10"/>
  <c r="AU9"/>
  <c r="AI10"/>
  <c r="I11" l="1"/>
  <c r="M11"/>
  <c r="X11"/>
  <c r="AG11"/>
  <c r="AJ11"/>
  <c r="AM11"/>
  <c r="AO11"/>
  <c r="AQ11"/>
  <c r="AS11"/>
  <c r="AU11"/>
  <c r="AW11"/>
  <c r="AY11"/>
  <c r="BA11"/>
  <c r="BE11"/>
  <c r="BH11"/>
  <c r="BJ9"/>
  <c r="BS11"/>
  <c r="BU11"/>
  <c r="BW11"/>
  <c r="BY11"/>
  <c r="CA11"/>
  <c r="CC11"/>
  <c r="CE11"/>
  <c r="CG11"/>
  <c r="CI11"/>
  <c r="CK11"/>
  <c r="CM11"/>
  <c r="CO11"/>
  <c r="CQ11"/>
  <c r="CS11"/>
  <c r="CU11"/>
  <c r="CW11"/>
  <c r="CY11"/>
  <c r="DA11"/>
  <c r="DC11"/>
  <c r="DE11"/>
  <c r="AK10"/>
  <c r="K11"/>
  <c r="O11"/>
  <c r="Z11"/>
  <c r="AD11"/>
  <c r="H11"/>
  <c r="J11"/>
  <c r="L11"/>
  <c r="N11"/>
  <c r="P11"/>
  <c r="Y11"/>
  <c r="AA11"/>
  <c r="AC11"/>
  <c r="AF11"/>
  <c r="AN11"/>
  <c r="AP11"/>
  <c r="AR11"/>
  <c r="AT11"/>
  <c r="AV11"/>
  <c r="AX11"/>
  <c r="AZ11"/>
  <c r="BB11"/>
  <c r="BD11"/>
  <c r="BI11"/>
  <c r="BR11"/>
  <c r="BT11"/>
  <c r="BV11"/>
  <c r="BX11"/>
  <c r="BZ11"/>
  <c r="CB11"/>
  <c r="CD11"/>
  <c r="CF11"/>
  <c r="CH11"/>
  <c r="CJ11"/>
  <c r="CL11"/>
  <c r="CN11"/>
  <c r="CP11"/>
  <c r="CR11"/>
  <c r="CT11"/>
  <c r="CV11"/>
  <c r="CX11"/>
  <c r="CZ11"/>
  <c r="DB11"/>
  <c r="DD11"/>
  <c r="DF11"/>
  <c r="Q10"/>
  <c r="BF10"/>
  <c r="BJ10"/>
  <c r="AI4"/>
  <c r="AG4"/>
  <c r="AF4"/>
  <c r="AD4"/>
  <c r="AC4"/>
  <c r="AB4"/>
  <c r="AA4"/>
  <c r="Z4"/>
  <c r="Y4"/>
  <c r="X4"/>
  <c r="W4"/>
  <c r="V4"/>
  <c r="U4"/>
  <c r="T4"/>
  <c r="S4"/>
  <c r="P4"/>
  <c r="O4"/>
  <c r="N4"/>
  <c r="M4"/>
  <c r="L4"/>
  <c r="K4"/>
  <c r="J4"/>
  <c r="I4"/>
  <c r="H4"/>
  <c r="G4"/>
  <c r="E3"/>
  <c r="BL10" l="1"/>
  <c r="AM15"/>
  <c r="BJ11"/>
  <c r="AM40" l="1"/>
  <c r="BL108" i="29"/>
  <c r="BL107"/>
  <c r="BL105" l="1"/>
  <c r="D104" l="1"/>
  <c r="BJ103"/>
  <c r="AR103"/>
  <c r="Q103"/>
  <c r="D103"/>
  <c r="AY102"/>
  <c r="CN103"/>
  <c r="BP103"/>
  <c r="BO103"/>
  <c r="BY102"/>
  <c r="CI102"/>
  <c r="CR103"/>
  <c r="CB102"/>
  <c r="AS102"/>
  <c r="CL103"/>
  <c r="DA102"/>
  <c r="BA102"/>
  <c r="CE103"/>
  <c r="CG103"/>
  <c r="CX102"/>
  <c r="DB102"/>
  <c r="DC102"/>
  <c r="CH103"/>
  <c r="DB103"/>
  <c r="CJ102"/>
  <c r="CS103"/>
  <c r="CY103"/>
  <c r="AP102"/>
  <c r="AV102"/>
  <c r="CF103"/>
  <c r="CN102"/>
  <c r="CQ103"/>
  <c r="BZ102"/>
  <c r="BC102"/>
  <c r="CQ102"/>
  <c r="AZ102"/>
  <c r="CJ103"/>
  <c r="CY102"/>
  <c r="CD103"/>
  <c r="CL102"/>
  <c r="CU103"/>
  <c r="CM103"/>
  <c r="CZ102"/>
  <c r="CA102"/>
  <c r="BE102"/>
  <c r="BW102"/>
  <c r="CI103"/>
  <c r="CT103"/>
  <c r="BV102"/>
  <c r="BU103"/>
  <c r="CU102"/>
  <c r="BO102"/>
  <c r="DC103"/>
  <c r="BX103"/>
  <c r="BQ103"/>
  <c r="CW103"/>
  <c r="CB103"/>
  <c r="BX102"/>
  <c r="CH102"/>
  <c r="CM102"/>
  <c r="AR102"/>
  <c r="CC102"/>
  <c r="CF102"/>
  <c r="CR102"/>
  <c r="CX103"/>
  <c r="BV103"/>
  <c r="DE102"/>
  <c r="CS102"/>
  <c r="DF102"/>
  <c r="BS102"/>
  <c r="CV103"/>
  <c r="BW103"/>
  <c r="AM102"/>
  <c r="CZ103"/>
  <c r="BB102"/>
  <c r="BQ102"/>
  <c r="AW102"/>
  <c r="BR102"/>
  <c r="AQ102"/>
  <c r="DF103"/>
  <c r="DE103"/>
  <c r="CA103"/>
  <c r="BP102"/>
  <c r="CC103"/>
  <c r="CV102"/>
  <c r="BD102"/>
  <c r="BR103"/>
  <c r="CP102"/>
  <c r="BH102"/>
  <c r="BT103"/>
  <c r="CP103"/>
  <c r="BS103"/>
  <c r="DD103"/>
  <c r="AN102"/>
  <c r="CG102"/>
  <c r="AX102"/>
  <c r="DA103"/>
  <c r="CE102"/>
  <c r="AU102"/>
  <c r="BY103"/>
  <c r="CK102"/>
  <c r="AT102"/>
  <c r="DD102"/>
  <c r="CT102"/>
  <c r="CO102"/>
  <c r="CW102"/>
  <c r="AO102"/>
  <c r="BZ103"/>
  <c r="CK103"/>
  <c r="CD102"/>
  <c r="BU102"/>
  <c r="CO103"/>
  <c r="AO104" l="1"/>
  <c r="AW104"/>
  <c r="BA104"/>
  <c r="BE104"/>
  <c r="AN104"/>
  <c r="AP104"/>
  <c r="AV104"/>
  <c r="AX104"/>
  <c r="AZ104"/>
  <c r="BB104"/>
  <c r="BD104"/>
  <c r="BO104"/>
  <c r="BQ104"/>
  <c r="BS104"/>
  <c r="BU104"/>
  <c r="BW104"/>
  <c r="BY104"/>
  <c r="CA104"/>
  <c r="CC104"/>
  <c r="CE104"/>
  <c r="CG104"/>
  <c r="CI104"/>
  <c r="CK104"/>
  <c r="CM104"/>
  <c r="CO104"/>
  <c r="CQ104"/>
  <c r="CS104"/>
  <c r="CU104"/>
  <c r="CW104"/>
  <c r="CY104"/>
  <c r="DA104"/>
  <c r="DC104"/>
  <c r="DE104"/>
  <c r="DH103"/>
  <c r="AM104"/>
  <c r="BF102"/>
  <c r="AY104"/>
  <c r="BC104"/>
  <c r="BH104"/>
  <c r="BP104"/>
  <c r="BR104"/>
  <c r="BV104"/>
  <c r="BX104"/>
  <c r="BZ104"/>
  <c r="CB104"/>
  <c r="CD104"/>
  <c r="CF104"/>
  <c r="CH104"/>
  <c r="CJ104"/>
  <c r="CL104"/>
  <c r="CN104"/>
  <c r="CP104"/>
  <c r="CR104"/>
  <c r="CT104"/>
  <c r="CV104"/>
  <c r="CX104"/>
  <c r="CZ104"/>
  <c r="DB104"/>
  <c r="DD104"/>
  <c r="DF104"/>
  <c r="D102"/>
  <c r="DH101"/>
  <c r="AB102"/>
  <c r="N102"/>
  <c r="G102"/>
  <c r="M102"/>
  <c r="AG102"/>
  <c r="AC102"/>
  <c r="S102"/>
  <c r="AA102"/>
  <c r="AD102"/>
  <c r="AJ102"/>
  <c r="P102"/>
  <c r="K102"/>
  <c r="AI102"/>
  <c r="AF102"/>
  <c r="L102"/>
  <c r="T102"/>
  <c r="H102"/>
  <c r="I102"/>
  <c r="J102"/>
  <c r="O102"/>
  <c r="G104" l="1"/>
  <c r="Q102"/>
  <c r="K104"/>
  <c r="O104"/>
  <c r="AD104"/>
  <c r="AJ104"/>
  <c r="H104"/>
  <c r="J104"/>
  <c r="L104"/>
  <c r="N104"/>
  <c r="P104"/>
  <c r="S104"/>
  <c r="AA104"/>
  <c r="AC104"/>
  <c r="AF104"/>
  <c r="AI104"/>
  <c r="I104"/>
  <c r="M104"/>
  <c r="AB104"/>
  <c r="AG104"/>
  <c r="DH100"/>
  <c r="Q104" l="1"/>
  <c r="D99" l="1"/>
  <c r="CN98"/>
  <c r="CO98"/>
  <c r="CW98"/>
  <c r="CJ98"/>
  <c r="CQ98"/>
  <c r="BQ98"/>
  <c r="BT98"/>
  <c r="CI98"/>
  <c r="CS98"/>
  <c r="BZ98"/>
  <c r="CH98"/>
  <c r="DC98"/>
  <c r="BY98"/>
  <c r="DF98"/>
  <c r="DD98"/>
  <c r="DE98"/>
  <c r="CT98"/>
  <c r="CU98"/>
  <c r="DA98"/>
  <c r="CD98"/>
  <c r="BR98"/>
  <c r="CK98"/>
  <c r="BX98"/>
  <c r="CP98"/>
  <c r="BV98"/>
  <c r="CG98"/>
  <c r="BP98"/>
  <c r="CB98"/>
  <c r="CL98"/>
  <c r="CA98"/>
  <c r="CV98"/>
  <c r="BO98"/>
  <c r="BS98"/>
  <c r="CE98"/>
  <c r="CF98"/>
  <c r="CX98"/>
  <c r="DB98"/>
  <c r="BW98"/>
  <c r="BU98"/>
  <c r="CR98"/>
  <c r="CC98"/>
  <c r="CM98"/>
  <c r="CZ98"/>
  <c r="D98" l="1"/>
  <c r="DH97"/>
  <c r="AU98"/>
  <c r="AS98"/>
  <c r="BA98"/>
  <c r="G98"/>
  <c r="AC98"/>
  <c r="AT98"/>
  <c r="O98"/>
  <c r="AF98"/>
  <c r="AN98"/>
  <c r="AG98"/>
  <c r="I98"/>
  <c r="W98"/>
  <c r="BD98"/>
  <c r="S98"/>
  <c r="BE98"/>
  <c r="AZ98"/>
  <c r="BI98"/>
  <c r="AI98"/>
  <c r="BH98"/>
  <c r="Z98"/>
  <c r="AV98"/>
  <c r="K98"/>
  <c r="AJ98"/>
  <c r="M98"/>
  <c r="N98"/>
  <c r="AO98"/>
  <c r="P98"/>
  <c r="AW98"/>
  <c r="AY98"/>
  <c r="AX98"/>
  <c r="AA98"/>
  <c r="BC98"/>
  <c r="J98"/>
  <c r="H98"/>
  <c r="X98"/>
  <c r="AQ98"/>
  <c r="Y98"/>
  <c r="AR98"/>
  <c r="T98"/>
  <c r="AB98"/>
  <c r="AD98"/>
  <c r="AM98"/>
  <c r="L98"/>
  <c r="BB98"/>
  <c r="Q98" l="1"/>
  <c r="BJ98"/>
  <c r="D96" l="1"/>
  <c r="DH95"/>
  <c r="CF96"/>
  <c r="CB96"/>
  <c r="DD96"/>
  <c r="CK96"/>
  <c r="DA96"/>
  <c r="CJ96"/>
  <c r="CG96"/>
  <c r="CT96"/>
  <c r="AZ96"/>
  <c r="DF96"/>
  <c r="CQ96"/>
  <c r="BQ96"/>
  <c r="AQ96"/>
  <c r="CV96"/>
  <c r="CL96"/>
  <c r="G96"/>
  <c r="O96"/>
  <c r="AJ96"/>
  <c r="AS96"/>
  <c r="AV96"/>
  <c r="BI96"/>
  <c r="P96"/>
  <c r="AY96"/>
  <c r="Z96"/>
  <c r="BD96"/>
  <c r="BY96"/>
  <c r="CA96"/>
  <c r="AA96"/>
  <c r="AW96"/>
  <c r="Y96"/>
  <c r="J96"/>
  <c r="BC96"/>
  <c r="L96"/>
  <c r="M96"/>
  <c r="BE96"/>
  <c r="X96"/>
  <c r="BO96"/>
  <c r="T96"/>
  <c r="AM96"/>
  <c r="BW96"/>
  <c r="BR96"/>
  <c r="H96"/>
  <c r="CE96"/>
  <c r="CU96"/>
  <c r="I96"/>
  <c r="CM96"/>
  <c r="CS96"/>
  <c r="DC96"/>
  <c r="BX96"/>
  <c r="S96"/>
  <c r="AO96"/>
  <c r="AN96"/>
  <c r="CR96"/>
  <c r="CO96"/>
  <c r="CX96"/>
  <c r="BA96"/>
  <c r="CC96"/>
  <c r="CN96"/>
  <c r="AX96"/>
  <c r="BV96"/>
  <c r="AC96"/>
  <c r="AT96"/>
  <c r="CZ96"/>
  <c r="BU96"/>
  <c r="DB96"/>
  <c r="BS96"/>
  <c r="N96"/>
  <c r="CW96"/>
  <c r="BT96"/>
  <c r="AB96"/>
  <c r="CH96"/>
  <c r="AU96"/>
  <c r="CD96"/>
  <c r="K96"/>
  <c r="BP96"/>
  <c r="BB96"/>
  <c r="AI96"/>
  <c r="AR96"/>
  <c r="DE96"/>
  <c r="BZ96"/>
  <c r="AP96"/>
  <c r="CI96"/>
  <c r="CP96"/>
  <c r="G99" l="1"/>
  <c r="Q96"/>
  <c r="H99"/>
  <c r="J99"/>
  <c r="L99"/>
  <c r="N99"/>
  <c r="P99"/>
  <c r="S99"/>
  <c r="Y99"/>
  <c r="AA99"/>
  <c r="AC99"/>
  <c r="AI99"/>
  <c r="AN99"/>
  <c r="AR99"/>
  <c r="AT99"/>
  <c r="AV99"/>
  <c r="AX99"/>
  <c r="AZ99"/>
  <c r="BB99"/>
  <c r="BD99"/>
  <c r="BI99"/>
  <c r="I99"/>
  <c r="K99"/>
  <c r="M99"/>
  <c r="O99"/>
  <c r="T99"/>
  <c r="X99"/>
  <c r="Z99"/>
  <c r="AB99"/>
  <c r="AJ99"/>
  <c r="AM99"/>
  <c r="BF96"/>
  <c r="AO99"/>
  <c r="AQ99"/>
  <c r="AS99"/>
  <c r="AU99"/>
  <c r="AW99"/>
  <c r="AY99"/>
  <c r="BA99"/>
  <c r="BC99"/>
  <c r="BE99"/>
  <c r="BO99"/>
  <c r="BS99"/>
  <c r="BW99"/>
  <c r="CA99"/>
  <c r="CE99"/>
  <c r="CI99"/>
  <c r="CM99"/>
  <c r="BP99"/>
  <c r="BR99"/>
  <c r="BT99"/>
  <c r="BV99"/>
  <c r="BX99"/>
  <c r="BZ99"/>
  <c r="CB99"/>
  <c r="CD99"/>
  <c r="CF99"/>
  <c r="CH99"/>
  <c r="CJ99"/>
  <c r="CL99"/>
  <c r="CN99"/>
  <c r="CP99"/>
  <c r="CR99"/>
  <c r="CT99"/>
  <c r="CV99"/>
  <c r="CX99"/>
  <c r="CZ99"/>
  <c r="DB99"/>
  <c r="DD99"/>
  <c r="DF99"/>
  <c r="BQ99"/>
  <c r="BU99"/>
  <c r="BY99"/>
  <c r="CC99"/>
  <c r="CG99"/>
  <c r="CK99"/>
  <c r="CO99"/>
  <c r="CQ99"/>
  <c r="CS99"/>
  <c r="CU99"/>
  <c r="CW99"/>
  <c r="DA99"/>
  <c r="DC99"/>
  <c r="DE99"/>
  <c r="DH94"/>
  <c r="BL94"/>
  <c r="Q99" l="1"/>
  <c r="D93" l="1"/>
  <c r="D92"/>
  <c r="BZ92"/>
  <c r="CS91"/>
  <c r="DB92"/>
  <c r="DC91"/>
  <c r="BR92"/>
  <c r="AB92"/>
  <c r="V92"/>
  <c r="U92"/>
  <c r="CA92"/>
  <c r="DD91"/>
  <c r="BU91"/>
  <c r="CN92"/>
  <c r="P92"/>
  <c r="CB92"/>
  <c r="CD92"/>
  <c r="BW92"/>
  <c r="H92"/>
  <c r="AG92"/>
  <c r="Y92"/>
  <c r="DF91"/>
  <c r="DD92"/>
  <c r="O92"/>
  <c r="BS91"/>
  <c r="Z92"/>
  <c r="CU92"/>
  <c r="AN92"/>
  <c r="CJ91"/>
  <c r="AU92"/>
  <c r="M92"/>
  <c r="DC92"/>
  <c r="AQ92"/>
  <c r="DB91"/>
  <c r="CV91"/>
  <c r="AM92"/>
  <c r="BT92"/>
  <c r="CH92"/>
  <c r="CT92"/>
  <c r="BE92"/>
  <c r="DA92"/>
  <c r="DA91"/>
  <c r="CY92"/>
  <c r="DE92"/>
  <c r="BB92"/>
  <c r="AS92"/>
  <c r="AF92"/>
  <c r="K92"/>
  <c r="BT91"/>
  <c r="CG91"/>
  <c r="X92"/>
  <c r="BP92"/>
  <c r="CI91"/>
  <c r="AR92"/>
  <c r="CB91"/>
  <c r="CS92"/>
  <c r="AA92"/>
  <c r="BR91"/>
  <c r="DF92"/>
  <c r="CM92"/>
  <c r="BY92"/>
  <c r="CL92"/>
  <c r="CC91"/>
  <c r="BQ92"/>
  <c r="BV92"/>
  <c r="CN91"/>
  <c r="CE92"/>
  <c r="BZ91"/>
  <c r="BQ91"/>
  <c r="G92"/>
  <c r="BU92"/>
  <c r="AY92"/>
  <c r="CI92"/>
  <c r="CE91"/>
  <c r="S92"/>
  <c r="N92"/>
  <c r="BA92"/>
  <c r="CM91"/>
  <c r="CJ92"/>
  <c r="CR92"/>
  <c r="CO91"/>
  <c r="CU91"/>
  <c r="CK91"/>
  <c r="BX91"/>
  <c r="CW92"/>
  <c r="BP91"/>
  <c r="AW92"/>
  <c r="BH91"/>
  <c r="AZ92"/>
  <c r="AC92"/>
  <c r="CP92"/>
  <c r="CP91"/>
  <c r="W92"/>
  <c r="AI92"/>
  <c r="AD92"/>
  <c r="BC92"/>
  <c r="I92"/>
  <c r="AO92"/>
  <c r="J92"/>
  <c r="BX92"/>
  <c r="CK92"/>
  <c r="CD91"/>
  <c r="CG92"/>
  <c r="AT92"/>
  <c r="BO92"/>
  <c r="DE91"/>
  <c r="CZ91"/>
  <c r="L92"/>
  <c r="CT91"/>
  <c r="CX92"/>
  <c r="AX92"/>
  <c r="BI92"/>
  <c r="CQ92"/>
  <c r="BY91"/>
  <c r="AJ92"/>
  <c r="CF92"/>
  <c r="CC92"/>
  <c r="BW91"/>
  <c r="CH91"/>
  <c r="CW91"/>
  <c r="CZ92"/>
  <c r="CO92"/>
  <c r="CY91"/>
  <c r="AV92"/>
  <c r="AP92"/>
  <c r="CV92"/>
  <c r="CA91"/>
  <c r="BS92"/>
  <c r="CR91"/>
  <c r="BD92"/>
  <c r="BO91"/>
  <c r="BV91"/>
  <c r="CX91"/>
  <c r="CF91"/>
  <c r="CL91"/>
  <c r="CQ91"/>
  <c r="Q92" l="1"/>
  <c r="BF92"/>
  <c r="BB91"/>
  <c r="AY91"/>
  <c r="AN91"/>
  <c r="AD91"/>
  <c r="AC91"/>
  <c r="BA91"/>
  <c r="AF91"/>
  <c r="AT91"/>
  <c r="X91"/>
  <c r="BC91"/>
  <c r="AM91"/>
  <c r="AI91"/>
  <c r="AR91"/>
  <c r="AU91"/>
  <c r="AO91"/>
  <c r="AZ91"/>
  <c r="S91"/>
  <c r="U91"/>
  <c r="AV91"/>
  <c r="AS91"/>
  <c r="AW91"/>
  <c r="V91"/>
  <c r="AX91"/>
  <c r="Y91"/>
  <c r="BE91"/>
  <c r="AJ91"/>
  <c r="Z91"/>
  <c r="AA91"/>
  <c r="AQ91"/>
  <c r="AB91"/>
  <c r="W91"/>
  <c r="AG91"/>
  <c r="BD91"/>
  <c r="AP91"/>
  <c r="BF91" l="1"/>
  <c r="D91"/>
  <c r="BL90"/>
  <c r="D89"/>
  <c r="BL87"/>
  <c r="BL86"/>
  <c r="BL85"/>
  <c r="BF83"/>
  <c r="BL83" s="1"/>
  <c r="CZ89"/>
  <c r="CO89"/>
  <c r="W89"/>
  <c r="CU89"/>
  <c r="BH89"/>
  <c r="BU89"/>
  <c r="N91"/>
  <c r="P89"/>
  <c r="CH89"/>
  <c r="AV89"/>
  <c r="CG89"/>
  <c r="BV89"/>
  <c r="G89"/>
  <c r="CE89"/>
  <c r="CM89"/>
  <c r="CD89"/>
  <c r="BO89"/>
  <c r="AN89"/>
  <c r="BZ89"/>
  <c r="AQ89"/>
  <c r="U89"/>
  <c r="DA89"/>
  <c r="K91"/>
  <c r="J89"/>
  <c r="AI89"/>
  <c r="AD89"/>
  <c r="AC89"/>
  <c r="BX89"/>
  <c r="L89"/>
  <c r="CI89"/>
  <c r="AG89"/>
  <c r="CC89"/>
  <c r="AS89"/>
  <c r="O91"/>
  <c r="BP89"/>
  <c r="AA89"/>
  <c r="CY89"/>
  <c r="AT89"/>
  <c r="BE89"/>
  <c r="AW89"/>
  <c r="BW89"/>
  <c r="X89"/>
  <c r="N89"/>
  <c r="CA89"/>
  <c r="P91"/>
  <c r="CQ89"/>
  <c r="BB89"/>
  <c r="CW89"/>
  <c r="CV89"/>
  <c r="DC89"/>
  <c r="CB89"/>
  <c r="CR89"/>
  <c r="CJ89"/>
  <c r="CP89"/>
  <c r="AZ89"/>
  <c r="AY89"/>
  <c r="CN89"/>
  <c r="DE89"/>
  <c r="AP89"/>
  <c r="DB89"/>
  <c r="J91"/>
  <c r="CL89"/>
  <c r="AO89"/>
  <c r="I89"/>
  <c r="BY89"/>
  <c r="BD89"/>
  <c r="BC89"/>
  <c r="M91"/>
  <c r="H89"/>
  <c r="AX89"/>
  <c r="CS89"/>
  <c r="I91"/>
  <c r="AJ89"/>
  <c r="DD89"/>
  <c r="BA89"/>
  <c r="BI89"/>
  <c r="Y89"/>
  <c r="BQ89"/>
  <c r="CT89"/>
  <c r="CF89"/>
  <c r="AR89"/>
  <c r="V89"/>
  <c r="O89"/>
  <c r="DF89"/>
  <c r="CX89"/>
  <c r="G91"/>
  <c r="CK89"/>
  <c r="BT89"/>
  <c r="L91"/>
  <c r="BR89"/>
  <c r="H91"/>
  <c r="Z89"/>
  <c r="T89"/>
  <c r="AB89"/>
  <c r="K89"/>
  <c r="AF89"/>
  <c r="M89"/>
  <c r="BS89"/>
  <c r="S89"/>
  <c r="AM89"/>
  <c r="AU89"/>
  <c r="G93" l="1"/>
  <c r="Q89"/>
  <c r="I93"/>
  <c r="I106" s="1"/>
  <c r="K93"/>
  <c r="K106" s="1"/>
  <c r="M93"/>
  <c r="M106" s="1"/>
  <c r="O93"/>
  <c r="V93"/>
  <c r="X93"/>
  <c r="Z93"/>
  <c r="AB93"/>
  <c r="AD93"/>
  <c r="AG93"/>
  <c r="AJ93"/>
  <c r="AM93"/>
  <c r="BF89"/>
  <c r="AO93"/>
  <c r="AQ93"/>
  <c r="AS93"/>
  <c r="AU93"/>
  <c r="AW93"/>
  <c r="AY93"/>
  <c r="BA93"/>
  <c r="BA106" s="1"/>
  <c r="BC93"/>
  <c r="BC106" s="1"/>
  <c r="BE93"/>
  <c r="BJ89"/>
  <c r="BO93"/>
  <c r="BQ93"/>
  <c r="BQ106" s="1"/>
  <c r="BS93"/>
  <c r="BU93"/>
  <c r="BW93"/>
  <c r="BY93"/>
  <c r="CA93"/>
  <c r="CA106" s="1"/>
  <c r="CC93"/>
  <c r="CE93"/>
  <c r="CG93"/>
  <c r="CI93"/>
  <c r="CK93"/>
  <c r="CK106" s="1"/>
  <c r="CM93"/>
  <c r="CM106" s="1"/>
  <c r="CO93"/>
  <c r="CO106" s="1"/>
  <c r="CQ93"/>
  <c r="CS93"/>
  <c r="CS106" s="1"/>
  <c r="CU93"/>
  <c r="CU106" s="1"/>
  <c r="CW93"/>
  <c r="CY93"/>
  <c r="DA93"/>
  <c r="DC93"/>
  <c r="DE93"/>
  <c r="H93"/>
  <c r="H106" s="1"/>
  <c r="J93"/>
  <c r="J106" s="1"/>
  <c r="L93"/>
  <c r="L106" s="1"/>
  <c r="N93"/>
  <c r="P93"/>
  <c r="P106" s="1"/>
  <c r="S93"/>
  <c r="AK89"/>
  <c r="U93"/>
  <c r="W93"/>
  <c r="Y93"/>
  <c r="AA93"/>
  <c r="AA106" s="1"/>
  <c r="AC93"/>
  <c r="AF93"/>
  <c r="AI93"/>
  <c r="AN93"/>
  <c r="AP93"/>
  <c r="AR93"/>
  <c r="AT93"/>
  <c r="AV93"/>
  <c r="AX93"/>
  <c r="AZ93"/>
  <c r="BB93"/>
  <c r="BB106" s="1"/>
  <c r="BD93"/>
  <c r="BP93"/>
  <c r="BR93"/>
  <c r="BR106" s="1"/>
  <c r="BT93"/>
  <c r="BV93"/>
  <c r="BV106" s="1"/>
  <c r="BX93"/>
  <c r="BZ93"/>
  <c r="CB93"/>
  <c r="CB106" s="1"/>
  <c r="CD93"/>
  <c r="CD106" s="1"/>
  <c r="CF93"/>
  <c r="CF106" s="1"/>
  <c r="CH93"/>
  <c r="CJ93"/>
  <c r="CJ106" s="1"/>
  <c r="CL93"/>
  <c r="CL106" s="1"/>
  <c r="CN93"/>
  <c r="CP93"/>
  <c r="CR93"/>
  <c r="CT93"/>
  <c r="CT106" s="1"/>
  <c r="CV93"/>
  <c r="CV106" s="1"/>
  <c r="CX93"/>
  <c r="CZ93"/>
  <c r="CZ106" s="1"/>
  <c r="DB93"/>
  <c r="DB106" s="1"/>
  <c r="DD93"/>
  <c r="DD106" s="1"/>
  <c r="DF93"/>
  <c r="Q91"/>
  <c r="H110" i="59"/>
  <c r="DC106" i="29" l="1"/>
  <c r="CI106"/>
  <c r="CE106"/>
  <c r="CH106"/>
  <c r="CG106" s="1"/>
  <c r="DA106"/>
  <c r="CC106"/>
  <c r="BU106"/>
  <c r="O106"/>
  <c r="N106" s="1"/>
  <c r="BZ106"/>
  <c r="BY106" s="1"/>
  <c r="BO106"/>
  <c r="DH93"/>
  <c r="S106"/>
  <c r="G106"/>
  <c r="Q93"/>
  <c r="BX106"/>
  <c r="BW106" s="1"/>
  <c r="BL89"/>
  <c r="CR106"/>
  <c r="CQ106" s="1"/>
  <c r="CP106" s="1"/>
  <c r="CN106"/>
  <c r="BP106"/>
  <c r="AZ106"/>
  <c r="AY106" s="1"/>
  <c r="AX106" s="1"/>
  <c r="AW106" s="1"/>
  <c r="AV106" s="1"/>
  <c r="BF93"/>
  <c r="Q106" l="1"/>
  <c r="D82"/>
  <c r="D81"/>
  <c r="DH80"/>
  <c r="BL80"/>
  <c r="AA81"/>
  <c r="CA81"/>
  <c r="CB79"/>
  <c r="AP81"/>
  <c r="AT81"/>
  <c r="CF79"/>
  <c r="CJ81"/>
  <c r="CX81"/>
  <c r="DB79"/>
  <c r="AM81"/>
  <c r="BV81"/>
  <c r="CM81"/>
  <c r="CT81"/>
  <c r="CC81"/>
  <c r="AW81"/>
  <c r="BX81"/>
  <c r="CL79"/>
  <c r="CA79"/>
  <c r="CQ81"/>
  <c r="CP79"/>
  <c r="CX79"/>
  <c r="AI81"/>
  <c r="CQ79"/>
  <c r="BD81"/>
  <c r="CO79"/>
  <c r="CZ81"/>
  <c r="CS79"/>
  <c r="CO81"/>
  <c r="X81"/>
  <c r="Z81"/>
  <c r="CK81"/>
  <c r="L81"/>
  <c r="BU81"/>
  <c r="CN81"/>
  <c r="J81"/>
  <c r="S81"/>
  <c r="BR79"/>
  <c r="H81"/>
  <c r="M81"/>
  <c r="CJ79"/>
  <c r="CV81"/>
  <c r="DA79"/>
  <c r="AU81"/>
  <c r="CB81"/>
  <c r="CH79"/>
  <c r="AB81"/>
  <c r="CE81"/>
  <c r="BC81"/>
  <c r="DE81"/>
  <c r="AZ81"/>
  <c r="AD81"/>
  <c r="BE81"/>
  <c r="CG81"/>
  <c r="CU79"/>
  <c r="CZ79"/>
  <c r="AN81"/>
  <c r="DC81"/>
  <c r="CR79"/>
  <c r="AC81"/>
  <c r="CG79"/>
  <c r="CN79"/>
  <c r="CM79"/>
  <c r="AO81"/>
  <c r="BY79"/>
  <c r="DB81"/>
  <c r="CH81"/>
  <c r="CW81"/>
  <c r="BB81"/>
  <c r="Y81"/>
  <c r="CW79"/>
  <c r="CI79"/>
  <c r="P81"/>
  <c r="CK79"/>
  <c r="BV79"/>
  <c r="BZ81"/>
  <c r="I81"/>
  <c r="BW81"/>
  <c r="BS81"/>
  <c r="BS79"/>
  <c r="DF81"/>
  <c r="DD81"/>
  <c r="CL81"/>
  <c r="K81"/>
  <c r="O81"/>
  <c r="CE79"/>
  <c r="AJ81"/>
  <c r="DD79"/>
  <c r="BY81"/>
  <c r="CF81"/>
  <c r="BW79"/>
  <c r="BU79"/>
  <c r="CD79"/>
  <c r="CY79"/>
  <c r="AX81"/>
  <c r="CC79"/>
  <c r="G81"/>
  <c r="AV81"/>
  <c r="DA81"/>
  <c r="CY81"/>
  <c r="BT81"/>
  <c r="CS81"/>
  <c r="AS81"/>
  <c r="CU81"/>
  <c r="BA81"/>
  <c r="AG81"/>
  <c r="N81"/>
  <c r="BX79"/>
  <c r="DF79"/>
  <c r="AY81"/>
  <c r="CV79"/>
  <c r="CD81"/>
  <c r="AF81"/>
  <c r="CP81"/>
  <c r="AQ81"/>
  <c r="BT79"/>
  <c r="CT79"/>
  <c r="BZ79"/>
  <c r="CI81"/>
  <c r="AR81"/>
  <c r="DE79"/>
  <c r="CR81"/>
  <c r="BR81"/>
  <c r="BU82" l="1"/>
  <c r="BY82"/>
  <c r="CC82"/>
  <c r="BR82"/>
  <c r="BT82"/>
  <c r="BV82"/>
  <c r="BX82"/>
  <c r="BZ82"/>
  <c r="CB82"/>
  <c r="CD82"/>
  <c r="CF82"/>
  <c r="CH82"/>
  <c r="CJ82"/>
  <c r="CL82"/>
  <c r="CN82"/>
  <c r="CP82"/>
  <c r="CR82"/>
  <c r="CT82"/>
  <c r="CV82"/>
  <c r="CX82"/>
  <c r="CZ82"/>
  <c r="DB82"/>
  <c r="DD82"/>
  <c r="DF82"/>
  <c r="BS82"/>
  <c r="BW82"/>
  <c r="CA82"/>
  <c r="CE82"/>
  <c r="CG82"/>
  <c r="CI82"/>
  <c r="CK82"/>
  <c r="CM82"/>
  <c r="CO82"/>
  <c r="CQ82"/>
  <c r="CS82"/>
  <c r="CU82"/>
  <c r="CW82"/>
  <c r="CY82"/>
  <c r="DA82"/>
  <c r="DE82"/>
  <c r="Q81"/>
  <c r="BF81"/>
  <c r="D79"/>
  <c r="DH78"/>
  <c r="BL78"/>
  <c r="DH77"/>
  <c r="BL77"/>
  <c r="AW79"/>
  <c r="W79"/>
  <c r="AG79"/>
  <c r="AV79"/>
  <c r="AD79"/>
  <c r="BB79"/>
  <c r="H79"/>
  <c r="AZ79"/>
  <c r="AI79"/>
  <c r="AS79"/>
  <c r="AM79"/>
  <c r="AC79"/>
  <c r="J79"/>
  <c r="AT79"/>
  <c r="AB79"/>
  <c r="O79"/>
  <c r="BA79"/>
  <c r="Y79"/>
  <c r="I79"/>
  <c r="M79"/>
  <c r="AA79"/>
  <c r="AP79"/>
  <c r="Z79"/>
  <c r="AR79"/>
  <c r="P79"/>
  <c r="AQ79"/>
  <c r="N79"/>
  <c r="AO79"/>
  <c r="AJ79"/>
  <c r="X79"/>
  <c r="BC79"/>
  <c r="K79"/>
  <c r="G79"/>
  <c r="L79"/>
  <c r="V79"/>
  <c r="BE79"/>
  <c r="BD79"/>
  <c r="AF79"/>
  <c r="S79"/>
  <c r="AX79"/>
  <c r="AU79"/>
  <c r="AN79"/>
  <c r="AY79"/>
  <c r="G82" l="1"/>
  <c r="Q79"/>
  <c r="I82"/>
  <c r="K82"/>
  <c r="M82"/>
  <c r="O82"/>
  <c r="X82"/>
  <c r="Z82"/>
  <c r="AB82"/>
  <c r="AD82"/>
  <c r="AG82"/>
  <c r="AJ82"/>
  <c r="AM82"/>
  <c r="BF79"/>
  <c r="AO82"/>
  <c r="AQ82"/>
  <c r="AS82"/>
  <c r="AU82"/>
  <c r="AW82"/>
  <c r="AY82"/>
  <c r="BA82"/>
  <c r="BC82"/>
  <c r="BE82"/>
  <c r="H82"/>
  <c r="J82"/>
  <c r="L82"/>
  <c r="N82"/>
  <c r="P82"/>
  <c r="S82"/>
  <c r="Y82"/>
  <c r="AA82"/>
  <c r="AC82"/>
  <c r="AF82"/>
  <c r="AI82"/>
  <c r="AN82"/>
  <c r="AP82"/>
  <c r="AR82"/>
  <c r="AT82"/>
  <c r="AV82"/>
  <c r="AX82"/>
  <c r="AZ82"/>
  <c r="BB82"/>
  <c r="BD82"/>
  <c r="BF82" l="1"/>
  <c r="Q82"/>
  <c r="D76" l="1"/>
  <c r="D75"/>
  <c r="DH74"/>
  <c r="BJ74"/>
  <c r="BL74" s="1"/>
  <c r="BV75"/>
  <c r="AW75"/>
  <c r="AR75"/>
  <c r="BC75"/>
  <c r="BE75"/>
  <c r="CK75"/>
  <c r="CG75"/>
  <c r="AA75"/>
  <c r="CJ75"/>
  <c r="O75"/>
  <c r="U75"/>
  <c r="AO75"/>
  <c r="AQ75"/>
  <c r="W75"/>
  <c r="CQ75"/>
  <c r="P75"/>
  <c r="BP75"/>
  <c r="CP75"/>
  <c r="CI75"/>
  <c r="AS75"/>
  <c r="DC75"/>
  <c r="AM75"/>
  <c r="CY75"/>
  <c r="CT75"/>
  <c r="CR75"/>
  <c r="CV75"/>
  <c r="AY75"/>
  <c r="DD75"/>
  <c r="AC75"/>
  <c r="AI75"/>
  <c r="V75"/>
  <c r="CN75"/>
  <c r="K75"/>
  <c r="CO75"/>
  <c r="BY75"/>
  <c r="Z75"/>
  <c r="BQ75"/>
  <c r="CL75"/>
  <c r="AZ75"/>
  <c r="CU75"/>
  <c r="CW75"/>
  <c r="CZ75"/>
  <c r="AP75"/>
  <c r="N75"/>
  <c r="G75"/>
  <c r="S75"/>
  <c r="BT75"/>
  <c r="AX75"/>
  <c r="L75"/>
  <c r="CD75"/>
  <c r="J75"/>
  <c r="CA75"/>
  <c r="AG75"/>
  <c r="AN75"/>
  <c r="CS75"/>
  <c r="BB75"/>
  <c r="I75"/>
  <c r="H75"/>
  <c r="M75"/>
  <c r="AF75"/>
  <c r="BO75"/>
  <c r="BS75"/>
  <c r="BZ75"/>
  <c r="BU75"/>
  <c r="AT75"/>
  <c r="DF75"/>
  <c r="CB75"/>
  <c r="AB75"/>
  <c r="CH75"/>
  <c r="AU75"/>
  <c r="CF75"/>
  <c r="CC75"/>
  <c r="BD75"/>
  <c r="X75"/>
  <c r="CE75"/>
  <c r="BA75"/>
  <c r="BX75"/>
  <c r="Y75"/>
  <c r="CM75"/>
  <c r="AJ75"/>
  <c r="AD75"/>
  <c r="BR75"/>
  <c r="BW75"/>
  <c r="DE75"/>
  <c r="DA75"/>
  <c r="DB75"/>
  <c r="CX75"/>
  <c r="I76" l="1"/>
  <c r="M76"/>
  <c r="V76"/>
  <c r="Z76"/>
  <c r="AD76"/>
  <c r="AJ76"/>
  <c r="AM76"/>
  <c r="AO76"/>
  <c r="AQ76"/>
  <c r="AS76"/>
  <c r="AU76"/>
  <c r="AW76"/>
  <c r="AY76"/>
  <c r="BA76"/>
  <c r="BC76"/>
  <c r="BE76"/>
  <c r="BP76"/>
  <c r="BR76"/>
  <c r="BT76"/>
  <c r="BV76"/>
  <c r="BX76"/>
  <c r="BZ76"/>
  <c r="CB76"/>
  <c r="CD76"/>
  <c r="CF76"/>
  <c r="CH76"/>
  <c r="CJ76"/>
  <c r="CL76"/>
  <c r="CN76"/>
  <c r="CP76"/>
  <c r="CR76"/>
  <c r="CT76"/>
  <c r="CV76"/>
  <c r="CX76"/>
  <c r="CZ76"/>
  <c r="DB76"/>
  <c r="DD76"/>
  <c r="DF76"/>
  <c r="G76"/>
  <c r="Q75"/>
  <c r="K76"/>
  <c r="O76"/>
  <c r="X76"/>
  <c r="AB76"/>
  <c r="AG76"/>
  <c r="H76"/>
  <c r="J76"/>
  <c r="L76"/>
  <c r="N76"/>
  <c r="P76"/>
  <c r="S76"/>
  <c r="U76"/>
  <c r="W76"/>
  <c r="Y76"/>
  <c r="AA76"/>
  <c r="AC76"/>
  <c r="AF76"/>
  <c r="AI76"/>
  <c r="AN76"/>
  <c r="AP76"/>
  <c r="AR76"/>
  <c r="AT76"/>
  <c r="AX76"/>
  <c r="AZ76"/>
  <c r="BB76"/>
  <c r="BD76"/>
  <c r="BO76"/>
  <c r="DH75"/>
  <c r="BQ76"/>
  <c r="BS76"/>
  <c r="BU76"/>
  <c r="BW76"/>
  <c r="BY76"/>
  <c r="CA76"/>
  <c r="CC76"/>
  <c r="CE76"/>
  <c r="CG76"/>
  <c r="CI76"/>
  <c r="CK76"/>
  <c r="CM76"/>
  <c r="CO76"/>
  <c r="CQ76"/>
  <c r="CS76"/>
  <c r="CU76"/>
  <c r="CW76"/>
  <c r="CY76"/>
  <c r="DA76"/>
  <c r="DC76"/>
  <c r="DE76"/>
  <c r="DH73"/>
  <c r="DH76" l="1"/>
  <c r="Q76"/>
  <c r="D72" l="1"/>
  <c r="D71" l="1"/>
  <c r="DH70"/>
  <c r="BJ70"/>
  <c r="DH69"/>
  <c r="BL69"/>
  <c r="V71"/>
  <c r="BR71"/>
  <c r="CP71"/>
  <c r="AC71"/>
  <c r="AR71"/>
  <c r="CX71"/>
  <c r="CJ71"/>
  <c r="N71"/>
  <c r="U71"/>
  <c r="H71"/>
  <c r="K71"/>
  <c r="BC71"/>
  <c r="CD71"/>
  <c r="CT71"/>
  <c r="BP71"/>
  <c r="AI71"/>
  <c r="BS71"/>
  <c r="DB71"/>
  <c r="CU71"/>
  <c r="CF71"/>
  <c r="CW71"/>
  <c r="M71"/>
  <c r="BU71"/>
  <c r="AV71"/>
  <c r="CL71"/>
  <c r="CK71"/>
  <c r="CN71"/>
  <c r="DF71"/>
  <c r="S71"/>
  <c r="L71"/>
  <c r="AD71"/>
  <c r="BX71"/>
  <c r="CM71"/>
  <c r="P71"/>
  <c r="AM71"/>
  <c r="AW71"/>
  <c r="X71"/>
  <c r="BV71"/>
  <c r="Y71"/>
  <c r="BA71"/>
  <c r="BI71"/>
  <c r="BY71"/>
  <c r="CR71"/>
  <c r="CB71"/>
  <c r="CQ71"/>
  <c r="BD71"/>
  <c r="AA71"/>
  <c r="CA71"/>
  <c r="AP71"/>
  <c r="AG71"/>
  <c r="AU71"/>
  <c r="I71"/>
  <c r="W71"/>
  <c r="CC71"/>
  <c r="AS71"/>
  <c r="CY71"/>
  <c r="AQ71"/>
  <c r="DE71"/>
  <c r="BZ71"/>
  <c r="BQ71"/>
  <c r="CO71"/>
  <c r="CG71"/>
  <c r="BT71"/>
  <c r="DC71"/>
  <c r="CI71"/>
  <c r="AT71"/>
  <c r="AX71"/>
  <c r="DA71"/>
  <c r="CE71"/>
  <c r="CZ71"/>
  <c r="O71"/>
  <c r="AO71"/>
  <c r="BO71"/>
  <c r="CS71"/>
  <c r="AZ71"/>
  <c r="AF71"/>
  <c r="DD71"/>
  <c r="AN71"/>
  <c r="Z71"/>
  <c r="BE71"/>
  <c r="J71"/>
  <c r="BB71"/>
  <c r="BW71"/>
  <c r="AY71"/>
  <c r="AJ71"/>
  <c r="CV71"/>
  <c r="CH71"/>
  <c r="G71"/>
  <c r="BL70" l="1"/>
  <c r="I72"/>
  <c r="M72"/>
  <c r="H72"/>
  <c r="J72"/>
  <c r="L72"/>
  <c r="N72"/>
  <c r="P72"/>
  <c r="S72"/>
  <c r="U72"/>
  <c r="W72"/>
  <c r="Y72"/>
  <c r="AA72"/>
  <c r="AC72"/>
  <c r="AF72"/>
  <c r="AI72"/>
  <c r="AN72"/>
  <c r="AP72"/>
  <c r="AR72"/>
  <c r="AT72"/>
  <c r="AV72"/>
  <c r="AX72"/>
  <c r="AZ72"/>
  <c r="BB72"/>
  <c r="BD72"/>
  <c r="BI72"/>
  <c r="BO72"/>
  <c r="DH71"/>
  <c r="BQ72"/>
  <c r="BS72"/>
  <c r="BU72"/>
  <c r="BW72"/>
  <c r="BY72"/>
  <c r="CA72"/>
  <c r="CC72"/>
  <c r="CE72"/>
  <c r="CG72"/>
  <c r="CI72"/>
  <c r="CK72"/>
  <c r="CM72"/>
  <c r="CO72"/>
  <c r="CQ72"/>
  <c r="CS72"/>
  <c r="CU72"/>
  <c r="CW72"/>
  <c r="CY72"/>
  <c r="DA72"/>
  <c r="DC72"/>
  <c r="DE72"/>
  <c r="G72"/>
  <c r="Q71"/>
  <c r="K72"/>
  <c r="O72"/>
  <c r="V72"/>
  <c r="X72"/>
  <c r="Z72"/>
  <c r="AD72"/>
  <c r="AG72"/>
  <c r="AJ72"/>
  <c r="AM72"/>
  <c r="BF71"/>
  <c r="AO72"/>
  <c r="AQ72"/>
  <c r="AS72"/>
  <c r="AU72"/>
  <c r="AW72"/>
  <c r="AY72"/>
  <c r="BA72"/>
  <c r="BC72"/>
  <c r="BE72"/>
  <c r="BP72"/>
  <c r="BR72"/>
  <c r="BT72"/>
  <c r="BV72"/>
  <c r="BX72"/>
  <c r="BZ72"/>
  <c r="CB72"/>
  <c r="CD72"/>
  <c r="CF72"/>
  <c r="CH72"/>
  <c r="CJ72"/>
  <c r="CL72"/>
  <c r="CN72"/>
  <c r="CP72"/>
  <c r="CR72"/>
  <c r="CT72"/>
  <c r="CV72"/>
  <c r="CX72"/>
  <c r="CZ72"/>
  <c r="DB72"/>
  <c r="DD72"/>
  <c r="DF72"/>
  <c r="DH72" l="1"/>
  <c r="BF72"/>
  <c r="Q72"/>
  <c r="D68" l="1"/>
  <c r="D67" l="1"/>
  <c r="D66"/>
  <c r="CR67"/>
  <c r="CF67"/>
  <c r="BT67"/>
  <c r="BU66"/>
  <c r="AP67"/>
  <c r="BR67"/>
  <c r="BS66"/>
  <c r="AQ66"/>
  <c r="AS66"/>
  <c r="CV67"/>
  <c r="BA66"/>
  <c r="CD67"/>
  <c r="AW67"/>
  <c r="BI67"/>
  <c r="CH66"/>
  <c r="V66"/>
  <c r="AB66"/>
  <c r="Y66"/>
  <c r="BH67"/>
  <c r="CB67"/>
  <c r="AM66"/>
  <c r="S67"/>
  <c r="CG66"/>
  <c r="P66"/>
  <c r="DB67"/>
  <c r="AQ67"/>
  <c r="DC67"/>
  <c r="M66"/>
  <c r="CJ66"/>
  <c r="P67"/>
  <c r="O67"/>
  <c r="BE67"/>
  <c r="CZ66"/>
  <c r="V67"/>
  <c r="U67"/>
  <c r="G67"/>
  <c r="AX66"/>
  <c r="AY67"/>
  <c r="CG67"/>
  <c r="AM67"/>
  <c r="BX67"/>
  <c r="BU67"/>
  <c r="CL67"/>
  <c r="CN66"/>
  <c r="CC66"/>
  <c r="BZ66"/>
  <c r="CO66"/>
  <c r="BA67"/>
  <c r="CW66"/>
  <c r="CP66"/>
  <c r="AF66"/>
  <c r="BB67"/>
  <c r="AJ67"/>
  <c r="BD67"/>
  <c r="W66"/>
  <c r="CR66"/>
  <c r="CU67"/>
  <c r="AR66"/>
  <c r="CE67"/>
  <c r="BO67"/>
  <c r="BD66"/>
  <c r="Y67"/>
  <c r="G66"/>
  <c r="U66"/>
  <c r="CH67"/>
  <c r="CK67"/>
  <c r="BP67"/>
  <c r="AG67"/>
  <c r="CD66"/>
  <c r="AT67"/>
  <c r="K66"/>
  <c r="AN67"/>
  <c r="AD67"/>
  <c r="CM66"/>
  <c r="X66"/>
  <c r="BZ67"/>
  <c r="M67"/>
  <c r="Z67"/>
  <c r="AO67"/>
  <c r="CY67"/>
  <c r="AG66"/>
  <c r="CI67"/>
  <c r="CL66"/>
  <c r="DA67"/>
  <c r="CT67"/>
  <c r="CO67"/>
  <c r="BQ67"/>
  <c r="O66"/>
  <c r="AU67"/>
  <c r="CK66"/>
  <c r="CF66"/>
  <c r="AZ66"/>
  <c r="AV66"/>
  <c r="AI67"/>
  <c r="W67"/>
  <c r="CX67"/>
  <c r="BY66"/>
  <c r="DD67"/>
  <c r="AJ66"/>
  <c r="CW67"/>
  <c r="CN67"/>
  <c r="AA66"/>
  <c r="BO66"/>
  <c r="AT66"/>
  <c r="T66"/>
  <c r="CY66"/>
  <c r="DE67"/>
  <c r="AA67"/>
  <c r="AO66"/>
  <c r="CA67"/>
  <c r="AV67"/>
  <c r="K67"/>
  <c r="AB67"/>
  <c r="I66"/>
  <c r="CP67"/>
  <c r="CA66"/>
  <c r="J66"/>
  <c r="I67"/>
  <c r="CT66"/>
  <c r="DB66"/>
  <c r="AC66"/>
  <c r="AR67"/>
  <c r="DE66"/>
  <c r="BQ66"/>
  <c r="BC67"/>
  <c r="CV66"/>
  <c r="AY66"/>
  <c r="CS66"/>
  <c r="AU66"/>
  <c r="BV67"/>
  <c r="H67"/>
  <c r="BH66"/>
  <c r="BY67"/>
  <c r="AP66"/>
  <c r="CE66"/>
  <c r="CX66"/>
  <c r="DA66"/>
  <c r="X67"/>
  <c r="BR66"/>
  <c r="DF66"/>
  <c r="N66"/>
  <c r="J67"/>
  <c r="CS67"/>
  <c r="DC66"/>
  <c r="AS67"/>
  <c r="BV66"/>
  <c r="AD66"/>
  <c r="CJ67"/>
  <c r="DF67"/>
  <c r="BX66"/>
  <c r="AC67"/>
  <c r="BW66"/>
  <c r="BT66"/>
  <c r="DD66"/>
  <c r="L67"/>
  <c r="CQ67"/>
  <c r="AN66"/>
  <c r="N67"/>
  <c r="CM67"/>
  <c r="CC67"/>
  <c r="BE66"/>
  <c r="CB66"/>
  <c r="CQ66"/>
  <c r="BW67"/>
  <c r="BB66"/>
  <c r="AF67"/>
  <c r="BS67"/>
  <c r="CZ67"/>
  <c r="BP66"/>
  <c r="BC66"/>
  <c r="BI66"/>
  <c r="AZ67"/>
  <c r="CI66"/>
  <c r="Z66"/>
  <c r="L66"/>
  <c r="CU66"/>
  <c r="BJ66" l="1"/>
  <c r="DH66"/>
  <c r="Q67"/>
  <c r="BJ67"/>
  <c r="DH67"/>
  <c r="D65"/>
  <c r="DH64"/>
  <c r="AU65"/>
  <c r="DF65"/>
  <c r="BW65"/>
  <c r="CL65"/>
  <c r="V65"/>
  <c r="CK65"/>
  <c r="CZ65"/>
  <c r="DA65"/>
  <c r="DC65"/>
  <c r="CM65"/>
  <c r="AQ65"/>
  <c r="AP65"/>
  <c r="AN65"/>
  <c r="W65"/>
  <c r="I65"/>
  <c r="CB65"/>
  <c r="CQ65"/>
  <c r="BX65"/>
  <c r="BO65"/>
  <c r="CT65"/>
  <c r="BZ65"/>
  <c r="CX65"/>
  <c r="BV65"/>
  <c r="CG65"/>
  <c r="CJ65"/>
  <c r="BS65"/>
  <c r="AJ65"/>
  <c r="CC65"/>
  <c r="X65"/>
  <c r="AB65"/>
  <c r="CR65"/>
  <c r="CU65"/>
  <c r="BA65"/>
  <c r="N65"/>
  <c r="Z65"/>
  <c r="AD65"/>
  <c r="CY65"/>
  <c r="BR65"/>
  <c r="DD65"/>
  <c r="BE65"/>
  <c r="AV65"/>
  <c r="CH65"/>
  <c r="CW65"/>
  <c r="AC65"/>
  <c r="H65"/>
  <c r="AY65"/>
  <c r="AF65"/>
  <c r="BP65"/>
  <c r="O65"/>
  <c r="CI65"/>
  <c r="M65"/>
  <c r="CS65"/>
  <c r="L65"/>
  <c r="CN65"/>
  <c r="CA65"/>
  <c r="BU65"/>
  <c r="BC65"/>
  <c r="AZ65"/>
  <c r="AT65"/>
  <c r="S65"/>
  <c r="BI65"/>
  <c r="BY65"/>
  <c r="AG65"/>
  <c r="CF65"/>
  <c r="U65"/>
  <c r="K65"/>
  <c r="G65"/>
  <c r="Y65"/>
  <c r="AS65"/>
  <c r="P65"/>
  <c r="AI65"/>
  <c r="AA65"/>
  <c r="DE65"/>
  <c r="AO65"/>
  <c r="CD65"/>
  <c r="AX65"/>
  <c r="BH65"/>
  <c r="BQ65"/>
  <c r="AR65"/>
  <c r="DB65"/>
  <c r="AM65"/>
  <c r="CO65"/>
  <c r="CV65"/>
  <c r="CE65"/>
  <c r="CP65"/>
  <c r="BT65"/>
  <c r="BD65"/>
  <c r="J65"/>
  <c r="BB65"/>
  <c r="J68" l="1"/>
  <c r="P68"/>
  <c r="U68"/>
  <c r="Y68"/>
  <c r="AC68"/>
  <c r="AP68"/>
  <c r="AT68"/>
  <c r="AV68"/>
  <c r="AZ68"/>
  <c r="BB68"/>
  <c r="BD68"/>
  <c r="BI68"/>
  <c r="BP68"/>
  <c r="BR68"/>
  <c r="BT68"/>
  <c r="BV68"/>
  <c r="BX68"/>
  <c r="BZ68"/>
  <c r="CB68"/>
  <c r="CD68"/>
  <c r="CF68"/>
  <c r="CH68"/>
  <c r="CJ68"/>
  <c r="CL68"/>
  <c r="CN68"/>
  <c r="CP68"/>
  <c r="CR68"/>
  <c r="CT68"/>
  <c r="CV68"/>
  <c r="CX68"/>
  <c r="CZ68"/>
  <c r="DB68"/>
  <c r="DD68"/>
  <c r="DF68"/>
  <c r="L68"/>
  <c r="N68"/>
  <c r="W68"/>
  <c r="AA68"/>
  <c r="AF68"/>
  <c r="AN68"/>
  <c r="AR68"/>
  <c r="G68"/>
  <c r="Q65"/>
  <c r="I68"/>
  <c r="K68"/>
  <c r="M68"/>
  <c r="O68"/>
  <c r="V68"/>
  <c r="X68"/>
  <c r="Z68"/>
  <c r="AB68"/>
  <c r="AD68"/>
  <c r="AG68"/>
  <c r="AJ68"/>
  <c r="AM68"/>
  <c r="AO68"/>
  <c r="AQ68"/>
  <c r="AS68"/>
  <c r="AU68"/>
  <c r="AY68"/>
  <c r="BA68"/>
  <c r="BC68"/>
  <c r="BE68"/>
  <c r="BH68"/>
  <c r="BJ65"/>
  <c r="BO68"/>
  <c r="DH65"/>
  <c r="BQ68"/>
  <c r="BS68"/>
  <c r="BU68"/>
  <c r="BW68"/>
  <c r="BY68"/>
  <c r="CA68"/>
  <c r="CC68"/>
  <c r="CE68"/>
  <c r="CG68"/>
  <c r="CI68"/>
  <c r="CK68"/>
  <c r="CM68"/>
  <c r="CO68"/>
  <c r="CQ68"/>
  <c r="CS68"/>
  <c r="CU68"/>
  <c r="CW68"/>
  <c r="CY68"/>
  <c r="DA68"/>
  <c r="DC68"/>
  <c r="DE68"/>
  <c r="BJ68" l="1"/>
  <c r="DH68"/>
  <c r="D63" l="1"/>
  <c r="BV62"/>
  <c r="DC62"/>
  <c r="BR62"/>
  <c r="DB62"/>
  <c r="CP62"/>
  <c r="CQ62"/>
  <c r="CB62"/>
  <c r="CZ62"/>
  <c r="CV62"/>
  <c r="DA62"/>
  <c r="DF62"/>
  <c r="BY62"/>
  <c r="DE62"/>
  <c r="CM62"/>
  <c r="BW62"/>
  <c r="CN62"/>
  <c r="CU62"/>
  <c r="CX62"/>
  <c r="CJ62"/>
  <c r="BP62"/>
  <c r="CR62"/>
  <c r="CL62"/>
  <c r="BS62"/>
  <c r="BO62"/>
  <c r="CK62"/>
  <c r="BU62"/>
  <c r="CO62"/>
  <c r="DD62"/>
  <c r="BQ62"/>
  <c r="BZ62"/>
  <c r="CI62"/>
  <c r="CC62"/>
  <c r="CT62"/>
  <c r="CF62"/>
  <c r="CE62"/>
  <c r="CY62"/>
  <c r="CH62"/>
  <c r="CA62"/>
  <c r="CW62"/>
  <c r="BX62"/>
  <c r="BT62"/>
  <c r="CG62"/>
  <c r="CS62"/>
  <c r="CD62"/>
  <c r="DH62" l="1"/>
  <c r="D62"/>
  <c r="BC62"/>
  <c r="CR61"/>
  <c r="H62"/>
  <c r="BA62"/>
  <c r="BE62"/>
  <c r="AJ62"/>
  <c r="CS61"/>
  <c r="BT61"/>
  <c r="AV62"/>
  <c r="AQ62"/>
  <c r="CB61"/>
  <c r="CX61"/>
  <c r="AI62"/>
  <c r="DE61"/>
  <c r="BR61"/>
  <c r="CE61"/>
  <c r="AZ62"/>
  <c r="X62"/>
  <c r="BH62"/>
  <c r="CH61"/>
  <c r="BV61"/>
  <c r="AG62"/>
  <c r="CI61"/>
  <c r="DA61"/>
  <c r="AP62"/>
  <c r="M62"/>
  <c r="AX62"/>
  <c r="AS62"/>
  <c r="U62"/>
  <c r="CD61"/>
  <c r="J62"/>
  <c r="BI62"/>
  <c r="CL61"/>
  <c r="AB62"/>
  <c r="BZ61"/>
  <c r="CW61"/>
  <c r="AN62"/>
  <c r="CN61"/>
  <c r="CV61"/>
  <c r="CP61"/>
  <c r="AC62"/>
  <c r="CM61"/>
  <c r="DB61"/>
  <c r="I62"/>
  <c r="BD62"/>
  <c r="BQ61"/>
  <c r="CC61"/>
  <c r="BO61"/>
  <c r="L62"/>
  <c r="DF61"/>
  <c r="CU61"/>
  <c r="AT62"/>
  <c r="Y62"/>
  <c r="CG61"/>
  <c r="AD62"/>
  <c r="DC61"/>
  <c r="BU61"/>
  <c r="DD61"/>
  <c r="P62"/>
  <c r="AO62"/>
  <c r="AA62"/>
  <c r="BX61"/>
  <c r="N62"/>
  <c r="CK61"/>
  <c r="CO61"/>
  <c r="BY61"/>
  <c r="AF62"/>
  <c r="S62"/>
  <c r="BB62"/>
  <c r="W62"/>
  <c r="G62"/>
  <c r="CJ61"/>
  <c r="AU62"/>
  <c r="CZ61"/>
  <c r="V62"/>
  <c r="O62"/>
  <c r="BP61"/>
  <c r="BW61"/>
  <c r="CQ61"/>
  <c r="Z62"/>
  <c r="AW62"/>
  <c r="AM62"/>
  <c r="CT61"/>
  <c r="CA61"/>
  <c r="K62"/>
  <c r="BS61"/>
  <c r="AR62"/>
  <c r="CY61"/>
  <c r="CF61"/>
  <c r="DH61" l="1"/>
  <c r="Q62"/>
  <c r="BJ62"/>
  <c r="BI61"/>
  <c r="BH61"/>
  <c r="BJ61" l="1"/>
  <c r="D61"/>
  <c r="BT60"/>
  <c r="AW61"/>
  <c r="CO60"/>
  <c r="N61"/>
  <c r="BD61"/>
  <c r="CM60"/>
  <c r="CA60"/>
  <c r="AN61"/>
  <c r="AF61"/>
  <c r="CZ60"/>
  <c r="AZ61"/>
  <c r="J61"/>
  <c r="H61"/>
  <c r="BE61"/>
  <c r="AQ61"/>
  <c r="S61"/>
  <c r="CS60"/>
  <c r="CP60"/>
  <c r="AU61"/>
  <c r="BQ60"/>
  <c r="U61"/>
  <c r="G61"/>
  <c r="I61"/>
  <c r="CK60"/>
  <c r="O61"/>
  <c r="AD61"/>
  <c r="BR60"/>
  <c r="CL60"/>
  <c r="AS61"/>
  <c r="CV60"/>
  <c r="CQ60"/>
  <c r="DB60"/>
  <c r="AJ61"/>
  <c r="W61"/>
  <c r="CI60"/>
  <c r="CT60"/>
  <c r="K61"/>
  <c r="AY61"/>
  <c r="BP60"/>
  <c r="CG60"/>
  <c r="CR60"/>
  <c r="CU60"/>
  <c r="CX60"/>
  <c r="V61"/>
  <c r="AG61"/>
  <c r="P61"/>
  <c r="CW60"/>
  <c r="DF60"/>
  <c r="L61"/>
  <c r="CB60"/>
  <c r="AB61"/>
  <c r="BC61"/>
  <c r="Z61"/>
  <c r="AT61"/>
  <c r="AA61"/>
  <c r="BX60"/>
  <c r="BV60"/>
  <c r="BS60"/>
  <c r="DA60"/>
  <c r="CF60"/>
  <c r="M61"/>
  <c r="BO60"/>
  <c r="DD60"/>
  <c r="BZ60"/>
  <c r="DE60"/>
  <c r="X61"/>
  <c r="CN60"/>
  <c r="CH60"/>
  <c r="CE60"/>
  <c r="AR61"/>
  <c r="AX61"/>
  <c r="AO61"/>
  <c r="CJ60"/>
  <c r="DC60"/>
  <c r="CC60"/>
  <c r="CY60"/>
  <c r="BW60"/>
  <c r="BY60"/>
  <c r="BU60"/>
  <c r="AM61"/>
  <c r="AC61"/>
  <c r="AV61"/>
  <c r="AP61"/>
  <c r="CD60"/>
  <c r="Y61"/>
  <c r="AI61"/>
  <c r="DH60" l="1"/>
  <c r="Q61"/>
  <c r="D60"/>
  <c r="DA59"/>
  <c r="CF59"/>
  <c r="CI59"/>
  <c r="H60"/>
  <c r="BO59"/>
  <c r="W60"/>
  <c r="CW59"/>
  <c r="AR60"/>
  <c r="CO59"/>
  <c r="N60"/>
  <c r="CE59"/>
  <c r="CY59"/>
  <c r="CG59"/>
  <c r="CU59"/>
  <c r="X60"/>
  <c r="BR59"/>
  <c r="AM60"/>
  <c r="DF59"/>
  <c r="I60"/>
  <c r="CB59"/>
  <c r="BB60"/>
  <c r="AO60"/>
  <c r="BQ59"/>
  <c r="CA59"/>
  <c r="AI60"/>
  <c r="DC59"/>
  <c r="K60"/>
  <c r="AJ60"/>
  <c r="AV60"/>
  <c r="V60"/>
  <c r="CV59"/>
  <c r="CD59"/>
  <c r="CL59"/>
  <c r="CX59"/>
  <c r="G60"/>
  <c r="BV59"/>
  <c r="AC60"/>
  <c r="CN59"/>
  <c r="BC60"/>
  <c r="CQ59"/>
  <c r="AS60"/>
  <c r="BA60"/>
  <c r="L60"/>
  <c r="AT60"/>
  <c r="J60"/>
  <c r="CK59"/>
  <c r="CZ59"/>
  <c r="P60"/>
  <c r="BS59"/>
  <c r="AD60"/>
  <c r="AA60"/>
  <c r="BH60"/>
  <c r="CH59"/>
  <c r="S60"/>
  <c r="BT59"/>
  <c r="AN60"/>
  <c r="AG60"/>
  <c r="CT59"/>
  <c r="O60"/>
  <c r="AQ60"/>
  <c r="BP59"/>
  <c r="CP59"/>
  <c r="Z60"/>
  <c r="CS59"/>
  <c r="CR59"/>
  <c r="BY59"/>
  <c r="BD60"/>
  <c r="AW60"/>
  <c r="AF60"/>
  <c r="BZ59"/>
  <c r="AB60"/>
  <c r="AU60"/>
  <c r="BU59"/>
  <c r="AP60"/>
  <c r="CM59"/>
  <c r="Y60"/>
  <c r="BE60"/>
  <c r="CC59"/>
  <c r="BW59"/>
  <c r="DE59"/>
  <c r="DD59"/>
  <c r="U60"/>
  <c r="M60"/>
  <c r="BI60"/>
  <c r="AX60"/>
  <c r="DB59"/>
  <c r="CJ59"/>
  <c r="BX59"/>
  <c r="DH59" l="1"/>
  <c r="Q60"/>
  <c r="BJ60"/>
  <c r="D59"/>
  <c r="BH59"/>
  <c r="AS59"/>
  <c r="AZ59"/>
  <c r="AO59"/>
  <c r="AA59"/>
  <c r="O59"/>
  <c r="V59"/>
  <c r="AY59"/>
  <c r="AP59"/>
  <c r="Y59"/>
  <c r="BA59"/>
  <c r="J59"/>
  <c r="BI59"/>
  <c r="AV59"/>
  <c r="AB59"/>
  <c r="AN59"/>
  <c r="U59"/>
  <c r="S59"/>
  <c r="AQ59"/>
  <c r="W59"/>
  <c r="BC59"/>
  <c r="AC59"/>
  <c r="Z59"/>
  <c r="L59"/>
  <c r="H59"/>
  <c r="K59"/>
  <c r="AR59"/>
  <c r="AT59"/>
  <c r="AJ59"/>
  <c r="AF59"/>
  <c r="M59"/>
  <c r="N59"/>
  <c r="X59"/>
  <c r="I59"/>
  <c r="AU59"/>
  <c r="P59"/>
  <c r="AX59"/>
  <c r="AW59"/>
  <c r="BE59"/>
  <c r="BD59"/>
  <c r="AD59"/>
  <c r="AG59"/>
  <c r="AI59"/>
  <c r="AM59"/>
  <c r="G59"/>
  <c r="Q59" l="1"/>
  <c r="BJ59"/>
  <c r="CS58"/>
  <c r="CQ58"/>
  <c r="DD58"/>
  <c r="CJ58"/>
  <c r="CH58"/>
  <c r="BP58"/>
  <c r="CK58"/>
  <c r="BS58"/>
  <c r="BQ58"/>
  <c r="CR58"/>
  <c r="CX58"/>
  <c r="CB58"/>
  <c r="CM58"/>
  <c r="BO58"/>
  <c r="BX58"/>
  <c r="CT58"/>
  <c r="CI58"/>
  <c r="CZ58"/>
  <c r="CF58"/>
  <c r="BU58"/>
  <c r="DE58"/>
  <c r="CC58"/>
  <c r="CL58"/>
  <c r="CU58"/>
  <c r="CN58"/>
  <c r="CD58"/>
  <c r="CV58"/>
  <c r="CG58"/>
  <c r="BY58"/>
  <c r="CY58"/>
  <c r="CE58"/>
  <c r="BT58"/>
  <c r="DB58"/>
  <c r="CW58"/>
  <c r="DC58"/>
  <c r="BV58"/>
  <c r="BZ58"/>
  <c r="CO58"/>
  <c r="BW58"/>
  <c r="DF58"/>
  <c r="CA58"/>
  <c r="DA58"/>
  <c r="CP58"/>
  <c r="BR58"/>
  <c r="DH58" l="1"/>
  <c r="AA58"/>
  <c r="AD58"/>
  <c r="BC58"/>
  <c r="AP58"/>
  <c r="AF58"/>
  <c r="AU58"/>
  <c r="BI58"/>
  <c r="AC58"/>
  <c r="Z58"/>
  <c r="AG58"/>
  <c r="BH58"/>
  <c r="AS58"/>
  <c r="AT58"/>
  <c r="U58"/>
  <c r="BE58"/>
  <c r="BD58"/>
  <c r="BB58"/>
  <c r="BA58"/>
  <c r="X58"/>
  <c r="AZ58"/>
  <c r="S58"/>
  <c r="AB58"/>
  <c r="Y58"/>
  <c r="AV58"/>
  <c r="AN58"/>
  <c r="AR58"/>
  <c r="W58"/>
  <c r="AW58"/>
  <c r="AO58"/>
  <c r="V58"/>
  <c r="AM58"/>
  <c r="AY58"/>
  <c r="AQ58"/>
  <c r="AJ58"/>
  <c r="AI58"/>
  <c r="BJ58" l="1"/>
  <c r="D58"/>
  <c r="CF57"/>
  <c r="CO57"/>
  <c r="CB57"/>
  <c r="CJ57"/>
  <c r="DB57"/>
  <c r="BQ57"/>
  <c r="P58"/>
  <c r="DA57"/>
  <c r="CK57"/>
  <c r="K58"/>
  <c r="BZ57"/>
  <c r="J58"/>
  <c r="CV57"/>
  <c r="BY57"/>
  <c r="L58"/>
  <c r="I58"/>
  <c r="BR57"/>
  <c r="H58"/>
  <c r="G58"/>
  <c r="CE57"/>
  <c r="CH57"/>
  <c r="DE57"/>
  <c r="BT57"/>
  <c r="M58"/>
  <c r="CR57"/>
  <c r="CY57"/>
  <c r="O58"/>
  <c r="CT57"/>
  <c r="CC57"/>
  <c r="CA57"/>
  <c r="BX57"/>
  <c r="BO57"/>
  <c r="BW57"/>
  <c r="N58"/>
  <c r="DC57"/>
  <c r="BV57"/>
  <c r="CZ57"/>
  <c r="CS57"/>
  <c r="BS57"/>
  <c r="CW57"/>
  <c r="CL57"/>
  <c r="DD57"/>
  <c r="BP57"/>
  <c r="CU57"/>
  <c r="CD57"/>
  <c r="CX57"/>
  <c r="CP57"/>
  <c r="CI57"/>
  <c r="BU57"/>
  <c r="CQ57"/>
  <c r="CM57"/>
  <c r="CG57"/>
  <c r="CN57"/>
  <c r="DF57"/>
  <c r="BQ63" l="1"/>
  <c r="BU63"/>
  <c r="BY63"/>
  <c r="CC63"/>
  <c r="CG63"/>
  <c r="CK63"/>
  <c r="CO63"/>
  <c r="CS63"/>
  <c r="CW63"/>
  <c r="DA63"/>
  <c r="BP63"/>
  <c r="BR63"/>
  <c r="BT63"/>
  <c r="BV63"/>
  <c r="BX63"/>
  <c r="BZ63"/>
  <c r="CB63"/>
  <c r="CD63"/>
  <c r="CF63"/>
  <c r="CH63"/>
  <c r="CJ63"/>
  <c r="CL63"/>
  <c r="CN63"/>
  <c r="CP63"/>
  <c r="CR63"/>
  <c r="CT63"/>
  <c r="CV63"/>
  <c r="CX63"/>
  <c r="CZ63"/>
  <c r="DB63"/>
  <c r="DD63"/>
  <c r="DF63"/>
  <c r="BO63"/>
  <c r="DH57"/>
  <c r="BS63"/>
  <c r="BW63"/>
  <c r="CA63"/>
  <c r="CE63"/>
  <c r="CI63"/>
  <c r="CM63"/>
  <c r="CQ63"/>
  <c r="CU63"/>
  <c r="CY63"/>
  <c r="DC63"/>
  <c r="DE63"/>
  <c r="Q58"/>
  <c r="D57"/>
  <c r="DH56"/>
  <c r="BL56"/>
  <c r="K57"/>
  <c r="BE57"/>
  <c r="BC57"/>
  <c r="AV57"/>
  <c r="X57"/>
  <c r="N57"/>
  <c r="AY57"/>
  <c r="BD57"/>
  <c r="AB57"/>
  <c r="AD57"/>
  <c r="AU57"/>
  <c r="U57"/>
  <c r="O57"/>
  <c r="BI57"/>
  <c r="AF57"/>
  <c r="AA57"/>
  <c r="Y57"/>
  <c r="AC57"/>
  <c r="H57"/>
  <c r="AR57"/>
  <c r="AN57"/>
  <c r="BA57"/>
  <c r="P57"/>
  <c r="AS57"/>
  <c r="AJ57"/>
  <c r="S57"/>
  <c r="AM57"/>
  <c r="M57"/>
  <c r="BB57"/>
  <c r="BH57"/>
  <c r="J57"/>
  <c r="AI57"/>
  <c r="V57"/>
  <c r="AG57"/>
  <c r="AT57"/>
  <c r="W57"/>
  <c r="AW57"/>
  <c r="AP57"/>
  <c r="I57"/>
  <c r="AQ57"/>
  <c r="Z57"/>
  <c r="AO57"/>
  <c r="G57"/>
  <c r="L57"/>
  <c r="AZ57"/>
  <c r="G63" l="1"/>
  <c r="Q57"/>
  <c r="K63"/>
  <c r="O63"/>
  <c r="V63"/>
  <c r="Z63"/>
  <c r="AD63"/>
  <c r="H63"/>
  <c r="J63"/>
  <c r="L63"/>
  <c r="N63"/>
  <c r="P63"/>
  <c r="S63"/>
  <c r="U63"/>
  <c r="W63"/>
  <c r="Y63"/>
  <c r="AA63"/>
  <c r="AC63"/>
  <c r="AF63"/>
  <c r="AI63"/>
  <c r="AN63"/>
  <c r="AP63"/>
  <c r="AR63"/>
  <c r="AT63"/>
  <c r="AV63"/>
  <c r="BD63"/>
  <c r="BI63"/>
  <c r="I63"/>
  <c r="M63"/>
  <c r="X63"/>
  <c r="AB63"/>
  <c r="AG63"/>
  <c r="AJ63"/>
  <c r="AM63"/>
  <c r="AO63"/>
  <c r="AQ63"/>
  <c r="AS63"/>
  <c r="AU63"/>
  <c r="AW63"/>
  <c r="BC63"/>
  <c r="BE63"/>
  <c r="BH63"/>
  <c r="BJ57"/>
  <c r="DH63"/>
  <c r="BJ63" l="1"/>
  <c r="Q63"/>
  <c r="D55" l="1"/>
  <c r="D54"/>
  <c r="AF54"/>
  <c r="CI53"/>
  <c r="AV54"/>
  <c r="DF54"/>
  <c r="CG53"/>
  <c r="K54"/>
  <c r="CD54"/>
  <c r="DF53"/>
  <c r="BY53"/>
  <c r="N54"/>
  <c r="CF54"/>
  <c r="BC54"/>
  <c r="CV54"/>
  <c r="L54"/>
  <c r="CU54"/>
  <c r="AA54"/>
  <c r="DD53"/>
  <c r="DA54"/>
  <c r="BY54"/>
  <c r="CT54"/>
  <c r="CW54"/>
  <c r="CB53"/>
  <c r="AI54"/>
  <c r="BX54"/>
  <c r="CN53"/>
  <c r="CZ54"/>
  <c r="CG54"/>
  <c r="BU53"/>
  <c r="DB54"/>
  <c r="BR53"/>
  <c r="CJ54"/>
  <c r="G54"/>
  <c r="BX53"/>
  <c r="AC54"/>
  <c r="BD54"/>
  <c r="BE54"/>
  <c r="CD53"/>
  <c r="AS54"/>
  <c r="DC53"/>
  <c r="CA53"/>
  <c r="BZ54"/>
  <c r="BH54"/>
  <c r="BV53"/>
  <c r="AJ54"/>
  <c r="CJ53"/>
  <c r="T54"/>
  <c r="CW53"/>
  <c r="DE54"/>
  <c r="BS53"/>
  <c r="AW54"/>
  <c r="BU54"/>
  <c r="CS53"/>
  <c r="BW53"/>
  <c r="CI54"/>
  <c r="BW54"/>
  <c r="DA53"/>
  <c r="P54"/>
  <c r="CL54"/>
  <c r="CY54"/>
  <c r="AZ54"/>
  <c r="AY54"/>
  <c r="CM53"/>
  <c r="DD54"/>
  <c r="CC53"/>
  <c r="CA54"/>
  <c r="BZ53"/>
  <c r="CF53"/>
  <c r="BR54"/>
  <c r="AX54"/>
  <c r="CK53"/>
  <c r="CC54"/>
  <c r="CK54"/>
  <c r="CE53"/>
  <c r="CY53"/>
  <c r="BV54"/>
  <c r="CX54"/>
  <c r="BI54"/>
  <c r="CQ54"/>
  <c r="DE53"/>
  <c r="J54"/>
  <c r="V54"/>
  <c r="AG54"/>
  <c r="CQ53"/>
  <c r="CN54"/>
  <c r="AP54"/>
  <c r="DC54"/>
  <c r="CR54"/>
  <c r="M54"/>
  <c r="AD54"/>
  <c r="CH53"/>
  <c r="CZ53"/>
  <c r="AB54"/>
  <c r="CM54"/>
  <c r="CO53"/>
  <c r="BB54"/>
  <c r="BT53"/>
  <c r="CB54"/>
  <c r="CE54"/>
  <c r="AU54"/>
  <c r="AR54"/>
  <c r="CH54"/>
  <c r="CT53"/>
  <c r="CL53"/>
  <c r="AQ54"/>
  <c r="BA54"/>
  <c r="CP53"/>
  <c r="CO54"/>
  <c r="AT54"/>
  <c r="O54"/>
  <c r="CS54"/>
  <c r="H54"/>
  <c r="DB53"/>
  <c r="CX53"/>
  <c r="CV53"/>
  <c r="CR53"/>
  <c r="CP54"/>
  <c r="CU53"/>
  <c r="BX55" l="1"/>
  <c r="CB55"/>
  <c r="CF55"/>
  <c r="BU55"/>
  <c r="BW55"/>
  <c r="BY55"/>
  <c r="CA55"/>
  <c r="CC55"/>
  <c r="CE55"/>
  <c r="CG55"/>
  <c r="CI55"/>
  <c r="CK55"/>
  <c r="CM55"/>
  <c r="CO55"/>
  <c r="CQ55"/>
  <c r="CS55"/>
  <c r="CU55"/>
  <c r="CW55"/>
  <c r="CY55"/>
  <c r="DA55"/>
  <c r="DC55"/>
  <c r="DE55"/>
  <c r="BJ54"/>
  <c r="BR55"/>
  <c r="BV55"/>
  <c r="BZ55"/>
  <c r="CD55"/>
  <c r="CH55"/>
  <c r="CJ55"/>
  <c r="CL55"/>
  <c r="CN55"/>
  <c r="CP55"/>
  <c r="CR55"/>
  <c r="CT55"/>
  <c r="CV55"/>
  <c r="CX55"/>
  <c r="CZ55"/>
  <c r="DB55"/>
  <c r="DD55"/>
  <c r="DF55"/>
  <c r="D53"/>
  <c r="DH52"/>
  <c r="BL52"/>
  <c r="AZ53"/>
  <c r="T53"/>
  <c r="AQ53"/>
  <c r="L53"/>
  <c r="AW53"/>
  <c r="Z53"/>
  <c r="AT53"/>
  <c r="M53"/>
  <c r="AS53"/>
  <c r="BE53"/>
  <c r="BA53"/>
  <c r="AO53"/>
  <c r="AA53"/>
  <c r="AP53"/>
  <c r="I53"/>
  <c r="N53"/>
  <c r="AU53"/>
  <c r="AD53"/>
  <c r="AF53"/>
  <c r="BD53"/>
  <c r="AG53"/>
  <c r="G53"/>
  <c r="P53"/>
  <c r="AI53"/>
  <c r="AV53"/>
  <c r="O53"/>
  <c r="X53"/>
  <c r="AX53"/>
  <c r="AM53"/>
  <c r="K53"/>
  <c r="AY53"/>
  <c r="BC53"/>
  <c r="J53"/>
  <c r="AC53"/>
  <c r="BB53"/>
  <c r="AJ53"/>
  <c r="H53"/>
  <c r="AN53"/>
  <c r="AR53"/>
  <c r="U53"/>
  <c r="H55" l="1"/>
  <c r="L55"/>
  <c r="P55"/>
  <c r="AC55"/>
  <c r="G55"/>
  <c r="Q53"/>
  <c r="K55"/>
  <c r="M55"/>
  <c r="O55"/>
  <c r="T55"/>
  <c r="AD55"/>
  <c r="AG55"/>
  <c r="AJ55"/>
  <c r="BF53"/>
  <c r="AQ55"/>
  <c r="AS55"/>
  <c r="AU55"/>
  <c r="AW55"/>
  <c r="AY55"/>
  <c r="BA55"/>
  <c r="BC55"/>
  <c r="BE55"/>
  <c r="J55"/>
  <c r="N55"/>
  <c r="AA55"/>
  <c r="AF55"/>
  <c r="AI55"/>
  <c r="AP55"/>
  <c r="AR55"/>
  <c r="AT55"/>
  <c r="AV55"/>
  <c r="AX55"/>
  <c r="AZ55"/>
  <c r="BB55"/>
  <c r="BD55"/>
  <c r="D51" l="1"/>
  <c r="D50"/>
  <c r="D49"/>
  <c r="DH47"/>
  <c r="BL47"/>
  <c r="P49"/>
  <c r="BI49"/>
  <c r="CI50"/>
  <c r="CH50"/>
  <c r="AW50"/>
  <c r="DB50"/>
  <c r="AB50"/>
  <c r="AV50"/>
  <c r="BC50"/>
  <c r="CJ49"/>
  <c r="CP50"/>
  <c r="AB49"/>
  <c r="AN50"/>
  <c r="S49"/>
  <c r="AQ49"/>
  <c r="DE50"/>
  <c r="BW49"/>
  <c r="U49"/>
  <c r="BA50"/>
  <c r="CE49"/>
  <c r="CM49"/>
  <c r="CO50"/>
  <c r="AF50"/>
  <c r="BY50"/>
  <c r="BX50"/>
  <c r="P50"/>
  <c r="T49"/>
  <c r="CZ50"/>
  <c r="AY49"/>
  <c r="DE49"/>
  <c r="DD50"/>
  <c r="AP49"/>
  <c r="AP50"/>
  <c r="BH50"/>
  <c r="O49"/>
  <c r="BV50"/>
  <c r="AT49"/>
  <c r="CP49"/>
  <c r="BT49"/>
  <c r="BS50"/>
  <c r="AZ49"/>
  <c r="BO49"/>
  <c r="CC50"/>
  <c r="O50"/>
  <c r="CQ50"/>
  <c r="CE50"/>
  <c r="BI50"/>
  <c r="Z50"/>
  <c r="AJ49"/>
  <c r="G49"/>
  <c r="M50"/>
  <c r="DD49"/>
  <c r="DB49"/>
  <c r="AU50"/>
  <c r="BA49"/>
  <c r="BD50"/>
  <c r="AA50"/>
  <c r="CK49"/>
  <c r="DC49"/>
  <c r="BW50"/>
  <c r="CK50"/>
  <c r="G50"/>
  <c r="CD49"/>
  <c r="CW50"/>
  <c r="AZ50"/>
  <c r="M49"/>
  <c r="CY50"/>
  <c r="CV49"/>
  <c r="CM50"/>
  <c r="AY50"/>
  <c r="AJ50"/>
  <c r="Z49"/>
  <c r="BC49"/>
  <c r="N49"/>
  <c r="N50"/>
  <c r="X49"/>
  <c r="CL49"/>
  <c r="AI49"/>
  <c r="CD50"/>
  <c r="CB50"/>
  <c r="L49"/>
  <c r="CJ50"/>
  <c r="AM50"/>
  <c r="BY49"/>
  <c r="CW49"/>
  <c r="AC50"/>
  <c r="BU49"/>
  <c r="I49"/>
  <c r="DF50"/>
  <c r="AX49"/>
  <c r="CZ49"/>
  <c r="CA50"/>
  <c r="CG50"/>
  <c r="DA49"/>
  <c r="CT49"/>
  <c r="Y50"/>
  <c r="BZ50"/>
  <c r="BH49"/>
  <c r="BB49"/>
  <c r="J49"/>
  <c r="BR50"/>
  <c r="AD49"/>
  <c r="CX49"/>
  <c r="CT50"/>
  <c r="AN49"/>
  <c r="CC49"/>
  <c r="BZ49"/>
  <c r="BU50"/>
  <c r="BT50"/>
  <c r="CH49"/>
  <c r="CU50"/>
  <c r="AG50"/>
  <c r="AR49"/>
  <c r="BB50"/>
  <c r="AA49"/>
  <c r="CF49"/>
  <c r="DF49"/>
  <c r="DA50"/>
  <c r="AO50"/>
  <c r="BE50"/>
  <c r="CR49"/>
  <c r="CF50"/>
  <c r="CS50"/>
  <c r="V49"/>
  <c r="CL50"/>
  <c r="AO49"/>
  <c r="H50"/>
  <c r="BP49"/>
  <c r="DC50"/>
  <c r="AC49"/>
  <c r="BQ49"/>
  <c r="BD49"/>
  <c r="BS49"/>
  <c r="CS49"/>
  <c r="AW49"/>
  <c r="CQ49"/>
  <c r="J50"/>
  <c r="CB49"/>
  <c r="X50"/>
  <c r="AQ50"/>
  <c r="H49"/>
  <c r="BX49"/>
  <c r="CR50"/>
  <c r="L50"/>
  <c r="CN50"/>
  <c r="AS50"/>
  <c r="AI50"/>
  <c r="AM49"/>
  <c r="BR49"/>
  <c r="AD50"/>
  <c r="AX50"/>
  <c r="AU49"/>
  <c r="K50"/>
  <c r="CG49"/>
  <c r="CV50"/>
  <c r="T50"/>
  <c r="CX50"/>
  <c r="CU49"/>
  <c r="BV49"/>
  <c r="AT50"/>
  <c r="CI49"/>
  <c r="K49"/>
  <c r="Y49"/>
  <c r="CA49"/>
  <c r="AV49"/>
  <c r="AR50"/>
  <c r="AS49"/>
  <c r="CQ51" l="1"/>
  <c r="BS51"/>
  <c r="BV51"/>
  <c r="BD51"/>
  <c r="CB51"/>
  <c r="CH51"/>
  <c r="BI51"/>
  <c r="BT51"/>
  <c r="CM51"/>
  <c r="DA51"/>
  <c r="DE51"/>
  <c r="BY51"/>
  <c r="CU51"/>
  <c r="CI51"/>
  <c r="O51"/>
  <c r="CZ51"/>
  <c r="X51"/>
  <c r="AT51"/>
  <c r="G51"/>
  <c r="K51"/>
  <c r="AM51"/>
  <c r="BX51"/>
  <c r="CS51"/>
  <c r="L51"/>
  <c r="AA51"/>
  <c r="Y51"/>
  <c r="AB51"/>
  <c r="AO51"/>
  <c r="AW51"/>
  <c r="AD51"/>
  <c r="CW51"/>
  <c r="CG51"/>
  <c r="AI51"/>
  <c r="AP51"/>
  <c r="AR51"/>
  <c r="CJ51"/>
  <c r="CL51"/>
  <c r="J51"/>
  <c r="AV51"/>
  <c r="H51"/>
  <c r="CK51"/>
  <c r="AN51"/>
  <c r="BZ51"/>
  <c r="T51"/>
  <c r="AU51"/>
  <c r="AY51"/>
  <c r="CT51"/>
  <c r="AJ51"/>
  <c r="CE51"/>
  <c r="Z51"/>
  <c r="CA51"/>
  <c r="N51"/>
  <c r="AS51"/>
  <c r="AZ51"/>
  <c r="BC51"/>
  <c r="CF51"/>
  <c r="CD51"/>
  <c r="BA51"/>
  <c r="BU51"/>
  <c r="DF51"/>
  <c r="CV51"/>
  <c r="AQ51"/>
  <c r="CX51"/>
  <c r="BB51"/>
  <c r="CR51"/>
  <c r="DD51"/>
  <c r="CC51"/>
  <c r="BR51"/>
  <c r="CP51"/>
  <c r="DC51"/>
  <c r="AC51"/>
  <c r="BW51"/>
  <c r="M51"/>
  <c r="DB51"/>
  <c r="BH51"/>
  <c r="AX51"/>
  <c r="P51"/>
  <c r="Q49"/>
  <c r="BJ49"/>
  <c r="BF50"/>
  <c r="BJ50"/>
  <c r="BJ51" l="1"/>
  <c r="D46" l="1"/>
  <c r="CW45"/>
  <c r="CJ45"/>
  <c r="BX45"/>
  <c r="BT45"/>
  <c r="CE45"/>
  <c r="BO45"/>
  <c r="CP45"/>
  <c r="DB45"/>
  <c r="CK45"/>
  <c r="CT45"/>
  <c r="CQ45"/>
  <c r="CL45"/>
  <c r="BZ45"/>
  <c r="DF45"/>
  <c r="CN45"/>
  <c r="BS45"/>
  <c r="CC45"/>
  <c r="CG45"/>
  <c r="DE45"/>
  <c r="DC45"/>
  <c r="BR45"/>
  <c r="DA45"/>
  <c r="CO45"/>
  <c r="BW45"/>
  <c r="BY45"/>
  <c r="CY45"/>
  <c r="CU45"/>
  <c r="BU45"/>
  <c r="BP45"/>
  <c r="CZ45"/>
  <c r="CI45"/>
  <c r="DD45"/>
  <c r="CX45"/>
  <c r="CS45"/>
  <c r="CF45"/>
  <c r="BV45"/>
  <c r="CH45"/>
  <c r="CB45"/>
  <c r="CV45"/>
  <c r="CM45"/>
  <c r="CD45"/>
  <c r="CR45"/>
  <c r="BQ45"/>
  <c r="CA45"/>
  <c r="BO46" l="1"/>
  <c r="BS46"/>
  <c r="BW46"/>
  <c r="BW84" s="1"/>
  <c r="CA46"/>
  <c r="CA84" s="1"/>
  <c r="CE46"/>
  <c r="CE84" s="1"/>
  <c r="CI46"/>
  <c r="CI84" s="1"/>
  <c r="BP46"/>
  <c r="BR46"/>
  <c r="BR84" s="1"/>
  <c r="BT46"/>
  <c r="BV46"/>
  <c r="BV84" s="1"/>
  <c r="BX46"/>
  <c r="BZ46"/>
  <c r="BZ84" s="1"/>
  <c r="CB46"/>
  <c r="CB84" s="1"/>
  <c r="CD46"/>
  <c r="CD84" s="1"/>
  <c r="CF46"/>
  <c r="CF84" s="1"/>
  <c r="CH46"/>
  <c r="CH84" s="1"/>
  <c r="CJ46"/>
  <c r="CJ84" s="1"/>
  <c r="CL46"/>
  <c r="CL84" s="1"/>
  <c r="CN46"/>
  <c r="CP46"/>
  <c r="CP84" s="1"/>
  <c r="CR46"/>
  <c r="CR84" s="1"/>
  <c r="CT46"/>
  <c r="CT84" s="1"/>
  <c r="CV46"/>
  <c r="CV84" s="1"/>
  <c r="CX46"/>
  <c r="CX84" s="1"/>
  <c r="CZ46"/>
  <c r="CZ84" s="1"/>
  <c r="DB46"/>
  <c r="DB84" s="1"/>
  <c r="DD46"/>
  <c r="DD84" s="1"/>
  <c r="DF46"/>
  <c r="DF84" s="1"/>
  <c r="BQ46"/>
  <c r="BU46"/>
  <c r="BU84" s="1"/>
  <c r="BY46"/>
  <c r="BY84" s="1"/>
  <c r="BX84" s="1"/>
  <c r="CC46"/>
  <c r="CC84" s="1"/>
  <c r="CG46"/>
  <c r="CG84" s="1"/>
  <c r="CK46"/>
  <c r="CK84" s="1"/>
  <c r="CM46"/>
  <c r="CM84" s="1"/>
  <c r="CO46"/>
  <c r="CQ46"/>
  <c r="CS46"/>
  <c r="CS84" s="1"/>
  <c r="CU46"/>
  <c r="CU84" s="1"/>
  <c r="CW46"/>
  <c r="CY46"/>
  <c r="DA46"/>
  <c r="DA84" s="1"/>
  <c r="DC46"/>
  <c r="DE46"/>
  <c r="DE84" s="1"/>
  <c r="BI45"/>
  <c r="BI46" l="1"/>
  <c r="CW84"/>
  <c r="CQ84"/>
  <c r="DH46"/>
  <c r="D45"/>
  <c r="BL43"/>
  <c r="BL42"/>
  <c r="BL41"/>
  <c r="H45"/>
  <c r="X45"/>
  <c r="AC45"/>
  <c r="AA45"/>
  <c r="M45"/>
  <c r="L45"/>
  <c r="O45"/>
  <c r="BA45"/>
  <c r="BE45"/>
  <c r="K45"/>
  <c r="Z45"/>
  <c r="P45"/>
  <c r="T45"/>
  <c r="AR45"/>
  <c r="J45"/>
  <c r="Y45"/>
  <c r="BD45"/>
  <c r="AQ45"/>
  <c r="W45"/>
  <c r="AI45"/>
  <c r="AF45"/>
  <c r="I45"/>
  <c r="AM45"/>
  <c r="AP45"/>
  <c r="AV45"/>
  <c r="N45"/>
  <c r="G45"/>
  <c r="U45"/>
  <c r="AO45"/>
  <c r="AB45"/>
  <c r="BB45"/>
  <c r="AG45"/>
  <c r="AD45"/>
  <c r="AZ45"/>
  <c r="BC45"/>
  <c r="AX45"/>
  <c r="AT45"/>
  <c r="AS45"/>
  <c r="AN45"/>
  <c r="AU45"/>
  <c r="AW45"/>
  <c r="AY45"/>
  <c r="V45"/>
  <c r="H46" l="1"/>
  <c r="J46"/>
  <c r="L46"/>
  <c r="N46"/>
  <c r="P46"/>
  <c r="U46"/>
  <c r="W46"/>
  <c r="Y46"/>
  <c r="AA46"/>
  <c r="AC46"/>
  <c r="AF46"/>
  <c r="AI46"/>
  <c r="AN46"/>
  <c r="AP46"/>
  <c r="AR46"/>
  <c r="AT46"/>
  <c r="AV46"/>
  <c r="AX46"/>
  <c r="AZ46"/>
  <c r="BB46"/>
  <c r="BD46"/>
  <c r="BD84" s="1"/>
  <c r="G46"/>
  <c r="Q45"/>
  <c r="I46"/>
  <c r="K46"/>
  <c r="M46"/>
  <c r="O46"/>
  <c r="T46"/>
  <c r="V46"/>
  <c r="X46"/>
  <c r="Z46"/>
  <c r="AB46"/>
  <c r="AD46"/>
  <c r="AG46"/>
  <c r="AM46"/>
  <c r="BF45"/>
  <c r="AO46"/>
  <c r="AQ46"/>
  <c r="AS46"/>
  <c r="AU46"/>
  <c r="AW46"/>
  <c r="AY46"/>
  <c r="BA46"/>
  <c r="BC46"/>
  <c r="BE46"/>
  <c r="BF46" l="1"/>
  <c r="Q46"/>
  <c r="BC84"/>
  <c r="AU84"/>
  <c r="AT84" s="1"/>
  <c r="AS84" s="1"/>
  <c r="AR84" s="1"/>
  <c r="AQ84" s="1"/>
  <c r="AP84" s="1"/>
  <c r="BF39"/>
  <c r="BL39" s="1"/>
  <c r="D38" l="1"/>
  <c r="BY37"/>
  <c r="CI37"/>
  <c r="CP37"/>
  <c r="CH37"/>
  <c r="CK37"/>
  <c r="CM37"/>
  <c r="CL37"/>
  <c r="CU37"/>
  <c r="CS37"/>
  <c r="BQ37"/>
  <c r="CY37"/>
  <c r="DF37"/>
  <c r="CO37"/>
  <c r="CV37"/>
  <c r="BW37"/>
  <c r="BU37"/>
  <c r="CF37"/>
  <c r="BS37"/>
  <c r="DE37"/>
  <c r="CJ37"/>
  <c r="DB37"/>
  <c r="BP37"/>
  <c r="CR37"/>
  <c r="CZ37"/>
  <c r="DD37"/>
  <c r="CQ37"/>
  <c r="BO37"/>
  <c r="CW37"/>
  <c r="CN37"/>
  <c r="DA37"/>
  <c r="CB37"/>
  <c r="BR37"/>
  <c r="BH37"/>
  <c r="BI37"/>
  <c r="CA37"/>
  <c r="CE37"/>
  <c r="BZ37"/>
  <c r="CG37"/>
  <c r="BV37"/>
  <c r="BT37"/>
  <c r="BX37"/>
  <c r="DC37"/>
  <c r="CT37"/>
  <c r="CC37"/>
  <c r="CD37"/>
  <c r="CX37"/>
  <c r="BI38" l="1"/>
  <c r="BR38"/>
  <c r="BV38"/>
  <c r="BZ38"/>
  <c r="CD38"/>
  <c r="CH38"/>
  <c r="BH38"/>
  <c r="BJ37"/>
  <c r="BO38"/>
  <c r="DH37"/>
  <c r="BQ38"/>
  <c r="BS38"/>
  <c r="BU38"/>
  <c r="BW38"/>
  <c r="BY38"/>
  <c r="CA38"/>
  <c r="CC38"/>
  <c r="CE38"/>
  <c r="CG38"/>
  <c r="CI38"/>
  <c r="CK38"/>
  <c r="CM38"/>
  <c r="CO38"/>
  <c r="CQ38"/>
  <c r="CS38"/>
  <c r="CU38"/>
  <c r="CW38"/>
  <c r="CY38"/>
  <c r="DA38"/>
  <c r="DC38"/>
  <c r="DE38"/>
  <c r="BP38"/>
  <c r="BT38"/>
  <c r="BX38"/>
  <c r="CB38"/>
  <c r="CF38"/>
  <c r="CJ38"/>
  <c r="CL38"/>
  <c r="CN38"/>
  <c r="CP38"/>
  <c r="CR38"/>
  <c r="CT38"/>
  <c r="CV38"/>
  <c r="CX38"/>
  <c r="CZ38"/>
  <c r="DB38"/>
  <c r="DD38"/>
  <c r="DF38"/>
  <c r="AF37"/>
  <c r="AN37"/>
  <c r="BC37"/>
  <c r="J37"/>
  <c r="V37"/>
  <c r="AD37"/>
  <c r="O37"/>
  <c r="AS37"/>
  <c r="AO37"/>
  <c r="AY37"/>
  <c r="AU37"/>
  <c r="AV37"/>
  <c r="I37"/>
  <c r="AA37"/>
  <c r="AT37"/>
  <c r="BE37"/>
  <c r="G37"/>
  <c r="T37"/>
  <c r="AP37"/>
  <c r="BA37"/>
  <c r="K37"/>
  <c r="AW37"/>
  <c r="BB37"/>
  <c r="AB37"/>
  <c r="Z37"/>
  <c r="Y37"/>
  <c r="N37"/>
  <c r="U37"/>
  <c r="AR37"/>
  <c r="S37"/>
  <c r="AM37"/>
  <c r="AJ37"/>
  <c r="L37"/>
  <c r="AQ37"/>
  <c r="AC37"/>
  <c r="AG37"/>
  <c r="BD37"/>
  <c r="W37"/>
  <c r="H37"/>
  <c r="AX37"/>
  <c r="X37"/>
  <c r="AZ37"/>
  <c r="M37"/>
  <c r="AI37"/>
  <c r="P37"/>
  <c r="G38" l="1"/>
  <c r="Q37"/>
  <c r="H38"/>
  <c r="J38"/>
  <c r="L38"/>
  <c r="N38"/>
  <c r="P38"/>
  <c r="S38"/>
  <c r="AK37"/>
  <c r="U38"/>
  <c r="W38"/>
  <c r="Y38"/>
  <c r="AA38"/>
  <c r="AC38"/>
  <c r="AF38"/>
  <c r="AI38"/>
  <c r="AN38"/>
  <c r="AP38"/>
  <c r="AR38"/>
  <c r="AT38"/>
  <c r="AV38"/>
  <c r="AX38"/>
  <c r="AZ38"/>
  <c r="BB38"/>
  <c r="BD38"/>
  <c r="I38"/>
  <c r="K38"/>
  <c r="M38"/>
  <c r="O38"/>
  <c r="T38"/>
  <c r="V38"/>
  <c r="X38"/>
  <c r="Z38"/>
  <c r="AB38"/>
  <c r="AD38"/>
  <c r="AG38"/>
  <c r="AJ38"/>
  <c r="AM38"/>
  <c r="BF37"/>
  <c r="AO38"/>
  <c r="AQ38"/>
  <c r="AS38"/>
  <c r="AU38"/>
  <c r="AW38"/>
  <c r="AY38"/>
  <c r="BA38"/>
  <c r="BC38"/>
  <c r="BE38"/>
  <c r="DH38"/>
  <c r="D37"/>
  <c r="DH36"/>
  <c r="BF38" l="1"/>
  <c r="AK38"/>
  <c r="BL37"/>
  <c r="Q38"/>
  <c r="BL36"/>
  <c r="D35" l="1"/>
  <c r="D34"/>
  <c r="DH33"/>
  <c r="BL33"/>
  <c r="AS34"/>
  <c r="BQ34"/>
  <c r="AV34"/>
  <c r="CS34"/>
  <c r="AN34"/>
  <c r="N34"/>
  <c r="T34"/>
  <c r="Y34"/>
  <c r="AW34"/>
  <c r="CE34"/>
  <c r="AA34"/>
  <c r="BP34"/>
  <c r="CZ34"/>
  <c r="AD34"/>
  <c r="S34"/>
  <c r="BR34"/>
  <c r="CI34"/>
  <c r="BT34"/>
  <c r="BO34"/>
  <c r="BI34"/>
  <c r="CH34"/>
  <c r="CC34"/>
  <c r="CD34"/>
  <c r="CQ34"/>
  <c r="BV34"/>
  <c r="BY34"/>
  <c r="CY34"/>
  <c r="BS34"/>
  <c r="DB34"/>
  <c r="CJ34"/>
  <c r="CV34"/>
  <c r="CX34"/>
  <c r="X34"/>
  <c r="CR34"/>
  <c r="AU34"/>
  <c r="DF34"/>
  <c r="J34"/>
  <c r="DD34"/>
  <c r="CF34"/>
  <c r="G34"/>
  <c r="CW34"/>
  <c r="CB34"/>
  <c r="CP34"/>
  <c r="I34"/>
  <c r="AY34"/>
  <c r="CK34"/>
  <c r="BA34"/>
  <c r="AF34"/>
  <c r="AO34"/>
  <c r="AX34"/>
  <c r="CT34"/>
  <c r="Z34"/>
  <c r="AJ34"/>
  <c r="BB34"/>
  <c r="AQ34"/>
  <c r="CM34"/>
  <c r="DE34"/>
  <c r="AG34"/>
  <c r="BD34"/>
  <c r="CL34"/>
  <c r="CO34"/>
  <c r="BW34"/>
  <c r="V34"/>
  <c r="H34"/>
  <c r="W34"/>
  <c r="AZ34"/>
  <c r="CA34"/>
  <c r="L34"/>
  <c r="CG34"/>
  <c r="AP34"/>
  <c r="U34"/>
  <c r="CU34"/>
  <c r="CN34"/>
  <c r="BX34"/>
  <c r="O34"/>
  <c r="AT34"/>
  <c r="DA34"/>
  <c r="BU34"/>
  <c r="AB34"/>
  <c r="DC34"/>
  <c r="AI34"/>
  <c r="BZ34"/>
  <c r="M34"/>
  <c r="BC34"/>
  <c r="AR34"/>
  <c r="K34"/>
  <c r="AM34"/>
  <c r="G35" l="1"/>
  <c r="K35"/>
  <c r="O35"/>
  <c r="V35"/>
  <c r="Z35"/>
  <c r="AD35"/>
  <c r="H35"/>
  <c r="J35"/>
  <c r="L35"/>
  <c r="N35"/>
  <c r="S35"/>
  <c r="U35"/>
  <c r="W35"/>
  <c r="Y35"/>
  <c r="AA35"/>
  <c r="AF35"/>
  <c r="AI35"/>
  <c r="AN35"/>
  <c r="AP35"/>
  <c r="AR35"/>
  <c r="AT35"/>
  <c r="AV35"/>
  <c r="AX35"/>
  <c r="AZ35"/>
  <c r="BB35"/>
  <c r="BD35"/>
  <c r="BI35"/>
  <c r="BP35"/>
  <c r="BR35"/>
  <c r="BT35"/>
  <c r="BV35"/>
  <c r="BX35"/>
  <c r="BZ35"/>
  <c r="CB35"/>
  <c r="CD35"/>
  <c r="CF35"/>
  <c r="CH35"/>
  <c r="CJ35"/>
  <c r="CL35"/>
  <c r="CN35"/>
  <c r="CP35"/>
  <c r="CR35"/>
  <c r="CT35"/>
  <c r="CV35"/>
  <c r="CX35"/>
  <c r="CZ35"/>
  <c r="DB35"/>
  <c r="DD35"/>
  <c r="DF35"/>
  <c r="I35"/>
  <c r="M35"/>
  <c r="T35"/>
  <c r="X35"/>
  <c r="AB35"/>
  <c r="AG35"/>
  <c r="AJ35"/>
  <c r="AM35"/>
  <c r="AO35"/>
  <c r="AQ35"/>
  <c r="AS35"/>
  <c r="AU35"/>
  <c r="AW35"/>
  <c r="AY35"/>
  <c r="BA35"/>
  <c r="BC35"/>
  <c r="BO35"/>
  <c r="DH34"/>
  <c r="BQ35"/>
  <c r="BS35"/>
  <c r="BU35"/>
  <c r="BW35"/>
  <c r="BY35"/>
  <c r="CA35"/>
  <c r="CC35"/>
  <c r="CE35"/>
  <c r="CG35"/>
  <c r="CI35"/>
  <c r="CK35"/>
  <c r="CM35"/>
  <c r="CO35"/>
  <c r="CQ35"/>
  <c r="CS35"/>
  <c r="CU35"/>
  <c r="CW35"/>
  <c r="CY35"/>
  <c r="DA35"/>
  <c r="DC35"/>
  <c r="DE35"/>
  <c r="DH35" l="1"/>
  <c r="D32"/>
  <c r="D30" l="1"/>
  <c r="CH29"/>
  <c r="S30"/>
  <c r="CS30"/>
  <c r="CK30"/>
  <c r="AM30"/>
  <c r="CW30"/>
  <c r="H30"/>
  <c r="CF30"/>
  <c r="AU30"/>
  <c r="AA30"/>
  <c r="O30"/>
  <c r="CA30"/>
  <c r="AS30"/>
  <c r="V30"/>
  <c r="BT30"/>
  <c r="AD30"/>
  <c r="CG30"/>
  <c r="CC30"/>
  <c r="CA29"/>
  <c r="CX30"/>
  <c r="CK29"/>
  <c r="N30"/>
  <c r="CB30"/>
  <c r="CZ30"/>
  <c r="DC29"/>
  <c r="DC30"/>
  <c r="DD30"/>
  <c r="DE29"/>
  <c r="BC30"/>
  <c r="CF29"/>
  <c r="CJ30"/>
  <c r="BU29"/>
  <c r="AZ30"/>
  <c r="BX30"/>
  <c r="AC30"/>
  <c r="BY29"/>
  <c r="CZ29"/>
  <c r="CL29"/>
  <c r="CV30"/>
  <c r="CT29"/>
  <c r="BI30"/>
  <c r="DF30"/>
  <c r="BZ30"/>
  <c r="CB29"/>
  <c r="G30"/>
  <c r="BV29"/>
  <c r="AX30"/>
  <c r="CL30"/>
  <c r="AY30"/>
  <c r="AR30"/>
  <c r="DB30"/>
  <c r="CP29"/>
  <c r="BO29"/>
  <c r="BR30"/>
  <c r="AP30"/>
  <c r="DD29"/>
  <c r="DB29"/>
  <c r="DA29"/>
  <c r="CG29"/>
  <c r="CD29"/>
  <c r="BT29"/>
  <c r="BD30"/>
  <c r="W30"/>
  <c r="Y30"/>
  <c r="I30"/>
  <c r="CY29"/>
  <c r="BP30"/>
  <c r="BS29"/>
  <c r="CN30"/>
  <c r="AQ30"/>
  <c r="CX29"/>
  <c r="X30"/>
  <c r="AI30"/>
  <c r="AB30"/>
  <c r="U30"/>
  <c r="BX29"/>
  <c r="CE30"/>
  <c r="CM29"/>
  <c r="CO29"/>
  <c r="AF30"/>
  <c r="L30"/>
  <c r="K30"/>
  <c r="BB30"/>
  <c r="CM30"/>
  <c r="AG30"/>
  <c r="CQ29"/>
  <c r="Z30"/>
  <c r="CP30"/>
  <c r="T30"/>
  <c r="CQ30"/>
  <c r="AN30"/>
  <c r="CN29"/>
  <c r="CU30"/>
  <c r="CI29"/>
  <c r="BU30"/>
  <c r="BQ29"/>
  <c r="CO30"/>
  <c r="BE30"/>
  <c r="AW30"/>
  <c r="BV30"/>
  <c r="BR29"/>
  <c r="CR29"/>
  <c r="BW30"/>
  <c r="BP29"/>
  <c r="AJ30"/>
  <c r="AV30"/>
  <c r="AT30"/>
  <c r="BO30"/>
  <c r="BY30"/>
  <c r="BA30"/>
  <c r="CC29"/>
  <c r="BQ30"/>
  <c r="CH30"/>
  <c r="J30"/>
  <c r="CI30"/>
  <c r="CR30"/>
  <c r="M30"/>
  <c r="BH30"/>
  <c r="BZ29"/>
  <c r="CT30"/>
  <c r="DE30"/>
  <c r="CY30"/>
  <c r="AO30"/>
  <c r="BW29"/>
  <c r="BS30"/>
  <c r="CE29"/>
  <c r="CJ29"/>
  <c r="CS29"/>
  <c r="DF29"/>
  <c r="P30"/>
  <c r="CD30"/>
  <c r="DA30"/>
  <c r="BO31" l="1"/>
  <c r="BS31"/>
  <c r="BW31"/>
  <c r="CA31"/>
  <c r="CE31"/>
  <c r="CI31"/>
  <c r="BP31"/>
  <c r="BR31"/>
  <c r="BT31"/>
  <c r="BV31"/>
  <c r="BX31"/>
  <c r="BZ31"/>
  <c r="CB31"/>
  <c r="CD31"/>
  <c r="CF31"/>
  <c r="CH31"/>
  <c r="CJ31"/>
  <c r="CL31"/>
  <c r="CN31"/>
  <c r="CP31"/>
  <c r="CR31"/>
  <c r="CT31"/>
  <c r="CX31"/>
  <c r="CZ31"/>
  <c r="DB31"/>
  <c r="DD31"/>
  <c r="DF31"/>
  <c r="AK30"/>
  <c r="BQ31"/>
  <c r="BU31"/>
  <c r="BY31"/>
  <c r="CC31"/>
  <c r="CG31"/>
  <c r="CK31"/>
  <c r="CM31"/>
  <c r="CO31"/>
  <c r="CQ31"/>
  <c r="CS31"/>
  <c r="CY31"/>
  <c r="DA31"/>
  <c r="DC31"/>
  <c r="DE31"/>
  <c r="Q30"/>
  <c r="BF30"/>
  <c r="BJ30"/>
  <c r="DH30"/>
  <c r="BH29"/>
  <c r="BI29"/>
  <c r="BI31" l="1"/>
  <c r="BH31"/>
  <c r="BJ29"/>
  <c r="BL30"/>
  <c r="D29"/>
  <c r="AT29"/>
  <c r="AA29"/>
  <c r="AP29"/>
  <c r="P29"/>
  <c r="Z29"/>
  <c r="H29"/>
  <c r="AM29"/>
  <c r="BC29"/>
  <c r="AX29"/>
  <c r="AR29"/>
  <c r="T29"/>
  <c r="AJ29"/>
  <c r="AF29"/>
  <c r="L29"/>
  <c r="BB29"/>
  <c r="K29"/>
  <c r="AB29"/>
  <c r="AG29"/>
  <c r="I29"/>
  <c r="W29"/>
  <c r="N29"/>
  <c r="AD29"/>
  <c r="AZ29"/>
  <c r="AQ29"/>
  <c r="AU29"/>
  <c r="AC29"/>
  <c r="AI29"/>
  <c r="J29"/>
  <c r="G29"/>
  <c r="AV29"/>
  <c r="M29"/>
  <c r="AW29"/>
  <c r="AN29"/>
  <c r="BE29"/>
  <c r="AO29"/>
  <c r="BA29"/>
  <c r="U29"/>
  <c r="AY29"/>
  <c r="BD29"/>
  <c r="S29"/>
  <c r="X29"/>
  <c r="AS29"/>
  <c r="Y29"/>
  <c r="H31" l="1"/>
  <c r="J31"/>
  <c r="N31"/>
  <c r="S31"/>
  <c r="W31"/>
  <c r="AA31"/>
  <c r="AF31"/>
  <c r="AN31"/>
  <c r="AR31"/>
  <c r="G31"/>
  <c r="I31"/>
  <c r="K31"/>
  <c r="M31"/>
  <c r="T31"/>
  <c r="X31"/>
  <c r="Z31"/>
  <c r="AB31"/>
  <c r="AD31"/>
  <c r="AG31"/>
  <c r="AJ31"/>
  <c r="AM31"/>
  <c r="BF29"/>
  <c r="AO31"/>
  <c r="AQ31"/>
  <c r="AS31"/>
  <c r="AU31"/>
  <c r="AW31"/>
  <c r="AY31"/>
  <c r="BA31"/>
  <c r="BC31"/>
  <c r="BE31"/>
  <c r="L31"/>
  <c r="P31"/>
  <c r="U31"/>
  <c r="Y31"/>
  <c r="AC31"/>
  <c r="AI31"/>
  <c r="AP31"/>
  <c r="AT31"/>
  <c r="AV31"/>
  <c r="AX31"/>
  <c r="AZ31"/>
  <c r="BB31"/>
  <c r="BD31"/>
  <c r="BF31" l="1"/>
  <c r="D27" l="1"/>
  <c r="D26"/>
  <c r="CL25"/>
  <c r="DA26"/>
  <c r="P26"/>
  <c r="AM26"/>
  <c r="BT25"/>
  <c r="CK27"/>
  <c r="DF25"/>
  <c r="W27"/>
  <c r="CZ27"/>
  <c r="BE26"/>
  <c r="CA26"/>
  <c r="AO27"/>
  <c r="CX26"/>
  <c r="CY27"/>
  <c r="I27"/>
  <c r="BR27"/>
  <c r="AW26"/>
  <c r="AV26"/>
  <c r="CP27"/>
  <c r="DD25"/>
  <c r="CN27"/>
  <c r="BA27"/>
  <c r="BU26"/>
  <c r="CH27"/>
  <c r="CF25"/>
  <c r="I26"/>
  <c r="U26"/>
  <c r="BU27"/>
  <c r="V27"/>
  <c r="BQ27"/>
  <c r="CI25"/>
  <c r="BH26"/>
  <c r="CZ25"/>
  <c r="AM27"/>
  <c r="CR26"/>
  <c r="BZ26"/>
  <c r="DA25"/>
  <c r="CW27"/>
  <c r="BZ27"/>
  <c r="AQ26"/>
  <c r="BT27"/>
  <c r="AF26"/>
  <c r="CT25"/>
  <c r="X26"/>
  <c r="BQ26"/>
  <c r="CQ26"/>
  <c r="CJ26"/>
  <c r="AF27"/>
  <c r="CU27"/>
  <c r="DF27"/>
  <c r="AZ27"/>
  <c r="CQ27"/>
  <c r="T27"/>
  <c r="CY25"/>
  <c r="AR27"/>
  <c r="CM25"/>
  <c r="BP26"/>
  <c r="BI26"/>
  <c r="BV27"/>
  <c r="CD26"/>
  <c r="CB27"/>
  <c r="CB26"/>
  <c r="AY27"/>
  <c r="CY26"/>
  <c r="Y26"/>
  <c r="BC27"/>
  <c r="AC26"/>
  <c r="DC26"/>
  <c r="CE27"/>
  <c r="BD26"/>
  <c r="CL26"/>
  <c r="P27"/>
  <c r="S27"/>
  <c r="BS26"/>
  <c r="CO26"/>
  <c r="AS26"/>
  <c r="BO26"/>
  <c r="AZ26"/>
  <c r="H26"/>
  <c r="BX26"/>
  <c r="BR26"/>
  <c r="CJ25"/>
  <c r="AG27"/>
  <c r="CJ27"/>
  <c r="CG25"/>
  <c r="BW25"/>
  <c r="AQ27"/>
  <c r="BC26"/>
  <c r="H27"/>
  <c r="G26"/>
  <c r="AD27"/>
  <c r="U27"/>
  <c r="CN25"/>
  <c r="AC27"/>
  <c r="AP27"/>
  <c r="DD26"/>
  <c r="DE26"/>
  <c r="K27"/>
  <c r="CE25"/>
  <c r="CM27"/>
  <c r="AT26"/>
  <c r="CU25"/>
  <c r="AJ27"/>
  <c r="AV27"/>
  <c r="DE25"/>
  <c r="AN26"/>
  <c r="X27"/>
  <c r="BO27"/>
  <c r="BH27"/>
  <c r="AY26"/>
  <c r="AN27"/>
  <c r="J26"/>
  <c r="CB25"/>
  <c r="CD27"/>
  <c r="N27"/>
  <c r="CT26"/>
  <c r="DC25"/>
  <c r="BB26"/>
  <c r="CX25"/>
  <c r="AU26"/>
  <c r="DE27"/>
  <c r="CO25"/>
  <c r="DC27"/>
  <c r="BW27"/>
  <c r="BZ25"/>
  <c r="AG26"/>
  <c r="O26"/>
  <c r="BY27"/>
  <c r="CH25"/>
  <c r="T26"/>
  <c r="AP26"/>
  <c r="CS25"/>
  <c r="BR25"/>
  <c r="W26"/>
  <c r="BU25"/>
  <c r="M26"/>
  <c r="CP25"/>
  <c r="CR25"/>
  <c r="CC25"/>
  <c r="BB27"/>
  <c r="CX27"/>
  <c r="CS26"/>
  <c r="CT27"/>
  <c r="CE26"/>
  <c r="Z27"/>
  <c r="BX27"/>
  <c r="DB26"/>
  <c r="BY26"/>
  <c r="AJ26"/>
  <c r="DB27"/>
  <c r="CZ26"/>
  <c r="CV25"/>
  <c r="BE27"/>
  <c r="BV25"/>
  <c r="CR27"/>
  <c r="CN26"/>
  <c r="CP26"/>
  <c r="AI26"/>
  <c r="BV26"/>
  <c r="CD25"/>
  <c r="CC26"/>
  <c r="CH26"/>
  <c r="AS27"/>
  <c r="DA27"/>
  <c r="M27"/>
  <c r="L26"/>
  <c r="CG27"/>
  <c r="O27"/>
  <c r="AA26"/>
  <c r="CS27"/>
  <c r="CO27"/>
  <c r="CW25"/>
  <c r="AA27"/>
  <c r="BD27"/>
  <c r="AW27"/>
  <c r="DD27"/>
  <c r="AO26"/>
  <c r="AB26"/>
  <c r="AX27"/>
  <c r="S26"/>
  <c r="CA27"/>
  <c r="CI27"/>
  <c r="AX26"/>
  <c r="CQ25"/>
  <c r="AR26"/>
  <c r="Y27"/>
  <c r="BI27"/>
  <c r="BA26"/>
  <c r="CF27"/>
  <c r="DF26"/>
  <c r="CK25"/>
  <c r="BP27"/>
  <c r="CI26"/>
  <c r="BS25"/>
  <c r="CK26"/>
  <c r="CA25"/>
  <c r="BX25"/>
  <c r="CV27"/>
  <c r="BW26"/>
  <c r="L27"/>
  <c r="AT27"/>
  <c r="G27"/>
  <c r="AD26"/>
  <c r="DB25"/>
  <c r="CL27"/>
  <c r="BY25"/>
  <c r="CC27"/>
  <c r="CM26"/>
  <c r="Z26"/>
  <c r="BS27"/>
  <c r="BT26"/>
  <c r="AB27"/>
  <c r="AI27"/>
  <c r="K26"/>
  <c r="J27"/>
  <c r="CF26"/>
  <c r="AU27"/>
  <c r="CG26"/>
  <c r="G28" l="1"/>
  <c r="I28"/>
  <c r="K28"/>
  <c r="M28"/>
  <c r="O28"/>
  <c r="T28"/>
  <c r="X28"/>
  <c r="Z28"/>
  <c r="AB28"/>
  <c r="AD28"/>
  <c r="AG28"/>
  <c r="AJ28"/>
  <c r="AM28"/>
  <c r="BF26"/>
  <c r="AO28"/>
  <c r="AQ28"/>
  <c r="AS28"/>
  <c r="AU28"/>
  <c r="AW28"/>
  <c r="AY28"/>
  <c r="BA28"/>
  <c r="BC28"/>
  <c r="BE28"/>
  <c r="BH28"/>
  <c r="BJ26"/>
  <c r="BO28"/>
  <c r="BQ28"/>
  <c r="BS28"/>
  <c r="BU28"/>
  <c r="BW28"/>
  <c r="BY28"/>
  <c r="CA28"/>
  <c r="CC28"/>
  <c r="CE28"/>
  <c r="CG28"/>
  <c r="CI28"/>
  <c r="CK28"/>
  <c r="CM28"/>
  <c r="CO28"/>
  <c r="CQ28"/>
  <c r="CS28"/>
  <c r="CY28"/>
  <c r="DA28"/>
  <c r="DC28"/>
  <c r="DE28"/>
  <c r="Q27"/>
  <c r="BF27"/>
  <c r="BJ27"/>
  <c r="H28"/>
  <c r="J28"/>
  <c r="L28"/>
  <c r="P28"/>
  <c r="S28"/>
  <c r="U28"/>
  <c r="W28"/>
  <c r="Y28"/>
  <c r="AA28"/>
  <c r="AC28"/>
  <c r="AF28"/>
  <c r="AI28"/>
  <c r="AN28"/>
  <c r="AP28"/>
  <c r="AR28"/>
  <c r="AT28"/>
  <c r="AV28"/>
  <c r="AX28"/>
  <c r="AZ28"/>
  <c r="BB28"/>
  <c r="BD28"/>
  <c r="BI28"/>
  <c r="BP28"/>
  <c r="BR28"/>
  <c r="BT28"/>
  <c r="BV28"/>
  <c r="BX28"/>
  <c r="BZ28"/>
  <c r="CB28"/>
  <c r="CD28"/>
  <c r="CF28"/>
  <c r="CH28"/>
  <c r="CJ28"/>
  <c r="CL28"/>
  <c r="CN28"/>
  <c r="CP28"/>
  <c r="CR28"/>
  <c r="CT28"/>
  <c r="CX28"/>
  <c r="CZ28"/>
  <c r="DB28"/>
  <c r="DD28"/>
  <c r="DF28"/>
  <c r="AK27"/>
  <c r="DH27"/>
  <c r="D25"/>
  <c r="AR25"/>
  <c r="BE25"/>
  <c r="CE24"/>
  <c r="CV24"/>
  <c r="BX24"/>
  <c r="AG25"/>
  <c r="CU24"/>
  <c r="AO25"/>
  <c r="CB24"/>
  <c r="DB24"/>
  <c r="DC24"/>
  <c r="BT24"/>
  <c r="AU25"/>
  <c r="AC25"/>
  <c r="BY24"/>
  <c r="J25"/>
  <c r="BC25"/>
  <c r="BV24"/>
  <c r="BB25"/>
  <c r="CC24"/>
  <c r="BU24"/>
  <c r="CY24"/>
  <c r="AQ25"/>
  <c r="AX25"/>
  <c r="O25"/>
  <c r="CO24"/>
  <c r="K25"/>
  <c r="U25"/>
  <c r="CJ24"/>
  <c r="AW25"/>
  <c r="AN25"/>
  <c r="CK24"/>
  <c r="AB25"/>
  <c r="AM25"/>
  <c r="BI25"/>
  <c r="CL24"/>
  <c r="CM24"/>
  <c r="BW24"/>
  <c r="T25"/>
  <c r="H25"/>
  <c r="BH24"/>
  <c r="X25"/>
  <c r="AY25"/>
  <c r="AI25"/>
  <c r="AF25"/>
  <c r="L25"/>
  <c r="W25"/>
  <c r="BR24"/>
  <c r="CW24"/>
  <c r="DE24"/>
  <c r="N25"/>
  <c r="BI24"/>
  <c r="CD24"/>
  <c r="BH25"/>
  <c r="I25"/>
  <c r="CR24"/>
  <c r="CF24"/>
  <c r="G25"/>
  <c r="CN24"/>
  <c r="AJ25"/>
  <c r="BD25"/>
  <c r="P25"/>
  <c r="CG24"/>
  <c r="CQ24"/>
  <c r="AP25"/>
  <c r="AT25"/>
  <c r="AD25"/>
  <c r="AV25"/>
  <c r="Y25"/>
  <c r="CX24"/>
  <c r="CP24"/>
  <c r="CI24"/>
  <c r="CZ24"/>
  <c r="DA24"/>
  <c r="Z25"/>
  <c r="AZ25"/>
  <c r="CT24"/>
  <c r="CS24"/>
  <c r="AA25"/>
  <c r="BA25"/>
  <c r="CH24"/>
  <c r="AS25"/>
  <c r="BS24"/>
  <c r="DF24"/>
  <c r="BZ24"/>
  <c r="S25"/>
  <c r="CA24"/>
  <c r="DD24"/>
  <c r="BL27" l="1"/>
  <c r="BH32"/>
  <c r="BJ24"/>
  <c r="BR32"/>
  <c r="CB32"/>
  <c r="CA32" s="1"/>
  <c r="BZ32" s="1"/>
  <c r="BY32" s="1"/>
  <c r="BX32" s="1"/>
  <c r="CD32"/>
  <c r="CH32"/>
  <c r="CL32"/>
  <c r="CP32"/>
  <c r="CR32"/>
  <c r="CQ32" s="1"/>
  <c r="CZ32"/>
  <c r="CY32" s="1"/>
  <c r="CX32" s="1"/>
  <c r="BS32"/>
  <c r="BU32"/>
  <c r="BT32" s="1"/>
  <c r="BW32"/>
  <c r="BV32" s="1"/>
  <c r="CC32"/>
  <c r="CG32"/>
  <c r="CF32" s="1"/>
  <c r="CE32" s="1"/>
  <c r="CI32"/>
  <c r="CK32"/>
  <c r="CJ32" s="1"/>
  <c r="CM32"/>
  <c r="CO32"/>
  <c r="CN32" s="1"/>
  <c r="BF25"/>
  <c r="BJ25"/>
  <c r="BF28"/>
  <c r="D24"/>
  <c r="DH23"/>
  <c r="BL23"/>
  <c r="AO24"/>
  <c r="AN24"/>
  <c r="AQ24"/>
  <c r="BE24"/>
  <c r="AC24"/>
  <c r="AV24"/>
  <c r="AP24"/>
  <c r="AI24"/>
  <c r="BB24"/>
  <c r="X24"/>
  <c r="N24"/>
  <c r="W24"/>
  <c r="AD24"/>
  <c r="AY24"/>
  <c r="O24"/>
  <c r="AJ24"/>
  <c r="T24"/>
  <c r="AA24"/>
  <c r="BC24"/>
  <c r="BD24"/>
  <c r="AZ24"/>
  <c r="AM24"/>
  <c r="AR24"/>
  <c r="AG24"/>
  <c r="Z24"/>
  <c r="M24"/>
  <c r="AU24"/>
  <c r="AX24"/>
  <c r="P24"/>
  <c r="AT24"/>
  <c r="AS24"/>
  <c r="U24"/>
  <c r="I24"/>
  <c r="Y24"/>
  <c r="G24"/>
  <c r="H24"/>
  <c r="BA24"/>
  <c r="AB24"/>
  <c r="AF24"/>
  <c r="AW24"/>
  <c r="W32" l="1"/>
  <c r="AA32"/>
  <c r="Z32" s="1"/>
  <c r="Y32" s="1"/>
  <c r="AF32"/>
  <c r="AD32" s="1"/>
  <c r="AV32"/>
  <c r="AU32" s="1"/>
  <c r="AT32" s="1"/>
  <c r="AS32" s="1"/>
  <c r="AR32" s="1"/>
  <c r="AQ32" s="1"/>
  <c r="G32"/>
  <c r="I32"/>
  <c r="T32"/>
  <c r="X32"/>
  <c r="AB32"/>
  <c r="AJ32"/>
  <c r="AI32" s="1"/>
  <c r="AG32" s="1"/>
  <c r="AM32"/>
  <c r="BF24"/>
  <c r="H32"/>
  <c r="P32"/>
  <c r="AC32"/>
  <c r="AP32"/>
  <c r="AO32" s="1"/>
  <c r="AN32" s="1"/>
  <c r="D22" l="1"/>
  <c r="CR21"/>
  <c r="BT21"/>
  <c r="CJ21"/>
  <c r="CU21"/>
  <c r="BY21"/>
  <c r="DF21"/>
  <c r="BV21"/>
  <c r="CW21"/>
  <c r="CV21"/>
  <c r="CE21"/>
  <c r="CL21"/>
  <c r="CN21"/>
  <c r="CK21"/>
  <c r="CC21"/>
  <c r="CY21"/>
  <c r="CS21"/>
  <c r="BX21"/>
  <c r="BW21"/>
  <c r="CO21"/>
  <c r="DB21"/>
  <c r="DE21"/>
  <c r="CF21"/>
  <c r="BR21"/>
  <c r="BZ21"/>
  <c r="CQ21"/>
  <c r="DD21"/>
  <c r="CT21"/>
  <c r="BU21"/>
  <c r="CX21"/>
  <c r="CM21"/>
  <c r="CA21"/>
  <c r="CH21"/>
  <c r="CI21"/>
  <c r="DA21"/>
  <c r="CB21"/>
  <c r="CZ21"/>
  <c r="CD21"/>
  <c r="BS21"/>
  <c r="CP21"/>
  <c r="CG21"/>
  <c r="BR22" l="1"/>
  <c r="BV22"/>
  <c r="BZ22"/>
  <c r="CD22"/>
  <c r="CH22"/>
  <c r="CL22"/>
  <c r="BS22"/>
  <c r="BU22"/>
  <c r="BW22"/>
  <c r="BY22"/>
  <c r="CA22"/>
  <c r="CC22"/>
  <c r="CE22"/>
  <c r="CG22"/>
  <c r="CI22"/>
  <c r="CK22"/>
  <c r="CM22"/>
  <c r="CO22"/>
  <c r="CQ22"/>
  <c r="CS22"/>
  <c r="CU22"/>
  <c r="CW22"/>
  <c r="CY22"/>
  <c r="DA22"/>
  <c r="DE22"/>
  <c r="BT22"/>
  <c r="BX22"/>
  <c r="CB22"/>
  <c r="CF22"/>
  <c r="CJ22"/>
  <c r="CN22"/>
  <c r="CP22"/>
  <c r="CR22"/>
  <c r="CT22"/>
  <c r="CV22"/>
  <c r="CX22"/>
  <c r="CZ22"/>
  <c r="DB22"/>
  <c r="DD22"/>
  <c r="DF22"/>
  <c r="D21"/>
  <c r="DH20"/>
  <c r="BL20"/>
  <c r="AG21"/>
  <c r="K21"/>
  <c r="BB21"/>
  <c r="Z21"/>
  <c r="AV21"/>
  <c r="AC21"/>
  <c r="BD21"/>
  <c r="P21"/>
  <c r="AP21"/>
  <c r="AU21"/>
  <c r="AI21"/>
  <c r="AF21"/>
  <c r="Y21"/>
  <c r="BE21"/>
  <c r="AD21"/>
  <c r="BI21"/>
  <c r="AX21"/>
  <c r="J21"/>
  <c r="M21"/>
  <c r="AW21"/>
  <c r="H21"/>
  <c r="L21"/>
  <c r="AS21"/>
  <c r="AN21"/>
  <c r="N21"/>
  <c r="AT21"/>
  <c r="BA21"/>
  <c r="AZ21"/>
  <c r="O21"/>
  <c r="AJ21"/>
  <c r="X21"/>
  <c r="G21"/>
  <c r="AA21"/>
  <c r="BH21"/>
  <c r="T21"/>
  <c r="AQ21"/>
  <c r="AM21"/>
  <c r="AR21"/>
  <c r="AY21"/>
  <c r="AO21"/>
  <c r="BC21"/>
  <c r="J22" l="1"/>
  <c r="N22"/>
  <c r="AA22"/>
  <c r="AF22"/>
  <c r="G22"/>
  <c r="K22"/>
  <c r="M22"/>
  <c r="O22"/>
  <c r="T22"/>
  <c r="X22"/>
  <c r="Z22"/>
  <c r="AD22"/>
  <c r="AG22"/>
  <c r="AJ22"/>
  <c r="AM22"/>
  <c r="BF21"/>
  <c r="AO22"/>
  <c r="AQ22"/>
  <c r="AS22"/>
  <c r="AU22"/>
  <c r="AW22"/>
  <c r="AY22"/>
  <c r="BA22"/>
  <c r="BC22"/>
  <c r="BE22"/>
  <c r="BH22"/>
  <c r="BJ21"/>
  <c r="H22"/>
  <c r="L22"/>
  <c r="P22"/>
  <c r="Y22"/>
  <c r="AC22"/>
  <c r="AI22"/>
  <c r="AN22"/>
  <c r="AP22"/>
  <c r="AR22"/>
  <c r="AT22"/>
  <c r="AV22"/>
  <c r="AX22"/>
  <c r="AZ22"/>
  <c r="BB22"/>
  <c r="BD22"/>
  <c r="BI22"/>
  <c r="BF22" l="1"/>
  <c r="D19" l="1"/>
  <c r="D18"/>
  <c r="DA17"/>
  <c r="CC18"/>
  <c r="DB18"/>
  <c r="AO18"/>
  <c r="J18"/>
  <c r="CN17"/>
  <c r="BI18"/>
  <c r="CG17"/>
  <c r="BC18"/>
  <c r="CX18"/>
  <c r="CH18"/>
  <c r="CD18"/>
  <c r="AA18"/>
  <c r="M18"/>
  <c r="AN18"/>
  <c r="Y18"/>
  <c r="P18"/>
  <c r="BY17"/>
  <c r="AP18"/>
  <c r="S18"/>
  <c r="CD17"/>
  <c r="CR18"/>
  <c r="BZ18"/>
  <c r="CK18"/>
  <c r="U18"/>
  <c r="CB18"/>
  <c r="AM18"/>
  <c r="BH18"/>
  <c r="BB18"/>
  <c r="DF17"/>
  <c r="DC18"/>
  <c r="BT17"/>
  <c r="CC17"/>
  <c r="CF18"/>
  <c r="AY18"/>
  <c r="CI18"/>
  <c r="DF18"/>
  <c r="BP17"/>
  <c r="CJ17"/>
  <c r="CO18"/>
  <c r="AZ18"/>
  <c r="BZ17"/>
  <c r="T18"/>
  <c r="AJ18"/>
  <c r="CS18"/>
  <c r="BY18"/>
  <c r="CQ18"/>
  <c r="AV18"/>
  <c r="AT18"/>
  <c r="AR18"/>
  <c r="CL18"/>
  <c r="BV18"/>
  <c r="CV17"/>
  <c r="CG18"/>
  <c r="BU17"/>
  <c r="I18"/>
  <c r="CS17"/>
  <c r="AD18"/>
  <c r="CP18"/>
  <c r="AW18"/>
  <c r="AS18"/>
  <c r="BR17"/>
  <c r="DB17"/>
  <c r="CI17"/>
  <c r="CP17"/>
  <c r="CV18"/>
  <c r="BS17"/>
  <c r="DE17"/>
  <c r="CN18"/>
  <c r="BS18"/>
  <c r="BX18"/>
  <c r="CK17"/>
  <c r="CA17"/>
  <c r="CW18"/>
  <c r="AU18"/>
  <c r="CR17"/>
  <c r="BR18"/>
  <c r="DC17"/>
  <c r="AG18"/>
  <c r="AQ18"/>
  <c r="CY18"/>
  <c r="AI18"/>
  <c r="CU17"/>
  <c r="DD17"/>
  <c r="CZ18"/>
  <c r="CU18"/>
  <c r="BE18"/>
  <c r="L18"/>
  <c r="AC18"/>
  <c r="G18"/>
  <c r="BW17"/>
  <c r="BW18"/>
  <c r="CE18"/>
  <c r="CJ18"/>
  <c r="BX17"/>
  <c r="BA18"/>
  <c r="DD18"/>
  <c r="CW17"/>
  <c r="CF17"/>
  <c r="AF18"/>
  <c r="H18"/>
  <c r="CX17"/>
  <c r="Z18"/>
  <c r="CQ17"/>
  <c r="BV17"/>
  <c r="N18"/>
  <c r="AX18"/>
  <c r="CH17"/>
  <c r="CE17"/>
  <c r="V18"/>
  <c r="CO17"/>
  <c r="CL17"/>
  <c r="CT18"/>
  <c r="BO17"/>
  <c r="DE18"/>
  <c r="BT18"/>
  <c r="CB17"/>
  <c r="CA18"/>
  <c r="CT17"/>
  <c r="DA18"/>
  <c r="BO18"/>
  <c r="CZ17"/>
  <c r="X18"/>
  <c r="CM17"/>
  <c r="CM18"/>
  <c r="CY17"/>
  <c r="BD18"/>
  <c r="K18"/>
  <c r="BU18"/>
  <c r="O18"/>
  <c r="AB18"/>
  <c r="BR19" l="1"/>
  <c r="BV19"/>
  <c r="BZ19"/>
  <c r="CD19"/>
  <c r="BO19"/>
  <c r="BS19"/>
  <c r="BU19"/>
  <c r="BW19"/>
  <c r="BY19"/>
  <c r="CA19"/>
  <c r="CC19"/>
  <c r="CE19"/>
  <c r="CG19"/>
  <c r="CI19"/>
  <c r="CK19"/>
  <c r="CM19"/>
  <c r="CO19"/>
  <c r="CQ19"/>
  <c r="CS19"/>
  <c r="CU19"/>
  <c r="CW19"/>
  <c r="CY19"/>
  <c r="DA19"/>
  <c r="DC19"/>
  <c r="DE19"/>
  <c r="Q18"/>
  <c r="BF18"/>
  <c r="BJ18"/>
  <c r="BT19"/>
  <c r="BX19"/>
  <c r="CB19"/>
  <c r="CF19"/>
  <c r="CH19"/>
  <c r="CJ19"/>
  <c r="CL19"/>
  <c r="CN19"/>
  <c r="CP19"/>
  <c r="CR19"/>
  <c r="CT19"/>
  <c r="CV19"/>
  <c r="CX19"/>
  <c r="CZ19"/>
  <c r="DB19"/>
  <c r="DD19"/>
  <c r="DF19"/>
  <c r="BH17"/>
  <c r="BI17"/>
  <c r="BI19" l="1"/>
  <c r="BH19"/>
  <c r="BJ17"/>
  <c r="D17"/>
  <c r="DH16"/>
  <c r="BL16"/>
  <c r="U17"/>
  <c r="AI17"/>
  <c r="AW17"/>
  <c r="Z17"/>
  <c r="AX17"/>
  <c r="AF17"/>
  <c r="Y17"/>
  <c r="M17"/>
  <c r="AQ17"/>
  <c r="BA17"/>
  <c r="P17"/>
  <c r="L17"/>
  <c r="O17"/>
  <c r="G17"/>
  <c r="AZ17"/>
  <c r="AR17"/>
  <c r="AV17"/>
  <c r="H17"/>
  <c r="T17"/>
  <c r="BB17"/>
  <c r="AJ17"/>
  <c r="AS17"/>
  <c r="AB17"/>
  <c r="AM17"/>
  <c r="AP17"/>
  <c r="K17"/>
  <c r="BD17"/>
  <c r="V17"/>
  <c r="N17"/>
  <c r="AG17"/>
  <c r="S17"/>
  <c r="I17"/>
  <c r="AN17"/>
  <c r="AU17"/>
  <c r="AC17"/>
  <c r="J17"/>
  <c r="AY17"/>
  <c r="AT17"/>
  <c r="AD17"/>
  <c r="BC17"/>
  <c r="BE17"/>
  <c r="AA17"/>
  <c r="X17"/>
  <c r="AO17"/>
  <c r="H19" l="1"/>
  <c r="G19"/>
  <c r="Q17"/>
  <c r="I19"/>
  <c r="K19"/>
  <c r="M19"/>
  <c r="O19"/>
  <c r="T19"/>
  <c r="V19"/>
  <c r="X19"/>
  <c r="Z19"/>
  <c r="AB19"/>
  <c r="AD19"/>
  <c r="AG19"/>
  <c r="AJ19"/>
  <c r="AM19"/>
  <c r="BF17"/>
  <c r="AO19"/>
  <c r="AQ19"/>
  <c r="AS19"/>
  <c r="AU19"/>
  <c r="AW19"/>
  <c r="AY19"/>
  <c r="BA19"/>
  <c r="BC19"/>
  <c r="BE19"/>
  <c r="J19"/>
  <c r="L19"/>
  <c r="N19"/>
  <c r="P19"/>
  <c r="S19"/>
  <c r="U19"/>
  <c r="Y19"/>
  <c r="AA19"/>
  <c r="AC19"/>
  <c r="AF19"/>
  <c r="AI19"/>
  <c r="AN19"/>
  <c r="AP19"/>
  <c r="AR19"/>
  <c r="AT19"/>
  <c r="AV19"/>
  <c r="AX19"/>
  <c r="AZ19"/>
  <c r="BB19"/>
  <c r="BD19"/>
  <c r="F31" i="36"/>
  <c r="BF19" i="29" l="1"/>
  <c r="Q19"/>
  <c r="D15" l="1"/>
  <c r="D13" l="1"/>
  <c r="D12"/>
  <c r="N12"/>
  <c r="CS12"/>
  <c r="DB13"/>
  <c r="AS13"/>
  <c r="CT12"/>
  <c r="CF13"/>
  <c r="DC12"/>
  <c r="AM12"/>
  <c r="AF12"/>
  <c r="CX12"/>
  <c r="CE12"/>
  <c r="BU12"/>
  <c r="J13"/>
  <c r="AO12"/>
  <c r="AR13"/>
  <c r="CM12"/>
  <c r="AF13"/>
  <c r="CB12"/>
  <c r="P13"/>
  <c r="CQ13"/>
  <c r="BE12"/>
  <c r="CX13"/>
  <c r="X12"/>
  <c r="CQ12"/>
  <c r="AQ13"/>
  <c r="DE12"/>
  <c r="CL12"/>
  <c r="CO12"/>
  <c r="CB13"/>
  <c r="BT12"/>
  <c r="W13"/>
  <c r="BC13"/>
  <c r="DC13"/>
  <c r="T13"/>
  <c r="CP12"/>
  <c r="U13"/>
  <c r="CT13"/>
  <c r="BI12"/>
  <c r="BQ13"/>
  <c r="DB12"/>
  <c r="AS12"/>
  <c r="BB12"/>
  <c r="CY12"/>
  <c r="DE13"/>
  <c r="O12"/>
  <c r="CE13"/>
  <c r="Y13"/>
  <c r="CD12"/>
  <c r="P12"/>
  <c r="CJ12"/>
  <c r="CD13"/>
  <c r="BV12"/>
  <c r="BH13"/>
  <c r="AR12"/>
  <c r="CL13"/>
  <c r="AI13"/>
  <c r="Z12"/>
  <c r="DA12"/>
  <c r="AP13"/>
  <c r="CF12"/>
  <c r="CR13"/>
  <c r="AV12"/>
  <c r="AG12"/>
  <c r="AJ12"/>
  <c r="AV13"/>
  <c r="AU13"/>
  <c r="CI13"/>
  <c r="K12"/>
  <c r="CK13"/>
  <c r="DF13"/>
  <c r="M13"/>
  <c r="BW12"/>
  <c r="CG13"/>
  <c r="AN12"/>
  <c r="BW13"/>
  <c r="AN13"/>
  <c r="BV13"/>
  <c r="CW12"/>
  <c r="Y12"/>
  <c r="I13"/>
  <c r="BA13"/>
  <c r="H12"/>
  <c r="AP12"/>
  <c r="BX13"/>
  <c r="CH13"/>
  <c r="X13"/>
  <c r="AJ13"/>
  <c r="CC13"/>
  <c r="BP13"/>
  <c r="AT13"/>
  <c r="J12"/>
  <c r="M12"/>
  <c r="AT12"/>
  <c r="AO13"/>
  <c r="CP13"/>
  <c r="L12"/>
  <c r="CR12"/>
  <c r="BR12"/>
  <c r="Z13"/>
  <c r="AC13"/>
  <c r="BT13"/>
  <c r="AG13"/>
  <c r="S13"/>
  <c r="I12"/>
  <c r="BY13"/>
  <c r="CI12"/>
  <c r="BI13"/>
  <c r="CS13"/>
  <c r="G13"/>
  <c r="O13"/>
  <c r="CY13"/>
  <c r="BD12"/>
  <c r="CH12"/>
  <c r="CV12"/>
  <c r="BO13"/>
  <c r="CW13"/>
  <c r="BS12"/>
  <c r="AZ12"/>
  <c r="AQ12"/>
  <c r="AY13"/>
  <c r="AX13"/>
  <c r="CV13"/>
  <c r="BA12"/>
  <c r="AY12"/>
  <c r="AI12"/>
  <c r="AW13"/>
  <c r="CA12"/>
  <c r="CN13"/>
  <c r="BX12"/>
  <c r="AU12"/>
  <c r="BS13"/>
  <c r="DD12"/>
  <c r="AD12"/>
  <c r="CG12"/>
  <c r="AW12"/>
  <c r="AZ13"/>
  <c r="BB13"/>
  <c r="CZ13"/>
  <c r="BR13"/>
  <c r="BD13"/>
  <c r="CU12"/>
  <c r="CM13"/>
  <c r="AB13"/>
  <c r="CO13"/>
  <c r="BU13"/>
  <c r="DA13"/>
  <c r="CU13"/>
  <c r="CZ12"/>
  <c r="BZ12"/>
  <c r="N13"/>
  <c r="DF12"/>
  <c r="CK12"/>
  <c r="DD13"/>
  <c r="AD13"/>
  <c r="AM13"/>
  <c r="AA13"/>
  <c r="CN12"/>
  <c r="H13"/>
  <c r="K13"/>
  <c r="CC12"/>
  <c r="V13"/>
  <c r="AX12"/>
  <c r="AC12"/>
  <c r="BZ13"/>
  <c r="BY12"/>
  <c r="CA13"/>
  <c r="CJ13"/>
  <c r="L13"/>
  <c r="BE13"/>
  <c r="AA12"/>
  <c r="H14" l="1"/>
  <c r="J14"/>
  <c r="L14"/>
  <c r="N14"/>
  <c r="P14"/>
  <c r="Y14"/>
  <c r="AA14"/>
  <c r="AC14"/>
  <c r="AF14"/>
  <c r="AI14"/>
  <c r="AN14"/>
  <c r="AP14"/>
  <c r="AR14"/>
  <c r="AT14"/>
  <c r="AV14"/>
  <c r="AX14"/>
  <c r="AZ14"/>
  <c r="BB14"/>
  <c r="BD14"/>
  <c r="BI14"/>
  <c r="BR14"/>
  <c r="BT14"/>
  <c r="BV14"/>
  <c r="BX14"/>
  <c r="BZ14"/>
  <c r="CB14"/>
  <c r="CD14"/>
  <c r="CF14"/>
  <c r="CH14"/>
  <c r="CJ14"/>
  <c r="CL14"/>
  <c r="CN14"/>
  <c r="CP14"/>
  <c r="CR14"/>
  <c r="CT14"/>
  <c r="CV14"/>
  <c r="CX14"/>
  <c r="CZ14"/>
  <c r="DB14"/>
  <c r="DD14"/>
  <c r="DF14"/>
  <c r="Q13"/>
  <c r="I14"/>
  <c r="K14"/>
  <c r="M14"/>
  <c r="O14"/>
  <c r="X14"/>
  <c r="Z14"/>
  <c r="AD14"/>
  <c r="AG14"/>
  <c r="AJ14"/>
  <c r="AM14"/>
  <c r="AO14"/>
  <c r="AQ14"/>
  <c r="AS14"/>
  <c r="AU14"/>
  <c r="AW14"/>
  <c r="AY14"/>
  <c r="BA14"/>
  <c r="BE14"/>
  <c r="BS14"/>
  <c r="BU14"/>
  <c r="BW14"/>
  <c r="BY14"/>
  <c r="CA14"/>
  <c r="CC14"/>
  <c r="CE14"/>
  <c r="CG14"/>
  <c r="CI14"/>
  <c r="CK14"/>
  <c r="CM14"/>
  <c r="CO14"/>
  <c r="CQ14"/>
  <c r="CS14"/>
  <c r="CU14"/>
  <c r="CW14"/>
  <c r="CY14"/>
  <c r="DA14"/>
  <c r="DC14"/>
  <c r="DE14"/>
  <c r="AK13"/>
  <c r="BF13"/>
  <c r="BJ13"/>
  <c r="BL13" l="1"/>
  <c r="D10"/>
  <c r="D9"/>
  <c r="DC4"/>
  <c r="CY4"/>
  <c r="CU4"/>
  <c r="CQ4"/>
  <c r="CM4"/>
  <c r="CI4"/>
  <c r="CE4"/>
  <c r="CA4"/>
  <c r="BW4"/>
  <c r="BS4"/>
  <c r="BO4"/>
  <c r="BL4"/>
  <c r="BI4"/>
  <c r="BH4"/>
  <c r="BE4"/>
  <c r="BD4"/>
  <c r="BC4"/>
  <c r="BB4"/>
  <c r="BA4"/>
  <c r="AZ4"/>
  <c r="AY4"/>
  <c r="AX4"/>
  <c r="AW4"/>
  <c r="AV4"/>
  <c r="AU4"/>
  <c r="AT4"/>
  <c r="AS4"/>
  <c r="AR4"/>
  <c r="AQ4"/>
  <c r="AP4"/>
  <c r="AO4"/>
  <c r="AN4"/>
  <c r="AM4"/>
  <c r="AJ4"/>
  <c r="CT10"/>
  <c r="CM9"/>
  <c r="AT10"/>
  <c r="BU9"/>
  <c r="P10"/>
  <c r="DB9"/>
  <c r="BT10"/>
  <c r="AR10"/>
  <c r="H10"/>
  <c r="DD10"/>
  <c r="BV10"/>
  <c r="DE10"/>
  <c r="AP9"/>
  <c r="AW9"/>
  <c r="AD9"/>
  <c r="L9"/>
  <c r="CU9"/>
  <c r="CM10"/>
  <c r="BI9"/>
  <c r="AM9"/>
  <c r="AU9"/>
  <c r="DC10"/>
  <c r="AQ10"/>
  <c r="BW10"/>
  <c r="BI10"/>
  <c r="CC10"/>
  <c r="CA10"/>
  <c r="BT9"/>
  <c r="CE10"/>
  <c r="BE10"/>
  <c r="AJ9"/>
  <c r="AY10"/>
  <c r="CG9"/>
  <c r="CQ9"/>
  <c r="Z9"/>
  <c r="Y10"/>
  <c r="CP9"/>
  <c r="L10"/>
  <c r="AO9"/>
  <c r="AA10"/>
  <c r="Y9"/>
  <c r="U10"/>
  <c r="N9"/>
  <c r="AX9"/>
  <c r="CK9"/>
  <c r="BX10"/>
  <c r="CZ10"/>
  <c r="AV9"/>
  <c r="CS10"/>
  <c r="BS9"/>
  <c r="BB9"/>
  <c r="BR9"/>
  <c r="AQ9"/>
  <c r="AY9"/>
  <c r="CJ10"/>
  <c r="CB9"/>
  <c r="DA9"/>
  <c r="O10"/>
  <c r="CD9"/>
  <c r="DA10"/>
  <c r="CY10"/>
  <c r="BO10"/>
  <c r="CA9"/>
  <c r="AU10"/>
  <c r="K10"/>
  <c r="CV10"/>
  <c r="AI10"/>
  <c r="AW10"/>
  <c r="CO9"/>
  <c r="CI9"/>
  <c r="CY9"/>
  <c r="AA9"/>
  <c r="BV9"/>
  <c r="CF10"/>
  <c r="CL9"/>
  <c r="AG9"/>
  <c r="AM10"/>
  <c r="BX9"/>
  <c r="AB10"/>
  <c r="X9"/>
  <c r="P9"/>
  <c r="CH10"/>
  <c r="BY9"/>
  <c r="AF10"/>
  <c r="G10"/>
  <c r="J10"/>
  <c r="AV10"/>
  <c r="BZ10"/>
  <c r="AZ9"/>
  <c r="BH9"/>
  <c r="CS9"/>
  <c r="AZ10"/>
  <c r="CJ9"/>
  <c r="AF9"/>
  <c r="H9"/>
  <c r="DD9"/>
  <c r="DB10"/>
  <c r="BU10"/>
  <c r="BW9"/>
  <c r="BR10"/>
  <c r="CN9"/>
  <c r="CI10"/>
  <c r="BB10"/>
  <c r="T10"/>
  <c r="I9"/>
  <c r="AN10"/>
  <c r="BA10"/>
  <c r="CR10"/>
  <c r="M10"/>
  <c r="J9"/>
  <c r="AT9"/>
  <c r="CE9"/>
  <c r="CG10"/>
  <c r="AJ10"/>
  <c r="AC9"/>
  <c r="BD10"/>
  <c r="CQ10"/>
  <c r="CO10"/>
  <c r="AG10"/>
  <c r="CW10"/>
  <c r="CN10"/>
  <c r="BS10"/>
  <c r="CD10"/>
  <c r="BP10"/>
  <c r="CB10"/>
  <c r="AD10"/>
  <c r="CF9"/>
  <c r="CV9"/>
  <c r="BA9"/>
  <c r="K9"/>
  <c r="AC10"/>
  <c r="S10"/>
  <c r="AR9"/>
  <c r="Z10"/>
  <c r="CL10"/>
  <c r="BY10"/>
  <c r="O9"/>
  <c r="AS9"/>
  <c r="CX9"/>
  <c r="V10"/>
  <c r="AS10"/>
  <c r="CZ9"/>
  <c r="BZ9"/>
  <c r="X10"/>
  <c r="M9"/>
  <c r="BC10"/>
  <c r="CH9"/>
  <c r="AX10"/>
  <c r="CW9"/>
  <c r="AN9"/>
  <c r="DE9"/>
  <c r="CU10"/>
  <c r="BH10"/>
  <c r="BE9"/>
  <c r="BQ10"/>
  <c r="DC9"/>
  <c r="CK10"/>
  <c r="BD9"/>
  <c r="CX10"/>
  <c r="CC9"/>
  <c r="I10"/>
  <c r="CP10"/>
  <c r="W10"/>
  <c r="CR9"/>
  <c r="AO10"/>
  <c r="AP10"/>
  <c r="DF9"/>
  <c r="CT9"/>
  <c r="DF10"/>
  <c r="N10"/>
  <c r="I11" l="1"/>
  <c r="I15" s="1"/>
  <c r="M11"/>
  <c r="M15" s="1"/>
  <c r="X11"/>
  <c r="X15" s="1"/>
  <c r="AG11"/>
  <c r="AM11"/>
  <c r="AQ11"/>
  <c r="AU11"/>
  <c r="AY11"/>
  <c r="BH11"/>
  <c r="BJ9"/>
  <c r="BU11"/>
  <c r="BU15" s="1"/>
  <c r="BY11"/>
  <c r="CC11"/>
  <c r="CC15" s="1"/>
  <c r="CE11"/>
  <c r="CE15" s="1"/>
  <c r="CG11"/>
  <c r="CG15" s="1"/>
  <c r="CI11"/>
  <c r="CI15" s="1"/>
  <c r="CK11"/>
  <c r="CK15" s="1"/>
  <c r="CM11"/>
  <c r="CM15" s="1"/>
  <c r="CO11"/>
  <c r="CO15" s="1"/>
  <c r="CO40" s="1"/>
  <c r="CQ11"/>
  <c r="CQ15" s="1"/>
  <c r="CS11"/>
  <c r="CS15" s="1"/>
  <c r="CU11"/>
  <c r="CW11"/>
  <c r="CY11"/>
  <c r="CY15" s="1"/>
  <c r="DA11"/>
  <c r="DA15" s="1"/>
  <c r="DC11"/>
  <c r="DE11"/>
  <c r="DE15" s="1"/>
  <c r="AK10"/>
  <c r="K11"/>
  <c r="K15" s="1"/>
  <c r="O11"/>
  <c r="Z11"/>
  <c r="AD11"/>
  <c r="AJ11"/>
  <c r="AO11"/>
  <c r="AS11"/>
  <c r="AW11"/>
  <c r="BA11"/>
  <c r="BE11"/>
  <c r="BS11"/>
  <c r="BS15" s="1"/>
  <c r="BW11"/>
  <c r="CA11"/>
  <c r="H11"/>
  <c r="H15" s="1"/>
  <c r="H40" s="1"/>
  <c r="J11"/>
  <c r="J15" s="1"/>
  <c r="L11"/>
  <c r="L15" s="1"/>
  <c r="N11"/>
  <c r="P11"/>
  <c r="P15" s="1"/>
  <c r="O15" s="1"/>
  <c r="Y11"/>
  <c r="AA11"/>
  <c r="AA15" s="1"/>
  <c r="AC11"/>
  <c r="AC15" s="1"/>
  <c r="AF11"/>
  <c r="AF15" s="1"/>
  <c r="AN11"/>
  <c r="AP11"/>
  <c r="AP15" s="1"/>
  <c r="AR11"/>
  <c r="AT11"/>
  <c r="AV11"/>
  <c r="AV15" s="1"/>
  <c r="AX11"/>
  <c r="AZ11"/>
  <c r="BB11"/>
  <c r="BD11"/>
  <c r="BI11"/>
  <c r="BR11"/>
  <c r="BR15" s="1"/>
  <c r="BT11"/>
  <c r="BT15" s="1"/>
  <c r="BV11"/>
  <c r="BV15" s="1"/>
  <c r="BX11"/>
  <c r="BZ11"/>
  <c r="CB11"/>
  <c r="CB15" s="1"/>
  <c r="CD11"/>
  <c r="CF11"/>
  <c r="CH11"/>
  <c r="CH15" s="1"/>
  <c r="CJ11"/>
  <c r="CL11"/>
  <c r="CN11"/>
  <c r="CN15" s="1"/>
  <c r="CP11"/>
  <c r="CP15" s="1"/>
  <c r="CP40" s="1"/>
  <c r="CR11"/>
  <c r="CT11"/>
  <c r="CT15" s="1"/>
  <c r="CV11"/>
  <c r="CV15" s="1"/>
  <c r="CU15" s="1"/>
  <c r="CX11"/>
  <c r="CZ11"/>
  <c r="CZ15" s="1"/>
  <c r="DB11"/>
  <c r="DD11"/>
  <c r="DF11"/>
  <c r="DF15" s="1"/>
  <c r="Q10"/>
  <c r="BF10"/>
  <c r="BJ10"/>
  <c r="AI4"/>
  <c r="AG4"/>
  <c r="AF4"/>
  <c r="AD4"/>
  <c r="AC4"/>
  <c r="AB4"/>
  <c r="AA4"/>
  <c r="Z4"/>
  <c r="Y4"/>
  <c r="X4"/>
  <c r="W4"/>
  <c r="V4"/>
  <c r="U4"/>
  <c r="T4"/>
  <c r="S4"/>
  <c r="P4"/>
  <c r="O4"/>
  <c r="N4"/>
  <c r="M4"/>
  <c r="L4"/>
  <c r="K4"/>
  <c r="J4"/>
  <c r="I4"/>
  <c r="H4"/>
  <c r="G4"/>
  <c r="E3"/>
  <c r="BJ147" i="67"/>
  <c r="BJ146"/>
  <c r="BJ144"/>
  <c r="BF143"/>
  <c r="BC143"/>
  <c r="BB143"/>
  <c r="BA143"/>
  <c r="AZ143"/>
  <c r="AY143"/>
  <c r="AX143"/>
  <c r="AW143"/>
  <c r="AV143"/>
  <c r="AU143"/>
  <c r="AT143"/>
  <c r="AO143"/>
  <c r="AN143"/>
  <c r="AM143"/>
  <c r="AL143"/>
  <c r="AK143"/>
  <c r="AH143"/>
  <c r="AG143"/>
  <c r="AF143"/>
  <c r="AE143"/>
  <c r="AD143"/>
  <c r="AC143"/>
  <c r="AB143"/>
  <c r="AA143"/>
  <c r="T143"/>
  <c r="S143"/>
  <c r="P143"/>
  <c r="O143"/>
  <c r="N143"/>
  <c r="M143"/>
  <c r="L143"/>
  <c r="K143"/>
  <c r="J143"/>
  <c r="I143"/>
  <c r="H143"/>
  <c r="G143"/>
  <c r="D143"/>
  <c r="BH142"/>
  <c r="Q142"/>
  <c r="D142"/>
  <c r="Q141"/>
  <c r="D141"/>
  <c r="BC139"/>
  <c r="BB139"/>
  <c r="BA139"/>
  <c r="AZ139"/>
  <c r="AY139"/>
  <c r="AX139"/>
  <c r="AW139"/>
  <c r="AV139"/>
  <c r="AU139"/>
  <c r="AT139"/>
  <c r="AS139"/>
  <c r="AR139"/>
  <c r="AQ139"/>
  <c r="AP139"/>
  <c r="AN139"/>
  <c r="AM139"/>
  <c r="AL139"/>
  <c r="Q143" l="1"/>
  <c r="CA15" i="29"/>
  <c r="BZ15" s="1"/>
  <c r="CB40"/>
  <c r="AO15"/>
  <c r="AN15" s="1"/>
  <c r="AP40"/>
  <c r="AD15"/>
  <c r="AF40"/>
  <c r="Z15"/>
  <c r="Y15" s="1"/>
  <c r="AA40"/>
  <c r="AM15"/>
  <c r="BL10"/>
  <c r="N15"/>
  <c r="CX15"/>
  <c r="CL15"/>
  <c r="CD15"/>
  <c r="AU15"/>
  <c r="AT15" s="1"/>
  <c r="AS15" s="1"/>
  <c r="AR15" s="1"/>
  <c r="AQ15" s="1"/>
  <c r="AV40"/>
  <c r="DD15"/>
  <c r="DC15" s="1"/>
  <c r="DB15" s="1"/>
  <c r="CR15"/>
  <c r="CR40" s="1"/>
  <c r="CQ40" s="1"/>
  <c r="CN40"/>
  <c r="CM40" s="1"/>
  <c r="CJ15"/>
  <c r="CJ40" s="1"/>
  <c r="CF15"/>
  <c r="CF40" s="1"/>
  <c r="CE40" s="1"/>
  <c r="BJ11"/>
  <c r="AK139" i="67"/>
  <c r="AK145" s="1"/>
  <c r="AH139"/>
  <c r="AG139"/>
  <c r="AG145" s="1"/>
  <c r="AF145" s="1"/>
  <c r="AF139"/>
  <c r="AE139"/>
  <c r="AD139"/>
  <c r="AC139"/>
  <c r="AB139"/>
  <c r="AA139"/>
  <c r="Z139"/>
  <c r="Y139"/>
  <c r="X139"/>
  <c r="W139"/>
  <c r="V139"/>
  <c r="U139"/>
  <c r="AE145" l="1"/>
  <c r="AD145" s="1"/>
  <c r="AC145" s="1"/>
  <c r="AB145" s="1"/>
  <c r="AA145" s="1"/>
  <c r="AO40" i="29"/>
  <c r="AN40" s="1"/>
  <c r="CD40"/>
  <c r="CE109"/>
  <c r="CI40"/>
  <c r="CJ109"/>
  <c r="CW15"/>
  <c r="CX40"/>
  <c r="BY15"/>
  <c r="BX15" s="1"/>
  <c r="BW15" s="1"/>
  <c r="BZ40"/>
  <c r="CL40"/>
  <c r="CM109"/>
  <c r="AU40"/>
  <c r="AT40" s="1"/>
  <c r="AS40" s="1"/>
  <c r="AM40"/>
  <c r="Z40"/>
  <c r="AD40"/>
  <c r="CA40"/>
  <c r="CA109" s="1"/>
  <c r="CB109"/>
  <c r="S139" i="67"/>
  <c r="S145" s="1"/>
  <c r="P139"/>
  <c r="O139"/>
  <c r="N139"/>
  <c r="M139"/>
  <c r="L139"/>
  <c r="K139"/>
  <c r="J139"/>
  <c r="I139"/>
  <c r="H139"/>
  <c r="G139"/>
  <c r="G145" s="1"/>
  <c r="D139"/>
  <c r="BG138"/>
  <c r="BF138"/>
  <c r="BF139" s="1"/>
  <c r="BD138"/>
  <c r="T138"/>
  <c r="AI138" s="1"/>
  <c r="Q138"/>
  <c r="D138"/>
  <c r="Q139" l="1"/>
  <c r="BZ109" i="29"/>
  <c r="BF145" i="67"/>
  <c r="BH138"/>
  <c r="BJ138" s="1"/>
  <c r="BY40" i="29"/>
  <c r="BX40" s="1"/>
  <c r="BW40" s="1"/>
  <c r="BV40" s="1"/>
  <c r="BV109" s="1"/>
  <c r="Y40"/>
  <c r="AR40"/>
  <c r="CK40"/>
  <c r="CK109" s="1"/>
  <c r="CL109"/>
  <c r="CH40"/>
  <c r="CG40" s="1"/>
  <c r="CI109"/>
  <c r="CC40"/>
  <c r="CC109" s="1"/>
  <c r="CD109"/>
  <c r="BU40"/>
  <c r="BT40" s="1"/>
  <c r="BS40" s="1"/>
  <c r="BR40" s="1"/>
  <c r="BD137" i="67"/>
  <c r="BY109" i="29" l="1"/>
  <c r="BX109" s="1"/>
  <c r="BW109" s="1"/>
  <c r="BU109"/>
  <c r="BR109"/>
  <c r="X40"/>
  <c r="CH109"/>
  <c r="CG109" s="1"/>
  <c r="CF109" s="1"/>
  <c r="AQ40"/>
  <c r="Q137" i="67"/>
  <c r="D137"/>
  <c r="BH136"/>
  <c r="BD136"/>
  <c r="BJ136" l="1"/>
  <c r="BH135"/>
  <c r="AO135"/>
  <c r="AO139" s="1"/>
  <c r="T135"/>
  <c r="Q135"/>
  <c r="D135"/>
  <c r="BJ133"/>
  <c r="BJ132"/>
  <c r="BJ131"/>
  <c r="BJ129"/>
  <c r="AD128"/>
  <c r="F110" i="59"/>
  <c r="AO145" i="67" l="1"/>
  <c r="BD139"/>
  <c r="AI135"/>
  <c r="BD135"/>
  <c r="BJ135" l="1"/>
  <c r="AN145"/>
  <c r="AM145" s="1"/>
  <c r="AL145" s="1"/>
  <c r="P128"/>
  <c r="O128"/>
  <c r="N128"/>
  <c r="M128"/>
  <c r="L128"/>
  <c r="K128"/>
  <c r="J128"/>
  <c r="I128"/>
  <c r="H128"/>
  <c r="G128"/>
  <c r="Q128" s="1"/>
  <c r="D128"/>
  <c r="BB127"/>
  <c r="BA127"/>
  <c r="AZ127"/>
  <c r="AY127"/>
  <c r="AX127"/>
  <c r="AW127"/>
  <c r="AV127"/>
  <c r="AU127"/>
  <c r="AT127"/>
  <c r="AS127"/>
  <c r="AR127"/>
  <c r="AQ127"/>
  <c r="AP127"/>
  <c r="AO127"/>
  <c r="AN127"/>
  <c r="AM127"/>
  <c r="AL127"/>
  <c r="AK127"/>
  <c r="AH127"/>
  <c r="AH128" s="1"/>
  <c r="AG128" s="1"/>
  <c r="AG127"/>
  <c r="AF127"/>
  <c r="AC127"/>
  <c r="AC128" s="1"/>
  <c r="AB127"/>
  <c r="AB128" s="1"/>
  <c r="AA127"/>
  <c r="AA128" s="1"/>
  <c r="Z127"/>
  <c r="Z128" s="1"/>
  <c r="Y127"/>
  <c r="Y128" s="1"/>
  <c r="X127"/>
  <c r="X128" s="1"/>
  <c r="S127"/>
  <c r="S128" s="1"/>
  <c r="AF128" l="1"/>
  <c r="Q127"/>
  <c r="D127"/>
  <c r="BG126"/>
  <c r="T126"/>
  <c r="BG125"/>
  <c r="BD125"/>
  <c r="W125"/>
  <c r="W127" s="1"/>
  <c r="W128" s="1"/>
  <c r="T125"/>
  <c r="BG124"/>
  <c r="BD124"/>
  <c r="V124"/>
  <c r="V127" s="1"/>
  <c r="T124"/>
  <c r="BG123"/>
  <c r="BD123"/>
  <c r="U123"/>
  <c r="T123"/>
  <c r="BH122"/>
  <c r="BH121"/>
  <c r="BH120"/>
  <c r="AI120"/>
  <c r="Q120"/>
  <c r="D120"/>
  <c r="BJ119" s="1"/>
  <c r="BH119"/>
  <c r="BH118"/>
  <c r="BJ117"/>
  <c r="BC116"/>
  <c r="BB116"/>
  <c r="BA116"/>
  <c r="AZ116"/>
  <c r="AY116"/>
  <c r="AX116"/>
  <c r="AW116"/>
  <c r="AV116"/>
  <c r="AU116"/>
  <c r="AS116"/>
  <c r="AR116"/>
  <c r="AQ116"/>
  <c r="AP116"/>
  <c r="AO116"/>
  <c r="AN116"/>
  <c r="AM116"/>
  <c r="AL116"/>
  <c r="AK116"/>
  <c r="AH116"/>
  <c r="AG116"/>
  <c r="AF116"/>
  <c r="AE116"/>
  <c r="AD116"/>
  <c r="AC116"/>
  <c r="AB116"/>
  <c r="AA116"/>
  <c r="Z116"/>
  <c r="Y116"/>
  <c r="X116"/>
  <c r="W116"/>
  <c r="V116"/>
  <c r="U116"/>
  <c r="AQ120"/>
  <c r="AW120"/>
  <c r="AS120"/>
  <c r="AN120"/>
  <c r="AP120"/>
  <c r="AL120"/>
  <c r="BC120"/>
  <c r="AY120"/>
  <c r="AT120"/>
  <c r="AV120"/>
  <c r="AZ120"/>
  <c r="AU120"/>
  <c r="AO120"/>
  <c r="AR120"/>
  <c r="AK120"/>
  <c r="AX120"/>
  <c r="AM120"/>
  <c r="BB120"/>
  <c r="BA120"/>
  <c r="BJ118" l="1"/>
  <c r="BJ121"/>
  <c r="BJ122"/>
  <c r="T127"/>
  <c r="U127"/>
  <c r="U128" s="1"/>
  <c r="V128"/>
  <c r="BG127"/>
  <c r="BG128" s="1"/>
  <c r="AI124"/>
  <c r="BF124" s="1"/>
  <c r="BH124" s="1"/>
  <c r="AI123"/>
  <c r="BF123" s="1"/>
  <c r="BJ124"/>
  <c r="AI125"/>
  <c r="BF125" s="1"/>
  <c r="BH125" s="1"/>
  <c r="AL128"/>
  <c r="AN128"/>
  <c r="AP128"/>
  <c r="AR128"/>
  <c r="AT128"/>
  <c r="AV128"/>
  <c r="AX128"/>
  <c r="AZ128"/>
  <c r="BB128"/>
  <c r="AK128"/>
  <c r="BD120"/>
  <c r="BJ120" s="1"/>
  <c r="AM128"/>
  <c r="AO128"/>
  <c r="AQ128"/>
  <c r="AS128"/>
  <c r="AU128"/>
  <c r="AW128"/>
  <c r="AY128"/>
  <c r="BA128"/>
  <c r="S116"/>
  <c r="BH123" l="1"/>
  <c r="BJ123" s="1"/>
  <c r="T128"/>
  <c r="BJ125"/>
  <c r="P116"/>
  <c r="O116"/>
  <c r="N116"/>
  <c r="M116"/>
  <c r="L116"/>
  <c r="K116"/>
  <c r="J116"/>
  <c r="I116"/>
  <c r="H116"/>
  <c r="G116"/>
  <c r="D116"/>
  <c r="BG115"/>
  <c r="AT115"/>
  <c r="AT116" s="1"/>
  <c r="BD116" s="1"/>
  <c r="T115"/>
  <c r="T116" s="1"/>
  <c r="AI116" s="1"/>
  <c r="Q115"/>
  <c r="D115"/>
  <c r="BH114"/>
  <c r="BJ113" s="1"/>
  <c r="BH113"/>
  <c r="BJ112"/>
  <c r="BG111"/>
  <c r="BF111"/>
  <c r="BH111" s="1"/>
  <c r="BC111"/>
  <c r="BB111"/>
  <c r="BA111"/>
  <c r="AZ111"/>
  <c r="AY111"/>
  <c r="AX111"/>
  <c r="AW111"/>
  <c r="AV111"/>
  <c r="AU111"/>
  <c r="AT111"/>
  <c r="AS111"/>
  <c r="AR111"/>
  <c r="AQ111"/>
  <c r="AP111"/>
  <c r="AO111"/>
  <c r="AN111"/>
  <c r="AM111"/>
  <c r="AL111"/>
  <c r="Q116" l="1"/>
  <c r="AI115"/>
  <c r="BD115"/>
  <c r="BG116"/>
  <c r="AK111"/>
  <c r="BD111" s="1"/>
  <c r="AH111"/>
  <c r="AG111"/>
  <c r="AF111"/>
  <c r="AE111"/>
  <c r="AD111"/>
  <c r="AC111"/>
  <c r="AB111"/>
  <c r="AA111"/>
  <c r="Z111"/>
  <c r="Y111"/>
  <c r="X111"/>
  <c r="W111"/>
  <c r="V111"/>
  <c r="U111"/>
  <c r="T111"/>
  <c r="BF115" l="1"/>
  <c r="BF116" s="1"/>
  <c r="BH116" s="1"/>
  <c r="BJ116" s="1"/>
  <c r="S111"/>
  <c r="AI111" s="1"/>
  <c r="BH115" l="1"/>
  <c r="BJ115" s="1"/>
  <c r="P111"/>
  <c r="O111"/>
  <c r="N111"/>
  <c r="M111"/>
  <c r="L111"/>
  <c r="K111"/>
  <c r="J111"/>
  <c r="I111"/>
  <c r="H111"/>
  <c r="G111"/>
  <c r="D111"/>
  <c r="BH110"/>
  <c r="BD110"/>
  <c r="AI110"/>
  <c r="Q110"/>
  <c r="D110"/>
  <c r="BJ109"/>
  <c r="Q111" l="1"/>
  <c r="BJ111" s="1"/>
  <c r="BF108"/>
  <c r="BC108"/>
  <c r="BB108"/>
  <c r="BA108"/>
  <c r="AY108"/>
  <c r="AX108"/>
  <c r="AW108"/>
  <c r="AU108"/>
  <c r="AT108"/>
  <c r="AS108"/>
  <c r="AR108"/>
  <c r="AQ108"/>
  <c r="AP108"/>
  <c r="AO108"/>
  <c r="AN108"/>
  <c r="AM108"/>
  <c r="AL108"/>
  <c r="AK108" l="1"/>
  <c r="AH108"/>
  <c r="AG108"/>
  <c r="AF108"/>
  <c r="AE108"/>
  <c r="AD108"/>
  <c r="AC108"/>
  <c r="AB108"/>
  <c r="AA108"/>
  <c r="Z108"/>
  <c r="Y108"/>
  <c r="X108"/>
  <c r="W108"/>
  <c r="V108"/>
  <c r="U108"/>
  <c r="S108" l="1"/>
  <c r="P108" l="1"/>
  <c r="O108"/>
  <c r="N108"/>
  <c r="M108"/>
  <c r="L108"/>
  <c r="K108"/>
  <c r="J108"/>
  <c r="I108"/>
  <c r="H108"/>
  <c r="G108"/>
  <c r="Q108" s="1"/>
  <c r="D108"/>
  <c r="BH107"/>
  <c r="BD107" l="1"/>
  <c r="AI107" l="1"/>
  <c r="Q107"/>
  <c r="BJ107" l="1"/>
  <c r="BH106"/>
  <c r="BD106" l="1"/>
  <c r="AI106" l="1"/>
  <c r="Q106"/>
  <c r="D106"/>
  <c r="BJ106" l="1"/>
  <c r="BH105" l="1"/>
  <c r="BD105" l="1"/>
  <c r="AI105" l="1"/>
  <c r="Q105"/>
  <c r="D105"/>
  <c r="BH104"/>
  <c r="BJ105" l="1"/>
  <c r="BD104"/>
  <c r="AI104" l="1"/>
  <c r="Q104"/>
  <c r="D104"/>
  <c r="BG103"/>
  <c r="BG108" s="1"/>
  <c r="AZ103"/>
  <c r="AZ108" s="1"/>
  <c r="T103"/>
  <c r="AI103" s="1"/>
  <c r="BJ104" l="1"/>
  <c r="BD103"/>
  <c r="BH103"/>
  <c r="Q103"/>
  <c r="D103"/>
  <c r="BH102"/>
  <c r="T102"/>
  <c r="AI102" s="1"/>
  <c r="Q102"/>
  <c r="D102"/>
  <c r="BH101"/>
  <c r="T101"/>
  <c r="T108" s="1"/>
  <c r="Q101"/>
  <c r="D101"/>
  <c r="BJ100"/>
  <c r="AD98"/>
  <c r="BJ103" l="1"/>
  <c r="AI108"/>
  <c r="AI101"/>
  <c r="D98"/>
  <c r="BF97"/>
  <c r="BC97"/>
  <c r="BB97"/>
  <c r="BA97"/>
  <c r="AZ97"/>
  <c r="AY97"/>
  <c r="AX97"/>
  <c r="AW97"/>
  <c r="AV97"/>
  <c r="AU97"/>
  <c r="AT97"/>
  <c r="AS97"/>
  <c r="AR97"/>
  <c r="AQ97"/>
  <c r="AP97"/>
  <c r="AO97"/>
  <c r="AN97"/>
  <c r="AH97"/>
  <c r="AG97"/>
  <c r="AF97"/>
  <c r="AE97"/>
  <c r="AC97"/>
  <c r="AB97"/>
  <c r="AA97"/>
  <c r="U97"/>
  <c r="T97"/>
  <c r="Q97"/>
  <c r="D97"/>
  <c r="BD96"/>
  <c r="BH95"/>
  <c r="BC94" l="1"/>
  <c r="BB94"/>
  <c r="BA94"/>
  <c r="AZ94"/>
  <c r="AY94"/>
  <c r="AX94"/>
  <c r="AW94"/>
  <c r="AV94"/>
  <c r="AU94"/>
  <c r="AT94"/>
  <c r="AS94"/>
  <c r="AR94"/>
  <c r="AQ94"/>
  <c r="AP94"/>
  <c r="AO94"/>
  <c r="AN94"/>
  <c r="AM94"/>
  <c r="AL94"/>
  <c r="BD94" s="1"/>
  <c r="AK94"/>
  <c r="AH94"/>
  <c r="AH98" s="1"/>
  <c r="AG94"/>
  <c r="AG98" s="1"/>
  <c r="AF94"/>
  <c r="AE94"/>
  <c r="AE98" s="1"/>
  <c r="AC94"/>
  <c r="AC98" s="1"/>
  <c r="AA94"/>
  <c r="Z94"/>
  <c r="X94"/>
  <c r="U94"/>
  <c r="T94"/>
  <c r="AF98" l="1"/>
  <c r="P94"/>
  <c r="O94"/>
  <c r="N94"/>
  <c r="M94"/>
  <c r="L94"/>
  <c r="K94"/>
  <c r="J94"/>
  <c r="I94"/>
  <c r="H94"/>
  <c r="G94"/>
  <c r="D94"/>
  <c r="BD93"/>
  <c r="Q93"/>
  <c r="BD92"/>
  <c r="Q92"/>
  <c r="BJ91"/>
  <c r="BG90"/>
  <c r="BF90"/>
  <c r="BC90"/>
  <c r="BB90"/>
  <c r="BA90"/>
  <c r="AZ90"/>
  <c r="AY90"/>
  <c r="AX90"/>
  <c r="AW90"/>
  <c r="AV90"/>
  <c r="AU90"/>
  <c r="AT90"/>
  <c r="AS90"/>
  <c r="AR90"/>
  <c r="AQ90"/>
  <c r="AP90"/>
  <c r="AO90"/>
  <c r="AN90"/>
  <c r="AM90"/>
  <c r="AL90"/>
  <c r="BH90" l="1"/>
  <c r="Q94"/>
  <c r="AA98"/>
  <c r="AK90"/>
  <c r="BD90" s="1"/>
  <c r="AH90"/>
  <c r="AG90"/>
  <c r="AF90"/>
  <c r="AD90"/>
  <c r="AC90"/>
  <c r="AB90"/>
  <c r="AA90"/>
  <c r="Z90"/>
  <c r="Y90"/>
  <c r="X90"/>
  <c r="W90"/>
  <c r="U90"/>
  <c r="T90"/>
  <c r="S90" l="1"/>
  <c r="P90" l="1"/>
  <c r="O90"/>
  <c r="N90"/>
  <c r="M90"/>
  <c r="L90"/>
  <c r="K90"/>
  <c r="J90"/>
  <c r="I90"/>
  <c r="H90"/>
  <c r="G90"/>
  <c r="Q90" s="1"/>
  <c r="D90"/>
  <c r="BH89"/>
  <c r="BD89"/>
  <c r="Q89"/>
  <c r="D89"/>
  <c r="BJ88"/>
  <c r="AD87"/>
  <c r="P87"/>
  <c r="O87"/>
  <c r="N87"/>
  <c r="M87"/>
  <c r="L87"/>
  <c r="K87"/>
  <c r="J87"/>
  <c r="H87"/>
  <c r="G87"/>
  <c r="D87"/>
  <c r="BG86" l="1"/>
  <c r="BF86"/>
  <c r="BH86" s="1"/>
  <c r="BC86"/>
  <c r="BA86"/>
  <c r="AZ86"/>
  <c r="AY86"/>
  <c r="AX86"/>
  <c r="AW86"/>
  <c r="AV86"/>
  <c r="AU86"/>
  <c r="AT86"/>
  <c r="AS86"/>
  <c r="AR86"/>
  <c r="AR87" s="1"/>
  <c r="AQ86"/>
  <c r="AP86"/>
  <c r="AO86"/>
  <c r="AM86"/>
  <c r="AL86"/>
  <c r="AK86"/>
  <c r="AH86"/>
  <c r="AG86"/>
  <c r="AF86"/>
  <c r="AF87" s="1"/>
  <c r="AB86"/>
  <c r="AA86"/>
  <c r="Z86"/>
  <c r="Y86"/>
  <c r="X86"/>
  <c r="W86"/>
  <c r="V86"/>
  <c r="U86"/>
  <c r="T86"/>
  <c r="AQ87" l="1"/>
  <c r="AP87" s="1"/>
  <c r="D86"/>
  <c r="BH85"/>
  <c r="Q85"/>
  <c r="BH84"/>
  <c r="Q84"/>
  <c r="BH83"/>
  <c r="Q83"/>
  <c r="BH82"/>
  <c r="Q82"/>
  <c r="AO87" l="1"/>
  <c r="BH81" l="1"/>
  <c r="BD81" l="1"/>
  <c r="AI81" l="1"/>
  <c r="Q81"/>
  <c r="D81"/>
  <c r="BJ80"/>
  <c r="BJ81" l="1"/>
  <c r="BG79"/>
  <c r="BF79"/>
  <c r="BC79"/>
  <c r="BB79"/>
  <c r="BA79"/>
  <c r="AZ79"/>
  <c r="AY79"/>
  <c r="AX79"/>
  <c r="AW79"/>
  <c r="AV79"/>
  <c r="AU79"/>
  <c r="AT79"/>
  <c r="AS79"/>
  <c r="AR79"/>
  <c r="AQ79"/>
  <c r="AP79"/>
  <c r="AO79"/>
  <c r="AN79"/>
  <c r="AM79"/>
  <c r="AL79"/>
  <c r="AK79"/>
  <c r="BD79" s="1"/>
  <c r="AH79"/>
  <c r="AG79"/>
  <c r="AF79"/>
  <c r="AF130" s="1"/>
  <c r="AE79"/>
  <c r="AD79"/>
  <c r="AC79"/>
  <c r="AB79"/>
  <c r="AA79"/>
  <c r="Z79"/>
  <c r="Y79"/>
  <c r="X79"/>
  <c r="W79"/>
  <c r="V79"/>
  <c r="U79"/>
  <c r="T79"/>
  <c r="BH79" l="1"/>
  <c r="S79"/>
  <c r="AI79" s="1"/>
  <c r="P79"/>
  <c r="O79"/>
  <c r="N79"/>
  <c r="M79"/>
  <c r="L79"/>
  <c r="K79"/>
  <c r="J79"/>
  <c r="I79"/>
  <c r="H79"/>
  <c r="G79"/>
  <c r="Q79" s="1"/>
  <c r="BJ79" s="1"/>
  <c r="D79"/>
  <c r="BH78"/>
  <c r="BD78"/>
  <c r="AI78"/>
  <c r="Q78"/>
  <c r="D78"/>
  <c r="BJ77"/>
  <c r="BJ76"/>
  <c r="BJ75"/>
  <c r="BD73" l="1"/>
  <c r="BG72"/>
  <c r="BF72"/>
  <c r="BC72"/>
  <c r="BB72"/>
  <c r="BA72"/>
  <c r="AZ72"/>
  <c r="AY72"/>
  <c r="AX72"/>
  <c r="AW72"/>
  <c r="AV72"/>
  <c r="AU72"/>
  <c r="AT72"/>
  <c r="AS72"/>
  <c r="AR72"/>
  <c r="AQ72"/>
  <c r="AP72"/>
  <c r="AO72"/>
  <c r="AN72"/>
  <c r="AM72"/>
  <c r="AL72"/>
  <c r="BH72" l="1"/>
  <c r="AK72"/>
  <c r="BD72" s="1"/>
  <c r="AH72"/>
  <c r="AG72"/>
  <c r="AF72"/>
  <c r="AE72"/>
  <c r="AD72"/>
  <c r="AC72"/>
  <c r="AB72"/>
  <c r="AA72"/>
  <c r="Z72"/>
  <c r="Y72"/>
  <c r="X72"/>
  <c r="W72"/>
  <c r="V72"/>
  <c r="U72"/>
  <c r="T72"/>
  <c r="S72" l="1"/>
  <c r="AI72" s="1"/>
  <c r="P72" l="1"/>
  <c r="O72"/>
  <c r="N72"/>
  <c r="M72"/>
  <c r="L72"/>
  <c r="K72"/>
  <c r="J72"/>
  <c r="I72"/>
  <c r="H72"/>
  <c r="G72"/>
  <c r="Q72" s="1"/>
  <c r="BJ72" s="1"/>
  <c r="D72"/>
  <c r="BH71"/>
  <c r="BD71"/>
  <c r="AI71"/>
  <c r="Q71"/>
  <c r="D71"/>
  <c r="BJ70"/>
  <c r="BJ71" l="1"/>
  <c r="BG69"/>
  <c r="BC69"/>
  <c r="BB69"/>
  <c r="BA69"/>
  <c r="AZ69"/>
  <c r="AY69"/>
  <c r="AX69"/>
  <c r="AW69"/>
  <c r="AV69"/>
  <c r="AU69"/>
  <c r="AT69"/>
  <c r="AS69"/>
  <c r="AR69"/>
  <c r="AQ69"/>
  <c r="AP69"/>
  <c r="AO69"/>
  <c r="AN69"/>
  <c r="AM69"/>
  <c r="AL69"/>
  <c r="AK69" l="1"/>
  <c r="BD69" s="1"/>
  <c r="AH69"/>
  <c r="AG69"/>
  <c r="AF69"/>
  <c r="AE69"/>
  <c r="AD69"/>
  <c r="AB69"/>
  <c r="AA69"/>
  <c r="Z69"/>
  <c r="Y69"/>
  <c r="X69"/>
  <c r="W69"/>
  <c r="V69"/>
  <c r="U69"/>
  <c r="T69"/>
  <c r="S69" l="1"/>
  <c r="O69"/>
  <c r="N69"/>
  <c r="M69"/>
  <c r="L69"/>
  <c r="K69"/>
  <c r="J69"/>
  <c r="I69"/>
  <c r="H69"/>
  <c r="G69"/>
  <c r="D69"/>
  <c r="BD68"/>
  <c r="D68"/>
  <c r="BJ67"/>
  <c r="D66" l="1"/>
  <c r="BG65"/>
  <c r="BF65" l="1"/>
  <c r="BH65" s="1"/>
  <c r="BC65"/>
  <c r="BB65"/>
  <c r="BA65"/>
  <c r="AZ65"/>
  <c r="AY65"/>
  <c r="AX65"/>
  <c r="AW65"/>
  <c r="AV65"/>
  <c r="AU65"/>
  <c r="AT65"/>
  <c r="AS65"/>
  <c r="AR65"/>
  <c r="AQ65"/>
  <c r="AP65"/>
  <c r="AO65"/>
  <c r="AN65"/>
  <c r="AM65"/>
  <c r="AL65"/>
  <c r="AK65" l="1"/>
  <c r="BD65" s="1"/>
  <c r="AH65"/>
  <c r="AG65"/>
  <c r="AF65"/>
  <c r="AE65"/>
  <c r="AD65"/>
  <c r="AC65"/>
  <c r="AB65"/>
  <c r="AA65"/>
  <c r="Z65"/>
  <c r="Y65"/>
  <c r="X65"/>
  <c r="W65"/>
  <c r="U65"/>
  <c r="T65"/>
  <c r="S65" l="1"/>
  <c r="P65"/>
  <c r="N65"/>
  <c r="L65"/>
  <c r="K65"/>
  <c r="J65"/>
  <c r="I65"/>
  <c r="H65"/>
  <c r="G65"/>
  <c r="BH64" l="1"/>
  <c r="BD64" l="1"/>
  <c r="D64" l="1"/>
  <c r="BH63"/>
  <c r="BD63"/>
  <c r="D63"/>
  <c r="BG62"/>
  <c r="BG66" s="1"/>
  <c r="BF62"/>
  <c r="BF66" s="1"/>
  <c r="BH66" s="1"/>
  <c r="BC62"/>
  <c r="BC66" s="1"/>
  <c r="BB62"/>
  <c r="BB66" s="1"/>
  <c r="BA62"/>
  <c r="BA66" s="1"/>
  <c r="AZ62"/>
  <c r="AZ66" s="1"/>
  <c r="AY62"/>
  <c r="AY66" s="1"/>
  <c r="AX62"/>
  <c r="AX66" s="1"/>
  <c r="AW62"/>
  <c r="AW66" s="1"/>
  <c r="AV62"/>
  <c r="AV66" s="1"/>
  <c r="AU62"/>
  <c r="AU66" s="1"/>
  <c r="AT62"/>
  <c r="AT66" s="1"/>
  <c r="AS62"/>
  <c r="AS66" s="1"/>
  <c r="AR62"/>
  <c r="AR66" s="1"/>
  <c r="AQ62"/>
  <c r="AQ66" s="1"/>
  <c r="AP62"/>
  <c r="AP66" s="1"/>
  <c r="AO62"/>
  <c r="AO66" s="1"/>
  <c r="AN62"/>
  <c r="AN66" s="1"/>
  <c r="AM62"/>
  <c r="AM66" s="1"/>
  <c r="AL62"/>
  <c r="AL66" s="1"/>
  <c r="BH62" l="1"/>
  <c r="AK62"/>
  <c r="AH62"/>
  <c r="AH66" s="1"/>
  <c r="AG62"/>
  <c r="AG66" s="1"/>
  <c r="AF62"/>
  <c r="AE62"/>
  <c r="AE66" s="1"/>
  <c r="AD62"/>
  <c r="AC62"/>
  <c r="AC66" s="1"/>
  <c r="AB62"/>
  <c r="AB66" s="1"/>
  <c r="AA62"/>
  <c r="AA66" s="1"/>
  <c r="Z62"/>
  <c r="Z66" s="1"/>
  <c r="Y62"/>
  <c r="Y66" s="1"/>
  <c r="X62"/>
  <c r="X66" s="1"/>
  <c r="W62"/>
  <c r="W66" s="1"/>
  <c r="U62"/>
  <c r="U66" s="1"/>
  <c r="T62"/>
  <c r="T66" s="1"/>
  <c r="AD66" l="1"/>
  <c r="AF66"/>
  <c r="AK66"/>
  <c r="BD66" s="1"/>
  <c r="BD62"/>
  <c r="S62"/>
  <c r="P62"/>
  <c r="O62"/>
  <c r="M62"/>
  <c r="K62"/>
  <c r="J62"/>
  <c r="I62"/>
  <c r="H62"/>
  <c r="G62"/>
  <c r="BH61" l="1"/>
  <c r="BD61"/>
  <c r="V61"/>
  <c r="AI61" s="1"/>
  <c r="D61"/>
  <c r="BH60"/>
  <c r="BD60"/>
  <c r="D60"/>
  <c r="BH59" l="1"/>
  <c r="BD59" l="1"/>
  <c r="D59"/>
  <c r="BH58"/>
  <c r="BD58"/>
  <c r="D58"/>
  <c r="BJ57"/>
  <c r="AD56"/>
  <c r="D56" l="1"/>
  <c r="D55"/>
  <c r="BH54"/>
  <c r="BD54"/>
  <c r="AA54"/>
  <c r="BG53"/>
  <c r="AA53"/>
  <c r="T53"/>
  <c r="BG52"/>
  <c r="BB52"/>
  <c r="BA52"/>
  <c r="AZ52"/>
  <c r="AY52"/>
  <c r="AX52"/>
  <c r="AW52"/>
  <c r="AV52"/>
  <c r="AU52"/>
  <c r="AT52"/>
  <c r="AS52"/>
  <c r="AR52"/>
  <c r="AQ52"/>
  <c r="AP52"/>
  <c r="AO52"/>
  <c r="AN52"/>
  <c r="AM52"/>
  <c r="AL52"/>
  <c r="AK52"/>
  <c r="AH52"/>
  <c r="AG52"/>
  <c r="AF52"/>
  <c r="AC52"/>
  <c r="AA52"/>
  <c r="Z52"/>
  <c r="Y52"/>
  <c r="X52"/>
  <c r="T52"/>
  <c r="P52"/>
  <c r="O52"/>
  <c r="N52"/>
  <c r="M52"/>
  <c r="L52"/>
  <c r="K52"/>
  <c r="J52"/>
  <c r="H52"/>
  <c r="G52"/>
  <c r="BH51"/>
  <c r="BD51"/>
  <c r="BH50"/>
  <c r="BD50"/>
  <c r="BD49"/>
  <c r="Q49"/>
  <c r="BH48"/>
  <c r="BD48"/>
  <c r="BH47"/>
  <c r="BD47"/>
  <c r="BH46"/>
  <c r="BD46"/>
  <c r="BH45"/>
  <c r="BD45"/>
  <c r="BH44"/>
  <c r="BG43"/>
  <c r="BF43"/>
  <c r="BH43" s="1"/>
  <c r="BC43"/>
  <c r="BB43"/>
  <c r="BA43"/>
  <c r="AZ43"/>
  <c r="AY43"/>
  <c r="AX43"/>
  <c r="AW43"/>
  <c r="AV43"/>
  <c r="AU43"/>
  <c r="AT43"/>
  <c r="AS43"/>
  <c r="AR43"/>
  <c r="AQ43"/>
  <c r="AP43"/>
  <c r="AO43"/>
  <c r="AN43"/>
  <c r="AM43"/>
  <c r="AL43"/>
  <c r="BD43" s="1"/>
  <c r="AK43"/>
  <c r="AH43"/>
  <c r="AG43"/>
  <c r="AF43"/>
  <c r="AE43"/>
  <c r="AC43"/>
  <c r="AA43"/>
  <c r="Z43"/>
  <c r="Y43"/>
  <c r="X43"/>
  <c r="T43"/>
  <c r="P43"/>
  <c r="O43"/>
  <c r="N43"/>
  <c r="M43"/>
  <c r="L43"/>
  <c r="K43"/>
  <c r="J43"/>
  <c r="H43"/>
  <c r="G43"/>
  <c r="BH42"/>
  <c r="BD42"/>
  <c r="BG41"/>
  <c r="BF41"/>
  <c r="BH41" s="1"/>
  <c r="BC41"/>
  <c r="BB41"/>
  <c r="BA41"/>
  <c r="AZ41"/>
  <c r="AY41"/>
  <c r="AX41"/>
  <c r="AW41"/>
  <c r="AV41"/>
  <c r="AU41"/>
  <c r="AT41"/>
  <c r="AS41"/>
  <c r="AR41"/>
  <c r="AQ41"/>
  <c r="AP41"/>
  <c r="AO41"/>
  <c r="AN41"/>
  <c r="AM41"/>
  <c r="AL41"/>
  <c r="BD41" s="1"/>
  <c r="AK41"/>
  <c r="AH41"/>
  <c r="AG41"/>
  <c r="AF41"/>
  <c r="AE41"/>
  <c r="AC41"/>
  <c r="AB41"/>
  <c r="AA41"/>
  <c r="Z41"/>
  <c r="Y41"/>
  <c r="X41"/>
  <c r="T41"/>
  <c r="P41"/>
  <c r="O41"/>
  <c r="N41"/>
  <c r="M41"/>
  <c r="L41"/>
  <c r="K41"/>
  <c r="J41"/>
  <c r="H41"/>
  <c r="G41"/>
  <c r="BH40"/>
  <c r="BD40"/>
  <c r="BG39"/>
  <c r="BC39"/>
  <c r="BB39"/>
  <c r="BB55" s="1"/>
  <c r="BA39"/>
  <c r="BA55" s="1"/>
  <c r="AZ39"/>
  <c r="AY39"/>
  <c r="AY55" s="1"/>
  <c r="AX39"/>
  <c r="AX55" s="1"/>
  <c r="AW39"/>
  <c r="AW55" s="1"/>
  <c r="AV39"/>
  <c r="AU39"/>
  <c r="AT39"/>
  <c r="AT55" s="1"/>
  <c r="AS39"/>
  <c r="AS55" s="1"/>
  <c r="AR39"/>
  <c r="AR55" s="1"/>
  <c r="AQ39"/>
  <c r="AQ55" s="1"/>
  <c r="AP39"/>
  <c r="AP55" s="1"/>
  <c r="AO39"/>
  <c r="AO55" s="1"/>
  <c r="AN39"/>
  <c r="AN55" s="1"/>
  <c r="AM39"/>
  <c r="AM55" s="1"/>
  <c r="AL39"/>
  <c r="AL55" s="1"/>
  <c r="AK39"/>
  <c r="AH39"/>
  <c r="AH55" s="1"/>
  <c r="AH56" s="1"/>
  <c r="AG39"/>
  <c r="AG55" s="1"/>
  <c r="AF39"/>
  <c r="AE39"/>
  <c r="AC39"/>
  <c r="AC55" s="1"/>
  <c r="AC56" s="1"/>
  <c r="AB39"/>
  <c r="Z39"/>
  <c r="Z55" s="1"/>
  <c r="Z56" s="1"/>
  <c r="Y39"/>
  <c r="Y55" s="1"/>
  <c r="Y56" s="1"/>
  <c r="X39"/>
  <c r="X55" s="1"/>
  <c r="X56" s="1"/>
  <c r="T39"/>
  <c r="P39"/>
  <c r="P55" s="1"/>
  <c r="P56" s="1"/>
  <c r="O39"/>
  <c r="O55" s="1"/>
  <c r="O56" s="1"/>
  <c r="N39"/>
  <c r="N55" s="1"/>
  <c r="N56" s="1"/>
  <c r="M39"/>
  <c r="M55" s="1"/>
  <c r="M56" s="1"/>
  <c r="L39"/>
  <c r="L55" s="1"/>
  <c r="L56" s="1"/>
  <c r="K39"/>
  <c r="K55" s="1"/>
  <c r="K56" s="1"/>
  <c r="J39"/>
  <c r="J55" s="1"/>
  <c r="J56" s="1"/>
  <c r="H39"/>
  <c r="H55" s="1"/>
  <c r="H56" s="1"/>
  <c r="G39"/>
  <c r="G55" s="1"/>
  <c r="G56" s="1"/>
  <c r="BH38"/>
  <c r="BD38"/>
  <c r="BH37"/>
  <c r="BD37"/>
  <c r="BH36"/>
  <c r="BD36"/>
  <c r="BH35"/>
  <c r="BD35"/>
  <c r="AA35"/>
  <c r="BH34"/>
  <c r="BD34"/>
  <c r="BH33"/>
  <c r="BD33"/>
  <c r="AA33"/>
  <c r="BH32"/>
  <c r="BD32"/>
  <c r="AA32"/>
  <c r="W32"/>
  <c r="BD31"/>
  <c r="AA31"/>
  <c r="Q31"/>
  <c r="BD30"/>
  <c r="W30"/>
  <c r="Q30"/>
  <c r="BJ29"/>
  <c r="BG28"/>
  <c r="AF55" l="1"/>
  <c r="BD39"/>
  <c r="AG56"/>
  <c r="AF56" s="1"/>
  <c r="BG55"/>
  <c r="AK55"/>
  <c r="AA39"/>
  <c r="BH53"/>
  <c r="T55"/>
  <c r="BF28"/>
  <c r="BH28" s="1"/>
  <c r="BC28"/>
  <c r="BB28"/>
  <c r="BA28"/>
  <c r="AZ28"/>
  <c r="AY28"/>
  <c r="AX28"/>
  <c r="AW28"/>
  <c r="AV28"/>
  <c r="AU28"/>
  <c r="AT28"/>
  <c r="AS28"/>
  <c r="AR28"/>
  <c r="AQ28"/>
  <c r="AP28"/>
  <c r="AO28"/>
  <c r="AN28"/>
  <c r="AM28"/>
  <c r="AL28"/>
  <c r="I66" l="1"/>
  <c r="H66" s="1"/>
  <c r="G66" s="1"/>
  <c r="AA55"/>
  <c r="AK28"/>
  <c r="BD28" s="1"/>
  <c r="AD28"/>
  <c r="AA56" l="1"/>
  <c r="AY56"/>
  <c r="AX56" s="1"/>
  <c r="AW56" s="1"/>
  <c r="P28"/>
  <c r="O28"/>
  <c r="N28"/>
  <c r="M28"/>
  <c r="L28"/>
  <c r="K28"/>
  <c r="J28"/>
  <c r="I28"/>
  <c r="G28"/>
  <c r="D28"/>
  <c r="BH27" l="1"/>
  <c r="BD27" l="1"/>
  <c r="AH27"/>
  <c r="AG27"/>
  <c r="AF27"/>
  <c r="AE27"/>
  <c r="AC27"/>
  <c r="AB27"/>
  <c r="AA27"/>
  <c r="Z27"/>
  <c r="Y27"/>
  <c r="X27"/>
  <c r="U27"/>
  <c r="T27"/>
  <c r="D27"/>
  <c r="BH26"/>
  <c r="BD26"/>
  <c r="BH25"/>
  <c r="BD25"/>
  <c r="BH24"/>
  <c r="BD24"/>
  <c r="BH23"/>
  <c r="BD23"/>
  <c r="BH22"/>
  <c r="BD22"/>
  <c r="BH21"/>
  <c r="BD21"/>
  <c r="AH21"/>
  <c r="AG21"/>
  <c r="AF21"/>
  <c r="AE21"/>
  <c r="AC21"/>
  <c r="AB21"/>
  <c r="AA21"/>
  <c r="Z21"/>
  <c r="Y21"/>
  <c r="X21"/>
  <c r="T21"/>
  <c r="T28" s="1"/>
  <c r="D21"/>
  <c r="BH20"/>
  <c r="BD20"/>
  <c r="BH19"/>
  <c r="BD19"/>
  <c r="BJ18"/>
  <c r="Y28" l="1"/>
  <c r="AA28"/>
  <c r="AC28"/>
  <c r="AH28"/>
  <c r="X28"/>
  <c r="Z28"/>
  <c r="AB28"/>
  <c r="AE28"/>
  <c r="AG28"/>
  <c r="AF28" s="1"/>
  <c r="D17"/>
  <c r="BG16"/>
  <c r="BF16" l="1"/>
  <c r="BH16" l="1"/>
  <c r="AD16"/>
  <c r="P16" l="1"/>
  <c r="O16"/>
  <c r="N16"/>
  <c r="M16"/>
  <c r="L16"/>
  <c r="K16"/>
  <c r="J16"/>
  <c r="I16"/>
  <c r="H16"/>
  <c r="BH15" l="1"/>
  <c r="BD15" l="1"/>
  <c r="AI15" l="1"/>
  <c r="Q15"/>
  <c r="D15"/>
  <c r="BH14"/>
  <c r="BB14"/>
  <c r="BB16" s="1"/>
  <c r="BA14"/>
  <c r="BA16" s="1"/>
  <c r="AZ14"/>
  <c r="AZ16" s="1"/>
  <c r="AY14"/>
  <c r="AY16" s="1"/>
  <c r="AX14"/>
  <c r="AX16" s="1"/>
  <c r="AW14"/>
  <c r="AW16" s="1"/>
  <c r="AV14"/>
  <c r="AV16" s="1"/>
  <c r="AU14"/>
  <c r="AU16" s="1"/>
  <c r="AT14"/>
  <c r="AT16" s="1"/>
  <c r="AS14"/>
  <c r="AS16" s="1"/>
  <c r="AR14"/>
  <c r="AR16" s="1"/>
  <c r="AQ14"/>
  <c r="AQ16" s="1"/>
  <c r="AP14"/>
  <c r="AP16" s="1"/>
  <c r="AO14"/>
  <c r="AO16" s="1"/>
  <c r="AN14"/>
  <c r="AN16" s="1"/>
  <c r="AM14"/>
  <c r="AM16" s="1"/>
  <c r="AL14"/>
  <c r="AL16" s="1"/>
  <c r="AK14"/>
  <c r="AK16" s="1"/>
  <c r="AH14"/>
  <c r="AH16" s="1"/>
  <c r="AG14"/>
  <c r="AF14"/>
  <c r="AE14"/>
  <c r="AE16" s="1"/>
  <c r="AC14"/>
  <c r="AC16" s="1"/>
  <c r="AA14"/>
  <c r="AA16" s="1"/>
  <c r="Z14"/>
  <c r="Z16" s="1"/>
  <c r="Y14"/>
  <c r="Y16" s="1"/>
  <c r="X14"/>
  <c r="X16" s="1"/>
  <c r="T14"/>
  <c r="T16" s="1"/>
  <c r="D14"/>
  <c r="BD13"/>
  <c r="BG11"/>
  <c r="AG16" l="1"/>
  <c r="BF11"/>
  <c r="BB11"/>
  <c r="BA11"/>
  <c r="BA17" s="1"/>
  <c r="AZ11"/>
  <c r="AY11"/>
  <c r="AX11"/>
  <c r="AW11"/>
  <c r="AV11"/>
  <c r="AT11"/>
  <c r="AS11"/>
  <c r="AR11"/>
  <c r="AQ11"/>
  <c r="AP11"/>
  <c r="AO11"/>
  <c r="AN11"/>
  <c r="AM11"/>
  <c r="AL11"/>
  <c r="AZ17" l="1"/>
  <c r="AY17" s="1"/>
  <c r="BF17"/>
  <c r="BH11"/>
  <c r="AF16"/>
  <c r="AK11"/>
  <c r="AK17" s="1"/>
  <c r="AH11"/>
  <c r="AG11"/>
  <c r="AG17" s="1"/>
  <c r="AG74" s="1"/>
  <c r="AF11"/>
  <c r="AD11"/>
  <c r="AC11"/>
  <c r="AA11"/>
  <c r="Z11"/>
  <c r="Y11"/>
  <c r="X11"/>
  <c r="T11"/>
  <c r="P11"/>
  <c r="O11"/>
  <c r="N11"/>
  <c r="M11"/>
  <c r="L11"/>
  <c r="K11"/>
  <c r="J11"/>
  <c r="I11"/>
  <c r="H11"/>
  <c r="AF17" l="1"/>
  <c r="AF74" s="1"/>
  <c r="AF148" s="1"/>
  <c r="AX17"/>
  <c r="AW17" s="1"/>
  <c r="AV17" s="1"/>
  <c r="AY74"/>
  <c r="BH10"/>
  <c r="AX74" l="1"/>
  <c r="AW74" s="1"/>
  <c r="BD10"/>
  <c r="D10" l="1"/>
  <c r="BH9"/>
  <c r="D9"/>
  <c r="DA4"/>
  <c r="CW4"/>
  <c r="CS4"/>
  <c r="CO4"/>
  <c r="CK4"/>
  <c r="CG4"/>
  <c r="CC4"/>
  <c r="BY4"/>
  <c r="BU4"/>
  <c r="BQ4"/>
  <c r="BM4"/>
  <c r="BJ4"/>
  <c r="BG4"/>
  <c r="BF4"/>
  <c r="BC4"/>
  <c r="BB4"/>
  <c r="BA4"/>
  <c r="AZ4"/>
  <c r="AY4"/>
  <c r="AX4"/>
  <c r="AW4"/>
  <c r="AV4"/>
  <c r="AU4"/>
  <c r="AT4"/>
  <c r="AS4"/>
  <c r="AR4"/>
  <c r="AQ4"/>
  <c r="AP4"/>
  <c r="AO4"/>
  <c r="AN4"/>
  <c r="AM4"/>
  <c r="AL4"/>
  <c r="AK4"/>
  <c r="AH4"/>
  <c r="AG4"/>
  <c r="AF4"/>
  <c r="AE4"/>
  <c r="AD4"/>
  <c r="AC4"/>
  <c r="AB4"/>
  <c r="AA4"/>
  <c r="Z4"/>
  <c r="Y4"/>
  <c r="X4"/>
  <c r="W4"/>
  <c r="V4"/>
  <c r="U4"/>
  <c r="T4"/>
  <c r="S4"/>
  <c r="P4"/>
  <c r="O4"/>
  <c r="N4"/>
  <c r="M4"/>
  <c r="L4"/>
  <c r="K4"/>
  <c r="J4"/>
  <c r="I4"/>
  <c r="H4"/>
  <c r="G4"/>
  <c r="E3"/>
  <c r="BW132" i="4"/>
  <c r="BV132"/>
  <c r="BU132"/>
  <c r="BR132"/>
  <c r="BQ132"/>
  <c r="BP132"/>
  <c r="BN132"/>
  <c r="BM132"/>
  <c r="BL132"/>
  <c r="BK132"/>
  <c r="BW131"/>
  <c r="BV131"/>
  <c r="BU131"/>
  <c r="BR131"/>
  <c r="BQ131"/>
  <c r="BP131"/>
  <c r="BN131"/>
  <c r="BM131"/>
  <c r="BL131"/>
  <c r="BK131"/>
  <c r="BW130"/>
  <c r="BV130"/>
  <c r="BU130"/>
  <c r="BR130"/>
  <c r="BQ130"/>
  <c r="BP130"/>
  <c r="BN130"/>
  <c r="BM130"/>
  <c r="BL130"/>
  <c r="BK130"/>
  <c r="BJ129"/>
  <c r="AI129"/>
  <c r="BV128"/>
  <c r="BQ128"/>
  <c r="BL128"/>
  <c r="BV127"/>
  <c r="BQ127"/>
  <c r="BL127"/>
  <c r="BW126"/>
  <c r="BV126"/>
  <c r="BU126"/>
  <c r="BR126"/>
  <c r="BQ126"/>
  <c r="BP126"/>
  <c r="BN126"/>
  <c r="BM126"/>
  <c r="BL126"/>
  <c r="BK126"/>
  <c r="BA126"/>
  <c r="AV126"/>
  <c r="AR126"/>
  <c r="AH126"/>
  <c r="U126"/>
  <c r="BC126" s="1"/>
  <c r="BW125"/>
  <c r="BV125"/>
  <c r="BU125"/>
  <c r="BR125"/>
  <c r="BQ125"/>
  <c r="BP125"/>
  <c r="BN125"/>
  <c r="BM125"/>
  <c r="BL125"/>
  <c r="BK125"/>
  <c r="BE125"/>
  <c r="AV125"/>
  <c r="AR125"/>
  <c r="AH125"/>
  <c r="BW124"/>
  <c r="BV124"/>
  <c r="BU124"/>
  <c r="BR124"/>
  <c r="BQ124"/>
  <c r="BP124"/>
  <c r="BN124"/>
  <c r="BM124"/>
  <c r="BL124"/>
  <c r="BK124"/>
  <c r="BE124"/>
  <c r="AZ124"/>
  <c r="AY124"/>
  <c r="AV124"/>
  <c r="AR124"/>
  <c r="AH124"/>
  <c r="U124"/>
  <c r="AC124" s="1"/>
  <c r="BV123"/>
  <c r="BU123"/>
  <c r="BQ123"/>
  <c r="BP123"/>
  <c r="BN123"/>
  <c r="BL123"/>
  <c r="BK123"/>
  <c r="BE123"/>
  <c r="AV123"/>
  <c r="AR123"/>
  <c r="AC123"/>
  <c r="BN122"/>
  <c r="BE122"/>
  <c r="BA122"/>
  <c r="AV122"/>
  <c r="AR122"/>
  <c r="F122"/>
  <c r="BV121"/>
  <c r="BU121"/>
  <c r="BQ121"/>
  <c r="BP121"/>
  <c r="BN121"/>
  <c r="BL121"/>
  <c r="BK121"/>
  <c r="BE121"/>
  <c r="AV121"/>
  <c r="AR121"/>
  <c r="AH121"/>
  <c r="P121"/>
  <c r="BA120"/>
  <c r="AH120"/>
  <c r="BU119"/>
  <c r="BP119"/>
  <c r="BN119"/>
  <c r="BK119"/>
  <c r="BE119"/>
  <c r="AV119"/>
  <c r="AR119"/>
  <c r="AW119" s="1"/>
  <c r="AH119"/>
  <c r="P119"/>
  <c r="BW118"/>
  <c r="BU118"/>
  <c r="BR118"/>
  <c r="BP118"/>
  <c r="BN118"/>
  <c r="BM118"/>
  <c r="BK118"/>
  <c r="BE118"/>
  <c r="AV118"/>
  <c r="AR118"/>
  <c r="P118"/>
  <c r="BV117"/>
  <c r="BQ117"/>
  <c r="BL117"/>
  <c r="BE117"/>
  <c r="BA117"/>
  <c r="AV117"/>
  <c r="R117"/>
  <c r="BU116"/>
  <c r="BP116"/>
  <c r="BN116"/>
  <c r="BK116"/>
  <c r="BE116"/>
  <c r="AV116"/>
  <c r="AR116"/>
  <c r="P116"/>
  <c r="BB115"/>
  <c r="BB129" s="1"/>
  <c r="AU115"/>
  <c r="AU129" s="1"/>
  <c r="AT115"/>
  <c r="AT129" s="1"/>
  <c r="AS115"/>
  <c r="AS129" s="1"/>
  <c r="AQ115"/>
  <c r="AP115"/>
  <c r="AP129" s="1"/>
  <c r="AO115"/>
  <c r="AO129" s="1"/>
  <c r="AN115"/>
  <c r="AN129" s="1"/>
  <c r="AM115"/>
  <c r="AM129" s="1"/>
  <c r="AL115"/>
  <c r="AL129" s="1"/>
  <c r="AK115"/>
  <c r="AK129" s="1"/>
  <c r="AJ115"/>
  <c r="AJ129" s="1"/>
  <c r="AB115"/>
  <c r="AB129" s="1"/>
  <c r="AA115"/>
  <c r="AA129" s="1"/>
  <c r="Y115"/>
  <c r="BN115" s="1"/>
  <c r="Q115"/>
  <c r="Q129" s="1"/>
  <c r="O115"/>
  <c r="O129" s="1"/>
  <c r="N115"/>
  <c r="N129" s="1"/>
  <c r="M115"/>
  <c r="M129" s="1"/>
  <c r="L115"/>
  <c r="K115"/>
  <c r="K129" s="1"/>
  <c r="J115"/>
  <c r="J129" s="1"/>
  <c r="I115"/>
  <c r="I129" s="1"/>
  <c r="D115"/>
  <c r="BV114"/>
  <c r="BQ114"/>
  <c r="BL114"/>
  <c r="BW113"/>
  <c r="BV113"/>
  <c r="BU113"/>
  <c r="BR113"/>
  <c r="BQ113"/>
  <c r="BP113"/>
  <c r="BN113"/>
  <c r="BM113"/>
  <c r="BL113"/>
  <c r="BK113"/>
  <c r="BV112"/>
  <c r="BQ112"/>
  <c r="BL112"/>
  <c r="BJ111"/>
  <c r="BD111"/>
  <c r="AU111"/>
  <c r="AT111"/>
  <c r="AP111"/>
  <c r="AN111"/>
  <c r="AM111"/>
  <c r="AL111"/>
  <c r="AB111"/>
  <c r="Y111"/>
  <c r="BN111" s="1"/>
  <c r="Q111"/>
  <c r="O111"/>
  <c r="N111"/>
  <c r="M111"/>
  <c r="L111"/>
  <c r="K111"/>
  <c r="J111"/>
  <c r="I111"/>
  <c r="BV110"/>
  <c r="BQ110"/>
  <c r="BL110"/>
  <c r="BW109"/>
  <c r="BV109"/>
  <c r="BU109"/>
  <c r="BR109"/>
  <c r="BQ109"/>
  <c r="BP109"/>
  <c r="BN109"/>
  <c r="BM109"/>
  <c r="BL109"/>
  <c r="BK109"/>
  <c r="BE109"/>
  <c r="BA109"/>
  <c r="AV109"/>
  <c r="AR109"/>
  <c r="AH109"/>
  <c r="AC109"/>
  <c r="R109" s="1"/>
  <c r="P109"/>
  <c r="D109"/>
  <c r="BV108"/>
  <c r="BQ108"/>
  <c r="BL108"/>
  <c r="BE108"/>
  <c r="BW107"/>
  <c r="BU107"/>
  <c r="BR107"/>
  <c r="BP107"/>
  <c r="BN107"/>
  <c r="BM107"/>
  <c r="BK107"/>
  <c r="BA107"/>
  <c r="AV107"/>
  <c r="AH107"/>
  <c r="P107"/>
  <c r="F107"/>
  <c r="BW106"/>
  <c r="BU106"/>
  <c r="BR106"/>
  <c r="BP106"/>
  <c r="BN106"/>
  <c r="BM106"/>
  <c r="BK106"/>
  <c r="BA106"/>
  <c r="AV106"/>
  <c r="AH106"/>
  <c r="P106"/>
  <c r="D106"/>
  <c r="BV105"/>
  <c r="BQ105"/>
  <c r="BL105"/>
  <c r="BE105"/>
  <c r="BW104"/>
  <c r="BV104"/>
  <c r="BU104"/>
  <c r="BR104"/>
  <c r="BQ104"/>
  <c r="BP104"/>
  <c r="BN104"/>
  <c r="BM104"/>
  <c r="BL104"/>
  <c r="BK104"/>
  <c r="BE104"/>
  <c r="BA104"/>
  <c r="AV104"/>
  <c r="AR104"/>
  <c r="AW104" s="1"/>
  <c r="AH104"/>
  <c r="AC104"/>
  <c r="R104" s="1"/>
  <c r="P104"/>
  <c r="D104"/>
  <c r="BV103"/>
  <c r="BQ103"/>
  <c r="BL103"/>
  <c r="BF103"/>
  <c r="BE103"/>
  <c r="BW102"/>
  <c r="BV102"/>
  <c r="BU102"/>
  <c r="BR102"/>
  <c r="BQ102"/>
  <c r="BP102"/>
  <c r="BN102"/>
  <c r="BM102"/>
  <c r="BL102"/>
  <c r="BK102"/>
  <c r="BE102"/>
  <c r="BA102"/>
  <c r="AV102"/>
  <c r="AR102"/>
  <c r="AH102"/>
  <c r="AW102" s="1"/>
  <c r="AC102"/>
  <c r="P102"/>
  <c r="F102"/>
  <c r="BW101"/>
  <c r="BV101"/>
  <c r="BU101"/>
  <c r="BR101"/>
  <c r="BQ101"/>
  <c r="BP101"/>
  <c r="BN101"/>
  <c r="BM101"/>
  <c r="BL101"/>
  <c r="BK101"/>
  <c r="BE101"/>
  <c r="BA101"/>
  <c r="AV101"/>
  <c r="AR101"/>
  <c r="AH101"/>
  <c r="AW101" s="1"/>
  <c r="AC101"/>
  <c r="P101"/>
  <c r="F101"/>
  <c r="BW100"/>
  <c r="BV100"/>
  <c r="BU100"/>
  <c r="BR100"/>
  <c r="BQ100"/>
  <c r="BP100"/>
  <c r="BN100"/>
  <c r="BM100"/>
  <c r="BL100"/>
  <c r="BK100"/>
  <c r="BE100"/>
  <c r="BA100"/>
  <c r="AV100"/>
  <c r="AR100"/>
  <c r="AH100"/>
  <c r="AW100" s="1"/>
  <c r="AC100"/>
  <c r="P100"/>
  <c r="F100"/>
  <c r="BW99"/>
  <c r="BV99"/>
  <c r="BU99"/>
  <c r="BR99"/>
  <c r="BQ99"/>
  <c r="BP99"/>
  <c r="BN99"/>
  <c r="BM99"/>
  <c r="BL99"/>
  <c r="BK99"/>
  <c r="BE99"/>
  <c r="BA99"/>
  <c r="AV99"/>
  <c r="AR99"/>
  <c r="AW99" s="1"/>
  <c r="AH99"/>
  <c r="AC99"/>
  <c r="R99" s="1"/>
  <c r="P99"/>
  <c r="F99"/>
  <c r="BW98"/>
  <c r="BV98"/>
  <c r="BU98"/>
  <c r="BR98"/>
  <c r="BQ98"/>
  <c r="BP98"/>
  <c r="BN98"/>
  <c r="BM98"/>
  <c r="BL98"/>
  <c r="BK98"/>
  <c r="BE98"/>
  <c r="AZ98"/>
  <c r="AV98"/>
  <c r="AO98"/>
  <c r="AO96" s="1"/>
  <c r="AH98"/>
  <c r="U98"/>
  <c r="R98" s="1"/>
  <c r="P98"/>
  <c r="F98"/>
  <c r="BW97"/>
  <c r="BV97"/>
  <c r="BU97"/>
  <c r="BR97"/>
  <c r="BQ97"/>
  <c r="BP97"/>
  <c r="BN97"/>
  <c r="BM97"/>
  <c r="BL97"/>
  <c r="BK97"/>
  <c r="BE97"/>
  <c r="BA97"/>
  <c r="AV97"/>
  <c r="AK97"/>
  <c r="AK96" s="1"/>
  <c r="AK111" s="1"/>
  <c r="AH97"/>
  <c r="U97"/>
  <c r="R97" s="1"/>
  <c r="P97"/>
  <c r="F97"/>
  <c r="BW96"/>
  <c r="BV96"/>
  <c r="BU96"/>
  <c r="BR96"/>
  <c r="BQ96"/>
  <c r="BP96"/>
  <c r="BN96"/>
  <c r="BM96"/>
  <c r="BL96"/>
  <c r="BK96"/>
  <c r="BE96"/>
  <c r="AV96"/>
  <c r="AH96"/>
  <c r="P96"/>
  <c r="D96"/>
  <c r="BV95"/>
  <c r="BQ95"/>
  <c r="BL95"/>
  <c r="BF95" s="1"/>
  <c r="BE95"/>
  <c r="BW94"/>
  <c r="BV94"/>
  <c r="BU94"/>
  <c r="BR94"/>
  <c r="BQ94"/>
  <c r="BP94"/>
  <c r="BN94"/>
  <c r="BM94"/>
  <c r="BL94"/>
  <c r="BK94"/>
  <c r="BE94"/>
  <c r="AZ94"/>
  <c r="AZ93" s="1"/>
  <c r="AV94"/>
  <c r="AR94"/>
  <c r="AI94"/>
  <c r="AW94" s="1"/>
  <c r="AH94"/>
  <c r="U94"/>
  <c r="R94" s="1"/>
  <c r="P94"/>
  <c r="F94"/>
  <c r="BW93"/>
  <c r="BV93"/>
  <c r="BU93"/>
  <c r="BR93"/>
  <c r="BQ93"/>
  <c r="BP93"/>
  <c r="BN93"/>
  <c r="BM93"/>
  <c r="BL93"/>
  <c r="BK93"/>
  <c r="BE93"/>
  <c r="AV93"/>
  <c r="AR93"/>
  <c r="AI93"/>
  <c r="AI111" s="1"/>
  <c r="AH93"/>
  <c r="U93"/>
  <c r="P93"/>
  <c r="D93"/>
  <c r="BV92"/>
  <c r="BQ92"/>
  <c r="BL92"/>
  <c r="BE92"/>
  <c r="BW91"/>
  <c r="BV91"/>
  <c r="BU91"/>
  <c r="BR91"/>
  <c r="BQ91"/>
  <c r="BP91"/>
  <c r="BN91"/>
  <c r="BM91"/>
  <c r="BL91"/>
  <c r="BK91"/>
  <c r="BE91"/>
  <c r="AZ91"/>
  <c r="AH91"/>
  <c r="U91"/>
  <c r="R91" s="1"/>
  <c r="P91"/>
  <c r="F91"/>
  <c r="BV90"/>
  <c r="BU90"/>
  <c r="BQ90"/>
  <c r="BP90"/>
  <c r="BN90"/>
  <c r="BL90"/>
  <c r="BK90"/>
  <c r="BE90"/>
  <c r="AZ90"/>
  <c r="AV90"/>
  <c r="AR90"/>
  <c r="AW90" s="1"/>
  <c r="AH90"/>
  <c r="X90"/>
  <c r="BM90" s="1"/>
  <c r="U90"/>
  <c r="P90"/>
  <c r="F90"/>
  <c r="BW89"/>
  <c r="BU89"/>
  <c r="BR89"/>
  <c r="BP89"/>
  <c r="BN89"/>
  <c r="BM89"/>
  <c r="BK89"/>
  <c r="BE89"/>
  <c r="AZ89"/>
  <c r="AV89"/>
  <c r="AR89"/>
  <c r="AH89"/>
  <c r="AW89" s="1"/>
  <c r="W89"/>
  <c r="BV89" s="1"/>
  <c r="U89"/>
  <c r="R89" s="1"/>
  <c r="P89"/>
  <c r="F89"/>
  <c r="BW88"/>
  <c r="BV88"/>
  <c r="BR88"/>
  <c r="BQ88"/>
  <c r="BN88"/>
  <c r="BM88"/>
  <c r="BL88"/>
  <c r="BE88"/>
  <c r="AZ88"/>
  <c r="AV88"/>
  <c r="AR88"/>
  <c r="AW88" s="1"/>
  <c r="AH88"/>
  <c r="V88"/>
  <c r="BU88" s="1"/>
  <c r="U88"/>
  <c r="P88"/>
  <c r="F88"/>
  <c r="BV87"/>
  <c r="BQ87"/>
  <c r="BL87"/>
  <c r="BE87"/>
  <c r="BA87"/>
  <c r="AV87"/>
  <c r="AW87" s="1"/>
  <c r="R87"/>
  <c r="BN86"/>
  <c r="BE86"/>
  <c r="AH86"/>
  <c r="W86"/>
  <c r="BL86" s="1"/>
  <c r="P86"/>
  <c r="BN85"/>
  <c r="BE85"/>
  <c r="AF85"/>
  <c r="Z85"/>
  <c r="Z111" s="1"/>
  <c r="T85"/>
  <c r="P85"/>
  <c r="D85"/>
  <c r="BV84"/>
  <c r="BQ84"/>
  <c r="BL84"/>
  <c r="BF84" s="1"/>
  <c r="BE84"/>
  <c r="BW83"/>
  <c r="BV83"/>
  <c r="BU83"/>
  <c r="BR83"/>
  <c r="BQ83"/>
  <c r="BP83"/>
  <c r="BN83"/>
  <c r="BM83"/>
  <c r="BL83"/>
  <c r="BK83"/>
  <c r="BA83"/>
  <c r="AV83"/>
  <c r="AH83"/>
  <c r="P83"/>
  <c r="F83"/>
  <c r="BW82"/>
  <c r="BV82"/>
  <c r="BU82"/>
  <c r="BR82"/>
  <c r="BQ82"/>
  <c r="BP82"/>
  <c r="BN82"/>
  <c r="BM82"/>
  <c r="BL82"/>
  <c r="BK82"/>
  <c r="BE82"/>
  <c r="BA82"/>
  <c r="BF82" s="1"/>
  <c r="AV82"/>
  <c r="AH82"/>
  <c r="AC82"/>
  <c r="R82" s="1"/>
  <c r="P82"/>
  <c r="BW81"/>
  <c r="BV81"/>
  <c r="BU81"/>
  <c r="BR81"/>
  <c r="BQ81"/>
  <c r="BP81"/>
  <c r="BN81"/>
  <c r="BM81"/>
  <c r="BL81"/>
  <c r="BK81"/>
  <c r="BA81"/>
  <c r="AV81"/>
  <c r="AH81"/>
  <c r="AC81"/>
  <c r="P81"/>
  <c r="BW80"/>
  <c r="BV80"/>
  <c r="BU80"/>
  <c r="BR80"/>
  <c r="BQ80"/>
  <c r="BP80"/>
  <c r="BN80"/>
  <c r="BM80"/>
  <c r="BL80"/>
  <c r="BK80"/>
  <c r="BE80"/>
  <c r="BA80"/>
  <c r="AV80"/>
  <c r="AH80"/>
  <c r="AC80"/>
  <c r="P80"/>
  <c r="BV79"/>
  <c r="BQ79"/>
  <c r="BL79"/>
  <c r="BE79"/>
  <c r="BA79"/>
  <c r="AW79" s="1"/>
  <c r="AV79"/>
  <c r="R79"/>
  <c r="BW78"/>
  <c r="BV78"/>
  <c r="BU78"/>
  <c r="BR78"/>
  <c r="BQ78"/>
  <c r="BP78"/>
  <c r="BN78"/>
  <c r="BM78"/>
  <c r="BL78"/>
  <c r="BK78"/>
  <c r="BA78"/>
  <c r="AV78"/>
  <c r="AH78"/>
  <c r="AC78"/>
  <c r="R78"/>
  <c r="F78"/>
  <c r="BN77"/>
  <c r="BE77"/>
  <c r="AV77"/>
  <c r="AH77"/>
  <c r="P77"/>
  <c r="F77"/>
  <c r="BN76"/>
  <c r="AS76"/>
  <c r="AG76"/>
  <c r="AG111" s="1"/>
  <c r="AF76"/>
  <c r="AF111" s="1"/>
  <c r="AE76"/>
  <c r="AH76" s="1"/>
  <c r="P76"/>
  <c r="D76"/>
  <c r="BV75"/>
  <c r="BQ75"/>
  <c r="BL75"/>
  <c r="BW74"/>
  <c r="BV74"/>
  <c r="BU74"/>
  <c r="BR74"/>
  <c r="BQ74"/>
  <c r="BP74"/>
  <c r="BN74"/>
  <c r="BM74"/>
  <c r="BL74"/>
  <c r="BK74"/>
  <c r="BV73"/>
  <c r="BQ73"/>
  <c r="BL73"/>
  <c r="BJ72"/>
  <c r="BD72"/>
  <c r="BC72"/>
  <c r="BB72"/>
  <c r="AT72"/>
  <c r="AT133" s="1"/>
  <c r="AP72"/>
  <c r="AP133" s="1"/>
  <c r="AN72"/>
  <c r="AN133" s="1"/>
  <c r="AM72"/>
  <c r="AL72"/>
  <c r="AL133" s="1"/>
  <c r="AI72"/>
  <c r="AB72"/>
  <c r="AB133" s="1"/>
  <c r="BV71"/>
  <c r="BQ71"/>
  <c r="BL71"/>
  <c r="BW70"/>
  <c r="BV70"/>
  <c r="BU70"/>
  <c r="BR70"/>
  <c r="BQ70"/>
  <c r="BP70"/>
  <c r="BN70"/>
  <c r="BM70"/>
  <c r="BL70"/>
  <c r="BK70"/>
  <c r="BE70"/>
  <c r="BA70"/>
  <c r="AV70"/>
  <c r="AR70"/>
  <c r="AH70"/>
  <c r="AC70"/>
  <c r="P70"/>
  <c r="D70"/>
  <c r="BV69"/>
  <c r="BQ69"/>
  <c r="BL69"/>
  <c r="BE69"/>
  <c r="BW68"/>
  <c r="BV68"/>
  <c r="BU68"/>
  <c r="BR68"/>
  <c r="BQ68"/>
  <c r="BP68"/>
  <c r="BN68"/>
  <c r="BM68"/>
  <c r="BL68"/>
  <c r="BK68"/>
  <c r="BE68"/>
  <c r="AV68"/>
  <c r="AR68"/>
  <c r="AH68"/>
  <c r="Q68"/>
  <c r="AA68" s="1"/>
  <c r="P68"/>
  <c r="F68"/>
  <c r="BW67"/>
  <c r="BV67"/>
  <c r="BU67"/>
  <c r="BR67"/>
  <c r="BQ67"/>
  <c r="BP67"/>
  <c r="BN67"/>
  <c r="BM67"/>
  <c r="BL67"/>
  <c r="BK67"/>
  <c r="BE67"/>
  <c r="AV67"/>
  <c r="AR67"/>
  <c r="AW67" s="1"/>
  <c r="AH67"/>
  <c r="D67"/>
  <c r="BV66"/>
  <c r="BQ66"/>
  <c r="BL66"/>
  <c r="BW65"/>
  <c r="BU65"/>
  <c r="BR65"/>
  <c r="BP65"/>
  <c r="BN65"/>
  <c r="BM65"/>
  <c r="BK65"/>
  <c r="BE65"/>
  <c r="BA65"/>
  <c r="BF65" s="1"/>
  <c r="AV65"/>
  <c r="AR65"/>
  <c r="AH65"/>
  <c r="BW64"/>
  <c r="BU64"/>
  <c r="BR64"/>
  <c r="BP64"/>
  <c r="BN64"/>
  <c r="BM64"/>
  <c r="BK64"/>
  <c r="BE64"/>
  <c r="BA64"/>
  <c r="BF64" s="1"/>
  <c r="AV64"/>
  <c r="AR64"/>
  <c r="AH64"/>
  <c r="BV63"/>
  <c r="BQ63"/>
  <c r="BL63"/>
  <c r="BE63"/>
  <c r="BA63"/>
  <c r="BF63" s="1"/>
  <c r="AV63"/>
  <c r="AW63" s="1"/>
  <c r="R63"/>
  <c r="BW62"/>
  <c r="BU62"/>
  <c r="BR62"/>
  <c r="BP62"/>
  <c r="BN62"/>
  <c r="BM62"/>
  <c r="BK62"/>
  <c r="BE62"/>
  <c r="BA62"/>
  <c r="AV62"/>
  <c r="AR62"/>
  <c r="AH62"/>
  <c r="BW61"/>
  <c r="BU61"/>
  <c r="BR61"/>
  <c r="BP61"/>
  <c r="BN61"/>
  <c r="BM61"/>
  <c r="BK61"/>
  <c r="BE61"/>
  <c r="BA61"/>
  <c r="BF61" s="1"/>
  <c r="AV61"/>
  <c r="AR61"/>
  <c r="AH61"/>
  <c r="F61"/>
  <c r="BW60"/>
  <c r="BU60"/>
  <c r="BR60"/>
  <c r="BP60"/>
  <c r="BN60"/>
  <c r="BM60"/>
  <c r="BK60"/>
  <c r="BE60"/>
  <c r="BA60"/>
  <c r="AV60"/>
  <c r="AR60"/>
  <c r="AH60"/>
  <c r="BW59"/>
  <c r="BU59"/>
  <c r="BR59"/>
  <c r="BP59"/>
  <c r="BN59"/>
  <c r="BM59"/>
  <c r="BK59"/>
  <c r="BE59"/>
  <c r="BA59"/>
  <c r="AV59"/>
  <c r="AR59"/>
  <c r="AH59"/>
  <c r="BW58"/>
  <c r="BU58"/>
  <c r="BR58"/>
  <c r="BP58"/>
  <c r="BN58"/>
  <c r="BM58"/>
  <c r="BK58"/>
  <c r="BE58"/>
  <c r="BA58"/>
  <c r="AV58"/>
  <c r="AR58"/>
  <c r="AH58"/>
  <c r="W58"/>
  <c r="BQ58" s="1"/>
  <c r="BV57"/>
  <c r="BQ57"/>
  <c r="BL57"/>
  <c r="BE57"/>
  <c r="BA57"/>
  <c r="BF57" s="1"/>
  <c r="AV57"/>
  <c r="AW57" s="1"/>
  <c r="R57"/>
  <c r="BW56"/>
  <c r="BU56"/>
  <c r="BR56"/>
  <c r="BP56"/>
  <c r="BN56"/>
  <c r="BM56"/>
  <c r="BK56"/>
  <c r="BE56"/>
  <c r="BA56"/>
  <c r="AV56"/>
  <c r="AR56"/>
  <c r="AH56"/>
  <c r="F56"/>
  <c r="BW55"/>
  <c r="BU55"/>
  <c r="BR55"/>
  <c r="BP55"/>
  <c r="BN55"/>
  <c r="BM55"/>
  <c r="BK55"/>
  <c r="BE55"/>
  <c r="BA55"/>
  <c r="AV55"/>
  <c r="AR55"/>
  <c r="AH55"/>
  <c r="D55"/>
  <c r="BV54"/>
  <c r="BQ54"/>
  <c r="BL54"/>
  <c r="BE53"/>
  <c r="AZ53"/>
  <c r="AH53"/>
  <c r="Y53"/>
  <c r="U53"/>
  <c r="P53"/>
  <c r="F53"/>
  <c r="BE52"/>
  <c r="AV52"/>
  <c r="AR52"/>
  <c r="AH52"/>
  <c r="Y52"/>
  <c r="P52"/>
  <c r="F52"/>
  <c r="BV51"/>
  <c r="BU51"/>
  <c r="BQ51"/>
  <c r="BP51"/>
  <c r="BL51"/>
  <c r="BK51"/>
  <c r="BE51"/>
  <c r="BA51"/>
  <c r="AV51"/>
  <c r="AR51"/>
  <c r="AH51"/>
  <c r="Y51"/>
  <c r="P51"/>
  <c r="BW50"/>
  <c r="BR50"/>
  <c r="BM50"/>
  <c r="BE50"/>
  <c r="AZ50"/>
  <c r="AV50"/>
  <c r="AR50"/>
  <c r="AH50"/>
  <c r="AW50" s="1"/>
  <c r="Y50"/>
  <c r="P50"/>
  <c r="F50"/>
  <c r="BV49"/>
  <c r="BQ49"/>
  <c r="BL49"/>
  <c r="BE49"/>
  <c r="BA49"/>
  <c r="AV49"/>
  <c r="AW49" s="1"/>
  <c r="R49"/>
  <c r="BE48"/>
  <c r="AV48"/>
  <c r="AR48"/>
  <c r="AH48"/>
  <c r="P48"/>
  <c r="F48"/>
  <c r="BV47"/>
  <c r="BQ47"/>
  <c r="BN47"/>
  <c r="BL47"/>
  <c r="BE47"/>
  <c r="BA47" s="1"/>
  <c r="AV47"/>
  <c r="AR47"/>
  <c r="AH47"/>
  <c r="P47"/>
  <c r="BV46"/>
  <c r="BU46"/>
  <c r="BQ46"/>
  <c r="BP46"/>
  <c r="BN46"/>
  <c r="BL46"/>
  <c r="BK46"/>
  <c r="BE46"/>
  <c r="BA46" s="1"/>
  <c r="AV46"/>
  <c r="AR46"/>
  <c r="AW46" s="1"/>
  <c r="AH46"/>
  <c r="P46"/>
  <c r="BV45"/>
  <c r="BU45"/>
  <c r="BQ45"/>
  <c r="BP45"/>
  <c r="BL45"/>
  <c r="BK45"/>
  <c r="BE45"/>
  <c r="BA45"/>
  <c r="BF45" s="1"/>
  <c r="AV45"/>
  <c r="AR45"/>
  <c r="AW45" s="1"/>
  <c r="AH45"/>
  <c r="Y45"/>
  <c r="BN45" s="1"/>
  <c r="X45"/>
  <c r="BM45" s="1"/>
  <c r="P45"/>
  <c r="BV44"/>
  <c r="BQ44"/>
  <c r="BN44"/>
  <c r="BL44"/>
  <c r="BE44"/>
  <c r="AZ44"/>
  <c r="AV44"/>
  <c r="AR44"/>
  <c r="AH44"/>
  <c r="X44"/>
  <c r="BW44" s="1"/>
  <c r="P44"/>
  <c r="F44"/>
  <c r="BV43"/>
  <c r="BQ43"/>
  <c r="BL43"/>
  <c r="BE43"/>
  <c r="BA43"/>
  <c r="AV43"/>
  <c r="AW43" s="1"/>
  <c r="R43"/>
  <c r="BE42"/>
  <c r="AV42"/>
  <c r="AR42"/>
  <c r="AH42"/>
  <c r="W42"/>
  <c r="BV42" s="1"/>
  <c r="P42"/>
  <c r="F42"/>
  <c r="BN41"/>
  <c r="BE41"/>
  <c r="BA41"/>
  <c r="AV41"/>
  <c r="AR41"/>
  <c r="AH41"/>
  <c r="AW41" s="1"/>
  <c r="P41"/>
  <c r="BW40"/>
  <c r="BV40"/>
  <c r="BU40"/>
  <c r="BR40"/>
  <c r="BQ40"/>
  <c r="BP40"/>
  <c r="BN40"/>
  <c r="BM40"/>
  <c r="BL40"/>
  <c r="BK40"/>
  <c r="BE40"/>
  <c r="BA40"/>
  <c r="AV40"/>
  <c r="AR40"/>
  <c r="AH40"/>
  <c r="P40"/>
  <c r="BW39"/>
  <c r="BV39"/>
  <c r="BU39"/>
  <c r="BR39"/>
  <c r="BQ39"/>
  <c r="BP39"/>
  <c r="BN39"/>
  <c r="BM39"/>
  <c r="BL39"/>
  <c r="BK39"/>
  <c r="BE39"/>
  <c r="BA39"/>
  <c r="AV39"/>
  <c r="AR39"/>
  <c r="AH39"/>
  <c r="P39"/>
  <c r="BW38"/>
  <c r="BV38"/>
  <c r="BU38"/>
  <c r="BR38"/>
  <c r="BQ38"/>
  <c r="BP38"/>
  <c r="BN38"/>
  <c r="BM38"/>
  <c r="BL38"/>
  <c r="BK38"/>
  <c r="BE38"/>
  <c r="BA38"/>
  <c r="BF38" s="1"/>
  <c r="AV38"/>
  <c r="AR38"/>
  <c r="AH38"/>
  <c r="P38"/>
  <c r="BW37"/>
  <c r="BV37"/>
  <c r="BU37"/>
  <c r="BR37"/>
  <c r="BQ37"/>
  <c r="BP37"/>
  <c r="BN37"/>
  <c r="BM37"/>
  <c r="BL37"/>
  <c r="BK37"/>
  <c r="BE37"/>
  <c r="BA37"/>
  <c r="BF37" s="1"/>
  <c r="AV37"/>
  <c r="AR37"/>
  <c r="AH37"/>
  <c r="P37"/>
  <c r="BN36"/>
  <c r="BE36"/>
  <c r="BA36"/>
  <c r="AV36"/>
  <c r="AR36"/>
  <c r="AH36"/>
  <c r="P36"/>
  <c r="BN35"/>
  <c r="BE35"/>
  <c r="BA35"/>
  <c r="AV35"/>
  <c r="AR35"/>
  <c r="AH35"/>
  <c r="P35"/>
  <c r="BN34"/>
  <c r="BE34"/>
  <c r="BA34"/>
  <c r="BF34" s="1"/>
  <c r="AV34"/>
  <c r="AR34"/>
  <c r="AW34" s="1"/>
  <c r="AH34"/>
  <c r="P34"/>
  <c r="BN33"/>
  <c r="BE33"/>
  <c r="BA33"/>
  <c r="AV33"/>
  <c r="AR33"/>
  <c r="AH33"/>
  <c r="AW33" s="1"/>
  <c r="P33"/>
  <c r="BV32"/>
  <c r="BQ32"/>
  <c r="BL32"/>
  <c r="BE32"/>
  <c r="BA32"/>
  <c r="BF32" s="1"/>
  <c r="AV32"/>
  <c r="AW32" s="1"/>
  <c r="R32"/>
  <c r="BH32" s="1"/>
  <c r="BE31"/>
  <c r="BA31"/>
  <c r="BF31" s="1"/>
  <c r="AH31"/>
  <c r="P31"/>
  <c r="F31"/>
  <c r="BE30"/>
  <c r="AH30"/>
  <c r="P30"/>
  <c r="D30"/>
  <c r="BV29"/>
  <c r="BQ29"/>
  <c r="BL29"/>
  <c r="BU28"/>
  <c r="BP28"/>
  <c r="BN28"/>
  <c r="BK28"/>
  <c r="BE28"/>
  <c r="BA28"/>
  <c r="AV28"/>
  <c r="AR28"/>
  <c r="AH28"/>
  <c r="AW28" s="1"/>
  <c r="P28"/>
  <c r="BW27"/>
  <c r="BV27"/>
  <c r="BU27"/>
  <c r="BR27"/>
  <c r="BQ27"/>
  <c r="BP27"/>
  <c r="BN27"/>
  <c r="BM27"/>
  <c r="BL27"/>
  <c r="BK27"/>
  <c r="BE27"/>
  <c r="BA27"/>
  <c r="AV27"/>
  <c r="AR27"/>
  <c r="AH27"/>
  <c r="AW27" s="1"/>
  <c r="P27"/>
  <c r="BV26"/>
  <c r="BU26"/>
  <c r="BQ26"/>
  <c r="BP26"/>
  <c r="BN26"/>
  <c r="BL26"/>
  <c r="BK26"/>
  <c r="BE26"/>
  <c r="BA26"/>
  <c r="BF26" s="1"/>
  <c r="AV26"/>
  <c r="AR26"/>
  <c r="AW26" s="1"/>
  <c r="AH26"/>
  <c r="P26"/>
  <c r="BW25"/>
  <c r="BV25"/>
  <c r="BU25"/>
  <c r="BR25"/>
  <c r="BQ25"/>
  <c r="BP25"/>
  <c r="BN25"/>
  <c r="BM25"/>
  <c r="BL25"/>
  <c r="BK25"/>
  <c r="BE25"/>
  <c r="BA25"/>
  <c r="BF25" s="1"/>
  <c r="AV25"/>
  <c r="AR25"/>
  <c r="AW25" s="1"/>
  <c r="AH25"/>
  <c r="P25"/>
  <c r="BW24"/>
  <c r="BV24"/>
  <c r="BU24"/>
  <c r="BR24"/>
  <c r="BQ24"/>
  <c r="BP24"/>
  <c r="BN24"/>
  <c r="BM24"/>
  <c r="BL24"/>
  <c r="BK24"/>
  <c r="BE24"/>
  <c r="BA24"/>
  <c r="AV24"/>
  <c r="R24"/>
  <c r="BU23"/>
  <c r="BP23"/>
  <c r="BN23"/>
  <c r="BK23"/>
  <c r="BE23"/>
  <c r="BA23"/>
  <c r="BF23" s="1"/>
  <c r="AV23"/>
  <c r="AR23"/>
  <c r="AH23"/>
  <c r="P23"/>
  <c r="F23"/>
  <c r="BV22"/>
  <c r="BU22"/>
  <c r="BQ22"/>
  <c r="BP22"/>
  <c r="BN22"/>
  <c r="BL22"/>
  <c r="BK22"/>
  <c r="BE22"/>
  <c r="BA22"/>
  <c r="BF22" s="1"/>
  <c r="AV22"/>
  <c r="AR22"/>
  <c r="AH22"/>
  <c r="P22"/>
  <c r="F22"/>
  <c r="BN21"/>
  <c r="BE21"/>
  <c r="BA21"/>
  <c r="BF21" s="1"/>
  <c r="AV21"/>
  <c r="AR21"/>
  <c r="AH21"/>
  <c r="V21"/>
  <c r="BU21" s="1"/>
  <c r="P21"/>
  <c r="D21"/>
  <c r="BV20"/>
  <c r="BQ20"/>
  <c r="BL20"/>
  <c r="BU19"/>
  <c r="BP19"/>
  <c r="BN19"/>
  <c r="BK19"/>
  <c r="BE19"/>
  <c r="BA19"/>
  <c r="BF19" s="1"/>
  <c r="AV19"/>
  <c r="AR19"/>
  <c r="AW19" s="1"/>
  <c r="AH19"/>
  <c r="P19"/>
  <c r="BN18"/>
  <c r="BE18"/>
  <c r="BA18"/>
  <c r="AV18"/>
  <c r="AR18"/>
  <c r="AH18"/>
  <c r="AW18" s="1"/>
  <c r="P18"/>
  <c r="BN17"/>
  <c r="BE17"/>
  <c r="BA17"/>
  <c r="BF17" s="1"/>
  <c r="AR17"/>
  <c r="AH17"/>
  <c r="P17"/>
  <c r="F17"/>
  <c r="BV16"/>
  <c r="BQ16"/>
  <c r="BL16"/>
  <c r="BE16"/>
  <c r="BA16"/>
  <c r="AV16"/>
  <c r="AW16" s="1"/>
  <c r="BN15"/>
  <c r="BE15"/>
  <c r="BA15"/>
  <c r="AR15"/>
  <c r="AG15"/>
  <c r="AF15"/>
  <c r="AH15" s="1"/>
  <c r="AE15"/>
  <c r="P15"/>
  <c r="F15"/>
  <c r="BN14"/>
  <c r="BE14"/>
  <c r="BA14"/>
  <c r="BF14" s="1"/>
  <c r="AV14"/>
  <c r="AR14"/>
  <c r="AW14" s="1"/>
  <c r="AH14"/>
  <c r="P14"/>
  <c r="BN13"/>
  <c r="BE13"/>
  <c r="BA13"/>
  <c r="AV13"/>
  <c r="AR13"/>
  <c r="AH13"/>
  <c r="AW13" s="1"/>
  <c r="P13"/>
  <c r="BN12"/>
  <c r="BE12"/>
  <c r="BA12"/>
  <c r="BF12" s="1"/>
  <c r="AH12"/>
  <c r="P12"/>
  <c r="F12"/>
  <c r="BV11"/>
  <c r="BQ11"/>
  <c r="BL11"/>
  <c r="BE11"/>
  <c r="BA11"/>
  <c r="BF11" s="1"/>
  <c r="AV11"/>
  <c r="AW11" s="1"/>
  <c r="BH11" s="1"/>
  <c r="BN10"/>
  <c r="BE10"/>
  <c r="BA10"/>
  <c r="AG10"/>
  <c r="AF10"/>
  <c r="AE10"/>
  <c r="P10"/>
  <c r="F10"/>
  <c r="BN9"/>
  <c r="BE9"/>
  <c r="BA9"/>
  <c r="AG9"/>
  <c r="AG72" s="1"/>
  <c r="AF9"/>
  <c r="AF72" s="1"/>
  <c r="AE9"/>
  <c r="AE72" s="1"/>
  <c r="P9"/>
  <c r="D9"/>
  <c r="BX4"/>
  <c r="BW4"/>
  <c r="BV4"/>
  <c r="BU4"/>
  <c r="BS4"/>
  <c r="BR4"/>
  <c r="BQ4"/>
  <c r="BP4"/>
  <c r="BN4"/>
  <c r="BM4"/>
  <c r="BL4"/>
  <c r="BK4"/>
  <c r="C3"/>
  <c r="BE72" l="1"/>
  <c r="AW109"/>
  <c r="BF62"/>
  <c r="BF56"/>
  <c r="BF39"/>
  <c r="BF40"/>
  <c r="R53"/>
  <c r="AW124"/>
  <c r="AW126"/>
  <c r="AW35"/>
  <c r="AW36"/>
  <c r="AW21"/>
  <c r="AW22"/>
  <c r="AW23"/>
  <c r="BF27"/>
  <c r="BF28"/>
  <c r="BF36"/>
  <c r="AW37"/>
  <c r="AW38"/>
  <c r="AW39"/>
  <c r="AW40"/>
  <c r="AW51"/>
  <c r="BF51"/>
  <c r="AW52"/>
  <c r="BF9"/>
  <c r="AH10"/>
  <c r="BF10"/>
  <c r="BF13"/>
  <c r="BF15"/>
  <c r="BF16"/>
  <c r="BF18"/>
  <c r="BF33"/>
  <c r="BF35"/>
  <c r="BF41"/>
  <c r="AW42"/>
  <c r="BF43"/>
  <c r="BH43" s="1"/>
  <c r="AW44"/>
  <c r="AW47"/>
  <c r="AW48"/>
  <c r="BF49"/>
  <c r="AW55"/>
  <c r="BF55"/>
  <c r="AW56"/>
  <c r="AW58"/>
  <c r="BF58"/>
  <c r="AW59"/>
  <c r="BF59"/>
  <c r="AW60"/>
  <c r="BF60"/>
  <c r="AW61"/>
  <c r="AW62"/>
  <c r="AW64"/>
  <c r="AW65"/>
  <c r="AW68"/>
  <c r="P111"/>
  <c r="R93"/>
  <c r="AM133"/>
  <c r="P115"/>
  <c r="P129" s="1"/>
  <c r="AW121"/>
  <c r="AW125"/>
  <c r="L129"/>
  <c r="U30"/>
  <c r="U72" s="1"/>
  <c r="BY37"/>
  <c r="Y48"/>
  <c r="BN48" s="1"/>
  <c r="Q67"/>
  <c r="R67" s="1"/>
  <c r="BH16"/>
  <c r="BH49"/>
  <c r="BH57"/>
  <c r="BH63"/>
  <c r="AE111"/>
  <c r="AR115"/>
  <c r="AR129" s="1"/>
  <c r="AQ129" s="1"/>
  <c r="AV115"/>
  <c r="AH9"/>
  <c r="AH72" s="1"/>
  <c r="AW24"/>
  <c r="BH24" s="1"/>
  <c r="BF24"/>
  <c r="Y42"/>
  <c r="BY78"/>
  <c r="R80"/>
  <c r="R81"/>
  <c r="R85"/>
  <c r="R90"/>
  <c r="BF92"/>
  <c r="R100"/>
  <c r="R101"/>
  <c r="R102"/>
  <c r="BF105"/>
  <c r="BF108"/>
  <c r="AW117"/>
  <c r="AW120"/>
  <c r="BY67"/>
  <c r="BY82"/>
  <c r="U86"/>
  <c r="R86" s="1"/>
  <c r="BA124"/>
  <c r="BF124" s="1"/>
  <c r="BY124"/>
  <c r="BY125"/>
  <c r="BT126"/>
  <c r="BY38"/>
  <c r="X42"/>
  <c r="BR42" s="1"/>
  <c r="BT58"/>
  <c r="W85"/>
  <c r="BV85" s="1"/>
  <c r="BY96"/>
  <c r="BT97"/>
  <c r="BY98"/>
  <c r="BY99"/>
  <c r="BY100"/>
  <c r="BY101"/>
  <c r="BY102"/>
  <c r="BT104"/>
  <c r="V86"/>
  <c r="BK86" s="1"/>
  <c r="X86"/>
  <c r="BW86" s="1"/>
  <c r="AZ86"/>
  <c r="BT109"/>
  <c r="AY68"/>
  <c r="BA68" s="1"/>
  <c r="AA67"/>
  <c r="AA72" s="1"/>
  <c r="BY68"/>
  <c r="BY93"/>
  <c r="BT94"/>
  <c r="U96"/>
  <c r="R96" s="1"/>
  <c r="BY80"/>
  <c r="BO81"/>
  <c r="BY88"/>
  <c r="BO91"/>
  <c r="BY91"/>
  <c r="BY109"/>
  <c r="BT24"/>
  <c r="BY25"/>
  <c r="BT27"/>
  <c r="BT39"/>
  <c r="BY40"/>
  <c r="BY24"/>
  <c r="BT25"/>
  <c r="BY27"/>
  <c r="BR45"/>
  <c r="BT45" s="1"/>
  <c r="AC58"/>
  <c r="BV58"/>
  <c r="BY58" s="1"/>
  <c r="BT78"/>
  <c r="BT81"/>
  <c r="BY83"/>
  <c r="BO90"/>
  <c r="BT91"/>
  <c r="BT93"/>
  <c r="BY94"/>
  <c r="BT96"/>
  <c r="BY97"/>
  <c r="AC98"/>
  <c r="AR98"/>
  <c r="AW98" s="1"/>
  <c r="BT98"/>
  <c r="BT99"/>
  <c r="BO100"/>
  <c r="BT100"/>
  <c r="BO101"/>
  <c r="BT101"/>
  <c r="BO102"/>
  <c r="BT102"/>
  <c r="BY104"/>
  <c r="BT124"/>
  <c r="BT125"/>
  <c r="BY126"/>
  <c r="BT37"/>
  <c r="BT38"/>
  <c r="BY39"/>
  <c r="BT40"/>
  <c r="BQ42"/>
  <c r="BM44"/>
  <c r="BW45"/>
  <c r="BY45" s="1"/>
  <c r="BL58"/>
  <c r="BT67"/>
  <c r="BT68"/>
  <c r="BT80"/>
  <c r="BY81"/>
  <c r="BT82"/>
  <c r="BT83"/>
  <c r="BJ9"/>
  <c r="BK21"/>
  <c r="BO24"/>
  <c r="BO25"/>
  <c r="BO38"/>
  <c r="BW42"/>
  <c r="BR44"/>
  <c r="AC67"/>
  <c r="BJ67"/>
  <c r="BO67"/>
  <c r="AC68"/>
  <c r="BY89"/>
  <c r="R68"/>
  <c r="AJ83"/>
  <c r="AR83" s="1"/>
  <c r="AW83" s="1"/>
  <c r="AA83"/>
  <c r="AC83" s="1"/>
  <c r="BB83"/>
  <c r="BE83" s="1"/>
  <c r="BJ76"/>
  <c r="BC115"/>
  <c r="BC129" s="1"/>
  <c r="BE126"/>
  <c r="BF126" s="1"/>
  <c r="BP21"/>
  <c r="BO27"/>
  <c r="BO37"/>
  <c r="BO39"/>
  <c r="BO40"/>
  <c r="BL42"/>
  <c r="BO45"/>
  <c r="BJ55"/>
  <c r="BO58"/>
  <c r="BO68"/>
  <c r="BJ70"/>
  <c r="R88"/>
  <c r="F45" i="22"/>
  <c r="F20"/>
  <c r="T17" i="67"/>
  <c r="AC17"/>
  <c r="BO78" i="4"/>
  <c r="BO80"/>
  <c r="BO83"/>
  <c r="BQ86"/>
  <c r="BV86"/>
  <c r="AC88"/>
  <c r="AY88" s="1"/>
  <c r="BK88"/>
  <c r="BO88" s="1"/>
  <c r="AC89"/>
  <c r="AY89" s="1"/>
  <c r="BA89" s="1"/>
  <c r="BF89" s="1"/>
  <c r="BH89" s="1"/>
  <c r="F19" i="22"/>
  <c r="BL89" i="4"/>
  <c r="BO89" s="1"/>
  <c r="BR90"/>
  <c r="BT90" s="1"/>
  <c r="BW90"/>
  <c r="BY90" s="1"/>
  <c r="AC91"/>
  <c r="AC93"/>
  <c r="AW93"/>
  <c r="AC94"/>
  <c r="AY94" s="1"/>
  <c r="BJ96"/>
  <c r="BO96"/>
  <c r="BO98"/>
  <c r="BJ104"/>
  <c r="BO104"/>
  <c r="BH124"/>
  <c r="BO124"/>
  <c r="AC126"/>
  <c r="BO126"/>
  <c r="F18" i="22"/>
  <c r="F47" i="27"/>
  <c r="R116" i="4"/>
  <c r="AA17" i="67"/>
  <c r="Z17" s="1"/>
  <c r="Y17" s="1"/>
  <c r="X17" s="1"/>
  <c r="BO82" i="4"/>
  <c r="BP88"/>
  <c r="BT88" s="1"/>
  <c r="BQ89"/>
  <c r="BT89" s="1"/>
  <c r="AC90"/>
  <c r="BJ93"/>
  <c r="BO93"/>
  <c r="BO94"/>
  <c r="AR96"/>
  <c r="AC97"/>
  <c r="AR97"/>
  <c r="AW97" s="1"/>
  <c r="BO97"/>
  <c r="BO99"/>
  <c r="BJ106"/>
  <c r="BJ109"/>
  <c r="BO109"/>
  <c r="AO111"/>
  <c r="BO125"/>
  <c r="BP86" l="1"/>
  <c r="CA99"/>
  <c r="CA40"/>
  <c r="AY98"/>
  <c r="AY96" s="1"/>
  <c r="CA93"/>
  <c r="AC86"/>
  <c r="CA39"/>
  <c r="CA67"/>
  <c r="CA125"/>
  <c r="CA109"/>
  <c r="CA97"/>
  <c r="CA94"/>
  <c r="BR86"/>
  <c r="BT86" s="1"/>
  <c r="BQ85"/>
  <c r="BM86"/>
  <c r="BO86" s="1"/>
  <c r="BL85"/>
  <c r="CA78"/>
  <c r="BM42"/>
  <c r="CA81"/>
  <c r="AC96"/>
  <c r="CA91"/>
  <c r="BB76"/>
  <c r="CA126"/>
  <c r="CA124"/>
  <c r="CA83"/>
  <c r="CA27"/>
  <c r="CA68"/>
  <c r="CA38"/>
  <c r="CA24"/>
  <c r="U85"/>
  <c r="U111" s="1"/>
  <c r="BH126"/>
  <c r="CA82"/>
  <c r="CA104"/>
  <c r="CA98"/>
  <c r="CA96"/>
  <c r="CA80"/>
  <c r="CA58"/>
  <c r="CA37"/>
  <c r="CA25"/>
  <c r="X85"/>
  <c r="BU86"/>
  <c r="BY86" s="1"/>
  <c r="V85"/>
  <c r="CA102"/>
  <c r="CA101"/>
  <c r="CA100"/>
  <c r="CA45"/>
  <c r="CA90"/>
  <c r="AY93"/>
  <c r="BA93" s="1"/>
  <c r="BA94"/>
  <c r="BF94" s="1"/>
  <c r="BH94" s="1"/>
  <c r="BA98"/>
  <c r="BF98" s="1"/>
  <c r="BH98" s="1"/>
  <c r="AT17" i="67"/>
  <c r="AS17" s="1"/>
  <c r="AR17" s="1"/>
  <c r="AQ17" s="1"/>
  <c r="AP17" s="1"/>
  <c r="AO17" s="1"/>
  <c r="AN17" s="1"/>
  <c r="AM17" s="1"/>
  <c r="AL17" s="1"/>
  <c r="CA89" i="4"/>
  <c r="CA88"/>
  <c r="AY90"/>
  <c r="BA90" s="1"/>
  <c r="BJ85"/>
  <c r="AD74" i="67"/>
  <c r="R83" i="4"/>
  <c r="AA76"/>
  <c r="BJ21"/>
  <c r="BA88"/>
  <c r="AC85" l="1"/>
  <c r="BP85"/>
  <c r="BU85"/>
  <c r="BK85"/>
  <c r="BM85"/>
  <c r="BR85"/>
  <c r="BW85"/>
  <c r="CA86"/>
  <c r="AA111"/>
  <c r="AA133" s="1"/>
  <c r="AW96"/>
  <c r="BO85" l="1"/>
  <c r="BY85"/>
  <c r="BT85"/>
  <c r="CA85" l="1"/>
  <c r="F160" i="59"/>
  <c r="I159"/>
  <c r="H159"/>
  <c r="D151" l="1"/>
  <c r="D150"/>
  <c r="D149"/>
  <c r="D148"/>
  <c r="D147"/>
  <c r="D146"/>
  <c r="D145"/>
  <c r="D144"/>
  <c r="D143"/>
  <c r="H144"/>
  <c r="H143"/>
  <c r="H146"/>
  <c r="H145"/>
  <c r="F142" l="1"/>
  <c r="D141"/>
  <c r="D140"/>
  <c r="D130" l="1"/>
  <c r="D129"/>
  <c r="D128"/>
  <c r="D127"/>
  <c r="D126"/>
  <c r="D125"/>
  <c r="D124"/>
  <c r="D123"/>
  <c r="D122"/>
  <c r="D120"/>
  <c r="D119"/>
  <c r="D98" l="1"/>
  <c r="D97"/>
  <c r="D108"/>
  <c r="D107"/>
  <c r="D106"/>
  <c r="D105"/>
  <c r="D104"/>
  <c r="D103"/>
  <c r="D102"/>
  <c r="D101"/>
  <c r="D100"/>
  <c r="D96"/>
  <c r="D89"/>
  <c r="F96"/>
  <c r="F108"/>
  <c r="F102"/>
  <c r="F98"/>
  <c r="F101"/>
  <c r="F103"/>
  <c r="F107"/>
  <c r="F104"/>
  <c r="F97"/>
  <c r="F100"/>
  <c r="F106"/>
  <c r="F105"/>
  <c r="F99" l="1"/>
  <c r="F109"/>
  <c r="D81"/>
  <c r="D80"/>
  <c r="F111" l="1"/>
  <c r="D71"/>
  <c r="D70"/>
  <c r="D69"/>
  <c r="D68"/>
  <c r="D67"/>
  <c r="D66"/>
  <c r="D65"/>
  <c r="F68"/>
  <c r="D64" l="1"/>
  <c r="D63"/>
  <c r="D62"/>
  <c r="D61"/>
  <c r="D60"/>
  <c r="D59"/>
  <c r="D58" l="1"/>
  <c r="D53"/>
  <c r="D52"/>
  <c r="D45" l="1"/>
  <c r="D44"/>
  <c r="D42" l="1"/>
  <c r="D41"/>
  <c r="D40"/>
  <c r="D38" l="1"/>
  <c r="D37"/>
  <c r="D35"/>
  <c r="D34"/>
  <c r="D33"/>
  <c r="D32"/>
  <c r="D176" s="1"/>
  <c r="D30"/>
  <c r="D175" s="1"/>
  <c r="D29"/>
  <c r="D174" s="1"/>
  <c r="D28"/>
  <c r="D173" s="1"/>
  <c r="D27"/>
  <c r="D172" s="1"/>
  <c r="D26"/>
  <c r="D171" s="1"/>
  <c r="D25"/>
  <c r="D170" s="1"/>
  <c r="D24"/>
  <c r="D169" s="1"/>
  <c r="D23"/>
  <c r="D168" s="1"/>
  <c r="D17" l="1"/>
  <c r="D16"/>
  <c r="D15"/>
  <c r="D14"/>
  <c r="D12" l="1"/>
  <c r="D11"/>
  <c r="D10"/>
  <c r="D9"/>
  <c r="D8"/>
  <c r="D7"/>
  <c r="D4"/>
  <c r="D46" i="60" l="1"/>
  <c r="D45"/>
  <c r="D44"/>
  <c r="D40"/>
  <c r="D39"/>
  <c r="AS40"/>
  <c r="AS39"/>
  <c r="AS38"/>
  <c r="D36"/>
  <c r="AS37"/>
  <c r="AS36"/>
  <c r="AS35"/>
  <c r="D33"/>
  <c r="AS34"/>
  <c r="AW35"/>
  <c r="AS33" l="1"/>
  <c r="D29"/>
  <c r="D24"/>
  <c r="D21"/>
  <c r="D20"/>
  <c r="BH17"/>
  <c r="D18"/>
  <c r="D17"/>
  <c r="D16" l="1"/>
  <c r="D15"/>
  <c r="D14"/>
  <c r="D13"/>
  <c r="BE12"/>
  <c r="D12"/>
  <c r="BE11"/>
  <c r="D19"/>
  <c r="BE10"/>
  <c r="D11"/>
  <c r="BE9"/>
  <c r="D10"/>
  <c r="BE8"/>
  <c r="D9"/>
  <c r="D8"/>
  <c r="BH7"/>
  <c r="D7"/>
  <c r="D6"/>
  <c r="D5"/>
  <c r="D45" i="25"/>
  <c r="D44"/>
  <c r="E45" l="1"/>
  <c r="E44"/>
  <c r="D43"/>
  <c r="E43" s="1"/>
  <c r="D42" l="1"/>
  <c r="E42" s="1"/>
  <c r="D41"/>
  <c r="E41" s="1"/>
  <c r="D40" l="1"/>
  <c r="E40" s="1"/>
  <c r="D39"/>
  <c r="E39" s="1"/>
  <c r="D38" l="1"/>
  <c r="E38" s="1"/>
  <c r="D37"/>
  <c r="E37" s="1"/>
  <c r="D36"/>
  <c r="E36" s="1"/>
  <c r="D35"/>
  <c r="E35" s="1"/>
  <c r="D34"/>
  <c r="E34" s="1"/>
  <c r="D33" l="1"/>
  <c r="E33" s="1"/>
  <c r="D32" l="1"/>
  <c r="E32" s="1"/>
  <c r="D31" l="1"/>
  <c r="E31" s="1"/>
  <c r="D30"/>
  <c r="E30" s="1"/>
  <c r="D29"/>
  <c r="E29" s="1"/>
  <c r="D28" l="1"/>
  <c r="E28" s="1"/>
  <c r="D27" l="1"/>
  <c r="E27" s="1"/>
  <c r="D26" l="1"/>
  <c r="E26" s="1"/>
  <c r="D25" l="1"/>
  <c r="E25" s="1"/>
  <c r="D24"/>
  <c r="E24" s="1"/>
  <c r="D23"/>
  <c r="E23" s="1"/>
  <c r="D22"/>
  <c r="E22" s="1"/>
  <c r="D20" l="1"/>
  <c r="E20" s="1"/>
  <c r="D19" l="1"/>
  <c r="D18"/>
  <c r="D17"/>
  <c r="E17" s="1"/>
  <c r="D16"/>
  <c r="E15"/>
  <c r="D14"/>
  <c r="E14" s="1"/>
  <c r="D13"/>
  <c r="E13" s="1"/>
  <c r="D12"/>
  <c r="E12" s="1"/>
  <c r="D11"/>
  <c r="E11" s="1"/>
  <c r="D10"/>
  <c r="E10" s="1"/>
  <c r="D9"/>
  <c r="D8"/>
  <c r="E8" s="1"/>
  <c r="E18" l="1"/>
  <c r="E9"/>
  <c r="E16"/>
  <c r="E19"/>
  <c r="D7"/>
  <c r="E7" s="1"/>
  <c r="D6" l="1"/>
  <c r="E6" s="1"/>
  <c r="D5"/>
  <c r="E5" s="1"/>
  <c r="F5" i="24"/>
  <c r="F3"/>
  <c r="L78" i="85" l="1"/>
  <c r="L86"/>
  <c r="K78"/>
  <c r="G86"/>
  <c r="O86"/>
  <c r="J78"/>
  <c r="J86"/>
  <c r="I78"/>
  <c r="F86"/>
  <c r="M86"/>
  <c r="H78"/>
  <c r="H86"/>
  <c r="G78"/>
  <c r="O78"/>
  <c r="K86"/>
  <c r="F78"/>
  <c r="N78"/>
  <c r="N86"/>
  <c r="M78"/>
  <c r="I86"/>
  <c r="J94"/>
  <c r="G94"/>
  <c r="O94"/>
  <c r="H94"/>
  <c r="M94"/>
  <c r="F94"/>
  <c r="N94"/>
  <c r="K94"/>
  <c r="L94"/>
  <c r="I94"/>
  <c r="O55" i="81"/>
  <c r="F51" i="94"/>
  <c r="J51"/>
  <c r="N51"/>
  <c r="I51"/>
  <c r="M51"/>
  <c r="H51"/>
  <c r="L51"/>
  <c r="G51"/>
  <c r="K51"/>
  <c r="O51"/>
  <c r="G55" i="81"/>
  <c r="K55"/>
  <c r="H55"/>
  <c r="L55"/>
  <c r="I55"/>
  <c r="M55"/>
  <c r="F55"/>
  <c r="J55"/>
  <c r="N55"/>
  <c r="M52" i="87"/>
  <c r="J52"/>
  <c r="G52"/>
  <c r="O52"/>
  <c r="L52"/>
  <c r="I52"/>
  <c r="F52"/>
  <c r="N52"/>
  <c r="K52"/>
  <c r="H52"/>
  <c r="F67" i="32"/>
  <c r="F99" i="37"/>
  <c r="H67" i="90"/>
  <c r="N67"/>
  <c r="G99" i="37"/>
  <c r="O67" i="90"/>
  <c r="M67"/>
  <c r="G67"/>
  <c r="F67"/>
  <c r="L67"/>
  <c r="K67"/>
  <c r="I67" i="32"/>
  <c r="N67"/>
  <c r="J67" i="90"/>
  <c r="H67" i="32"/>
  <c r="O67"/>
  <c r="M67"/>
  <c r="I67" i="90"/>
  <c r="G67" i="32"/>
  <c r="L67"/>
  <c r="K67"/>
  <c r="G81" i="22"/>
  <c r="F81"/>
  <c r="J67" i="32"/>
  <c r="H81" i="22"/>
  <c r="H82" s="1"/>
  <c r="I81"/>
  <c r="J81"/>
  <c r="K81"/>
  <c r="L81"/>
  <c r="M81"/>
  <c r="N81"/>
  <c r="O81"/>
  <c r="U32" i="29"/>
  <c r="K104" i="85" l="1"/>
  <c r="K102"/>
  <c r="F104"/>
  <c r="F102"/>
  <c r="H104"/>
  <c r="H102"/>
  <c r="L104"/>
  <c r="L102"/>
  <c r="N104"/>
  <c r="N102"/>
  <c r="M104"/>
  <c r="M102"/>
  <c r="O102"/>
  <c r="O104"/>
  <c r="J104"/>
  <c r="J102"/>
  <c r="I102"/>
  <c r="I104"/>
  <c r="G104"/>
  <c r="G102"/>
  <c r="J71" i="81"/>
  <c r="J72"/>
  <c r="M72"/>
  <c r="M71"/>
  <c r="L71"/>
  <c r="L72"/>
  <c r="O72"/>
  <c r="O71"/>
  <c r="G72"/>
  <c r="G71"/>
  <c r="K60" i="94"/>
  <c r="K59"/>
  <c r="L59"/>
  <c r="L60"/>
  <c r="M60"/>
  <c r="M59"/>
  <c r="N59"/>
  <c r="N60"/>
  <c r="F59"/>
  <c r="F60"/>
  <c r="N71" i="81"/>
  <c r="N72"/>
  <c r="F72"/>
  <c r="F71"/>
  <c r="I72"/>
  <c r="I71"/>
  <c r="H71"/>
  <c r="H72"/>
  <c r="K72"/>
  <c r="K71"/>
  <c r="O60" i="94"/>
  <c r="O59"/>
  <c r="G60"/>
  <c r="G59"/>
  <c r="H59"/>
  <c r="H60"/>
  <c r="I60"/>
  <c r="I59"/>
  <c r="J59"/>
  <c r="J60"/>
  <c r="K60" i="87"/>
  <c r="K61"/>
  <c r="F60"/>
  <c r="F61"/>
  <c r="L60"/>
  <c r="L61"/>
  <c r="G60"/>
  <c r="G61"/>
  <c r="M60"/>
  <c r="M61"/>
  <c r="H60"/>
  <c r="H61"/>
  <c r="N60"/>
  <c r="N61"/>
  <c r="I60"/>
  <c r="I61"/>
  <c r="O60"/>
  <c r="O61"/>
  <c r="J60"/>
  <c r="J61"/>
  <c r="G82" i="22"/>
  <c r="F82" s="1"/>
  <c r="I76" i="90"/>
  <c r="I75"/>
  <c r="H76" i="32"/>
  <c r="H75"/>
  <c r="J103" i="85"/>
  <c r="K103"/>
  <c r="O75" i="90"/>
  <c r="O76"/>
  <c r="N82" i="22"/>
  <c r="M82" s="1"/>
  <c r="L82" s="1"/>
  <c r="K82" s="1"/>
  <c r="J82" s="1"/>
  <c r="I82" s="1"/>
  <c r="I83" s="1"/>
  <c r="H83" s="1"/>
  <c r="K76" i="32"/>
  <c r="K75"/>
  <c r="G76"/>
  <c r="G75"/>
  <c r="M76"/>
  <c r="M75"/>
  <c r="I103" i="85"/>
  <c r="J75" i="90"/>
  <c r="J76"/>
  <c r="I75" i="32"/>
  <c r="I76"/>
  <c r="K76" i="90"/>
  <c r="K75"/>
  <c r="F76"/>
  <c r="F75"/>
  <c r="L103" i="85"/>
  <c r="M75" i="90"/>
  <c r="M76"/>
  <c r="M103" i="85"/>
  <c r="G103"/>
  <c r="O103"/>
  <c r="F103"/>
  <c r="O82" i="22"/>
  <c r="O83" s="1"/>
  <c r="O85" s="1"/>
  <c r="J75" i="32"/>
  <c r="J76"/>
  <c r="L75"/>
  <c r="L76"/>
  <c r="O75"/>
  <c r="O76"/>
  <c r="N75"/>
  <c r="N76"/>
  <c r="L75" i="90"/>
  <c r="L76"/>
  <c r="G76"/>
  <c r="G75"/>
  <c r="N75"/>
  <c r="N76"/>
  <c r="H76"/>
  <c r="H75"/>
  <c r="N103" i="85"/>
  <c r="H103"/>
  <c r="F76" i="32"/>
  <c r="F75"/>
  <c r="F288" i="61"/>
  <c r="F301" s="1"/>
  <c r="AY60" i="71"/>
  <c r="AZ60" i="75"/>
  <c r="T61"/>
  <c r="T57" i="29"/>
  <c r="BA61" i="77"/>
  <c r="T67" i="76"/>
  <c r="AX57" i="71"/>
  <c r="T65" i="73"/>
  <c r="T61"/>
  <c r="T57" i="74"/>
  <c r="BB61"/>
  <c r="T61" i="70"/>
  <c r="BB61"/>
  <c r="AX57" i="72"/>
  <c r="AX67" i="73"/>
  <c r="AX57" i="70"/>
  <c r="AZ60" i="29"/>
  <c r="AX67" i="76"/>
  <c r="AX67" i="75"/>
  <c r="T65" i="77"/>
  <c r="BA61" i="75"/>
  <c r="T60" i="78"/>
  <c r="T58" i="70"/>
  <c r="T67" i="29"/>
  <c r="T60" i="77"/>
  <c r="AX67" i="29"/>
  <c r="BA61" i="76"/>
  <c r="AY60" i="72"/>
  <c r="AX57" i="78"/>
  <c r="AW65" i="72"/>
  <c r="T58"/>
  <c r="T60" i="75"/>
  <c r="AY60" i="70"/>
  <c r="T60" i="72"/>
  <c r="AX67" i="78"/>
  <c r="T60" i="74"/>
  <c r="T57" i="77"/>
  <c r="T58"/>
  <c r="AX58" i="76"/>
  <c r="AX58" i="74"/>
  <c r="T58" i="75"/>
  <c r="AX58" i="72"/>
  <c r="BB61" i="29"/>
  <c r="AZ60" i="72"/>
  <c r="T61" i="74"/>
  <c r="AZ60" i="71"/>
  <c r="BB61" i="72"/>
  <c r="T67" i="73"/>
  <c r="T65" i="71"/>
  <c r="T57"/>
  <c r="T67" i="70"/>
  <c r="T67" i="75"/>
  <c r="T67" i="78"/>
  <c r="AX58" i="70"/>
  <c r="AX57" i="73"/>
  <c r="T57" i="75"/>
  <c r="T58" i="76"/>
  <c r="AZ60" i="70"/>
  <c r="AY60" i="29"/>
  <c r="T65"/>
  <c r="BB61" i="78"/>
  <c r="T65" i="70"/>
  <c r="AW65" i="77"/>
  <c r="T65" i="75"/>
  <c r="AX57"/>
  <c r="AW65" i="71"/>
  <c r="AX67" i="72"/>
  <c r="BB61" i="77"/>
  <c r="AX58"/>
  <c r="AX58" i="73"/>
  <c r="AX57" i="74"/>
  <c r="AX58" i="75"/>
  <c r="AW65" i="78"/>
  <c r="BA61" i="29"/>
  <c r="T60"/>
  <c r="T57" i="70"/>
  <c r="T60" i="76"/>
  <c r="T65" i="74"/>
  <c r="AX57" i="76"/>
  <c r="AX58" i="71"/>
  <c r="T57" i="78"/>
  <c r="T58" i="73"/>
  <c r="T61" i="29"/>
  <c r="T58"/>
  <c r="AW65" i="70"/>
  <c r="T65" i="72"/>
  <c r="T65" i="78"/>
  <c r="AX67" i="71"/>
  <c r="AZ60" i="76"/>
  <c r="T65"/>
  <c r="BA61" i="72"/>
  <c r="T61" i="78"/>
  <c r="AX58"/>
  <c r="AW65" i="76"/>
  <c r="AY60"/>
  <c r="T61" i="77"/>
  <c r="AZ60" i="73"/>
  <c r="AW65"/>
  <c r="T58" i="74"/>
  <c r="AX57" i="29"/>
  <c r="T67" i="71"/>
  <c r="T61" i="76"/>
  <c r="BB61"/>
  <c r="T57" i="73"/>
  <c r="AX67" i="70"/>
  <c r="AX67" i="77"/>
  <c r="BA61" i="73"/>
  <c r="AW65" i="29"/>
  <c r="T60" i="73"/>
  <c r="T67" i="72"/>
  <c r="AY60" i="77"/>
  <c r="T61" i="72"/>
  <c r="AX57" i="77"/>
  <c r="AZ60"/>
  <c r="BA61" i="70"/>
  <c r="BB61" i="71"/>
  <c r="T67" i="74"/>
  <c r="BB61" i="75"/>
  <c r="AZ60" i="78"/>
  <c r="T57" i="76"/>
  <c r="AY60" i="75"/>
  <c r="T60" i="71"/>
  <c r="BA61" i="78"/>
  <c r="AX58" i="29"/>
  <c r="AZ60" i="74"/>
  <c r="AY60" i="78"/>
  <c r="T61" i="71"/>
  <c r="T60" i="70"/>
  <c r="AW65" i="74"/>
  <c r="T58" i="78"/>
  <c r="T57" i="72"/>
  <c r="BB61" i="73"/>
  <c r="T58" i="71"/>
  <c r="AW65" i="75"/>
  <c r="AX67" i="74"/>
  <c r="AY60"/>
  <c r="BA61"/>
  <c r="BA61" i="71"/>
  <c r="AY60" i="73"/>
  <c r="T67" i="77"/>
  <c r="BA63" i="72" l="1"/>
  <c r="BA63" i="70"/>
  <c r="BA84" s="1"/>
  <c r="BA63" i="78"/>
  <c r="BA63" i="76"/>
  <c r="BA63" i="74"/>
  <c r="BA84" s="1"/>
  <c r="BA63" i="73"/>
  <c r="BA84" s="1"/>
  <c r="BA63" i="71"/>
  <c r="BA63" i="29"/>
  <c r="BA84" s="1"/>
  <c r="BA63" i="77"/>
  <c r="BA63" i="75"/>
  <c r="BF61" i="73"/>
  <c r="AK61" i="72"/>
  <c r="BF61" i="71"/>
  <c r="AK61" i="70"/>
  <c r="AK61" i="78"/>
  <c r="BF61" i="29"/>
  <c r="BF61" i="77"/>
  <c r="AK61" i="76"/>
  <c r="BF61" i="75"/>
  <c r="AK61" i="74"/>
  <c r="AK61" i="73"/>
  <c r="BL61" s="1"/>
  <c r="BF61" i="72"/>
  <c r="AK61" i="71"/>
  <c r="BL61" s="1"/>
  <c r="BF61" i="70"/>
  <c r="BF61" i="78"/>
  <c r="AK61" i="29"/>
  <c r="BL61" s="1"/>
  <c r="AK61" i="77"/>
  <c r="BL61" s="1"/>
  <c r="BF61" i="76"/>
  <c r="AK61" i="75"/>
  <c r="BL61" s="1"/>
  <c r="BF61" i="74"/>
  <c r="I61" i="94"/>
  <c r="G61"/>
  <c r="O61"/>
  <c r="M61"/>
  <c r="K61"/>
  <c r="J61"/>
  <c r="H61"/>
  <c r="F61"/>
  <c r="N61"/>
  <c r="L61"/>
  <c r="BF65" i="74"/>
  <c r="BF65" i="72"/>
  <c r="BF65" i="29"/>
  <c r="BF65" i="70"/>
  <c r="BF65" i="78"/>
  <c r="BF65" i="76"/>
  <c r="AK65" i="71"/>
  <c r="AK65" i="77"/>
  <c r="AK65" i="75"/>
  <c r="AK65" i="73"/>
  <c r="BF65" i="71"/>
  <c r="BF65" i="77"/>
  <c r="BF65" i="75"/>
  <c r="BF65" i="73"/>
  <c r="AK65" i="74"/>
  <c r="BL65" s="1"/>
  <c r="AK65" i="72"/>
  <c r="BL65" s="1"/>
  <c r="AK65" i="29"/>
  <c r="BL65" s="1"/>
  <c r="AK65" i="70"/>
  <c r="BL65" s="1"/>
  <c r="AK65" i="78"/>
  <c r="BL65" s="1"/>
  <c r="AK65" i="76"/>
  <c r="BL65" s="1"/>
  <c r="H73" i="81"/>
  <c r="N73"/>
  <c r="L73"/>
  <c r="J73"/>
  <c r="K73"/>
  <c r="I73"/>
  <c r="F73"/>
  <c r="G73"/>
  <c r="O73"/>
  <c r="M73"/>
  <c r="AK67" i="73"/>
  <c r="T68"/>
  <c r="AK67" i="78"/>
  <c r="T68"/>
  <c r="AK67" i="72"/>
  <c r="T68"/>
  <c r="AK67" i="77"/>
  <c r="T68"/>
  <c r="AK67" i="71"/>
  <c r="T68"/>
  <c r="AK67" i="76"/>
  <c r="T68"/>
  <c r="AK67" i="70"/>
  <c r="T68"/>
  <c r="AK67" i="75"/>
  <c r="T68"/>
  <c r="AK67" i="29"/>
  <c r="T68"/>
  <c r="AK67" i="74"/>
  <c r="T68"/>
  <c r="BF67" i="73"/>
  <c r="AX68"/>
  <c r="BF67" i="78"/>
  <c r="AX68"/>
  <c r="BF67" i="72"/>
  <c r="AX68"/>
  <c r="BF67" i="77"/>
  <c r="AX68"/>
  <c r="BF67" i="71"/>
  <c r="AX68"/>
  <c r="BF67" i="76"/>
  <c r="AX68"/>
  <c r="BF67" i="70"/>
  <c r="AX68"/>
  <c r="BF67" i="75"/>
  <c r="AX68"/>
  <c r="BF67" i="29"/>
  <c r="AX68"/>
  <c r="BF67" i="74"/>
  <c r="AX68"/>
  <c r="J62" i="87"/>
  <c r="O62"/>
  <c r="I62"/>
  <c r="N62"/>
  <c r="H62"/>
  <c r="M62"/>
  <c r="G62"/>
  <c r="L62"/>
  <c r="F62"/>
  <c r="K62"/>
  <c r="K83" i="22"/>
  <c r="J83" s="1"/>
  <c r="M83"/>
  <c r="L83" s="1"/>
  <c r="N83"/>
  <c r="BF58" i="77"/>
  <c r="BF57"/>
  <c r="AX63"/>
  <c r="AX63" i="75"/>
  <c r="BF57"/>
  <c r="BF60"/>
  <c r="AZ63"/>
  <c r="AZ84" s="1"/>
  <c r="BF58" i="73"/>
  <c r="BF58" i="78"/>
  <c r="BF60" i="74"/>
  <c r="AZ63"/>
  <c r="AZ84" s="1"/>
  <c r="BF60" i="73"/>
  <c r="AZ63"/>
  <c r="AZ84" s="1"/>
  <c r="BF57" i="29"/>
  <c r="AX63"/>
  <c r="BF60" i="71"/>
  <c r="AZ63"/>
  <c r="AZ84" s="1"/>
  <c r="BF58"/>
  <c r="BF58" i="70"/>
  <c r="BF60" i="29"/>
  <c r="AZ63"/>
  <c r="AZ84" s="1"/>
  <c r="BF60" i="70"/>
  <c r="AZ63"/>
  <c r="AZ84" s="1"/>
  <c r="BF60" i="76"/>
  <c r="AZ63"/>
  <c r="AZ84" s="1"/>
  <c r="BF58" i="29"/>
  <c r="BF58" i="74"/>
  <c r="BF60" i="72"/>
  <c r="AZ63"/>
  <c r="AZ84" s="1"/>
  <c r="BF57" i="76"/>
  <c r="AX63"/>
  <c r="AX63" i="70"/>
  <c r="BF57"/>
  <c r="BF57" i="74"/>
  <c r="AX63"/>
  <c r="BF57" i="71"/>
  <c r="AX63"/>
  <c r="BF58" i="72"/>
  <c r="AK57" i="29"/>
  <c r="AK60" i="71"/>
  <c r="BL60" s="1"/>
  <c r="AK58" i="70"/>
  <c r="BL58" s="1"/>
  <c r="AK60" i="29"/>
  <c r="BL60" s="1"/>
  <c r="AK60" i="70"/>
  <c r="AK60" i="76"/>
  <c r="BL60" s="1"/>
  <c r="AK58" i="29"/>
  <c r="AK58" i="74"/>
  <c r="AK60" i="72"/>
  <c r="AK57" i="70"/>
  <c r="AK57" i="74"/>
  <c r="AK57" i="71"/>
  <c r="BL57" s="1"/>
  <c r="AK58" i="72"/>
  <c r="AK60" i="77"/>
  <c r="AK58"/>
  <c r="BL58" s="1"/>
  <c r="AK58" i="75"/>
  <c r="AK57" i="77"/>
  <c r="AK57" i="78"/>
  <c r="AK57" i="75"/>
  <c r="BL57" s="1"/>
  <c r="AK57" i="73"/>
  <c r="AK60" i="78"/>
  <c r="AK58" i="76"/>
  <c r="AK60" i="75"/>
  <c r="AK57" i="72"/>
  <c r="AK58" i="73"/>
  <c r="AK58" i="78"/>
  <c r="AK60" i="74"/>
  <c r="AK60" i="73"/>
  <c r="BL60" s="1"/>
  <c r="BF60" i="77"/>
  <c r="AZ63"/>
  <c r="AZ84" s="1"/>
  <c r="BF58" i="75"/>
  <c r="AX63" i="78"/>
  <c r="BF57"/>
  <c r="AX63" i="73"/>
  <c r="BF57"/>
  <c r="BF60" i="78"/>
  <c r="AZ63"/>
  <c r="AZ84" s="1"/>
  <c r="BF58" i="76"/>
  <c r="BF57" i="72"/>
  <c r="AX63"/>
  <c r="AK58" i="71"/>
  <c r="AK57" i="76"/>
  <c r="BL57" s="1"/>
  <c r="F325" i="61"/>
  <c r="N85" i="22"/>
  <c r="O132"/>
  <c r="F77" i="32"/>
  <c r="H105" i="85"/>
  <c r="G77" i="90"/>
  <c r="F105" i="85"/>
  <c r="G105"/>
  <c r="M105"/>
  <c r="F77" i="90"/>
  <c r="K77"/>
  <c r="I105" i="85"/>
  <c r="G77" i="32"/>
  <c r="K77"/>
  <c r="H77"/>
  <c r="I77" i="90"/>
  <c r="N105" i="85"/>
  <c r="N77" i="90"/>
  <c r="L77"/>
  <c r="N77" i="32"/>
  <c r="O77"/>
  <c r="L77"/>
  <c r="J77"/>
  <c r="O105" i="85"/>
  <c r="M77" i="90"/>
  <c r="L105" i="85"/>
  <c r="I77" i="32"/>
  <c r="J77" i="90"/>
  <c r="O77"/>
  <c r="K105" i="85"/>
  <c r="J105"/>
  <c r="G83" i="22"/>
  <c r="F83" s="1"/>
  <c r="H77" i="90"/>
  <c r="M77" i="32"/>
  <c r="AJ15" i="29"/>
  <c r="F45" i="82"/>
  <c r="F48" s="1"/>
  <c r="F50" s="1"/>
  <c r="M105" i="59"/>
  <c r="N106"/>
  <c r="F18" i="47"/>
  <c r="Q102" i="59"/>
  <c r="K18" i="47"/>
  <c r="H102" i="59"/>
  <c r="N108"/>
  <c r="M18" i="47"/>
  <c r="K105" i="59"/>
  <c r="N102"/>
  <c r="K17" i="47"/>
  <c r="J108" i="59"/>
  <c r="Q106"/>
  <c r="J106"/>
  <c r="I18" i="47"/>
  <c r="M103" i="59"/>
  <c r="S12" i="29"/>
  <c r="G18" i="47"/>
  <c r="K108" i="59"/>
  <c r="I108"/>
  <c r="H103"/>
  <c r="O105"/>
  <c r="P102"/>
  <c r="I106"/>
  <c r="J18" i="47"/>
  <c r="L103" i="59"/>
  <c r="P108"/>
  <c r="O106"/>
  <c r="P105"/>
  <c r="M108"/>
  <c r="H105"/>
  <c r="J105"/>
  <c r="M106"/>
  <c r="L18" i="47"/>
  <c r="I105" i="59"/>
  <c r="Q105"/>
  <c r="V81" i="78"/>
  <c r="I103" i="59"/>
  <c r="N17" i="47"/>
  <c r="K103" i="59"/>
  <c r="J102"/>
  <c r="L106"/>
  <c r="O102"/>
  <c r="O18" i="47"/>
  <c r="O108" i="59"/>
  <c r="N18" i="47"/>
  <c r="H18"/>
  <c r="K106" i="59"/>
  <c r="O17" i="47"/>
  <c r="I17"/>
  <c r="G17"/>
  <c r="I102" i="59"/>
  <c r="M102"/>
  <c r="L17" i="47"/>
  <c r="J103" i="59"/>
  <c r="P103"/>
  <c r="Q108"/>
  <c r="J17" i="47"/>
  <c r="F17"/>
  <c r="O103" i="59"/>
  <c r="M17" i="47"/>
  <c r="L105" i="59"/>
  <c r="H106"/>
  <c r="H108"/>
  <c r="N105"/>
  <c r="P106"/>
  <c r="L102"/>
  <c r="N103"/>
  <c r="H17" i="47"/>
  <c r="K102" i="59"/>
  <c r="L108"/>
  <c r="Q103"/>
  <c r="F61" i="82" l="1"/>
  <c r="F53"/>
  <c r="G149" i="47"/>
  <c r="G157" s="1"/>
  <c r="AX84" i="71"/>
  <c r="BL61" i="78"/>
  <c r="BL61" i="74"/>
  <c r="BL61" i="76"/>
  <c r="BL61" i="70"/>
  <c r="BL61" i="72"/>
  <c r="F149" i="47"/>
  <c r="F157" s="1"/>
  <c r="AX84" i="72"/>
  <c r="BL65" i="75"/>
  <c r="BL65" i="71"/>
  <c r="BL65" i="73"/>
  <c r="BL65" i="77"/>
  <c r="I149" i="47"/>
  <c r="I157" s="1"/>
  <c r="N149"/>
  <c r="N157" s="1"/>
  <c r="J149"/>
  <c r="J157" s="1"/>
  <c r="BL67" i="74"/>
  <c r="BL67" i="29"/>
  <c r="BL67" i="75"/>
  <c r="BL67" i="70"/>
  <c r="BL67" i="76"/>
  <c r="BL67" i="71"/>
  <c r="BL67" i="77"/>
  <c r="BL67" i="72"/>
  <c r="BL67" i="78"/>
  <c r="BL67" i="73"/>
  <c r="O149" i="47"/>
  <c r="O157" s="1"/>
  <c r="H149"/>
  <c r="H157" s="1"/>
  <c r="M149"/>
  <c r="M157" s="1"/>
  <c r="L149"/>
  <c r="L157" s="1"/>
  <c r="N148"/>
  <c r="N156" s="1"/>
  <c r="J148"/>
  <c r="J156" s="1"/>
  <c r="H148"/>
  <c r="O148"/>
  <c r="O156" s="1"/>
  <c r="K148"/>
  <c r="K156" s="1"/>
  <c r="I148"/>
  <c r="K149"/>
  <c r="K157" s="1"/>
  <c r="L148"/>
  <c r="L156" s="1"/>
  <c r="G148"/>
  <c r="G156" s="1"/>
  <c r="F148"/>
  <c r="F156" s="1"/>
  <c r="M148"/>
  <c r="M156" s="1"/>
  <c r="BL57" i="77"/>
  <c r="H156" i="47"/>
  <c r="I156"/>
  <c r="BL60" i="74"/>
  <c r="BL58" i="73"/>
  <c r="BL60" i="75"/>
  <c r="BL58" i="71"/>
  <c r="BL58" i="72"/>
  <c r="BL57" i="74"/>
  <c r="BL60" i="72"/>
  <c r="BL58" i="29"/>
  <c r="BL60" i="70"/>
  <c r="BL57" i="29"/>
  <c r="BL58" i="78"/>
  <c r="BL57" i="70"/>
  <c r="BL58" i="74"/>
  <c r="V82" i="78"/>
  <c r="S14" i="29"/>
  <c r="BL57" i="72"/>
  <c r="BL58" i="76"/>
  <c r="BL57" i="73"/>
  <c r="BL57" i="78"/>
  <c r="BL58" i="75"/>
  <c r="BL60" i="77"/>
  <c r="M85" i="22"/>
  <c r="N132"/>
  <c r="BL60" i="78"/>
  <c r="V81" i="77"/>
  <c r="AI66" i="29"/>
  <c r="F64" i="82" l="1"/>
  <c r="F63"/>
  <c r="V82" i="77"/>
  <c r="L85" i="22"/>
  <c r="M132"/>
  <c r="AG15" i="29"/>
  <c r="F291" i="61"/>
  <c r="F304" s="1"/>
  <c r="F328" s="1"/>
  <c r="V81" i="76"/>
  <c r="F36" i="36"/>
  <c r="H66" i="29"/>
  <c r="S66"/>
  <c r="V12"/>
  <c r="F410" i="36" l="1"/>
  <c r="F582" s="1"/>
  <c r="S68" i="29"/>
  <c r="Q66"/>
  <c r="H68"/>
  <c r="Q68" s="1"/>
  <c r="V82" i="76"/>
  <c r="K85" i="22"/>
  <c r="L132"/>
  <c r="V14" i="29"/>
  <c r="H80" i="37"/>
  <c r="V81" i="75"/>
  <c r="AI9" i="29"/>
  <c r="AI11" l="1"/>
  <c r="AI15" s="1"/>
  <c r="H92" i="37"/>
  <c r="H93" s="1"/>
  <c r="H85"/>
  <c r="H108" s="1"/>
  <c r="H94"/>
  <c r="I80"/>
  <c r="V82" i="75"/>
  <c r="J85" i="22"/>
  <c r="K132"/>
  <c r="V81" i="74"/>
  <c r="I92" i="37" l="1"/>
  <c r="I93" s="1"/>
  <c r="I85"/>
  <c r="I108" s="1"/>
  <c r="I94"/>
  <c r="J80"/>
  <c r="V82" i="74"/>
  <c r="I85" i="22"/>
  <c r="J132"/>
  <c r="V81" i="73"/>
  <c r="J92" i="37" l="1"/>
  <c r="J93" s="1"/>
  <c r="J85"/>
  <c r="J108" s="1"/>
  <c r="J94"/>
  <c r="K80"/>
  <c r="V82" i="73"/>
  <c r="H85" i="22"/>
  <c r="I132"/>
  <c r="V81" i="72"/>
  <c r="K92" i="37" l="1"/>
  <c r="K93" s="1"/>
  <c r="K85"/>
  <c r="K108" s="1"/>
  <c r="K94"/>
  <c r="K97" s="1"/>
  <c r="V82" i="72"/>
  <c r="G85" i="22"/>
  <c r="H132"/>
  <c r="V81" i="71"/>
  <c r="K99" i="37" l="1"/>
  <c r="K104" s="1"/>
  <c r="K107" s="1"/>
  <c r="V82" i="71"/>
  <c r="F85" i="22"/>
  <c r="F132" s="1"/>
  <c r="G132"/>
  <c r="V81" i="70"/>
  <c r="V81" i="29"/>
  <c r="K106" i="37" l="1"/>
  <c r="K105"/>
  <c r="K109"/>
  <c r="K126" s="1"/>
  <c r="V82" i="70"/>
  <c r="V82" i="29"/>
  <c r="F293" i="61"/>
  <c r="F306" s="1"/>
  <c r="F330" s="1"/>
  <c r="L80" i="37"/>
  <c r="U79" i="74"/>
  <c r="AB12" i="29"/>
  <c r="K128" i="37" l="1"/>
  <c r="L92"/>
  <c r="L93" s="1"/>
  <c r="L94" s="1"/>
  <c r="L85"/>
  <c r="L108" s="1"/>
  <c r="M80"/>
  <c r="AB14" i="29"/>
  <c r="M92" i="37" l="1"/>
  <c r="M93" s="1"/>
  <c r="M85"/>
  <c r="M108" s="1"/>
  <c r="M94"/>
  <c r="N80"/>
  <c r="I97"/>
  <c r="N92" l="1"/>
  <c r="N93" s="1"/>
  <c r="N85"/>
  <c r="N108" s="1"/>
  <c r="N94"/>
  <c r="I99"/>
  <c r="I104" s="1"/>
  <c r="I107" s="1"/>
  <c r="O80"/>
  <c r="O81" i="88"/>
  <c r="DF15" i="78"/>
  <c r="DE15"/>
  <c r="DD15"/>
  <c r="DC15"/>
  <c r="DB15"/>
  <c r="DA15"/>
  <c r="CZ15"/>
  <c r="CY15"/>
  <c r="CX15"/>
  <c r="CW15"/>
  <c r="CV15"/>
  <c r="CU15"/>
  <c r="F112" i="49"/>
  <c r="F103" i="62"/>
  <c r="DA32" i="29"/>
  <c r="DB32"/>
  <c r="DC32"/>
  <c r="DD32"/>
  <c r="DE32"/>
  <c r="DF32"/>
  <c r="F289" i="61"/>
  <c r="F302" s="1"/>
  <c r="F290"/>
  <c r="F303" s="1"/>
  <c r="F292"/>
  <c r="F305" s="1"/>
  <c r="F296"/>
  <c r="F309" s="1"/>
  <c r="DC37" i="78"/>
  <c r="BQ18" i="29"/>
  <c r="BQ17"/>
  <c r="I105" i="37" l="1"/>
  <c r="I106"/>
  <c r="I109"/>
  <c r="I126" s="1"/>
  <c r="O92"/>
  <c r="O93" s="1"/>
  <c r="O85"/>
  <c r="O108" s="1"/>
  <c r="O94"/>
  <c r="O97" s="1"/>
  <c r="BQ19" i="29"/>
  <c r="DC38" i="78"/>
  <c r="DH38" s="1"/>
  <c r="F295" i="61"/>
  <c r="F308" s="1"/>
  <c r="O112" i="49"/>
  <c r="AX35" i="60"/>
  <c r="BQ17" i="78"/>
  <c r="U79" i="72"/>
  <c r="I128" i="37" l="1"/>
  <c r="F317" i="61" a="1"/>
  <c r="F332"/>
  <c r="O99" i="37"/>
  <c r="O104" s="1"/>
  <c r="O107" s="1"/>
  <c r="F315" i="61" a="1"/>
  <c r="F315" s="1"/>
  <c r="F341" s="1"/>
  <c r="F316" a="1"/>
  <c r="O103" i="62"/>
  <c r="J15" i="70"/>
  <c r="J84"/>
  <c r="I15"/>
  <c r="J15" i="72"/>
  <c r="BQ18" i="78"/>
  <c r="BO12" i="29"/>
  <c r="O106" i="37" l="1"/>
  <c r="O105"/>
  <c r="O109"/>
  <c r="BO14" i="29"/>
  <c r="BQ19" i="78"/>
  <c r="DH19" s="1"/>
  <c r="J84" i="72"/>
  <c r="AX38" i="60"/>
  <c r="O128" i="37" l="1"/>
  <c r="O112"/>
  <c r="O137" s="1"/>
  <c r="O126"/>
  <c r="J15" i="74"/>
  <c r="J84"/>
  <c r="U79" i="78"/>
  <c r="BO79"/>
  <c r="J15" i="76" l="1"/>
  <c r="J84"/>
  <c r="J15" i="78" l="1"/>
  <c r="J84"/>
  <c r="K15" i="70"/>
  <c r="K84"/>
  <c r="K15" i="72"/>
  <c r="K84"/>
  <c r="K106"/>
  <c r="K15" i="74" l="1"/>
  <c r="K84"/>
  <c r="K15" i="76" l="1"/>
  <c r="K84"/>
  <c r="K15" i="78"/>
  <c r="K84"/>
  <c r="L15" i="70"/>
  <c r="L84"/>
  <c r="L15" i="72"/>
  <c r="L84"/>
  <c r="L106"/>
  <c r="L15" i="74" l="1"/>
  <c r="L84"/>
  <c r="L15" i="76"/>
  <c r="L84"/>
  <c r="L15" i="78"/>
  <c r="L84"/>
  <c r="M15" i="70"/>
  <c r="M84"/>
  <c r="M15" i="72"/>
  <c r="M84"/>
  <c r="M106"/>
  <c r="M15" i="74" l="1"/>
  <c r="M84"/>
  <c r="M15" i="76" l="1"/>
  <c r="M84"/>
  <c r="M106"/>
  <c r="M15" i="78" l="1"/>
  <c r="M84"/>
  <c r="M106"/>
  <c r="N15" i="70" l="1"/>
  <c r="N84"/>
  <c r="N15" i="72"/>
  <c r="N84"/>
  <c r="N106"/>
  <c r="N15" i="74" l="1"/>
  <c r="N84"/>
  <c r="N15" i="76" l="1"/>
  <c r="N84"/>
  <c r="N106"/>
  <c r="N15" i="78" l="1"/>
  <c r="N84"/>
  <c r="N106"/>
  <c r="O15" i="70" l="1"/>
  <c r="O84"/>
  <c r="O15" i="72" l="1"/>
  <c r="O84"/>
  <c r="O106"/>
  <c r="O15" i="74" l="1"/>
  <c r="O84"/>
  <c r="O106"/>
  <c r="O15" i="76" l="1"/>
  <c r="O84"/>
  <c r="O106"/>
  <c r="O15" i="78" l="1"/>
  <c r="O84"/>
  <c r="O106"/>
  <c r="J84" i="29" l="1"/>
  <c r="J15" i="71" l="1"/>
  <c r="J84" l="1"/>
  <c r="I15"/>
  <c r="J15" i="73"/>
  <c r="J84" l="1"/>
  <c r="J15" i="75" l="1"/>
  <c r="J84" l="1"/>
  <c r="J15" i="77" l="1"/>
  <c r="J84"/>
  <c r="K84" i="29"/>
  <c r="K15" i="71"/>
  <c r="K84"/>
  <c r="K15" i="73" l="1"/>
  <c r="K84"/>
  <c r="K15" i="75"/>
  <c r="K84"/>
  <c r="K15" i="77" l="1"/>
  <c r="K84"/>
  <c r="L84" i="29"/>
  <c r="L15" i="71"/>
  <c r="L84"/>
  <c r="L15" i="73"/>
  <c r="L84"/>
  <c r="L15" i="75" l="1"/>
  <c r="L84"/>
  <c r="L15" i="77"/>
  <c r="L84" l="1"/>
  <c r="M84" i="29" l="1"/>
  <c r="M15" i="71" l="1"/>
  <c r="M84"/>
  <c r="M15" i="73" l="1"/>
  <c r="M84"/>
  <c r="M15" i="75" l="1"/>
  <c r="M84"/>
  <c r="M15" i="77" l="1"/>
  <c r="M84"/>
  <c r="M106"/>
  <c r="N84" i="29" l="1"/>
  <c r="N15" i="71" l="1"/>
  <c r="N84"/>
  <c r="N15" i="73" l="1"/>
  <c r="N84"/>
  <c r="N106"/>
  <c r="N15" i="75" l="1"/>
  <c r="N84"/>
  <c r="N15" i="77"/>
  <c r="N84"/>
  <c r="N106"/>
  <c r="O84" i="29" l="1"/>
  <c r="O15" i="71" l="1"/>
  <c r="O84"/>
  <c r="O15" i="73" l="1"/>
  <c r="O84"/>
  <c r="O106"/>
  <c r="O15" i="75" l="1"/>
  <c r="O84"/>
  <c r="O106"/>
  <c r="O15" i="77" l="1"/>
  <c r="O84"/>
  <c r="O106"/>
  <c r="H15" i="70" l="1"/>
  <c r="H40" s="1"/>
  <c r="I15" i="74"/>
  <c r="H15" l="1"/>
  <c r="H40" s="1"/>
  <c r="I15" i="78"/>
  <c r="H15"/>
  <c r="H40" s="1"/>
  <c r="H84" i="29" l="1"/>
  <c r="H109" s="1"/>
  <c r="H15" i="71"/>
  <c r="H40" s="1"/>
  <c r="I15" i="73"/>
  <c r="H15" l="1"/>
  <c r="H40" s="1"/>
  <c r="I15" i="75"/>
  <c r="H15" l="1"/>
  <c r="H40" s="1"/>
  <c r="I15" i="77"/>
  <c r="H15" l="1"/>
  <c r="H40" s="1"/>
  <c r="H16" i="59"/>
  <c r="P84" i="29" l="1"/>
  <c r="G12"/>
  <c r="G14" l="1"/>
  <c r="P15" i="71"/>
  <c r="P84"/>
  <c r="P15" i="73" l="1"/>
  <c r="P84"/>
  <c r="P106"/>
  <c r="P15" i="75" l="1"/>
  <c r="P84"/>
  <c r="P106"/>
  <c r="P15" i="77" l="1"/>
  <c r="P84"/>
  <c r="P106"/>
  <c r="I15" i="72" l="1"/>
  <c r="H15" l="1"/>
  <c r="H40" s="1"/>
  <c r="I15" i="76"/>
  <c r="H15" l="1"/>
  <c r="H40" s="1"/>
  <c r="G288" i="61" l="1"/>
  <c r="G296"/>
  <c r="P15" i="70"/>
  <c r="P84"/>
  <c r="P15" i="72" l="1"/>
  <c r="P84"/>
  <c r="P106"/>
  <c r="P15" i="74" l="1"/>
  <c r="P84"/>
  <c r="P106"/>
  <c r="P15" i="76" l="1"/>
  <c r="P84"/>
  <c r="P106"/>
  <c r="P15" i="78" l="1"/>
  <c r="P84"/>
  <c r="P106"/>
  <c r="AV15" i="72" l="1"/>
  <c r="AV40" s="1"/>
  <c r="G84" i="27"/>
  <c r="H84" s="1"/>
  <c r="I84" s="1"/>
  <c r="I90" s="1"/>
  <c r="I92" s="1"/>
  <c r="I93" s="1"/>
  <c r="I98" s="1"/>
  <c r="I99" l="1"/>
  <c r="I100" s="1"/>
  <c r="I102" s="1"/>
  <c r="I112" s="1"/>
  <c r="AV75" i="72"/>
  <c r="AV76" l="1"/>
  <c r="AV84" s="1"/>
  <c r="AV109" s="1"/>
  <c r="AU15"/>
  <c r="AU40" s="1"/>
  <c r="AU84"/>
  <c r="Z15"/>
  <c r="Z40" s="1"/>
  <c r="AV15" i="74"/>
  <c r="AV40" s="1"/>
  <c r="J84" i="27"/>
  <c r="K84" s="1"/>
  <c r="K90" s="1"/>
  <c r="K92" s="1"/>
  <c r="K93" s="1"/>
  <c r="K98" s="1"/>
  <c r="K23" i="59"/>
  <c r="K168" l="1"/>
  <c r="K99" i="27"/>
  <c r="K100" s="1"/>
  <c r="K102" s="1"/>
  <c r="K112" s="1"/>
  <c r="AV75" i="74"/>
  <c r="AV76" l="1"/>
  <c r="AV84" s="1"/>
  <c r="AV109" s="1"/>
  <c r="AU15"/>
  <c r="AU40" s="1"/>
  <c r="AU84"/>
  <c r="Z15"/>
  <c r="Z40" s="1"/>
  <c r="AV15" i="76"/>
  <c r="AV40" s="1"/>
  <c r="L84" i="27"/>
  <c r="M84" s="1"/>
  <c r="M90" s="1"/>
  <c r="M92" s="1"/>
  <c r="M93" s="1"/>
  <c r="M98" s="1"/>
  <c r="M23" i="59"/>
  <c r="M168" l="1"/>
  <c r="M99" i="27"/>
  <c r="M100" s="1"/>
  <c r="M102" s="1"/>
  <c r="M112" s="1"/>
  <c r="AV75" i="76"/>
  <c r="AV76" l="1"/>
  <c r="AV84" s="1"/>
  <c r="AV109" s="1"/>
  <c r="AU15"/>
  <c r="AU40" s="1"/>
  <c r="AU84"/>
  <c r="Z15"/>
  <c r="Z40" s="1"/>
  <c r="AV15" i="78"/>
  <c r="AV40" s="1"/>
  <c r="N84" i="27"/>
  <c r="O84" s="1"/>
  <c r="O90" s="1"/>
  <c r="O92" s="1"/>
  <c r="O93" s="1"/>
  <c r="O98" s="1"/>
  <c r="O23" i="59"/>
  <c r="O168" l="1"/>
  <c r="O99" i="27"/>
  <c r="O100" s="1"/>
  <c r="O102" s="1"/>
  <c r="O112" s="1"/>
  <c r="AV75" i="78"/>
  <c r="AV76" l="1"/>
  <c r="AV84" s="1"/>
  <c r="AV109" s="1"/>
  <c r="AU15"/>
  <c r="AU40" s="1"/>
  <c r="AU84"/>
  <c r="Z15"/>
  <c r="Z40" s="1"/>
  <c r="AW15" i="70"/>
  <c r="AW40" s="1"/>
  <c r="G45" i="82"/>
  <c r="G48" s="1"/>
  <c r="G50" s="1"/>
  <c r="AW15" i="72"/>
  <c r="AW40" s="1"/>
  <c r="I45" i="82"/>
  <c r="I48" s="1"/>
  <c r="I50" s="1"/>
  <c r="AW15" i="74"/>
  <c r="AW40" s="1"/>
  <c r="K45" i="82"/>
  <c r="K48" s="1"/>
  <c r="K50" s="1"/>
  <c r="AW15" i="76"/>
  <c r="AW40" s="1"/>
  <c r="M45" i="82"/>
  <c r="M48" s="1"/>
  <c r="M50" s="1"/>
  <c r="AW15" i="78"/>
  <c r="AW40" s="1"/>
  <c r="O45" i="82"/>
  <c r="O48" s="1"/>
  <c r="O50" s="1"/>
  <c r="AX15" i="70"/>
  <c r="AX40" s="1"/>
  <c r="AX84"/>
  <c r="AX15" i="72"/>
  <c r="AX40" s="1"/>
  <c r="AX109" s="1"/>
  <c r="AX15" i="74"/>
  <c r="AX40" s="1"/>
  <c r="AX84"/>
  <c r="Q23" i="59"/>
  <c r="K25"/>
  <c r="K170" l="1"/>
  <c r="Q168"/>
  <c r="O62" i="82"/>
  <c r="O53"/>
  <c r="M62"/>
  <c r="M53"/>
  <c r="K62"/>
  <c r="K53"/>
  <c r="I62"/>
  <c r="I53"/>
  <c r="G62"/>
  <c r="G53"/>
  <c r="AX109" i="70"/>
  <c r="AX109" i="74"/>
  <c r="AX15" i="76"/>
  <c r="AX40" s="1"/>
  <c r="AX84"/>
  <c r="AX15" i="78"/>
  <c r="AX40" s="1"/>
  <c r="AX84"/>
  <c r="AY15" i="70"/>
  <c r="AY40" s="1"/>
  <c r="AY15" i="72"/>
  <c r="AY40" s="1"/>
  <c r="AY15" i="74"/>
  <c r="AY40" s="1"/>
  <c r="AY15" i="76"/>
  <c r="AY40" s="1"/>
  <c r="AY15" i="78"/>
  <c r="AY40" s="1"/>
  <c r="AZ15" i="70"/>
  <c r="AZ40" s="1"/>
  <c r="AZ109" s="1"/>
  <c r="AZ15" i="72"/>
  <c r="AZ40" s="1"/>
  <c r="AZ109" s="1"/>
  <c r="AZ15" i="74"/>
  <c r="AZ40" s="1"/>
  <c r="AZ109" s="1"/>
  <c r="AZ15" i="76"/>
  <c r="AZ40" s="1"/>
  <c r="AZ109" s="1"/>
  <c r="AZ15" i="78"/>
  <c r="AZ40" s="1"/>
  <c r="AZ109" s="1"/>
  <c r="BA15" i="70"/>
  <c r="BA40" s="1"/>
  <c r="BA109" s="1"/>
  <c r="BA15" i="72"/>
  <c r="BA40" s="1"/>
  <c r="AW66" i="76"/>
  <c r="I27" i="59"/>
  <c r="K27"/>
  <c r="O27"/>
  <c r="M27"/>
  <c r="I28"/>
  <c r="M25"/>
  <c r="AW66" i="74"/>
  <c r="Q27" i="59"/>
  <c r="AY62" i="70"/>
  <c r="AW66"/>
  <c r="AW66" i="72"/>
  <c r="I25" i="59"/>
  <c r="AW66" i="78"/>
  <c r="K172" i="59" l="1"/>
  <c r="I172"/>
  <c r="I170"/>
  <c r="I173"/>
  <c r="M170"/>
  <c r="O172"/>
  <c r="Q172"/>
  <c r="M172"/>
  <c r="G63" i="82"/>
  <c r="G64"/>
  <c r="I63"/>
  <c r="I64"/>
  <c r="K63"/>
  <c r="K64"/>
  <c r="M63"/>
  <c r="M64"/>
  <c r="O63"/>
  <c r="O64"/>
  <c r="AW68" i="70"/>
  <c r="AW84" s="1"/>
  <c r="AW109" s="1"/>
  <c r="AW68" i="72"/>
  <c r="AW84" s="1"/>
  <c r="AW109" s="1"/>
  <c r="AW68" i="74"/>
  <c r="AW84" s="1"/>
  <c r="AW109" s="1"/>
  <c r="AW68" i="76"/>
  <c r="AW84" s="1"/>
  <c r="AW109" s="1"/>
  <c r="AW68" i="78"/>
  <c r="AW84" s="1"/>
  <c r="AW109" s="1"/>
  <c r="AX109"/>
  <c r="AY63" i="70"/>
  <c r="AY84" s="1"/>
  <c r="AY109" s="1"/>
  <c r="AX109" i="76"/>
  <c r="BA15" i="74"/>
  <c r="BA40" s="1"/>
  <c r="BA109" s="1"/>
  <c r="BA15" i="76"/>
  <c r="BA40" s="1"/>
  <c r="O24" i="59"/>
  <c r="M24"/>
  <c r="H66" i="78"/>
  <c r="S66" i="76"/>
  <c r="H66"/>
  <c r="I26" i="59"/>
  <c r="K24"/>
  <c r="H66" i="74"/>
  <c r="H66" i="70"/>
  <c r="M28" i="59"/>
  <c r="S66" i="74"/>
  <c r="S66" i="78"/>
  <c r="I24" i="59"/>
  <c r="H66" i="72"/>
  <c r="S66"/>
  <c r="S66" i="70"/>
  <c r="Q25" i="59"/>
  <c r="Q24"/>
  <c r="O25"/>
  <c r="O170" l="1"/>
  <c r="K169"/>
  <c r="Q170"/>
  <c r="I169"/>
  <c r="I171"/>
  <c r="O169"/>
  <c r="Q169"/>
  <c r="M173"/>
  <c r="M169"/>
  <c r="Q66" i="78"/>
  <c r="H68"/>
  <c r="Q66" i="76"/>
  <c r="H68"/>
  <c r="Q66" i="74"/>
  <c r="H68"/>
  <c r="Q66" i="72"/>
  <c r="H68"/>
  <c r="Q66" i="70"/>
  <c r="H68"/>
  <c r="S68" i="78"/>
  <c r="S68" i="76"/>
  <c r="S68" i="74"/>
  <c r="S68" i="72"/>
  <c r="S68" i="70"/>
  <c r="BA15" i="78"/>
  <c r="BA40" s="1"/>
  <c r="AY62" i="72"/>
  <c r="Q68" i="70" l="1"/>
  <c r="H84"/>
  <c r="H109" s="1"/>
  <c r="Q68" i="72"/>
  <c r="H84"/>
  <c r="H109" s="1"/>
  <c r="Q68" i="74"/>
  <c r="H84"/>
  <c r="H109" s="1"/>
  <c r="Q68" i="76"/>
  <c r="H84"/>
  <c r="H109" s="1"/>
  <c r="Q68" i="78"/>
  <c r="H84"/>
  <c r="H109" s="1"/>
  <c r="AY63" i="72"/>
  <c r="AY84" s="1"/>
  <c r="AY109" s="1"/>
  <c r="BB15" i="70"/>
  <c r="BB40" s="1"/>
  <c r="M16" i="59"/>
  <c r="Q16"/>
  <c r="K26"/>
  <c r="O16"/>
  <c r="I16"/>
  <c r="K16"/>
  <c r="AY62" i="74"/>
  <c r="K171" i="59" l="1"/>
  <c r="AY63" i="74"/>
  <c r="AY84" s="1"/>
  <c r="AY109" s="1"/>
  <c r="BB15" i="72"/>
  <c r="BB40" s="1"/>
  <c r="M26" i="59"/>
  <c r="AY62" i="76"/>
  <c r="AY62" i="78"/>
  <c r="M171" i="59" l="1"/>
  <c r="AY63" i="76"/>
  <c r="AY84" s="1"/>
  <c r="AY109" s="1"/>
  <c r="AY63" i="78"/>
  <c r="AY84" s="1"/>
  <c r="AY109" s="1"/>
  <c r="BB15" i="74"/>
  <c r="BB40" s="1"/>
  <c r="Q26" i="59"/>
  <c r="O26"/>
  <c r="Q171" l="1"/>
  <c r="O171"/>
  <c r="BB15" i="76"/>
  <c r="BB40" s="1"/>
  <c r="BB15" i="78" l="1"/>
  <c r="BB40" s="1"/>
  <c r="AQ15" i="70" l="1"/>
  <c r="AQ40" s="1"/>
  <c r="AQ84"/>
  <c r="G289" i="61"/>
  <c r="G302" l="1"/>
  <c r="G326" s="1"/>
  <c r="AQ15" i="72"/>
  <c r="AQ40" s="1"/>
  <c r="AQ84"/>
  <c r="AQ15" i="74"/>
  <c r="AQ40" s="1"/>
  <c r="AQ84"/>
  <c r="AQ15" i="76"/>
  <c r="AQ40" s="1"/>
  <c r="AQ84"/>
  <c r="AQ15" i="78"/>
  <c r="AQ40" s="1"/>
  <c r="AQ84"/>
  <c r="F331" i="61"/>
  <c r="T12" i="70"/>
  <c r="BC12" i="29"/>
  <c r="T14" i="70" l="1"/>
  <c r="BC14" i="29"/>
  <c r="BB15" i="71"/>
  <c r="BB40" s="1"/>
  <c r="BE15" i="29"/>
  <c r="BE32"/>
  <c r="BE106"/>
  <c r="BD15" l="1"/>
  <c r="BD32"/>
  <c r="BD106"/>
  <c r="BE15" i="71"/>
  <c r="BE106"/>
  <c r="BD40" i="29" l="1"/>
  <c r="BD109" s="1"/>
  <c r="BE15" i="73"/>
  <c r="BE106"/>
  <c r="BD15" l="1"/>
  <c r="BD40" s="1"/>
  <c r="BD106"/>
  <c r="BE15" i="75"/>
  <c r="BE106"/>
  <c r="BD109" i="73" l="1"/>
  <c r="BE15" i="77"/>
  <c r="BE106"/>
  <c r="BD15" l="1"/>
  <c r="BD40" s="1"/>
  <c r="BD84"/>
  <c r="H34" i="59"/>
  <c r="BD109" i="77" l="1"/>
  <c r="BD15" i="71"/>
  <c r="BD40" s="1"/>
  <c r="BD106"/>
  <c r="L34" i="59"/>
  <c r="BD109" i="71" l="1"/>
  <c r="BD15" i="75"/>
  <c r="BD40" s="1"/>
  <c r="BD84"/>
  <c r="BD106"/>
  <c r="P34" i="59"/>
  <c r="J34"/>
  <c r="BD109" i="75" l="1"/>
  <c r="F327" i="61"/>
  <c r="AO106" i="29"/>
  <c r="AP15" i="71"/>
  <c r="AP40" s="1"/>
  <c r="AP84"/>
  <c r="AO15"/>
  <c r="AO40" s="1"/>
  <c r="AO106"/>
  <c r="AP15" i="73"/>
  <c r="AP40" s="1"/>
  <c r="AP84"/>
  <c r="AO15"/>
  <c r="AO40" s="1"/>
  <c r="AO106"/>
  <c r="AP15" i="75"/>
  <c r="AP40" s="1"/>
  <c r="AP84"/>
  <c r="AO15"/>
  <c r="AO40" s="1"/>
  <c r="AO106"/>
  <c r="AP15" i="77"/>
  <c r="AP40" s="1"/>
  <c r="AP84"/>
  <c r="AO15"/>
  <c r="AO40" s="1"/>
  <c r="AO106"/>
  <c r="AS15" i="70"/>
  <c r="AS40" s="1"/>
  <c r="AS84"/>
  <c r="X15"/>
  <c r="X40" s="1"/>
  <c r="G290" i="61"/>
  <c r="G303" s="1"/>
  <c r="G327" s="1"/>
  <c r="N34" i="59"/>
  <c r="U12" i="29"/>
  <c r="U12" i="70"/>
  <c r="U14" i="29" l="1"/>
  <c r="AO109" i="71"/>
  <c r="U14" i="70"/>
  <c r="AS15" i="72"/>
  <c r="AS40" s="1"/>
  <c r="AS84"/>
  <c r="X15"/>
  <c r="X40" s="1"/>
  <c r="AR15"/>
  <c r="AR40" s="1"/>
  <c r="AR84"/>
  <c r="AR104"/>
  <c r="AR106" s="1"/>
  <c r="AS15" i="74"/>
  <c r="AS40" s="1"/>
  <c r="AS84"/>
  <c r="X15"/>
  <c r="X40" s="1"/>
  <c r="AR15"/>
  <c r="AR40" s="1"/>
  <c r="AR84"/>
  <c r="AR104"/>
  <c r="AR106" s="1"/>
  <c r="AS15" i="76"/>
  <c r="AS40" s="1"/>
  <c r="AS84"/>
  <c r="X15"/>
  <c r="X40" s="1"/>
  <c r="AR15"/>
  <c r="AR40" s="1"/>
  <c r="AR84"/>
  <c r="AR104"/>
  <c r="AR106" s="1"/>
  <c r="AS15" i="78"/>
  <c r="AS40" s="1"/>
  <c r="AS84"/>
  <c r="X15"/>
  <c r="X40" s="1"/>
  <c r="AR15"/>
  <c r="AR40" s="1"/>
  <c r="AR84"/>
  <c r="AR104"/>
  <c r="AR106" s="1"/>
  <c r="AV15" i="70"/>
  <c r="AV40" s="1"/>
  <c r="G90" i="27"/>
  <c r="G92" s="1"/>
  <c r="G93" s="1"/>
  <c r="G98" s="1"/>
  <c r="AR109" i="78" l="1"/>
  <c r="AR109" i="74"/>
  <c r="G99" i="27"/>
  <c r="G100" s="1"/>
  <c r="G102" s="1"/>
  <c r="G112" s="1"/>
  <c r="AR109" i="76"/>
  <c r="AR109" i="72"/>
  <c r="AV75" i="70"/>
  <c r="AV76" l="1"/>
  <c r="AV84" s="1"/>
  <c r="AV109" s="1"/>
  <c r="AU15"/>
  <c r="AU40" s="1"/>
  <c r="AU84"/>
  <c r="Z15"/>
  <c r="Z40" s="1"/>
  <c r="Z84"/>
  <c r="G292" i="61"/>
  <c r="G305" s="1"/>
  <c r="G329" s="1"/>
  <c r="AV15" i="71"/>
  <c r="AV40" s="1"/>
  <c r="H90" i="27"/>
  <c r="H92" s="1"/>
  <c r="H93" s="1"/>
  <c r="H98" s="1"/>
  <c r="W12" i="70"/>
  <c r="I23" i="59"/>
  <c r="I168" l="1"/>
  <c r="W14" i="70"/>
  <c r="H99" i="27"/>
  <c r="H100" s="1"/>
  <c r="H102" s="1"/>
  <c r="H112" s="1"/>
  <c r="AV75" i="71"/>
  <c r="AV76" l="1"/>
  <c r="AV84" s="1"/>
  <c r="AV109" s="1"/>
  <c r="AU15"/>
  <c r="AU40" s="1"/>
  <c r="AU84"/>
  <c r="Z15"/>
  <c r="Z40" s="1"/>
  <c r="Z84"/>
  <c r="AV15" i="73"/>
  <c r="AV40" s="1"/>
  <c r="J90" i="27"/>
  <c r="J92" s="1"/>
  <c r="J93" s="1"/>
  <c r="J98" s="1"/>
  <c r="J23" i="59"/>
  <c r="J168" l="1"/>
  <c r="J99" i="27"/>
  <c r="J100" s="1"/>
  <c r="J102" s="1"/>
  <c r="J112" s="1"/>
  <c r="AV75" i="73"/>
  <c r="AV76" l="1"/>
  <c r="AV84" s="1"/>
  <c r="AV109" s="1"/>
  <c r="AU15"/>
  <c r="AU40" s="1"/>
  <c r="AU84"/>
  <c r="Z15"/>
  <c r="Z40" s="1"/>
  <c r="AV15" i="75"/>
  <c r="AV40" s="1"/>
  <c r="L90" i="27"/>
  <c r="L92" s="1"/>
  <c r="L93" s="1"/>
  <c r="L98" s="1"/>
  <c r="L23" i="59"/>
  <c r="L168" l="1"/>
  <c r="L99" i="27"/>
  <c r="L100" s="1"/>
  <c r="L102" s="1"/>
  <c r="L112" s="1"/>
  <c r="AV75" i="75"/>
  <c r="AV76" l="1"/>
  <c r="AV84" s="1"/>
  <c r="AV109" s="1"/>
  <c r="AU15"/>
  <c r="AU40" s="1"/>
  <c r="AU84"/>
  <c r="Z15"/>
  <c r="Z40" s="1"/>
  <c r="AV15" i="77"/>
  <c r="AV40" s="1"/>
  <c r="N90" i="27"/>
  <c r="N92" s="1"/>
  <c r="N93" s="1"/>
  <c r="N98" s="1"/>
  <c r="N23" i="59"/>
  <c r="N168" l="1"/>
  <c r="N99" i="27"/>
  <c r="N100" s="1"/>
  <c r="N102" s="1"/>
  <c r="N112" s="1"/>
  <c r="AV75" i="77"/>
  <c r="AV76" l="1"/>
  <c r="AV84" s="1"/>
  <c r="AV109" s="1"/>
  <c r="AU15"/>
  <c r="AU40" s="1"/>
  <c r="AU84"/>
  <c r="Z15"/>
  <c r="Z40" s="1"/>
  <c r="AW15" i="29"/>
  <c r="AW32"/>
  <c r="F62" i="82"/>
  <c r="AW66" i="29"/>
  <c r="P23" i="59"/>
  <c r="P168" l="1"/>
  <c r="AW40" i="29"/>
  <c r="AW68"/>
  <c r="AW84" s="1"/>
  <c r="AW109" l="1"/>
  <c r="AW15" i="71"/>
  <c r="AW40" s="1"/>
  <c r="H45" i="82"/>
  <c r="H48" s="1"/>
  <c r="H50" s="1"/>
  <c r="AW15" i="73"/>
  <c r="AW40" s="1"/>
  <c r="J45" i="82"/>
  <c r="J48" s="1"/>
  <c r="J50" s="1"/>
  <c r="AW15" i="75"/>
  <c r="AW40" s="1"/>
  <c r="L45" i="82"/>
  <c r="L48" s="1"/>
  <c r="L50" s="1"/>
  <c r="AW15" i="77"/>
  <c r="AW40" s="1"/>
  <c r="N45" i="82"/>
  <c r="N48" s="1"/>
  <c r="N50" s="1"/>
  <c r="AX15" i="29"/>
  <c r="AX32"/>
  <c r="H24" i="59"/>
  <c r="H169" l="1"/>
  <c r="N62" i="82"/>
  <c r="N53"/>
  <c r="L62"/>
  <c r="L53"/>
  <c r="J62"/>
  <c r="J53"/>
  <c r="H62"/>
  <c r="H53"/>
  <c r="AX40" i="29"/>
  <c r="AX15" i="71"/>
  <c r="AX40" s="1"/>
  <c r="AX109" s="1"/>
  <c r="AX15" i="73"/>
  <c r="AX40" s="1"/>
  <c r="AX84"/>
  <c r="J25" i="59"/>
  <c r="AW66" i="75"/>
  <c r="AW66" i="73"/>
  <c r="AW66" i="71"/>
  <c r="AW66" i="77"/>
  <c r="J170" i="59" l="1"/>
  <c r="H64" i="82"/>
  <c r="H63"/>
  <c r="J64"/>
  <c r="J63"/>
  <c r="L64"/>
  <c r="L63"/>
  <c r="N64"/>
  <c r="N63"/>
  <c r="AW68" i="71"/>
  <c r="AW84" s="1"/>
  <c r="AW109" s="1"/>
  <c r="AW68" i="73"/>
  <c r="AW84" s="1"/>
  <c r="AW109" s="1"/>
  <c r="AW68" i="75"/>
  <c r="AW84" s="1"/>
  <c r="AW109" s="1"/>
  <c r="AW68" i="77"/>
  <c r="AW84" s="1"/>
  <c r="AW109" s="1"/>
  <c r="AX109" i="73"/>
  <c r="AX15" i="75"/>
  <c r="AX40" s="1"/>
  <c r="AX84"/>
  <c r="AX15" i="77"/>
  <c r="AX40" s="1"/>
  <c r="AX84"/>
  <c r="H66" i="73"/>
  <c r="N24" i="59"/>
  <c r="H66" i="75"/>
  <c r="S66" i="77"/>
  <c r="J24" i="59"/>
  <c r="H66" i="71"/>
  <c r="S66" i="73"/>
  <c r="P24" i="59"/>
  <c r="L25"/>
  <c r="L24"/>
  <c r="S66" i="71"/>
  <c r="S66" i="75"/>
  <c r="H66" i="77"/>
  <c r="P169" i="59" l="1"/>
  <c r="L170"/>
  <c r="N169"/>
  <c r="L169"/>
  <c r="J169"/>
  <c r="S68" i="77"/>
  <c r="S68" i="75"/>
  <c r="S68" i="73"/>
  <c r="S68" i="71"/>
  <c r="Q66" i="77"/>
  <c r="H68"/>
  <c r="Q66" i="75"/>
  <c r="H68"/>
  <c r="Q66" i="73"/>
  <c r="H68"/>
  <c r="Q66" i="71"/>
  <c r="H68"/>
  <c r="AX109" i="75"/>
  <c r="AX109" i="77"/>
  <c r="AY15" i="29"/>
  <c r="AY32"/>
  <c r="N25" i="59"/>
  <c r="P25"/>
  <c r="P170" l="1"/>
  <c r="N170"/>
  <c r="Q68" i="71"/>
  <c r="H84"/>
  <c r="H109" s="1"/>
  <c r="Q68" i="73"/>
  <c r="H84"/>
  <c r="H109" s="1"/>
  <c r="Q68" i="75"/>
  <c r="H84"/>
  <c r="H109" s="1"/>
  <c r="Q68" i="77"/>
  <c r="H84"/>
  <c r="H109" s="1"/>
  <c r="AY40" i="29"/>
  <c r="AY15" i="71"/>
  <c r="AY40" s="1"/>
  <c r="AY15" i="73"/>
  <c r="AY40" s="1"/>
  <c r="AY15" i="75"/>
  <c r="AY40" s="1"/>
  <c r="AY15" i="77"/>
  <c r="AY40" s="1"/>
  <c r="AZ15" i="29"/>
  <c r="AZ32"/>
  <c r="AY62" i="77"/>
  <c r="AY62" i="71"/>
  <c r="L16" i="59"/>
  <c r="AY62" i="73"/>
  <c r="AY62" i="75"/>
  <c r="J16" i="59"/>
  <c r="N16"/>
  <c r="P16"/>
  <c r="AY63" i="71" l="1"/>
  <c r="AY84" s="1"/>
  <c r="AY109" s="1"/>
  <c r="AY63" i="77"/>
  <c r="AY84" s="1"/>
  <c r="AY109" s="1"/>
  <c r="AY63" i="75"/>
  <c r="AY84" s="1"/>
  <c r="AY109" s="1"/>
  <c r="AY63" i="73"/>
  <c r="AY84" s="1"/>
  <c r="AY109" s="1"/>
  <c r="AZ40" i="29"/>
  <c r="AZ109" s="1"/>
  <c r="AZ15" i="71"/>
  <c r="AZ40" s="1"/>
  <c r="AZ109" s="1"/>
  <c r="AZ15" i="73"/>
  <c r="AZ40" s="1"/>
  <c r="AZ109" s="1"/>
  <c r="AZ15" i="75"/>
  <c r="AZ40" s="1"/>
  <c r="AZ109" s="1"/>
  <c r="AZ15" i="77"/>
  <c r="AZ40" s="1"/>
  <c r="AZ109" s="1"/>
  <c r="BA15" i="29"/>
  <c r="BA32"/>
  <c r="N27" i="59"/>
  <c r="L26"/>
  <c r="J26"/>
  <c r="P26"/>
  <c r="P27"/>
  <c r="N26"/>
  <c r="H27"/>
  <c r="J27"/>
  <c r="L27"/>
  <c r="N171" l="1"/>
  <c r="N172"/>
  <c r="L171"/>
  <c r="H172"/>
  <c r="P171"/>
  <c r="L172"/>
  <c r="J171"/>
  <c r="J172"/>
  <c r="P172"/>
  <c r="BA40" i="29"/>
  <c r="BA109" s="1"/>
  <c r="BA15" i="71"/>
  <c r="BA40" s="1"/>
  <c r="H28" i="59"/>
  <c r="H173" l="1"/>
  <c r="BA15" i="73"/>
  <c r="BA40" s="1"/>
  <c r="BA109" s="1"/>
  <c r="BA15" i="75"/>
  <c r="BA40" s="1"/>
  <c r="L28" i="59"/>
  <c r="L173" l="1"/>
  <c r="BA15" i="77"/>
  <c r="BA40" s="1"/>
  <c r="BA84"/>
  <c r="BA109" l="1"/>
  <c r="BB15" i="29"/>
  <c r="BB32"/>
  <c r="P28" i="59"/>
  <c r="P173" l="1"/>
  <c r="BB40" i="29"/>
  <c r="BB15" i="73"/>
  <c r="BB40" s="1"/>
  <c r="BB15" i="75" l="1"/>
  <c r="BB40" s="1"/>
  <c r="BB15" i="77" l="1"/>
  <c r="BB40" s="1"/>
  <c r="F326" i="61" l="1"/>
  <c r="AQ15" i="71"/>
  <c r="AQ40" s="1"/>
  <c r="AQ84"/>
  <c r="AQ15" i="73"/>
  <c r="AQ40" s="1"/>
  <c r="AQ84"/>
  <c r="AQ15" i="75"/>
  <c r="AQ40" s="1"/>
  <c r="AQ84"/>
  <c r="AQ15" i="77"/>
  <c r="AQ40" s="1"/>
  <c r="AQ84"/>
  <c r="G307" i="61"/>
  <c r="G331" s="1"/>
  <c r="BE15" i="70"/>
  <c r="BE106"/>
  <c r="BC12"/>
  <c r="T12" i="29"/>
  <c r="T14" l="1"/>
  <c r="BC14" i="70"/>
  <c r="BD15"/>
  <c r="BD40" s="1"/>
  <c r="BD106"/>
  <c r="BE15" i="72"/>
  <c r="BE106"/>
  <c r="BD109" i="70" l="1"/>
  <c r="BD15" i="72"/>
  <c r="BD40" s="1"/>
  <c r="BD106"/>
  <c r="BE15" i="74"/>
  <c r="BE106"/>
  <c r="BD109" i="72" l="1"/>
  <c r="BD15" i="74"/>
  <c r="BD40" s="1"/>
  <c r="BD106"/>
  <c r="BE15" i="76"/>
  <c r="BE106"/>
  <c r="BD109" i="74" l="1"/>
  <c r="BE15" i="78"/>
  <c r="BE106"/>
  <c r="BD15" l="1"/>
  <c r="BD40" s="1"/>
  <c r="BD109" s="1"/>
  <c r="BD15" i="76"/>
  <c r="BD40" s="1"/>
  <c r="BD84"/>
  <c r="BD106"/>
  <c r="Q34" i="59"/>
  <c r="I34"/>
  <c r="K34"/>
  <c r="M34"/>
  <c r="BD109" i="76" l="1"/>
  <c r="AP15" i="70"/>
  <c r="AP40" s="1"/>
  <c r="AP84"/>
  <c r="AO15"/>
  <c r="AO40" s="1"/>
  <c r="AO106"/>
  <c r="AP15" i="72"/>
  <c r="AP40" s="1"/>
  <c r="AP84"/>
  <c r="AO15"/>
  <c r="AO40" s="1"/>
  <c r="AO106"/>
  <c r="AP15" i="74"/>
  <c r="AP40" s="1"/>
  <c r="AP84"/>
  <c r="AO15"/>
  <c r="AO40" s="1"/>
  <c r="AO106"/>
  <c r="AP15" i="76"/>
  <c r="AP40" s="1"/>
  <c r="AP84"/>
  <c r="AO15"/>
  <c r="AO40" s="1"/>
  <c r="AO106"/>
  <c r="AP15" i="78"/>
  <c r="AP40" s="1"/>
  <c r="AP84"/>
  <c r="AO15"/>
  <c r="AO40" s="1"/>
  <c r="AO106"/>
  <c r="AS15" i="71"/>
  <c r="AS40" s="1"/>
  <c r="AS84"/>
  <c r="X15"/>
  <c r="X40" s="1"/>
  <c r="AR15"/>
  <c r="AR40" s="1"/>
  <c r="AR84"/>
  <c r="AR104"/>
  <c r="AR106" s="1"/>
  <c r="AS15" i="73"/>
  <c r="AS40" s="1"/>
  <c r="AS84"/>
  <c r="X15"/>
  <c r="X40" s="1"/>
  <c r="AR15"/>
  <c r="AR40" s="1"/>
  <c r="AR84"/>
  <c r="AR104"/>
  <c r="AR106" s="1"/>
  <c r="AS15" i="75"/>
  <c r="AS40" s="1"/>
  <c r="AS84"/>
  <c r="X15"/>
  <c r="X40" s="1"/>
  <c r="AR15"/>
  <c r="AR40" s="1"/>
  <c r="AR84"/>
  <c r="AR104"/>
  <c r="AR106" s="1"/>
  <c r="AS15" i="77"/>
  <c r="AS40" s="1"/>
  <c r="AS84"/>
  <c r="X15"/>
  <c r="X40" s="1"/>
  <c r="AR15"/>
  <c r="AR40" s="1"/>
  <c r="AR84"/>
  <c r="AR104"/>
  <c r="AR106" s="1"/>
  <c r="AN15" i="70"/>
  <c r="AN40" s="1"/>
  <c r="AN106"/>
  <c r="O34" i="59"/>
  <c r="AR109" i="71" l="1"/>
  <c r="AN109" i="70"/>
  <c r="AR109" i="77"/>
  <c r="AR109" i="73"/>
  <c r="AO109" i="70"/>
  <c r="AR109" i="75"/>
  <c r="AN15" i="72"/>
  <c r="AN40" s="1"/>
  <c r="AN106"/>
  <c r="I40" i="59"/>
  <c r="G9" i="46"/>
  <c r="AN15" i="74" l="1"/>
  <c r="AN40" s="1"/>
  <c r="AN106"/>
  <c r="G49" i="46"/>
  <c r="G72" l="1"/>
  <c r="AN15" i="76"/>
  <c r="AN40" s="1"/>
  <c r="AN106"/>
  <c r="AN15" i="78" l="1"/>
  <c r="AN40" s="1"/>
  <c r="AN106"/>
  <c r="AT15" i="70" l="1"/>
  <c r="AT40" s="1"/>
  <c r="AT84"/>
  <c r="Y15"/>
  <c r="Y40" s="1"/>
  <c r="G291" i="61"/>
  <c r="G304" s="1"/>
  <c r="G328" s="1"/>
  <c r="V12" i="70"/>
  <c r="V14" l="1"/>
  <c r="AT15" i="72"/>
  <c r="AT40" s="1"/>
  <c r="AT84"/>
  <c r="Y15"/>
  <c r="Y40" s="1"/>
  <c r="AT15" i="74"/>
  <c r="AT40" s="1"/>
  <c r="AT84"/>
  <c r="Y15"/>
  <c r="Y40" s="1"/>
  <c r="AT15" i="76"/>
  <c r="AT40" s="1"/>
  <c r="AT84"/>
  <c r="Y15"/>
  <c r="Y40" s="1"/>
  <c r="AT15" i="78"/>
  <c r="AT40" s="1"/>
  <c r="AT84"/>
  <c r="Y15"/>
  <c r="Y40" s="1"/>
  <c r="AR15" i="70"/>
  <c r="AR40" s="1"/>
  <c r="AR84"/>
  <c r="K42" i="59"/>
  <c r="O42"/>
  <c r="Q42"/>
  <c r="M42"/>
  <c r="AR109" i="70" l="1"/>
  <c r="AN106" i="29"/>
  <c r="AM106"/>
  <c r="AN15" i="75"/>
  <c r="AN40" s="1"/>
  <c r="AN106"/>
  <c r="I42" i="59"/>
  <c r="AN15" i="77" l="1"/>
  <c r="AN40" s="1"/>
  <c r="AN106"/>
  <c r="AT15" i="71" l="1"/>
  <c r="AT40" s="1"/>
  <c r="AT84"/>
  <c r="Y15"/>
  <c r="Y40" s="1"/>
  <c r="AT15" i="73"/>
  <c r="AT40" s="1"/>
  <c r="AT84"/>
  <c r="Y15"/>
  <c r="Y40" s="1"/>
  <c r="AT15" i="75"/>
  <c r="AT40" s="1"/>
  <c r="AT84"/>
  <c r="Y15"/>
  <c r="Y40" s="1"/>
  <c r="AT15" i="77"/>
  <c r="AT40" s="1"/>
  <c r="AT84"/>
  <c r="Y15"/>
  <c r="Y40" s="1"/>
  <c r="AR104" i="29"/>
  <c r="AR106" s="1"/>
  <c r="AR109" s="1"/>
  <c r="F329" i="61"/>
  <c r="AN15" i="71"/>
  <c r="AN40" s="1"/>
  <c r="AN109" s="1"/>
  <c r="AN15" i="73"/>
  <c r="AN40" s="1"/>
  <c r="AN106"/>
  <c r="BI15" i="29"/>
  <c r="BI32"/>
  <c r="BI15" i="71"/>
  <c r="BI40" s="1"/>
  <c r="H114" i="27"/>
  <c r="P42" i="59"/>
  <c r="J45"/>
  <c r="H9" i="46"/>
  <c r="W12" i="29"/>
  <c r="J42" i="59"/>
  <c r="H42"/>
  <c r="J40"/>
  <c r="N42"/>
  <c r="I45"/>
  <c r="BI75" i="71"/>
  <c r="L42" i="59"/>
  <c r="W14" i="29" l="1"/>
  <c r="BI40"/>
  <c r="BI76" i="71"/>
  <c r="BI15" i="73"/>
  <c r="BI40" s="1"/>
  <c r="J114" i="27"/>
  <c r="J97" i="37"/>
  <c r="BI15" i="75"/>
  <c r="BI40" s="1"/>
  <c r="L114" i="27"/>
  <c r="L97" i="37"/>
  <c r="BI15" i="77"/>
  <c r="BI40" s="1"/>
  <c r="N114" i="27"/>
  <c r="N97" i="37"/>
  <c r="BI15" i="70"/>
  <c r="BI40" s="1"/>
  <c r="G114" i="27"/>
  <c r="G104" i="37"/>
  <c r="G107" s="1"/>
  <c r="G301" i="61"/>
  <c r="G325" s="1"/>
  <c r="BI75" i="70"/>
  <c r="BI75" i="73"/>
  <c r="S12" i="70"/>
  <c r="BI75" i="75"/>
  <c r="BI75" i="77"/>
  <c r="H49" i="46"/>
  <c r="H72" l="1"/>
  <c r="G106" i="37"/>
  <c r="G105"/>
  <c r="G128"/>
  <c r="N99"/>
  <c r="N104" s="1"/>
  <c r="N107" s="1"/>
  <c r="J99"/>
  <c r="J104" s="1"/>
  <c r="J107" s="1"/>
  <c r="L99"/>
  <c r="L104" s="1"/>
  <c r="L107" s="1"/>
  <c r="H97"/>
  <c r="BI76" i="75"/>
  <c r="BI76" i="73"/>
  <c r="BI76" i="70"/>
  <c r="BI76" i="77"/>
  <c r="S14" i="70"/>
  <c r="BI15" i="72"/>
  <c r="BI40" s="1"/>
  <c r="I114" i="27"/>
  <c r="BI15" i="74"/>
  <c r="BI40" s="1"/>
  <c r="K114" i="27"/>
  <c r="BI15" i="76"/>
  <c r="BI40" s="1"/>
  <c r="M114" i="27"/>
  <c r="M97" i="37"/>
  <c r="BI15" i="78"/>
  <c r="BI40" s="1"/>
  <c r="O114" i="27"/>
  <c r="AA15" i="72"/>
  <c r="AA40" s="1"/>
  <c r="AA84"/>
  <c r="AA106"/>
  <c r="BI75" i="76"/>
  <c r="BI79" i="70"/>
  <c r="BI75" i="78"/>
  <c r="BI79" i="72"/>
  <c r="BI79" i="74"/>
  <c r="BI75"/>
  <c r="BI75" i="72"/>
  <c r="BI79" i="78"/>
  <c r="L106" i="37" l="1"/>
  <c r="L105"/>
  <c r="N106"/>
  <c r="N105"/>
  <c r="J106"/>
  <c r="J105"/>
  <c r="M99"/>
  <c r="M104" s="1"/>
  <c r="M107" s="1"/>
  <c r="H99"/>
  <c r="H104" s="1"/>
  <c r="H107" s="1"/>
  <c r="F24" i="47" a="1"/>
  <c r="BI76" i="76"/>
  <c r="BI76" i="74"/>
  <c r="BI76" i="72"/>
  <c r="BI76" i="78"/>
  <c r="AA109" i="72"/>
  <c r="AA15" i="74"/>
  <c r="AA40" s="1"/>
  <c r="AA84"/>
  <c r="AA106"/>
  <c r="K64" i="59"/>
  <c r="J128" i="37" l="1"/>
  <c r="N128"/>
  <c r="L128"/>
  <c r="M105"/>
  <c r="M106"/>
  <c r="H106"/>
  <c r="H105"/>
  <c r="F24" i="47"/>
  <c r="G24"/>
  <c r="K24"/>
  <c r="O24"/>
  <c r="I24"/>
  <c r="M24"/>
  <c r="L24"/>
  <c r="H24"/>
  <c r="N24"/>
  <c r="J24"/>
  <c r="AA109" i="74"/>
  <c r="AA15" i="76"/>
  <c r="AA40" s="1"/>
  <c r="AA84"/>
  <c r="AA106"/>
  <c r="BI79" i="73"/>
  <c r="BI79" i="77"/>
  <c r="M64" i="59"/>
  <c r="BI79" i="75"/>
  <c r="H128" i="37" l="1"/>
  <c r="M128"/>
  <c r="AA109" i="76"/>
  <c r="AA15" i="78"/>
  <c r="AA40" s="1"/>
  <c r="AA84"/>
  <c r="AA106"/>
  <c r="BI79" i="76"/>
  <c r="BI79" i="71"/>
  <c r="O64" i="59"/>
  <c r="AA109" i="78" l="1"/>
  <c r="AC15" i="70"/>
  <c r="AC106"/>
  <c r="Q64" i="59"/>
  <c r="G293" i="61" l="1"/>
  <c r="G295" s="1"/>
  <c r="G308" s="1"/>
  <c r="G306" l="1"/>
  <c r="G330" s="1"/>
  <c r="AC15" i="72"/>
  <c r="AC106"/>
  <c r="AB12" i="70"/>
  <c r="AB14" l="1"/>
  <c r="AC15" i="74"/>
  <c r="AC106"/>
  <c r="AC15" i="76" l="1"/>
  <c r="AC106"/>
  <c r="AC15" i="78" l="1"/>
  <c r="AC84"/>
  <c r="AC106"/>
  <c r="AA15" i="70" l="1"/>
  <c r="AA40" s="1"/>
  <c r="AA84"/>
  <c r="AA106"/>
  <c r="AF15"/>
  <c r="AF40" s="1"/>
  <c r="AA109" l="1"/>
  <c r="AD15"/>
  <c r="AD40" s="1"/>
  <c r="AD95" s="1"/>
  <c r="AF15" i="72"/>
  <c r="AF40" s="1"/>
  <c r="AD15"/>
  <c r="AD40" s="1"/>
  <c r="AD95" s="1"/>
  <c r="AF15" i="74"/>
  <c r="AF40" s="1"/>
  <c r="AD15"/>
  <c r="AD40" s="1"/>
  <c r="AD95" s="1"/>
  <c r="AF15" i="76"/>
  <c r="AF40" s="1"/>
  <c r="AD15"/>
  <c r="AD40" s="1"/>
  <c r="AD95" s="1"/>
  <c r="AF15" i="78"/>
  <c r="AF40" s="1"/>
  <c r="I18" i="80"/>
  <c r="M18"/>
  <c r="K18"/>
  <c r="G18"/>
  <c r="M193" l="1"/>
  <c r="I193"/>
  <c r="K193"/>
  <c r="G193"/>
  <c r="AD96" i="72"/>
  <c r="AD96" i="70"/>
  <c r="AD96" i="76"/>
  <c r="AD96" i="74"/>
  <c r="AD99" i="76" l="1"/>
  <c r="AD106" s="1"/>
  <c r="AD109" s="1"/>
  <c r="AD99" i="70"/>
  <c r="AD106" s="1"/>
  <c r="AD109" s="1"/>
  <c r="AD99" i="74"/>
  <c r="AD106" s="1"/>
  <c r="AD109" s="1"/>
  <c r="AD99" i="72"/>
  <c r="AD106" s="1"/>
  <c r="AD109" s="1"/>
  <c r="AD15" i="78" l="1"/>
  <c r="AD40" s="1"/>
  <c r="AD84"/>
  <c r="AD95" l="1"/>
  <c r="O18" i="80"/>
  <c r="O193" l="1"/>
  <c r="AG15" i="70"/>
  <c r="AG40" s="1"/>
  <c r="AD96" i="78"/>
  <c r="AD99" l="1"/>
  <c r="AD106" s="1"/>
  <c r="AD109" s="1"/>
  <c r="AG15" i="72" l="1"/>
  <c r="AG40" s="1"/>
  <c r="AG15" i="74" l="1"/>
  <c r="AG40" s="1"/>
  <c r="AG15" i="76"/>
  <c r="AG40" s="1"/>
  <c r="AG15" i="78" l="1"/>
  <c r="AG40" s="1"/>
  <c r="G61" i="82" l="1"/>
  <c r="AI106" i="70"/>
  <c r="AI66"/>
  <c r="AI68" l="1"/>
  <c r="AI84" s="1"/>
  <c r="I61" i="82"/>
  <c r="AI106" i="72"/>
  <c r="AI66"/>
  <c r="G36" i="36"/>
  <c r="AI68" i="72" l="1"/>
  <c r="AI84" s="1"/>
  <c r="K61" i="82"/>
  <c r="AI106" i="74"/>
  <c r="AI66"/>
  <c r="I36" i="36"/>
  <c r="AI68" i="74" l="1"/>
  <c r="AI84" s="1"/>
  <c r="M61" i="82"/>
  <c r="AI106" i="76"/>
  <c r="K36" i="36"/>
  <c r="AI66" i="76"/>
  <c r="AI68" l="1"/>
  <c r="AI84" s="1"/>
  <c r="O61" i="82"/>
  <c r="AI106" i="78"/>
  <c r="AI66"/>
  <c r="M36" i="36"/>
  <c r="AI68" i="78" l="1"/>
  <c r="AI84" s="1"/>
  <c r="AJ15" i="70"/>
  <c r="AJ40" s="1"/>
  <c r="AJ44" s="1"/>
  <c r="AJ106"/>
  <c r="G9" i="93"/>
  <c r="O36" i="36"/>
  <c r="G24" i="93" l="1"/>
  <c r="G36" s="1"/>
  <c r="AJ15" i="72"/>
  <c r="AJ40" s="1"/>
  <c r="AJ44" s="1"/>
  <c r="AJ106"/>
  <c r="I9" i="93"/>
  <c r="AJ45" i="70"/>
  <c r="AJ46" l="1"/>
  <c r="AJ84" s="1"/>
  <c r="AJ109" s="1"/>
  <c r="I24" i="93"/>
  <c r="I36" s="1"/>
  <c r="AJ15" i="74"/>
  <c r="AJ40" s="1"/>
  <c r="AJ44" s="1"/>
  <c r="AJ106"/>
  <c r="I70" i="59"/>
  <c r="K9" i="93"/>
  <c r="AJ45" i="72"/>
  <c r="AJ46" l="1"/>
  <c r="AJ84" s="1"/>
  <c r="AJ109" s="1"/>
  <c r="K24" i="93"/>
  <c r="K36" s="1"/>
  <c r="AJ15" i="76"/>
  <c r="AJ40" s="1"/>
  <c r="AJ44" s="1"/>
  <c r="AJ106"/>
  <c r="AJ45" i="74"/>
  <c r="M9" i="93"/>
  <c r="K70" i="59"/>
  <c r="AJ46" i="74" l="1"/>
  <c r="AJ84" s="1"/>
  <c r="AJ109" s="1"/>
  <c r="M24" i="93"/>
  <c r="M36" s="1"/>
  <c r="AJ15" i="78"/>
  <c r="AJ40" s="1"/>
  <c r="AJ44" s="1"/>
  <c r="AJ106"/>
  <c r="AJ45" i="76"/>
  <c r="O71" i="59"/>
  <c r="O9" i="93"/>
  <c r="I71" i="59"/>
  <c r="M70"/>
  <c r="M71"/>
  <c r="I64"/>
  <c r="Q71"/>
  <c r="K71"/>
  <c r="AJ46" i="76" l="1"/>
  <c r="AJ84" s="1"/>
  <c r="AJ109" s="1"/>
  <c r="O24" i="93"/>
  <c r="O36" s="1"/>
  <c r="AA84" i="29"/>
  <c r="AA109" s="1"/>
  <c r="AA15" i="71"/>
  <c r="AA40" s="1"/>
  <c r="AA84"/>
  <c r="AA106"/>
  <c r="AJ45" i="78"/>
  <c r="H64" i="59"/>
  <c r="O70"/>
  <c r="AJ46" i="78" l="1"/>
  <c r="AJ84" s="1"/>
  <c r="AJ109" s="1"/>
  <c r="AA109" i="71"/>
  <c r="AA15" i="73"/>
  <c r="AA40" s="1"/>
  <c r="AA84"/>
  <c r="Q70" i="59"/>
  <c r="J64"/>
  <c r="AA109" i="73" l="1"/>
  <c r="AA15" i="75"/>
  <c r="AA40" s="1"/>
  <c r="AA84"/>
  <c r="AA106"/>
  <c r="L64" i="59"/>
  <c r="AA109" i="75" l="1"/>
  <c r="AA15" i="77"/>
  <c r="AA40" s="1"/>
  <c r="AA84"/>
  <c r="AA106"/>
  <c r="N64" i="59"/>
  <c r="AA109" i="77" l="1"/>
  <c r="AC84" i="29"/>
  <c r="AC106"/>
  <c r="P64" i="59"/>
  <c r="AC15" i="71" l="1"/>
  <c r="AC106"/>
  <c r="AC15" i="73" l="1"/>
  <c r="AC106"/>
  <c r="AC15" i="75" l="1"/>
  <c r="AC106"/>
  <c r="AC15" i="77" l="1"/>
  <c r="AC106"/>
  <c r="AD84" i="29" l="1"/>
  <c r="AD95" s="1"/>
  <c r="AF15" i="71"/>
  <c r="AF40" s="1"/>
  <c r="AD15"/>
  <c r="AD40" s="1"/>
  <c r="AD95" s="1"/>
  <c r="AF15" i="73"/>
  <c r="AF40" s="1"/>
  <c r="AD15"/>
  <c r="AD40" s="1"/>
  <c r="AD95" s="1"/>
  <c r="AF15" i="75"/>
  <c r="AF40" s="1"/>
  <c r="AD15"/>
  <c r="AD40" s="1"/>
  <c r="AD95" s="1"/>
  <c r="AF15" i="77"/>
  <c r="AF40" s="1"/>
  <c r="AD15"/>
  <c r="AD40" s="1"/>
  <c r="AD95" s="1"/>
  <c r="AG40" i="29"/>
  <c r="L18" i="80"/>
  <c r="F18"/>
  <c r="J18"/>
  <c r="N18"/>
  <c r="H18"/>
  <c r="J193" l="1"/>
  <c r="N193"/>
  <c r="L193"/>
  <c r="H193"/>
  <c r="F193"/>
  <c r="AD96" i="77"/>
  <c r="AD96" i="29"/>
  <c r="AD96" i="73"/>
  <c r="AD96" i="75"/>
  <c r="AD96" i="71"/>
  <c r="AD99" i="29" l="1"/>
  <c r="AD106" s="1"/>
  <c r="AD109" s="1"/>
  <c r="AD99" i="75"/>
  <c r="AD106" s="1"/>
  <c r="AD109" s="1"/>
  <c r="AD99" i="73"/>
  <c r="AD106" s="1"/>
  <c r="AD109" s="1"/>
  <c r="AD99" i="71"/>
  <c r="AD106" s="1"/>
  <c r="AD109" s="1"/>
  <c r="AD99" i="77"/>
  <c r="AD106" s="1"/>
  <c r="AD109" s="1"/>
  <c r="AG15" i="71" l="1"/>
  <c r="AG40" s="1"/>
  <c r="AG15" i="73"/>
  <c r="AG40" s="1"/>
  <c r="AG15" i="75" l="1"/>
  <c r="AG40" s="1"/>
  <c r="AG15" i="77" l="1"/>
  <c r="AG40" s="1"/>
  <c r="AI40" i="29" l="1"/>
  <c r="AI68"/>
  <c r="AI84" s="1"/>
  <c r="AI106"/>
  <c r="AI109" l="1"/>
  <c r="H61" i="82"/>
  <c r="AI106" i="71"/>
  <c r="H69" i="59"/>
  <c r="AI66" i="71"/>
  <c r="AI68" l="1"/>
  <c r="AI84" s="1"/>
  <c r="J61" i="82"/>
  <c r="AI106" i="73"/>
  <c r="AI66"/>
  <c r="H36" i="36"/>
  <c r="AI68" i="73" l="1"/>
  <c r="AI84" s="1"/>
  <c r="L61" i="82"/>
  <c r="AI106" i="75"/>
  <c r="J36" i="36"/>
  <c r="AI66" i="75"/>
  <c r="AI68" l="1"/>
  <c r="AI84" s="1"/>
  <c r="N61" i="82"/>
  <c r="AI106" i="77"/>
  <c r="L36" i="36"/>
  <c r="AI66" i="77"/>
  <c r="AI68" l="1"/>
  <c r="AI84" s="1"/>
  <c r="AJ40" i="29"/>
  <c r="AJ44" s="1"/>
  <c r="AJ106"/>
  <c r="N36" i="36"/>
  <c r="F9" i="93"/>
  <c r="F24" l="1"/>
  <c r="F36" s="1"/>
  <c r="AJ15" i="71"/>
  <c r="AJ40" s="1"/>
  <c r="AJ44" s="1"/>
  <c r="AJ106"/>
  <c r="AJ45" i="29"/>
  <c r="H9" i="93"/>
  <c r="AJ46" i="29" l="1"/>
  <c r="AJ84" s="1"/>
  <c r="AJ109" s="1"/>
  <c r="H24" i="93"/>
  <c r="H36" s="1"/>
  <c r="AJ15" i="73"/>
  <c r="AJ40" s="1"/>
  <c r="AJ44" s="1"/>
  <c r="AJ106"/>
  <c r="AJ45" i="71"/>
  <c r="J9" i="93"/>
  <c r="H70" i="59"/>
  <c r="AJ46" i="71" l="1"/>
  <c r="AJ84" s="1"/>
  <c r="AJ109" s="1"/>
  <c r="J24" i="93"/>
  <c r="J36" s="1"/>
  <c r="AJ15" i="75"/>
  <c r="AJ40" s="1"/>
  <c r="AJ44" s="1"/>
  <c r="AJ106"/>
  <c r="L9" i="93"/>
  <c r="J70" i="59"/>
  <c r="AJ45" i="73"/>
  <c r="AJ46" l="1"/>
  <c r="AJ84" s="1"/>
  <c r="AJ109" s="1"/>
  <c r="L24" i="93"/>
  <c r="L36" s="1"/>
  <c r="AJ15" i="77"/>
  <c r="AJ40" s="1"/>
  <c r="AJ44" s="1"/>
  <c r="AJ106"/>
  <c r="J71" i="59"/>
  <c r="H71"/>
  <c r="L70"/>
  <c r="P71"/>
  <c r="L71"/>
  <c r="N71"/>
  <c r="AJ45" i="75"/>
  <c r="N9" i="93"/>
  <c r="AJ46" i="75" l="1"/>
  <c r="AJ84" s="1"/>
  <c r="AJ109" s="1"/>
  <c r="N24" i="93"/>
  <c r="N36" s="1"/>
  <c r="BW15" i="70"/>
  <c r="BW40" s="1"/>
  <c r="BW106"/>
  <c r="BX15"/>
  <c r="BX106"/>
  <c r="BY15"/>
  <c r="BY40" s="1"/>
  <c r="BY106"/>
  <c r="BR15"/>
  <c r="BR40" s="1"/>
  <c r="BR106"/>
  <c r="BS15"/>
  <c r="BS40" s="1"/>
  <c r="BS106"/>
  <c r="BT15"/>
  <c r="BT40" s="1"/>
  <c r="BU15"/>
  <c r="BU40" s="1"/>
  <c r="BU106"/>
  <c r="BV15"/>
  <c r="BV40" s="1"/>
  <c r="BV106"/>
  <c r="BZ15"/>
  <c r="BZ40" s="1"/>
  <c r="BZ106"/>
  <c r="CA15"/>
  <c r="CA40" s="1"/>
  <c r="CA106"/>
  <c r="CB15"/>
  <c r="CB40" s="1"/>
  <c r="CB106"/>
  <c r="CC15"/>
  <c r="CC40" s="1"/>
  <c r="CC106"/>
  <c r="CD15"/>
  <c r="CD40" s="1"/>
  <c r="CD106"/>
  <c r="CE15"/>
  <c r="CE40" s="1"/>
  <c r="CE106"/>
  <c r="CF15"/>
  <c r="CF40" s="1"/>
  <c r="CF106"/>
  <c r="CG15"/>
  <c r="CG40" s="1"/>
  <c r="CG106"/>
  <c r="CH15"/>
  <c r="CH40" s="1"/>
  <c r="CH84"/>
  <c r="CH106"/>
  <c r="CI15"/>
  <c r="CI40" s="1"/>
  <c r="CI84"/>
  <c r="CI106"/>
  <c r="CJ15"/>
  <c r="CJ40" s="1"/>
  <c r="CJ84"/>
  <c r="CJ106"/>
  <c r="CK15"/>
  <c r="CK40" s="1"/>
  <c r="CK84"/>
  <c r="CK106"/>
  <c r="CL15"/>
  <c r="CL40" s="1"/>
  <c r="CL84"/>
  <c r="CL106"/>
  <c r="CM15"/>
  <c r="CM40" s="1"/>
  <c r="CM84"/>
  <c r="CM106"/>
  <c r="CN15"/>
  <c r="CN40" s="1"/>
  <c r="N70" i="59"/>
  <c r="T62" i="74"/>
  <c r="T62" i="73"/>
  <c r="T62" i="71"/>
  <c r="T62" i="78"/>
  <c r="T62" i="72"/>
  <c r="AJ45" i="77"/>
  <c r="T62" i="70"/>
  <c r="T62" i="76"/>
  <c r="T62" i="75"/>
  <c r="T62" i="77"/>
  <c r="AJ46" l="1"/>
  <c r="AJ84" s="1"/>
  <c r="AJ109" s="1"/>
  <c r="BW109" i="70"/>
  <c r="BY109"/>
  <c r="CI109"/>
  <c r="CM109"/>
  <c r="CG109"/>
  <c r="CF109"/>
  <c r="CE109"/>
  <c r="CD109"/>
  <c r="CC109"/>
  <c r="CB109"/>
  <c r="CA109"/>
  <c r="BZ109"/>
  <c r="BV109"/>
  <c r="BU109"/>
  <c r="CK109"/>
  <c r="CH109"/>
  <c r="CJ109"/>
  <c r="CL109"/>
  <c r="CN106"/>
  <c r="CO15"/>
  <c r="CO40" s="1"/>
  <c r="CO106"/>
  <c r="CP15"/>
  <c r="CP40" s="1"/>
  <c r="CP84"/>
  <c r="CP106"/>
  <c r="CQ15"/>
  <c r="CQ40" s="1"/>
  <c r="CQ84"/>
  <c r="CQ106"/>
  <c r="CR15"/>
  <c r="CR40" s="1"/>
  <c r="CR84"/>
  <c r="CR106"/>
  <c r="CS15"/>
  <c r="CS40" s="1"/>
  <c r="CS84"/>
  <c r="CS106"/>
  <c r="CT15"/>
  <c r="CT40" s="1"/>
  <c r="CT84"/>
  <c r="CT106"/>
  <c r="CU15"/>
  <c r="Q107" i="59"/>
  <c r="O107"/>
  <c r="I107"/>
  <c r="P70"/>
  <c r="J107"/>
  <c r="N107"/>
  <c r="P107"/>
  <c r="K107"/>
  <c r="L107"/>
  <c r="M107"/>
  <c r="CQ109" i="70" l="1"/>
  <c r="CS109"/>
  <c r="CR109"/>
  <c r="CT109"/>
  <c r="CP109"/>
  <c r="CU84"/>
  <c r="CU106"/>
  <c r="CV15"/>
  <c r="CV84" l="1"/>
  <c r="CV106"/>
  <c r="CW15"/>
  <c r="CW84" l="1"/>
  <c r="CW106"/>
  <c r="CX15"/>
  <c r="CX40" s="1"/>
  <c r="CX84"/>
  <c r="CX106"/>
  <c r="CY15"/>
  <c r="CY40" s="1"/>
  <c r="CZ15"/>
  <c r="CZ40" s="1"/>
  <c r="CZ84"/>
  <c r="CZ106"/>
  <c r="DA15"/>
  <c r="DA40" s="1"/>
  <c r="DA84"/>
  <c r="DA106"/>
  <c r="DB15"/>
  <c r="DB40" s="1"/>
  <c r="DB84"/>
  <c r="DB106"/>
  <c r="DC15"/>
  <c r="G109" i="37"/>
  <c r="G112" s="1"/>
  <c r="G117" s="1"/>
  <c r="G140" s="1"/>
  <c r="DC79" i="70"/>
  <c r="CZ109" l="1"/>
  <c r="CX109"/>
  <c r="DB109"/>
  <c r="DA109"/>
  <c r="DC82"/>
  <c r="DC84" s="1"/>
  <c r="DC106"/>
  <c r="DD15"/>
  <c r="DD40" s="1"/>
  <c r="DD84"/>
  <c r="DD106"/>
  <c r="DE15"/>
  <c r="DE40" s="1"/>
  <c r="DE84"/>
  <c r="DE106"/>
  <c r="DF15"/>
  <c r="DF40" s="1"/>
  <c r="DF84"/>
  <c r="DF106"/>
  <c r="DF109" l="1"/>
  <c r="DD109"/>
  <c r="DE109"/>
  <c r="BW15" i="72"/>
  <c r="BW40" s="1"/>
  <c r="BW106"/>
  <c r="BX15"/>
  <c r="BX106"/>
  <c r="BY15"/>
  <c r="BY40" s="1"/>
  <c r="BY106"/>
  <c r="BR15"/>
  <c r="BR40" s="1"/>
  <c r="BR106"/>
  <c r="BS15"/>
  <c r="BS40" s="1"/>
  <c r="BS106"/>
  <c r="BT15"/>
  <c r="BT40" s="1"/>
  <c r="BU15"/>
  <c r="BU40" s="1"/>
  <c r="BU106"/>
  <c r="BV15"/>
  <c r="BV40" s="1"/>
  <c r="BV106"/>
  <c r="BZ15"/>
  <c r="BZ40" s="1"/>
  <c r="BZ106"/>
  <c r="CA15"/>
  <c r="CA40" s="1"/>
  <c r="CA106"/>
  <c r="CB15"/>
  <c r="CB40" s="1"/>
  <c r="CB106"/>
  <c r="CC15"/>
  <c r="CC40" s="1"/>
  <c r="CC106"/>
  <c r="CD15"/>
  <c r="CD40" s="1"/>
  <c r="CD106"/>
  <c r="CE15"/>
  <c r="CE40" s="1"/>
  <c r="CE106"/>
  <c r="CF15"/>
  <c r="CF40" s="1"/>
  <c r="CF106"/>
  <c r="CG15"/>
  <c r="CG40" s="1"/>
  <c r="CG106"/>
  <c r="CH15"/>
  <c r="CH40" s="1"/>
  <c r="CH84"/>
  <c r="CH106"/>
  <c r="CI15"/>
  <c r="CI40" s="1"/>
  <c r="CI84"/>
  <c r="CI106"/>
  <c r="CJ15"/>
  <c r="CJ40" s="1"/>
  <c r="CJ84"/>
  <c r="CJ106"/>
  <c r="CK15"/>
  <c r="CK40" s="1"/>
  <c r="CK84"/>
  <c r="CK106"/>
  <c r="CL15"/>
  <c r="CL40" s="1"/>
  <c r="CL84"/>
  <c r="CL106"/>
  <c r="CM15"/>
  <c r="CM40" s="1"/>
  <c r="CM84"/>
  <c r="CM106"/>
  <c r="CN15"/>
  <c r="CN40" s="1"/>
  <c r="BW109" l="1"/>
  <c r="CG109"/>
  <c r="CF109"/>
  <c r="CE109"/>
  <c r="CB109"/>
  <c r="BZ109"/>
  <c r="BV109"/>
  <c r="BU109"/>
  <c r="CJ109"/>
  <c r="CD109"/>
  <c r="CC109"/>
  <c r="CL109"/>
  <c r="CI109"/>
  <c r="CM109"/>
  <c r="CH109"/>
  <c r="CA109"/>
  <c r="BY109"/>
  <c r="CK109"/>
  <c r="CN106"/>
  <c r="CO15"/>
  <c r="CO40" s="1"/>
  <c r="CO106"/>
  <c r="CP15"/>
  <c r="CP40" s="1"/>
  <c r="CP84"/>
  <c r="CP106"/>
  <c r="CQ15"/>
  <c r="CQ40" s="1"/>
  <c r="CQ84"/>
  <c r="CQ106"/>
  <c r="CR15"/>
  <c r="CR40" s="1"/>
  <c r="CR84"/>
  <c r="CR106"/>
  <c r="CS15"/>
  <c r="CS40" s="1"/>
  <c r="CS84"/>
  <c r="CS106"/>
  <c r="CT15"/>
  <c r="CT40" s="1"/>
  <c r="CT84"/>
  <c r="CT106"/>
  <c r="CU15"/>
  <c r="CS109" l="1"/>
  <c r="CT109"/>
  <c r="CQ109"/>
  <c r="CP109"/>
  <c r="CR109"/>
  <c r="CU84"/>
  <c r="CU106"/>
  <c r="CV15"/>
  <c r="CV84" l="1"/>
  <c r="CV106"/>
  <c r="CW15"/>
  <c r="CW84" l="1"/>
  <c r="CW106"/>
  <c r="CX15"/>
  <c r="CX40" s="1"/>
  <c r="CX84"/>
  <c r="CX106"/>
  <c r="CY15"/>
  <c r="CY40" s="1"/>
  <c r="CZ15"/>
  <c r="CZ40" s="1"/>
  <c r="CZ84"/>
  <c r="CZ106"/>
  <c r="DA15"/>
  <c r="DA40" s="1"/>
  <c r="DA84"/>
  <c r="DA106"/>
  <c r="DB15"/>
  <c r="DB40" s="1"/>
  <c r="DB84"/>
  <c r="DB106"/>
  <c r="DC15"/>
  <c r="I112" i="37"/>
  <c r="I117" s="1"/>
  <c r="I140" s="1"/>
  <c r="DC79" i="72"/>
  <c r="DB109" l="1"/>
  <c r="CZ109"/>
  <c r="CX109"/>
  <c r="DA109"/>
  <c r="DC82"/>
  <c r="DC84" s="1"/>
  <c r="DC106"/>
  <c r="DD15"/>
  <c r="DD40" s="1"/>
  <c r="DD84"/>
  <c r="DD106"/>
  <c r="DE15"/>
  <c r="DE40" s="1"/>
  <c r="DE84"/>
  <c r="DE106"/>
  <c r="DF15"/>
  <c r="DF40" s="1"/>
  <c r="DF84"/>
  <c r="DF106"/>
  <c r="DF109" l="1"/>
  <c r="DD109"/>
  <c r="DE109"/>
  <c r="BW15" i="74"/>
  <c r="BW40" s="1"/>
  <c r="BW106"/>
  <c r="BX15"/>
  <c r="BX40" s="1"/>
  <c r="BX106"/>
  <c r="BY15"/>
  <c r="BY40" s="1"/>
  <c r="BY106"/>
  <c r="BR15"/>
  <c r="BR40" s="1"/>
  <c r="BR106"/>
  <c r="BS15"/>
  <c r="BS40" s="1"/>
  <c r="BS106"/>
  <c r="BT15"/>
  <c r="BT40" s="1"/>
  <c r="BU15"/>
  <c r="BU40" s="1"/>
  <c r="BU106"/>
  <c r="BV15"/>
  <c r="BV40" s="1"/>
  <c r="BV106"/>
  <c r="BZ15"/>
  <c r="BZ40" s="1"/>
  <c r="BZ106"/>
  <c r="CA15"/>
  <c r="CA40" s="1"/>
  <c r="CA106"/>
  <c r="CB15"/>
  <c r="CB40" s="1"/>
  <c r="CB106"/>
  <c r="CC15"/>
  <c r="CC40" s="1"/>
  <c r="CC106"/>
  <c r="CD15"/>
  <c r="CD40" s="1"/>
  <c r="CD106"/>
  <c r="CE15"/>
  <c r="CE40" s="1"/>
  <c r="CE106"/>
  <c r="CF15"/>
  <c r="CF40" s="1"/>
  <c r="CF106"/>
  <c r="CG15"/>
  <c r="CG40" s="1"/>
  <c r="CG106"/>
  <c r="CH15"/>
  <c r="CH40" s="1"/>
  <c r="CH84"/>
  <c r="CH106"/>
  <c r="CI15"/>
  <c r="CI40" s="1"/>
  <c r="CI84"/>
  <c r="CI106"/>
  <c r="CJ15"/>
  <c r="CJ40" s="1"/>
  <c r="CJ84"/>
  <c r="CJ106"/>
  <c r="CK15"/>
  <c r="CK40" s="1"/>
  <c r="CK84"/>
  <c r="CK106"/>
  <c r="CL15"/>
  <c r="CL40" s="1"/>
  <c r="CL84"/>
  <c r="CL106"/>
  <c r="CM15"/>
  <c r="CM40" s="1"/>
  <c r="CM84"/>
  <c r="CM106"/>
  <c r="CN15"/>
  <c r="CN40" s="1"/>
  <c r="BY109" l="1"/>
  <c r="BX109"/>
  <c r="BW109"/>
  <c r="CC109"/>
  <c r="BV109"/>
  <c r="CK109"/>
  <c r="CG109"/>
  <c r="CE109"/>
  <c r="CD109"/>
  <c r="CH109"/>
  <c r="CA109"/>
  <c r="BZ109"/>
  <c r="CJ109"/>
  <c r="CF109"/>
  <c r="CB109"/>
  <c r="BU109"/>
  <c r="CL109"/>
  <c r="CM109"/>
  <c r="CI109"/>
  <c r="CN106"/>
  <c r="CO15"/>
  <c r="CO40" s="1"/>
  <c r="CO106"/>
  <c r="CP15"/>
  <c r="CP40" s="1"/>
  <c r="CP84"/>
  <c r="CP106"/>
  <c r="CQ15"/>
  <c r="CQ40" s="1"/>
  <c r="CQ84"/>
  <c r="CQ106"/>
  <c r="CR15"/>
  <c r="CR40" s="1"/>
  <c r="CR84"/>
  <c r="CR106"/>
  <c r="CS15"/>
  <c r="CS40" s="1"/>
  <c r="CS84"/>
  <c r="CS106"/>
  <c r="CT15"/>
  <c r="CT40" s="1"/>
  <c r="CT84"/>
  <c r="CT106"/>
  <c r="CU15"/>
  <c r="CS109" l="1"/>
  <c r="CR109"/>
  <c r="CT109"/>
  <c r="CQ109"/>
  <c r="CP109"/>
  <c r="CU84"/>
  <c r="CU106"/>
  <c r="CV15"/>
  <c r="CV84" l="1"/>
  <c r="CV106"/>
  <c r="CW15"/>
  <c r="CW84" l="1"/>
  <c r="CW106"/>
  <c r="CX15"/>
  <c r="CX40" s="1"/>
  <c r="CX84"/>
  <c r="CX106"/>
  <c r="CY15"/>
  <c r="CY40" s="1"/>
  <c r="CZ15"/>
  <c r="CZ40" s="1"/>
  <c r="CZ84"/>
  <c r="CZ106"/>
  <c r="DA15"/>
  <c r="DA40" s="1"/>
  <c r="DA84"/>
  <c r="DA106"/>
  <c r="DB15"/>
  <c r="DB40" s="1"/>
  <c r="DB84"/>
  <c r="DB106"/>
  <c r="DC15"/>
  <c r="K112" i="37"/>
  <c r="K117" s="1"/>
  <c r="K140" s="1"/>
  <c r="DC79" i="74"/>
  <c r="CX109" l="1"/>
  <c r="CZ109"/>
  <c r="DB109"/>
  <c r="DA109"/>
  <c r="DC82"/>
  <c r="DC84" s="1"/>
  <c r="DC106"/>
  <c r="DD15"/>
  <c r="DD40" s="1"/>
  <c r="DD84"/>
  <c r="DD106"/>
  <c r="DE15"/>
  <c r="DE40" s="1"/>
  <c r="DE84"/>
  <c r="DE106"/>
  <c r="DF15"/>
  <c r="DF40" s="1"/>
  <c r="DF84"/>
  <c r="DF106"/>
  <c r="M143" i="59"/>
  <c r="DF109" i="74" l="1"/>
  <c r="DE109"/>
  <c r="DD109"/>
  <c r="BW15" i="76"/>
  <c r="BW40" s="1"/>
  <c r="BW109" s="1"/>
  <c r="BX15"/>
  <c r="BX40" s="1"/>
  <c r="BX109" s="1"/>
  <c r="BY15"/>
  <c r="BY40" s="1"/>
  <c r="BY109" s="1"/>
  <c r="BR15"/>
  <c r="BR40" s="1"/>
  <c r="BR106"/>
  <c r="BS15"/>
  <c r="BS40" s="1"/>
  <c r="BS106"/>
  <c r="BT15"/>
  <c r="BT40" s="1"/>
  <c r="BU15"/>
  <c r="BU40" s="1"/>
  <c r="BU109" s="1"/>
  <c r="BV15"/>
  <c r="BV40" s="1"/>
  <c r="BV109" s="1"/>
  <c r="BZ15"/>
  <c r="BZ40" s="1"/>
  <c r="BZ109" s="1"/>
  <c r="CA15"/>
  <c r="CA40" s="1"/>
  <c r="CA109" s="1"/>
  <c r="CB15"/>
  <c r="CB40" s="1"/>
  <c r="CB109" s="1"/>
  <c r="CC15"/>
  <c r="CC40" s="1"/>
  <c r="CC109" s="1"/>
  <c r="CD15"/>
  <c r="CD40" s="1"/>
  <c r="CD109" s="1"/>
  <c r="CE15"/>
  <c r="CE40" s="1"/>
  <c r="CE109" s="1"/>
  <c r="CF15"/>
  <c r="CF40" s="1"/>
  <c r="CF109" s="1"/>
  <c r="CG15"/>
  <c r="CG40" s="1"/>
  <c r="CG109" s="1"/>
  <c r="CH15"/>
  <c r="CH40" s="1"/>
  <c r="CH84"/>
  <c r="CI15"/>
  <c r="CI40" s="1"/>
  <c r="CI84"/>
  <c r="CJ15"/>
  <c r="CJ40" s="1"/>
  <c r="CJ84"/>
  <c r="CK15"/>
  <c r="CK40" s="1"/>
  <c r="CK84"/>
  <c r="CL15"/>
  <c r="CL40" s="1"/>
  <c r="CL84"/>
  <c r="CM15"/>
  <c r="CM40" s="1"/>
  <c r="CM84"/>
  <c r="CN15"/>
  <c r="CN40" s="1"/>
  <c r="BR109" l="1"/>
  <c r="CM109"/>
  <c r="CL109"/>
  <c r="CK109"/>
  <c r="CJ109"/>
  <c r="CI109"/>
  <c r="CH109"/>
  <c r="CO15"/>
  <c r="CO40" s="1"/>
  <c r="CP15"/>
  <c r="CP40" s="1"/>
  <c r="CP84"/>
  <c r="CQ15"/>
  <c r="CQ40" s="1"/>
  <c r="CQ84"/>
  <c r="CR15"/>
  <c r="CR40" s="1"/>
  <c r="CR84"/>
  <c r="CS15"/>
  <c r="CS40" s="1"/>
  <c r="CS84"/>
  <c r="CT15"/>
  <c r="CT40" s="1"/>
  <c r="CT84"/>
  <c r="CU15"/>
  <c r="CT109" l="1"/>
  <c r="CS109"/>
  <c r="CR109"/>
  <c r="CQ109"/>
  <c r="CP109"/>
  <c r="CU84"/>
  <c r="CV15"/>
  <c r="CV84"/>
  <c r="CW15"/>
  <c r="CW84"/>
  <c r="CX15"/>
  <c r="CX40" s="1"/>
  <c r="CX84"/>
  <c r="CX106"/>
  <c r="CY15"/>
  <c r="CY40" s="1"/>
  <c r="CZ15"/>
  <c r="CZ40" s="1"/>
  <c r="CZ84"/>
  <c r="CZ106"/>
  <c r="DA15"/>
  <c r="DA40" s="1"/>
  <c r="DA84"/>
  <c r="DA106"/>
  <c r="DB15"/>
  <c r="DB40" s="1"/>
  <c r="DB84"/>
  <c r="DB106"/>
  <c r="DC15"/>
  <c r="M109" i="37"/>
  <c r="M112" s="1"/>
  <c r="M117" s="1"/>
  <c r="M140" s="1"/>
  <c r="DC79" i="76"/>
  <c r="DB109" l="1"/>
  <c r="DA109"/>
  <c r="CZ109"/>
  <c r="CX109"/>
  <c r="DC82"/>
  <c r="DC84" s="1"/>
  <c r="DC106"/>
  <c r="DD15"/>
  <c r="DD40" s="1"/>
  <c r="DD84"/>
  <c r="DD106"/>
  <c r="DE15"/>
  <c r="DE40" s="1"/>
  <c r="DE84"/>
  <c r="DE106"/>
  <c r="DF15"/>
  <c r="DF40" s="1"/>
  <c r="DF84"/>
  <c r="DF106"/>
  <c r="O143" i="59"/>
  <c r="DF109" i="76" l="1"/>
  <c r="DD109"/>
  <c r="DE109"/>
  <c r="BW15" i="78"/>
  <c r="BW40" s="1"/>
  <c r="BW106"/>
  <c r="BX15"/>
  <c r="BX40" s="1"/>
  <c r="BX106"/>
  <c r="BY15"/>
  <c r="BY40" s="1"/>
  <c r="BY106"/>
  <c r="BR15"/>
  <c r="BR40" s="1"/>
  <c r="BR106"/>
  <c r="BS15"/>
  <c r="BS40" s="1"/>
  <c r="BS106"/>
  <c r="BT15"/>
  <c r="BT40" s="1"/>
  <c r="BU15"/>
  <c r="BU40" s="1"/>
  <c r="BU106"/>
  <c r="BV15"/>
  <c r="BV40" s="1"/>
  <c r="BV106"/>
  <c r="BZ15"/>
  <c r="BZ40" s="1"/>
  <c r="BZ106"/>
  <c r="CA15"/>
  <c r="CA40" s="1"/>
  <c r="CA106"/>
  <c r="CB15"/>
  <c r="CB40" s="1"/>
  <c r="CB106"/>
  <c r="CC15"/>
  <c r="CC40" s="1"/>
  <c r="CC106"/>
  <c r="CD15"/>
  <c r="CD40" s="1"/>
  <c r="CD106"/>
  <c r="CE15"/>
  <c r="CE40" s="1"/>
  <c r="CE106"/>
  <c r="CF15"/>
  <c r="CF40" s="1"/>
  <c r="CF106"/>
  <c r="CG15"/>
  <c r="CG40" s="1"/>
  <c r="CG106"/>
  <c r="CH15"/>
  <c r="CH40" s="1"/>
  <c r="CH84"/>
  <c r="CH106"/>
  <c r="CI15"/>
  <c r="CI40" s="1"/>
  <c r="CI84"/>
  <c r="CI106"/>
  <c r="CJ15"/>
  <c r="CJ40" s="1"/>
  <c r="CJ84"/>
  <c r="CJ106"/>
  <c r="CK15"/>
  <c r="CK40" s="1"/>
  <c r="CK84"/>
  <c r="CK106"/>
  <c r="CL15"/>
  <c r="CL40" s="1"/>
  <c r="CL84"/>
  <c r="CL106"/>
  <c r="CM15"/>
  <c r="CM40" s="1"/>
  <c r="CM84"/>
  <c r="CM106"/>
  <c r="CN15"/>
  <c r="CN40" s="1"/>
  <c r="CN106"/>
  <c r="CO15"/>
  <c r="CO40" s="1"/>
  <c r="CO106"/>
  <c r="CP15"/>
  <c r="CP40" s="1"/>
  <c r="CP84"/>
  <c r="CP106"/>
  <c r="CQ15"/>
  <c r="CQ40" s="1"/>
  <c r="CQ84"/>
  <c r="CQ106"/>
  <c r="CR15"/>
  <c r="CR40" s="1"/>
  <c r="CR84"/>
  <c r="CR106"/>
  <c r="CS15"/>
  <c r="CS40" s="1"/>
  <c r="CS84"/>
  <c r="CS106"/>
  <c r="CT15"/>
  <c r="CT40" s="1"/>
  <c r="CT84"/>
  <c r="CT106"/>
  <c r="CU84"/>
  <c r="CU106"/>
  <c r="CV84"/>
  <c r="CV106"/>
  <c r="CW84"/>
  <c r="CW106"/>
  <c r="CX40"/>
  <c r="CX84"/>
  <c r="CX106"/>
  <c r="CY40"/>
  <c r="CZ40"/>
  <c r="CZ84"/>
  <c r="CZ106"/>
  <c r="DA40"/>
  <c r="DA84"/>
  <c r="DA106"/>
  <c r="DB40"/>
  <c r="DB84"/>
  <c r="DB106"/>
  <c r="O117" i="37"/>
  <c r="O140" s="1"/>
  <c r="DC79" i="78"/>
  <c r="BY109" l="1"/>
  <c r="BX109"/>
  <c r="BW109"/>
  <c r="CT109"/>
  <c r="CG109"/>
  <c r="CF109"/>
  <c r="CE109"/>
  <c r="CD109"/>
  <c r="CC109"/>
  <c r="CB109"/>
  <c r="CA109"/>
  <c r="BZ109"/>
  <c r="BV109"/>
  <c r="BU109"/>
  <c r="CR109"/>
  <c r="CJ109"/>
  <c r="DA109"/>
  <c r="CX109"/>
  <c r="CS109"/>
  <c r="DB109"/>
  <c r="CZ109"/>
  <c r="CQ109"/>
  <c r="CM109"/>
  <c r="CI109"/>
  <c r="CP109"/>
  <c r="CL109"/>
  <c r="CK109"/>
  <c r="CH109"/>
  <c r="DC82"/>
  <c r="DC84" s="1"/>
  <c r="DC106"/>
  <c r="DD40"/>
  <c r="DD84"/>
  <c r="DD106"/>
  <c r="DE40"/>
  <c r="DE84"/>
  <c r="DE106"/>
  <c r="DF40"/>
  <c r="DF84"/>
  <c r="DF106"/>
  <c r="Q148" i="59"/>
  <c r="I144"/>
  <c r="I148"/>
  <c r="Q144"/>
  <c r="M144"/>
  <c r="M146"/>
  <c r="O145"/>
  <c r="I146"/>
  <c r="Q143"/>
  <c r="Q145"/>
  <c r="O148"/>
  <c r="K144"/>
  <c r="K148"/>
  <c r="Q146"/>
  <c r="O146"/>
  <c r="K145"/>
  <c r="I145"/>
  <c r="O144"/>
  <c r="M145"/>
  <c r="M148"/>
  <c r="K146"/>
  <c r="DD109" i="78" l="1"/>
  <c r="DE109"/>
  <c r="DF109"/>
  <c r="CY40" i="29"/>
  <c r="CY15" i="71"/>
  <c r="CY40" s="1"/>
  <c r="CY15" i="73"/>
  <c r="CY40" s="1"/>
  <c r="CY15" i="75"/>
  <c r="CY40" s="1"/>
  <c r="CY15" i="77"/>
  <c r="CY40" s="1"/>
  <c r="BW15" i="71"/>
  <c r="BW40" s="1"/>
  <c r="BW109" s="1"/>
  <c r="BX15"/>
  <c r="BY15"/>
  <c r="BY40" s="1"/>
  <c r="BY109" s="1"/>
  <c r="BR15"/>
  <c r="BR40" s="1"/>
  <c r="BR106"/>
  <c r="BS15"/>
  <c r="BS40" s="1"/>
  <c r="BS106"/>
  <c r="BT15"/>
  <c r="BT40" s="1"/>
  <c r="BU15"/>
  <c r="BU40" s="1"/>
  <c r="BU109" s="1"/>
  <c r="BV15"/>
  <c r="BV40" s="1"/>
  <c r="BV109" s="1"/>
  <c r="BZ15"/>
  <c r="BZ40" s="1"/>
  <c r="BZ109" s="1"/>
  <c r="CA15"/>
  <c r="CA40" s="1"/>
  <c r="CA109" s="1"/>
  <c r="CB15"/>
  <c r="CB40" s="1"/>
  <c r="CB109" s="1"/>
  <c r="CC15"/>
  <c r="CC40" s="1"/>
  <c r="CC109" s="1"/>
  <c r="CD15"/>
  <c r="CD40" s="1"/>
  <c r="CD109" s="1"/>
  <c r="CE15"/>
  <c r="CE40" s="1"/>
  <c r="CE109" s="1"/>
  <c r="CF15"/>
  <c r="CF40" s="1"/>
  <c r="CF109" s="1"/>
  <c r="CG15"/>
  <c r="CG40" s="1"/>
  <c r="CG109" s="1"/>
  <c r="CH15"/>
  <c r="CH40" s="1"/>
  <c r="CH84"/>
  <c r="CI15"/>
  <c r="CI40" s="1"/>
  <c r="CI84"/>
  <c r="CJ15"/>
  <c r="CJ40" s="1"/>
  <c r="CJ84"/>
  <c r="CK15"/>
  <c r="CK40" s="1"/>
  <c r="CK84"/>
  <c r="CL15"/>
  <c r="CL40" s="1"/>
  <c r="CL84"/>
  <c r="CM15"/>
  <c r="CM40" s="1"/>
  <c r="CM84"/>
  <c r="CN15"/>
  <c r="CN40" s="1"/>
  <c r="CM109" l="1"/>
  <c r="CL109"/>
  <c r="CK109"/>
  <c r="CJ109"/>
  <c r="CI109"/>
  <c r="CH109"/>
  <c r="CO15"/>
  <c r="CO40" s="1"/>
  <c r="CP15"/>
  <c r="CP40" s="1"/>
  <c r="CP84"/>
  <c r="CP106"/>
  <c r="CQ15"/>
  <c r="CQ40" s="1"/>
  <c r="CQ84"/>
  <c r="CQ106"/>
  <c r="CR15"/>
  <c r="CR40" s="1"/>
  <c r="CR84"/>
  <c r="CR106"/>
  <c r="CS15"/>
  <c r="CS40" s="1"/>
  <c r="CS84"/>
  <c r="CS106"/>
  <c r="CT15"/>
  <c r="CT40" s="1"/>
  <c r="CT84"/>
  <c r="CT106"/>
  <c r="CU15"/>
  <c r="CQ109" l="1"/>
  <c r="CS109"/>
  <c r="CR109"/>
  <c r="CT109"/>
  <c r="CP109"/>
  <c r="CU84"/>
  <c r="CU106"/>
  <c r="CV15"/>
  <c r="CV84" l="1"/>
  <c r="CV106"/>
  <c r="CW15"/>
  <c r="CW84" l="1"/>
  <c r="CW106"/>
  <c r="CX15"/>
  <c r="CX40" s="1"/>
  <c r="CX84"/>
  <c r="CX106"/>
  <c r="CZ15"/>
  <c r="CZ40" s="1"/>
  <c r="CZ84"/>
  <c r="DA15"/>
  <c r="DA40" s="1"/>
  <c r="DA84"/>
  <c r="DA106"/>
  <c r="DB15"/>
  <c r="DB40" s="1"/>
  <c r="DB84"/>
  <c r="DB106"/>
  <c r="DC15"/>
  <c r="H109" i="37"/>
  <c r="H112" s="1"/>
  <c r="H117" s="1"/>
  <c r="H140" s="1"/>
  <c r="DC79" i="71"/>
  <c r="CZ109" l="1"/>
  <c r="CX109"/>
  <c r="DB109"/>
  <c r="DA109"/>
  <c r="DC82"/>
  <c r="DC84" s="1"/>
  <c r="DC106"/>
  <c r="DD15"/>
  <c r="DD40" s="1"/>
  <c r="DD84"/>
  <c r="DD106"/>
  <c r="DE15"/>
  <c r="DE40" s="1"/>
  <c r="DE84"/>
  <c r="DE106"/>
  <c r="DF15"/>
  <c r="DF40" s="1"/>
  <c r="DF84"/>
  <c r="DF106"/>
  <c r="DF109" l="1"/>
  <c r="DD109"/>
  <c r="DE109"/>
  <c r="BW15" i="73"/>
  <c r="BW40" s="1"/>
  <c r="BW109" s="1"/>
  <c r="BX15"/>
  <c r="BX40" s="1"/>
  <c r="BX109" s="1"/>
  <c r="BY15"/>
  <c r="BY40" s="1"/>
  <c r="BY109" s="1"/>
  <c r="BR15"/>
  <c r="BR40" s="1"/>
  <c r="BR106"/>
  <c r="BS15"/>
  <c r="BS40" s="1"/>
  <c r="BS106"/>
  <c r="BT15"/>
  <c r="BT40" s="1"/>
  <c r="BU15"/>
  <c r="BU40" s="1"/>
  <c r="BU109" s="1"/>
  <c r="BV15"/>
  <c r="BV40" s="1"/>
  <c r="BV109" s="1"/>
  <c r="BZ15"/>
  <c r="BZ40" s="1"/>
  <c r="BZ109" s="1"/>
  <c r="CA15"/>
  <c r="CA40" s="1"/>
  <c r="CA109" s="1"/>
  <c r="CB15"/>
  <c r="CB40" s="1"/>
  <c r="CB109" s="1"/>
  <c r="CC15"/>
  <c r="CC40" s="1"/>
  <c r="CC109" s="1"/>
  <c r="CD15"/>
  <c r="CD40" s="1"/>
  <c r="CD109" s="1"/>
  <c r="CE15"/>
  <c r="CE40" s="1"/>
  <c r="CE109" s="1"/>
  <c r="CF15"/>
  <c r="CF40" s="1"/>
  <c r="CF109" s="1"/>
  <c r="CG15"/>
  <c r="CG40" s="1"/>
  <c r="CG109" s="1"/>
  <c r="CH15"/>
  <c r="CH40" s="1"/>
  <c r="CH84"/>
  <c r="CI15"/>
  <c r="CI40" s="1"/>
  <c r="CI84"/>
  <c r="CJ15"/>
  <c r="CJ40" s="1"/>
  <c r="CJ84"/>
  <c r="CK15"/>
  <c r="CK40" s="1"/>
  <c r="CK84"/>
  <c r="CL15"/>
  <c r="CL40" s="1"/>
  <c r="CL84"/>
  <c r="CM15"/>
  <c r="CM40" s="1"/>
  <c r="CM84"/>
  <c r="CN15"/>
  <c r="CN40" s="1"/>
  <c r="CM109" l="1"/>
  <c r="CL109"/>
  <c r="CK109"/>
  <c r="CJ109"/>
  <c r="CI109"/>
  <c r="CH109"/>
  <c r="CO15"/>
  <c r="CO40" s="1"/>
  <c r="CP15"/>
  <c r="CP40" s="1"/>
  <c r="CP84"/>
  <c r="CQ15"/>
  <c r="CQ40" s="1"/>
  <c r="CQ84"/>
  <c r="CR15"/>
  <c r="CR40" s="1"/>
  <c r="CR84"/>
  <c r="CS15"/>
  <c r="CS40" s="1"/>
  <c r="CS84"/>
  <c r="CT15"/>
  <c r="CT40" s="1"/>
  <c r="CT84"/>
  <c r="CU15"/>
  <c r="CT109" l="1"/>
  <c r="CS109"/>
  <c r="CR109"/>
  <c r="CQ109"/>
  <c r="CP109"/>
  <c r="CU84"/>
  <c r="CV15"/>
  <c r="CV84" l="1"/>
  <c r="CV106"/>
  <c r="CW15"/>
  <c r="CW84" l="1"/>
  <c r="CW106"/>
  <c r="CX15"/>
  <c r="CX40" s="1"/>
  <c r="CX84"/>
  <c r="CX106"/>
  <c r="CZ15"/>
  <c r="CZ40" s="1"/>
  <c r="CZ84"/>
  <c r="CZ106"/>
  <c r="DA15"/>
  <c r="DA40" s="1"/>
  <c r="DA84"/>
  <c r="DA106"/>
  <c r="DB15"/>
  <c r="DB40" s="1"/>
  <c r="DB84"/>
  <c r="DB106"/>
  <c r="DC15"/>
  <c r="J109" i="37"/>
  <c r="J112" s="1"/>
  <c r="J117" s="1"/>
  <c r="J140" s="1"/>
  <c r="DC79" i="73"/>
  <c r="CX109" l="1"/>
  <c r="DA109"/>
  <c r="CZ109"/>
  <c r="DB109"/>
  <c r="DC82"/>
  <c r="DC84" s="1"/>
  <c r="DC106"/>
  <c r="DD15"/>
  <c r="DD40" s="1"/>
  <c r="DD84"/>
  <c r="DD106"/>
  <c r="DE15"/>
  <c r="DE40" s="1"/>
  <c r="DE84"/>
  <c r="DE106"/>
  <c r="DF15"/>
  <c r="DF40" s="1"/>
  <c r="DF84"/>
  <c r="DF106"/>
  <c r="L143" i="59"/>
  <c r="DD109" i="73" l="1"/>
  <c r="DF109"/>
  <c r="DE109"/>
  <c r="BW15" i="75"/>
  <c r="BW40" s="1"/>
  <c r="BW106"/>
  <c r="BX15"/>
  <c r="BX40" s="1"/>
  <c r="BX106"/>
  <c r="BY15"/>
  <c r="BY40" s="1"/>
  <c r="BY106"/>
  <c r="BR15"/>
  <c r="BR40" s="1"/>
  <c r="BR106"/>
  <c r="BS15"/>
  <c r="BS40" s="1"/>
  <c r="BS106"/>
  <c r="BT15"/>
  <c r="BT40" s="1"/>
  <c r="BU15"/>
  <c r="BU40" s="1"/>
  <c r="BU106"/>
  <c r="BV15"/>
  <c r="BV40" s="1"/>
  <c r="BV106"/>
  <c r="BZ15"/>
  <c r="BZ40" s="1"/>
  <c r="BZ106"/>
  <c r="CA15"/>
  <c r="CA40" s="1"/>
  <c r="CA106"/>
  <c r="CB15"/>
  <c r="CB40" s="1"/>
  <c r="CB106"/>
  <c r="CC15"/>
  <c r="CC40" s="1"/>
  <c r="CC106"/>
  <c r="CD15"/>
  <c r="CD40" s="1"/>
  <c r="CD106"/>
  <c r="CE15"/>
  <c r="CE40" s="1"/>
  <c r="CE106"/>
  <c r="CF15"/>
  <c r="CF40" s="1"/>
  <c r="CF106"/>
  <c r="CG15"/>
  <c r="CG40" s="1"/>
  <c r="CG106"/>
  <c r="CH15"/>
  <c r="CH40" s="1"/>
  <c r="CH84"/>
  <c r="CH106"/>
  <c r="CI15"/>
  <c r="CI40" s="1"/>
  <c r="CI84"/>
  <c r="CI106"/>
  <c r="CJ15"/>
  <c r="CJ40" s="1"/>
  <c r="CJ84"/>
  <c r="CJ106"/>
  <c r="CK15"/>
  <c r="CK40" s="1"/>
  <c r="CK84"/>
  <c r="CK106"/>
  <c r="CL15"/>
  <c r="CL40" s="1"/>
  <c r="CL84"/>
  <c r="CL106"/>
  <c r="CM15"/>
  <c r="CM40" s="1"/>
  <c r="CM84"/>
  <c r="CM106"/>
  <c r="CN15"/>
  <c r="CN40" s="1"/>
  <c r="CL109" l="1"/>
  <c r="BW109"/>
  <c r="BZ109"/>
  <c r="CE109"/>
  <c r="CC109"/>
  <c r="CB109"/>
  <c r="CA109"/>
  <c r="CH109"/>
  <c r="CG109"/>
  <c r="CF109"/>
  <c r="BU109"/>
  <c r="BY109"/>
  <c r="BX109"/>
  <c r="CJ109"/>
  <c r="CD109"/>
  <c r="BV109"/>
  <c r="CK109"/>
  <c r="CM109"/>
  <c r="CI109"/>
  <c r="CN106"/>
  <c r="CO15"/>
  <c r="CO40" s="1"/>
  <c r="CO106"/>
  <c r="CP15"/>
  <c r="CP40" s="1"/>
  <c r="CP84"/>
  <c r="CP106"/>
  <c r="CQ15"/>
  <c r="CQ40" s="1"/>
  <c r="CQ84"/>
  <c r="CQ106"/>
  <c r="CR15"/>
  <c r="CR40" s="1"/>
  <c r="CR84"/>
  <c r="CR106"/>
  <c r="CS15"/>
  <c r="CS40" s="1"/>
  <c r="CS84"/>
  <c r="CS106"/>
  <c r="CT15"/>
  <c r="CT40" s="1"/>
  <c r="CT84"/>
  <c r="CT106"/>
  <c r="CU15"/>
  <c r="CS109" l="1"/>
  <c r="CT109"/>
  <c r="CQ109"/>
  <c r="CP109"/>
  <c r="CR109"/>
  <c r="CU84"/>
  <c r="CU106"/>
  <c r="CV15"/>
  <c r="CV84" l="1"/>
  <c r="CV106"/>
  <c r="CW15"/>
  <c r="CW84" l="1"/>
  <c r="CW106"/>
  <c r="CX15"/>
  <c r="CX40" s="1"/>
  <c r="CX84"/>
  <c r="CX106"/>
  <c r="CZ15"/>
  <c r="CZ40" s="1"/>
  <c r="CZ84"/>
  <c r="CZ106"/>
  <c r="DA15"/>
  <c r="DA40" s="1"/>
  <c r="DA84"/>
  <c r="DA106"/>
  <c r="DB15"/>
  <c r="DB40" s="1"/>
  <c r="DB84"/>
  <c r="DB106"/>
  <c r="DC15"/>
  <c r="L109" i="37"/>
  <c r="L112" s="1"/>
  <c r="L117" s="1"/>
  <c r="L140" s="1"/>
  <c r="DC79" i="75"/>
  <c r="DA109" l="1"/>
  <c r="DB109"/>
  <c r="CX109"/>
  <c r="CZ109"/>
  <c r="DC82"/>
  <c r="DC84" s="1"/>
  <c r="DC106"/>
  <c r="DD15"/>
  <c r="DD40" s="1"/>
  <c r="DD84"/>
  <c r="DD106"/>
  <c r="DE15"/>
  <c r="DE40" s="1"/>
  <c r="DE84"/>
  <c r="DE106"/>
  <c r="DF15"/>
  <c r="DF40" s="1"/>
  <c r="DF84"/>
  <c r="DF106"/>
  <c r="N143" i="59"/>
  <c r="DF109" i="75" l="1"/>
  <c r="DD109"/>
  <c r="DE109"/>
  <c r="BW15" i="77"/>
  <c r="BW40" s="1"/>
  <c r="BW109" s="1"/>
  <c r="BX15"/>
  <c r="BX40" s="1"/>
  <c r="BX109" s="1"/>
  <c r="BY15"/>
  <c r="BY40" s="1"/>
  <c r="BY109" s="1"/>
  <c r="BR15"/>
  <c r="BR40" s="1"/>
  <c r="BR106"/>
  <c r="BS15"/>
  <c r="BS40" s="1"/>
  <c r="BS106"/>
  <c r="BT15"/>
  <c r="BT40" s="1"/>
  <c r="BU15"/>
  <c r="BU40" s="1"/>
  <c r="BU109" s="1"/>
  <c r="BV15"/>
  <c r="BV40" s="1"/>
  <c r="BV109" s="1"/>
  <c r="BZ15"/>
  <c r="BZ40" s="1"/>
  <c r="BZ109" s="1"/>
  <c r="CA15"/>
  <c r="CA40" s="1"/>
  <c r="CA109" s="1"/>
  <c r="CB15"/>
  <c r="CB40" s="1"/>
  <c r="CB109" s="1"/>
  <c r="CC15"/>
  <c r="CC40" s="1"/>
  <c r="CC109" s="1"/>
  <c r="CD15"/>
  <c r="CD40" s="1"/>
  <c r="CD109" s="1"/>
  <c r="CE15"/>
  <c r="CE40" s="1"/>
  <c r="CE109" s="1"/>
  <c r="CF15"/>
  <c r="CF40" s="1"/>
  <c r="CF109" s="1"/>
  <c r="CG15"/>
  <c r="CG40" s="1"/>
  <c r="CG109" s="1"/>
  <c r="CH15"/>
  <c r="CH40" s="1"/>
  <c r="CH84"/>
  <c r="CI15"/>
  <c r="CI40" s="1"/>
  <c r="CI84"/>
  <c r="CJ15"/>
  <c r="CJ40" s="1"/>
  <c r="CJ84"/>
  <c r="CK15"/>
  <c r="CK40" s="1"/>
  <c r="CK84"/>
  <c r="CL15"/>
  <c r="CL40" s="1"/>
  <c r="CL84"/>
  <c r="CM15"/>
  <c r="CM40" s="1"/>
  <c r="CM84"/>
  <c r="CN15"/>
  <c r="CN40" s="1"/>
  <c r="CM109" l="1"/>
  <c r="CL109"/>
  <c r="CK109"/>
  <c r="CJ109"/>
  <c r="CI109"/>
  <c r="CH109"/>
  <c r="CO15"/>
  <c r="CO40" s="1"/>
  <c r="CP15"/>
  <c r="CP40" s="1"/>
  <c r="CP84"/>
  <c r="CQ15"/>
  <c r="CQ40" s="1"/>
  <c r="CQ84"/>
  <c r="CR15"/>
  <c r="CR40" s="1"/>
  <c r="CR84"/>
  <c r="CS15"/>
  <c r="CS40" s="1"/>
  <c r="CS84"/>
  <c r="CT15"/>
  <c r="CT40" s="1"/>
  <c r="CT84"/>
  <c r="CU15"/>
  <c r="CT109" l="1"/>
  <c r="CS109"/>
  <c r="CR109"/>
  <c r="CQ109"/>
  <c r="CP109"/>
  <c r="CU84"/>
  <c r="CV15"/>
  <c r="CV84"/>
  <c r="CW15"/>
  <c r="CW84"/>
  <c r="CW106"/>
  <c r="CX15"/>
  <c r="CX40" s="1"/>
  <c r="CX84"/>
  <c r="CX106"/>
  <c r="CZ15"/>
  <c r="CZ40" s="1"/>
  <c r="CZ84"/>
  <c r="CZ106"/>
  <c r="DA15"/>
  <c r="DA40" s="1"/>
  <c r="DA84"/>
  <c r="DA106"/>
  <c r="DB15"/>
  <c r="DB40" s="1"/>
  <c r="DB84"/>
  <c r="DB106"/>
  <c r="DC15"/>
  <c r="N109" i="37"/>
  <c r="N112" s="1"/>
  <c r="N117" s="1"/>
  <c r="N140" s="1"/>
  <c r="DC79" i="77"/>
  <c r="DA109" l="1"/>
  <c r="DB109"/>
  <c r="CX109"/>
  <c r="CZ109"/>
  <c r="DC82"/>
  <c r="DC84" s="1"/>
  <c r="DC106"/>
  <c r="DD15"/>
  <c r="DD40" s="1"/>
  <c r="DD84"/>
  <c r="DD106"/>
  <c r="DE15"/>
  <c r="DE40" s="1"/>
  <c r="DE84"/>
  <c r="DE106"/>
  <c r="DF15"/>
  <c r="DF40" s="1"/>
  <c r="DF84"/>
  <c r="DF106"/>
  <c r="P145" i="59"/>
  <c r="P144"/>
  <c r="P143"/>
  <c r="J145"/>
  <c r="L144"/>
  <c r="N144"/>
  <c r="P146"/>
  <c r="N146"/>
  <c r="L145"/>
  <c r="J144"/>
  <c r="J146"/>
  <c r="L146"/>
  <c r="N145"/>
  <c r="DF109" i="77" l="1"/>
  <c r="DD109"/>
  <c r="DE109"/>
  <c r="CW106" i="29"/>
  <c r="F316" i="61"/>
  <c r="F342" s="1"/>
  <c r="F317"/>
  <c r="F343" s="1"/>
  <c r="CX106" i="29"/>
  <c r="CX109" s="1"/>
  <c r="CZ40"/>
  <c r="CZ109" s="1"/>
  <c r="DA40"/>
  <c r="DA109" s="1"/>
  <c r="DB40"/>
  <c r="DB109" s="1"/>
  <c r="DD40"/>
  <c r="DD109" s="1"/>
  <c r="DE40"/>
  <c r="DE106"/>
  <c r="DF40"/>
  <c r="DF106"/>
  <c r="N148" i="59"/>
  <c r="P148"/>
  <c r="J148"/>
  <c r="BP12" i="29"/>
  <c r="BQ12"/>
  <c r="L148" i="59"/>
  <c r="BQ14" i="29" l="1"/>
  <c r="BP14"/>
  <c r="DE109"/>
  <c r="DF109"/>
  <c r="F152" i="59"/>
  <c r="F154" s="1"/>
  <c r="F133" s="1"/>
  <c r="F123" i="80"/>
  <c r="F134" l="1"/>
  <c r="BH12" i="29"/>
  <c r="Q12" l="1"/>
  <c r="AK12"/>
  <c r="BF12"/>
  <c r="BJ12"/>
  <c r="H98" i="59"/>
  <c r="BL12" i="29" l="1"/>
  <c r="AK14"/>
  <c r="BH14"/>
  <c r="BJ14" s="1"/>
  <c r="Q14"/>
  <c r="BF14"/>
  <c r="F101" i="49"/>
  <c r="W17" i="29"/>
  <c r="BL14" l="1"/>
  <c r="F92" i="62"/>
  <c r="BJ19" i="29"/>
  <c r="AK17"/>
  <c r="BL17" s="1"/>
  <c r="BH15"/>
  <c r="BJ15" s="1"/>
  <c r="BJ22"/>
  <c r="DH17"/>
  <c r="BC32"/>
  <c r="BF32" s="1"/>
  <c r="BJ28"/>
  <c r="BJ31"/>
  <c r="BJ32"/>
  <c r="BJ38"/>
  <c r="BL38" s="1"/>
  <c r="AK68"/>
  <c r="BF68"/>
  <c r="AK66"/>
  <c r="BF66"/>
  <c r="AB106"/>
  <c r="G84"/>
  <c r="W18"/>
  <c r="W19" l="1"/>
  <c r="AK19" s="1"/>
  <c r="AK18"/>
  <c r="BL18" s="1"/>
  <c r="BL66"/>
  <c r="BL68"/>
  <c r="G309" i="61"/>
  <c r="G332" s="1"/>
  <c r="G12" i="70"/>
  <c r="G14" l="1"/>
  <c r="BL19" i="29"/>
  <c r="G316" i="61" a="1"/>
  <c r="G316" s="1"/>
  <c r="G342" s="1"/>
  <c r="G317" a="1"/>
  <c r="G315" a="1"/>
  <c r="G315" s="1"/>
  <c r="G341" s="1"/>
  <c r="G317"/>
  <c r="G343" s="1"/>
  <c r="Q12" i="70"/>
  <c r="AK12"/>
  <c r="BQ12"/>
  <c r="BH12"/>
  <c r="BP12"/>
  <c r="BO12"/>
  <c r="I98" i="59"/>
  <c r="BQ14" i="70" l="1"/>
  <c r="BO14"/>
  <c r="BP14"/>
  <c r="BF12"/>
  <c r="G101" i="49"/>
  <c r="G92" i="62"/>
  <c r="BJ12" i="70"/>
  <c r="BH14"/>
  <c r="BH15" s="1"/>
  <c r="G112" i="49"/>
  <c r="G103" i="62"/>
  <c r="Q14" i="70"/>
  <c r="AK14"/>
  <c r="BF14"/>
  <c r="W17"/>
  <c r="BQ17"/>
  <c r="W18"/>
  <c r="BQ18"/>
  <c r="BJ14" l="1"/>
  <c r="BL14" s="1"/>
  <c r="BL12"/>
  <c r="BQ19"/>
  <c r="DH17"/>
  <c r="AK18"/>
  <c r="BL18" s="1"/>
  <c r="W19"/>
  <c r="AK19" s="1"/>
  <c r="BL19" s="1"/>
  <c r="AK17"/>
  <c r="BL17" s="1"/>
  <c r="BJ38" l="1"/>
  <c r="BL38" s="1"/>
  <c r="G114" i="37"/>
  <c r="G139" s="1"/>
  <c r="BQ79" i="70"/>
  <c r="G113" i="37" l="1"/>
  <c r="G138" s="1"/>
  <c r="BJ15" i="70"/>
  <c r="BL39"/>
  <c r="G126" i="37"/>
  <c r="AK62" i="70"/>
  <c r="BF62"/>
  <c r="AK68"/>
  <c r="BF68"/>
  <c r="AK66"/>
  <c r="BF66"/>
  <c r="G111" i="27"/>
  <c r="T75" i="70"/>
  <c r="U79"/>
  <c r="BP79"/>
  <c r="BL68" l="1"/>
  <c r="BL62"/>
  <c r="BL66"/>
  <c r="T76"/>
  <c r="AK76" s="1"/>
  <c r="BF76"/>
  <c r="G113" i="27"/>
  <c r="AK75" i="70"/>
  <c r="BF75"/>
  <c r="BH75"/>
  <c r="I101" i="59"/>
  <c r="BJ75" i="70" l="1"/>
  <c r="BH76"/>
  <c r="BJ76" s="1"/>
  <c r="BL76" s="1"/>
  <c r="BL75"/>
  <c r="G125" i="37"/>
  <c r="G127"/>
  <c r="BP106" i="70"/>
  <c r="BQ106"/>
  <c r="S106"/>
  <c r="AB106"/>
  <c r="G123" i="80"/>
  <c r="T79" i="70"/>
  <c r="BH79"/>
  <c r="G134" i="80" l="1"/>
  <c r="BJ79" i="70"/>
  <c r="AK79"/>
  <c r="G137" i="37"/>
  <c r="I100" i="59"/>
  <c r="BO79" i="70"/>
  <c r="BL79" l="1"/>
  <c r="DH79"/>
  <c r="G84"/>
  <c r="BL83"/>
  <c r="AM106"/>
  <c r="BC106"/>
  <c r="H101" i="49"/>
  <c r="H92" i="62"/>
  <c r="H112" i="49"/>
  <c r="H103" i="62"/>
  <c r="BQ17" i="71"/>
  <c r="BQ18"/>
  <c r="W17"/>
  <c r="W18"/>
  <c r="BQ19" l="1"/>
  <c r="DH17"/>
  <c r="AK18"/>
  <c r="BL18" s="1"/>
  <c r="W19"/>
  <c r="AK19" s="1"/>
  <c r="BL19" s="1"/>
  <c r="AK17"/>
  <c r="BL17" s="1"/>
  <c r="BJ38" l="1"/>
  <c r="BL38" s="1"/>
  <c r="H114" i="37"/>
  <c r="H139" s="1"/>
  <c r="BQ79" i="71"/>
  <c r="H113" i="37" l="1"/>
  <c r="H138" s="1"/>
  <c r="H126"/>
  <c r="BL39" i="71"/>
  <c r="AK62"/>
  <c r="BF62"/>
  <c r="AK68"/>
  <c r="BF68"/>
  <c r="AK66"/>
  <c r="BF66"/>
  <c r="H111" i="27"/>
  <c r="BP79" i="71"/>
  <c r="U79"/>
  <c r="T75"/>
  <c r="BL62" l="1"/>
  <c r="BL66"/>
  <c r="BL68"/>
  <c r="T76"/>
  <c r="AK76" s="1"/>
  <c r="BF76"/>
  <c r="H113" i="27"/>
  <c r="AK75" i="71"/>
  <c r="BF75"/>
  <c r="BH75"/>
  <c r="J101" i="59"/>
  <c r="BJ75" i="71" l="1"/>
  <c r="BH76"/>
  <c r="BJ76" s="1"/>
  <c r="BL76" s="1"/>
  <c r="BL75"/>
  <c r="H125" i="37"/>
  <c r="H127"/>
  <c r="BP106" i="71"/>
  <c r="BQ106"/>
  <c r="S106"/>
  <c r="AB106"/>
  <c r="H123" i="80"/>
  <c r="BH79" i="71"/>
  <c r="T79"/>
  <c r="H134" i="80" l="1"/>
  <c r="BJ79" i="71"/>
  <c r="AK79"/>
  <c r="BC106"/>
  <c r="H137" i="37"/>
  <c r="BO79" i="71"/>
  <c r="J100" i="59"/>
  <c r="BL79" i="71" l="1"/>
  <c r="DH79"/>
  <c r="G84"/>
  <c r="BL83"/>
  <c r="I101" i="49"/>
  <c r="I92" i="62"/>
  <c r="I112" i="49"/>
  <c r="I103" i="62"/>
  <c r="BQ18" i="72"/>
  <c r="BQ17"/>
  <c r="W17"/>
  <c r="W18"/>
  <c r="AK18" l="1"/>
  <c r="BL18" s="1"/>
  <c r="W19"/>
  <c r="AK19" s="1"/>
  <c r="BL19" s="1"/>
  <c r="AK17"/>
  <c r="BL17" s="1"/>
  <c r="DH17"/>
  <c r="BQ19"/>
  <c r="BJ38" l="1"/>
  <c r="BL38" s="1"/>
  <c r="I114" i="37"/>
  <c r="I139" s="1"/>
  <c r="BQ79" i="72"/>
  <c r="I113" i="37" l="1"/>
  <c r="I138" s="1"/>
  <c r="BL39" i="72"/>
  <c r="AK62"/>
  <c r="BF62"/>
  <c r="AK68"/>
  <c r="BF68"/>
  <c r="AK66"/>
  <c r="BF66"/>
  <c r="I111" i="27"/>
  <c r="BP79" i="72"/>
  <c r="T75"/>
  <c r="BL68" l="1"/>
  <c r="BL62"/>
  <c r="BL66"/>
  <c r="T76"/>
  <c r="AK76" s="1"/>
  <c r="BF76"/>
  <c r="I113" i="27"/>
  <c r="AK75" i="72"/>
  <c r="BF75"/>
  <c r="K101" i="59"/>
  <c r="BH75" i="72"/>
  <c r="BJ75" l="1"/>
  <c r="BL75" s="1"/>
  <c r="BH76"/>
  <c r="BJ76" s="1"/>
  <c r="BL76" s="1"/>
  <c r="I125" i="37"/>
  <c r="I127"/>
  <c r="Q106" i="72"/>
  <c r="S106"/>
  <c r="BP106"/>
  <c r="BQ106"/>
  <c r="AB106"/>
  <c r="I123" i="80"/>
  <c r="BH79" i="72"/>
  <c r="T79"/>
  <c r="I134" i="80" l="1"/>
  <c r="BJ79" i="72"/>
  <c r="AK79"/>
  <c r="I137" i="37"/>
  <c r="K100" i="59"/>
  <c r="BO79" i="72"/>
  <c r="BL79" l="1"/>
  <c r="DH79"/>
  <c r="G84"/>
  <c r="BL83"/>
  <c r="AM106"/>
  <c r="BC106"/>
  <c r="J92" i="62" l="1"/>
  <c r="J101" i="49"/>
  <c r="J112"/>
  <c r="J103" i="62"/>
  <c r="BQ17" i="73"/>
  <c r="W17"/>
  <c r="W18"/>
  <c r="BQ18"/>
  <c r="AK18" l="1"/>
  <c r="BL18" s="1"/>
  <c r="DH17"/>
  <c r="BQ19"/>
  <c r="W19"/>
  <c r="AK19" s="1"/>
  <c r="BL19" s="1"/>
  <c r="AK17"/>
  <c r="BL17" s="1"/>
  <c r="BJ38"/>
  <c r="BL38" s="1"/>
  <c r="J114" i="37"/>
  <c r="J139" s="1"/>
  <c r="J113"/>
  <c r="J138" s="1"/>
  <c r="BL39" i="73"/>
  <c r="J126" i="37"/>
  <c r="AK62" i="73"/>
  <c r="BF62"/>
  <c r="AK68"/>
  <c r="BF68"/>
  <c r="AK66"/>
  <c r="BF66"/>
  <c r="J111" i="27"/>
  <c r="U79" i="73"/>
  <c r="BQ79"/>
  <c r="BP79"/>
  <c r="T75"/>
  <c r="BL62" l="1"/>
  <c r="BL66"/>
  <c r="BL68"/>
  <c r="T76"/>
  <c r="AK76" s="1"/>
  <c r="BF76"/>
  <c r="J113" i="27"/>
  <c r="AK75" i="73"/>
  <c r="BF75"/>
  <c r="L101" i="59"/>
  <c r="BH75" i="73"/>
  <c r="BH76" l="1"/>
  <c r="BJ76" s="1"/>
  <c r="BL76" s="1"/>
  <c r="BJ75"/>
  <c r="BL75" s="1"/>
  <c r="J125" i="37"/>
  <c r="J127"/>
  <c r="J137"/>
  <c r="Q106" i="73"/>
  <c r="BC106"/>
  <c r="S106"/>
  <c r="BP106"/>
  <c r="BQ106"/>
  <c r="J123" i="80"/>
  <c r="BH79" i="73"/>
  <c r="T79"/>
  <c r="BO79"/>
  <c r="J134" i="80" l="1"/>
  <c r="BJ79" i="73"/>
  <c r="DH79"/>
  <c r="AK79"/>
  <c r="G84"/>
  <c r="BL83"/>
  <c r="K101" i="49"/>
  <c r="L100" i="59"/>
  <c r="W17" i="74"/>
  <c r="BL79" i="73" l="1"/>
  <c r="K92" i="62"/>
  <c r="K112" i="49"/>
  <c r="K103" i="62"/>
  <c r="AK17" i="74"/>
  <c r="BL17" s="1"/>
  <c r="BQ17"/>
  <c r="BQ18"/>
  <c r="W18"/>
  <c r="BQ19" l="1"/>
  <c r="DH17"/>
  <c r="AK18"/>
  <c r="BL18" s="1"/>
  <c r="W19"/>
  <c r="AK19" s="1"/>
  <c r="BL19" s="1"/>
  <c r="BJ38" l="1"/>
  <c r="BL38" s="1"/>
  <c r="K114" i="37"/>
  <c r="K139" s="1"/>
  <c r="BQ79" i="74"/>
  <c r="K113" i="37" l="1"/>
  <c r="K138" s="1"/>
  <c r="BL39" i="74"/>
  <c r="AK62"/>
  <c r="BF62"/>
  <c r="AK68"/>
  <c r="BF68"/>
  <c r="AK66"/>
  <c r="BF66"/>
  <c r="K111" i="27"/>
  <c r="BP79" i="74"/>
  <c r="T75"/>
  <c r="BL68" l="1"/>
  <c r="BL62"/>
  <c r="BL66"/>
  <c r="T76"/>
  <c r="AK76" s="1"/>
  <c r="BF76"/>
  <c r="K113" i="27"/>
  <c r="AK75" i="74"/>
  <c r="BF75"/>
  <c r="M101" i="59"/>
  <c r="BH75" i="74"/>
  <c r="BJ75" l="1"/>
  <c r="BL75" s="1"/>
  <c r="BH76"/>
  <c r="BJ76" s="1"/>
  <c r="BL76" s="1"/>
  <c r="K125" i="37"/>
  <c r="K127"/>
  <c r="Q106" i="74"/>
  <c r="S106"/>
  <c r="BP106"/>
  <c r="BQ106"/>
  <c r="AB106"/>
  <c r="K123" i="80"/>
  <c r="BH79" i="74"/>
  <c r="T79"/>
  <c r="K134" i="80" l="1"/>
  <c r="BJ79" i="74"/>
  <c r="AK79"/>
  <c r="K137" i="37"/>
  <c r="M100" i="59"/>
  <c r="BO79" i="74"/>
  <c r="BL79" l="1"/>
  <c r="DH79"/>
  <c r="G84"/>
  <c r="BL83"/>
  <c r="AM106"/>
  <c r="BC106"/>
  <c r="L101" i="49"/>
  <c r="L92" i="62"/>
  <c r="L112" i="49"/>
  <c r="L103" i="62"/>
  <c r="W18" i="75"/>
  <c r="W17"/>
  <c r="BQ17"/>
  <c r="BQ18"/>
  <c r="AK18" l="1"/>
  <c r="BL18" s="1"/>
  <c r="W19"/>
  <c r="AK19" s="1"/>
  <c r="BL19" s="1"/>
  <c r="AK17"/>
  <c r="BL17" s="1"/>
  <c r="DH17"/>
  <c r="BQ19"/>
  <c r="BJ38" l="1"/>
  <c r="BL38" s="1"/>
  <c r="BC84"/>
  <c r="L114" i="37"/>
  <c r="L139" s="1"/>
  <c r="BQ79" i="75"/>
  <c r="L113" i="37" l="1"/>
  <c r="L138" s="1"/>
  <c r="BL39" i="75"/>
  <c r="L126" i="37"/>
  <c r="AK62" i="75"/>
  <c r="BF62"/>
  <c r="AK68"/>
  <c r="BF68"/>
  <c r="AK66"/>
  <c r="BF66"/>
  <c r="L111" i="27"/>
  <c r="T75" i="75"/>
  <c r="U79"/>
  <c r="BP79"/>
  <c r="BL68" l="1"/>
  <c r="BL62"/>
  <c r="BL66"/>
  <c r="T76"/>
  <c r="AK76" s="1"/>
  <c r="BF76"/>
  <c r="L113" i="27"/>
  <c r="AK75" i="75"/>
  <c r="BF75"/>
  <c r="BH75"/>
  <c r="N101" i="59"/>
  <c r="BJ75" i="75" l="1"/>
  <c r="BH76"/>
  <c r="BJ76" s="1"/>
  <c r="BL76" s="1"/>
  <c r="BL75"/>
  <c r="L125" i="37"/>
  <c r="L127"/>
  <c r="Q106" i="75"/>
  <c r="S106"/>
  <c r="BP106"/>
  <c r="BQ106"/>
  <c r="AB106"/>
  <c r="L123" i="80"/>
  <c r="BH79" i="75"/>
  <c r="T79"/>
  <c r="L134" i="80" l="1"/>
  <c r="AK79" i="75"/>
  <c r="BJ79"/>
  <c r="L137" i="37"/>
  <c r="BO79" i="75"/>
  <c r="N100" i="59"/>
  <c r="BL79" i="75" l="1"/>
  <c r="DH79"/>
  <c r="G84"/>
  <c r="BL83"/>
  <c r="AM106"/>
  <c r="BC106"/>
  <c r="M112" i="49"/>
  <c r="M92" i="62"/>
  <c r="M101" i="49"/>
  <c r="W18" i="76"/>
  <c r="BQ17"/>
  <c r="W17"/>
  <c r="W19" l="1"/>
  <c r="AK19" s="1"/>
  <c r="BL19" s="1"/>
  <c r="AK17"/>
  <c r="BL17" s="1"/>
  <c r="AK18"/>
  <c r="BL18" s="1"/>
  <c r="DH17"/>
  <c r="BJ38"/>
  <c r="BL38" s="1"/>
  <c r="BC84"/>
  <c r="M114" i="37"/>
  <c r="M139" s="1"/>
  <c r="BQ79" i="76"/>
  <c r="M113" i="37" l="1"/>
  <c r="M138" s="1"/>
  <c r="BL39" i="76"/>
  <c r="M126" i="37"/>
  <c r="AK62" i="76"/>
  <c r="BF62"/>
  <c r="AK68"/>
  <c r="BF68"/>
  <c r="AK66"/>
  <c r="BF66"/>
  <c r="M111" i="27"/>
  <c r="BP79" i="76"/>
  <c r="T75"/>
  <c r="U79"/>
  <c r="BL62" l="1"/>
  <c r="BL66"/>
  <c r="BL68"/>
  <c r="T76"/>
  <c r="AK76" s="1"/>
  <c r="BF76"/>
  <c r="M113" i="27"/>
  <c r="AK75" i="76"/>
  <c r="BF75"/>
  <c r="O101" i="59"/>
  <c r="BH75" i="76"/>
  <c r="BJ75" l="1"/>
  <c r="BH76"/>
  <c r="BJ76" s="1"/>
  <c r="BL76" s="1"/>
  <c r="BL75"/>
  <c r="M125" i="37"/>
  <c r="M127"/>
  <c r="M137"/>
  <c r="BP106" i="76"/>
  <c r="BQ106"/>
  <c r="Q106"/>
  <c r="S106"/>
  <c r="AB106"/>
  <c r="M123" i="80"/>
  <c r="BO79" i="76"/>
  <c r="T79"/>
  <c r="BH79"/>
  <c r="M134" i="80" l="1"/>
  <c r="BJ79" i="76"/>
  <c r="AK79"/>
  <c r="DH79"/>
  <c r="G84"/>
  <c r="BL83"/>
  <c r="AM106"/>
  <c r="BC106"/>
  <c r="O100" i="59"/>
  <c r="BL79" i="76" l="1"/>
  <c r="N101" i="49"/>
  <c r="N92" i="62"/>
  <c r="N112" i="49"/>
  <c r="BQ17" i="77"/>
  <c r="W17"/>
  <c r="W18"/>
  <c r="DH17" l="1"/>
  <c r="AK18"/>
  <c r="BL18" s="1"/>
  <c r="W19"/>
  <c r="AK19" s="1"/>
  <c r="BL19" s="1"/>
  <c r="AK17"/>
  <c r="BL17" s="1"/>
  <c r="BJ38" l="1"/>
  <c r="BL38" s="1"/>
  <c r="BC84"/>
  <c r="N114" i="37"/>
  <c r="N139" s="1"/>
  <c r="BQ79" i="77"/>
  <c r="N113" i="37" l="1"/>
  <c r="N138" s="1"/>
  <c r="BL39" i="77"/>
  <c r="N126" i="37"/>
  <c r="AK62" i="77"/>
  <c r="BF62"/>
  <c r="AK68"/>
  <c r="BF68"/>
  <c r="AK66"/>
  <c r="BF66"/>
  <c r="N111" i="27"/>
  <c r="U79" i="77"/>
  <c r="BP79"/>
  <c r="T75"/>
  <c r="BL66" l="1"/>
  <c r="BL68"/>
  <c r="BL62"/>
  <c r="T76"/>
  <c r="AK76" s="1"/>
  <c r="BF76"/>
  <c r="N113" i="27"/>
  <c r="AK75" i="77"/>
  <c r="BF75"/>
  <c r="BH75"/>
  <c r="P101" i="59"/>
  <c r="BJ75" i="77" l="1"/>
  <c r="BL75" s="1"/>
  <c r="BH76"/>
  <c r="BJ76" s="1"/>
  <c r="BL76" s="1"/>
  <c r="N125" i="37"/>
  <c r="N127"/>
  <c r="N137"/>
  <c r="Q106" i="77"/>
  <c r="BP106"/>
  <c r="BQ106"/>
  <c r="S106"/>
  <c r="AB106"/>
  <c r="N123" i="80"/>
  <c r="T79" i="77"/>
  <c r="BH79"/>
  <c r="BO79"/>
  <c r="N134" i="80" l="1"/>
  <c r="BJ79" i="77"/>
  <c r="DH79"/>
  <c r="AK79"/>
  <c r="G84"/>
  <c r="BL83"/>
  <c r="AM106"/>
  <c r="P100" i="59"/>
  <c r="BL79" i="77" l="1"/>
  <c r="O92" i="62"/>
  <c r="O101" i="49"/>
  <c r="DH18" i="78"/>
  <c r="DH17"/>
  <c r="W18"/>
  <c r="W17"/>
  <c r="AK18" l="1"/>
  <c r="BL18" s="1"/>
  <c r="AK17"/>
  <c r="BL17" s="1"/>
  <c r="W19"/>
  <c r="AK19" s="1"/>
  <c r="BL19" s="1"/>
  <c r="BJ38"/>
  <c r="BL38" s="1"/>
  <c r="O114" i="37"/>
  <c r="O139" s="1"/>
  <c r="BQ79" i="78"/>
  <c r="O113" i="37" l="1"/>
  <c r="O138" s="1"/>
  <c r="DH37" i="78"/>
  <c r="AK62"/>
  <c r="BF62"/>
  <c r="AK68"/>
  <c r="BF68"/>
  <c r="AK66"/>
  <c r="BF66"/>
  <c r="O111" i="27"/>
  <c r="BP79" i="78"/>
  <c r="T75"/>
  <c r="BL68" l="1"/>
  <c r="BL62"/>
  <c r="BL66"/>
  <c r="T76"/>
  <c r="AK76" s="1"/>
  <c r="BF76"/>
  <c r="O113" i="27"/>
  <c r="AK75" i="78"/>
  <c r="BF75"/>
  <c r="Q101" i="59"/>
  <c r="BH75" i="78"/>
  <c r="BJ75" l="1"/>
  <c r="BL75" s="1"/>
  <c r="BH76"/>
  <c r="BJ76" s="1"/>
  <c r="BL76" s="1"/>
  <c r="O125" i="37"/>
  <c r="O127"/>
  <c r="BP106" i="78"/>
  <c r="BQ106"/>
  <c r="Q106"/>
  <c r="S106"/>
  <c r="AB106"/>
  <c r="O123" i="80"/>
  <c r="BH79" i="78"/>
  <c r="T79"/>
  <c r="O134" i="80" l="1"/>
  <c r="AK79" i="78"/>
  <c r="BJ79"/>
  <c r="DH79"/>
  <c r="G84"/>
  <c r="BL83"/>
  <c r="AM106"/>
  <c r="Q100" i="59"/>
  <c r="BL79" i="78" l="1"/>
  <c r="H129" i="37"/>
  <c r="L129"/>
  <c r="H141"/>
  <c r="O141"/>
  <c r="N141"/>
  <c r="M141"/>
  <c r="F104"/>
  <c r="F107" s="1"/>
  <c r="G129"/>
  <c r="I129"/>
  <c r="K129"/>
  <c r="M129"/>
  <c r="O129"/>
  <c r="G141"/>
  <c r="I141"/>
  <c r="L141"/>
  <c r="J129"/>
  <c r="N129"/>
  <c r="K141"/>
  <c r="J141"/>
  <c r="O115" i="27"/>
  <c r="I115"/>
  <c r="F90"/>
  <c r="H115"/>
  <c r="G115"/>
  <c r="K115"/>
  <c r="J115"/>
  <c r="N115"/>
  <c r="M115"/>
  <c r="L115"/>
  <c r="G46" i="82"/>
  <c r="K46"/>
  <c r="O46"/>
  <c r="G65"/>
  <c r="K65"/>
  <c r="O65"/>
  <c r="F46"/>
  <c r="H46"/>
  <c r="J46"/>
  <c r="L46"/>
  <c r="N46"/>
  <c r="F65"/>
  <c r="H65"/>
  <c r="J65"/>
  <c r="L65"/>
  <c r="N65"/>
  <c r="I46"/>
  <c r="M46"/>
  <c r="I65"/>
  <c r="M65"/>
  <c r="AD97" i="70"/>
  <c r="AD97" i="72"/>
  <c r="AD97" i="74"/>
  <c r="AD97" i="76"/>
  <c r="AD97" i="78"/>
  <c r="AD97" i="29"/>
  <c r="AD97" i="71"/>
  <c r="AD97" i="73"/>
  <c r="AD97" i="75"/>
  <c r="AD97" i="77"/>
  <c r="F412" i="36"/>
  <c r="F417" s="1" a="1"/>
  <c r="G126" i="80"/>
  <c r="G130"/>
  <c r="I126"/>
  <c r="I130"/>
  <c r="K126"/>
  <c r="K130"/>
  <c r="M126"/>
  <c r="M130"/>
  <c r="O126"/>
  <c r="O130"/>
  <c r="L126"/>
  <c r="J126"/>
  <c r="L130"/>
  <c r="J130"/>
  <c r="H130"/>
  <c r="F130"/>
  <c r="F126"/>
  <c r="H126"/>
  <c r="N126"/>
  <c r="N130"/>
  <c r="G274" i="36"/>
  <c r="G276"/>
  <c r="G278"/>
  <c r="G280"/>
  <c r="G282"/>
  <c r="G284"/>
  <c r="G275"/>
  <c r="G277"/>
  <c r="G279"/>
  <c r="G281"/>
  <c r="G283"/>
  <c r="F113" i="49"/>
  <c r="F102"/>
  <c r="G102"/>
  <c r="G113"/>
  <c r="H102"/>
  <c r="H113"/>
  <c r="I102"/>
  <c r="I113"/>
  <c r="H188" i="61"/>
  <c r="I188" s="1"/>
  <c r="H189"/>
  <c r="H171"/>
  <c r="I171" s="1"/>
  <c r="H179"/>
  <c r="I179" s="1"/>
  <c r="H178"/>
  <c r="I178" s="1"/>
  <c r="H175"/>
  <c r="I175" s="1"/>
  <c r="H187"/>
  <c r="J102" i="49"/>
  <c r="H180" i="61"/>
  <c r="I180" s="1"/>
  <c r="H170"/>
  <c r="I170" s="1"/>
  <c r="H177"/>
  <c r="I177" s="1"/>
  <c r="J177" s="1"/>
  <c r="H172"/>
  <c r="I172" s="1"/>
  <c r="H173"/>
  <c r="I173" s="1"/>
  <c r="H181"/>
  <c r="I181" s="1"/>
  <c r="J181" s="1"/>
  <c r="H174"/>
  <c r="I174" s="1"/>
  <c r="J174" s="1"/>
  <c r="K174" s="1"/>
  <c r="L174" s="1"/>
  <c r="M174" s="1"/>
  <c r="N174" s="1"/>
  <c r="H182"/>
  <c r="I182" s="1"/>
  <c r="J182" s="1"/>
  <c r="K182" s="1"/>
  <c r="L182" s="1"/>
  <c r="M182" s="1"/>
  <c r="N182" s="1"/>
  <c r="H176"/>
  <c r="I176" s="1"/>
  <c r="J176" s="1"/>
  <c r="K176" s="1"/>
  <c r="L176" s="1"/>
  <c r="J113" i="49"/>
  <c r="L113"/>
  <c r="K113"/>
  <c r="K102"/>
  <c r="M113"/>
  <c r="L102"/>
  <c r="M102"/>
  <c r="N113"/>
  <c r="N102"/>
  <c r="O102"/>
  <c r="O113"/>
  <c r="F93" i="62"/>
  <c r="L93"/>
  <c r="K93"/>
  <c r="J93"/>
  <c r="H93"/>
  <c r="G93"/>
  <c r="N93"/>
  <c r="M93"/>
  <c r="I93"/>
  <c r="I203" i="61" a="1"/>
  <c r="G297"/>
  <c r="I235" a="1"/>
  <c r="F297"/>
  <c r="O104" i="62"/>
  <c r="O93"/>
  <c r="F310" i="61"/>
  <c r="G333"/>
  <c r="G344"/>
  <c r="G310"/>
  <c r="F333"/>
  <c r="F344"/>
  <c r="O82" i="88"/>
  <c r="N82"/>
  <c r="M82"/>
  <c r="L82"/>
  <c r="K82"/>
  <c r="J82"/>
  <c r="I82"/>
  <c r="H82"/>
  <c r="G82"/>
  <c r="F82"/>
  <c r="F49" i="69"/>
  <c r="F73" s="1"/>
  <c r="CO49" i="73"/>
  <c r="CO49" i="77"/>
  <c r="CO49" i="71"/>
  <c r="CO49" i="78"/>
  <c r="CO49" i="75"/>
  <c r="CO49" i="29"/>
  <c r="CO49" i="70"/>
  <c r="CO49" i="74"/>
  <c r="CO49" i="72"/>
  <c r="BT102" i="29"/>
  <c r="CO49" i="76"/>
  <c r="I187" i="61" l="1"/>
  <c r="H268" a="1"/>
  <c r="CO51" i="29"/>
  <c r="CO51" i="72"/>
  <c r="CO51" i="78"/>
  <c r="CO51" i="75"/>
  <c r="CO51" i="70"/>
  <c r="CO51" i="77"/>
  <c r="CO51" i="73"/>
  <c r="CO51" i="74"/>
  <c r="CO51" i="76"/>
  <c r="CO51" i="71"/>
  <c r="I210" i="61"/>
  <c r="F106" i="37"/>
  <c r="F128" s="1"/>
  <c r="F105"/>
  <c r="H235" i="61" a="1"/>
  <c r="H244" s="1"/>
  <c r="H203" a="1"/>
  <c r="H214" s="1"/>
  <c r="F92" i="27"/>
  <c r="F93" s="1"/>
  <c r="F98" s="1"/>
  <c r="F99" s="1"/>
  <c r="F114" s="1"/>
  <c r="F25" i="47" a="1"/>
  <c r="I246" i="61"/>
  <c r="I247"/>
  <c r="I239"/>
  <c r="I242"/>
  <c r="I207"/>
  <c r="I241"/>
  <c r="J180"/>
  <c r="K180" s="1"/>
  <c r="I245"/>
  <c r="I213"/>
  <c r="J178"/>
  <c r="K178" s="1"/>
  <c r="I211"/>
  <c r="I243"/>
  <c r="J170"/>
  <c r="I203"/>
  <c r="I235"/>
  <c r="J175"/>
  <c r="K175" s="1"/>
  <c r="I240"/>
  <c r="I208"/>
  <c r="J179"/>
  <c r="I244"/>
  <c r="I212"/>
  <c r="O174"/>
  <c r="J171"/>
  <c r="I236"/>
  <c r="I204"/>
  <c r="I209"/>
  <c r="I189"/>
  <c r="DH102" i="29"/>
  <c r="BT104"/>
  <c r="F74" i="69"/>
  <c r="J173" i="61"/>
  <c r="K173" s="1"/>
  <c r="I206"/>
  <c r="I238"/>
  <c r="J172"/>
  <c r="K172" s="1"/>
  <c r="I205"/>
  <c r="I237"/>
  <c r="F125" i="37"/>
  <c r="F109"/>
  <c r="F417" i="36"/>
  <c r="F424"/>
  <c r="F428"/>
  <c r="F420"/>
  <c r="F426"/>
  <c r="F422"/>
  <c r="F418"/>
  <c r="O182" i="61"/>
  <c r="M176"/>
  <c r="K177"/>
  <c r="I214"/>
  <c r="I215"/>
  <c r="K181"/>
  <c r="J188"/>
  <c r="F429" i="36"/>
  <c r="F427"/>
  <c r="F425"/>
  <c r="F423"/>
  <c r="F421"/>
  <c r="F419"/>
  <c r="G286"/>
  <c r="H384" s="1"/>
  <c r="T62" i="29"/>
  <c r="BI79"/>
  <c r="BI75"/>
  <c r="AY62"/>
  <c r="T79"/>
  <c r="F111" i="27" l="1"/>
  <c r="J187" i="61"/>
  <c r="I268" a="1"/>
  <c r="H269"/>
  <c r="H270"/>
  <c r="H268"/>
  <c r="H239"/>
  <c r="H241"/>
  <c r="H242"/>
  <c r="H246"/>
  <c r="H206"/>
  <c r="H205"/>
  <c r="H215"/>
  <c r="H209"/>
  <c r="AK62" i="29"/>
  <c r="BF62"/>
  <c r="AY63"/>
  <c r="AY84" s="1"/>
  <c r="I227" i="61" a="1"/>
  <c r="I225" a="1"/>
  <c r="I223" a="1"/>
  <c r="I221" a="1"/>
  <c r="I228" a="1"/>
  <c r="I226" a="1"/>
  <c r="I224" a="1"/>
  <c r="I222" a="1"/>
  <c r="I220" a="1"/>
  <c r="H237"/>
  <c r="H236"/>
  <c r="H243"/>
  <c r="H247"/>
  <c r="H245"/>
  <c r="H282" a="1"/>
  <c r="H280" a="1"/>
  <c r="H278" a="1"/>
  <c r="H276" a="1"/>
  <c r="H283" a="1"/>
  <c r="H281" a="1"/>
  <c r="H279" a="1"/>
  <c r="H277" a="1"/>
  <c r="H275" a="1"/>
  <c r="H235"/>
  <c r="I260" a="1"/>
  <c r="I260" s="1"/>
  <c r="I257" a="1"/>
  <c r="I255" a="1"/>
  <c r="I255" s="1"/>
  <c r="I253" a="1"/>
  <c r="I258" a="1"/>
  <c r="I258" s="1"/>
  <c r="I256" a="1"/>
  <c r="I254" a="1"/>
  <c r="I254" s="1"/>
  <c r="I252" a="1"/>
  <c r="I259" a="1"/>
  <c r="I259" s="1"/>
  <c r="K170"/>
  <c r="J203" a="1"/>
  <c r="J205" s="1"/>
  <c r="J235" a="1"/>
  <c r="H238"/>
  <c r="H240"/>
  <c r="F25" i="47"/>
  <c r="O25"/>
  <c r="K25"/>
  <c r="G25"/>
  <c r="L25"/>
  <c r="H25"/>
  <c r="M25"/>
  <c r="I25"/>
  <c r="N25"/>
  <c r="J25"/>
  <c r="H204" i="61"/>
  <c r="H207"/>
  <c r="H211"/>
  <c r="H210"/>
  <c r="H213"/>
  <c r="H203"/>
  <c r="H212"/>
  <c r="H208"/>
  <c r="J238"/>
  <c r="J189"/>
  <c r="K171"/>
  <c r="J236"/>
  <c r="K179"/>
  <c r="J244"/>
  <c r="F430" i="36"/>
  <c r="BI76" i="29"/>
  <c r="I248" i="61"/>
  <c r="I256"/>
  <c r="I252"/>
  <c r="I253"/>
  <c r="I257"/>
  <c r="CO84" i="78"/>
  <c r="CO109" s="1"/>
  <c r="CO84" i="76"/>
  <c r="CO109" s="1"/>
  <c r="CO84" i="74"/>
  <c r="CO109" s="1"/>
  <c r="CO84" i="72"/>
  <c r="CO109" s="1"/>
  <c r="CO84" i="70"/>
  <c r="CO109" s="1"/>
  <c r="CO84" i="77"/>
  <c r="CO109" s="1"/>
  <c r="CO84" i="75"/>
  <c r="CO109" s="1"/>
  <c r="CO84" i="73"/>
  <c r="CO109" s="1"/>
  <c r="CO84" i="71"/>
  <c r="CO109" s="1"/>
  <c r="CO84" i="29"/>
  <c r="I216" i="61"/>
  <c r="F100" i="27"/>
  <c r="F102" s="1"/>
  <c r="F127" i="37"/>
  <c r="F126"/>
  <c r="F114"/>
  <c r="F139" s="1"/>
  <c r="F112"/>
  <c r="F113"/>
  <c r="F138" s="1"/>
  <c r="DH104" i="29"/>
  <c r="BT106"/>
  <c r="L178" i="61"/>
  <c r="L175"/>
  <c r="L180"/>
  <c r="L181"/>
  <c r="L172"/>
  <c r="F442" i="36" a="1"/>
  <c r="F442" s="1"/>
  <c r="G248"/>
  <c r="H285"/>
  <c r="G260"/>
  <c r="H372"/>
  <c r="H373"/>
  <c r="H274" s="1"/>
  <c r="H375"/>
  <c r="H276" s="1"/>
  <c r="H377"/>
  <c r="H278" s="1"/>
  <c r="H379"/>
  <c r="H280" s="1"/>
  <c r="H381"/>
  <c r="H282" s="1"/>
  <c r="H383"/>
  <c r="H284" s="1"/>
  <c r="G252"/>
  <c r="G256"/>
  <c r="G250"/>
  <c r="G253"/>
  <c r="G257"/>
  <c r="H374"/>
  <c r="H275" s="1"/>
  <c r="H376"/>
  <c r="H277" s="1"/>
  <c r="H378"/>
  <c r="H279" s="1"/>
  <c r="H380"/>
  <c r="H281" s="1"/>
  <c r="H382"/>
  <c r="H283" s="1"/>
  <c r="G249"/>
  <c r="G254"/>
  <c r="G258"/>
  <c r="G251"/>
  <c r="G255"/>
  <c r="G259"/>
  <c r="H275" i="61"/>
  <c r="K188"/>
  <c r="L177"/>
  <c r="L173"/>
  <c r="N176"/>
  <c r="BH79" i="29"/>
  <c r="BP79"/>
  <c r="AW42" i="60"/>
  <c r="BQ79" i="29"/>
  <c r="U79"/>
  <c r="T75"/>
  <c r="H107" i="59"/>
  <c r="H100"/>
  <c r="H282" i="61" l="1"/>
  <c r="H279"/>
  <c r="H292" s="1"/>
  <c r="H271"/>
  <c r="H281"/>
  <c r="H283"/>
  <c r="H296" s="1"/>
  <c r="H278"/>
  <c r="H291" s="1"/>
  <c r="H280"/>
  <c r="H293" s="1"/>
  <c r="H277"/>
  <c r="H290" s="1"/>
  <c r="H276"/>
  <c r="H289" s="1"/>
  <c r="AK75" i="29"/>
  <c r="T76"/>
  <c r="AK76" s="1"/>
  <c r="J268" i="61" a="1"/>
  <c r="K187"/>
  <c r="I269"/>
  <c r="I270"/>
  <c r="I276" s="1" a="1"/>
  <c r="I268"/>
  <c r="J206"/>
  <c r="H216"/>
  <c r="BL62" i="29"/>
  <c r="H248" i="61"/>
  <c r="J207"/>
  <c r="J210"/>
  <c r="J215"/>
  <c r="J204"/>
  <c r="J203"/>
  <c r="J213"/>
  <c r="J209"/>
  <c r="J212"/>
  <c r="J214"/>
  <c r="J208"/>
  <c r="J211"/>
  <c r="I280" a="1"/>
  <c r="I275" a="1"/>
  <c r="I279" a="1"/>
  <c r="I283" a="1"/>
  <c r="AX84" i="29"/>
  <c r="AX109" s="1"/>
  <c r="AY109"/>
  <c r="H228" i="61" a="1"/>
  <c r="H226" a="1"/>
  <c r="H224" a="1"/>
  <c r="H222" a="1"/>
  <c r="H220" a="1"/>
  <c r="H227" a="1"/>
  <c r="H225" a="1"/>
  <c r="H223" a="1"/>
  <c r="H221" a="1"/>
  <c r="J247"/>
  <c r="J241"/>
  <c r="J239"/>
  <c r="J237"/>
  <c r="J243"/>
  <c r="J242"/>
  <c r="J246"/>
  <c r="J235"/>
  <c r="J245"/>
  <c r="J240"/>
  <c r="K203" a="1"/>
  <c r="K235" a="1"/>
  <c r="L170"/>
  <c r="H259" a="1"/>
  <c r="H259" s="1"/>
  <c r="H258" a="1"/>
  <c r="H258" s="1"/>
  <c r="H256" a="1"/>
  <c r="H256" s="1"/>
  <c r="H254" a="1"/>
  <c r="H254" s="1"/>
  <c r="H252" a="1"/>
  <c r="H252" s="1"/>
  <c r="H257" a="1"/>
  <c r="H257" s="1"/>
  <c r="H255" a="1"/>
  <c r="H255" s="1"/>
  <c r="H253" a="1"/>
  <c r="H253" s="1"/>
  <c r="H260" a="1"/>
  <c r="H260" s="1"/>
  <c r="I278" a="1"/>
  <c r="I278" s="1"/>
  <c r="I291" s="1"/>
  <c r="I282" a="1"/>
  <c r="I277" a="1"/>
  <c r="I277" s="1"/>
  <c r="I290" s="1"/>
  <c r="L179"/>
  <c r="K212"/>
  <c r="K244"/>
  <c r="L171"/>
  <c r="K236"/>
  <c r="K189"/>
  <c r="BJ79" i="29"/>
  <c r="AK79"/>
  <c r="I261" i="61"/>
  <c r="BS106" i="29"/>
  <c r="F137" i="37"/>
  <c r="F117"/>
  <c r="F140" s="1"/>
  <c r="F113" i="27"/>
  <c r="F112"/>
  <c r="F129" i="37"/>
  <c r="M173" i="61"/>
  <c r="G261" i="36"/>
  <c r="M172" i="61"/>
  <c r="M180"/>
  <c r="M178"/>
  <c r="O176"/>
  <c r="M177"/>
  <c r="L188"/>
  <c r="H284"/>
  <c r="H288"/>
  <c r="H385" i="36"/>
  <c r="H273"/>
  <c r="M181" i="61"/>
  <c r="M175"/>
  <c r="BO79" i="29"/>
  <c r="H25" i="59"/>
  <c r="AV75" i="29"/>
  <c r="DC79"/>
  <c r="BH75"/>
  <c r="H26" i="59"/>
  <c r="H101"/>
  <c r="I282" i="61" l="1"/>
  <c r="H170" i="59"/>
  <c r="H171"/>
  <c r="I271" i="61"/>
  <c r="I283"/>
  <c r="I296" s="1"/>
  <c r="I275"/>
  <c r="I288" s="1"/>
  <c r="I276"/>
  <c r="I289" s="1"/>
  <c r="I279"/>
  <c r="I292" s="1"/>
  <c r="I280"/>
  <c r="I293" s="1"/>
  <c r="J269"/>
  <c r="J270"/>
  <c r="J271" s="1"/>
  <c r="J268"/>
  <c r="I281" a="1"/>
  <c r="I281" s="1"/>
  <c r="K268" a="1"/>
  <c r="L187"/>
  <c r="H261"/>
  <c r="I284"/>
  <c r="L203" a="1"/>
  <c r="L235" a="1"/>
  <c r="M170"/>
  <c r="K207"/>
  <c r="K209"/>
  <c r="K203"/>
  <c r="K215"/>
  <c r="K213"/>
  <c r="K205"/>
  <c r="K206"/>
  <c r="K211"/>
  <c r="K208"/>
  <c r="K214"/>
  <c r="K210"/>
  <c r="K204"/>
  <c r="K241"/>
  <c r="K247"/>
  <c r="K239"/>
  <c r="K235"/>
  <c r="K243"/>
  <c r="K240"/>
  <c r="K246"/>
  <c r="K242"/>
  <c r="K245"/>
  <c r="K237"/>
  <c r="K238"/>
  <c r="K248" s="1"/>
  <c r="J259" a="1"/>
  <c r="J259" s="1"/>
  <c r="J258" a="1"/>
  <c r="J258" s="1"/>
  <c r="J256" a="1"/>
  <c r="J256" s="1"/>
  <c r="J254" a="1"/>
  <c r="J254" s="1"/>
  <c r="J252" a="1"/>
  <c r="J252" s="1"/>
  <c r="J260" a="1"/>
  <c r="J260" s="1"/>
  <c r="J257" a="1"/>
  <c r="J257" s="1"/>
  <c r="J255" a="1"/>
  <c r="J255" s="1"/>
  <c r="J253" a="1"/>
  <c r="J253" s="1"/>
  <c r="J248"/>
  <c r="J228" a="1"/>
  <c r="J226" a="1"/>
  <c r="J224" a="1"/>
  <c r="J222" a="1"/>
  <c r="J220" a="1"/>
  <c r="J227" a="1"/>
  <c r="J225" a="1"/>
  <c r="J223" a="1"/>
  <c r="J221" a="1"/>
  <c r="J216"/>
  <c r="J282" a="1"/>
  <c r="J280" a="1"/>
  <c r="J280" s="1"/>
  <c r="J293" s="1"/>
  <c r="J278" a="1"/>
  <c r="J276" a="1"/>
  <c r="J283" a="1"/>
  <c r="J281" a="1"/>
  <c r="J281" s="1"/>
  <c r="J279" a="1"/>
  <c r="J277" a="1"/>
  <c r="J277" s="1"/>
  <c r="J290" s="1"/>
  <c r="J275" a="1"/>
  <c r="J276"/>
  <c r="J289" s="1"/>
  <c r="BL79" i="29"/>
  <c r="L189" i="61"/>
  <c r="M179"/>
  <c r="L244"/>
  <c r="L212"/>
  <c r="M171"/>
  <c r="L236"/>
  <c r="L204"/>
  <c r="BJ75" i="29"/>
  <c r="BH76"/>
  <c r="BJ76" s="1"/>
  <c r="DH79"/>
  <c r="DC82"/>
  <c r="DC84" s="1"/>
  <c r="BF75"/>
  <c r="BL75" s="1"/>
  <c r="AV76"/>
  <c r="F141" i="37"/>
  <c r="F115" i="27"/>
  <c r="N181" i="61"/>
  <c r="M188"/>
  <c r="N180"/>
  <c r="N173"/>
  <c r="N175"/>
  <c r="H286" i="36"/>
  <c r="H248" s="1"/>
  <c r="H295" i="61"/>
  <c r="H297" s="1"/>
  <c r="N177"/>
  <c r="N178"/>
  <c r="N172"/>
  <c r="K216" l="1"/>
  <c r="I295"/>
  <c r="I297" s="1"/>
  <c r="J275"/>
  <c r="J279"/>
  <c r="J292" s="1"/>
  <c r="J283"/>
  <c r="J296" s="1"/>
  <c r="J278"/>
  <c r="J291" s="1"/>
  <c r="J282"/>
  <c r="K269"/>
  <c r="K270"/>
  <c r="K268"/>
  <c r="L268" a="1"/>
  <c r="M187"/>
  <c r="J288"/>
  <c r="M203" a="1"/>
  <c r="M235" a="1"/>
  <c r="N170"/>
  <c r="L209"/>
  <c r="L207"/>
  <c r="L215"/>
  <c r="L203"/>
  <c r="L205"/>
  <c r="L211"/>
  <c r="L210"/>
  <c r="L208"/>
  <c r="L206"/>
  <c r="L213"/>
  <c r="L214"/>
  <c r="J261"/>
  <c r="K260" a="1"/>
  <c r="K260" s="1"/>
  <c r="K257" a="1"/>
  <c r="K257" s="1"/>
  <c r="K255" a="1"/>
  <c r="K255" s="1"/>
  <c r="K253" a="1"/>
  <c r="K253" s="1"/>
  <c r="K259" a="1"/>
  <c r="K259" s="1"/>
  <c r="K258" a="1"/>
  <c r="K258" s="1"/>
  <c r="K256" a="1"/>
  <c r="K256" s="1"/>
  <c r="K254" a="1"/>
  <c r="K254" s="1"/>
  <c r="K252" a="1"/>
  <c r="K252" s="1"/>
  <c r="K283" a="1"/>
  <c r="K281" a="1"/>
  <c r="K279" a="1"/>
  <c r="K277" a="1"/>
  <c r="K275" a="1"/>
  <c r="K282" a="1"/>
  <c r="K280" a="1"/>
  <c r="K278" a="1"/>
  <c r="K276" a="1"/>
  <c r="K227" a="1"/>
  <c r="K225" a="1"/>
  <c r="K223" a="1"/>
  <c r="K221" a="1"/>
  <c r="K228" a="1"/>
  <c r="K226" a="1"/>
  <c r="K224" a="1"/>
  <c r="K222" a="1"/>
  <c r="K220" a="1"/>
  <c r="L247"/>
  <c r="L239"/>
  <c r="L241"/>
  <c r="L235"/>
  <c r="L238"/>
  <c r="L245"/>
  <c r="L246"/>
  <c r="L237"/>
  <c r="L243"/>
  <c r="L242"/>
  <c r="L240"/>
  <c r="M189"/>
  <c r="N171"/>
  <c r="M236"/>
  <c r="M204"/>
  <c r="N179"/>
  <c r="M212"/>
  <c r="M244"/>
  <c r="K276"/>
  <c r="K289" s="1"/>
  <c r="CP109" i="29"/>
  <c r="CO109" s="1"/>
  <c r="BF76"/>
  <c r="BL76" s="1"/>
  <c r="AV84"/>
  <c r="O177" i="61"/>
  <c r="O173"/>
  <c r="O180"/>
  <c r="N188"/>
  <c r="O172"/>
  <c r="O178"/>
  <c r="I384" i="36"/>
  <c r="I285" s="1"/>
  <c r="I373"/>
  <c r="I274" s="1"/>
  <c r="I375"/>
  <c r="I276" s="1"/>
  <c r="I377"/>
  <c r="I278" s="1"/>
  <c r="I379"/>
  <c r="I280" s="1"/>
  <c r="I381"/>
  <c r="I282" s="1"/>
  <c r="I383"/>
  <c r="I284" s="1"/>
  <c r="I372"/>
  <c r="I374"/>
  <c r="I275" s="1"/>
  <c r="I376"/>
  <c r="I277" s="1"/>
  <c r="I378"/>
  <c r="I279" s="1"/>
  <c r="I380"/>
  <c r="I281" s="1"/>
  <c r="I382"/>
  <c r="I283" s="1"/>
  <c r="H257"/>
  <c r="H253"/>
  <c r="H258"/>
  <c r="H254"/>
  <c r="H250"/>
  <c r="H255"/>
  <c r="H251"/>
  <c r="H256"/>
  <c r="H252"/>
  <c r="H249"/>
  <c r="H259"/>
  <c r="H260"/>
  <c r="O175" i="61"/>
  <c r="O181"/>
  <c r="K281" l="1"/>
  <c r="K277"/>
  <c r="K290" s="1"/>
  <c r="K275"/>
  <c r="K282"/>
  <c r="K279"/>
  <c r="K292" s="1"/>
  <c r="K278"/>
  <c r="K291" s="1"/>
  <c r="K271"/>
  <c r="K283"/>
  <c r="K296" s="1"/>
  <c r="K280"/>
  <c r="K293" s="1"/>
  <c r="J295"/>
  <c r="J297" s="1"/>
  <c r="J284"/>
  <c r="M268" a="1"/>
  <c r="N187"/>
  <c r="L269"/>
  <c r="L270"/>
  <c r="L268"/>
  <c r="K261"/>
  <c r="L216"/>
  <c r="M239"/>
  <c r="M247"/>
  <c r="M241"/>
  <c r="M235"/>
  <c r="M240"/>
  <c r="M242"/>
  <c r="M246"/>
  <c r="M245"/>
  <c r="M238"/>
  <c r="M243"/>
  <c r="M237"/>
  <c r="L259" a="1"/>
  <c r="L259" s="1"/>
  <c r="L256" a="1"/>
  <c r="L256" s="1"/>
  <c r="L254" a="1"/>
  <c r="L254" s="1"/>
  <c r="L252" a="1"/>
  <c r="L252" s="1"/>
  <c r="L257" a="1"/>
  <c r="L257" s="1"/>
  <c r="L255" a="1"/>
  <c r="L255" s="1"/>
  <c r="L253" a="1"/>
  <c r="L253" s="1"/>
  <c r="L260" a="1"/>
  <c r="L260" s="1"/>
  <c r="L258" a="1"/>
  <c r="L258" s="1"/>
  <c r="L248"/>
  <c r="L228" a="1"/>
  <c r="L226" a="1"/>
  <c r="L224" a="1"/>
  <c r="L222" a="1"/>
  <c r="L220" a="1"/>
  <c r="L227" a="1"/>
  <c r="L225" a="1"/>
  <c r="L223" a="1"/>
  <c r="L221" a="1"/>
  <c r="N203" a="1"/>
  <c r="N235" a="1"/>
  <c r="O170"/>
  <c r="M215"/>
  <c r="M207"/>
  <c r="M209"/>
  <c r="M203"/>
  <c r="M210"/>
  <c r="M205"/>
  <c r="M214"/>
  <c r="M213"/>
  <c r="M206"/>
  <c r="M208"/>
  <c r="M211"/>
  <c r="L282" a="1"/>
  <c r="L280" a="1"/>
  <c r="L278" a="1"/>
  <c r="L276" a="1"/>
  <c r="L276" s="1"/>
  <c r="L289" s="1"/>
  <c r="L283" a="1"/>
  <c r="L281" a="1"/>
  <c r="L281" s="1"/>
  <c r="L279" a="1"/>
  <c r="L277" a="1"/>
  <c r="L277" s="1"/>
  <c r="L290" s="1"/>
  <c r="L275" a="1"/>
  <c r="K284"/>
  <c r="K288"/>
  <c r="O179"/>
  <c r="N212"/>
  <c r="N244"/>
  <c r="L280"/>
  <c r="L293" s="1"/>
  <c r="L271"/>
  <c r="O171"/>
  <c r="N236"/>
  <c r="N189"/>
  <c r="AV109" i="29"/>
  <c r="H261" i="36"/>
  <c r="O188" i="61"/>
  <c r="I385" i="36"/>
  <c r="I273"/>
  <c r="H23" i="59"/>
  <c r="L282" i="61" l="1"/>
  <c r="L279"/>
  <c r="L292" s="1"/>
  <c r="K295"/>
  <c r="K297" s="1"/>
  <c r="L275"/>
  <c r="L288" s="1"/>
  <c r="L283"/>
  <c r="L296" s="1"/>
  <c r="L278"/>
  <c r="L291" s="1"/>
  <c r="H168" i="59"/>
  <c r="M269" i="61"/>
  <c r="M270"/>
  <c r="M268"/>
  <c r="N268" a="1"/>
  <c r="O187"/>
  <c r="M227" a="1"/>
  <c r="M225" a="1"/>
  <c r="M225" s="1"/>
  <c r="M223" a="1"/>
  <c r="M221" a="1"/>
  <c r="M228" a="1"/>
  <c r="M226" a="1"/>
  <c r="M224" a="1"/>
  <c r="M222" a="1"/>
  <c r="M220" a="1"/>
  <c r="M216"/>
  <c r="O203" a="1"/>
  <c r="O235" a="1"/>
  <c r="N207"/>
  <c r="N215"/>
  <c r="N209"/>
  <c r="N203"/>
  <c r="N213"/>
  <c r="N210"/>
  <c r="N206"/>
  <c r="N205"/>
  <c r="N208"/>
  <c r="N214"/>
  <c r="N211"/>
  <c r="L261"/>
  <c r="N204"/>
  <c r="N247"/>
  <c r="N239"/>
  <c r="N241"/>
  <c r="N235"/>
  <c r="N242"/>
  <c r="N238"/>
  <c r="N245"/>
  <c r="N237"/>
  <c r="N243"/>
  <c r="N240"/>
  <c r="N246"/>
  <c r="M260" a="1"/>
  <c r="M260" s="1"/>
  <c r="M258" a="1"/>
  <c r="M258" s="1"/>
  <c r="M257" a="1"/>
  <c r="M257" s="1"/>
  <c r="M255" a="1"/>
  <c r="M255" s="1"/>
  <c r="M253" a="1"/>
  <c r="M253" s="1"/>
  <c r="M256" a="1"/>
  <c r="M256" s="1"/>
  <c r="M254" a="1"/>
  <c r="M254" s="1"/>
  <c r="M252" a="1"/>
  <c r="M252" s="1"/>
  <c r="M259" a="1"/>
  <c r="M259" s="1"/>
  <c r="M248"/>
  <c r="M283" a="1"/>
  <c r="M281" a="1"/>
  <c r="M279" a="1"/>
  <c r="M277" a="1"/>
  <c r="M275" a="1"/>
  <c r="M282" a="1"/>
  <c r="M280" a="1"/>
  <c r="M278" a="1"/>
  <c r="M276" a="1"/>
  <c r="O244"/>
  <c r="O189"/>
  <c r="O236"/>
  <c r="I286" i="36"/>
  <c r="I248" s="1"/>
  <c r="M282" i="61" l="1"/>
  <c r="L284"/>
  <c r="L295"/>
  <c r="L297" s="1"/>
  <c r="M276"/>
  <c r="M289" s="1"/>
  <c r="M280"/>
  <c r="M293" s="1"/>
  <c r="M275"/>
  <c r="M288" s="1"/>
  <c r="M279"/>
  <c r="M292" s="1"/>
  <c r="M283"/>
  <c r="M296" s="1"/>
  <c r="M271"/>
  <c r="M278"/>
  <c r="M291" s="1"/>
  <c r="M277"/>
  <c r="M290" s="1"/>
  <c r="M281"/>
  <c r="O268" a="1"/>
  <c r="N269"/>
  <c r="N270"/>
  <c r="N268"/>
  <c r="M306"/>
  <c r="M330" s="1"/>
  <c r="M284"/>
  <c r="N259" a="1"/>
  <c r="N259" s="1"/>
  <c r="N256" a="1"/>
  <c r="N256" s="1"/>
  <c r="N254" a="1"/>
  <c r="N254" s="1"/>
  <c r="N252" a="1"/>
  <c r="N252" s="1"/>
  <c r="N260" a="1"/>
  <c r="N260" s="1"/>
  <c r="N258" a="1"/>
  <c r="N258" s="1"/>
  <c r="N257" a="1"/>
  <c r="N257" s="1"/>
  <c r="N255" a="1"/>
  <c r="N255" s="1"/>
  <c r="N253" a="1"/>
  <c r="N253" s="1"/>
  <c r="N248"/>
  <c r="O207"/>
  <c r="O215"/>
  <c r="O209"/>
  <c r="O203"/>
  <c r="O208"/>
  <c r="O214"/>
  <c r="O206"/>
  <c r="O210"/>
  <c r="O211"/>
  <c r="O205"/>
  <c r="O213"/>
  <c r="O204"/>
  <c r="O212"/>
  <c r="M261"/>
  <c r="N282" a="1"/>
  <c r="N282" s="1"/>
  <c r="N280" a="1"/>
  <c r="N278" a="1"/>
  <c r="N278" s="1"/>
  <c r="N291" s="1"/>
  <c r="N276" a="1"/>
  <c r="N283" a="1"/>
  <c r="N283" s="1"/>
  <c r="N296" s="1"/>
  <c r="N281" a="1"/>
  <c r="N279" a="1"/>
  <c r="N279" s="1"/>
  <c r="N292" s="1"/>
  <c r="N277" a="1"/>
  <c r="N275" a="1"/>
  <c r="N275" s="1"/>
  <c r="N288" s="1"/>
  <c r="N228" a="1"/>
  <c r="N226" a="1"/>
  <c r="N224" a="1"/>
  <c r="N222" a="1"/>
  <c r="N220" a="1"/>
  <c r="N227" a="1"/>
  <c r="N225" a="1"/>
  <c r="N225" s="1"/>
  <c r="N223" a="1"/>
  <c r="N221" a="1"/>
  <c r="N216"/>
  <c r="O239"/>
  <c r="O247"/>
  <c r="O241"/>
  <c r="O235"/>
  <c r="O246"/>
  <c r="O238"/>
  <c r="O242"/>
  <c r="O243"/>
  <c r="O237"/>
  <c r="O245"/>
  <c r="O240"/>
  <c r="J372" i="36"/>
  <c r="J373"/>
  <c r="J274" s="1"/>
  <c r="J375"/>
  <c r="J276" s="1"/>
  <c r="J377"/>
  <c r="J278" s="1"/>
  <c r="J379"/>
  <c r="J280" s="1"/>
  <c r="J381"/>
  <c r="J282" s="1"/>
  <c r="J383"/>
  <c r="J284" s="1"/>
  <c r="J384"/>
  <c r="J285" s="1"/>
  <c r="J374"/>
  <c r="J275" s="1"/>
  <c r="J376"/>
  <c r="J277" s="1"/>
  <c r="J378"/>
  <c r="J279" s="1"/>
  <c r="J380"/>
  <c r="J281" s="1"/>
  <c r="J382"/>
  <c r="J283" s="1"/>
  <c r="I255"/>
  <c r="I251"/>
  <c r="I260"/>
  <c r="I256"/>
  <c r="I252"/>
  <c r="I257"/>
  <c r="I253"/>
  <c r="I258"/>
  <c r="I254"/>
  <c r="I250"/>
  <c r="I259"/>
  <c r="I249"/>
  <c r="AB12" i="76"/>
  <c r="M295" i="61" l="1"/>
  <c r="M297" s="1"/>
  <c r="N277"/>
  <c r="N290" s="1"/>
  <c r="N281"/>
  <c r="N276"/>
  <c r="N289" s="1"/>
  <c r="N280"/>
  <c r="N293" s="1"/>
  <c r="N306" s="1"/>
  <c r="N330" s="1"/>
  <c r="N271"/>
  <c r="O269"/>
  <c r="O270"/>
  <c r="O268"/>
  <c r="AB14" i="76"/>
  <c r="O260" i="61" a="1"/>
  <c r="O260" s="1"/>
  <c r="O258" a="1"/>
  <c r="O258" s="1"/>
  <c r="O257" a="1"/>
  <c r="O257" s="1"/>
  <c r="O255" a="1"/>
  <c r="O255" s="1"/>
  <c r="O253" a="1"/>
  <c r="O253" s="1"/>
  <c r="O259" a="1"/>
  <c r="O259" s="1"/>
  <c r="O256" a="1"/>
  <c r="O256" s="1"/>
  <c r="O254" a="1"/>
  <c r="O254" s="1"/>
  <c r="O252" a="1"/>
  <c r="O252" s="1"/>
  <c r="O248"/>
  <c r="N261"/>
  <c r="O227" a="1"/>
  <c r="O225" a="1"/>
  <c r="O225" s="1"/>
  <c r="O223" a="1"/>
  <c r="O221" a="1"/>
  <c r="O228" a="1"/>
  <c r="O226" a="1"/>
  <c r="O224" a="1"/>
  <c r="O222" a="1"/>
  <c r="O220" a="1"/>
  <c r="O216"/>
  <c r="I261" i="36"/>
  <c r="J385"/>
  <c r="J273"/>
  <c r="K225" i="61"/>
  <c r="K306" s="1"/>
  <c r="K330" s="1"/>
  <c r="AB12" i="74"/>
  <c r="AB12" i="77"/>
  <c r="N295" i="61" l="1"/>
  <c r="N297" s="1"/>
  <c r="N284"/>
  <c r="O261"/>
  <c r="AB14" i="77"/>
  <c r="O283" i="61" a="1"/>
  <c r="O283" s="1"/>
  <c r="O296" s="1"/>
  <c r="O281" a="1"/>
  <c r="O281" s="1"/>
  <c r="O279" a="1"/>
  <c r="O279" s="1"/>
  <c r="O292" s="1"/>
  <c r="O277" a="1"/>
  <c r="O277" s="1"/>
  <c r="O290" s="1"/>
  <c r="O275" a="1"/>
  <c r="O275" s="1"/>
  <c r="O282" a="1"/>
  <c r="O282" s="1"/>
  <c r="O280" a="1"/>
  <c r="O280" s="1"/>
  <c r="O293" s="1"/>
  <c r="O306" s="1"/>
  <c r="O330" s="1"/>
  <c r="O278" a="1"/>
  <c r="O278" s="1"/>
  <c r="O291" s="1"/>
  <c r="O276" a="1"/>
  <c r="O276" s="1"/>
  <c r="O289" s="1"/>
  <c r="O271"/>
  <c r="J286" i="36"/>
  <c r="J248" s="1"/>
  <c r="AB14" i="74"/>
  <c r="AB12" i="78"/>
  <c r="AB14" l="1"/>
  <c r="O288" i="61"/>
  <c r="O295" s="1"/>
  <c r="O297" s="1"/>
  <c r="O284"/>
  <c r="K373" i="36"/>
  <c r="K274" s="1"/>
  <c r="K375"/>
  <c r="K276" s="1"/>
  <c r="K377"/>
  <c r="K278" s="1"/>
  <c r="K379"/>
  <c r="K280" s="1"/>
  <c r="K381"/>
  <c r="K282" s="1"/>
  <c r="K383"/>
  <c r="K284" s="1"/>
  <c r="K384"/>
  <c r="K285" s="1"/>
  <c r="K372"/>
  <c r="K374"/>
  <c r="K275" s="1"/>
  <c r="K376"/>
  <c r="K277" s="1"/>
  <c r="K378"/>
  <c r="K279" s="1"/>
  <c r="K380"/>
  <c r="K281" s="1"/>
  <c r="K382"/>
  <c r="K283" s="1"/>
  <c r="J249"/>
  <c r="J258"/>
  <c r="J254"/>
  <c r="J250"/>
  <c r="J256"/>
  <c r="J252"/>
  <c r="J260"/>
  <c r="J257"/>
  <c r="J253"/>
  <c r="J259"/>
  <c r="J255"/>
  <c r="J251"/>
  <c r="J261" l="1"/>
  <c r="K385"/>
  <c r="K273"/>
  <c r="I225" i="61"/>
  <c r="I306" s="1"/>
  <c r="I330" s="1"/>
  <c r="AB12" i="72"/>
  <c r="K286" i="36" l="1"/>
  <c r="K248" s="1"/>
  <c r="AB14" i="72"/>
  <c r="L372" i="36" l="1"/>
  <c r="L373"/>
  <c r="L274" s="1"/>
  <c r="L375"/>
  <c r="L276" s="1"/>
  <c r="L377"/>
  <c r="L278" s="1"/>
  <c r="L379"/>
  <c r="L280" s="1"/>
  <c r="L381"/>
  <c r="L282" s="1"/>
  <c r="L383"/>
  <c r="L284" s="1"/>
  <c r="L384"/>
  <c r="L285" s="1"/>
  <c r="L374"/>
  <c r="L275" s="1"/>
  <c r="L376"/>
  <c r="L277" s="1"/>
  <c r="L378"/>
  <c r="L279" s="1"/>
  <c r="L380"/>
  <c r="L281" s="1"/>
  <c r="L382"/>
  <c r="L283" s="1"/>
  <c r="K258"/>
  <c r="K256"/>
  <c r="K252"/>
  <c r="K255"/>
  <c r="K251"/>
  <c r="K260"/>
  <c r="K257"/>
  <c r="K253"/>
  <c r="K259"/>
  <c r="K254"/>
  <c r="K250"/>
  <c r="K249"/>
  <c r="K261" l="1"/>
  <c r="L385"/>
  <c r="L273"/>
  <c r="F439" a="1"/>
  <c r="F439" s="1"/>
  <c r="L286" l="1"/>
  <c r="L248" s="1"/>
  <c r="M373" l="1"/>
  <c r="M274" s="1"/>
  <c r="M375"/>
  <c r="M276" s="1"/>
  <c r="M377"/>
  <c r="M278" s="1"/>
  <c r="M379"/>
  <c r="M280" s="1"/>
  <c r="M381"/>
  <c r="M282" s="1"/>
  <c r="M383"/>
  <c r="M284" s="1"/>
  <c r="M384"/>
  <c r="M285" s="1"/>
  <c r="M372"/>
  <c r="M374"/>
  <c r="M275" s="1"/>
  <c r="M376"/>
  <c r="M277" s="1"/>
  <c r="M378"/>
  <c r="M279" s="1"/>
  <c r="M380"/>
  <c r="M281" s="1"/>
  <c r="M382"/>
  <c r="M283" s="1"/>
  <c r="L256"/>
  <c r="L252"/>
  <c r="L260"/>
  <c r="L257"/>
  <c r="L253"/>
  <c r="L249"/>
  <c r="L258"/>
  <c r="L254"/>
  <c r="L250"/>
  <c r="L259"/>
  <c r="L255"/>
  <c r="L251"/>
  <c r="L261" l="1"/>
  <c r="M385"/>
  <c r="M273"/>
  <c r="M286" l="1"/>
  <c r="M248" s="1"/>
  <c r="L225" i="61"/>
  <c r="L306" s="1"/>
  <c r="L330" s="1"/>
  <c r="AB12" i="75"/>
  <c r="N372" i="36" l="1"/>
  <c r="N374"/>
  <c r="N275" s="1"/>
  <c r="N376"/>
  <c r="N277" s="1"/>
  <c r="N378"/>
  <c r="N279" s="1"/>
  <c r="N380"/>
  <c r="N281" s="1"/>
  <c r="N382"/>
  <c r="N283" s="1"/>
  <c r="N384"/>
  <c r="N285" s="1"/>
  <c r="N373"/>
  <c r="N274" s="1"/>
  <c r="N375"/>
  <c r="N276" s="1"/>
  <c r="N377"/>
  <c r="N278" s="1"/>
  <c r="N379"/>
  <c r="N280" s="1"/>
  <c r="N381"/>
  <c r="N282" s="1"/>
  <c r="N383"/>
  <c r="N284" s="1"/>
  <c r="M258"/>
  <c r="M254"/>
  <c r="M250"/>
  <c r="M260"/>
  <c r="M249"/>
  <c r="M255"/>
  <c r="M251"/>
  <c r="M257"/>
  <c r="M253"/>
  <c r="M256"/>
  <c r="M252"/>
  <c r="M259"/>
  <c r="AB14" i="75"/>
  <c r="M261" i="36" l="1"/>
  <c r="N385"/>
  <c r="N273"/>
  <c r="N286" l="1"/>
  <c r="N248" s="1"/>
  <c r="J225" i="61"/>
  <c r="J306" s="1"/>
  <c r="J330" s="1"/>
  <c r="AB12" i="73"/>
  <c r="O372" i="36" l="1"/>
  <c r="O374"/>
  <c r="O275" s="1"/>
  <c r="O376"/>
  <c r="O277" s="1"/>
  <c r="O378"/>
  <c r="O279" s="1"/>
  <c r="O380"/>
  <c r="O281" s="1"/>
  <c r="O382"/>
  <c r="O283" s="1"/>
  <c r="O384"/>
  <c r="O285" s="1"/>
  <c r="O373"/>
  <c r="O274" s="1"/>
  <c r="O375"/>
  <c r="O276" s="1"/>
  <c r="O377"/>
  <c r="O278" s="1"/>
  <c r="O379"/>
  <c r="O280" s="1"/>
  <c r="O381"/>
  <c r="O282" s="1"/>
  <c r="O383"/>
  <c r="O284" s="1"/>
  <c r="N249"/>
  <c r="N259"/>
  <c r="N251"/>
  <c r="N256"/>
  <c r="N257"/>
  <c r="N253"/>
  <c r="N258"/>
  <c r="N254"/>
  <c r="N250"/>
  <c r="N255"/>
  <c r="N260"/>
  <c r="N252"/>
  <c r="AB14" i="73"/>
  <c r="O385" i="36" l="1"/>
  <c r="O273"/>
  <c r="N261"/>
  <c r="O286" l="1"/>
  <c r="O248" s="1"/>
  <c r="H225" i="61"/>
  <c r="H306" s="1"/>
  <c r="H330" s="1"/>
  <c r="AB12" i="71"/>
  <c r="O255" i="36" l="1"/>
  <c r="O260"/>
  <c r="O252"/>
  <c r="O253"/>
  <c r="O258"/>
  <c r="O250"/>
  <c r="O257"/>
  <c r="O249"/>
  <c r="O254"/>
  <c r="O259"/>
  <c r="O251"/>
  <c r="O256"/>
  <c r="AB14" i="71"/>
  <c r="O261" i="36" l="1"/>
  <c r="O224" i="61" l="1"/>
  <c r="O305" s="1"/>
  <c r="O329" s="1"/>
  <c r="W12" i="78"/>
  <c r="W14" l="1"/>
  <c r="O220" i="61" l="1"/>
  <c r="O301" s="1"/>
  <c r="O325" l="1"/>
  <c r="S12" i="78"/>
  <c r="S14" l="1"/>
  <c r="O221" i="61" l="1"/>
  <c r="O302" s="1"/>
  <c r="O326" l="1"/>
  <c r="T12" i="78"/>
  <c r="T14" l="1"/>
  <c r="F438" i="36" l="1" a="1"/>
  <c r="F438" s="1"/>
  <c r="F434" l="1" a="1"/>
  <c r="F434" s="1"/>
  <c r="F435" l="1" a="1"/>
  <c r="F435" s="1"/>
  <c r="N224" i="61" l="1"/>
  <c r="N305" s="1"/>
  <c r="N329" s="1"/>
  <c r="W12" i="77"/>
  <c r="W14" l="1"/>
  <c r="N220" i="61"/>
  <c r="N301" s="1"/>
  <c r="N325" l="1"/>
  <c r="S12" i="77"/>
  <c r="S14" l="1"/>
  <c r="N221" i="61" l="1"/>
  <c r="N302" s="1"/>
  <c r="N326" l="1"/>
  <c r="T12" i="77"/>
  <c r="T14" l="1"/>
  <c r="L224" i="61" l="1"/>
  <c r="L305" s="1"/>
  <c r="L329" s="1"/>
  <c r="W12" i="75"/>
  <c r="W14" l="1"/>
  <c r="L220" i="61"/>
  <c r="L301" s="1"/>
  <c r="L325" l="1"/>
  <c r="S12" i="75"/>
  <c r="S14" l="1"/>
  <c r="L221" i="61" l="1"/>
  <c r="L302" s="1"/>
  <c r="L326" l="1"/>
  <c r="T12" i="75"/>
  <c r="T14" l="1"/>
  <c r="J224" i="61" l="1"/>
  <c r="J305" s="1"/>
  <c r="J329" s="1"/>
  <c r="W12" i="73"/>
  <c r="W14" l="1"/>
  <c r="J220" i="61"/>
  <c r="J301" s="1"/>
  <c r="J325" l="1"/>
  <c r="S12" i="73"/>
  <c r="S14" l="1"/>
  <c r="J221" i="61" l="1"/>
  <c r="J302" s="1"/>
  <c r="J326" l="1"/>
  <c r="T12" i="73"/>
  <c r="T14" l="1"/>
  <c r="H224" i="61" l="1"/>
  <c r="H305" s="1"/>
  <c r="H329" s="1"/>
  <c r="W12" i="71"/>
  <c r="W14" l="1"/>
  <c r="H220" i="61"/>
  <c r="H301" s="1"/>
  <c r="H325" l="1"/>
  <c r="S12" i="71"/>
  <c r="S14" l="1"/>
  <c r="H221" i="61" l="1"/>
  <c r="H302" s="1"/>
  <c r="H326" l="1"/>
  <c r="T12" i="71"/>
  <c r="T14" l="1"/>
  <c r="M224" i="61" l="1"/>
  <c r="M305" s="1"/>
  <c r="M329" s="1"/>
  <c r="W12" i="76"/>
  <c r="W14" l="1"/>
  <c r="M220" i="61"/>
  <c r="M301" s="1"/>
  <c r="M325" l="1"/>
  <c r="S12" i="76"/>
  <c r="S14" l="1"/>
  <c r="M221" i="61" l="1"/>
  <c r="M302" s="1"/>
  <c r="M326" l="1"/>
  <c r="T12" i="76"/>
  <c r="T14" l="1"/>
  <c r="K224" i="61" l="1"/>
  <c r="K305" s="1"/>
  <c r="K329" s="1"/>
  <c r="W12" i="74"/>
  <c r="W14" l="1"/>
  <c r="K220" i="61"/>
  <c r="K301" s="1"/>
  <c r="K325" l="1"/>
  <c r="S12" i="74"/>
  <c r="S14" l="1"/>
  <c r="K221" i="61" l="1"/>
  <c r="K302" s="1"/>
  <c r="K326" l="1"/>
  <c r="T12" i="74"/>
  <c r="T14" l="1"/>
  <c r="I224" i="61" l="1"/>
  <c r="I305" s="1"/>
  <c r="I329" s="1"/>
  <c r="W12" i="72"/>
  <c r="W14" l="1"/>
  <c r="I220" i="61" l="1"/>
  <c r="I301" s="1"/>
  <c r="I325" l="1"/>
  <c r="S12" i="72"/>
  <c r="S14" l="1"/>
  <c r="I221" i="61" l="1"/>
  <c r="I302" s="1"/>
  <c r="I326" l="1"/>
  <c r="T12" i="72"/>
  <c r="T14" l="1"/>
  <c r="J222" i="61" l="1"/>
  <c r="J303" s="1"/>
  <c r="J327" l="1"/>
  <c r="U12" i="73"/>
  <c r="U14" l="1"/>
  <c r="J223" i="61"/>
  <c r="J304" s="1"/>
  <c r="J328" l="1"/>
  <c r="V12" i="73"/>
  <c r="V14" l="1"/>
  <c r="O222" i="61"/>
  <c r="O303" s="1"/>
  <c r="O327" l="1"/>
  <c r="U12" i="78"/>
  <c r="U14" l="1"/>
  <c r="O223" i="61"/>
  <c r="O304" s="1"/>
  <c r="O328" l="1"/>
  <c r="V12" i="78"/>
  <c r="V14" l="1"/>
  <c r="M222" i="61"/>
  <c r="M303" s="1"/>
  <c r="M327" l="1"/>
  <c r="U12" i="76"/>
  <c r="U14" l="1"/>
  <c r="M223" i="61"/>
  <c r="M304" s="1"/>
  <c r="M328" l="1"/>
  <c r="V12" i="76"/>
  <c r="V14" l="1"/>
  <c r="K222" i="61"/>
  <c r="K303" s="1"/>
  <c r="K327" l="1"/>
  <c r="U12" i="74"/>
  <c r="U14" l="1"/>
  <c r="K223" i="61"/>
  <c r="K304" s="1"/>
  <c r="K328" l="1"/>
  <c r="V12" i="74"/>
  <c r="V14" l="1"/>
  <c r="I222" i="61"/>
  <c r="I303" s="1"/>
  <c r="I327" l="1"/>
  <c r="U12" i="72"/>
  <c r="U14" l="1"/>
  <c r="I223" i="61" l="1"/>
  <c r="I304" s="1"/>
  <c r="I328" l="1"/>
  <c r="V12" i="72"/>
  <c r="V14" l="1"/>
  <c r="N222" i="61" l="1"/>
  <c r="N303" s="1"/>
  <c r="N327" l="1"/>
  <c r="U12" i="77"/>
  <c r="U14" l="1"/>
  <c r="N223" i="61"/>
  <c r="N304" s="1"/>
  <c r="N328" l="1"/>
  <c r="V12" i="77"/>
  <c r="V14" l="1"/>
  <c r="L222" i="61"/>
  <c r="L303" s="1"/>
  <c r="L327" l="1"/>
  <c r="U12" i="75"/>
  <c r="U14" l="1"/>
  <c r="L223" i="61"/>
  <c r="L304" s="1"/>
  <c r="L328" l="1"/>
  <c r="V12" i="75"/>
  <c r="V14" l="1"/>
  <c r="H222" i="61"/>
  <c r="H303" s="1"/>
  <c r="H327" l="1"/>
  <c r="U12" i="71"/>
  <c r="U14" l="1"/>
  <c r="H223" i="61"/>
  <c r="H304" s="1"/>
  <c r="H328" l="1"/>
  <c r="V12" i="71"/>
  <c r="V14" l="1"/>
  <c r="F436" i="36" a="1"/>
  <c r="F436" s="1"/>
  <c r="F437" l="1" a="1"/>
  <c r="F437" s="1"/>
  <c r="F440" l="1" a="1"/>
  <c r="F440" s="1"/>
  <c r="F441" a="1"/>
  <c r="F441" s="1"/>
  <c r="F443" l="1"/>
  <c r="O228" i="61" l="1"/>
  <c r="O309" s="1"/>
  <c r="BH12" i="78"/>
  <c r="BH14" l="1"/>
  <c r="BH15" s="1"/>
  <c r="O227" i="61"/>
  <c r="O308" s="1"/>
  <c r="O332" s="1"/>
  <c r="O226"/>
  <c r="G12" i="78"/>
  <c r="O229" i="61" l="1"/>
  <c r="G14" i="78"/>
  <c r="O307" i="61"/>
  <c r="O317" l="1" a="1"/>
  <c r="O317" s="1"/>
  <c r="O343" s="1"/>
  <c r="O316" a="1"/>
  <c r="O315" a="1"/>
  <c r="O315" s="1"/>
  <c r="O341" s="1"/>
  <c r="O310"/>
  <c r="O316"/>
  <c r="O342" s="1"/>
  <c r="O331"/>
  <c r="BP12" i="78"/>
  <c r="BC12"/>
  <c r="BQ12"/>
  <c r="BO12"/>
  <c r="BP14" l="1"/>
  <c r="BC14"/>
  <c r="BQ14"/>
  <c r="BO14"/>
  <c r="O333" i="61"/>
  <c r="O344"/>
  <c r="BJ15" i="78" l="1"/>
  <c r="AK14"/>
  <c r="Q14"/>
  <c r="BF14"/>
  <c r="BJ14"/>
  <c r="BF12"/>
  <c r="BJ12"/>
  <c r="Q98" i="59"/>
  <c r="BL14" i="78" l="1"/>
  <c r="AK12"/>
  <c r="Q12"/>
  <c r="N228" i="61"/>
  <c r="N309" s="1"/>
  <c r="BH12" i="77"/>
  <c r="BL12" i="78" l="1"/>
  <c r="BH14" i="77"/>
  <c r="BH15" s="1"/>
  <c r="N227" i="61"/>
  <c r="N308" s="1"/>
  <c r="N332" s="1"/>
  <c r="G12" i="77"/>
  <c r="G14" l="1"/>
  <c r="N226" i="61"/>
  <c r="N229" s="1"/>
  <c r="N307" l="1"/>
  <c r="N316" l="1" a="1"/>
  <c r="N315" a="1"/>
  <c r="N317" a="1"/>
  <c r="N315"/>
  <c r="N341" s="1"/>
  <c r="N310"/>
  <c r="N331"/>
  <c r="BC12" i="77"/>
  <c r="BO12"/>
  <c r="BC14" l="1"/>
  <c r="N333" i="61"/>
  <c r="BO14" i="77"/>
  <c r="N316" i="61" l="1"/>
  <c r="N342" s="1"/>
  <c r="BP12" i="77"/>
  <c r="BP14" l="1"/>
  <c r="N317" i="61" l="1"/>
  <c r="N343" s="1"/>
  <c r="N344" s="1"/>
  <c r="BQ12" i="77"/>
  <c r="BQ14" l="1"/>
  <c r="BJ15" l="1"/>
  <c r="AK14"/>
  <c r="BF14"/>
  <c r="BJ14"/>
  <c r="Q14"/>
  <c r="BJ12"/>
  <c r="BF12"/>
  <c r="P98" i="59"/>
  <c r="BL14" i="77" l="1"/>
  <c r="AK12"/>
  <c r="Q12"/>
  <c r="BL12" l="1"/>
  <c r="M226" i="61"/>
  <c r="M307" l="1"/>
  <c r="M331" l="1"/>
  <c r="BC12" i="76"/>
  <c r="BC14" l="1"/>
  <c r="M228" i="61" l="1"/>
  <c r="M309" s="1"/>
  <c r="M227" l="1"/>
  <c r="M229" s="1"/>
  <c r="BH12" i="76"/>
  <c r="BH14" l="1"/>
  <c r="BH15" s="1"/>
  <c r="M308" i="61"/>
  <c r="M332" s="1"/>
  <c r="M316" l="1" a="1"/>
  <c r="M315" a="1"/>
  <c r="M315" s="1"/>
  <c r="M341" s="1"/>
  <c r="M317" a="1"/>
  <c r="M310"/>
  <c r="BO12" i="76"/>
  <c r="G12"/>
  <c r="G14" l="1"/>
  <c r="M333" i="61"/>
  <c r="BO14" i="76"/>
  <c r="M316" i="61" l="1"/>
  <c r="M342" s="1"/>
  <c r="BP12" i="76"/>
  <c r="BP14" l="1"/>
  <c r="M317" i="61" l="1"/>
  <c r="M343" s="1"/>
  <c r="M344" s="1"/>
  <c r="BQ12" i="76"/>
  <c r="BQ14" l="1"/>
  <c r="BJ15" l="1"/>
  <c r="AK14"/>
  <c r="BF14"/>
  <c r="BJ14"/>
  <c r="Q14"/>
  <c r="BF12"/>
  <c r="BJ12"/>
  <c r="O98" i="59"/>
  <c r="BL14" i="76" l="1"/>
  <c r="AK12"/>
  <c r="Q12"/>
  <c r="L228" i="61"/>
  <c r="L309" s="1"/>
  <c r="BH12" i="75"/>
  <c r="BL12" i="76" l="1"/>
  <c r="BH14" i="75"/>
  <c r="BH15" s="1"/>
  <c r="L227" i="61"/>
  <c r="L308" s="1"/>
  <c r="L332" s="1"/>
  <c r="G12" i="75"/>
  <c r="G14" l="1"/>
  <c r="L226" i="61"/>
  <c r="L229" s="1"/>
  <c r="L307" l="1"/>
  <c r="L316" l="1" a="1"/>
  <c r="L315" a="1"/>
  <c r="L315" s="1"/>
  <c r="L341" s="1"/>
  <c r="L317" a="1"/>
  <c r="L310"/>
  <c r="L331"/>
  <c r="BC12" i="75"/>
  <c r="BO12"/>
  <c r="BC14" l="1"/>
  <c r="L333" i="61"/>
  <c r="BO14" i="75"/>
  <c r="L316" i="61" l="1"/>
  <c r="L342" s="1"/>
  <c r="BP12" i="75"/>
  <c r="BP14" l="1"/>
  <c r="L317" i="61" l="1"/>
  <c r="L343" s="1"/>
  <c r="L344" s="1"/>
  <c r="BQ12" i="75"/>
  <c r="BQ14" l="1"/>
  <c r="BJ15" l="1"/>
  <c r="BF14"/>
  <c r="BJ14"/>
  <c r="AK14"/>
  <c r="Q14"/>
  <c r="BJ12"/>
  <c r="BF12"/>
  <c r="N98" i="59"/>
  <c r="BL14" i="75" l="1"/>
  <c r="AK12"/>
  <c r="Q12"/>
  <c r="K228" i="61"/>
  <c r="K309" s="1"/>
  <c r="BH12" i="74"/>
  <c r="BL12" i="75" l="1"/>
  <c r="BH14" i="74"/>
  <c r="BH15" s="1"/>
  <c r="K227" i="61"/>
  <c r="K308" s="1"/>
  <c r="K332" s="1"/>
  <c r="G12" i="74"/>
  <c r="G14" l="1"/>
  <c r="K226" i="61"/>
  <c r="K229" s="1"/>
  <c r="K307" l="1"/>
  <c r="K317" l="1" a="1"/>
  <c r="K316" a="1"/>
  <c r="K315" a="1"/>
  <c r="K315" s="1"/>
  <c r="K341" s="1"/>
  <c r="K310"/>
  <c r="K331"/>
  <c r="BC12" i="74"/>
  <c r="BO12"/>
  <c r="BC14" l="1"/>
  <c r="K333" i="61"/>
  <c r="BO14" i="74"/>
  <c r="K316" i="61" l="1"/>
  <c r="K342" s="1"/>
  <c r="BP12" i="74"/>
  <c r="BP14" l="1"/>
  <c r="K317" i="61" l="1"/>
  <c r="K343" s="1"/>
  <c r="K344" s="1"/>
  <c r="BQ12" i="74"/>
  <c r="BQ14" l="1"/>
  <c r="BJ15" l="1"/>
  <c r="BF14"/>
  <c r="AK14"/>
  <c r="BJ14"/>
  <c r="Q14"/>
  <c r="BJ12"/>
  <c r="BF12"/>
  <c r="M98" i="59"/>
  <c r="BL14" i="74" l="1"/>
  <c r="AK12"/>
  <c r="Q12"/>
  <c r="BL12" l="1"/>
  <c r="J228" i="61"/>
  <c r="J309" s="1"/>
  <c r="J226"/>
  <c r="BH12" i="73"/>
  <c r="BH14" l="1"/>
  <c r="BH15" s="1"/>
  <c r="J307" i="61"/>
  <c r="J331" l="1"/>
  <c r="BC12" i="73"/>
  <c r="BC14" l="1"/>
  <c r="J227" i="61" l="1"/>
  <c r="J229" s="1"/>
  <c r="J308" l="1"/>
  <c r="J332" s="1"/>
  <c r="J315" l="1" a="1"/>
  <c r="J315" s="1"/>
  <c r="J341" s="1"/>
  <c r="J317" a="1"/>
  <c r="J317" s="1"/>
  <c r="J343" s="1"/>
  <c r="J316" a="1"/>
  <c r="J316" s="1"/>
  <c r="J342" s="1"/>
  <c r="J310"/>
  <c r="BQ12" i="73"/>
  <c r="G12"/>
  <c r="BP12"/>
  <c r="BO12"/>
  <c r="G14" l="1"/>
  <c r="BO14"/>
  <c r="BP14"/>
  <c r="BQ14"/>
  <c r="J333" i="61"/>
  <c r="J344"/>
  <c r="BJ15" i="73" l="1"/>
  <c r="BF14"/>
  <c r="AK14"/>
  <c r="BJ14"/>
  <c r="Q14"/>
  <c r="BF12"/>
  <c r="BJ12"/>
  <c r="L98" i="59"/>
  <c r="BL14" i="73" l="1"/>
  <c r="AK12"/>
  <c r="Q12"/>
  <c r="I228" i="61"/>
  <c r="I309" s="1"/>
  <c r="BH12" i="72"/>
  <c r="BL12" i="73" l="1"/>
  <c r="BH14" i="72"/>
  <c r="BH15" s="1"/>
  <c r="I227" i="61"/>
  <c r="I308" s="1"/>
  <c r="I332" s="1"/>
  <c r="G12" i="72"/>
  <c r="G14" l="1"/>
  <c r="I226" i="61"/>
  <c r="I229" s="1"/>
  <c r="I307" l="1"/>
  <c r="I317" l="1" a="1"/>
  <c r="I316" a="1"/>
  <c r="I315" a="1"/>
  <c r="I315" s="1"/>
  <c r="I341" s="1"/>
  <c r="I310"/>
  <c r="I331"/>
  <c r="BC12" i="72"/>
  <c r="BO12"/>
  <c r="BC14" l="1"/>
  <c r="I333" i="61"/>
  <c r="BO14" i="72"/>
  <c r="I316" i="61" l="1"/>
  <c r="I342" s="1"/>
  <c r="BP12" i="72"/>
  <c r="BP14" l="1"/>
  <c r="I317" i="61" l="1"/>
  <c r="I343" s="1"/>
  <c r="I344" s="1"/>
  <c r="BQ12" i="72"/>
  <c r="BQ14" l="1"/>
  <c r="BJ15" l="1"/>
  <c r="AK14"/>
  <c r="Q12"/>
  <c r="AK12"/>
  <c r="BF12"/>
  <c r="BJ12"/>
  <c r="Q14"/>
  <c r="BF14"/>
  <c r="BJ14"/>
  <c r="K98" i="59"/>
  <c r="BL14" i="72" l="1"/>
  <c r="BL12"/>
  <c r="H228" i="61" l="1"/>
  <c r="H309" s="1"/>
  <c r="BH12" i="71"/>
  <c r="BH14" l="1"/>
  <c r="BH15" s="1"/>
  <c r="H227" i="61"/>
  <c r="H308" s="1"/>
  <c r="H332" s="1"/>
  <c r="G12" i="71"/>
  <c r="G14" l="1"/>
  <c r="H226" i="61"/>
  <c r="H229" s="1"/>
  <c r="H307" l="1"/>
  <c r="H316" l="1" a="1"/>
  <c r="H316" s="1"/>
  <c r="H342" s="1"/>
  <c r="H315" a="1"/>
  <c r="H317" a="1"/>
  <c r="H317" s="1"/>
  <c r="H343" s="1"/>
  <c r="H315"/>
  <c r="H341" s="1"/>
  <c r="H310"/>
  <c r="H331"/>
  <c r="BJ15" i="71"/>
  <c r="BJ14"/>
  <c r="AK14"/>
  <c r="Q14"/>
  <c r="BJ12"/>
  <c r="BP12"/>
  <c r="J98" i="59"/>
  <c r="BQ12" i="71"/>
  <c r="BC12"/>
  <c r="BO12"/>
  <c r="BP14" l="1"/>
  <c r="BO14"/>
  <c r="BQ14"/>
  <c r="BC14"/>
  <c r="BF12"/>
  <c r="H344" i="61"/>
  <c r="H333"/>
  <c r="AK12" i="71"/>
  <c r="Q12"/>
  <c r="BL12" l="1"/>
  <c r="BF14"/>
  <c r="BL14" s="1"/>
  <c r="G61" i="22" l="1"/>
  <c r="H61" s="1"/>
  <c r="I61" s="1"/>
  <c r="I90" s="1"/>
  <c r="I92" s="1"/>
  <c r="I94" s="1"/>
  <c r="G139" i="40"/>
  <c r="G321" s="1"/>
  <c r="I10" i="48"/>
  <c r="I55" s="1"/>
  <c r="U125" i="4"/>
  <c r="H139" i="40" l="1"/>
  <c r="H321" s="1"/>
  <c r="G324"/>
  <c r="I54" i="33"/>
  <c r="I56" s="1"/>
  <c r="I64" s="1"/>
  <c r="T59" i="72"/>
  <c r="I139" i="40" l="1"/>
  <c r="H324"/>
  <c r="T63" i="72"/>
  <c r="I324" i="40" l="1"/>
  <c r="I321"/>
  <c r="F92" i="22"/>
  <c r="F94" s="1"/>
  <c r="F54" i="33"/>
  <c r="F56" s="1"/>
  <c r="F64" s="1"/>
  <c r="T59" i="29"/>
  <c r="T63" l="1"/>
  <c r="F102" i="62" l="1"/>
  <c r="J61" i="22"/>
  <c r="K61" s="1"/>
  <c r="L61" s="1"/>
  <c r="M61" s="1"/>
  <c r="N61" s="1"/>
  <c r="O61" s="1"/>
  <c r="O90" s="1"/>
  <c r="O92" s="1"/>
  <c r="O94" s="1"/>
  <c r="J139" i="40"/>
  <c r="J321" s="1"/>
  <c r="J10" i="48"/>
  <c r="K10" s="1"/>
  <c r="L10" s="1"/>
  <c r="M10" s="1"/>
  <c r="N10" s="1"/>
  <c r="O10" s="1"/>
  <c r="O55" s="1"/>
  <c r="BP18" i="29"/>
  <c r="K139" i="40" l="1"/>
  <c r="K321" s="1"/>
  <c r="J324"/>
  <c r="BP19" i="29"/>
  <c r="DH19" s="1"/>
  <c r="AW38" i="60"/>
  <c r="L139" i="40" l="1"/>
  <c r="L321" s="1"/>
  <c r="K324"/>
  <c r="M139" l="1"/>
  <c r="M321" s="1"/>
  <c r="L324"/>
  <c r="N90" i="22"/>
  <c r="N92" s="1"/>
  <c r="N94" s="1"/>
  <c r="N55" i="48"/>
  <c r="N139" i="40" l="1"/>
  <c r="N321" s="1"/>
  <c r="M324"/>
  <c r="O139" l="1"/>
  <c r="N324"/>
  <c r="O324" l="1"/>
  <c r="O321"/>
  <c r="M90" i="22"/>
  <c r="M92" s="1"/>
  <c r="M94" s="1"/>
  <c r="M55" i="48" l="1"/>
  <c r="L90" i="22" l="1"/>
  <c r="L92" s="1"/>
  <c r="L94" s="1"/>
  <c r="L55" i="48" l="1"/>
  <c r="K90" i="22" l="1"/>
  <c r="K92" s="1"/>
  <c r="K94" s="1"/>
  <c r="K55" i="48" l="1"/>
  <c r="J90" i="22" l="1"/>
  <c r="J92" s="1"/>
  <c r="J94" s="1"/>
  <c r="J55" i="48" l="1"/>
  <c r="H90" i="22" l="1"/>
  <c r="H92" s="1"/>
  <c r="H94" s="1"/>
  <c r="K104" i="59"/>
  <c r="H54" i="33" l="1"/>
  <c r="H56" s="1"/>
  <c r="H64" s="1"/>
  <c r="T59" i="71"/>
  <c r="T63" l="1"/>
  <c r="J104" i="59"/>
  <c r="G90" i="22" l="1"/>
  <c r="G92" s="1"/>
  <c r="G94" s="1"/>
  <c r="G54" i="33" l="1"/>
  <c r="G56" s="1"/>
  <c r="G64" s="1"/>
  <c r="T59" i="70"/>
  <c r="T63" l="1"/>
  <c r="I104" i="59"/>
  <c r="H104"/>
  <c r="O79" i="48" l="1"/>
  <c r="I11"/>
  <c r="J11" s="1"/>
  <c r="K11" s="1"/>
  <c r="L11" s="1"/>
  <c r="M11" s="1"/>
  <c r="N11" s="1"/>
  <c r="O11" s="1"/>
  <c r="O56" s="1"/>
  <c r="O80" s="1"/>
  <c r="O33" i="44"/>
  <c r="O34" s="1"/>
  <c r="O45" s="1"/>
  <c r="BA84" i="78"/>
  <c r="BA109" s="1"/>
  <c r="Q28" i="59"/>
  <c r="AC34" i="78"/>
  <c r="Y54"/>
  <c r="Z54"/>
  <c r="Q173" i="59" l="1"/>
  <c r="O44" i="44"/>
  <c r="AC35" i="78"/>
  <c r="AC40" s="1"/>
  <c r="AC109" s="1"/>
  <c r="Z55"/>
  <c r="Z84" s="1"/>
  <c r="P34"/>
  <c r="Q65" i="59"/>
  <c r="P35" i="78" l="1"/>
  <c r="P40" s="1"/>
  <c r="P109" s="1"/>
  <c r="O82" i="48"/>
  <c r="O83"/>
  <c r="O36" i="44"/>
  <c r="O47" s="1"/>
  <c r="AO54" i="78"/>
  <c r="BH34"/>
  <c r="Q17" i="59"/>
  <c r="AN54" i="78"/>
  <c r="BH35" l="1"/>
  <c r="BH40" s="1"/>
  <c r="AO55"/>
  <c r="AO84" s="1"/>
  <c r="AO109" s="1"/>
  <c r="AN55"/>
  <c r="AN84" s="1"/>
  <c r="AN109" s="1"/>
  <c r="Q40" i="59"/>
  <c r="Q45"/>
  <c r="O9" i="46"/>
  <c r="N33" i="44" l="1"/>
  <c r="N44" s="1"/>
  <c r="P34" i="77"/>
  <c r="O49" i="46"/>
  <c r="O72" l="1"/>
  <c r="P35" i="77"/>
  <c r="P40" s="1"/>
  <c r="P109" s="1"/>
  <c r="P17" i="59"/>
  <c r="N82" i="48" l="1"/>
  <c r="N79"/>
  <c r="N56"/>
  <c r="N80" s="1"/>
  <c r="N34" i="44"/>
  <c r="N36" s="1"/>
  <c r="N47" s="1"/>
  <c r="BH34" i="77"/>
  <c r="Z54"/>
  <c r="AN54"/>
  <c r="Y54"/>
  <c r="N45" i="44" l="1"/>
  <c r="N83" i="48"/>
  <c r="BH35" i="77"/>
  <c r="BH40" s="1"/>
  <c r="Z55"/>
  <c r="Z84" s="1"/>
  <c r="AN55"/>
  <c r="AN84" s="1"/>
  <c r="AN109" s="1"/>
  <c r="AC34"/>
  <c r="P40" i="59"/>
  <c r="AO54" i="77"/>
  <c r="N9" i="46"/>
  <c r="AC35" i="77" l="1"/>
  <c r="AC40" s="1"/>
  <c r="AC109" s="1"/>
  <c r="AO55"/>
  <c r="AO84" s="1"/>
  <c r="AO109" s="1"/>
  <c r="M79" i="48"/>
  <c r="M56"/>
  <c r="M80" s="1"/>
  <c r="M33" i="44"/>
  <c r="M34" s="1"/>
  <c r="BA84" i="76"/>
  <c r="BA109" s="1"/>
  <c r="M82" i="48"/>
  <c r="O28" i="59"/>
  <c r="Z54" i="76"/>
  <c r="P45" i="59"/>
  <c r="P65"/>
  <c r="AN54" i="76"/>
  <c r="Y54"/>
  <c r="N49" i="46"/>
  <c r="O173" i="59" l="1"/>
  <c r="N72" i="46"/>
  <c r="M44" i="44"/>
  <c r="M83" i="48"/>
  <c r="M45" i="44"/>
  <c r="M36"/>
  <c r="M47" s="1"/>
  <c r="AN55" i="76"/>
  <c r="AN84" s="1"/>
  <c r="AN109" s="1"/>
  <c r="Z55"/>
  <c r="Z84" s="1"/>
  <c r="AC34"/>
  <c r="AO54"/>
  <c r="O40" i="59"/>
  <c r="P34" i="76"/>
  <c r="BH34"/>
  <c r="M9" i="46"/>
  <c r="P35" i="76" l="1"/>
  <c r="P40" s="1"/>
  <c r="P109" s="1"/>
  <c r="AO55"/>
  <c r="AO84" s="1"/>
  <c r="AO109" s="1"/>
  <c r="AC35"/>
  <c r="AC40" s="1"/>
  <c r="AC109" s="1"/>
  <c r="BH35"/>
  <c r="BH40" s="1"/>
  <c r="L79" i="48"/>
  <c r="L56"/>
  <c r="L80" s="1"/>
  <c r="L33" i="44"/>
  <c r="L34" s="1"/>
  <c r="L45" s="1"/>
  <c r="BA84" i="75"/>
  <c r="BA109" s="1"/>
  <c r="L82" i="48"/>
  <c r="N28" i="59"/>
  <c r="M49" i="46"/>
  <c r="O65" i="59"/>
  <c r="O45"/>
  <c r="Y54" i="75"/>
  <c r="O17" i="59"/>
  <c r="Z54" i="75"/>
  <c r="AN54"/>
  <c r="AC34"/>
  <c r="N173" i="59" l="1"/>
  <c r="M72" i="46"/>
  <c r="L44" i="44"/>
  <c r="L36"/>
  <c r="L47" s="1"/>
  <c r="L83" i="48"/>
  <c r="AN55" i="75"/>
  <c r="AN84" s="1"/>
  <c r="AN109" s="1"/>
  <c r="AC35"/>
  <c r="AC40" s="1"/>
  <c r="AC109" s="1"/>
  <c r="Z55"/>
  <c r="Z84" s="1"/>
  <c r="N40" i="59"/>
  <c r="N65"/>
  <c r="P34" i="75"/>
  <c r="BH34"/>
  <c r="L9" i="46"/>
  <c r="AO54" i="75"/>
  <c r="P35" l="1"/>
  <c r="P40" s="1"/>
  <c r="P109" s="1"/>
  <c r="BH35"/>
  <c r="BH40" s="1"/>
  <c r="AO55"/>
  <c r="AO84" s="1"/>
  <c r="AO109" s="1"/>
  <c r="K33" i="44"/>
  <c r="K44" s="1"/>
  <c r="L49" i="46"/>
  <c r="N17" i="59"/>
  <c r="N45"/>
  <c r="P34" i="74"/>
  <c r="L72" i="46" l="1"/>
  <c r="P35" i="74"/>
  <c r="P40" s="1"/>
  <c r="P109" s="1"/>
  <c r="M17" i="59"/>
  <c r="K82" i="48" l="1"/>
  <c r="K79"/>
  <c r="K56"/>
  <c r="K80" s="1"/>
  <c r="K34" i="44"/>
  <c r="K36" s="1"/>
  <c r="K47" s="1"/>
  <c r="Y54" i="74"/>
  <c r="BH34"/>
  <c r="AN54"/>
  <c r="Z54"/>
  <c r="K45" i="44" l="1"/>
  <c r="K83" i="48"/>
  <c r="BH35" i="74"/>
  <c r="BH40" s="1"/>
  <c r="Z55"/>
  <c r="Z84" s="1"/>
  <c r="AN55"/>
  <c r="AN84" s="1"/>
  <c r="AN109" s="1"/>
  <c r="AO54"/>
  <c r="M40" i="59"/>
  <c r="AC34" i="74"/>
  <c r="K9" i="46"/>
  <c r="AC35" i="74" l="1"/>
  <c r="AC40" s="1"/>
  <c r="AC109" s="1"/>
  <c r="AO55"/>
  <c r="AO84" s="1"/>
  <c r="AO109" s="1"/>
  <c r="J79" i="48"/>
  <c r="J56"/>
  <c r="J80" s="1"/>
  <c r="J33" i="44"/>
  <c r="J34" s="1"/>
  <c r="J82" i="48"/>
  <c r="Z54" i="73"/>
  <c r="K49" i="46"/>
  <c r="AN54" i="73"/>
  <c r="M65" i="59"/>
  <c r="Y54" i="73"/>
  <c r="M45" i="59"/>
  <c r="K72" i="46" l="1"/>
  <c r="J83" i="48"/>
  <c r="J45" i="44"/>
  <c r="J36"/>
  <c r="J47" s="1"/>
  <c r="J44"/>
  <c r="AN55" i="73"/>
  <c r="AN84" s="1"/>
  <c r="AN109" s="1"/>
  <c r="Z55"/>
  <c r="Z84" s="1"/>
  <c r="AO54"/>
  <c r="P34"/>
  <c r="BH34"/>
  <c r="AC34"/>
  <c r="L40" i="59"/>
  <c r="J9" i="46"/>
  <c r="AO55" i="73" l="1"/>
  <c r="AO84" s="1"/>
  <c r="AO109" s="1"/>
  <c r="BH35"/>
  <c r="BH40" s="1"/>
  <c r="P35"/>
  <c r="P40" s="1"/>
  <c r="P109" s="1"/>
  <c r="AC35"/>
  <c r="AC40" s="1"/>
  <c r="AC109" s="1"/>
  <c r="I33" i="44"/>
  <c r="I44" s="1"/>
  <c r="BA84" i="72"/>
  <c r="BA109" s="1"/>
  <c r="I65" i="33"/>
  <c r="I82" i="48"/>
  <c r="I79"/>
  <c r="I56"/>
  <c r="I80" s="1"/>
  <c r="H33" i="44"/>
  <c r="H44" s="1"/>
  <c r="BA84" i="71"/>
  <c r="BA109" s="1"/>
  <c r="H65" i="33"/>
  <c r="AN54" i="72"/>
  <c r="J28" i="59"/>
  <c r="L45"/>
  <c r="P34" i="72"/>
  <c r="BB59" i="71"/>
  <c r="J49" i="46"/>
  <c r="L17" i="59"/>
  <c r="Y54" i="72"/>
  <c r="L65" i="59"/>
  <c r="K28"/>
  <c r="BB59" i="72"/>
  <c r="Z54"/>
  <c r="P34" i="71"/>
  <c r="K173" i="59" l="1"/>
  <c r="J173"/>
  <c r="J72" i="46"/>
  <c r="H34" i="44"/>
  <c r="H36" s="1"/>
  <c r="H47" s="1"/>
  <c r="I83" i="48"/>
  <c r="I34" i="44"/>
  <c r="AN55" i="72"/>
  <c r="AN84" s="1"/>
  <c r="AN109" s="1"/>
  <c r="BB63" i="71"/>
  <c r="BB84" s="1"/>
  <c r="BB109" s="1"/>
  <c r="P35"/>
  <c r="P40" s="1"/>
  <c r="P109" s="1"/>
  <c r="Z55" i="72"/>
  <c r="Z84" s="1"/>
  <c r="BB63"/>
  <c r="BB84" s="1"/>
  <c r="BB109" s="1"/>
  <c r="P35"/>
  <c r="P40" s="1"/>
  <c r="P109" s="1"/>
  <c r="J29" i="59"/>
  <c r="J17"/>
  <c r="AO54" i="72"/>
  <c r="K17" i="59"/>
  <c r="BH34" i="71"/>
  <c r="I9" i="46"/>
  <c r="K40" i="59"/>
  <c r="K29"/>
  <c r="K174" l="1"/>
  <c r="J174"/>
  <c r="H45" i="44"/>
  <c r="BH35" i="71"/>
  <c r="BH40" s="1"/>
  <c r="AO55" i="72"/>
  <c r="AO84" s="1"/>
  <c r="AO109" s="1"/>
  <c r="I45" i="44"/>
  <c r="I36"/>
  <c r="I47" s="1"/>
  <c r="G33"/>
  <c r="G44" s="1"/>
  <c r="G65" i="33"/>
  <c r="K45" i="59"/>
  <c r="AC34" i="71"/>
  <c r="BB59" i="70"/>
  <c r="BH34" i="72"/>
  <c r="AC34"/>
  <c r="P34" i="70"/>
  <c r="I49" i="46"/>
  <c r="I72" l="1"/>
  <c r="AC35" i="71"/>
  <c r="AC40" s="1"/>
  <c r="AC109" s="1"/>
  <c r="BH35" i="72"/>
  <c r="BH40" s="1"/>
  <c r="AC35"/>
  <c r="AC40" s="1"/>
  <c r="AC109" s="1"/>
  <c r="BB63" i="70"/>
  <c r="BB84" s="1"/>
  <c r="BB109" s="1"/>
  <c r="P35"/>
  <c r="P40" s="1"/>
  <c r="P109" s="1"/>
  <c r="J65" i="59"/>
  <c r="I29"/>
  <c r="I17"/>
  <c r="K65"/>
  <c r="I174" l="1"/>
  <c r="G34" i="44"/>
  <c r="G36" s="1"/>
  <c r="G47" s="1"/>
  <c r="BH34" i="70"/>
  <c r="G45" i="44" l="1"/>
  <c r="BH35" i="70"/>
  <c r="BH40" s="1"/>
  <c r="AC34"/>
  <c r="AC35" l="1"/>
  <c r="AC40" s="1"/>
  <c r="AC109" s="1"/>
  <c r="F33" i="44"/>
  <c r="F44" s="1"/>
  <c r="F65" i="33"/>
  <c r="P34" i="29"/>
  <c r="BB59"/>
  <c r="I65" i="59"/>
  <c r="F34" i="44" l="1"/>
  <c r="F36" s="1"/>
  <c r="F47" s="1"/>
  <c r="BB63" i="29"/>
  <c r="BB84" s="1"/>
  <c r="BB109" s="1"/>
  <c r="P35"/>
  <c r="P40" s="1"/>
  <c r="P109" s="1"/>
  <c r="BH34"/>
  <c r="H17" i="59"/>
  <c r="H29"/>
  <c r="H174" l="1"/>
  <c r="F45" i="44"/>
  <c r="BH35" i="29"/>
  <c r="BH40" s="1"/>
  <c r="H102" i="62"/>
  <c r="BR84" i="71"/>
  <c r="BR109" s="1"/>
  <c r="L102" i="62"/>
  <c r="BR84" i="75"/>
  <c r="BR109" s="1"/>
  <c r="K102" i="62"/>
  <c r="BR84" i="74"/>
  <c r="BR109" s="1"/>
  <c r="BR84" i="78"/>
  <c r="BR109" s="1"/>
  <c r="BP18" i="75"/>
  <c r="AC34" i="29"/>
  <c r="BP18" i="71"/>
  <c r="BP18" i="74"/>
  <c r="AC35" i="29" l="1"/>
  <c r="AC40" s="1"/>
  <c r="AC109" s="1"/>
  <c r="BP19" i="74"/>
  <c r="BP19" i="75"/>
  <c r="BP19" i="71"/>
  <c r="H65" i="59"/>
  <c r="M81" i="62" l="1"/>
  <c r="M102" s="1"/>
  <c r="M82"/>
  <c r="M103" s="1"/>
  <c r="I102"/>
  <c r="BR84" i="72"/>
  <c r="BR109" s="1"/>
  <c r="BP18"/>
  <c r="BQ18" i="76"/>
  <c r="BP18"/>
  <c r="BQ19" l="1"/>
  <c r="BP19"/>
  <c r="BP19" i="72"/>
  <c r="G102" i="62"/>
  <c r="BR84" i="70"/>
  <c r="BR109" s="1"/>
  <c r="BP18"/>
  <c r="BP19" l="1"/>
  <c r="J102" i="62"/>
  <c r="BR84" i="73"/>
  <c r="BR109" s="1"/>
  <c r="N81" i="62" a="1"/>
  <c r="N81" s="1"/>
  <c r="N102" s="1"/>
  <c r="N82" a="1"/>
  <c r="N82" s="1"/>
  <c r="N103" s="1"/>
  <c r="BR84" i="77"/>
  <c r="BR109" s="1"/>
  <c r="BP18"/>
  <c r="BQ18"/>
  <c r="BP18" i="73"/>
  <c r="BP19" l="1"/>
  <c r="BQ19" i="77"/>
  <c r="BP19"/>
  <c r="Q35" i="29"/>
  <c r="BJ40"/>
  <c r="Q35" i="70" l="1"/>
  <c r="BJ40"/>
  <c r="Q35" i="71"/>
  <c r="BJ40"/>
  <c r="AK63" i="72" l="1"/>
  <c r="BF63"/>
  <c r="Q35"/>
  <c r="BJ40"/>
  <c r="BJ40" i="73"/>
  <c r="BL63" i="72" l="1"/>
  <c r="Q35" i="74"/>
  <c r="BJ40"/>
  <c r="Q35" i="75"/>
  <c r="BJ40"/>
  <c r="Q35" i="77"/>
  <c r="BJ40"/>
  <c r="Q35" i="78" l="1"/>
  <c r="BJ40"/>
  <c r="AC95" i="77" l="1"/>
  <c r="AC97" s="1"/>
  <c r="AC95" i="75"/>
  <c r="AC97" s="1"/>
  <c r="AC95" i="73"/>
  <c r="AC97" s="1"/>
  <c r="AC95" i="71"/>
  <c r="AC97" s="1"/>
  <c r="AC95" i="29"/>
  <c r="AC97" s="1"/>
  <c r="AC95" i="78"/>
  <c r="AC97" s="1"/>
  <c r="AC95" i="76"/>
  <c r="AC97" s="1"/>
  <c r="AC95" i="74"/>
  <c r="AC97" s="1"/>
  <c r="AC95" i="72"/>
  <c r="AC97" s="1"/>
  <c r="AC95" i="70"/>
  <c r="AC97" s="1"/>
  <c r="DH19" i="77"/>
  <c r="Q35" i="76"/>
  <c r="BJ40"/>
  <c r="DH19"/>
  <c r="DH19" i="75"/>
  <c r="DH19" i="74"/>
  <c r="Q35" i="73"/>
  <c r="DH19"/>
  <c r="DH19" i="72"/>
  <c r="AK63" i="71"/>
  <c r="BF63"/>
  <c r="DH19"/>
  <c r="AK63" i="70"/>
  <c r="BF63"/>
  <c r="DH19"/>
  <c r="BJ35" i="29"/>
  <c r="AK35"/>
  <c r="BL63" i="70" l="1"/>
  <c r="BL63" i="71"/>
  <c r="L61" i="67"/>
  <c r="L62" s="1"/>
  <c r="L66" s="1"/>
  <c r="P68"/>
  <c r="P69" s="1"/>
  <c r="AV101"/>
  <c r="AV102"/>
  <c r="BG56"/>
  <c r="AC68" l="1"/>
  <c r="AI68" s="1"/>
  <c r="AV108"/>
  <c r="BF122" i="4"/>
  <c r="AZ85"/>
  <c r="BF93"/>
  <c r="BH93" s="1"/>
  <c r="AZ96"/>
  <c r="BA96" s="1"/>
  <c r="BF96" s="1"/>
  <c r="BH96" s="1"/>
  <c r="AZ42"/>
  <c r="AZ48"/>
  <c r="AY67"/>
  <c r="BA67" s="1"/>
  <c r="BF67" s="1"/>
  <c r="BH67" s="1"/>
  <c r="BF88"/>
  <c r="BH88" s="1"/>
  <c r="BN52"/>
  <c r="BF83"/>
  <c r="BH83" s="1"/>
  <c r="AD130" i="67"/>
  <c r="AD148" s="1"/>
  <c r="BN42" i="4"/>
  <c r="U115"/>
  <c r="U129" s="1"/>
  <c r="U133" s="1"/>
  <c r="BF90"/>
  <c r="BH90" s="1"/>
  <c r="BN50"/>
  <c r="BB17" i="67"/>
  <c r="BN53" i="4"/>
  <c r="BF68"/>
  <c r="BH68" s="1"/>
  <c r="N58"/>
  <c r="P58" s="1"/>
  <c r="R58" s="1"/>
  <c r="BH58" s="1"/>
  <c r="BN51"/>
  <c r="AH85"/>
  <c r="AH111" s="1"/>
  <c r="BJ115"/>
  <c r="Q72"/>
  <c r="Q133" s="1"/>
  <c r="AV76"/>
  <c r="R115"/>
  <c r="R129" s="1"/>
  <c r="AV129"/>
  <c r="BJ15" i="67"/>
  <c r="Q61"/>
  <c r="BJ61" s="1"/>
  <c r="P66"/>
  <c r="Q68"/>
  <c r="Q69"/>
  <c r="BJ73"/>
  <c r="P17"/>
  <c r="O17"/>
  <c r="N17"/>
  <c r="M17"/>
  <c r="L17"/>
  <c r="L74" s="1"/>
  <c r="K17"/>
  <c r="J17"/>
  <c r="I17"/>
  <c r="H17"/>
  <c r="AH87"/>
  <c r="AG87"/>
  <c r="AH130"/>
  <c r="AG130"/>
  <c r="AG148" s="1"/>
  <c r="BC98"/>
  <c r="BB98"/>
  <c r="BA98"/>
  <c r="AZ98"/>
  <c r="AY98"/>
  <c r="AX98"/>
  <c r="AW98"/>
  <c r="AV98"/>
  <c r="AU98"/>
  <c r="AT98"/>
  <c r="AS98"/>
  <c r="AR98"/>
  <c r="AQ98"/>
  <c r="AP98"/>
  <c r="AP130" s="1"/>
  <c r="AO98"/>
  <c r="AO130" s="1"/>
  <c r="AN98"/>
  <c r="BH108"/>
  <c r="BD101"/>
  <c r="BJ101" s="1"/>
  <c r="BD102"/>
  <c r="BJ102" s="1"/>
  <c r="BA87"/>
  <c r="AZ87"/>
  <c r="AY87"/>
  <c r="AX87"/>
  <c r="AW87"/>
  <c r="AV87"/>
  <c r="AU87"/>
  <c r="AT87"/>
  <c r="AS87"/>
  <c r="BC87"/>
  <c r="AM87"/>
  <c r="AL87"/>
  <c r="AK87"/>
  <c r="BC145"/>
  <c r="BB145"/>
  <c r="BA145"/>
  <c r="AZ145"/>
  <c r="AY145"/>
  <c r="AX145"/>
  <c r="AW145"/>
  <c r="AV145"/>
  <c r="AU145"/>
  <c r="AT145"/>
  <c r="AB87"/>
  <c r="AA87"/>
  <c r="Z87"/>
  <c r="Y87"/>
  <c r="X87"/>
  <c r="W87"/>
  <c r="V87"/>
  <c r="U87"/>
  <c r="T87"/>
  <c r="AH145"/>
  <c r="DH18" i="29"/>
  <c r="F104" i="62"/>
  <c r="Q34" i="29"/>
  <c r="AK34"/>
  <c r="BJ34"/>
  <c r="BF63"/>
  <c r="AK63"/>
  <c r="AK59"/>
  <c r="BF59"/>
  <c r="DH18" i="70"/>
  <c r="G104" i="62"/>
  <c r="AK35" i="70"/>
  <c r="BJ35"/>
  <c r="Q34"/>
  <c r="AK34"/>
  <c r="BJ34"/>
  <c r="AK59"/>
  <c r="BF59"/>
  <c r="DH18" i="71"/>
  <c r="H104" i="62"/>
  <c r="AK35" i="71"/>
  <c r="BJ35"/>
  <c r="Q34"/>
  <c r="AK34"/>
  <c r="BJ34"/>
  <c r="AK59"/>
  <c r="BF59"/>
  <c r="DH18" i="72"/>
  <c r="I104" i="62"/>
  <c r="AK35" i="72"/>
  <c r="BJ35"/>
  <c r="Q34"/>
  <c r="AK34"/>
  <c r="BJ34"/>
  <c r="AK59"/>
  <c r="BF59"/>
  <c r="DH18" i="73"/>
  <c r="J104" i="62"/>
  <c r="AK35" i="73"/>
  <c r="BJ35"/>
  <c r="Q34"/>
  <c r="AK34"/>
  <c r="BJ34"/>
  <c r="DH18" i="74"/>
  <c r="K104" i="62"/>
  <c r="AK35" i="74"/>
  <c r="BJ35"/>
  <c r="Q34"/>
  <c r="AK34"/>
  <c r="BJ34"/>
  <c r="DH18" i="75"/>
  <c r="L104" i="62"/>
  <c r="AK35" i="75"/>
  <c r="BJ35"/>
  <c r="Q34"/>
  <c r="AK34"/>
  <c r="BJ34"/>
  <c r="DH18" i="76"/>
  <c r="M104" i="62"/>
  <c r="AK35" i="76"/>
  <c r="BJ35"/>
  <c r="Q34"/>
  <c r="AK34"/>
  <c r="BJ34"/>
  <c r="DH18" i="77"/>
  <c r="N104" i="62"/>
  <c r="AK35" i="77"/>
  <c r="BJ35"/>
  <c r="Q34"/>
  <c r="AK34"/>
  <c r="BJ34"/>
  <c r="AK35" i="78"/>
  <c r="BJ35"/>
  <c r="Q34"/>
  <c r="AK34"/>
  <c r="BJ34"/>
  <c r="G66" i="33"/>
  <c r="I66"/>
  <c r="F66"/>
  <c r="H66"/>
  <c r="G72" i="36"/>
  <c r="H72" s="1"/>
  <c r="I72" s="1"/>
  <c r="J72" s="1"/>
  <c r="K72" s="1"/>
  <c r="L72" s="1"/>
  <c r="M72" s="1"/>
  <c r="N72" s="1"/>
  <c r="O72" s="1"/>
  <c r="G71"/>
  <c r="G69"/>
  <c r="H69" s="1"/>
  <c r="I69" s="1"/>
  <c r="F35" i="44"/>
  <c r="F46" s="1"/>
  <c r="H35"/>
  <c r="H46" s="1"/>
  <c r="J35"/>
  <c r="J46" s="1"/>
  <c r="L35"/>
  <c r="L46" s="1"/>
  <c r="N35"/>
  <c r="N46" s="1"/>
  <c r="G35"/>
  <c r="G46" s="1"/>
  <c r="I35"/>
  <c r="I46" s="1"/>
  <c r="K35"/>
  <c r="K46" s="1"/>
  <c r="M35"/>
  <c r="M46" s="1"/>
  <c r="O35"/>
  <c r="O46" s="1"/>
  <c r="BE34" i="71"/>
  <c r="BE34" i="75"/>
  <c r="BE34" i="76"/>
  <c r="BE34" i="77"/>
  <c r="BE34" i="73"/>
  <c r="BE34" i="78"/>
  <c r="F71" i="59"/>
  <c r="BE34" i="70"/>
  <c r="BE34" i="72"/>
  <c r="BE34" i="29"/>
  <c r="BE34" i="74"/>
  <c r="F69" i="59"/>
  <c r="J69" i="36" l="1"/>
  <c r="K69" s="1"/>
  <c r="L69" s="1"/>
  <c r="M69" s="1"/>
  <c r="N69" s="1"/>
  <c r="O69" s="1"/>
  <c r="AS130" i="67"/>
  <c r="AR130" s="1"/>
  <c r="AQ130" s="1"/>
  <c r="AU130"/>
  <c r="AY130"/>
  <c r="AY148" s="1"/>
  <c r="BA130"/>
  <c r="P74"/>
  <c r="H71" i="36"/>
  <c r="G406"/>
  <c r="BF34" i="78"/>
  <c r="BL34" s="1"/>
  <c r="BE35"/>
  <c r="BE35" i="70"/>
  <c r="BF34"/>
  <c r="BL34" s="1"/>
  <c r="BE35" i="75"/>
  <c r="BF34"/>
  <c r="BL34" s="1"/>
  <c r="BF34" i="71"/>
  <c r="BL34" s="1"/>
  <c r="BE35"/>
  <c r="BF34" i="76"/>
  <c r="BL34" s="1"/>
  <c r="BE35"/>
  <c r="BE35" i="72"/>
  <c r="BF34"/>
  <c r="BL34" s="1"/>
  <c r="BF34" i="77"/>
  <c r="BL34" s="1"/>
  <c r="BE35"/>
  <c r="BF34" i="73"/>
  <c r="BL34" s="1"/>
  <c r="BE35"/>
  <c r="BE35" i="29"/>
  <c r="BF34"/>
  <c r="BL34" s="1"/>
  <c r="BF34" i="74"/>
  <c r="BL34" s="1"/>
  <c r="BE35"/>
  <c r="O48" i="44"/>
  <c r="G48"/>
  <c r="L48"/>
  <c r="H48"/>
  <c r="M48"/>
  <c r="I48"/>
  <c r="N48"/>
  <c r="J48"/>
  <c r="F48"/>
  <c r="K48"/>
  <c r="AX130" i="67"/>
  <c r="AW130" s="1"/>
  <c r="AT130"/>
  <c r="AZ130"/>
  <c r="AV130"/>
  <c r="BD108"/>
  <c r="BJ108" s="1"/>
  <c r="AZ111" i="4"/>
  <c r="BF68" i="67"/>
  <c r="AC69"/>
  <c r="AZ30" i="4"/>
  <c r="AZ72" s="1"/>
  <c r="BL59" i="72"/>
  <c r="BL59" i="70"/>
  <c r="BL59" i="71"/>
  <c r="BL59" i="29"/>
  <c r="BL63"/>
  <c r="F28" i="59"/>
  <c r="F173" l="1"/>
  <c r="I71" i="36"/>
  <c r="H406"/>
  <c r="G409"/>
  <c r="BF35" i="29"/>
  <c r="BL35" s="1"/>
  <c r="BE40"/>
  <c r="BF35" i="72"/>
  <c r="BL35" s="1"/>
  <c r="BE40"/>
  <c r="BF35" i="75"/>
  <c r="BL35" s="1"/>
  <c r="BE40"/>
  <c r="BF35" i="70"/>
  <c r="BL35" s="1"/>
  <c r="BE40"/>
  <c r="BF35" i="74"/>
  <c r="BL35" s="1"/>
  <c r="BE40"/>
  <c r="BF35" i="73"/>
  <c r="BL35" s="1"/>
  <c r="BE40"/>
  <c r="BF35" i="77"/>
  <c r="BL35" s="1"/>
  <c r="BE40"/>
  <c r="BF35" i="76"/>
  <c r="BL35" s="1"/>
  <c r="BE40"/>
  <c r="BF35" i="71"/>
  <c r="BL35" s="1"/>
  <c r="BE40"/>
  <c r="BF35" i="78"/>
  <c r="BL35" s="1"/>
  <c r="BE40"/>
  <c r="AX148" i="67"/>
  <c r="AC74"/>
  <c r="AI69"/>
  <c r="BF69"/>
  <c r="BH68"/>
  <c r="BJ68" s="1"/>
  <c r="F27" i="59"/>
  <c r="F172" l="1"/>
  <c r="G410" i="36"/>
  <c r="G582" s="1"/>
  <c r="J71"/>
  <c r="I406"/>
  <c r="F478"/>
  <c r="F480" s="1"/>
  <c r="F482" s="1"/>
  <c r="F487" s="1" a="1"/>
  <c r="G478"/>
  <c r="G480" s="1"/>
  <c r="G482" s="1"/>
  <c r="G487" s="1" a="1"/>
  <c r="H409"/>
  <c r="H478"/>
  <c r="H480" s="1"/>
  <c r="H482" s="1"/>
  <c r="H487" s="1" a="1"/>
  <c r="AW148" i="67"/>
  <c r="BH69"/>
  <c r="BJ69" s="1"/>
  <c r="AC82"/>
  <c r="F26" i="59"/>
  <c r="AI9" i="70"/>
  <c r="F171" i="59" l="1"/>
  <c r="G412" i="36"/>
  <c r="G417" s="1" a="1"/>
  <c r="G421" s="1"/>
  <c r="AI11" i="70"/>
  <c r="AI15" s="1"/>
  <c r="AI40" s="1"/>
  <c r="AI109" s="1"/>
  <c r="H487" i="36"/>
  <c r="H489"/>
  <c r="H492"/>
  <c r="H495"/>
  <c r="H498"/>
  <c r="H490"/>
  <c r="H491"/>
  <c r="H488"/>
  <c r="H499"/>
  <c r="H497"/>
  <c r="H496"/>
  <c r="H493"/>
  <c r="H494"/>
  <c r="H410"/>
  <c r="H582" s="1"/>
  <c r="F487"/>
  <c r="F491"/>
  <c r="F495"/>
  <c r="F499"/>
  <c r="F490"/>
  <c r="F494"/>
  <c r="F498"/>
  <c r="F489"/>
  <c r="F497"/>
  <c r="F488"/>
  <c r="F492"/>
  <c r="F493"/>
  <c r="F496"/>
  <c r="K71"/>
  <c r="J406"/>
  <c r="G494"/>
  <c r="G495"/>
  <c r="G496"/>
  <c r="G498"/>
  <c r="G497"/>
  <c r="G489"/>
  <c r="G487"/>
  <c r="G499"/>
  <c r="G491"/>
  <c r="G488"/>
  <c r="G490"/>
  <c r="G493"/>
  <c r="G492"/>
  <c r="I409"/>
  <c r="I478"/>
  <c r="I480" s="1"/>
  <c r="I482" s="1"/>
  <c r="I487" s="1" a="1"/>
  <c r="BB82" i="67"/>
  <c r="AN82"/>
  <c r="AC86"/>
  <c r="AI82"/>
  <c r="AI9" i="71"/>
  <c r="I69" i="59"/>
  <c r="G429" i="36" l="1"/>
  <c r="G428"/>
  <c r="G422"/>
  <c r="G423"/>
  <c r="G427"/>
  <c r="G418"/>
  <c r="G424"/>
  <c r="G419"/>
  <c r="G420"/>
  <c r="G425"/>
  <c r="G426"/>
  <c r="G417"/>
  <c r="H412"/>
  <c r="H417" s="1" a="1"/>
  <c r="H426" s="1"/>
  <c r="AI11" i="71"/>
  <c r="AI15" s="1"/>
  <c r="AI40" s="1"/>
  <c r="AI109" s="1"/>
  <c r="I487" i="36"/>
  <c r="I488"/>
  <c r="I493"/>
  <c r="I494"/>
  <c r="I499"/>
  <c r="I491"/>
  <c r="I490"/>
  <c r="I498"/>
  <c r="I496"/>
  <c r="I497"/>
  <c r="I489"/>
  <c r="I492"/>
  <c r="I495"/>
  <c r="G504" a="1"/>
  <c r="G504" s="1"/>
  <c r="G512" a="1"/>
  <c r="G512" s="1"/>
  <c r="G511" a="1"/>
  <c r="G511" s="1"/>
  <c r="G506" a="1"/>
  <c r="G506" s="1"/>
  <c r="G505" a="1"/>
  <c r="G505" s="1"/>
  <c r="G508" a="1"/>
  <c r="G508" s="1"/>
  <c r="G507" a="1"/>
  <c r="G507" s="1"/>
  <c r="G500"/>
  <c r="G510" a="1"/>
  <c r="G510" s="1"/>
  <c r="G509" a="1"/>
  <c r="G509" s="1"/>
  <c r="L71"/>
  <c r="K406"/>
  <c r="H505" a="1"/>
  <c r="H505" s="1"/>
  <c r="H506" a="1"/>
  <c r="H506" s="1"/>
  <c r="H500"/>
  <c r="H511" a="1"/>
  <c r="H511" s="1"/>
  <c r="H512" a="1"/>
  <c r="H512" s="1"/>
  <c r="H509" a="1"/>
  <c r="H509" s="1"/>
  <c r="H510" a="1"/>
  <c r="H510" s="1"/>
  <c r="H507" a="1"/>
  <c r="H507" s="1"/>
  <c r="H508" a="1"/>
  <c r="H508" s="1"/>
  <c r="H504" a="1"/>
  <c r="H504" s="1"/>
  <c r="I410"/>
  <c r="I582" s="1"/>
  <c r="J409"/>
  <c r="J478"/>
  <c r="J480" s="1"/>
  <c r="J482" s="1"/>
  <c r="J487" s="1" a="1"/>
  <c r="F505" a="1"/>
  <c r="F505" s="1"/>
  <c r="F554" s="1"/>
  <c r="F577" s="1"/>
  <c r="F509" a="1"/>
  <c r="F509" s="1"/>
  <c r="F558" s="1"/>
  <c r="F581" s="1"/>
  <c r="F506" a="1"/>
  <c r="F506" s="1"/>
  <c r="F555" s="1"/>
  <c r="F578" s="1"/>
  <c r="F510" a="1"/>
  <c r="F510" s="1"/>
  <c r="F559" s="1"/>
  <c r="F500"/>
  <c r="F507" a="1"/>
  <c r="F507" s="1"/>
  <c r="F556" s="1"/>
  <c r="F579" s="1"/>
  <c r="F511" a="1"/>
  <c r="F511" s="1"/>
  <c r="F560" s="1"/>
  <c r="F508" a="1"/>
  <c r="F508" s="1"/>
  <c r="F557" s="1"/>
  <c r="F580" s="1"/>
  <c r="F512" a="1"/>
  <c r="F512" s="1"/>
  <c r="F561" s="1"/>
  <c r="F504" a="1"/>
  <c r="F504" s="1"/>
  <c r="AN86" i="67"/>
  <c r="BD82"/>
  <c r="AC87"/>
  <c r="F161" i="59"/>
  <c r="H161" s="1"/>
  <c r="AI9" i="72"/>
  <c r="AB9" i="29"/>
  <c r="U9"/>
  <c r="V9"/>
  <c r="W9"/>
  <c r="J69" i="59"/>
  <c r="T9" i="29"/>
  <c r="F127" i="59" l="1"/>
  <c r="F123"/>
  <c r="G436" i="36" a="1"/>
  <c r="G436" s="1"/>
  <c r="G555" s="1"/>
  <c r="G578" s="1"/>
  <c r="I161" i="59"/>
  <c r="F125"/>
  <c r="F121"/>
  <c r="F128"/>
  <c r="F126"/>
  <c r="F124"/>
  <c r="F122"/>
  <c r="G439" i="36" a="1"/>
  <c r="G439" s="1"/>
  <c r="G558" s="1"/>
  <c r="G581" s="1"/>
  <c r="H420"/>
  <c r="G430"/>
  <c r="G441" a="1"/>
  <c r="G441" s="1"/>
  <c r="G434" a="1"/>
  <c r="G434" s="1"/>
  <c r="G553" s="1"/>
  <c r="H425"/>
  <c r="H429"/>
  <c r="G442" a="1"/>
  <c r="G442" s="1"/>
  <c r="G561" s="1"/>
  <c r="G440" a="1"/>
  <c r="G440" s="1"/>
  <c r="G559" s="1"/>
  <c r="G583" s="1"/>
  <c r="G437" a="1"/>
  <c r="G437" s="1"/>
  <c r="G556" s="1"/>
  <c r="G579" s="1"/>
  <c r="G435" a="1"/>
  <c r="G435" s="1"/>
  <c r="G554" s="1"/>
  <c r="G577" s="1"/>
  <c r="G438" a="1"/>
  <c r="G438" s="1"/>
  <c r="G557" s="1"/>
  <c r="G580" s="1"/>
  <c r="H417"/>
  <c r="H427"/>
  <c r="H418"/>
  <c r="G560"/>
  <c r="I412"/>
  <c r="I417" s="1" a="1"/>
  <c r="I423" s="1"/>
  <c r="H513"/>
  <c r="H423"/>
  <c r="H428"/>
  <c r="H419"/>
  <c r="H422"/>
  <c r="H421"/>
  <c r="H424"/>
  <c r="W11" i="29"/>
  <c r="W15" s="1"/>
  <c r="V11"/>
  <c r="V15" s="1"/>
  <c r="AB11"/>
  <c r="AB15" s="1"/>
  <c r="U11"/>
  <c r="U15" s="1"/>
  <c r="T11"/>
  <c r="T15" s="1"/>
  <c r="T40" s="1"/>
  <c r="AI11" i="72"/>
  <c r="AI15" s="1"/>
  <c r="AI40" s="1"/>
  <c r="AI109" s="1"/>
  <c r="F553" i="36"/>
  <c r="F565" s="1" a="1"/>
  <c r="F565" s="1"/>
  <c r="F594" s="1"/>
  <c r="F513"/>
  <c r="F583"/>
  <c r="J495"/>
  <c r="J494"/>
  <c r="J497"/>
  <c r="J487"/>
  <c r="J491"/>
  <c r="J492"/>
  <c r="J493"/>
  <c r="J498"/>
  <c r="J490"/>
  <c r="J489"/>
  <c r="J499"/>
  <c r="J496"/>
  <c r="J488"/>
  <c r="M71"/>
  <c r="L406"/>
  <c r="G513"/>
  <c r="J410"/>
  <c r="J582" s="1"/>
  <c r="K409"/>
  <c r="K478"/>
  <c r="K480" s="1"/>
  <c r="K482" s="1"/>
  <c r="K487" s="1" a="1"/>
  <c r="I505" a="1"/>
  <c r="I505" s="1"/>
  <c r="I500"/>
  <c r="I511" a="1"/>
  <c r="I511" s="1"/>
  <c r="I509" a="1"/>
  <c r="I509" s="1"/>
  <c r="I507" a="1"/>
  <c r="I507" s="1"/>
  <c r="I508" a="1"/>
  <c r="I508" s="1"/>
  <c r="I504" a="1"/>
  <c r="I504" s="1"/>
  <c r="I506" a="1"/>
  <c r="I506" s="1"/>
  <c r="I510" a="1"/>
  <c r="I510" s="1"/>
  <c r="I512" a="1"/>
  <c r="I512" s="1"/>
  <c r="F584"/>
  <c r="F131" i="59"/>
  <c r="K161" s="1"/>
  <c r="L161"/>
  <c r="AC130" i="67"/>
  <c r="AN87"/>
  <c r="G9" i="29"/>
  <c r="H97" i="59"/>
  <c r="BC9" i="29"/>
  <c r="BO9"/>
  <c r="U9" i="70"/>
  <c r="AI9" i="73"/>
  <c r="T9" i="70"/>
  <c r="K69" i="59"/>
  <c r="BC9" i="70"/>
  <c r="V9"/>
  <c r="AB9"/>
  <c r="W9"/>
  <c r="U11" l="1"/>
  <c r="U15" s="1"/>
  <c r="AB11"/>
  <c r="AB15" s="1"/>
  <c r="H109" i="59"/>
  <c r="G443" i="36"/>
  <c r="G584"/>
  <c r="V11" i="70"/>
  <c r="V15" s="1"/>
  <c r="T11"/>
  <c r="T15" s="1"/>
  <c r="T40" s="1"/>
  <c r="BC11"/>
  <c r="BC15" s="1"/>
  <c r="BF9"/>
  <c r="H435" i="36" a="1"/>
  <c r="H435" s="1"/>
  <c r="H554" s="1"/>
  <c r="H577" s="1"/>
  <c r="H440" a="1"/>
  <c r="H440" s="1"/>
  <c r="H559" s="1"/>
  <c r="H583" s="1"/>
  <c r="I428"/>
  <c r="H437" a="1"/>
  <c r="H437" s="1"/>
  <c r="H556" s="1"/>
  <c r="H579" s="1"/>
  <c r="I418"/>
  <c r="I422"/>
  <c r="H438" a="1"/>
  <c r="H438" s="1"/>
  <c r="H557" s="1"/>
  <c r="H580" s="1"/>
  <c r="I425"/>
  <c r="I429"/>
  <c r="I417"/>
  <c r="H434" a="1"/>
  <c r="H434" s="1"/>
  <c r="H553" s="1"/>
  <c r="H441" a="1"/>
  <c r="H441" s="1"/>
  <c r="H560" s="1"/>
  <c r="H436" a="1"/>
  <c r="H436" s="1"/>
  <c r="H555" s="1"/>
  <c r="H578" s="1"/>
  <c r="H442" a="1"/>
  <c r="H442" s="1"/>
  <c r="H561" s="1"/>
  <c r="H584" s="1"/>
  <c r="J412"/>
  <c r="J417" s="1" a="1"/>
  <c r="J422" s="1"/>
  <c r="I427"/>
  <c r="I421"/>
  <c r="I419"/>
  <c r="I426"/>
  <c r="I424"/>
  <c r="I420"/>
  <c r="H430"/>
  <c r="H439" a="1"/>
  <c r="H439" s="1"/>
  <c r="H558" s="1"/>
  <c r="H581" s="1"/>
  <c r="W11" i="70"/>
  <c r="W15" s="1"/>
  <c r="G11" i="29"/>
  <c r="Q9"/>
  <c r="AI11" i="73"/>
  <c r="AI15" s="1"/>
  <c r="AI40" s="1"/>
  <c r="AI109" s="1"/>
  <c r="BC11" i="29"/>
  <c r="BF9"/>
  <c r="BO11"/>
  <c r="BO15" s="1"/>
  <c r="K410" i="36"/>
  <c r="K582" s="1"/>
  <c r="G576"/>
  <c r="G562"/>
  <c r="G566" a="1"/>
  <c r="G566" s="1"/>
  <c r="G595" s="1"/>
  <c r="G565" a="1"/>
  <c r="G565" s="1"/>
  <c r="G594" s="1"/>
  <c r="G567" a="1"/>
  <c r="G567" s="1"/>
  <c r="G596" s="1"/>
  <c r="L409"/>
  <c r="L478"/>
  <c r="L480" s="1"/>
  <c r="L482" s="1"/>
  <c r="L487" s="1" a="1"/>
  <c r="J509" a="1"/>
  <c r="J509" s="1"/>
  <c r="J507" a="1"/>
  <c r="J507" s="1"/>
  <c r="J505" a="1"/>
  <c r="J505" s="1"/>
  <c r="J506" a="1"/>
  <c r="J506" s="1"/>
  <c r="J510" a="1"/>
  <c r="J510" s="1"/>
  <c r="J500"/>
  <c r="J511" a="1"/>
  <c r="J511" s="1"/>
  <c r="J508" a="1"/>
  <c r="J508" s="1"/>
  <c r="J512" a="1"/>
  <c r="J512" s="1"/>
  <c r="J504" a="1"/>
  <c r="J504" s="1"/>
  <c r="I513"/>
  <c r="K490"/>
  <c r="K493"/>
  <c r="K492"/>
  <c r="K494"/>
  <c r="K495"/>
  <c r="K496"/>
  <c r="K498"/>
  <c r="K497"/>
  <c r="K489"/>
  <c r="K487"/>
  <c r="K499"/>
  <c r="K491"/>
  <c r="K488"/>
  <c r="J425"/>
  <c r="N71"/>
  <c r="M406"/>
  <c r="F576"/>
  <c r="F566" a="1"/>
  <c r="F566" s="1"/>
  <c r="F595" s="1"/>
  <c r="F562"/>
  <c r="F567" a="1"/>
  <c r="F567" s="1"/>
  <c r="F596" s="1"/>
  <c r="AN130" i="67"/>
  <c r="AC148"/>
  <c r="I97" i="59"/>
  <c r="BC9" i="71"/>
  <c r="BP9" i="70"/>
  <c r="S9"/>
  <c r="BP9" i="29"/>
  <c r="BQ9"/>
  <c r="G9" i="70"/>
  <c r="W9" i="71"/>
  <c r="AB9"/>
  <c r="BQ9" i="70"/>
  <c r="AI9" i="74"/>
  <c r="S9" i="29"/>
  <c r="T9" i="71"/>
  <c r="G9"/>
  <c r="BO9" i="70"/>
  <c r="V9" i="71"/>
  <c r="L69" i="59"/>
  <c r="U9" i="71"/>
  <c r="F65" i="59"/>
  <c r="I442" i="36" l="1" a="1"/>
  <c r="I442" s="1"/>
  <c r="I561" s="1"/>
  <c r="I109" i="59"/>
  <c r="BF11" i="70"/>
  <c r="J424" i="36"/>
  <c r="G11" i="70"/>
  <c r="Q9"/>
  <c r="I434" i="36" a="1"/>
  <c r="I434" s="1"/>
  <c r="I553" s="1"/>
  <c r="J421"/>
  <c r="J423"/>
  <c r="T11" i="71"/>
  <c r="T15" s="1"/>
  <c r="T40" s="1"/>
  <c r="BC11"/>
  <c r="BF11" s="1"/>
  <c r="BF9"/>
  <c r="V11"/>
  <c r="V15" s="1"/>
  <c r="W11"/>
  <c r="W15" s="1"/>
  <c r="I439" i="36" a="1"/>
  <c r="I439" s="1"/>
  <c r="I558" s="1"/>
  <c r="I581" s="1"/>
  <c r="U11" i="71"/>
  <c r="U15" s="1"/>
  <c r="I440" i="36" a="1"/>
  <c r="I440" s="1"/>
  <c r="I559" s="1"/>
  <c r="I583" s="1"/>
  <c r="I436" a="1"/>
  <c r="I436" s="1"/>
  <c r="I555" s="1"/>
  <c r="I578" s="1"/>
  <c r="J419"/>
  <c r="J429"/>
  <c r="J427"/>
  <c r="I430"/>
  <c r="I441" a="1"/>
  <c r="I441" s="1"/>
  <c r="I560" s="1"/>
  <c r="I437" a="1"/>
  <c r="I437" s="1"/>
  <c r="I556" s="1"/>
  <c r="I579" s="1"/>
  <c r="I435" a="1"/>
  <c r="I435" s="1"/>
  <c r="I554" s="1"/>
  <c r="I577" s="1"/>
  <c r="I438" a="1"/>
  <c r="I438" s="1"/>
  <c r="I557" s="1"/>
  <c r="I580" s="1"/>
  <c r="J417"/>
  <c r="J428"/>
  <c r="J418"/>
  <c r="J426"/>
  <c r="J420"/>
  <c r="G11" i="71"/>
  <c r="Q11" s="1"/>
  <c r="Q9"/>
  <c r="H443" i="36"/>
  <c r="AB11" i="71"/>
  <c r="AB15" s="1"/>
  <c r="K412" i="36"/>
  <c r="K417" s="1" a="1"/>
  <c r="K417" s="1"/>
  <c r="I584"/>
  <c r="BQ11" i="29"/>
  <c r="BQ15" s="1"/>
  <c r="S11"/>
  <c r="AK9"/>
  <c r="BL9" s="1"/>
  <c r="BP11" i="70"/>
  <c r="BP15" s="1"/>
  <c r="AI11" i="74"/>
  <c r="AI15" s="1"/>
  <c r="AI40" s="1"/>
  <c r="AI109" s="1"/>
  <c r="BQ11" i="70"/>
  <c r="BQ15" s="1"/>
  <c r="S11"/>
  <c r="AK9"/>
  <c r="BP11" i="29"/>
  <c r="BP15" s="1"/>
  <c r="DH15" s="1"/>
  <c r="BO11" i="70"/>
  <c r="BO15" s="1"/>
  <c r="BC40"/>
  <c r="BF15"/>
  <c r="M409" i="36"/>
  <c r="M478"/>
  <c r="M480" s="1"/>
  <c r="M482" s="1"/>
  <c r="M487" s="1" a="1"/>
  <c r="K500"/>
  <c r="K510" a="1"/>
  <c r="K510" s="1"/>
  <c r="K509" a="1"/>
  <c r="K509" s="1"/>
  <c r="K508" a="1"/>
  <c r="K508" s="1"/>
  <c r="K507" a="1"/>
  <c r="K507" s="1"/>
  <c r="K506" a="1"/>
  <c r="K506" s="1"/>
  <c r="K505" a="1"/>
  <c r="K505" s="1"/>
  <c r="K504" a="1"/>
  <c r="K504" s="1"/>
  <c r="K512" a="1"/>
  <c r="K512" s="1"/>
  <c r="K511" a="1"/>
  <c r="K511" s="1"/>
  <c r="L495"/>
  <c r="L494"/>
  <c r="L497"/>
  <c r="L499"/>
  <c r="L496"/>
  <c r="L488"/>
  <c r="L487"/>
  <c r="L498"/>
  <c r="L490"/>
  <c r="L489"/>
  <c r="L491"/>
  <c r="L492"/>
  <c r="L493"/>
  <c r="G597"/>
  <c r="G585"/>
  <c r="H576"/>
  <c r="H565" a="1"/>
  <c r="H565" s="1"/>
  <c r="H594" s="1"/>
  <c r="H566" a="1"/>
  <c r="H566" s="1"/>
  <c r="H595" s="1"/>
  <c r="H562"/>
  <c r="H567" a="1"/>
  <c r="H567" s="1"/>
  <c r="H596" s="1"/>
  <c r="BC15" i="29"/>
  <c r="BF11"/>
  <c r="J513" i="36"/>
  <c r="O71"/>
  <c r="O406" s="1"/>
  <c r="N406"/>
  <c r="L410"/>
  <c r="L582" s="1"/>
  <c r="K422"/>
  <c r="K425"/>
  <c r="G15" i="71"/>
  <c r="G15" i="29"/>
  <c r="Q11"/>
  <c r="F597" i="36"/>
  <c r="F585"/>
  <c r="F15" i="6"/>
  <c r="I5" i="9" s="1"/>
  <c r="AA74" i="67"/>
  <c r="T56"/>
  <c r="T74" s="1"/>
  <c r="BP9" i="71"/>
  <c r="S9"/>
  <c r="T9" i="72"/>
  <c r="W9"/>
  <c r="BQ9" i="71"/>
  <c r="V9" i="72"/>
  <c r="G9"/>
  <c r="AI9" i="75"/>
  <c r="BC9" i="72"/>
  <c r="BO9" i="71"/>
  <c r="AB9" i="72"/>
  <c r="J97" i="59"/>
  <c r="U9" i="72"/>
  <c r="M69" i="59"/>
  <c r="AW37" i="60"/>
  <c r="BC15" i="71" l="1"/>
  <c r="BF15" s="1"/>
  <c r="K424" i="36"/>
  <c r="K418"/>
  <c r="K426"/>
  <c r="K427"/>
  <c r="BL9" i="70"/>
  <c r="J438" i="36" a="1"/>
  <c r="J438" s="1"/>
  <c r="J557" s="1"/>
  <c r="J580" s="1"/>
  <c r="J437" a="1"/>
  <c r="J437" s="1"/>
  <c r="J556" s="1"/>
  <c r="J579" s="1"/>
  <c r="J109" i="59"/>
  <c r="F17" i="46"/>
  <c r="F73" s="1"/>
  <c r="F22"/>
  <c r="O17"/>
  <c r="O73" s="1"/>
  <c r="Q11" i="70"/>
  <c r="G15"/>
  <c r="J442" i="36" a="1"/>
  <c r="J442" s="1"/>
  <c r="J561" s="1"/>
  <c r="K420"/>
  <c r="K429"/>
  <c r="K423"/>
  <c r="K428"/>
  <c r="K421"/>
  <c r="K419"/>
  <c r="J441" a="1"/>
  <c r="J441" s="1"/>
  <c r="J560" s="1"/>
  <c r="J435" a="1"/>
  <c r="J435" s="1"/>
  <c r="J554" s="1"/>
  <c r="J577" s="1"/>
  <c r="AB11" i="72"/>
  <c r="AB15" s="1"/>
  <c r="J430" i="36"/>
  <c r="BC11" i="72"/>
  <c r="BF11" s="1"/>
  <c r="BF9"/>
  <c r="U11"/>
  <c r="U15" s="1"/>
  <c r="J440" i="36" a="1"/>
  <c r="J440" s="1"/>
  <c r="J559" s="1"/>
  <c r="J583" s="1"/>
  <c r="J436" a="1"/>
  <c r="J436" s="1"/>
  <c r="J555" s="1"/>
  <c r="J578" s="1"/>
  <c r="J434" a="1"/>
  <c r="J434" s="1"/>
  <c r="J553" s="1"/>
  <c r="J439" a="1"/>
  <c r="J439" s="1"/>
  <c r="J558" s="1"/>
  <c r="J581" s="1"/>
  <c r="I443"/>
  <c r="T11" i="72"/>
  <c r="T15" s="1"/>
  <c r="T40" s="1"/>
  <c r="W11"/>
  <c r="W15" s="1"/>
  <c r="V11"/>
  <c r="V15" s="1"/>
  <c r="BC53" i="67"/>
  <c r="F201" i="43"/>
  <c r="F200"/>
  <c r="F202"/>
  <c r="G11" i="72"/>
  <c r="Q11" s="1"/>
  <c r="Q9"/>
  <c r="DH15" i="70"/>
  <c r="BO11" i="71"/>
  <c r="BO15" s="1"/>
  <c r="AI11" i="75"/>
  <c r="AI15" s="1"/>
  <c r="AI40" s="1"/>
  <c r="AI109" s="1"/>
  <c r="BQ11" i="71"/>
  <c r="BQ15" s="1"/>
  <c r="BP11"/>
  <c r="BP15" s="1"/>
  <c r="S11"/>
  <c r="AK9"/>
  <c r="BL9" s="1"/>
  <c r="Q15" i="29"/>
  <c r="G40"/>
  <c r="G109" s="1"/>
  <c r="Q15" i="71"/>
  <c r="G40"/>
  <c r="G109" s="1"/>
  <c r="N409" i="36"/>
  <c r="N478"/>
  <c r="N480" s="1"/>
  <c r="N482" s="1"/>
  <c r="N487" s="1" a="1"/>
  <c r="BC40" i="29"/>
  <c r="BF15"/>
  <c r="H597" i="36"/>
  <c r="L505" a="1"/>
  <c r="L505" s="1"/>
  <c r="L508" a="1"/>
  <c r="L508" s="1"/>
  <c r="L500"/>
  <c r="L511" a="1"/>
  <c r="L511" s="1"/>
  <c r="L510" a="1"/>
  <c r="L510" s="1"/>
  <c r="L509" a="1"/>
  <c r="L509" s="1"/>
  <c r="L512" a="1"/>
  <c r="L512" s="1"/>
  <c r="L507" a="1"/>
  <c r="L507" s="1"/>
  <c r="L506" a="1"/>
  <c r="L506" s="1"/>
  <c r="L504" a="1"/>
  <c r="L504" s="1"/>
  <c r="M410"/>
  <c r="M582" s="1"/>
  <c r="I576"/>
  <c r="I562"/>
  <c r="I565" a="1"/>
  <c r="I565" s="1"/>
  <c r="I594" s="1"/>
  <c r="I566" a="1"/>
  <c r="I566" s="1"/>
  <c r="I595" s="1"/>
  <c r="I567" a="1"/>
  <c r="I567" s="1"/>
  <c r="I596" s="1"/>
  <c r="BC109" i="70"/>
  <c r="BF40"/>
  <c r="G15" i="72"/>
  <c r="BC15"/>
  <c r="S15" i="29"/>
  <c r="AK11"/>
  <c r="BL11" s="1"/>
  <c r="L412" i="36"/>
  <c r="L417" s="1" a="1"/>
  <c r="BC40" i="71"/>
  <c r="O409" i="36"/>
  <c r="O478"/>
  <c r="O480" s="1"/>
  <c r="O482" s="1"/>
  <c r="O487" s="1" a="1"/>
  <c r="H585"/>
  <c r="M496"/>
  <c r="M494"/>
  <c r="M495"/>
  <c r="M498"/>
  <c r="M487"/>
  <c r="M497"/>
  <c r="M489"/>
  <c r="M488"/>
  <c r="M499"/>
  <c r="M491"/>
  <c r="M492"/>
  <c r="M490"/>
  <c r="M493"/>
  <c r="S15" i="70"/>
  <c r="AK11"/>
  <c r="K513" i="36"/>
  <c r="AZ125" i="4"/>
  <c r="F17" i="30" s="1"/>
  <c r="K17" s="1"/>
  <c r="K26" s="1"/>
  <c r="W20" i="67"/>
  <c r="W118" i="4"/>
  <c r="S46" i="67"/>
  <c r="T119" i="4"/>
  <c r="T116" s="1"/>
  <c r="F32" i="46" s="1"/>
  <c r="K32" s="1"/>
  <c r="V142" i="67"/>
  <c r="V143" s="1"/>
  <c r="V145" s="1"/>
  <c r="S12"/>
  <c r="V35"/>
  <c r="T47" i="4"/>
  <c r="X46"/>
  <c r="S26" i="67"/>
  <c r="U10"/>
  <c r="V50"/>
  <c r="V40"/>
  <c r="V41" s="1"/>
  <c r="S93"/>
  <c r="S94" s="1"/>
  <c r="T137"/>
  <c r="T139" s="1"/>
  <c r="T145" s="1"/>
  <c r="Y142"/>
  <c r="Y143" s="1"/>
  <c r="Y145" s="1"/>
  <c r="S24"/>
  <c r="AI24" s="1"/>
  <c r="H24" s="1"/>
  <c r="W19"/>
  <c r="W13"/>
  <c r="V53"/>
  <c r="W47"/>
  <c r="U44"/>
  <c r="V37"/>
  <c r="V63"/>
  <c r="AI63" s="1"/>
  <c r="O63" s="1"/>
  <c r="O65" s="1"/>
  <c r="O66" s="1"/>
  <c r="O74" s="1"/>
  <c r="AR142"/>
  <c r="AR143" s="1"/>
  <c r="AR145" s="1"/>
  <c r="W9"/>
  <c r="AB12"/>
  <c r="AB14" s="1"/>
  <c r="AB16" s="1"/>
  <c r="V54"/>
  <c r="U51"/>
  <c r="W48"/>
  <c r="AB46"/>
  <c r="S45"/>
  <c r="V42"/>
  <c r="V43" s="1"/>
  <c r="V38"/>
  <c r="V36"/>
  <c r="S34"/>
  <c r="BG141"/>
  <c r="BG143" s="1"/>
  <c r="U49"/>
  <c r="AU9"/>
  <c r="AU11" s="1"/>
  <c r="AU17" s="1"/>
  <c r="AV53"/>
  <c r="AV55" s="1"/>
  <c r="AV56" s="1"/>
  <c r="AV74" s="1"/>
  <c r="AV148" s="1"/>
  <c r="BC9"/>
  <c r="BC11" s="1"/>
  <c r="AE83"/>
  <c r="BB83" s="1"/>
  <c r="AK95"/>
  <c r="AK97" s="1"/>
  <c r="AK98" s="1"/>
  <c r="AK130" s="1"/>
  <c r="AS142"/>
  <c r="AS143" s="1"/>
  <c r="AS145" s="1"/>
  <c r="V31"/>
  <c r="W49"/>
  <c r="AE126"/>
  <c r="W93"/>
  <c r="W94" s="1"/>
  <c r="X96"/>
  <c r="S59"/>
  <c r="S66" s="1"/>
  <c r="V62"/>
  <c r="V60" s="1"/>
  <c r="AI60" s="1"/>
  <c r="N60" s="1"/>
  <c r="N62" s="1"/>
  <c r="N66" s="1"/>
  <c r="N74" s="1"/>
  <c r="S32"/>
  <c r="W33"/>
  <c r="W34"/>
  <c r="U35"/>
  <c r="W35"/>
  <c r="U36"/>
  <c r="W36"/>
  <c r="U37"/>
  <c r="W37"/>
  <c r="U38"/>
  <c r="W38"/>
  <c r="U40"/>
  <c r="U41" s="1"/>
  <c r="W40"/>
  <c r="W41" s="1"/>
  <c r="U42"/>
  <c r="U43" s="1"/>
  <c r="W42"/>
  <c r="W43" s="1"/>
  <c r="S44"/>
  <c r="V44"/>
  <c r="AE44"/>
  <c r="AE52" s="1"/>
  <c r="U45"/>
  <c r="W45"/>
  <c r="U46"/>
  <c r="W46"/>
  <c r="S47"/>
  <c r="V47"/>
  <c r="S48"/>
  <c r="V48"/>
  <c r="AB48"/>
  <c r="U50"/>
  <c r="W50"/>
  <c r="S51"/>
  <c r="V51"/>
  <c r="U53"/>
  <c r="W53"/>
  <c r="U54"/>
  <c r="W54"/>
  <c r="S86"/>
  <c r="U12"/>
  <c r="W12"/>
  <c r="S13"/>
  <c r="V13"/>
  <c r="S9"/>
  <c r="V9"/>
  <c r="AB9"/>
  <c r="AB11" s="1"/>
  <c r="S10"/>
  <c r="V10"/>
  <c r="S19"/>
  <c r="S20"/>
  <c r="V20"/>
  <c r="V21" s="1"/>
  <c r="S22"/>
  <c r="W23"/>
  <c r="S25"/>
  <c r="W25"/>
  <c r="V26"/>
  <c r="X95"/>
  <c r="X97" s="1"/>
  <c r="X98" s="1"/>
  <c r="X130" s="1"/>
  <c r="Y95"/>
  <c r="Y97" s="1"/>
  <c r="Z95"/>
  <c r="Z97" s="1"/>
  <c r="Z98" s="1"/>
  <c r="Z130" s="1"/>
  <c r="Z142"/>
  <c r="V95"/>
  <c r="V97" s="1"/>
  <c r="Z119" i="4"/>
  <c r="T46"/>
  <c r="F9" i="48"/>
  <c r="K9" s="1"/>
  <c r="K49" s="1"/>
  <c r="F10"/>
  <c r="X119" i="4"/>
  <c r="W119"/>
  <c r="F66" i="41"/>
  <c r="F68" s="1"/>
  <c r="Z141" i="67"/>
  <c r="W141" s="1"/>
  <c r="W143" s="1"/>
  <c r="W145" s="1"/>
  <c r="X142"/>
  <c r="W26"/>
  <c r="V25"/>
  <c r="V27" s="1"/>
  <c r="S23"/>
  <c r="AI23" s="1"/>
  <c r="H23" s="1"/>
  <c r="U20"/>
  <c r="U21" s="1"/>
  <c r="U28" s="1"/>
  <c r="W10"/>
  <c r="AE9"/>
  <c r="AE11" s="1"/>
  <c r="AE17" s="1"/>
  <c r="U9"/>
  <c r="U13"/>
  <c r="V12"/>
  <c r="V14" s="1"/>
  <c r="V16" s="1"/>
  <c r="AB54"/>
  <c r="AE53"/>
  <c r="W51"/>
  <c r="AB50"/>
  <c r="S50"/>
  <c r="U48"/>
  <c r="U47"/>
  <c r="V46"/>
  <c r="V45"/>
  <c r="W44"/>
  <c r="AB42"/>
  <c r="AB43" s="1"/>
  <c r="S42"/>
  <c r="S43" s="1"/>
  <c r="S40"/>
  <c r="S41" s="1"/>
  <c r="S38"/>
  <c r="S37"/>
  <c r="S36"/>
  <c r="S35"/>
  <c r="S33"/>
  <c r="AI33" s="1"/>
  <c r="I33" s="1"/>
  <c r="V64"/>
  <c r="AI64" s="1"/>
  <c r="M64" s="1"/>
  <c r="M65" s="1"/>
  <c r="M66" s="1"/>
  <c r="M74" s="1"/>
  <c r="S96"/>
  <c r="S97" s="1"/>
  <c r="V92"/>
  <c r="U30"/>
  <c r="AI30" s="1"/>
  <c r="BF30" s="1"/>
  <c r="AE85"/>
  <c r="AZ53"/>
  <c r="AZ55" s="1"/>
  <c r="AZ56" s="1"/>
  <c r="AZ74" s="1"/>
  <c r="AZ148" s="1"/>
  <c r="V59"/>
  <c r="V58"/>
  <c r="AI58" s="1"/>
  <c r="J58" s="1"/>
  <c r="J66" s="1"/>
  <c r="J74" s="1"/>
  <c r="BG137"/>
  <c r="BG139" s="1"/>
  <c r="BG145" s="1"/>
  <c r="W96"/>
  <c r="W97" s="1"/>
  <c r="AB93"/>
  <c r="AB94" s="1"/>
  <c r="AB98" s="1"/>
  <c r="AB130" s="1"/>
  <c r="V93"/>
  <c r="Y92"/>
  <c r="V49"/>
  <c r="S49"/>
  <c r="U31"/>
  <c r="AM95"/>
  <c r="AM97" s="1"/>
  <c r="AM98" s="1"/>
  <c r="AM130" s="1"/>
  <c r="AP142"/>
  <c r="AP143" s="1"/>
  <c r="AP145" s="1"/>
  <c r="AL95"/>
  <c r="AL97" s="1"/>
  <c r="AL98" s="1"/>
  <c r="AL130" s="1"/>
  <c r="AQ142"/>
  <c r="AQ143" s="1"/>
  <c r="AQ145" s="1"/>
  <c r="AE84"/>
  <c r="BC126"/>
  <c r="BC44"/>
  <c r="BC12"/>
  <c r="AU53"/>
  <c r="T9" i="73"/>
  <c r="AI9" i="76"/>
  <c r="W9" i="73"/>
  <c r="F29" i="59"/>
  <c r="F25"/>
  <c r="H15"/>
  <c r="N69"/>
  <c r="AB9" i="73"/>
  <c r="U9"/>
  <c r="I32" i="59"/>
  <c r="K97"/>
  <c r="BP9" i="72"/>
  <c r="BO9"/>
  <c r="G16" i="47"/>
  <c r="F16"/>
  <c r="BQ9" i="72"/>
  <c r="J15" i="59"/>
  <c r="BC9" i="73"/>
  <c r="V9"/>
  <c r="S9" i="72"/>
  <c r="W98" i="67" l="1"/>
  <c r="W130" s="1"/>
  <c r="W21"/>
  <c r="I176" i="59"/>
  <c r="F174"/>
  <c r="F170"/>
  <c r="K436" i="36" a="1"/>
  <c r="K436" s="1"/>
  <c r="K555" s="1"/>
  <c r="K578" s="1"/>
  <c r="F33" i="46"/>
  <c r="K33" s="1"/>
  <c r="K439" i="36" a="1"/>
  <c r="K439" s="1"/>
  <c r="K558" s="1"/>
  <c r="K581" s="1"/>
  <c r="K440" a="1"/>
  <c r="K440" s="1"/>
  <c r="K559" s="1"/>
  <c r="K583" s="1"/>
  <c r="K434" a="1"/>
  <c r="K434" s="1"/>
  <c r="K553" s="1"/>
  <c r="BL11" i="70"/>
  <c r="K441" i="36" a="1"/>
  <c r="K441" s="1"/>
  <c r="K560" s="1"/>
  <c r="W11" i="73"/>
  <c r="W15" s="1"/>
  <c r="V11"/>
  <c r="V15" s="1"/>
  <c r="H17" i="46"/>
  <c r="H73" s="1"/>
  <c r="J443" i="36"/>
  <c r="K442" a="1"/>
  <c r="K442" s="1"/>
  <c r="K561" s="1"/>
  <c r="K437" a="1"/>
  <c r="K437" s="1"/>
  <c r="K556" s="1"/>
  <c r="K579" s="1"/>
  <c r="K435" a="1"/>
  <c r="K435" s="1"/>
  <c r="K554" s="1"/>
  <c r="K577" s="1"/>
  <c r="K430"/>
  <c r="G17" i="46"/>
  <c r="G73" s="1"/>
  <c r="L17"/>
  <c r="L73" s="1"/>
  <c r="K17"/>
  <c r="K73" s="1"/>
  <c r="J584" i="36"/>
  <c r="K438" a="1"/>
  <c r="K438" s="1"/>
  <c r="K557" s="1"/>
  <c r="K580" s="1"/>
  <c r="J17" i="46"/>
  <c r="J73" s="1"/>
  <c r="N17"/>
  <c r="N73" s="1"/>
  <c r="I17"/>
  <c r="I73" s="1"/>
  <c r="M17"/>
  <c r="M73" s="1"/>
  <c r="M412" i="36"/>
  <c r="M417" s="1" a="1"/>
  <c r="M426" s="1"/>
  <c r="L513"/>
  <c r="K109" i="59"/>
  <c r="Q15" i="70"/>
  <c r="G40"/>
  <c r="G109" s="1"/>
  <c r="T11" i="73"/>
  <c r="T15" s="1"/>
  <c r="T40" s="1"/>
  <c r="AB11"/>
  <c r="AB15" s="1"/>
  <c r="U11"/>
  <c r="U15" s="1"/>
  <c r="BC11"/>
  <c r="BC15" s="1"/>
  <c r="BF9"/>
  <c r="F351" i="43" a="1"/>
  <c r="F352" s="1"/>
  <c r="AI40" i="67"/>
  <c r="I40" s="1"/>
  <c r="I41" s="1"/>
  <c r="AI59"/>
  <c r="K59" s="1"/>
  <c r="K66" s="1"/>
  <c r="K74" s="1"/>
  <c r="S98"/>
  <c r="W11"/>
  <c r="F24" i="48"/>
  <c r="K24" s="1"/>
  <c r="K58" s="1"/>
  <c r="K64" s="1"/>
  <c r="K94" s="1"/>
  <c r="BO11" i="72"/>
  <c r="BO15" s="1"/>
  <c r="AI11" i="76"/>
  <c r="AI15" s="1"/>
  <c r="AI40" s="1"/>
  <c r="AI109" s="1"/>
  <c r="G147" i="47"/>
  <c r="BQ11" i="72"/>
  <c r="BQ15" s="1"/>
  <c r="S11"/>
  <c r="AK9"/>
  <c r="BL9" s="1"/>
  <c r="BP11"/>
  <c r="BP15" s="1"/>
  <c r="F147" i="47"/>
  <c r="AK15" i="70"/>
  <c r="O410" i="36"/>
  <c r="O582" s="1"/>
  <c r="J576"/>
  <c r="J567" a="1"/>
  <c r="J567" s="1"/>
  <c r="J596" s="1"/>
  <c r="J565" a="1"/>
  <c r="J565" s="1"/>
  <c r="J594" s="1"/>
  <c r="J562"/>
  <c r="J566" a="1"/>
  <c r="J566" s="1"/>
  <c r="J595" s="1"/>
  <c r="L417"/>
  <c r="L428"/>
  <c r="L420"/>
  <c r="L419"/>
  <c r="L425"/>
  <c r="L426"/>
  <c r="L421"/>
  <c r="L423"/>
  <c r="L424"/>
  <c r="L429"/>
  <c r="L422"/>
  <c r="L427"/>
  <c r="L418"/>
  <c r="I597"/>
  <c r="I585"/>
  <c r="N487"/>
  <c r="N490"/>
  <c r="N491"/>
  <c r="N493"/>
  <c r="N495"/>
  <c r="N494"/>
  <c r="N497"/>
  <c r="N499"/>
  <c r="N496"/>
  <c r="N488"/>
  <c r="N498"/>
  <c r="N489"/>
  <c r="N492"/>
  <c r="M500"/>
  <c r="M510" a="1"/>
  <c r="M510" s="1"/>
  <c r="M509" a="1"/>
  <c r="M509" s="1"/>
  <c r="M508" a="1"/>
  <c r="M508" s="1"/>
  <c r="M507" a="1"/>
  <c r="M507" s="1"/>
  <c r="M506" a="1"/>
  <c r="M506" s="1"/>
  <c r="M505" a="1"/>
  <c r="M505" s="1"/>
  <c r="M504" a="1"/>
  <c r="M504" s="1"/>
  <c r="M512" a="1"/>
  <c r="M512" s="1"/>
  <c r="M511" a="1"/>
  <c r="M511" s="1"/>
  <c r="O497"/>
  <c r="O496"/>
  <c r="O489"/>
  <c r="O488"/>
  <c r="O491"/>
  <c r="O487"/>
  <c r="O493"/>
  <c r="O498"/>
  <c r="O495"/>
  <c r="O492"/>
  <c r="O490"/>
  <c r="O499"/>
  <c r="O494"/>
  <c r="BC109" i="71"/>
  <c r="BF40"/>
  <c r="AK15" i="29"/>
  <c r="BL15" s="1"/>
  <c r="BC40" i="72"/>
  <c r="BF15"/>
  <c r="Q15"/>
  <c r="G40"/>
  <c r="G109" s="1"/>
  <c r="BC109" i="29"/>
  <c r="BF40"/>
  <c r="N410" i="36"/>
  <c r="N582" s="1"/>
  <c r="S15" i="71"/>
  <c r="AK11"/>
  <c r="BL11" s="1"/>
  <c r="DH15"/>
  <c r="K118" i="41"/>
  <c r="BD9" i="67"/>
  <c r="F34" i="46"/>
  <c r="K34" s="1"/>
  <c r="F35"/>
  <c r="K35" s="1"/>
  <c r="S14" i="67"/>
  <c r="S16" s="1"/>
  <c r="AI35"/>
  <c r="I35" s="1"/>
  <c r="AI37"/>
  <c r="I37" s="1"/>
  <c r="AB17"/>
  <c r="AI45"/>
  <c r="I45" s="1"/>
  <c r="V28"/>
  <c r="AI34"/>
  <c r="I34" s="1"/>
  <c r="U52"/>
  <c r="U14"/>
  <c r="U16" s="1"/>
  <c r="W14"/>
  <c r="W16" s="1"/>
  <c r="W17" s="1"/>
  <c r="V94"/>
  <c r="F16" i="48"/>
  <c r="K16" s="1"/>
  <c r="K50" s="1"/>
  <c r="AI36" i="67"/>
  <c r="I36" s="1"/>
  <c r="AI38"/>
  <c r="I38" s="1"/>
  <c r="W52"/>
  <c r="AI46"/>
  <c r="I46" s="1"/>
  <c r="AI48"/>
  <c r="I48" s="1"/>
  <c r="AI12"/>
  <c r="AI9"/>
  <c r="AI26"/>
  <c r="H26" s="1"/>
  <c r="V98"/>
  <c r="AI25"/>
  <c r="H25" s="1"/>
  <c r="W27"/>
  <c r="W28" s="1"/>
  <c r="S21"/>
  <c r="V11"/>
  <c r="V17" s="1"/>
  <c r="AI13"/>
  <c r="G13" s="1"/>
  <c r="AI54"/>
  <c r="I54" s="1"/>
  <c r="AI53"/>
  <c r="AI51"/>
  <c r="I51" s="1"/>
  <c r="AI50"/>
  <c r="I50" s="1"/>
  <c r="AI47"/>
  <c r="I47" s="1"/>
  <c r="W39"/>
  <c r="V39"/>
  <c r="AB52"/>
  <c r="AB55" s="1"/>
  <c r="AB56" s="1"/>
  <c r="AB74" s="1"/>
  <c r="AB148" s="1"/>
  <c r="AI10"/>
  <c r="G10" s="1"/>
  <c r="AI44"/>
  <c r="F23" i="48"/>
  <c r="K23" s="1"/>
  <c r="K57" s="1"/>
  <c r="I86" i="67"/>
  <c r="I87" s="1"/>
  <c r="S87"/>
  <c r="S130" s="1"/>
  <c r="AE55"/>
  <c r="AE56" s="1"/>
  <c r="AE74" s="1"/>
  <c r="AI126"/>
  <c r="AE127"/>
  <c r="AE128" s="1"/>
  <c r="AI31"/>
  <c r="BF31" s="1"/>
  <c r="BF39" s="1"/>
  <c r="U11"/>
  <c r="AI42"/>
  <c r="I42" s="1"/>
  <c r="I43" s="1"/>
  <c r="AI20"/>
  <c r="H20" s="1"/>
  <c r="Z143"/>
  <c r="Z145" s="1"/>
  <c r="U39"/>
  <c r="U55" s="1"/>
  <c r="U56" s="1"/>
  <c r="V52"/>
  <c r="AI19"/>
  <c r="H19" s="1"/>
  <c r="BB85"/>
  <c r="AE89"/>
  <c r="AI22"/>
  <c r="H22" s="1"/>
  <c r="S27"/>
  <c r="S28" s="1"/>
  <c r="S11"/>
  <c r="S17" s="1"/>
  <c r="AI32"/>
  <c r="I32" s="1"/>
  <c r="S39"/>
  <c r="V65"/>
  <c r="V66" s="1"/>
  <c r="AI96"/>
  <c r="BG96" s="1"/>
  <c r="BG97" s="1"/>
  <c r="AI93"/>
  <c r="BG93" s="1"/>
  <c r="BG94" s="1"/>
  <c r="AU55"/>
  <c r="AU56" s="1"/>
  <c r="AU74" s="1"/>
  <c r="AU148" s="1"/>
  <c r="BD53"/>
  <c r="I53" s="1"/>
  <c r="BC52"/>
  <c r="BC55" s="1"/>
  <c r="BC56" s="1"/>
  <c r="BD44"/>
  <c r="I44" s="1"/>
  <c r="BB84"/>
  <c r="BB86" s="1"/>
  <c r="BB87" s="1"/>
  <c r="BB130" s="1"/>
  <c r="AE86"/>
  <c r="AE87" s="1"/>
  <c r="AI49"/>
  <c r="BF49" s="1"/>
  <c r="BF52" s="1"/>
  <c r="S52"/>
  <c r="AI92"/>
  <c r="BF92" s="1"/>
  <c r="BF94" s="1"/>
  <c r="BF98" s="1"/>
  <c r="Y94"/>
  <c r="Y98" s="1"/>
  <c r="Y130" s="1"/>
  <c r="BC14"/>
  <c r="BC16" s="1"/>
  <c r="BC17" s="1"/>
  <c r="BC74" s="1"/>
  <c r="BD12"/>
  <c r="G12" s="1"/>
  <c r="G14" s="1"/>
  <c r="G16" s="1"/>
  <c r="BC127"/>
  <c r="BC128" s="1"/>
  <c r="BC130" s="1"/>
  <c r="BD126"/>
  <c r="F26" i="93"/>
  <c r="F24" i="59"/>
  <c r="T9" i="74"/>
  <c r="H32" i="59"/>
  <c r="I15"/>
  <c r="BO54" i="74"/>
  <c r="F66" i="59"/>
  <c r="O69"/>
  <c r="AI9" i="77"/>
  <c r="J32" i="59"/>
  <c r="L97"/>
  <c r="BQ9" i="73"/>
  <c r="AI9" i="78"/>
  <c r="K15" i="59"/>
  <c r="V9" i="74"/>
  <c r="W9"/>
  <c r="BO9" i="73"/>
  <c r="AB9" i="74"/>
  <c r="G9" i="73"/>
  <c r="U9" i="74"/>
  <c r="BC9"/>
  <c r="H16" i="47"/>
  <c r="BP9" i="73"/>
  <c r="S9"/>
  <c r="M421" i="36" l="1"/>
  <c r="M422"/>
  <c r="M429"/>
  <c r="M423"/>
  <c r="M425"/>
  <c r="M424"/>
  <c r="BF11" i="73"/>
  <c r="J176" i="59"/>
  <c r="H176"/>
  <c r="F169"/>
  <c r="U11" i="74"/>
  <c r="U15" s="1"/>
  <c r="M427" i="36"/>
  <c r="M428"/>
  <c r="M420"/>
  <c r="M419"/>
  <c r="M417"/>
  <c r="M418"/>
  <c r="AB11" i="74"/>
  <c r="AB15" s="1"/>
  <c r="BC11"/>
  <c r="BC15" s="1"/>
  <c r="BF9"/>
  <c r="K584" i="36"/>
  <c r="K443"/>
  <c r="V11" i="74"/>
  <c r="V15" s="1"/>
  <c r="T11"/>
  <c r="T15" s="1"/>
  <c r="T40" s="1"/>
  <c r="Q9" i="73"/>
  <c r="G11"/>
  <c r="G15" s="1"/>
  <c r="W11" i="74"/>
  <c r="W15" s="1"/>
  <c r="H21" i="67"/>
  <c r="BL15" i="70"/>
  <c r="K352" i="43"/>
  <c r="L352"/>
  <c r="M352"/>
  <c r="N352"/>
  <c r="O352"/>
  <c r="G352"/>
  <c r="H352"/>
  <c r="I352"/>
  <c r="J352"/>
  <c r="F351"/>
  <c r="O351" s="1"/>
  <c r="F353"/>
  <c r="N412" i="36"/>
  <c r="N417" s="1" a="1"/>
  <c r="N426" s="1"/>
  <c r="AI11" i="77"/>
  <c r="AI15" s="1"/>
  <c r="AI40" s="1"/>
  <c r="AI109" s="1"/>
  <c r="BQ11" i="73"/>
  <c r="BQ15" s="1"/>
  <c r="H147" i="47"/>
  <c r="BP11" i="73"/>
  <c r="BP15" s="1"/>
  <c r="AI11" i="78"/>
  <c r="AI15" s="1"/>
  <c r="AI40" s="1"/>
  <c r="AI109" s="1"/>
  <c r="BO11" i="73"/>
  <c r="BO15" s="1"/>
  <c r="DH15" s="1"/>
  <c r="S11"/>
  <c r="AK9"/>
  <c r="BL9" s="1"/>
  <c r="AK15" i="71"/>
  <c r="BL15" s="1"/>
  <c r="O509" i="36" a="1"/>
  <c r="O509" s="1"/>
  <c r="O505" a="1"/>
  <c r="O505" s="1"/>
  <c r="O510" a="1"/>
  <c r="O510" s="1"/>
  <c r="O506" a="1"/>
  <c r="O506" s="1"/>
  <c r="O511" a="1"/>
  <c r="O511" s="1"/>
  <c r="O507" a="1"/>
  <c r="O507" s="1"/>
  <c r="O512" a="1"/>
  <c r="O512" s="1"/>
  <c r="O508" a="1"/>
  <c r="O508" s="1"/>
  <c r="O500"/>
  <c r="O504" a="1"/>
  <c r="O504" s="1"/>
  <c r="BC40" i="73"/>
  <c r="BF15"/>
  <c r="L430" i="36"/>
  <c r="L439" a="1"/>
  <c r="L439" s="1"/>
  <c r="L558" s="1"/>
  <c r="L581" s="1"/>
  <c r="L442" a="1"/>
  <c r="L442" s="1"/>
  <c r="L561" s="1"/>
  <c r="L438" a="1"/>
  <c r="L438" s="1"/>
  <c r="L557" s="1"/>
  <c r="L580" s="1"/>
  <c r="L434" a="1"/>
  <c r="L434" s="1"/>
  <c r="L435" a="1"/>
  <c r="L435" s="1"/>
  <c r="L554" s="1"/>
  <c r="L577" s="1"/>
  <c r="L436" a="1"/>
  <c r="L436" s="1"/>
  <c r="L555" s="1"/>
  <c r="L578" s="1"/>
  <c r="L437" a="1"/>
  <c r="L437" s="1"/>
  <c r="L556" s="1"/>
  <c r="L579" s="1"/>
  <c r="L441" a="1"/>
  <c r="L441" s="1"/>
  <c r="L560" s="1"/>
  <c r="L584" s="1"/>
  <c r="L440" a="1"/>
  <c r="L440" s="1"/>
  <c r="L559" s="1"/>
  <c r="L583" s="1"/>
  <c r="K576"/>
  <c r="K565" a="1"/>
  <c r="K565" s="1"/>
  <c r="K594" s="1"/>
  <c r="K562"/>
  <c r="K566" a="1"/>
  <c r="K566" s="1"/>
  <c r="K595" s="1"/>
  <c r="K567" a="1"/>
  <c r="K567" s="1"/>
  <c r="K596" s="1"/>
  <c r="S15" i="72"/>
  <c r="AK11"/>
  <c r="BL11" s="1"/>
  <c r="G155" i="47"/>
  <c r="G158" s="1"/>
  <c r="G177" s="1"/>
  <c r="G150"/>
  <c r="G165" s="1"/>
  <c r="M513" i="36"/>
  <c r="O412"/>
  <c r="O417" s="1" a="1"/>
  <c r="DH15" i="72"/>
  <c r="N425" i="36"/>
  <c r="M434" a="1"/>
  <c r="M434" s="1"/>
  <c r="M442" a="1"/>
  <c r="M442" s="1"/>
  <c r="M561" s="1"/>
  <c r="BC109" i="72"/>
  <c r="BF40"/>
  <c r="N509" i="36" a="1"/>
  <c r="N509" s="1"/>
  <c r="N512" a="1"/>
  <c r="N512" s="1"/>
  <c r="N507" a="1"/>
  <c r="N507" s="1"/>
  <c r="N506" a="1"/>
  <c r="N506" s="1"/>
  <c r="N505" a="1"/>
  <c r="N505" s="1"/>
  <c r="N508" a="1"/>
  <c r="N508" s="1"/>
  <c r="N500"/>
  <c r="N511" a="1"/>
  <c r="N511" s="1"/>
  <c r="N510" a="1"/>
  <c r="N510" s="1"/>
  <c r="N504" a="1"/>
  <c r="N504" s="1"/>
  <c r="J597"/>
  <c r="J585"/>
  <c r="F155" i="47"/>
  <c r="F158" s="1"/>
  <c r="F177" s="1"/>
  <c r="F150"/>
  <c r="F165" s="1"/>
  <c r="Q11" i="73"/>
  <c r="K121" i="41"/>
  <c r="K144" s="1"/>
  <c r="K122"/>
  <c r="K145" s="1"/>
  <c r="G9" i="67"/>
  <c r="G11" s="1"/>
  <c r="G17" s="1"/>
  <c r="G74" s="1"/>
  <c r="S55"/>
  <c r="S56" s="1"/>
  <c r="S74" s="1"/>
  <c r="S148" s="1"/>
  <c r="I52"/>
  <c r="I39"/>
  <c r="U17"/>
  <c r="H27"/>
  <c r="K75" i="48"/>
  <c r="W55" i="67"/>
  <c r="W56" s="1"/>
  <c r="W74" s="1"/>
  <c r="W148" s="1"/>
  <c r="U74"/>
  <c r="BG98"/>
  <c r="V55"/>
  <c r="V56" s="1"/>
  <c r="V74" s="1"/>
  <c r="BF126"/>
  <c r="BF127" s="1"/>
  <c r="BF128" s="1"/>
  <c r="BF55"/>
  <c r="BF56" s="1"/>
  <c r="BF74" s="1"/>
  <c r="V89"/>
  <c r="V90" s="1"/>
  <c r="V130" s="1"/>
  <c r="AE90"/>
  <c r="AE130" s="1"/>
  <c r="AE148" s="1"/>
  <c r="H28"/>
  <c r="H74" s="1"/>
  <c r="BD130"/>
  <c r="BC148"/>
  <c r="F37" i="93"/>
  <c r="F35"/>
  <c r="H26"/>
  <c r="L26"/>
  <c r="G26"/>
  <c r="K26"/>
  <c r="O26"/>
  <c r="J26"/>
  <c r="N26"/>
  <c r="I26"/>
  <c r="M26"/>
  <c r="K65" i="48"/>
  <c r="K95" s="1"/>
  <c r="K123" i="41"/>
  <c r="K146" s="1"/>
  <c r="K66" i="48"/>
  <c r="K96" s="1"/>
  <c r="F55"/>
  <c r="K62" s="1"/>
  <c r="K92" s="1"/>
  <c r="F49"/>
  <c r="K61" s="1"/>
  <c r="K93" s="1"/>
  <c r="X47" i="4"/>
  <c r="F18" i="48" s="1"/>
  <c r="AC118" i="4"/>
  <c r="AF118"/>
  <c r="AH118" s="1"/>
  <c r="AW118" s="1"/>
  <c r="F26" i="30"/>
  <c r="BC9" i="75"/>
  <c r="BQ25" i="74"/>
  <c r="V9" i="75"/>
  <c r="S9" i="74"/>
  <c r="I16" i="47"/>
  <c r="U9" i="75"/>
  <c r="BP9" i="74"/>
  <c r="BH45" i="29"/>
  <c r="BO9" i="74"/>
  <c r="M97" i="59"/>
  <c r="T9" i="75"/>
  <c r="BQ54" i="74"/>
  <c r="G9"/>
  <c r="F63" i="59"/>
  <c r="Q69"/>
  <c r="AB9" i="75"/>
  <c r="BP54" i="74"/>
  <c r="BQ9"/>
  <c r="P69" i="59"/>
  <c r="W9" i="75"/>
  <c r="BP25" i="74"/>
  <c r="K32" i="59"/>
  <c r="BT54" i="74"/>
  <c r="F33" i="59"/>
  <c r="G9" i="75"/>
  <c r="BS54" i="74"/>
  <c r="S54"/>
  <c r="F67" i="59"/>
  <c r="F80"/>
  <c r="S45" i="29"/>
  <c r="BO25" i="74"/>
  <c r="M439" i="36" l="1" a="1"/>
  <c r="M439" s="1"/>
  <c r="M558" s="1"/>
  <c r="M581" s="1"/>
  <c r="M441" a="1"/>
  <c r="M441" s="1"/>
  <c r="M560" s="1"/>
  <c r="M584" s="1"/>
  <c r="M436" a="1"/>
  <c r="M436" s="1"/>
  <c r="M555" s="1"/>
  <c r="M578" s="1"/>
  <c r="N420"/>
  <c r="BF11" i="74"/>
  <c r="M430" i="36"/>
  <c r="M440" a="1"/>
  <c r="M440" s="1"/>
  <c r="M559" s="1"/>
  <c r="M583" s="1"/>
  <c r="M437" a="1"/>
  <c r="M437" s="1"/>
  <c r="M556" s="1"/>
  <c r="M579" s="1"/>
  <c r="M435" a="1"/>
  <c r="M435" s="1"/>
  <c r="M554" s="1"/>
  <c r="M577" s="1"/>
  <c r="M438" a="1"/>
  <c r="M438" s="1"/>
  <c r="M557" s="1"/>
  <c r="M580" s="1"/>
  <c r="N421"/>
  <c r="K176" i="59"/>
  <c r="G11" i="74"/>
  <c r="G15" s="1"/>
  <c r="Q9"/>
  <c r="N422" i="36"/>
  <c r="N428"/>
  <c r="N424"/>
  <c r="F355" i="43"/>
  <c r="F356" s="1" a="1"/>
  <c r="K351"/>
  <c r="J351"/>
  <c r="G351"/>
  <c r="I351"/>
  <c r="O353"/>
  <c r="O355" s="1"/>
  <c r="O393" s="1"/>
  <c r="H353"/>
  <c r="J353"/>
  <c r="L353"/>
  <c r="N353"/>
  <c r="I353"/>
  <c r="G353"/>
  <c r="M353"/>
  <c r="K353"/>
  <c r="K355" s="1"/>
  <c r="K393" s="1"/>
  <c r="H351"/>
  <c r="H355" s="1"/>
  <c r="N351"/>
  <c r="N355" s="1"/>
  <c r="M351"/>
  <c r="M355" s="1"/>
  <c r="L351"/>
  <c r="I355"/>
  <c r="N427" i="36"/>
  <c r="N418"/>
  <c r="N429"/>
  <c r="N423"/>
  <c r="N419"/>
  <c r="N417"/>
  <c r="N513"/>
  <c r="O513"/>
  <c r="BP11" i="74"/>
  <c r="BP15" s="1"/>
  <c r="BO11"/>
  <c r="BO15" s="1"/>
  <c r="BC11" i="75"/>
  <c r="BF9"/>
  <c r="V11"/>
  <c r="V15" s="1"/>
  <c r="T11"/>
  <c r="T15" s="1"/>
  <c r="T40" s="1"/>
  <c r="W11"/>
  <c r="W15" s="1"/>
  <c r="AB11"/>
  <c r="AB15" s="1"/>
  <c r="I147" i="47"/>
  <c r="G11" i="75"/>
  <c r="Q9"/>
  <c r="U11"/>
  <c r="U15" s="1"/>
  <c r="BQ11" i="74"/>
  <c r="BQ15" s="1"/>
  <c r="S11"/>
  <c r="AK9"/>
  <c r="M553" i="36"/>
  <c r="AK15" i="72"/>
  <c r="BL15" s="1"/>
  <c r="BC40" i="74"/>
  <c r="BF15"/>
  <c r="S15" i="73"/>
  <c r="AK11"/>
  <c r="BL11" s="1"/>
  <c r="H150" i="47"/>
  <c r="H165" s="1"/>
  <c r="H155"/>
  <c r="H158" s="1"/>
  <c r="H177" s="1"/>
  <c r="Q15" i="73"/>
  <c r="G40"/>
  <c r="G109" s="1"/>
  <c r="O428" i="36"/>
  <c r="O417"/>
  <c r="O429"/>
  <c r="O421"/>
  <c r="O418"/>
  <c r="O425"/>
  <c r="O419"/>
  <c r="O420"/>
  <c r="O423"/>
  <c r="O424"/>
  <c r="O426"/>
  <c r="O422"/>
  <c r="O427"/>
  <c r="K597"/>
  <c r="K585"/>
  <c r="L553"/>
  <c r="L443"/>
  <c r="BC109" i="73"/>
  <c r="BF40"/>
  <c r="I55" i="67"/>
  <c r="I56" s="1"/>
  <c r="I74" s="1"/>
  <c r="V148"/>
  <c r="F50" i="48"/>
  <c r="F57"/>
  <c r="AY118" i="4"/>
  <c r="AY116" s="1"/>
  <c r="S46" i="29"/>
  <c r="AK45"/>
  <c r="BJ45"/>
  <c r="BH46"/>
  <c r="BJ46" s="1"/>
  <c r="M37" i="93"/>
  <c r="M35"/>
  <c r="N37"/>
  <c r="N35"/>
  <c r="O37"/>
  <c r="O35"/>
  <c r="G37"/>
  <c r="G35"/>
  <c r="H37"/>
  <c r="H35"/>
  <c r="I37"/>
  <c r="I35"/>
  <c r="J37"/>
  <c r="J35"/>
  <c r="K37"/>
  <c r="K35"/>
  <c r="L37"/>
  <c r="L35"/>
  <c r="F38"/>
  <c r="K18" i="48"/>
  <c r="K52" s="1"/>
  <c r="K77" s="1"/>
  <c r="F52"/>
  <c r="F58"/>
  <c r="AF116" i="4"/>
  <c r="AH116" s="1"/>
  <c r="BT55" i="74"/>
  <c r="BT84" s="1"/>
  <c r="BS55"/>
  <c r="BS84" s="1"/>
  <c r="BS109" s="1"/>
  <c r="V9" i="76"/>
  <c r="N97" i="59"/>
  <c r="BH45" i="78"/>
  <c r="BH45" i="74"/>
  <c r="W54"/>
  <c r="S45" i="72"/>
  <c r="J16" i="47"/>
  <c r="G9" i="76"/>
  <c r="T9"/>
  <c r="BH45" i="73"/>
  <c r="BH45" i="75"/>
  <c r="O97" i="59"/>
  <c r="S45" i="78"/>
  <c r="BH45" i="72"/>
  <c r="S45" i="70"/>
  <c r="BC9" i="76"/>
  <c r="BH45"/>
  <c r="L15" i="59"/>
  <c r="S45" i="71"/>
  <c r="W9" i="76"/>
  <c r="BH45" i="77"/>
  <c r="S45" i="76"/>
  <c r="S45" i="73"/>
  <c r="AB9" i="76"/>
  <c r="U9"/>
  <c r="S45" i="77"/>
  <c r="S45" i="74"/>
  <c r="BH45" i="70"/>
  <c r="F62" i="59"/>
  <c r="L32"/>
  <c r="BH45" i="71"/>
  <c r="S45" i="75"/>
  <c r="AB11" i="76" l="1"/>
  <c r="AB15" s="1"/>
  <c r="M443" i="36"/>
  <c r="G11" i="76"/>
  <c r="Q9"/>
  <c r="U11"/>
  <c r="U15" s="1"/>
  <c r="T11"/>
  <c r="T15" s="1"/>
  <c r="T40" s="1"/>
  <c r="BC11"/>
  <c r="BF9"/>
  <c r="W11"/>
  <c r="W15" s="1"/>
  <c r="V11"/>
  <c r="V15" s="1"/>
  <c r="L176" i="59"/>
  <c r="Q11" i="74"/>
  <c r="F359" i="43"/>
  <c r="F392" s="1"/>
  <c r="F356"/>
  <c r="BL9" i="74"/>
  <c r="F358" i="43"/>
  <c r="F391" s="1"/>
  <c r="F393"/>
  <c r="F357"/>
  <c r="F390" s="1"/>
  <c r="I356" a="1"/>
  <c r="I358" s="1"/>
  <c r="I391" s="1"/>
  <c r="I393"/>
  <c r="M356" a="1"/>
  <c r="M358" s="1"/>
  <c r="M393"/>
  <c r="H356" a="1"/>
  <c r="H358" s="1"/>
  <c r="H391" s="1"/>
  <c r="H393"/>
  <c r="N356" a="1"/>
  <c r="N356" s="1"/>
  <c r="N393"/>
  <c r="M356"/>
  <c r="M389" s="1"/>
  <c r="M357"/>
  <c r="M390" s="1"/>
  <c r="J355"/>
  <c r="J393" s="1"/>
  <c r="G355"/>
  <c r="I356"/>
  <c r="I389" s="1"/>
  <c r="N436" i="36" a="1"/>
  <c r="N436" s="1"/>
  <c r="N555" s="1"/>
  <c r="N578" s="1"/>
  <c r="K356" i="43" a="1"/>
  <c r="K357"/>
  <c r="K390" s="1"/>
  <c r="K358"/>
  <c r="K391" s="1"/>
  <c r="J356" a="1"/>
  <c r="N359"/>
  <c r="N392" s="1"/>
  <c r="N357"/>
  <c r="N390" s="1"/>
  <c r="I359"/>
  <c r="I392" s="1"/>
  <c r="I357"/>
  <c r="I390" s="1"/>
  <c r="N441" i="36" a="1"/>
  <c r="N441" s="1"/>
  <c r="K356" i="43"/>
  <c r="K389" s="1"/>
  <c r="K359"/>
  <c r="K392" s="1"/>
  <c r="L355"/>
  <c r="L393" s="1"/>
  <c r="O356" a="1"/>
  <c r="N442" i="36" a="1"/>
  <c r="N442" s="1"/>
  <c r="F366" i="43" a="1"/>
  <c r="F364" a="1"/>
  <c r="F365" a="1"/>
  <c r="K366" a="1"/>
  <c r="K364" a="1"/>
  <c r="K365" a="1"/>
  <c r="N440" i="36" a="1"/>
  <c r="N440" s="1"/>
  <c r="N559" s="1"/>
  <c r="N583" s="1"/>
  <c r="N437" a="1"/>
  <c r="N437" s="1"/>
  <c r="N556" s="1"/>
  <c r="N579" s="1"/>
  <c r="N439" a="1"/>
  <c r="N439" s="1"/>
  <c r="N558" s="1"/>
  <c r="N581" s="1"/>
  <c r="N435" a="1"/>
  <c r="N435" s="1"/>
  <c r="N554" s="1"/>
  <c r="N577" s="1"/>
  <c r="N438" a="1"/>
  <c r="N438" s="1"/>
  <c r="N557" s="1"/>
  <c r="N580" s="1"/>
  <c r="N434" a="1"/>
  <c r="N434" s="1"/>
  <c r="N553" s="1"/>
  <c r="N576" s="1"/>
  <c r="N430"/>
  <c r="M400" i="43"/>
  <c r="N400"/>
  <c r="I400"/>
  <c r="H400"/>
  <c r="F389"/>
  <c r="F400" s="1"/>
  <c r="F365"/>
  <c r="F409" s="1"/>
  <c r="F366"/>
  <c r="F410" s="1"/>
  <c r="F364"/>
  <c r="F408" s="1"/>
  <c r="K400"/>
  <c r="K365"/>
  <c r="K409" s="1"/>
  <c r="K364"/>
  <c r="K408" s="1"/>
  <c r="K366"/>
  <c r="K410" s="1"/>
  <c r="J147" i="47"/>
  <c r="AK15" i="73"/>
  <c r="BL15" s="1"/>
  <c r="BC109" i="74"/>
  <c r="BF40"/>
  <c r="BC15" i="76"/>
  <c r="BF11"/>
  <c r="I150" i="47"/>
  <c r="I165" s="1"/>
  <c r="I155"/>
  <c r="I158" s="1"/>
  <c r="I177" s="1"/>
  <c r="BC15" i="75"/>
  <c r="BF11"/>
  <c r="G15" i="76"/>
  <c r="Q11"/>
  <c r="DH15" i="74"/>
  <c r="Q15"/>
  <c r="G40"/>
  <c r="G109" s="1"/>
  <c r="L576" i="36"/>
  <c r="L565" a="1"/>
  <c r="L565" s="1"/>
  <c r="L594" s="1"/>
  <c r="L562"/>
  <c r="L566" a="1"/>
  <c r="L566" s="1"/>
  <c r="L595" s="1"/>
  <c r="L567" a="1"/>
  <c r="L567" s="1"/>
  <c r="L596" s="1"/>
  <c r="O439" a="1"/>
  <c r="O439" s="1"/>
  <c r="O558" s="1"/>
  <c r="O581" s="1"/>
  <c r="O430"/>
  <c r="O438" a="1"/>
  <c r="O438" s="1"/>
  <c r="O557" s="1"/>
  <c r="O580" s="1"/>
  <c r="O434" a="1"/>
  <c r="O434" s="1"/>
  <c r="O435" a="1"/>
  <c r="O435" s="1"/>
  <c r="O554" s="1"/>
  <c r="O577" s="1"/>
  <c r="O436" a="1"/>
  <c r="O436" s="1"/>
  <c r="O555" s="1"/>
  <c r="O578" s="1"/>
  <c r="O437" a="1"/>
  <c r="O437" s="1"/>
  <c r="O556" s="1"/>
  <c r="O579" s="1"/>
  <c r="O442" a="1"/>
  <c r="O442" s="1"/>
  <c r="O561" s="1"/>
  <c r="O441" a="1"/>
  <c r="O441" s="1"/>
  <c r="O560" s="1"/>
  <c r="O440" a="1"/>
  <c r="O440" s="1"/>
  <c r="O559" s="1"/>
  <c r="O583" s="1"/>
  <c r="M576"/>
  <c r="M565" a="1"/>
  <c r="M565" s="1"/>
  <c r="M594" s="1"/>
  <c r="M562"/>
  <c r="M566" a="1"/>
  <c r="M566" s="1"/>
  <c r="M595" s="1"/>
  <c r="M567" a="1"/>
  <c r="M567" s="1"/>
  <c r="M596" s="1"/>
  <c r="S15" i="74"/>
  <c r="AK11"/>
  <c r="BL11" s="1"/>
  <c r="G15" i="75"/>
  <c r="Q11"/>
  <c r="L38" i="93"/>
  <c r="J38"/>
  <c r="H38"/>
  <c r="F75" i="48"/>
  <c r="F77"/>
  <c r="F27" i="46"/>
  <c r="S46" i="74"/>
  <c r="AK45"/>
  <c r="S46" i="73"/>
  <c r="AK45"/>
  <c r="S46" i="72"/>
  <c r="AK45"/>
  <c r="S46" i="71"/>
  <c r="AK45"/>
  <c r="S46" i="70"/>
  <c r="AK45"/>
  <c r="S46" i="78"/>
  <c r="AK45"/>
  <c r="S46" i="77"/>
  <c r="AK45"/>
  <c r="AK45" i="76"/>
  <c r="S46"/>
  <c r="BJ45" i="75"/>
  <c r="BH46"/>
  <c r="BJ46" s="1"/>
  <c r="BH46" i="74"/>
  <c r="BJ46" s="1"/>
  <c r="BJ45"/>
  <c r="BH46" i="73"/>
  <c r="BJ46" s="1"/>
  <c r="BJ45"/>
  <c r="BJ45" i="72"/>
  <c r="BH46"/>
  <c r="BJ46" s="1"/>
  <c r="BJ45" i="71"/>
  <c r="BH46"/>
  <c r="BJ46" s="1"/>
  <c r="BH46" i="70"/>
  <c r="BJ46" s="1"/>
  <c r="BJ45"/>
  <c r="BJ45" i="78"/>
  <c r="BH46"/>
  <c r="BJ46" s="1"/>
  <c r="BJ45" i="77"/>
  <c r="BH46"/>
  <c r="BJ46" s="1"/>
  <c r="BH46" i="76"/>
  <c r="BJ46" s="1"/>
  <c r="BJ45"/>
  <c r="S46" i="75"/>
  <c r="AK45"/>
  <c r="AK46" i="29"/>
  <c r="BL46" s="1"/>
  <c r="T90"/>
  <c r="N38" i="93"/>
  <c r="G38"/>
  <c r="K38"/>
  <c r="O38"/>
  <c r="I38"/>
  <c r="M38"/>
  <c r="M15" i="59"/>
  <c r="BQ9" i="76"/>
  <c r="V9" i="78"/>
  <c r="I50" i="76"/>
  <c r="BC9" i="77"/>
  <c r="I50" i="72"/>
  <c r="S50" i="76"/>
  <c r="T9" i="78"/>
  <c r="BO50" i="29"/>
  <c r="BC9" i="78"/>
  <c r="U50" i="76"/>
  <c r="BP9" i="75"/>
  <c r="U50" i="77"/>
  <c r="W50" i="74"/>
  <c r="W50" i="77"/>
  <c r="AB9" i="78"/>
  <c r="BQ9" i="75"/>
  <c r="W50" i="29"/>
  <c r="V50" i="71"/>
  <c r="S50" i="74"/>
  <c r="BP50" i="29"/>
  <c r="W9" i="77"/>
  <c r="BP9" i="76"/>
  <c r="W9" i="78"/>
  <c r="T9" i="77"/>
  <c r="U50" i="74"/>
  <c r="W54" i="29"/>
  <c r="BP50" i="74"/>
  <c r="U50" i="72"/>
  <c r="W50"/>
  <c r="I50" i="29"/>
  <c r="I50" i="74"/>
  <c r="BQ50" i="29"/>
  <c r="S9" i="75"/>
  <c r="V9" i="77"/>
  <c r="V50" i="72"/>
  <c r="AB9" i="77"/>
  <c r="V50" i="29"/>
  <c r="S50" i="72"/>
  <c r="K16" i="47"/>
  <c r="S9" i="77"/>
  <c r="S54" i="29"/>
  <c r="V50" i="74"/>
  <c r="I50" i="77"/>
  <c r="BO9" i="75"/>
  <c r="U9" i="77"/>
  <c r="U50" i="29"/>
  <c r="I50" i="78"/>
  <c r="BO9" i="76"/>
  <c r="I50" i="73"/>
  <c r="M32" i="59"/>
  <c r="S9" i="76"/>
  <c r="BQ50" i="74"/>
  <c r="I50" i="71"/>
  <c r="S50" i="29"/>
  <c r="BO50" i="74"/>
  <c r="U9" i="78"/>
  <c r="J358" i="43" l="1"/>
  <c r="J391" s="1"/>
  <c r="I364" a="1"/>
  <c r="I364" s="1"/>
  <c r="I408" s="1"/>
  <c r="I366" a="1"/>
  <c r="I366" s="1"/>
  <c r="I410" s="1"/>
  <c r="M176" i="59"/>
  <c r="H359" i="43"/>
  <c r="H392" s="1"/>
  <c r="M359"/>
  <c r="M392" s="1"/>
  <c r="N389"/>
  <c r="M391"/>
  <c r="N358"/>
  <c r="N391" s="1"/>
  <c r="H357"/>
  <c r="H390" s="1"/>
  <c r="H356"/>
  <c r="I365" a="1"/>
  <c r="I365" s="1"/>
  <c r="I409" s="1"/>
  <c r="N364" a="1"/>
  <c r="N364" s="1"/>
  <c r="N408" s="1"/>
  <c r="M365" a="1"/>
  <c r="M365" s="1"/>
  <c r="M409" s="1"/>
  <c r="U51" i="29"/>
  <c r="V51"/>
  <c r="I51"/>
  <c r="Q51" s="1"/>
  <c r="Q50"/>
  <c r="N443" i="36"/>
  <c r="V51" i="72"/>
  <c r="I51" i="71"/>
  <c r="Q51" s="1"/>
  <c r="Q50"/>
  <c r="G356" i="43" a="1"/>
  <c r="G358" s="1"/>
  <c r="G391" s="1"/>
  <c r="G393"/>
  <c r="S51" i="72"/>
  <c r="U51" i="77"/>
  <c r="BP51" i="74"/>
  <c r="U51" i="76"/>
  <c r="S51" i="29"/>
  <c r="BO51"/>
  <c r="BQ51" i="74"/>
  <c r="BO51"/>
  <c r="BP51" i="29"/>
  <c r="I51" i="74"/>
  <c r="Q51" s="1"/>
  <c r="S51"/>
  <c r="I51" i="77"/>
  <c r="Q51" s="1"/>
  <c r="U51" i="74"/>
  <c r="BQ51" i="29"/>
  <c r="S51" i="76"/>
  <c r="U51" i="72"/>
  <c r="I51" i="76"/>
  <c r="Q51" s="1"/>
  <c r="I51" i="72"/>
  <c r="Q51" s="1"/>
  <c r="V51" i="74"/>
  <c r="I51" i="73"/>
  <c r="Q51" s="1"/>
  <c r="I51" i="78"/>
  <c r="Q51" s="1"/>
  <c r="V51" i="71"/>
  <c r="J356" i="43"/>
  <c r="J389" s="1"/>
  <c r="Q50" i="76"/>
  <c r="J357" i="43"/>
  <c r="J390" s="1"/>
  <c r="J359"/>
  <c r="J392" s="1"/>
  <c r="Q50" i="77"/>
  <c r="U11"/>
  <c r="U15" s="1"/>
  <c r="Q50" i="73"/>
  <c r="Q50" i="72"/>
  <c r="Q50" i="74"/>
  <c r="L356" i="43" a="1"/>
  <c r="L359" s="1"/>
  <c r="L392" s="1"/>
  <c r="Q50" i="78"/>
  <c r="O357" i="43"/>
  <c r="O390" s="1"/>
  <c r="O359"/>
  <c r="O392" s="1"/>
  <c r="O356"/>
  <c r="O389" s="1"/>
  <c r="O358"/>
  <c r="O391" s="1"/>
  <c r="AB11" i="77"/>
  <c r="AB15" s="1"/>
  <c r="BC11"/>
  <c r="BF11" s="1"/>
  <c r="BF9"/>
  <c r="V11"/>
  <c r="V15" s="1"/>
  <c r="F414" i="43"/>
  <c r="I414"/>
  <c r="N414"/>
  <c r="M414"/>
  <c r="T11" i="77"/>
  <c r="T15" s="1"/>
  <c r="T40" s="1"/>
  <c r="T90" s="1"/>
  <c r="K414" i="43"/>
  <c r="H414"/>
  <c r="W11" i="77"/>
  <c r="W15" s="1"/>
  <c r="DH50" i="74"/>
  <c r="AK50"/>
  <c r="AK50" i="29"/>
  <c r="BL50" s="1"/>
  <c r="AK50" i="72"/>
  <c r="DH50" i="29"/>
  <c r="O584" i="36"/>
  <c r="S11" i="77"/>
  <c r="AK9"/>
  <c r="V11" i="78"/>
  <c r="V15" s="1"/>
  <c r="T11"/>
  <c r="T15" s="1"/>
  <c r="T40" s="1"/>
  <c r="T90" s="1"/>
  <c r="W11"/>
  <c r="W15" s="1"/>
  <c r="AB11"/>
  <c r="AB15" s="1"/>
  <c r="BP11" i="75"/>
  <c r="BP15" s="1"/>
  <c r="BO11"/>
  <c r="BO15" s="1"/>
  <c r="BQ11" i="76"/>
  <c r="BQ15" s="1"/>
  <c r="S11"/>
  <c r="AK9"/>
  <c r="BL9" s="1"/>
  <c r="BP11"/>
  <c r="BP15" s="1"/>
  <c r="BO11"/>
  <c r="BO15" s="1"/>
  <c r="BC11" i="78"/>
  <c r="BF9"/>
  <c r="U11"/>
  <c r="U15" s="1"/>
  <c r="K147" i="47"/>
  <c r="BQ11" i="75"/>
  <c r="BQ15" s="1"/>
  <c r="S11"/>
  <c r="AK9"/>
  <c r="BL9" s="1"/>
  <c r="M597" i="36"/>
  <c r="M585"/>
  <c r="Q15" i="76"/>
  <c r="G40"/>
  <c r="G109" s="1"/>
  <c r="BC40" i="75"/>
  <c r="BF15"/>
  <c r="BC40" i="76"/>
  <c r="BF15"/>
  <c r="J150" i="47"/>
  <c r="J165" s="1"/>
  <c r="J155"/>
  <c r="J158" s="1"/>
  <c r="J177" s="1"/>
  <c r="Q15" i="75"/>
  <c r="G40"/>
  <c r="G109" s="1"/>
  <c r="AK15" i="74"/>
  <c r="BL15" s="1"/>
  <c r="O553" i="36"/>
  <c r="O443"/>
  <c r="L597"/>
  <c r="L585"/>
  <c r="AK46" i="76"/>
  <c r="BL46" s="1"/>
  <c r="T90"/>
  <c r="AK46" i="75"/>
  <c r="BL46" s="1"/>
  <c r="T90"/>
  <c r="AK46" i="77"/>
  <c r="BL46" s="1"/>
  <c r="AK46" i="78"/>
  <c r="BL46" s="1"/>
  <c r="AK46" i="70"/>
  <c r="BL46" s="1"/>
  <c r="T90"/>
  <c r="AK46" i="71"/>
  <c r="BL46" s="1"/>
  <c r="T90"/>
  <c r="AK46" i="72"/>
  <c r="BL46" s="1"/>
  <c r="T90"/>
  <c r="AK46" i="73"/>
  <c r="BL46" s="1"/>
  <c r="T90"/>
  <c r="AK46" i="74"/>
  <c r="BL46" s="1"/>
  <c r="T90"/>
  <c r="BP50" i="76"/>
  <c r="V50" i="78"/>
  <c r="U50" i="71"/>
  <c r="BO50" i="72"/>
  <c r="S50" i="77"/>
  <c r="U50" i="78"/>
  <c r="I50" i="70"/>
  <c r="V50" i="77"/>
  <c r="BO50"/>
  <c r="Q97" i="59"/>
  <c r="S50" i="73"/>
  <c r="G9" i="78"/>
  <c r="BQ50" i="72"/>
  <c r="N15" i="59"/>
  <c r="V50" i="70"/>
  <c r="W50" i="75"/>
  <c r="W50" i="73"/>
  <c r="V50"/>
  <c r="W50" i="71"/>
  <c r="I50" i="75"/>
  <c r="BP50" i="72"/>
  <c r="U50" i="73"/>
  <c r="W50" i="78"/>
  <c r="O15" i="59"/>
  <c r="W50" i="76"/>
  <c r="V50"/>
  <c r="P97" i="59"/>
  <c r="M366" i="43" l="1" a="1"/>
  <c r="M366" s="1"/>
  <c r="M410" s="1"/>
  <c r="BO51" i="72"/>
  <c r="BQ51"/>
  <c r="M364" i="43" a="1"/>
  <c r="M364" s="1"/>
  <c r="M408" s="1"/>
  <c r="U51" i="71"/>
  <c r="S51" i="77"/>
  <c r="AK50"/>
  <c r="BL50" s="1"/>
  <c r="V51"/>
  <c r="V51" i="76"/>
  <c r="AK50"/>
  <c r="BL50" s="1"/>
  <c r="N366" i="43" a="1"/>
  <c r="N366" s="1"/>
  <c r="N410" s="1"/>
  <c r="H389"/>
  <c r="H364" a="1"/>
  <c r="H364" s="1"/>
  <c r="H408" s="1"/>
  <c r="H366" a="1"/>
  <c r="H366" s="1"/>
  <c r="H410" s="1"/>
  <c r="H365" a="1"/>
  <c r="H365" s="1"/>
  <c r="H409" s="1"/>
  <c r="N365" a="1"/>
  <c r="N365" s="1"/>
  <c r="N409" s="1"/>
  <c r="BP51" i="76"/>
  <c r="BP51" i="72"/>
  <c r="DH50"/>
  <c r="BO51" i="77"/>
  <c r="G356" i="43"/>
  <c r="G389" s="1"/>
  <c r="G357"/>
  <c r="G390" s="1"/>
  <c r="G359"/>
  <c r="G392" s="1"/>
  <c r="L358"/>
  <c r="L391" s="1"/>
  <c r="I51" i="70"/>
  <c r="Q51" s="1"/>
  <c r="V51" i="73"/>
  <c r="U51" i="78"/>
  <c r="I51" i="75"/>
  <c r="Q51" s="1"/>
  <c r="S51" i="73"/>
  <c r="V51" i="70"/>
  <c r="U51" i="73"/>
  <c r="V51" i="78"/>
  <c r="BL50" i="72"/>
  <c r="BC15" i="77"/>
  <c r="BC40" s="1"/>
  <c r="BL50" i="74"/>
  <c r="J400" i="43"/>
  <c r="L357"/>
  <c r="L390" s="1"/>
  <c r="L356"/>
  <c r="L389" s="1"/>
  <c r="AK50" i="73"/>
  <c r="BL50" s="1"/>
  <c r="J364" i="43" a="1"/>
  <c r="J364" s="1"/>
  <c r="J408" s="1"/>
  <c r="J366" a="1"/>
  <c r="J366" s="1"/>
  <c r="J410" s="1"/>
  <c r="J365" a="1"/>
  <c r="J365" s="1"/>
  <c r="J409" s="1"/>
  <c r="Q50" i="70"/>
  <c r="G400" i="43"/>
  <c r="Q50" i="75"/>
  <c r="O365" i="43" a="1"/>
  <c r="O365" s="1"/>
  <c r="O409" s="1"/>
  <c r="O364" a="1"/>
  <c r="O364" s="1"/>
  <c r="O408" s="1"/>
  <c r="O366" a="1"/>
  <c r="O366" s="1"/>
  <c r="O410" s="1"/>
  <c r="G11" i="78"/>
  <c r="Q11" s="1"/>
  <c r="Q9"/>
  <c r="DH15" i="75"/>
  <c r="BC109" i="76"/>
  <c r="BF40"/>
  <c r="BC109" i="75"/>
  <c r="BF40"/>
  <c r="K150" i="47"/>
  <c r="K165" s="1"/>
  <c r="K155"/>
  <c r="K158" s="1"/>
  <c r="K177" s="1"/>
  <c r="O576" i="36"/>
  <c r="O565" a="1"/>
  <c r="O565" s="1"/>
  <c r="O594" s="1"/>
  <c r="O567" a="1"/>
  <c r="O567" s="1"/>
  <c r="O596" s="1"/>
  <c r="O562"/>
  <c r="O566" a="1"/>
  <c r="O566" s="1"/>
  <c r="O595" s="1"/>
  <c r="BC15" i="78"/>
  <c r="BF11"/>
  <c r="S15" i="76"/>
  <c r="AK11"/>
  <c r="BL11" s="1"/>
  <c r="G15" i="78"/>
  <c r="S15" i="77"/>
  <c r="AK11"/>
  <c r="S15" i="75"/>
  <c r="AK11"/>
  <c r="BL11" s="1"/>
  <c r="DH15" i="76"/>
  <c r="BQ50" i="73"/>
  <c r="N32" i="59"/>
  <c r="BP9" i="78"/>
  <c r="S50" i="70"/>
  <c r="U50"/>
  <c r="S9" i="78"/>
  <c r="N16" i="47"/>
  <c r="S50" i="78"/>
  <c r="V50" i="75"/>
  <c r="BP50" i="77"/>
  <c r="BO50" i="78"/>
  <c r="BO9"/>
  <c r="BQ50"/>
  <c r="BP50"/>
  <c r="BO50" i="73"/>
  <c r="BP50"/>
  <c r="BQ50" i="71"/>
  <c r="BQ50" i="76"/>
  <c r="BQ9" i="78"/>
  <c r="M16" i="47"/>
  <c r="L16"/>
  <c r="S50" i="71"/>
  <c r="BQ50" i="77"/>
  <c r="U50" i="75"/>
  <c r="BO50" i="71"/>
  <c r="BO50" i="76"/>
  <c r="O32" i="59"/>
  <c r="W50" i="70"/>
  <c r="S50" i="75"/>
  <c r="BP50" i="71"/>
  <c r="BQ51" i="76" l="1"/>
  <c r="O176" i="59"/>
  <c r="N176"/>
  <c r="DH50" i="76"/>
  <c r="BO51"/>
  <c r="BP51" i="77"/>
  <c r="DH50"/>
  <c r="BQ51" i="71"/>
  <c r="AK50"/>
  <c r="BL50" s="1"/>
  <c r="S51"/>
  <c r="BP51"/>
  <c r="BO51"/>
  <c r="DH50"/>
  <c r="BQ51" i="77"/>
  <c r="L366" i="43" a="1"/>
  <c r="L365" a="1"/>
  <c r="L365" s="1"/>
  <c r="L409" s="1"/>
  <c r="G365" a="1"/>
  <c r="G365" s="1"/>
  <c r="G409" s="1"/>
  <c r="L364" a="1"/>
  <c r="L364" s="1"/>
  <c r="L408" s="1"/>
  <c r="G366" a="1"/>
  <c r="G366" s="1"/>
  <c r="G410" s="1"/>
  <c r="S51" i="70"/>
  <c r="U51"/>
  <c r="G364" i="43" a="1"/>
  <c r="G364" s="1"/>
  <c r="G408" s="1"/>
  <c r="AK50" i="70"/>
  <c r="BL50" s="1"/>
  <c r="V51" i="75"/>
  <c r="BQ51" i="78"/>
  <c r="S51" i="75"/>
  <c r="U51"/>
  <c r="BO51" i="78"/>
  <c r="S51"/>
  <c r="BP51"/>
  <c r="BP51" i="73"/>
  <c r="BO51"/>
  <c r="BQ51"/>
  <c r="L366" i="43"/>
  <c r="L410" s="1"/>
  <c r="BF15" i="77"/>
  <c r="DH50" i="73"/>
  <c r="O414" i="43"/>
  <c r="J414"/>
  <c r="AK50" i="75"/>
  <c r="BL50" s="1"/>
  <c r="L400" i="43"/>
  <c r="DH50" i="78"/>
  <c r="AK50"/>
  <c r="BL50" s="1"/>
  <c r="O400" i="43"/>
  <c r="BP11" i="78"/>
  <c r="BP15" s="1"/>
  <c r="BQ11"/>
  <c r="BQ15" s="1"/>
  <c r="S11"/>
  <c r="AK9"/>
  <c r="BL9" s="1"/>
  <c r="L147" i="47"/>
  <c r="N147"/>
  <c r="M147"/>
  <c r="BO11" i="78"/>
  <c r="BO15" s="1"/>
  <c r="O585" i="36"/>
  <c r="BC109" i="77"/>
  <c r="BF40"/>
  <c r="AK15" i="75"/>
  <c r="BL15" s="1"/>
  <c r="AK15" i="77"/>
  <c r="Q15" i="78"/>
  <c r="G40"/>
  <c r="G109" s="1"/>
  <c r="AK15" i="76"/>
  <c r="BL15" s="1"/>
  <c r="BC40" i="78"/>
  <c r="BF15"/>
  <c r="O597" i="36"/>
  <c r="F64" i="48"/>
  <c r="F94" s="1"/>
  <c r="F65"/>
  <c r="F95" s="1"/>
  <c r="F66"/>
  <c r="F96" s="1"/>
  <c r="F62"/>
  <c r="F92" s="1"/>
  <c r="F61"/>
  <c r="F93" s="1"/>
  <c r="CQ109" i="29"/>
  <c r="CR109"/>
  <c r="CS32"/>
  <c r="CS40" s="1"/>
  <c r="CS109" s="1"/>
  <c r="CT32"/>
  <c r="CT40" s="1"/>
  <c r="CT109" s="1"/>
  <c r="W56" i="4"/>
  <c r="W59" s="1"/>
  <c r="F31" i="42" s="1"/>
  <c r="F48" s="1"/>
  <c r="W65" i="4"/>
  <c r="BD87" i="67"/>
  <c r="Q87"/>
  <c r="AI87"/>
  <c r="O118" i="41"/>
  <c r="O121" s="1"/>
  <c r="O144" s="1"/>
  <c r="O33" i="46"/>
  <c r="O34"/>
  <c r="O24" i="48"/>
  <c r="O58" s="1"/>
  <c r="O64" s="1"/>
  <c r="O94" s="1"/>
  <c r="O32" i="46"/>
  <c r="O9" i="48"/>
  <c r="O49" s="1"/>
  <c r="O16"/>
  <c r="O23"/>
  <c r="O57" s="1"/>
  <c r="O17" i="30"/>
  <c r="O26" s="1"/>
  <c r="O35" i="46"/>
  <c r="BO25" i="78"/>
  <c r="BP50" i="70"/>
  <c r="BQ54" i="29"/>
  <c r="Q15" i="59"/>
  <c r="BT54" i="29"/>
  <c r="BO54"/>
  <c r="BS54"/>
  <c r="P32" i="59"/>
  <c r="BQ50" i="70"/>
  <c r="BQ50" i="75"/>
  <c r="BP54" i="29"/>
  <c r="BP50" i="75"/>
  <c r="BO50"/>
  <c r="BO50" i="70"/>
  <c r="BO54" i="78"/>
  <c r="P176" i="59" l="1"/>
  <c r="BP51" i="75"/>
  <c r="BP51" i="70"/>
  <c r="BO51" i="75"/>
  <c r="G414" i="43"/>
  <c r="BQ51" i="70"/>
  <c r="BO51"/>
  <c r="DH50"/>
  <c r="BQ51" i="75"/>
  <c r="DH50"/>
  <c r="L414" i="43"/>
  <c r="F30" i="84"/>
  <c r="F18"/>
  <c r="F16"/>
  <c r="F47" s="1"/>
  <c r="F51" s="1"/>
  <c r="F71" s="1"/>
  <c r="F17"/>
  <c r="F19"/>
  <c r="DH15" i="78"/>
  <c r="BC109"/>
  <c r="BF40"/>
  <c r="M150" i="47"/>
  <c r="M165" s="1"/>
  <c r="M155"/>
  <c r="M158" s="1"/>
  <c r="M177" s="1"/>
  <c r="L150"/>
  <c r="L165" s="1"/>
  <c r="L155"/>
  <c r="L158" s="1"/>
  <c r="L177" s="1"/>
  <c r="S15" i="78"/>
  <c r="AK11"/>
  <c r="BL11" s="1"/>
  <c r="N150" i="47"/>
  <c r="N165" s="1"/>
  <c r="N155"/>
  <c r="N158" s="1"/>
  <c r="N177" s="1"/>
  <c r="O50" i="48"/>
  <c r="O75" s="1"/>
  <c r="F52" i="42"/>
  <c r="F72" s="1"/>
  <c r="F53"/>
  <c r="F73" s="1"/>
  <c r="F51"/>
  <c r="F71" s="1"/>
  <c r="BT55" i="29"/>
  <c r="BT84" s="1"/>
  <c r="BT109" s="1"/>
  <c r="BS55"/>
  <c r="BS84" s="1"/>
  <c r="BS109" s="1"/>
  <c r="O122" i="41"/>
  <c r="O145" s="1"/>
  <c r="CV26" i="29"/>
  <c r="H141" i="59"/>
  <c r="S54" i="78"/>
  <c r="CW26" i="29"/>
  <c r="Q32" i="59"/>
  <c r="AX37" i="60"/>
  <c r="BP25" i="78"/>
  <c r="CU26" i="29"/>
  <c r="CV29"/>
  <c r="O16" i="47"/>
  <c r="F50" i="84" l="1"/>
  <c r="F70" s="1"/>
  <c r="Q176" i="59"/>
  <c r="F52" i="84"/>
  <c r="F72" s="1"/>
  <c r="O147" i="47"/>
  <c r="AK15" i="78"/>
  <c r="BL15" s="1"/>
  <c r="CU28" i="29"/>
  <c r="CV28"/>
  <c r="CW28"/>
  <c r="CV31"/>
  <c r="CW29"/>
  <c r="CU29"/>
  <c r="CU31" l="1"/>
  <c r="CU32" s="1"/>
  <c r="CU40" s="1"/>
  <c r="CU109" s="1"/>
  <c r="CW31"/>
  <c r="CW32" s="1"/>
  <c r="CW40" s="1"/>
  <c r="CW109" s="1"/>
  <c r="O150" i="47"/>
  <c r="O165" s="1"/>
  <c r="O155"/>
  <c r="O158" s="1"/>
  <c r="O177" s="1"/>
  <c r="CV32" i="29"/>
  <c r="CV40" s="1"/>
  <c r="CV109" s="1"/>
  <c r="O65" i="48"/>
  <c r="O95" s="1"/>
  <c r="O123" i="41"/>
  <c r="O146" s="1"/>
  <c r="O66" i="48"/>
  <c r="O96" s="1"/>
  <c r="O62"/>
  <c r="O92" s="1"/>
  <c r="O61"/>
  <c r="O93" s="1"/>
  <c r="O18"/>
  <c r="O52" s="1"/>
  <c r="O77" s="1"/>
  <c r="I118" i="41"/>
  <c r="I121" s="1"/>
  <c r="I144" s="1"/>
  <c r="I33" i="46"/>
  <c r="I34"/>
  <c r="I24" i="48"/>
  <c r="I58" s="1"/>
  <c r="I64" s="1"/>
  <c r="I94" s="1"/>
  <c r="I32" i="46"/>
  <c r="I9" i="48"/>
  <c r="I49" s="1"/>
  <c r="I16"/>
  <c r="I23"/>
  <c r="I57" s="1"/>
  <c r="I17" i="30"/>
  <c r="I26" s="1"/>
  <c r="I35" i="46"/>
  <c r="BS54" i="78"/>
  <c r="BP54"/>
  <c r="BO54" i="72"/>
  <c r="BQ54" i="78"/>
  <c r="BQ25"/>
  <c r="BT54"/>
  <c r="BO25" i="72"/>
  <c r="W54" i="78"/>
  <c r="I50" i="48" l="1"/>
  <c r="I75" s="1"/>
  <c r="BT55" i="78"/>
  <c r="BT84" s="1"/>
  <c r="BS55"/>
  <c r="BS84" s="1"/>
  <c r="BS109" s="1"/>
  <c r="I122" i="41"/>
  <c r="I145" s="1"/>
  <c r="BP25" i="72"/>
  <c r="S54"/>
  <c r="I65" i="48" l="1"/>
  <c r="I95" s="1"/>
  <c r="I123" i="41"/>
  <c r="I146" s="1"/>
  <c r="I66" i="48"/>
  <c r="I96" s="1"/>
  <c r="I62"/>
  <c r="I92" s="1"/>
  <c r="I61"/>
  <c r="I93" s="1"/>
  <c r="I18"/>
  <c r="I52" s="1"/>
  <c r="I77" s="1"/>
  <c r="J118" i="41"/>
  <c r="J121" s="1"/>
  <c r="J144" s="1"/>
  <c r="J33" i="46"/>
  <c r="J34"/>
  <c r="J24" i="48"/>
  <c r="J58" s="1"/>
  <c r="J64" s="1"/>
  <c r="J94" s="1"/>
  <c r="J32" i="46"/>
  <c r="J9" i="48"/>
  <c r="J49" s="1"/>
  <c r="J16"/>
  <c r="J23"/>
  <c r="J57" s="1"/>
  <c r="J17" i="30"/>
  <c r="J26" s="1"/>
  <c r="J35" i="46"/>
  <c r="BQ25" i="72"/>
  <c r="BP54"/>
  <c r="BO25" i="73"/>
  <c r="BQ54" i="72"/>
  <c r="BT54"/>
  <c r="W54"/>
  <c r="BO54" i="73"/>
  <c r="BS54" i="72"/>
  <c r="J50" i="48" l="1"/>
  <c r="J75" s="1"/>
  <c r="BT55" i="72"/>
  <c r="BT84" s="1"/>
  <c r="BS55"/>
  <c r="BS84" s="1"/>
  <c r="BS109" s="1"/>
  <c r="J122" i="41"/>
  <c r="J145" s="1"/>
  <c r="BP25" i="73"/>
  <c r="S54"/>
  <c r="J65" i="48" l="1"/>
  <c r="J95" s="1"/>
  <c r="J123" i="41"/>
  <c r="J146" s="1"/>
  <c r="J66" i="48"/>
  <c r="J96" s="1"/>
  <c r="J62"/>
  <c r="J92" s="1"/>
  <c r="J61"/>
  <c r="J93" s="1"/>
  <c r="J18"/>
  <c r="J52" s="1"/>
  <c r="J77" s="1"/>
  <c r="L118" i="41"/>
  <c r="L121" s="1"/>
  <c r="L144" s="1"/>
  <c r="L33" i="46"/>
  <c r="L34"/>
  <c r="L24" i="48"/>
  <c r="L58" s="1"/>
  <c r="L64" s="1"/>
  <c r="L94" s="1"/>
  <c r="L32" i="46"/>
  <c r="L9" i="48"/>
  <c r="L49" s="1"/>
  <c r="L16"/>
  <c r="L23"/>
  <c r="L57" s="1"/>
  <c r="L17" i="30"/>
  <c r="L26" s="1"/>
  <c r="L35" i="46"/>
  <c r="BQ54" i="73"/>
  <c r="BP54"/>
  <c r="BO25" i="75"/>
  <c r="BT54" i="73"/>
  <c r="W54"/>
  <c r="BS54"/>
  <c r="BO54" i="75"/>
  <c r="BQ25" i="73"/>
  <c r="L50" i="48" l="1"/>
  <c r="L75" s="1"/>
  <c r="BT55" i="73"/>
  <c r="BT84" s="1"/>
  <c r="BS55"/>
  <c r="BS84" s="1"/>
  <c r="BS109" s="1"/>
  <c r="L122" i="41"/>
  <c r="L145" s="1"/>
  <c r="S54" i="75"/>
  <c r="BP25"/>
  <c r="L65" i="48" l="1"/>
  <c r="L95" s="1"/>
  <c r="L123" i="41"/>
  <c r="L146" s="1"/>
  <c r="L66" i="48"/>
  <c r="L96" s="1"/>
  <c r="L62"/>
  <c r="L92" s="1"/>
  <c r="L61"/>
  <c r="L93" s="1"/>
  <c r="L18"/>
  <c r="L52" s="1"/>
  <c r="L77" s="1"/>
  <c r="Q86" i="67"/>
  <c r="AI86"/>
  <c r="BD86"/>
  <c r="H118" i="41"/>
  <c r="H121" s="1"/>
  <c r="H144" s="1"/>
  <c r="H33" i="46"/>
  <c r="H34"/>
  <c r="H24" i="48"/>
  <c r="H58" s="1"/>
  <c r="H64" s="1"/>
  <c r="H94" s="1"/>
  <c r="H32" i="46"/>
  <c r="H9" i="48"/>
  <c r="H49" s="1"/>
  <c r="H16"/>
  <c r="H23"/>
  <c r="H57" s="1"/>
  <c r="H17" i="30"/>
  <c r="H26" s="1"/>
  <c r="H35" i="46"/>
  <c r="BO54" i="71"/>
  <c r="BS54" i="75"/>
  <c r="BQ54"/>
  <c r="BT54"/>
  <c r="BP54"/>
  <c r="BO25" i="71"/>
  <c r="W54" i="75"/>
  <c r="BQ25"/>
  <c r="H50" i="48" l="1"/>
  <c r="H75" s="1"/>
  <c r="BJ86" i="67"/>
  <c r="BT55" i="75"/>
  <c r="BT84" s="1"/>
  <c r="BS55"/>
  <c r="BS84" s="1"/>
  <c r="BS109" s="1"/>
  <c r="H122" i="41"/>
  <c r="H145" s="1"/>
  <c r="BP25" i="71"/>
  <c r="S54"/>
  <c r="H65" i="48" l="1"/>
  <c r="H95" s="1"/>
  <c r="H123" i="41"/>
  <c r="H146" s="1"/>
  <c r="H66" i="48"/>
  <c r="H96" s="1"/>
  <c r="H62"/>
  <c r="H92" s="1"/>
  <c r="H61"/>
  <c r="H93" s="1"/>
  <c r="H18"/>
  <c r="H52" s="1"/>
  <c r="H77" s="1"/>
  <c r="M118" i="41"/>
  <c r="M121" s="1"/>
  <c r="M144" s="1"/>
  <c r="M33" i="46"/>
  <c r="M34"/>
  <c r="M24" i="48"/>
  <c r="M58" s="1"/>
  <c r="M64" s="1"/>
  <c r="M94" s="1"/>
  <c r="M32" i="46"/>
  <c r="M9" i="48"/>
  <c r="M49" s="1"/>
  <c r="M16"/>
  <c r="M23"/>
  <c r="M57" s="1"/>
  <c r="M17" i="30"/>
  <c r="M26" s="1"/>
  <c r="M35" i="46"/>
  <c r="BO54" i="76"/>
  <c r="BT54" i="71"/>
  <c r="BO25" i="76"/>
  <c r="BQ54" i="71"/>
  <c r="W54"/>
  <c r="BQ25"/>
  <c r="BP54"/>
  <c r="BS54"/>
  <c r="M50" i="48" l="1"/>
  <c r="M75" s="1"/>
  <c r="BT55" i="71"/>
  <c r="BT84" s="1"/>
  <c r="BS55"/>
  <c r="BS84" s="1"/>
  <c r="BS109" s="1"/>
  <c r="M122" i="41"/>
  <c r="M145" s="1"/>
  <c r="BP25" i="76"/>
  <c r="S54"/>
  <c r="M65" i="48" l="1"/>
  <c r="M95" s="1"/>
  <c r="M123" i="41"/>
  <c r="M146" s="1"/>
  <c r="M66" i="48"/>
  <c r="M96" s="1"/>
  <c r="M62"/>
  <c r="M92" s="1"/>
  <c r="M61"/>
  <c r="M93" s="1"/>
  <c r="M18"/>
  <c r="M52" s="1"/>
  <c r="M77" s="1"/>
  <c r="N118" i="41"/>
  <c r="N121" s="1"/>
  <c r="N144" s="1"/>
  <c r="N33" i="46"/>
  <c r="N34"/>
  <c r="N24" i="48"/>
  <c r="N58" s="1"/>
  <c r="N64" s="1"/>
  <c r="N94" s="1"/>
  <c r="N32" i="46"/>
  <c r="N9" i="48"/>
  <c r="N49" s="1"/>
  <c r="N16"/>
  <c r="N23"/>
  <c r="N57" s="1"/>
  <c r="N17" i="30"/>
  <c r="N26" s="1"/>
  <c r="N35" i="46"/>
  <c r="BO25" i="77"/>
  <c r="BO54"/>
  <c r="BT54" i="76"/>
  <c r="BS54"/>
  <c r="BQ54"/>
  <c r="BQ25"/>
  <c r="W54"/>
  <c r="BP54"/>
  <c r="N50" i="48" l="1"/>
  <c r="N75" s="1"/>
  <c r="BT55" i="76"/>
  <c r="BT84" s="1"/>
  <c r="BS55"/>
  <c r="BS84" s="1"/>
  <c r="BS109" s="1"/>
  <c r="N122" i="41"/>
  <c r="N145" s="1"/>
  <c r="BP25" i="77"/>
  <c r="S54"/>
  <c r="N65" i="48" l="1"/>
  <c r="N95" s="1"/>
  <c r="N123" i="41"/>
  <c r="N146" s="1"/>
  <c r="N66" i="48"/>
  <c r="N96" s="1"/>
  <c r="N62"/>
  <c r="N92" s="1"/>
  <c r="N61"/>
  <c r="N93" s="1"/>
  <c r="N18"/>
  <c r="N52" s="1"/>
  <c r="N77" s="1"/>
  <c r="G118" i="41"/>
  <c r="G121" s="1"/>
  <c r="G144" s="1"/>
  <c r="G33" i="46"/>
  <c r="G34"/>
  <c r="G24" i="48"/>
  <c r="G58" s="1"/>
  <c r="G64" s="1"/>
  <c r="G94" s="1"/>
  <c r="G32" i="46"/>
  <c r="G9" i="48"/>
  <c r="G49" s="1"/>
  <c r="G16"/>
  <c r="G23"/>
  <c r="G57" s="1"/>
  <c r="G17" i="30"/>
  <c r="G26" s="1"/>
  <c r="G35" i="46"/>
  <c r="BP54" i="77"/>
  <c r="BQ54"/>
  <c r="BS54"/>
  <c r="BQ25"/>
  <c r="BT54"/>
  <c r="BO25" i="70"/>
  <c r="BO54"/>
  <c r="W54" i="77"/>
  <c r="G50" i="48" l="1"/>
  <c r="G75" s="1"/>
  <c r="BT55" i="77"/>
  <c r="BT84" s="1"/>
  <c r="BS55"/>
  <c r="BS84" s="1"/>
  <c r="BS109" s="1"/>
  <c r="G122" i="41"/>
  <c r="G145" s="1"/>
  <c r="S54" i="70"/>
  <c r="BP25"/>
  <c r="G65" i="48" l="1"/>
  <c r="G95" s="1"/>
  <c r="G123" i="41"/>
  <c r="G146" s="1"/>
  <c r="G66" i="48"/>
  <c r="G96" s="1"/>
  <c r="G62"/>
  <c r="G92" s="1"/>
  <c r="G61"/>
  <c r="G93" s="1"/>
  <c r="G18"/>
  <c r="G52" s="1"/>
  <c r="G77" s="1"/>
  <c r="G48" i="42"/>
  <c r="H48" s="1"/>
  <c r="BD83" i="67"/>
  <c r="T17" i="4"/>
  <c r="V17"/>
  <c r="W17"/>
  <c r="X17"/>
  <c r="Z17"/>
  <c r="Z15" s="1"/>
  <c r="AS17"/>
  <c r="AS15" s="1"/>
  <c r="AU17"/>
  <c r="T18"/>
  <c r="V18"/>
  <c r="W18"/>
  <c r="X18"/>
  <c r="T19"/>
  <c r="W19"/>
  <c r="X19"/>
  <c r="T12"/>
  <c r="V12"/>
  <c r="W12"/>
  <c r="X12"/>
  <c r="Z12"/>
  <c r="Z10" s="1"/>
  <c r="AJ12"/>
  <c r="AQ12"/>
  <c r="AS12"/>
  <c r="AV12" s="1"/>
  <c r="T13"/>
  <c r="V13"/>
  <c r="W13"/>
  <c r="X13"/>
  <c r="T14"/>
  <c r="V14"/>
  <c r="W14"/>
  <c r="X14"/>
  <c r="T22"/>
  <c r="X22"/>
  <c r="T25"/>
  <c r="AC25" s="1"/>
  <c r="J25" s="1"/>
  <c r="T26"/>
  <c r="X26"/>
  <c r="T27"/>
  <c r="AC27" s="1"/>
  <c r="J27" s="1"/>
  <c r="T28"/>
  <c r="W28"/>
  <c r="W23" s="1"/>
  <c r="W21" s="1"/>
  <c r="X28"/>
  <c r="T31"/>
  <c r="V31"/>
  <c r="W31"/>
  <c r="X31"/>
  <c r="Y31"/>
  <c r="Y30" s="1"/>
  <c r="Y72" s="1"/>
  <c r="Z31"/>
  <c r="AQ31"/>
  <c r="AR31" s="1"/>
  <c r="AS31"/>
  <c r="AU31"/>
  <c r="T45"/>
  <c r="AC45" s="1"/>
  <c r="K45" s="1"/>
  <c r="K42" s="1"/>
  <c r="AC46"/>
  <c r="K46" s="1"/>
  <c r="V47"/>
  <c r="AC47" s="1"/>
  <c r="K47" s="1"/>
  <c r="T51"/>
  <c r="T48" s="1"/>
  <c r="X51"/>
  <c r="W61"/>
  <c r="AC61" s="1"/>
  <c r="L61" s="1"/>
  <c r="L55" s="1"/>
  <c r="T60"/>
  <c r="T55" s="1"/>
  <c r="W60"/>
  <c r="AC56"/>
  <c r="N56" s="1"/>
  <c r="N55" s="1"/>
  <c r="W64"/>
  <c r="AC64" s="1"/>
  <c r="O64" s="1"/>
  <c r="AC65"/>
  <c r="O65" s="1"/>
  <c r="V44"/>
  <c r="V42" s="1"/>
  <c r="V50"/>
  <c r="V48" s="1"/>
  <c r="V52"/>
  <c r="V53"/>
  <c r="W50"/>
  <c r="W48" s="1"/>
  <c r="W52"/>
  <c r="BQ52" s="1"/>
  <c r="W53"/>
  <c r="X52"/>
  <c r="BM52" s="1"/>
  <c r="X53"/>
  <c r="Z52"/>
  <c r="T77"/>
  <c r="T76" s="1"/>
  <c r="V77"/>
  <c r="V76" s="1"/>
  <c r="V111" s="1"/>
  <c r="W77"/>
  <c r="W76" s="1"/>
  <c r="X77"/>
  <c r="X76" s="1"/>
  <c r="X111" s="1"/>
  <c r="W107"/>
  <c r="W106" s="1"/>
  <c r="AC106" s="1"/>
  <c r="T121"/>
  <c r="T125"/>
  <c r="W116"/>
  <c r="W120"/>
  <c r="BD120" s="1"/>
  <c r="BD115" s="1"/>
  <c r="BE115" s="1"/>
  <c r="W122"/>
  <c r="AF122" s="1"/>
  <c r="AF115" s="1"/>
  <c r="X116"/>
  <c r="X121"/>
  <c r="Z116"/>
  <c r="Z115" s="1"/>
  <c r="AJ10"/>
  <c r="AJ9" s="1"/>
  <c r="AS10"/>
  <c r="AV10" s="1"/>
  <c r="AU15"/>
  <c r="AU9" s="1"/>
  <c r="AJ53"/>
  <c r="AJ30" s="1"/>
  <c r="AK53"/>
  <c r="AK30" s="1"/>
  <c r="AO53"/>
  <c r="AO30" s="1"/>
  <c r="AQ53"/>
  <c r="AS53"/>
  <c r="AU53"/>
  <c r="AQ80"/>
  <c r="AJ80" s="1"/>
  <c r="AQ81"/>
  <c r="BC81"/>
  <c r="BC78" s="1"/>
  <c r="BC76" s="1"/>
  <c r="BE76" s="1"/>
  <c r="BB107"/>
  <c r="AQ77"/>
  <c r="AR77" s="1"/>
  <c r="AW77" s="1"/>
  <c r="AQ91"/>
  <c r="AQ86" s="1"/>
  <c r="AQ85" s="1"/>
  <c r="AR85" s="1"/>
  <c r="AS91"/>
  <c r="AS86" s="1"/>
  <c r="AS85" s="1"/>
  <c r="AV85" s="1"/>
  <c r="AV111" s="1"/>
  <c r="AG123"/>
  <c r="AC44"/>
  <c r="AY44" s="1"/>
  <c r="AY42" s="1"/>
  <c r="AY115"/>
  <c r="AC119"/>
  <c r="AZ119" s="1"/>
  <c r="AZ116" s="1"/>
  <c r="AZ123"/>
  <c r="Q17" i="67"/>
  <c r="Q28"/>
  <c r="Q56"/>
  <c r="Q66"/>
  <c r="F17" i="48"/>
  <c r="N17" s="1"/>
  <c r="N51" s="1"/>
  <c r="N78"/>
  <c r="N81"/>
  <c r="K78"/>
  <c r="K81"/>
  <c r="I78"/>
  <c r="I81"/>
  <c r="F78"/>
  <c r="F79"/>
  <c r="F11"/>
  <c r="F56" s="1"/>
  <c r="F81"/>
  <c r="F82"/>
  <c r="H78"/>
  <c r="H81"/>
  <c r="M17"/>
  <c r="M51" s="1"/>
  <c r="M78"/>
  <c r="M81"/>
  <c r="BK52" i="4"/>
  <c r="BP52"/>
  <c r="BU52"/>
  <c r="BP54" i="70"/>
  <c r="BQ25"/>
  <c r="AM54" i="77"/>
  <c r="X54" i="29"/>
  <c r="AM54" i="74"/>
  <c r="X54" i="71"/>
  <c r="BT54" i="70"/>
  <c r="W54"/>
  <c r="BQ54"/>
  <c r="BS54"/>
  <c r="X54" i="76"/>
  <c r="X54" i="74"/>
  <c r="AM54" i="29"/>
  <c r="AM54" i="72"/>
  <c r="H149" i="59"/>
  <c r="AN54" i="29"/>
  <c r="AM54" i="71"/>
  <c r="Y54" i="29"/>
  <c r="X54" i="72"/>
  <c r="X54" i="77"/>
  <c r="AM54" i="76"/>
  <c r="G51" i="42" l="1"/>
  <c r="G71" s="1"/>
  <c r="AQ107" i="4"/>
  <c r="AQ82" s="1"/>
  <c r="G53" i="42"/>
  <c r="G73" s="1"/>
  <c r="G52"/>
  <c r="G72" s="1"/>
  <c r="G52" i="84"/>
  <c r="G72" s="1"/>
  <c r="G51"/>
  <c r="G71" s="1"/>
  <c r="G50"/>
  <c r="G70" s="1"/>
  <c r="AQ30" i="4"/>
  <c r="AR30" s="1"/>
  <c r="T15"/>
  <c r="AS30"/>
  <c r="Z30"/>
  <c r="T42"/>
  <c r="T30" s="1"/>
  <c r="AV31"/>
  <c r="AW31" s="1"/>
  <c r="AC22"/>
  <c r="J22" s="1"/>
  <c r="AC31"/>
  <c r="AC18"/>
  <c r="I18" s="1"/>
  <c r="AC60"/>
  <c r="M60" s="1"/>
  <c r="M55" s="1"/>
  <c r="AR12"/>
  <c r="AW12" s="1"/>
  <c r="X15"/>
  <c r="V15"/>
  <c r="BV52"/>
  <c r="BR52"/>
  <c r="BT52" s="1"/>
  <c r="BL52"/>
  <c r="BO52" s="1"/>
  <c r="W10"/>
  <c r="AC53"/>
  <c r="AC121"/>
  <c r="AZ121" s="1"/>
  <c r="AZ115" s="1"/>
  <c r="AC52"/>
  <c r="AY52" s="1"/>
  <c r="BA52" s="1"/>
  <c r="BF52" s="1"/>
  <c r="O17" i="48"/>
  <c r="O51" s="1"/>
  <c r="O74" s="1"/>
  <c r="AV91" i="4"/>
  <c r="AR53"/>
  <c r="AU30"/>
  <c r="T10"/>
  <c r="W15"/>
  <c r="BW52"/>
  <c r="H17" i="48"/>
  <c r="H51" s="1"/>
  <c r="H74" s="1"/>
  <c r="F51"/>
  <c r="F74" s="1"/>
  <c r="BB106" i="4"/>
  <c r="BE106" s="1"/>
  <c r="BF106" s="1"/>
  <c r="AR91"/>
  <c r="AC77"/>
  <c r="AY77" s="1"/>
  <c r="AY76" s="1"/>
  <c r="AC50"/>
  <c r="AY50" s="1"/>
  <c r="AY48" s="1"/>
  <c r="AQ10"/>
  <c r="AS9"/>
  <c r="AV9" s="1"/>
  <c r="T115"/>
  <c r="T129" s="1"/>
  <c r="W62"/>
  <c r="W55" s="1"/>
  <c r="K17" i="48"/>
  <c r="K51" s="1"/>
  <c r="K74" s="1"/>
  <c r="AC51" i="4"/>
  <c r="K51" s="1"/>
  <c r="K48" s="1"/>
  <c r="AC17"/>
  <c r="F80" i="48"/>
  <c r="F83"/>
  <c r="V30" i="4"/>
  <c r="BK30" s="1"/>
  <c r="BP42"/>
  <c r="BT42" s="1"/>
  <c r="BU42"/>
  <c r="BY42" s="1"/>
  <c r="BK42"/>
  <c r="BO42" s="1"/>
  <c r="Q74" i="67"/>
  <c r="W30" i="4"/>
  <c r="Z9"/>
  <c r="O62"/>
  <c r="O55" s="1"/>
  <c r="O72" s="1"/>
  <c r="O133" s="1"/>
  <c r="AC26"/>
  <c r="J26" s="1"/>
  <c r="AC14"/>
  <c r="I14" s="1"/>
  <c r="X10"/>
  <c r="AC13"/>
  <c r="I13" s="1"/>
  <c r="AC19"/>
  <c r="I19" s="1"/>
  <c r="AV17"/>
  <c r="AW17" s="1"/>
  <c r="I17" i="48"/>
  <c r="I51" s="1"/>
  <c r="I74" s="1"/>
  <c r="AJ81" i="4"/>
  <c r="W115"/>
  <c r="W129" s="1"/>
  <c r="W111"/>
  <c r="AC28"/>
  <c r="J28" s="1"/>
  <c r="AC12"/>
  <c r="AF129"/>
  <c r="AF133" s="1"/>
  <c r="AQ106"/>
  <c r="AR106" s="1"/>
  <c r="AW106" s="1"/>
  <c r="H51" i="42"/>
  <c r="H71" s="1"/>
  <c r="H52"/>
  <c r="H72" s="1"/>
  <c r="I48"/>
  <c r="H53"/>
  <c r="H73" s="1"/>
  <c r="M74" i="48"/>
  <c r="M76"/>
  <c r="N74"/>
  <c r="N76"/>
  <c r="H50" i="84"/>
  <c r="H70" s="1"/>
  <c r="H52"/>
  <c r="H72" s="1"/>
  <c r="H51"/>
  <c r="H71" s="1"/>
  <c r="AW85" i="4"/>
  <c r="AC76"/>
  <c r="AC111" s="1"/>
  <c r="BD129"/>
  <c r="BD133" s="1"/>
  <c r="AV53"/>
  <c r="X48"/>
  <c r="X30" s="1"/>
  <c r="BW30" s="1"/>
  <c r="X23"/>
  <c r="X21" s="1"/>
  <c r="T23"/>
  <c r="T21" s="1"/>
  <c r="V10"/>
  <c r="AM55" i="76"/>
  <c r="BF55" s="1"/>
  <c r="AM55" i="71"/>
  <c r="BF55" s="1"/>
  <c r="X55"/>
  <c r="AM55" i="29"/>
  <c r="X55"/>
  <c r="AM55" i="72"/>
  <c r="BF55" s="1"/>
  <c r="X55"/>
  <c r="AM55" i="74"/>
  <c r="BF55" s="1"/>
  <c r="X55"/>
  <c r="X55" i="77"/>
  <c r="BT55" i="70"/>
  <c r="BT84" s="1"/>
  <c r="BS55"/>
  <c r="BS84" s="1"/>
  <c r="BS109" s="1"/>
  <c r="X55" i="76"/>
  <c r="AN55" i="29"/>
  <c r="AM55" i="77"/>
  <c r="BF55" s="1"/>
  <c r="O78" i="48"/>
  <c r="O81"/>
  <c r="J17"/>
  <c r="J51" s="1"/>
  <c r="J74" s="1"/>
  <c r="J78"/>
  <c r="J81"/>
  <c r="L17"/>
  <c r="L51" s="1"/>
  <c r="L78"/>
  <c r="L81"/>
  <c r="P62" i="4"/>
  <c r="R62" s="1"/>
  <c r="AC116"/>
  <c r="AW116"/>
  <c r="BA116"/>
  <c r="BF116" s="1"/>
  <c r="AI28" i="67"/>
  <c r="BJ28" s="1"/>
  <c r="BE129" i="4"/>
  <c r="AV15"/>
  <c r="AW15" s="1"/>
  <c r="BM51"/>
  <c r="BO51" s="1"/>
  <c r="BR51"/>
  <c r="BT51" s="1"/>
  <c r="BW51"/>
  <c r="BY51" s="1"/>
  <c r="BK53"/>
  <c r="BL53"/>
  <c r="BM53"/>
  <c r="BP53"/>
  <c r="BQ53"/>
  <c r="BR53"/>
  <c r="BU53"/>
  <c r="BV53"/>
  <c r="BW53"/>
  <c r="DH54" i="78"/>
  <c r="DH54" i="77"/>
  <c r="DH54" i="75"/>
  <c r="DH54" i="73"/>
  <c r="DH54" i="71"/>
  <c r="DH54" i="70"/>
  <c r="DH54" i="29"/>
  <c r="BH143" i="67"/>
  <c r="BD143"/>
  <c r="BD145"/>
  <c r="BH145"/>
  <c r="AI128"/>
  <c r="BD128"/>
  <c r="BH128"/>
  <c r="AI97"/>
  <c r="BD97"/>
  <c r="BH97"/>
  <c r="BH93"/>
  <c r="BJ93" s="1"/>
  <c r="AI90"/>
  <c r="BJ90" s="1"/>
  <c r="BD98"/>
  <c r="BH98"/>
  <c r="AI66"/>
  <c r="BJ66" s="1"/>
  <c r="Q65"/>
  <c r="AI65"/>
  <c r="Q64"/>
  <c r="BJ64" s="1"/>
  <c r="Q63"/>
  <c r="BJ63" s="1"/>
  <c r="Q62"/>
  <c r="AI62"/>
  <c r="Q59"/>
  <c r="BJ59" s="1"/>
  <c r="AI56"/>
  <c r="BH56"/>
  <c r="AT56"/>
  <c r="AT74" s="1"/>
  <c r="AS56"/>
  <c r="AR56"/>
  <c r="AQ56"/>
  <c r="AP56"/>
  <c r="AO56"/>
  <c r="AN56"/>
  <c r="AM56"/>
  <c r="AL56"/>
  <c r="AK56"/>
  <c r="AK74" s="1"/>
  <c r="Q55"/>
  <c r="AI55"/>
  <c r="BD55"/>
  <c r="BH55"/>
  <c r="Q50"/>
  <c r="BJ50" s="1"/>
  <c r="BH52"/>
  <c r="Q52"/>
  <c r="AI52"/>
  <c r="BD52"/>
  <c r="Q27"/>
  <c r="AI27"/>
  <c r="Q21"/>
  <c r="AI21"/>
  <c r="Q19"/>
  <c r="BJ19" s="1"/>
  <c r="Q25"/>
  <c r="BJ25" s="1"/>
  <c r="Q24"/>
  <c r="BJ24" s="1"/>
  <c r="Q12"/>
  <c r="BJ12" s="1"/>
  <c r="AY129" i="4"/>
  <c r="N72"/>
  <c r="N133" s="1"/>
  <c r="Z129"/>
  <c r="T111"/>
  <c r="BK31"/>
  <c r="BL31"/>
  <c r="BM31"/>
  <c r="BN31"/>
  <c r="BP31"/>
  <c r="BQ31"/>
  <c r="BR31"/>
  <c r="BU31"/>
  <c r="BV31"/>
  <c r="BW31"/>
  <c r="M72"/>
  <c r="M133" s="1"/>
  <c r="P60"/>
  <c r="R60" s="1"/>
  <c r="BH60" s="1"/>
  <c r="BA118"/>
  <c r="P65"/>
  <c r="R65" s="1"/>
  <c r="BH65" s="1"/>
  <c r="AS111"/>
  <c r="AC125"/>
  <c r="P56"/>
  <c r="P61"/>
  <c r="R61" s="1"/>
  <c r="BH61" s="1"/>
  <c r="BA42"/>
  <c r="BF42" s="1"/>
  <c r="R42"/>
  <c r="AC42"/>
  <c r="BW26"/>
  <c r="BY26" s="1"/>
  <c r="BM26"/>
  <c r="BO26" s="1"/>
  <c r="BR26"/>
  <c r="BT26" s="1"/>
  <c r="BE107"/>
  <c r="BF107" s="1"/>
  <c r="BU13"/>
  <c r="BV13"/>
  <c r="BW13"/>
  <c r="BA44"/>
  <c r="BF44" s="1"/>
  <c r="BU48"/>
  <c r="BV48"/>
  <c r="BK48"/>
  <c r="BL48"/>
  <c r="BM48"/>
  <c r="BP48"/>
  <c r="BQ48"/>
  <c r="BV30"/>
  <c r="BL30"/>
  <c r="BN30"/>
  <c r="BQ30"/>
  <c r="AV86"/>
  <c r="BN72"/>
  <c r="Q22" i="67"/>
  <c r="BJ22" s="1"/>
  <c r="I54" i="29"/>
  <c r="I54" i="76"/>
  <c r="CW29" i="71"/>
  <c r="CV26" i="70"/>
  <c r="I54" i="73"/>
  <c r="AM54" i="78"/>
  <c r="X54"/>
  <c r="I54" i="74"/>
  <c r="I54" i="78"/>
  <c r="CW26" i="70"/>
  <c r="CU29"/>
  <c r="AM54" i="75"/>
  <c r="AO54" i="29"/>
  <c r="U54" i="76"/>
  <c r="I54" i="72"/>
  <c r="CV26" i="71"/>
  <c r="CV29"/>
  <c r="I54"/>
  <c r="X54" i="75"/>
  <c r="CU26" i="70"/>
  <c r="CV29"/>
  <c r="CW26" i="71"/>
  <c r="Z54" i="29"/>
  <c r="X54" i="73"/>
  <c r="CU29" i="71"/>
  <c r="I54" i="77"/>
  <c r="U54"/>
  <c r="CW29" i="70"/>
  <c r="AM54" i="73"/>
  <c r="CU26" i="71"/>
  <c r="AC15" i="4" l="1"/>
  <c r="BU30"/>
  <c r="BA50"/>
  <c r="BF50" s="1"/>
  <c r="AC62"/>
  <c r="O76" i="48"/>
  <c r="CU28" i="70"/>
  <c r="CW28"/>
  <c r="CV28"/>
  <c r="I12" i="4"/>
  <c r="R12" s="1"/>
  <c r="BH12" s="1"/>
  <c r="CU31" i="70"/>
  <c r="CU32" s="1"/>
  <c r="CU40" s="1"/>
  <c r="CU109" s="1"/>
  <c r="CW31"/>
  <c r="CW32" s="1"/>
  <c r="CW40" s="1"/>
  <c r="CW109" s="1"/>
  <c r="CV31"/>
  <c r="Z72" i="4"/>
  <c r="Z133" s="1"/>
  <c r="T9"/>
  <c r="K31"/>
  <c r="K30" s="1"/>
  <c r="AV30"/>
  <c r="AW30" s="1"/>
  <c r="AW53"/>
  <c r="AY53" s="1"/>
  <c r="AY30" s="1"/>
  <c r="AY72" s="1"/>
  <c r="X9"/>
  <c r="X72" s="1"/>
  <c r="BR72" s="1"/>
  <c r="BV129"/>
  <c r="K76" i="48"/>
  <c r="BA115" i="4"/>
  <c r="BF115" s="1"/>
  <c r="BF129" s="1"/>
  <c r="AZ129"/>
  <c r="AZ133" s="1"/>
  <c r="BY52"/>
  <c r="CA52" s="1"/>
  <c r="BL129"/>
  <c r="W9"/>
  <c r="W72" s="1"/>
  <c r="BJ62" i="67"/>
  <c r="AC30" i="4"/>
  <c r="I76" i="48"/>
  <c r="AW91" i="4"/>
  <c r="AY91" s="1"/>
  <c r="AY86" s="1"/>
  <c r="AY85" s="1"/>
  <c r="BA85" s="1"/>
  <c r="BF85" s="1"/>
  <c r="BH85" s="1"/>
  <c r="BA76"/>
  <c r="BF76" s="1"/>
  <c r="BB111"/>
  <c r="BB133" s="1"/>
  <c r="T72"/>
  <c r="T133" s="1"/>
  <c r="I17"/>
  <c r="I15" s="1"/>
  <c r="R15" s="1"/>
  <c r="BH15" s="1"/>
  <c r="I55" i="78"/>
  <c r="Q55" s="1"/>
  <c r="F76" i="48"/>
  <c r="CA42" i="4"/>
  <c r="BJ52" i="67"/>
  <c r="I55" i="29"/>
  <c r="Q55" s="1"/>
  <c r="I55" i="71"/>
  <c r="Q55" s="1"/>
  <c r="AS74" i="67"/>
  <c r="AT148"/>
  <c r="BR30" i="4"/>
  <c r="BP30"/>
  <c r="BM30"/>
  <c r="BO30" s="1"/>
  <c r="BR48"/>
  <c r="BT48" s="1"/>
  <c r="BW48"/>
  <c r="BY48" s="1"/>
  <c r="AS72"/>
  <c r="AS133" s="1"/>
  <c r="BJ21" i="67"/>
  <c r="BJ27"/>
  <c r="AK148"/>
  <c r="BE111" i="4"/>
  <c r="BE133" s="1"/>
  <c r="J23"/>
  <c r="J21" s="1"/>
  <c r="R21" s="1"/>
  <c r="H76" i="48"/>
  <c r="AQ9" i="4"/>
  <c r="AR10"/>
  <c r="AW10" s="1"/>
  <c r="P55"/>
  <c r="R55" s="1"/>
  <c r="BQ115"/>
  <c r="BO48"/>
  <c r="BY13"/>
  <c r="BJ97" i="67"/>
  <c r="BH116" i="4"/>
  <c r="Z55" i="29"/>
  <c r="AO55"/>
  <c r="BF55" s="1"/>
  <c r="L74" i="48"/>
  <c r="L76"/>
  <c r="CA51" i="4"/>
  <c r="BT31"/>
  <c r="BJ65" i="67"/>
  <c r="BT53" i="4"/>
  <c r="BH62"/>
  <c r="J76" i="48"/>
  <c r="BV115" i="4"/>
  <c r="BL115"/>
  <c r="BY30"/>
  <c r="CA26"/>
  <c r="BH42"/>
  <c r="BY31"/>
  <c r="BO31"/>
  <c r="BJ55" i="67"/>
  <c r="BY53" i="4"/>
  <c r="BO53"/>
  <c r="CU31" i="71"/>
  <c r="I55" i="77"/>
  <c r="Q55" s="1"/>
  <c r="I55" i="72"/>
  <c r="I55" i="76"/>
  <c r="Q55" s="1"/>
  <c r="CW28" i="71"/>
  <c r="CV28"/>
  <c r="CV31"/>
  <c r="CW31"/>
  <c r="U55" i="77"/>
  <c r="U55" i="76"/>
  <c r="AK54"/>
  <c r="CU28" i="71"/>
  <c r="I55" i="74"/>
  <c r="BA30" i="4"/>
  <c r="I50" i="84"/>
  <c r="I70" s="1"/>
  <c r="I51"/>
  <c r="I71" s="1"/>
  <c r="I52"/>
  <c r="I72" s="1"/>
  <c r="BA129" i="4"/>
  <c r="BJ128" i="67"/>
  <c r="AC21" i="4"/>
  <c r="AC55"/>
  <c r="V9"/>
  <c r="AC10"/>
  <c r="I51" i="42"/>
  <c r="I71" s="1"/>
  <c r="I52"/>
  <c r="I72" s="1"/>
  <c r="I53"/>
  <c r="I73" s="1"/>
  <c r="J48"/>
  <c r="AJ82" i="4"/>
  <c r="AJ78" s="1"/>
  <c r="AJ76" s="1"/>
  <c r="AQ78"/>
  <c r="AQ76" s="1"/>
  <c r="AQ111" s="1"/>
  <c r="X55" i="75"/>
  <c r="AM55" i="73"/>
  <c r="BF55" s="1"/>
  <c r="X55" i="78"/>
  <c r="X55" i="73"/>
  <c r="I55"/>
  <c r="Q55" s="1"/>
  <c r="AM55" i="75"/>
  <c r="BF55" s="1"/>
  <c r="AM55" i="78"/>
  <c r="BF55" s="1"/>
  <c r="F67" i="41"/>
  <c r="AK54" i="77"/>
  <c r="DH54" i="76"/>
  <c r="DH54" i="74"/>
  <c r="DH54" i="72"/>
  <c r="AI89" i="67"/>
  <c r="BJ89" s="1"/>
  <c r="BD17"/>
  <c r="BH49"/>
  <c r="BJ49" s="1"/>
  <c r="BH31"/>
  <c r="BJ31" s="1"/>
  <c r="BH39"/>
  <c r="Q39"/>
  <c r="AI39"/>
  <c r="Q26"/>
  <c r="BJ26" s="1"/>
  <c r="Q16"/>
  <c r="AI16"/>
  <c r="BD16"/>
  <c r="Q20"/>
  <c r="BJ20" s="1"/>
  <c r="Q23"/>
  <c r="BJ23" s="1"/>
  <c r="Q14"/>
  <c r="AI14"/>
  <c r="BD14"/>
  <c r="Q13"/>
  <c r="BJ13" s="1"/>
  <c r="AU72" i="4"/>
  <c r="AU133" s="1"/>
  <c r="BQ129"/>
  <c r="BL122"/>
  <c r="BQ122"/>
  <c r="BV122"/>
  <c r="J72"/>
  <c r="J133" s="1"/>
  <c r="L72"/>
  <c r="L133" s="1"/>
  <c r="BQ120"/>
  <c r="BV120"/>
  <c r="BL120"/>
  <c r="AC120"/>
  <c r="BK50"/>
  <c r="BL50"/>
  <c r="BP50"/>
  <c r="BQ50"/>
  <c r="BU50"/>
  <c r="BV50"/>
  <c r="BF118"/>
  <c r="BE120"/>
  <c r="BF120" s="1"/>
  <c r="BH120" s="1"/>
  <c r="BA125"/>
  <c r="BF125" s="1"/>
  <c r="BH125" s="1"/>
  <c r="AJ72"/>
  <c r="R56"/>
  <c r="BH56" s="1"/>
  <c r="P64"/>
  <c r="R64" s="1"/>
  <c r="BH64" s="1"/>
  <c r="BE81"/>
  <c r="BF81" s="1"/>
  <c r="AR81"/>
  <c r="AW81" s="1"/>
  <c r="AC59"/>
  <c r="N59" s="1"/>
  <c r="P59" s="1"/>
  <c r="R59" s="1"/>
  <c r="BH59" s="1"/>
  <c r="AC107"/>
  <c r="AR107"/>
  <c r="AW107" s="1"/>
  <c r="BA123"/>
  <c r="BF123" s="1"/>
  <c r="AH123"/>
  <c r="AW123" s="1"/>
  <c r="BK13"/>
  <c r="BL13"/>
  <c r="BM13"/>
  <c r="BP13"/>
  <c r="BQ13"/>
  <c r="BR13"/>
  <c r="BA48"/>
  <c r="BF48" s="1"/>
  <c r="R48"/>
  <c r="AC48"/>
  <c r="BC111"/>
  <c r="BC133" s="1"/>
  <c r="BV55"/>
  <c r="BY55" s="1"/>
  <c r="BL55"/>
  <c r="BO55" s="1"/>
  <c r="BQ55"/>
  <c r="BT55" s="1"/>
  <c r="BV59"/>
  <c r="BY59" s="1"/>
  <c r="BL59"/>
  <c r="BO59" s="1"/>
  <c r="BQ59"/>
  <c r="BT59" s="1"/>
  <c r="AR86"/>
  <c r="BH141" i="67"/>
  <c r="O135" i="41"/>
  <c r="F62" i="42"/>
  <c r="F61" i="84"/>
  <c r="I54" i="75"/>
  <c r="U54"/>
  <c r="CU29" i="72"/>
  <c r="U54" i="78"/>
  <c r="CV26" i="72"/>
  <c r="F23" i="59"/>
  <c r="CW26" i="72"/>
  <c r="U54" i="73"/>
  <c r="F38" i="59"/>
  <c r="CU26" i="72"/>
  <c r="U54" i="71"/>
  <c r="U54" i="29"/>
  <c r="U54" i="72"/>
  <c r="V26" i="29"/>
  <c r="U54" i="74"/>
  <c r="CW29" i="72"/>
  <c r="V25" i="78"/>
  <c r="CV29" i="72"/>
  <c r="V29" i="29"/>
  <c r="F168" i="59" l="1"/>
  <c r="AK54" i="78"/>
  <c r="U55"/>
  <c r="I10" i="4"/>
  <c r="R10" s="1"/>
  <c r="CV32" i="70"/>
  <c r="CV40" s="1"/>
  <c r="CV109" s="1"/>
  <c r="I84" i="78"/>
  <c r="K72" i="4"/>
  <c r="K133" s="1"/>
  <c r="R30"/>
  <c r="AV72"/>
  <c r="AV133" s="1"/>
  <c r="P72"/>
  <c r="P133" s="1"/>
  <c r="X122"/>
  <c r="X115" s="1"/>
  <c r="X129" s="1"/>
  <c r="X133" s="1"/>
  <c r="BA53"/>
  <c r="BF53" s="1"/>
  <c r="AK54" i="74"/>
  <c r="U55"/>
  <c r="BA91" i="4"/>
  <c r="BF91" s="1"/>
  <c r="BH91" s="1"/>
  <c r="W133"/>
  <c r="BQ133" s="1"/>
  <c r="BQ72"/>
  <c r="BW72"/>
  <c r="U55" i="72"/>
  <c r="AK54"/>
  <c r="BM72" i="4"/>
  <c r="BT30"/>
  <c r="CA53"/>
  <c r="BH10"/>
  <c r="BV72"/>
  <c r="BA111"/>
  <c r="AY111"/>
  <c r="AY133" s="1"/>
  <c r="BL72"/>
  <c r="U55" i="29"/>
  <c r="CA30" i="4"/>
  <c r="CA48"/>
  <c r="AK54" i="71"/>
  <c r="U55"/>
  <c r="AR9" i="4"/>
  <c r="AQ72"/>
  <c r="AQ133" s="1"/>
  <c r="BJ39" i="67"/>
  <c r="AR74"/>
  <c r="AS148"/>
  <c r="BT13" i="4"/>
  <c r="BT50"/>
  <c r="BJ14" i="67"/>
  <c r="BJ16"/>
  <c r="BO13" i="4"/>
  <c r="BY50"/>
  <c r="CA31"/>
  <c r="I84" i="73"/>
  <c r="CV32" i="71"/>
  <c r="CV40" s="1"/>
  <c r="CV109" s="1"/>
  <c r="U55" i="75"/>
  <c r="AK54"/>
  <c r="U55" i="73"/>
  <c r="AK54"/>
  <c r="I55" i="75"/>
  <c r="Q55" s="1"/>
  <c r="BH81" i="4"/>
  <c r="BH48"/>
  <c r="BO50"/>
  <c r="BH55"/>
  <c r="I84" i="76"/>
  <c r="I84" i="77"/>
  <c r="CW32" i="71"/>
  <c r="CW40" s="1"/>
  <c r="CW109" s="1"/>
  <c r="CW28" i="72"/>
  <c r="CU28"/>
  <c r="CV31"/>
  <c r="CV28"/>
  <c r="CW31"/>
  <c r="CU31"/>
  <c r="CA59" i="4"/>
  <c r="CA55"/>
  <c r="BH123"/>
  <c r="V72"/>
  <c r="AC9"/>
  <c r="J51" i="84"/>
  <c r="J71" s="1"/>
  <c r="J52"/>
  <c r="J72" s="1"/>
  <c r="J50"/>
  <c r="J70" s="1"/>
  <c r="AG122" i="4"/>
  <c r="Q55" i="72"/>
  <c r="I84"/>
  <c r="AR76" i="4"/>
  <c r="CU32" i="71"/>
  <c r="CU40" s="1"/>
  <c r="CU109" s="1"/>
  <c r="K48" i="42"/>
  <c r="J53"/>
  <c r="J73" s="1"/>
  <c r="J51"/>
  <c r="J71" s="1"/>
  <c r="J52"/>
  <c r="J72" s="1"/>
  <c r="BF30" i="4"/>
  <c r="BA72"/>
  <c r="Q55" i="74"/>
  <c r="I84"/>
  <c r="V31" i="29"/>
  <c r="V28"/>
  <c r="CU26" i="73"/>
  <c r="J149" i="59"/>
  <c r="F44"/>
  <c r="CW26" i="73"/>
  <c r="I149" i="59"/>
  <c r="CW29" i="73"/>
  <c r="CV26"/>
  <c r="CV29"/>
  <c r="CU29"/>
  <c r="I9" i="4" l="1"/>
  <c r="BL133"/>
  <c r="BV133"/>
  <c r="BA133"/>
  <c r="CA50"/>
  <c r="AQ74" i="67"/>
  <c r="AR148"/>
  <c r="CA13" i="4"/>
  <c r="AW9"/>
  <c r="AW72" s="1"/>
  <c r="AR72"/>
  <c r="I84" i="75"/>
  <c r="R9" i="4"/>
  <c r="I72"/>
  <c r="I133" s="1"/>
  <c r="CV32" i="72"/>
  <c r="CV40" s="1"/>
  <c r="CV109" s="1"/>
  <c r="CU28" i="73"/>
  <c r="CU31"/>
  <c r="CV31"/>
  <c r="CV28"/>
  <c r="CW28"/>
  <c r="CW31"/>
  <c r="BF72" i="4"/>
  <c r="BH30"/>
  <c r="K51" i="42"/>
  <c r="K71" s="1"/>
  <c r="K53"/>
  <c r="K73" s="1"/>
  <c r="K52"/>
  <c r="K72" s="1"/>
  <c r="L48"/>
  <c r="AW76" i="4"/>
  <c r="AW111" s="1"/>
  <c r="AR111"/>
  <c r="AR133" s="1"/>
  <c r="AC72"/>
  <c r="CW32" i="72"/>
  <c r="CW40" s="1"/>
  <c r="CW109" s="1"/>
  <c r="AG115" i="4"/>
  <c r="BW122"/>
  <c r="BR122"/>
  <c r="BM122"/>
  <c r="K51" i="84"/>
  <c r="K71" s="1"/>
  <c r="K50"/>
  <c r="K70" s="1"/>
  <c r="K52"/>
  <c r="K72" s="1"/>
  <c r="V122" i="4"/>
  <c r="BP72"/>
  <c r="BT72" s="1"/>
  <c r="BU72"/>
  <c r="BY72" s="1"/>
  <c r="BK72"/>
  <c r="BO72" s="1"/>
  <c r="CU32" i="72"/>
  <c r="CU40" s="1"/>
  <c r="CU109" s="1"/>
  <c r="CW26" i="74"/>
  <c r="CV29"/>
  <c r="CU29"/>
  <c r="CW29"/>
  <c r="CU26"/>
  <c r="F41" i="59"/>
  <c r="CV26" i="74"/>
  <c r="K149" i="59"/>
  <c r="AP74" i="67" l="1"/>
  <c r="AQ148"/>
  <c r="BH9" i="4"/>
  <c r="R72"/>
  <c r="CV32" i="73"/>
  <c r="CV40" s="1"/>
  <c r="CV109" s="1"/>
  <c r="CU31" i="74"/>
  <c r="CV28"/>
  <c r="CU28"/>
  <c r="CU32" s="1"/>
  <c r="CU40" s="1"/>
  <c r="CU109" s="1"/>
  <c r="CW31"/>
  <c r="CV31"/>
  <c r="CW28"/>
  <c r="L50" i="84"/>
  <c r="L70" s="1"/>
  <c r="L51"/>
  <c r="L71" s="1"/>
  <c r="L52"/>
  <c r="L72" s="1"/>
  <c r="CW32" i="73"/>
  <c r="CW40" s="1"/>
  <c r="CW109" s="1"/>
  <c r="CU32"/>
  <c r="CU40" s="1"/>
  <c r="CU109" s="1"/>
  <c r="AE122" i="4"/>
  <c r="V115"/>
  <c r="AC122"/>
  <c r="AG129"/>
  <c r="BM115"/>
  <c r="BR115"/>
  <c r="BW115"/>
  <c r="M48" i="42"/>
  <c r="L51"/>
  <c r="L71" s="1"/>
  <c r="L52"/>
  <c r="L72" s="1"/>
  <c r="L53"/>
  <c r="L73" s="1"/>
  <c r="CA72" i="4"/>
  <c r="F33" i="89"/>
  <c r="CU29" i="75"/>
  <c r="CW29"/>
  <c r="CW26"/>
  <c r="L149" i="59"/>
  <c r="CV26" i="75"/>
  <c r="CV29"/>
  <c r="F37" i="59"/>
  <c r="CU26" i="75"/>
  <c r="CW32" i="74" l="1"/>
  <c r="CW40" s="1"/>
  <c r="CW109" s="1"/>
  <c r="F39" i="59"/>
  <c r="F178" s="1"/>
  <c r="BH72" i="4"/>
  <c r="AO74" i="67"/>
  <c r="AP148"/>
  <c r="CW28" i="75"/>
  <c r="CU28"/>
  <c r="CV31"/>
  <c r="CV28"/>
  <c r="CW31"/>
  <c r="CU31"/>
  <c r="AH122" i="4"/>
  <c r="AW122" s="1"/>
  <c r="BH122" s="1"/>
  <c r="AE115"/>
  <c r="M50" i="84"/>
  <c r="M70" s="1"/>
  <c r="M51"/>
  <c r="M71" s="1"/>
  <c r="M52"/>
  <c r="M72" s="1"/>
  <c r="N48" i="42"/>
  <c r="M51"/>
  <c r="M71" s="1"/>
  <c r="M52"/>
  <c r="M72" s="1"/>
  <c r="M53"/>
  <c r="M73" s="1"/>
  <c r="AG133" i="4"/>
  <c r="BW129"/>
  <c r="BM129"/>
  <c r="BR129"/>
  <c r="V129"/>
  <c r="V133" s="1"/>
  <c r="AC115"/>
  <c r="CV32" i="74"/>
  <c r="CV40" s="1"/>
  <c r="CV109" s="1"/>
  <c r="K135" i="41"/>
  <c r="K62" i="42"/>
  <c r="K61" i="84"/>
  <c r="F42" i="59"/>
  <c r="V26" i="74"/>
  <c r="V29"/>
  <c r="CU26" i="76"/>
  <c r="M149" i="59"/>
  <c r="CW29" i="76"/>
  <c r="CW26"/>
  <c r="CU29"/>
  <c r="CV29"/>
  <c r="V25" i="74"/>
  <c r="CV26" i="76"/>
  <c r="AN74" i="67" l="1"/>
  <c r="AO148"/>
  <c r="CW28" i="76"/>
  <c r="CU28"/>
  <c r="CW31"/>
  <c r="CU31"/>
  <c r="CV28"/>
  <c r="CV31"/>
  <c r="CV32" i="75"/>
  <c r="CV40" s="1"/>
  <c r="CV109" s="1"/>
  <c r="CW32"/>
  <c r="CW40" s="1"/>
  <c r="CW109" s="1"/>
  <c r="AC129" i="4"/>
  <c r="BM133"/>
  <c r="BR133"/>
  <c r="BW133"/>
  <c r="N51" i="42"/>
  <c r="N71" s="1"/>
  <c r="N52"/>
  <c r="N72" s="1"/>
  <c r="N53"/>
  <c r="N73" s="1"/>
  <c r="O48"/>
  <c r="N50" i="84"/>
  <c r="N70" s="1"/>
  <c r="N51"/>
  <c r="N71" s="1"/>
  <c r="N52"/>
  <c r="N72" s="1"/>
  <c r="AE129" i="4"/>
  <c r="AH115"/>
  <c r="BK115"/>
  <c r="BO115" s="1"/>
  <c r="BP115"/>
  <c r="BT115" s="1"/>
  <c r="BU115"/>
  <c r="BY115" s="1"/>
  <c r="CU32" i="75"/>
  <c r="CU40" s="1"/>
  <c r="CU109" s="1"/>
  <c r="V31" i="74"/>
  <c r="V28"/>
  <c r="CW29" i="77"/>
  <c r="F30" i="59"/>
  <c r="CU26" i="77"/>
  <c r="CU29"/>
  <c r="N149" i="59"/>
  <c r="CV26" i="77"/>
  <c r="CV29"/>
  <c r="CW26"/>
  <c r="F175" i="59" l="1"/>
  <c r="F31"/>
  <c r="AM74" i="67"/>
  <c r="AN148"/>
  <c r="CW31" i="77"/>
  <c r="CV31"/>
  <c r="CV28"/>
  <c r="CU31"/>
  <c r="CW28"/>
  <c r="CU28"/>
  <c r="AW115" i="4"/>
  <c r="AH129"/>
  <c r="AH133" s="1"/>
  <c r="O50" i="84"/>
  <c r="O70" s="1"/>
  <c r="O51"/>
  <c r="O71" s="1"/>
  <c r="O52"/>
  <c r="O72" s="1"/>
  <c r="O61"/>
  <c r="O51" i="42"/>
  <c r="O71" s="1"/>
  <c r="O52"/>
  <c r="O72" s="1"/>
  <c r="O53"/>
  <c r="O73" s="1"/>
  <c r="O62"/>
  <c r="AC133" i="4"/>
  <c r="CV32" i="76"/>
  <c r="CV40" s="1"/>
  <c r="CV109" s="1"/>
  <c r="CW32"/>
  <c r="CW40" s="1"/>
  <c r="CW109" s="1"/>
  <c r="AE133" i="4"/>
  <c r="BU129"/>
  <c r="BY129" s="1"/>
  <c r="BK129"/>
  <c r="BP129"/>
  <c r="BT129" s="1"/>
  <c r="CA115"/>
  <c r="CU32" i="76"/>
  <c r="CU40" s="1"/>
  <c r="CU109" s="1"/>
  <c r="K33" i="89"/>
  <c r="CU29" i="78"/>
  <c r="CW26"/>
  <c r="V29"/>
  <c r="CW29"/>
  <c r="O149" i="59"/>
  <c r="CU26" i="78"/>
  <c r="V26"/>
  <c r="CV29"/>
  <c r="F35" i="59"/>
  <c r="CV26" i="78"/>
  <c r="F182" i="59" l="1"/>
  <c r="CU32" i="77"/>
  <c r="CU40" s="1"/>
  <c r="CU109" s="1"/>
  <c r="AL74" i="67"/>
  <c r="AM148"/>
  <c r="CV32" i="77"/>
  <c r="CV40" s="1"/>
  <c r="CV109" s="1"/>
  <c r="CW28" i="78"/>
  <c r="CU28"/>
  <c r="CW31"/>
  <c r="CU31"/>
  <c r="V28"/>
  <c r="CV28"/>
  <c r="V31"/>
  <c r="CV31"/>
  <c r="AW129" i="4"/>
  <c r="BH115"/>
  <c r="CW32" i="77"/>
  <c r="CW40" s="1"/>
  <c r="CW109" s="1"/>
  <c r="BK133" i="4"/>
  <c r="BP133"/>
  <c r="BT133" s="1"/>
  <c r="BU133"/>
  <c r="BY133" s="1"/>
  <c r="BH94" i="67"/>
  <c r="Z74"/>
  <c r="Z148" s="1"/>
  <c r="Y74"/>
  <c r="Y148" s="1"/>
  <c r="X74"/>
  <c r="J133" i="41"/>
  <c r="J61" i="42"/>
  <c r="J60" i="84"/>
  <c r="J135" i="41"/>
  <c r="J62" i="42"/>
  <c r="J61" i="84"/>
  <c r="BH96" i="67"/>
  <c r="M133" i="41"/>
  <c r="M25" i="76"/>
  <c r="V29" i="73"/>
  <c r="F59" i="59"/>
  <c r="V25" i="73"/>
  <c r="F60" i="59"/>
  <c r="M25" i="73"/>
  <c r="P149" i="59"/>
  <c r="F45"/>
  <c r="V26" i="73"/>
  <c r="N26"/>
  <c r="O29"/>
  <c r="F46" i="59" l="1"/>
  <c r="F180" s="1"/>
  <c r="AL148" i="67"/>
  <c r="AW133" i="4"/>
  <c r="BH129"/>
  <c r="CW32" i="78"/>
  <c r="CW40" s="1"/>
  <c r="CW109" s="1"/>
  <c r="CV32"/>
  <c r="CV40" s="1"/>
  <c r="CV109" s="1"/>
  <c r="CU32"/>
  <c r="CU40" s="1"/>
  <c r="CU109" s="1"/>
  <c r="V28" i="73"/>
  <c r="M32"/>
  <c r="V31"/>
  <c r="O31"/>
  <c r="O32" s="1"/>
  <c r="N28"/>
  <c r="N32" s="1"/>
  <c r="M32" i="76"/>
  <c r="M61" i="42"/>
  <c r="M60" i="84"/>
  <c r="M135" i="41"/>
  <c r="M62" i="42"/>
  <c r="M61" i="84"/>
  <c r="Q149" i="59"/>
  <c r="N26" i="76"/>
  <c r="V29"/>
  <c r="V26"/>
  <c r="O29"/>
  <c r="V25"/>
  <c r="F40" i="59"/>
  <c r="F43" l="1"/>
  <c r="F179" s="1"/>
  <c r="N28" i="76"/>
  <c r="N32" s="1"/>
  <c r="V28"/>
  <c r="O31"/>
  <c r="O32" s="1"/>
  <c r="V31"/>
  <c r="I135" i="41"/>
  <c r="I62" i="42"/>
  <c r="I61" i="84"/>
  <c r="O28" i="30"/>
  <c r="O133" i="41"/>
  <c r="O61" i="42"/>
  <c r="O60" i="84"/>
  <c r="V29" i="72"/>
  <c r="V26"/>
  <c r="N26" i="78"/>
  <c r="M25"/>
  <c r="V25" i="72"/>
  <c r="O29" i="78"/>
  <c r="O31" l="1"/>
  <c r="O32" s="1"/>
  <c r="M32"/>
  <c r="N28"/>
  <c r="N32" s="1"/>
  <c r="V31" i="72"/>
  <c r="V28"/>
  <c r="L133" i="41"/>
  <c r="L61" i="42"/>
  <c r="L60" i="84"/>
  <c r="L135" i="41"/>
  <c r="L62" i="42"/>
  <c r="L61" i="84"/>
  <c r="F25" i="89"/>
  <c r="M25" s="1"/>
  <c r="M33"/>
  <c r="Q84" i="77"/>
  <c r="X84"/>
  <c r="AM84"/>
  <c r="Q84" i="76"/>
  <c r="X84"/>
  <c r="AM84"/>
  <c r="N25" i="89"/>
  <c r="N135" i="41"/>
  <c r="N62" i="42"/>
  <c r="N61" i="84"/>
  <c r="N33" i="89"/>
  <c r="F19" i="69"/>
  <c r="N19" s="1"/>
  <c r="X84" i="78"/>
  <c r="V25" i="77"/>
  <c r="O29" i="75"/>
  <c r="N26"/>
  <c r="M25"/>
  <c r="V26" i="77"/>
  <c r="V25" i="75"/>
  <c r="V26"/>
  <c r="V29" i="77"/>
  <c r="V29" i="75"/>
  <c r="O19" i="69" l="1"/>
  <c r="V28" i="77"/>
  <c r="V28" i="75"/>
  <c r="M32"/>
  <c r="V31" i="77"/>
  <c r="V31" i="75"/>
  <c r="O31"/>
  <c r="O32" s="1"/>
  <c r="N28"/>
  <c r="N32" s="1"/>
  <c r="L28" i="30" l="1"/>
  <c r="X84" i="75"/>
  <c r="L25" i="89" l="1"/>
  <c r="L33"/>
  <c r="L19" i="69"/>
  <c r="M28" i="30"/>
  <c r="M19" i="69" l="1"/>
  <c r="K133" i="41"/>
  <c r="K61" i="42"/>
  <c r="K60" i="84"/>
  <c r="M25" i="74"/>
  <c r="N26"/>
  <c r="O29"/>
  <c r="M32" l="1"/>
  <c r="N28"/>
  <c r="N32" s="1"/>
  <c r="O31"/>
  <c r="O32" s="1"/>
  <c r="N28" i="30" l="1"/>
  <c r="N133" i="41" l="1"/>
  <c r="M25" i="77"/>
  <c r="M32" l="1"/>
  <c r="N61" i="42"/>
  <c r="N26" i="77"/>
  <c r="N28" l="1"/>
  <c r="N32" s="1"/>
  <c r="N60" i="84"/>
  <c r="O29" i="77"/>
  <c r="O31" l="1"/>
  <c r="O32" s="1"/>
  <c r="Q84" i="75"/>
  <c r="AM84"/>
  <c r="Q84" i="78"/>
  <c r="AM84"/>
  <c r="J25" i="89" l="1"/>
  <c r="J33"/>
  <c r="X84" i="73"/>
  <c r="J19" i="69"/>
  <c r="J28" i="30" l="1"/>
  <c r="I133" i="41"/>
  <c r="M25" i="72"/>
  <c r="M32" l="1"/>
  <c r="I61" i="42"/>
  <c r="I60" i="84"/>
  <c r="O29" i="72"/>
  <c r="N26"/>
  <c r="O31" l="1"/>
  <c r="O32" s="1"/>
  <c r="N28"/>
  <c r="N32" s="1"/>
  <c r="Q84" i="74"/>
  <c r="X84"/>
  <c r="AM84"/>
  <c r="K25" i="89"/>
  <c r="K19" i="69"/>
  <c r="AM109" i="78" l="1"/>
  <c r="AM109" i="77"/>
  <c r="AM109" i="76"/>
  <c r="AM109" i="75"/>
  <c r="Q84" i="73" l="1"/>
  <c r="AM84"/>
  <c r="K28" i="30" l="1"/>
  <c r="AM109" i="74" l="1"/>
  <c r="AM109" i="73" l="1"/>
  <c r="I25" i="89"/>
  <c r="I33"/>
  <c r="H25"/>
  <c r="H135" i="41"/>
  <c r="H62" i="42"/>
  <c r="H61" i="84"/>
  <c r="V26" i="71"/>
  <c r="V25"/>
  <c r="V29"/>
  <c r="V28" l="1"/>
  <c r="V31"/>
  <c r="H33" i="89" l="1"/>
  <c r="H19" i="69" l="1"/>
  <c r="G133" i="41"/>
  <c r="G61" i="42"/>
  <c r="G60" i="84"/>
  <c r="G135" i="41"/>
  <c r="G62" i="42"/>
  <c r="G61" i="84"/>
  <c r="I84" i="71"/>
  <c r="Q84" s="1"/>
  <c r="X84"/>
  <c r="AM84"/>
  <c r="V25" i="70"/>
  <c r="N26"/>
  <c r="O29"/>
  <c r="M25"/>
  <c r="V29"/>
  <c r="V26"/>
  <c r="V28" l="1"/>
  <c r="N28"/>
  <c r="N32" s="1"/>
  <c r="V31"/>
  <c r="O31"/>
  <c r="O32" s="1"/>
  <c r="M32"/>
  <c r="X84" i="72" l="1"/>
  <c r="I19" i="69"/>
  <c r="I28" i="30" l="1"/>
  <c r="G17" i="48" l="1"/>
  <c r="G51" s="1"/>
  <c r="G25" i="89"/>
  <c r="G33"/>
  <c r="G78" i="48"/>
  <c r="G81"/>
  <c r="X54" i="70"/>
  <c r="AM54"/>
  <c r="G76" i="48" l="1"/>
  <c r="G74"/>
  <c r="AM55" i="70"/>
  <c r="AM84" s="1"/>
  <c r="X55"/>
  <c r="X84" s="1"/>
  <c r="H28" i="30"/>
  <c r="U54" i="70"/>
  <c r="I54"/>
  <c r="U55" l="1"/>
  <c r="I55"/>
  <c r="I84" s="1"/>
  <c r="Q84" s="1"/>
  <c r="H133" i="41" l="1"/>
  <c r="H61" i="42"/>
  <c r="H60" i="84"/>
  <c r="G28" i="30"/>
  <c r="M25" i="71"/>
  <c r="N26"/>
  <c r="O29"/>
  <c r="N28" l="1"/>
  <c r="N32" s="1"/>
  <c r="O31"/>
  <c r="O32" s="1"/>
  <c r="M32"/>
  <c r="Q84" i="72"/>
  <c r="AM84" l="1"/>
  <c r="G19" i="69" l="1"/>
  <c r="X84" i="29" l="1"/>
  <c r="Z84"/>
  <c r="AM109" i="72"/>
  <c r="AM109" i="70" l="1"/>
  <c r="M40"/>
  <c r="M109" s="1"/>
  <c r="N40"/>
  <c r="N109" s="1"/>
  <c r="O40"/>
  <c r="O109" s="1"/>
  <c r="I38" i="59"/>
  <c r="I11"/>
  <c r="I10"/>
  <c r="I12"/>
  <c r="F28" i="30" l="1"/>
  <c r="I84" i="29"/>
  <c r="Q84" s="1"/>
  <c r="AM84"/>
  <c r="AN84"/>
  <c r="AO84"/>
  <c r="F61" i="42" l="1"/>
  <c r="F60" i="84"/>
  <c r="N26" i="29"/>
  <c r="O29"/>
  <c r="N28" l="1"/>
  <c r="N32" s="1"/>
  <c r="N40" s="1"/>
  <c r="N109" s="1"/>
  <c r="O31"/>
  <c r="O32" s="1"/>
  <c r="O40" s="1"/>
  <c r="O109" s="1"/>
  <c r="AM109"/>
  <c r="AN109"/>
  <c r="AO109"/>
  <c r="H40" i="59"/>
  <c r="H11"/>
  <c r="H38"/>
  <c r="H45"/>
  <c r="F9" i="46"/>
  <c r="H12" i="59"/>
  <c r="AM109" i="71" l="1"/>
  <c r="M40" i="78"/>
  <c r="M109" s="1"/>
  <c r="N40"/>
  <c r="N109" s="1"/>
  <c r="O40"/>
  <c r="O109" s="1"/>
  <c r="F49" i="46"/>
  <c r="Q12" i="59"/>
  <c r="Q38"/>
  <c r="Q10"/>
  <c r="Q11"/>
  <c r="J38"/>
  <c r="F72" i="46" l="1"/>
  <c r="N54"/>
  <c r="N74" s="1"/>
  <c r="N75" s="1"/>
  <c r="N78" s="1"/>
  <c r="N79" s="1"/>
  <c r="N106" s="1"/>
  <c r="O54"/>
  <c r="O74" s="1"/>
  <c r="O75" s="1"/>
  <c r="O78" s="1"/>
  <c r="O79" s="1"/>
  <c r="O106" s="1"/>
  <c r="K54"/>
  <c r="K74" s="1"/>
  <c r="K75" s="1"/>
  <c r="K78" s="1"/>
  <c r="K79" s="1"/>
  <c r="K106" s="1"/>
  <c r="G54"/>
  <c r="G74" s="1"/>
  <c r="G75" s="1"/>
  <c r="G78" s="1"/>
  <c r="G79" s="1"/>
  <c r="G106" s="1"/>
  <c r="L54"/>
  <c r="L74" s="1"/>
  <c r="L75" s="1"/>
  <c r="L78" s="1"/>
  <c r="L79" s="1"/>
  <c r="L106" s="1"/>
  <c r="H54"/>
  <c r="H74" s="1"/>
  <c r="H75" s="1"/>
  <c r="H78" s="1"/>
  <c r="H79" s="1"/>
  <c r="H106" s="1"/>
  <c r="M54"/>
  <c r="M74" s="1"/>
  <c r="M75" s="1"/>
  <c r="M78" s="1"/>
  <c r="M79" s="1"/>
  <c r="M106" s="1"/>
  <c r="I54"/>
  <c r="I74" s="1"/>
  <c r="I75" s="1"/>
  <c r="I78" s="1"/>
  <c r="I79" s="1"/>
  <c r="I106" s="1"/>
  <c r="J54"/>
  <c r="J74" s="1"/>
  <c r="J75" s="1"/>
  <c r="J78" s="1"/>
  <c r="J79" s="1"/>
  <c r="J106" s="1"/>
  <c r="F54"/>
  <c r="F74" s="1"/>
  <c r="M40" i="76"/>
  <c r="M109" s="1"/>
  <c r="N40"/>
  <c r="N109" s="1"/>
  <c r="O40"/>
  <c r="O109" s="1"/>
  <c r="M40" i="72"/>
  <c r="M109" s="1"/>
  <c r="N40"/>
  <c r="N109" s="1"/>
  <c r="O40"/>
  <c r="O109" s="1"/>
  <c r="M40" i="77"/>
  <c r="M109" s="1"/>
  <c r="N40"/>
  <c r="N109" s="1"/>
  <c r="O40"/>
  <c r="O109" s="1"/>
  <c r="M40" i="75"/>
  <c r="M109" s="1"/>
  <c r="N40"/>
  <c r="N109" s="1"/>
  <c r="O40"/>
  <c r="O109" s="1"/>
  <c r="M40" i="73"/>
  <c r="M109" s="1"/>
  <c r="N40"/>
  <c r="N109" s="1"/>
  <c r="O40"/>
  <c r="O109" s="1"/>
  <c r="BH53" i="76"/>
  <c r="N11" i="59"/>
  <c r="P12"/>
  <c r="P10"/>
  <c r="L38"/>
  <c r="O38"/>
  <c r="BH53" i="78"/>
  <c r="N12" i="59"/>
  <c r="K12"/>
  <c r="L10"/>
  <c r="BH53" i="70"/>
  <c r="L12" i="59"/>
  <c r="K11"/>
  <c r="N38"/>
  <c r="L11"/>
  <c r="BH53" i="71"/>
  <c r="K10" i="59"/>
  <c r="K38"/>
  <c r="O11"/>
  <c r="BH53" i="73"/>
  <c r="BH53" i="74"/>
  <c r="BH53" i="72"/>
  <c r="O12" i="59"/>
  <c r="P38"/>
  <c r="BH53" i="75"/>
  <c r="P11" i="59"/>
  <c r="BH53" i="77"/>
  <c r="O10" i="59"/>
  <c r="N10"/>
  <c r="H80" i="46" l="1"/>
  <c r="H85" s="1"/>
  <c r="H103" s="1"/>
  <c r="G80"/>
  <c r="G84" s="1"/>
  <c r="O80"/>
  <c r="O85" s="1"/>
  <c r="O103" s="1"/>
  <c r="I80"/>
  <c r="I85" s="1"/>
  <c r="I103" s="1"/>
  <c r="K80"/>
  <c r="K85" s="1"/>
  <c r="K103" s="1"/>
  <c r="L80"/>
  <c r="L84" s="1"/>
  <c r="N80"/>
  <c r="N84" s="1"/>
  <c r="J80"/>
  <c r="J85" s="1"/>
  <c r="J103" s="1"/>
  <c r="M80"/>
  <c r="M85" s="1"/>
  <c r="M103" s="1"/>
  <c r="F75"/>
  <c r="F78" s="1"/>
  <c r="F79" s="1"/>
  <c r="F106" s="1"/>
  <c r="BH55" i="71"/>
  <c r="BH55" i="75"/>
  <c r="BH55" i="70"/>
  <c r="BH55" i="74"/>
  <c r="BH55" i="78"/>
  <c r="BH55" i="73"/>
  <c r="BH55" i="77"/>
  <c r="BH55" i="72"/>
  <c r="BH55" i="76"/>
  <c r="M40" i="71"/>
  <c r="M109" s="1"/>
  <c r="N40"/>
  <c r="N109" s="1"/>
  <c r="O40"/>
  <c r="O109" s="1"/>
  <c r="W53" i="76"/>
  <c r="J11" i="59"/>
  <c r="J10"/>
  <c r="W53" i="74"/>
  <c r="J12" i="59"/>
  <c r="W53" i="73"/>
  <c r="W53" i="71"/>
  <c r="BH53" i="29"/>
  <c r="W53" i="72"/>
  <c r="W53" i="78"/>
  <c r="O86" i="46" l="1"/>
  <c r="O104" s="1"/>
  <c r="N86"/>
  <c r="N104" s="1"/>
  <c r="H83"/>
  <c r="H101" s="1"/>
  <c r="O83"/>
  <c r="O101" s="1"/>
  <c r="K86"/>
  <c r="K104" s="1"/>
  <c r="H86"/>
  <c r="H104" s="1"/>
  <c r="M86"/>
  <c r="M104" s="1"/>
  <c r="O105"/>
  <c r="O84"/>
  <c r="O92" s="1"/>
  <c r="O118" s="1"/>
  <c r="H105"/>
  <c r="H84"/>
  <c r="H91" s="1"/>
  <c r="H117" s="1"/>
  <c r="I86"/>
  <c r="I104" s="1"/>
  <c r="G86"/>
  <c r="G104" s="1"/>
  <c r="I83"/>
  <c r="I101" s="1"/>
  <c r="G83"/>
  <c r="G101" s="1"/>
  <c r="I105"/>
  <c r="I84"/>
  <c r="I90" s="1"/>
  <c r="I116" s="1"/>
  <c r="G105"/>
  <c r="G85"/>
  <c r="G103" s="1"/>
  <c r="K84"/>
  <c r="K90" s="1"/>
  <c r="K116" s="1"/>
  <c r="M83"/>
  <c r="M101" s="1"/>
  <c r="N83"/>
  <c r="N101" s="1"/>
  <c r="K105"/>
  <c r="K83"/>
  <c r="K101" s="1"/>
  <c r="J86"/>
  <c r="J104" s="1"/>
  <c r="L86"/>
  <c r="L104" s="1"/>
  <c r="J83"/>
  <c r="J101" s="1"/>
  <c r="L83"/>
  <c r="L101" s="1"/>
  <c r="F80"/>
  <c r="F83" s="1"/>
  <c r="J105"/>
  <c r="J84"/>
  <c r="J91" s="1"/>
  <c r="J117" s="1"/>
  <c r="L105"/>
  <c r="L85"/>
  <c r="L103" s="1"/>
  <c r="M105"/>
  <c r="M84"/>
  <c r="M107" s="1"/>
  <c r="N105"/>
  <c r="N85"/>
  <c r="N103" s="1"/>
  <c r="W55" i="72"/>
  <c r="W55" i="73"/>
  <c r="W55" i="74"/>
  <c r="BH55" i="29"/>
  <c r="W55" i="76"/>
  <c r="W55" i="78"/>
  <c r="W55" i="71"/>
  <c r="L102" i="46"/>
  <c r="N102"/>
  <c r="G102"/>
  <c r="N97" i="48"/>
  <c r="J97"/>
  <c r="Y53" i="78"/>
  <c r="V53" i="70"/>
  <c r="W53" i="77"/>
  <c r="BP53" i="71"/>
  <c r="S53" i="73"/>
  <c r="AB53" i="71"/>
  <c r="AB53" i="75"/>
  <c r="AB53" i="72"/>
  <c r="AB53" i="73"/>
  <c r="Y53" i="72"/>
  <c r="Y53" i="71"/>
  <c r="Y53" i="73"/>
  <c r="S53" i="74"/>
  <c r="S53" i="76"/>
  <c r="V53" i="77"/>
  <c r="S53" i="71"/>
  <c r="S53" i="75"/>
  <c r="M38" i="59"/>
  <c r="W53" i="75"/>
  <c r="BO53" i="74"/>
  <c r="V53" i="75"/>
  <c r="W53" i="70"/>
  <c r="BO53" i="72"/>
  <c r="S53"/>
  <c r="BI53" i="76"/>
  <c r="AB53"/>
  <c r="AB53" i="70"/>
  <c r="Y53" i="77"/>
  <c r="Y53" i="75"/>
  <c r="AB53" i="77"/>
  <c r="Y53" i="74"/>
  <c r="BQ53" i="78"/>
  <c r="AB53" i="74"/>
  <c r="S53" i="78"/>
  <c r="Y53" i="70"/>
  <c r="S53"/>
  <c r="AB53" i="78"/>
  <c r="S53" i="77"/>
  <c r="BP53" i="73"/>
  <c r="Y53" i="76"/>
  <c r="K92" i="46" l="1"/>
  <c r="K118" s="1"/>
  <c r="K91"/>
  <c r="K117" s="1"/>
  <c r="K102"/>
  <c r="H90"/>
  <c r="H116" s="1"/>
  <c r="AB55" i="78"/>
  <c r="J90" i="46"/>
  <c r="J116" s="1"/>
  <c r="H92"/>
  <c r="H118" s="1"/>
  <c r="J92"/>
  <c r="J118" s="1"/>
  <c r="J102"/>
  <c r="H102"/>
  <c r="AB55" i="77"/>
  <c r="H107" i="46"/>
  <c r="O107"/>
  <c r="G91"/>
  <c r="G117" s="1"/>
  <c r="O91"/>
  <c r="O117" s="1"/>
  <c r="AB55" i="71"/>
  <c r="AB55" i="74"/>
  <c r="G90" i="46"/>
  <c r="G116" s="1"/>
  <c r="G92"/>
  <c r="G118" s="1"/>
  <c r="O102"/>
  <c r="O90"/>
  <c r="O116" s="1"/>
  <c r="AB55" i="76"/>
  <c r="Y55" i="71"/>
  <c r="Y84" s="1"/>
  <c r="Y55" i="78"/>
  <c r="Y84" s="1"/>
  <c r="AB55" i="72"/>
  <c r="AB55" i="70"/>
  <c r="N92" i="46"/>
  <c r="N118" s="1"/>
  <c r="M91"/>
  <c r="M117" s="1"/>
  <c r="L92"/>
  <c r="L118" s="1"/>
  <c r="I91"/>
  <c r="I117" s="1"/>
  <c r="I102"/>
  <c r="F86"/>
  <c r="F104" s="1"/>
  <c r="J107"/>
  <c r="Y55" i="70"/>
  <c r="Y84" s="1"/>
  <c r="Y55" i="72"/>
  <c r="Y84" s="1"/>
  <c r="W55" i="70"/>
  <c r="I107" i="46"/>
  <c r="M102"/>
  <c r="G107"/>
  <c r="I92"/>
  <c r="I118" s="1"/>
  <c r="N90"/>
  <c r="N116" s="1"/>
  <c r="N91"/>
  <c r="N117" s="1"/>
  <c r="M92"/>
  <c r="M118" s="1"/>
  <c r="M90"/>
  <c r="M116" s="1"/>
  <c r="L90"/>
  <c r="L116" s="1"/>
  <c r="L91"/>
  <c r="L117" s="1"/>
  <c r="F84"/>
  <c r="F102" s="1"/>
  <c r="K107"/>
  <c r="L107"/>
  <c r="Y55" i="74"/>
  <c r="Y84" s="1"/>
  <c r="AB55" i="73"/>
  <c r="AB55" i="75"/>
  <c r="F105" i="46"/>
  <c r="F85"/>
  <c r="F103" s="1"/>
  <c r="W55" i="75"/>
  <c r="Y55"/>
  <c r="Y84" s="1"/>
  <c r="Y55" i="73"/>
  <c r="Y84" s="1"/>
  <c r="N107" i="46"/>
  <c r="Y55" i="77"/>
  <c r="Y84" s="1"/>
  <c r="Y55" i="76"/>
  <c r="Y84" s="1"/>
  <c r="W55" i="77"/>
  <c r="S55" i="75"/>
  <c r="AK53"/>
  <c r="V55" i="70"/>
  <c r="V84" s="1"/>
  <c r="BQ55" i="78"/>
  <c r="S55" i="73"/>
  <c r="S55" i="72"/>
  <c r="S55" i="71"/>
  <c r="S55" i="70"/>
  <c r="S84" s="1"/>
  <c r="AK53"/>
  <c r="S55" i="74"/>
  <c r="S55" i="78"/>
  <c r="S55" i="77"/>
  <c r="BO55" i="72"/>
  <c r="S55" i="76"/>
  <c r="BP55" i="73"/>
  <c r="BP55" i="71"/>
  <c r="BO55" i="74"/>
  <c r="V55" i="77"/>
  <c r="V84" s="1"/>
  <c r="V55" i="75"/>
  <c r="V84" s="1"/>
  <c r="BI55" i="76"/>
  <c r="BJ55" s="1"/>
  <c r="BJ53"/>
  <c r="F101" i="46"/>
  <c r="J119"/>
  <c r="G97" i="48"/>
  <c r="BP53" i="78"/>
  <c r="BP53" i="70"/>
  <c r="BO53" i="73"/>
  <c r="BQ53" i="74"/>
  <c r="BO53" i="76"/>
  <c r="V53"/>
  <c r="BQ53" i="72"/>
  <c r="BI53" i="78"/>
  <c r="BI53" i="71"/>
  <c r="V53" i="29"/>
  <c r="BI53" i="74"/>
  <c r="BI53" i="75"/>
  <c r="BQ53" i="71"/>
  <c r="W53" i="29"/>
  <c r="BO53" i="75"/>
  <c r="BO53" i="70"/>
  <c r="V53" i="74"/>
  <c r="BI53" i="70"/>
  <c r="BP53" i="74"/>
  <c r="BI53" i="73"/>
  <c r="Y53" i="29"/>
  <c r="BO53" i="71"/>
  <c r="BI53" i="72"/>
  <c r="BP53" i="75"/>
  <c r="BQ53" i="77"/>
  <c r="V53" i="73"/>
  <c r="V53" i="78"/>
  <c r="BI53" i="77"/>
  <c r="BO53" i="78"/>
  <c r="V53" i="71"/>
  <c r="BQ53" i="76"/>
  <c r="BP53" i="72"/>
  <c r="BO53" i="77"/>
  <c r="BQ53" i="70"/>
  <c r="BP53" i="76"/>
  <c r="V53" i="72"/>
  <c r="BQ53" i="75"/>
  <c r="AB53" i="29"/>
  <c r="BQ53" i="73"/>
  <c r="BP53" i="77"/>
  <c r="S53" i="29"/>
  <c r="BQ55" i="74" l="1"/>
  <c r="BP55"/>
  <c r="V55"/>
  <c r="V84" s="1"/>
  <c r="AK53"/>
  <c r="BO55" i="71"/>
  <c r="BO55" i="73"/>
  <c r="BQ55" i="71"/>
  <c r="DH53" i="73"/>
  <c r="BQ55"/>
  <c r="V55"/>
  <c r="V84" s="1"/>
  <c r="AK53"/>
  <c r="AK53" i="71"/>
  <c r="V55"/>
  <c r="V84" s="1"/>
  <c r="BI55"/>
  <c r="BJ55" s="1"/>
  <c r="BJ53"/>
  <c r="BI55" i="78"/>
  <c r="BJ55" s="1"/>
  <c r="BP55" i="70"/>
  <c r="BP55" i="78"/>
  <c r="G119" i="46"/>
  <c r="V55" i="78"/>
  <c r="V84" s="1"/>
  <c r="BO55" i="70"/>
  <c r="DH53"/>
  <c r="BO55" i="78"/>
  <c r="BQ55" i="70"/>
  <c r="BQ55" i="75"/>
  <c r="BQ55" i="77"/>
  <c r="BP55" i="72"/>
  <c r="BP55" i="76"/>
  <c r="BJ53" i="73"/>
  <c r="BI55"/>
  <c r="BJ55" s="1"/>
  <c r="V55" i="72"/>
  <c r="V84" s="1"/>
  <c r="AK53"/>
  <c r="AB55" i="29"/>
  <c r="BQ55" i="72"/>
  <c r="AK53" i="76"/>
  <c r="BL53" s="1"/>
  <c r="V55"/>
  <c r="V84" s="1"/>
  <c r="BJ53" i="70"/>
  <c r="BL53" s="1"/>
  <c r="BI55"/>
  <c r="BJ55" s="1"/>
  <c r="BJ53" i="72"/>
  <c r="BI55"/>
  <c r="BJ55" s="1"/>
  <c r="F90" i="46"/>
  <c r="F116" s="1"/>
  <c r="BO55" i="75"/>
  <c r="BQ55" i="76"/>
  <c r="DH53" i="77"/>
  <c r="BO55"/>
  <c r="BP55" i="75"/>
  <c r="BO55" i="76"/>
  <c r="BP55" i="77"/>
  <c r="N119" i="46"/>
  <c r="F91"/>
  <c r="F117" s="1"/>
  <c r="BI55" i="74"/>
  <c r="BJ55" s="1"/>
  <c r="BJ53"/>
  <c r="BL53" s="1"/>
  <c r="F107" i="46"/>
  <c r="F92"/>
  <c r="F118" s="1"/>
  <c r="BJ53" i="75"/>
  <c r="BL53" s="1"/>
  <c r="BI55"/>
  <c r="BJ55" s="1"/>
  <c r="Y55" i="29"/>
  <c r="Y84" s="1"/>
  <c r="W55"/>
  <c r="BI55" i="77"/>
  <c r="BJ55" s="1"/>
  <c r="V55" i="29"/>
  <c r="V84" s="1"/>
  <c r="S55"/>
  <c r="AK53"/>
  <c r="S84" i="76"/>
  <c r="AK55" i="78"/>
  <c r="BL55" s="1"/>
  <c r="S84"/>
  <c r="S84" i="74"/>
  <c r="S84" i="71"/>
  <c r="S84" i="72"/>
  <c r="AK55" i="77"/>
  <c r="S84"/>
  <c r="S84" i="73"/>
  <c r="AK55" i="75"/>
  <c r="S84"/>
  <c r="DH53" i="76"/>
  <c r="DH53" i="72"/>
  <c r="BQ53" i="29"/>
  <c r="BP53"/>
  <c r="BO53"/>
  <c r="BI53"/>
  <c r="AK55" i="73" l="1"/>
  <c r="BL55" s="1"/>
  <c r="AK55" i="74"/>
  <c r="BL55" s="1"/>
  <c r="BL53" i="71"/>
  <c r="DH55" i="73"/>
  <c r="BL53"/>
  <c r="AK55" i="72"/>
  <c r="BL55" s="1"/>
  <c r="AK55" i="71"/>
  <c r="BL55" s="1"/>
  <c r="DH55" i="78"/>
  <c r="DH55" i="70"/>
  <c r="DH55" i="77"/>
  <c r="DH55" i="76"/>
  <c r="BL55" i="77"/>
  <c r="DH55" i="72"/>
  <c r="BL53"/>
  <c r="AK55" i="76"/>
  <c r="BL55" s="1"/>
  <c r="BO55" i="29"/>
  <c r="BP55"/>
  <c r="BQ55"/>
  <c r="BJ53"/>
  <c r="BL53" s="1"/>
  <c r="BI55"/>
  <c r="BJ55" s="1"/>
  <c r="BL55" i="75"/>
  <c r="AK55" i="29"/>
  <c r="S84"/>
  <c r="I119" i="46"/>
  <c r="I97" i="48"/>
  <c r="M97"/>
  <c r="DH55" i="75"/>
  <c r="DH55" i="74"/>
  <c r="DH55" i="71"/>
  <c r="AX41" i="60"/>
  <c r="BL55" i="29" l="1"/>
  <c r="M119" i="46"/>
  <c r="DH53" i="75" l="1"/>
  <c r="DH53" i="74"/>
  <c r="DH53" i="71"/>
  <c r="DH53" i="78"/>
  <c r="K97" i="48"/>
  <c r="L97"/>
  <c r="O97"/>
  <c r="O119" i="46"/>
  <c r="K119"/>
  <c r="H119"/>
  <c r="L119"/>
  <c r="H97" i="48"/>
  <c r="M40" i="74" l="1"/>
  <c r="M109" s="1"/>
  <c r="N40"/>
  <c r="N109" s="1"/>
  <c r="O40"/>
  <c r="O109" s="1"/>
  <c r="M12" i="59"/>
  <c r="M11"/>
  <c r="M10"/>
  <c r="Q54" i="72" l="1"/>
  <c r="I84" i="48"/>
  <c r="Q54" i="73" l="1"/>
  <c r="J84" i="48"/>
  <c r="Q54" i="74" l="1"/>
  <c r="K84" i="48"/>
  <c r="Q54" i="75" l="1"/>
  <c r="L84" i="48"/>
  <c r="Q54" i="76"/>
  <c r="M84" i="48"/>
  <c r="BJ53" i="77"/>
  <c r="AK53"/>
  <c r="BL53" l="1"/>
  <c r="Q54"/>
  <c r="N84" i="48"/>
  <c r="BJ53" i="78"/>
  <c r="AK53"/>
  <c r="BL53" l="1"/>
  <c r="Q54"/>
  <c r="AK55" i="70"/>
  <c r="Q55"/>
  <c r="BF55"/>
  <c r="O84" i="48"/>
  <c r="G108" i="46"/>
  <c r="BL55" i="70" l="1"/>
  <c r="H108" i="46"/>
  <c r="J108"/>
  <c r="K108"/>
  <c r="L108"/>
  <c r="M108"/>
  <c r="N108"/>
  <c r="DH55" i="29"/>
  <c r="DH53"/>
  <c r="O108" i="46"/>
  <c r="F119"/>
  <c r="F97" i="48"/>
  <c r="F108" i="46"/>
  <c r="I108"/>
  <c r="Q28" i="77"/>
  <c r="AK28"/>
  <c r="Q28" i="78"/>
  <c r="AK28"/>
  <c r="DH28"/>
  <c r="Q26"/>
  <c r="AK26"/>
  <c r="Q26" i="77"/>
  <c r="AK26"/>
  <c r="Q28" i="76"/>
  <c r="AK28"/>
  <c r="DH28" i="77"/>
  <c r="DH26" i="78"/>
  <c r="O74" i="42"/>
  <c r="O63"/>
  <c r="Q26" i="76"/>
  <c r="AK26"/>
  <c r="DH28"/>
  <c r="DH26" i="77"/>
  <c r="Q28" i="75"/>
  <c r="AK28"/>
  <c r="N63" i="42"/>
  <c r="N74"/>
  <c r="Q28" i="74"/>
  <c r="AK28"/>
  <c r="Q26" i="75"/>
  <c r="AK26"/>
  <c r="DH28"/>
  <c r="DH26" i="76"/>
  <c r="M74" i="42"/>
  <c r="M63"/>
  <c r="Q28" i="73"/>
  <c r="AK28"/>
  <c r="DH28" i="74"/>
  <c r="DH26" i="75"/>
  <c r="L63" i="42"/>
  <c r="L74"/>
  <c r="Q26" i="73"/>
  <c r="AK26"/>
  <c r="DH28"/>
  <c r="Q28" i="72"/>
  <c r="AK28"/>
  <c r="Q26" i="74"/>
  <c r="AK26"/>
  <c r="DH26"/>
  <c r="K63" i="42"/>
  <c r="K74"/>
  <c r="Q28" i="71"/>
  <c r="AK28"/>
  <c r="DH28" i="72"/>
  <c r="DH26" i="73"/>
  <c r="J63" i="42"/>
  <c r="J74"/>
  <c r="DH28" i="71"/>
  <c r="DH26" i="72"/>
  <c r="Q26"/>
  <c r="AK26"/>
  <c r="I63" i="42"/>
  <c r="I74"/>
  <c r="AW41" i="60"/>
  <c r="BL26" i="72" l="1"/>
  <c r="BL28"/>
  <c r="BL26" i="73"/>
  <c r="BL28"/>
  <c r="BL28" i="76"/>
  <c r="BL28" i="78"/>
  <c r="BL28" i="77"/>
  <c r="BL26" i="75"/>
  <c r="BL28" i="71"/>
  <c r="BL28" i="75"/>
  <c r="BL26" i="78"/>
  <c r="BL28" i="74"/>
  <c r="BL26" i="76"/>
  <c r="BL26" i="77"/>
  <c r="BL26" i="74"/>
  <c r="AK28" i="70"/>
  <c r="Q28"/>
  <c r="Q26"/>
  <c r="AK26"/>
  <c r="DH28"/>
  <c r="BL26" l="1"/>
  <c r="BL28"/>
  <c r="DH26" i="71"/>
  <c r="Q26"/>
  <c r="AK26"/>
  <c r="H63" i="42"/>
  <c r="H74"/>
  <c r="Q26" i="29"/>
  <c r="AK26"/>
  <c r="AK28"/>
  <c r="DH28"/>
  <c r="Q28"/>
  <c r="DH26" i="70"/>
  <c r="G63" i="42"/>
  <c r="G74"/>
  <c r="DH26" i="29"/>
  <c r="F74" i="42"/>
  <c r="F63"/>
  <c r="DH25" i="77"/>
  <c r="DH25" i="76"/>
  <c r="DH25" i="75"/>
  <c r="DH25" i="74"/>
  <c r="DH25" i="73"/>
  <c r="DH25" i="72"/>
  <c r="DH25" i="71"/>
  <c r="DH25" i="70"/>
  <c r="Q31" i="29"/>
  <c r="AK31"/>
  <c r="DH25" i="78"/>
  <c r="DH31" i="29"/>
  <c r="DH31" i="70"/>
  <c r="DH31" i="71"/>
  <c r="DH31" i="72"/>
  <c r="DH31" i="73"/>
  <c r="DH31" i="74"/>
  <c r="DH31" i="75"/>
  <c r="AK54" i="29"/>
  <c r="DH31" i="76"/>
  <c r="AK54" i="70"/>
  <c r="Q29" i="78"/>
  <c r="AK29"/>
  <c r="Q31"/>
  <c r="AK31"/>
  <c r="DH31"/>
  <c r="DH31" i="77"/>
  <c r="Q31"/>
  <c r="AK31"/>
  <c r="DH29" i="78"/>
  <c r="O73" i="84"/>
  <c r="O62"/>
  <c r="Q31" i="76"/>
  <c r="AK31"/>
  <c r="Q29" i="77"/>
  <c r="AK29"/>
  <c r="DH29"/>
  <c r="N73" i="84"/>
  <c r="N62"/>
  <c r="DH29" i="76"/>
  <c r="Q31" i="75"/>
  <c r="AK31"/>
  <c r="Q29" i="76"/>
  <c r="AK29"/>
  <c r="Q29" i="75"/>
  <c r="AK29"/>
  <c r="M62" i="84"/>
  <c r="M73"/>
  <c r="DH29" i="75"/>
  <c r="Q29" i="74"/>
  <c r="AK29"/>
  <c r="Q31"/>
  <c r="AK31"/>
  <c r="L73" i="84"/>
  <c r="L62"/>
  <c r="Q31" i="73"/>
  <c r="AK31"/>
  <c r="DH29" i="74"/>
  <c r="Q29" i="73"/>
  <c r="AK29"/>
  <c r="K73" i="84"/>
  <c r="K62"/>
  <c r="DH29" i="73"/>
  <c r="Q31" i="72"/>
  <c r="AK31"/>
  <c r="BK122" i="4"/>
  <c r="BU122"/>
  <c r="BP122"/>
  <c r="J62" i="84"/>
  <c r="J73"/>
  <c r="Q31" i="71"/>
  <c r="AK31"/>
  <c r="Q29" i="72"/>
  <c r="AK29"/>
  <c r="DH29"/>
  <c r="I73" i="84"/>
  <c r="I62"/>
  <c r="DH29" i="71"/>
  <c r="BF54" i="78"/>
  <c r="Q31" i="70"/>
  <c r="AK31"/>
  <c r="Q29" i="71"/>
  <c r="AK29"/>
  <c r="BK111" i="4"/>
  <c r="BL111"/>
  <c r="BM111"/>
  <c r="BP111"/>
  <c r="BQ111"/>
  <c r="BR111"/>
  <c r="BU111"/>
  <c r="BV111"/>
  <c r="BW111"/>
  <c r="H62" i="84"/>
  <c r="H73"/>
  <c r="Q29" i="29"/>
  <c r="AK29"/>
  <c r="BJ30" i="4"/>
  <c r="BL21"/>
  <c r="BM21"/>
  <c r="BQ21"/>
  <c r="BR21"/>
  <c r="BV21"/>
  <c r="BW21"/>
  <c r="BH21"/>
  <c r="DH29" i="70"/>
  <c r="Q54" i="29"/>
  <c r="Q29" i="70"/>
  <c r="AK29"/>
  <c r="Q54"/>
  <c r="Q54" i="71"/>
  <c r="F84" i="48"/>
  <c r="G84"/>
  <c r="G73" i="84"/>
  <c r="G62"/>
  <c r="H84" i="48"/>
  <c r="Q10" i="67"/>
  <c r="BJ10" s="1"/>
  <c r="DH29" i="29"/>
  <c r="BK77" i="4"/>
  <c r="BL77"/>
  <c r="BM77"/>
  <c r="BP77"/>
  <c r="BQ77"/>
  <c r="BR77"/>
  <c r="BU77"/>
  <c r="BV77"/>
  <c r="BW77"/>
  <c r="V35"/>
  <c r="BK35" s="1"/>
  <c r="W35"/>
  <c r="BL35" s="1"/>
  <c r="X35"/>
  <c r="BM35" s="1"/>
  <c r="BA86"/>
  <c r="BF86" s="1"/>
  <c r="AW86"/>
  <c r="BK47"/>
  <c r="BM47"/>
  <c r="BP47"/>
  <c r="BR47"/>
  <c r="BU47"/>
  <c r="BW47"/>
  <c r="Q11" i="67"/>
  <c r="BK44" i="4"/>
  <c r="BO44" s="1"/>
  <c r="BP44"/>
  <c r="BT44" s="1"/>
  <c r="BU44"/>
  <c r="BY44" s="1"/>
  <c r="V36"/>
  <c r="BK36" s="1"/>
  <c r="W36"/>
  <c r="BL36" s="1"/>
  <c r="X36"/>
  <c r="BM36" s="1"/>
  <c r="F73" i="84"/>
  <c r="F62"/>
  <c r="BM46" i="4"/>
  <c r="BO46" s="1"/>
  <c r="BR46"/>
  <c r="BT46" s="1"/>
  <c r="BW46"/>
  <c r="BY46" s="1"/>
  <c r="BK14"/>
  <c r="BL14"/>
  <c r="BM14"/>
  <c r="BP14"/>
  <c r="BQ14"/>
  <c r="BR14"/>
  <c r="BU14"/>
  <c r="BV14"/>
  <c r="BW14"/>
  <c r="R17"/>
  <c r="BP10"/>
  <c r="BQ10"/>
  <c r="BR10"/>
  <c r="R22"/>
  <c r="BH22" s="1"/>
  <c r="BH53"/>
  <c r="BA77"/>
  <c r="BF77" s="1"/>
  <c r="BK18"/>
  <c r="BL18"/>
  <c r="BM18"/>
  <c r="BP18"/>
  <c r="BQ18"/>
  <c r="BR18"/>
  <c r="BU18"/>
  <c r="BV18"/>
  <c r="BW18"/>
  <c r="BK15"/>
  <c r="BL15"/>
  <c r="BM15"/>
  <c r="BP15"/>
  <c r="BQ15"/>
  <c r="BR15"/>
  <c r="BU15"/>
  <c r="BV15"/>
  <c r="BW15"/>
  <c r="BL56"/>
  <c r="BO56" s="1"/>
  <c r="BQ56"/>
  <c r="BT56" s="1"/>
  <c r="BV56"/>
  <c r="BY56" s="1"/>
  <c r="AJ111"/>
  <c r="AJ133" s="1"/>
  <c r="AI133"/>
  <c r="BK12"/>
  <c r="BL12"/>
  <c r="BM12"/>
  <c r="BP12"/>
  <c r="BQ12"/>
  <c r="BR12"/>
  <c r="BU12"/>
  <c r="BV12"/>
  <c r="BW12"/>
  <c r="R14"/>
  <c r="BH14" s="1"/>
  <c r="BH17"/>
  <c r="R18"/>
  <c r="BH18" s="1"/>
  <c r="R27"/>
  <c r="BH27" s="1"/>
  <c r="Q9" i="67"/>
  <c r="BJ9" s="1"/>
  <c r="V34" i="4"/>
  <c r="BK34" s="1"/>
  <c r="W34"/>
  <c r="BL34" s="1"/>
  <c r="X34"/>
  <c r="BM34" s="1"/>
  <c r="R31"/>
  <c r="BL19"/>
  <c r="BM19"/>
  <c r="BQ19"/>
  <c r="BR19"/>
  <c r="BV19"/>
  <c r="BW19"/>
  <c r="BA119"/>
  <c r="BF119" s="1"/>
  <c r="BL116"/>
  <c r="BM116"/>
  <c r="BQ116"/>
  <c r="BR116"/>
  <c r="BV116"/>
  <c r="BW116"/>
  <c r="R13"/>
  <c r="BH13" s="1"/>
  <c r="V41"/>
  <c r="BK41" s="1"/>
  <c r="W41"/>
  <c r="BL41" s="1"/>
  <c r="X41"/>
  <c r="BM41" s="1"/>
  <c r="BV41"/>
  <c r="V33"/>
  <c r="BK33" s="1"/>
  <c r="W33"/>
  <c r="BL33" s="1"/>
  <c r="X33"/>
  <c r="BM33" s="1"/>
  <c r="BL65"/>
  <c r="BO65" s="1"/>
  <c r="BQ65"/>
  <c r="BT65" s="1"/>
  <c r="BV65"/>
  <c r="BY65" s="1"/>
  <c r="BM121"/>
  <c r="BO121" s="1"/>
  <c r="BR121"/>
  <c r="BT121" s="1"/>
  <c r="BW121"/>
  <c r="BY121" s="1"/>
  <c r="BM22"/>
  <c r="BO22" s="1"/>
  <c r="BR22"/>
  <c r="BT22" s="1"/>
  <c r="BW22"/>
  <c r="BY22" s="1"/>
  <c r="BQ28"/>
  <c r="BR28"/>
  <c r="BL28"/>
  <c r="BM28"/>
  <c r="BV28"/>
  <c r="BW28"/>
  <c r="BL107"/>
  <c r="BO107" s="1"/>
  <c r="BQ107"/>
  <c r="BT107" s="1"/>
  <c r="BV107"/>
  <c r="BY107" s="1"/>
  <c r="BV119"/>
  <c r="BW119"/>
  <c r="BM123"/>
  <c r="BO123" s="1"/>
  <c r="BR123"/>
  <c r="BT123" s="1"/>
  <c r="BW123"/>
  <c r="BY123" s="1"/>
  <c r="AO72"/>
  <c r="AO133" s="1"/>
  <c r="BP9"/>
  <c r="BQ9"/>
  <c r="BR9"/>
  <c r="BK9"/>
  <c r="BL9"/>
  <c r="BM9"/>
  <c r="BU9"/>
  <c r="BV9"/>
  <c r="BW9"/>
  <c r="BL64"/>
  <c r="BO64" s="1"/>
  <c r="BQ64"/>
  <c r="BT64" s="1"/>
  <c r="BV64"/>
  <c r="BY64" s="1"/>
  <c r="BP76"/>
  <c r="BQ76"/>
  <c r="BR76"/>
  <c r="BK76"/>
  <c r="BL76"/>
  <c r="BM76"/>
  <c r="BU76"/>
  <c r="BV76"/>
  <c r="BW76"/>
  <c r="BK10"/>
  <c r="BL10"/>
  <c r="BM10"/>
  <c r="BU10"/>
  <c r="BV10"/>
  <c r="BW10"/>
  <c r="BK17"/>
  <c r="BL17"/>
  <c r="BM17"/>
  <c r="BP17"/>
  <c r="BQ17"/>
  <c r="BR17"/>
  <c r="BU17"/>
  <c r="BV17"/>
  <c r="BW17"/>
  <c r="BH31"/>
  <c r="BL23"/>
  <c r="BM23"/>
  <c r="BQ23"/>
  <c r="BR23"/>
  <c r="BV23"/>
  <c r="BW23"/>
  <c r="BL60"/>
  <c r="BO60" s="1"/>
  <c r="BQ60"/>
  <c r="BT60" s="1"/>
  <c r="BV60"/>
  <c r="BY60" s="1"/>
  <c r="BL106"/>
  <c r="BO106" s="1"/>
  <c r="BQ106"/>
  <c r="BT106" s="1"/>
  <c r="BV106"/>
  <c r="BY106" s="1"/>
  <c r="T41"/>
  <c r="R47"/>
  <c r="BH47" s="1"/>
  <c r="BF47"/>
  <c r="AH17" i="67"/>
  <c r="BL62" i="4"/>
  <c r="BO62" s="1"/>
  <c r="BQ62"/>
  <c r="BT62" s="1"/>
  <c r="BV62"/>
  <c r="BY62" s="1"/>
  <c r="BL119"/>
  <c r="BM119"/>
  <c r="BQ119"/>
  <c r="BR119"/>
  <c r="Y129"/>
  <c r="AI11" i="67"/>
  <c r="BA121" i="4"/>
  <c r="BF121" s="1"/>
  <c r="R121"/>
  <c r="AR80"/>
  <c r="AW80" s="1"/>
  <c r="BH80" s="1"/>
  <c r="BF80"/>
  <c r="BD11" i="67"/>
  <c r="BV118" i="4"/>
  <c r="BY118" s="1"/>
  <c r="R45"/>
  <c r="BH45" s="1"/>
  <c r="T40"/>
  <c r="AC40" s="1"/>
  <c r="K40" s="1"/>
  <c r="R40" s="1"/>
  <c r="BH40" s="1"/>
  <c r="T39"/>
  <c r="AC39" s="1"/>
  <c r="K39" s="1"/>
  <c r="R39" s="1"/>
  <c r="BH39" s="1"/>
  <c r="T37"/>
  <c r="AC37" s="1"/>
  <c r="K37" s="1"/>
  <c r="R37" s="1"/>
  <c r="BH37" s="1"/>
  <c r="T36"/>
  <c r="R28"/>
  <c r="BH28" s="1"/>
  <c r="R46"/>
  <c r="BF46"/>
  <c r="T33"/>
  <c r="R26"/>
  <c r="BH26" s="1"/>
  <c r="R23"/>
  <c r="AC23"/>
  <c r="R25"/>
  <c r="BH25" s="1"/>
  <c r="AR82"/>
  <c r="AW82" s="1"/>
  <c r="BH82" s="1"/>
  <c r="AR78"/>
  <c r="AW78" s="1"/>
  <c r="R76"/>
  <c r="R106"/>
  <c r="BH106" s="1"/>
  <c r="AK72"/>
  <c r="AK133" s="1"/>
  <c r="R51"/>
  <c r="BH51" s="1"/>
  <c r="T38"/>
  <c r="AC38" s="1"/>
  <c r="K38" s="1"/>
  <c r="R38" s="1"/>
  <c r="BH38" s="1"/>
  <c r="T35"/>
  <c r="AC35" s="1"/>
  <c r="K35" s="1"/>
  <c r="R35" s="1"/>
  <c r="BH35" s="1"/>
  <c r="T34"/>
  <c r="R19"/>
  <c r="BH19" s="1"/>
  <c r="R52"/>
  <c r="BH52" s="1"/>
  <c r="R50"/>
  <c r="BH50" s="1"/>
  <c r="BL118"/>
  <c r="BO118" s="1"/>
  <c r="BQ118"/>
  <c r="BT118" s="1"/>
  <c r="BQ61"/>
  <c r="BT61" s="1"/>
  <c r="BL61"/>
  <c r="BO61" s="1"/>
  <c r="BV61"/>
  <c r="BY61" s="1"/>
  <c r="R119"/>
  <c r="R44"/>
  <c r="BH44" s="1"/>
  <c r="R77"/>
  <c r="R118"/>
  <c r="BH118" s="1"/>
  <c r="BE78"/>
  <c r="BF78" s="1"/>
  <c r="R107"/>
  <c r="BH107" s="1"/>
  <c r="Q43" i="67"/>
  <c r="AI43"/>
  <c r="Q33"/>
  <c r="BJ33" s="1"/>
  <c r="Q35"/>
  <c r="BJ35" s="1"/>
  <c r="Q37"/>
  <c r="BJ37" s="1"/>
  <c r="Q44"/>
  <c r="BJ44" s="1"/>
  <c r="Q34"/>
  <c r="BJ34" s="1"/>
  <c r="Q32"/>
  <c r="BJ32" s="1"/>
  <c r="Q46"/>
  <c r="BJ46" s="1"/>
  <c r="Q36"/>
  <c r="BJ36" s="1"/>
  <c r="AI41"/>
  <c r="Q41"/>
  <c r="BH30"/>
  <c r="BJ30" s="1"/>
  <c r="Q45"/>
  <c r="BJ45" s="1"/>
  <c r="Q38"/>
  <c r="BJ38" s="1"/>
  <c r="Q54"/>
  <c r="BJ54" s="1"/>
  <c r="Q58"/>
  <c r="BJ58" s="1"/>
  <c r="Q53"/>
  <c r="BJ53" s="1"/>
  <c r="Q48"/>
  <c r="BJ48" s="1"/>
  <c r="Q47"/>
  <c r="BJ47" s="1"/>
  <c r="Q42"/>
  <c r="BJ42" s="1"/>
  <c r="Q51"/>
  <c r="BJ51" s="1"/>
  <c r="BB56"/>
  <c r="BB74" s="1"/>
  <c r="BB148" s="1"/>
  <c r="BA56"/>
  <c r="Q40"/>
  <c r="BJ40" s="1"/>
  <c r="Q60"/>
  <c r="BJ60" s="1"/>
  <c r="AI83"/>
  <c r="BJ83" s="1"/>
  <c r="BD85"/>
  <c r="AI85"/>
  <c r="BD84"/>
  <c r="AI84"/>
  <c r="AI94"/>
  <c r="BJ94" s="1"/>
  <c r="BH92"/>
  <c r="BJ92" s="1"/>
  <c r="AA130"/>
  <c r="AA148" s="1"/>
  <c r="U98"/>
  <c r="U130" s="1"/>
  <c r="U141" s="1"/>
  <c r="T98"/>
  <c r="BJ96"/>
  <c r="BD95"/>
  <c r="AI95"/>
  <c r="AI127"/>
  <c r="BD127"/>
  <c r="BH127"/>
  <c r="BH126"/>
  <c r="BJ126" s="1"/>
  <c r="AI139"/>
  <c r="BH139"/>
  <c r="AI137"/>
  <c r="BH137"/>
  <c r="AI142"/>
  <c r="BD142"/>
  <c r="BF54" i="29"/>
  <c r="Q25" i="70"/>
  <c r="AK25"/>
  <c r="G147" i="41"/>
  <c r="BF54" i="70"/>
  <c r="Q25" i="71"/>
  <c r="AK25"/>
  <c r="H147" i="41"/>
  <c r="BF54" i="71"/>
  <c r="Q25" i="72"/>
  <c r="AK25"/>
  <c r="I147" i="41"/>
  <c r="BF54" i="72"/>
  <c r="Q25" i="73"/>
  <c r="AK25"/>
  <c r="J147" i="41"/>
  <c r="BF54" i="73"/>
  <c r="Q25" i="74"/>
  <c r="AK25"/>
  <c r="K147" i="41"/>
  <c r="BF54" i="74"/>
  <c r="Q25" i="75"/>
  <c r="AK25"/>
  <c r="L147" i="41"/>
  <c r="BF54" i="75"/>
  <c r="Q25" i="76"/>
  <c r="AK25"/>
  <c r="M147" i="41"/>
  <c r="BF54" i="76"/>
  <c r="Q25" i="77"/>
  <c r="AK25"/>
  <c r="N147" i="41"/>
  <c r="BF54" i="77"/>
  <c r="Q25" i="78"/>
  <c r="AK25"/>
  <c r="O147" i="41"/>
  <c r="F34" i="89"/>
  <c r="G34" s="1"/>
  <c r="F27"/>
  <c r="L27" s="1"/>
  <c r="F26"/>
  <c r="I26" s="1"/>
  <c r="F35"/>
  <c r="H35" s="1"/>
  <c r="F32"/>
  <c r="J32" s="1"/>
  <c r="F24"/>
  <c r="H24" s="1"/>
  <c r="G136" i="41"/>
  <c r="H136"/>
  <c r="I136"/>
  <c r="J136"/>
  <c r="K136"/>
  <c r="L136"/>
  <c r="M136"/>
  <c r="N136"/>
  <c r="O136"/>
  <c r="F69"/>
  <c r="F118" s="1"/>
  <c r="E18" i="6"/>
  <c r="F18" s="1"/>
  <c r="E16"/>
  <c r="E30" s="1"/>
  <c r="F30" s="1"/>
  <c r="F16"/>
  <c r="F64" i="59"/>
  <c r="F34"/>
  <c r="F135" i="41" l="1"/>
  <c r="F122"/>
  <c r="F145" s="1"/>
  <c r="F121"/>
  <c r="F144" s="1"/>
  <c r="F123"/>
  <c r="F146" s="1"/>
  <c r="F133"/>
  <c r="BV36" i="4"/>
  <c r="BH121"/>
  <c r="BL28" i="29"/>
  <c r="M27" i="89"/>
  <c r="BJ139" i="67"/>
  <c r="BJ95"/>
  <c r="K27" i="89"/>
  <c r="BJ142" i="67"/>
  <c r="BJ11"/>
  <c r="N35" i="89"/>
  <c r="N24"/>
  <c r="J35"/>
  <c r="BY28" i="4"/>
  <c r="AC34"/>
  <c r="K34" s="1"/>
  <c r="R34" s="1"/>
  <c r="BH34" s="1"/>
  <c r="BR34"/>
  <c r="BR35"/>
  <c r="BJ43" i="67"/>
  <c r="BV34" i="4"/>
  <c r="BR36"/>
  <c r="BV35"/>
  <c r="M24" i="89"/>
  <c r="I35"/>
  <c r="N26"/>
  <c r="BT116" i="4"/>
  <c r="BO116"/>
  <c r="BP34"/>
  <c r="BP36"/>
  <c r="BT47"/>
  <c r="BP35"/>
  <c r="F36" i="59"/>
  <c r="F177" s="1"/>
  <c r="X141" i="67"/>
  <c r="X143" s="1"/>
  <c r="X145" s="1"/>
  <c r="X148" s="1"/>
  <c r="U143"/>
  <c r="AI141"/>
  <c r="BJ141" s="1"/>
  <c r="BA74"/>
  <c r="BD56"/>
  <c r="BJ56" s="1"/>
  <c r="L24" i="89"/>
  <c r="I24"/>
  <c r="N32"/>
  <c r="N27"/>
  <c r="N48" s="1"/>
  <c r="K34"/>
  <c r="T130" i="67"/>
  <c r="AI98"/>
  <c r="R111" i="4"/>
  <c r="BN129"/>
  <c r="BO129" s="1"/>
  <c r="CA129" s="1"/>
  <c r="Y133"/>
  <c r="BN133" s="1"/>
  <c r="BO133" s="1"/>
  <c r="CA133" s="1"/>
  <c r="BY10"/>
  <c r="BY9"/>
  <c r="BT9"/>
  <c r="BH119"/>
  <c r="BT12"/>
  <c r="BH76"/>
  <c r="AC33"/>
  <c r="K33" s="1"/>
  <c r="R33" s="1"/>
  <c r="BH33" s="1"/>
  <c r="BH46"/>
  <c r="AC36"/>
  <c r="K36" s="1"/>
  <c r="R36" s="1"/>
  <c r="BH36" s="1"/>
  <c r="BO119"/>
  <c r="AH74" i="67"/>
  <c r="AI17"/>
  <c r="AC41" i="4"/>
  <c r="K41" s="1"/>
  <c r="R41" s="1"/>
  <c r="BH41" s="1"/>
  <c r="BO10"/>
  <c r="BO9"/>
  <c r="BR33"/>
  <c r="BY12"/>
  <c r="BO12"/>
  <c r="BH77"/>
  <c r="L35" i="89"/>
  <c r="F49"/>
  <c r="I27"/>
  <c r="I48" s="1"/>
  <c r="F48"/>
  <c r="K32"/>
  <c r="G26"/>
  <c r="M34"/>
  <c r="BY23" i="4"/>
  <c r="BO23"/>
  <c r="BV33"/>
  <c r="BR41"/>
  <c r="BO19"/>
  <c r="BW36"/>
  <c r="BU36"/>
  <c r="BQ36"/>
  <c r="BT36" s="1"/>
  <c r="BY47"/>
  <c r="BT21"/>
  <c r="BO21"/>
  <c r="G24" i="89"/>
  <c r="K24"/>
  <c r="J24"/>
  <c r="K35"/>
  <c r="M35"/>
  <c r="G35"/>
  <c r="J27"/>
  <c r="G27"/>
  <c r="H27"/>
  <c r="BJ85" i="67"/>
  <c r="BT28" i="4"/>
  <c r="BP33"/>
  <c r="BP41"/>
  <c r="BY19"/>
  <c r="BT19"/>
  <c r="BW34"/>
  <c r="BU34"/>
  <c r="BQ34"/>
  <c r="BT18"/>
  <c r="BT111"/>
  <c r="CA65"/>
  <c r="BO41"/>
  <c r="BY18"/>
  <c r="BO18"/>
  <c r="BH86"/>
  <c r="BY111"/>
  <c r="BO111"/>
  <c r="BO33"/>
  <c r="CA106"/>
  <c r="CA64"/>
  <c r="BO35"/>
  <c r="G32" i="89"/>
  <c r="L32"/>
  <c r="H26"/>
  <c r="J26"/>
  <c r="N34"/>
  <c r="L34"/>
  <c r="BJ137" i="67"/>
  <c r="BJ127"/>
  <c r="BJ84"/>
  <c r="BJ41"/>
  <c r="BH78" i="4"/>
  <c r="BH23"/>
  <c r="BT119"/>
  <c r="BT23"/>
  <c r="BY17"/>
  <c r="BO17"/>
  <c r="BO76"/>
  <c r="BY119"/>
  <c r="BO28"/>
  <c r="BW33"/>
  <c r="BU33"/>
  <c r="BQ33"/>
  <c r="BW41"/>
  <c r="BU41"/>
  <c r="BQ41"/>
  <c r="BY116"/>
  <c r="BT15"/>
  <c r="BT10"/>
  <c r="BY14"/>
  <c r="BO14"/>
  <c r="BO47"/>
  <c r="CA47" s="1"/>
  <c r="BW35"/>
  <c r="BU35"/>
  <c r="BQ35"/>
  <c r="BY77"/>
  <c r="BO77"/>
  <c r="BY21"/>
  <c r="CA61"/>
  <c r="CA62"/>
  <c r="BT17"/>
  <c r="BY76"/>
  <c r="BT76"/>
  <c r="CA22"/>
  <c r="BO34"/>
  <c r="CA56"/>
  <c r="BY15"/>
  <c r="BO15"/>
  <c r="BT14"/>
  <c r="CA46"/>
  <c r="BO36"/>
  <c r="BT77"/>
  <c r="CA118"/>
  <c r="CA60"/>
  <c r="CA107"/>
  <c r="CA123"/>
  <c r="CA121"/>
  <c r="CA44"/>
  <c r="I32" i="89"/>
  <c r="M32"/>
  <c r="H32"/>
  <c r="M26"/>
  <c r="L26"/>
  <c r="K26"/>
  <c r="J34"/>
  <c r="I34"/>
  <c r="H34"/>
  <c r="BL31" i="70"/>
  <c r="BL31" i="74"/>
  <c r="BL31" i="29"/>
  <c r="BL31" i="78"/>
  <c r="BL26" i="29"/>
  <c r="BL26" i="71"/>
  <c r="BL25" i="78"/>
  <c r="BL25" i="77"/>
  <c r="BL25" i="76"/>
  <c r="BL25" i="75"/>
  <c r="BL25" i="74"/>
  <c r="BL25" i="73"/>
  <c r="BL25" i="72"/>
  <c r="BL25" i="71"/>
  <c r="BL25" i="70"/>
  <c r="BL29" i="76"/>
  <c r="BL29" i="77"/>
  <c r="BL31" i="76"/>
  <c r="BL29" i="70"/>
  <c r="BL29" i="29"/>
  <c r="BL29" i="72"/>
  <c r="BL29" i="71"/>
  <c r="BL31" i="72"/>
  <c r="BL31" i="73"/>
  <c r="BL29" i="75"/>
  <c r="BL31" i="77"/>
  <c r="BL31" i="71"/>
  <c r="BL29" i="73"/>
  <c r="BL29" i="74"/>
  <c r="BL31" i="75"/>
  <c r="BL29" i="78"/>
  <c r="BQ25" i="29"/>
  <c r="BP25"/>
  <c r="M25"/>
  <c r="F58" i="59"/>
  <c r="H148"/>
  <c r="BO25" i="29"/>
  <c r="V25"/>
  <c r="K49" i="89" l="1"/>
  <c r="G48"/>
  <c r="AK25" i="29"/>
  <c r="M32"/>
  <c r="M40" s="1"/>
  <c r="M109" s="1"/>
  <c r="Q25"/>
  <c r="DH25"/>
  <c r="F136" i="41"/>
  <c r="F147"/>
  <c r="H49" i="89"/>
  <c r="H48"/>
  <c r="J48"/>
  <c r="L48"/>
  <c r="J49"/>
  <c r="M49"/>
  <c r="L49"/>
  <c r="K48"/>
  <c r="G49"/>
  <c r="I49"/>
  <c r="N49"/>
  <c r="M48"/>
  <c r="CA19" i="4"/>
  <c r="BT34"/>
  <c r="BT35"/>
  <c r="CA116"/>
  <c r="BY34"/>
  <c r="BT41"/>
  <c r="BY36"/>
  <c r="CA12"/>
  <c r="CA77"/>
  <c r="CA28"/>
  <c r="CA18"/>
  <c r="CA23"/>
  <c r="CA10"/>
  <c r="CA17"/>
  <c r="CA111"/>
  <c r="BT33"/>
  <c r="CA21"/>
  <c r="CA9"/>
  <c r="AH148" i="67"/>
  <c r="AI74"/>
  <c r="BA148"/>
  <c r="BD74"/>
  <c r="U145"/>
  <c r="AI143"/>
  <c r="BJ143" s="1"/>
  <c r="CA36" i="4"/>
  <c r="R133"/>
  <c r="T148" i="67"/>
  <c r="AI130"/>
  <c r="CA15" i="4"/>
  <c r="BY35"/>
  <c r="CA14"/>
  <c r="BY33"/>
  <c r="CA76"/>
  <c r="CA119"/>
  <c r="BY41"/>
  <c r="N322" i="40"/>
  <c r="H322"/>
  <c r="G322"/>
  <c r="J322"/>
  <c r="K322"/>
  <c r="O322"/>
  <c r="H320"/>
  <c r="F322"/>
  <c r="L322"/>
  <c r="I322"/>
  <c r="M322"/>
  <c r="L24" i="72"/>
  <c r="L24" i="77"/>
  <c r="K24" i="78"/>
  <c r="K24" i="70"/>
  <c r="L24"/>
  <c r="L24" i="29"/>
  <c r="F81" i="59"/>
  <c r="L24" i="76"/>
  <c r="K24" i="72"/>
  <c r="L24" i="75"/>
  <c r="F70" i="59"/>
  <c r="L24" i="74"/>
  <c r="K24" i="73"/>
  <c r="H10" i="59"/>
  <c r="K24" i="75"/>
  <c r="L24" i="71"/>
  <c r="F32" i="59"/>
  <c r="L24" i="78"/>
  <c r="K24" i="74"/>
  <c r="L24" i="73"/>
  <c r="K24" i="77"/>
  <c r="K24" i="76"/>
  <c r="BL25" i="29" l="1"/>
  <c r="F176" i="59"/>
  <c r="CA41" i="4"/>
  <c r="CA35"/>
  <c r="CA34"/>
  <c r="CA33"/>
  <c r="F82" i="59"/>
  <c r="F47"/>
  <c r="F181" s="1"/>
  <c r="U148" i="67"/>
  <c r="AI145"/>
  <c r="BD148"/>
  <c r="L320" i="40"/>
  <c r="L326" s="1"/>
  <c r="O320"/>
  <c r="O326" s="1"/>
  <c r="N320"/>
  <c r="F320"/>
  <c r="M320"/>
  <c r="M326" s="1"/>
  <c r="K320"/>
  <c r="J320"/>
  <c r="G335"/>
  <c r="G320"/>
  <c r="G326" s="1"/>
  <c r="I320"/>
  <c r="I326" s="1"/>
  <c r="J326"/>
  <c r="K326"/>
  <c r="G336"/>
  <c r="G334"/>
  <c r="K32" i="74"/>
  <c r="K40" s="1"/>
  <c r="K109" s="1"/>
  <c r="L32" i="76"/>
  <c r="L40" s="1"/>
  <c r="L109" s="1"/>
  <c r="L32" i="75"/>
  <c r="L40" s="1"/>
  <c r="L109" s="1"/>
  <c r="K32" i="70"/>
  <c r="K40" s="1"/>
  <c r="K109" s="1"/>
  <c r="L32" i="74"/>
  <c r="L40" s="1"/>
  <c r="L109" s="1"/>
  <c r="L32" i="73"/>
  <c r="L40" s="1"/>
  <c r="L109" s="1"/>
  <c r="K32" i="72"/>
  <c r="K40" s="1"/>
  <c r="K109" s="1"/>
  <c r="K32" i="76"/>
  <c r="K40" s="1"/>
  <c r="K109" s="1"/>
  <c r="L32" i="72"/>
  <c r="L40" s="1"/>
  <c r="L109" s="1"/>
  <c r="K32" i="78"/>
  <c r="K40" s="1"/>
  <c r="K109" s="1"/>
  <c r="K32" i="73"/>
  <c r="K40" s="1"/>
  <c r="K109" s="1"/>
  <c r="K32" i="75"/>
  <c r="K40" s="1"/>
  <c r="K109" s="1"/>
  <c r="K32" i="77"/>
  <c r="K40" s="1"/>
  <c r="K109" s="1"/>
  <c r="L32" i="71"/>
  <c r="L40" s="1"/>
  <c r="L109" s="1"/>
  <c r="L32" i="77"/>
  <c r="L40" s="1"/>
  <c r="L109" s="1"/>
  <c r="L32" i="78"/>
  <c r="L40" s="1"/>
  <c r="L109" s="1"/>
  <c r="L32" i="29"/>
  <c r="L40" s="1"/>
  <c r="L109" s="1"/>
  <c r="L32" i="70"/>
  <c r="L40" s="1"/>
  <c r="L109" s="1"/>
  <c r="F334" i="40"/>
  <c r="F335"/>
  <c r="F336"/>
  <c r="H326"/>
  <c r="O334"/>
  <c r="O335"/>
  <c r="O336"/>
  <c r="H334"/>
  <c r="H335"/>
  <c r="H336"/>
  <c r="BQ24" i="29"/>
  <c r="BP24"/>
  <c r="BP24" i="71"/>
  <c r="L8" i="59"/>
  <c r="BQ24" i="70"/>
  <c r="J24" i="29"/>
  <c r="O9" i="59"/>
  <c r="M8"/>
  <c r="Q9"/>
  <c r="S24" i="29"/>
  <c r="BP24" i="70"/>
  <c r="I9" i="59"/>
  <c r="BO24" i="71"/>
  <c r="BO24" i="70"/>
  <c r="F61" i="59"/>
  <c r="M9"/>
  <c r="H9"/>
  <c r="V24" i="29"/>
  <c r="P8" i="59"/>
  <c r="K24" i="29"/>
  <c r="P9" i="59"/>
  <c r="K9"/>
  <c r="O8"/>
  <c r="L9"/>
  <c r="BQ24" i="71"/>
  <c r="Q8" i="59"/>
  <c r="BO24" i="29"/>
  <c r="N9" i="59"/>
  <c r="N8"/>
  <c r="K8"/>
  <c r="K24" i="71"/>
  <c r="I8" i="59"/>
  <c r="J9"/>
  <c r="F72" l="1"/>
  <c r="AI148" i="67"/>
  <c r="K32" i="71"/>
  <c r="K40" s="1"/>
  <c r="K109" s="1"/>
  <c r="N326" i="40"/>
  <c r="K32" i="29"/>
  <c r="K40" s="1"/>
  <c r="K109" s="1"/>
  <c r="F326" i="40"/>
  <c r="Q24" i="29"/>
  <c r="G337" i="40"/>
  <c r="DH24" i="70"/>
  <c r="H337" i="40"/>
  <c r="DH24" i="29"/>
  <c r="AK24"/>
  <c r="F337" i="40"/>
  <c r="O337"/>
  <c r="DH24" i="71"/>
  <c r="I334" i="40"/>
  <c r="I335"/>
  <c r="I336"/>
  <c r="BP24" i="72"/>
  <c r="H8" i="59"/>
  <c r="J8"/>
  <c r="BQ24" i="72"/>
  <c r="BO24"/>
  <c r="BL24" i="29" l="1"/>
  <c r="I337" i="40"/>
  <c r="DH24" i="72"/>
  <c r="J334" i="40"/>
  <c r="J335"/>
  <c r="J336"/>
  <c r="BO24" i="73"/>
  <c r="BP24"/>
  <c r="BQ24"/>
  <c r="J337" i="40" l="1"/>
  <c r="DH24" i="73"/>
  <c r="K334" i="40"/>
  <c r="K335"/>
  <c r="K336"/>
  <c r="BO24" i="74"/>
  <c r="BQ24"/>
  <c r="BP24"/>
  <c r="K337" i="40" l="1"/>
  <c r="DH24" i="74"/>
  <c r="L334" i="40"/>
  <c r="L335"/>
  <c r="L336"/>
  <c r="BQ24" i="75"/>
  <c r="BP24"/>
  <c r="BO24"/>
  <c r="L337" i="40" l="1"/>
  <c r="DH24" i="75"/>
  <c r="M334" i="40"/>
  <c r="M335"/>
  <c r="M336"/>
  <c r="BP24" i="76"/>
  <c r="BQ24"/>
  <c r="BO24"/>
  <c r="M337" i="40" l="1"/>
  <c r="DH24" i="76"/>
  <c r="N334" i="40"/>
  <c r="N335"/>
  <c r="N336"/>
  <c r="BP24" i="77"/>
  <c r="BQ24"/>
  <c r="BO24"/>
  <c r="N337" i="40" l="1"/>
  <c r="DH24" i="77"/>
  <c r="F306" i="40"/>
  <c r="N306"/>
  <c r="L306"/>
  <c r="J306"/>
  <c r="H306"/>
  <c r="O306"/>
  <c r="M306"/>
  <c r="K306"/>
  <c r="I306"/>
  <c r="G306"/>
  <c r="S24" i="77"/>
  <c r="S24" i="74"/>
  <c r="J24"/>
  <c r="V24" i="73"/>
  <c r="J24" i="78"/>
  <c r="V24"/>
  <c r="S24" i="71"/>
  <c r="S24" i="76"/>
  <c r="J24" i="75"/>
  <c r="V24"/>
  <c r="J24" i="73"/>
  <c r="V24" i="77"/>
  <c r="S24" i="70"/>
  <c r="V24" i="76"/>
  <c r="J24" i="70"/>
  <c r="BO24" i="78"/>
  <c r="S24" i="72"/>
  <c r="J24" i="71"/>
  <c r="V24" i="74"/>
  <c r="S24" i="75"/>
  <c r="BQ24" i="78"/>
  <c r="S24"/>
  <c r="V24" i="72"/>
  <c r="BP24" i="78"/>
  <c r="V24" i="71"/>
  <c r="J24" i="77"/>
  <c r="J24" i="76"/>
  <c r="V24" i="70"/>
  <c r="J24" i="72"/>
  <c r="S24" i="73"/>
  <c r="Q24" i="71" l="1"/>
  <c r="Q24" i="75"/>
  <c r="Q24" i="73"/>
  <c r="Q24" i="76"/>
  <c r="AK24" i="71"/>
  <c r="AK24" i="74"/>
  <c r="S32"/>
  <c r="AK24" i="76"/>
  <c r="AK24" i="78"/>
  <c r="DH24"/>
  <c r="Q24"/>
  <c r="BL24" s="1"/>
  <c r="Q24" i="77"/>
  <c r="Q24" i="70"/>
  <c r="Q24" i="72"/>
  <c r="Q24" i="74"/>
  <c r="AK24" i="70"/>
  <c r="AK24" i="73"/>
  <c r="V32" i="74"/>
  <c r="AK24" i="75"/>
  <c r="AK24" i="77"/>
  <c r="AK24" i="72"/>
  <c r="BL24" i="74" l="1"/>
  <c r="BL24" i="72"/>
  <c r="BL24" i="70"/>
  <c r="BL24" i="73"/>
  <c r="BL24" i="71"/>
  <c r="BL24" i="77"/>
  <c r="BL24" i="76"/>
  <c r="BL24" i="75"/>
  <c r="S32" i="29" l="1"/>
  <c r="V32"/>
  <c r="BQ32" i="74" l="1"/>
  <c r="BP32" l="1"/>
  <c r="BP32" i="29" l="1"/>
  <c r="S32" i="78"/>
  <c r="V32"/>
  <c r="BQ32" i="29"/>
  <c r="S32" i="72" l="1"/>
  <c r="V32"/>
  <c r="BP32" i="78" l="1"/>
  <c r="S32" i="73" l="1"/>
  <c r="BQ32" i="78"/>
  <c r="BO32" l="1"/>
  <c r="S32" i="75" l="1"/>
  <c r="BQ32" i="72"/>
  <c r="BP32" l="1"/>
  <c r="BP32" i="73" l="1"/>
  <c r="S32" i="71" l="1"/>
  <c r="V32"/>
  <c r="BQ32" i="73" l="1"/>
  <c r="S32" i="76" l="1"/>
  <c r="BQ32" i="75"/>
  <c r="BP32" l="1"/>
  <c r="S32" i="77" l="1"/>
  <c r="V32"/>
  <c r="BP32" i="71" l="1"/>
  <c r="BQ32"/>
  <c r="S32" i="70" l="1"/>
  <c r="BP32" i="76" l="1"/>
  <c r="BQ32"/>
  <c r="BQ32" i="77" l="1"/>
  <c r="BP32"/>
  <c r="BP32" i="70" l="1"/>
  <c r="BQ32" l="1"/>
  <c r="V32" i="73" l="1"/>
  <c r="AK32" s="1"/>
  <c r="J32" i="76"/>
  <c r="Q32" s="1"/>
  <c r="V32"/>
  <c r="AK32" s="1"/>
  <c r="J32" i="73"/>
  <c r="Q32" s="1"/>
  <c r="BL32" l="1"/>
  <c r="BL32" i="76"/>
  <c r="J32" i="78" l="1"/>
  <c r="Q32" s="1"/>
  <c r="J32" i="75"/>
  <c r="Q32" s="1"/>
  <c r="V32"/>
  <c r="AK32" l="1"/>
  <c r="BL32" s="1"/>
  <c r="J32" i="74" l="1"/>
  <c r="Q32" s="1"/>
  <c r="J32" i="77" l="1"/>
  <c r="Q32" s="1"/>
  <c r="BO32" i="74" l="1"/>
  <c r="BO32" i="76"/>
  <c r="AK32" i="72" l="1"/>
  <c r="J32" l="1"/>
  <c r="Q32" s="1"/>
  <c r="BL32" l="1"/>
  <c r="BO32" i="77"/>
  <c r="BO32" i="75"/>
  <c r="BO32" i="72" l="1"/>
  <c r="J32" i="70" l="1"/>
  <c r="Q32" s="1"/>
  <c r="V32"/>
  <c r="BO32" i="73" l="1"/>
  <c r="J32" i="71" l="1"/>
  <c r="Q32" s="1"/>
  <c r="BO32" i="70" l="1"/>
  <c r="BO32" i="71"/>
  <c r="J40" i="70" l="1"/>
  <c r="J109" s="1"/>
  <c r="BO32" i="29" l="1"/>
  <c r="J32"/>
  <c r="Q32" s="1"/>
  <c r="I7" i="59"/>
  <c r="J40" i="29" l="1"/>
  <c r="J109" s="1"/>
  <c r="I13" i="59"/>
  <c r="H7"/>
  <c r="H13" l="1"/>
  <c r="J40" i="71" l="1"/>
  <c r="J109" s="1"/>
  <c r="J7" i="59"/>
  <c r="J13" l="1"/>
  <c r="J40" i="78"/>
  <c r="J109" s="1"/>
  <c r="Q7" i="59"/>
  <c r="Q13" l="1"/>
  <c r="J40" i="77"/>
  <c r="J109" s="1"/>
  <c r="P7" i="59"/>
  <c r="P13" l="1"/>
  <c r="J40" i="75" l="1"/>
  <c r="J109" s="1"/>
  <c r="J40" i="72"/>
  <c r="J109" s="1"/>
  <c r="J40" i="73"/>
  <c r="J109" s="1"/>
  <c r="N7" i="59"/>
  <c r="L7"/>
  <c r="L13" l="1"/>
  <c r="N13"/>
  <c r="J40" i="76" l="1"/>
  <c r="J109" s="1"/>
  <c r="O7" i="59"/>
  <c r="K7"/>
  <c r="K13" l="1"/>
  <c r="O13"/>
  <c r="J40" i="74" l="1"/>
  <c r="J109" s="1"/>
  <c r="M7" i="59"/>
  <c r="M13" l="1"/>
  <c r="AK32" i="77" l="1"/>
  <c r="BL32" s="1"/>
  <c r="AK32" i="74"/>
  <c r="BL32" s="1"/>
  <c r="DH32" i="75"/>
  <c r="DH32" i="74"/>
  <c r="DH32" i="72"/>
  <c r="DH32" i="71"/>
  <c r="DH32" i="70"/>
  <c r="AK32" i="71"/>
  <c r="BL32" s="1"/>
  <c r="AK32" i="70"/>
  <c r="BL32" s="1"/>
  <c r="AK32" i="78"/>
  <c r="BL32" s="1"/>
  <c r="DH32" i="77"/>
  <c r="DH32" i="76"/>
  <c r="DH32" i="73"/>
  <c r="DH32" i="29"/>
  <c r="AK32"/>
  <c r="BL32" s="1"/>
  <c r="AW40" i="60"/>
  <c r="DH32" i="78" l="1"/>
  <c r="AX40" i="60"/>
  <c r="CY49" i="78"/>
  <c r="CY49" i="76"/>
  <c r="CY51" l="1"/>
  <c r="CY84" s="1"/>
  <c r="CY51" i="78"/>
  <c r="CY84" s="1"/>
  <c r="N534" i="36" a="1"/>
  <c r="N534" s="1"/>
  <c r="N547" s="1"/>
  <c r="CY49" i="70"/>
  <c r="CY51" l="1"/>
  <c r="CY84" s="1"/>
  <c r="N546" i="36"/>
  <c r="N560" s="1"/>
  <c r="N561"/>
  <c r="F101" i="39"/>
  <c r="O101" s="1"/>
  <c r="F102"/>
  <c r="O102" s="1"/>
  <c r="F103"/>
  <c r="O103" s="1"/>
  <c r="O135" l="1"/>
  <c r="O134" a="1"/>
  <c r="O134" s="1"/>
  <c r="O136"/>
  <c r="N565" i="36" a="1"/>
  <c r="N565" s="1"/>
  <c r="N594" s="1"/>
  <c r="BO9" i="77"/>
  <c r="O137" i="39" l="1"/>
  <c r="O138" s="1"/>
  <c r="BO11" i="77"/>
  <c r="BO15" s="1"/>
  <c r="O54" i="33"/>
  <c r="O56" s="1"/>
  <c r="O64" s="1"/>
  <c r="T59" i="78"/>
  <c r="O141" i="39" l="1"/>
  <c r="O213" s="1"/>
  <c r="O145"/>
  <c r="O217" s="1"/>
  <c r="T63" i="78"/>
  <c r="AB21"/>
  <c r="S21"/>
  <c r="CY49" i="73"/>
  <c r="AB22" i="78" l="1"/>
  <c r="AB40" s="1"/>
  <c r="AB70" s="1"/>
  <c r="S22"/>
  <c r="S40" s="1"/>
  <c r="CY51" i="73"/>
  <c r="CY84" s="1"/>
  <c r="G230" i="39"/>
  <c r="I164" a="1"/>
  <c r="I164"/>
  <c r="I165"/>
  <c r="I166"/>
  <c r="I167"/>
  <c r="O9" i="83"/>
  <c r="CY49" i="75"/>
  <c r="BX21" i="70"/>
  <c r="CY49" i="72"/>
  <c r="CY49" i="71"/>
  <c r="CY49" i="77"/>
  <c r="O26" i="83" l="1"/>
  <c r="O28" s="1"/>
  <c r="O39" s="1"/>
  <c r="S74" i="78"/>
  <c r="S78" s="1"/>
  <c r="S80" s="1"/>
  <c r="S90"/>
  <c r="CY51" i="72"/>
  <c r="CY51" i="77"/>
  <c r="CY84" s="1"/>
  <c r="CY51" i="75"/>
  <c r="CY84" s="1"/>
  <c r="CY51" i="71"/>
  <c r="CY84" s="1"/>
  <c r="CY84" i="72"/>
  <c r="BX22" i="70"/>
  <c r="BX40" s="1"/>
  <c r="BX109" s="1"/>
  <c r="I168" i="39"/>
  <c r="I230" s="1"/>
  <c r="O9" i="22"/>
  <c r="BX21" i="72"/>
  <c r="I143" i="59"/>
  <c r="O9" i="30"/>
  <c r="T71" i="78"/>
  <c r="O25" i="30" l="1"/>
  <c r="O27" s="1"/>
  <c r="O38" s="1"/>
  <c r="T72" i="78"/>
  <c r="BX22" i="72"/>
  <c r="BX40" s="1"/>
  <c r="BX109" s="1"/>
  <c r="O144" i="39"/>
  <c r="O216" s="1"/>
  <c r="K143" i="59"/>
  <c r="CN49" i="78"/>
  <c r="T91"/>
  <c r="CN49" i="76"/>
  <c r="CN49" i="74"/>
  <c r="W49" i="78"/>
  <c r="W21"/>
  <c r="CY49" i="29"/>
  <c r="CN49" i="71"/>
  <c r="CN49" i="70"/>
  <c r="W51" i="78" l="1"/>
  <c r="CN51" i="71"/>
  <c r="CN51" i="70"/>
  <c r="CN51" i="76"/>
  <c r="CN84" s="1"/>
  <c r="CN109" s="1"/>
  <c r="CN51" i="74"/>
  <c r="CN84" s="1"/>
  <c r="CN109" s="1"/>
  <c r="CN51" i="78"/>
  <c r="CY51" i="29"/>
  <c r="W22" i="78"/>
  <c r="W40" s="1"/>
  <c r="CY84" i="29"/>
  <c r="CN84" i="71"/>
  <c r="CN109" s="1"/>
  <c r="CN84" i="70"/>
  <c r="CN109" s="1"/>
  <c r="F134" i="39" a="1"/>
  <c r="F134" s="1"/>
  <c r="F109"/>
  <c r="AF49" i="78"/>
  <c r="AG49"/>
  <c r="J147" i="59"/>
  <c r="O147"/>
  <c r="M147"/>
  <c r="W49" i="29"/>
  <c r="I147" i="59"/>
  <c r="F137" i="39" l="1"/>
  <c r="F135"/>
  <c r="F138" s="1"/>
  <c r="F144" s="1"/>
  <c r="F216" s="1"/>
  <c r="F136"/>
  <c r="AG51" i="78"/>
  <c r="AG84" s="1"/>
  <c r="AG95" s="1"/>
  <c r="W51" i="29"/>
  <c r="AF51" i="78"/>
  <c r="AF84" s="1"/>
  <c r="AF95" s="1"/>
  <c r="DH51"/>
  <c r="CN84"/>
  <c r="CN109" s="1"/>
  <c r="W21" i="29"/>
  <c r="O15" i="80"/>
  <c r="AX36" i="60"/>
  <c r="O16" i="80"/>
  <c r="Q147" i="59"/>
  <c r="AF49" i="29"/>
  <c r="AF51" l="1"/>
  <c r="F145" i="39"/>
  <c r="F217" s="1"/>
  <c r="O109" i="80"/>
  <c r="O120" s="1"/>
  <c r="F141" i="39"/>
  <c r="F213" s="1"/>
  <c r="W22" i="29"/>
  <c r="W40" s="1"/>
  <c r="O95" i="80"/>
  <c r="AF84" i="29"/>
  <c r="AF95" s="1"/>
  <c r="AB21"/>
  <c r="S21"/>
  <c r="F15" i="80"/>
  <c r="O106" l="1"/>
  <c r="AB22" i="29"/>
  <c r="AB40" s="1"/>
  <c r="AB70" s="1"/>
  <c r="S22"/>
  <c r="S40" s="1"/>
  <c r="F95" i="80"/>
  <c r="H167" i="39"/>
  <c r="H168" s="1"/>
  <c r="H230" s="1"/>
  <c r="M101"/>
  <c r="M102"/>
  <c r="M103"/>
  <c r="BX21" i="71"/>
  <c r="CN49" i="72"/>
  <c r="CY49" i="74"/>
  <c r="AG49" i="29"/>
  <c r="CN49" i="73"/>
  <c r="F9" i="83"/>
  <c r="CN49" i="75"/>
  <c r="CN49" i="77"/>
  <c r="CN49" i="29"/>
  <c r="M135" i="39" l="1"/>
  <c r="M134" a="1"/>
  <c r="M134" s="1"/>
  <c r="M136"/>
  <c r="S74" i="29"/>
  <c r="S78" s="1"/>
  <c r="S80" s="1"/>
  <c r="O169" i="80"/>
  <c r="F106"/>
  <c r="CN51" i="29"/>
  <c r="CN84" s="1"/>
  <c r="CN109" s="1"/>
  <c r="CN51" i="72"/>
  <c r="AG51" i="29"/>
  <c r="AG84" s="1"/>
  <c r="AG95" s="1"/>
  <c r="CN51" i="75"/>
  <c r="CN84" s="1"/>
  <c r="CN109" s="1"/>
  <c r="CN51" i="77"/>
  <c r="CN84" s="1"/>
  <c r="CN109" s="1"/>
  <c r="CN51" i="73"/>
  <c r="CN84" s="1"/>
  <c r="CN109" s="1"/>
  <c r="CY51" i="74"/>
  <c r="CY84" s="1"/>
  <c r="F26" i="83"/>
  <c r="F28" s="1"/>
  <c r="F39" s="1"/>
  <c r="S90" i="29"/>
  <c r="CN84" i="72"/>
  <c r="CN109" s="1"/>
  <c r="BX22" i="71"/>
  <c r="BX40" s="1"/>
  <c r="BX109" s="1"/>
  <c r="J143" i="59"/>
  <c r="L147"/>
  <c r="H147"/>
  <c r="T71" i="29"/>
  <c r="F9" i="22"/>
  <c r="F16" i="80"/>
  <c r="P147" i="59"/>
  <c r="K147"/>
  <c r="W49" i="76"/>
  <c r="N147" i="59"/>
  <c r="F9" i="30"/>
  <c r="M137" i="39" l="1"/>
  <c r="M138" s="1"/>
  <c r="W51" i="76"/>
  <c r="T72" i="29"/>
  <c r="F25" i="30"/>
  <c r="F27" s="1"/>
  <c r="F38" s="1"/>
  <c r="F109" i="80"/>
  <c r="F120" s="1"/>
  <c r="F169" s="1"/>
  <c r="M54" i="33"/>
  <c r="M56" s="1"/>
  <c r="M64" s="1"/>
  <c r="T59" i="76"/>
  <c r="T91" i="29"/>
  <c r="M144" i="39" l="1"/>
  <c r="M216" s="1"/>
  <c r="M141"/>
  <c r="M213" s="1"/>
  <c r="M145"/>
  <c r="M217" s="1"/>
  <c r="T63" i="76"/>
  <c r="S21"/>
  <c r="W21"/>
  <c r="AB21"/>
  <c r="AF49"/>
  <c r="S22" l="1"/>
  <c r="S40" s="1"/>
  <c r="S90" s="1"/>
  <c r="AB22"/>
  <c r="AB40" s="1"/>
  <c r="AB70" s="1"/>
  <c r="W22"/>
  <c r="W40" s="1"/>
  <c r="AF51"/>
  <c r="AF84" s="1"/>
  <c r="AF95" s="1"/>
  <c r="S74"/>
  <c r="S78" s="1"/>
  <c r="S80" s="1"/>
  <c r="M9" i="83"/>
  <c r="M9" i="30"/>
  <c r="M9" i="22"/>
  <c r="M15" i="80"/>
  <c r="M26" i="83" l="1"/>
  <c r="M28" s="1"/>
  <c r="M39" s="1"/>
  <c r="M25" i="30"/>
  <c r="M27" s="1"/>
  <c r="M38" s="1"/>
  <c r="M95" i="80"/>
  <c r="G101" i="39"/>
  <c r="G102"/>
  <c r="G103"/>
  <c r="T71" i="76"/>
  <c r="AG49"/>
  <c r="T91"/>
  <c r="T72" l="1"/>
  <c r="G136" i="39"/>
  <c r="G135"/>
  <c r="G134" a="1"/>
  <c r="G134" s="1"/>
  <c r="M106" i="80"/>
  <c r="AG51" i="76"/>
  <c r="AG84" s="1"/>
  <c r="AG95" s="1"/>
  <c r="W49" i="70"/>
  <c r="M16" i="80"/>
  <c r="G137" i="39" l="1"/>
  <c r="G138" s="1"/>
  <c r="G144" s="1"/>
  <c r="G216" s="1"/>
  <c r="W51" i="70"/>
  <c r="M109" i="80"/>
  <c r="M120" s="1"/>
  <c r="M169" s="1"/>
  <c r="G109" i="39"/>
  <c r="G145"/>
  <c r="G217" s="1"/>
  <c r="W21" i="70"/>
  <c r="AB21"/>
  <c r="G141" i="39" l="1"/>
  <c r="G213" s="1"/>
  <c r="W22" i="70"/>
  <c r="W40" s="1"/>
  <c r="AB22"/>
  <c r="AB40" s="1"/>
  <c r="AB70" s="1"/>
  <c r="AF49"/>
  <c r="S21"/>
  <c r="G9" i="83"/>
  <c r="S22" i="70" l="1"/>
  <c r="S40" s="1"/>
  <c r="S74" s="1"/>
  <c r="S78" s="1"/>
  <c r="S80" s="1"/>
  <c r="AF51"/>
  <c r="AF84" s="1"/>
  <c r="AF95" s="1"/>
  <c r="G26" i="83"/>
  <c r="G28" s="1"/>
  <c r="G39" s="1"/>
  <c r="S90" i="70"/>
  <c r="T71"/>
  <c r="G15" i="80"/>
  <c r="G9" i="22"/>
  <c r="G9" i="30"/>
  <c r="G25" l="1"/>
  <c r="G27" s="1"/>
  <c r="G38" s="1"/>
  <c r="T72" i="70"/>
  <c r="G95" i="80"/>
  <c r="N101" i="39"/>
  <c r="N102"/>
  <c r="N103"/>
  <c r="T91" i="70"/>
  <c r="AG49"/>
  <c r="N135" i="39" l="1"/>
  <c r="N134" a="1"/>
  <c r="N134" s="1"/>
  <c r="N136"/>
  <c r="G106" i="80"/>
  <c r="AG51" i="70"/>
  <c r="AG84" s="1"/>
  <c r="AG95" s="1"/>
  <c r="G16" i="80"/>
  <c r="W49" i="77"/>
  <c r="N137" i="39" l="1"/>
  <c r="N138" s="1"/>
  <c r="W51" i="77"/>
  <c r="G109" i="80"/>
  <c r="G120" s="1"/>
  <c r="G169" s="1"/>
  <c r="N54" i="33"/>
  <c r="N56" s="1"/>
  <c r="N64" s="1"/>
  <c r="T59" i="77"/>
  <c r="N144" i="39" l="1"/>
  <c r="N216" s="1"/>
  <c r="N141"/>
  <c r="N213" s="1"/>
  <c r="N145"/>
  <c r="N217" s="1"/>
  <c r="T63" i="77"/>
  <c r="AF49"/>
  <c r="S21"/>
  <c r="AB21"/>
  <c r="W21"/>
  <c r="S22" l="1"/>
  <c r="S40" s="1"/>
  <c r="S90" s="1"/>
  <c r="AB22"/>
  <c r="AB40" s="1"/>
  <c r="AB70" s="1"/>
  <c r="W22"/>
  <c r="W40" s="1"/>
  <c r="AF51"/>
  <c r="AF84" s="1"/>
  <c r="AF95" s="1"/>
  <c r="S74"/>
  <c r="S78" s="1"/>
  <c r="S80" s="1"/>
  <c r="N15" i="80"/>
  <c r="N9" i="30"/>
  <c r="N9" i="22"/>
  <c r="N9" i="83"/>
  <c r="N26" l="1"/>
  <c r="N28" s="1"/>
  <c r="N39" s="1"/>
  <c r="N25" i="30"/>
  <c r="N27" s="1"/>
  <c r="N38" s="1"/>
  <c r="N95" i="80"/>
  <c r="J101" i="39"/>
  <c r="J102"/>
  <c r="J103"/>
  <c r="T91" i="77"/>
  <c r="T71"/>
  <c r="AG49"/>
  <c r="T72" l="1"/>
  <c r="J136" i="39"/>
  <c r="J135"/>
  <c r="J134" a="1"/>
  <c r="J134" s="1"/>
  <c r="N106" i="80"/>
  <c r="AG51" i="77"/>
  <c r="AG84" s="1"/>
  <c r="AG95" s="1"/>
  <c r="W49" i="73"/>
  <c r="N16" i="80"/>
  <c r="J137" i="39" l="1"/>
  <c r="J138" s="1"/>
  <c r="J144" s="1"/>
  <c r="J216" s="1"/>
  <c r="W51" i="73"/>
  <c r="N109" i="80"/>
  <c r="N120" s="1"/>
  <c r="N169" s="1"/>
  <c r="J54" i="33"/>
  <c r="J56" s="1"/>
  <c r="J64" s="1"/>
  <c r="W21" i="73"/>
  <c r="T59"/>
  <c r="J145" i="39" l="1"/>
  <c r="J217" s="1"/>
  <c r="J141"/>
  <c r="J213" s="1"/>
  <c r="W22" i="73"/>
  <c r="W40" s="1"/>
  <c r="T63"/>
  <c r="AB21"/>
  <c r="AF49"/>
  <c r="S21"/>
  <c r="AB22" l="1"/>
  <c r="AB40" s="1"/>
  <c r="AB70" s="1"/>
  <c r="S22"/>
  <c r="S40" s="1"/>
  <c r="S90" s="1"/>
  <c r="AF51"/>
  <c r="S74"/>
  <c r="S78" s="1"/>
  <c r="S80" s="1"/>
  <c r="AF84"/>
  <c r="AF95" s="1"/>
  <c r="J9" i="22"/>
  <c r="J15" i="80"/>
  <c r="J9" i="83"/>
  <c r="J9" i="30"/>
  <c r="J26" i="83" l="1"/>
  <c r="J28" s="1"/>
  <c r="J39" s="1"/>
  <c r="J25" i="30"/>
  <c r="J27" s="1"/>
  <c r="J38" s="1"/>
  <c r="J95" i="80"/>
  <c r="K101" i="39"/>
  <c r="K102"/>
  <c r="K103"/>
  <c r="T91" i="73"/>
  <c r="AG49"/>
  <c r="T71"/>
  <c r="T72" l="1"/>
  <c r="K135" i="39"/>
  <c r="K134" a="1"/>
  <c r="K134" s="1"/>
  <c r="K136"/>
  <c r="J106" i="80"/>
  <c r="AG51" i="73"/>
  <c r="AG84" s="1"/>
  <c r="AG95" s="1"/>
  <c r="J16" i="80"/>
  <c r="W49" i="74"/>
  <c r="K137" i="39" l="1"/>
  <c r="K138" s="1"/>
  <c r="W51" i="74"/>
  <c r="J109" i="80"/>
  <c r="J120" s="1"/>
  <c r="J169" s="1"/>
  <c r="K54" i="33"/>
  <c r="K56" s="1"/>
  <c r="K64" s="1"/>
  <c r="T59" i="74"/>
  <c r="K144" i="39" l="1"/>
  <c r="K216" s="1"/>
  <c r="K141"/>
  <c r="K213" s="1"/>
  <c r="K145"/>
  <c r="K217" s="1"/>
  <c r="T63" i="74"/>
  <c r="S21"/>
  <c r="AF49"/>
  <c r="W21"/>
  <c r="AB21"/>
  <c r="S22" l="1"/>
  <c r="S40" s="1"/>
  <c r="S90" s="1"/>
  <c r="AB22"/>
  <c r="AB40" s="1"/>
  <c r="AB70" s="1"/>
  <c r="W22"/>
  <c r="W40" s="1"/>
  <c r="AF51"/>
  <c r="AF84" s="1"/>
  <c r="AF95" s="1"/>
  <c r="S74"/>
  <c r="S78" s="1"/>
  <c r="S80" s="1"/>
  <c r="K15" i="80"/>
  <c r="K9" i="83"/>
  <c r="K9" i="22"/>
  <c r="K9" i="30"/>
  <c r="K26" i="83" l="1"/>
  <c r="K28" s="1"/>
  <c r="K39" s="1"/>
  <c r="K25" i="30"/>
  <c r="K27" s="1"/>
  <c r="K38" s="1"/>
  <c r="K95" i="80"/>
  <c r="L101" i="39"/>
  <c r="L102"/>
  <c r="L103"/>
  <c r="T91" i="74"/>
  <c r="AG49"/>
  <c r="T71"/>
  <c r="T72" l="1"/>
  <c r="L136" i="39"/>
  <c r="L135"/>
  <c r="L134" a="1"/>
  <c r="L134" s="1"/>
  <c r="K106" i="80"/>
  <c r="AG51" i="74"/>
  <c r="AG84" s="1"/>
  <c r="AG95" s="1"/>
  <c r="W49" i="75"/>
  <c r="K16" i="80"/>
  <c r="L137" i="39" l="1"/>
  <c r="L138" s="1"/>
  <c r="L144" s="1"/>
  <c r="L216" s="1"/>
  <c r="W51" i="75"/>
  <c r="K109" i="80"/>
  <c r="K120" s="1"/>
  <c r="K169" s="1"/>
  <c r="L54" i="33"/>
  <c r="L56" s="1"/>
  <c r="L64" s="1"/>
  <c r="W21" i="75"/>
  <c r="T59"/>
  <c r="L145" i="39" l="1"/>
  <c r="L217" s="1"/>
  <c r="L141"/>
  <c r="L213" s="1"/>
  <c r="W22" i="75"/>
  <c r="W40" s="1"/>
  <c r="T63"/>
  <c r="AB21"/>
  <c r="AF49"/>
  <c r="S21"/>
  <c r="AB22" l="1"/>
  <c r="AB40" s="1"/>
  <c r="AB70" s="1"/>
  <c r="S22"/>
  <c r="S40" s="1"/>
  <c r="S90" s="1"/>
  <c r="AF51"/>
  <c r="S74"/>
  <c r="S78" s="1"/>
  <c r="S80" s="1"/>
  <c r="AF84"/>
  <c r="AF95" s="1"/>
  <c r="L9" i="30"/>
  <c r="L9" i="22"/>
  <c r="L9" i="83"/>
  <c r="L15" i="80"/>
  <c r="L26" i="83" l="1"/>
  <c r="L28" s="1"/>
  <c r="L39" s="1"/>
  <c r="L25" i="30"/>
  <c r="L27" s="1"/>
  <c r="L38" s="1"/>
  <c r="L95" i="80"/>
  <c r="O212" i="39"/>
  <c r="O65" i="33"/>
  <c r="S101" i="78"/>
  <c r="I21"/>
  <c r="BB59"/>
  <c r="T91" i="75"/>
  <c r="AG49"/>
  <c r="T71"/>
  <c r="T72" l="1"/>
  <c r="L106" i="80"/>
  <c r="AG51" i="75"/>
  <c r="AG84" s="1"/>
  <c r="AG95" s="1"/>
  <c r="BB63" i="78"/>
  <c r="BB84" s="1"/>
  <c r="BB109" s="1"/>
  <c r="I22"/>
  <c r="I40" s="1"/>
  <c r="I109" s="1"/>
  <c r="Q29" i="59"/>
  <c r="Q14"/>
  <c r="BE49" i="78"/>
  <c r="L16" i="80"/>
  <c r="Q174" i="59" l="1"/>
  <c r="BE51" i="78"/>
  <c r="BE84" s="1"/>
  <c r="BE109" s="1"/>
  <c r="Q18" i="59"/>
  <c r="L109" i="80"/>
  <c r="L120" s="1"/>
  <c r="L169" s="1"/>
  <c r="O142" i="39"/>
  <c r="O214" s="1"/>
  <c r="O98" i="80"/>
  <c r="O112"/>
  <c r="Q33" i="59"/>
  <c r="U21" i="78"/>
  <c r="O167" i="80" l="1"/>
  <c r="U22" i="78"/>
  <c r="U40" l="1"/>
  <c r="O143" i="39"/>
  <c r="O215" s="1"/>
  <c r="V21" i="78"/>
  <c r="V22" l="1"/>
  <c r="O102" i="80"/>
  <c r="O116"/>
  <c r="V40" i="78" l="1"/>
  <c r="O168" i="80"/>
  <c r="V95" i="78" l="1"/>
  <c r="AK40"/>
  <c r="O25" i="80"/>
  <c r="O173" l="1"/>
  <c r="O188" s="1"/>
  <c r="O29" i="83"/>
  <c r="O40" s="1"/>
  <c r="O29" i="30"/>
  <c r="O39" s="1"/>
  <c r="O38" i="83"/>
  <c r="O190" i="80"/>
  <c r="O191"/>
  <c r="S109" i="78"/>
  <c r="Q109"/>
  <c r="AF96"/>
  <c r="AG96"/>
  <c r="V96"/>
  <c r="AB71"/>
  <c r="BI91"/>
  <c r="Q80" i="59"/>
  <c r="BH71" i="78"/>
  <c r="V97" l="1"/>
  <c r="AG99"/>
  <c r="AG106" s="1"/>
  <c r="AG109" s="1"/>
  <c r="AF99"/>
  <c r="AF106" s="1"/>
  <c r="AF109" s="1"/>
  <c r="AB72"/>
  <c r="AB84" s="1"/>
  <c r="AB109" s="1"/>
  <c r="BH72"/>
  <c r="BI93"/>
  <c r="M212" i="39"/>
  <c r="Q67" i="59"/>
  <c r="O16" i="89"/>
  <c r="I21" i="76"/>
  <c r="Q68" i="59"/>
  <c r="Q66"/>
  <c r="O53" i="89" l="1"/>
  <c r="O64" s="1"/>
  <c r="I22" i="76"/>
  <c r="I40" s="1"/>
  <c r="I109" s="1"/>
  <c r="M65" i="33"/>
  <c r="S101" i="76"/>
  <c r="O14" i="59"/>
  <c r="BB59" i="76"/>
  <c r="V98" i="78"/>
  <c r="V99" l="1"/>
  <c r="V101" s="1"/>
  <c r="BB63" i="76"/>
  <c r="BB84" s="1"/>
  <c r="BB109" s="1"/>
  <c r="O18" i="59"/>
  <c r="BE49" i="76"/>
  <c r="O29" i="59"/>
  <c r="O10" i="69"/>
  <c r="O174" i="59" l="1"/>
  <c r="O38" i="69"/>
  <c r="O62" s="1"/>
  <c r="BE51" i="76"/>
  <c r="BE84" s="1"/>
  <c r="BE109" s="1"/>
  <c r="M142" i="39"/>
  <c r="M214" s="1"/>
  <c r="M98" i="80"/>
  <c r="M112"/>
  <c r="Y102" i="78"/>
  <c r="U21" i="76"/>
  <c r="O33" i="59"/>
  <c r="O59" i="69" l="1"/>
  <c r="Y103" i="78"/>
  <c r="AT103" s="1"/>
  <c r="AT104" s="1"/>
  <c r="AT106" s="1"/>
  <c r="AT109" s="1"/>
  <c r="M167" i="80"/>
  <c r="U22" i="76"/>
  <c r="U40" s="1"/>
  <c r="Q41" i="59"/>
  <c r="V102" i="78"/>
  <c r="Y104" l="1"/>
  <c r="Y106" s="1"/>
  <c r="Y109" s="1"/>
  <c r="V104"/>
  <c r="V106" s="1"/>
  <c r="V109" s="1"/>
  <c r="Q43" i="59"/>
  <c r="Q179" s="1"/>
  <c r="M143" i="39"/>
  <c r="M215" s="1"/>
  <c r="V21" i="76"/>
  <c r="Q62" i="59"/>
  <c r="Q59"/>
  <c r="V22" i="76" l="1"/>
  <c r="V40" s="1"/>
  <c r="M102" i="80"/>
  <c r="M116"/>
  <c r="V95" i="76" l="1"/>
  <c r="AK40"/>
  <c r="M168" i="80"/>
  <c r="M25"/>
  <c r="M173" l="1"/>
  <c r="M188" s="1"/>
  <c r="V96" i="76"/>
  <c r="V97" l="1"/>
  <c r="M29" i="83"/>
  <c r="M40" s="1"/>
  <c r="M29" i="30"/>
  <c r="M39" s="1"/>
  <c r="M38" i="83"/>
  <c r="M190" i="80"/>
  <c r="M191"/>
  <c r="S109" i="76"/>
  <c r="Q109"/>
  <c r="BH71"/>
  <c r="AB71"/>
  <c r="AG96"/>
  <c r="M16" i="89"/>
  <c r="AF96" i="76"/>
  <c r="O80" i="59"/>
  <c r="BI91" i="76"/>
  <c r="M53" i="89" l="1"/>
  <c r="M64" s="1"/>
  <c r="AG99" i="76"/>
  <c r="AG106" s="1"/>
  <c r="AG109" s="1"/>
  <c r="AF99"/>
  <c r="AF106" s="1"/>
  <c r="AF109" s="1"/>
  <c r="AB72"/>
  <c r="AB84" s="1"/>
  <c r="AB109" s="1"/>
  <c r="BH72"/>
  <c r="BI93"/>
  <c r="I101" i="39"/>
  <c r="I102"/>
  <c r="I103"/>
  <c r="V98" i="76"/>
  <c r="O66" i="59"/>
  <c r="O68"/>
  <c r="O67"/>
  <c r="I134" i="39" l="1" a="1"/>
  <c r="I134" s="1"/>
  <c r="V99" i="76"/>
  <c r="V101" s="1"/>
  <c r="M10" i="69"/>
  <c r="W49" i="72"/>
  <c r="I137" i="39" l="1"/>
  <c r="I136"/>
  <c r="I135"/>
  <c r="M38" i="69"/>
  <c r="M59" s="1"/>
  <c r="W51" i="72"/>
  <c r="I109" i="39"/>
  <c r="V102" i="76"/>
  <c r="M62" i="69" l="1"/>
  <c r="I138" i="39"/>
  <c r="I144" s="1"/>
  <c r="I216" s="1"/>
  <c r="V104" i="76"/>
  <c r="V106" s="1"/>
  <c r="V109" s="1"/>
  <c r="W21" i="72"/>
  <c r="AF49"/>
  <c r="O62" i="59"/>
  <c r="Y102" i="76"/>
  <c r="I145" i="39" l="1"/>
  <c r="I217" s="1"/>
  <c r="Y103" i="76"/>
  <c r="AT103" s="1"/>
  <c r="AT104" s="1"/>
  <c r="AT106" s="1"/>
  <c r="AT109" s="1"/>
  <c r="I141" i="39"/>
  <c r="I213" s="1"/>
  <c r="W22" i="72"/>
  <c r="W40" s="1"/>
  <c r="AF51"/>
  <c r="Y104" i="76"/>
  <c r="Y106" s="1"/>
  <c r="Y109" s="1"/>
  <c r="AF84" i="72"/>
  <c r="AF95" s="1"/>
  <c r="O59" i="59"/>
  <c r="S21" i="72"/>
  <c r="O41" i="59"/>
  <c r="I15" i="80"/>
  <c r="AB21" i="72"/>
  <c r="AB22" l="1"/>
  <c r="AB40" s="1"/>
  <c r="AB70" s="1"/>
  <c r="O43" i="59"/>
  <c r="O179" s="1"/>
  <c r="S22" i="72"/>
  <c r="S40" s="1"/>
  <c r="I95" i="80"/>
  <c r="N212" i="39"/>
  <c r="N584" i="36"/>
  <c r="N65" i="33"/>
  <c r="S101" i="77"/>
  <c r="AG49" i="72"/>
  <c r="BB59" i="77"/>
  <c r="G9"/>
  <c r="I9" i="83"/>
  <c r="I21" i="77"/>
  <c r="I26" i="83" l="1"/>
  <c r="I28" s="1"/>
  <c r="I39" s="1"/>
  <c r="S90" i="72"/>
  <c r="S74"/>
  <c r="S78" s="1"/>
  <c r="S80" s="1"/>
  <c r="I106" i="80"/>
  <c r="AG51" i="72"/>
  <c r="BB63" i="77"/>
  <c r="BB84" s="1"/>
  <c r="BB109" s="1"/>
  <c r="AG84" i="72"/>
  <c r="AG95" s="1"/>
  <c r="G11" i="77"/>
  <c r="G15" s="1"/>
  <c r="G40" s="1"/>
  <c r="G109" s="1"/>
  <c r="I22"/>
  <c r="I40" s="1"/>
  <c r="I109" s="1"/>
  <c r="T71" i="72"/>
  <c r="I16" i="80"/>
  <c r="P29" i="59"/>
  <c r="P15"/>
  <c r="I9" i="30"/>
  <c r="BE49" i="77"/>
  <c r="P14" i="59"/>
  <c r="I9" i="22"/>
  <c r="T72" i="72" l="1"/>
  <c r="I25" i="30"/>
  <c r="I27" s="1"/>
  <c r="I38" s="1"/>
  <c r="P174" i="59"/>
  <c r="BE51" i="77"/>
  <c r="BE84" s="1"/>
  <c r="BE109" s="1"/>
  <c r="P18" i="59"/>
  <c r="I109" i="80"/>
  <c r="I120" s="1"/>
  <c r="I169" s="1"/>
  <c r="N142" i="39"/>
  <c r="N214" s="1"/>
  <c r="N98" i="80"/>
  <c r="N112"/>
  <c r="U21" i="77"/>
  <c r="T91" i="72"/>
  <c r="P33" i="59"/>
  <c r="N167" i="80" l="1"/>
  <c r="U22" i="77"/>
  <c r="U40" s="1"/>
  <c r="N143" i="39" l="1"/>
  <c r="N215" s="1"/>
  <c r="V21" i="77"/>
  <c r="V22" l="1"/>
  <c r="V40" s="1"/>
  <c r="N102" i="80"/>
  <c r="N116"/>
  <c r="V95" i="77" l="1"/>
  <c r="AK40"/>
  <c r="N168" i="80"/>
  <c r="N25"/>
  <c r="N173" l="1"/>
  <c r="N188" s="1"/>
  <c r="V96" i="77"/>
  <c r="V97" l="1"/>
  <c r="N29" i="83"/>
  <c r="N40" s="1"/>
  <c r="N29" i="30"/>
  <c r="N39" s="1"/>
  <c r="N38" i="83"/>
  <c r="N190" i="80"/>
  <c r="N191"/>
  <c r="S109" i="77"/>
  <c r="Q109"/>
  <c r="N16" i="89"/>
  <c r="P80" i="59"/>
  <c r="AF96" i="77"/>
  <c r="AB71"/>
  <c r="BH71"/>
  <c r="BI91"/>
  <c r="AG96"/>
  <c r="N53" i="89" l="1"/>
  <c r="N64" s="1"/>
  <c r="AG99" i="77"/>
  <c r="AG106" s="1"/>
  <c r="AG109" s="1"/>
  <c r="AF99"/>
  <c r="AF106" s="1"/>
  <c r="AF109" s="1"/>
  <c r="AB72"/>
  <c r="AB84" s="1"/>
  <c r="AB109" s="1"/>
  <c r="BH72"/>
  <c r="BI93"/>
  <c r="H101" i="39"/>
  <c r="H102"/>
  <c r="H103"/>
  <c r="P67" i="59"/>
  <c r="P66"/>
  <c r="V98" i="77"/>
  <c r="P68" i="59"/>
  <c r="H134" i="39" l="1" a="1"/>
  <c r="H134" s="1"/>
  <c r="V99" i="77"/>
  <c r="V101" s="1"/>
  <c r="W49" i="71"/>
  <c r="N10" i="69"/>
  <c r="H137" i="39" l="1"/>
  <c r="H136"/>
  <c r="H135"/>
  <c r="N38" i="69"/>
  <c r="N59" s="1"/>
  <c r="W51" i="71"/>
  <c r="H109" i="39"/>
  <c r="V102" i="77"/>
  <c r="H138" i="39" l="1"/>
  <c r="N62" i="69"/>
  <c r="V104" i="77"/>
  <c r="V106" s="1"/>
  <c r="V109" s="1"/>
  <c r="P62" i="59"/>
  <c r="Y102" i="77"/>
  <c r="AF49" i="71"/>
  <c r="H144" i="39" l="1"/>
  <c r="H216" s="1"/>
  <c r="H145"/>
  <c r="H217" s="1"/>
  <c r="H141"/>
  <c r="H213" s="1"/>
  <c r="Y103" i="77"/>
  <c r="AT103" s="1"/>
  <c r="AT104" s="1"/>
  <c r="AT106" s="1"/>
  <c r="AT109" s="1"/>
  <c r="AF51" i="71"/>
  <c r="AF84" s="1"/>
  <c r="AF95" s="1"/>
  <c r="P41" i="59"/>
  <c r="W21" i="71"/>
  <c r="S21"/>
  <c r="H15" i="80"/>
  <c r="AB21" i="71"/>
  <c r="S22" l="1"/>
  <c r="S40" s="1"/>
  <c r="W22"/>
  <c r="W40" s="1"/>
  <c r="AB22"/>
  <c r="AB40" s="1"/>
  <c r="AB70" s="1"/>
  <c r="Y104" i="77"/>
  <c r="Y106" s="1"/>
  <c r="Y109" s="1"/>
  <c r="P43" i="59"/>
  <c r="P179" s="1"/>
  <c r="H95" i="80"/>
  <c r="AG49" i="71"/>
  <c r="L104" i="59"/>
  <c r="P84"/>
  <c r="H9" i="83"/>
  <c r="P59" i="59"/>
  <c r="H26" i="83" l="1"/>
  <c r="H28" s="1"/>
  <c r="H39" s="1"/>
  <c r="S74" i="71"/>
  <c r="S78" s="1"/>
  <c r="S80" s="1"/>
  <c r="S90"/>
  <c r="H106" i="80"/>
  <c r="AG51" i="71"/>
  <c r="AG84" s="1"/>
  <c r="AG95" s="1"/>
  <c r="P85" i="59"/>
  <c r="L109"/>
  <c r="H9" i="22"/>
  <c r="N104" i="59"/>
  <c r="M104"/>
  <c r="H9" i="30"/>
  <c r="T71" i="71"/>
  <c r="H16" i="80"/>
  <c r="H25" i="30" l="1"/>
  <c r="H27" s="1"/>
  <c r="H38" s="1"/>
  <c r="T72" i="71"/>
  <c r="H109" i="80"/>
  <c r="H120" s="1"/>
  <c r="H169" s="1"/>
  <c r="N109" i="59"/>
  <c r="M109"/>
  <c r="T91" i="71"/>
  <c r="G142" i="39" l="1"/>
  <c r="G214" s="1"/>
  <c r="G98" i="80"/>
  <c r="G112"/>
  <c r="Q84" i="59"/>
  <c r="U21" i="70"/>
  <c r="O84" i="59"/>
  <c r="G167" i="80" l="1"/>
  <c r="U22" i="70"/>
  <c r="U40" s="1"/>
  <c r="Q85" i="59"/>
  <c r="O85"/>
  <c r="O104"/>
  <c r="P104"/>
  <c r="O109" l="1"/>
  <c r="P109"/>
  <c r="Q104"/>
  <c r="Q109" l="1"/>
  <c r="F142" i="39"/>
  <c r="F214" s="1"/>
  <c r="U21" i="29"/>
  <c r="U22" l="1"/>
  <c r="F98" i="80"/>
  <c r="F112"/>
  <c r="K212" i="39"/>
  <c r="I21" i="74"/>
  <c r="U40" i="29" l="1"/>
  <c r="F167" i="80"/>
  <c r="I22" i="74"/>
  <c r="I40" s="1"/>
  <c r="I109" s="1"/>
  <c r="K65" i="33"/>
  <c r="S101" i="74"/>
  <c r="K142" i="39"/>
  <c r="K214" s="1"/>
  <c r="K98" i="80"/>
  <c r="K112"/>
  <c r="K143" i="39"/>
  <c r="K215" s="1"/>
  <c r="M14" i="59"/>
  <c r="BB59" i="74"/>
  <c r="V21"/>
  <c r="U21"/>
  <c r="BE49"/>
  <c r="K167" i="80" l="1"/>
  <c r="BE51" i="74"/>
  <c r="BE84" s="1"/>
  <c r="BE109" s="1"/>
  <c r="U22"/>
  <c r="M18" i="59"/>
  <c r="BB63" i="74"/>
  <c r="BB84" s="1"/>
  <c r="BB109" s="1"/>
  <c r="V22"/>
  <c r="K102" i="80"/>
  <c r="K116"/>
  <c r="M29" i="59"/>
  <c r="M33"/>
  <c r="M174" l="1"/>
  <c r="U40" i="74"/>
  <c r="V40"/>
  <c r="V95" s="1"/>
  <c r="K168" i="80"/>
  <c r="K25"/>
  <c r="AK40" i="74" l="1"/>
  <c r="K173" i="80"/>
  <c r="K188" s="1"/>
  <c r="V96" i="74"/>
  <c r="V97" l="1"/>
  <c r="K16" i="89"/>
  <c r="K53" l="1"/>
  <c r="K64" s="1"/>
  <c r="V98" i="74"/>
  <c r="V99" l="1"/>
  <c r="V101" s="1"/>
  <c r="K10" i="69"/>
  <c r="K38" l="1"/>
  <c r="K62" s="1"/>
  <c r="K29" i="83"/>
  <c r="K40" s="1"/>
  <c r="Y102" i="74"/>
  <c r="BH71"/>
  <c r="Y103" l="1"/>
  <c r="AT103" s="1"/>
  <c r="AT104" s="1"/>
  <c r="AT106" s="1"/>
  <c r="AT109" s="1"/>
  <c r="BH72"/>
  <c r="K29" i="30"/>
  <c r="K39" s="1"/>
  <c r="K59" i="69"/>
  <c r="K38" i="83"/>
  <c r="K190" i="80"/>
  <c r="K191"/>
  <c r="S109" i="74"/>
  <c r="Q109"/>
  <c r="V102"/>
  <c r="AG96"/>
  <c r="M80" i="59"/>
  <c r="AF96" i="74"/>
  <c r="M41" i="59"/>
  <c r="BI91" i="74"/>
  <c r="M84" i="59"/>
  <c r="AB71" i="74"/>
  <c r="Y104" l="1"/>
  <c r="Y106" s="1"/>
  <c r="Y109" s="1"/>
  <c r="M43" i="59"/>
  <c r="M179" s="1"/>
  <c r="AF99" i="74"/>
  <c r="AF106" s="1"/>
  <c r="AF109" s="1"/>
  <c r="AB72"/>
  <c r="AB84" s="1"/>
  <c r="AB109" s="1"/>
  <c r="V104"/>
  <c r="V106" s="1"/>
  <c r="V109" s="1"/>
  <c r="AG99"/>
  <c r="AG106" s="1"/>
  <c r="AG109" s="1"/>
  <c r="BI93"/>
  <c r="M85" i="59"/>
  <c r="J212" i="39"/>
  <c r="S109" i="73"/>
  <c r="S101"/>
  <c r="J142" i="39"/>
  <c r="J214" s="1"/>
  <c r="M66" i="59"/>
  <c r="M68"/>
  <c r="U21" i="73"/>
  <c r="M59" i="59"/>
  <c r="M67"/>
  <c r="I21" i="73"/>
  <c r="M62" i="59"/>
  <c r="I22" i="73" l="1"/>
  <c r="I40" s="1"/>
  <c r="I109" s="1"/>
  <c r="Q109" s="1"/>
  <c r="U22"/>
  <c r="U40" s="1"/>
  <c r="J98" i="80"/>
  <c r="J112"/>
  <c r="J167" l="1"/>
  <c r="J143" i="39"/>
  <c r="J215" s="1"/>
  <c r="V21" i="73"/>
  <c r="V22" l="1"/>
  <c r="V40" s="1"/>
  <c r="J102" i="80"/>
  <c r="J116"/>
  <c r="V95" i="73" l="1"/>
  <c r="AK40"/>
  <c r="J168" i="80"/>
  <c r="J25"/>
  <c r="J173" l="1"/>
  <c r="J188" s="1"/>
  <c r="V96" i="73"/>
  <c r="V97" l="1"/>
  <c r="J16" i="89"/>
  <c r="J53" l="1"/>
  <c r="J64" s="1"/>
  <c r="V98" i="73"/>
  <c r="V99" l="1"/>
  <c r="V101" s="1"/>
  <c r="J10" i="69"/>
  <c r="J38" l="1"/>
  <c r="J59" s="1"/>
  <c r="J38" i="83"/>
  <c r="J190" i="80"/>
  <c r="J191"/>
  <c r="AF96" i="73"/>
  <c r="V102"/>
  <c r="AB71"/>
  <c r="AG96"/>
  <c r="J62" i="69" l="1"/>
  <c r="V104" i="73"/>
  <c r="V106" s="1"/>
  <c r="V109" s="1"/>
  <c r="AF99"/>
  <c r="AF106" s="1"/>
  <c r="AF109" s="1"/>
  <c r="AG99"/>
  <c r="AG106" s="1"/>
  <c r="AG109" s="1"/>
  <c r="AB72"/>
  <c r="AB84" s="1"/>
  <c r="AB109" s="1"/>
  <c r="J65" i="33"/>
  <c r="J29" i="83"/>
  <c r="J40" s="1"/>
  <c r="BH71" i="73"/>
  <c r="BB59"/>
  <c r="BE49"/>
  <c r="Y102"/>
  <c r="Y103" l="1"/>
  <c r="Y104" s="1"/>
  <c r="Y106" s="1"/>
  <c r="Y109" s="1"/>
  <c r="BE51"/>
  <c r="BE84" s="1"/>
  <c r="BE109" s="1"/>
  <c r="BB63"/>
  <c r="BB84" s="1"/>
  <c r="BB109" s="1"/>
  <c r="BH72"/>
  <c r="J29" i="30"/>
  <c r="J39" s="1"/>
  <c r="H212" i="39"/>
  <c r="S109" i="71"/>
  <c r="S101"/>
  <c r="H142" i="39"/>
  <c r="H214" s="1"/>
  <c r="I21" i="71"/>
  <c r="BI91" i="73"/>
  <c r="U21" i="71"/>
  <c r="AT103" i="73" l="1"/>
  <c r="AT104" s="1"/>
  <c r="AT106" s="1"/>
  <c r="AT109" s="1"/>
  <c r="I22" i="71"/>
  <c r="I40" s="1"/>
  <c r="I109" s="1"/>
  <c r="Q109" s="1"/>
  <c r="BI93" i="73"/>
  <c r="U22" i="71"/>
  <c r="U40" s="1"/>
  <c r="H98" i="80"/>
  <c r="H112"/>
  <c r="H167" l="1"/>
  <c r="H143" i="39"/>
  <c r="H215" s="1"/>
  <c r="V21" i="71"/>
  <c r="V22" l="1"/>
  <c r="V40" s="1"/>
  <c r="H102" i="80"/>
  <c r="H116"/>
  <c r="V95" i="71" l="1"/>
  <c r="AK40"/>
  <c r="H168" i="80"/>
  <c r="H25"/>
  <c r="H173" l="1"/>
  <c r="H188" s="1"/>
  <c r="V96" i="71"/>
  <c r="V97" l="1"/>
  <c r="H16" i="89"/>
  <c r="H53" l="1"/>
  <c r="H64" s="1"/>
  <c r="V98" i="71"/>
  <c r="V99" l="1"/>
  <c r="V101" s="1"/>
  <c r="H10" i="69"/>
  <c r="H38" l="1"/>
  <c r="H59" s="1"/>
  <c r="H38" i="83"/>
  <c r="H190" i="80"/>
  <c r="H191"/>
  <c r="AF96" i="71"/>
  <c r="AG96"/>
  <c r="V102"/>
  <c r="AB71"/>
  <c r="H62" i="69" l="1"/>
  <c r="V104" i="71"/>
  <c r="V106" s="1"/>
  <c r="V109" s="1"/>
  <c r="AG99"/>
  <c r="AG106" s="1"/>
  <c r="AG109" s="1"/>
  <c r="AF99"/>
  <c r="AF106" s="1"/>
  <c r="AF109" s="1"/>
  <c r="AB72"/>
  <c r="AB84" s="1"/>
  <c r="AB109" s="1"/>
  <c r="H29" i="83"/>
  <c r="H40" s="1"/>
  <c r="Y102" i="71"/>
  <c r="BE49"/>
  <c r="BH71"/>
  <c r="Y103" l="1"/>
  <c r="Y104" s="1"/>
  <c r="Y106" s="1"/>
  <c r="Y109" s="1"/>
  <c r="BE51"/>
  <c r="BE84" s="1"/>
  <c r="BE109" s="1"/>
  <c r="BH72"/>
  <c r="H29" i="30"/>
  <c r="H39" s="1"/>
  <c r="I212" i="39"/>
  <c r="I142"/>
  <c r="I214" s="1"/>
  <c r="I98" i="80"/>
  <c r="I112"/>
  <c r="J80" i="59"/>
  <c r="L29"/>
  <c r="L59"/>
  <c r="L80"/>
  <c r="J33"/>
  <c r="J66"/>
  <c r="L67"/>
  <c r="L41"/>
  <c r="BE49" i="72"/>
  <c r="L66" i="59"/>
  <c r="L33"/>
  <c r="L68"/>
  <c r="J62"/>
  <c r="L62"/>
  <c r="L14"/>
  <c r="U21" i="72"/>
  <c r="BI91" i="71"/>
  <c r="J59" i="59"/>
  <c r="I21" i="72"/>
  <c r="L84" i="59"/>
  <c r="J84"/>
  <c r="J67"/>
  <c r="J68"/>
  <c r="J14"/>
  <c r="AT103" i="71" l="1"/>
  <c r="AT104" s="1"/>
  <c r="AT106" s="1"/>
  <c r="AT109" s="1"/>
  <c r="L174" i="59"/>
  <c r="I167" i="80"/>
  <c r="BE51" i="72"/>
  <c r="BE84" s="1"/>
  <c r="BE109" s="1"/>
  <c r="U22"/>
  <c r="L85" i="59"/>
  <c r="I22" i="72"/>
  <c r="I40" s="1"/>
  <c r="I109" s="1"/>
  <c r="J85" i="59"/>
  <c r="J18"/>
  <c r="L43"/>
  <c r="L179" s="1"/>
  <c r="L18"/>
  <c r="BI93" i="71"/>
  <c r="K33" i="59"/>
  <c r="J41"/>
  <c r="K14"/>
  <c r="J43" l="1"/>
  <c r="J179" s="1"/>
  <c r="U40" i="72"/>
  <c r="K18" i="59"/>
  <c r="I143" i="39"/>
  <c r="I215" s="1"/>
  <c r="V21" i="72"/>
  <c r="V22" l="1"/>
  <c r="I102" i="80"/>
  <c r="I116"/>
  <c r="V40" i="72" l="1"/>
  <c r="I168" i="80"/>
  <c r="V95" i="72" l="1"/>
  <c r="AK40"/>
  <c r="I25" i="80"/>
  <c r="I173" l="1"/>
  <c r="I188" s="1"/>
  <c r="S101" i="72"/>
  <c r="V96"/>
  <c r="V97" l="1"/>
  <c r="I16" i="89"/>
  <c r="I53" l="1"/>
  <c r="I64" s="1"/>
  <c r="G143" i="39"/>
  <c r="G215" s="1"/>
  <c r="G102" i="80"/>
  <c r="G116"/>
  <c r="V98" i="72"/>
  <c r="BE49" i="70"/>
  <c r="V21"/>
  <c r="V99" i="72" l="1"/>
  <c r="V101" s="1"/>
  <c r="G168" i="80"/>
  <c r="BE51" i="70"/>
  <c r="BE84" s="1"/>
  <c r="BE109" s="1"/>
  <c r="V22"/>
  <c r="V40" s="1"/>
  <c r="I10" i="69"/>
  <c r="I33" i="59"/>
  <c r="I38" i="69" l="1"/>
  <c r="I62" s="1"/>
  <c r="V95" i="70"/>
  <c r="AK40"/>
  <c r="G25" i="80"/>
  <c r="Y102" i="72"/>
  <c r="G173" i="80" l="1"/>
  <c r="G188" s="1"/>
  <c r="Y103" i="72"/>
  <c r="AT103" s="1"/>
  <c r="AT104" s="1"/>
  <c r="AT106" s="1"/>
  <c r="AT109" s="1"/>
  <c r="V96" i="70"/>
  <c r="K41" i="59"/>
  <c r="K43" l="1"/>
  <c r="K179" s="1"/>
  <c r="V97" i="70"/>
  <c r="G16" i="89"/>
  <c r="BE49" i="29"/>
  <c r="G53" i="89" l="1"/>
  <c r="BE51" i="29"/>
  <c r="BE84" s="1"/>
  <c r="BE109" s="1"/>
  <c r="F143" i="39"/>
  <c r="F215" s="1"/>
  <c r="F102" i="80"/>
  <c r="F116"/>
  <c r="V21" i="29"/>
  <c r="H33" i="59"/>
  <c r="F168" i="80" l="1"/>
  <c r="V22" i="29"/>
  <c r="V40" l="1"/>
  <c r="V95" l="1"/>
  <c r="AK40"/>
  <c r="F25" i="80"/>
  <c r="F173" l="1"/>
  <c r="F188" s="1"/>
  <c r="I29" i="83"/>
  <c r="I40" s="1"/>
  <c r="BH71" i="72"/>
  <c r="V96" i="29"/>
  <c r="V97" l="1"/>
  <c r="BH72" i="72"/>
  <c r="I29" i="30"/>
  <c r="I39" s="1"/>
  <c r="Y104" i="72"/>
  <c r="Y106" s="1"/>
  <c r="Y109" s="1"/>
  <c r="I59" i="69"/>
  <c r="I38" i="83"/>
  <c r="I190" i="80"/>
  <c r="I191"/>
  <c r="S109" i="72"/>
  <c r="Q109"/>
  <c r="K59" i="59"/>
  <c r="K80"/>
  <c r="AF96" i="72"/>
  <c r="BI91"/>
  <c r="V102"/>
  <c r="AG96"/>
  <c r="AB71"/>
  <c r="F16" i="89"/>
  <c r="F53" l="1"/>
  <c r="AB72" i="72"/>
  <c r="AB84" s="1"/>
  <c r="AB109" s="1"/>
  <c r="BI93"/>
  <c r="AG99"/>
  <c r="AG106" s="1"/>
  <c r="AG109" s="1"/>
  <c r="AF99"/>
  <c r="AF106" s="1"/>
  <c r="AF109" s="1"/>
  <c r="V104"/>
  <c r="V106" s="1"/>
  <c r="V109" s="1"/>
  <c r="L65" i="33"/>
  <c r="K66" i="59"/>
  <c r="K68"/>
  <c r="BB59" i="75"/>
  <c r="K67" i="59"/>
  <c r="K62"/>
  <c r="BB63" i="75" l="1"/>
  <c r="BB84" s="1"/>
  <c r="BB109" s="1"/>
  <c r="S101"/>
  <c r="BE49"/>
  <c r="N29" i="59"/>
  <c r="N174" l="1"/>
  <c r="BE51" i="75"/>
  <c r="BE84" s="1"/>
  <c r="BE109" s="1"/>
  <c r="L142" i="39"/>
  <c r="L214" s="1"/>
  <c r="L98" i="80"/>
  <c r="L112"/>
  <c r="N33" i="59"/>
  <c r="U21" i="75"/>
  <c r="L167" i="80" l="1"/>
  <c r="U22" i="75"/>
  <c r="U40" s="1"/>
  <c r="L143" i="39" l="1"/>
  <c r="L215" s="1"/>
  <c r="V21" i="75"/>
  <c r="V22" l="1"/>
  <c r="V40" s="1"/>
  <c r="L102" i="80"/>
  <c r="L116"/>
  <c r="V95" i="75" l="1"/>
  <c r="AK40"/>
  <c r="L168" i="80"/>
  <c r="L25"/>
  <c r="L173" l="1"/>
  <c r="L188" s="1"/>
  <c r="V96" i="75"/>
  <c r="V97" l="1"/>
  <c r="L29" i="83"/>
  <c r="L40" s="1"/>
  <c r="L29" i="30"/>
  <c r="L39" s="1"/>
  <c r="L212" i="39"/>
  <c r="L38" i="83"/>
  <c r="L190" i="80"/>
  <c r="L191"/>
  <c r="S109" i="75"/>
  <c r="N80" i="59"/>
  <c r="AB71" i="75"/>
  <c r="BH71"/>
  <c r="I21"/>
  <c r="AG96"/>
  <c r="L16" i="89"/>
  <c r="BI91" i="75"/>
  <c r="AF96"/>
  <c r="K84" i="59"/>
  <c r="L53" i="89" l="1"/>
  <c r="L64" s="1"/>
  <c r="AG99" i="75"/>
  <c r="AG106" s="1"/>
  <c r="AG109" s="1"/>
  <c r="I22"/>
  <c r="I40" s="1"/>
  <c r="I109" s="1"/>
  <c r="BH72"/>
  <c r="AF99"/>
  <c r="AF106" s="1"/>
  <c r="AF109" s="1"/>
  <c r="AB72"/>
  <c r="AB84" s="1"/>
  <c r="AB109" s="1"/>
  <c r="BI93"/>
  <c r="K85" i="59"/>
  <c r="F64" i="89"/>
  <c r="S101" i="29"/>
  <c r="N66" i="59"/>
  <c r="N68"/>
  <c r="N67"/>
  <c r="N14"/>
  <c r="V98" i="29"/>
  <c r="V98" i="75"/>
  <c r="V99" l="1"/>
  <c r="V101" s="1"/>
  <c r="V99" i="29"/>
  <c r="V101" s="1"/>
  <c r="N18" i="59"/>
  <c r="Q109" i="75"/>
  <c r="F212" i="39"/>
  <c r="F10" i="69"/>
  <c r="I21" i="29"/>
  <c r="L10" i="69"/>
  <c r="L38" l="1"/>
  <c r="L59" s="1"/>
  <c r="F38"/>
  <c r="F62" s="1"/>
  <c r="L62"/>
  <c r="I22" i="29"/>
  <c r="I40" s="1"/>
  <c r="I109" s="1"/>
  <c r="F29" i="83"/>
  <c r="F40" s="1"/>
  <c r="Y102" i="29"/>
  <c r="BH71"/>
  <c r="V102" i="75"/>
  <c r="Y102"/>
  <c r="H14" i="59"/>
  <c r="H18" l="1"/>
  <c r="V104" i="75"/>
  <c r="V106" s="1"/>
  <c r="V109" s="1"/>
  <c r="Y103" i="29"/>
  <c r="AT103" s="1"/>
  <c r="AT104" s="1"/>
  <c r="AT106" s="1"/>
  <c r="AT109" s="1"/>
  <c r="Y103" i="75"/>
  <c r="AT103" s="1"/>
  <c r="AT104" s="1"/>
  <c r="AT106" s="1"/>
  <c r="AT109" s="1"/>
  <c r="BH72" i="29"/>
  <c r="F29" i="30"/>
  <c r="F39" s="1"/>
  <c r="Y104" i="29"/>
  <c r="Y106" s="1"/>
  <c r="Y109" s="1"/>
  <c r="F59" i="69"/>
  <c r="F38" i="83"/>
  <c r="F190" i="80"/>
  <c r="F191"/>
  <c r="S109" i="29"/>
  <c r="Q109"/>
  <c r="AF96"/>
  <c r="BI91"/>
  <c r="N41" i="59"/>
  <c r="AB71" i="29"/>
  <c r="H41" i="59"/>
  <c r="V102" i="29"/>
  <c r="N62" i="59"/>
  <c r="N84"/>
  <c r="H59"/>
  <c r="H80"/>
  <c r="AG96" i="29"/>
  <c r="Y104" i="75" l="1"/>
  <c r="Y106" s="1"/>
  <c r="Y109" s="1"/>
  <c r="AG99" i="29"/>
  <c r="AG106" s="1"/>
  <c r="AG109" s="1"/>
  <c r="AF99"/>
  <c r="AF106" s="1"/>
  <c r="AF109" s="1"/>
  <c r="V104"/>
  <c r="V106" s="1"/>
  <c r="V109" s="1"/>
  <c r="H43" i="59"/>
  <c r="H179" s="1"/>
  <c r="AB72" i="29"/>
  <c r="AB84" s="1"/>
  <c r="AB109" s="1"/>
  <c r="BI93"/>
  <c r="N43" i="59"/>
  <c r="N179" s="1"/>
  <c r="N85"/>
  <c r="H68"/>
  <c r="BJ9" i="60"/>
  <c r="H62" i="59"/>
  <c r="H66"/>
  <c r="N59"/>
  <c r="H67"/>
  <c r="G212" i="39" l="1"/>
  <c r="S101" i="70"/>
  <c r="BK9" i="60"/>
  <c r="BL9"/>
  <c r="I21" i="70"/>
  <c r="I22" l="1"/>
  <c r="I40" s="1"/>
  <c r="I109" s="1"/>
  <c r="G64" i="89"/>
  <c r="I14" i="59"/>
  <c r="V98" i="70"/>
  <c r="I18" i="59" l="1"/>
  <c r="V99" i="70"/>
  <c r="V101" s="1"/>
  <c r="G29" i="83"/>
  <c r="G40" s="1"/>
  <c r="G10" i="69"/>
  <c r="BH71" i="70"/>
  <c r="G38" i="69" l="1"/>
  <c r="G62" s="1"/>
  <c r="BH72" i="70"/>
  <c r="G29" i="30"/>
  <c r="G39" s="1"/>
  <c r="G38" i="83"/>
  <c r="G190" i="80"/>
  <c r="G191"/>
  <c r="S109" i="70"/>
  <c r="Q109"/>
  <c r="H84" i="59"/>
  <c r="AF96" i="70"/>
  <c r="I80" i="59"/>
  <c r="AG96" i="70"/>
  <c r="Y102"/>
  <c r="BI91"/>
  <c r="AB71"/>
  <c r="G59" i="69" l="1"/>
  <c r="AG99" i="70"/>
  <c r="AG106" s="1"/>
  <c r="AG109" s="1"/>
  <c r="AF99"/>
  <c r="AF106" s="1"/>
  <c r="AF109" s="1"/>
  <c r="AB72"/>
  <c r="AB84" s="1"/>
  <c r="AB109" s="1"/>
  <c r="Y103"/>
  <c r="AT103" s="1"/>
  <c r="AT104" s="1"/>
  <c r="AT106" s="1"/>
  <c r="AT109" s="1"/>
  <c r="BI93"/>
  <c r="H85" i="59"/>
  <c r="BF84" i="29"/>
  <c r="BJ72"/>
  <c r="I66" i="59"/>
  <c r="I68"/>
  <c r="I41"/>
  <c r="I67"/>
  <c r="V102" i="70"/>
  <c r="BI9" i="60"/>
  <c r="I84" i="59"/>
  <c r="V104" i="70" l="1"/>
  <c r="V106" s="1"/>
  <c r="V109" s="1"/>
  <c r="Y104"/>
  <c r="Y106" s="1"/>
  <c r="Y109" s="1"/>
  <c r="I43" i="59"/>
  <c r="I179" s="1"/>
  <c r="I85"/>
  <c r="BF84" i="72"/>
  <c r="I59" i="59"/>
  <c r="I62"/>
  <c r="BF84" i="71" l="1"/>
  <c r="BJ72"/>
  <c r="BF84" i="70" l="1"/>
  <c r="BJ24" i="60"/>
  <c r="Q22" i="70" l="1"/>
  <c r="Q40" s="1"/>
  <c r="BJ26" i="60"/>
  <c r="BJ25"/>
  <c r="BJ28"/>
  <c r="BJ27"/>
  <c r="BL40" i="70" l="1"/>
  <c r="BF84" i="73"/>
  <c r="BF84" i="74"/>
  <c r="BF84" i="75"/>
  <c r="BF84" i="78" l="1"/>
  <c r="BJ72" i="75"/>
  <c r="N40" i="30"/>
  <c r="BJ91" i="77"/>
  <c r="AK91"/>
  <c r="BF84" i="76"/>
  <c r="BF84" i="77"/>
  <c r="BL91" l="1"/>
  <c r="BL24" i="60"/>
  <c r="Q22" i="75" l="1"/>
  <c r="Q40" s="1"/>
  <c r="BL40" s="1"/>
  <c r="Q22" i="76"/>
  <c r="Q40" s="1"/>
  <c r="BL40" s="1"/>
  <c r="Q22" i="73"/>
  <c r="Q40" s="1"/>
  <c r="BL40" s="1"/>
  <c r="G190" i="39" a="1"/>
  <c r="G190" s="1"/>
  <c r="G228" s="1"/>
  <c r="G189" a="1"/>
  <c r="G189" s="1"/>
  <c r="G227" s="1"/>
  <c r="BL27" i="60"/>
  <c r="BL26"/>
  <c r="BQ21" i="70"/>
  <c r="BI24" i="60"/>
  <c r="BL28"/>
  <c r="BL25"/>
  <c r="BK24"/>
  <c r="BP21" i="70"/>
  <c r="BQ22" l="1"/>
  <c r="BQ40" s="1"/>
  <c r="BP22"/>
  <c r="BP40" s="1"/>
  <c r="N567" i="36" a="1"/>
  <c r="N567" s="1"/>
  <c r="N596" s="1"/>
  <c r="BK28" i="60"/>
  <c r="F15" i="27"/>
  <c r="O15" i="37"/>
  <c r="I15" i="27"/>
  <c r="BK27" i="60"/>
  <c r="BI25"/>
  <c r="M15" i="27"/>
  <c r="K15" i="37"/>
  <c r="G15"/>
  <c r="H15"/>
  <c r="BQ9" i="77"/>
  <c r="BK25" i="60"/>
  <c r="M15" i="37"/>
  <c r="N15"/>
  <c r="J15"/>
  <c r="I15"/>
  <c r="K15" i="27"/>
  <c r="O15"/>
  <c r="BI27" i="60"/>
  <c r="L15" i="37"/>
  <c r="F15"/>
  <c r="BI26" i="60"/>
  <c r="N15" i="27"/>
  <c r="L15"/>
  <c r="G15"/>
  <c r="BI28" i="60"/>
  <c r="H15" i="27"/>
  <c r="BK26" i="60"/>
  <c r="J15" i="27"/>
  <c r="BQ11" i="77" l="1"/>
  <c r="BQ15" s="1"/>
  <c r="N190" i="39" a="1"/>
  <c r="N190" s="1"/>
  <c r="N228" s="1"/>
  <c r="BQ21" i="77"/>
  <c r="BQ22" l="1"/>
  <c r="BQ40" s="1"/>
  <c r="N566" i="36" a="1"/>
  <c r="N566" s="1"/>
  <c r="N595" s="1"/>
  <c r="N189" i="39" a="1"/>
  <c r="N189"/>
  <c r="N227" s="1"/>
  <c r="BJ91" i="70"/>
  <c r="AK91"/>
  <c r="G40" i="30"/>
  <c r="M189" i="39" a="1"/>
  <c r="M189" s="1"/>
  <c r="M227" s="1"/>
  <c r="BP21" i="76"/>
  <c r="BP21" i="77"/>
  <c r="BP9"/>
  <c r="BP22" l="1"/>
  <c r="BP11"/>
  <c r="BP15" s="1"/>
  <c r="BL91" i="70"/>
  <c r="BP22" i="76"/>
  <c r="BP40" s="1"/>
  <c r="M190" i="39" a="1"/>
  <c r="M190" s="1"/>
  <c r="M228" s="1"/>
  <c r="BQ21" i="76"/>
  <c r="BP40" i="77" l="1"/>
  <c r="BQ22" i="76"/>
  <c r="BQ40" s="1"/>
  <c r="H189" i="39" l="1" a="1"/>
  <c r="H189" s="1"/>
  <c r="H227" s="1"/>
  <c r="H190" a="1"/>
  <c r="H190" s="1"/>
  <c r="H228" s="1"/>
  <c r="BP21" i="71"/>
  <c r="BQ21"/>
  <c r="BP22" l="1"/>
  <c r="BP40" s="1"/>
  <c r="BQ22"/>
  <c r="BQ40" s="1"/>
  <c r="AK91" i="76"/>
  <c r="BJ91"/>
  <c r="BL91" l="1"/>
  <c r="M40" i="30"/>
  <c r="L189" i="39" a="1"/>
  <c r="L189" s="1"/>
  <c r="L227" s="1"/>
  <c r="L190" a="1"/>
  <c r="L190" s="1"/>
  <c r="L228" s="1"/>
  <c r="BP21" i="75"/>
  <c r="BQ21"/>
  <c r="BP22" l="1"/>
  <c r="BP40" s="1"/>
  <c r="BQ22"/>
  <c r="BQ40" s="1"/>
  <c r="AK91" i="71"/>
  <c r="BJ91"/>
  <c r="H40" i="30"/>
  <c r="J190" i="39" a="1"/>
  <c r="J190" s="1"/>
  <c r="J228" s="1"/>
  <c r="BQ21" i="73"/>
  <c r="BL91" i="71" l="1"/>
  <c r="BQ22" i="73"/>
  <c r="BQ40" s="1"/>
  <c r="J189" i="39" a="1"/>
  <c r="J189" s="1"/>
  <c r="J227" s="1"/>
  <c r="BP21" i="73"/>
  <c r="BP22" l="1"/>
  <c r="BP40" s="1"/>
  <c r="AK91" i="75" l="1"/>
  <c r="BJ91"/>
  <c r="L40" i="30"/>
  <c r="I189" i="39" a="1"/>
  <c r="I189" s="1"/>
  <c r="I227" s="1"/>
  <c r="BP21" i="72"/>
  <c r="BL91" i="75" l="1"/>
  <c r="BP22" i="72"/>
  <c r="BP40" s="1"/>
  <c r="I190" i="39" a="1"/>
  <c r="I190" s="1"/>
  <c r="I228" s="1"/>
  <c r="BQ21" i="72"/>
  <c r="BQ22" l="1"/>
  <c r="BQ40" s="1"/>
  <c r="BJ91" i="73" l="1"/>
  <c r="AK91"/>
  <c r="J40" i="30"/>
  <c r="O190" i="39" a="1"/>
  <c r="O190" s="1"/>
  <c r="O228" s="1"/>
  <c r="BQ21" i="78"/>
  <c r="BL91" i="73" l="1"/>
  <c r="BQ22" i="78"/>
  <c r="BQ40" s="1"/>
  <c r="O189" i="39" a="1"/>
  <c r="O189" s="1"/>
  <c r="O227" s="1"/>
  <c r="BP21" i="78"/>
  <c r="BP22" l="1"/>
  <c r="BP40" s="1"/>
  <c r="AK91" i="72"/>
  <c r="BJ91"/>
  <c r="BL91" l="1"/>
  <c r="I40" i="30"/>
  <c r="BJ91" i="78"/>
  <c r="AK91"/>
  <c r="O40" i="30"/>
  <c r="F190" i="39" a="1"/>
  <c r="F190" s="1"/>
  <c r="F228" s="1"/>
  <c r="BQ21" i="29"/>
  <c r="BL91" i="78" l="1"/>
  <c r="BQ22" i="29"/>
  <c r="BQ40" s="1"/>
  <c r="F189" i="39" a="1"/>
  <c r="F189" s="1"/>
  <c r="F227" s="1"/>
  <c r="BP21" i="29"/>
  <c r="BP22" l="1"/>
  <c r="BP40" s="1"/>
  <c r="K189" i="39" a="1"/>
  <c r="K189" s="1"/>
  <c r="K227" s="1"/>
  <c r="BP21" i="74"/>
  <c r="BP22" l="1"/>
  <c r="BP40" s="1"/>
  <c r="K190" i="39" a="1"/>
  <c r="K190" s="1"/>
  <c r="K228" s="1"/>
  <c r="BQ21" i="74"/>
  <c r="BQ22" l="1"/>
  <c r="BQ40" s="1"/>
  <c r="AK91" i="29"/>
  <c r="BJ91"/>
  <c r="F40" i="30"/>
  <c r="AK91" i="74"/>
  <c r="BJ91"/>
  <c r="K40" i="30"/>
  <c r="G98" i="67"/>
  <c r="G130"/>
  <c r="G148" s="1"/>
  <c r="H98"/>
  <c r="H130" s="1"/>
  <c r="H145"/>
  <c r="I98"/>
  <c r="I130" s="1"/>
  <c r="I145"/>
  <c r="J98"/>
  <c r="J130" s="1"/>
  <c r="J145"/>
  <c r="K98"/>
  <c r="K130"/>
  <c r="K145"/>
  <c r="K148" s="1"/>
  <c r="L98"/>
  <c r="L130"/>
  <c r="L148" s="1"/>
  <c r="L145"/>
  <c r="M98"/>
  <c r="M130" s="1"/>
  <c r="M148" s="1"/>
  <c r="M145"/>
  <c r="N98"/>
  <c r="N130" s="1"/>
  <c r="N148" s="1"/>
  <c r="N145"/>
  <c r="O98"/>
  <c r="O130" s="1"/>
  <c r="O145"/>
  <c r="P98"/>
  <c r="P130"/>
  <c r="P145"/>
  <c r="BF87"/>
  <c r="BF130"/>
  <c r="BF148" s="1"/>
  <c r="BG17"/>
  <c r="BG74"/>
  <c r="BG87"/>
  <c r="BG130"/>
  <c r="F52" i="59"/>
  <c r="P148" i="67" l="1"/>
  <c r="O148"/>
  <c r="J148"/>
  <c r="I148"/>
  <c r="H148"/>
  <c r="BL91" i="29"/>
  <c r="BG148" i="67"/>
  <c r="BL91" i="74"/>
  <c r="BH74" i="67"/>
  <c r="BJ74" s="1"/>
  <c r="BF104" i="4"/>
  <c r="BF109"/>
  <c r="BF111"/>
  <c r="BF133" s="1"/>
  <c r="BH133" s="1"/>
  <c r="BH17" i="67"/>
  <c r="BJ17"/>
  <c r="AK22" i="29"/>
  <c r="AK72"/>
  <c r="BL72" s="1"/>
  <c r="AK71"/>
  <c r="BJ71"/>
  <c r="F41" i="83"/>
  <c r="AK72" i="72"/>
  <c r="BJ72"/>
  <c r="AK72" i="70"/>
  <c r="BJ72"/>
  <c r="BJ71" i="72"/>
  <c r="I41" i="83"/>
  <c r="AK71" i="70"/>
  <c r="BJ71"/>
  <c r="AK71" i="71"/>
  <c r="BJ71"/>
  <c r="G41" i="83"/>
  <c r="AK72" i="71"/>
  <c r="BL72" s="1"/>
  <c r="H41" i="83"/>
  <c r="AK71" i="73"/>
  <c r="BJ71"/>
  <c r="AK72" i="74"/>
  <c r="BJ72"/>
  <c r="BJ72" i="73"/>
  <c r="AK72"/>
  <c r="AK71" i="74"/>
  <c r="BJ71"/>
  <c r="J41" i="83"/>
  <c r="K41"/>
  <c r="AK72" i="78"/>
  <c r="BJ72"/>
  <c r="AK72" i="76"/>
  <c r="BJ72"/>
  <c r="AK71" i="77"/>
  <c r="BJ71"/>
  <c r="AK72" i="75"/>
  <c r="BL72" s="1"/>
  <c r="AK72" i="77"/>
  <c r="BJ72"/>
  <c r="AK71" i="76"/>
  <c r="BJ71"/>
  <c r="AK71" i="75"/>
  <c r="BJ71"/>
  <c r="AK71" i="78"/>
  <c r="BJ71"/>
  <c r="M41" i="83"/>
  <c r="N41"/>
  <c r="O41"/>
  <c r="L41"/>
  <c r="Q145" i="67"/>
  <c r="BJ145" s="1"/>
  <c r="Q98"/>
  <c r="BJ98" s="1"/>
  <c r="AK71" i="72"/>
  <c r="BH87" i="67"/>
  <c r="BJ87"/>
  <c r="F10" i="59"/>
  <c r="F7"/>
  <c r="F12"/>
  <c r="F53"/>
  <c r="F9"/>
  <c r="F11"/>
  <c r="F8"/>
  <c r="Q148" i="67" l="1"/>
  <c r="BL71" i="72"/>
  <c r="BL72" i="77"/>
  <c r="F54" i="59"/>
  <c r="BH111" i="4"/>
  <c r="BL71" i="78"/>
  <c r="BL71" i="76"/>
  <c r="BL72" i="73"/>
  <c r="BL72" i="74"/>
  <c r="BH148" i="67"/>
  <c r="BJ148" s="1"/>
  <c r="BL71" i="70"/>
  <c r="BL72" i="72"/>
  <c r="BL71" i="77"/>
  <c r="BL72" i="78"/>
  <c r="BL71" i="71"/>
  <c r="BL71" i="29"/>
  <c r="BL71" i="75"/>
  <c r="BL72" i="76"/>
  <c r="BL71" i="74"/>
  <c r="BL71" i="73"/>
  <c r="BL72" i="70"/>
  <c r="F13" i="59"/>
  <c r="Q130" i="67"/>
  <c r="BH130"/>
  <c r="AK59" i="74"/>
  <c r="BF59"/>
  <c r="AK59" i="78"/>
  <c r="BF59"/>
  <c r="AK59" i="73"/>
  <c r="BF59"/>
  <c r="AK59" i="76"/>
  <c r="BF59"/>
  <c r="AK59" i="75"/>
  <c r="BF59"/>
  <c r="AK59" i="77"/>
  <c r="BF59"/>
  <c r="AK63" i="73"/>
  <c r="BF63"/>
  <c r="AK63" i="76"/>
  <c r="BF63"/>
  <c r="AK63" i="74"/>
  <c r="BF63"/>
  <c r="AK63" i="78"/>
  <c r="BF63"/>
  <c r="BF63" i="77"/>
  <c r="AK63"/>
  <c r="AK63" i="75"/>
  <c r="BF63"/>
  <c r="J66" i="33"/>
  <c r="K66"/>
  <c r="L66"/>
  <c r="M66"/>
  <c r="N66"/>
  <c r="O66"/>
  <c r="Q15" i="77"/>
  <c r="BL15" s="1"/>
  <c r="Q11"/>
  <c r="BL11" s="1"/>
  <c r="Q9"/>
  <c r="BL9" s="1"/>
  <c r="Q22"/>
  <c r="DH15"/>
  <c r="N597" i="36"/>
  <c r="N562"/>
  <c r="N548"/>
  <c r="N585"/>
  <c r="DH51" i="29"/>
  <c r="F89" i="59"/>
  <c r="F14"/>
  <c r="F17"/>
  <c r="F15"/>
  <c r="F16"/>
  <c r="AW36" i="60"/>
  <c r="F18" i="59" l="1"/>
  <c r="F184" s="1"/>
  <c r="BJ130" i="67"/>
  <c r="Q40" i="77"/>
  <c r="BL40" s="1"/>
  <c r="BL59" i="74"/>
  <c r="BL63"/>
  <c r="BL59" i="75"/>
  <c r="BL59" i="73"/>
  <c r="BL59" i="78"/>
  <c r="BL63" i="77"/>
  <c r="BL63" i="78"/>
  <c r="BL63" i="73"/>
  <c r="BL59" i="77"/>
  <c r="BL63" i="75"/>
  <c r="BL63" i="76"/>
  <c r="BL59"/>
  <c r="DH51" i="71"/>
  <c r="DH51" i="73"/>
  <c r="DH51" i="75"/>
  <c r="DH51" i="77"/>
  <c r="DH51" i="70"/>
  <c r="DH51" i="72"/>
  <c r="DH51" i="74"/>
  <c r="DH51" i="76"/>
  <c r="Q22" i="29"/>
  <c r="Q40" s="1"/>
  <c r="BL40" s="1"/>
  <c r="DH49" i="77"/>
  <c r="DH49" i="75"/>
  <c r="DH49" i="73"/>
  <c r="DH49" i="71"/>
  <c r="DH49" i="76"/>
  <c r="DH49" i="74"/>
  <c r="DH49" i="72"/>
  <c r="DH49" i="70"/>
  <c r="AG97" i="77"/>
  <c r="AG97" i="75"/>
  <c r="AG97" i="71"/>
  <c r="AG97" i="73"/>
  <c r="AG97" i="29"/>
  <c r="AF97"/>
  <c r="AF97" i="75"/>
  <c r="AF97" i="73"/>
  <c r="AF97" i="77"/>
  <c r="AF97" i="71"/>
  <c r="AG97" i="78"/>
  <c r="AG97" i="76"/>
  <c r="AG97" i="74"/>
  <c r="AG97" i="72"/>
  <c r="AG97" i="70"/>
  <c r="AF97" i="78"/>
  <c r="AF97" i="74"/>
  <c r="AF97" i="72"/>
  <c r="AF97" i="76"/>
  <c r="AF97" i="70"/>
  <c r="DH49" i="78"/>
  <c r="DH49" i="29"/>
  <c r="BF97" i="4"/>
  <c r="BH97"/>
  <c r="BF100"/>
  <c r="BH100"/>
  <c r="BF117"/>
  <c r="BH117"/>
  <c r="BF101"/>
  <c r="BH101"/>
  <c r="BF102"/>
  <c r="BH102"/>
  <c r="BH109"/>
  <c r="BF99"/>
  <c r="BH99"/>
  <c r="BF87"/>
  <c r="BH87"/>
  <c r="BH104"/>
  <c r="BF79"/>
  <c r="BH79"/>
  <c r="Q21" i="29"/>
  <c r="AK21"/>
  <c r="F218" i="39"/>
  <c r="AK51" i="29"/>
  <c r="BF51"/>
  <c r="BE95"/>
  <c r="BF95" s="1"/>
  <c r="AK49"/>
  <c r="BE97"/>
  <c r="BF97" s="1"/>
  <c r="BF49"/>
  <c r="F283" i="79"/>
  <c r="AK22" i="70"/>
  <c r="BL22" s="1"/>
  <c r="Q21"/>
  <c r="AK21"/>
  <c r="AK51"/>
  <c r="BF51"/>
  <c r="BE95"/>
  <c r="BF95" s="1"/>
  <c r="AK49"/>
  <c r="BE97"/>
  <c r="BF97" s="1"/>
  <c r="BF49"/>
  <c r="G272" i="79"/>
  <c r="G283"/>
  <c r="Q22" i="71"/>
  <c r="Q40" s="1"/>
  <c r="BL40" s="1"/>
  <c r="AK22"/>
  <c r="Q21"/>
  <c r="AK21"/>
  <c r="AK51"/>
  <c r="BF51"/>
  <c r="BE95"/>
  <c r="BF95" s="1"/>
  <c r="AK49"/>
  <c r="BE97"/>
  <c r="BF97" s="1"/>
  <c r="BF49"/>
  <c r="H272" i="79"/>
  <c r="H283"/>
  <c r="Q22" i="72"/>
  <c r="Q40" s="1"/>
  <c r="BL40" s="1"/>
  <c r="AK22"/>
  <c r="Q21"/>
  <c r="AK21"/>
  <c r="AK51"/>
  <c r="BF51"/>
  <c r="BE95"/>
  <c r="BF95" s="1"/>
  <c r="AK49"/>
  <c r="BE97"/>
  <c r="BF97" s="1"/>
  <c r="BF49"/>
  <c r="I283" i="79"/>
  <c r="I272"/>
  <c r="AK22" i="73"/>
  <c r="BL22" s="1"/>
  <c r="Q21"/>
  <c r="AK21"/>
  <c r="AK51"/>
  <c r="BF51"/>
  <c r="BE95"/>
  <c r="BF95" s="1"/>
  <c r="AK49"/>
  <c r="BE97"/>
  <c r="BF97" s="1"/>
  <c r="BF49"/>
  <c r="J283" i="79"/>
  <c r="Q22" i="74"/>
  <c r="Q40" s="1"/>
  <c r="BL40" s="1"/>
  <c r="AK22"/>
  <c r="Q21"/>
  <c r="AK21"/>
  <c r="AK51"/>
  <c r="BF51"/>
  <c r="BE95"/>
  <c r="BF95" s="1"/>
  <c r="BE97"/>
  <c r="BF97" s="1"/>
  <c r="BF49"/>
  <c r="AK49"/>
  <c r="K272" i="79"/>
  <c r="K283"/>
  <c r="AK22" i="75"/>
  <c r="BL22" s="1"/>
  <c r="Q21"/>
  <c r="AK21"/>
  <c r="AK51"/>
  <c r="BF51"/>
  <c r="BE95"/>
  <c r="BF95" s="1"/>
  <c r="AK49"/>
  <c r="BF49"/>
  <c r="BE97"/>
  <c r="BF97" s="1"/>
  <c r="L283" i="79"/>
  <c r="AK22" i="76"/>
  <c r="BL22" s="1"/>
  <c r="Q21"/>
  <c r="AK21"/>
  <c r="AK51"/>
  <c r="BF51"/>
  <c r="BE95"/>
  <c r="BF95" s="1"/>
  <c r="BF49"/>
  <c r="BE97"/>
  <c r="BF97" s="1"/>
  <c r="AK49"/>
  <c r="M283" i="79"/>
  <c r="M272"/>
  <c r="AK22" i="77"/>
  <c r="BL22" s="1"/>
  <c r="Q21"/>
  <c r="AK21"/>
  <c r="AK51"/>
  <c r="BF51"/>
  <c r="AK49"/>
  <c r="BF49"/>
  <c r="N283" i="79"/>
  <c r="Q22" i="78"/>
  <c r="Q40" s="1"/>
  <c r="BL40" s="1"/>
  <c r="AK22"/>
  <c r="Q21"/>
  <c r="AK21"/>
  <c r="AK51"/>
  <c r="BF51"/>
  <c r="BE95"/>
  <c r="BF95" s="1"/>
  <c r="AK49"/>
  <c r="BE97"/>
  <c r="BF97" s="1"/>
  <c r="BF49"/>
  <c r="O272" i="79"/>
  <c r="O283"/>
  <c r="J272"/>
  <c r="L272"/>
  <c r="N272"/>
  <c r="F272"/>
  <c r="K533" i="36" a="1"/>
  <c r="K533" s="1"/>
  <c r="K535" s="1"/>
  <c r="N535"/>
  <c r="G218" i="39"/>
  <c r="H218"/>
  <c r="I218"/>
  <c r="J218"/>
  <c r="K218"/>
  <c r="L218"/>
  <c r="M218"/>
  <c r="O218"/>
  <c r="N218"/>
  <c r="N104"/>
  <c r="H104"/>
  <c r="J104"/>
  <c r="O104"/>
  <c r="G104"/>
  <c r="I104"/>
  <c r="M104"/>
  <c r="L104"/>
  <c r="K104"/>
  <c r="I148"/>
  <c r="I150"/>
  <c r="I151"/>
  <c r="I149"/>
  <c r="N150"/>
  <c r="N148"/>
  <c r="N152"/>
  <c r="N149"/>
  <c r="N151"/>
  <c r="O149"/>
  <c r="O151"/>
  <c r="O148"/>
  <c r="O150"/>
  <c r="O152"/>
  <c r="K151"/>
  <c r="K149"/>
  <c r="K148"/>
  <c r="K150"/>
  <c r="K152"/>
  <c r="G150"/>
  <c r="G148"/>
  <c r="G152"/>
  <c r="G149"/>
  <c r="G151"/>
  <c r="L149"/>
  <c r="L151"/>
  <c r="L148"/>
  <c r="L150"/>
  <c r="L152"/>
  <c r="H148"/>
  <c r="H152"/>
  <c r="H150"/>
  <c r="H149"/>
  <c r="H151"/>
  <c r="M148"/>
  <c r="M151"/>
  <c r="M150"/>
  <c r="M149"/>
  <c r="M152"/>
  <c r="J148"/>
  <c r="J152"/>
  <c r="I152"/>
  <c r="J150"/>
  <c r="J149"/>
  <c r="J151"/>
  <c r="F104"/>
  <c r="F149"/>
  <c r="F151"/>
  <c r="F148"/>
  <c r="F150"/>
  <c r="F152"/>
  <c r="I192" a="1"/>
  <c r="L192" a="1"/>
  <c r="N192" a="1"/>
  <c r="K192" a="1"/>
  <c r="G192" a="1"/>
  <c r="O192" a="1"/>
  <c r="F188" a="1"/>
  <c r="F188" s="1"/>
  <c r="F226" s="1"/>
  <c r="O188" a="1"/>
  <c r="O188" s="1"/>
  <c r="O226" s="1"/>
  <c r="N188" a="1"/>
  <c r="N188" s="1"/>
  <c r="M188" a="1"/>
  <c r="M188" s="1"/>
  <c r="M226" s="1"/>
  <c r="L188" a="1"/>
  <c r="L188" s="1"/>
  <c r="L226" s="1"/>
  <c r="K188" a="1"/>
  <c r="K188" s="1"/>
  <c r="K226" s="1"/>
  <c r="J188" a="1"/>
  <c r="J188" s="1"/>
  <c r="I188" a="1"/>
  <c r="I188" s="1"/>
  <c r="I226" s="1"/>
  <c r="H188" a="1"/>
  <c r="H188" s="1"/>
  <c r="H226" s="1"/>
  <c r="BO21" i="78"/>
  <c r="H192" i="39" l="1" a="1"/>
  <c r="F74" i="59"/>
  <c r="F91" s="1"/>
  <c r="M192" i="39" a="1"/>
  <c r="M192" s="1"/>
  <c r="M201" s="1"/>
  <c r="M203" s="1"/>
  <c r="M233" s="1"/>
  <c r="M234" s="1"/>
  <c r="J192" a="1"/>
  <c r="G192"/>
  <c r="O192"/>
  <c r="O201" s="1"/>
  <c r="O203" s="1"/>
  <c r="O233" s="1"/>
  <c r="K192"/>
  <c r="K201" s="1"/>
  <c r="K203" s="1"/>
  <c r="K233" s="1"/>
  <c r="K234" s="1"/>
  <c r="I192"/>
  <c r="I201" s="1"/>
  <c r="I203" s="1"/>
  <c r="I233" s="1"/>
  <c r="I234" s="1"/>
  <c r="H192"/>
  <c r="H201" s="1"/>
  <c r="H203" s="1"/>
  <c r="H233" s="1"/>
  <c r="H234" s="1"/>
  <c r="N192"/>
  <c r="N201" s="1"/>
  <c r="N203" s="1"/>
  <c r="N233" s="1"/>
  <c r="F192" a="1"/>
  <c r="F192" s="1"/>
  <c r="F201" s="1"/>
  <c r="F203" s="1"/>
  <c r="F233" s="1"/>
  <c r="F234" s="1"/>
  <c r="L192"/>
  <c r="L201" s="1"/>
  <c r="L203" s="1"/>
  <c r="L233" s="1"/>
  <c r="L234" s="1"/>
  <c r="J192"/>
  <c r="J201" s="1"/>
  <c r="J203" s="1"/>
  <c r="J233" s="1"/>
  <c r="BL51" i="74"/>
  <c r="BL51" i="72"/>
  <c r="BL51" i="70"/>
  <c r="BL21" i="78"/>
  <c r="BL22"/>
  <c r="BL21" i="76"/>
  <c r="BL51" i="75"/>
  <c r="BL21"/>
  <c r="BL51" i="73"/>
  <c r="BL21" i="29"/>
  <c r="BL51" i="78"/>
  <c r="J226" i="39"/>
  <c r="N226"/>
  <c r="BL21" i="77"/>
  <c r="BL51" i="76"/>
  <c r="BL22" i="74"/>
  <c r="BL22" i="72"/>
  <c r="BL21" i="71"/>
  <c r="BL22"/>
  <c r="BL51" i="77"/>
  <c r="BL21" i="74"/>
  <c r="BL21" i="73"/>
  <c r="BL21" i="72"/>
  <c r="BL51" i="71"/>
  <c r="BL21" i="70"/>
  <c r="BL51" i="29"/>
  <c r="BL22"/>
  <c r="DC21" i="77"/>
  <c r="BO21"/>
  <c r="DC21" i="78"/>
  <c r="N234" i="39" l="1"/>
  <c r="J234"/>
  <c r="DH21" i="78"/>
  <c r="O234" i="39"/>
  <c r="DH21" i="77"/>
  <c r="BO22"/>
  <c r="DC22"/>
  <c r="DC21" i="76"/>
  <c r="BO21"/>
  <c r="DH22" i="77" l="1"/>
  <c r="DH21" i="76"/>
  <c r="BO22"/>
  <c r="DC22"/>
  <c r="BO21" i="75"/>
  <c r="DC21"/>
  <c r="DH22" i="76" l="1"/>
  <c r="DH21" i="75"/>
  <c r="BO22"/>
  <c r="DC22"/>
  <c r="DC21" i="74"/>
  <c r="BO21"/>
  <c r="DH22" i="75" l="1"/>
  <c r="DH21" i="74"/>
  <c r="BO22"/>
  <c r="DC22"/>
  <c r="DC21" i="73"/>
  <c r="BO21"/>
  <c r="DH22" i="74" l="1"/>
  <c r="DH21" i="73"/>
  <c r="BO22"/>
  <c r="DC22"/>
  <c r="BO21" i="72"/>
  <c r="DC21"/>
  <c r="DH22" i="73" l="1"/>
  <c r="DH21" i="72"/>
  <c r="BO22"/>
  <c r="DC22"/>
  <c r="BO21" i="71"/>
  <c r="DC21"/>
  <c r="DH22" i="72" l="1"/>
  <c r="DH21" i="71"/>
  <c r="BO22"/>
  <c r="DC22"/>
  <c r="G188" i="39" a="1"/>
  <c r="G188" s="1"/>
  <c r="G201" s="1"/>
  <c r="G203" s="1"/>
  <c r="G233" s="1"/>
  <c r="DC21" i="70"/>
  <c r="DH22" i="71" l="1"/>
  <c r="G226" i="39"/>
  <c r="DC22" i="70"/>
  <c r="DC21" i="29"/>
  <c r="BO21"/>
  <c r="BO21" i="70"/>
  <c r="DH21" l="1"/>
  <c r="BO22"/>
  <c r="DH22" s="1"/>
  <c r="G234" i="39"/>
  <c r="DH21" i="29"/>
  <c r="BO22"/>
  <c r="DC22"/>
  <c r="DH22" l="1"/>
  <c r="BO22" i="78"/>
  <c r="BO40" s="1"/>
  <c r="DC22"/>
  <c r="DC40" s="1"/>
  <c r="BO40" i="29"/>
  <c r="DC40"/>
  <c r="AW39" i="60"/>
  <c r="DH40" i="78" l="1"/>
  <c r="DH40" i="29"/>
  <c r="BO40" i="75" l="1"/>
  <c r="DC40"/>
  <c r="DH40" l="1"/>
  <c r="BO40" i="72" l="1"/>
  <c r="DC40"/>
  <c r="DC109" i="75"/>
  <c r="DH40" i="72" l="1"/>
  <c r="BO40" i="76"/>
  <c r="DC40"/>
  <c r="BO40" i="77"/>
  <c r="DC40"/>
  <c r="BO40" i="71"/>
  <c r="DC40"/>
  <c r="BO40" i="73"/>
  <c r="DC40"/>
  <c r="BO40" i="74"/>
  <c r="DC40"/>
  <c r="BO40" i="70"/>
  <c r="DC40"/>
  <c r="DH40" i="71" l="1"/>
  <c r="DH40" i="76"/>
  <c r="DH40" i="74"/>
  <c r="DH40" i="73"/>
  <c r="DH40" i="70"/>
  <c r="DH40" i="77"/>
  <c r="DC109" i="78"/>
  <c r="DC109" i="29"/>
  <c r="DC109" i="72"/>
  <c r="DC109" i="70"/>
  <c r="DC109" i="77"/>
  <c r="DC109" i="73"/>
  <c r="DC109" i="74"/>
  <c r="DC109" i="71"/>
  <c r="DC109" i="76"/>
  <c r="DH22" i="78"/>
  <c r="J151" i="59"/>
  <c r="O151"/>
  <c r="Q151"/>
  <c r="L151"/>
  <c r="N151"/>
  <c r="H151"/>
  <c r="P151"/>
  <c r="I151"/>
  <c r="AX39" i="60"/>
  <c r="K151" i="59"/>
  <c r="M151"/>
  <c r="T92" i="70"/>
  <c r="AK92" l="1"/>
  <c r="T93"/>
  <c r="T74" s="1"/>
  <c r="G16" i="27"/>
  <c r="G95" l="1"/>
  <c r="G96" s="1"/>
  <c r="T78" i="70"/>
  <c r="T80" s="1"/>
  <c r="AK93"/>
  <c r="G16" i="37"/>
  <c r="G101" l="1"/>
  <c r="G102" s="1"/>
  <c r="G10" i="22"/>
  <c r="G87" l="1"/>
  <c r="G96" l="1"/>
  <c r="G98" s="1"/>
  <c r="G105" s="1"/>
  <c r="G107" s="1"/>
  <c r="G108" l="1"/>
  <c r="G109" s="1"/>
  <c r="G111" s="1"/>
  <c r="G133" s="1"/>
  <c r="G117"/>
  <c r="G116"/>
  <c r="G99"/>
  <c r="G130"/>
  <c r="W81" i="70"/>
  <c r="T81"/>
  <c r="G135" i="22" l="1"/>
  <c r="G100"/>
  <c r="G102" s="1"/>
  <c r="G134" s="1"/>
  <c r="W82" i="70"/>
  <c r="W84" s="1"/>
  <c r="T82"/>
  <c r="BH81"/>
  <c r="I96" i="59"/>
  <c r="BI81" i="70"/>
  <c r="I99" i="59" l="1"/>
  <c r="I111" s="1"/>
  <c r="I86" s="1"/>
  <c r="BI82" i="70"/>
  <c r="BI84" s="1"/>
  <c r="G131" i="22"/>
  <c r="G122"/>
  <c r="G146" s="1"/>
  <c r="G120"/>
  <c r="G144" s="1"/>
  <c r="G121"/>
  <c r="G145" s="1"/>
  <c r="BJ81" i="70"/>
  <c r="BH82"/>
  <c r="T84"/>
  <c r="W95"/>
  <c r="G26" i="80"/>
  <c r="BP81" i="70"/>
  <c r="U81"/>
  <c r="BO81"/>
  <c r="BQ81"/>
  <c r="U82" l="1"/>
  <c r="U84" s="1"/>
  <c r="U95" s="1"/>
  <c r="AK81"/>
  <c r="BL81" s="1"/>
  <c r="G147" i="22"/>
  <c r="G136"/>
  <c r="BQ82" i="70"/>
  <c r="BQ84" s="1"/>
  <c r="BQ109" s="1"/>
  <c r="BO82"/>
  <c r="DH81"/>
  <c r="BP82"/>
  <c r="BP84" s="1"/>
  <c r="BP109" s="1"/>
  <c r="G174" i="80"/>
  <c r="G189" s="1"/>
  <c r="BH84" i="70"/>
  <c r="BJ82"/>
  <c r="T101"/>
  <c r="T103" s="1"/>
  <c r="W96"/>
  <c r="G24" i="80"/>
  <c r="W99" i="70" l="1"/>
  <c r="W101" s="1"/>
  <c r="W97"/>
  <c r="AK84"/>
  <c r="DH82"/>
  <c r="DH112" s="1"/>
  <c r="BO84"/>
  <c r="DH84" s="1"/>
  <c r="AK82"/>
  <c r="BL82" s="1"/>
  <c r="G172" i="80"/>
  <c r="T104" i="70"/>
  <c r="AQ103"/>
  <c r="BJ84"/>
  <c r="BO109"/>
  <c r="G11" i="69"/>
  <c r="I140" i="59"/>
  <c r="G40" i="69" l="1"/>
  <c r="BL84" i="70"/>
  <c r="AQ104"/>
  <c r="G195" i="80"/>
  <c r="G187"/>
  <c r="G179" a="1"/>
  <c r="G179" s="1"/>
  <c r="G204" s="1"/>
  <c r="T106" i="70"/>
  <c r="U96"/>
  <c r="CY96"/>
  <c r="BH96"/>
  <c r="G60" i="69" l="1"/>
  <c r="G41"/>
  <c r="DH96" i="70"/>
  <c r="BJ96"/>
  <c r="BH99"/>
  <c r="AK96"/>
  <c r="U97"/>
  <c r="T109"/>
  <c r="DH113" s="1"/>
  <c r="DH114" s="1"/>
  <c r="G205" i="80"/>
  <c r="AQ106" i="70"/>
  <c r="AQ109" s="1"/>
  <c r="G196" i="80"/>
  <c r="W102" i="70"/>
  <c r="I30" i="59"/>
  <c r="I81"/>
  <c r="G15" i="89"/>
  <c r="I175" i="59" l="1"/>
  <c r="W104" i="70"/>
  <c r="W106" s="1"/>
  <c r="W109" s="1"/>
  <c r="G64" i="69"/>
  <c r="G42"/>
  <c r="G63" s="1"/>
  <c r="BL96" i="70"/>
  <c r="I31" i="59"/>
  <c r="I82"/>
  <c r="G52" i="89"/>
  <c r="BJ99" i="70"/>
  <c r="I63" i="59"/>
  <c r="Z102" i="70"/>
  <c r="BI102"/>
  <c r="BJ102" l="1"/>
  <c r="BI104"/>
  <c r="Z103"/>
  <c r="AU103" s="1"/>
  <c r="AU104" s="1"/>
  <c r="AU106" s="1"/>
  <c r="AU109" s="1"/>
  <c r="G65" i="89"/>
  <c r="G55" a="1"/>
  <c r="G55" s="1"/>
  <c r="G74" s="1"/>
  <c r="G63"/>
  <c r="AP98" i="70"/>
  <c r="I44" i="59"/>
  <c r="CY98" i="70"/>
  <c r="U98"/>
  <c r="I46" i="59" l="1"/>
  <c r="I180" s="1"/>
  <c r="BJ104" i="70"/>
  <c r="BI106"/>
  <c r="BI109" s="1"/>
  <c r="Z104"/>
  <c r="Z106" s="1"/>
  <c r="Z109" s="1"/>
  <c r="AK98"/>
  <c r="U99"/>
  <c r="BF98"/>
  <c r="AP99"/>
  <c r="DH98"/>
  <c r="CY99"/>
  <c r="G66" i="89"/>
  <c r="G75"/>
  <c r="I53" i="59"/>
  <c r="I60"/>
  <c r="BL98" i="70" l="1"/>
  <c r="DH99"/>
  <c r="CY106"/>
  <c r="CY109" s="1"/>
  <c r="AP106"/>
  <c r="BF99"/>
  <c r="AK99"/>
  <c r="U101"/>
  <c r="I150" i="59"/>
  <c r="G9" i="69"/>
  <c r="BL99" i="70" l="1"/>
  <c r="G37" i="69"/>
  <c r="AP109" i="70"/>
  <c r="I35" i="59"/>
  <c r="I36" l="1"/>
  <c r="I177" s="1"/>
  <c r="G61" i="69"/>
  <c r="G58"/>
  <c r="U102" i="70"/>
  <c r="X102"/>
  <c r="X103" l="1"/>
  <c r="U104"/>
  <c r="AK102"/>
  <c r="BL102" s="1"/>
  <c r="G65" i="69"/>
  <c r="U106" i="70" l="1"/>
  <c r="AS103"/>
  <c r="AK103"/>
  <c r="X104"/>
  <c r="X106" s="1"/>
  <c r="X109" s="1"/>
  <c r="I58" i="59"/>
  <c r="AS104" i="70" l="1"/>
  <c r="BF103"/>
  <c r="BL103" s="1"/>
  <c r="AK104"/>
  <c r="U109"/>
  <c r="AK106"/>
  <c r="I61" i="59"/>
  <c r="I72" l="1"/>
  <c r="AK109" i="70"/>
  <c r="AS106"/>
  <c r="BF104"/>
  <c r="BL104" s="1"/>
  <c r="AS109" l="1"/>
  <c r="BF106"/>
  <c r="I37" i="59"/>
  <c r="I182" l="1"/>
  <c r="I39"/>
  <c r="I178" s="1"/>
  <c r="BF109" i="70"/>
  <c r="I47" i="59" l="1"/>
  <c r="I181" s="1"/>
  <c r="I49" l="1"/>
  <c r="I20"/>
  <c r="T92" i="77"/>
  <c r="AK92" l="1"/>
  <c r="T93"/>
  <c r="T92" i="73"/>
  <c r="AK92" l="1"/>
  <c r="T93"/>
  <c r="AK93" i="77"/>
  <c r="T74"/>
  <c r="N16" i="27"/>
  <c r="T92" i="76"/>
  <c r="AK92" l="1"/>
  <c r="T93"/>
  <c r="N95" i="27"/>
  <c r="N96" s="1"/>
  <c r="T78" i="77"/>
  <c r="T80" s="1"/>
  <c r="AK93" i="73"/>
  <c r="T74"/>
  <c r="T92" i="75"/>
  <c r="J16" i="27"/>
  <c r="N16" i="37"/>
  <c r="T92" i="74"/>
  <c r="AK92" l="1"/>
  <c r="T93"/>
  <c r="J95" i="27"/>
  <c r="J96" s="1"/>
  <c r="N101" i="37"/>
  <c r="N102" s="1"/>
  <c r="AK92" i="75"/>
  <c r="T93"/>
  <c r="T78" i="73"/>
  <c r="T80" s="1"/>
  <c r="AK93" i="76"/>
  <c r="T74"/>
  <c r="N10" i="22"/>
  <c r="M16" i="27"/>
  <c r="J16" i="37"/>
  <c r="M95" i="27" l="1"/>
  <c r="M96" s="1"/>
  <c r="N87" i="22"/>
  <c r="J101" i="37"/>
  <c r="J102" s="1"/>
  <c r="T78" i="76"/>
  <c r="T80" s="1"/>
  <c r="AK93" i="75"/>
  <c r="T74"/>
  <c r="AK93" i="74"/>
  <c r="T74"/>
  <c r="K16" i="27"/>
  <c r="J10" i="22"/>
  <c r="L16" i="27"/>
  <c r="M16" i="37"/>
  <c r="L95" i="27" l="1"/>
  <c r="L96" s="1"/>
  <c r="K95"/>
  <c r="K96" s="1"/>
  <c r="J87" i="22"/>
  <c r="M101" i="37"/>
  <c r="M102" s="1"/>
  <c r="T78" i="75"/>
  <c r="T80" s="1"/>
  <c r="T78" i="74"/>
  <c r="T80" s="1"/>
  <c r="N96" i="22"/>
  <c r="N98" s="1"/>
  <c r="M10"/>
  <c r="K16" i="37"/>
  <c r="L16"/>
  <c r="T92" i="71"/>
  <c r="M87" i="22" l="1"/>
  <c r="K101" i="37"/>
  <c r="K102" s="1"/>
  <c r="AK92" i="71"/>
  <c r="T93"/>
  <c r="L101" i="37"/>
  <c r="L102" s="1"/>
  <c r="N116" i="22"/>
  <c r="N99"/>
  <c r="N100" s="1"/>
  <c r="N102" s="1"/>
  <c r="J96"/>
  <c r="J98" s="1"/>
  <c r="J105" s="1"/>
  <c r="J107" s="1"/>
  <c r="N105"/>
  <c r="N107" s="1"/>
  <c r="K10"/>
  <c r="L10"/>
  <c r="L87" l="1"/>
  <c r="K87"/>
  <c r="N108"/>
  <c r="N135" s="1"/>
  <c r="N117"/>
  <c r="J108"/>
  <c r="J117"/>
  <c r="J109"/>
  <c r="J111" s="1"/>
  <c r="J133" s="1"/>
  <c r="N131"/>
  <c r="M96"/>
  <c r="M98" s="1"/>
  <c r="M105" s="1"/>
  <c r="M107" s="1"/>
  <c r="J116"/>
  <c r="J99"/>
  <c r="J135" s="1"/>
  <c r="J130"/>
  <c r="N130"/>
  <c r="AK93" i="71"/>
  <c r="T74"/>
  <c r="T81" i="73"/>
  <c r="BI81" i="77"/>
  <c r="H16" i="27"/>
  <c r="U81" i="77"/>
  <c r="T81"/>
  <c r="W81" i="73"/>
  <c r="BI81"/>
  <c r="J100" i="22" l="1"/>
  <c r="J102" s="1"/>
  <c r="J134" s="1"/>
  <c r="N109"/>
  <c r="N111" s="1"/>
  <c r="N122" s="1"/>
  <c r="N146" s="1"/>
  <c r="BI82" i="77"/>
  <c r="BI84" s="1"/>
  <c r="T82"/>
  <c r="T82" i="73"/>
  <c r="H95" i="27"/>
  <c r="H96" s="1"/>
  <c r="BI82" i="73"/>
  <c r="BI84" s="1"/>
  <c r="U82" i="77"/>
  <c r="U84" s="1"/>
  <c r="W82" i="73"/>
  <c r="W84" s="1"/>
  <c r="M108" i="22"/>
  <c r="M109" s="1"/>
  <c r="M111" s="1"/>
  <c r="M133" s="1"/>
  <c r="M117"/>
  <c r="L96"/>
  <c r="L98" s="1"/>
  <c r="L105" s="1"/>
  <c r="L107" s="1"/>
  <c r="T78" i="71"/>
  <c r="T80" s="1"/>
  <c r="M116" i="22"/>
  <c r="M99"/>
  <c r="M130"/>
  <c r="K96"/>
  <c r="K98" s="1"/>
  <c r="BQ81" i="77"/>
  <c r="L96" i="59"/>
  <c r="T81" i="76"/>
  <c r="W81"/>
  <c r="BH81" i="73"/>
  <c r="P96" i="59"/>
  <c r="H16" i="37"/>
  <c r="J120" i="22" l="1"/>
  <c r="J144" s="1"/>
  <c r="P99" i="59"/>
  <c r="P111" s="1"/>
  <c r="P86" s="1"/>
  <c r="L99"/>
  <c r="L111" s="1"/>
  <c r="J122" i="22"/>
  <c r="J146" s="1"/>
  <c r="J131"/>
  <c r="J121"/>
  <c r="J145" s="1"/>
  <c r="J147" s="1"/>
  <c r="L86" i="59"/>
  <c r="M135" i="22"/>
  <c r="M100"/>
  <c r="M102" s="1"/>
  <c r="M121" s="1"/>
  <c r="M145" s="1"/>
  <c r="N133"/>
  <c r="N121"/>
  <c r="N145" s="1"/>
  <c r="N120"/>
  <c r="N144" s="1"/>
  <c r="N134"/>
  <c r="T82" i="76"/>
  <c r="H101" i="37"/>
  <c r="H102" s="1"/>
  <c r="BJ81" i="73"/>
  <c r="BH82"/>
  <c r="W82" i="76"/>
  <c r="W84" s="1"/>
  <c r="BQ82" i="77"/>
  <c r="BQ84" s="1"/>
  <c r="BQ109" s="1"/>
  <c r="K116" i="22"/>
  <c r="K99"/>
  <c r="K100" s="1"/>
  <c r="K102" s="1"/>
  <c r="L108"/>
  <c r="L109" s="1"/>
  <c r="L111" s="1"/>
  <c r="L133" s="1"/>
  <c r="L117"/>
  <c r="T84" i="73"/>
  <c r="K105" i="22"/>
  <c r="K107" s="1"/>
  <c r="K130" s="1"/>
  <c r="M131"/>
  <c r="L116"/>
  <c r="L99"/>
  <c r="L100" s="1"/>
  <c r="L102" s="1"/>
  <c r="L130"/>
  <c r="U95" i="77"/>
  <c r="T84"/>
  <c r="W95" i="73"/>
  <c r="W81" i="77"/>
  <c r="N24" i="80"/>
  <c r="T81" i="75"/>
  <c r="O96" i="59"/>
  <c r="U81" i="73"/>
  <c r="BQ81"/>
  <c r="BO81"/>
  <c r="BP81"/>
  <c r="BI81" i="76"/>
  <c r="T81" i="74"/>
  <c r="BP81" i="77"/>
  <c r="BO81"/>
  <c r="BH81"/>
  <c r="W81" i="75"/>
  <c r="J26" i="80"/>
  <c r="BP81" i="76"/>
  <c r="H10" i="22"/>
  <c r="U81" i="76"/>
  <c r="BO82" i="73" l="1"/>
  <c r="BO84" s="1"/>
  <c r="O99" i="59"/>
  <c r="O111" s="1"/>
  <c r="O86" s="1"/>
  <c r="BQ82" i="73"/>
  <c r="BQ84" s="1"/>
  <c r="BQ109" s="1"/>
  <c r="BP82"/>
  <c r="BP84" s="1"/>
  <c r="BP109" s="1"/>
  <c r="DH81"/>
  <c r="U82"/>
  <c r="U84" s="1"/>
  <c r="U95" s="1"/>
  <c r="AK81"/>
  <c r="BL81" s="1"/>
  <c r="J136" i="22"/>
  <c r="M122"/>
  <c r="M146" s="1"/>
  <c r="M120"/>
  <c r="M144" s="1"/>
  <c r="M134"/>
  <c r="BI82" i="76"/>
  <c r="BI84" s="1"/>
  <c r="M136" i="22"/>
  <c r="BO82" i="77"/>
  <c r="BO84" s="1"/>
  <c r="BO109" s="1"/>
  <c r="DH81"/>
  <c r="W82"/>
  <c r="AK81"/>
  <c r="BJ81"/>
  <c r="BH82"/>
  <c r="BP82"/>
  <c r="BP84" s="1"/>
  <c r="BP109" s="1"/>
  <c r="N136" i="22"/>
  <c r="N147"/>
  <c r="T82" i="74"/>
  <c r="J174" i="80"/>
  <c r="J189" s="1"/>
  <c r="T82" i="75"/>
  <c r="BP82" i="76"/>
  <c r="BP84" s="1"/>
  <c r="BP109" s="1"/>
  <c r="W82" i="75"/>
  <c r="W84" s="1"/>
  <c r="U82" i="76"/>
  <c r="U84" s="1"/>
  <c r="AK81"/>
  <c r="H87" i="22"/>
  <c r="N172" i="80"/>
  <c r="T101" i="73"/>
  <c r="T103" s="1"/>
  <c r="AK84"/>
  <c r="T101" i="77"/>
  <c r="T103" s="1"/>
  <c r="L134" i="22"/>
  <c r="L121"/>
  <c r="L145" s="1"/>
  <c r="L122"/>
  <c r="L146" s="1"/>
  <c r="L120"/>
  <c r="L144" s="1"/>
  <c r="L131"/>
  <c r="L135"/>
  <c r="K131"/>
  <c r="W95" i="76"/>
  <c r="T84"/>
  <c r="K108" i="22"/>
  <c r="K135" s="1"/>
  <c r="K117"/>
  <c r="BJ82" i="73"/>
  <c r="BH84"/>
  <c r="BQ81" i="76"/>
  <c r="BI81" i="75"/>
  <c r="BO81"/>
  <c r="N96" i="59"/>
  <c r="M96"/>
  <c r="W96" i="73"/>
  <c r="BH81" i="76"/>
  <c r="P140" i="59"/>
  <c r="U81" i="75"/>
  <c r="U81" i="74"/>
  <c r="BQ81" i="75"/>
  <c r="BP81"/>
  <c r="BI81" i="74"/>
  <c r="J24" i="80"/>
  <c r="BO81" i="76"/>
  <c r="BH81" i="75"/>
  <c r="M26" i="80"/>
  <c r="T92" i="72"/>
  <c r="M99" i="59" l="1"/>
  <c r="M111" s="1"/>
  <c r="N99"/>
  <c r="N111" s="1"/>
  <c r="W99" i="73"/>
  <c r="W101" s="1"/>
  <c r="W97"/>
  <c r="DH82"/>
  <c r="DH112" s="1"/>
  <c r="AK82"/>
  <c r="BL82" s="1"/>
  <c r="M86" i="59"/>
  <c r="DH84" i="77"/>
  <c r="DH82"/>
  <c r="DH112" s="1"/>
  <c r="N86" i="59"/>
  <c r="K109" i="22"/>
  <c r="K111" s="1"/>
  <c r="K133" s="1"/>
  <c r="BQ82" i="76"/>
  <c r="BQ84" s="1"/>
  <c r="BQ109" s="1"/>
  <c r="M147" i="22"/>
  <c r="BH82" i="76"/>
  <c r="BJ82" s="1"/>
  <c r="BJ81"/>
  <c r="BL81" s="1"/>
  <c r="DH81"/>
  <c r="BO82"/>
  <c r="BO84" s="1"/>
  <c r="AK82"/>
  <c r="L136" i="22"/>
  <c r="BH84" i="77"/>
  <c r="BJ84" s="1"/>
  <c r="BJ82"/>
  <c r="BL81"/>
  <c r="W84"/>
  <c r="AK82"/>
  <c r="AK92" i="72"/>
  <c r="BI82" i="74"/>
  <c r="BI84" s="1"/>
  <c r="BI82" i="75"/>
  <c r="BI84" s="1"/>
  <c r="DH81"/>
  <c r="BO82"/>
  <c r="BP82"/>
  <c r="BP84" s="1"/>
  <c r="BP109" s="1"/>
  <c r="M174" i="80"/>
  <c r="M189" s="1"/>
  <c r="U82" i="74"/>
  <c r="U84" s="1"/>
  <c r="U82" i="75"/>
  <c r="U84" s="1"/>
  <c r="AK81"/>
  <c r="BQ82"/>
  <c r="BQ84" s="1"/>
  <c r="BQ109" s="1"/>
  <c r="BJ81"/>
  <c r="BH82"/>
  <c r="J172" i="80"/>
  <c r="BJ84" i="73"/>
  <c r="BL84" s="1"/>
  <c r="DH84"/>
  <c r="BO109"/>
  <c r="L147" i="22"/>
  <c r="AQ103" i="73"/>
  <c r="T104"/>
  <c r="N187" i="80"/>
  <c r="H96" i="22"/>
  <c r="H98" s="1"/>
  <c r="H105" s="1"/>
  <c r="H107" s="1"/>
  <c r="W95" i="75"/>
  <c r="AK84" i="76"/>
  <c r="T101"/>
  <c r="T103" s="1"/>
  <c r="AQ103" i="77"/>
  <c r="T104"/>
  <c r="U95" i="76"/>
  <c r="T84" i="75"/>
  <c r="T84" i="74"/>
  <c r="T93" i="72"/>
  <c r="T74" s="1"/>
  <c r="L140" i="59"/>
  <c r="BK30" i="60"/>
  <c r="M24" i="80"/>
  <c r="U96" i="77"/>
  <c r="L26" i="80"/>
  <c r="I16" i="27"/>
  <c r="W96" i="76"/>
  <c r="W81" i="74"/>
  <c r="J11" i="69"/>
  <c r="K121" i="22" l="1"/>
  <c r="K145" s="1"/>
  <c r="W99" i="76"/>
  <c r="W101" s="1"/>
  <c r="W97"/>
  <c r="J40" i="69"/>
  <c r="K122" i="22"/>
  <c r="K146" s="1"/>
  <c r="BH84" i="76"/>
  <c r="BJ84" s="1"/>
  <c r="BL84" s="1"/>
  <c r="DH82"/>
  <c r="DH112" s="1"/>
  <c r="K134" i="22"/>
  <c r="K136" s="1"/>
  <c r="AK81" i="74"/>
  <c r="W82"/>
  <c r="W84" s="1"/>
  <c r="AK84" s="1"/>
  <c r="K120" i="22"/>
  <c r="K144" s="1"/>
  <c r="BL82" i="76"/>
  <c r="AK82" i="75"/>
  <c r="AK82" i="74"/>
  <c r="BL82" i="77"/>
  <c r="W95"/>
  <c r="AK84"/>
  <c r="BL84" s="1"/>
  <c r="I95" i="27"/>
  <c r="I96" s="1"/>
  <c r="M172" i="80"/>
  <c r="L174"/>
  <c r="L189" s="1"/>
  <c r="U97" i="77"/>
  <c r="T101" i="74"/>
  <c r="T103" s="1"/>
  <c r="T78" i="72"/>
  <c r="T80" s="1"/>
  <c r="AK93"/>
  <c r="T101" i="75"/>
  <c r="T103" s="1"/>
  <c r="AK84"/>
  <c r="T106" i="77"/>
  <c r="AQ104"/>
  <c r="H116" i="22"/>
  <c r="H99"/>
  <c r="H130"/>
  <c r="J195" i="80"/>
  <c r="J187"/>
  <c r="J179" a="1"/>
  <c r="J179" s="1"/>
  <c r="J204" s="1"/>
  <c r="BL81" i="75"/>
  <c r="DH82"/>
  <c r="DH112" s="1"/>
  <c r="BO84"/>
  <c r="AQ103" i="76"/>
  <c r="T104"/>
  <c r="H117" i="22"/>
  <c r="H108"/>
  <c r="H109" s="1"/>
  <c r="H111" s="1"/>
  <c r="H133" s="1"/>
  <c r="DH84" i="76"/>
  <c r="BO109"/>
  <c r="T106" i="73"/>
  <c r="AQ104"/>
  <c r="BH84" i="75"/>
  <c r="BJ82"/>
  <c r="U95"/>
  <c r="U95" i="74"/>
  <c r="N15" i="89"/>
  <c r="BH81" i="74"/>
  <c r="L24" i="80"/>
  <c r="O140" i="59"/>
  <c r="BH96" i="73"/>
  <c r="T81" i="71"/>
  <c r="BP81" i="74"/>
  <c r="W96" i="75"/>
  <c r="N26" i="80"/>
  <c r="W81" i="71"/>
  <c r="U96" i="73"/>
  <c r="BQ81" i="74"/>
  <c r="I16" i="37"/>
  <c r="BO81" i="74"/>
  <c r="M11" i="69"/>
  <c r="BK35" i="60"/>
  <c r="CY96" i="73"/>
  <c r="BK32" i="60"/>
  <c r="BK34"/>
  <c r="K24" i="80"/>
  <c r="BK33" i="60"/>
  <c r="BK19"/>
  <c r="BP82" i="74" l="1"/>
  <c r="BP84" s="1"/>
  <c r="BP109" s="1"/>
  <c r="W99" i="75"/>
  <c r="W101" s="1"/>
  <c r="W97"/>
  <c r="M40" i="69"/>
  <c r="J60"/>
  <c r="J41"/>
  <c r="K147" i="22"/>
  <c r="BQ82" i="74"/>
  <c r="BQ84" s="1"/>
  <c r="BQ109" s="1"/>
  <c r="BL82" i="75"/>
  <c r="BJ81" i="74"/>
  <c r="BL81" s="1"/>
  <c r="BH82"/>
  <c r="BH84" s="1"/>
  <c r="W95"/>
  <c r="DH81"/>
  <c r="BO82"/>
  <c r="N174" i="80"/>
  <c r="N189" s="1"/>
  <c r="W82" i="71"/>
  <c r="W84" s="1"/>
  <c r="K172" i="80"/>
  <c r="DH96" i="73"/>
  <c r="BJ96"/>
  <c r="BH99"/>
  <c r="T82" i="71"/>
  <c r="I101" i="37"/>
  <c r="I102" s="1"/>
  <c r="L172" i="80"/>
  <c r="AK96" i="73"/>
  <c r="U97"/>
  <c r="N52" i="89"/>
  <c r="AQ104" i="76"/>
  <c r="H135" i="22"/>
  <c r="T106" i="76"/>
  <c r="DH84" i="75"/>
  <c r="BO109"/>
  <c r="J205" i="80"/>
  <c r="AQ106" i="77"/>
  <c r="AQ109" s="1"/>
  <c r="T109"/>
  <c r="DH113" s="1"/>
  <c r="DH114" s="1"/>
  <c r="T104" i="74"/>
  <c r="AQ103"/>
  <c r="M195" i="80"/>
  <c r="M187"/>
  <c r="M179" a="1"/>
  <c r="M179" s="1"/>
  <c r="M204" s="1"/>
  <c r="BJ84" i="75"/>
  <c r="BL84" s="1"/>
  <c r="AQ106" i="73"/>
  <c r="AQ109" s="1"/>
  <c r="T109"/>
  <c r="DH113" s="1"/>
  <c r="DH114" s="1"/>
  <c r="J196" i="80"/>
  <c r="H100" i="22"/>
  <c r="H102" s="1"/>
  <c r="AQ103" i="75"/>
  <c r="T104"/>
  <c r="I10" i="22"/>
  <c r="U96" i="76"/>
  <c r="L30" i="59"/>
  <c r="N140"/>
  <c r="L11" i="69"/>
  <c r="BH96" i="76"/>
  <c r="BK22" i="60"/>
  <c r="P81" i="59"/>
  <c r="P30"/>
  <c r="BI81" i="71"/>
  <c r="W96" i="77"/>
  <c r="L81" i="59"/>
  <c r="CY96" i="76"/>
  <c r="K26" i="80"/>
  <c r="J96" i="59"/>
  <c r="BK21" i="60"/>
  <c r="W102" i="73"/>
  <c r="J15" i="89"/>
  <c r="L175" i="59" l="1"/>
  <c r="P175"/>
  <c r="J99"/>
  <c r="J111" s="1"/>
  <c r="J86" s="1"/>
  <c r="W99" i="77"/>
  <c r="W101" s="1"/>
  <c r="AK96"/>
  <c r="W97"/>
  <c r="L40" i="69"/>
  <c r="W104" i="73"/>
  <c r="W106" s="1"/>
  <c r="W109" s="1"/>
  <c r="J64" i="69"/>
  <c r="J42"/>
  <c r="J63" s="1"/>
  <c r="M41"/>
  <c r="M60"/>
  <c r="DH82" i="74"/>
  <c r="DH112" s="1"/>
  <c r="BJ82"/>
  <c r="BL82" s="1"/>
  <c r="BO84"/>
  <c r="DH84" s="1"/>
  <c r="K174" i="80"/>
  <c r="K189" s="1"/>
  <c r="BL96" i="73"/>
  <c r="N195" i="80"/>
  <c r="N179" a="1"/>
  <c r="N179" s="1"/>
  <c r="N204" s="1"/>
  <c r="BJ96" i="76"/>
  <c r="BH99"/>
  <c r="P31" i="59"/>
  <c r="L82"/>
  <c r="L31"/>
  <c r="AK96" i="76"/>
  <c r="U97"/>
  <c r="J52" i="89"/>
  <c r="DH96" i="76"/>
  <c r="I87" i="22"/>
  <c r="P82" i="59"/>
  <c r="BI82" i="71"/>
  <c r="BI84" s="1"/>
  <c r="AQ104" i="75"/>
  <c r="H134" i="22"/>
  <c r="H121"/>
  <c r="H145" s="1"/>
  <c r="H122"/>
  <c r="H146" s="1"/>
  <c r="H120"/>
  <c r="H144" s="1"/>
  <c r="H131"/>
  <c r="N65" i="89"/>
  <c r="N55" a="1"/>
  <c r="N55" s="1"/>
  <c r="N74" s="1"/>
  <c r="N63"/>
  <c r="T106" i="75"/>
  <c r="M196" i="80"/>
  <c r="BJ84" i="74"/>
  <c r="BL84" s="1"/>
  <c r="T106"/>
  <c r="L195" i="80"/>
  <c r="L187"/>
  <c r="L179" a="1"/>
  <c r="L179" s="1"/>
  <c r="L204" s="1"/>
  <c r="T84" i="71"/>
  <c r="W95"/>
  <c r="M205" i="80"/>
  <c r="AQ104" i="74"/>
  <c r="T109" i="76"/>
  <c r="DH113" s="1"/>
  <c r="DH114" s="1"/>
  <c r="AQ106"/>
  <c r="AQ109" s="1"/>
  <c r="BJ99" i="73"/>
  <c r="K187" i="80"/>
  <c r="AP98" i="77"/>
  <c r="BH96"/>
  <c r="U96" i="74"/>
  <c r="Z102" i="73"/>
  <c r="BH81" i="71"/>
  <c r="CY96" i="77"/>
  <c r="U96" i="75"/>
  <c r="U98" i="77"/>
  <c r="O81" i="59"/>
  <c r="CY98" i="77"/>
  <c r="U81" i="71"/>
  <c r="W102" i="76"/>
  <c r="BH96" i="75"/>
  <c r="M15" i="89"/>
  <c r="CY96" i="75"/>
  <c r="BO81" i="71"/>
  <c r="L63" i="59"/>
  <c r="N11" i="69"/>
  <c r="BP81" i="71"/>
  <c r="O30" i="59"/>
  <c r="H26" i="80"/>
  <c r="BI102" i="73"/>
  <c r="BQ81" i="71"/>
  <c r="W96" i="74"/>
  <c r="O175" i="59" l="1"/>
  <c r="K179" i="80" a="1"/>
  <c r="K179" s="1"/>
  <c r="K204" s="1"/>
  <c r="K195"/>
  <c r="BL96" i="76"/>
  <c r="W99" i="74"/>
  <c r="W97"/>
  <c r="W104" i="76"/>
  <c r="W106" s="1"/>
  <c r="W109" s="1"/>
  <c r="Z103" i="73"/>
  <c r="AU103" s="1"/>
  <c r="AU104" s="1"/>
  <c r="AU106" s="1"/>
  <c r="AU109" s="1"/>
  <c r="N40" i="69"/>
  <c r="BI104" i="73"/>
  <c r="BJ102"/>
  <c r="M64" i="69"/>
  <c r="M42"/>
  <c r="M63" s="1"/>
  <c r="L41"/>
  <c r="L60"/>
  <c r="BO109" i="74"/>
  <c r="BH99" i="77"/>
  <c r="BJ96"/>
  <c r="BL96" s="1"/>
  <c r="DH96"/>
  <c r="N196" i="80"/>
  <c r="N205"/>
  <c r="DH96" i="75"/>
  <c r="BJ96"/>
  <c r="BH99"/>
  <c r="AK96" i="74"/>
  <c r="U97"/>
  <c r="O31" i="59"/>
  <c r="O82"/>
  <c r="AK96" i="75"/>
  <c r="U97"/>
  <c r="AK98" i="77"/>
  <c r="U99"/>
  <c r="BF98"/>
  <c r="AP99"/>
  <c r="DH81" i="71"/>
  <c r="BO82"/>
  <c r="BP82"/>
  <c r="BP84" s="1"/>
  <c r="BP109" s="1"/>
  <c r="M52" i="89"/>
  <c r="H174" i="80"/>
  <c r="H189" s="1"/>
  <c r="DH98" i="77"/>
  <c r="CY99"/>
  <c r="U82" i="71"/>
  <c r="AK81"/>
  <c r="BQ82"/>
  <c r="BQ84" s="1"/>
  <c r="BQ109" s="1"/>
  <c r="BJ81"/>
  <c r="BH82"/>
  <c r="L205" i="80"/>
  <c r="K196"/>
  <c r="L196"/>
  <c r="T109" i="74"/>
  <c r="DH113" s="1"/>
  <c r="DH114" s="1"/>
  <c r="I194" i="59" s="1"/>
  <c r="T109" i="75"/>
  <c r="DH113" s="1"/>
  <c r="DH114" s="1"/>
  <c r="N66" i="89"/>
  <c r="H147" i="22"/>
  <c r="AQ106" i="75"/>
  <c r="AQ109" s="1"/>
  <c r="J65" i="89"/>
  <c r="J55" a="1"/>
  <c r="J55" s="1"/>
  <c r="J74" s="1"/>
  <c r="J63"/>
  <c r="BJ99" i="76"/>
  <c r="K205" i="80"/>
  <c r="AQ106" i="74"/>
  <c r="AQ109" s="1"/>
  <c r="T101" i="71"/>
  <c r="T103" s="1"/>
  <c r="N75" i="89"/>
  <c r="H136" i="22"/>
  <c r="I96"/>
  <c r="I98" s="1"/>
  <c r="I105" s="1"/>
  <c r="I107" s="1"/>
  <c r="BK12" i="60"/>
  <c r="W96" i="71"/>
  <c r="AP98" i="73"/>
  <c r="L44" i="59"/>
  <c r="K15" i="89"/>
  <c r="BH96" i="74"/>
  <c r="O63" i="59"/>
  <c r="M30"/>
  <c r="U98" i="73"/>
  <c r="N81" i="59"/>
  <c r="N30"/>
  <c r="W102" i="75"/>
  <c r="L15" i="89"/>
  <c r="Z102" i="76"/>
  <c r="CY98" i="73"/>
  <c r="M140" i="59"/>
  <c r="M81"/>
  <c r="BK20" i="60"/>
  <c r="CY96" i="74"/>
  <c r="BI102" i="76"/>
  <c r="M175" i="59" l="1"/>
  <c r="N175"/>
  <c r="DH96" i="74"/>
  <c r="BJ96"/>
  <c r="BH99"/>
  <c r="W99" i="71"/>
  <c r="W101" s="1"/>
  <c r="W97"/>
  <c r="BI104" i="76"/>
  <c r="BJ102"/>
  <c r="W104" i="75"/>
  <c r="W106" s="1"/>
  <c r="W109" s="1"/>
  <c r="Z103" i="76"/>
  <c r="AU103" s="1"/>
  <c r="AU104" s="1"/>
  <c r="AU106" s="1"/>
  <c r="AU109" s="1"/>
  <c r="L46" i="59"/>
  <c r="L180" s="1"/>
  <c r="L64" i="69"/>
  <c r="L42"/>
  <c r="L63" s="1"/>
  <c r="BI106" i="73"/>
  <c r="BI109" s="1"/>
  <c r="BJ104"/>
  <c r="W101" i="74"/>
  <c r="Z104" i="73"/>
  <c r="Z106" s="1"/>
  <c r="Z109" s="1"/>
  <c r="N60" i="69"/>
  <c r="N41"/>
  <c r="N64" s="1"/>
  <c r="BL81" i="71"/>
  <c r="BL96" i="74"/>
  <c r="BJ99" i="77"/>
  <c r="DH98" i="73"/>
  <c r="CY99"/>
  <c r="M31" i="59"/>
  <c r="AK98" i="73"/>
  <c r="U99"/>
  <c r="BF98"/>
  <c r="AP99"/>
  <c r="N31" i="59"/>
  <c r="N82"/>
  <c r="M82"/>
  <c r="L52" i="89"/>
  <c r="K52"/>
  <c r="J75"/>
  <c r="DH82" i="71"/>
  <c r="DH112" s="1"/>
  <c r="BO84"/>
  <c r="AK99" i="77"/>
  <c r="U101"/>
  <c r="I116" i="22"/>
  <c r="I99"/>
  <c r="I100" s="1"/>
  <c r="I102" s="1"/>
  <c r="I130"/>
  <c r="AQ103" i="71"/>
  <c r="T104"/>
  <c r="J66" i="89"/>
  <c r="BJ82" i="71"/>
  <c r="BH84"/>
  <c r="U84"/>
  <c r="AK82"/>
  <c r="M65" i="89"/>
  <c r="M55" a="1"/>
  <c r="M55" s="1"/>
  <c r="M74" s="1"/>
  <c r="M63"/>
  <c r="BL98" i="77"/>
  <c r="BL96" i="75"/>
  <c r="BJ99"/>
  <c r="I117" i="22"/>
  <c r="I108"/>
  <c r="I109" s="1"/>
  <c r="I111" s="1"/>
  <c r="I133" s="1"/>
  <c r="DH99" i="77"/>
  <c r="CY106"/>
  <c r="CY109" s="1"/>
  <c r="BJ99" i="74"/>
  <c r="AP106" i="77"/>
  <c r="BF99"/>
  <c r="W81" i="72"/>
  <c r="AP98" i="76"/>
  <c r="L60" i="59"/>
  <c r="BI102" i="77"/>
  <c r="W102"/>
  <c r="Z102" i="75"/>
  <c r="N63" i="59"/>
  <c r="N9" i="69"/>
  <c r="O44" i="59"/>
  <c r="L53"/>
  <c r="U98" i="76"/>
  <c r="P150" i="59"/>
  <c r="CY98" i="76"/>
  <c r="K11" i="69"/>
  <c r="T81" i="72"/>
  <c r="H11" i="69"/>
  <c r="BI102" i="75"/>
  <c r="Z104" i="76" l="1"/>
  <c r="Z106" s="1"/>
  <c r="Z109" s="1"/>
  <c r="W104" i="77"/>
  <c r="W106" s="1"/>
  <c r="W109" s="1"/>
  <c r="K40" i="69"/>
  <c r="BJ102" i="75"/>
  <c r="BI104"/>
  <c r="H40" i="69"/>
  <c r="BJ102" i="77"/>
  <c r="BI104"/>
  <c r="Z103" i="75"/>
  <c r="AU103" s="1"/>
  <c r="AU104" s="1"/>
  <c r="AU106" s="1"/>
  <c r="AU109" s="1"/>
  <c r="O46" i="59"/>
  <c r="O180" s="1"/>
  <c r="BJ104" i="76"/>
  <c r="BI106"/>
  <c r="BI109" s="1"/>
  <c r="N42" i="69"/>
  <c r="N63" s="1"/>
  <c r="BL99" i="77"/>
  <c r="BL82" i="71"/>
  <c r="W82" i="72"/>
  <c r="W84" s="1"/>
  <c r="DH98" i="76"/>
  <c r="CY99"/>
  <c r="T82" i="72"/>
  <c r="AK98" i="76"/>
  <c r="U99"/>
  <c r="BF98"/>
  <c r="AP99"/>
  <c r="N37" i="69"/>
  <c r="M75" i="89"/>
  <c r="BJ84" i="71"/>
  <c r="DH84"/>
  <c r="BO109"/>
  <c r="K65" i="89"/>
  <c r="K63"/>
  <c r="K55" a="1"/>
  <c r="K55" s="1"/>
  <c r="K74" s="1"/>
  <c r="AP106" i="73"/>
  <c r="BF99"/>
  <c r="DH99"/>
  <c r="CY106"/>
  <c r="CY109" s="1"/>
  <c r="AP109" i="77"/>
  <c r="T106" i="71"/>
  <c r="AK99" i="73"/>
  <c r="U101"/>
  <c r="M66" i="89"/>
  <c r="U95" i="71"/>
  <c r="AK84"/>
  <c r="BL84" s="1"/>
  <c r="AQ104"/>
  <c r="I134" i="22"/>
  <c r="I121"/>
  <c r="I145" s="1"/>
  <c r="I122"/>
  <c r="I146" s="1"/>
  <c r="I131"/>
  <c r="I120"/>
  <c r="I144" s="1"/>
  <c r="I135"/>
  <c r="L55" i="89" a="1"/>
  <c r="L55" s="1"/>
  <c r="L74" s="1"/>
  <c r="L65"/>
  <c r="L63"/>
  <c r="BL98" i="73"/>
  <c r="N44" i="59"/>
  <c r="O60"/>
  <c r="BP81" i="72"/>
  <c r="BI81"/>
  <c r="J9" i="69"/>
  <c r="BQ81" i="72"/>
  <c r="P35" i="59"/>
  <c r="Z102" i="77"/>
  <c r="AP98" i="75"/>
  <c r="P63" i="59"/>
  <c r="BH81" i="72"/>
  <c r="AP98" i="74"/>
  <c r="K96" i="59"/>
  <c r="O53"/>
  <c r="J140"/>
  <c r="U98" i="74"/>
  <c r="BJ19" i="60"/>
  <c r="CY98" i="75"/>
  <c r="H24" i="80"/>
  <c r="L150" i="59"/>
  <c r="CY98" i="74"/>
  <c r="U81" i="72"/>
  <c r="U98" i="75"/>
  <c r="BO81" i="72"/>
  <c r="K99" i="59" l="1"/>
  <c r="K111" s="1"/>
  <c r="Z103" i="77"/>
  <c r="AU103" s="1"/>
  <c r="AU104" s="1"/>
  <c r="AU106" s="1"/>
  <c r="AU109" s="1"/>
  <c r="N46" i="59"/>
  <c r="N180" s="1"/>
  <c r="BI106" i="77"/>
  <c r="BI109" s="1"/>
  <c r="BJ104"/>
  <c r="H60" i="69"/>
  <c r="H41"/>
  <c r="Z104" i="75"/>
  <c r="Z106" s="1"/>
  <c r="Z109" s="1"/>
  <c r="BJ104"/>
  <c r="BI106"/>
  <c r="BI109" s="1"/>
  <c r="K60" i="69"/>
  <c r="K41"/>
  <c r="K64" s="1"/>
  <c r="BF98" i="75"/>
  <c r="AP99"/>
  <c r="BI82" i="72"/>
  <c r="BI84" s="1"/>
  <c r="U82"/>
  <c r="U84" s="1"/>
  <c r="AK81"/>
  <c r="BP82"/>
  <c r="BP84" s="1"/>
  <c r="BP109" s="1"/>
  <c r="J37" i="69"/>
  <c r="P36" i="59"/>
  <c r="P177" s="1"/>
  <c r="DH98" i="74"/>
  <c r="CY99"/>
  <c r="BF98"/>
  <c r="AP99"/>
  <c r="AK98" i="75"/>
  <c r="BL98" s="1"/>
  <c r="U99"/>
  <c r="DH98"/>
  <c r="CY99"/>
  <c r="DH81" i="72"/>
  <c r="BO82"/>
  <c r="BQ82"/>
  <c r="BQ84" s="1"/>
  <c r="BQ109" s="1"/>
  <c r="BJ81"/>
  <c r="BH82"/>
  <c r="H172" i="80"/>
  <c r="AK98" i="74"/>
  <c r="U99"/>
  <c r="AQ106" i="71"/>
  <c r="AQ109" s="1"/>
  <c r="I136" i="22"/>
  <c r="K75" i="89"/>
  <c r="N61" i="69"/>
  <c r="N58"/>
  <c r="AP106" i="76"/>
  <c r="BF99"/>
  <c r="AK99"/>
  <c r="U101"/>
  <c r="L66" i="89"/>
  <c r="L75"/>
  <c r="I147" i="22"/>
  <c r="BL99" i="73"/>
  <c r="T109" i="71"/>
  <c r="DH113" s="1"/>
  <c r="DH114" s="1"/>
  <c r="AP109" i="73"/>
  <c r="K66" i="89"/>
  <c r="BL98" i="76"/>
  <c r="T84" i="72"/>
  <c r="DH99" i="76"/>
  <c r="CY106"/>
  <c r="CY109" s="1"/>
  <c r="W95" i="72"/>
  <c r="BJ21" i="60"/>
  <c r="L35" i="59"/>
  <c r="I26" i="80"/>
  <c r="X102" i="77"/>
  <c r="BK31" i="60"/>
  <c r="T92" i="78"/>
  <c r="BI102" i="74"/>
  <c r="W102"/>
  <c r="U102" i="77"/>
  <c r="J30" i="59"/>
  <c r="BJ22" i="60"/>
  <c r="M9" i="69"/>
  <c r="BJ30" i="60"/>
  <c r="W102" i="71"/>
  <c r="P53" i="59"/>
  <c r="N60"/>
  <c r="N53"/>
  <c r="J81"/>
  <c r="P44"/>
  <c r="O150"/>
  <c r="J175" l="1"/>
  <c r="K86"/>
  <c r="K42" i="69"/>
  <c r="K63" s="1"/>
  <c r="W104" i="74"/>
  <c r="W106" s="1"/>
  <c r="W109" s="1"/>
  <c r="P46" i="59"/>
  <c r="P180" s="1"/>
  <c r="BJ102" i="74"/>
  <c r="BI104"/>
  <c r="W104" i="71"/>
  <c r="W106" s="1"/>
  <c r="W109" s="1"/>
  <c r="H64" i="69"/>
  <c r="H42"/>
  <c r="H63" s="1"/>
  <c r="Z104" i="77"/>
  <c r="Z106" s="1"/>
  <c r="Z109" s="1"/>
  <c r="BL99" i="76"/>
  <c r="AK82" i="72"/>
  <c r="BL81"/>
  <c r="AK92" i="78"/>
  <c r="J82" i="59"/>
  <c r="U104" i="77"/>
  <c r="AK102"/>
  <c r="BL102" s="1"/>
  <c r="I174" i="80"/>
  <c r="I189" s="1"/>
  <c r="L36" i="59"/>
  <c r="L177" s="1"/>
  <c r="M37" i="69"/>
  <c r="X103" i="77"/>
  <c r="X104" s="1"/>
  <c r="X106" s="1"/>
  <c r="X109" s="1"/>
  <c r="J31" i="59"/>
  <c r="AK84" i="72"/>
  <c r="T101"/>
  <c r="T103" s="1"/>
  <c r="N65" i="69"/>
  <c r="BJ82" i="72"/>
  <c r="BH84"/>
  <c r="AP109" i="76"/>
  <c r="BL98" i="74"/>
  <c r="H195" i="80"/>
  <c r="H187"/>
  <c r="H179" a="1"/>
  <c r="H179" s="1"/>
  <c r="H204" s="1"/>
  <c r="DH82" i="72"/>
  <c r="DH112" s="1"/>
  <c r="BO84"/>
  <c r="DH99" i="75"/>
  <c r="CY106"/>
  <c r="CY109" s="1"/>
  <c r="AK99"/>
  <c r="U101"/>
  <c r="AP106" i="74"/>
  <c r="BF99"/>
  <c r="DH99"/>
  <c r="CY106"/>
  <c r="CY109" s="1"/>
  <c r="U95" i="72"/>
  <c r="AP106" i="75"/>
  <c r="BF99"/>
  <c r="AK99" i="74"/>
  <c r="U101"/>
  <c r="J61" i="69"/>
  <c r="J58"/>
  <c r="T93" i="78"/>
  <c r="T74" s="1"/>
  <c r="T78" s="1"/>
  <c r="T80" s="1"/>
  <c r="BJ33" i="60"/>
  <c r="BJ34"/>
  <c r="BH96" i="71"/>
  <c r="J63" i="59"/>
  <c r="U102" i="73"/>
  <c r="U96" i="71"/>
  <c r="X102" i="73"/>
  <c r="P60" i="59"/>
  <c r="L9" i="69"/>
  <c r="I24" i="80"/>
  <c r="M150" i="59"/>
  <c r="M63"/>
  <c r="P58"/>
  <c r="N150"/>
  <c r="Z102" i="71"/>
  <c r="BJ32" i="60"/>
  <c r="W96" i="72"/>
  <c r="O35" i="59"/>
  <c r="O16" i="27"/>
  <c r="K9" i="69"/>
  <c r="BJ35" i="60"/>
  <c r="Z102" i="74"/>
  <c r="O16" i="37"/>
  <c r="CY96" i="71"/>
  <c r="BI102"/>
  <c r="BL82" i="72" l="1"/>
  <c r="Z103" i="74"/>
  <c r="AU103" s="1"/>
  <c r="AU104" s="1"/>
  <c r="AU106" s="1"/>
  <c r="AU109" s="1"/>
  <c r="W99" i="72"/>
  <c r="W97"/>
  <c r="Z103" i="71"/>
  <c r="AU103" s="1"/>
  <c r="AU104" s="1"/>
  <c r="AU106" s="1"/>
  <c r="AU109" s="1"/>
  <c r="BJ102"/>
  <c r="BI104"/>
  <c r="BJ104" i="74"/>
  <c r="BI106"/>
  <c r="BI109" s="1"/>
  <c r="BL99"/>
  <c r="O101" i="37"/>
  <c r="O102" s="1"/>
  <c r="DH96" i="71"/>
  <c r="U104" i="73"/>
  <c r="AK102"/>
  <c r="BL102" s="1"/>
  <c r="K37" i="69"/>
  <c r="L37"/>
  <c r="AK96" i="71"/>
  <c r="U97"/>
  <c r="O36" i="59"/>
  <c r="O177" s="1"/>
  <c r="O95" i="27"/>
  <c r="O96" s="1"/>
  <c r="X103" i="73"/>
  <c r="I172" i="80"/>
  <c r="BJ96" i="71"/>
  <c r="BH99"/>
  <c r="H205" i="80"/>
  <c r="AK104" i="77"/>
  <c r="U106"/>
  <c r="AK93" i="78"/>
  <c r="J65" i="69"/>
  <c r="AP109" i="75"/>
  <c r="H196" i="80"/>
  <c r="BJ84" i="72"/>
  <c r="BL84" s="1"/>
  <c r="AQ103"/>
  <c r="T104"/>
  <c r="AS103" i="77"/>
  <c r="AK103"/>
  <c r="M61" i="69"/>
  <c r="M58"/>
  <c r="AP109" i="74"/>
  <c r="BL99" i="75"/>
  <c r="DH84" i="72"/>
  <c r="BO109"/>
  <c r="BK10" i="60"/>
  <c r="K140" i="59"/>
  <c r="N35"/>
  <c r="BK11" i="60"/>
  <c r="U102" i="76"/>
  <c r="H15" i="89"/>
  <c r="BJ20" i="60"/>
  <c r="O10" i="22"/>
  <c r="M35" i="59"/>
  <c r="J44"/>
  <c r="M44"/>
  <c r="M53"/>
  <c r="X102" i="76"/>
  <c r="Z104" i="74" l="1"/>
  <c r="Z106" s="1"/>
  <c r="Z109" s="1"/>
  <c r="Z104" i="71"/>
  <c r="Z106" s="1"/>
  <c r="Z109" s="1"/>
  <c r="M46" i="59"/>
  <c r="M180" s="1"/>
  <c r="J46"/>
  <c r="J180" s="1"/>
  <c r="BJ104" i="71"/>
  <c r="BI106"/>
  <c r="BI109" s="1"/>
  <c r="W101" i="72"/>
  <c r="M36" i="59"/>
  <c r="M177" s="1"/>
  <c r="X103" i="76"/>
  <c r="O87" i="22"/>
  <c r="H52" i="89"/>
  <c r="U104" i="76"/>
  <c r="AK102"/>
  <c r="BL102" s="1"/>
  <c r="N36" i="59"/>
  <c r="N177" s="1"/>
  <c r="AQ104" i="72"/>
  <c r="BJ99" i="71"/>
  <c r="AS103" i="73"/>
  <c r="AK103"/>
  <c r="M65" i="69"/>
  <c r="T106" i="72"/>
  <c r="U109" i="77"/>
  <c r="AK106"/>
  <c r="I195" i="80"/>
  <c r="I187"/>
  <c r="I179" a="1"/>
  <c r="I179" s="1"/>
  <c r="I204" s="1"/>
  <c r="X104" i="73"/>
  <c r="X106" s="1"/>
  <c r="X109" s="1"/>
  <c r="BL96" i="71"/>
  <c r="L61" i="69"/>
  <c r="L58"/>
  <c r="K61"/>
  <c r="K58"/>
  <c r="U106" i="73"/>
  <c r="AS104" i="77"/>
  <c r="BF103"/>
  <c r="BL103" s="1"/>
  <c r="U102" i="74"/>
  <c r="U96" i="72"/>
  <c r="M60" i="59"/>
  <c r="I11" i="69"/>
  <c r="J60" i="59"/>
  <c r="U102" i="75"/>
  <c r="P61" i="59"/>
  <c r="BH96" i="72"/>
  <c r="J53" i="59"/>
  <c r="L58"/>
  <c r="X102" i="74"/>
  <c r="X102" i="75"/>
  <c r="CY96" i="72"/>
  <c r="I40" i="69" l="1"/>
  <c r="AK104" i="73"/>
  <c r="DH96" i="72"/>
  <c r="BJ96"/>
  <c r="BH99"/>
  <c r="X103" i="74"/>
  <c r="X104" s="1"/>
  <c r="X106" s="1"/>
  <c r="X109" s="1"/>
  <c r="X103" i="75"/>
  <c r="X104" s="1"/>
  <c r="X106" s="1"/>
  <c r="X109" s="1"/>
  <c r="AK96" i="72"/>
  <c r="BL96" s="1"/>
  <c r="U97"/>
  <c r="P72" i="59"/>
  <c r="U104" i="74"/>
  <c r="AK102"/>
  <c r="BL102" s="1"/>
  <c r="U104" i="75"/>
  <c r="AK102"/>
  <c r="BL102" s="1"/>
  <c r="I205" i="80"/>
  <c r="AQ106" i="72"/>
  <c r="AQ109" s="1"/>
  <c r="O96" i="22"/>
  <c r="O98" s="1"/>
  <c r="O105" s="1"/>
  <c r="O107" s="1"/>
  <c r="AS103" i="76"/>
  <c r="AK103"/>
  <c r="AS106" i="77"/>
  <c r="BF104"/>
  <c r="BL104" s="1"/>
  <c r="I196" i="80"/>
  <c r="AK109" i="77"/>
  <c r="T109" i="72"/>
  <c r="DH113" s="1"/>
  <c r="DH114" s="1"/>
  <c r="I193" i="59" s="1"/>
  <c r="AS104" i="73"/>
  <c r="BF103"/>
  <c r="BL103" s="1"/>
  <c r="U106" i="76"/>
  <c r="H55" i="89" a="1"/>
  <c r="H55" s="1"/>
  <c r="H74" s="1"/>
  <c r="H65"/>
  <c r="H63"/>
  <c r="X104" i="76"/>
  <c r="X106" s="1"/>
  <c r="X109" s="1"/>
  <c r="U109" i="73"/>
  <c r="AK106"/>
  <c r="K65" i="69"/>
  <c r="L65"/>
  <c r="M58" i="59"/>
  <c r="O58"/>
  <c r="L61"/>
  <c r="K30"/>
  <c r="CY98" i="71"/>
  <c r="AP98"/>
  <c r="BJ12" i="60"/>
  <c r="K81" i="59"/>
  <c r="N58"/>
  <c r="U98" i="71"/>
  <c r="I15" i="89"/>
  <c r="K175" i="59" l="1"/>
  <c r="I60" i="69"/>
  <c r="I41"/>
  <c r="I64" s="1"/>
  <c r="BF98" i="71"/>
  <c r="AP99"/>
  <c r="K31" i="59"/>
  <c r="L72"/>
  <c r="AK98" i="71"/>
  <c r="U99"/>
  <c r="DH98"/>
  <c r="CY99"/>
  <c r="I52" i="89"/>
  <c r="K82" i="59"/>
  <c r="AK109" i="73"/>
  <c r="H66" i="89"/>
  <c r="H75"/>
  <c r="AK104" i="76"/>
  <c r="AS106" i="73"/>
  <c r="BF104"/>
  <c r="BL104" s="1"/>
  <c r="O116" i="22"/>
  <c r="O99"/>
  <c r="O100" s="1"/>
  <c r="O102" s="1"/>
  <c r="O130"/>
  <c r="AK104" i="75"/>
  <c r="U106"/>
  <c r="AK104" i="74"/>
  <c r="U106"/>
  <c r="AS103" i="75"/>
  <c r="AK103"/>
  <c r="AS103" i="74"/>
  <c r="AK103"/>
  <c r="BJ99" i="72"/>
  <c r="U109" i="76"/>
  <c r="AK106"/>
  <c r="AS109" i="77"/>
  <c r="BF106"/>
  <c r="AS104" i="76"/>
  <c r="BF103"/>
  <c r="BL103" s="1"/>
  <c r="O108" i="22"/>
  <c r="O109" s="1"/>
  <c r="O111" s="1"/>
  <c r="O133" s="1"/>
  <c r="O117"/>
  <c r="BI102" i="72"/>
  <c r="P37" i="59"/>
  <c r="W102" i="72"/>
  <c r="O61" i="59"/>
  <c r="T81" i="78"/>
  <c r="W81"/>
  <c r="P182" i="59" l="1"/>
  <c r="I42" i="69"/>
  <c r="I63" s="1"/>
  <c r="W104" i="72"/>
  <c r="W106" s="1"/>
  <c r="W109" s="1"/>
  <c r="BJ102"/>
  <c r="BI104"/>
  <c r="P39" i="59"/>
  <c r="P178" s="1"/>
  <c r="T82" i="78"/>
  <c r="O72" i="59"/>
  <c r="W82" i="78"/>
  <c r="W84" s="1"/>
  <c r="AS106" i="76"/>
  <c r="BF104"/>
  <c r="BL104" s="1"/>
  <c r="BF109" i="77"/>
  <c r="U109" i="74"/>
  <c r="AK106"/>
  <c r="U109" i="75"/>
  <c r="AK106"/>
  <c r="I55" i="89" a="1"/>
  <c r="I55" s="1"/>
  <c r="I74" s="1"/>
  <c r="I65"/>
  <c r="I63"/>
  <c r="DH99" i="71"/>
  <c r="CY106"/>
  <c r="CY109" s="1"/>
  <c r="AK99"/>
  <c r="U101"/>
  <c r="AK109" i="76"/>
  <c r="AS104" i="74"/>
  <c r="BF103"/>
  <c r="BL103" s="1"/>
  <c r="AS104" i="75"/>
  <c r="BF103"/>
  <c r="BL103" s="1"/>
  <c r="O103" i="22"/>
  <c r="O134"/>
  <c r="O122"/>
  <c r="O146" s="1"/>
  <c r="O121"/>
  <c r="O145" s="1"/>
  <c r="O131"/>
  <c r="O120"/>
  <c r="O144" s="1"/>
  <c r="O135"/>
  <c r="AS109" i="73"/>
  <c r="BF106"/>
  <c r="BL98" i="71"/>
  <c r="AP106"/>
  <c r="BF99"/>
  <c r="U81" i="78"/>
  <c r="Q96" i="59"/>
  <c r="BL19" i="60"/>
  <c r="U98" i="72"/>
  <c r="CY98"/>
  <c r="BQ81" i="78"/>
  <c r="BH81"/>
  <c r="BO81"/>
  <c r="AP98" i="72"/>
  <c r="M61" i="59"/>
  <c r="L37"/>
  <c r="H9" i="69"/>
  <c r="BP81" i="78"/>
  <c r="J150" i="59"/>
  <c r="N61"/>
  <c r="BI81" i="78"/>
  <c r="K63" i="59"/>
  <c r="Z102" i="72"/>
  <c r="L182" i="59" l="1"/>
  <c r="Q99"/>
  <c r="Q111" s="1"/>
  <c r="Z103" i="72"/>
  <c r="AU103" s="1"/>
  <c r="AU104" s="1"/>
  <c r="AU106" s="1"/>
  <c r="AU109" s="1"/>
  <c r="BJ104"/>
  <c r="BI106"/>
  <c r="BI109" s="1"/>
  <c r="Q86" i="59"/>
  <c r="BI82" i="78"/>
  <c r="BI84" s="1"/>
  <c r="U82"/>
  <c r="U84" s="1"/>
  <c r="AK81"/>
  <c r="L39" i="59"/>
  <c r="L178" s="1"/>
  <c r="DH81" i="78"/>
  <c r="BO82"/>
  <c r="BP82"/>
  <c r="BP84" s="1"/>
  <c r="BP109" s="1"/>
  <c r="BJ81"/>
  <c r="BH82"/>
  <c r="AK98" i="72"/>
  <c r="U99"/>
  <c r="DH98"/>
  <c r="CY99"/>
  <c r="N72" i="59"/>
  <c r="M72"/>
  <c r="BQ82" i="78"/>
  <c r="BQ84" s="1"/>
  <c r="BQ109" s="1"/>
  <c r="H37" i="69"/>
  <c r="BF98" i="72"/>
  <c r="AP99"/>
  <c r="AP109" i="71"/>
  <c r="BF109" i="73"/>
  <c r="O147" i="22"/>
  <c r="BL99" i="71"/>
  <c r="I66" i="89"/>
  <c r="I75"/>
  <c r="O136" i="22"/>
  <c r="AK109" i="75"/>
  <c r="AK109" i="74"/>
  <c r="W95" i="78"/>
  <c r="T84"/>
  <c r="P47" i="59"/>
  <c r="P181" s="1"/>
  <c r="AS106" i="75"/>
  <c r="BF104"/>
  <c r="BL104" s="1"/>
  <c r="AS106" i="74"/>
  <c r="BF104"/>
  <c r="BL104" s="1"/>
  <c r="AS109" i="76"/>
  <c r="BF106"/>
  <c r="BL21" i="60"/>
  <c r="K44" i="59"/>
  <c r="BL22" i="60"/>
  <c r="O37" i="59"/>
  <c r="J35"/>
  <c r="BJ10" i="60"/>
  <c r="O26" i="80"/>
  <c r="BL30" i="60"/>
  <c r="BJ31"/>
  <c r="K53" i="59"/>
  <c r="O182" l="1"/>
  <c r="Z104" i="72"/>
  <c r="Z106" s="1"/>
  <c r="Z109" s="1"/>
  <c r="K46" i="59"/>
  <c r="K180" s="1"/>
  <c r="O174" i="80"/>
  <c r="O189" s="1"/>
  <c r="O39" i="59"/>
  <c r="O178" s="1"/>
  <c r="J36"/>
  <c r="J177" s="1"/>
  <c r="AK84" i="78"/>
  <c r="T101"/>
  <c r="T103" s="1"/>
  <c r="BF109" i="76"/>
  <c r="P49" i="59"/>
  <c r="P20"/>
  <c r="AP106" i="72"/>
  <c r="BF99"/>
  <c r="H61" i="69"/>
  <c r="H58"/>
  <c r="DH99" i="72"/>
  <c r="CY106"/>
  <c r="CY109" s="1"/>
  <c r="AK99"/>
  <c r="U101"/>
  <c r="DH82" i="78"/>
  <c r="DH112" s="1"/>
  <c r="BO84"/>
  <c r="L47" i="59"/>
  <c r="L181" s="1"/>
  <c r="U95" i="78"/>
  <c r="AS109" i="74"/>
  <c r="BF106"/>
  <c r="AS109" i="75"/>
  <c r="BF106"/>
  <c r="AK82" i="78"/>
  <c r="BL98" i="72"/>
  <c r="BJ82" i="78"/>
  <c r="BH84"/>
  <c r="BL81"/>
  <c r="O24" i="80"/>
  <c r="U102" i="71"/>
  <c r="BL34" i="60"/>
  <c r="K150" i="59"/>
  <c r="AX33" i="60"/>
  <c r="I9" i="69"/>
  <c r="M37" i="59"/>
  <c r="K60"/>
  <c r="BL32" i="60"/>
  <c r="N37" i="59"/>
  <c r="W96" i="78"/>
  <c r="BK8" i="60"/>
  <c r="X102" i="71"/>
  <c r="BL35" i="60"/>
  <c r="BL33"/>
  <c r="M182" i="59" l="1"/>
  <c r="N182"/>
  <c r="W99" i="78"/>
  <c r="W97"/>
  <c r="O172" i="80"/>
  <c r="BL99" i="72"/>
  <c r="N39" i="59"/>
  <c r="N178" s="1"/>
  <c r="M39"/>
  <c r="M178" s="1"/>
  <c r="I37" i="69"/>
  <c r="X103" i="71"/>
  <c r="U104"/>
  <c r="AK102"/>
  <c r="BL102" s="1"/>
  <c r="BL82" i="78"/>
  <c r="BF109" i="75"/>
  <c r="BF109" i="74"/>
  <c r="L20" i="59"/>
  <c r="L49"/>
  <c r="DH84" i="78"/>
  <c r="BO109"/>
  <c r="AP109" i="72"/>
  <c r="AQ103" i="78"/>
  <c r="T104"/>
  <c r="BJ84"/>
  <c r="BL84" s="1"/>
  <c r="H65" i="69"/>
  <c r="O47" i="59"/>
  <c r="O181" s="1"/>
  <c r="BJ11" i="60"/>
  <c r="K35" i="59"/>
  <c r="BL20" i="60"/>
  <c r="Q140" i="59"/>
  <c r="W101" i="78" l="1"/>
  <c r="K36" i="59"/>
  <c r="K177" s="1"/>
  <c r="T106" i="78"/>
  <c r="AS103" i="71"/>
  <c r="AK103"/>
  <c r="I61" i="69"/>
  <c r="I58"/>
  <c r="N47" i="59"/>
  <c r="N181" s="1"/>
  <c r="O49"/>
  <c r="O20"/>
  <c r="AQ104" i="78"/>
  <c r="U106" i="71"/>
  <c r="O195" i="80"/>
  <c r="O187"/>
  <c r="O179" a="1"/>
  <c r="O179" s="1"/>
  <c r="O204" s="1"/>
  <c r="X104" i="71"/>
  <c r="X106" s="1"/>
  <c r="X109" s="1"/>
  <c r="M47" i="59"/>
  <c r="M181" s="1"/>
  <c r="CY96" i="78"/>
  <c r="U102" i="72"/>
  <c r="O11" i="69"/>
  <c r="BH96" i="78"/>
  <c r="X102" i="72"/>
  <c r="U96" i="78"/>
  <c r="J58" i="59"/>
  <c r="O40" i="69" l="1"/>
  <c r="AK96" i="78"/>
  <c r="U97"/>
  <c r="DH96"/>
  <c r="BJ96"/>
  <c r="BH99"/>
  <c r="X103" i="72"/>
  <c r="X104" s="1"/>
  <c r="X106" s="1"/>
  <c r="X109" s="1"/>
  <c r="U104"/>
  <c r="AK102"/>
  <c r="BL102" s="1"/>
  <c r="M49" i="59"/>
  <c r="M20"/>
  <c r="O196" i="80"/>
  <c r="O205"/>
  <c r="AK104" i="71"/>
  <c r="AQ106" i="78"/>
  <c r="AQ109" s="1"/>
  <c r="AS104" i="71"/>
  <c r="BF103"/>
  <c r="BL103" s="1"/>
  <c r="U109"/>
  <c r="AK106"/>
  <c r="N49" i="59"/>
  <c r="N20"/>
  <c r="I65" i="69"/>
  <c r="T109" i="78"/>
  <c r="DH113" s="1"/>
  <c r="DH114" s="1"/>
  <c r="I195" i="59" s="1"/>
  <c r="O15" i="89"/>
  <c r="J61" i="59"/>
  <c r="Q30"/>
  <c r="Q81"/>
  <c r="K58"/>
  <c r="BL12" i="60"/>
  <c r="Q175" i="59" l="1"/>
  <c r="O41" i="69"/>
  <c r="O64" s="1"/>
  <c r="O60"/>
  <c r="O42"/>
  <c r="O63" s="1"/>
  <c r="BL96" i="78"/>
  <c r="O52" i="89"/>
  <c r="Q82" i="59"/>
  <c r="J72"/>
  <c r="Q31"/>
  <c r="BJ99" i="78"/>
  <c r="AK109" i="71"/>
  <c r="AS106"/>
  <c r="BF104"/>
  <c r="BL104" s="1"/>
  <c r="AK104" i="72"/>
  <c r="U106"/>
  <c r="AS103"/>
  <c r="AK103"/>
  <c r="W102" i="78"/>
  <c r="BI102"/>
  <c r="Z102"/>
  <c r="Z103" l="1"/>
  <c r="AU103" s="1"/>
  <c r="AU104" s="1"/>
  <c r="AU106" s="1"/>
  <c r="AU109" s="1"/>
  <c r="BI104"/>
  <c r="BJ102"/>
  <c r="W104"/>
  <c r="W106" s="1"/>
  <c r="W109" s="1"/>
  <c r="AS104" i="72"/>
  <c r="BF103"/>
  <c r="BL103" s="1"/>
  <c r="AS109" i="71"/>
  <c r="BF106"/>
  <c r="U109" i="72"/>
  <c r="AK106"/>
  <c r="O65" i="89"/>
  <c r="O63"/>
  <c r="O55" a="1"/>
  <c r="O55" s="1"/>
  <c r="O74" s="1"/>
  <c r="U98" i="78"/>
  <c r="K61" i="59"/>
  <c r="Q63"/>
  <c r="BL10" i="60"/>
  <c r="J37" i="59"/>
  <c r="AP98" i="78"/>
  <c r="Q44" i="59"/>
  <c r="CY98" i="78"/>
  <c r="J182" i="59" l="1"/>
  <c r="Z104" i="78"/>
  <c r="Z106" s="1"/>
  <c r="Z109" s="1"/>
  <c r="Q46" i="59"/>
  <c r="Q180" s="1"/>
  <c r="BI106" i="78"/>
  <c r="BI109" s="1"/>
  <c r="BJ104"/>
  <c r="DH98"/>
  <c r="CY99"/>
  <c r="BF98"/>
  <c r="AP99"/>
  <c r="K72" i="59"/>
  <c r="AK98" i="78"/>
  <c r="U99"/>
  <c r="J39" i="59"/>
  <c r="J178" s="1"/>
  <c r="O75" i="89"/>
  <c r="AK109" i="72"/>
  <c r="AS106"/>
  <c r="BF104"/>
  <c r="BL104" s="1"/>
  <c r="O66" i="89"/>
  <c r="BF109" i="71"/>
  <c r="Q60" i="59"/>
  <c r="BL31" i="60"/>
  <c r="Q53" i="59"/>
  <c r="AK99" i="78" l="1"/>
  <c r="U101"/>
  <c r="AS109" i="72"/>
  <c r="BF106"/>
  <c r="J47" i="59"/>
  <c r="J181" s="1"/>
  <c r="BL98" i="78"/>
  <c r="AP106"/>
  <c r="BF99"/>
  <c r="DH99"/>
  <c r="CY106"/>
  <c r="CY109" s="1"/>
  <c r="Q150" i="59"/>
  <c r="O9" i="69"/>
  <c r="K37" i="59"/>
  <c r="BJ8" i="60"/>
  <c r="AX34"/>
  <c r="K182" i="59" l="1"/>
  <c r="K39"/>
  <c r="K178" s="1"/>
  <c r="O37" i="69"/>
  <c r="BF109" i="72"/>
  <c r="BL99" i="78"/>
  <c r="AP109"/>
  <c r="J49" i="59"/>
  <c r="J20"/>
  <c r="BL11" i="60"/>
  <c r="Q35" i="59"/>
  <c r="Q36" l="1"/>
  <c r="Q177" s="1"/>
  <c r="O61" i="69"/>
  <c r="O58"/>
  <c r="K47" i="59"/>
  <c r="K181" s="1"/>
  <c r="I196" s="1"/>
  <c r="X102" i="78"/>
  <c r="U102"/>
  <c r="X103" l="1"/>
  <c r="X104" s="1"/>
  <c r="X106" s="1"/>
  <c r="X109" s="1"/>
  <c r="U104"/>
  <c r="AK102"/>
  <c r="BL102" s="1"/>
  <c r="K49" i="59"/>
  <c r="K20"/>
  <c r="O65" i="69"/>
  <c r="Q58" i="59"/>
  <c r="AK104" i="78" l="1"/>
  <c r="U106"/>
  <c r="AS103"/>
  <c r="AK103"/>
  <c r="U109" l="1"/>
  <c r="AK106"/>
  <c r="AS104"/>
  <c r="BF103"/>
  <c r="BL103" s="1"/>
  <c r="Q61" i="59"/>
  <c r="Q72" l="1"/>
  <c r="AS106" i="78"/>
  <c r="BF104"/>
  <c r="BL104" s="1"/>
  <c r="AK109"/>
  <c r="AS109" l="1"/>
  <c r="BF106"/>
  <c r="BL8" i="60"/>
  <c r="Q37" i="59"/>
  <c r="Q182" l="1"/>
  <c r="Q39"/>
  <c r="Q178" s="1"/>
  <c r="BF109" i="78"/>
  <c r="Q47" i="59" l="1"/>
  <c r="Q181" s="1"/>
  <c r="I197" s="1"/>
  <c r="Q49" l="1"/>
  <c r="Q20"/>
  <c r="T92" i="29"/>
  <c r="T93" l="1"/>
  <c r="AK92"/>
  <c r="AK93" l="1"/>
  <c r="T74"/>
  <c r="F16" i="27"/>
  <c r="F95" l="1"/>
  <c r="F96" s="1"/>
  <c r="T78" i="29"/>
  <c r="T80" s="1"/>
  <c r="F16" i="37"/>
  <c r="F101" l="1"/>
  <c r="F102" s="1"/>
  <c r="F10" i="22"/>
  <c r="F87" l="1"/>
  <c r="F96" s="1"/>
  <c r="F98" s="1"/>
  <c r="F116" l="1"/>
  <c r="F99"/>
  <c r="F100" s="1"/>
  <c r="F102" s="1"/>
  <c r="F105"/>
  <c r="F107" s="1"/>
  <c r="F108" l="1"/>
  <c r="F109" s="1"/>
  <c r="F111" s="1"/>
  <c r="F117"/>
  <c r="F130"/>
  <c r="F131"/>
  <c r="T81" i="29"/>
  <c r="U81"/>
  <c r="F23" i="47" l="1" a="1"/>
  <c r="F23" s="1"/>
  <c r="F26" s="1"/>
  <c r="F127" s="1"/>
  <c r="U82" i="29"/>
  <c r="U84" s="1"/>
  <c r="T82"/>
  <c r="F133" i="22"/>
  <c r="F122"/>
  <c r="F146" s="1"/>
  <c r="F121"/>
  <c r="F145" s="1"/>
  <c r="F134"/>
  <c r="F120"/>
  <c r="F144" s="1"/>
  <c r="F135"/>
  <c r="W81" i="29"/>
  <c r="BP81"/>
  <c r="BI81"/>
  <c r="BO81"/>
  <c r="BQ81"/>
  <c r="BH81"/>
  <c r="BI30" i="60"/>
  <c r="H96" i="59"/>
  <c r="H99" l="1"/>
  <c r="H111" s="1"/>
  <c r="H86" s="1"/>
  <c r="F136" i="47"/>
  <c r="F140" s="1"/>
  <c r="F189"/>
  <c r="F131"/>
  <c r="F207"/>
  <c r="N23"/>
  <c r="N26" s="1"/>
  <c r="N127" s="1"/>
  <c r="M23"/>
  <c r="M26" s="1"/>
  <c r="M127" s="1"/>
  <c r="L23"/>
  <c r="L26" s="1"/>
  <c r="L127" s="1"/>
  <c r="G23"/>
  <c r="G26" s="1"/>
  <c r="G127" s="1"/>
  <c r="O23"/>
  <c r="O26" s="1"/>
  <c r="O127" s="1"/>
  <c r="I23"/>
  <c r="I26" s="1"/>
  <c r="I127" s="1"/>
  <c r="J23"/>
  <c r="J26" s="1"/>
  <c r="J127" s="1"/>
  <c r="H23"/>
  <c r="H26" s="1"/>
  <c r="H127" s="1"/>
  <c r="K23"/>
  <c r="K26" s="1"/>
  <c r="K127" s="1"/>
  <c r="BI82" i="29"/>
  <c r="BI84" s="1"/>
  <c r="BP82"/>
  <c r="BP84" s="1"/>
  <c r="BP109" s="1"/>
  <c r="W82"/>
  <c r="W84" s="1"/>
  <c r="AK81"/>
  <c r="BJ81"/>
  <c r="BH82"/>
  <c r="BQ82"/>
  <c r="BQ84" s="1"/>
  <c r="BQ109" s="1"/>
  <c r="DH81"/>
  <c r="BO82"/>
  <c r="F136" i="22"/>
  <c r="F166" i="47"/>
  <c r="T84" i="29"/>
  <c r="U95"/>
  <c r="F147" i="22"/>
  <c r="BI35" i="60"/>
  <c r="BI32"/>
  <c r="BI33"/>
  <c r="F24" i="80"/>
  <c r="BI34" i="60"/>
  <c r="BI19"/>
  <c r="F198" i="47" l="1"/>
  <c r="F216" s="1"/>
  <c r="F225" s="1"/>
  <c r="AK82" i="29"/>
  <c r="K189" i="47"/>
  <c r="K207" s="1"/>
  <c r="K131"/>
  <c r="K136"/>
  <c r="J189"/>
  <c r="J207" s="1"/>
  <c r="J136"/>
  <c r="J131"/>
  <c r="O131"/>
  <c r="O136"/>
  <c r="O189"/>
  <c r="O207" s="1"/>
  <c r="L189"/>
  <c r="L207" s="1"/>
  <c r="L136"/>
  <c r="L131"/>
  <c r="N136"/>
  <c r="N189"/>
  <c r="N207" s="1"/>
  <c r="N131"/>
  <c r="H136"/>
  <c r="H131"/>
  <c r="H189"/>
  <c r="H207" s="1"/>
  <c r="I189"/>
  <c r="I207" s="1"/>
  <c r="I136"/>
  <c r="I131"/>
  <c r="G189"/>
  <c r="G207" s="1"/>
  <c r="G136"/>
  <c r="G131"/>
  <c r="M136"/>
  <c r="M131"/>
  <c r="M189"/>
  <c r="M207" s="1"/>
  <c r="F172" i="80"/>
  <c r="BO84" i="29"/>
  <c r="DH82"/>
  <c r="DH112" s="1"/>
  <c r="W95"/>
  <c r="AK84"/>
  <c r="T101"/>
  <c r="T103" s="1"/>
  <c r="F190" i="47"/>
  <c r="F208" s="1"/>
  <c r="BJ82" i="29"/>
  <c r="BH84"/>
  <c r="BL81"/>
  <c r="F26" i="80"/>
  <c r="BI22" i="60"/>
  <c r="AW33"/>
  <c r="BI21"/>
  <c r="F178" i="47" l="1"/>
  <c r="BL82" i="29"/>
  <c r="M166" i="47"/>
  <c r="M198"/>
  <c r="M216" s="1"/>
  <c r="M225" s="1"/>
  <c r="M140"/>
  <c r="G140"/>
  <c r="G198"/>
  <c r="G216" s="1"/>
  <c r="G225" s="1"/>
  <c r="I166"/>
  <c r="N140"/>
  <c r="N198"/>
  <c r="N216" s="1"/>
  <c r="N225" s="1"/>
  <c r="L140"/>
  <c r="L198"/>
  <c r="L216" s="1"/>
  <c r="L225" s="1"/>
  <c r="O166"/>
  <c r="J140"/>
  <c r="J198"/>
  <c r="J216" s="1"/>
  <c r="J225" s="1"/>
  <c r="K140"/>
  <c r="K198"/>
  <c r="K216" s="1"/>
  <c r="K225" s="1"/>
  <c r="K166"/>
  <c r="G166"/>
  <c r="I198"/>
  <c r="I216" s="1"/>
  <c r="I225" s="1"/>
  <c r="I140"/>
  <c r="H166"/>
  <c r="H198"/>
  <c r="H216" s="1"/>
  <c r="H225" s="1"/>
  <c r="H140"/>
  <c r="N166"/>
  <c r="L166"/>
  <c r="O198"/>
  <c r="O216" s="1"/>
  <c r="O225" s="1"/>
  <c r="O140"/>
  <c r="J166"/>
  <c r="F174" i="80"/>
  <c r="F179" s="1" a="1"/>
  <c r="F179" s="1"/>
  <c r="F187"/>
  <c r="BJ84" i="29"/>
  <c r="BL84" s="1"/>
  <c r="F199" i="47"/>
  <c r="F217" s="1"/>
  <c r="F226" s="1"/>
  <c r="F167"/>
  <c r="T104" i="29"/>
  <c r="AQ103"/>
  <c r="DH84"/>
  <c r="BO109"/>
  <c r="U96"/>
  <c r="H140" i="59"/>
  <c r="F204" i="80" l="1"/>
  <c r="F189"/>
  <c r="L190" i="47"/>
  <c r="L208" s="1"/>
  <c r="H190"/>
  <c r="H208" s="1"/>
  <c r="K178"/>
  <c r="J190"/>
  <c r="J208" s="1"/>
  <c r="N190"/>
  <c r="N208" s="1"/>
  <c r="I178"/>
  <c r="G190"/>
  <c r="G208" s="1"/>
  <c r="O190"/>
  <c r="O208" s="1"/>
  <c r="L178"/>
  <c r="N178"/>
  <c r="M178"/>
  <c r="M190"/>
  <c r="M208" s="1"/>
  <c r="O178"/>
  <c r="H178"/>
  <c r="K190"/>
  <c r="K208" s="1"/>
  <c r="J178"/>
  <c r="I190"/>
  <c r="I208" s="1"/>
  <c r="G178"/>
  <c r="H142" i="59"/>
  <c r="U97" i="29"/>
  <c r="T106"/>
  <c r="AQ104"/>
  <c r="F179" i="47"/>
  <c r="F195" i="80"/>
  <c r="F191" i="47"/>
  <c r="CY96" i="29"/>
  <c r="W96"/>
  <c r="F15" i="89"/>
  <c r="BH96" i="29"/>
  <c r="DH96" l="1"/>
  <c r="W99"/>
  <c r="W97"/>
  <c r="AK96"/>
  <c r="F205" i="80"/>
  <c r="K167" i="47"/>
  <c r="K191" s="1"/>
  <c r="K209" s="1"/>
  <c r="O167"/>
  <c r="N167"/>
  <c r="N191" s="1"/>
  <c r="N209" s="1"/>
  <c r="J167"/>
  <c r="J199"/>
  <c r="J217" s="1"/>
  <c r="J226" s="1"/>
  <c r="O199"/>
  <c r="O217" s="1"/>
  <c r="O226" s="1"/>
  <c r="N199"/>
  <c r="N217" s="1"/>
  <c r="N226" s="1"/>
  <c r="O191"/>
  <c r="O209" s="1"/>
  <c r="I199"/>
  <c r="J191"/>
  <c r="J209" s="1"/>
  <c r="G199"/>
  <c r="G217" s="1"/>
  <c r="G226" s="1"/>
  <c r="I167"/>
  <c r="H199"/>
  <c r="H217" s="1"/>
  <c r="H226" s="1"/>
  <c r="M167"/>
  <c r="M199"/>
  <c r="M217" s="1"/>
  <c r="M226" s="1"/>
  <c r="L199"/>
  <c r="L217" s="1"/>
  <c r="L226" s="1"/>
  <c r="G167"/>
  <c r="K199"/>
  <c r="H167"/>
  <c r="L167"/>
  <c r="F168"/>
  <c r="BJ96" i="29"/>
  <c r="BH99"/>
  <c r="BJ99" s="1"/>
  <c r="F52" i="89"/>
  <c r="F192" i="47"/>
  <c r="F210" s="1"/>
  <c r="F200"/>
  <c r="AQ106" i="29"/>
  <c r="AQ109" s="1"/>
  <c r="F196" i="80"/>
  <c r="T109" i="29"/>
  <c r="DH113" s="1"/>
  <c r="DH114" s="1"/>
  <c r="H81" i="59"/>
  <c r="BI20" i="60"/>
  <c r="H30" i="59"/>
  <c r="BI12" i="60"/>
  <c r="H175" i="59" l="1"/>
  <c r="BL96" i="29"/>
  <c r="W101"/>
  <c r="I179" i="47"/>
  <c r="I200" s="1"/>
  <c r="I218" s="1"/>
  <c r="I217"/>
  <c r="I226" s="1"/>
  <c r="K179"/>
  <c r="K200" s="1"/>
  <c r="K218" s="1"/>
  <c r="K227" s="1"/>
  <c r="K217"/>
  <c r="K226" s="1"/>
  <c r="M179"/>
  <c r="M200" s="1"/>
  <c r="M218" s="1"/>
  <c r="H179"/>
  <c r="H200" s="1"/>
  <c r="H218" s="1"/>
  <c r="L191"/>
  <c r="L209" s="1"/>
  <c r="G191"/>
  <c r="I191"/>
  <c r="H191"/>
  <c r="H209" s="1"/>
  <c r="L179"/>
  <c r="M191"/>
  <c r="M209" s="1"/>
  <c r="G179"/>
  <c r="J168"/>
  <c r="N168"/>
  <c r="O168"/>
  <c r="N179"/>
  <c r="O179"/>
  <c r="K168"/>
  <c r="J179"/>
  <c r="F169"/>
  <c r="F170" s="1"/>
  <c r="F236" s="1"/>
  <c r="H31" i="59"/>
  <c r="H82"/>
  <c r="F193" i="47"/>
  <c r="F211" s="1"/>
  <c r="F180"/>
  <c r="F55" i="89" a="1"/>
  <c r="F55" s="1"/>
  <c r="F74" s="1"/>
  <c r="F63"/>
  <c r="F65"/>
  <c r="F11" i="69"/>
  <c r="CY98" i="29"/>
  <c r="U98"/>
  <c r="AP98"/>
  <c r="F40" i="69" l="1"/>
  <c r="M227" i="47"/>
  <c r="H227"/>
  <c r="I168"/>
  <c r="I192" s="1"/>
  <c r="I210" s="1"/>
  <c r="I209"/>
  <c r="I227" s="1"/>
  <c r="K180"/>
  <c r="K201" s="1"/>
  <c r="K219" s="1"/>
  <c r="K192"/>
  <c r="K210" s="1"/>
  <c r="N200"/>
  <c r="N218" s="1"/>
  <c r="N227" s="1"/>
  <c r="N192"/>
  <c r="N210" s="1"/>
  <c r="G200"/>
  <c r="J200"/>
  <c r="J218" s="1"/>
  <c r="J227" s="1"/>
  <c r="O200"/>
  <c r="O218" s="1"/>
  <c r="O227" s="1"/>
  <c r="O192"/>
  <c r="O210" s="1"/>
  <c r="J192"/>
  <c r="J210" s="1"/>
  <c r="M168"/>
  <c r="L200"/>
  <c r="H168"/>
  <c r="I180"/>
  <c r="H180"/>
  <c r="M180"/>
  <c r="G168"/>
  <c r="L168"/>
  <c r="BF98" i="29"/>
  <c r="AP99"/>
  <c r="DH98"/>
  <c r="CY99"/>
  <c r="AK98"/>
  <c r="U99"/>
  <c r="F75" i="89"/>
  <c r="F66"/>
  <c r="F201" i="47"/>
  <c r="F219" s="1"/>
  <c r="F228" s="1"/>
  <c r="BI31" i="60"/>
  <c r="F41" i="69" l="1"/>
  <c r="F64" s="1"/>
  <c r="I49"/>
  <c r="I73" s="1"/>
  <c r="N49"/>
  <c r="N73" s="1"/>
  <c r="L49"/>
  <c r="L73" s="1"/>
  <c r="G49"/>
  <c r="G73" s="1"/>
  <c r="F60"/>
  <c r="H49"/>
  <c r="H73" s="1"/>
  <c r="M49"/>
  <c r="M73" s="1"/>
  <c r="J49"/>
  <c r="J73" s="1"/>
  <c r="O49"/>
  <c r="O73" s="1"/>
  <c r="K49"/>
  <c r="K73" s="1"/>
  <c r="L180" i="47"/>
  <c r="L218"/>
  <c r="L227" s="1"/>
  <c r="K228"/>
  <c r="I193"/>
  <c r="I211" s="1"/>
  <c r="K169"/>
  <c r="K170" s="1"/>
  <c r="K236" s="1"/>
  <c r="L192"/>
  <c r="L210" s="1"/>
  <c r="M201"/>
  <c r="M219" s="1"/>
  <c r="I201"/>
  <c r="I219" s="1"/>
  <c r="I228" s="1"/>
  <c r="L201"/>
  <c r="L219" s="1"/>
  <c r="J193"/>
  <c r="J211" s="1"/>
  <c r="O193"/>
  <c r="O211" s="1"/>
  <c r="K202"/>
  <c r="K220" s="1"/>
  <c r="N193"/>
  <c r="N211" s="1"/>
  <c r="BL98" i="29"/>
  <c r="G192" i="47"/>
  <c r="G210" s="1"/>
  <c r="H201"/>
  <c r="H219" s="1"/>
  <c r="H192"/>
  <c r="H210" s="1"/>
  <c r="M192"/>
  <c r="M210" s="1"/>
  <c r="J169"/>
  <c r="J170" s="1"/>
  <c r="J236" s="1"/>
  <c r="O169"/>
  <c r="O170" s="1"/>
  <c r="O236" s="1"/>
  <c r="O180"/>
  <c r="J180"/>
  <c r="K181"/>
  <c r="K182" s="1"/>
  <c r="I169"/>
  <c r="I170" s="1"/>
  <c r="I236" s="1"/>
  <c r="G180"/>
  <c r="N169"/>
  <c r="N170" s="1"/>
  <c r="N236" s="1"/>
  <c r="N180"/>
  <c r="K193"/>
  <c r="K211" s="1"/>
  <c r="F202"/>
  <c r="F220" s="1"/>
  <c r="F229" s="1"/>
  <c r="F257" s="1"/>
  <c r="BI42" i="60" s="1"/>
  <c r="F181" i="47"/>
  <c r="F182" s="1"/>
  <c r="AK99" i="29"/>
  <c r="U101"/>
  <c r="CY106"/>
  <c r="DH99"/>
  <c r="BF99"/>
  <c r="AP106"/>
  <c r="BT102" i="74"/>
  <c r="BT102" i="73"/>
  <c r="BI102" i="29"/>
  <c r="BT102" i="78"/>
  <c r="F9" i="69"/>
  <c r="BT102" i="72"/>
  <c r="BH92" i="29"/>
  <c r="BT102" i="70"/>
  <c r="AW34" i="60"/>
  <c r="BT102" i="71"/>
  <c r="BT102" i="76"/>
  <c r="BT102" i="75"/>
  <c r="W102" i="29"/>
  <c r="BH92" i="74"/>
  <c r="BT102" i="77"/>
  <c r="F42" i="69" l="1"/>
  <c r="F63" s="1"/>
  <c r="BI104" i="29"/>
  <c r="BJ102"/>
  <c r="DH102" i="74"/>
  <c r="BT104"/>
  <c r="DH102" i="73"/>
  <c r="BT104"/>
  <c r="DH102" i="71"/>
  <c r="BT104"/>
  <c r="BT104" i="70"/>
  <c r="DH102"/>
  <c r="BT104" i="77"/>
  <c r="DH102"/>
  <c r="W104" i="29"/>
  <c r="W106" s="1"/>
  <c r="W109" s="1"/>
  <c r="DH102" i="78"/>
  <c r="BT104"/>
  <c r="DH102" i="76"/>
  <c r="BT104"/>
  <c r="BT104" i="75"/>
  <c r="DH102"/>
  <c r="BT104" i="72"/>
  <c r="DH102"/>
  <c r="K74" i="69"/>
  <c r="J74"/>
  <c r="H74"/>
  <c r="G74"/>
  <c r="N74"/>
  <c r="O74"/>
  <c r="M74"/>
  <c r="L74"/>
  <c r="I74"/>
  <c r="AW43" i="60"/>
  <c r="H228" i="47"/>
  <c r="L228"/>
  <c r="K229"/>
  <c r="K257" s="1"/>
  <c r="BK42" i="60" s="1"/>
  <c r="M228" i="47"/>
  <c r="K234"/>
  <c r="K235" s="1"/>
  <c r="K237" s="1"/>
  <c r="K238" s="1"/>
  <c r="K258" s="1"/>
  <c r="BK43" i="60" s="1"/>
  <c r="K245" i="47"/>
  <c r="K246" s="1"/>
  <c r="K247" s="1"/>
  <c r="K249" s="1"/>
  <c r="K259" s="1"/>
  <c r="BK44" i="60" s="1"/>
  <c r="F234" i="47"/>
  <c r="F235" s="1"/>
  <c r="F237" s="1"/>
  <c r="F238" s="1"/>
  <c r="F258" s="1"/>
  <c r="BI43" i="60" s="1"/>
  <c r="F245" i="47"/>
  <c r="F246" s="1"/>
  <c r="F247" s="1"/>
  <c r="F249" s="1"/>
  <c r="F259" s="1"/>
  <c r="BI44" i="60" s="1"/>
  <c r="H169" i="47"/>
  <c r="H170" s="1"/>
  <c r="H236" s="1"/>
  <c r="BH93" i="74"/>
  <c r="BJ92"/>
  <c r="BL92" s="1"/>
  <c r="N201" i="47"/>
  <c r="G201"/>
  <c r="G219" s="1"/>
  <c r="G228" s="1"/>
  <c r="O201"/>
  <c r="O219" s="1"/>
  <c r="O228" s="1"/>
  <c r="M193"/>
  <c r="M211" s="1"/>
  <c r="H202"/>
  <c r="H220" s="1"/>
  <c r="G193"/>
  <c r="G211" s="1"/>
  <c r="I202"/>
  <c r="I220" s="1"/>
  <c r="I229" s="1"/>
  <c r="I257" s="1"/>
  <c r="BJ42" i="60" s="1"/>
  <c r="M202" i="47"/>
  <c r="M220" s="1"/>
  <c r="M229" s="1"/>
  <c r="M257" s="1"/>
  <c r="L193"/>
  <c r="L211" s="1"/>
  <c r="J201"/>
  <c r="J219" s="1"/>
  <c r="J228" s="1"/>
  <c r="M169"/>
  <c r="M170" s="1"/>
  <c r="M236" s="1"/>
  <c r="L202"/>
  <c r="L220" s="1"/>
  <c r="H193"/>
  <c r="H211" s="1"/>
  <c r="H181"/>
  <c r="H182" s="1"/>
  <c r="G169"/>
  <c r="G170" s="1"/>
  <c r="G236" s="1"/>
  <c r="K270"/>
  <c r="L181"/>
  <c r="L182" s="1"/>
  <c r="I181"/>
  <c r="I182" s="1"/>
  <c r="M181"/>
  <c r="M182" s="1"/>
  <c r="L169"/>
  <c r="L170" s="1"/>
  <c r="L236" s="1"/>
  <c r="AW44" i="60"/>
  <c r="BJ92" i="29"/>
  <c r="BL92" s="1"/>
  <c r="BH93"/>
  <c r="F37" i="69"/>
  <c r="AP109" i="29"/>
  <c r="BL99"/>
  <c r="F270" i="47"/>
  <c r="CY109" i="29"/>
  <c r="DH106"/>
  <c r="H35" i="59"/>
  <c r="BH92" i="75"/>
  <c r="Z102" i="29"/>
  <c r="BH92" i="71"/>
  <c r="BI11" i="60"/>
  <c r="BH92" i="72"/>
  <c r="BH92" i="76"/>
  <c r="H150" i="59"/>
  <c r="H63"/>
  <c r="Z103" i="29" l="1"/>
  <c r="AU103" s="1"/>
  <c r="AU104" s="1"/>
  <c r="AU106" s="1"/>
  <c r="AU109" s="1"/>
  <c r="DH104" i="76"/>
  <c r="BT106"/>
  <c r="DH104" i="78"/>
  <c r="BT106"/>
  <c r="BT106" i="77"/>
  <c r="DH104"/>
  <c r="DH104" i="70"/>
  <c r="BT106"/>
  <c r="BI106" i="29"/>
  <c r="BI109" s="1"/>
  <c r="BJ104"/>
  <c r="BT106" i="72"/>
  <c r="DH104"/>
  <c r="DH104" i="75"/>
  <c r="BT106"/>
  <c r="DH104" i="71"/>
  <c r="BT106"/>
  <c r="DH104" i="73"/>
  <c r="BT106"/>
  <c r="DH104" i="74"/>
  <c r="BT106"/>
  <c r="L229" i="47"/>
  <c r="L257" s="1"/>
  <c r="H229"/>
  <c r="H257" s="1"/>
  <c r="I234"/>
  <c r="I235" s="1"/>
  <c r="I237" s="1"/>
  <c r="I238" s="1"/>
  <c r="I258" s="1"/>
  <c r="BJ43" i="60" s="1"/>
  <c r="I245" i="47"/>
  <c r="I246" s="1"/>
  <c r="I247" s="1"/>
  <c r="I249" s="1"/>
  <c r="I259" s="1"/>
  <c r="BJ44" i="60" s="1"/>
  <c r="H234" i="47"/>
  <c r="H235" s="1"/>
  <c r="H237" s="1"/>
  <c r="H238" s="1"/>
  <c r="H258" s="1"/>
  <c r="H245"/>
  <c r="H246" s="1"/>
  <c r="H247" s="1"/>
  <c r="H249" s="1"/>
  <c r="H259" s="1"/>
  <c r="M234"/>
  <c r="M235" s="1"/>
  <c r="M237" s="1"/>
  <c r="M238" s="1"/>
  <c r="M258" s="1"/>
  <c r="M245"/>
  <c r="M246" s="1"/>
  <c r="M247" s="1"/>
  <c r="M249" s="1"/>
  <c r="M259" s="1"/>
  <c r="L234"/>
  <c r="L235" s="1"/>
  <c r="L237" s="1"/>
  <c r="L238" s="1"/>
  <c r="L258" s="1"/>
  <c r="L245"/>
  <c r="L246" s="1"/>
  <c r="L247" s="1"/>
  <c r="L249" s="1"/>
  <c r="L259" s="1"/>
  <c r="J181"/>
  <c r="J182" s="1"/>
  <c r="N181"/>
  <c r="N182" s="1"/>
  <c r="N219"/>
  <c r="N228" s="1"/>
  <c r="BH93" i="72"/>
  <c r="BJ92"/>
  <c r="BL92" s="1"/>
  <c r="BH93" i="75"/>
  <c r="BJ92"/>
  <c r="BL92" s="1"/>
  <c r="BH93" i="76"/>
  <c r="BJ92"/>
  <c r="BL92" s="1"/>
  <c r="BJ92" i="71"/>
  <c r="BL92" s="1"/>
  <c r="BH93"/>
  <c r="I270" i="47"/>
  <c r="L270"/>
  <c r="O202"/>
  <c r="O220" s="1"/>
  <c r="O229" s="1"/>
  <c r="O257" s="1"/>
  <c r="BL42" i="60" s="1"/>
  <c r="I198" i="59" s="1"/>
  <c r="G202" i="47"/>
  <c r="G220" s="1"/>
  <c r="G229" s="1"/>
  <c r="G257" s="1"/>
  <c r="BJ93" i="74"/>
  <c r="BL93" s="1"/>
  <c r="BH106"/>
  <c r="J202" i="47"/>
  <c r="J220" s="1"/>
  <c r="J229" s="1"/>
  <c r="J257" s="1"/>
  <c r="M270"/>
  <c r="H270"/>
  <c r="O181"/>
  <c r="O182" s="1"/>
  <c r="G181"/>
  <c r="G182" s="1"/>
  <c r="N202"/>
  <c r="N220" s="1"/>
  <c r="N229" s="1"/>
  <c r="N257" s="1"/>
  <c r="H152" i="59"/>
  <c r="H36"/>
  <c r="H177" s="1"/>
  <c r="BH106" i="29"/>
  <c r="BJ93"/>
  <c r="BL93" s="1"/>
  <c r="DH109"/>
  <c r="F58" i="69"/>
  <c r="F61"/>
  <c r="BH92" i="70"/>
  <c r="U102" i="29"/>
  <c r="H44" i="59"/>
  <c r="BI10" i="60"/>
  <c r="BH92" i="78"/>
  <c r="AX42" i="60"/>
  <c r="H53" i="59"/>
  <c r="X102" i="29"/>
  <c r="BH92" i="77"/>
  <c r="BH92" i="73"/>
  <c r="Z104" i="29" l="1"/>
  <c r="Z106" s="1"/>
  <c r="Z109" s="1"/>
  <c r="H46" i="59"/>
  <c r="H180" s="1"/>
  <c r="AX43" i="60"/>
  <c r="BT109" i="74"/>
  <c r="DH106"/>
  <c r="BT109" i="73"/>
  <c r="DH106"/>
  <c r="BT109" i="71"/>
  <c r="DH106"/>
  <c r="DH106" i="75"/>
  <c r="BT109"/>
  <c r="BT109" i="70"/>
  <c r="DH106"/>
  <c r="BT109" i="78"/>
  <c r="DH106"/>
  <c r="DH106" i="76"/>
  <c r="BT109"/>
  <c r="DH106" i="72"/>
  <c r="BT109"/>
  <c r="DH106" i="77"/>
  <c r="BT109"/>
  <c r="N234" i="47"/>
  <c r="N235" s="1"/>
  <c r="N237" s="1"/>
  <c r="N238" s="1"/>
  <c r="N258" s="1"/>
  <c r="N245"/>
  <c r="N246" s="1"/>
  <c r="N247" s="1"/>
  <c r="N249" s="1"/>
  <c r="N259" s="1"/>
  <c r="G234"/>
  <c r="G235" s="1"/>
  <c r="G237" s="1"/>
  <c r="G238" s="1"/>
  <c r="G258" s="1"/>
  <c r="G245"/>
  <c r="G246" s="1"/>
  <c r="G247" s="1"/>
  <c r="G249" s="1"/>
  <c r="G259" s="1"/>
  <c r="J234"/>
  <c r="J235" s="1"/>
  <c r="J237" s="1"/>
  <c r="J238" s="1"/>
  <c r="J258" s="1"/>
  <c r="J245"/>
  <c r="J246" s="1"/>
  <c r="J247" s="1"/>
  <c r="J249" s="1"/>
  <c r="J259" s="1"/>
  <c r="O234"/>
  <c r="O235" s="1"/>
  <c r="O237" s="1"/>
  <c r="O238" s="1"/>
  <c r="O258" s="1"/>
  <c r="BL43" i="60" s="1"/>
  <c r="I199" i="59" s="1"/>
  <c r="O245" i="47"/>
  <c r="O246" s="1"/>
  <c r="O247" s="1"/>
  <c r="O249" s="1"/>
  <c r="O259" s="1"/>
  <c r="BL44" i="60" s="1"/>
  <c r="BJ92" i="77"/>
  <c r="BL92" s="1"/>
  <c r="BH93"/>
  <c r="BJ92" i="70"/>
  <c r="BL92" s="1"/>
  <c r="BH93"/>
  <c r="BJ92" i="73"/>
  <c r="BL92" s="1"/>
  <c r="BH93"/>
  <c r="BH93" i="78"/>
  <c r="BJ92"/>
  <c r="BL92" s="1"/>
  <c r="N270" i="47"/>
  <c r="G270"/>
  <c r="BJ93" i="76"/>
  <c r="BL93" s="1"/>
  <c r="BH106"/>
  <c r="BJ93" i="75"/>
  <c r="BL93" s="1"/>
  <c r="BH106"/>
  <c r="BJ93" i="72"/>
  <c r="BL93" s="1"/>
  <c r="BH106"/>
  <c r="J270" i="47"/>
  <c r="BJ106" i="74"/>
  <c r="BL106" s="1"/>
  <c r="BH109"/>
  <c r="O270" i="47"/>
  <c r="BH106" i="71"/>
  <c r="BJ93"/>
  <c r="BL93" s="1"/>
  <c r="X103" i="29"/>
  <c r="X104" s="1"/>
  <c r="X106" s="1"/>
  <c r="X109" s="1"/>
  <c r="U104"/>
  <c r="AK102"/>
  <c r="BL102" s="1"/>
  <c r="BJ106"/>
  <c r="BH109"/>
  <c r="F65" i="69"/>
  <c r="H154" i="59"/>
  <c r="H135"/>
  <c r="M52"/>
  <c r="M141"/>
  <c r="J141"/>
  <c r="H58"/>
  <c r="K141"/>
  <c r="H52"/>
  <c r="P141"/>
  <c r="L141"/>
  <c r="N141"/>
  <c r="I141"/>
  <c r="Q141"/>
  <c r="H60"/>
  <c r="O141"/>
  <c r="H184" l="1"/>
  <c r="M184"/>
  <c r="P142"/>
  <c r="K142"/>
  <c r="O142"/>
  <c r="N142"/>
  <c r="Q142"/>
  <c r="I142"/>
  <c r="J142"/>
  <c r="L142"/>
  <c r="M142"/>
  <c r="DH109" i="77"/>
  <c r="DH109" i="72"/>
  <c r="DH109" i="76"/>
  <c r="DH109" i="75"/>
  <c r="DH109" i="78"/>
  <c r="DH109" i="70"/>
  <c r="DH109" i="71"/>
  <c r="DH109" i="73"/>
  <c r="DH109" i="74"/>
  <c r="AY41" i="60"/>
  <c r="AY42"/>
  <c r="AY43"/>
  <c r="M54" i="59"/>
  <c r="M74" s="1"/>
  <c r="BJ106" i="71"/>
  <c r="BL106" s="1"/>
  <c r="BH109"/>
  <c r="BJ109" i="74"/>
  <c r="BL109" s="1"/>
  <c r="BJ93" i="78"/>
  <c r="BL93" s="1"/>
  <c r="BH106"/>
  <c r="BJ106" i="72"/>
  <c r="BL106" s="1"/>
  <c r="BH109"/>
  <c r="BH109" i="75"/>
  <c r="BJ106"/>
  <c r="BL106" s="1"/>
  <c r="BJ106" i="76"/>
  <c r="BL106" s="1"/>
  <c r="BH109"/>
  <c r="BJ93" i="73"/>
  <c r="BL93" s="1"/>
  <c r="BH106"/>
  <c r="BH106" i="70"/>
  <c r="BJ93"/>
  <c r="BL93" s="1"/>
  <c r="BJ93" i="77"/>
  <c r="BL93" s="1"/>
  <c r="BH106"/>
  <c r="N129" i="59"/>
  <c r="I128"/>
  <c r="H123"/>
  <c r="K122"/>
  <c r="N125"/>
  <c r="K127"/>
  <c r="J129"/>
  <c r="L129"/>
  <c r="N130"/>
  <c r="P126"/>
  <c r="P128"/>
  <c r="P124"/>
  <c r="P123"/>
  <c r="Q126"/>
  <c r="J122"/>
  <c r="Q124"/>
  <c r="J127"/>
  <c r="J123"/>
  <c r="L124"/>
  <c r="AY33" i="60"/>
  <c r="O129" i="59"/>
  <c r="I126"/>
  <c r="N122"/>
  <c r="H127"/>
  <c r="AY38" i="60"/>
  <c r="O122" i="59"/>
  <c r="AY35" i="60"/>
  <c r="J126" i="59"/>
  <c r="K125"/>
  <c r="L125"/>
  <c r="I124"/>
  <c r="N123"/>
  <c r="I130"/>
  <c r="M130"/>
  <c r="O125"/>
  <c r="N126"/>
  <c r="M123"/>
  <c r="H128"/>
  <c r="J130"/>
  <c r="Q127"/>
  <c r="H124"/>
  <c r="J125"/>
  <c r="L128"/>
  <c r="K129"/>
  <c r="M129"/>
  <c r="I129"/>
  <c r="H122"/>
  <c r="M126"/>
  <c r="L127"/>
  <c r="J128"/>
  <c r="O127"/>
  <c r="L130"/>
  <c r="Q122"/>
  <c r="K128"/>
  <c r="H130"/>
  <c r="AY37" i="60"/>
  <c r="I122" i="59"/>
  <c r="I127"/>
  <c r="K126"/>
  <c r="Q130"/>
  <c r="N128"/>
  <c r="P125"/>
  <c r="J124"/>
  <c r="P127"/>
  <c r="M125"/>
  <c r="K123"/>
  <c r="H125"/>
  <c r="Q129"/>
  <c r="P129"/>
  <c r="AY36" i="60"/>
  <c r="H126" i="59"/>
  <c r="O124"/>
  <c r="O123"/>
  <c r="P122"/>
  <c r="AY39" i="60"/>
  <c r="L126" i="59"/>
  <c r="AY40" i="60"/>
  <c r="Q123" i="59"/>
  <c r="M122"/>
  <c r="Q128"/>
  <c r="M128"/>
  <c r="O128"/>
  <c r="I125"/>
  <c r="N127"/>
  <c r="K130"/>
  <c r="AY34" i="60"/>
  <c r="I123" i="59"/>
  <c r="L123"/>
  <c r="Q125"/>
  <c r="O126"/>
  <c r="L122"/>
  <c r="M124"/>
  <c r="N124"/>
  <c r="P130"/>
  <c r="K124"/>
  <c r="O130"/>
  <c r="M127"/>
  <c r="H121"/>
  <c r="L121"/>
  <c r="Q121"/>
  <c r="I121"/>
  <c r="H129"/>
  <c r="AK104" i="29"/>
  <c r="U106"/>
  <c r="H133" i="59"/>
  <c r="BJ109" i="29"/>
  <c r="AS103"/>
  <c r="AK103"/>
  <c r="K52" i="59"/>
  <c r="O52"/>
  <c r="J52"/>
  <c r="M89"/>
  <c r="N52"/>
  <c r="O184" l="1"/>
  <c r="J184"/>
  <c r="N184"/>
  <c r="K184"/>
  <c r="M152"/>
  <c r="M154" s="1"/>
  <c r="M133" s="1"/>
  <c r="J152"/>
  <c r="J154" s="1"/>
  <c r="J133" s="1"/>
  <c r="Q152"/>
  <c r="Q154" s="1"/>
  <c r="Q133" s="1"/>
  <c r="O152"/>
  <c r="O154" s="1"/>
  <c r="O133" s="1"/>
  <c r="P152"/>
  <c r="P154" s="1"/>
  <c r="P133" s="1"/>
  <c r="L152"/>
  <c r="L154" s="1"/>
  <c r="L133" s="1"/>
  <c r="I152"/>
  <c r="I154" s="1"/>
  <c r="I133" s="1"/>
  <c r="N152"/>
  <c r="N154" s="1"/>
  <c r="N133" s="1"/>
  <c r="K152"/>
  <c r="K154" s="1"/>
  <c r="K133" s="1"/>
  <c r="N121"/>
  <c r="K121"/>
  <c r="P121"/>
  <c r="J121"/>
  <c r="O121"/>
  <c r="M121"/>
  <c r="O54"/>
  <c r="O74" s="1"/>
  <c r="K54"/>
  <c r="K74" s="1"/>
  <c r="N54"/>
  <c r="N74" s="1"/>
  <c r="J54"/>
  <c r="J74" s="1"/>
  <c r="BJ106" i="77"/>
  <c r="BL106" s="1"/>
  <c r="BH109"/>
  <c r="BH109" i="73"/>
  <c r="BJ106"/>
  <c r="BL106" s="1"/>
  <c r="BJ109" i="76"/>
  <c r="BL109" s="1"/>
  <c r="BJ109" i="72"/>
  <c r="BL109" s="1"/>
  <c r="BJ106" i="78"/>
  <c r="BL106" s="1"/>
  <c r="BH109"/>
  <c r="BH109" i="70"/>
  <c r="BJ106"/>
  <c r="BL106" s="1"/>
  <c r="BJ109" i="75"/>
  <c r="BL109" s="1"/>
  <c r="BJ109" i="71"/>
  <c r="BL109" s="1"/>
  <c r="M91" i="59"/>
  <c r="L131"/>
  <c r="AS104" i="29"/>
  <c r="BF103"/>
  <c r="BL103" s="1"/>
  <c r="I131" i="59"/>
  <c r="Q131"/>
  <c r="H131"/>
  <c r="U109" i="29"/>
  <c r="AK106"/>
  <c r="N89" i="59"/>
  <c r="I52"/>
  <c r="Q52"/>
  <c r="P52"/>
  <c r="J89"/>
  <c r="O89"/>
  <c r="K89"/>
  <c r="H61"/>
  <c r="L52"/>
  <c r="I184" l="1"/>
  <c r="P184"/>
  <c r="Q184"/>
  <c r="L184"/>
  <c r="I192"/>
  <c r="K131"/>
  <c r="M131"/>
  <c r="J131"/>
  <c r="O131"/>
  <c r="P131"/>
  <c r="N131"/>
  <c r="I54"/>
  <c r="I74" s="1"/>
  <c r="L54"/>
  <c r="L74" s="1"/>
  <c r="Q54"/>
  <c r="Q74" s="1"/>
  <c r="P54"/>
  <c r="P74" s="1"/>
  <c r="BJ109" i="70"/>
  <c r="BL109" s="1"/>
  <c r="BJ109" i="73"/>
  <c r="BL109" s="1"/>
  <c r="N91" i="59"/>
  <c r="O91"/>
  <c r="Q161"/>
  <c r="BJ109" i="78"/>
  <c r="BL109" s="1"/>
  <c r="BJ109" i="77"/>
  <c r="BL109" s="1"/>
  <c r="J91" i="59"/>
  <c r="K91"/>
  <c r="H72"/>
  <c r="AS106" i="29"/>
  <c r="BF104"/>
  <c r="BL104" s="1"/>
  <c r="AK109"/>
  <c r="K160" i="59"/>
  <c r="L160"/>
  <c r="P89"/>
  <c r="L89"/>
  <c r="I89"/>
  <c r="Q89"/>
  <c r="I190" l="1"/>
  <c r="I191"/>
  <c r="O161"/>
  <c r="P161"/>
  <c r="Q91"/>
  <c r="I91"/>
  <c r="P91"/>
  <c r="L91"/>
  <c r="AS109" i="29"/>
  <c r="BF106"/>
  <c r="BL106" s="1"/>
  <c r="H37" i="59"/>
  <c r="BI8" i="60"/>
  <c r="H182" i="59" l="1"/>
  <c r="H39"/>
  <c r="H178" s="1"/>
  <c r="BF109" i="29"/>
  <c r="BL109" s="1"/>
  <c r="H89" i="59"/>
  <c r="H47" l="1"/>
  <c r="H181" s="1"/>
  <c r="H54" l="1"/>
  <c r="H74" s="1"/>
  <c r="H91" s="1"/>
  <c r="H20"/>
  <c r="H49"/>
</calcChain>
</file>

<file path=xl/comments1.xml><?xml version="1.0" encoding="utf-8"?>
<comments xmlns="http://schemas.openxmlformats.org/spreadsheetml/2006/main">
  <authors>
    <author>kpharris</author>
  </authors>
  <commentList>
    <comment ref="F11" authorId="0">
      <text>
        <r>
          <rPr>
            <b/>
            <sz val="8"/>
            <color indexed="81"/>
            <rFont val="Tahoma"/>
            <family val="2"/>
          </rPr>
          <t>kpharris:</t>
        </r>
        <r>
          <rPr>
            <sz val="8"/>
            <color indexed="81"/>
            <rFont val="Tahoma"/>
            <family val="2"/>
          </rPr>
          <t xml:space="preserve">
corrected Sep 09</t>
        </r>
      </text>
    </comment>
    <comment ref="K11" authorId="0">
      <text>
        <r>
          <rPr>
            <b/>
            <sz val="8"/>
            <color indexed="81"/>
            <rFont val="Tahoma"/>
            <family val="2"/>
          </rPr>
          <t>kpharris:</t>
        </r>
        <r>
          <rPr>
            <sz val="8"/>
            <color indexed="81"/>
            <rFont val="Tahoma"/>
            <family val="2"/>
          </rPr>
          <t xml:space="preserve">
corrected Sep 09</t>
        </r>
      </text>
    </comment>
    <comment ref="F12" authorId="0">
      <text>
        <r>
          <rPr>
            <b/>
            <sz val="8"/>
            <color indexed="81"/>
            <rFont val="Tahoma"/>
            <family val="2"/>
          </rPr>
          <t>kpharris:</t>
        </r>
        <r>
          <rPr>
            <sz val="8"/>
            <color indexed="81"/>
            <rFont val="Tahoma"/>
            <family val="2"/>
          </rPr>
          <t xml:space="preserve">
corrected Sep 09</t>
        </r>
      </text>
    </comment>
    <comment ref="K12" authorId="0">
      <text>
        <r>
          <rPr>
            <b/>
            <sz val="8"/>
            <color indexed="81"/>
            <rFont val="Tahoma"/>
            <family val="2"/>
          </rPr>
          <t>kpharris:</t>
        </r>
        <r>
          <rPr>
            <sz val="8"/>
            <color indexed="81"/>
            <rFont val="Tahoma"/>
            <family val="2"/>
          </rPr>
          <t xml:space="preserve">
corrected Sep 09</t>
        </r>
      </text>
    </comment>
    <comment ref="F15" authorId="0">
      <text>
        <r>
          <rPr>
            <b/>
            <sz val="8"/>
            <color indexed="81"/>
            <rFont val="Tahoma"/>
            <family val="2"/>
          </rPr>
          <t>kpharris:</t>
        </r>
        <r>
          <rPr>
            <sz val="8"/>
            <color indexed="81"/>
            <rFont val="Tahoma"/>
            <family val="2"/>
          </rPr>
          <t xml:space="preserve">
corrected Sep 09</t>
        </r>
      </text>
    </comment>
    <comment ref="J15" authorId="0">
      <text>
        <r>
          <rPr>
            <b/>
            <sz val="8"/>
            <color indexed="81"/>
            <rFont val="Tahoma"/>
            <family val="2"/>
          </rPr>
          <t>kpharris:</t>
        </r>
        <r>
          <rPr>
            <sz val="8"/>
            <color indexed="81"/>
            <rFont val="Tahoma"/>
            <family val="2"/>
          </rPr>
          <t xml:space="preserve">
corrected Sep 09</t>
        </r>
      </text>
    </comment>
    <comment ref="K15" authorId="0">
      <text>
        <r>
          <rPr>
            <b/>
            <sz val="8"/>
            <color indexed="81"/>
            <rFont val="Tahoma"/>
            <family val="2"/>
          </rPr>
          <t>kpharris:</t>
        </r>
        <r>
          <rPr>
            <sz val="8"/>
            <color indexed="81"/>
            <rFont val="Tahoma"/>
            <family val="2"/>
          </rPr>
          <t xml:space="preserve">
corrected Sep 09</t>
        </r>
      </text>
    </comment>
    <comment ref="F19" authorId="0">
      <text>
        <r>
          <rPr>
            <b/>
            <sz val="8"/>
            <color indexed="81"/>
            <rFont val="Tahoma"/>
            <family val="2"/>
          </rPr>
          <t>kpharris:</t>
        </r>
        <r>
          <rPr>
            <sz val="8"/>
            <color indexed="81"/>
            <rFont val="Tahoma"/>
            <family val="2"/>
          </rPr>
          <t xml:space="preserve">
corrected Sep 09</t>
        </r>
      </text>
    </comment>
    <comment ref="J19" authorId="0">
      <text>
        <r>
          <rPr>
            <b/>
            <sz val="8"/>
            <color indexed="81"/>
            <rFont val="Tahoma"/>
            <family val="2"/>
          </rPr>
          <t>kpharris:</t>
        </r>
        <r>
          <rPr>
            <sz val="8"/>
            <color indexed="81"/>
            <rFont val="Tahoma"/>
            <family val="2"/>
          </rPr>
          <t xml:space="preserve">
corrected Sep 09</t>
        </r>
      </text>
    </comment>
    <comment ref="K19" authorId="0">
      <text>
        <r>
          <rPr>
            <b/>
            <sz val="8"/>
            <color indexed="81"/>
            <rFont val="Tahoma"/>
            <family val="2"/>
          </rPr>
          <t>kpharris:</t>
        </r>
        <r>
          <rPr>
            <sz val="8"/>
            <color indexed="81"/>
            <rFont val="Tahoma"/>
            <family val="2"/>
          </rPr>
          <t xml:space="preserve">
corrected Sep 09</t>
        </r>
      </text>
    </comment>
    <comment ref="J25" authorId="0">
      <text>
        <r>
          <rPr>
            <b/>
            <sz val="8"/>
            <color indexed="81"/>
            <rFont val="Tahoma"/>
            <family val="2"/>
          </rPr>
          <t>kpharris:</t>
        </r>
        <r>
          <rPr>
            <sz val="8"/>
            <color indexed="81"/>
            <rFont val="Tahoma"/>
            <family val="2"/>
          </rPr>
          <t xml:space="preserve">
corrected Sep 09</t>
        </r>
      </text>
    </comment>
    <comment ref="K25" authorId="0">
      <text>
        <r>
          <rPr>
            <b/>
            <sz val="8"/>
            <color indexed="81"/>
            <rFont val="Tahoma"/>
            <family val="2"/>
          </rPr>
          <t>kpharris:</t>
        </r>
        <r>
          <rPr>
            <sz val="8"/>
            <color indexed="81"/>
            <rFont val="Tahoma"/>
            <family val="2"/>
          </rPr>
          <t xml:space="preserve">
corrected Sep 09</t>
        </r>
      </text>
    </comment>
    <comment ref="J28" authorId="0">
      <text>
        <r>
          <rPr>
            <b/>
            <sz val="8"/>
            <color indexed="81"/>
            <rFont val="Tahoma"/>
            <family val="2"/>
          </rPr>
          <t>kpharris:</t>
        </r>
        <r>
          <rPr>
            <sz val="8"/>
            <color indexed="81"/>
            <rFont val="Tahoma"/>
            <family val="2"/>
          </rPr>
          <t xml:space="preserve">
corrected Sep 09</t>
        </r>
      </text>
    </comment>
    <comment ref="K28" authorId="0">
      <text>
        <r>
          <rPr>
            <b/>
            <sz val="8"/>
            <color indexed="81"/>
            <rFont val="Tahoma"/>
            <family val="2"/>
          </rPr>
          <t>kpharris:</t>
        </r>
        <r>
          <rPr>
            <sz val="8"/>
            <color indexed="81"/>
            <rFont val="Tahoma"/>
            <family val="2"/>
          </rPr>
          <t xml:space="preserve">
corrected Sep 09</t>
        </r>
      </text>
    </comment>
    <comment ref="J36" authorId="0">
      <text>
        <r>
          <rPr>
            <b/>
            <sz val="8"/>
            <color indexed="81"/>
            <rFont val="Tahoma"/>
            <family val="2"/>
          </rPr>
          <t>kpharris:</t>
        </r>
        <r>
          <rPr>
            <sz val="8"/>
            <color indexed="81"/>
            <rFont val="Tahoma"/>
            <family val="2"/>
          </rPr>
          <t xml:space="preserve">
corrected Sep 09</t>
        </r>
      </text>
    </comment>
    <comment ref="K36" authorId="0">
      <text>
        <r>
          <rPr>
            <b/>
            <sz val="8"/>
            <color indexed="81"/>
            <rFont val="Tahoma"/>
            <family val="2"/>
          </rPr>
          <t>kpharris:</t>
        </r>
        <r>
          <rPr>
            <sz val="8"/>
            <color indexed="81"/>
            <rFont val="Tahoma"/>
            <family val="2"/>
          </rPr>
          <t xml:space="preserve">
corrected Sep 09</t>
        </r>
      </text>
    </comment>
    <comment ref="J37" authorId="0">
      <text>
        <r>
          <rPr>
            <b/>
            <sz val="8"/>
            <color indexed="81"/>
            <rFont val="Tahoma"/>
            <family val="2"/>
          </rPr>
          <t>kpharris:</t>
        </r>
        <r>
          <rPr>
            <sz val="8"/>
            <color indexed="81"/>
            <rFont val="Tahoma"/>
            <family val="2"/>
          </rPr>
          <t xml:space="preserve">
corrected Sep 09</t>
        </r>
      </text>
    </comment>
    <comment ref="K37" authorId="0">
      <text>
        <r>
          <rPr>
            <b/>
            <sz val="8"/>
            <color indexed="81"/>
            <rFont val="Tahoma"/>
            <family val="2"/>
          </rPr>
          <t>kpharris:</t>
        </r>
        <r>
          <rPr>
            <sz val="8"/>
            <color indexed="81"/>
            <rFont val="Tahoma"/>
            <family val="2"/>
          </rPr>
          <t xml:space="preserve">
corrected Sep 09</t>
        </r>
      </text>
    </comment>
    <comment ref="J42" authorId="0">
      <text>
        <r>
          <rPr>
            <b/>
            <sz val="8"/>
            <color indexed="81"/>
            <rFont val="Tahoma"/>
            <family val="2"/>
          </rPr>
          <t>kpharris:</t>
        </r>
        <r>
          <rPr>
            <sz val="8"/>
            <color indexed="81"/>
            <rFont val="Tahoma"/>
            <family val="2"/>
          </rPr>
          <t xml:space="preserve">
corrected Sep 09</t>
        </r>
      </text>
    </comment>
    <comment ref="K42" authorId="0">
      <text>
        <r>
          <rPr>
            <b/>
            <sz val="8"/>
            <color indexed="81"/>
            <rFont val="Tahoma"/>
            <family val="2"/>
          </rPr>
          <t>kpharris:</t>
        </r>
        <r>
          <rPr>
            <sz val="8"/>
            <color indexed="81"/>
            <rFont val="Tahoma"/>
            <family val="2"/>
          </rPr>
          <t xml:space="preserve">
corrected Sep 09</t>
        </r>
      </text>
    </comment>
    <comment ref="J43" authorId="0">
      <text>
        <r>
          <rPr>
            <b/>
            <sz val="8"/>
            <color indexed="81"/>
            <rFont val="Tahoma"/>
            <family val="2"/>
          </rPr>
          <t>kpharris:</t>
        </r>
        <r>
          <rPr>
            <sz val="8"/>
            <color indexed="81"/>
            <rFont val="Tahoma"/>
            <family val="2"/>
          </rPr>
          <t xml:space="preserve">
corrected Sep 09</t>
        </r>
      </text>
    </comment>
    <comment ref="K43" authorId="0">
      <text>
        <r>
          <rPr>
            <b/>
            <sz val="8"/>
            <color indexed="81"/>
            <rFont val="Tahoma"/>
            <family val="2"/>
          </rPr>
          <t>kpharris:</t>
        </r>
        <r>
          <rPr>
            <sz val="8"/>
            <color indexed="81"/>
            <rFont val="Tahoma"/>
            <family val="2"/>
          </rPr>
          <t xml:space="preserve">
corrected Sep 09</t>
        </r>
      </text>
    </comment>
    <comment ref="J46" authorId="0">
      <text>
        <r>
          <rPr>
            <b/>
            <sz val="8"/>
            <color indexed="81"/>
            <rFont val="Tahoma"/>
            <family val="2"/>
          </rPr>
          <t>kpharris:</t>
        </r>
        <r>
          <rPr>
            <sz val="8"/>
            <color indexed="81"/>
            <rFont val="Tahoma"/>
            <family val="2"/>
          </rPr>
          <t xml:space="preserve">
corrected Sep 09</t>
        </r>
      </text>
    </comment>
    <comment ref="K46" authorId="0">
      <text>
        <r>
          <rPr>
            <b/>
            <sz val="8"/>
            <color indexed="81"/>
            <rFont val="Tahoma"/>
            <family val="2"/>
          </rPr>
          <t>kpharris:</t>
        </r>
        <r>
          <rPr>
            <sz val="8"/>
            <color indexed="81"/>
            <rFont val="Tahoma"/>
            <family val="2"/>
          </rPr>
          <t xml:space="preserve">
corrected Sep 09</t>
        </r>
      </text>
    </comment>
    <comment ref="J57" authorId="0">
      <text>
        <r>
          <rPr>
            <b/>
            <sz val="8"/>
            <color indexed="81"/>
            <rFont val="Tahoma"/>
            <family val="2"/>
          </rPr>
          <t>kpharris:</t>
        </r>
        <r>
          <rPr>
            <sz val="8"/>
            <color indexed="81"/>
            <rFont val="Tahoma"/>
            <family val="2"/>
          </rPr>
          <t xml:space="preserve">
corrected Sep 09</t>
        </r>
      </text>
    </comment>
  </commentList>
</comments>
</file>

<file path=xl/sharedStrings.xml><?xml version="1.0" encoding="utf-8"?>
<sst xmlns="http://schemas.openxmlformats.org/spreadsheetml/2006/main" count="11457" uniqueCount="2689">
  <si>
    <t>Nuclear</t>
  </si>
  <si>
    <t>Wind</t>
  </si>
  <si>
    <t>Wave</t>
  </si>
  <si>
    <t>Geothermal</t>
  </si>
  <si>
    <t>Imports</t>
  </si>
  <si>
    <t>Electricity</t>
  </si>
  <si>
    <t>H.01</t>
  </si>
  <si>
    <t>N.01</t>
  </si>
  <si>
    <t>R.02</t>
  </si>
  <si>
    <t>R.03</t>
  </si>
  <si>
    <t>R.04</t>
  </si>
  <si>
    <t>R.05</t>
  </si>
  <si>
    <t>R.06</t>
  </si>
  <si>
    <t>I.01</t>
  </si>
  <si>
    <t>Gas</t>
  </si>
  <si>
    <t>Solar</t>
  </si>
  <si>
    <t>Heat</t>
  </si>
  <si>
    <t>Energy vectors</t>
  </si>
  <si>
    <r>
      <t>H</t>
    </r>
    <r>
      <rPr>
        <vertAlign val="subscript"/>
        <sz val="10"/>
        <color theme="1"/>
        <rFont val="Cambria"/>
        <family val="1"/>
        <scheme val="minor"/>
      </rPr>
      <t>2</t>
    </r>
  </si>
  <si>
    <t>Hydro</t>
  </si>
  <si>
    <t>Conversion losses</t>
  </si>
  <si>
    <t>Distribution losses and own use</t>
  </si>
  <si>
    <t>Heat source</t>
  </si>
  <si>
    <t xml:space="preserve">Transport </t>
  </si>
  <si>
    <t>Road</t>
  </si>
  <si>
    <t>Rail</t>
  </si>
  <si>
    <t>Aviation</t>
  </si>
  <si>
    <t>Shipping</t>
  </si>
  <si>
    <t>Balancing</t>
  </si>
  <si>
    <t>Heating</t>
  </si>
  <si>
    <t>Lighting &amp; appliances</t>
  </si>
  <si>
    <t>Unallocated</t>
  </si>
  <si>
    <t>Food</t>
  </si>
  <si>
    <t>R.01</t>
  </si>
  <si>
    <t>X.01</t>
  </si>
  <si>
    <t>X.02</t>
  </si>
  <si>
    <t>T.01</t>
  </si>
  <si>
    <t>T.02</t>
  </si>
  <si>
    <t>T.03</t>
  </si>
  <si>
    <t>T.04</t>
  </si>
  <si>
    <t>F.01</t>
  </si>
  <si>
    <t>Domestic</t>
  </si>
  <si>
    <t>Food production</t>
  </si>
  <si>
    <t>Industry</t>
  </si>
  <si>
    <t>Food consumption</t>
  </si>
  <si>
    <t>V.01</t>
  </si>
  <si>
    <t>V.02</t>
  </si>
  <si>
    <t>V.03</t>
  </si>
  <si>
    <t>Net imports</t>
  </si>
  <si>
    <t>V.04</t>
  </si>
  <si>
    <t>V.05</t>
  </si>
  <si>
    <t>Renewables</t>
  </si>
  <si>
    <t>Commercial</t>
  </si>
  <si>
    <t>Waste</t>
  </si>
  <si>
    <t>W.01</t>
  </si>
  <si>
    <t>Electricity imports</t>
  </si>
  <si>
    <t>Industry demand</t>
  </si>
  <si>
    <t>L.01</t>
  </si>
  <si>
    <t>Losses</t>
  </si>
  <si>
    <t>Y.01</t>
  </si>
  <si>
    <t>Y.02</t>
  </si>
  <si>
    <t>Z.01</t>
  </si>
  <si>
    <t>Solid hydrocarbons</t>
  </si>
  <si>
    <t>Liquid hydrocarbons</t>
  </si>
  <si>
    <t>C.01</t>
  </si>
  <si>
    <t>C.02</t>
  </si>
  <si>
    <t>C.03</t>
  </si>
  <si>
    <t>Electricity (delivered to end user)</t>
  </si>
  <si>
    <t>Solar PV</t>
  </si>
  <si>
    <t>Hydroelectric</t>
  </si>
  <si>
    <t>Tidal</t>
  </si>
  <si>
    <t>Lighting and appliances</t>
  </si>
  <si>
    <t>Supply</t>
  </si>
  <si>
    <t>Demand</t>
  </si>
  <si>
    <t>I</t>
  </si>
  <si>
    <t>II</t>
  </si>
  <si>
    <t>III</t>
  </si>
  <si>
    <t>IV</t>
  </si>
  <si>
    <t>Vector</t>
  </si>
  <si>
    <t>Description</t>
  </si>
  <si>
    <t>Comment</t>
  </si>
  <si>
    <t>Category</t>
  </si>
  <si>
    <t>Subcategory</t>
  </si>
  <si>
    <t>Code</t>
  </si>
  <si>
    <t>Joules</t>
  </si>
  <si>
    <t>Unit</t>
  </si>
  <si>
    <t>PJ</t>
  </si>
  <si>
    <t>TWh</t>
  </si>
  <si>
    <t>kWh</t>
  </si>
  <si>
    <t>Mtoe</t>
  </si>
  <si>
    <t>toe</t>
  </si>
  <si>
    <t>therm</t>
  </si>
  <si>
    <t>Btu</t>
  </si>
  <si>
    <t>calorie</t>
  </si>
  <si>
    <t>GW y</t>
  </si>
  <si>
    <t>Unit.PJ</t>
  </si>
  <si>
    <t>Unit.kWh</t>
  </si>
  <si>
    <t>Unit.TWh</t>
  </si>
  <si>
    <t>Unit.toe</t>
  </si>
  <si>
    <t>Unit.Mtoe</t>
  </si>
  <si>
    <t>Unit.therm</t>
  </si>
  <si>
    <t>Unit.Btu</t>
  </si>
  <si>
    <t>Unit.calorie</t>
  </si>
  <si>
    <t>Unit.GWyear</t>
  </si>
  <si>
    <t>R.07</t>
  </si>
  <si>
    <t>Biomatter</t>
  </si>
  <si>
    <t>Edible biomatter</t>
  </si>
  <si>
    <t>Hydrogen</t>
  </si>
  <si>
    <t>V.06</t>
  </si>
  <si>
    <t>[1]</t>
  </si>
  <si>
    <t>TJ</t>
  </si>
  <si>
    <t>Unit.TJ</t>
  </si>
  <si>
    <t>Conversion Calculator</t>
  </si>
  <si>
    <t>is equivalent to</t>
  </si>
  <si>
    <t>Space heating</t>
  </si>
  <si>
    <t>Water</t>
  </si>
  <si>
    <t>Cooking</t>
  </si>
  <si>
    <t>[2]</t>
  </si>
  <si>
    <t>[3]</t>
  </si>
  <si>
    <t>Cooking / catering</t>
  </si>
  <si>
    <t>Computing</t>
  </si>
  <si>
    <t>Cooling and ventilation</t>
  </si>
  <si>
    <t>Lighting</t>
  </si>
  <si>
    <t>Other</t>
  </si>
  <si>
    <t>Assumes 100% conversion efficiency in heat and light production</t>
  </si>
  <si>
    <t>Autogenerators</t>
  </si>
  <si>
    <t>Blast furnaces</t>
  </si>
  <si>
    <t>High temperature process</t>
  </si>
  <si>
    <t>Low temperature process</t>
  </si>
  <si>
    <t>Drying/separation</t>
  </si>
  <si>
    <t>Motors</t>
  </si>
  <si>
    <t>Compressed air</t>
  </si>
  <si>
    <t>Refrigeration</t>
  </si>
  <si>
    <t>All renewables and heat sold assumed to go to space heating</t>
  </si>
  <si>
    <t>Solid waste</t>
  </si>
  <si>
    <t>Liquid waste</t>
  </si>
  <si>
    <t>Gaseous waste</t>
  </si>
  <si>
    <t>W.02</t>
  </si>
  <si>
    <t>W.03</t>
  </si>
  <si>
    <t>1.2 Aggregate energy balance 2007</t>
  </si>
  <si>
    <t>Thousand tonnes of oil equivalent</t>
  </si>
  <si>
    <t>Coal</t>
  </si>
  <si>
    <r>
      <t>Manufactured fuel</t>
    </r>
    <r>
      <rPr>
        <i/>
        <sz val="8.5"/>
        <rFont val="Arial"/>
        <family val="2"/>
      </rPr>
      <t>(1)</t>
    </r>
  </si>
  <si>
    <t>Primary oils</t>
  </si>
  <si>
    <t>Petroleum products</t>
  </si>
  <si>
    <r>
      <t>Natural gas</t>
    </r>
    <r>
      <rPr>
        <i/>
        <sz val="8.5"/>
        <rFont val="Arial"/>
        <family val="2"/>
      </rPr>
      <t>(2)</t>
    </r>
  </si>
  <si>
    <r>
      <t>Renewable &amp; waste</t>
    </r>
    <r>
      <rPr>
        <i/>
        <sz val="8.5"/>
        <rFont val="Arial"/>
        <family val="2"/>
      </rPr>
      <t>(3)</t>
    </r>
  </si>
  <si>
    <t>Primary electricity</t>
  </si>
  <si>
    <t>Total</t>
  </si>
  <si>
    <t xml:space="preserve">Supply </t>
  </si>
  <si>
    <t>Indigenous production</t>
  </si>
  <si>
    <t>Exports</t>
  </si>
  <si>
    <t>Marine bunkers</t>
  </si>
  <si>
    <r>
      <t>Stock change</t>
    </r>
    <r>
      <rPr>
        <i/>
        <sz val="8"/>
        <rFont val="Arial"/>
        <family val="2"/>
      </rPr>
      <t>(4)</t>
    </r>
  </si>
  <si>
    <t>Primary supply</t>
  </si>
  <si>
    <r>
      <t>Statistical difference</t>
    </r>
    <r>
      <rPr>
        <i/>
        <sz val="8.5"/>
        <rFont val="Arial"/>
        <family val="2"/>
      </rPr>
      <t>(5)</t>
    </r>
  </si>
  <si>
    <t>Primary demand</t>
  </si>
  <si>
    <t>Transfers</t>
  </si>
  <si>
    <t>Transformation</t>
  </si>
  <si>
    <t>Electricity generation</t>
  </si>
  <si>
    <t>Major power producers</t>
  </si>
  <si>
    <t>Heat generation</t>
  </si>
  <si>
    <t>Petroleum refineries</t>
  </si>
  <si>
    <t>Coke manufacture</t>
  </si>
  <si>
    <t>Patent fuel manufacture</t>
  </si>
  <si>
    <t>Energy industry use</t>
  </si>
  <si>
    <t>Oil and gas extraction</t>
  </si>
  <si>
    <t>Coal extraction</t>
  </si>
  <si>
    <t>Pumped storage</t>
  </si>
  <si>
    <t>Final consumption</t>
  </si>
  <si>
    <t>Unclassified</t>
  </si>
  <si>
    <t>Iron and steel</t>
  </si>
  <si>
    <t>Non-ferrous metals</t>
  </si>
  <si>
    <t>Mineral products</t>
  </si>
  <si>
    <t>Chemicals</t>
  </si>
  <si>
    <t>Mechanical engineering etc</t>
  </si>
  <si>
    <t>Electrical engineering etc</t>
  </si>
  <si>
    <t>Vehicles</t>
  </si>
  <si>
    <t>Food, beverages etc</t>
  </si>
  <si>
    <t>Textiles, leather etc</t>
  </si>
  <si>
    <t>Paper, printing etc</t>
  </si>
  <si>
    <t>Other industries</t>
  </si>
  <si>
    <t>Construction</t>
  </si>
  <si>
    <r>
      <t xml:space="preserve">Transport </t>
    </r>
    <r>
      <rPr>
        <i/>
        <sz val="8.5"/>
        <rFont val="Arial"/>
        <family val="2"/>
      </rPr>
      <t>(6)</t>
    </r>
  </si>
  <si>
    <t>Air</t>
  </si>
  <si>
    <t>National navigation</t>
  </si>
  <si>
    <t>Pipelines</t>
  </si>
  <si>
    <t>Public administration</t>
  </si>
  <si>
    <t>Agriculture</t>
  </si>
  <si>
    <t>Miscellaneous</t>
  </si>
  <si>
    <t>Non energy use</t>
  </si>
  <si>
    <t>(1)  Includes all manufactured solid fuels, benzole, tars, coke oven gas and blast furnace gas.</t>
  </si>
  <si>
    <t>(2)  Includes colliery methane.</t>
  </si>
  <si>
    <t>(3)  Includes geothermal and solar heat.</t>
  </si>
  <si>
    <t>(4)  Stock fall (+), stock rise (-).</t>
  </si>
  <si>
    <t>(5)  Primary supply minus primary demand.</t>
  </si>
  <si>
    <t>(6)  See paragraphs 5.11 regarding electricity use in transport and 7.25 regarding renewables use in transport.</t>
  </si>
  <si>
    <t>ktoe</t>
  </si>
  <si>
    <t>Unit.ktoe</t>
  </si>
  <si>
    <t>Table 1.14: Overall energy consumption for heat and other end use by fuel 2007</t>
  </si>
  <si>
    <t>Sector</t>
  </si>
  <si>
    <t>End use</t>
  </si>
  <si>
    <t>Oil</t>
  </si>
  <si>
    <t>Solid fuel</t>
  </si>
  <si>
    <t>Water heating</t>
  </si>
  <si>
    <t>Cooking/catering</t>
  </si>
  <si>
    <t>Heat total</t>
  </si>
  <si>
    <t>-</t>
  </si>
  <si>
    <r>
      <t xml:space="preserve">Overall total </t>
    </r>
    <r>
      <rPr>
        <vertAlign val="superscript"/>
        <sz val="10"/>
        <rFont val="Arial"/>
        <family val="2"/>
      </rPr>
      <t>1</t>
    </r>
  </si>
  <si>
    <t>Service</t>
  </si>
  <si>
    <r>
      <t>Industry</t>
    </r>
    <r>
      <rPr>
        <vertAlign val="superscript"/>
        <sz val="10"/>
        <rFont val="Arial"/>
        <family val="2"/>
      </rPr>
      <t>2</t>
    </r>
  </si>
  <si>
    <r>
      <t>Overall total</t>
    </r>
    <r>
      <rPr>
        <sz val="10"/>
        <rFont val="Arial"/>
        <family val="2"/>
      </rPr>
      <t>²</t>
    </r>
  </si>
  <si>
    <t>Process use</t>
  </si>
  <si>
    <t>Dryling/separation</t>
  </si>
  <si>
    <t>Non-heat total</t>
  </si>
  <si>
    <t>Overall total</t>
  </si>
  <si>
    <t>1. Total does not include heat sold and renewables.</t>
  </si>
  <si>
    <t>2. Does not include heat sold, blast furnace gas, coke oven gas or renewables and waste.</t>
  </si>
  <si>
    <t xml:space="preserve">Source: Department of Energy and Climate Change - secondary analysis of data from the Digest of UK Energy </t>
  </si>
  <si>
    <t xml:space="preserve">            Statistics, Office of National Statistics (Purchases Inquiry) and the Building Research Establishment</t>
  </si>
  <si>
    <t>7.2  Commodity balances 2007</t>
  </si>
  <si>
    <t>7.2  Commodity balances 2007 (continued)</t>
  </si>
  <si>
    <t xml:space="preserve">             Renewables and waste</t>
  </si>
  <si>
    <t>Wood</t>
  </si>
  <si>
    <t xml:space="preserve">Poultry litter, meat </t>
  </si>
  <si>
    <t xml:space="preserve">Straw, SRC, and </t>
  </si>
  <si>
    <t>Sewage</t>
  </si>
  <si>
    <t>Landfill gas</t>
  </si>
  <si>
    <r>
      <t>Waste</t>
    </r>
    <r>
      <rPr>
        <i/>
        <sz val="8.5"/>
        <rFont val="Arial"/>
        <family val="2"/>
      </rPr>
      <t>(4)</t>
    </r>
  </si>
  <si>
    <t xml:space="preserve">Geothermal </t>
  </si>
  <si>
    <t>Liquid</t>
  </si>
  <si>
    <t>waste</t>
  </si>
  <si>
    <t xml:space="preserve"> and bone,  and</t>
  </si>
  <si>
    <t>other plant-based</t>
  </si>
  <si>
    <t>gas</t>
  </si>
  <si>
    <t xml:space="preserve"> and </t>
  </si>
  <si>
    <t xml:space="preserve">and active </t>
  </si>
  <si>
    <t>and wave</t>
  </si>
  <si>
    <t>biofuels</t>
  </si>
  <si>
    <t>renewables</t>
  </si>
  <si>
    <t xml:space="preserve">farm waste </t>
  </si>
  <si>
    <r>
      <t xml:space="preserve">biomass </t>
    </r>
    <r>
      <rPr>
        <sz val="8.5"/>
        <color indexed="8"/>
        <rFont val="Arial"/>
        <family val="2"/>
      </rPr>
      <t>(3)</t>
    </r>
  </si>
  <si>
    <t>tyres</t>
  </si>
  <si>
    <t>solar heat</t>
  </si>
  <si>
    <t>(5)</t>
  </si>
  <si>
    <t>Production</t>
  </si>
  <si>
    <t>Other sources</t>
  </si>
  <si>
    <r>
      <t xml:space="preserve">Stock change </t>
    </r>
    <r>
      <rPr>
        <i/>
        <sz val="8"/>
        <rFont val="Arial"/>
        <family val="2"/>
      </rPr>
      <t>(1)</t>
    </r>
  </si>
  <si>
    <r>
      <t xml:space="preserve">Stock change </t>
    </r>
    <r>
      <rPr>
        <i/>
        <sz val="8"/>
        <color indexed="8"/>
        <rFont val="Arial"/>
        <family val="2"/>
      </rPr>
      <t>(1)</t>
    </r>
  </si>
  <si>
    <t>Total supply</t>
  </si>
  <si>
    <r>
      <t>Statistical difference</t>
    </r>
    <r>
      <rPr>
        <i/>
        <sz val="8.5"/>
        <rFont val="Arial"/>
        <family val="2"/>
      </rPr>
      <t xml:space="preserve"> (2)</t>
    </r>
  </si>
  <si>
    <r>
      <t>Statistical difference</t>
    </r>
    <r>
      <rPr>
        <i/>
        <sz val="8.5"/>
        <color indexed="8"/>
        <rFont val="Arial"/>
        <family val="2"/>
      </rPr>
      <t xml:space="preserve"> (2)</t>
    </r>
  </si>
  <si>
    <t>Total demand</t>
  </si>
  <si>
    <t xml:space="preserve">   Major power producers</t>
  </si>
  <si>
    <t xml:space="preserve">   Autogenerators</t>
  </si>
  <si>
    <t>Mechanical engineering, etc</t>
  </si>
  <si>
    <t>Electrical engineering, etc</t>
  </si>
  <si>
    <t>Food, beverages, etc</t>
  </si>
  <si>
    <t>Textiles, leather, etc</t>
  </si>
  <si>
    <t>Paper, printing, etc</t>
  </si>
  <si>
    <t>Transport</t>
  </si>
  <si>
    <t>(1)  Stock fall (+), stock rise (-).</t>
  </si>
  <si>
    <t>(4) Municipal solid waste, general industrial waste and hospital waste.</t>
  </si>
  <si>
    <t>(2) Total supply minus total demand.</t>
  </si>
  <si>
    <t>(5) The amount of shoreline wave included is less than 0.05 ktoe.</t>
  </si>
  <si>
    <t>(3) SRC is short rotation coppice.</t>
  </si>
  <si>
    <t>Includes syngas (coke oven gas)</t>
  </si>
  <si>
    <t>Carbon-based fuels</t>
  </si>
  <si>
    <t>Blast furnace gas</t>
  </si>
  <si>
    <t>Table: 4.1:  Industrial energy consumption by fuel 1970 to 2008</t>
  </si>
  <si>
    <t>Coke and breeze</t>
  </si>
  <si>
    <t>Other solid fuels</t>
  </si>
  <si>
    <t>Blast Furnace Gas</t>
  </si>
  <si>
    <t>Coke oven gas</t>
  </si>
  <si>
    <t>Town gas</t>
  </si>
  <si>
    <t>Natural gas</t>
  </si>
  <si>
    <t>Heat sold</t>
  </si>
  <si>
    <t>Petroleum</t>
  </si>
  <si>
    <t xml:space="preserve">      Total</t>
  </si>
  <si>
    <t>..</t>
  </si>
  <si>
    <r>
      <t>1995</t>
    </r>
    <r>
      <rPr>
        <vertAlign val="superscript"/>
        <sz val="10"/>
        <rFont val="Arial"/>
        <family val="2"/>
      </rPr>
      <t xml:space="preserve"> 1</t>
    </r>
  </si>
  <si>
    <r>
      <t xml:space="preserve">1996 </t>
    </r>
    <r>
      <rPr>
        <vertAlign val="superscript"/>
        <sz val="10"/>
        <rFont val="Arial"/>
        <family val="2"/>
      </rPr>
      <t>1</t>
    </r>
  </si>
  <si>
    <t>1. Energy used in transformation activities is excluded from the total from 1996 onwards.</t>
  </si>
  <si>
    <t xml:space="preserve">Source: Department of Energy and Climate Change - Digest of UK Energy Statistics Annex, Table 1.1.5 </t>
  </si>
  <si>
    <r>
      <rPr>
        <i/>
        <sz val="10"/>
        <color theme="1"/>
        <rFont val="Cambria"/>
        <family val="1"/>
        <scheme val="minor"/>
      </rPr>
      <t>Commercial</t>
    </r>
    <r>
      <rPr>
        <sz val="10"/>
        <color theme="1"/>
        <rFont val="Cambria"/>
        <family val="1"/>
        <scheme val="minor"/>
      </rPr>
      <t xml:space="preserve"> here refers to DUKES categories: </t>
    </r>
    <r>
      <rPr>
        <i/>
        <sz val="10"/>
        <color theme="1"/>
        <rFont val="Cambria"/>
        <family val="1"/>
        <scheme val="minor"/>
      </rPr>
      <t>Public Administration</t>
    </r>
    <r>
      <rPr>
        <sz val="10"/>
        <color theme="1"/>
        <rFont val="Cambria"/>
        <family val="1"/>
        <scheme val="minor"/>
      </rPr>
      <t xml:space="preserve">, </t>
    </r>
    <r>
      <rPr>
        <i/>
        <sz val="10"/>
        <color theme="1"/>
        <rFont val="Cambria"/>
        <family val="1"/>
        <scheme val="minor"/>
      </rPr>
      <t>Commercial</t>
    </r>
    <r>
      <rPr>
        <sz val="10"/>
        <color theme="1"/>
        <rFont val="Cambria"/>
        <family val="1"/>
        <scheme val="minor"/>
      </rPr>
      <t xml:space="preserve">, and </t>
    </r>
    <r>
      <rPr>
        <i/>
        <sz val="10"/>
        <color theme="1"/>
        <rFont val="Cambria"/>
        <family val="1"/>
        <scheme val="minor"/>
      </rPr>
      <t>Miscellanous</t>
    </r>
    <r>
      <rPr>
        <sz val="10"/>
        <color theme="1"/>
        <rFont val="Cambria"/>
        <family val="1"/>
        <scheme val="minor"/>
      </rPr>
      <t xml:space="preserve">. (Corresponds also to </t>
    </r>
    <r>
      <rPr>
        <i/>
        <sz val="10"/>
        <color theme="1"/>
        <rFont val="Cambria"/>
        <family val="1"/>
        <scheme val="minor"/>
      </rPr>
      <t>Service</t>
    </r>
    <r>
      <rPr>
        <sz val="10"/>
        <color theme="1"/>
        <rFont val="Cambria"/>
        <family val="1"/>
        <scheme val="minor"/>
      </rPr>
      <t xml:space="preserve"> in DUKES Consumption tables; ie, excludes </t>
    </r>
    <r>
      <rPr>
        <i/>
        <sz val="10"/>
        <color theme="1"/>
        <rFont val="Cambria"/>
        <family val="1"/>
        <scheme val="minor"/>
      </rPr>
      <t>Agriculture</t>
    </r>
    <r>
      <rPr>
        <sz val="10"/>
        <color theme="1"/>
        <rFont val="Cambria"/>
        <family val="1"/>
        <scheme val="minor"/>
      </rPr>
      <t>)</t>
    </r>
  </si>
  <si>
    <t>kWh/p/d (UK)</t>
  </si>
  <si>
    <t>Unit.kWh.p.d</t>
  </si>
  <si>
    <t>A.1  Estimated average calorific values of fuels 2008</t>
  </si>
  <si>
    <t xml:space="preserve"> </t>
  </si>
  <si>
    <t>GJ per tonne</t>
  </si>
  <si>
    <t>net</t>
  </si>
  <si>
    <t>gross</t>
  </si>
  <si>
    <t>Coal:</t>
  </si>
  <si>
    <t>Renewable sources:</t>
  </si>
  <si>
    <r>
      <t xml:space="preserve">All consumers (weighted average) </t>
    </r>
    <r>
      <rPr>
        <i/>
        <sz val="8.5"/>
        <rFont val="Arial"/>
        <family val="2"/>
      </rPr>
      <t>(1)</t>
    </r>
  </si>
  <si>
    <r>
      <t xml:space="preserve">    Domestic wood</t>
    </r>
    <r>
      <rPr>
        <i/>
        <sz val="8.5"/>
        <rFont val="Arial"/>
        <family val="2"/>
      </rPr>
      <t xml:space="preserve"> (2)</t>
    </r>
  </si>
  <si>
    <r>
      <t xml:space="preserve">  Power stations</t>
    </r>
    <r>
      <rPr>
        <i/>
        <sz val="8.5"/>
        <rFont val="Arial"/>
        <family val="2"/>
      </rPr>
      <t xml:space="preserve"> (1)</t>
    </r>
  </si>
  <si>
    <r>
      <t xml:space="preserve">    Industrial wood</t>
    </r>
    <r>
      <rPr>
        <i/>
        <sz val="8.5"/>
        <rFont val="Arial"/>
        <family val="2"/>
      </rPr>
      <t xml:space="preserve"> (3)</t>
    </r>
  </si>
  <si>
    <r>
      <t xml:space="preserve">  Coke ovens</t>
    </r>
    <r>
      <rPr>
        <i/>
        <sz val="8.5"/>
        <rFont val="Arial"/>
        <family val="2"/>
      </rPr>
      <t xml:space="preserve"> (1)</t>
    </r>
  </si>
  <si>
    <t xml:space="preserve">    Straw</t>
  </si>
  <si>
    <t xml:space="preserve">  Low temperature carbonisation plants </t>
  </si>
  <si>
    <t xml:space="preserve">    Poultry litter</t>
  </si>
  <si>
    <t xml:space="preserve">    and manufactured fuel plants</t>
  </si>
  <si>
    <t xml:space="preserve">    Meat and bone</t>
  </si>
  <si>
    <t xml:space="preserve">  Collieries</t>
  </si>
  <si>
    <t xml:space="preserve">    General industrial waste</t>
  </si>
  <si>
    <t xml:space="preserve">  Agriculture</t>
  </si>
  <si>
    <t xml:space="preserve">    Hospital waste</t>
  </si>
  <si>
    <t xml:space="preserve">  Iron and steel</t>
  </si>
  <si>
    <r>
      <t xml:space="preserve">    Municipal solid waste</t>
    </r>
    <r>
      <rPr>
        <i/>
        <sz val="8.5"/>
        <rFont val="Arial"/>
        <family val="2"/>
      </rPr>
      <t xml:space="preserve"> (4)</t>
    </r>
  </si>
  <si>
    <t xml:space="preserve">  Other industries (weighted average)</t>
  </si>
  <si>
    <r>
      <t xml:space="preserve">    Refuse derived waste</t>
    </r>
    <r>
      <rPr>
        <i/>
        <sz val="8.5"/>
        <rFont val="Arial"/>
        <family val="2"/>
      </rPr>
      <t xml:space="preserve"> (4)</t>
    </r>
  </si>
  <si>
    <t xml:space="preserve">     Non-ferrous metals</t>
  </si>
  <si>
    <r>
      <t xml:space="preserve">    Short rotation coppice</t>
    </r>
    <r>
      <rPr>
        <i/>
        <sz val="8.5"/>
        <rFont val="Arial"/>
        <family val="2"/>
      </rPr>
      <t xml:space="preserve"> (5)</t>
    </r>
  </si>
  <si>
    <t xml:space="preserve">     Food, beverages and tobacco</t>
  </si>
  <si>
    <t xml:space="preserve">    Tyres</t>
  </si>
  <si>
    <t xml:space="preserve">     Chemicals</t>
  </si>
  <si>
    <t xml:space="preserve">     Textiles, clothing, leather etc. </t>
  </si>
  <si>
    <t>Petroleum:</t>
  </si>
  <si>
    <t xml:space="preserve">     Pulp, paper, printing etc.</t>
  </si>
  <si>
    <t xml:space="preserve">    Crude oil (weighted average)</t>
  </si>
  <si>
    <t xml:space="preserve">     Mineral products</t>
  </si>
  <si>
    <t xml:space="preserve">    Petroleum products (weighted average)</t>
  </si>
  <si>
    <t xml:space="preserve">     Engineering (mechanical and </t>
  </si>
  <si>
    <t xml:space="preserve">    Ethane</t>
  </si>
  <si>
    <t xml:space="preserve">       electrical engineering and</t>
  </si>
  <si>
    <t xml:space="preserve">       vehicles)</t>
  </si>
  <si>
    <t xml:space="preserve">    Butane and propane (LPG)</t>
  </si>
  <si>
    <t xml:space="preserve">     Other industries</t>
  </si>
  <si>
    <t xml:space="preserve">    Light distillate feedstock for gasworks</t>
  </si>
  <si>
    <t xml:space="preserve">    Aviation spirit and wide cut gasoline</t>
  </si>
  <si>
    <t xml:space="preserve">    Aviation turbine fuel</t>
  </si>
  <si>
    <t xml:space="preserve">    Motor spirit</t>
  </si>
  <si>
    <t xml:space="preserve">     House coal</t>
  </si>
  <si>
    <t xml:space="preserve">    Burning oil</t>
  </si>
  <si>
    <t xml:space="preserve">     Anthracite and dry steam coal</t>
  </si>
  <si>
    <t xml:space="preserve">    Gas/diesel oil (DERV)</t>
  </si>
  <si>
    <t>Other consumers</t>
  </si>
  <si>
    <t xml:space="preserve">    Fuel oil</t>
  </si>
  <si>
    <t>Imported coal (weighted average)</t>
  </si>
  <si>
    <t xml:space="preserve">    Power station oil</t>
  </si>
  <si>
    <t>Exports (weighted average)</t>
  </si>
  <si>
    <t xml:space="preserve">    Non-fuel products (notional value)</t>
  </si>
  <si>
    <t>MJ per cubic metre</t>
  </si>
  <si>
    <t>Coke (including low temperature</t>
  </si>
  <si>
    <r>
      <t>Natural gas</t>
    </r>
    <r>
      <rPr>
        <i/>
        <sz val="8.5"/>
        <rFont val="Arial"/>
        <family val="2"/>
      </rPr>
      <t xml:space="preserve"> </t>
    </r>
    <r>
      <rPr>
        <sz val="8.5"/>
        <rFont val="Arial"/>
        <family val="2"/>
      </rPr>
      <t>produced</t>
    </r>
    <r>
      <rPr>
        <i/>
        <sz val="8.5"/>
        <rFont val="Arial"/>
        <family val="2"/>
      </rPr>
      <t xml:space="preserve"> (6)</t>
    </r>
  </si>
  <si>
    <t xml:space="preserve">      carbonisation cokes)</t>
  </si>
  <si>
    <r>
      <t>Natural gas</t>
    </r>
    <r>
      <rPr>
        <i/>
        <sz val="8.5"/>
        <rFont val="Arial"/>
        <family val="2"/>
      </rPr>
      <t xml:space="preserve"> </t>
    </r>
    <r>
      <rPr>
        <sz val="8.5"/>
        <rFont val="Arial"/>
        <family val="2"/>
      </rPr>
      <t>consumed</t>
    </r>
    <r>
      <rPr>
        <i/>
        <sz val="8.5"/>
        <rFont val="Arial"/>
        <family val="2"/>
      </rPr>
      <t xml:space="preserve"> (7)</t>
    </r>
  </si>
  <si>
    <t>Coke breeze</t>
  </si>
  <si>
    <t>Other manufactured solid fuel</t>
  </si>
  <si>
    <r>
      <t xml:space="preserve">Landfill gas </t>
    </r>
    <r>
      <rPr>
        <i/>
        <sz val="8.5"/>
        <rFont val="Arial"/>
        <family val="2"/>
      </rPr>
      <t>(8)</t>
    </r>
  </si>
  <si>
    <t>19-23</t>
  </si>
  <si>
    <t>21-25</t>
  </si>
  <si>
    <r>
      <t xml:space="preserve">Sewage gas </t>
    </r>
    <r>
      <rPr>
        <i/>
        <sz val="8.5"/>
        <rFont val="Arial"/>
        <family val="2"/>
      </rPr>
      <t>(8)</t>
    </r>
  </si>
  <si>
    <t>(1)  Applicable to UK consumption - based on calorific value for home produced coal plus imports and, for “All consumers” net of</t>
  </si>
  <si>
    <t xml:space="preserve">       exports.</t>
  </si>
  <si>
    <t>(2)  On an “as received” basis; seasoned logs at 25% moisture content. On a “dry” basis 18.6 GJ per tonne.</t>
  </si>
  <si>
    <t xml:space="preserve">(3)  Average figure covering a range of possible feedstock; at 25% moisture content. On a “dry” basis 18.6 GJ per tonne. </t>
  </si>
  <si>
    <t>(4)  Average figure based on survey returns.</t>
  </si>
  <si>
    <t>(5)  On an “as received” basis; at 40% moisture content. On a “dry” basis 18.6 GJ per tonne.</t>
  </si>
  <si>
    <t xml:space="preserve">(6)  The gross calorific value of natural gas can also be expressed as 11.018 kWh per cubic metre.  This value represents the </t>
  </si>
  <si>
    <t xml:space="preserve">       average calorific value seen for gas when extracted.  At this point it contains not just methane, but also some other</t>
  </si>
  <si>
    <t xml:space="preserve">       hydrocarbon gases (ethane, butane, propane).  These gases are removed before the gas enters the National Transmission </t>
  </si>
  <si>
    <t xml:space="preserve">      System for sale to final consumers.  </t>
  </si>
  <si>
    <t xml:space="preserve">(7) Home produced and imported gas. This weighted average of calorific values will approximate the average for the year that </t>
  </si>
  <si>
    <t xml:space="preserve">      readers will see quoted on their gas bills. It can also be expressed as 10.953 kWh per cubic metre.</t>
  </si>
  <si>
    <t>(8) Calorific value varies depending on the methane content of the gas.</t>
  </si>
  <si>
    <t>Note:  The above estimated average calorific values apply only to the year 2008.  For calorific values of fuels in earlier years see</t>
  </si>
  <si>
    <t xml:space="preserve">Tables A.2 and A.3 and previous issues of this Digest.  See the notes in Chapter 1, paragraph 1.52 regarding net calorific values. </t>
  </si>
  <si>
    <t xml:space="preserve">The calorific values for coal other than imported coal are based on estimates provided by the main coal producers, but with some  </t>
  </si>
  <si>
    <t xml:space="preserve">exceptions as noted on Table A.2. The calorific values for petroleum products have been calculated using the method described in </t>
  </si>
  <si>
    <t>Chapter 1, paragraph 1.29.  The calorific values for coke oven gas, blast furnace gas, coke and coke breeze are currently being</t>
  </si>
  <si>
    <t xml:space="preserve"> reviewed jointly by DECC and the Iron and Steel Statistics Bureau (ISSB).</t>
  </si>
  <si>
    <t xml:space="preserve">Data reported in this Digest in 'thousand tonnes of oil equivalent' have been prepared on the basis of 1 tonne of oil equivalent </t>
  </si>
  <si>
    <t>having an energy content of 41.868 gigajoules (GJ), (1 GJ = 9.478 therms) - see notes in Chapter 1, paragraphs 1.26 to 1.27.</t>
  </si>
  <si>
    <t>Coal (weighted average of all consumers)</t>
  </si>
  <si>
    <t>GJ</t>
  </si>
  <si>
    <t>Unit.GJ</t>
  </si>
  <si>
    <t>Coke</t>
  </si>
  <si>
    <t>Solid fuels</t>
  </si>
  <si>
    <t>Gasses</t>
  </si>
  <si>
    <t>Natural gas consumed</t>
  </si>
  <si>
    <t>Sewage gas</t>
  </si>
  <si>
    <t>Gross calorific values of selected fuels</t>
  </si>
  <si>
    <t>MJ</t>
  </si>
  <si>
    <t>Unit.MJ</t>
  </si>
  <si>
    <t>2.5   Commodity balances 2007</t>
  </si>
  <si>
    <t xml:space="preserve">              Manufactured fuels</t>
  </si>
  <si>
    <t>Thousand tonnes</t>
  </si>
  <si>
    <t>GWh</t>
  </si>
  <si>
    <t xml:space="preserve">Other </t>
  </si>
  <si>
    <t xml:space="preserve">Total </t>
  </si>
  <si>
    <t>Benzole</t>
  </si>
  <si>
    <t>Blast</t>
  </si>
  <si>
    <t>oven</t>
  </si>
  <si>
    <t>breeze</t>
  </si>
  <si>
    <t>manuf.</t>
  </si>
  <si>
    <t xml:space="preserve">manuf. </t>
  </si>
  <si>
    <t>and</t>
  </si>
  <si>
    <t>furnace</t>
  </si>
  <si>
    <t>coke</t>
  </si>
  <si>
    <t>solid fuel</t>
  </si>
  <si>
    <r>
      <t>tars</t>
    </r>
    <r>
      <rPr>
        <b/>
        <i/>
        <sz val="8.5"/>
        <rFont val="Arial"/>
        <family val="2"/>
      </rPr>
      <t xml:space="preserve"> </t>
    </r>
    <r>
      <rPr>
        <i/>
        <sz val="8.5"/>
        <rFont val="Arial"/>
        <family val="2"/>
      </rPr>
      <t>(5)</t>
    </r>
  </si>
  <si>
    <r>
      <t xml:space="preserve">Production </t>
    </r>
    <r>
      <rPr>
        <i/>
        <sz val="8.5"/>
        <rFont val="Arial"/>
        <family val="2"/>
      </rPr>
      <t>(1)</t>
    </r>
  </si>
  <si>
    <r>
      <t xml:space="preserve">Stock change </t>
    </r>
    <r>
      <rPr>
        <i/>
        <sz val="8.5"/>
        <rFont val="Arial"/>
        <family val="2"/>
      </rPr>
      <t>(2)</t>
    </r>
  </si>
  <si>
    <r>
      <t xml:space="preserve">Transfers </t>
    </r>
    <r>
      <rPr>
        <i/>
        <sz val="8.5"/>
        <rFont val="Arial"/>
        <family val="2"/>
      </rPr>
      <t>(3)</t>
    </r>
  </si>
  <si>
    <r>
      <t xml:space="preserve">Statistical difference </t>
    </r>
    <r>
      <rPr>
        <b/>
        <i/>
        <sz val="8.5"/>
        <rFont val="Arial"/>
        <family val="2"/>
      </rPr>
      <t>(4)</t>
    </r>
  </si>
  <si>
    <t>Low temperature carbonisation</t>
  </si>
  <si>
    <t>(1)  See paragraph 2.26</t>
  </si>
  <si>
    <t>(4)  Total supply minus total demand.</t>
  </si>
  <si>
    <t>(2)  Stock fall (+), stock rise (-).</t>
  </si>
  <si>
    <t xml:space="preserve">(5)  Because of the small number of benzole suppliers, figures for </t>
  </si>
  <si>
    <t>(3)  Coke oven gas and blast furnace gas transfers are</t>
  </si>
  <si>
    <t xml:space="preserve">       benzole and tars cannot be given separately.</t>
  </si>
  <si>
    <t xml:space="preserve">       for synthetic coke oven gas, see paragraph 2.48. </t>
  </si>
  <si>
    <t>Unit.GWh</t>
  </si>
  <si>
    <t>Of which:</t>
  </si>
  <si>
    <t>Of which</t>
  </si>
  <si>
    <t>Name</t>
  </si>
  <si>
    <t>Name in formulae</t>
  </si>
  <si>
    <t>Petajoules</t>
  </si>
  <si>
    <t>Terajoules</t>
  </si>
  <si>
    <t>Gigajoules</t>
  </si>
  <si>
    <t>Megajoules</t>
  </si>
  <si>
    <t>Kilowatt-hours</t>
  </si>
  <si>
    <t>Kilowatt-hours per person per day</t>
  </si>
  <si>
    <t>Terawatt-hours</t>
  </si>
  <si>
    <t>Gigawatt-hours</t>
  </si>
  <si>
    <t>Tonnes of oil equivalent</t>
  </si>
  <si>
    <t>Kilotonnes of oil equivalent</t>
  </si>
  <si>
    <t>Megatonnes of oil equivalent</t>
  </si>
  <si>
    <t>Therms</t>
  </si>
  <si>
    <t>British Thermal Unit</t>
  </si>
  <si>
    <t>Calorie (NOT food calorie)</t>
  </si>
  <si>
    <t>Gigawatt-years</t>
  </si>
  <si>
    <t>Electricity (supplied to grid)</t>
  </si>
  <si>
    <t>Includes solid manufactured fuels (eg, coke)</t>
  </si>
  <si>
    <t>Includes refined liquid biofuels</t>
  </si>
  <si>
    <t>Heat as an energy source for heat pumps</t>
  </si>
  <si>
    <t>[1a]</t>
  </si>
  <si>
    <t>[4]</t>
  </si>
  <si>
    <r>
      <t xml:space="preserve">Source: DUKES 2009 and DECC </t>
    </r>
    <r>
      <rPr>
        <i/>
        <sz val="10"/>
        <color theme="1"/>
        <rFont val="Cambria"/>
        <family val="1"/>
        <scheme val="minor"/>
      </rPr>
      <t xml:space="preserve">Energy Consumptions In The UK, </t>
    </r>
    <r>
      <rPr>
        <sz val="10"/>
        <color theme="1"/>
        <rFont val="Cambria"/>
        <family val="1"/>
        <scheme val="minor"/>
      </rPr>
      <t>July 2009 update</t>
    </r>
  </si>
  <si>
    <t>Notes</t>
  </si>
  <si>
    <t>Other / Domestic</t>
  </si>
  <si>
    <t>Other / {Public administration, Commercial, Miscellaneous}</t>
  </si>
  <si>
    <t>Transformation / Autogenerators</t>
  </si>
  <si>
    <t>{Transformation, Energy industry use} / Blast furnaces</t>
  </si>
  <si>
    <t>Transformation / Blast furnaces</t>
  </si>
  <si>
    <t>Energy Industry use / Blast furnaces</t>
  </si>
  <si>
    <r>
      <t xml:space="preserve">Use figures (from DECC </t>
    </r>
    <r>
      <rPr>
        <i/>
        <sz val="10"/>
        <color theme="1"/>
        <rFont val="Cambria"/>
        <family val="1"/>
        <scheme val="minor"/>
      </rPr>
      <t>Energy Consumptions In The UK</t>
    </r>
    <r>
      <rPr>
        <sz val="10"/>
        <color theme="1"/>
        <rFont val="Cambria"/>
        <family val="1"/>
        <scheme val="minor"/>
      </rPr>
      <t>, July 2009 update) may not sum to total (from DUKES 2009).</t>
    </r>
  </si>
  <si>
    <r>
      <t xml:space="preserve">Reported in DUKES 2009 under </t>
    </r>
    <r>
      <rPr>
        <i/>
        <sz val="10"/>
        <color theme="1"/>
        <rFont val="Cambria"/>
        <family val="1"/>
        <scheme val="minor"/>
      </rPr>
      <t xml:space="preserve">Transformation </t>
    </r>
    <r>
      <rPr>
        <sz val="10"/>
        <color theme="1"/>
        <rFont val="Cambria"/>
        <family val="1"/>
        <scheme val="minor"/>
      </rPr>
      <t xml:space="preserve">and </t>
    </r>
    <r>
      <rPr>
        <i/>
        <sz val="10"/>
        <color theme="1"/>
        <rFont val="Cambria"/>
        <family val="1"/>
        <scheme val="minor"/>
      </rPr>
      <t>Energy industry use</t>
    </r>
  </si>
  <si>
    <t>The energy content of the steam generated in the reactor</t>
  </si>
  <si>
    <t xml:space="preserve">{Transformation, Energy industry use} / Coke manufacture </t>
  </si>
  <si>
    <t>Geosequestration</t>
  </si>
  <si>
    <t>[5]</t>
  </si>
  <si>
    <r>
      <t xml:space="preserve">Renewable sources of primary electricity (Wind, Wave, and Hydro) are reported under </t>
    </r>
    <r>
      <rPr>
        <i/>
        <sz val="10"/>
        <color theme="1"/>
        <rFont val="Cambria"/>
        <family val="1"/>
        <scheme val="minor"/>
      </rPr>
      <t>Transfers</t>
    </r>
    <r>
      <rPr>
        <sz val="10"/>
        <color theme="1"/>
        <rFont val="Cambria"/>
        <family val="1"/>
        <scheme val="minor"/>
      </rPr>
      <t xml:space="preserve"> in DUKES but are included here.</t>
    </r>
  </si>
  <si>
    <t>DUKES Aggregate Energy Balance categories</t>
  </si>
  <si>
    <t>[4a]</t>
  </si>
  <si>
    <r>
      <t xml:space="preserve">The energy of the blast furnace gas produced is taken from the </t>
    </r>
    <r>
      <rPr>
        <i/>
        <sz val="10"/>
        <color theme="1"/>
        <rFont val="Cambria"/>
        <family val="1"/>
        <scheme val="minor"/>
      </rPr>
      <t>Production</t>
    </r>
    <r>
      <rPr>
        <sz val="10"/>
        <color theme="1"/>
        <rFont val="Cambria"/>
        <family val="1"/>
        <scheme val="minor"/>
      </rPr>
      <t xml:space="preserve"> line of DUKES table 2.5 (Commodity balances for manufactured fuels)</t>
    </r>
  </si>
  <si>
    <r>
      <t xml:space="preserve">To be consistent with DUKES, the use of fuels for chemical reactions in the </t>
    </r>
    <r>
      <rPr>
        <i/>
        <sz val="10"/>
        <color theme="1"/>
        <rFont val="Cambria"/>
        <family val="1"/>
        <scheme val="minor"/>
      </rPr>
      <t>Transformation</t>
    </r>
    <r>
      <rPr>
        <sz val="10"/>
        <color theme="1"/>
        <rFont val="Cambria"/>
        <family val="1"/>
        <scheme val="minor"/>
      </rPr>
      <t xml:space="preserve"> section (eg, to reduce iron ore), rather than to provide heat, is reported here under </t>
    </r>
    <r>
      <rPr>
        <i/>
        <sz val="10"/>
        <color theme="1"/>
        <rFont val="Cambria"/>
        <family val="1"/>
        <scheme val="minor"/>
      </rPr>
      <t>Conversion Losses</t>
    </r>
    <r>
      <rPr>
        <sz val="10"/>
        <color theme="1"/>
        <rFont val="Cambria"/>
        <family val="1"/>
        <scheme val="minor"/>
      </rPr>
      <t xml:space="preserve"> (rather than </t>
    </r>
    <r>
      <rPr>
        <i/>
        <sz val="10"/>
        <color theme="1"/>
        <rFont val="Cambria"/>
        <family val="1"/>
        <scheme val="minor"/>
      </rPr>
      <t>Industry Demand</t>
    </r>
    <r>
      <rPr>
        <sz val="10"/>
        <color theme="1"/>
        <rFont val="Cambria"/>
        <family val="1"/>
        <scheme val="minor"/>
      </rPr>
      <t>)</t>
    </r>
  </si>
  <si>
    <t>Industrial processes</t>
  </si>
  <si>
    <t>International</t>
  </si>
  <si>
    <t>[6]</t>
  </si>
  <si>
    <r>
      <rPr>
        <i/>
        <sz val="10"/>
        <color theme="1"/>
        <rFont val="Cambria"/>
        <family val="1"/>
        <scheme val="minor"/>
      </rPr>
      <t xml:space="preserve">Renewables and Waste </t>
    </r>
    <r>
      <rPr>
        <sz val="10"/>
        <color theme="1"/>
        <rFont val="Cambria"/>
        <family val="1"/>
        <scheme val="minor"/>
      </rPr>
      <t xml:space="preserve">used for Road transport (as reported in DUKES) are all biofuels; they are included here under </t>
    </r>
    <r>
      <rPr>
        <i/>
        <sz val="10"/>
        <color theme="1"/>
        <rFont val="Cambria"/>
        <family val="1"/>
        <scheme val="minor"/>
      </rPr>
      <t>Liquid Hydrocarbons</t>
    </r>
  </si>
  <si>
    <t>[7]</t>
  </si>
  <si>
    <t>Aviation fuels has been split between domestic and international according to the following comment in DUKES (paragraph 3.96):</t>
  </si>
  <si>
    <t>"In order to compile the UK Greenhouse Gas Inventory, AEA Energy and Environment need to estimate how aviation fuel usage</t>
  </si>
  <si>
    <t>splits between domestic and international consumption. Information from AEA Energy and Environment suggest that virtually all aviation</t>
  </si>
  <si>
    <t>spirit is used domestically while just 6 per cent (729 thousand tonnes) of civilian aviation turbine fuel is for domestic consumption."</t>
  </si>
  <si>
    <t>Consumption of aviation spirit in 2007 is negligible so 6% of aviation demand has been allocated to domestic consumption</t>
  </si>
  <si>
    <t>Hydrocarbon fuel power generation</t>
  </si>
  <si>
    <t>Nuclear power generation</t>
  </si>
  <si>
    <t>National renewable power generation</t>
  </si>
  <si>
    <t>[8]</t>
  </si>
  <si>
    <r>
      <t xml:space="preserve">Avoidable and partially avoidable food wastage assumed to be 10%; these are reported here under </t>
    </r>
    <r>
      <rPr>
        <i/>
        <sz val="10"/>
        <color theme="1"/>
        <rFont val="Cambria"/>
        <family val="1"/>
        <scheme val="minor"/>
      </rPr>
      <t>Conversion Losses</t>
    </r>
    <r>
      <rPr>
        <sz val="10"/>
        <color theme="1"/>
        <rFont val="Cambria"/>
        <family val="1"/>
        <scheme val="minor"/>
      </rPr>
      <t>.</t>
    </r>
  </si>
  <si>
    <t>n/a</t>
  </si>
  <si>
    <t>Transport / Air</t>
  </si>
  <si>
    <t>Transport / Rail</t>
  </si>
  <si>
    <t>Transport / Road</t>
  </si>
  <si>
    <t>Transport / National navigation, Supply / Marine bunkers</t>
  </si>
  <si>
    <t>Transport / National navigation</t>
  </si>
  <si>
    <t>Energy consumption</t>
  </si>
  <si>
    <t>[9]</t>
  </si>
  <si>
    <r>
      <rPr>
        <i/>
        <sz val="10"/>
        <color theme="1"/>
        <rFont val="Cambria"/>
        <family val="1"/>
        <scheme val="minor"/>
      </rPr>
      <t>Renewables and Waste</t>
    </r>
    <r>
      <rPr>
        <sz val="10"/>
        <color theme="1"/>
        <rFont val="Cambria"/>
        <family val="1"/>
        <scheme val="minor"/>
      </rPr>
      <t xml:space="preserve"> assumed to be Solid</t>
    </r>
  </si>
  <si>
    <t>Other / Agriculture</t>
  </si>
  <si>
    <t>Transformation / Petroleum refineries</t>
  </si>
  <si>
    <t>[10]</t>
  </si>
  <si>
    <t xml:space="preserve">Commodity balances </t>
  </si>
  <si>
    <t>Total electricity</t>
  </si>
  <si>
    <r>
      <t>Other sources</t>
    </r>
    <r>
      <rPr>
        <i/>
        <sz val="8"/>
        <rFont val="Arial"/>
        <family val="2"/>
      </rPr>
      <t xml:space="preserve"> (1)</t>
    </r>
  </si>
  <si>
    <t xml:space="preserve"> - </t>
  </si>
  <si>
    <r>
      <t>Stock change</t>
    </r>
    <r>
      <rPr>
        <i/>
        <sz val="8"/>
        <rFont val="Arial"/>
        <family val="2"/>
      </rPr>
      <t xml:space="preserve"> </t>
    </r>
  </si>
  <si>
    <r>
      <t xml:space="preserve">Statistical difference </t>
    </r>
    <r>
      <rPr>
        <i/>
        <sz val="8.5"/>
        <rFont val="Arial"/>
        <family val="2"/>
      </rPr>
      <t>(2)</t>
    </r>
  </si>
  <si>
    <t xml:space="preserve">   Other generators</t>
  </si>
  <si>
    <t>Coal extraction and coke manufacture</t>
  </si>
  <si>
    <r>
      <t>Rail</t>
    </r>
    <r>
      <rPr>
        <i/>
        <sz val="8"/>
        <rFont val="Arial"/>
        <family val="2"/>
      </rPr>
      <t xml:space="preserve"> (3)</t>
    </r>
  </si>
  <si>
    <t>Commodity balances (continued)</t>
  </si>
  <si>
    <t>Electricity production</t>
  </si>
  <si>
    <r>
      <t>Total production</t>
    </r>
    <r>
      <rPr>
        <i/>
        <sz val="8.5"/>
        <rFont val="Arial"/>
        <family val="2"/>
      </rPr>
      <t xml:space="preserve"> (4)</t>
    </r>
  </si>
  <si>
    <t xml:space="preserve">  Major power producers</t>
  </si>
  <si>
    <t xml:space="preserve">   Nuclear</t>
  </si>
  <si>
    <r>
      <t xml:space="preserve">   Large scale hydro</t>
    </r>
    <r>
      <rPr>
        <i/>
        <sz val="8"/>
        <rFont val="Arial"/>
        <family val="2"/>
      </rPr>
      <t xml:space="preserve"> (4)</t>
    </r>
  </si>
  <si>
    <r>
      <t xml:space="preserve">   Small scale hydro</t>
    </r>
    <r>
      <rPr>
        <i/>
        <sz val="8"/>
        <rFont val="Arial"/>
        <family val="2"/>
      </rPr>
      <t xml:space="preserve"> </t>
    </r>
  </si>
  <si>
    <r>
      <t>..</t>
    </r>
    <r>
      <rPr>
        <i/>
        <sz val="8"/>
        <color indexed="8"/>
        <rFont val="Arial"/>
        <family val="2"/>
      </rPr>
      <t>(7)</t>
    </r>
  </si>
  <si>
    <r>
      <t xml:space="preserve">    Wind  </t>
    </r>
    <r>
      <rPr>
        <i/>
        <sz val="8"/>
        <rFont val="Arial"/>
        <family val="2"/>
      </rPr>
      <t>(5)</t>
    </r>
  </si>
  <si>
    <t xml:space="preserve">  Other generators</t>
  </si>
  <si>
    <t xml:space="preserve">   Large scale hydro</t>
  </si>
  <si>
    <r>
      <t>204</t>
    </r>
    <r>
      <rPr>
        <i/>
        <sz val="8"/>
        <color indexed="8"/>
        <rFont val="Arial"/>
        <family val="2"/>
      </rPr>
      <t>(7)</t>
    </r>
  </si>
  <si>
    <r>
      <t xml:space="preserve">   Wind</t>
    </r>
    <r>
      <rPr>
        <i/>
        <sz val="8"/>
        <rFont val="Arial"/>
        <family val="2"/>
      </rPr>
      <t xml:space="preserve"> (5)</t>
    </r>
  </si>
  <si>
    <t>Secondary electricity</t>
  </si>
  <si>
    <t xml:space="preserve">   Coal</t>
  </si>
  <si>
    <t xml:space="preserve">   Oil</t>
  </si>
  <si>
    <t xml:space="preserve">   Gas</t>
  </si>
  <si>
    <t xml:space="preserve">   Renewables</t>
  </si>
  <si>
    <t xml:space="preserve">   Other</t>
  </si>
  <si>
    <r>
      <t>Primary and secondary production</t>
    </r>
    <r>
      <rPr>
        <i/>
        <sz val="8.5"/>
        <rFont val="Arial"/>
        <family val="2"/>
      </rPr>
      <t xml:space="preserve"> (6)</t>
    </r>
  </si>
  <si>
    <t xml:space="preserve">Wind </t>
  </si>
  <si>
    <t>Other renewables</t>
  </si>
  <si>
    <t>Total production</t>
  </si>
  <si>
    <t>(1)  Pumped storage production.</t>
  </si>
  <si>
    <t>(2)  Total supply minus total demand.</t>
  </si>
  <si>
    <t>(3)  See paragraph 5.11.</t>
  </si>
  <si>
    <t>(4)  Excludes pumped storage production.</t>
  </si>
  <si>
    <t>(5)  From 2007, major wind farm companies are included under Major Power Producers, see paragraph 5.3</t>
  </si>
  <si>
    <t xml:space="preserve">(6)  These figures are the same as the electricity generated figures in Table 5.6 except that they exclude </t>
  </si>
  <si>
    <t xml:space="preserve">       pumped storage production.  Table 5.6 shows that electricity used on works is deducted to obtain </t>
  </si>
  <si>
    <t xml:space="preserve">      electricity supplied.  It is electricity supplied that is used to produce Chart 5.3 showing each fuel's share </t>
  </si>
  <si>
    <t xml:space="preserve">      of electricity output (see paragraph 5.28).</t>
  </si>
  <si>
    <t xml:space="preserve">(7)  A re-assessment in 2004 showed that some small scale hydro output previously classified to Other </t>
  </si>
  <si>
    <t xml:space="preserve">      Generators should be classified to Major Power Producers.  This re-classification cannot be</t>
  </si>
  <si>
    <t xml:space="preserve">      extended back to earlier years.</t>
  </si>
  <si>
    <r>
      <t>5.6</t>
    </r>
    <r>
      <rPr>
        <b/>
        <sz val="18"/>
        <color indexed="12"/>
        <rFont val="Arial"/>
        <family val="2"/>
      </rPr>
      <t xml:space="preserve">  Electricity fuel use, generation and supply</t>
    </r>
  </si>
  <si>
    <t>Thermal sources</t>
  </si>
  <si>
    <t>Non-thermal sources</t>
  </si>
  <si>
    <t>Renew-</t>
  </si>
  <si>
    <t>Hydro-</t>
  </si>
  <si>
    <t>ables</t>
  </si>
  <si>
    <t>(3)</t>
  </si>
  <si>
    <t>natural</t>
  </si>
  <si>
    <t>pumped</t>
  </si>
  <si>
    <t>(4)</t>
  </si>
  <si>
    <t>All</t>
  </si>
  <si>
    <t>(1)</t>
  </si>
  <si>
    <t>flow</t>
  </si>
  <si>
    <t>storage</t>
  </si>
  <si>
    <t>sources</t>
  </si>
  <si>
    <r>
      <t>Major power producers</t>
    </r>
    <r>
      <rPr>
        <i/>
        <sz val="8.5"/>
        <rFont val="Arial"/>
        <family val="2"/>
      </rPr>
      <t xml:space="preserve"> (2)</t>
    </r>
  </si>
  <si>
    <t xml:space="preserve">Fuel used </t>
  </si>
  <si>
    <t>Generation</t>
  </si>
  <si>
    <t>Used on works</t>
  </si>
  <si>
    <t>Supplied (gross)</t>
  </si>
  <si>
    <t>Used in pumping</t>
  </si>
  <si>
    <t>Supplied (net)</t>
  </si>
  <si>
    <r>
      <t>Other generators</t>
    </r>
    <r>
      <rPr>
        <i/>
        <sz val="8.5"/>
        <rFont val="Arial"/>
        <family val="2"/>
      </rPr>
      <t xml:space="preserve"> (2)</t>
    </r>
  </si>
  <si>
    <t xml:space="preserve">Generation </t>
  </si>
  <si>
    <t xml:space="preserve">Supplied </t>
  </si>
  <si>
    <t>All generating companies</t>
  </si>
  <si>
    <t>Fuel used</t>
  </si>
  <si>
    <r>
      <t xml:space="preserve">Major power producers </t>
    </r>
    <r>
      <rPr>
        <i/>
        <sz val="8.5"/>
        <rFont val="Arial"/>
        <family val="2"/>
      </rPr>
      <t>(2)</t>
    </r>
  </si>
  <si>
    <r>
      <t>Other generators</t>
    </r>
    <r>
      <rPr>
        <sz val="8.5"/>
        <rFont val="Arial"/>
        <family val="2"/>
      </rPr>
      <t xml:space="preserve"> </t>
    </r>
    <r>
      <rPr>
        <i/>
        <sz val="8.5"/>
        <rFont val="Arial"/>
        <family val="2"/>
      </rPr>
      <t>(2)</t>
    </r>
  </si>
  <si>
    <t xml:space="preserve"> -   </t>
  </si>
  <si>
    <r>
      <t xml:space="preserve">Other generators </t>
    </r>
    <r>
      <rPr>
        <i/>
        <sz val="8.5"/>
        <rFont val="Arial"/>
        <family val="2"/>
      </rPr>
      <t>(2)</t>
    </r>
  </si>
  <si>
    <r>
      <t>Major power producers</t>
    </r>
    <r>
      <rPr>
        <sz val="8.5"/>
        <rFont val="Arial"/>
        <family val="2"/>
      </rPr>
      <t xml:space="preserve"> </t>
    </r>
    <r>
      <rPr>
        <i/>
        <sz val="8.5"/>
        <rFont val="Arial"/>
        <family val="2"/>
      </rPr>
      <t>(2)</t>
    </r>
  </si>
  <si>
    <r>
      <t>5.6</t>
    </r>
    <r>
      <rPr>
        <b/>
        <sz val="18"/>
        <color indexed="12"/>
        <rFont val="Arial"/>
        <family val="2"/>
      </rPr>
      <t xml:space="preserve">  Electricity fuel use, generation and supply (continued)</t>
    </r>
  </si>
  <si>
    <r>
      <t>Major power producers</t>
    </r>
    <r>
      <rPr>
        <sz val="8.5"/>
        <rFont val="Arial"/>
        <family val="2"/>
      </rPr>
      <t xml:space="preserve"> </t>
    </r>
    <r>
      <rPr>
        <i/>
        <sz val="8.5"/>
        <rFont val="Arial"/>
        <family val="2"/>
      </rPr>
      <t>(2) (5)</t>
    </r>
  </si>
  <si>
    <r>
      <t>Other generators</t>
    </r>
    <r>
      <rPr>
        <i/>
        <sz val="8.5"/>
        <rFont val="Arial"/>
        <family val="2"/>
      </rPr>
      <t xml:space="preserve"> (2) (5)</t>
    </r>
  </si>
  <si>
    <t>Conv-</t>
  </si>
  <si>
    <t>CCGT</t>
  </si>
  <si>
    <t>entional</t>
  </si>
  <si>
    <t>thermal</t>
  </si>
  <si>
    <t>(6)</t>
  </si>
  <si>
    <r>
      <t>Major power producers</t>
    </r>
    <r>
      <rPr>
        <b/>
        <i/>
        <sz val="8.5"/>
        <rFont val="Arial"/>
        <family val="2"/>
      </rPr>
      <t xml:space="preserve"> </t>
    </r>
    <r>
      <rPr>
        <i/>
        <sz val="8.5"/>
        <rFont val="Arial"/>
        <family val="2"/>
      </rPr>
      <t>(2)</t>
    </r>
  </si>
  <si>
    <t>Generated</t>
  </si>
  <si>
    <t>Other generators</t>
  </si>
  <si>
    <t>(1)  Thermal renewable sources are those included under biofuels and non-biodegradable wastes in Chapter 7.</t>
  </si>
  <si>
    <t>(2)  See paragraphs 5.57 to 5.59 on companies covered.</t>
  </si>
  <si>
    <t>(3)  Other thermal sources include coke oven gas, blast furnace gas and waste products from chemical processes.</t>
  </si>
  <si>
    <t>(4)  Other non-thermal sources include wind, wave and solar photovoltaics.</t>
  </si>
  <si>
    <t xml:space="preserve">(6)  Includes gas turbines, oil engines and plants producing electricity from thermal renewable sources; also stations with some CCGT </t>
  </si>
  <si>
    <t xml:space="preserve">      capacity but mainly operate in conventional thermal mode.</t>
  </si>
  <si>
    <t>Nuclear power stations</t>
  </si>
  <si>
    <t>Part of: Transformation / Major power producers, Energy industry use / Electricity generation</t>
  </si>
  <si>
    <t>[11]</t>
  </si>
  <si>
    <t>Nuclear energy as a primary source is the heat content of the steam produced in the reactor.</t>
  </si>
  <si>
    <r>
      <t xml:space="preserve">Source: DUKES Table 5.6, </t>
    </r>
    <r>
      <rPr>
        <i/>
        <sz val="10"/>
        <color theme="1"/>
        <rFont val="Cambria"/>
        <family val="1"/>
        <scheme val="minor"/>
      </rPr>
      <t xml:space="preserve">Electricity fuel use, generation and supply, </t>
    </r>
    <r>
      <rPr>
        <sz val="10"/>
        <color theme="1"/>
        <rFont val="Cambria"/>
        <family val="1"/>
        <scheme val="minor"/>
      </rPr>
      <t>Major power producers (other generators are reported under Industry),</t>
    </r>
  </si>
  <si>
    <r>
      <t xml:space="preserve">Source: DUKES Table 5.6, </t>
    </r>
    <r>
      <rPr>
        <i/>
        <sz val="10"/>
        <color theme="1"/>
        <rFont val="Cambria"/>
        <family val="1"/>
        <scheme val="minor"/>
      </rPr>
      <t xml:space="preserve">Electricity fuel use, generation and supply, </t>
    </r>
    <r>
      <rPr>
        <sz val="10"/>
        <color theme="1"/>
        <rFont val="Cambria"/>
        <family val="1"/>
        <scheme val="minor"/>
      </rPr>
      <t>Major power producers (other generators are reported under Industry).</t>
    </r>
  </si>
  <si>
    <t>Transfers (from Pri mary electricity to Electricity)</t>
  </si>
  <si>
    <t>Energy industry use / Petroleum refineries</t>
  </si>
  <si>
    <t>Energy industry use / Coal extraction</t>
  </si>
  <si>
    <t>Energy industry use / Oil and gas extraction</t>
  </si>
  <si>
    <t>Other energy industry use</t>
  </si>
  <si>
    <t>Energy industry use / Other</t>
  </si>
  <si>
    <t>Consumption</t>
  </si>
  <si>
    <t>Net balance</t>
  </si>
  <si>
    <t>[12]</t>
  </si>
  <si>
    <t>Domestic food production estimated at 60% of consumption, based on ratio of farm gate food value to raw food consumption value [should be revised]</t>
  </si>
  <si>
    <t>Solar energy used to produce crops assumes 100% conversion efficiency</t>
  </si>
  <si>
    <t>Heat production</t>
  </si>
  <si>
    <t>[13]</t>
  </si>
  <si>
    <t>Production of non-edible solid biomatter</t>
  </si>
  <si>
    <t>Straw, SRC, and other plant-based biomass</t>
  </si>
  <si>
    <t>[14]</t>
  </si>
  <si>
    <r>
      <t xml:space="preserve">Source: DUKES Table 7.2, </t>
    </r>
    <r>
      <rPr>
        <i/>
        <sz val="10"/>
        <color theme="1"/>
        <rFont val="Cambria"/>
        <family val="1"/>
        <scheme val="minor"/>
      </rPr>
      <t>Commidity Balances, Renewables and Waste</t>
    </r>
  </si>
  <si>
    <r>
      <t xml:space="preserve">and DUKES Table 5.1, </t>
    </r>
    <r>
      <rPr>
        <i/>
        <sz val="10"/>
        <color theme="1"/>
        <rFont val="Cambria"/>
        <family val="1"/>
        <scheme val="minor"/>
      </rPr>
      <t>Commodity Balances, Electricity.</t>
    </r>
  </si>
  <si>
    <t>Assumes 100% conversion efficiency from solar to biomass</t>
  </si>
  <si>
    <t>Supply, Electricity industry use / Electricity generation</t>
  </si>
  <si>
    <t>Supply / {Imports, Exports)</t>
  </si>
  <si>
    <t>Net electricity imports</t>
  </si>
  <si>
    <t>Electricity grid transmission</t>
  </si>
  <si>
    <t>Production of bioenergy from crops</t>
  </si>
  <si>
    <t>[15]</t>
  </si>
  <si>
    <t>Currently assumes 100% conversion efficiency from crops to biofuels</t>
  </si>
  <si>
    <t>Biomatter imports</t>
  </si>
  <si>
    <t>Biofuel crops</t>
  </si>
  <si>
    <t>Total Transport</t>
  </si>
  <si>
    <t>Total renewables</t>
  </si>
  <si>
    <t>Total waste</t>
  </si>
  <si>
    <t>Total losses</t>
  </si>
  <si>
    <t>Total imports</t>
  </si>
  <si>
    <t>Total consumption</t>
  </si>
  <si>
    <t>Losses of blast furnace gas are included here.</t>
  </si>
  <si>
    <t>Combustion emissions factors</t>
  </si>
  <si>
    <t>Industrial coal</t>
  </si>
  <si>
    <t>Diesel</t>
  </si>
  <si>
    <t>Commodity selected</t>
  </si>
  <si>
    <t>Heat energy as an energy transport vector (Includes Heat Sold in DUKES terminology)</t>
  </si>
  <si>
    <t>Includes both food and biofuels. The sign convention is that imports are negative (think of it as the change in stock held abroad)</t>
  </si>
  <si>
    <t>Gaseous hydrocarbons</t>
  </si>
  <si>
    <t>Global warming potentials</t>
  </si>
  <si>
    <t>GWP</t>
  </si>
  <si>
    <t>Carbon dioxide</t>
  </si>
  <si>
    <t>Methane</t>
  </si>
  <si>
    <t>Nitrous oxide</t>
  </si>
  <si>
    <t>HFCs</t>
  </si>
  <si>
    <t>PFCs</t>
  </si>
  <si>
    <r>
      <t>SF</t>
    </r>
    <r>
      <rPr>
        <vertAlign val="subscript"/>
        <sz val="10"/>
        <color theme="1"/>
        <rFont val="Cambria"/>
        <family val="1"/>
        <scheme val="minor"/>
      </rPr>
      <t>6</t>
    </r>
  </si>
  <si>
    <t>140 to 11,700</t>
  </si>
  <si>
    <t>6,500 to 9,200</t>
  </si>
  <si>
    <t>Review of Carbon Emissions Factors 2002 (Blast furnace gas)</t>
  </si>
  <si>
    <t>DUKES 2009 Annex A</t>
  </si>
  <si>
    <t xml:space="preserve">Sources: </t>
  </si>
  <si>
    <t>Source:</t>
  </si>
  <si>
    <t>UK GHG Inventory 2009, Table 1.1</t>
  </si>
  <si>
    <t>Note:</t>
  </si>
  <si>
    <t>GHG Inventory 2009, Table 1.A(a)</t>
  </si>
  <si>
    <t>CH4 and N2O emissions have been estimated using the ratios of emissions of each</t>
  </si>
  <si>
    <t>to the emissions of CO2 implied by Table 1.A(a) in the GHG inventory. This has</t>
  </si>
  <si>
    <t>been done separately for each form of fuel listed above</t>
  </si>
  <si>
    <r>
      <t>CO</t>
    </r>
    <r>
      <rPr>
        <b/>
        <vertAlign val="subscript"/>
        <sz val="10"/>
        <color theme="1"/>
        <rFont val="Cambria"/>
        <family val="1"/>
        <scheme val="minor"/>
      </rPr>
      <t>2</t>
    </r>
    <r>
      <rPr>
        <b/>
        <sz val="10"/>
        <color theme="1"/>
        <rFont val="Cambria"/>
        <family val="1"/>
        <scheme val="minor"/>
      </rPr>
      <t xml:space="preserve"> (Mt)</t>
    </r>
  </si>
  <si>
    <r>
      <t>CH</t>
    </r>
    <r>
      <rPr>
        <b/>
        <vertAlign val="subscript"/>
        <sz val="10"/>
        <color theme="1"/>
        <rFont val="Cambria"/>
        <family val="1"/>
        <scheme val="minor"/>
      </rPr>
      <t>4</t>
    </r>
    <r>
      <rPr>
        <b/>
        <sz val="10"/>
        <color theme="1"/>
        <rFont val="Cambria"/>
        <family val="1"/>
        <scheme val="minor"/>
      </rPr>
      <t xml:space="preserve"> (Mt CO</t>
    </r>
    <r>
      <rPr>
        <b/>
        <vertAlign val="subscript"/>
        <sz val="10"/>
        <color theme="1"/>
        <rFont val="Cambria"/>
        <family val="1"/>
        <scheme val="minor"/>
      </rPr>
      <t>2</t>
    </r>
    <r>
      <rPr>
        <b/>
        <sz val="10"/>
        <color theme="1"/>
        <rFont val="Cambria"/>
        <family val="1"/>
        <scheme val="minor"/>
      </rPr>
      <t>e)</t>
    </r>
  </si>
  <si>
    <r>
      <t>N</t>
    </r>
    <r>
      <rPr>
        <b/>
        <vertAlign val="subscript"/>
        <sz val="10"/>
        <color theme="1"/>
        <rFont val="Cambria"/>
        <family val="1"/>
        <scheme val="minor"/>
      </rPr>
      <t>2</t>
    </r>
    <r>
      <rPr>
        <b/>
        <sz val="10"/>
        <color theme="1"/>
        <rFont val="Cambria"/>
        <family val="1"/>
        <scheme val="minor"/>
      </rPr>
      <t>O (Mt CO</t>
    </r>
    <r>
      <rPr>
        <b/>
        <vertAlign val="subscript"/>
        <sz val="10"/>
        <color theme="1"/>
        <rFont val="Cambria"/>
        <family val="1"/>
        <scheme val="minor"/>
      </rPr>
      <t>2</t>
    </r>
    <r>
      <rPr>
        <b/>
        <sz val="10"/>
        <color theme="1"/>
        <rFont val="Cambria"/>
        <family val="1"/>
        <scheme val="minor"/>
      </rPr>
      <t>e)</t>
    </r>
  </si>
  <si>
    <t>na</t>
  </si>
  <si>
    <r>
      <t>CO</t>
    </r>
    <r>
      <rPr>
        <b/>
        <vertAlign val="subscript"/>
        <sz val="12"/>
        <color theme="1"/>
        <rFont val="Calibri"/>
        <family val="2"/>
        <scheme val="major"/>
      </rPr>
      <t>2</t>
    </r>
  </si>
  <si>
    <r>
      <t>CH</t>
    </r>
    <r>
      <rPr>
        <b/>
        <vertAlign val="subscript"/>
        <sz val="12"/>
        <color theme="1"/>
        <rFont val="Calibri"/>
        <family val="2"/>
        <scheme val="major"/>
      </rPr>
      <t>4</t>
    </r>
  </si>
  <si>
    <r>
      <t>N</t>
    </r>
    <r>
      <rPr>
        <b/>
        <vertAlign val="subscript"/>
        <sz val="12"/>
        <color theme="1"/>
        <rFont val="Calibri"/>
        <family val="2"/>
        <scheme val="major"/>
      </rPr>
      <t>2</t>
    </r>
    <r>
      <rPr>
        <b/>
        <sz val="12"/>
        <color theme="1"/>
        <rFont val="Calibri"/>
        <family val="2"/>
        <scheme val="major"/>
      </rPr>
      <t>O</t>
    </r>
  </si>
  <si>
    <r>
      <t>Total N</t>
    </r>
    <r>
      <rPr>
        <b/>
        <vertAlign val="subscript"/>
        <sz val="8"/>
        <color theme="1"/>
        <rFont val="Calibri"/>
        <family val="2"/>
        <scheme val="major"/>
      </rPr>
      <t>2</t>
    </r>
    <r>
      <rPr>
        <b/>
        <sz val="8"/>
        <color theme="1"/>
        <rFont val="Calibri"/>
        <family val="2"/>
        <scheme val="major"/>
      </rPr>
      <t>O</t>
    </r>
  </si>
  <si>
    <r>
      <t>Total CH</t>
    </r>
    <r>
      <rPr>
        <b/>
        <vertAlign val="subscript"/>
        <sz val="8"/>
        <color theme="1"/>
        <rFont val="Calibri"/>
        <family val="2"/>
        <scheme val="major"/>
      </rPr>
      <t>4</t>
    </r>
  </si>
  <si>
    <r>
      <t>Total CO</t>
    </r>
    <r>
      <rPr>
        <b/>
        <vertAlign val="subscript"/>
        <sz val="8"/>
        <color theme="1"/>
        <rFont val="Calibri"/>
        <family val="2"/>
        <scheme val="major"/>
      </rPr>
      <t>2</t>
    </r>
  </si>
  <si>
    <t>Total GHG emissions</t>
  </si>
  <si>
    <t>F gasses</t>
  </si>
  <si>
    <r>
      <t>HFCs, PFCs, and SF</t>
    </r>
    <r>
      <rPr>
        <b/>
        <vertAlign val="subscript"/>
        <sz val="8"/>
        <color theme="1"/>
        <rFont val="Calibri"/>
        <family val="2"/>
        <scheme val="major"/>
      </rPr>
      <t>6</t>
    </r>
  </si>
  <si>
    <t>1.A Fuel combustion</t>
  </si>
  <si>
    <r>
      <t>GHG emissions calculation (MtCO</t>
    </r>
    <r>
      <rPr>
        <b/>
        <vertAlign val="subscript"/>
        <sz val="12"/>
        <color theme="1"/>
        <rFont val="Calibri"/>
        <family val="2"/>
        <scheme val="major"/>
      </rPr>
      <t>2</t>
    </r>
    <r>
      <rPr>
        <b/>
        <sz val="12"/>
        <color theme="1"/>
        <rFont val="Calibri"/>
        <family val="2"/>
        <scheme val="major"/>
      </rPr>
      <t>e)</t>
    </r>
  </si>
  <si>
    <t>Working notes</t>
  </si>
  <si>
    <t>Combustion emissions from waste are not currently included. I think GHG Inventory also excludes these (shown in the memo note under biomass).</t>
  </si>
  <si>
    <t>Gas losses</t>
  </si>
  <si>
    <t>IPCC Emissions Categories</t>
  </si>
  <si>
    <r>
      <t xml:space="preserve">Heat sold under contract is produced by the industrial and commercial sectors but included here under </t>
    </r>
    <r>
      <rPr>
        <i/>
        <sz val="10"/>
        <color theme="1"/>
        <rFont val="Cambria"/>
        <family val="1"/>
        <scheme val="minor"/>
      </rPr>
      <t>Industry</t>
    </r>
    <r>
      <rPr>
        <sz val="10"/>
        <color theme="1"/>
        <rFont val="Cambria"/>
        <family val="1"/>
        <scheme val="minor"/>
      </rPr>
      <t xml:space="preserve">. </t>
    </r>
  </si>
  <si>
    <t>Workstreams</t>
  </si>
  <si>
    <t>Workstream</t>
  </si>
  <si>
    <t>Comments</t>
  </si>
  <si>
    <t>V</t>
  </si>
  <si>
    <t>VI</t>
  </si>
  <si>
    <t>VII</t>
  </si>
  <si>
    <t>VIII</t>
  </si>
  <si>
    <t>XIV</t>
  </si>
  <si>
    <t>IX</t>
  </si>
  <si>
    <t>X</t>
  </si>
  <si>
    <t>XI</t>
  </si>
  <si>
    <t>XII</t>
  </si>
  <si>
    <t>XIII</t>
  </si>
  <si>
    <t>H2 Production</t>
  </si>
  <si>
    <t>Inputs</t>
  </si>
  <si>
    <t>Outputs</t>
  </si>
  <si>
    <t>Total use</t>
  </si>
  <si>
    <t>Total secondary sources</t>
  </si>
  <si>
    <t>Total primary sources</t>
  </si>
  <si>
    <t>Total adjustments</t>
  </si>
  <si>
    <t>Adjust.</t>
  </si>
  <si>
    <t>Secondary sources</t>
  </si>
  <si>
    <t>Primary sources</t>
  </si>
  <si>
    <t>2007</t>
  </si>
  <si>
    <t>2010</t>
  </si>
  <si>
    <t>Energy is measured in:</t>
  </si>
  <si>
    <t>Power is measured in:</t>
  </si>
  <si>
    <t>Energy conversions</t>
  </si>
  <si>
    <t>Power conversions</t>
  </si>
  <si>
    <t>Watts</t>
  </si>
  <si>
    <t>GW</t>
  </si>
  <si>
    <t>kW</t>
  </si>
  <si>
    <t>Gigawatts</t>
  </si>
  <si>
    <t>Kilowatts</t>
  </si>
  <si>
    <t>Unit.GW</t>
  </si>
  <si>
    <t>Unit.kW</t>
  </si>
  <si>
    <t>MW</t>
  </si>
  <si>
    <t>Megawatts</t>
  </si>
  <si>
    <t>Unit.MW</t>
  </si>
  <si>
    <t>Mtoe/y</t>
  </si>
  <si>
    <t>Mtoe per year</t>
  </si>
  <si>
    <t>Unit.Mtoe.y</t>
  </si>
  <si>
    <t>Time conversions</t>
  </si>
  <si>
    <t>Seconds</t>
  </si>
  <si>
    <t>y</t>
  </si>
  <si>
    <t>Year</t>
  </si>
  <si>
    <t>Unit.year</t>
  </si>
  <si>
    <t>Fuel</t>
  </si>
  <si>
    <t>Transmission entry capacity</t>
  </si>
  <si>
    <t>Notes:</t>
  </si>
  <si>
    <t>Oil-fired</t>
  </si>
  <si>
    <t>Coal-fired</t>
  </si>
  <si>
    <t>CCGT and turbines</t>
  </si>
  <si>
    <t>2015</t>
  </si>
  <si>
    <t>2020</t>
  </si>
  <si>
    <t>2025</t>
  </si>
  <si>
    <t>2030</t>
  </si>
  <si>
    <t>2035</t>
  </si>
  <si>
    <t>2040</t>
  </si>
  <si>
    <t>2045</t>
  </si>
  <si>
    <t>2050</t>
  </si>
  <si>
    <t>Thermal efficiency (based on gross calorific values)</t>
  </si>
  <si>
    <t>Energy produced and required</t>
  </si>
  <si>
    <t>Plant type</t>
  </si>
  <si>
    <t>Methodology</t>
  </si>
  <si>
    <t>Equivalent to</t>
  </si>
  <si>
    <t>J</t>
  </si>
  <si>
    <t>Unit.J</t>
  </si>
  <si>
    <t>W</t>
  </si>
  <si>
    <t>Unit.W</t>
  </si>
  <si>
    <t>Mixed and dual-fired</t>
  </si>
  <si>
    <t>Gas-fired</t>
  </si>
  <si>
    <t>Own-use requirements (as percentage of generated electricity)</t>
  </si>
  <si>
    <t>Modules</t>
  </si>
  <si>
    <t>I.a</t>
  </si>
  <si>
    <t>Gas-fired electricity supplied</t>
  </si>
  <si>
    <t>Includes CCGT, gas turbines, and oil engines</t>
  </si>
  <si>
    <t>Module</t>
  </si>
  <si>
    <t>WS Code</t>
  </si>
  <si>
    <t>Electricity  required</t>
  </si>
  <si>
    <t>Primary source</t>
  </si>
  <si>
    <t>Fossil fuels</t>
  </si>
  <si>
    <t>Total fossil fuels</t>
  </si>
  <si>
    <t>Uses</t>
  </si>
  <si>
    <t>R.08</t>
  </si>
  <si>
    <t>V.07</t>
  </si>
  <si>
    <t>V.08</t>
  </si>
  <si>
    <t>V.09</t>
  </si>
  <si>
    <t>II.a</t>
  </si>
  <si>
    <t>Source for 2007 data: DUKES 2009, Tables 5.7 and 5.10</t>
  </si>
  <si>
    <t>Requested generation</t>
  </si>
  <si>
    <r>
      <t xml:space="preserve">Estimated at 60m people x 2320 Kcal per person per day. Source for </t>
    </r>
    <r>
      <rPr>
        <i/>
        <sz val="10"/>
        <color theme="1"/>
        <rFont val="Cambria"/>
        <family val="1"/>
        <scheme val="minor"/>
      </rPr>
      <t>per capita</t>
    </r>
    <r>
      <rPr>
        <sz val="10"/>
        <color theme="1"/>
        <rFont val="Cambria"/>
        <family val="1"/>
        <scheme val="minor"/>
      </rPr>
      <t xml:space="preserve"> consumption: Defra </t>
    </r>
    <r>
      <rPr>
        <i/>
        <sz val="10"/>
        <color theme="1"/>
        <rFont val="Cambria"/>
        <family val="1"/>
        <scheme val="minor"/>
      </rPr>
      <t>Food Statistics Pocketbook 2009</t>
    </r>
    <r>
      <rPr>
        <sz val="10"/>
        <color theme="1"/>
        <rFont val="Cambria"/>
        <family val="1"/>
        <scheme val="minor"/>
      </rPr>
      <t xml:space="preserve">, Section 5.10 </t>
    </r>
  </si>
  <si>
    <t>v.03</t>
  </si>
  <si>
    <t>v.04</t>
  </si>
  <si>
    <t>v.05</t>
  </si>
  <si>
    <t>v.06</t>
  </si>
  <si>
    <t>Capacity</t>
  </si>
  <si>
    <t>= Available supply</t>
  </si>
  <si>
    <t>= Total generation</t>
  </si>
  <si>
    <t>+ Own-use requirements</t>
  </si>
  <si>
    <r>
      <rPr>
        <sz val="10"/>
        <color theme="1"/>
        <rFont val="Cambria"/>
        <family val="1"/>
      </rPr>
      <t>÷</t>
    </r>
    <r>
      <rPr>
        <sz val="10"/>
        <color theme="1"/>
        <rFont val="Cambria"/>
        <family val="1"/>
        <scheme val="minor"/>
      </rPr>
      <t xml:space="preserve"> Thermal efficiency</t>
    </r>
  </si>
  <si>
    <t>Total combustion emissions</t>
  </si>
  <si>
    <t>Distribution. storage, conversion, and balancing</t>
  </si>
  <si>
    <t>Total Dist'n, storage, conv'n, and balancing</t>
  </si>
  <si>
    <t>= Total input energy required</t>
  </si>
  <si>
    <t>Load factor</t>
  </si>
  <si>
    <t>VII.a</t>
  </si>
  <si>
    <t>Electricity grid distribution</t>
  </si>
  <si>
    <t>Electricity output from grid</t>
  </si>
  <si>
    <r>
      <rPr>
        <sz val="10"/>
        <color theme="1"/>
        <rFont val="Cambria"/>
        <family val="1"/>
      </rPr>
      <t>÷</t>
    </r>
    <r>
      <rPr>
        <sz val="10"/>
        <color theme="1"/>
        <rFont val="Cambria"/>
        <family val="1"/>
        <scheme val="minor"/>
      </rPr>
      <t xml:space="preserve"> (1</t>
    </r>
    <r>
      <rPr>
        <sz val="10"/>
        <color theme="1"/>
        <rFont val="Cambria"/>
        <family val="1"/>
      </rPr>
      <t>−</t>
    </r>
    <r>
      <rPr>
        <sz val="8"/>
        <color theme="1"/>
        <rFont val="Cambria"/>
        <family val="1"/>
      </rPr>
      <t>Losses)</t>
    </r>
  </si>
  <si>
    <r>
      <rPr>
        <sz val="10"/>
        <color theme="1"/>
        <rFont val="Arial"/>
        <family val="2"/>
      </rPr>
      <t>×</t>
    </r>
    <r>
      <rPr>
        <sz val="8"/>
        <color theme="1"/>
        <rFont val="Cambria"/>
        <family val="1"/>
      </rPr>
      <t xml:space="preserve"> Losses</t>
    </r>
  </si>
  <si>
    <t>Grid output</t>
  </si>
  <si>
    <t>Grid input</t>
  </si>
  <si>
    <t>Based on ratio of actual 2007 distribution losses to calculated 2007 grid throughput (from DUKES 2009)</t>
  </si>
  <si>
    <t>= Total electricity input to grid</t>
  </si>
  <si>
    <t>= Distribution losses</t>
  </si>
  <si>
    <t>VII.b</t>
  </si>
  <si>
    <t>Based on ratio of 2007 losses to input primary oils from DUKES 2009</t>
  </si>
  <si>
    <t>Fixed assumptions</t>
  </si>
  <si>
    <t>DUKES 2009 imply negative conversion losses, so we have assumed conversion losses are actually zero post 2007</t>
  </si>
  <si>
    <t>Electricity required</t>
  </si>
  <si>
    <t>Liquid hydrocarbons own use</t>
  </si>
  <si>
    <t>Gasesous hydrocarbons required</t>
  </si>
  <si>
    <t>Heat required</t>
  </si>
  <si>
    <t>Remaining requested generation</t>
  </si>
  <si>
    <t>Coal capacity</t>
  </si>
  <si>
    <t>Actual supplied (min. of requested and available)</t>
  </si>
  <si>
    <t>Available generation</t>
  </si>
  <si>
    <t>VII.c</t>
  </si>
  <si>
    <t>Electricity imports / exports</t>
  </si>
  <si>
    <t>*</t>
  </si>
  <si>
    <t>Y.03</t>
  </si>
  <si>
    <t>Petroleum imports</t>
  </si>
  <si>
    <t>Eg, pumped storage</t>
  </si>
  <si>
    <t>Provide all available supply</t>
  </si>
  <si>
    <t>III.b</t>
  </si>
  <si>
    <t>Natural flow hydro (ie, excludes pumped storage)</t>
  </si>
  <si>
    <t>Capacity factor</t>
  </si>
  <si>
    <t>Installed capacity</t>
  </si>
  <si>
    <t>× Capacity factor</t>
  </si>
  <si>
    <t>III.c</t>
  </si>
  <si>
    <t>III.d</t>
  </si>
  <si>
    <t>III.e</t>
  </si>
  <si>
    <t>Hydrocarbons from coal, oil, and gas</t>
  </si>
  <si>
    <t>[16]</t>
  </si>
  <si>
    <t>Coal and gas transfer as much as needed; Oil transfers are as reported under Transfers in DUKES</t>
  </si>
  <si>
    <t>Net petroleum imports</t>
  </si>
  <si>
    <t>Oil capacity</t>
  </si>
  <si>
    <t>Estimated based on actual generation figures</t>
  </si>
  <si>
    <t>Derived assumptions</t>
  </si>
  <si>
    <t>Transformation / Heat generation</t>
  </si>
  <si>
    <t>Population</t>
  </si>
  <si>
    <t>Households</t>
  </si>
  <si>
    <t>Global assumptions for all sectors</t>
  </si>
  <si>
    <t>GDP:</t>
  </si>
  <si>
    <t>ONS ABMI for 2007. Projections assume constant 2.5% growth (figures are 2005 constant prices)</t>
  </si>
  <si>
    <t>GDP (2005 £m)</t>
  </si>
  <si>
    <t>Households:</t>
  </si>
  <si>
    <t>Populations:</t>
  </si>
  <si>
    <t>ONS 2008-based Population Projections. Populations beyond 2033 are interpolated based on given average annual changes</t>
  </si>
  <si>
    <t>Sources</t>
  </si>
  <si>
    <t>IX.a</t>
  </si>
  <si>
    <t>Component</t>
  </si>
  <si>
    <t>Technology</t>
  </si>
  <si>
    <t>°C</t>
  </si>
  <si>
    <t>W / °C</t>
  </si>
  <si>
    <t xml:space="preserve">CLG Household estimates and projections 1961-2033 (2006-based). </t>
  </si>
  <si>
    <t>Years prior to 2031 linearly interpolated from figures given; Post 2031, growth is assumed to be 1.00% pa, consistent with average trend 2006-2031</t>
  </si>
  <si>
    <t>Temperature projections based on Defra's UK Climate Projections, whose 50% probability level ("central case") estimate, under a medium emissions</t>
  </si>
  <si>
    <r>
      <t>°</t>
    </r>
    <r>
      <rPr>
        <sz val="10"/>
        <color theme="1"/>
        <rFont val="Cambria"/>
        <family val="1"/>
        <scheme val="minor"/>
      </rPr>
      <t>C</t>
    </r>
  </si>
  <si>
    <t>×</t>
  </si>
  <si>
    <t>Rate of heat loss per house</t>
  </si>
  <si>
    <t>=</t>
  </si>
  <si>
    <t>Total energy required</t>
  </si>
  <si>
    <t>Mean winter temperature differential</t>
  </si>
  <si>
    <t>Watts / °C</t>
  </si>
  <si>
    <t>%</t>
  </si>
  <si>
    <t>Resisitive heating</t>
  </si>
  <si>
    <t>Solid-fuel boiler</t>
  </si>
  <si>
    <t>Oil-fired boiler</t>
  </si>
  <si>
    <t>District heating</t>
  </si>
  <si>
    <t>Balance</t>
  </si>
  <si>
    <t>Heat transport</t>
  </si>
  <si>
    <t>Heat demand</t>
  </si>
  <si>
    <t>Winter</t>
  </si>
  <si>
    <t>Spring</t>
  </si>
  <si>
    <t>Summer</t>
  </si>
  <si>
    <t>Autumn</t>
  </si>
  <si>
    <t>Number of households</t>
  </si>
  <si>
    <t>Source: 2007 temperature from The Met Office: http://www.metoffice.gov.uk/climate/uk/index.html</t>
  </si>
  <si>
    <t>Duration of winter (Dec-Feb)</t>
  </si>
  <si>
    <t>Mean spring temperature differential</t>
  </si>
  <si>
    <t>Mean summer temperature differential</t>
  </si>
  <si>
    <t>Mean autumn temperature differential</t>
  </si>
  <si>
    <t>−</t>
  </si>
  <si>
    <t>Total per household losses</t>
  </si>
  <si>
    <t>Winter losses / household</t>
  </si>
  <si>
    <t>Spring losses / household</t>
  </si>
  <si>
    <t>Summer losses / household</t>
  </si>
  <si>
    <t>Autumn losses / household</t>
  </si>
  <si>
    <t>Duration of  spring (Mar-May)</t>
  </si>
  <si>
    <t>Duration of summer (Jun-Aug)</t>
  </si>
  <si>
    <t>Duration of autumn (Sep-Nov)</t>
  </si>
  <si>
    <t>Closure rates (capacity)</t>
  </si>
  <si>
    <t>Per year, averaged over preceding five years</t>
  </si>
  <si>
    <t>Mixed and dual-fired treated as gas for the purposes of calculation, below</t>
  </si>
  <si>
    <t>Coal + CCS</t>
  </si>
  <si>
    <t>Supply oil generation at assumed load factor (oil is assumed to vanish after 2010, so this will only affect the near future)</t>
  </si>
  <si>
    <t>Convert to energy demand by vector</t>
  </si>
  <si>
    <t>Conventional thermal plant</t>
  </si>
  <si>
    <t>I.b</t>
  </si>
  <si>
    <t>Coal, gas, and oil-fired; non-CCS</t>
  </si>
  <si>
    <t>Supply all remaining demand with coal/gas at current split, except don't supply more coal power than available</t>
  </si>
  <si>
    <t xml:space="preserve">Coal / Gas supplied energy ratio </t>
  </si>
  <si>
    <t>Coal : Gas</t>
  </si>
  <si>
    <t>Major Power Producers only</t>
  </si>
  <si>
    <t>Actual supplied</t>
  </si>
  <si>
    <t>Coal+CCS</t>
  </si>
  <si>
    <r>
      <t xml:space="preserve">Source: DECC, </t>
    </r>
    <r>
      <rPr>
        <i/>
        <sz val="10"/>
        <rFont val="Cambria"/>
        <family val="1"/>
        <scheme val="minor"/>
      </rPr>
      <t xml:space="preserve">Delivering secure low carbon electricity, A call for evidence, </t>
    </r>
    <r>
      <rPr>
        <sz val="10"/>
        <rFont val="Cambria"/>
        <family val="1"/>
        <scheme val="minor"/>
      </rPr>
      <t>Table 3.1 (Higher end of ranges used.)</t>
    </r>
  </si>
  <si>
    <r>
      <t xml:space="preserve">National Grid, </t>
    </r>
    <r>
      <rPr>
        <i/>
        <sz val="10"/>
        <rFont val="Cambria"/>
        <family val="1"/>
        <scheme val="minor"/>
      </rPr>
      <t>Operating the Electricity Networks in 2020, Initial Consultation</t>
    </r>
    <r>
      <rPr>
        <sz val="10"/>
        <rFont val="Cambria"/>
        <family val="1"/>
        <scheme val="minor"/>
      </rPr>
      <t xml:space="preserve"> assumes 80% summer availability and 60% winter availability for exisiting nuclear plants</t>
    </r>
  </si>
  <si>
    <t>Source for 2007 data: DUKES 2009, Tables 5.7, 5.10, and 7.4.</t>
  </si>
  <si>
    <t>Conversion between Installed capacity and Transmission entry capacity (as reported in DUKES) taken as 0.43.</t>
  </si>
  <si>
    <t>Capacity factor assumes no energy spilled</t>
  </si>
  <si>
    <t>Onshore wind</t>
  </si>
  <si>
    <t>Offshore wind</t>
  </si>
  <si>
    <t>Legacy plant capacities (built prior to 2010)</t>
  </si>
  <si>
    <t>Includes all power producers (not just major power producers)</t>
  </si>
  <si>
    <t>2007 capacity factor taken to be 2007 load factor (on an unchanged configuration basis; see DUKES Table 7.4)</t>
  </si>
  <si>
    <t>Total wind capacity</t>
  </si>
  <si>
    <t>Total generation</t>
  </si>
  <si>
    <t>IX.b</t>
  </si>
  <si>
    <t>See module writeup for assumptions and derivation</t>
  </si>
  <si>
    <t>XI.a</t>
  </si>
  <si>
    <t>Seasonal external temperature</t>
  </si>
  <si>
    <t>Emissions</t>
  </si>
  <si>
    <t>XII.a</t>
  </si>
  <si>
    <t>Liquids</t>
  </si>
  <si>
    <t>Petroleum products (weighted average)</t>
  </si>
  <si>
    <t>DUKES 2009 (figures are for fuels in 2008)</t>
  </si>
  <si>
    <t>kg / litre</t>
  </si>
  <si>
    <t>Motor spirit</t>
  </si>
  <si>
    <t>Diesel (DERV)</t>
  </si>
  <si>
    <t>Densities of selected fuels</t>
  </si>
  <si>
    <t>Liquid fuels</t>
  </si>
  <si>
    <t>DUKES 2009, Annex A</t>
  </si>
  <si>
    <t>Motor spirit (all grades)</t>
  </si>
  <si>
    <t>DERV</t>
  </si>
  <si>
    <t>Energy content</t>
  </si>
  <si>
    <t>XII.b</t>
  </si>
  <si>
    <t>litres</t>
  </si>
  <si>
    <t>Electric</t>
  </si>
  <si>
    <t>XII.c</t>
  </si>
  <si>
    <t>Fuel use, aviation</t>
  </si>
  <si>
    <t>Aviation Fuel</t>
  </si>
  <si>
    <t>Compute energy content of fuel</t>
  </si>
  <si>
    <t>Aviation turbine fuel (ATF)</t>
  </si>
  <si>
    <t>VI.a</t>
  </si>
  <si>
    <t>Includes plant and animal biomass</t>
  </si>
  <si>
    <t>H2</t>
  </si>
  <si>
    <t>Includes manure, sewage sludge, domestic food waste</t>
  </si>
  <si>
    <t>All built environment non-heating electricity demand plus cooking</t>
  </si>
  <si>
    <t>V.10</t>
  </si>
  <si>
    <t>XIII.a</t>
  </si>
  <si>
    <r>
      <rPr>
        <i/>
        <sz val="10"/>
        <color theme="1"/>
        <rFont val="Cambria"/>
        <family val="1"/>
        <scheme val="minor"/>
      </rPr>
      <t>Per capita</t>
    </r>
    <r>
      <rPr>
        <sz val="10"/>
        <color theme="1"/>
        <rFont val="Cambria"/>
        <family val="1"/>
        <scheme val="minor"/>
      </rPr>
      <t xml:space="preserve"> consumption 2,320 Kcal per day. Source: Defra Food Statistics Pocketbook 2009, Section 5.10 </t>
    </r>
  </si>
  <si>
    <t>Per capita consumption</t>
  </si>
  <si>
    <t>Unrecovered food waste</t>
  </si>
  <si>
    <t>Recovered food waste</t>
  </si>
  <si>
    <t>Per capita food consumption</t>
  </si>
  <si>
    <t>Current food waste estimated at 10%</t>
  </si>
  <si>
    <t>Waste (recovered)</t>
  </si>
  <si>
    <t>Waste (unrecovered)</t>
  </si>
  <si>
    <t>% of demand</t>
  </si>
  <si>
    <t>None in 2007</t>
  </si>
  <si>
    <t>Energy flows (2007 actual)</t>
  </si>
  <si>
    <t>Compute total food consumption; add on waste to get demand</t>
  </si>
  <si>
    <t>Total adjust.</t>
  </si>
  <si>
    <t>Adjustments</t>
  </si>
  <si>
    <t>IX.c</t>
  </si>
  <si>
    <t>IX.d</t>
  </si>
  <si>
    <t>Total Domestic</t>
  </si>
  <si>
    <t>Total Commercial</t>
  </si>
  <si>
    <t>Total uses</t>
  </si>
  <si>
    <t>X.a</t>
  </si>
  <si>
    <t>X.b</t>
  </si>
  <si>
    <t>Domestic lighting, appliances, and cooking</t>
  </si>
  <si>
    <t>Commercial lighting, appliances, and catering</t>
  </si>
  <si>
    <t>XII.d</t>
  </si>
  <si>
    <t>International aviation</t>
  </si>
  <si>
    <t>Domestic aviation</t>
  </si>
  <si>
    <t>XII.e</t>
  </si>
  <si>
    <t>International shipping (maritime bunkers)</t>
  </si>
  <si>
    <t>XII.f</t>
  </si>
  <si>
    <t>Total Aviation</t>
  </si>
  <si>
    <t>Total Shipping</t>
  </si>
  <si>
    <t>XIV.a</t>
  </si>
  <si>
    <t>V.a</t>
  </si>
  <si>
    <t>Agriculture and waste</t>
  </si>
  <si>
    <t>VI.b</t>
  </si>
  <si>
    <t>T.05</t>
  </si>
  <si>
    <t>T.06</t>
  </si>
  <si>
    <t>International shipping</t>
  </si>
  <si>
    <t>XV</t>
  </si>
  <si>
    <t>Fossil fuel production</t>
  </si>
  <si>
    <t>XV.a</t>
  </si>
  <si>
    <t>2007 levels assumed throughout</t>
  </si>
  <si>
    <t>Primary oil</t>
  </si>
  <si>
    <t>Final liquid hydrocarbons produced</t>
  </si>
  <si>
    <t>Own use</t>
  </si>
  <si>
    <t>IV.a</t>
  </si>
  <si>
    <t>Requested generation from nuclear</t>
  </si>
  <si>
    <t>Total electricity supply/demand to this point</t>
  </si>
  <si>
    <t>Requested generation from Coal + CCS</t>
  </si>
  <si>
    <t>Requested generation from thermal plant</t>
  </si>
  <si>
    <t>VIII.a</t>
  </si>
  <si>
    <t>Electricity distribution, storage, and balancing</t>
  </si>
  <si>
    <t>Grid distribution losses</t>
  </si>
  <si>
    <t>Transfer electricity from V.02 to V.01 to match total V.01 required, accounting for conversion losses</t>
  </si>
  <si>
    <t>Electricity imported</t>
  </si>
  <si>
    <t>Total electricity supply/demand  prior to generation</t>
  </si>
  <si>
    <t>Distribution, storage, and balancing</t>
  </si>
  <si>
    <t>Net storage flows</t>
  </si>
  <si>
    <t>XV.b</t>
  </si>
  <si>
    <t>Indigenous fossil-fuel production</t>
  </si>
  <si>
    <t>Y.04</t>
  </si>
  <si>
    <t>Y.05</t>
  </si>
  <si>
    <t>Y.06</t>
  </si>
  <si>
    <t>Oil and gas extraction requirements (% of production)</t>
  </si>
  <si>
    <t>Based on ratio of 2007 energy requirements to oil production from DUKES 2009</t>
  </si>
  <si>
    <t>Coal extraction requirements (% of production)</t>
  </si>
  <si>
    <t>Based on ratio of 2007 energy requirements to coal production from DUKES 2009</t>
  </si>
  <si>
    <t>Reserves</t>
  </si>
  <si>
    <t>Q.01</t>
  </si>
  <si>
    <t>Q.02</t>
  </si>
  <si>
    <t>Q.03</t>
  </si>
  <si>
    <t>Coal reserves</t>
  </si>
  <si>
    <t>Oil reserves</t>
  </si>
  <si>
    <t>Compute coal production</t>
  </si>
  <si>
    <t>Compute oil and gas production</t>
  </si>
  <si>
    <t>Coal production</t>
  </si>
  <si>
    <t>Electricity use</t>
  </si>
  <si>
    <t>Gasesous hydrocarbon use</t>
  </si>
  <si>
    <t>Oil production</t>
  </si>
  <si>
    <t>Gas production</t>
  </si>
  <si>
    <t>Solid hydrocarbon use</t>
  </si>
  <si>
    <t>XVI</t>
  </si>
  <si>
    <t>XVI.a</t>
  </si>
  <si>
    <t>XVI.b</t>
  </si>
  <si>
    <t>Fossil fuel transfers</t>
  </si>
  <si>
    <t>Total Dist'n, storage, and balancing</t>
  </si>
  <si>
    <t>Computed within this worksheet</t>
  </si>
  <si>
    <t>2007 net use are actuals from DUKES; assumed to be zero thereafter</t>
  </si>
  <si>
    <t>Road transport</t>
  </si>
  <si>
    <t>Rail transport</t>
  </si>
  <si>
    <t>Total Use</t>
  </si>
  <si>
    <t>Total Primary Supply</t>
  </si>
  <si>
    <t>Conversion losses, distribution, and own use</t>
  </si>
  <si>
    <t>Supply net of losses</t>
  </si>
  <si>
    <t>Gas reserves</t>
  </si>
  <si>
    <t>Supply, Demand, and Unaccounted supply</t>
  </si>
  <si>
    <t>A.01</t>
  </si>
  <si>
    <t>Food and biomatter production</t>
  </si>
  <si>
    <t>Agriculture, waste, and biomatter imports</t>
  </si>
  <si>
    <t>Net balance (should be zero!)</t>
  </si>
  <si>
    <t>Version</t>
  </si>
  <si>
    <t>Release date</t>
  </si>
  <si>
    <t>Responsible</t>
  </si>
  <si>
    <t>James Geddes</t>
  </si>
  <si>
    <t>http://www.communities.gov.uk/housing/housingresearch/housingstatistics/housingstatisticsby/householdestimates/livetables-households/</t>
  </si>
  <si>
    <t>GCV of diesel</t>
  </si>
  <si>
    <t>Crude oil (weighted average)</t>
  </si>
  <si>
    <t>Natural gas produced</t>
  </si>
  <si>
    <t>Oil and gas production up to 2015 taken from DECC projections as af October 2009. See: https://www.og.decc.gov.uk/information/bb_updates/chapters/production_projections.pdf</t>
  </si>
  <si>
    <t>Thereafter decline assumed to be 4.5% pa (which is DECC projections out to 2025)</t>
  </si>
  <si>
    <t>Coal production assumed to be constant at 2007 levels. (Approximately the trend show in the Analytical Annex to the Low Carbon Transition Plan)</t>
  </si>
  <si>
    <t>IPCC Sector</t>
  </si>
  <si>
    <t>Fuel Combustion</t>
  </si>
  <si>
    <t>Industrial Processes</t>
  </si>
  <si>
    <t>Solvent and Other Product Use</t>
  </si>
  <si>
    <t>Land Use, Land-Use Change and Forestry</t>
  </si>
  <si>
    <t>Sector_code</t>
  </si>
  <si>
    <t>Sector_description</t>
  </si>
  <si>
    <t>IPCC Emissions Sectors</t>
  </si>
  <si>
    <t>X1</t>
  </si>
  <si>
    <t>X2</t>
  </si>
  <si>
    <t>Greenhouse gasses</t>
  </si>
  <si>
    <t>GHG_code</t>
  </si>
  <si>
    <t>GHG_description</t>
  </si>
  <si>
    <t>CO2</t>
  </si>
  <si>
    <t>CH4</t>
  </si>
  <si>
    <t>N2O</t>
  </si>
  <si>
    <t>F</t>
  </si>
  <si>
    <t>CO_2</t>
  </si>
  <si>
    <t>CH_4</t>
  </si>
  <si>
    <t>N_2O</t>
  </si>
  <si>
    <t>HFCs, PFCs, and SF_6</t>
  </si>
  <si>
    <t>Primary Sources</t>
  </si>
  <si>
    <t>1B</t>
  </si>
  <si>
    <t>1A</t>
  </si>
  <si>
    <t>Fugitive Emissions from Fuels</t>
  </si>
  <si>
    <r>
      <t>Emissions (Mt CO</t>
    </r>
    <r>
      <rPr>
        <b/>
        <vertAlign val="subscript"/>
        <sz val="18"/>
        <color theme="1"/>
        <rFont val="Calibri"/>
        <family val="2"/>
        <scheme val="major"/>
      </rPr>
      <t>2</t>
    </r>
    <r>
      <rPr>
        <b/>
        <sz val="18"/>
        <color theme="1"/>
        <rFont val="Calibri"/>
        <family val="2"/>
        <scheme val="major"/>
      </rPr>
      <t>e)</t>
    </r>
  </si>
  <si>
    <t>Assumed combustion emissions factors</t>
  </si>
  <si>
    <t>Industrial coal EF</t>
  </si>
  <si>
    <t>Diesel EF</t>
  </si>
  <si>
    <t>Natural gas EF</t>
  </si>
  <si>
    <t>GHG</t>
  </si>
  <si>
    <t>Emissions produced</t>
  </si>
  <si>
    <t>Emissions reduction due to CCS</t>
  </si>
  <si>
    <t>Mt CO2e</t>
  </si>
  <si>
    <r>
      <t>Mt CO</t>
    </r>
    <r>
      <rPr>
        <vertAlign val="subscript"/>
        <sz val="10"/>
        <color theme="1"/>
        <rFont val="Cambria"/>
        <family val="1"/>
        <scheme val="minor"/>
      </rPr>
      <t>2</t>
    </r>
    <r>
      <rPr>
        <sz val="10"/>
        <color theme="1"/>
        <rFont val="Cambria"/>
        <family val="1"/>
        <scheme val="minor"/>
      </rPr>
      <t>e</t>
    </r>
  </si>
  <si>
    <t>Combustion emissions</t>
  </si>
  <si>
    <t>X3</t>
  </si>
  <si>
    <t>% pa</t>
  </si>
  <si>
    <t>Metals</t>
  </si>
  <si>
    <t>Minerals</t>
  </si>
  <si>
    <t>Energy industry use / Coke manufacture</t>
  </si>
  <si>
    <t>Energy industry use / Blast furnaces</t>
  </si>
  <si>
    <t>Transformation / Coke manufacture</t>
  </si>
  <si>
    <t>Transformation / Patent fuel manufacture</t>
  </si>
  <si>
    <t>See sheet {Mappings} for mapping of industry classification used here to DUKES classifications</t>
  </si>
  <si>
    <t>Electricity is net of that produced by autogeneration for own use (see DUKES Table 1.9)</t>
  </si>
  <si>
    <t>Domestic lighting and appliances</t>
  </si>
  <si>
    <t>Domestic cooking</t>
  </si>
  <si>
    <t>Commercial space heating</t>
  </si>
  <si>
    <t>Commercial hot water</t>
  </si>
  <si>
    <t>Catering</t>
  </si>
  <si>
    <t xml:space="preserve">1.9  Fuels consumed for electricity generation </t>
  </si>
  <si>
    <r>
      <t xml:space="preserve">      (autogeneration) by main industrial groups</t>
    </r>
    <r>
      <rPr>
        <i/>
        <vertAlign val="superscript"/>
        <sz val="18"/>
        <color indexed="12"/>
        <rFont val="Arial"/>
        <family val="2"/>
      </rPr>
      <t>(1)</t>
    </r>
  </si>
  <si>
    <t xml:space="preserve">Thousand tonnes of oil equivalent </t>
  </si>
  <si>
    <t>(except where shown otherwise)</t>
  </si>
  <si>
    <t>Iron and steel and non-ferrous metals</t>
  </si>
  <si>
    <t xml:space="preserve">   Blast furnace gas </t>
  </si>
  <si>
    <t xml:space="preserve">   Coke oven gas</t>
  </si>
  <si>
    <t xml:space="preserve">   Natural gas</t>
  </si>
  <si>
    <t xml:space="preserve">   Petroleum</t>
  </si>
  <si>
    <r>
      <t xml:space="preserve">   Other (including renewables)</t>
    </r>
    <r>
      <rPr>
        <i/>
        <sz val="8"/>
        <rFont val="Arial"/>
        <family val="2"/>
      </rPr>
      <t xml:space="preserve"> (2)</t>
    </r>
  </si>
  <si>
    <r>
      <t>Total fuel input</t>
    </r>
    <r>
      <rPr>
        <i/>
        <sz val="8.5"/>
        <rFont val="Arial"/>
        <family val="2"/>
      </rPr>
      <t xml:space="preserve"> (3)</t>
    </r>
  </si>
  <si>
    <t>Electricity generated by iron &amp; steel and non-ferrous</t>
  </si>
  <si>
    <r>
      <t xml:space="preserve">metals </t>
    </r>
    <r>
      <rPr>
        <i/>
        <sz val="8.5"/>
        <rFont val="Arial"/>
        <family val="2"/>
      </rPr>
      <t>(4)                                                                     (in GWh)</t>
    </r>
  </si>
  <si>
    <t>Electricity consumed by iron and steel and non-ferrous</t>
  </si>
  <si>
    <r>
      <t>metals from own generation</t>
    </r>
    <r>
      <rPr>
        <i/>
        <sz val="8.5"/>
        <rFont val="Arial"/>
        <family val="2"/>
      </rPr>
      <t xml:space="preserve"> (5)                             (in GWh)</t>
    </r>
  </si>
  <si>
    <r>
      <t>Electricity generated by chemicals</t>
    </r>
    <r>
      <rPr>
        <i/>
        <sz val="8.5"/>
        <rFont val="Arial"/>
        <family val="2"/>
      </rPr>
      <t xml:space="preserve"> (4)</t>
    </r>
  </si>
  <si>
    <r>
      <t xml:space="preserve">                                                                                      </t>
    </r>
    <r>
      <rPr>
        <i/>
        <sz val="8"/>
        <rFont val="Arial"/>
        <family val="2"/>
      </rPr>
      <t xml:space="preserve"> (in GWh)</t>
    </r>
  </si>
  <si>
    <r>
      <t>Electricity consumed by chemicals from own generation</t>
    </r>
    <r>
      <rPr>
        <i/>
        <sz val="8.5"/>
        <rFont val="Arial"/>
        <family val="2"/>
      </rPr>
      <t xml:space="preserve"> (5)</t>
    </r>
  </si>
  <si>
    <t xml:space="preserve">                                                                                       (in GWh)</t>
  </si>
  <si>
    <t>Metal products, machinery and equipment</t>
  </si>
  <si>
    <r>
      <t xml:space="preserve">   Other (including renewables) </t>
    </r>
    <r>
      <rPr>
        <i/>
        <sz val="8"/>
        <rFont val="Arial"/>
        <family val="2"/>
      </rPr>
      <t>(2)</t>
    </r>
  </si>
  <si>
    <r>
      <t xml:space="preserve">Total fuel input </t>
    </r>
    <r>
      <rPr>
        <i/>
        <sz val="8.5"/>
        <rFont val="Arial"/>
        <family val="2"/>
      </rPr>
      <t>(3)</t>
    </r>
  </si>
  <si>
    <t>Electricity generated by metal products, machinery</t>
  </si>
  <si>
    <r>
      <t xml:space="preserve">and equipment </t>
    </r>
    <r>
      <rPr>
        <i/>
        <sz val="8.5"/>
        <rFont val="Arial"/>
        <family val="2"/>
      </rPr>
      <t>(4)                                                      (in GWh)</t>
    </r>
  </si>
  <si>
    <t xml:space="preserve">Electricity consumed by metal products, machinery </t>
  </si>
  <si>
    <r>
      <t xml:space="preserve">and equipment from own generation </t>
    </r>
    <r>
      <rPr>
        <i/>
        <sz val="8.5"/>
        <rFont val="Arial"/>
        <family val="2"/>
      </rPr>
      <t>(5)              (in GWh)</t>
    </r>
  </si>
  <si>
    <t>Food, beverages and tobacco</t>
  </si>
  <si>
    <r>
      <t>Electricity generated by food, beverages and tobacco</t>
    </r>
    <r>
      <rPr>
        <i/>
        <sz val="8.5"/>
        <rFont val="Arial"/>
        <family val="2"/>
      </rPr>
      <t xml:space="preserve"> (4)</t>
    </r>
  </si>
  <si>
    <t>Electricity consumed by food, beverages and tobacco</t>
  </si>
  <si>
    <r>
      <t xml:space="preserve">from own generation </t>
    </r>
    <r>
      <rPr>
        <i/>
        <sz val="8.5"/>
        <rFont val="Arial"/>
        <family val="2"/>
      </rPr>
      <t>(5) (6)                                         (in GWh)</t>
    </r>
  </si>
  <si>
    <t>(1)  Industrial categories used are described in Table 1G.</t>
  </si>
  <si>
    <t>(2)  Includes hydro electricity, solid and gaseous renewables and waste.</t>
  </si>
  <si>
    <t>(3)  Total fuels used for generation of electricity.  Consistent with figures for fuels used by other generators in Table 5.4.</t>
  </si>
  <si>
    <r>
      <t xml:space="preserve">       (autogeneration) by main industrial groups</t>
    </r>
    <r>
      <rPr>
        <i/>
        <vertAlign val="superscript"/>
        <sz val="18"/>
        <color indexed="12"/>
        <rFont val="Arial"/>
        <family val="2"/>
      </rPr>
      <t>(1)</t>
    </r>
    <r>
      <rPr>
        <b/>
        <sz val="18"/>
        <color indexed="12"/>
        <rFont val="Arial"/>
        <family val="2"/>
      </rPr>
      <t xml:space="preserve"> </t>
    </r>
  </si>
  <si>
    <t xml:space="preserve">       (continued)</t>
  </si>
  <si>
    <t>Paper, printing and publishing</t>
  </si>
  <si>
    <r>
      <t xml:space="preserve">Electricity generated by paper, printing and publishing </t>
    </r>
    <r>
      <rPr>
        <i/>
        <sz val="8.5"/>
        <rFont val="Arial"/>
        <family val="2"/>
      </rPr>
      <t>(4)</t>
    </r>
  </si>
  <si>
    <r>
      <t xml:space="preserve">                                                                                       </t>
    </r>
    <r>
      <rPr>
        <i/>
        <sz val="8"/>
        <rFont val="Arial"/>
        <family val="2"/>
      </rPr>
      <t xml:space="preserve"> (in GWh)</t>
    </r>
  </si>
  <si>
    <t xml:space="preserve">Electricity consumed by paper, printing and publishing </t>
  </si>
  <si>
    <r>
      <t xml:space="preserve">from own generation </t>
    </r>
    <r>
      <rPr>
        <i/>
        <sz val="8.5"/>
        <rFont val="Arial"/>
        <family val="2"/>
      </rPr>
      <t>(5)                                           (in GWh)</t>
    </r>
  </si>
  <si>
    <r>
      <t xml:space="preserve">Electricity generated by other industries </t>
    </r>
    <r>
      <rPr>
        <i/>
        <sz val="8.5"/>
        <rFont val="Arial"/>
        <family val="2"/>
      </rPr>
      <t>(4)</t>
    </r>
  </si>
  <si>
    <r>
      <t xml:space="preserve">                                                                                        </t>
    </r>
    <r>
      <rPr>
        <i/>
        <sz val="8"/>
        <rFont val="Arial"/>
        <family val="2"/>
      </rPr>
      <t xml:space="preserve"> (in GWh)</t>
    </r>
  </si>
  <si>
    <t xml:space="preserve">Electricity consumed by other industries from own </t>
  </si>
  <si>
    <r>
      <t>generation</t>
    </r>
    <r>
      <rPr>
        <i/>
        <sz val="8.5"/>
        <rFont val="Arial"/>
        <family val="2"/>
      </rPr>
      <t xml:space="preserve"> (5)                                                             (in GWh)</t>
    </r>
  </si>
  <si>
    <t xml:space="preserve">   Natural gas </t>
  </si>
  <si>
    <r>
      <t>Electricity generated</t>
    </r>
    <r>
      <rPr>
        <i/>
        <sz val="8.5"/>
        <rFont val="Arial"/>
        <family val="2"/>
      </rPr>
      <t xml:space="preserve"> (4)</t>
    </r>
  </si>
  <si>
    <r>
      <t xml:space="preserve">                                                                                       </t>
    </r>
    <r>
      <rPr>
        <i/>
        <sz val="8"/>
        <rFont val="Arial"/>
        <family val="2"/>
      </rPr>
      <t>(in GWh)</t>
    </r>
  </si>
  <si>
    <r>
      <t xml:space="preserve">Electricity consumed from own generation </t>
    </r>
    <r>
      <rPr>
        <i/>
        <sz val="8.5"/>
        <rFont val="Arial"/>
        <family val="2"/>
      </rPr>
      <t>(5)</t>
    </r>
  </si>
  <si>
    <t>(4) Combined heat and power (CHP) generation (ie electrical output from Table 6.8) plus non-chp generation, so that</t>
  </si>
  <si>
    <t xml:space="preserve">     the total electricity generated is consistent with the "other generators" figures in Table 5.6. </t>
  </si>
  <si>
    <t>(5) This is the electricity consumed by the industrial sector from its own generation and is consistent with the other</t>
  </si>
  <si>
    <t xml:space="preserve">     generators final users figures used within the electricity balances (Tables 5.1 and 5.2).  These figures are less than </t>
  </si>
  <si>
    <t xml:space="preserve">      the total generated because some of the electricity is sold to the public distribution system and other users.</t>
  </si>
  <si>
    <t xml:space="preserve">(6) 2007 figure is likley to change. Inconsistencies which occurred during the reclassification of CHP schemes </t>
  </si>
  <si>
    <t xml:space="preserve">      are currently being investigated. </t>
  </si>
  <si>
    <t>(7) The figures presented here are consistent with other figures presented elsewhere in this publication as detailed at</t>
  </si>
  <si>
    <t xml:space="preserve">     (3), (4), and (5) above but are further dissaggregated.  Overall totals  covering all autogenerators can be derived by </t>
  </si>
  <si>
    <t xml:space="preserve">     adding in figures for transport, services and the fuel industries.  These can be summarised as follows:</t>
  </si>
  <si>
    <t>Fuel input</t>
  </si>
  <si>
    <t xml:space="preserve">   All industry</t>
  </si>
  <si>
    <t xml:space="preserve">   Fuel industries</t>
  </si>
  <si>
    <t xml:space="preserve">   Transport, Commerce and Administration</t>
  </si>
  <si>
    <t xml:space="preserve">   Services</t>
  </si>
  <si>
    <t>Total fuel input</t>
  </si>
  <si>
    <t>Electricity generated</t>
  </si>
  <si>
    <t>Electricity consumed</t>
  </si>
  <si>
    <t>Source: GHG Inventory 2009</t>
  </si>
  <si>
    <t>Source: DUKES 2009</t>
  </si>
  <si>
    <t>See module writeup for explanation and assumptions</t>
  </si>
  <si>
    <t>Compute process emissions</t>
  </si>
  <si>
    <t>Energy demand multiplier</t>
  </si>
  <si>
    <t>(i)</t>
  </si>
  <si>
    <t>(ii)</t>
  </si>
  <si>
    <t>(iii)</t>
  </si>
  <si>
    <t>(iv)</t>
  </si>
  <si>
    <t>Compute combustion emissions</t>
  </si>
  <si>
    <t>3. COMBUSTION EMISSIONS</t>
  </si>
  <si>
    <t>Assumed constant</t>
  </si>
  <si>
    <t>Not applicable to the UK</t>
  </si>
  <si>
    <t>COAL PRODUCTION</t>
  </si>
  <si>
    <t>OIL AND GAS PRODUCTION</t>
  </si>
  <si>
    <t>Compute emissions</t>
  </si>
  <si>
    <t>EMISSIONS</t>
  </si>
  <si>
    <t>Emissions notes</t>
  </si>
  <si>
    <t>Fugitive emissions from fuels</t>
  </si>
  <si>
    <t>1B2a</t>
  </si>
  <si>
    <t>1B2b</t>
  </si>
  <si>
    <t>Natural Gas</t>
  </si>
  <si>
    <t>1B1a</t>
  </si>
  <si>
    <t>Coal Mining and Handling</t>
  </si>
  <si>
    <t>1B1b</t>
  </si>
  <si>
    <t>Solid Fuel Transformation</t>
  </si>
  <si>
    <t>1B1c</t>
  </si>
  <si>
    <t>1B2c</t>
  </si>
  <si>
    <t>1B2d</t>
  </si>
  <si>
    <t>Venting and Flaring</t>
  </si>
  <si>
    <t>Majority are methane emissions from coal mining</t>
  </si>
  <si>
    <t>Small compared to 1B1a</t>
  </si>
  <si>
    <t>Small compared to 1B2b and 1B2c</t>
  </si>
  <si>
    <t>Majority are CO2 emissions from flaring</t>
  </si>
  <si>
    <t>Modelled driver is coal production</t>
  </si>
  <si>
    <t>Modelled driver is oil production</t>
  </si>
  <si>
    <t>Majority are methane emissions from distributed gas</t>
  </si>
  <si>
    <t>Modelled driver is gas consumption</t>
  </si>
  <si>
    <t>Compute conversions and losses</t>
  </si>
  <si>
    <t>CONVERSIONS AND LOSSES</t>
  </si>
  <si>
    <t>Emissions from own-use requirements</t>
  </si>
  <si>
    <t>Compute fugitive emissions from production</t>
  </si>
  <si>
    <t>Fugitive emissions from production</t>
  </si>
  <si>
    <t>Methane from coal mining</t>
  </si>
  <si>
    <t>M tonnes</t>
  </si>
  <si>
    <t>Source: GHG Inventory 2009, Table 1.</t>
  </si>
  <si>
    <t>1B2</t>
  </si>
  <si>
    <t>Oil and Natural Gas</t>
  </si>
  <si>
    <t>Methane emissions from 1B1a (Coal Mining) and CO2 emissions from 1B2 (Oil and Gas) respectively</t>
  </si>
  <si>
    <t>Includes distribution losses for gas</t>
  </si>
  <si>
    <t>Hydrocarbon requirements</t>
  </si>
  <si>
    <t>Gas distribution losses</t>
  </si>
  <si>
    <t>DUKES category</t>
  </si>
  <si>
    <t>Other / {Public Administration, Commercial, Miscellaneous}</t>
  </si>
  <si>
    <t>Transformation / Coke Manufacture</t>
  </si>
  <si>
    <t>Supply / Marine bunkers</t>
  </si>
  <si>
    <t>{Transformation, Energy industry use} / Refineries</t>
  </si>
  <si>
    <t>Supply / Indigenous production</t>
  </si>
  <si>
    <t>Transformation / Electricity generation</t>
  </si>
  <si>
    <t>Supply / Indigenous production, Transformation / Electricity generation</t>
  </si>
  <si>
    <t>Supply / {Imports, Exports}</t>
  </si>
  <si>
    <t>Energy industry use / Pumped storage</t>
  </si>
  <si>
    <t>Energy industry use / Losses (Electricity)</t>
  </si>
  <si>
    <t>Energy industry use / Losses (Natural gas)</t>
  </si>
  <si>
    <t>Supply / Indigenous production (Renewables and waste)</t>
  </si>
  <si>
    <t>Requested hydrocarbons</t>
  </si>
  <si>
    <t>Fugitive emissions from gas</t>
  </si>
  <si>
    <t>Source: Greenhouse Gas Inventory 2009, Table 1</t>
  </si>
  <si>
    <t>Based on ratio of actual 2007 distribution losses to calculated 2007 primary demand (from DUKES 2009)</t>
  </si>
  <si>
    <t>Supply / Indigenous production,</t>
  </si>
  <si>
    <t>Energy industry use / {Oil and gas extraction, Coal extraction}</t>
  </si>
  <si>
    <t>Coal required</t>
  </si>
  <si>
    <t>Gasesous hydrocarbon required</t>
  </si>
  <si>
    <t>+</t>
  </si>
  <si>
    <t>distribution losses</t>
  </si>
  <si>
    <t>Natural gas required</t>
  </si>
  <si>
    <t>Losses in gas distribution are made up of metering differences, leakage, own use, and theft (see DUKES 2009 paragraph 4.50)</t>
  </si>
  <si>
    <t>We assume leakage is what is computed by the IPCC emissions sector 1B2b (fugitive emissions). These are assumed to be proportional to consumption</t>
  </si>
  <si>
    <t>% of total consumption</t>
  </si>
  <si>
    <t>Dummy for charting uses</t>
  </si>
  <si>
    <t>Dummy for charting supply</t>
  </si>
  <si>
    <t>Incomplete</t>
  </si>
  <si>
    <t>Edible</t>
  </si>
  <si>
    <t>Straw, SRC, other plant-based biomass</t>
  </si>
  <si>
    <t>Supply / {Indigenous production, Stock change}, excludes non-energy use</t>
  </si>
  <si>
    <t>Fugitive methane from coal mining</t>
  </si>
  <si>
    <t>Fugitive CO2 from Oil and Gas production</t>
  </si>
  <si>
    <t>Combustion emissions from own use</t>
  </si>
  <si>
    <t>Supply / demand not accounted for</t>
  </si>
  <si>
    <t>Total unnaccounted supply / demand</t>
  </si>
  <si>
    <t>Total electricity grid</t>
  </si>
  <si>
    <t>Electricity Generation</t>
  </si>
  <si>
    <t>Max</t>
  </si>
  <si>
    <t>Technology package</t>
  </si>
  <si>
    <t>Start year</t>
  </si>
  <si>
    <t>Technology penetration</t>
  </si>
  <si>
    <t>% of households</t>
  </si>
  <si>
    <t>Total households</t>
  </si>
  <si>
    <t>New households since last period</t>
  </si>
  <si>
    <t>Retirement of legacy capacity</t>
  </si>
  <si>
    <t>Nuclear fission</t>
  </si>
  <si>
    <t>See module writeup for assumptions</t>
  </si>
  <si>
    <r>
      <t>m</t>
    </r>
    <r>
      <rPr>
        <vertAlign val="superscript"/>
        <sz val="10"/>
        <color theme="1"/>
        <rFont val="Cambria"/>
        <family val="1"/>
        <scheme val="minor"/>
      </rPr>
      <t>2</t>
    </r>
  </si>
  <si>
    <t>UK incident solar energy, annual average</t>
  </si>
  <si>
    <t>Assumption</t>
  </si>
  <si>
    <t>Units</t>
  </si>
  <si>
    <t>Value</t>
  </si>
  <si>
    <r>
      <t>W / m</t>
    </r>
    <r>
      <rPr>
        <vertAlign val="superscript"/>
        <sz val="10"/>
        <color theme="1"/>
        <rFont val="Cambria"/>
        <family val="1"/>
        <scheme val="minor"/>
      </rPr>
      <t>2</t>
    </r>
  </si>
  <si>
    <t>Solar energy:</t>
  </si>
  <si>
    <r>
      <t xml:space="preserve">MacKay, </t>
    </r>
    <r>
      <rPr>
        <i/>
        <sz val="10"/>
        <color theme="1"/>
        <rFont val="Cambria"/>
        <family val="1"/>
        <scheme val="minor"/>
      </rPr>
      <t>Sustainable Energy -- without the hot air</t>
    </r>
    <r>
      <rPr>
        <sz val="10"/>
        <color theme="1"/>
        <rFont val="Cambria"/>
        <family val="1"/>
        <scheme val="minor"/>
      </rPr>
      <t xml:space="preserve">; originally from NASA, </t>
    </r>
    <r>
      <rPr>
        <i/>
        <sz val="10"/>
        <color theme="1"/>
        <rFont val="Cambria"/>
        <family val="1"/>
        <scheme val="minor"/>
      </rPr>
      <t>Surface meteorology and Solar Energy</t>
    </r>
  </si>
  <si>
    <t>UK incident solar energy, south-facing roof</t>
  </si>
  <si>
    <t>Conversion efficiency</t>
  </si>
  <si>
    <t>Installed area</t>
  </si>
  <si>
    <t>Incident power</t>
  </si>
  <si>
    <t>Available solar energy</t>
  </si>
  <si>
    <t>Efficiency</t>
  </si>
  <si>
    <t>Available supply</t>
  </si>
  <si>
    <r>
      <t>m</t>
    </r>
    <r>
      <rPr>
        <i/>
        <vertAlign val="superscript"/>
        <sz val="10"/>
        <color theme="1"/>
        <rFont val="Cambria"/>
        <family val="1"/>
        <scheme val="minor"/>
      </rPr>
      <t>2</t>
    </r>
  </si>
  <si>
    <t>(ii) Housing thermal efficiency</t>
  </si>
  <si>
    <t>(i) Mean internal temperature</t>
  </si>
  <si>
    <t>(ii) Housing insulation: Average heat loss per house</t>
  </si>
  <si>
    <t>(iii) Hot water demand per household</t>
  </si>
  <si>
    <t>Growth rate pa</t>
  </si>
  <si>
    <t>Domestic space heating and hot water</t>
  </si>
  <si>
    <t>Technology efficiencies -- space heating</t>
  </si>
  <si>
    <t>Technology efficiencies -- hot water</t>
  </si>
  <si>
    <t>Gas boiler (old)</t>
  </si>
  <si>
    <t>Gas boiler (new)</t>
  </si>
  <si>
    <t>% of input energy</t>
  </si>
  <si>
    <t>Stirling engine μCHP</t>
  </si>
  <si>
    <t>Air-source heat pump</t>
  </si>
  <si>
    <t>Ground-source heat pump</t>
  </si>
  <si>
    <t>District heating from power stations</t>
  </si>
  <si>
    <t>Includes solid biomass boilers, wood-burning stoves, biomass-fired community heating</t>
  </si>
  <si>
    <t>Includes community CHP</t>
  </si>
  <si>
    <t>Mix of "new" and "old" gas boilers estimated from % of gas/oil boilers that are condensing boilers.</t>
  </si>
  <si>
    <t>Chosen</t>
  </si>
  <si>
    <t>Chosen technology pathway</t>
  </si>
  <si>
    <t>Total added</t>
  </si>
  <si>
    <t>Technology new installation status [start date passed]</t>
  </si>
  <si>
    <t>Installations per year, following period</t>
  </si>
  <si>
    <t>Installed technologies</t>
  </si>
  <si>
    <t>New build installations</t>
  </si>
  <si>
    <t>New installations, current housing stock</t>
  </si>
  <si>
    <t>Households since last period</t>
  </si>
  <si>
    <t>Total installations</t>
  </si>
  <si>
    <t>Old installations removed, current housing stock</t>
  </si>
  <si>
    <t>Total removals</t>
  </si>
  <si>
    <t>Assumed to grow at same rate as number of households</t>
  </si>
  <si>
    <t>Supply hot water with solar thermal (if any)</t>
  </si>
  <si>
    <t>Hot water demand</t>
  </si>
  <si>
    <t>Hot water demand per household</t>
  </si>
  <si>
    <t>Total space heating demand</t>
  </si>
  <si>
    <t>Residual hot water demand</t>
  </si>
  <si>
    <t>Supply residual hot water with given technologies</t>
  </si>
  <si>
    <t>Supply space heating with given technologies</t>
  </si>
  <si>
    <t>Compute seasonal space heating demand</t>
  </si>
  <si>
    <t>Compute total energy demand by vector</t>
  </si>
  <si>
    <t>See module writeup</t>
  </si>
  <si>
    <r>
      <t xml:space="preserve">Source: Estimated from BRE </t>
    </r>
    <r>
      <rPr>
        <i/>
        <sz val="10"/>
        <color theme="1"/>
        <rFont val="Cambria"/>
        <family val="1"/>
        <scheme val="minor"/>
      </rPr>
      <t>Domestic Energy Fact File 2008</t>
    </r>
    <r>
      <rPr>
        <sz val="10"/>
        <color theme="1"/>
        <rFont val="Cambria"/>
        <family val="1"/>
        <scheme val="minor"/>
      </rPr>
      <t>, figure 36, assuming 20m households</t>
    </r>
  </si>
  <si>
    <t>Useful heat gains per household, estimated</t>
  </si>
  <si>
    <t>Metabolic</t>
  </si>
  <si>
    <t>Estimated internal gains</t>
  </si>
  <si>
    <t>Household demand net of internal gains</t>
  </si>
  <si>
    <t>Scaled by L&amp;A demand</t>
  </si>
  <si>
    <t>Scaled by hot water demand</t>
  </si>
  <si>
    <t>Total internal gains</t>
  </si>
  <si>
    <t>Commercial heating and cooling</t>
  </si>
  <si>
    <t>Growth pa</t>
  </si>
  <si>
    <t>Energy form</t>
  </si>
  <si>
    <t>IV.b</t>
  </si>
  <si>
    <t>Domestic solar thermal</t>
  </si>
  <si>
    <t>V.11</t>
  </si>
  <si>
    <t>Solar thermal heat, used for hot water</t>
  </si>
  <si>
    <t>Used solar thermal heating</t>
  </si>
  <si>
    <t>Total electricity supply (demand) to this point</t>
  </si>
  <si>
    <t>Total electricity supply (demand) prior to generation</t>
  </si>
  <si>
    <t>XVII</t>
  </si>
  <si>
    <t>District heating effective demand</t>
  </si>
  <si>
    <t>XVII.a</t>
  </si>
  <si>
    <t>Converts heat demand to equivalent electric demand</t>
  </si>
  <si>
    <t>Total heatsupply (demand) to this point</t>
  </si>
  <si>
    <t>District heating demand</t>
  </si>
  <si>
    <t>z Factor</t>
  </si>
  <si>
    <t>z Factor converts district heating demand into an effective increase in demand for electricity</t>
  </si>
  <si>
    <t>Transfer heat demand from heat transport to increase in electricity demanded from thermal plant. Balancing term goes in "conversion losses"</t>
  </si>
  <si>
    <t>Heat transport required</t>
  </si>
  <si>
    <r>
      <rPr>
        <sz val="10"/>
        <color theme="1"/>
        <rFont val="Cambria"/>
        <family val="1"/>
      </rPr>
      <t>÷</t>
    </r>
    <r>
      <rPr>
        <sz val="10"/>
        <color theme="1"/>
        <rFont val="Cambria"/>
        <family val="1"/>
        <scheme val="minor"/>
      </rPr>
      <t/>
    </r>
  </si>
  <si>
    <t>Effective electricity required</t>
  </si>
  <si>
    <t>"Conversion losses"</t>
  </si>
  <si>
    <t>Mode</t>
  </si>
  <si>
    <t>Passenger-km (bn)</t>
  </si>
  <si>
    <t>(i) Demand</t>
  </si>
  <si>
    <t>Trajectory</t>
  </si>
  <si>
    <t>Trajectory choice</t>
  </si>
  <si>
    <t>Trajectory assumptions</t>
  </si>
  <si>
    <t>Overall Trajectory</t>
  </si>
  <si>
    <t>Trajectory selection</t>
  </si>
  <si>
    <t>Choice of Trajectory</t>
  </si>
  <si>
    <t>Trajectory forecast a rise in mean winter / spring / summer / autumn  temperature of approx. 2 / 2.25 / 2.5 / 2.25 °C by 2050 compared to 1960-1990 average</t>
  </si>
  <si>
    <t>Trajectories 1-4 assume effect of smart meters of 0, 5, 10, 15% respectively</t>
  </si>
  <si>
    <t>Pedal cycles</t>
  </si>
  <si>
    <t>Total Passenger-km</t>
  </si>
  <si>
    <t>Breakdown, passenger-km</t>
  </si>
  <si>
    <t>Domestic passenger transport</t>
  </si>
  <si>
    <t>Domestic freight</t>
  </si>
  <si>
    <t>CAR</t>
  </si>
  <si>
    <t>BUS</t>
  </si>
  <si>
    <t>BIKE</t>
  </si>
  <si>
    <t>RAIL</t>
  </si>
  <si>
    <t>AIR</t>
  </si>
  <si>
    <t>ICE</t>
  </si>
  <si>
    <t>EV</t>
  </si>
  <si>
    <t>FCV</t>
  </si>
  <si>
    <t>Breakdown by mode</t>
  </si>
  <si>
    <r>
      <t xml:space="preserve">In our model, </t>
    </r>
    <r>
      <rPr>
        <i/>
        <sz val="10"/>
        <color theme="1"/>
        <rFont val="Cambria"/>
        <family val="1"/>
        <scheme val="minor"/>
      </rPr>
      <t>includes</t>
    </r>
    <r>
      <rPr>
        <sz val="10"/>
        <color theme="1"/>
        <rFont val="Cambria"/>
        <family val="1"/>
        <scheme val="minor"/>
      </rPr>
      <t xml:space="preserve"> biofuel combustion emissions. See sector X2</t>
    </r>
  </si>
  <si>
    <t>Sequestration due to bioenergy crops should be included under X2</t>
  </si>
  <si>
    <t>X1 is not an IPCC sectoral code. Includes domestic aviation</t>
  </si>
  <si>
    <t>Mt CO2</t>
  </si>
  <si>
    <t>Passenger-km per person</t>
  </si>
  <si>
    <t>(i) Total travel demand / person</t>
  </si>
  <si>
    <t>km</t>
  </si>
  <si>
    <t>bn passenger-km</t>
  </si>
  <si>
    <t>bn vehicle-km</t>
  </si>
  <si>
    <t>1. Aviation fuel</t>
  </si>
  <si>
    <t>2. Combustion emissions</t>
  </si>
  <si>
    <t>Source: DfT estimates</t>
  </si>
  <si>
    <t>National navigation, energy use</t>
  </si>
  <si>
    <t>Road freight</t>
  </si>
  <si>
    <t>Compute energy content of diesel rail</t>
  </si>
  <si>
    <t>Select electric rail scenario</t>
  </si>
  <si>
    <t>Compute energy content of diesel road</t>
  </si>
  <si>
    <t>Rail freight</t>
  </si>
  <si>
    <t>HGV Internal Combustion Engine Efficiency</t>
  </si>
  <si>
    <t>Select marine energy scenario</t>
  </si>
  <si>
    <t>Average of Rigid and Articulated efficiency, at 50/50 split, adjusted to gross-calorific values</t>
  </si>
  <si>
    <t>2007 value from total energy consumption and vehicle-km for HGVs from TSGB</t>
  </si>
  <si>
    <t>Rail freight, diesel fuel use</t>
  </si>
  <si>
    <t>Rail freight, electricity use</t>
  </si>
  <si>
    <t>Diesel-fuelled</t>
  </si>
  <si>
    <t>Source: DUKES 2009, international split estimated</t>
  </si>
  <si>
    <t>Aviation fuel use, growth</t>
  </si>
  <si>
    <r>
      <rPr>
        <i/>
        <sz val="10"/>
        <color theme="1"/>
        <rFont val="Cambria"/>
        <family val="1"/>
        <scheme val="minor"/>
      </rPr>
      <t>per annum</t>
    </r>
    <r>
      <rPr>
        <sz val="10"/>
        <color theme="1"/>
        <rFont val="Cambria"/>
        <family val="1"/>
        <scheme val="minor"/>
      </rPr>
      <t>, following period</t>
    </r>
  </si>
  <si>
    <t>Growth rate</t>
  </si>
  <si>
    <t>per annum</t>
  </si>
  <si>
    <t>Estimates from DfT</t>
  </si>
  <si>
    <t>International bunkers (CO2 only)</t>
  </si>
  <si>
    <t>Excluding international bunkers</t>
  </si>
  <si>
    <t>Post-2030 figures extrapolated at 2010-2030 growth rate</t>
  </si>
  <si>
    <t xml:space="preserve">Source: 2007 data estimates from DUKES. Growth rates reflect CCC scenarios as supplied by DfT. </t>
  </si>
  <si>
    <t>Passenger-km per person per year</t>
  </si>
  <si>
    <t>DfT estimates, grossed up to include walking, motorcycles and domestic air transport</t>
  </si>
  <si>
    <r>
      <t xml:space="preserve">2007 modal shares from DfT, </t>
    </r>
    <r>
      <rPr>
        <i/>
        <sz val="10"/>
        <color theme="1"/>
        <rFont val="Cambria"/>
        <family val="1"/>
        <scheme val="minor"/>
      </rPr>
      <t>Transport Statistics Great Britain</t>
    </r>
    <r>
      <rPr>
        <sz val="10"/>
        <color theme="1"/>
        <rFont val="Cambria"/>
        <family val="1"/>
        <scheme val="minor"/>
      </rPr>
      <t>, 2009. Table 1.1; walking share from Table 1.3</t>
    </r>
  </si>
  <si>
    <t>WALK</t>
  </si>
  <si>
    <t>Walking</t>
  </si>
  <si>
    <t>Cars, Vans, and Motorcycles</t>
  </si>
  <si>
    <t>Buses</t>
  </si>
  <si>
    <t>Railways</t>
  </si>
  <si>
    <t>Domestic air travel</t>
  </si>
  <si>
    <t>% of passenger-km</t>
  </si>
  <si>
    <t>DIESEL</t>
  </si>
  <si>
    <t>ELECTRIC</t>
  </si>
  <si>
    <r>
      <t xml:space="preserve">Source: DUKES 2009, DfT </t>
    </r>
    <r>
      <rPr>
        <i/>
        <sz val="10"/>
        <color theme="1"/>
        <rFont val="Cambria"/>
        <family val="1"/>
        <scheme val="minor"/>
      </rPr>
      <t>Transport Statistics Great Britain</t>
    </r>
    <r>
      <rPr>
        <sz val="10"/>
        <color theme="1"/>
        <rFont val="Cambria"/>
        <family val="1"/>
        <scheme val="minor"/>
      </rPr>
      <t>, 2009</t>
    </r>
  </si>
  <si>
    <t>Mode shares</t>
  </si>
  <si>
    <t>Technology penetrations by mode</t>
  </si>
  <si>
    <t>Pathway</t>
  </si>
  <si>
    <t>Compute passenger-km by mode</t>
  </si>
  <si>
    <t>Compute passenger-km by mode / technology</t>
  </si>
  <si>
    <t>Compute energy use by mode and vector</t>
  </si>
  <si>
    <t>Breakdown, by mode and technology</t>
  </si>
  <si>
    <t>% passenger-km</t>
  </si>
  <si>
    <t>Petrol / Diesel</t>
  </si>
  <si>
    <t>Compute transport demand and emissions</t>
  </si>
  <si>
    <t>Non-traction electricity use</t>
  </si>
  <si>
    <t>About half of the electricty consumed by the rail network is used for non-traction purposes. We have assumed that this energy demand</t>
  </si>
  <si>
    <t>Includes non-traction use</t>
  </si>
  <si>
    <t>Oil and petroleum products</t>
  </si>
  <si>
    <t>LULUCF</t>
  </si>
  <si>
    <t>A</t>
  </si>
  <si>
    <t>B</t>
  </si>
  <si>
    <t>C</t>
  </si>
  <si>
    <t>D</t>
  </si>
  <si>
    <t>Waste arising</t>
  </si>
  <si>
    <t>Type</t>
  </si>
  <si>
    <t>MSW</t>
  </si>
  <si>
    <t>Municiple Solid Waste</t>
  </si>
  <si>
    <t>Commerical and Industrial</t>
  </si>
  <si>
    <t>[1b]</t>
  </si>
  <si>
    <t>Sewage sludge</t>
  </si>
  <si>
    <t>C&amp;I</t>
  </si>
  <si>
    <t>% of residual, by source</t>
  </si>
  <si>
    <t>Biogenic, dry</t>
  </si>
  <si>
    <t>Biogenic, wet</t>
  </si>
  <si>
    <t>Non-biogenic, combustible</t>
  </si>
  <si>
    <t>odt, millions</t>
  </si>
  <si>
    <t>Energy</t>
  </si>
  <si>
    <t>Solid</t>
  </si>
  <si>
    <t>Sewage. dry</t>
  </si>
  <si>
    <t>Scenario</t>
  </si>
  <si>
    <t>Total waste arising</t>
  </si>
  <si>
    <t>Source</t>
  </si>
  <si>
    <t>EF</t>
  </si>
  <si>
    <t>Available for energy</t>
  </si>
  <si>
    <r>
      <t>Mt CO</t>
    </r>
    <r>
      <rPr>
        <b/>
        <vertAlign val="subscript"/>
        <sz val="10"/>
        <color theme="1"/>
        <rFont val="Cambria"/>
        <family val="1"/>
        <scheme val="minor"/>
      </rPr>
      <t>2</t>
    </r>
    <r>
      <rPr>
        <b/>
        <sz val="10"/>
        <color theme="1"/>
        <rFont val="Cambria"/>
        <family val="1"/>
        <scheme val="minor"/>
      </rPr>
      <t>e</t>
    </r>
  </si>
  <si>
    <t>GCV of methane</t>
  </si>
  <si>
    <t>GCV</t>
  </si>
  <si>
    <r>
      <t>From DUKES GCV of natural gas (produced), assuming density of 0.717 kg/m</t>
    </r>
    <r>
      <rPr>
        <vertAlign val="superscript"/>
        <sz val="10"/>
        <rFont val="Cambria"/>
        <family val="1"/>
        <scheme val="minor"/>
      </rPr>
      <t>3</t>
    </r>
  </si>
  <si>
    <r>
      <t>Mt CH</t>
    </r>
    <r>
      <rPr>
        <b/>
        <vertAlign val="subscript"/>
        <sz val="10"/>
        <color theme="1"/>
        <rFont val="Cambria"/>
        <family val="1"/>
        <scheme val="minor"/>
      </rPr>
      <t>4</t>
    </r>
  </si>
  <si>
    <t>Methane from landfills</t>
  </si>
  <si>
    <t>Sewage sludge arising</t>
  </si>
  <si>
    <t>Methane emissions from sewage</t>
  </si>
  <si>
    <t>Nitrous oxide emissions from sewage</t>
  </si>
  <si>
    <t>Primary supply, format for web-based interface</t>
  </si>
  <si>
    <t>Trajectory Descriptions</t>
  </si>
  <si>
    <t>Dry biomatter and waste</t>
  </si>
  <si>
    <t>Wet biomatter and waste</t>
  </si>
  <si>
    <t>All forms of waste</t>
  </si>
  <si>
    <t>V.12</t>
  </si>
  <si>
    <t>Emissions credit for injection of biogas into system</t>
  </si>
  <si>
    <t>Land use</t>
  </si>
  <si>
    <t>Settlements</t>
  </si>
  <si>
    <t>Forests</t>
  </si>
  <si>
    <t>"Carrying on"</t>
  </si>
  <si>
    <t>"Breakthrough"</t>
  </si>
  <si>
    <t>"Biomass"</t>
  </si>
  <si>
    <t>Crop</t>
  </si>
  <si>
    <t>Livestock numbers</t>
  </si>
  <si>
    <t>Dairy cows</t>
  </si>
  <si>
    <t>Poultry</t>
  </si>
  <si>
    <t>E</t>
  </si>
  <si>
    <t>G</t>
  </si>
  <si>
    <t>Livestock numbers, base year</t>
  </si>
  <si>
    <t>Thousand head</t>
  </si>
  <si>
    <t>All other</t>
  </si>
  <si>
    <t>Yields, base year</t>
  </si>
  <si>
    <t>Straw from food / biocrops</t>
  </si>
  <si>
    <t>Wood from managed forests</t>
  </si>
  <si>
    <t>Manure, (non-poultry livestock)</t>
  </si>
  <si>
    <t>odt / head</t>
  </si>
  <si>
    <t>Animal</t>
  </si>
  <si>
    <t>Meat (non-poultry livestock)</t>
  </si>
  <si>
    <t>kg / head</t>
  </si>
  <si>
    <t>Meat (poultry)</t>
  </si>
  <si>
    <t>kg / bird</t>
  </si>
  <si>
    <t>Milk</t>
  </si>
  <si>
    <t>litres / cow</t>
  </si>
  <si>
    <t>Eggs</t>
  </si>
  <si>
    <t>eggs / chicken</t>
  </si>
  <si>
    <t>Yield intensities</t>
  </si>
  <si>
    <t>Various units (output per unit of productive capacity)</t>
  </si>
  <si>
    <t>Enteric fermentation</t>
  </si>
  <si>
    <t>Manure management</t>
  </si>
  <si>
    <t>Soil management</t>
  </si>
  <si>
    <t>Compute production of waste</t>
  </si>
  <si>
    <t>Manure</t>
  </si>
  <si>
    <t>Straw</t>
  </si>
  <si>
    <t>Grain / beet crops</t>
  </si>
  <si>
    <t>million  odt</t>
  </si>
  <si>
    <t>million odt</t>
  </si>
  <si>
    <t>Effective efficiency</t>
  </si>
  <si>
    <t>Manure arising</t>
  </si>
  <si>
    <t>Fraction collected</t>
  </si>
  <si>
    <t>Straw collection</t>
  </si>
  <si>
    <t>% collected</t>
  </si>
  <si>
    <t>Manure collection</t>
  </si>
  <si>
    <t>Manure, fraction deposited as slurry</t>
  </si>
  <si>
    <t>Fraction deposited as slurry</t>
  </si>
  <si>
    <t>Energy (grain / beet biocrops)</t>
  </si>
  <si>
    <t>Energy (SRC biocrops)</t>
  </si>
  <si>
    <t>Energy (straw)</t>
  </si>
  <si>
    <t>Energy (wood waste)</t>
  </si>
  <si>
    <t>Energy (manure)</t>
  </si>
  <si>
    <t>Soil use</t>
  </si>
  <si>
    <t>Total emissions</t>
  </si>
  <si>
    <t>Kyoto agreed sectors</t>
  </si>
  <si>
    <t>Actuals, GHG Inv.</t>
  </si>
  <si>
    <t>Available biomatter</t>
  </si>
  <si>
    <t>Waste conversion scenarios</t>
  </si>
  <si>
    <t>From:</t>
  </si>
  <si>
    <t>% efficiency</t>
  </si>
  <si>
    <t>Source: Project 2050 estimates</t>
  </si>
  <si>
    <t>Conversion efficiencies [1]</t>
  </si>
  <si>
    <t>Dry to solids by pelletisation</t>
  </si>
  <si>
    <t>Dry to gas by gasification and methanation; Wet to gas by anaerobic digestion</t>
  </si>
  <si>
    <t>Convert dry biomatter</t>
  </si>
  <si>
    <t>Convert wet biomatter</t>
  </si>
  <si>
    <t>conversion efficiency</t>
  </si>
  <si>
    <t>Compute emissions credit</t>
  </si>
  <si>
    <t>Baseline energy consumption (2007) [1]</t>
  </si>
  <si>
    <t>Basline GHG emissions (2007) [2]</t>
  </si>
  <si>
    <t>Growth in energy demand multiplier</t>
  </si>
  <si>
    <t>Growth in output index [1]</t>
  </si>
  <si>
    <t>Output index is based on ONS Output and is indexed to 2007=100</t>
  </si>
  <si>
    <t>Output index</t>
  </si>
  <si>
    <t>2007=100</t>
  </si>
  <si>
    <t>DIESEL RAIL</t>
  </si>
  <si>
    <t>ELECTRIC RAIL</t>
  </si>
  <si>
    <t>COMBUSTION EMISSIONS</t>
  </si>
  <si>
    <t>Growth, pa</t>
  </si>
  <si>
    <t>Energy split by vector</t>
  </si>
  <si>
    <t>Compute energy demand by vector</t>
  </si>
  <si>
    <t>1. ENERGY DEMAND BY VECTOR</t>
  </si>
  <si>
    <t>Total energy use = output index × demand multiplier</t>
  </si>
  <si>
    <r>
      <t xml:space="preserve">Demand by vector = Total </t>
    </r>
    <r>
      <rPr>
        <i/>
        <sz val="10"/>
        <color theme="1"/>
        <rFont val="Arial"/>
        <family val="2"/>
      </rPr>
      <t>×</t>
    </r>
    <r>
      <rPr>
        <i/>
        <sz val="10"/>
        <color theme="1"/>
        <rFont val="Cambria"/>
        <family val="1"/>
      </rPr>
      <t xml:space="preserve"> split by vector</t>
    </r>
  </si>
  <si>
    <t>2. PROCESS EMISSIONS</t>
  </si>
  <si>
    <t>Growth in process emissions intensity</t>
  </si>
  <si>
    <t>Process emissions intensity</t>
  </si>
  <si>
    <t>Multiple of 2007 emissions per unit output index</t>
  </si>
  <si>
    <t>Total F-gases</t>
  </si>
  <si>
    <r>
      <t>Total N</t>
    </r>
    <r>
      <rPr>
        <b/>
        <vertAlign val="subscript"/>
        <sz val="10"/>
        <color theme="1"/>
        <rFont val="Cambria"/>
        <family val="1"/>
        <scheme val="minor"/>
      </rPr>
      <t>2</t>
    </r>
    <r>
      <rPr>
        <b/>
        <sz val="10"/>
        <color theme="1"/>
        <rFont val="Cambria"/>
        <family val="1"/>
        <scheme val="minor"/>
      </rPr>
      <t>O</t>
    </r>
  </si>
  <si>
    <r>
      <t>Total CH</t>
    </r>
    <r>
      <rPr>
        <b/>
        <vertAlign val="subscript"/>
        <sz val="10"/>
        <color theme="1"/>
        <rFont val="Cambria"/>
        <family val="1"/>
        <scheme val="minor"/>
      </rPr>
      <t>4</t>
    </r>
  </si>
  <si>
    <r>
      <t>Total CO</t>
    </r>
    <r>
      <rPr>
        <b/>
        <vertAlign val="subscript"/>
        <sz val="10"/>
        <color theme="1"/>
        <rFont val="Cambria"/>
        <family val="1"/>
        <scheme val="minor"/>
      </rPr>
      <t>2</t>
    </r>
  </si>
  <si>
    <t>Compute CCS impact</t>
  </si>
  <si>
    <r>
      <t>Mt CO</t>
    </r>
    <r>
      <rPr>
        <vertAlign val="subscript"/>
        <sz val="10"/>
        <color theme="1"/>
        <rFont val="Cambria"/>
        <family val="1"/>
        <scheme val="minor"/>
      </rPr>
      <t>2</t>
    </r>
    <r>
      <rPr>
        <sz val="10"/>
        <color theme="1"/>
        <rFont val="Cambria"/>
        <family val="1"/>
        <scheme val="minor"/>
      </rPr>
      <t>e</t>
    </r>
  </si>
  <si>
    <t>4.CCS</t>
  </si>
  <si>
    <r>
      <t>% of emitted CO</t>
    </r>
    <r>
      <rPr>
        <vertAlign val="subscript"/>
        <sz val="10"/>
        <color theme="1"/>
        <rFont val="Cambria"/>
        <family val="1"/>
        <scheme val="minor"/>
      </rPr>
      <t>2</t>
    </r>
    <r>
      <rPr>
        <sz val="10"/>
        <color theme="1"/>
        <rFont val="Cambria"/>
        <family val="1"/>
        <scheme val="minor"/>
      </rPr>
      <t xml:space="preserve"> (process and combustion, excluding industry group "Other")</t>
    </r>
  </si>
  <si>
    <t>fraction captured</t>
  </si>
  <si>
    <t>Of which, demand by vector from "Other"</t>
  </si>
  <si>
    <r>
      <t>Of which, CO</t>
    </r>
    <r>
      <rPr>
        <vertAlign val="subscript"/>
        <sz val="10"/>
        <color theme="1"/>
        <rFont val="Cambria"/>
        <family val="1"/>
        <scheme val="minor"/>
      </rPr>
      <t>2</t>
    </r>
    <r>
      <rPr>
        <sz val="10"/>
        <color theme="1"/>
        <rFont val="Cambria"/>
        <family val="1"/>
        <scheme val="minor"/>
      </rPr>
      <t xml:space="preserve"> from "Other"</t>
    </r>
  </si>
  <si>
    <t>Total CO2 emitted, combustion, excl. "Other"</t>
  </si>
  <si>
    <t>CO2 captured, combustion</t>
  </si>
  <si>
    <t>CO2 captured, process</t>
  </si>
  <si>
    <t>Total CO2 emitted, process emissions</t>
  </si>
  <si>
    <t>Nuclear availability assumed to be 84.4% post-2007 (from DTI); load factor post 2010 assumes some flexibility of nuclear plant used</t>
  </si>
  <si>
    <t>% of production</t>
  </si>
  <si>
    <t>X2 is not an IPCC sectoral code. CO2 "credit" from bioenergy</t>
  </si>
  <si>
    <t>Post 2007 figures are 2008 figures, assumed to be constant</t>
  </si>
  <si>
    <t>Legacy capacity (built prior to end 2007)</t>
  </si>
  <si>
    <t>Onshore wind, new build</t>
  </si>
  <si>
    <t>Onshore wind, retirement</t>
  </si>
  <si>
    <t>Offshore wind, new build</t>
  </si>
  <si>
    <t>Offshore wind, retirement</t>
  </si>
  <si>
    <t>Coal+CCS, retirement</t>
  </si>
  <si>
    <t>Nuclear, new build</t>
  </si>
  <si>
    <t>Fuel use, shipping</t>
  </si>
  <si>
    <t>1. MARINE FUEL</t>
  </si>
  <si>
    <t>2. COMBUSTION EMISSIONS</t>
  </si>
  <si>
    <t>Energy generation</t>
  </si>
  <si>
    <t>IV.c</t>
  </si>
  <si>
    <r>
      <t>Mt CO</t>
    </r>
    <r>
      <rPr>
        <vertAlign val="subscript"/>
        <sz val="10"/>
        <color theme="1"/>
        <rFont val="Cambria"/>
        <family val="1"/>
        <scheme val="minor"/>
      </rPr>
      <t>2</t>
    </r>
    <r>
      <rPr>
        <sz val="10"/>
        <color theme="1"/>
        <rFont val="Cambria"/>
        <family val="1"/>
        <scheme val="minor"/>
      </rPr>
      <t xml:space="preserve"> per year</t>
    </r>
  </si>
  <si>
    <r>
      <t>CO</t>
    </r>
    <r>
      <rPr>
        <b/>
        <vertAlign val="subscript"/>
        <sz val="10"/>
        <color theme="1"/>
        <rFont val="Cambria"/>
        <family val="1"/>
        <scheme val="minor"/>
      </rPr>
      <t>2</t>
    </r>
    <r>
      <rPr>
        <b/>
        <sz val="10"/>
        <color theme="1"/>
        <rFont val="Cambria"/>
        <family val="1"/>
        <scheme val="minor"/>
      </rPr>
      <t xml:space="preserve"> sequestered, mechanical air capture, domestic [1]</t>
    </r>
  </si>
  <si>
    <r>
      <t>CO</t>
    </r>
    <r>
      <rPr>
        <b/>
        <vertAlign val="subscript"/>
        <sz val="10"/>
        <color theme="1"/>
        <rFont val="Cambria"/>
        <family val="1"/>
        <scheme val="minor"/>
      </rPr>
      <t>2</t>
    </r>
    <r>
      <rPr>
        <b/>
        <sz val="10"/>
        <color theme="1"/>
        <rFont val="Cambria"/>
        <family val="1"/>
        <scheme val="minor"/>
      </rPr>
      <t xml:space="preserve"> sequestered, international [1]</t>
    </r>
  </si>
  <si>
    <t>Energy required for sequestration</t>
  </si>
  <si>
    <t>Total sequestered</t>
  </si>
  <si>
    <t>Mechanical air capture</t>
  </si>
  <si>
    <t>Energy required for mechanical capture</t>
  </si>
  <si>
    <t>HOT WATER DEMAND</t>
  </si>
  <si>
    <t>SPACE HEATING DEMAND</t>
  </si>
  <si>
    <t>SUPPLY SPACE HEATING DEMAND WITH GIVEN TECHNOLOGIES</t>
  </si>
  <si>
    <t>TOTAL ENERGY DEMAND BY VECTOR</t>
  </si>
  <si>
    <t>[7b]</t>
  </si>
  <si>
    <t>Technologies: 2007 penetrations; Max penetration; and start year for roll-out [7]</t>
  </si>
  <si>
    <t>[7a]</t>
  </si>
  <si>
    <r>
      <t xml:space="preserve">2007 penetrations from BRE </t>
    </r>
    <r>
      <rPr>
        <i/>
        <sz val="10"/>
        <color theme="1"/>
        <rFont val="Cambria"/>
        <family val="1"/>
        <scheme val="minor"/>
      </rPr>
      <t>Domestic Energy Fact File,</t>
    </r>
    <r>
      <rPr>
        <sz val="10"/>
        <color theme="1"/>
        <rFont val="Cambria"/>
        <family val="1"/>
        <scheme val="minor"/>
      </rPr>
      <t xml:space="preserve"> and are actually 2006 figures for Great Britain. Figures are rounded to the nearest percentage</t>
    </r>
  </si>
  <si>
    <t>Resitive heating not expected to be rolled out except to parallel heat pump roll-out as part of general electrification</t>
  </si>
  <si>
    <t>Distributed renewable power generation</t>
  </si>
  <si>
    <t>Distributed solar PV</t>
  </si>
  <si>
    <t>Distributed solar thermal</t>
  </si>
  <si>
    <t>Micro wind</t>
  </si>
  <si>
    <t>Nuclear power</t>
  </si>
  <si>
    <t>(For ref: area / person)</t>
  </si>
  <si>
    <t>Straw arising</t>
  </si>
  <si>
    <r>
      <t>m</t>
    </r>
    <r>
      <rPr>
        <vertAlign val="superscript"/>
        <sz val="10"/>
        <color theme="1"/>
        <rFont val="Cambria"/>
        <family val="1"/>
        <scheme val="minor"/>
      </rPr>
      <t>2</t>
    </r>
    <r>
      <rPr>
        <sz val="10"/>
        <color theme="1"/>
        <rFont val="Cambria"/>
        <family val="1"/>
        <scheme val="minor"/>
      </rPr>
      <t xml:space="preserve"> (average, per household)</t>
    </r>
  </si>
  <si>
    <t>Installed area per household</t>
  </si>
  <si>
    <t>Domestic solar thermal installed area [1]</t>
  </si>
  <si>
    <r>
      <t xml:space="preserve">Fuel-cell </t>
    </r>
    <r>
      <rPr>
        <sz val="10"/>
        <color theme="1"/>
        <rFont val="Cambria"/>
        <family val="1"/>
        <scheme val="minor"/>
      </rPr>
      <t>μCHP</t>
    </r>
  </si>
  <si>
    <t>SUPPLY HOT WATER DEMAND WITH GIVEN TECHNOLOGIES</t>
  </si>
  <si>
    <t>Hot water</t>
  </si>
  <si>
    <t>Cooling</t>
  </si>
  <si>
    <t>% replacements per year</t>
  </si>
  <si>
    <t>% of units per year, following period</t>
  </si>
  <si>
    <t>See IX.a, Domestic Heating, for notes and comments</t>
  </si>
  <si>
    <t>Compute cooling demand</t>
  </si>
  <si>
    <r>
      <t xml:space="preserve">Total hot water demand, </t>
    </r>
    <r>
      <rPr>
        <b/>
        <i/>
        <sz val="10"/>
        <color theme="1"/>
        <rFont val="Cambria"/>
        <family val="1"/>
        <scheme val="minor"/>
      </rPr>
      <t>of which</t>
    </r>
  </si>
  <si>
    <t>Supply hot water demand</t>
  </si>
  <si>
    <t>Supple space heating demand</t>
  </si>
  <si>
    <t>COOLING DEMAND</t>
  </si>
  <si>
    <t>Heating and cooling</t>
  </si>
  <si>
    <t>Heat energy demand (eg, for space heating, water heating) and cooling</t>
  </si>
  <si>
    <t>Technologies: 2007 penetrations; Max penetration; and start year for roll-out [1]</t>
  </si>
  <si>
    <t>Current penetrations chosen to reproduce, as closely as possible, the 2007 breakdown of demand by fuel type</t>
  </si>
  <si>
    <t>(ii) Technology pathway</t>
  </si>
  <si>
    <t>Lighting and appliances, demand per household [1]</t>
  </si>
  <si>
    <t>Cooking, demand per household</t>
  </si>
  <si>
    <t>Cooking, electrification pathway</t>
  </si>
  <si>
    <t>As today</t>
  </si>
  <si>
    <t>2050 split:</t>
  </si>
  <si>
    <t>Cooking, energy vector split</t>
  </si>
  <si>
    <t>Compute cooking demand by energy vector</t>
  </si>
  <si>
    <t>Select other lighting and appliances demand</t>
  </si>
  <si>
    <t>COOKING DEMAND</t>
  </si>
  <si>
    <r>
      <t xml:space="preserve">Total cooking demand, </t>
    </r>
    <r>
      <rPr>
        <b/>
        <i/>
        <sz val="10"/>
        <color theme="1"/>
        <rFont val="Cambria"/>
        <family val="1"/>
        <scheme val="minor"/>
      </rPr>
      <t>of which</t>
    </r>
  </si>
  <si>
    <t>Cooking demand per household</t>
  </si>
  <si>
    <t>Total lighting and appliance demand</t>
  </si>
  <si>
    <t>Lighting and appliance demand per household</t>
  </si>
  <si>
    <t>Compute total demand by vector</t>
  </si>
  <si>
    <t>TOTAL DEMAND BY VECTOR</t>
  </si>
  <si>
    <t>Catering, total demand</t>
  </si>
  <si>
    <t>Catering, electrification pathway</t>
  </si>
  <si>
    <t>Catering, current split by energy vector</t>
  </si>
  <si>
    <t>Cooking, current split by energy vector</t>
  </si>
  <si>
    <t>Small liquid hydrocarbons demand has been neglected</t>
  </si>
  <si>
    <t>Catering, split by energy vector</t>
  </si>
  <si>
    <t>LIGHTING AND APPLIANCES</t>
  </si>
  <si>
    <t>CATERING</t>
  </si>
  <si>
    <t>(i) Demand / Efficiency</t>
  </si>
  <si>
    <t>Total supply / (demand) to this point</t>
  </si>
  <si>
    <t>Non-thermal renewable generation</t>
  </si>
  <si>
    <t>Compute total supplied</t>
  </si>
  <si>
    <t>DRY BIOMATTER</t>
  </si>
  <si>
    <t>WET BIOMATTER</t>
  </si>
  <si>
    <t>TOTAL SUPPLIED</t>
  </si>
  <si>
    <t>Available bioenergy</t>
  </si>
  <si>
    <t>METHANE FROM LANDFILLS</t>
  </si>
  <si>
    <t>Total bioenergy actually supplied</t>
  </si>
  <si>
    <r>
      <t>EMISSIONS CREDIT (CO</t>
    </r>
    <r>
      <rPr>
        <b/>
        <vertAlign val="subscript"/>
        <sz val="10"/>
        <color theme="1"/>
        <rFont val="Cambria"/>
        <family val="1"/>
        <scheme val="minor"/>
      </rPr>
      <t>2</t>
    </r>
    <r>
      <rPr>
        <b/>
        <sz val="10"/>
        <color theme="1"/>
        <rFont val="Cambria"/>
        <family val="1"/>
        <scheme val="minor"/>
      </rPr>
      <t xml:space="preserve"> ONLY)</t>
    </r>
  </si>
  <si>
    <t>Emissions credit</t>
  </si>
  <si>
    <t>Combustion + CCS</t>
  </si>
  <si>
    <t>Used as a holding vector for converting demand net production into imports</t>
  </si>
  <si>
    <t>Includes refined petroleums</t>
  </si>
  <si>
    <t>COAL AND GAS TRANSFERS</t>
  </si>
  <si>
    <t>Transfer coal, petroleum, and gas to V.03, V.04 and V.05 from C.01, C.02 and C.03 respectively</t>
  </si>
  <si>
    <t>Petroleum products required</t>
  </si>
  <si>
    <r>
      <t>CO</t>
    </r>
    <r>
      <rPr>
        <b/>
        <vertAlign val="subscript"/>
        <sz val="10"/>
        <color theme="1"/>
        <rFont val="Cambria"/>
        <family val="1"/>
        <scheme val="minor"/>
      </rPr>
      <t>2</t>
    </r>
    <r>
      <rPr>
        <b/>
        <sz val="10"/>
        <color theme="1"/>
        <rFont val="Cambria"/>
        <family val="1"/>
        <scheme val="minor"/>
      </rPr>
      <t xml:space="preserve"> sequestered, chemical processes, domestic [1]</t>
    </r>
  </si>
  <si>
    <t>Chemical process</t>
  </si>
  <si>
    <t>Target, for chart</t>
  </si>
  <si>
    <t>% heat demand</t>
  </si>
  <si>
    <t>Energy source / use charts</t>
  </si>
  <si>
    <t>Use</t>
  </si>
  <si>
    <t>Electricity grid (net of distribution losses)</t>
  </si>
  <si>
    <t>Petroleum products exports</t>
  </si>
  <si>
    <t>Coal exports (imports)</t>
  </si>
  <si>
    <t>Oil and petroleum products exports (imports)</t>
  </si>
  <si>
    <t>Gas exports (imports)</t>
  </si>
  <si>
    <t>Electricity exports (imports)</t>
  </si>
  <si>
    <t>Biomatter exports (imports)</t>
  </si>
  <si>
    <t>V.b</t>
  </si>
  <si>
    <t>Bioenergy imports</t>
  </si>
  <si>
    <r>
      <t xml:space="preserve">Source: IEA. </t>
    </r>
    <r>
      <rPr>
        <i/>
        <sz val="10"/>
        <rFont val="Cambria"/>
        <family val="1"/>
        <scheme val="minor"/>
      </rPr>
      <t xml:space="preserve">Energy Technology Perspectives, </t>
    </r>
    <r>
      <rPr>
        <sz val="10"/>
        <rFont val="Cambria"/>
        <family val="1"/>
        <scheme val="minor"/>
      </rPr>
      <t>2008</t>
    </r>
  </si>
  <si>
    <t>UK "fair share" estimated at per capita share. Assumes 20% of 150 EJ for transport, 20% for power generation</t>
  </si>
  <si>
    <t>Bioenergy imports, solid [1]</t>
  </si>
  <si>
    <t>Bioenergy imports, liquid [1]</t>
  </si>
  <si>
    <t>Also, from British Energy, closures for Sizewell (1.2 GW in 2035), Heysham 2 (1.23 GW in 2023) and Torness (1.25 GW in 2023)</t>
  </si>
  <si>
    <t>remains constant. See DUKES 2009, paragraph 5.11. Note that we have included an estimate of London Underground use</t>
  </si>
  <si>
    <t>Targets</t>
  </si>
  <si>
    <t>Base year (1990)</t>
  </si>
  <si>
    <t>(20% of base)</t>
  </si>
  <si>
    <t>(66% of base)</t>
  </si>
  <si>
    <t>% of 2007</t>
  </si>
  <si>
    <t>Actuals, as % of 2007, modelled</t>
  </si>
  <si>
    <t>2050 target</t>
  </si>
  <si>
    <t xml:space="preserve">2020 target </t>
  </si>
  <si>
    <t>2020 target</t>
  </si>
  <si>
    <t>Modelled emissions</t>
  </si>
  <si>
    <t>Emissions as % of base year, adjusted so that 2007 matches actuals</t>
  </si>
  <si>
    <t>% of actual</t>
  </si>
  <si>
    <t>Adjustment factor:</t>
  </si>
  <si>
    <t>2007 Actuals, GHG Inv.</t>
  </si>
  <si>
    <t>Landfill gas and gas from manure are included in the model as gas, not converted to another energy form</t>
  </si>
  <si>
    <t>Subtotal.XVII.a</t>
  </si>
  <si>
    <t>Subtotal.II.a</t>
  </si>
  <si>
    <t>Subtotal.I.b</t>
  </si>
  <si>
    <t>Subtotal.I.a</t>
  </si>
  <si>
    <t>Subtotal.VII.b</t>
  </si>
  <si>
    <t>Subtotal.V.a</t>
  </si>
  <si>
    <t>Subtotal.V.b</t>
  </si>
  <si>
    <t>Subtotal.XVI.a</t>
  </si>
  <si>
    <t>Provide all available supply, up to requested amount</t>
  </si>
  <si>
    <t>z</t>
  </si>
  <si>
    <t>Heat take-off  z factor</t>
  </si>
  <si>
    <t>We assume no emissions from metering differences. Own use and theft is a small proportion of the total losses (~15%) and has been ignored</t>
  </si>
  <si>
    <t>III.a.1</t>
  </si>
  <si>
    <t>III.a.2</t>
  </si>
  <si>
    <t>7.4  Capacity of, and electricity generated from,</t>
  </si>
  <si>
    <t xml:space="preserve">       renewable sources</t>
  </si>
  <si>
    <r>
      <t xml:space="preserve">Installed Capacity (MWe) </t>
    </r>
    <r>
      <rPr>
        <b/>
        <i/>
        <sz val="9"/>
        <rFont val="Arial"/>
        <family val="2"/>
      </rPr>
      <t>(1)</t>
    </r>
  </si>
  <si>
    <t xml:space="preserve">   Wind:</t>
  </si>
  <si>
    <t xml:space="preserve">       Onshore</t>
  </si>
  <si>
    <r>
      <t xml:space="preserve">       Offshore </t>
    </r>
    <r>
      <rPr>
        <i/>
        <sz val="8"/>
        <rFont val="Arial"/>
        <family val="2"/>
      </rPr>
      <t>(2)</t>
    </r>
  </si>
  <si>
    <t xml:space="preserve">   Shoreline wave</t>
  </si>
  <si>
    <t xml:space="preserve">   Solar photovoltaics</t>
  </si>
  <si>
    <t xml:space="preserve">   Hydro:</t>
  </si>
  <si>
    <t xml:space="preserve">       Small scale </t>
  </si>
  <si>
    <r>
      <t xml:space="preserve">       Large scale </t>
    </r>
    <r>
      <rPr>
        <i/>
        <sz val="8"/>
        <rFont val="Arial"/>
        <family val="2"/>
      </rPr>
      <t>(3)</t>
    </r>
  </si>
  <si>
    <t>Biomass:</t>
  </si>
  <si>
    <t xml:space="preserve">      Landfill gas </t>
  </si>
  <si>
    <t xml:space="preserve">      Sewage sludge digestion</t>
  </si>
  <si>
    <t xml:space="preserve">      Municipal solid waste combustion</t>
  </si>
  <si>
    <r>
      <t xml:space="preserve">      Animal Biomass </t>
    </r>
    <r>
      <rPr>
        <i/>
        <sz val="8"/>
        <rFont val="Arial"/>
        <family val="2"/>
      </rPr>
      <t>(4)</t>
    </r>
  </si>
  <si>
    <r>
      <t xml:space="preserve">      Plant Biomass </t>
    </r>
    <r>
      <rPr>
        <i/>
        <sz val="8"/>
        <rFont val="Arial"/>
        <family val="2"/>
      </rPr>
      <t>(5)</t>
    </r>
  </si>
  <si>
    <t xml:space="preserve">   Total biomass and wastes</t>
  </si>
  <si>
    <r>
      <t xml:space="preserve">Co-firing </t>
    </r>
    <r>
      <rPr>
        <i/>
        <sz val="8.5"/>
        <rFont val="Arial"/>
        <family val="2"/>
      </rPr>
      <t>(6)</t>
    </r>
  </si>
  <si>
    <t>Generation (GWh)</t>
  </si>
  <si>
    <r>
      <t xml:space="preserve">       Onshore </t>
    </r>
    <r>
      <rPr>
        <i/>
        <sz val="8"/>
        <rFont val="Arial"/>
        <family val="2"/>
      </rPr>
      <t>(7)</t>
    </r>
  </si>
  <si>
    <r>
      <t xml:space="preserve">       Offshore </t>
    </r>
    <r>
      <rPr>
        <i/>
        <sz val="8"/>
        <rFont val="Arial"/>
        <family val="2"/>
      </rPr>
      <t>(8)</t>
    </r>
  </si>
  <si>
    <r>
      <t xml:space="preserve">       Large scale</t>
    </r>
    <r>
      <rPr>
        <i/>
        <sz val="8"/>
        <rFont val="Arial"/>
        <family val="2"/>
      </rPr>
      <t xml:space="preserve"> (3)</t>
    </r>
  </si>
  <si>
    <t xml:space="preserve">       Landfill gas </t>
  </si>
  <si>
    <t xml:space="preserve">       Sewage sludge digestion</t>
  </si>
  <si>
    <r>
      <t xml:space="preserve">       Municipal solid waste combustion </t>
    </r>
    <r>
      <rPr>
        <i/>
        <sz val="8"/>
        <rFont val="Arial"/>
        <family val="2"/>
      </rPr>
      <t>(9)</t>
    </r>
  </si>
  <si>
    <t xml:space="preserve">       Co-firing with fossil fuels</t>
  </si>
  <si>
    <r>
      <t xml:space="preserve">       Animal Biomass</t>
    </r>
    <r>
      <rPr>
        <i/>
        <sz val="8"/>
        <rFont val="Arial"/>
        <family val="2"/>
      </rPr>
      <t xml:space="preserve"> (10)</t>
    </r>
  </si>
  <si>
    <r>
      <t xml:space="preserve">       Plant Biomass </t>
    </r>
    <r>
      <rPr>
        <i/>
        <sz val="8"/>
        <rFont val="Arial"/>
        <family val="2"/>
      </rPr>
      <t>(11)</t>
    </r>
  </si>
  <si>
    <t xml:space="preserve">   Total biomass</t>
  </si>
  <si>
    <t xml:space="preserve">Total generation </t>
  </si>
  <si>
    <r>
      <t xml:space="preserve">Non-biodegradable wastes </t>
    </r>
    <r>
      <rPr>
        <i/>
        <sz val="8.5"/>
        <rFont val="Arial"/>
        <family val="2"/>
      </rPr>
      <t>(12)</t>
    </r>
  </si>
  <si>
    <r>
      <t xml:space="preserve">Load factors (per cent) </t>
    </r>
    <r>
      <rPr>
        <b/>
        <i/>
        <sz val="8.5"/>
        <rFont val="Arial"/>
        <family val="2"/>
      </rPr>
      <t>(13)</t>
    </r>
  </si>
  <si>
    <t xml:space="preserve">   Onshore wind</t>
  </si>
  <si>
    <t xml:space="preserve">   Offshore wind</t>
  </si>
  <si>
    <t xml:space="preserve">..   </t>
  </si>
  <si>
    <t xml:space="preserve">   Hydro</t>
  </si>
  <si>
    <t xml:space="preserve">   Biomass (excluding co-firing)</t>
  </si>
  <si>
    <t>Total (including wastes)</t>
  </si>
  <si>
    <r>
      <t xml:space="preserve">Load factors on an unchanged configuration basis (per cent) </t>
    </r>
    <r>
      <rPr>
        <b/>
        <i/>
        <sz val="8"/>
        <rFont val="Arial"/>
        <family val="2"/>
      </rPr>
      <t>(14)</t>
    </r>
  </si>
  <si>
    <t xml:space="preserve">   Offshore wind (from 2006 only)</t>
  </si>
  <si>
    <t>(1)    Capacity on a DNC basis is shown in Long Term Trends Table 7.1.1 available on the DECC web site - see paragraph 7.74.</t>
  </si>
  <si>
    <t>(2)    In 2007 and 2008 excludes Beatrice (10 MW) which was only supplying an offshore oil platform.</t>
  </si>
  <si>
    <t xml:space="preserve">(3)    Excluding pumped storage stations.  Capacities are as at the end of December. </t>
  </si>
  <si>
    <t xml:space="preserve">(4)    Includes the use of farm waste digestion, poultry litter and meat and bone. </t>
  </si>
  <si>
    <t xml:space="preserve">(5)    Includes the use of waste tyres, straw combustion, short rotation coppice and hospital waste. </t>
  </si>
  <si>
    <t>(6)   This is the amount of fossil fuelled capacity used for co-firing of renewables based on the proportion of generation accounted</t>
  </si>
  <si>
    <t xml:space="preserve">        for by the renewable source.</t>
  </si>
  <si>
    <t>(7)    Actual generation figures are given where available, but otherwise are estimated using a typical load factor or the design</t>
  </si>
  <si>
    <t xml:space="preserve">        load factor, where known.</t>
  </si>
  <si>
    <t xml:space="preserve">(8)    Latest years include electricity from shoreline wave but this amounts to less than 0.05 GWh.  Generation by Beatrice excluded </t>
  </si>
  <si>
    <t xml:space="preserve">        (see note 2).</t>
  </si>
  <si>
    <t>(9)    Biodegradable part only.</t>
  </si>
  <si>
    <t xml:space="preserve">(10)  Includes the use of farm waste digestion, poultry litter combustion and meat and bone combustion. </t>
  </si>
  <si>
    <t xml:space="preserve">(11)  Includes the use of straw and energy crops. </t>
  </si>
  <si>
    <t>(12)  Non-biodegradable part of municipal solid waste plus waste tyres, hosptal waste and general industrial waste.</t>
  </si>
  <si>
    <t>(13)  Load factors are calculated based on installed capacity at the beginning and the end of the year - see paragraph 7.75.</t>
  </si>
  <si>
    <t>(14)  For a definition see paragraphs 7.76 and 7.77.</t>
  </si>
  <si>
    <t>Demand (for charting)</t>
  </si>
  <si>
    <t>Dummy for charting</t>
  </si>
  <si>
    <t>Own-use requirements</t>
  </si>
  <si>
    <r>
      <rPr>
        <sz val="8"/>
        <color theme="1"/>
        <rFont val="Cambria"/>
        <family val="1"/>
        <scheme val="minor"/>
      </rPr>
      <t>T</t>
    </r>
    <r>
      <rPr>
        <sz val="10"/>
        <color theme="1"/>
        <rFont val="Cambria"/>
        <family val="1"/>
        <scheme val="minor"/>
      </rPr>
      <t>hermal efficiency</t>
    </r>
  </si>
  <si>
    <t>Soild fuel input required</t>
  </si>
  <si>
    <r>
      <t>×</t>
    </r>
    <r>
      <rPr>
        <sz val="8"/>
        <color theme="1"/>
        <rFont val="Cambria"/>
        <family val="1"/>
        <scheme val="minor"/>
      </rPr>
      <t/>
    </r>
  </si>
  <si>
    <t>Min. of requested and available, for reference</t>
  </si>
  <si>
    <t>SUPPLY AVAILABLE GENERATION</t>
  </si>
  <si>
    <r>
      <t>Actual supplied</t>
    </r>
    <r>
      <rPr>
        <sz val="10"/>
        <color theme="1"/>
        <rFont val="Cambria"/>
        <family val="1"/>
        <scheme val="minor"/>
      </rPr>
      <t xml:space="preserve"> (available generation)</t>
    </r>
  </si>
  <si>
    <t>These are "known" imports, for 2007. From 2010 onwards, exports are computed if there is excess domestic supply</t>
  </si>
  <si>
    <t>2007 net imports are actuals from DUKES; imports assumed to be zero thereafter</t>
  </si>
  <si>
    <t>V.13</t>
  </si>
  <si>
    <t>Includes wood, straw, and other plant-based biomass, wood chips, garden waste, and MSW. Does not include energy crops, including SRC</t>
  </si>
  <si>
    <t>From …</t>
  </si>
  <si>
    <t>To …</t>
  </si>
  <si>
    <t>Convert energy crops</t>
  </si>
  <si>
    <t>% to…</t>
  </si>
  <si>
    <t>ENERGY CROPS</t>
  </si>
  <si>
    <t>Primary electricity, solar, marine, and net imports</t>
  </si>
  <si>
    <t>For reference, back-calculation of required generating capacity</t>
  </si>
  <si>
    <t>Own-use requirements (as percentage of supplied electricity)</t>
  </si>
  <si>
    <t>Consumption of solid hydrocarbons</t>
  </si>
  <si>
    <t>Consumption of liquid hydrocarbons</t>
  </si>
  <si>
    <t>Bioenergy contextual data</t>
  </si>
  <si>
    <t>International Aviation and Shipping</t>
  </si>
  <si>
    <t>Subtotal.Consumption</t>
  </si>
  <si>
    <t>Subtotal.Supply</t>
  </si>
  <si>
    <t>Subtotal.Balancing</t>
  </si>
  <si>
    <t>Used in transport</t>
  </si>
  <si>
    <t>Used in CCS power plants</t>
  </si>
  <si>
    <t>Supplied from liquid biofuels</t>
  </si>
  <si>
    <t>Supplied from solid bioenergy</t>
  </si>
  <si>
    <t>Used in industry</t>
  </si>
  <si>
    <t>Exports and Imports</t>
  </si>
  <si>
    <t>Source / Use</t>
  </si>
  <si>
    <t>Energy supply and demand</t>
  </si>
  <si>
    <t>Supplemental data</t>
  </si>
  <si>
    <t>Community scale gas CHP</t>
  </si>
  <si>
    <t>Community scale solid-fuel CHP</t>
  </si>
  <si>
    <t>District</t>
  </si>
  <si>
    <t>Low</t>
  </si>
  <si>
    <t>Medium</t>
  </si>
  <si>
    <t>High</t>
  </si>
  <si>
    <t>(i) Cooling demand</t>
  </si>
  <si>
    <t>(i) Heating / cooling comfort level</t>
  </si>
  <si>
    <t>(iv) Target technology penetrations, space heating and hot water (must be less than maximum penetration) [1]</t>
  </si>
  <si>
    <t>(iv) Target technology penetrations, cooling (must be less than maximum penetration) [1]</t>
  </si>
  <si>
    <t>Absorption chiller</t>
  </si>
  <si>
    <t>Technology efficiencies -- cooling</t>
  </si>
  <si>
    <r>
      <t xml:space="preserve">Total space heating demand, </t>
    </r>
    <r>
      <rPr>
        <b/>
        <i/>
        <sz val="10"/>
        <color theme="1"/>
        <rFont val="Cambria"/>
        <family val="1"/>
        <scheme val="minor"/>
      </rPr>
      <t>of which</t>
    </r>
  </si>
  <si>
    <t>(i) Total demand for space heating</t>
  </si>
  <si>
    <t>(i) Total demand for hot water</t>
  </si>
  <si>
    <t>(i) Heat / cooling demand</t>
  </si>
  <si>
    <t>Rate of replacement of commercial heating / cooling systems</t>
  </si>
  <si>
    <t>Technology penetration -- space heating and hot water</t>
  </si>
  <si>
    <t>Technology penetration -- cooling</t>
  </si>
  <si>
    <t>% cooling demand</t>
  </si>
  <si>
    <r>
      <t xml:space="preserve">Total cooling demand, </t>
    </r>
    <r>
      <rPr>
        <b/>
        <i/>
        <sz val="10"/>
        <color theme="1"/>
        <rFont val="Cambria"/>
        <family val="1"/>
        <scheme val="minor"/>
      </rPr>
      <t>of which</t>
    </r>
  </si>
  <si>
    <t>(i) Total demand for cooling [1]</t>
  </si>
  <si>
    <t>Note that cooling demand is given here as the heat energy removed by the cooling process. However, in the calculation below,  the final</t>
  </si>
  <si>
    <t>demand for energy for cooling is calculated as the energy required as input to the cooling system.</t>
  </si>
  <si>
    <t>Convert to energy demand by physical vector</t>
  </si>
  <si>
    <t>Rewrite cooling demand as energy required as input to the cooling system</t>
  </si>
  <si>
    <t>Mixed / None</t>
  </si>
  <si>
    <t>new builds get something</t>
  </si>
  <si>
    <t>Heating systems</t>
  </si>
  <si>
    <t>Cooling systems</t>
  </si>
  <si>
    <t>Maximum installation rate (including new builds) [5]</t>
  </si>
  <si>
    <t>Calculation of technology pathway</t>
  </si>
  <si>
    <t>(iv) Non-electric fuel direction</t>
  </si>
  <si>
    <t>(iv) Primary non-electric source</t>
  </si>
  <si>
    <t>Combined pathway</t>
  </si>
  <si>
    <t>(iii) Electrification level</t>
  </si>
  <si>
    <t>(ii) Electrification level</t>
  </si>
  <si>
    <t>(iii) Non-electric fuel direction</t>
  </si>
  <si>
    <t>2035 (by Trajectory)</t>
  </si>
  <si>
    <t>2050 (by Trajectory)</t>
  </si>
  <si>
    <t>2025 (by Trajectory)</t>
  </si>
  <si>
    <t>CSS emissions capture [2]</t>
  </si>
  <si>
    <r>
      <t>CCS applies to CO</t>
    </r>
    <r>
      <rPr>
        <vertAlign val="subscript"/>
        <sz val="10"/>
        <color theme="1"/>
        <rFont val="Cambria"/>
        <family val="1"/>
        <scheme val="minor"/>
      </rPr>
      <t>2</t>
    </r>
    <r>
      <rPr>
        <sz val="10"/>
        <color theme="1"/>
        <rFont val="Cambria"/>
        <family val="1"/>
        <scheme val="minor"/>
      </rPr>
      <t xml:space="preserve"> emissions from both process and combustion, excluding the industry group "Other"</t>
    </r>
  </si>
  <si>
    <t>Combustion emissions, unabated</t>
  </si>
  <si>
    <t>Combustion emissions, captured</t>
  </si>
  <si>
    <t>X3 is not an IPPC sectoral code. All CCS, including industry</t>
  </si>
  <si>
    <t>Dummy, for chart</t>
  </si>
  <si>
    <t>Carbon capture</t>
  </si>
  <si>
    <t>Bioenergy credit</t>
  </si>
  <si>
    <t>Consumption of gaseous hydrocarbons</t>
  </si>
  <si>
    <t>Used in commercial heating</t>
  </si>
  <si>
    <t>Used in domestic heating</t>
  </si>
  <si>
    <r>
      <t>Modelled emissions, net of capture, by sector (Mt CO</t>
    </r>
    <r>
      <rPr>
        <b/>
        <vertAlign val="subscript"/>
        <sz val="18"/>
        <color theme="1"/>
        <rFont val="Calibri"/>
        <family val="2"/>
        <scheme val="major"/>
      </rPr>
      <t>2</t>
    </r>
    <r>
      <rPr>
        <b/>
        <sz val="18"/>
        <color theme="1"/>
        <rFont val="Calibri"/>
        <family val="2"/>
        <scheme val="major"/>
      </rPr>
      <t>e)</t>
    </r>
  </si>
  <si>
    <t>Area conversions</t>
  </si>
  <si>
    <t>ha</t>
  </si>
  <si>
    <t>Hectares</t>
  </si>
  <si>
    <t>Unit.ha</t>
  </si>
  <si>
    <t>Acres</t>
  </si>
  <si>
    <t>acres</t>
  </si>
  <si>
    <t>Unit.acre</t>
  </si>
  <si>
    <t>km^2</t>
  </si>
  <si>
    <t>m^2</t>
  </si>
  <si>
    <t>Square kilometres</t>
  </si>
  <si>
    <t>Square metres</t>
  </si>
  <si>
    <t>Unit.km2</t>
  </si>
  <si>
    <t>Unit.m2</t>
  </si>
  <si>
    <t>Wales</t>
  </si>
  <si>
    <t>Unit.Wales</t>
  </si>
  <si>
    <t>Area is measured in:</t>
  </si>
  <si>
    <t>PHEV</t>
  </si>
  <si>
    <t>HEV</t>
  </si>
  <si>
    <t>Occupancies</t>
  </si>
  <si>
    <t>Technology efficiences -- Electricity [1]</t>
  </si>
  <si>
    <t>Technology efficiences -- Liquid hydrocarbons [1]</t>
  </si>
  <si>
    <t>Technology efficiences -- Hydrogen [1]</t>
  </si>
  <si>
    <t>[3a]</t>
  </si>
  <si>
    <t xml:space="preserve">2007 estimate from total passenger-km and vehicle-km </t>
  </si>
  <si>
    <t>pax / vehicle-km</t>
  </si>
  <si>
    <t>In 2007, occupancies were 105.8 pax/vehicle for trains, and 64.8 pax/vehicle for aeroplanes</t>
  </si>
  <si>
    <t>Train and aircraft efficiencies are given per seat-km, not per vehicle-km</t>
  </si>
  <si>
    <t>2007 estimates (shown in blue) from total passenger-km, vehicle-km and total sectoral energy usage</t>
  </si>
  <si>
    <t>(i) 2050 mode shares</t>
  </si>
  <si>
    <t>(i) 2050 occupancies [3]</t>
  </si>
  <si>
    <t>(i) Behaviour</t>
  </si>
  <si>
    <t>(ii) Technology penetrations</t>
  </si>
  <si>
    <t>Trajectory 1</t>
  </si>
  <si>
    <t>Trajectory 2</t>
  </si>
  <si>
    <t>Trajectory 3</t>
  </si>
  <si>
    <t>Trajectory 4</t>
  </si>
  <si>
    <t>(ii) Electrification</t>
  </si>
  <si>
    <t>Railways -- non-traction electricity use [2]</t>
  </si>
  <si>
    <t>million</t>
  </si>
  <si>
    <t>Railway and aircraft occupancies are pax / seat-km (not pax / vehicle-km)</t>
  </si>
  <si>
    <t>Road freight, distance (HGVs), diesel</t>
  </si>
  <si>
    <t>Road freight, distance (HGVs), electric</t>
  </si>
  <si>
    <t>Source for 2007 data: DUKES</t>
  </si>
  <si>
    <t>DIESEL ROAD FREIGHT</t>
  </si>
  <si>
    <t>ELECTRIC ROAD FREIGHT</t>
  </si>
  <si>
    <t>Subtotal.VIII.a</t>
  </si>
  <si>
    <t>Total supply (demand) to this point</t>
  </si>
  <si>
    <r>
      <t>Conversion efficiency from electricity to H</t>
    </r>
    <r>
      <rPr>
        <b/>
        <vertAlign val="subscript"/>
        <sz val="10"/>
        <color theme="1"/>
        <rFont val="Cambria"/>
        <family val="1"/>
        <scheme val="minor"/>
      </rPr>
      <t>2</t>
    </r>
  </si>
  <si>
    <t>Conversion from electricity to H2</t>
  </si>
  <si>
    <t>Transfer energy from electrical to H2</t>
  </si>
  <si>
    <t>Hydrogen required</t>
  </si>
  <si>
    <t>Conversion</t>
  </si>
  <si>
    <t>Storage, demand shifting, backup</t>
  </si>
  <si>
    <t>Boostable capacity</t>
  </si>
  <si>
    <t>Gas CCGT</t>
  </si>
  <si>
    <t>Annual energy flowing through car batteries that could be used for balancing</t>
  </si>
  <si>
    <t>Car EV</t>
  </si>
  <si>
    <t>Volatile energy sectors --  electricity</t>
  </si>
  <si>
    <t>Energy shock assumptions</t>
  </si>
  <si>
    <t>Worst-case system stress</t>
  </si>
  <si>
    <t>Duration</t>
  </si>
  <si>
    <t>Incidence</t>
  </si>
  <si>
    <t>(days)</t>
  </si>
  <si>
    <t>(per year)</t>
  </si>
  <si>
    <t>Storage -- peak power</t>
  </si>
  <si>
    <t>Storage -- energy storage</t>
  </si>
  <si>
    <t>Interconnection -- Peak power</t>
  </si>
  <si>
    <t>Interconnection -- Sustained power</t>
  </si>
  <si>
    <t>Sustained</t>
  </si>
  <si>
    <t>% of peak</t>
  </si>
  <si>
    <t>% of average</t>
  </si>
  <si>
    <t>Electric cars -- shiftable demand</t>
  </si>
  <si>
    <t>Load factor increase</t>
  </si>
  <si>
    <t>Availability</t>
  </si>
  <si>
    <t>Thermal plant -- boostable</t>
  </si>
  <si>
    <t>Shock</t>
  </si>
  <si>
    <t>&lt;- This row is directly referenced by VII.c</t>
  </si>
  <si>
    <t>&lt;- These link directly to other modules I.a, I.b, II.a</t>
  </si>
  <si>
    <t>&lt;- These link directly to lines in XII.a and ignore FCV</t>
  </si>
  <si>
    <t>Car PHEV</t>
  </si>
  <si>
    <t>Wind shocks are based on load factor dropping. Onshore 30% to 20%. Offshore 35% to 20%.</t>
  </si>
  <si>
    <t>Compute whether pathway has sufficient balancing to deal with peak power required</t>
  </si>
  <si>
    <t>Compute whether pathway has sufficient balancing to deal with total energy required</t>
  </si>
  <si>
    <t>If there is any remaining power or energy required, compute standby gas capacity that would be required</t>
  </si>
  <si>
    <t>Compute available balancing power and energy under trajectory</t>
  </si>
  <si>
    <t>AVAILALE BALANCING POWER</t>
  </si>
  <si>
    <t>Compute the total utilization of the balancing</t>
  </si>
  <si>
    <t>Days</t>
  </si>
  <si>
    <t>Unit.day</t>
  </si>
  <si>
    <t>d</t>
  </si>
  <si>
    <t>h</t>
  </si>
  <si>
    <t>Hours</t>
  </si>
  <si>
    <t>Unit.hour</t>
  </si>
  <si>
    <t>m</t>
  </si>
  <si>
    <t>Minutes</t>
  </si>
  <si>
    <t>Unit.minute</t>
  </si>
  <si>
    <t>Power to energy conversion</t>
  </si>
  <si>
    <t>Average power for given energy</t>
  </si>
  <si>
    <t>Conversion.to.average.power</t>
  </si>
  <si>
    <t>From unit</t>
  </si>
  <si>
    <t>To unit</t>
  </si>
  <si>
    <t>Factor</t>
  </si>
  <si>
    <t>Annual energy for given power</t>
  </si>
  <si>
    <t>Conversion.to.annual.energy</t>
  </si>
  <si>
    <t>Balancing power available under trajectory</t>
  </si>
  <si>
    <t>Balancing energy available under trajectory</t>
  </si>
  <si>
    <t>Energy per second for given power</t>
  </si>
  <si>
    <t>Conversion.to.energy.per.second</t>
  </si>
  <si>
    <t>Compute size of shock</t>
  </si>
  <si>
    <t>SIZE OF SHOCK</t>
  </si>
  <si>
    <t>Total balancing power</t>
  </si>
  <si>
    <t>Total balancing energy</t>
  </si>
  <si>
    <t>Excess (shortfall) in power supplied when shock occurs</t>
  </si>
  <si>
    <t>Total excess (shortfall) in power</t>
  </si>
  <si>
    <t>Excess (shortfall) in energy supplied when shock occurs</t>
  </si>
  <si>
    <t>WILL BALANCING PROVIDE SUFFICIENT POWER?</t>
  </si>
  <si>
    <t>Excess (shortfall) in power after application of balancing load</t>
  </si>
  <si>
    <t>Excess (shortfall) in power</t>
  </si>
  <si>
    <t>boosting thermal plant</t>
  </si>
  <si>
    <t>drawing from interconnection</t>
  </si>
  <si>
    <t>shifting demand from electric vehicles</t>
  </si>
  <si>
    <t>drawing from pumped storage</t>
  </si>
  <si>
    <t>Remaining excess (shortfall) in power</t>
  </si>
  <si>
    <t>Excess (shortfall) in energy after application of balancing load</t>
  </si>
  <si>
    <t>WILL BALANCING PROVIDE SUFFICIENT ENERGY?</t>
  </si>
  <si>
    <t>Balancing power used</t>
  </si>
  <si>
    <t>Balancing energy used</t>
  </si>
  <si>
    <t>Total balancing power used</t>
  </si>
  <si>
    <t>Total balancing energy used</t>
  </si>
  <si>
    <t>HOW MUCH BALANCING HAS BEEN USED?</t>
  </si>
  <si>
    <t>% capacity</t>
  </si>
  <si>
    <t>Remaining excess (shortfall) in energy</t>
  </si>
  <si>
    <t>After all balancing loads</t>
  </si>
  <si>
    <t>Excess (shortfall) in energy</t>
  </si>
  <si>
    <t>Power required to supply energy</t>
  </si>
  <si>
    <t>Maximum of A or B</t>
  </si>
  <si>
    <t>Assumptions about standby generation</t>
  </si>
  <si>
    <t>electricity/capacity</t>
  </si>
  <si>
    <t>HOW MUCH STANDBY CAPACITY IS REQUIRED?</t>
  </si>
  <si>
    <t>Standby capacity required</t>
  </si>
  <si>
    <t>What are the consequences for greenhouse gas emissions</t>
  </si>
  <si>
    <t>electric/thermal energy</t>
  </si>
  <si>
    <t>Assumes is gas CCGT. Should change if use cheaper units</t>
  </si>
  <si>
    <t>Fuel source</t>
  </si>
  <si>
    <t>NaturalGas</t>
  </si>
  <si>
    <t>Must match name used in e.g. EF.NaturalGas.CO2 named range</t>
  </si>
  <si>
    <t>Emissions factor for standby fuel</t>
  </si>
  <si>
    <t xml:space="preserve">Heat required to produce </t>
  </si>
  <si>
    <t>Emissions from heat production</t>
  </si>
  <si>
    <t>MtCO2e</t>
  </si>
  <si>
    <t>WHAT ARE THE CONSEQUENCES FOR GREENHOUSE GAS EMISSIONS?</t>
  </si>
  <si>
    <t>Outputs for annual calculations</t>
  </si>
  <si>
    <t>Probable annual emissions</t>
  </si>
  <si>
    <t>Outputs for memo on consequences of a shock</t>
  </si>
  <si>
    <t>Total balancing capacity used</t>
  </si>
  <si>
    <t>Balancing capacity used</t>
  </si>
  <si>
    <t>Extra standby capacity required</t>
  </si>
  <si>
    <t>Maximum balancing capacity used</t>
  </si>
  <si>
    <t>In the event of a shock like the one modelled, the implications would be:</t>
  </si>
  <si>
    <t>Energy security contextual data</t>
  </si>
  <si>
    <t>NATIONAL NAVIGATION</t>
  </si>
  <si>
    <t>PASSENGER-KM BY MODE</t>
  </si>
  <si>
    <t>PASSENGER-KM BY MODE / TECHNOLOGY</t>
  </si>
  <si>
    <t>ENERGY DEMAND BY MODE AND VECTOR</t>
  </si>
  <si>
    <t>SUMMARY BY TRANSPORT TYPE AND EMISSIONS</t>
  </si>
  <si>
    <t>Coal+CCS, gross capacity, new build [1]</t>
  </si>
  <si>
    <r>
      <t xml:space="preserve">Note that Coal+CCS capacity is stated in term of </t>
    </r>
    <r>
      <rPr>
        <i/>
        <sz val="10"/>
        <color theme="1"/>
        <rFont val="Cambria"/>
        <family val="1"/>
        <scheme val="minor"/>
      </rPr>
      <t>gross</t>
    </r>
    <r>
      <rPr>
        <sz val="10"/>
        <color theme="1"/>
        <rFont val="Cambria"/>
        <family val="1"/>
        <scheme val="minor"/>
      </rPr>
      <t xml:space="preserve"> capacity, ie, before parasitic load, which is not the convention used in other sectors</t>
    </r>
  </si>
  <si>
    <t>Load factor [2]</t>
  </si>
  <si>
    <r>
      <t xml:space="preserve">Source: DTI assumptions for coal </t>
    </r>
    <r>
      <rPr>
        <i/>
        <sz val="10"/>
        <color theme="1"/>
        <rFont val="Cambria"/>
        <family val="1"/>
        <scheme val="minor"/>
      </rPr>
      <t>availability</t>
    </r>
    <r>
      <rPr>
        <sz val="10"/>
        <color theme="1"/>
        <rFont val="Cambria"/>
        <family val="1"/>
        <scheme val="minor"/>
      </rPr>
      <t xml:space="preserve"> are 90%. 2007 figures are actual load factors for 2007. We have used an intermediate load factor of 80%.</t>
    </r>
  </si>
  <si>
    <r>
      <t xml:space="preserve">Source: Redpoint, </t>
    </r>
    <r>
      <rPr>
        <i/>
        <sz val="10"/>
        <color theme="1"/>
        <rFont val="Cambria"/>
        <family val="1"/>
        <scheme val="minor"/>
      </rPr>
      <t xml:space="preserve">Carbon Capture and Storage Demonstration: Analysis of Policies on coal/CCS and financial incentive schemes, </t>
    </r>
    <r>
      <rPr>
        <sz val="10"/>
        <color theme="1"/>
        <rFont val="Cambria"/>
        <family val="1"/>
        <scheme val="minor"/>
      </rPr>
      <t>November 2009</t>
    </r>
  </si>
  <si>
    <t>for current efficiencies (figures in that document have been rounded). DECC assumptions for long-term efficiency improvements</t>
  </si>
  <si>
    <t>Own-use requirements (% of gross output) [1]</t>
  </si>
  <si>
    <t>COAL + CCS</t>
  </si>
  <si>
    <t>Net capacity</t>
  </si>
  <si>
    <t>Available capacity</t>
  </si>
  <si>
    <t>Requested generation, for reference</t>
  </si>
  <si>
    <t>Available net generation</t>
  </si>
  <si>
    <t>Actual net generation</t>
  </si>
  <si>
    <t>Gross generation</t>
  </si>
  <si>
    <t>Base</t>
  </si>
  <si>
    <t>Base plant</t>
  </si>
  <si>
    <t>CCS</t>
  </si>
  <si>
    <t>CCS equipment</t>
  </si>
  <si>
    <r>
      <t xml:space="preserve">Unabated thermal efficiency, new plant (based on gross calorific values), </t>
    </r>
    <r>
      <rPr>
        <b/>
        <i/>
        <sz val="10"/>
        <color theme="1"/>
        <rFont val="Cambria"/>
        <family val="1"/>
        <scheme val="minor"/>
      </rPr>
      <t>excluding</t>
    </r>
    <r>
      <rPr>
        <b/>
        <sz val="10"/>
        <color theme="1"/>
        <rFont val="Cambria"/>
        <family val="1"/>
        <scheme val="minor"/>
      </rPr>
      <t xml:space="preserve"> parasitic load from CCS [1]</t>
    </r>
  </si>
  <si>
    <t>Assumes CCS systems are improved on all plants, not just new plant</t>
  </si>
  <si>
    <t>Unabated thermal efficiency, all plant</t>
  </si>
  <si>
    <t>Coal+CCS capacity (excluding CCS parasitic load)</t>
  </si>
  <si>
    <t>CCS parasitic load</t>
  </si>
  <si>
    <t>Parasitic load, CCS</t>
  </si>
  <si>
    <t>Micro wind, capacity [1]</t>
  </si>
  <si>
    <t>MICRO WIND GENERATION</t>
  </si>
  <si>
    <t>Conversion efficiency, incident sunlight to electricity</t>
  </si>
  <si>
    <t>DISTRIBUTED SOLAR PV</t>
  </si>
  <si>
    <t>For reference</t>
  </si>
  <si>
    <t>÷</t>
  </si>
  <si>
    <t>Input solar power</t>
  </si>
  <si>
    <t>Incident solar intensity</t>
  </si>
  <si>
    <t>Area / household</t>
  </si>
  <si>
    <t>Area / person</t>
  </si>
  <si>
    <t>Total area</t>
  </si>
  <si>
    <t>Load factor [1]</t>
  </si>
  <si>
    <t>Hydroelectric capacity (natural flow) [1]</t>
  </si>
  <si>
    <t>Source for 2007 data: DUKES 2009, Tables 5.7, 5.10, and 7.4</t>
  </si>
  <si>
    <t>2007 capacity actually DNC (from Table 5.7)</t>
  </si>
  <si>
    <t>However, a difference between DNC and installed capacity only arises for small-scale hydro, which is ~10% of total</t>
  </si>
  <si>
    <t>HYDROELECTRIC GENERATION</t>
  </si>
  <si>
    <t>Geothermal capacity [1]</t>
  </si>
  <si>
    <t>GEOTHERMAL GENERATION</t>
  </si>
  <si>
    <t>"Food production"</t>
  </si>
  <si>
    <t>M ha</t>
  </si>
  <si>
    <t>Million hectares</t>
  </si>
  <si>
    <t>Unit.Mha</t>
  </si>
  <si>
    <r>
      <t>Arable, for food crops (grades 1</t>
    </r>
    <r>
      <rPr>
        <sz val="10"/>
        <color theme="1"/>
        <rFont val="Arial"/>
        <family val="2"/>
      </rPr>
      <t>–</t>
    </r>
    <r>
      <rPr>
        <sz val="10"/>
        <color theme="1"/>
        <rFont val="Cambria"/>
        <family val="1"/>
        <scheme val="minor"/>
      </rPr>
      <t>3)</t>
    </r>
  </si>
  <si>
    <r>
      <t>Arable, for 1st gen energy crops  (grades 1</t>
    </r>
    <r>
      <rPr>
        <sz val="10"/>
        <color theme="1"/>
        <rFont val="Arial"/>
        <family val="2"/>
      </rPr>
      <t>–</t>
    </r>
    <r>
      <rPr>
        <sz val="8"/>
        <color theme="1"/>
        <rFont val="Cambria"/>
        <family val="1"/>
      </rPr>
      <t>3)</t>
    </r>
  </si>
  <si>
    <t>Grassland, for 2nd gen energy crops (grades 3–4)</t>
  </si>
  <si>
    <r>
      <t>Grassland, for livestock and fallow (grades 3</t>
    </r>
    <r>
      <rPr>
        <sz val="10"/>
        <color theme="1"/>
        <rFont val="Arial"/>
        <family val="2"/>
      </rPr>
      <t>–</t>
    </r>
    <r>
      <rPr>
        <sz val="8"/>
        <color theme="1"/>
        <rFont val="Cambria"/>
        <family val="1"/>
      </rPr>
      <t>5)</t>
    </r>
  </si>
  <si>
    <r>
      <t>Arable, for 2nd gen energy crops  (grades 1</t>
    </r>
    <r>
      <rPr>
        <sz val="10"/>
        <color theme="1"/>
        <rFont val="Arial"/>
        <family val="2"/>
      </rPr>
      <t>–</t>
    </r>
    <r>
      <rPr>
        <sz val="8"/>
        <color theme="1"/>
        <rFont val="Cambria"/>
        <family val="1"/>
      </rPr>
      <t>3)</t>
    </r>
  </si>
  <si>
    <t>odt / ha</t>
  </si>
  <si>
    <t>First-generation biocrops</t>
  </si>
  <si>
    <t>Manure (non-poultry livestock)</t>
  </si>
  <si>
    <r>
      <t>% pa (2007</t>
    </r>
    <r>
      <rPr>
        <sz val="10"/>
        <color theme="1"/>
        <rFont val="Cambria"/>
        <family val="1"/>
        <scheme val="minor"/>
      </rPr>
      <t>–2020)</t>
    </r>
  </si>
  <si>
    <r>
      <t>% pa (2020</t>
    </r>
    <r>
      <rPr>
        <sz val="10"/>
        <color theme="1"/>
        <rFont val="Cambria"/>
        <family val="1"/>
        <scheme val="minor"/>
      </rPr>
      <t>–2050)</t>
    </r>
  </si>
  <si>
    <t>Livestock number growth rates</t>
  </si>
  <si>
    <t>Yield growth</t>
  </si>
  <si>
    <t>Emissions intensity growth, enteric and manure</t>
  </si>
  <si>
    <t>SOIL</t>
  </si>
  <si>
    <t>ENTERIC</t>
  </si>
  <si>
    <t>MANURE</t>
  </si>
  <si>
    <t>Total emissions growth, soil management</t>
  </si>
  <si>
    <t>Forestry arisings collection, old forests</t>
  </si>
  <si>
    <t>Emissions intensities, enteric and manure, base year</t>
  </si>
  <si>
    <t>Total emissions soil, base year</t>
  </si>
  <si>
    <r>
      <t>kg CO</t>
    </r>
    <r>
      <rPr>
        <vertAlign val="subscript"/>
        <sz val="10"/>
        <color theme="1"/>
        <rFont val="Cambria"/>
        <family val="1"/>
        <scheme val="minor"/>
      </rPr>
      <t>2</t>
    </r>
    <r>
      <rPr>
        <sz val="10"/>
        <color theme="1"/>
        <rFont val="Cambria"/>
        <family val="1"/>
        <scheme val="minor"/>
      </rPr>
      <t>e / head</t>
    </r>
  </si>
  <si>
    <r>
      <t>kg CO</t>
    </r>
    <r>
      <rPr>
        <vertAlign val="subscript"/>
        <sz val="10"/>
        <color theme="1"/>
        <rFont val="Cambria"/>
        <family val="1"/>
        <scheme val="minor"/>
      </rPr>
      <t>2</t>
    </r>
    <r>
      <rPr>
        <sz val="10"/>
        <color theme="1"/>
        <rFont val="Cambria"/>
        <family val="1"/>
        <scheme val="minor"/>
      </rPr>
      <t>e / otd slurry</t>
    </r>
  </si>
  <si>
    <t>Calorific values, base year</t>
  </si>
  <si>
    <t>Second-generation biocrops</t>
  </si>
  <si>
    <t>Total emissions, soil management</t>
  </si>
  <si>
    <t>Emissions intensities, enteric and manure</t>
  </si>
  <si>
    <r>
      <t>kg CO</t>
    </r>
    <r>
      <rPr>
        <vertAlign val="subscript"/>
        <sz val="10"/>
        <color theme="1"/>
        <rFont val="Cambria"/>
        <family val="1"/>
        <scheme val="minor"/>
      </rPr>
      <t>2</t>
    </r>
    <r>
      <rPr>
        <sz val="10"/>
        <color theme="1"/>
        <rFont val="Cambria"/>
        <family val="1"/>
        <scheme val="minor"/>
      </rPr>
      <t>e / unit</t>
    </r>
  </si>
  <si>
    <t>Emissions intensities growth, enteric and manure</t>
  </si>
  <si>
    <t>C1</t>
  </si>
  <si>
    <t>C2</t>
  </si>
  <si>
    <t>Arable, for food crops (grades 1–3)</t>
  </si>
  <si>
    <t>Arable, for 1st gen energy crops  (grades 1–3)</t>
  </si>
  <si>
    <t>Arable, for 2nd gen energy crops  (grades 1–3)</t>
  </si>
  <si>
    <t>Grassland, for livestock and fallow (grades 3–5)</t>
  </si>
  <si>
    <t>Forests, exisiting, change per year</t>
  </si>
  <si>
    <t>Change in existing forests</t>
  </si>
  <si>
    <t>LAND USE AND LIVESTOCK NUMBERS</t>
  </si>
  <si>
    <t>YIELDS</t>
  </si>
  <si>
    <t>FORESTS</t>
  </si>
  <si>
    <t>Forest area</t>
  </si>
  <si>
    <t>Old</t>
  </si>
  <si>
    <t>New</t>
  </si>
  <si>
    <t>Exisiting forest</t>
  </si>
  <si>
    <t>New forest</t>
  </si>
  <si>
    <t>PRODUCTION OF WASTE</t>
  </si>
  <si>
    <t>Wood arising, old forest</t>
  </si>
  <si>
    <t>Total forestry arisings, new forests</t>
  </si>
  <si>
    <t>M odt</t>
  </si>
  <si>
    <t>Wood arisings collected, new forest</t>
  </si>
  <si>
    <t>Compute production of first-generation biocrops</t>
  </si>
  <si>
    <t>Compute production of second-generation biocrops</t>
  </si>
  <si>
    <t>PRODUCTION OF FIRST-GENERATION BIOCROPS</t>
  </si>
  <si>
    <t>PRODUCTION OF SECOND-GENERATION BIOCROPS</t>
  </si>
  <si>
    <t>Conversion efficiency, first-generation biocrop to biofuel</t>
  </si>
  <si>
    <t>Total biocrops, for reference</t>
  </si>
  <si>
    <t>Compute emissions credit from first-generation biocrops</t>
  </si>
  <si>
    <t>Livestock</t>
  </si>
  <si>
    <t>Horticulture</t>
  </si>
  <si>
    <t>Arable</t>
  </si>
  <si>
    <t>Energy use, total by area</t>
  </si>
  <si>
    <t>Energy use, breakdown by fuel</t>
  </si>
  <si>
    <t>Compute energy use</t>
  </si>
  <si>
    <t>Livestock (scale with dairy cows)</t>
  </si>
  <si>
    <t>Horticulture (constant)</t>
  </si>
  <si>
    <t>Agriculture (scale with farmed land area)</t>
  </si>
  <si>
    <r>
      <t xml:space="preserve">Total, </t>
    </r>
    <r>
      <rPr>
        <i/>
        <sz val="10"/>
        <color theme="1"/>
        <rFont val="Cambria"/>
        <family val="1"/>
        <scheme val="minor"/>
      </rPr>
      <t>of which, by fuel</t>
    </r>
  </si>
  <si>
    <t>Includes use of energy in agriculture</t>
  </si>
  <si>
    <t>Total MSW waste arising</t>
  </si>
  <si>
    <t>Total C&amp;I waste arising</t>
  </si>
  <si>
    <t>Total CDW,  wood waste arising</t>
  </si>
  <si>
    <t>Stream</t>
  </si>
  <si>
    <t>Landfill</t>
  </si>
  <si>
    <t>Recycled</t>
  </si>
  <si>
    <t>% total waste arising</t>
  </si>
  <si>
    <t>Non-biogenic, other</t>
  </si>
  <si>
    <t>CDW</t>
  </si>
  <si>
    <t>Type of waste arising</t>
  </si>
  <si>
    <t>Energy content of waste</t>
  </si>
  <si>
    <r>
      <t>M tonnes CH</t>
    </r>
    <r>
      <rPr>
        <vertAlign val="subscript"/>
        <sz val="10"/>
        <color theme="1"/>
        <rFont val="Cambria"/>
        <family val="1"/>
        <scheme val="minor"/>
      </rPr>
      <t>4</t>
    </r>
  </si>
  <si>
    <t>Landfill gas arising</t>
  </si>
  <si>
    <t>Total sewage sludge arising</t>
  </si>
  <si>
    <t>WASTE DESTINATIONS, MSW and C&amp;I</t>
  </si>
  <si>
    <t>% of waste for energy</t>
  </si>
  <si>
    <r>
      <t>Mt CH</t>
    </r>
    <r>
      <rPr>
        <vertAlign val="subscript"/>
        <sz val="10"/>
        <color theme="1"/>
        <rFont val="Calibri"/>
        <family val="2"/>
        <scheme val="major"/>
      </rPr>
      <t>4</t>
    </r>
  </si>
  <si>
    <t>Construction and Demolition Waste</t>
  </si>
  <si>
    <t>Wood only</t>
  </si>
  <si>
    <t>DRY</t>
  </si>
  <si>
    <t>WET</t>
  </si>
  <si>
    <t>SOLID</t>
  </si>
  <si>
    <t>INORG</t>
  </si>
  <si>
    <t>SEWAGE</t>
  </si>
  <si>
    <t>OTHER</t>
  </si>
  <si>
    <t>Energy from unsegregated MDW, C&amp;I, and CDW</t>
  </si>
  <si>
    <t>Energy from segregated wet waste for recycling</t>
  </si>
  <si>
    <t>Waste capture for energy, CDW</t>
  </si>
  <si>
    <t>CDW for energy</t>
  </si>
  <si>
    <t>Construction and Demolition</t>
  </si>
  <si>
    <t>SEGREGATED WET WASTE</t>
  </si>
  <si>
    <t xml:space="preserve">UNSEGREGATED MSW, C&amp;I, AND CDW </t>
  </si>
  <si>
    <t>% of recycled wet waste</t>
  </si>
  <si>
    <t>Wet waste segregated from recycling for energy</t>
  </si>
  <si>
    <t>Wet waste from recycling for energy</t>
  </si>
  <si>
    <t>% of waste to recycling</t>
  </si>
  <si>
    <t>WET to AD</t>
  </si>
  <si>
    <t>Hence, total energy available by waste type</t>
  </si>
  <si>
    <t>Energy available by energy vector</t>
  </si>
  <si>
    <t>Landfill gas captured</t>
  </si>
  <si>
    <t>% of gas</t>
  </si>
  <si>
    <t>Landfill gas recovered</t>
  </si>
  <si>
    <r>
      <t xml:space="preserve">Landfill gas captured </t>
    </r>
    <r>
      <rPr>
        <sz val="10"/>
        <color theme="1"/>
        <rFont val="Cambria"/>
        <family val="1"/>
        <scheme val="minor"/>
      </rPr>
      <t>(Note: remainder is lost as methane emissions)</t>
    </r>
  </si>
  <si>
    <t>Fraction captured</t>
  </si>
  <si>
    <t>Total landfill gas arising</t>
  </si>
  <si>
    <t>Fraction captured that is used for energy</t>
  </si>
  <si>
    <t>Fraction lost</t>
  </si>
  <si>
    <t>Landfill gas emitted</t>
  </si>
  <si>
    <t>Landfill gas for energy</t>
  </si>
  <si>
    <r>
      <t xml:space="preserve">Captured landfill gas used for energy </t>
    </r>
    <r>
      <rPr>
        <sz val="10"/>
        <color theme="1"/>
        <rFont val="Cambria"/>
        <family val="1"/>
        <scheme val="minor"/>
      </rPr>
      <t>(Note: remainder is flared)</t>
    </r>
  </si>
  <si>
    <t>Chosen to give correct 2007 recovered gas used for energy</t>
  </si>
  <si>
    <t>Emissions factors [1]</t>
  </si>
  <si>
    <t>GCV of methane [2]</t>
  </si>
  <si>
    <t>Source: UK Greenhouse Gas Inventory, 2009, Table 6.A</t>
  </si>
  <si>
    <t>Figures inferred to produce 2007 emissions as reported by GHG Inventory. (Sewage sludge does not include industrial waste water,</t>
  </si>
  <si>
    <t>which is included in the GHG Inventory figures.)</t>
  </si>
  <si>
    <t>Energy and emissions from sewage</t>
  </si>
  <si>
    <t>ENERGY AND EMISSIONS FROM SEWAGE</t>
  </si>
  <si>
    <r>
      <t>tonnes CO</t>
    </r>
    <r>
      <rPr>
        <vertAlign val="subscript"/>
        <sz val="10"/>
        <color theme="1"/>
        <rFont val="Cambria"/>
        <family val="1"/>
        <scheme val="minor"/>
      </rPr>
      <t>2</t>
    </r>
    <r>
      <rPr>
        <sz val="10"/>
        <color theme="1"/>
        <rFont val="Cambria"/>
        <family val="1"/>
        <scheme val="minor"/>
      </rPr>
      <t>e / odt waste</t>
    </r>
  </si>
  <si>
    <t>Fraction recovered for energy</t>
  </si>
  <si>
    <t>Sewage used for energy</t>
  </si>
  <si>
    <t>Sewage sludge for energy</t>
  </si>
  <si>
    <t>% of sewage arising</t>
  </si>
  <si>
    <t>% of total wood waste arising</t>
  </si>
  <si>
    <r>
      <t>Emissions factor N</t>
    </r>
    <r>
      <rPr>
        <i/>
        <vertAlign val="subscript"/>
        <sz val="10"/>
        <color theme="1"/>
        <rFont val="Cambria"/>
        <family val="1"/>
        <scheme val="minor"/>
      </rPr>
      <t>2</t>
    </r>
    <r>
      <rPr>
        <i/>
        <sz val="10"/>
        <color theme="1"/>
        <rFont val="Cambria"/>
        <family val="1"/>
        <scheme val="minor"/>
      </rPr>
      <t>O</t>
    </r>
  </si>
  <si>
    <r>
      <t>CO</t>
    </r>
    <r>
      <rPr>
        <i/>
        <vertAlign val="subscript"/>
        <sz val="10"/>
        <color theme="1"/>
        <rFont val="Cambria"/>
        <family val="1"/>
        <scheme val="minor"/>
      </rPr>
      <t>2</t>
    </r>
    <r>
      <rPr>
        <i/>
        <sz val="10"/>
        <color theme="1"/>
        <rFont val="Cambria"/>
        <family val="1"/>
        <scheme val="minor"/>
      </rPr>
      <t>e / odt</t>
    </r>
  </si>
  <si>
    <r>
      <t>Emissions (N</t>
    </r>
    <r>
      <rPr>
        <vertAlign val="subscript"/>
        <sz val="10"/>
        <color theme="1"/>
        <rFont val="Cambria"/>
        <family val="1"/>
        <scheme val="minor"/>
      </rPr>
      <t>2</t>
    </r>
    <r>
      <rPr>
        <sz val="10"/>
        <color theme="1"/>
        <rFont val="Cambria"/>
        <family val="1"/>
        <scheme val="minor"/>
      </rPr>
      <t>O)</t>
    </r>
  </si>
  <si>
    <r>
      <t>Mt CO</t>
    </r>
    <r>
      <rPr>
        <vertAlign val="subscript"/>
        <sz val="10"/>
        <color theme="1"/>
        <rFont val="Cambria"/>
        <family val="1"/>
        <scheme val="minor"/>
      </rPr>
      <t>2</t>
    </r>
    <r>
      <rPr>
        <sz val="10"/>
        <color theme="1"/>
        <rFont val="Cambria"/>
        <family val="1"/>
        <scheme val="minor"/>
      </rPr>
      <t>e</t>
    </r>
  </si>
  <si>
    <t>Residual</t>
  </si>
  <si>
    <r>
      <t>Emissions factor CH</t>
    </r>
    <r>
      <rPr>
        <i/>
        <vertAlign val="subscript"/>
        <sz val="10"/>
        <color theme="1"/>
        <rFont val="Cambria"/>
        <family val="1"/>
        <scheme val="minor"/>
      </rPr>
      <t>4</t>
    </r>
  </si>
  <si>
    <r>
      <t>Emissions (CH</t>
    </r>
    <r>
      <rPr>
        <vertAlign val="subscript"/>
        <sz val="10"/>
        <color theme="1"/>
        <rFont val="Cambria"/>
        <family val="1"/>
        <scheme val="minor"/>
      </rPr>
      <t>4</t>
    </r>
    <r>
      <rPr>
        <sz val="10"/>
        <color theme="1"/>
        <rFont val="Cambria"/>
        <family val="1"/>
        <scheme val="minor"/>
      </rPr>
      <t>)</t>
    </r>
  </si>
  <si>
    <t>of which</t>
  </si>
  <si>
    <r>
      <rPr>
        <b/>
        <sz val="10"/>
        <color theme="1"/>
        <rFont val="Cambria"/>
        <family val="1"/>
        <scheme val="minor"/>
      </rPr>
      <t>MSW for recyling</t>
    </r>
    <r>
      <rPr>
        <sz val="10"/>
        <color theme="1"/>
        <rFont val="Cambria"/>
        <family val="1"/>
        <scheme val="minor"/>
      </rPr>
      <t/>
    </r>
  </si>
  <si>
    <r>
      <rPr>
        <b/>
        <sz val="10"/>
        <color theme="1"/>
        <rFont val="Cambria"/>
        <family val="1"/>
        <scheme val="minor"/>
      </rPr>
      <t>C&amp;I for recyling</t>
    </r>
    <r>
      <rPr>
        <sz val="10"/>
        <color theme="1"/>
        <rFont val="Cambria"/>
        <family val="1"/>
        <scheme val="minor"/>
      </rPr>
      <t/>
    </r>
  </si>
  <si>
    <t>MSW for energy</t>
  </si>
  <si>
    <t>C&amp;I for energy</t>
  </si>
  <si>
    <t>Forestry emissions</t>
  </si>
  <si>
    <t>Agricultural emissions</t>
  </si>
  <si>
    <t>Forestry</t>
  </si>
  <si>
    <t>5A2</t>
  </si>
  <si>
    <t>5B</t>
  </si>
  <si>
    <t>Cropland</t>
  </si>
  <si>
    <t>5C</t>
  </si>
  <si>
    <t>Grassland</t>
  </si>
  <si>
    <t>5E</t>
  </si>
  <si>
    <t>LULUCF effective emissions factors</t>
  </si>
  <si>
    <t>LULUCF emissions</t>
  </si>
  <si>
    <t>Total LULUCF</t>
  </si>
  <si>
    <t>5G</t>
  </si>
  <si>
    <t>Assume imports of crude oil remain constant</t>
  </si>
  <si>
    <t>Refine imports+production-exports</t>
  </si>
  <si>
    <t>Import / Export as needed to make up demand in petroleum products</t>
  </si>
  <si>
    <t>Balancing imports</t>
  </si>
  <si>
    <t>(Not used)</t>
  </si>
  <si>
    <t>Crude oil imports</t>
  </si>
  <si>
    <t>Assume exports of crude old decline in proportion to domestic production</t>
  </si>
  <si>
    <t>Domestic production of crude oil</t>
  </si>
  <si>
    <t>Crude oil exports</t>
  </si>
  <si>
    <t>Assumed to decline in proportion to production</t>
  </si>
  <si>
    <t>Crude oil exports [1]</t>
  </si>
  <si>
    <t>% of refined hydrocarbons</t>
  </si>
  <si>
    <t>% of primary oil input</t>
  </si>
  <si>
    <t>Refinery own-use energy requirements [3]</t>
  </si>
  <si>
    <t>Refinery losses [2]</t>
  </si>
  <si>
    <t>Compute primary oil input to refinery</t>
  </si>
  <si>
    <t>PRIMARY OIL INPUT</t>
  </si>
  <si>
    <t>Domestic production</t>
  </si>
  <si>
    <t>Total refinery primary oil input</t>
  </si>
  <si>
    <r>
      <rPr>
        <b/>
        <sz val="10"/>
        <color theme="1"/>
        <rFont val="Cambria"/>
        <family val="1"/>
        <scheme val="minor"/>
      </rPr>
      <t>2007</t>
    </r>
    <r>
      <rPr>
        <b/>
        <sz val="10"/>
        <color theme="1"/>
        <rFont val="Arial"/>
        <family val="2"/>
      </rPr>
      <t>–</t>
    </r>
    <r>
      <rPr>
        <b/>
        <sz val="10"/>
        <color theme="1"/>
        <rFont val="Cambria"/>
        <family val="1"/>
      </rPr>
      <t xml:space="preserve">2025 </t>
    </r>
    <r>
      <rPr>
        <sz val="10"/>
        <color theme="1"/>
        <rFont val="Cambria"/>
        <family val="1"/>
      </rPr>
      <t xml:space="preserve">(by </t>
    </r>
    <r>
      <rPr>
        <sz val="10"/>
        <color theme="1"/>
        <rFont val="Cambria"/>
        <family val="1"/>
        <scheme val="minor"/>
      </rPr>
      <t>Trajectory)</t>
    </r>
  </si>
  <si>
    <r>
      <rPr>
        <b/>
        <sz val="10"/>
        <color theme="1"/>
        <rFont val="Cambria"/>
        <family val="1"/>
        <scheme val="minor"/>
      </rPr>
      <t>2025</t>
    </r>
    <r>
      <rPr>
        <b/>
        <sz val="10"/>
        <color theme="1"/>
        <rFont val="Arial"/>
        <family val="2"/>
      </rPr>
      <t>–</t>
    </r>
    <r>
      <rPr>
        <b/>
        <sz val="10"/>
        <color theme="1"/>
        <rFont val="Cambria"/>
        <family val="1"/>
      </rPr>
      <t>2050</t>
    </r>
    <r>
      <rPr>
        <sz val="10"/>
        <color theme="1"/>
        <rFont val="Cambria"/>
        <family val="1"/>
      </rPr>
      <t xml:space="preserve"> (by </t>
    </r>
    <r>
      <rPr>
        <sz val="10"/>
        <color theme="1"/>
        <rFont val="Cambria"/>
        <family val="1"/>
        <scheme val="minor"/>
      </rPr>
      <t>Trajectory)</t>
    </r>
  </si>
  <si>
    <t>Lighting and appliances (exlcuding catering), total demand</t>
  </si>
  <si>
    <t>Coal and fossil waste</t>
  </si>
  <si>
    <t>Road freight, HGV efficiencies, diesel</t>
  </si>
  <si>
    <t>Road freight, HGV efficiencies, electric</t>
  </si>
  <si>
    <t>Marine bunkers, fuel use, growth [1]</t>
  </si>
  <si>
    <r>
      <t xml:space="preserve">The Desertec Foundation, </t>
    </r>
    <r>
      <rPr>
        <i/>
        <sz val="10"/>
        <color theme="1"/>
        <rFont val="Cambria"/>
        <family val="1"/>
        <scheme val="minor"/>
      </rPr>
      <t>Clean Power From Deserts</t>
    </r>
    <r>
      <rPr>
        <sz val="10"/>
        <color theme="1"/>
        <rFont val="Cambria"/>
        <family val="1"/>
        <scheme val="minor"/>
      </rPr>
      <t>, Whitebook, 4th edition</t>
    </r>
  </si>
  <si>
    <t>Assumes UK share is 10%</t>
  </si>
  <si>
    <t>Soil emissions</t>
  </si>
  <si>
    <t>Domestic solar PV installed capacity [1]</t>
  </si>
  <si>
    <r>
      <t>5 m</t>
    </r>
    <r>
      <rPr>
        <vertAlign val="superscript"/>
        <sz val="10"/>
        <color theme="1"/>
        <rFont val="Cambria"/>
        <family val="1"/>
        <scheme val="minor"/>
      </rPr>
      <t>2</t>
    </r>
    <r>
      <rPr>
        <sz val="10"/>
        <color theme="1"/>
        <rFont val="Cambria"/>
        <family val="1"/>
        <scheme val="minor"/>
      </rPr>
      <t xml:space="preserve"> is a thermal unit sized approximately for 60% of annual demand</t>
    </r>
  </si>
  <si>
    <t>Marine algae</t>
  </si>
  <si>
    <t>VI.c</t>
  </si>
  <si>
    <t>Area of sea farmed</t>
  </si>
  <si>
    <t>Yield</t>
  </si>
  <si>
    <t>Yield, macro algae</t>
  </si>
  <si>
    <t>Dry tonnes / hectare</t>
  </si>
  <si>
    <t>Algae</t>
  </si>
  <si>
    <t>Energy content, macro algae</t>
  </si>
  <si>
    <t>GROW ALGAE</t>
  </si>
  <si>
    <t>Area farmed</t>
  </si>
  <si>
    <t>Environmental heat</t>
  </si>
  <si>
    <t>Energy crops (second generation)</t>
  </si>
  <si>
    <t>V.14</t>
  </si>
  <si>
    <t>Second-generation crops grown for energy use</t>
  </si>
  <si>
    <t>First-generation crops grown for energy use</t>
  </si>
  <si>
    <t>V.15</t>
  </si>
  <si>
    <t>Methane from waste</t>
  </si>
  <si>
    <t>Energy crops (first generation)</t>
  </si>
  <si>
    <t>First-generation energy crops are always converted to liquids</t>
  </si>
  <si>
    <t>Conversion efficiency, first-generation energy crops -- all are converted to liquid biofuels</t>
  </si>
  <si>
    <t>Convert gasesous waste</t>
  </si>
  <si>
    <t>GASESOUS WASTE</t>
  </si>
  <si>
    <t>Used in heating</t>
  </si>
  <si>
    <t>Used in refineries</t>
  </si>
  <si>
    <t>Supplied from biogas</t>
  </si>
  <si>
    <t>In the event of a 5 day peak in heating and drop in wind</t>
  </si>
  <si>
    <t>Release candidate</t>
  </si>
  <si>
    <t>Used in unabated power plants</t>
  </si>
  <si>
    <t>Oil input required</t>
  </si>
  <si>
    <t>Coal input required</t>
  </si>
  <si>
    <r>
      <rPr>
        <sz val="8"/>
        <color theme="1"/>
        <rFont val="Cambria"/>
        <family val="1"/>
      </rPr>
      <t>T</t>
    </r>
    <r>
      <rPr>
        <sz val="10"/>
        <color theme="1"/>
        <rFont val="Cambria"/>
        <family val="1"/>
        <scheme val="minor"/>
      </rPr>
      <t>hermal efficiency (weighted av. of gas and dual-fired)</t>
    </r>
  </si>
  <si>
    <t>Gas input required</t>
  </si>
  <si>
    <t>% collected of manure deposited as slurry</t>
  </si>
  <si>
    <t>Lookup of technology pathway</t>
  </si>
  <si>
    <t>Pathway chosen is …</t>
  </si>
  <si>
    <t>Fixed proportion of losses</t>
  </si>
  <si>
    <t>No longer used</t>
  </si>
  <si>
    <t>ENERGY USE</t>
  </si>
  <si>
    <r>
      <t xml:space="preserve">Source: DECC, </t>
    </r>
    <r>
      <rPr>
        <i/>
        <sz val="8"/>
        <rFont val="Cambria"/>
        <family val="1"/>
        <scheme val="minor"/>
      </rPr>
      <t xml:space="preserve">Delivering secure low carbon electricity, A call for evidence, </t>
    </r>
    <r>
      <rPr>
        <sz val="8"/>
        <rFont val="Cambria"/>
        <family val="1"/>
        <scheme val="minor"/>
      </rPr>
      <t>Table 3.1, which is taken to imply that all oil-fuelled generation will be closed by end 2015.</t>
    </r>
  </si>
  <si>
    <t>Closure rates for coal 2016-2025 are the average rate in current (summer 2010) UEP projections from DECC.</t>
  </si>
  <si>
    <t>1.0.0</t>
  </si>
  <si>
    <t>Electricity consumption (to run pump)</t>
  </si>
  <si>
    <t>% of heat supplied</t>
  </si>
  <si>
    <t xml:space="preserve">Electricity usage </t>
  </si>
  <si>
    <t>Electric air conditioner (old)</t>
  </si>
  <si>
    <t>Electric air conditioner (new)</t>
  </si>
  <si>
    <t xml:space="preserve">Gas boiler (new) is 0.1% in all cases where it would otherwise be zero. This is a modelling trick to ensure that, in the short-term, </t>
  </si>
  <si>
    <t>1.0.1</t>
  </si>
  <si>
    <t>Changes since last version</t>
  </si>
  <si>
    <t>Added intermediate levels 2 and 3 to VII.a Electricity Imports</t>
  </si>
  <si>
    <t>Nuclear, retirement of new build</t>
  </si>
  <si>
    <t>Inputs (NOT USED)</t>
  </si>
  <si>
    <t>Wave and Tidal</t>
  </si>
  <si>
    <t>Very low</t>
  </si>
  <si>
    <t>Corrected minor typos</t>
  </si>
  <si>
    <t>Level</t>
  </si>
  <si>
    <t>% of base yr</t>
  </si>
  <si>
    <t>Many different units are commonly used for energy, power, and area.</t>
  </si>
  <si>
    <t>To change the default units, make a selection in the Preferences worksheet.</t>
  </si>
  <si>
    <t>The emissions chart shows emissions as a percentage of base year levels.</t>
  </si>
  <si>
    <t xml:space="preserve">from each category. </t>
  </si>
  <si>
    <t>There are two "negative emissions" categories:</t>
  </si>
  <si>
    <t>chart</t>
  </si>
  <si>
    <t>Emssions</t>
  </si>
  <si>
    <t>table</t>
  </si>
  <si>
    <t>The modelled figures are computed from the energy consumption, and are unadjusted.</t>
  </si>
  <si>
    <t>The "% of actual" figure shows the 2007 modelled emissions as a percentage of 2007</t>
  </si>
  <si>
    <t>actual emissions. To produce the "% of base year" figures here and in the chart, the modelled</t>
  </si>
  <si>
    <t>emissions have been adjusted by the "% of actual" figure so that the 2007 modelled emissions</t>
  </si>
  <si>
    <t>match the 2007 actual emissions.</t>
  </si>
  <si>
    <t>Sources and</t>
  </si>
  <si>
    <t>uses</t>
  </si>
  <si>
    <t>Exports and imports</t>
  </si>
  <si>
    <t>For reference, these tables show how much of each physical form of energy comes from bioenergy</t>
  </si>
  <si>
    <t>of a number of sectors.</t>
  </si>
  <si>
    <t>Contents</t>
  </si>
  <si>
    <t>Instructions</t>
  </si>
  <si>
    <t>Preferences</t>
  </si>
  <si>
    <t>Control</t>
  </si>
  <si>
    <t>Global assumptions</t>
  </si>
  <si>
    <t>Constants</t>
  </si>
  <si>
    <t>Combustion Emissions Factors</t>
  </si>
  <si>
    <t>{Workstreams}</t>
  </si>
  <si>
    <t>{Modules}</t>
  </si>
  <si>
    <t>{Energy vectors}</t>
  </si>
  <si>
    <t>{Emissions}</t>
  </si>
  <si>
    <t>DUKES …</t>
  </si>
  <si>
    <t>I.a – XVII.a</t>
  </si>
  <si>
    <t>2007 – 2050</t>
  </si>
  <si>
    <t>This worksheet</t>
  </si>
  <si>
    <t>Settings for the units used to display energy, power, and area</t>
  </si>
  <si>
    <t>Instructions for use</t>
  </si>
  <si>
    <t>Main user interfance</t>
  </si>
  <si>
    <t>Conversions</t>
  </si>
  <si>
    <t>Common units</t>
  </si>
  <si>
    <t>Assumptions used across sectors (GDP, population, households; UK incident solar energy)</t>
  </si>
  <si>
    <t>Properties of selected fuels (calorific values, emissions factors, density) and global warming potentials of greenhouse gases</t>
  </si>
  <si>
    <t>Summary of emissions factor used for each energy vector</t>
  </si>
  <si>
    <t>Master list of all Greenhouse Gases and IPCC sectors</t>
  </si>
  <si>
    <t>Master list of all workstreams  (I, II, III, …)</t>
  </si>
  <si>
    <t>Master list of all workstream modules  (I.a, I.b, II.a, …)</t>
  </si>
  <si>
    <t xml:space="preserve">Master list of all energy vectors (aka, fuel types) </t>
  </si>
  <si>
    <t>One worksheet for each Module. Computes energy flows and emissions for that Module</t>
  </si>
  <si>
    <t>Figures used to produce the charts in "Control," summarised from the annual sheets</t>
  </si>
  <si>
    <t>One worksheet for each year modelled. Brings together all energy flows and emissions for that year</t>
  </si>
  <si>
    <t>For reference, actual 2007 energy consumption, derived from DUKES and other sources, using the energy vectors and modules defined herein</t>
  </si>
  <si>
    <t>Added cover sheet, rearranged order of some worksheets, deleted some worksheets</t>
  </si>
  <si>
    <t>Small changes to Wave and Tidal</t>
  </si>
  <si>
    <t>Updated the wording of the levels in the Control sheet</t>
  </si>
  <si>
    <t>Demonstration plants only; no roll-out of CCS</t>
  </si>
  <si>
    <t>Quantity of waste stable; landfill eliminated; most waste recycled</t>
  </si>
  <si>
    <t>No development of macro-algae cultivation</t>
  </si>
  <si>
    <t>The dominant non-electric heating fuel is coal (biomass if available)</t>
  </si>
  <si>
    <t>The dominant non-electric heat source is heat from power stations</t>
  </si>
  <si>
    <t>Space heating demand increases by 50%, hot water demand by 60%, cooling demand by 250%</t>
  </si>
  <si>
    <t>Space heating demand increases by 30%, hot water demand by 50%, cooling demand by 60%</t>
  </si>
  <si>
    <t>Energy used for domestic cooking remains at 63% electricity and 37% gas</t>
  </si>
  <si>
    <t>100% electric</t>
  </si>
  <si>
    <t>Energy demand for lights &amp; appliances increases by 33%. Energy for cooking is stable</t>
  </si>
  <si>
    <t>60% electricity and 40% gas (no change from 2007)</t>
  </si>
  <si>
    <t>As for B</t>
  </si>
  <si>
    <t>Carbon dioxide sequestration rate of 1 million tonnes per annum by 2050</t>
  </si>
  <si>
    <t>Update the Pathways (Baseline now called B; others are X, Y, Z, and A</t>
  </si>
  <si>
    <t>In heating (IX.a and IX.c), swapped pathways 9 and 11</t>
  </si>
  <si>
    <t>Changed the legend of the electricty chart from "conventional thermal plant" to "unabated thermal generation"</t>
  </si>
  <si>
    <t>Moved heat-led production of electricity (domestic and commercial CHP) to "unabated thermal generation"</t>
  </si>
  <si>
    <t>Unabated thermal generation</t>
  </si>
  <si>
    <t>1.0.4</t>
  </si>
  <si>
    <t>1.0.3</t>
  </si>
  <si>
    <t>1.0.2</t>
  </si>
  <si>
    <t>2020 emissions</t>
  </si>
  <si>
    <t>below 1990 levels</t>
  </si>
  <si>
    <t>2030 emissions</t>
  </si>
  <si>
    <t>2050 emissions</t>
  </si>
  <si>
    <t>2020 electricity</t>
  </si>
  <si>
    <t>gCO2/kWhe</t>
  </si>
  <si>
    <t>&lt;- Note this refers to a new cell on the 2020 sheet</t>
  </si>
  <si>
    <t>2030 electricity</t>
  </si>
  <si>
    <t>&lt;- Note this refers to a new cell on the 2030 sheet</t>
  </si>
  <si>
    <t>2050 electricity</t>
  </si>
  <si>
    <t>&lt;- Note this refers to a new cell on the 2050 sheet</t>
  </si>
  <si>
    <t>2020 energy imports</t>
  </si>
  <si>
    <t>of primary energy</t>
  </si>
  <si>
    <t>2050 energy imports</t>
  </si>
  <si>
    <t>2050 5 still winter days</t>
  </si>
  <si>
    <t>of electricity reserves used</t>
  </si>
  <si>
    <t>GW of standby generation required</t>
  </si>
  <si>
    <t>Difficulty</t>
  </si>
  <si>
    <t>Key facts (for reference)</t>
  </si>
  <si>
    <t>Used in electricity</t>
  </si>
  <si>
    <t>Matching electricity</t>
  </si>
  <si>
    <t>emissions factor</t>
  </si>
  <si>
    <t>Changes to aviation figures to match CCC efficiency assumptions</t>
  </si>
  <si>
    <t>Trajectories are numbered in this worksheet. A=1, B=2, C=3, D=4</t>
  </si>
  <si>
    <t>Note also that the ordering of trajectories in the "Trajectory assumptions" data is A, C, B, D.</t>
  </si>
  <si>
    <t>1.0.5</t>
  </si>
  <si>
    <t>Changed the ordering of trajectories B and C (2 and 3) in VI. a (Agriculture)</t>
  </si>
  <si>
    <t>Energy available by energy vector (note that both DRY and WET waste end up in the dry biomatter stream)</t>
  </si>
  <si>
    <t>Bioenergy</t>
  </si>
  <si>
    <t>Biomatter to fuel conversion</t>
  </si>
  <si>
    <t>Agriculture and land use</t>
  </si>
  <si>
    <t>Changed "Bioenergy production" to "Bioenergy"</t>
  </si>
  <si>
    <t>Changed "Bioenergy production from agriculture and waste" to "Biomass to fuel conversion"</t>
  </si>
  <si>
    <t>Updated hydro trajectories very slightly</t>
  </si>
  <si>
    <t>Fuel proportions by type</t>
  </si>
  <si>
    <t>Added "key facts" table to "Output (figures)" and corresponding calculations -- for online version</t>
  </si>
  <si>
    <t>Imports, Concentrated solar power in deserts</t>
  </si>
  <si>
    <t>Concentrated solar power</t>
  </si>
  <si>
    <t>Updated Electicity Imports (from solar power in deserts)</t>
  </si>
  <si>
    <t>Updated Wave and Tidal Stream assumptions</t>
  </si>
  <si>
    <t>Imported energy</t>
  </si>
  <si>
    <t>Lowest: 35. Highest: 140</t>
  </si>
  <si>
    <t>R</t>
  </si>
  <si>
    <t>Updated Pathways A-F</t>
  </si>
  <si>
    <t>Wave generation, installed capacity</t>
  </si>
  <si>
    <t>Tidal stream, installed capacity</t>
  </si>
  <si>
    <t>Assumes no energy spilled</t>
  </si>
  <si>
    <t>Tidal stream</t>
  </si>
  <si>
    <t>Tidal range</t>
  </si>
  <si>
    <t>Tidal range, installed capacity</t>
  </si>
  <si>
    <t>Source: DECC estimates</t>
  </si>
  <si>
    <t>WAVE GENERATION</t>
  </si>
  <si>
    <t>TIDAL STREAM GENERATION</t>
  </si>
  <si>
    <t>TIDAL RANGE GENERATION</t>
  </si>
  <si>
    <t>1.0.6</t>
  </si>
  <si>
    <t>Cosmetic changes to Control sheet</t>
  </si>
  <si>
    <t>Example pathways</t>
  </si>
  <si>
    <t>We intend to add further terms based on feedback from users.</t>
  </si>
  <si>
    <t>No new nuclear power installed; estimated closure of final plant in 2035</t>
  </si>
  <si>
    <t>11GW in 2025, reducing to zero as decommissioned sites are not replanted</t>
  </si>
  <si>
    <t>8GW in 2025, reducing to zero as decommissioned sites are not replanted</t>
  </si>
  <si>
    <t>Little wave and tidal stream in 2030 and none in 2050; no tidal range</t>
  </si>
  <si>
    <t>No deployment of geothermal electricity generation</t>
  </si>
  <si>
    <t>No significant solar PV capacity is installed</t>
  </si>
  <si>
    <t>9.5m2 of photovoltaic panels per person – all suitable roof and facade space used</t>
  </si>
  <si>
    <t>Biomatter converted to a mixture of solid, liquid and gas biofuels</t>
  </si>
  <si>
    <t>Biomatter mainly converted to solid biofuel</t>
  </si>
  <si>
    <t>Biomatter mainly converted to liquid biofuel</t>
  </si>
  <si>
    <t>Biomatter mainly converted to biogas fuel</t>
  </si>
  <si>
    <t>Livestock numbers increase by 10%; bioenergy crops cover 1.5% of UK</t>
  </si>
  <si>
    <t>Livestock numbers decrease by 10%; bioenergy crops cover 10% of UK</t>
  </si>
  <si>
    <t>Livestock numbers decrease by 20%; bioenergy crops cover 20% of UK</t>
  </si>
  <si>
    <t>Quantity of waste increases by 30%; almost 10-fold reduction in quantity to landfill</t>
  </si>
  <si>
    <t>As for C</t>
  </si>
  <si>
    <t>Half of Scotland's natural standing macro-algae reserve used</t>
  </si>
  <si>
    <t>All of Scotland's natural standing macro-algae reserve used</t>
  </si>
  <si>
    <t>All of Scotland's natural reserve used; plus three times the same area offshore</t>
  </si>
  <si>
    <t>No electricity imports, other than for balancing</t>
  </si>
  <si>
    <t>Today’s 3.5 GW storage &amp; 4 GW interconnection with Europe for balancing</t>
  </si>
  <si>
    <t>4 GW storage &amp; 10 GW interconnection with Europe for balancing</t>
  </si>
  <si>
    <t>7 GW storage with 2 more pumped storage, 15 GW interconnection &amp; some demand shifting</t>
  </si>
  <si>
    <t>20 GW storage with large lagoons, 30 GW interconnection &amp; substantial demand shifting</t>
  </si>
  <si>
    <t>Average room temperature increases to 20°C (a 2.5°C increase on 2007)</t>
  </si>
  <si>
    <t>Average room temperature increases to 18°C (a 0.5°C increase on 2007)</t>
  </si>
  <si>
    <t>Average room temperature decreases to 17°C (a 0.5°C decrease on 2007)</t>
  </si>
  <si>
    <t>Average room temperature decreases to 16°C (a 1.5°C decrease on 2007)</t>
  </si>
  <si>
    <t xml:space="preserve">Average thermal leakiness (Watts/°C) of UK dwellings decreases by 25% </t>
  </si>
  <si>
    <t xml:space="preserve">Average thermal leakiness (Watts/°C) of UK dwellings decreases by 33% </t>
  </si>
  <si>
    <t xml:space="preserve">Average thermal leakiness (Watts/°C) of UK dwellings decreases by 40% </t>
  </si>
  <si>
    <t xml:space="preserve">Average thermal leakiness (Watts/°C) of UK dwellings decreases by 50% </t>
  </si>
  <si>
    <t>The proportion of domestic heat supplied using electricity is 20%</t>
  </si>
  <si>
    <t>The proportion of domestic heat supplied using electricity is 30-60%</t>
  </si>
  <si>
    <t>The proportion of domestic heat supplied using electricity is 80-100%</t>
  </si>
  <si>
    <t>The dominant non-electric heat source is gas (biogas if available)</t>
  </si>
  <si>
    <t>The dominant non-electric heat source is coal (biomass if available)</t>
  </si>
  <si>
    <t>The dominant non-electric heat source is waste heat from power stations</t>
  </si>
  <si>
    <t>A mixture of gas/biogas; coal/biomass; and heat from power stations</t>
  </si>
  <si>
    <t>Space heating demand stable, hot water demand increases by 25%, cooling demand stable</t>
  </si>
  <si>
    <t>Space heating demand drops by 25%, hot water demand by 10%, cooling demand by 60%</t>
  </si>
  <si>
    <t>The proportion of non-domestic heat supplied using electricity is 0-10%, as today</t>
  </si>
  <si>
    <t>The proportion of non-domestic heat supplied using electricity is 20%</t>
  </si>
  <si>
    <t>The proportion of non-domestic heat supplied using electricity is 30-60%</t>
  </si>
  <si>
    <t>The proportion of non-domestic heat supplied using electricity is 80-100%</t>
  </si>
  <si>
    <t>A mixture of gas/biogas, coal/biomass, and heat from power stations</t>
  </si>
  <si>
    <t>Energy demand for domestic lights and appliances increases by 20% (relative to 2007)</t>
  </si>
  <si>
    <t>Energy demand for domestic lights and appliances is stable</t>
  </si>
  <si>
    <t>Energy demand for domestic lights and appliances decreases by 40%</t>
  </si>
  <si>
    <t>Energy demand for domestic lights and appliances decreases by 60%</t>
  </si>
  <si>
    <t>Energy demand for lights &amp; appliances decreases by 5%; decreases by 20% for cooking</t>
  </si>
  <si>
    <t>Energy demand for lights &amp; appliances decreases by 30%; decreases by 25% for cooking</t>
  </si>
  <si>
    <t>UK industrial sector is the same size and carbon intensity in 2050 (relative to 2007)</t>
  </si>
  <si>
    <t>UK industrial sector same size with lower carbon intensity in 2050 (relative to 2007)</t>
  </si>
  <si>
    <t>UK industrial sector large with much lower carbon intensity in 2050 (relative to 2007)</t>
  </si>
  <si>
    <t>UK industrial sector small with much lower carbon intensity in 2050 (relative to 2007)</t>
  </si>
  <si>
    <t>Road haulage makes up 73% of distance, using conventional engines. Rail all diesel</t>
  </si>
  <si>
    <t>Annual improvement in fleet fuel efficiency of 0.8%. CCC “likely” scenario</t>
  </si>
  <si>
    <t>Annual improvement in fleet fuel efficiency of 1.0%. CCC “optimistic” scenario</t>
  </si>
  <si>
    <t>Same as level 2</t>
  </si>
  <si>
    <t>Annual improvement in fleet fuel efficiency of 1.5%. CCC “speculative” scenario</t>
  </si>
  <si>
    <t>No geosequestration</t>
  </si>
  <si>
    <t>Spilled energy</t>
  </si>
  <si>
    <t>Prior / following period</t>
  </si>
  <si>
    <t>Glossary</t>
  </si>
  <si>
    <t>Brief description of a few terms</t>
  </si>
  <si>
    <t>CHANGELOG</t>
  </si>
  <si>
    <t>Change history since version 1.0.0</t>
  </si>
  <si>
    <t>Reference data</t>
  </si>
  <si>
    <t>Module worksheets</t>
  </si>
  <si>
    <t>Annual energy and emissions balance sheets</t>
  </si>
  <si>
    <t>Calculator control and output</t>
  </si>
  <si>
    <t xml:space="preserve">Intermediate working </t>
  </si>
  <si>
    <t>List of principle entities used in the model</t>
  </si>
  <si>
    <t>Energy demand for lights &amp; appliances increases by 15%; decreases by 5% for cooking</t>
  </si>
  <si>
    <t>Intermediate output</t>
  </si>
  <si>
    <t>SECTION</t>
  </si>
  <si>
    <t>WORKSHEET</t>
  </si>
  <si>
    <t>DESCRIPTION</t>
  </si>
  <si>
    <t>(Derived from data in "Constants")</t>
  </si>
  <si>
    <t>Transmission Entry Capacity (TEC)</t>
  </si>
  <si>
    <t>Added the beginnings of a glossary</t>
  </si>
  <si>
    <t>The term presently used by National Grid to describe the capacity of a generating plant. It is the maximum power deliverable by the power station at the Grid Entry Point. net of the station's own use.</t>
  </si>
  <si>
    <t>Used in the Calculator to describe energy that is produced (eg, by wind generation) but is not used.</t>
  </si>
  <si>
    <t>Certain input assumptions describe the annual growth in a particular quantity over a five-year period. (The Calculator works in five-year chunks, apart from the initial period from 2007 to 2010.)</t>
  </si>
  <si>
    <t>When the annual growth rate is intended to apply for the five years following the year shown, the table should be labelled something like "Annual growth, following period." When the growth rate applies to the five years preceding the year shown, the table will be labelled "Annual growth, prior period."</t>
  </si>
  <si>
    <t>Note that the growth is assumed to take place from or to 31 December of the year shown.</t>
  </si>
  <si>
    <t>2007 (Actual, frozen)</t>
  </si>
  <si>
    <t>2007 (Consistent)</t>
  </si>
  <si>
    <t>Downloads of selected statistical tables from the DECC website</t>
  </si>
  <si>
    <t>NB: Emissions (in blue) are modelled from energy consumption and may not agree precisely</t>
  </si>
  <si>
    <t>constant factor so that 2007 modelled emissions match 2007 actual emissions.</t>
  </si>
  <si>
    <t>NB: Modelled emissions adjusted to match 2007 actuals. See note below emission table.</t>
  </si>
  <si>
    <t>with 2007 actuals.  However, % of base year figures (in black) have been adjusted  by a</t>
  </si>
  <si>
    <t>Food consumption [UNUSED]</t>
  </si>
  <si>
    <t>Domestic aviation [UNUSED - see XII.a]</t>
  </si>
  <si>
    <t>National navigation [UNUSED - see XII.a]</t>
  </si>
  <si>
    <t>Tidal [UNUSED - See III.c]</t>
  </si>
  <si>
    <t>Domestic hot water [UNUSED - See IX.a]</t>
  </si>
  <si>
    <t>Commercial hot water [UNUSED - See IX.c]</t>
  </si>
  <si>
    <t xml:space="preserve">Deleted XIII.a (Food consumption). </t>
  </si>
  <si>
    <t>Total food consumption. Not presently used</t>
  </si>
  <si>
    <t>Mileage continues to grow, but at a slower rate over time</t>
  </si>
  <si>
    <t>Some shift from cars to other modes. Cars and vans are 80% of 2050 passenger mileage</t>
  </si>
  <si>
    <t>Significant modal shift: cars and vans are 74% of 2050 passenger mileage</t>
  </si>
  <si>
    <t xml:space="preserve">Significant reliance on low carbon travel options or travel alternatives </t>
  </si>
  <si>
    <t xml:space="preserve">By 2050, conventional fuelled cars and vans cover 80% of mileage </t>
  </si>
  <si>
    <t>By 2050, plug-in, electric &amp; fuel cell cars &amp; vans cover 65% of passenger distance</t>
  </si>
  <si>
    <t>By 2050, plug-in, electric &amp; fuel cell cars &amp; vans cover 80% of passenger mileage</t>
  </si>
  <si>
    <t>Some shift from road to rail and water, and more efficient engines</t>
  </si>
  <si>
    <t xml:space="preserve">Road modal share falls to half; greater hybridisation. Rail freight is all electric </t>
  </si>
  <si>
    <t>Moves in line with IMO global shipping forecast (assuming constant UK share)</t>
  </si>
  <si>
    <t>As for level 1</t>
  </si>
  <si>
    <t>Scenarios are roughly: (1) Mixed; (2) Mostly solids and gas; (3) Mostly liquids and gas; (4) Gas</t>
  </si>
  <si>
    <t>Here we assume shock doesn’t cross years</t>
  </si>
  <si>
    <t>NCV / GCV</t>
  </si>
  <si>
    <t>NCV / GCV:</t>
  </si>
  <si>
    <t>Conversion from Net Calorific Value to Gross Calorific Value</t>
  </si>
  <si>
    <t>Revised the Instruction sheet</t>
  </si>
  <si>
    <t>General cosmetic changes and tidying up</t>
  </si>
  <si>
    <t>This worksheet contains definitions of some terms used in the Calculator. It is by no means exhaustive.</t>
  </si>
  <si>
    <t>GENERAL INSTRUCTIONS</t>
  </si>
  <si>
    <t>OVERVIEW OF THE 2050 CALCULATOR</t>
  </si>
  <si>
    <t>Overview of the Control worksheet</t>
  </si>
  <si>
    <t>Look here to see the total greenhouse gas emissions between now and 2050</t>
  </si>
  <si>
    <t>Look here for additional information on bioenergy and the uses of some different forms of energy</t>
  </si>
  <si>
    <t>Look here to see the electricity generated and demanded</t>
  </si>
  <si>
    <t>Look here to see the total energy consumption by fuel and the total demanded by broad sector</t>
  </si>
  <si>
    <r>
      <rPr>
        <b/>
        <sz val="10"/>
        <color theme="1"/>
        <rFont val="Cambria"/>
        <family val="1"/>
        <scheme val="minor"/>
      </rPr>
      <t>Levels</t>
    </r>
    <r>
      <rPr>
        <sz val="10"/>
        <color theme="1"/>
        <rFont val="Cambria"/>
        <family val="1"/>
        <scheme val="minor"/>
      </rPr>
      <t xml:space="preserve"> </t>
    </r>
    <r>
      <rPr>
        <b/>
        <sz val="10"/>
        <color theme="1"/>
        <rFont val="Cambria"/>
        <family val="1"/>
        <scheme val="minor"/>
      </rPr>
      <t xml:space="preserve">1 to 4 </t>
    </r>
    <r>
      <rPr>
        <sz val="10"/>
        <color theme="1"/>
        <rFont val="Cambria"/>
        <family val="1"/>
        <scheme val="minor"/>
      </rPr>
      <t>describe the level of effort needed to change this sector</t>
    </r>
  </si>
  <si>
    <r>
      <rPr>
        <b/>
        <sz val="10"/>
        <color theme="1"/>
        <rFont val="Cambria"/>
        <family val="1"/>
        <scheme val="minor"/>
      </rPr>
      <t>Trajectories</t>
    </r>
    <r>
      <rPr>
        <sz val="10"/>
        <color theme="1"/>
        <rFont val="Cambria"/>
        <family val="1"/>
        <scheme val="minor"/>
      </rPr>
      <t xml:space="preserve"> </t>
    </r>
    <r>
      <rPr>
        <b/>
        <sz val="10"/>
        <color theme="1"/>
        <rFont val="Cambria"/>
        <family val="1"/>
        <scheme val="minor"/>
      </rPr>
      <t xml:space="preserve">A to D </t>
    </r>
    <r>
      <rPr>
        <sz val="10"/>
        <color theme="1"/>
        <rFont val="Cambria"/>
        <family val="1"/>
        <scheme val="minor"/>
      </rPr>
      <t>descibe possible outcomes, but are not necessarily harder or easier</t>
    </r>
  </si>
  <si>
    <t>Step 1</t>
  </si>
  <si>
    <t xml:space="preserve"> Step 2</t>
  </si>
  <si>
    <t>Step 3</t>
  </si>
  <si>
    <t>Step 4</t>
  </si>
  <si>
    <t>Click here for example pathways</t>
  </si>
  <si>
    <t>Click here for descriptions of each level or trajectory</t>
  </si>
  <si>
    <t>1 (or A)</t>
  </si>
  <si>
    <t>2 (or B)</t>
  </si>
  <si>
    <t>3 (or C)</t>
  </si>
  <si>
    <t>4 (or D)</t>
  </si>
  <si>
    <t>Press F9 to relcalculate the model. (You can do this at any time.)</t>
  </si>
  <si>
    <t>Descriptions of each trajectory can be found by clicking the other disclosure box</t>
  </si>
  <si>
    <t>in the top margin.</t>
  </si>
  <si>
    <t>can be found by clicking the "disclosure box" in the top margin where shown.</t>
  </si>
  <si>
    <r>
      <t xml:space="preserve">The </t>
    </r>
    <r>
      <rPr>
        <b/>
        <sz val="12"/>
        <color theme="1"/>
        <rFont val="Cambria"/>
        <family val="1"/>
        <scheme val="minor"/>
      </rPr>
      <t>solid line</t>
    </r>
    <r>
      <rPr>
        <sz val="12"/>
        <color theme="1"/>
        <rFont val="Cambria"/>
        <family val="1"/>
        <scheme val="minor"/>
      </rPr>
      <t xml:space="preserve"> shows total net emissions. The </t>
    </r>
    <r>
      <rPr>
        <b/>
        <sz val="12"/>
        <color theme="1"/>
        <rFont val="Cambria"/>
        <family val="1"/>
        <scheme val="minor"/>
      </rPr>
      <t>coloured areas</t>
    </r>
    <r>
      <rPr>
        <sz val="12"/>
        <color theme="1"/>
        <rFont val="Cambria"/>
        <family val="1"/>
        <scheme val="minor"/>
      </rPr>
      <t xml:space="preserve"> show direct emissions</t>
    </r>
  </si>
  <si>
    <r>
      <t>This refers to the CO</t>
    </r>
    <r>
      <rPr>
        <vertAlign val="subscript"/>
        <sz val="12"/>
        <color theme="1"/>
        <rFont val="Cambria"/>
        <family val="1"/>
        <scheme val="minor"/>
      </rPr>
      <t>2</t>
    </r>
    <r>
      <rPr>
        <sz val="12"/>
        <color theme="1"/>
        <rFont val="Cambria"/>
        <family val="1"/>
        <scheme val="minor"/>
      </rPr>
      <t xml:space="preserve"> sequestered by CCS plant or geosequestration technology.</t>
    </r>
  </si>
  <si>
    <r>
      <t>Refers to the CO</t>
    </r>
    <r>
      <rPr>
        <vertAlign val="subscript"/>
        <sz val="12"/>
        <color theme="1"/>
        <rFont val="Cambria"/>
        <family val="1"/>
        <scheme val="minor"/>
      </rPr>
      <t>2</t>
    </r>
    <r>
      <rPr>
        <sz val="12"/>
        <color theme="1"/>
        <rFont val="Cambria"/>
        <family val="1"/>
        <scheme val="minor"/>
      </rPr>
      <t xml:space="preserve"> sequestered, by plants, during the production of bioenergy.</t>
    </r>
  </si>
  <si>
    <t>ADDITIONAL NOTES AND EXPLANATIONS</t>
  </si>
  <si>
    <t>Go to the "Control" worksheet. (See the schematic to the right for an overview).</t>
  </si>
  <si>
    <t>On the left hand side, chose the required level or trajectory for each sector.</t>
  </si>
  <si>
    <t>More help</t>
  </si>
  <si>
    <t>These tables do not show how much bioenergy is used in each sector</t>
  </si>
  <si>
    <t>given assumptions about the trajectory of each sector between now and then.</t>
  </si>
  <si>
    <t>energy flows and the resulting emssions.</t>
  </si>
  <si>
    <t>You select what trajectory you think is appropriate for each sector; the model calculates the</t>
  </si>
  <si>
    <t>The aim is to chose trajectories that meet our 2050 emissions target (of 20% of 1990 levels)</t>
  </si>
  <si>
    <t>NOW PRESS F9</t>
  </si>
  <si>
    <t>MAKE SELECTIONS BELOW:</t>
  </si>
  <si>
    <t>(See the additional notes below for a description of how to read this chart. Briefly,</t>
  </si>
  <si>
    <t>See if you managed to hit the target. Look at the emissions chart for the total</t>
  </si>
  <si>
    <t>ENERGY
OUTPUT CHARTS</t>
  </si>
  <si>
    <t>CHOOSE
TRAJECTORIES
HERE</t>
  </si>
  <si>
    <t>EMISSIONS
OUTPUT CHARTS</t>
  </si>
  <si>
    <t>SOURCES AND USES OUTPUT TABLES</t>
  </si>
  <si>
    <t>EMISSIONS
OUTPUT TABLE</t>
  </si>
  <si>
    <t>greenhouse gas emissions.</t>
  </si>
  <si>
    <t>Some examples of pathways (that is, combinations of trajectories) that do meet the target</t>
  </si>
  <si>
    <t>This model computes energy use and greenhouse gas emissions for the UK between now and 2050</t>
  </si>
  <si>
    <t>~240 TWh/yr from 25-40 CCS power stations; comparable to current gas &amp; coal generation</t>
  </si>
  <si>
    <t>~340 TWh/yr from 35-60 CCS power stations; comparable to total current demand</t>
  </si>
  <si>
    <t>~510 TWh/yr  from 50-90 CCS power stations; build rate of gas plants in the 1990s</t>
  </si>
  <si>
    <t>~13 3GW power stations delivering ~280 TWh/yr</t>
  </si>
  <si>
    <t>~30 3GW power stations delivering ~630 TWh/yr</t>
  </si>
  <si>
    <t>~50 3GW power stations delivering ~1030 TWh/yr</t>
  </si>
  <si>
    <t xml:space="preserve">~8,000 turbines in 2050, delivering ~50 TWh/yr. </t>
  </si>
  <si>
    <t>~13,000 turbines in 2050, delivering ~80 TWh/yr</t>
  </si>
  <si>
    <t>~20,000 turbines in 2050, delivering ~130 TWh/yr</t>
  </si>
  <si>
    <t>~10,000 turbines in 2050, delivering ~180 TWh/yr</t>
  </si>
  <si>
    <t>~17,000 turbines in 2050, delivering ~310 TWh/yr</t>
  </si>
  <si>
    <t>~24,000 turbines in 2050, delivering ~430 TWh/yr</t>
  </si>
  <si>
    <t>Supply of electricity is maintained at current levels of 5 TWh/yr</t>
  </si>
  <si>
    <t>Supply grows slowly, reaching 7 TWh/yr by 2050</t>
  </si>
  <si>
    <t>Supply grows more quickly, reaching 8 TWh/yr by 2030 and is sustained</t>
  </si>
  <si>
    <t>Supply grows rapidly reaching 13 TWh/yr by 2035 and is sustained</t>
  </si>
  <si>
    <t>~300km of wave farms; 1,000 tidal stream turbines; 3 small tidal range schemes</t>
  </si>
  <si>
    <t>~600km of wave farms; 4,700 tidal stream turbines; 4 tidal range schemes</t>
  </si>
  <si>
    <t>~900km of wave farms; 10,600 tidal stream turbines; 8 tidal range schemes</t>
  </si>
  <si>
    <t>Supply of geothermal electricity grows slowly to 7 TWh/yr in 2035 and is sustained</t>
  </si>
  <si>
    <t>Supply grows quickly reaching 21 TWh/yr by 2030 and is sustained</t>
  </si>
  <si>
    <t>Supply grows rapidly reaching 35 TWh/yr by 2030 and is sustained</t>
  </si>
  <si>
    <t>4m2 of photovoltaic panels per person in 2050, supplying ~60 TWh/yr of electricity</t>
  </si>
  <si>
    <t xml:space="preserve"> 5.4m2 of photovoltaic panels per person in 2050, supplying ~80 TWh/yr</t>
  </si>
  <si>
    <t>As today, a negligible proportion of buildings have solar thermal in 2050</t>
  </si>
  <si>
    <t>~30% of suitable buildings get ~30% of their hot water from solar thermal</t>
  </si>
  <si>
    <t>All suitable buildings get ~30% of their hot water from solar thermal</t>
  </si>
  <si>
    <t>All suitable buildings get ~60% of their hot water from solar thermal</t>
  </si>
  <si>
    <t>As today, no discernable supply of electricity from micro-wind turbines</t>
  </si>
  <si>
    <t>Supply increases to 1.3 TWh/yr by 2020 and is sustained</t>
  </si>
  <si>
    <t>Installed in all ~450,000 suitable domestic properties; supplies 3.5 TWh/year from 2020</t>
  </si>
  <si>
    <t>Installed in all suitable domestic and non-domestic sties; 8.9 TWh/year from 2020</t>
  </si>
  <si>
    <t>Biomass imported for energy declines from ~ 4 TWh/yr currently to zero</t>
  </si>
  <si>
    <t>~70 TWh/yr of imported bioenergy in 2050</t>
  </si>
  <si>
    <t>~140 TWh/yr of imported bioenergy in 2050</t>
  </si>
  <si>
    <t>~280 TWh/yr of imported bioenergy in 2050</t>
  </si>
  <si>
    <t>Livestock numbers remain constant; bioenergy crops cover 5% of UK, up from current 1%</t>
  </si>
  <si>
    <t>Overall quantity of waste grows by 60%; quantity of waste to landfill remains the same</t>
  </si>
  <si>
    <t>30 TWh/yr of electricity imported from Southern Europe</t>
  </si>
  <si>
    <t xml:space="preserve">70 TWh/yr imported from UK 10% share of international desert solar project </t>
  </si>
  <si>
    <t>140 TWh/yr imported from UK 20% share of international desert solar project</t>
  </si>
  <si>
    <t>The proportion of domestic heat supplied using electricity is 0-10%, as today</t>
  </si>
  <si>
    <t>By 2050, all car &amp; van travel is electrified; 20% use fuel-cell range extenders</t>
  </si>
  <si>
    <t>Greater modal shift to rail and water; more efficient HGVs; more efficient logistics</t>
  </si>
  <si>
    <t>Carbon dioxide sequestration rate of ~30 million tonnes per annum by 2050</t>
  </si>
  <si>
    <t>Carbon dioxide sequestration rate of ~110 million tonnes per annum by 2050</t>
  </si>
  <si>
    <t>1.0.7</t>
  </si>
  <si>
    <t>Fixed Pathway B, which was a duplicate of Pathway A. Updates to Pathway E.</t>
  </si>
  <si>
    <t>the solid line must dip below the 20% line in 2050.)</t>
  </si>
  <si>
    <t>The Calculator makes no assumptions about the sector in which bioenergy is used. Instead, bioenergy</t>
  </si>
  <si>
    <t>is added to the available energy in each of the three physical forms (solid, liquid, or gas).</t>
  </si>
  <si>
    <t>sources. In addition, they show how much solid, liquid, and gaseous hydrocarbons are used in each</t>
  </si>
  <si>
    <t>The estimated exports or imports are based on particular assumptions of UK domestic production.</t>
  </si>
  <si>
    <t>The base year is 1990. The 2050 target is currently to reach 20% of base year levels.</t>
  </si>
</sst>
</file>

<file path=xl/styles.xml><?xml version="1.0" encoding="utf-8"?>
<styleSheet xmlns="http://schemas.openxmlformats.org/spreadsheetml/2006/main">
  <numFmts count="42">
    <numFmt numFmtId="164" formatCode="0.000E+00"/>
    <numFmt numFmtId="165" formatCode="#,##0\ ;\-#,##0\ ;&quot; &quot;"/>
    <numFmt numFmtId="166" formatCode="#,##0\ ;\-#,##0\ ;&quot;-  &quot;"/>
    <numFmt numFmtId="167" formatCode="#,##0\r;\-#,##0\r;&quot;-r &quot;"/>
    <numFmt numFmtId="168" formatCode="\+#,##0\r;\-#,##0\r;&quot;-r &quot;"/>
    <numFmt numFmtId="169" formatCode="\+#,##0\ ;\-#,##0\ ;&quot;-  &quot;"/>
    <numFmt numFmtId="170" formatCode="#,##0.0"/>
    <numFmt numFmtId="171" formatCode="0.000"/>
    <numFmt numFmtId="172" formatCode="#,##0\ ;\-#,##0\ ;&quot;- &quot;"/>
    <numFmt numFmtId="173" formatCode="#,##0\r;\-#,##0\r;&quot;-r&quot;"/>
    <numFmt numFmtId="174" formatCode="#,##0.0\ ;\-#,##0.0\ ;&quot;- &quot;"/>
    <numFmt numFmtId="175" formatCode="_-* #,##0_-;\-* #,##0_-;_-* &quot;-&quot;??_-;_-@_-"/>
    <numFmt numFmtId="176" formatCode="#,##0.0_);\(#,##0.0\);&quot;-&quot;;@"/>
    <numFmt numFmtId="177" formatCode="0.0"/>
    <numFmt numFmtId="178" formatCode="#,##0.0\ ;\-#,##0.0\ ;&quot;-&quot;\ ;"/>
    <numFmt numFmtId="179" formatCode="0.00000"/>
    <numFmt numFmtId="180" formatCode="#,##0\ ;\-#,##0\ ;&quot;-&quot;"/>
    <numFmt numFmtId="181" formatCode="#,##0\r;\-#,##0\r;&quot;-&quot;"/>
    <numFmt numFmtId="182" formatCode="\+#,##0\ ;\-#,##0\ ;&quot;-&quot;"/>
    <numFmt numFmtId="183" formatCode="\+#,##0\ ;\-#,##0\ ;&quot;- &quot;"/>
    <numFmt numFmtId="184" formatCode="\+#,##0\r;\-#,##0\r;&quot;-r&quot;"/>
    <numFmt numFmtId="185" formatCode="#,##0_);\(#,##0\);&quot;-&quot;;@"/>
    <numFmt numFmtId="186" formatCode="#,##0\ ;\-#,##0\ ;&quot;- &quot;\ "/>
    <numFmt numFmtId="187" formatCode="#,##0\r;\-#,##0\r;&quot;-r&quot;\ "/>
    <numFmt numFmtId="188" formatCode="#,##0.00_);\(#,##0.00\);&quot;-&quot;;@"/>
    <numFmt numFmtId="189" formatCode="#,##0.000_);\(#,##0.000\);&quot;-&quot;;@"/>
    <numFmt numFmtId="190" formatCode="0.0%"/>
    <numFmt numFmtId="191" formatCode="#,##0.0_);\(#,##0.0\);&quot;-&quot;_);@"/>
    <numFmt numFmtId="192" formatCode="#,##0_);\(#,##0\);&quot;-&quot;_);@"/>
    <numFmt numFmtId="193" formatCode="0.0E+00"/>
    <numFmt numFmtId="194" formatCode="#,##0.00_);\(#,##0.00\);&quot;-&quot;_);@"/>
    <numFmt numFmtId="195" formatCode="#,##0.00&quot; : 1&quot;"/>
    <numFmt numFmtId="196" formatCode="#,##0.0000000000000"/>
    <numFmt numFmtId="197" formatCode="dd\-mmm\-yyyy"/>
    <numFmt numFmtId="198" formatCode="#,##0.000_);\(#,##0.000\);&quot;-&quot;_);@"/>
    <numFmt numFmtId="199" formatCode="#,###&quot;-&quot;\ ;\-#,###&quot;-&quot;;&quot;- &quot;"/>
    <numFmt numFmtId="200" formatCode="0%;\ \(0%\);\ \-"/>
    <numFmt numFmtId="201" formatCode="0.0%;\ \(0.0%\);\ \-"/>
    <numFmt numFmtId="202" formatCode="#,##0.0\ ;\-#,##0.0\ ;&quot;- &quot;\ "/>
    <numFmt numFmtId="203" formatCode="#,##0.0\r;\-#,##0.0\r;&quot;-r&quot;\ "/>
    <numFmt numFmtId="204" formatCode="#,##0.0000_);\(#,##0.0000\);&quot;-&quot;_);@"/>
    <numFmt numFmtId="205" formatCode="0.000%;\ \(0.000%\);\ \-"/>
  </numFmts>
  <fonts count="172">
    <font>
      <sz val="10"/>
      <color theme="1"/>
      <name val="Cambria"/>
      <family val="1"/>
      <scheme val="minor"/>
    </font>
    <font>
      <sz val="10"/>
      <color theme="1"/>
      <name val="Arial"/>
      <family val="2"/>
    </font>
    <font>
      <sz val="10"/>
      <color theme="1"/>
      <name val="Arial"/>
      <family val="2"/>
    </font>
    <font>
      <sz val="10"/>
      <color theme="1"/>
      <name val="Arial"/>
      <family val="2"/>
    </font>
    <font>
      <sz val="10"/>
      <color theme="1"/>
      <name val="Calibri"/>
      <family val="2"/>
      <scheme val="major"/>
    </font>
    <font>
      <sz val="10"/>
      <color theme="1"/>
      <name val="Calibri"/>
      <family val="2"/>
    </font>
    <font>
      <sz val="10"/>
      <color theme="1"/>
      <name val="Cambria"/>
      <family val="1"/>
      <scheme val="minor"/>
    </font>
    <font>
      <vertAlign val="subscript"/>
      <sz val="10"/>
      <color theme="1"/>
      <name val="Cambria"/>
      <family val="1"/>
      <scheme val="minor"/>
    </font>
    <font>
      <sz val="12"/>
      <color theme="1"/>
      <name val="Cambria"/>
      <family val="1"/>
      <scheme val="minor"/>
    </font>
    <font>
      <b/>
      <sz val="12"/>
      <color theme="1"/>
      <name val="Calibri"/>
      <family val="2"/>
      <scheme val="major"/>
    </font>
    <font>
      <sz val="12"/>
      <color theme="1"/>
      <name val="Calibri"/>
      <family val="2"/>
      <scheme val="major"/>
    </font>
    <font>
      <sz val="11"/>
      <color theme="1"/>
      <name val="Cambria"/>
      <family val="1"/>
      <scheme val="minor"/>
    </font>
    <font>
      <sz val="8"/>
      <color theme="1"/>
      <name val="Cambria"/>
      <family val="1"/>
      <scheme val="minor"/>
    </font>
    <font>
      <b/>
      <sz val="10"/>
      <color theme="1"/>
      <name val="Calibri"/>
      <family val="2"/>
      <scheme val="major"/>
    </font>
    <font>
      <sz val="8"/>
      <color theme="1"/>
      <name val="Calibri"/>
      <family val="2"/>
      <scheme val="major"/>
    </font>
    <font>
      <sz val="11"/>
      <color theme="1"/>
      <name val="Calibri"/>
      <family val="2"/>
      <scheme val="major"/>
    </font>
    <font>
      <b/>
      <sz val="10"/>
      <color theme="1"/>
      <name val="Cambria"/>
      <family val="1"/>
      <scheme val="minor"/>
    </font>
    <font>
      <b/>
      <vertAlign val="subscript"/>
      <sz val="10"/>
      <color theme="1"/>
      <name val="Cambria"/>
      <family val="1"/>
      <scheme val="minor"/>
    </font>
    <font>
      <sz val="10"/>
      <color theme="3" tint="0.79998168889431442"/>
      <name val="Cambria"/>
      <family val="1"/>
      <scheme val="minor"/>
    </font>
    <font>
      <sz val="10"/>
      <color theme="3" tint="0.79998168889431442"/>
      <name val="Calibri"/>
      <family val="2"/>
      <scheme val="major"/>
    </font>
    <font>
      <sz val="14"/>
      <color theme="1"/>
      <name val="Calibri"/>
      <family val="2"/>
      <scheme val="major"/>
    </font>
    <font>
      <i/>
      <sz val="10"/>
      <color theme="1"/>
      <name val="Cambria"/>
      <family val="1"/>
      <scheme val="minor"/>
    </font>
    <font>
      <sz val="12"/>
      <color theme="1"/>
      <name val="Arial"/>
      <family val="2"/>
    </font>
    <font>
      <sz val="8"/>
      <color theme="1"/>
      <name val="Consolas"/>
      <family val="3"/>
    </font>
    <font>
      <b/>
      <vertAlign val="subscript"/>
      <sz val="12"/>
      <color theme="1"/>
      <name val="Calibri"/>
      <family val="2"/>
      <scheme val="major"/>
    </font>
    <font>
      <sz val="10"/>
      <name val="Cambria"/>
      <family val="1"/>
      <scheme val="minor"/>
    </font>
    <font>
      <sz val="10"/>
      <name val="Calibri"/>
      <family val="2"/>
      <scheme val="major"/>
    </font>
    <font>
      <sz val="10"/>
      <color rgb="FF3F3F76"/>
      <name val="Arial"/>
      <family val="2"/>
    </font>
    <font>
      <sz val="10"/>
      <name val="Arial"/>
      <family val="2"/>
    </font>
    <font>
      <b/>
      <sz val="18"/>
      <color indexed="12"/>
      <name val="Arial"/>
      <family val="2"/>
    </font>
    <font>
      <sz val="18"/>
      <color indexed="12"/>
      <name val="Arial"/>
      <family val="2"/>
    </font>
    <font>
      <sz val="20"/>
      <color indexed="12"/>
      <name val="Arial"/>
      <family val="2"/>
    </font>
    <font>
      <sz val="20"/>
      <name val="Arial"/>
      <family val="2"/>
    </font>
    <font>
      <sz val="8"/>
      <name val="Arial"/>
      <family val="2"/>
    </font>
    <font>
      <b/>
      <sz val="8"/>
      <name val="Arial"/>
      <family val="2"/>
    </font>
    <font>
      <b/>
      <sz val="9"/>
      <name val="Arial"/>
      <family val="2"/>
    </font>
    <font>
      <sz val="9"/>
      <name val="Arial"/>
      <family val="2"/>
    </font>
    <font>
      <b/>
      <sz val="8.5"/>
      <name val="Arial"/>
      <family val="2"/>
    </font>
    <font>
      <i/>
      <sz val="8.5"/>
      <name val="Arial"/>
      <family val="2"/>
    </font>
    <font>
      <sz val="7"/>
      <name val="Arial"/>
      <family val="2"/>
    </font>
    <font>
      <sz val="7.5"/>
      <name val="Arial"/>
      <family val="2"/>
    </font>
    <font>
      <i/>
      <sz val="8"/>
      <name val="Arial"/>
      <family val="2"/>
    </font>
    <font>
      <sz val="7.5"/>
      <color indexed="10"/>
      <name val="Arial"/>
      <family val="2"/>
    </font>
    <font>
      <i/>
      <sz val="10"/>
      <name val="Arial"/>
      <family val="2"/>
    </font>
    <font>
      <b/>
      <sz val="8"/>
      <color indexed="81"/>
      <name val="Tahoma"/>
      <family val="2"/>
    </font>
    <font>
      <sz val="8"/>
      <color indexed="81"/>
      <name val="Tahoma"/>
      <family val="2"/>
    </font>
    <font>
      <b/>
      <sz val="12"/>
      <name val="Arial"/>
      <family val="2"/>
    </font>
    <font>
      <b/>
      <sz val="10"/>
      <name val="Arial"/>
      <family val="2"/>
    </font>
    <font>
      <vertAlign val="superscript"/>
      <sz val="10"/>
      <name val="Arial"/>
      <family val="2"/>
    </font>
    <font>
      <sz val="21"/>
      <color indexed="12"/>
      <name val="Arial"/>
      <family val="2"/>
    </font>
    <font>
      <sz val="12"/>
      <name val="Arial"/>
      <family val="2"/>
    </font>
    <font>
      <sz val="13"/>
      <name val="Arial"/>
      <family val="2"/>
    </font>
    <font>
      <sz val="8.5"/>
      <name val="Arial"/>
      <family val="2"/>
    </font>
    <font>
      <b/>
      <sz val="8.5"/>
      <color indexed="8"/>
      <name val="Arial"/>
      <family val="2"/>
    </font>
    <font>
      <sz val="8.5"/>
      <color indexed="8"/>
      <name val="Arial"/>
      <family val="2"/>
    </font>
    <font>
      <sz val="10"/>
      <color indexed="8"/>
      <name val="Arial"/>
      <family val="2"/>
    </font>
    <font>
      <sz val="8"/>
      <color indexed="8"/>
      <name val="Arial"/>
      <family val="2"/>
    </font>
    <font>
      <sz val="8"/>
      <color indexed="12"/>
      <name val="Arial"/>
      <family val="2"/>
    </font>
    <font>
      <i/>
      <sz val="8"/>
      <color indexed="8"/>
      <name val="Arial"/>
      <family val="2"/>
    </font>
    <font>
      <b/>
      <sz val="8"/>
      <color indexed="8"/>
      <name val="Arial"/>
      <family val="2"/>
    </font>
    <font>
      <b/>
      <sz val="8"/>
      <color indexed="12"/>
      <name val="Arial"/>
      <family val="2"/>
    </font>
    <font>
      <i/>
      <sz val="8.5"/>
      <color indexed="8"/>
      <name val="Arial"/>
      <family val="2"/>
    </font>
    <font>
      <sz val="10"/>
      <color indexed="12"/>
      <name val="Arial"/>
      <family val="2"/>
    </font>
    <font>
      <sz val="8.5"/>
      <color indexed="12"/>
      <name val="Arial"/>
      <family val="2"/>
    </font>
    <font>
      <b/>
      <i/>
      <sz val="10"/>
      <name val="Arial"/>
      <family val="2"/>
    </font>
    <font>
      <sz val="8"/>
      <name val="Cambria"/>
      <family val="1"/>
      <scheme val="minor"/>
    </font>
    <font>
      <sz val="21.5"/>
      <color indexed="12"/>
      <name val="Arial"/>
      <family val="2"/>
    </font>
    <font>
      <sz val="21.5"/>
      <name val="Arial"/>
      <family val="2"/>
    </font>
    <font>
      <sz val="9"/>
      <color indexed="12"/>
      <name val="Arial"/>
      <family val="2"/>
    </font>
    <font>
      <sz val="9"/>
      <color indexed="8"/>
      <name val="Arial"/>
      <family val="2"/>
    </font>
    <font>
      <i/>
      <sz val="8"/>
      <color indexed="12"/>
      <name val="Arial"/>
      <family val="2"/>
    </font>
    <font>
      <sz val="22"/>
      <color indexed="12"/>
      <name val="Arial"/>
      <family val="2"/>
    </font>
    <font>
      <sz val="22"/>
      <name val="Arial"/>
      <family val="2"/>
    </font>
    <font>
      <b/>
      <i/>
      <sz val="8.5"/>
      <name val="Arial"/>
      <family val="2"/>
    </font>
    <font>
      <b/>
      <sz val="10"/>
      <name val="Cambria"/>
      <family val="1"/>
      <scheme val="minor"/>
    </font>
    <font>
      <sz val="18"/>
      <name val="Arial"/>
      <family val="2"/>
    </font>
    <font>
      <b/>
      <sz val="22"/>
      <name val="Arial"/>
      <family val="2"/>
    </font>
    <font>
      <b/>
      <sz val="22"/>
      <color indexed="8"/>
      <name val="Arial"/>
      <family val="2"/>
    </font>
    <font>
      <b/>
      <sz val="9"/>
      <color indexed="8"/>
      <name val="Arial"/>
      <family val="2"/>
    </font>
    <font>
      <sz val="8.5"/>
      <name val="Arial"/>
      <family val="2"/>
    </font>
    <font>
      <i/>
      <sz val="8.5"/>
      <color indexed="12"/>
      <name val="Arial"/>
      <family val="2"/>
    </font>
    <font>
      <b/>
      <sz val="7.5"/>
      <name val="Arial"/>
      <family val="2"/>
    </font>
    <font>
      <i/>
      <sz val="7.5"/>
      <name val="Arial"/>
      <family val="2"/>
    </font>
    <font>
      <sz val="12"/>
      <name val="Calibri"/>
      <family val="2"/>
      <scheme val="major"/>
    </font>
    <font>
      <b/>
      <sz val="8"/>
      <color theme="1"/>
      <name val="Calibri"/>
      <family val="2"/>
      <scheme val="major"/>
    </font>
    <font>
      <b/>
      <sz val="12"/>
      <name val="Calibri"/>
      <family val="2"/>
      <scheme val="major"/>
    </font>
    <font>
      <b/>
      <sz val="28"/>
      <color theme="0" tint="-0.34998626667073579"/>
      <name val="Calibri"/>
      <family val="2"/>
      <scheme val="major"/>
    </font>
    <font>
      <b/>
      <vertAlign val="subscript"/>
      <sz val="8"/>
      <color theme="1"/>
      <name val="Calibri"/>
      <family val="2"/>
      <scheme val="major"/>
    </font>
    <font>
      <sz val="16"/>
      <color theme="1"/>
      <name val="Cambria"/>
      <family val="1"/>
      <scheme val="minor"/>
    </font>
    <font>
      <b/>
      <sz val="10"/>
      <color rgb="FF3F3F76"/>
      <name val="Cambria"/>
      <family val="1"/>
      <scheme val="minor"/>
    </font>
    <font>
      <sz val="10"/>
      <color theme="1"/>
      <name val="Calibri"/>
      <family val="2"/>
      <scheme val="major"/>
    </font>
    <font>
      <sz val="14"/>
      <color theme="1"/>
      <name val="Cambria"/>
      <family val="1"/>
      <scheme val="minor"/>
    </font>
    <font>
      <b/>
      <sz val="16"/>
      <color theme="1"/>
      <name val="Calibri"/>
      <family val="2"/>
      <scheme val="major"/>
    </font>
    <font>
      <b/>
      <sz val="16"/>
      <color indexed="8"/>
      <name val="Calibri"/>
      <family val="2"/>
      <scheme val="major"/>
    </font>
    <font>
      <i/>
      <sz val="8"/>
      <name val="Cambria"/>
      <family val="1"/>
      <scheme val="minor"/>
    </font>
    <font>
      <sz val="10"/>
      <color theme="1"/>
      <name val="Cambria"/>
      <family val="1"/>
    </font>
    <font>
      <sz val="8"/>
      <color theme="1"/>
      <name val="Cambria"/>
      <family val="1"/>
    </font>
    <font>
      <i/>
      <sz val="10"/>
      <name val="Cambria"/>
      <family val="1"/>
      <scheme val="minor"/>
    </font>
    <font>
      <b/>
      <i/>
      <sz val="10"/>
      <color theme="1"/>
      <name val="Cambria"/>
      <family val="1"/>
      <scheme val="minor"/>
    </font>
    <font>
      <strike/>
      <sz val="10"/>
      <color theme="1"/>
      <name val="Cambria"/>
      <family val="1"/>
      <scheme val="minor"/>
    </font>
    <font>
      <sz val="8"/>
      <color rgb="FFFF0000"/>
      <name val="Cambria"/>
      <family val="1"/>
      <scheme val="minor"/>
    </font>
    <font>
      <b/>
      <sz val="18"/>
      <color theme="1"/>
      <name val="Calibri"/>
      <family val="2"/>
      <scheme val="major"/>
    </font>
    <font>
      <b/>
      <sz val="18"/>
      <name val="Calibri"/>
      <family val="2"/>
      <scheme val="major"/>
    </font>
    <font>
      <sz val="8"/>
      <color theme="4" tint="-0.249977111117893"/>
      <name val="Cambria"/>
      <family val="1"/>
      <scheme val="minor"/>
    </font>
    <font>
      <i/>
      <sz val="12"/>
      <name val="Cambria"/>
      <family val="1"/>
      <scheme val="minor"/>
    </font>
    <font>
      <sz val="10"/>
      <color theme="1"/>
      <name val="Cambria"/>
      <family val="1"/>
      <scheme val="minor"/>
    </font>
    <font>
      <sz val="10"/>
      <color rgb="FFFF0000"/>
      <name val="Cambria"/>
      <family val="1"/>
      <scheme val="minor"/>
    </font>
    <font>
      <b/>
      <sz val="8"/>
      <color theme="4" tint="-0.249977111117893"/>
      <name val="Calibri"/>
      <family val="2"/>
      <scheme val="major"/>
    </font>
    <font>
      <i/>
      <sz val="12"/>
      <color theme="1"/>
      <name val="Cambria"/>
      <family val="1"/>
      <scheme val="minor"/>
    </font>
    <font>
      <b/>
      <vertAlign val="subscript"/>
      <sz val="18"/>
      <color theme="1"/>
      <name val="Calibri"/>
      <family val="2"/>
      <scheme val="major"/>
    </font>
    <font>
      <sz val="18"/>
      <color theme="1"/>
      <name val="Cambria"/>
      <family val="1"/>
      <scheme val="minor"/>
    </font>
    <font>
      <b/>
      <sz val="10"/>
      <color theme="1"/>
      <name val="Cambria"/>
      <family val="1"/>
    </font>
    <font>
      <i/>
      <sz val="8"/>
      <color theme="4" tint="-0.249977111117893"/>
      <name val="Cambria"/>
      <family val="1"/>
      <scheme val="minor"/>
    </font>
    <font>
      <sz val="10"/>
      <color indexed="10"/>
      <name val="Arial"/>
      <family val="2"/>
    </font>
    <font>
      <i/>
      <vertAlign val="superscript"/>
      <sz val="18"/>
      <color indexed="12"/>
      <name val="Arial"/>
      <family val="2"/>
    </font>
    <font>
      <b/>
      <i/>
      <sz val="9"/>
      <name val="Arial"/>
      <family val="2"/>
    </font>
    <font>
      <b/>
      <sz val="18"/>
      <color indexed="8"/>
      <name val="Calibri"/>
      <family val="2"/>
      <scheme val="major"/>
    </font>
    <font>
      <i/>
      <sz val="8"/>
      <color theme="1"/>
      <name val="Cambria"/>
      <family val="1"/>
      <scheme val="minor"/>
    </font>
    <font>
      <b/>
      <sz val="14"/>
      <color theme="1"/>
      <name val="Cambria"/>
      <family val="1"/>
      <scheme val="minor"/>
    </font>
    <font>
      <vertAlign val="superscript"/>
      <sz val="10"/>
      <color theme="1"/>
      <name val="Cambria"/>
      <family val="1"/>
      <scheme val="minor"/>
    </font>
    <font>
      <i/>
      <vertAlign val="superscript"/>
      <sz val="10"/>
      <color theme="1"/>
      <name val="Cambria"/>
      <family val="1"/>
      <scheme val="minor"/>
    </font>
    <font>
      <sz val="12"/>
      <name val="Cambria"/>
      <family val="1"/>
      <scheme val="minor"/>
    </font>
    <font>
      <sz val="10"/>
      <color theme="4"/>
      <name val="Cambria"/>
      <family val="1"/>
      <scheme val="minor"/>
    </font>
    <font>
      <sz val="10"/>
      <color theme="4" tint="-0.249977111117893"/>
      <name val="Cambria"/>
      <family val="1"/>
      <scheme val="minor"/>
    </font>
    <font>
      <b/>
      <sz val="8"/>
      <name val="Cambria"/>
      <family val="1"/>
      <scheme val="minor"/>
    </font>
    <font>
      <sz val="18"/>
      <name val="Cambria"/>
      <family val="1"/>
      <scheme val="minor"/>
    </font>
    <font>
      <b/>
      <sz val="12"/>
      <color theme="1"/>
      <name val="Cambria"/>
      <family val="1"/>
      <scheme val="minor"/>
    </font>
    <font>
      <vertAlign val="superscript"/>
      <sz val="10"/>
      <name val="Cambria"/>
      <family val="1"/>
      <scheme val="minor"/>
    </font>
    <font>
      <i/>
      <sz val="10"/>
      <color theme="1"/>
      <name val="Calibri"/>
      <family val="2"/>
      <scheme val="major"/>
    </font>
    <font>
      <sz val="10"/>
      <color theme="0" tint="-0.499984740745262"/>
      <name val="Cambria"/>
      <family val="1"/>
      <scheme val="minor"/>
    </font>
    <font>
      <i/>
      <sz val="10"/>
      <color theme="1"/>
      <name val="Arial"/>
      <family val="2"/>
    </font>
    <font>
      <i/>
      <sz val="10"/>
      <color theme="1"/>
      <name val="Cambria"/>
      <family val="1"/>
    </font>
    <font>
      <b/>
      <sz val="8"/>
      <color theme="1"/>
      <name val="Cambria"/>
      <family val="1"/>
      <scheme val="minor"/>
    </font>
    <font>
      <sz val="12"/>
      <color indexed="12"/>
      <name val="Arial"/>
      <family val="2"/>
    </font>
    <font>
      <b/>
      <i/>
      <sz val="8"/>
      <name val="Arial"/>
      <family val="2"/>
    </font>
    <font>
      <sz val="10"/>
      <color theme="0" tint="-0.34998626667073579"/>
      <name val="Cambria"/>
      <family val="1"/>
      <scheme val="minor"/>
    </font>
    <font>
      <i/>
      <sz val="10"/>
      <color indexed="8"/>
      <name val="Cambria"/>
      <family val="1"/>
      <scheme val="minor"/>
    </font>
    <font>
      <sz val="18"/>
      <color theme="0"/>
      <name val="Calibri"/>
      <family val="2"/>
      <scheme val="major"/>
    </font>
    <font>
      <b/>
      <sz val="18"/>
      <color theme="0"/>
      <name val="Calibri"/>
      <family val="2"/>
      <scheme val="major"/>
    </font>
    <font>
      <b/>
      <sz val="18"/>
      <color theme="4" tint="-0.249977111117893"/>
      <name val="Calibri"/>
      <family val="2"/>
      <scheme val="major"/>
    </font>
    <font>
      <b/>
      <sz val="12"/>
      <color theme="4" tint="-0.249977111117893"/>
      <name val="Cambria"/>
      <family val="1"/>
      <scheme val="minor"/>
    </font>
    <font>
      <sz val="12"/>
      <color theme="4" tint="-0.249977111117893"/>
      <name val="Cambria"/>
      <family val="1"/>
      <scheme val="minor"/>
    </font>
    <font>
      <b/>
      <sz val="10"/>
      <color theme="0" tint="-0.34998626667073579"/>
      <name val="Calibri"/>
      <family val="2"/>
      <scheme val="major"/>
    </font>
    <font>
      <b/>
      <sz val="10"/>
      <color theme="0" tint="-0.499984740745262"/>
      <name val="Calibri"/>
      <family val="2"/>
      <scheme val="major"/>
    </font>
    <font>
      <b/>
      <sz val="10"/>
      <color theme="5"/>
      <name val="Cambria"/>
      <family val="1"/>
      <scheme val="minor"/>
    </font>
    <font>
      <b/>
      <sz val="10"/>
      <color theme="1"/>
      <name val="Arial"/>
      <family val="2"/>
    </font>
    <font>
      <vertAlign val="subscript"/>
      <sz val="10"/>
      <color theme="1"/>
      <name val="Calibri"/>
      <family val="2"/>
      <scheme val="major"/>
    </font>
    <font>
      <sz val="10"/>
      <color theme="0" tint="-0.499984740745262"/>
      <name val="Calibri"/>
      <family val="2"/>
      <scheme val="major"/>
    </font>
    <font>
      <i/>
      <vertAlign val="subscript"/>
      <sz val="10"/>
      <color theme="1"/>
      <name val="Cambria"/>
      <family val="1"/>
      <scheme val="minor"/>
    </font>
    <font>
      <sz val="12"/>
      <color rgb="FF1F497D"/>
      <name val="Arial"/>
      <family val="2"/>
    </font>
    <font>
      <sz val="10"/>
      <color theme="1"/>
      <name val="Cambria"/>
      <family val="1"/>
      <scheme val="minor"/>
    </font>
    <font>
      <b/>
      <sz val="10"/>
      <color rgb="FFFF0000"/>
      <name val="Cambria"/>
      <family val="1"/>
      <scheme val="minor"/>
    </font>
    <font>
      <sz val="10"/>
      <color theme="0"/>
      <name val="Calibri"/>
      <family val="2"/>
      <scheme val="major"/>
    </font>
    <font>
      <b/>
      <sz val="10"/>
      <color theme="0"/>
      <name val="Calibri"/>
      <family val="2"/>
      <scheme val="major"/>
    </font>
    <font>
      <sz val="10"/>
      <color theme="4" tint="0.59999389629810485"/>
      <name val="Calibri"/>
      <family val="2"/>
      <scheme val="major"/>
    </font>
    <font>
      <b/>
      <sz val="10"/>
      <color theme="4" tint="0.59999389629810485"/>
      <name val="Calibri"/>
      <family val="2"/>
      <scheme val="major"/>
    </font>
    <font>
      <sz val="10"/>
      <color theme="4" tint="0.59999389629810485"/>
      <name val="Cambria"/>
      <family val="1"/>
      <scheme val="minor"/>
    </font>
    <font>
      <b/>
      <sz val="12"/>
      <name val="Cambria"/>
      <family val="1"/>
      <scheme val="minor"/>
    </font>
    <font>
      <b/>
      <sz val="18"/>
      <color theme="1"/>
      <name val="Cambria"/>
      <family val="1"/>
      <scheme val="minor"/>
    </font>
    <font>
      <b/>
      <sz val="11"/>
      <color theme="1"/>
      <name val="Calibri"/>
      <family val="2"/>
      <scheme val="major"/>
    </font>
    <font>
      <b/>
      <sz val="11"/>
      <color theme="0"/>
      <name val="Calibri"/>
      <family val="2"/>
      <scheme val="major"/>
    </font>
    <font>
      <sz val="16"/>
      <color theme="1"/>
      <name val="Calibri"/>
      <family val="2"/>
      <scheme val="major"/>
    </font>
    <font>
      <b/>
      <i/>
      <sz val="12"/>
      <color theme="1"/>
      <name val="Calibri"/>
      <family val="2"/>
      <scheme val="major"/>
    </font>
    <font>
      <sz val="10"/>
      <color theme="0"/>
      <name val="Cambria"/>
      <family val="1"/>
      <scheme val="minor"/>
    </font>
    <font>
      <sz val="8"/>
      <color theme="4" tint="0.39997558519241921"/>
      <name val="Cambria"/>
      <family val="1"/>
      <scheme val="minor"/>
    </font>
    <font>
      <i/>
      <sz val="8"/>
      <color theme="4" tint="0.39997558519241921"/>
      <name val="Cambria"/>
      <family val="1"/>
      <scheme val="minor"/>
    </font>
    <font>
      <sz val="18"/>
      <color theme="1"/>
      <name val="Calibri"/>
      <family val="2"/>
      <scheme val="major"/>
    </font>
    <font>
      <sz val="12"/>
      <color theme="0"/>
      <name val="Cambria"/>
      <family val="1"/>
      <scheme val="minor"/>
    </font>
    <font>
      <u/>
      <sz val="12"/>
      <color theme="1"/>
      <name val="Cambria"/>
      <family val="1"/>
      <scheme val="minor"/>
    </font>
    <font>
      <vertAlign val="subscript"/>
      <sz val="12"/>
      <color theme="1"/>
      <name val="Cambria"/>
      <family val="1"/>
      <scheme val="minor"/>
    </font>
    <font>
      <b/>
      <sz val="18"/>
      <color theme="9" tint="-0.249977111117893"/>
      <name val="Cambria"/>
      <family val="1"/>
      <scheme val="minor"/>
    </font>
    <font>
      <sz val="14"/>
      <color theme="9" tint="-0.249977111117893"/>
      <name val="Cambria"/>
      <family val="1"/>
      <scheme val="minor"/>
    </font>
  </fonts>
  <fills count="29">
    <fill>
      <patternFill patternType="none"/>
    </fill>
    <fill>
      <patternFill patternType="gray125"/>
    </fill>
    <fill>
      <patternFill patternType="solid">
        <fgColor theme="4" tint="0.79998168889431442"/>
        <bgColor indexed="64"/>
      </patternFill>
    </fill>
    <fill>
      <patternFill patternType="solid">
        <fgColor rgb="FFFFCC99"/>
      </patternFill>
    </fill>
    <fill>
      <patternFill patternType="solid">
        <fgColor indexed="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3" tint="-0.249977111117893"/>
        <bgColor indexed="64"/>
      </patternFill>
    </fill>
    <fill>
      <patternFill patternType="solid">
        <fgColor rgb="FFE9EFF7"/>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3"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39997558519241921"/>
        <bgColor indexed="64"/>
      </patternFill>
    </fill>
  </fills>
  <borders count="102">
    <border>
      <left/>
      <right/>
      <top/>
      <bottom/>
      <diagonal/>
    </border>
    <border>
      <left/>
      <right/>
      <top/>
      <bottom style="thin">
        <color indexed="64"/>
      </bottom>
      <diagonal/>
    </border>
    <border>
      <left/>
      <right/>
      <top style="thin">
        <color indexed="64"/>
      </top>
      <bottom style="thin">
        <color theme="0" tint="-0.24994659260841701"/>
      </bottom>
      <diagonal/>
    </border>
    <border>
      <left style="thin">
        <color rgb="FF7F7F7F"/>
      </left>
      <right style="thin">
        <color rgb="FF7F7F7F"/>
      </right>
      <top style="thin">
        <color rgb="FF7F7F7F"/>
      </top>
      <bottom style="thin">
        <color rgb="FF7F7F7F"/>
      </bottom>
      <diagonal/>
    </border>
    <border>
      <left/>
      <right/>
      <top style="double">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top style="thin">
        <color indexed="64"/>
      </top>
      <bottom/>
      <diagonal/>
    </border>
    <border>
      <left/>
      <right/>
      <top style="double">
        <color indexed="64"/>
      </top>
      <bottom/>
      <diagonal/>
    </border>
    <border>
      <left/>
      <right/>
      <top style="double">
        <color indexed="64"/>
      </top>
      <bottom style="double">
        <color indexed="64"/>
      </bottom>
      <diagonal/>
    </border>
    <border>
      <left/>
      <right/>
      <top style="medium">
        <color theme="1"/>
      </top>
      <bottom style="medium">
        <color theme="1"/>
      </bottom>
      <diagonal/>
    </border>
    <border>
      <left/>
      <right/>
      <top/>
      <bottom style="thin">
        <color theme="1"/>
      </bottom>
      <diagonal/>
    </border>
    <border>
      <left/>
      <right/>
      <top style="medium">
        <color theme="1"/>
      </top>
      <bottom/>
      <diagonal/>
    </border>
    <border>
      <left/>
      <right/>
      <top style="thin">
        <color theme="1"/>
      </top>
      <bottom style="thin">
        <color theme="1"/>
      </bottom>
      <diagonal/>
    </border>
    <border>
      <left/>
      <right/>
      <top style="thin">
        <color theme="0" tint="-0.34998626667073579"/>
      </top>
      <bottom/>
      <diagonal/>
    </border>
    <border>
      <left/>
      <right/>
      <top/>
      <bottom style="thin">
        <color theme="0" tint="-0.34998626667073579"/>
      </bottom>
      <diagonal/>
    </border>
    <border>
      <left/>
      <right/>
      <top/>
      <bottom style="medium">
        <color theme="1"/>
      </bottom>
      <diagonal/>
    </border>
    <border>
      <left/>
      <right/>
      <top style="thin">
        <color theme="1" tint="4.9989318521683403E-2"/>
      </top>
      <bottom style="thin">
        <color theme="1" tint="4.9989318521683403E-2"/>
      </bottom>
      <diagonal/>
    </border>
    <border>
      <left/>
      <right/>
      <top style="thin">
        <color theme="1" tint="4.9989318521683403E-2"/>
      </top>
      <bottom style="thin">
        <color theme="0" tint="-0.34998626667073579"/>
      </bottom>
      <diagonal/>
    </border>
    <border>
      <left/>
      <right/>
      <top/>
      <bottom style="thin">
        <color theme="1" tint="4.9989318521683403E-2"/>
      </bottom>
      <diagonal/>
    </border>
    <border>
      <left style="thin">
        <color theme="0" tint="-0.34998626667073579"/>
      </left>
      <right/>
      <top style="thin">
        <color theme="1" tint="4.9989318521683403E-2"/>
      </top>
      <bottom style="thin">
        <color theme="0" tint="-0.34998626667073579"/>
      </bottom>
      <diagonal/>
    </border>
    <border>
      <left style="thin">
        <color theme="0" tint="-0.34998626667073579"/>
      </left>
      <right/>
      <top/>
      <bottom/>
      <diagonal/>
    </border>
    <border>
      <left style="thin">
        <color theme="0" tint="-0.34998626667073579"/>
      </left>
      <right/>
      <top/>
      <bottom style="thin">
        <color theme="1" tint="4.9989318521683403E-2"/>
      </bottom>
      <diagonal/>
    </border>
    <border>
      <left/>
      <right/>
      <top style="thin">
        <color theme="0" tint="-0.34998626667073579"/>
      </top>
      <bottom style="thin">
        <color indexed="64"/>
      </bottom>
      <diagonal/>
    </border>
    <border>
      <left style="thin">
        <color theme="0" tint="-0.34998626667073579"/>
      </left>
      <right/>
      <top style="thin">
        <color theme="0" tint="-0.34998626667073579"/>
      </top>
      <bottom style="thin">
        <color indexed="64"/>
      </bottom>
      <diagonal/>
    </border>
    <border>
      <left/>
      <right/>
      <top style="thin">
        <color theme="1" tint="4.9989318521683403E-2"/>
      </top>
      <bottom/>
      <diagonal/>
    </border>
    <border>
      <left style="thin">
        <color theme="0" tint="-0.34998626667073579"/>
      </left>
      <right/>
      <top style="thin">
        <color theme="1" tint="4.9989318521683403E-2"/>
      </top>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style="thin">
        <color indexed="64"/>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bottom style="thin">
        <color indexed="64"/>
      </bottom>
      <diagonal/>
    </border>
    <border>
      <left style="thin">
        <color theme="0" tint="-0.34998626667073579"/>
      </left>
      <right/>
      <top/>
      <bottom style="thin">
        <color indexed="64"/>
      </bottom>
      <diagonal/>
    </border>
    <border>
      <left style="thin">
        <color theme="0" tint="-0.34998626667073579"/>
      </left>
      <right/>
      <top style="thin">
        <color theme="0" tint="-0.34998626667073579"/>
      </top>
      <bottom/>
      <diagonal/>
    </border>
    <border>
      <left style="thin">
        <color theme="0"/>
      </left>
      <right style="thin">
        <color theme="0"/>
      </right>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tint="-0.34998626667073579"/>
      </bottom>
      <diagonal/>
    </border>
    <border>
      <left style="thin">
        <color theme="0"/>
      </left>
      <right style="thin">
        <color theme="0"/>
      </right>
      <top style="thin">
        <color theme="1"/>
      </top>
      <bottom style="thin">
        <color theme="1"/>
      </bottom>
      <diagonal/>
    </border>
    <border>
      <left style="thin">
        <color theme="0"/>
      </left>
      <right style="thin">
        <color theme="0"/>
      </right>
      <top style="thin">
        <color theme="0"/>
      </top>
      <bottom style="thin">
        <color theme="0" tint="-0.34998626667073579"/>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bottom/>
      <diagonal/>
    </border>
    <border>
      <left style="thin">
        <color theme="0"/>
      </left>
      <right style="thin">
        <color theme="0"/>
      </right>
      <top style="thin">
        <color auto="1"/>
      </top>
      <bottom style="thin">
        <color auto="1"/>
      </bottom>
      <diagonal/>
    </border>
    <border>
      <left style="thin">
        <color theme="0"/>
      </left>
      <right style="thin">
        <color theme="0"/>
      </right>
      <top style="medium">
        <color auto="1"/>
      </top>
      <bottom style="medium">
        <color auto="1"/>
      </bottom>
      <diagonal/>
    </border>
    <border>
      <left/>
      <right/>
      <top style="thin">
        <color auto="1"/>
      </top>
      <bottom style="thin">
        <color theme="0" tint="-0.34998626667073579"/>
      </bottom>
      <diagonal/>
    </border>
    <border>
      <left/>
      <right style="thin">
        <color theme="0" tint="-0.34998626667073579"/>
      </right>
      <top style="thin">
        <color theme="1" tint="4.9989318521683403E-2"/>
      </top>
      <bottom style="thin">
        <color theme="0" tint="-0.34998626667073579"/>
      </bottom>
      <diagonal/>
    </border>
    <border>
      <left/>
      <right style="thin">
        <color theme="0" tint="-0.34998626667073579"/>
      </right>
      <top/>
      <bottom style="thin">
        <color theme="1" tint="4.9989318521683403E-2"/>
      </bottom>
      <diagonal/>
    </border>
    <border>
      <left/>
      <right style="thick">
        <color theme="9" tint="0.79998168889431442"/>
      </right>
      <top/>
      <bottom/>
      <diagonal/>
    </border>
    <border>
      <left style="thick">
        <color theme="9" tint="0.79998168889431442"/>
      </left>
      <right/>
      <top/>
      <bottom/>
      <diagonal/>
    </border>
    <border>
      <left/>
      <right style="thick">
        <color theme="9" tint="0.79998168889431442"/>
      </right>
      <top style="thin">
        <color theme="1" tint="4.9989318521683403E-2"/>
      </top>
      <bottom style="thin">
        <color theme="0" tint="-0.34998626667073579"/>
      </bottom>
      <diagonal/>
    </border>
    <border>
      <left style="thick">
        <color theme="9" tint="0.79998168889431442"/>
      </left>
      <right/>
      <top style="thin">
        <color theme="1" tint="4.9989318521683403E-2"/>
      </top>
      <bottom style="thin">
        <color theme="0" tint="-0.34998626667073579"/>
      </bottom>
      <diagonal/>
    </border>
    <border>
      <left/>
      <right style="thick">
        <color theme="9" tint="0.79998168889431442"/>
      </right>
      <top/>
      <bottom style="thin">
        <color theme="1" tint="4.9989318521683403E-2"/>
      </bottom>
      <diagonal/>
    </border>
    <border>
      <left style="thick">
        <color theme="9" tint="0.79998168889431442"/>
      </left>
      <right/>
      <top/>
      <bottom style="thin">
        <color theme="1" tint="4.9989318521683403E-2"/>
      </bottom>
      <diagonal/>
    </border>
    <border>
      <left/>
      <right style="thick">
        <color theme="9" tint="0.79998168889431442"/>
      </right>
      <top/>
      <bottom style="thin">
        <color indexed="64"/>
      </bottom>
      <diagonal/>
    </border>
    <border>
      <left style="thick">
        <color theme="9" tint="0.79998168889431442"/>
      </left>
      <right/>
      <top/>
      <bottom style="thin">
        <color indexed="64"/>
      </bottom>
      <diagonal/>
    </border>
    <border>
      <left/>
      <right/>
      <top style="thin">
        <color theme="0" tint="-0.34998626667073579"/>
      </top>
      <bottom style="thin">
        <color theme="0" tint="-0.34998626667073579"/>
      </bottom>
      <diagonal/>
    </border>
    <border>
      <left/>
      <right/>
      <top style="thin">
        <color theme="0"/>
      </top>
      <bottom style="thin">
        <color auto="1"/>
      </bottom>
      <diagonal/>
    </border>
    <border>
      <left style="thin">
        <color theme="0"/>
      </left>
      <right/>
      <top style="medium">
        <color theme="0"/>
      </top>
      <bottom/>
      <diagonal/>
    </border>
    <border>
      <left/>
      <right/>
      <top style="medium">
        <color theme="0"/>
      </top>
      <bottom/>
      <diagonal/>
    </border>
    <border>
      <left/>
      <right style="thin">
        <color theme="0"/>
      </right>
      <top style="medium">
        <color theme="0"/>
      </top>
      <bottom/>
      <diagonal/>
    </border>
    <border>
      <left/>
      <right style="thin">
        <color theme="0" tint="-0.34998626667073579"/>
      </right>
      <top style="thin">
        <color theme="1" tint="4.9989318521683403E-2"/>
      </top>
      <bottom/>
      <diagonal/>
    </border>
    <border>
      <left/>
      <right style="thin">
        <color theme="0" tint="-0.34998626667073579"/>
      </right>
      <top/>
      <bottom style="thin">
        <color theme="0" tint="-0.34998626667073579"/>
      </bottom>
      <diagonal/>
    </border>
    <border>
      <left style="thin">
        <color theme="0" tint="-0.34998626667073579"/>
      </left>
      <right/>
      <top style="thin">
        <color indexed="64"/>
      </top>
      <bottom style="thin">
        <color indexed="64"/>
      </bottom>
      <diagonal/>
    </border>
    <border>
      <left/>
      <right/>
      <top style="thin">
        <color theme="0" tint="-0.34998626667073579"/>
      </top>
      <bottom style="thin">
        <color theme="1" tint="4.9989318521683403E-2"/>
      </bottom>
      <diagonal/>
    </border>
    <border>
      <left/>
      <right style="thin">
        <color theme="0" tint="-0.34998626667073579"/>
      </right>
      <top style="thin">
        <color theme="0" tint="-0.34998626667073579"/>
      </top>
      <bottom style="thin">
        <color theme="1" tint="4.9989318521683403E-2"/>
      </bottom>
      <diagonal/>
    </border>
    <border>
      <left/>
      <right style="thin">
        <color theme="0" tint="-0.34998626667073579"/>
      </right>
      <top style="thin">
        <color indexed="64"/>
      </top>
      <bottom/>
      <diagonal/>
    </border>
    <border>
      <left style="thin">
        <color theme="0" tint="-0.34998626667073579"/>
      </left>
      <right/>
      <top style="thin">
        <color indexed="64"/>
      </top>
      <bottom/>
      <diagonal/>
    </border>
    <border>
      <left/>
      <right/>
      <top style="thin">
        <color theme="4" tint="0.59996337778862885"/>
      </top>
      <bottom style="thin">
        <color theme="4" tint="0.59996337778862885"/>
      </bottom>
      <diagonal/>
    </border>
    <border>
      <left/>
      <right/>
      <top style="thin">
        <color theme="4" tint="0.59996337778862885"/>
      </top>
      <bottom/>
      <diagonal/>
    </border>
    <border>
      <left/>
      <right/>
      <top/>
      <bottom style="thin">
        <color theme="4" tint="0.59996337778862885"/>
      </bottom>
      <diagonal/>
    </border>
    <border>
      <left/>
      <right/>
      <top style="thin">
        <color theme="4" tint="0.59996337778862885"/>
      </top>
      <bottom style="thin">
        <color indexed="64"/>
      </bottom>
      <diagonal/>
    </border>
    <border>
      <left/>
      <right/>
      <top style="medium">
        <color theme="0"/>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4" tint="0.399945066682943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s>
  <cellStyleXfs count="7">
    <xf numFmtId="0" fontId="0" fillId="0" borderId="0"/>
    <xf numFmtId="200" fontId="22" fillId="0" borderId="0" applyFont="0" applyFill="0" applyBorder="0" applyAlignment="0" applyProtection="0"/>
    <xf numFmtId="191" fontId="6" fillId="0" borderId="0" applyFont="0" applyFill="0" applyBorder="0" applyAlignment="0" applyProtection="0"/>
    <xf numFmtId="0" fontId="27" fillId="3" borderId="3" applyNumberFormat="0" applyAlignment="0" applyProtection="0"/>
    <xf numFmtId="176" fontId="65" fillId="0" borderId="0" applyNumberFormat="0" applyFill="0" applyBorder="0" applyAlignment="0" applyProtection="0"/>
    <xf numFmtId="0" fontId="16" fillId="0" borderId="2" applyNumberFormat="0">
      <alignment horizontal="left" vertical="center"/>
    </xf>
    <xf numFmtId="0" fontId="28" fillId="0" borderId="0"/>
  </cellStyleXfs>
  <cellXfs count="2664">
    <xf numFmtId="0" fontId="0" fillId="0" borderId="0" xfId="0"/>
    <xf numFmtId="0" fontId="0" fillId="0" borderId="0" xfId="0"/>
    <xf numFmtId="0" fontId="6" fillId="0" borderId="0" xfId="0" applyFont="1"/>
    <xf numFmtId="0" fontId="8" fillId="0" borderId="0" xfId="0" applyFont="1"/>
    <xf numFmtId="0" fontId="6" fillId="0" borderId="0" xfId="0" applyFont="1" applyAlignment="1">
      <alignment horizontal="center" vertical="center" wrapText="1"/>
    </xf>
    <xf numFmtId="0" fontId="4" fillId="0" borderId="0" xfId="0" applyFont="1" applyAlignment="1">
      <alignment horizontal="center" vertical="center" wrapText="1"/>
    </xf>
    <xf numFmtId="0" fontId="8" fillId="0" borderId="0" xfId="0" applyFont="1" applyAlignment="1">
      <alignment horizontal="center" vertical="center" wrapText="1"/>
    </xf>
    <xf numFmtId="0" fontId="5" fillId="0" borderId="0" xfId="0" applyFont="1" applyAlignment="1">
      <alignment horizontal="center" vertical="center" wrapText="1"/>
    </xf>
    <xf numFmtId="0" fontId="9" fillId="0" borderId="0" xfId="0" applyFont="1" applyAlignment="1">
      <alignment vertical="center"/>
    </xf>
    <xf numFmtId="0" fontId="6" fillId="0" borderId="0" xfId="0" applyFont="1" applyAlignment="1">
      <alignment vertical="center"/>
    </xf>
    <xf numFmtId="0" fontId="10" fillId="0" borderId="0" xfId="0" applyFont="1" applyAlignment="1">
      <alignment vertical="center"/>
    </xf>
    <xf numFmtId="0" fontId="11" fillId="0" borderId="0" xfId="0" applyFont="1"/>
    <xf numFmtId="0" fontId="12" fillId="0" borderId="0" xfId="0" applyFont="1"/>
    <xf numFmtId="0" fontId="12" fillId="0" borderId="0" xfId="0" applyFont="1" applyAlignment="1">
      <alignment vertical="center"/>
    </xf>
    <xf numFmtId="0" fontId="15" fillId="0" borderId="0" xfId="0" applyFont="1" applyAlignment="1">
      <alignment vertical="center"/>
    </xf>
    <xf numFmtId="0" fontId="11" fillId="0" borderId="0" xfId="0" applyFont="1" applyAlignment="1">
      <alignment vertical="center"/>
    </xf>
    <xf numFmtId="0" fontId="6" fillId="0" borderId="0" xfId="0" applyFont="1" applyAlignment="1">
      <alignment horizontal="left" vertical="center" wrapText="1"/>
    </xf>
    <xf numFmtId="0" fontId="8" fillId="0" borderId="0" xfId="0" applyFont="1" applyAlignment="1">
      <alignment horizontal="left" vertical="center" wrapText="1"/>
    </xf>
    <xf numFmtId="0" fontId="0" fillId="0" borderId="0" xfId="0" applyAlignment="1">
      <alignment vertical="center"/>
    </xf>
    <xf numFmtId="200" fontId="0" fillId="0" borderId="0" xfId="1" applyFont="1"/>
    <xf numFmtId="0" fontId="0" fillId="0" borderId="0" xfId="0" applyAlignment="1">
      <alignment horizontal="right"/>
    </xf>
    <xf numFmtId="0" fontId="0" fillId="0" borderId="0" xfId="0" applyAlignment="1">
      <alignment horizontal="left"/>
    </xf>
    <xf numFmtId="0" fontId="0" fillId="0" borderId="0" xfId="0" applyFont="1" applyAlignment="1">
      <alignment vertical="center"/>
    </xf>
    <xf numFmtId="0" fontId="0" fillId="0" borderId="0" xfId="0" applyFont="1" applyAlignment="1">
      <alignment horizontal="left" vertical="center" wrapText="1"/>
    </xf>
    <xf numFmtId="0" fontId="0" fillId="0" borderId="0" xfId="0" applyFont="1"/>
    <xf numFmtId="0" fontId="15" fillId="0" borderId="0" xfId="0" applyFont="1" applyAlignment="1">
      <alignment horizontal="left" vertical="center" wrapText="1"/>
    </xf>
    <xf numFmtId="0" fontId="0" fillId="0" borderId="0" xfId="0" applyAlignment="1">
      <alignment horizontal="left" vertical="center" wrapText="1"/>
    </xf>
    <xf numFmtId="191" fontId="0" fillId="0" borderId="0" xfId="2" applyFont="1"/>
    <xf numFmtId="11" fontId="0" fillId="0" borderId="0" xfId="0" applyNumberFormat="1"/>
    <xf numFmtId="0" fontId="20" fillId="0" borderId="0" xfId="0" applyFont="1"/>
    <xf numFmtId="0" fontId="0" fillId="0" borderId="0" xfId="0" applyBorder="1" applyAlignment="1">
      <alignment vertical="center"/>
    </xf>
    <xf numFmtId="164" fontId="0" fillId="0" borderId="0" xfId="0" applyNumberFormat="1" applyBorder="1" applyAlignment="1">
      <alignment vertical="center"/>
    </xf>
    <xf numFmtId="0" fontId="0" fillId="0" borderId="1" xfId="0" applyBorder="1" applyAlignment="1">
      <alignment vertical="center"/>
    </xf>
    <xf numFmtId="164" fontId="0" fillId="0" borderId="1" xfId="0" applyNumberFormat="1" applyBorder="1" applyAlignment="1">
      <alignment vertical="center"/>
    </xf>
    <xf numFmtId="0" fontId="16" fillId="0" borderId="2" xfId="0" applyFont="1" applyBorder="1" applyAlignment="1">
      <alignment horizontal="left" vertical="center"/>
    </xf>
    <xf numFmtId="0" fontId="16" fillId="0" borderId="2" xfId="0" applyFont="1" applyBorder="1" applyAlignment="1">
      <alignment horizontal="center" vertical="center"/>
    </xf>
    <xf numFmtId="0" fontId="23" fillId="0" borderId="0" xfId="0" applyFont="1" applyBorder="1" applyAlignment="1">
      <alignment horizontal="left" vertical="center"/>
    </xf>
    <xf numFmtId="0" fontId="23" fillId="0" borderId="1" xfId="0" applyFont="1" applyBorder="1" applyAlignment="1">
      <alignment horizontal="left" vertical="center"/>
    </xf>
    <xf numFmtId="0" fontId="0" fillId="0" borderId="0" xfId="0" applyFill="1" applyBorder="1" applyAlignment="1">
      <alignment vertical="center"/>
    </xf>
    <xf numFmtId="0" fontId="27" fillId="3" borderId="3" xfId="3" applyAlignment="1">
      <alignment horizontal="center" vertical="center"/>
    </xf>
    <xf numFmtId="0" fontId="0" fillId="0" borderId="0" xfId="0" applyBorder="1"/>
    <xf numFmtId="0" fontId="0" fillId="0" borderId="0" xfId="0" applyFill="1" applyBorder="1"/>
    <xf numFmtId="0" fontId="29" fillId="4" borderId="0" xfId="0" applyFont="1" applyFill="1" applyAlignment="1">
      <alignment horizontal="left"/>
    </xf>
    <xf numFmtId="0" fontId="29" fillId="4" borderId="0" xfId="0" applyFont="1" applyFill="1"/>
    <xf numFmtId="0" fontId="30" fillId="4" borderId="0" xfId="0" applyFont="1" applyFill="1"/>
    <xf numFmtId="0" fontId="31" fillId="4" borderId="0" xfId="0" applyFont="1" applyFill="1"/>
    <xf numFmtId="0" fontId="32" fillId="4" borderId="0" xfId="0" applyFont="1" applyFill="1"/>
    <xf numFmtId="0" fontId="33" fillId="4" borderId="0" xfId="0" applyFont="1" applyFill="1"/>
    <xf numFmtId="0" fontId="34" fillId="4" borderId="0" xfId="0" applyFont="1" applyFill="1"/>
    <xf numFmtId="0" fontId="35" fillId="4" borderId="0" xfId="0" applyFont="1" applyFill="1"/>
    <xf numFmtId="0" fontId="36" fillId="4" borderId="0" xfId="0" applyFont="1" applyFill="1"/>
    <xf numFmtId="0" fontId="35" fillId="4" borderId="0" xfId="0" applyFont="1" applyFill="1" applyAlignment="1">
      <alignment horizontal="right"/>
    </xf>
    <xf numFmtId="0" fontId="28" fillId="4" borderId="0" xfId="0" applyFont="1" applyFill="1"/>
    <xf numFmtId="0" fontId="33" fillId="4" borderId="4" xfId="0" applyFont="1" applyFill="1" applyBorder="1" applyAlignment="1">
      <alignment horizontal="right" vertical="top" wrapText="1"/>
    </xf>
    <xf numFmtId="165" fontId="37" fillId="4" borderId="4" xfId="0" applyNumberFormat="1" applyFont="1" applyFill="1" applyBorder="1" applyAlignment="1">
      <alignment horizontal="right" vertical="top" wrapText="1"/>
    </xf>
    <xf numFmtId="0" fontId="37" fillId="4" borderId="4" xfId="0" applyFont="1" applyFill="1" applyBorder="1" applyAlignment="1">
      <alignment horizontal="right" vertical="top" wrapText="1"/>
    </xf>
    <xf numFmtId="0" fontId="39" fillId="4" borderId="0" xfId="0" applyFont="1" applyFill="1" applyAlignment="1">
      <alignment horizontal="right" vertical="top" wrapText="1"/>
    </xf>
    <xf numFmtId="0" fontId="37" fillId="4" borderId="0" xfId="0" applyFont="1" applyFill="1"/>
    <xf numFmtId="166" fontId="33" fillId="4" borderId="0" xfId="0" applyNumberFormat="1" applyFont="1" applyFill="1" applyAlignment="1">
      <alignment horizontal="right"/>
    </xf>
    <xf numFmtId="3" fontId="33" fillId="4" borderId="0" xfId="0" applyNumberFormat="1" applyFont="1" applyFill="1"/>
    <xf numFmtId="0" fontId="40" fillId="4" borderId="0" xfId="0" applyFont="1" applyFill="1"/>
    <xf numFmtId="1" fontId="33" fillId="4" borderId="0" xfId="0" applyNumberFormat="1" applyFont="1" applyFill="1"/>
    <xf numFmtId="167" fontId="33" fillId="4" borderId="0" xfId="0" applyNumberFormat="1" applyFont="1" applyFill="1" applyAlignment="1">
      <alignment horizontal="right"/>
    </xf>
    <xf numFmtId="0" fontId="33" fillId="4" borderId="0" xfId="0" applyFont="1" applyFill="1" applyBorder="1"/>
    <xf numFmtId="0" fontId="37" fillId="4" borderId="5" xfId="0" applyFont="1" applyFill="1" applyBorder="1" applyAlignment="1">
      <alignment vertical="center"/>
    </xf>
    <xf numFmtId="167" fontId="34" fillId="4" borderId="5" xfId="0" applyNumberFormat="1" applyFont="1" applyFill="1" applyBorder="1" applyAlignment="1">
      <alignment horizontal="right"/>
    </xf>
    <xf numFmtId="166" fontId="34" fillId="4" borderId="5" xfId="0" applyNumberFormat="1" applyFont="1" applyFill="1" applyBorder="1" applyAlignment="1">
      <alignment horizontal="right"/>
    </xf>
    <xf numFmtId="0" fontId="40" fillId="4" borderId="0" xfId="0" applyFont="1" applyFill="1" applyAlignment="1">
      <alignment vertical="center"/>
    </xf>
    <xf numFmtId="168" fontId="33" fillId="4" borderId="0" xfId="0" applyNumberFormat="1" applyFont="1" applyFill="1" applyBorder="1" applyAlignment="1">
      <alignment horizontal="right"/>
    </xf>
    <xf numFmtId="169" fontId="33" fillId="4" borderId="0" xfId="0" applyNumberFormat="1" applyFont="1" applyFill="1" applyBorder="1" applyAlignment="1">
      <alignment horizontal="right"/>
    </xf>
    <xf numFmtId="166" fontId="34" fillId="4" borderId="0" xfId="0" applyNumberFormat="1" applyFont="1" applyFill="1" applyBorder="1" applyAlignment="1">
      <alignment horizontal="right"/>
    </xf>
    <xf numFmtId="167" fontId="34" fillId="4" borderId="0" xfId="0" applyNumberFormat="1" applyFont="1" applyFill="1" applyAlignment="1">
      <alignment horizontal="right"/>
    </xf>
    <xf numFmtId="166" fontId="34" fillId="4" borderId="0" xfId="0" applyNumberFormat="1" applyFont="1" applyFill="1" applyAlignment="1">
      <alignment horizontal="right"/>
    </xf>
    <xf numFmtId="0" fontId="42" fillId="4" borderId="0" xfId="0" applyFont="1" applyFill="1"/>
    <xf numFmtId="0" fontId="33" fillId="4" borderId="1" xfId="0" applyFont="1" applyFill="1" applyBorder="1"/>
    <xf numFmtId="166" fontId="33" fillId="4" borderId="1" xfId="0" applyNumberFormat="1" applyFont="1" applyFill="1" applyBorder="1" applyAlignment="1">
      <alignment horizontal="right"/>
    </xf>
    <xf numFmtId="0" fontId="37" fillId="4" borderId="0" xfId="0" applyFont="1" applyFill="1" applyBorder="1"/>
    <xf numFmtId="0" fontId="37" fillId="4" borderId="1" xfId="0" applyFont="1" applyFill="1" applyBorder="1"/>
    <xf numFmtId="0" fontId="37" fillId="4" borderId="5" xfId="0" applyFont="1" applyFill="1" applyBorder="1"/>
    <xf numFmtId="167" fontId="34" fillId="4" borderId="5" xfId="0" applyNumberFormat="1" applyFont="1" applyFill="1" applyBorder="1" applyAlignment="1">
      <alignment horizontal="right" vertical="center"/>
    </xf>
    <xf numFmtId="166" fontId="34" fillId="4" borderId="5" xfId="0" applyNumberFormat="1" applyFont="1" applyFill="1" applyBorder="1" applyAlignment="1">
      <alignment horizontal="right" vertical="center"/>
    </xf>
    <xf numFmtId="0" fontId="37" fillId="4" borderId="6" xfId="0" applyFont="1" applyFill="1" applyBorder="1" applyAlignment="1">
      <alignment vertical="center"/>
    </xf>
    <xf numFmtId="166" fontId="34" fillId="4" borderId="6" xfId="0" applyNumberFormat="1" applyFont="1" applyFill="1" applyBorder="1" applyAlignment="1">
      <alignment horizontal="right"/>
    </xf>
    <xf numFmtId="167" fontId="34" fillId="4" borderId="6" xfId="0" applyNumberFormat="1" applyFont="1" applyFill="1" applyBorder="1" applyAlignment="1">
      <alignment horizontal="right"/>
    </xf>
    <xf numFmtId="0" fontId="41" fillId="4" borderId="0" xfId="0" applyFont="1" applyFill="1"/>
    <xf numFmtId="0" fontId="43" fillId="4" borderId="0" xfId="0" applyFont="1" applyFill="1"/>
    <xf numFmtId="166" fontId="28" fillId="4" borderId="0" xfId="0" applyNumberFormat="1" applyFont="1" applyFill="1"/>
    <xf numFmtId="0" fontId="46" fillId="0" borderId="0" xfId="0" applyFont="1"/>
    <xf numFmtId="0" fontId="28" fillId="0" borderId="0" xfId="0" applyFont="1"/>
    <xf numFmtId="0" fontId="28" fillId="0" borderId="7" xfId="0" applyFont="1" applyBorder="1"/>
    <xf numFmtId="3" fontId="28" fillId="0" borderId="0" xfId="0" applyNumberFormat="1" applyFont="1" applyFill="1" applyBorder="1"/>
    <xf numFmtId="3" fontId="28" fillId="0" borderId="0" xfId="0" applyNumberFormat="1" applyFont="1" applyFill="1" applyBorder="1" applyAlignment="1">
      <alignment horizontal="right"/>
    </xf>
    <xf numFmtId="0" fontId="28" fillId="0" borderId="0" xfId="0" applyFont="1" applyBorder="1"/>
    <xf numFmtId="0" fontId="28" fillId="0" borderId="4" xfId="0" applyFont="1" applyBorder="1"/>
    <xf numFmtId="3" fontId="28" fillId="0" borderId="4" xfId="0" applyNumberFormat="1" applyFont="1" applyFill="1" applyBorder="1"/>
    <xf numFmtId="3" fontId="28" fillId="0" borderId="4" xfId="0" applyNumberFormat="1" applyFont="1" applyFill="1" applyBorder="1" applyAlignment="1">
      <alignment horizontal="right"/>
    </xf>
    <xf numFmtId="3" fontId="28" fillId="0" borderId="0" xfId="0" applyNumberFormat="1" applyFont="1" applyFill="1" applyAlignment="1">
      <alignment horizontal="left"/>
    </xf>
    <xf numFmtId="3" fontId="28" fillId="0" borderId="0" xfId="0" applyNumberFormat="1" applyFont="1" applyFill="1"/>
    <xf numFmtId="3" fontId="47" fillId="0" borderId="0" xfId="0" applyNumberFormat="1" applyFont="1" applyFill="1" applyBorder="1"/>
    <xf numFmtId="3" fontId="47" fillId="0" borderId="0" xfId="0" applyNumberFormat="1" applyFont="1" applyFill="1" applyBorder="1" applyAlignment="1">
      <alignment horizontal="right"/>
    </xf>
    <xf numFmtId="3" fontId="28" fillId="0" borderId="5" xfId="0" applyNumberFormat="1" applyFont="1" applyFill="1" applyBorder="1"/>
    <xf numFmtId="3" fontId="28" fillId="0" borderId="0" xfId="0" applyNumberFormat="1" applyFont="1" applyFill="1" applyBorder="1" applyAlignment="1">
      <alignment horizontal="left"/>
    </xf>
    <xf numFmtId="170" fontId="28" fillId="0" borderId="5" xfId="0" applyNumberFormat="1" applyFont="1" applyFill="1" applyBorder="1" applyAlignment="1">
      <alignment horizontal="right"/>
    </xf>
    <xf numFmtId="3" fontId="28" fillId="0" borderId="5" xfId="0" applyNumberFormat="1" applyFont="1" applyFill="1" applyBorder="1" applyAlignment="1">
      <alignment horizontal="right"/>
    </xf>
    <xf numFmtId="3" fontId="28" fillId="0" borderId="6" xfId="0" applyNumberFormat="1" applyFont="1" applyFill="1" applyBorder="1"/>
    <xf numFmtId="3" fontId="28" fillId="0" borderId="0" xfId="0" applyNumberFormat="1" applyFont="1" applyFill="1" applyAlignment="1">
      <alignment horizontal="right"/>
    </xf>
    <xf numFmtId="0" fontId="28" fillId="0" borderId="0" xfId="0" applyFont="1" applyFill="1" applyBorder="1" applyAlignment="1">
      <alignment horizontal="right"/>
    </xf>
    <xf numFmtId="3" fontId="28" fillId="0" borderId="6" xfId="0" applyNumberFormat="1" applyFont="1" applyFill="1" applyBorder="1" applyAlignment="1">
      <alignment horizontal="right"/>
    </xf>
    <xf numFmtId="1" fontId="28" fillId="0" borderId="0" xfId="0" applyNumberFormat="1" applyFont="1"/>
    <xf numFmtId="1" fontId="28" fillId="0" borderId="0" xfId="0" applyNumberFormat="1" applyFont="1" applyFill="1" applyAlignment="1">
      <alignment horizontal="left"/>
    </xf>
    <xf numFmtId="3" fontId="28" fillId="0" borderId="0" xfId="0" applyNumberFormat="1" applyFont="1"/>
    <xf numFmtId="1" fontId="28" fillId="0" borderId="5" xfId="0" applyNumberFormat="1" applyFont="1" applyFill="1" applyBorder="1" applyAlignment="1">
      <alignment horizontal="left"/>
    </xf>
    <xf numFmtId="3" fontId="28" fillId="0" borderId="5" xfId="0" applyNumberFormat="1" applyFont="1" applyBorder="1"/>
    <xf numFmtId="171" fontId="28" fillId="0" borderId="0" xfId="0" applyNumberFormat="1" applyFont="1" applyFill="1" applyBorder="1"/>
    <xf numFmtId="3" fontId="28" fillId="0" borderId="0" xfId="0" applyNumberFormat="1" applyFont="1" applyAlignment="1">
      <alignment horizontal="right"/>
    </xf>
    <xf numFmtId="1" fontId="28" fillId="0" borderId="1" xfId="0" applyNumberFormat="1" applyFont="1" applyFill="1" applyBorder="1" applyAlignment="1">
      <alignment horizontal="left"/>
    </xf>
    <xf numFmtId="3" fontId="28" fillId="0" borderId="1" xfId="0" applyNumberFormat="1" applyFont="1" applyBorder="1"/>
    <xf numFmtId="1" fontId="28" fillId="0" borderId="7" xfId="0" applyNumberFormat="1" applyFont="1" applyBorder="1"/>
    <xf numFmtId="1" fontId="28" fillId="0" borderId="6" xfId="0" applyNumberFormat="1" applyFont="1" applyFill="1" applyBorder="1" applyAlignment="1">
      <alignment horizontal="left"/>
    </xf>
    <xf numFmtId="3" fontId="28" fillId="0" borderId="6" xfId="0" applyNumberFormat="1" applyFont="1" applyBorder="1"/>
    <xf numFmtId="1" fontId="28" fillId="0" borderId="0" xfId="0" applyNumberFormat="1" applyFont="1" applyBorder="1"/>
    <xf numFmtId="0" fontId="0" fillId="0" borderId="0" xfId="0"/>
    <xf numFmtId="0" fontId="43" fillId="0" borderId="0" xfId="0" applyFont="1"/>
    <xf numFmtId="0" fontId="49" fillId="4" borderId="0" xfId="0" applyFont="1" applyFill="1"/>
    <xf numFmtId="170" fontId="49" fillId="4" borderId="0" xfId="0" applyNumberFormat="1" applyFont="1" applyFill="1"/>
    <xf numFmtId="0" fontId="29" fillId="4" borderId="0" xfId="0" applyFont="1" applyFill="1" applyAlignment="1"/>
    <xf numFmtId="0" fontId="49" fillId="4" borderId="0" xfId="0" applyFont="1" applyFill="1" applyAlignment="1"/>
    <xf numFmtId="0" fontId="50" fillId="4" borderId="0" xfId="0" applyFont="1" applyFill="1"/>
    <xf numFmtId="0" fontId="51" fillId="4" borderId="0" xfId="0" applyFont="1" applyFill="1"/>
    <xf numFmtId="0" fontId="50" fillId="4" borderId="0" xfId="0" applyFont="1" applyFill="1" applyAlignment="1"/>
    <xf numFmtId="0" fontId="51" fillId="4" borderId="0" xfId="0" applyFont="1" applyFill="1" applyAlignment="1"/>
    <xf numFmtId="0" fontId="0" fillId="4" borderId="0" xfId="0" applyFill="1"/>
    <xf numFmtId="0" fontId="52" fillId="4" borderId="0" xfId="0" applyFont="1" applyFill="1" applyAlignment="1">
      <alignment vertical="center"/>
    </xf>
    <xf numFmtId="0" fontId="37" fillId="4" borderId="0" xfId="0" applyFont="1" applyFill="1" applyAlignment="1">
      <alignment horizontal="right" vertical="center"/>
    </xf>
    <xf numFmtId="0" fontId="53" fillId="4" borderId="0" xfId="0" applyFont="1" applyFill="1" applyAlignment="1">
      <alignment horizontal="right" vertical="center"/>
    </xf>
    <xf numFmtId="0" fontId="37" fillId="4" borderId="0" xfId="0" applyFont="1" applyFill="1" applyAlignment="1">
      <alignment vertical="center"/>
    </xf>
    <xf numFmtId="0" fontId="0" fillId="4" borderId="0" xfId="0" applyFill="1" applyAlignment="1">
      <alignment vertical="center"/>
    </xf>
    <xf numFmtId="0" fontId="52" fillId="4" borderId="1" xfId="0" applyFont="1" applyFill="1" applyBorder="1" applyAlignment="1">
      <alignment vertical="center"/>
    </xf>
    <xf numFmtId="0" fontId="37" fillId="4" borderId="1" xfId="0" applyFont="1" applyFill="1" applyBorder="1" applyAlignment="1">
      <alignment horizontal="right" vertical="center"/>
    </xf>
    <xf numFmtId="0" fontId="53" fillId="4" borderId="1" xfId="0" applyFont="1" applyFill="1" applyBorder="1" applyAlignment="1">
      <alignment horizontal="right" vertical="center"/>
    </xf>
    <xf numFmtId="0" fontId="37" fillId="4" borderId="7" xfId="0" applyFont="1" applyFill="1" applyBorder="1" applyAlignment="1">
      <alignment horizontal="right" vertical="center"/>
    </xf>
    <xf numFmtId="49" fontId="38" fillId="4" borderId="1" xfId="0" applyNumberFormat="1" applyFont="1" applyFill="1" applyBorder="1" applyAlignment="1">
      <alignment horizontal="right" vertical="center"/>
    </xf>
    <xf numFmtId="49" fontId="37" fillId="4" borderId="1" xfId="0" applyNumberFormat="1" applyFont="1" applyFill="1" applyBorder="1" applyAlignment="1">
      <alignment horizontal="right" vertical="center"/>
    </xf>
    <xf numFmtId="0" fontId="37" fillId="4" borderId="1" xfId="0" applyFont="1" applyFill="1" applyBorder="1" applyAlignment="1">
      <alignment vertical="center"/>
    </xf>
    <xf numFmtId="172" fontId="0" fillId="4" borderId="0" xfId="0" applyNumberFormat="1" applyFill="1" applyAlignment="1">
      <alignment vertical="center"/>
    </xf>
    <xf numFmtId="172" fontId="55" fillId="4" borderId="0" xfId="0" applyNumberFormat="1" applyFont="1" applyFill="1" applyAlignment="1">
      <alignment vertical="center"/>
    </xf>
    <xf numFmtId="173" fontId="56" fillId="4" borderId="0" xfId="0" applyNumberFormat="1" applyFont="1" applyFill="1" applyAlignment="1">
      <alignment horizontal="right"/>
    </xf>
    <xf numFmtId="172" fontId="56" fillId="0" borderId="0" xfId="0" applyNumberFormat="1" applyFont="1" applyFill="1" applyAlignment="1">
      <alignment horizontal="right"/>
    </xf>
    <xf numFmtId="172" fontId="56" fillId="4" borderId="0" xfId="0" applyNumberFormat="1" applyFont="1" applyFill="1" applyAlignment="1">
      <alignment horizontal="right"/>
    </xf>
    <xf numFmtId="172" fontId="57" fillId="4" borderId="0" xfId="0" applyNumberFormat="1" applyFont="1" applyFill="1" applyAlignment="1">
      <alignment horizontal="right"/>
    </xf>
    <xf numFmtId="173" fontId="56" fillId="0" borderId="0" xfId="0" applyNumberFormat="1" applyFont="1" applyFill="1" applyAlignment="1">
      <alignment horizontal="right"/>
    </xf>
    <xf numFmtId="3" fontId="57" fillId="4" borderId="0" xfId="0" applyNumberFormat="1" applyFont="1" applyFill="1" applyAlignment="1">
      <alignment horizontal="right"/>
    </xf>
    <xf numFmtId="0" fontId="56" fillId="4" borderId="0" xfId="0" applyFont="1" applyFill="1"/>
    <xf numFmtId="174" fontId="0" fillId="4" borderId="0" xfId="0" applyNumberFormat="1" applyFill="1"/>
    <xf numFmtId="173" fontId="0" fillId="4" borderId="0" xfId="0" applyNumberFormat="1" applyFill="1"/>
    <xf numFmtId="0" fontId="57" fillId="4" borderId="0" xfId="0" applyFont="1" applyFill="1" applyAlignment="1">
      <alignment horizontal="right"/>
    </xf>
    <xf numFmtId="172" fontId="56" fillId="4" borderId="1" xfId="0" applyNumberFormat="1" applyFont="1" applyFill="1" applyBorder="1" applyAlignment="1">
      <alignment horizontal="right"/>
    </xf>
    <xf numFmtId="173" fontId="59" fillId="4" borderId="5" xfId="0" applyNumberFormat="1" applyFont="1" applyFill="1" applyBorder="1" applyAlignment="1">
      <alignment horizontal="right" vertical="center"/>
    </xf>
    <xf numFmtId="172" fontId="59" fillId="4" borderId="5" xfId="0" applyNumberFormat="1" applyFont="1" applyFill="1" applyBorder="1" applyAlignment="1">
      <alignment horizontal="right" vertical="center"/>
    </xf>
    <xf numFmtId="172" fontId="60" fillId="4" borderId="5" xfId="0" applyNumberFormat="1" applyFont="1" applyFill="1" applyBorder="1" applyAlignment="1">
      <alignment horizontal="right" vertical="center"/>
    </xf>
    <xf numFmtId="172" fontId="60" fillId="4" borderId="0" xfId="0" applyNumberFormat="1" applyFont="1" applyFill="1" applyBorder="1" applyAlignment="1">
      <alignment horizontal="right" vertical="center"/>
    </xf>
    <xf numFmtId="173" fontId="59" fillId="0" borderId="5" xfId="0" applyNumberFormat="1" applyFont="1" applyFill="1" applyBorder="1" applyAlignment="1">
      <alignment horizontal="right"/>
    </xf>
    <xf numFmtId="3" fontId="60" fillId="4" borderId="5" xfId="0" applyNumberFormat="1" applyFont="1" applyFill="1" applyBorder="1" applyAlignment="1">
      <alignment horizontal="right" vertical="center"/>
    </xf>
    <xf numFmtId="0" fontId="53" fillId="4" borderId="5" xfId="0" applyFont="1" applyFill="1" applyBorder="1" applyAlignment="1">
      <alignment vertical="center"/>
    </xf>
    <xf numFmtId="172" fontId="56" fillId="4" borderId="5" xfId="0" applyNumberFormat="1" applyFont="1" applyFill="1" applyBorder="1" applyAlignment="1">
      <alignment horizontal="right" vertical="center"/>
    </xf>
    <xf numFmtId="172" fontId="57" fillId="4" borderId="5" xfId="0" applyNumberFormat="1" applyFont="1" applyFill="1" applyBorder="1" applyAlignment="1">
      <alignment horizontal="right" vertical="center"/>
    </xf>
    <xf numFmtId="172" fontId="57" fillId="4" borderId="0" xfId="0" applyNumberFormat="1" applyFont="1" applyFill="1" applyAlignment="1">
      <alignment horizontal="right" vertical="center"/>
    </xf>
    <xf numFmtId="172" fontId="56" fillId="4" borderId="0" xfId="0" applyNumberFormat="1" applyFont="1" applyFill="1" applyBorder="1" applyAlignment="1">
      <alignment horizontal="right" vertical="center"/>
    </xf>
    <xf numFmtId="0" fontId="60" fillId="4" borderId="0" xfId="0" applyFont="1" applyFill="1" applyBorder="1" applyAlignment="1">
      <alignment horizontal="right" vertical="center"/>
    </xf>
    <xf numFmtId="0" fontId="53" fillId="4" borderId="0" xfId="0" applyFont="1" applyFill="1" applyBorder="1" applyAlignment="1">
      <alignment vertical="center"/>
    </xf>
    <xf numFmtId="172" fontId="59" fillId="4" borderId="0" xfId="0" applyNumberFormat="1" applyFont="1" applyFill="1" applyAlignment="1">
      <alignment horizontal="right"/>
    </xf>
    <xf numFmtId="173" fontId="59" fillId="4" borderId="0" xfId="0" applyNumberFormat="1" applyFont="1" applyFill="1" applyAlignment="1">
      <alignment horizontal="right"/>
    </xf>
    <xf numFmtId="172" fontId="60" fillId="4" borderId="0" xfId="0" applyNumberFormat="1" applyFont="1" applyFill="1" applyAlignment="1">
      <alignment horizontal="right"/>
    </xf>
    <xf numFmtId="3" fontId="60" fillId="4" borderId="0" xfId="0" applyNumberFormat="1" applyFont="1" applyFill="1" applyAlignment="1">
      <alignment horizontal="right"/>
    </xf>
    <xf numFmtId="0" fontId="53" fillId="4" borderId="0" xfId="0" applyFont="1" applyFill="1"/>
    <xf numFmtId="0" fontId="57" fillId="4" borderId="1" xfId="0" applyFont="1" applyFill="1" applyBorder="1" applyAlignment="1">
      <alignment horizontal="right"/>
    </xf>
    <xf numFmtId="0" fontId="56" fillId="4" borderId="1" xfId="0" applyFont="1" applyFill="1" applyBorder="1"/>
    <xf numFmtId="0" fontId="37" fillId="4" borderId="8" xfId="0" applyFont="1" applyFill="1" applyBorder="1" applyAlignment="1">
      <alignment vertical="center"/>
    </xf>
    <xf numFmtId="172" fontId="59" fillId="4" borderId="8" xfId="0" applyNumberFormat="1" applyFont="1" applyFill="1" applyBorder="1" applyAlignment="1">
      <alignment horizontal="right" vertical="center"/>
    </xf>
    <xf numFmtId="172" fontId="60" fillId="4" borderId="8" xfId="0" applyNumberFormat="1" applyFont="1" applyFill="1" applyBorder="1" applyAlignment="1">
      <alignment horizontal="right" vertical="center"/>
    </xf>
    <xf numFmtId="172" fontId="56" fillId="4" borderId="0" xfId="0" applyNumberFormat="1" applyFont="1" applyFill="1" applyAlignment="1">
      <alignment horizontal="right" vertical="center"/>
    </xf>
    <xf numFmtId="0" fontId="56" fillId="4" borderId="0" xfId="0" applyFont="1" applyFill="1" applyAlignment="1">
      <alignment horizontal="right" vertical="center"/>
    </xf>
    <xf numFmtId="0" fontId="53" fillId="4" borderId="0" xfId="0" applyFont="1" applyFill="1" applyAlignment="1">
      <alignment vertical="center"/>
    </xf>
    <xf numFmtId="0" fontId="56" fillId="4" borderId="0" xfId="0" applyFont="1" applyFill="1" applyAlignment="1">
      <alignment horizontal="right"/>
    </xf>
    <xf numFmtId="173" fontId="59" fillId="4" borderId="5" xfId="0" applyNumberFormat="1" applyFont="1" applyFill="1" applyBorder="1" applyAlignment="1">
      <alignment horizontal="right"/>
    </xf>
    <xf numFmtId="0" fontId="60" fillId="4" borderId="0" xfId="0" applyFont="1" applyFill="1" applyAlignment="1">
      <alignment horizontal="right"/>
    </xf>
    <xf numFmtId="173" fontId="56" fillId="4" borderId="1" xfId="0" applyNumberFormat="1" applyFont="1" applyFill="1" applyBorder="1" applyAlignment="1">
      <alignment horizontal="right"/>
    </xf>
    <xf numFmtId="172" fontId="59" fillId="4" borderId="6" xfId="0" applyNumberFormat="1" applyFont="1" applyFill="1" applyBorder="1" applyAlignment="1">
      <alignment horizontal="right" vertical="center"/>
    </xf>
    <xf numFmtId="172" fontId="60" fillId="4" borderId="6" xfId="0" applyNumberFormat="1" applyFont="1" applyFill="1" applyBorder="1" applyAlignment="1">
      <alignment horizontal="right" vertical="center"/>
    </xf>
    <xf numFmtId="172" fontId="56" fillId="4" borderId="6" xfId="0" applyNumberFormat="1" applyFont="1" applyFill="1" applyBorder="1" applyAlignment="1">
      <alignment horizontal="right"/>
    </xf>
    <xf numFmtId="0" fontId="60" fillId="4" borderId="6" xfId="0" applyFont="1" applyFill="1" applyBorder="1" applyAlignment="1">
      <alignment horizontal="right" vertical="center"/>
    </xf>
    <xf numFmtId="0" fontId="59" fillId="4" borderId="6" xfId="0" applyFont="1" applyFill="1" applyBorder="1" applyAlignment="1">
      <alignment horizontal="left" vertical="center"/>
    </xf>
    <xf numFmtId="0" fontId="52" fillId="4" borderId="0" xfId="0" applyFont="1" applyFill="1"/>
    <xf numFmtId="0" fontId="62" fillId="4" borderId="0" xfId="0" applyFont="1" applyFill="1"/>
    <xf numFmtId="0" fontId="63" fillId="4" borderId="0" xfId="0" applyFont="1" applyFill="1"/>
    <xf numFmtId="172" fontId="0" fillId="4" borderId="0" xfId="0" applyNumberFormat="1" applyFill="1"/>
    <xf numFmtId="0" fontId="46" fillId="0" borderId="0" xfId="0" applyFont="1" applyBorder="1"/>
    <xf numFmtId="0" fontId="47" fillId="0" borderId="0" xfId="0" applyFont="1" applyBorder="1"/>
    <xf numFmtId="0" fontId="47" fillId="0" borderId="0" xfId="0" applyFont="1"/>
    <xf numFmtId="0" fontId="28" fillId="0" borderId="7" xfId="0" applyFont="1" applyBorder="1" applyAlignment="1">
      <alignment horizontal="right"/>
    </xf>
    <xf numFmtId="0" fontId="64" fillId="0" borderId="7" xfId="0" applyFont="1" applyBorder="1" applyAlignment="1">
      <alignment horizontal="right"/>
    </xf>
    <xf numFmtId="0" fontId="28" fillId="0" borderId="4" xfId="0" applyFont="1" applyBorder="1" applyAlignment="1">
      <alignment horizontal="right"/>
    </xf>
    <xf numFmtId="0" fontId="28" fillId="0" borderId="4" xfId="0" applyFont="1" applyBorder="1" applyAlignment="1">
      <alignment horizontal="center"/>
    </xf>
    <xf numFmtId="0" fontId="28" fillId="0" borderId="0" xfId="0" applyFont="1" applyFill="1" applyBorder="1" applyAlignment="1">
      <alignment horizontal="right"/>
    </xf>
    <xf numFmtId="0" fontId="28" fillId="0" borderId="0" xfId="0" applyFont="1" applyAlignment="1">
      <alignment horizontal="right"/>
    </xf>
    <xf numFmtId="0" fontId="28" fillId="0" borderId="0" xfId="0" applyFont="1" applyAlignment="1">
      <alignment horizontal="left"/>
    </xf>
    <xf numFmtId="175" fontId="28" fillId="0" borderId="0" xfId="0" applyNumberFormat="1" applyFont="1" applyBorder="1"/>
    <xf numFmtId="175" fontId="28" fillId="0" borderId="0" xfId="0" applyNumberFormat="1" applyFont="1" applyBorder="1" applyAlignment="1">
      <alignment horizontal="right"/>
    </xf>
    <xf numFmtId="0" fontId="28" fillId="0" borderId="1" xfId="0" applyFont="1" applyBorder="1" applyAlignment="1">
      <alignment horizontal="left"/>
    </xf>
    <xf numFmtId="175" fontId="28" fillId="0" borderId="1" xfId="0" applyNumberFormat="1" applyFont="1" applyBorder="1"/>
    <xf numFmtId="175" fontId="28" fillId="0" borderId="1" xfId="0" applyNumberFormat="1" applyFont="1" applyBorder="1" applyAlignment="1">
      <alignment horizontal="right"/>
    </xf>
    <xf numFmtId="175" fontId="28" fillId="0" borderId="0" xfId="0" applyNumberFormat="1" applyFont="1" applyFill="1" applyBorder="1"/>
    <xf numFmtId="0" fontId="28" fillId="0" borderId="0" xfId="0" applyFont="1" applyBorder="1" applyAlignment="1">
      <alignment horizontal="left"/>
    </xf>
    <xf numFmtId="0" fontId="28" fillId="0" borderId="7" xfId="0" applyFont="1" applyBorder="1" applyAlignment="1">
      <alignment horizontal="left"/>
    </xf>
    <xf numFmtId="175" fontId="28" fillId="0" borderId="7" xfId="0" applyNumberFormat="1" applyFont="1" applyBorder="1"/>
    <xf numFmtId="175" fontId="28" fillId="0" borderId="7" xfId="0" applyNumberFormat="1" applyFont="1" applyFill="1" applyBorder="1"/>
    <xf numFmtId="175" fontId="28" fillId="0" borderId="7" xfId="0" applyNumberFormat="1" applyFont="1" applyBorder="1" applyAlignment="1">
      <alignment horizontal="right"/>
    </xf>
    <xf numFmtId="0" fontId="29" fillId="4" borderId="0" xfId="0" applyFont="1" applyFill="1"/>
    <xf numFmtId="0" fontId="29" fillId="0" borderId="0" xfId="0" applyFont="1" applyFill="1"/>
    <xf numFmtId="0" fontId="66" fillId="4" borderId="0" xfId="0" applyFont="1" applyFill="1"/>
    <xf numFmtId="0" fontId="67" fillId="4" borderId="0" xfId="0" applyFont="1" applyFill="1"/>
    <xf numFmtId="0" fontId="52" fillId="4" borderId="0" xfId="0" applyFont="1" applyFill="1"/>
    <xf numFmtId="0" fontId="28" fillId="4" borderId="0" xfId="0" applyFont="1" applyFill="1"/>
    <xf numFmtId="0" fontId="0" fillId="4" borderId="0" xfId="0" applyFill="1"/>
    <xf numFmtId="0" fontId="28" fillId="4" borderId="0" xfId="0" applyFont="1" applyFill="1" applyAlignment="1">
      <alignment horizontal="right"/>
    </xf>
    <xf numFmtId="0" fontId="36" fillId="4" borderId="0" xfId="0" applyFont="1" applyFill="1"/>
    <xf numFmtId="177" fontId="52" fillId="4" borderId="0" xfId="0" applyNumberFormat="1" applyFont="1" applyFill="1"/>
    <xf numFmtId="178" fontId="52" fillId="4" borderId="0" xfId="0" applyNumberFormat="1" applyFont="1" applyFill="1"/>
    <xf numFmtId="177" fontId="63" fillId="4" borderId="0" xfId="0" applyNumberFormat="1" applyFont="1" applyFill="1"/>
    <xf numFmtId="178" fontId="33" fillId="4" borderId="0" xfId="0" applyNumberFormat="1" applyFont="1" applyFill="1"/>
    <xf numFmtId="177" fontId="52" fillId="4" borderId="0" xfId="0" applyNumberFormat="1" applyFont="1" applyFill="1" applyAlignment="1">
      <alignment horizontal="right"/>
    </xf>
    <xf numFmtId="0" fontId="63" fillId="4" borderId="0" xfId="0" applyFont="1" applyFill="1"/>
    <xf numFmtId="178" fontId="63" fillId="4" borderId="0" xfId="0" applyNumberFormat="1" applyFont="1" applyFill="1"/>
    <xf numFmtId="0" fontId="68" fillId="4" borderId="0" xfId="0" applyFont="1" applyFill="1"/>
    <xf numFmtId="177" fontId="54" fillId="4" borderId="0" xfId="0" applyNumberFormat="1" applyFont="1" applyFill="1"/>
    <xf numFmtId="178" fontId="54" fillId="4" borderId="0" xfId="0" applyNumberFormat="1" applyFont="1" applyFill="1"/>
    <xf numFmtId="179" fontId="0" fillId="4" borderId="0" xfId="0" applyNumberFormat="1" applyFill="1"/>
    <xf numFmtId="178" fontId="54" fillId="0" borderId="0" xfId="0" applyNumberFormat="1" applyFont="1" applyFill="1"/>
    <xf numFmtId="0" fontId="62" fillId="4" borderId="0" xfId="0" applyFont="1" applyFill="1"/>
    <xf numFmtId="178" fontId="62" fillId="4" borderId="0" xfId="0" applyNumberFormat="1" applyFont="1" applyFill="1"/>
    <xf numFmtId="0" fontId="55" fillId="4" borderId="0" xfId="0" applyFont="1" applyFill="1" applyAlignment="1">
      <alignment horizontal="right"/>
    </xf>
    <xf numFmtId="0" fontId="52" fillId="4" borderId="0" xfId="0" applyNumberFormat="1" applyFont="1" applyFill="1" applyAlignment="1">
      <alignment horizontal="right"/>
    </xf>
    <xf numFmtId="0" fontId="54" fillId="4" borderId="0" xfId="0" applyNumberFormat="1" applyFont="1" applyFill="1" applyAlignment="1">
      <alignment horizontal="right"/>
    </xf>
    <xf numFmtId="0" fontId="41" fillId="4" borderId="0" xfId="0" applyFont="1" applyFill="1"/>
    <xf numFmtId="0" fontId="70" fillId="4" borderId="0" xfId="0" applyFont="1" applyFill="1"/>
    <xf numFmtId="0" fontId="33" fillId="4" borderId="0" xfId="0" applyFont="1" applyFill="1"/>
    <xf numFmtId="0" fontId="21" fillId="0" borderId="0" xfId="0" applyFont="1"/>
    <xf numFmtId="11" fontId="0" fillId="0" borderId="0" xfId="0" applyNumberFormat="1" applyBorder="1" applyAlignment="1">
      <alignment vertical="center"/>
    </xf>
    <xf numFmtId="11" fontId="0" fillId="0" borderId="1" xfId="0" applyNumberFormat="1" applyBorder="1" applyAlignment="1">
      <alignment vertical="center"/>
    </xf>
    <xf numFmtId="0" fontId="71" fillId="4" borderId="0" xfId="0" applyFont="1" applyFill="1"/>
    <xf numFmtId="0" fontId="50" fillId="4" borderId="0" xfId="0" applyFont="1" applyFill="1"/>
    <xf numFmtId="0" fontId="72" fillId="4" borderId="0" xfId="0" applyFont="1" applyFill="1"/>
    <xf numFmtId="0" fontId="28" fillId="4" borderId="7" xfId="0" applyFont="1" applyFill="1" applyBorder="1"/>
    <xf numFmtId="0" fontId="35" fillId="4" borderId="0" xfId="0" applyFont="1" applyFill="1" applyBorder="1" applyAlignment="1">
      <alignment horizontal="right"/>
    </xf>
    <xf numFmtId="0" fontId="28" fillId="4" borderId="9" xfId="0" applyFont="1" applyFill="1" applyBorder="1" applyAlignment="1">
      <alignment vertical="center"/>
    </xf>
    <xf numFmtId="0" fontId="37" fillId="4" borderId="9" xfId="0" applyFont="1" applyFill="1" applyBorder="1" applyAlignment="1">
      <alignment horizontal="right" vertical="center"/>
    </xf>
    <xf numFmtId="0" fontId="28" fillId="4" borderId="0" xfId="0" applyFont="1" applyFill="1" applyAlignment="1">
      <alignment horizontal="right" vertical="center"/>
    </xf>
    <xf numFmtId="0" fontId="37" fillId="4" borderId="0" xfId="0" applyFont="1" applyFill="1" applyBorder="1" applyAlignment="1">
      <alignment horizontal="right" vertical="center"/>
    </xf>
    <xf numFmtId="0" fontId="28" fillId="4" borderId="0" xfId="0" applyFont="1" applyFill="1" applyAlignment="1">
      <alignment vertical="center"/>
    </xf>
    <xf numFmtId="0" fontId="28" fillId="4" borderId="0" xfId="0" applyFont="1" applyFill="1" applyBorder="1" applyAlignment="1">
      <alignment vertical="center"/>
    </xf>
    <xf numFmtId="0" fontId="37" fillId="4" borderId="0" xfId="0" applyFont="1" applyFill="1" applyAlignment="1">
      <alignment horizontal="right" vertical="center"/>
    </xf>
    <xf numFmtId="0" fontId="28" fillId="4" borderId="1" xfId="0" applyFont="1" applyFill="1" applyBorder="1" applyAlignment="1">
      <alignment vertical="center"/>
    </xf>
    <xf numFmtId="0" fontId="37" fillId="4" borderId="1" xfId="0" applyFont="1" applyFill="1" applyBorder="1" applyAlignment="1">
      <alignment horizontal="right" vertical="center"/>
    </xf>
    <xf numFmtId="0" fontId="34" fillId="4" borderId="1" xfId="0" applyFont="1" applyFill="1" applyBorder="1" applyAlignment="1">
      <alignment horizontal="right" vertical="center"/>
    </xf>
    <xf numFmtId="0" fontId="28" fillId="4" borderId="0" xfId="0" applyFont="1" applyFill="1" applyBorder="1" applyAlignment="1">
      <alignment horizontal="right" vertical="center"/>
    </xf>
    <xf numFmtId="0" fontId="37" fillId="4" borderId="0" xfId="0" applyFont="1" applyFill="1"/>
    <xf numFmtId="172" fontId="34" fillId="4" borderId="0" xfId="0" applyNumberFormat="1" applyFont="1" applyFill="1" applyAlignment="1">
      <alignment horizontal="right"/>
    </xf>
    <xf numFmtId="172" fontId="47" fillId="4" borderId="0" xfId="0" applyNumberFormat="1" applyFont="1" applyFill="1" applyAlignment="1">
      <alignment horizontal="right"/>
    </xf>
    <xf numFmtId="0" fontId="47" fillId="4" borderId="0" xfId="0" applyFont="1" applyFill="1"/>
    <xf numFmtId="180" fontId="33" fillId="4" borderId="0" xfId="0" applyNumberFormat="1" applyFont="1" applyFill="1" applyAlignment="1">
      <alignment horizontal="right"/>
    </xf>
    <xf numFmtId="180" fontId="28" fillId="4" borderId="0" xfId="0" applyNumberFormat="1" applyFont="1" applyFill="1" applyAlignment="1">
      <alignment horizontal="right"/>
    </xf>
    <xf numFmtId="181" fontId="33" fillId="4" borderId="0" xfId="0" applyNumberFormat="1" applyFont="1" applyFill="1" applyAlignment="1">
      <alignment horizontal="right"/>
    </xf>
    <xf numFmtId="172" fontId="33" fillId="4" borderId="0" xfId="0" applyNumberFormat="1" applyFont="1" applyFill="1" applyAlignment="1">
      <alignment horizontal="right"/>
    </xf>
    <xf numFmtId="182" fontId="33" fillId="4" borderId="0" xfId="0" applyNumberFormat="1" applyFont="1" applyFill="1" applyAlignment="1">
      <alignment horizontal="right"/>
    </xf>
    <xf numFmtId="173" fontId="33" fillId="4" borderId="0" xfId="0" applyNumberFormat="1" applyFont="1" applyFill="1" applyAlignment="1">
      <alignment horizontal="right"/>
    </xf>
    <xf numFmtId="0" fontId="37" fillId="4" borderId="5" xfId="0" applyFont="1" applyFill="1" applyBorder="1" applyAlignment="1">
      <alignment vertical="center"/>
    </xf>
    <xf numFmtId="180" fontId="34" fillId="4" borderId="5" xfId="0" applyNumberFormat="1" applyFont="1" applyFill="1" applyBorder="1" applyAlignment="1">
      <alignment horizontal="right" vertical="center"/>
    </xf>
    <xf numFmtId="181" fontId="34" fillId="4" borderId="5" xfId="0" applyNumberFormat="1" applyFont="1" applyFill="1" applyBorder="1" applyAlignment="1">
      <alignment horizontal="right" vertical="center"/>
    </xf>
    <xf numFmtId="180" fontId="34" fillId="4" borderId="0" xfId="0" applyNumberFormat="1" applyFont="1" applyFill="1" applyBorder="1" applyAlignment="1">
      <alignment horizontal="right" vertical="center"/>
    </xf>
    <xf numFmtId="0" fontId="47" fillId="4" borderId="0" xfId="0" applyFont="1" applyFill="1" applyAlignment="1">
      <alignment vertical="center"/>
    </xf>
    <xf numFmtId="182" fontId="33" fillId="4" borderId="0" xfId="0" applyNumberFormat="1" applyFont="1" applyFill="1" applyAlignment="1">
      <alignment horizontal="right" vertical="center"/>
    </xf>
    <xf numFmtId="181" fontId="33" fillId="4" borderId="5" xfId="0" applyNumberFormat="1" applyFont="1" applyFill="1" applyBorder="1" applyAlignment="1">
      <alignment horizontal="right" vertical="center"/>
    </xf>
    <xf numFmtId="180" fontId="33" fillId="4" borderId="0" xfId="0" applyNumberFormat="1" applyFont="1" applyFill="1" applyBorder="1" applyAlignment="1">
      <alignment horizontal="right" vertical="center"/>
    </xf>
    <xf numFmtId="172" fontId="33" fillId="4" borderId="0" xfId="0" applyNumberFormat="1" applyFont="1" applyFill="1" applyAlignment="1">
      <alignment horizontal="right" vertical="center"/>
    </xf>
    <xf numFmtId="180" fontId="33" fillId="4" borderId="5" xfId="0" applyNumberFormat="1" applyFont="1" applyFill="1" applyBorder="1" applyAlignment="1">
      <alignment horizontal="right" vertical="center"/>
    </xf>
    <xf numFmtId="172" fontId="34" fillId="4" borderId="5" xfId="0" applyNumberFormat="1" applyFont="1" applyFill="1" applyBorder="1" applyAlignment="1">
      <alignment horizontal="right" vertical="center"/>
    </xf>
    <xf numFmtId="173" fontId="34" fillId="4" borderId="5" xfId="0" applyNumberFormat="1" applyFont="1" applyFill="1" applyBorder="1" applyAlignment="1">
      <alignment horizontal="right" vertical="center"/>
    </xf>
    <xf numFmtId="172" fontId="34" fillId="4" borderId="0" xfId="0" applyNumberFormat="1" applyFont="1" applyFill="1" applyBorder="1" applyAlignment="1">
      <alignment horizontal="right" vertical="center"/>
    </xf>
    <xf numFmtId="0" fontId="37" fillId="4" borderId="8" xfId="0" applyFont="1" applyFill="1" applyBorder="1"/>
    <xf numFmtId="172" fontId="34" fillId="4" borderId="8" xfId="0" applyNumberFormat="1" applyFont="1" applyFill="1" applyBorder="1" applyAlignment="1">
      <alignment horizontal="right"/>
    </xf>
    <xf numFmtId="172" fontId="34" fillId="4" borderId="0" xfId="0" applyNumberFormat="1" applyFont="1" applyFill="1" applyBorder="1" applyAlignment="1">
      <alignment horizontal="right"/>
    </xf>
    <xf numFmtId="0" fontId="52" fillId="4" borderId="0" xfId="0" applyFont="1" applyFill="1" applyAlignment="1">
      <alignment wrapText="1"/>
    </xf>
    <xf numFmtId="172" fontId="33" fillId="4" borderId="1" xfId="0" applyNumberFormat="1" applyFont="1" applyFill="1" applyBorder="1" applyAlignment="1">
      <alignment horizontal="right"/>
    </xf>
    <xf numFmtId="0" fontId="37" fillId="4" borderId="8" xfId="0" applyFont="1" applyFill="1" applyBorder="1" applyAlignment="1">
      <alignment vertical="center"/>
    </xf>
    <xf numFmtId="172" fontId="34" fillId="4" borderId="8" xfId="0" applyNumberFormat="1" applyFont="1" applyFill="1" applyBorder="1" applyAlignment="1">
      <alignment horizontal="right" vertical="center"/>
    </xf>
    <xf numFmtId="0" fontId="37" fillId="4" borderId="0" xfId="0" applyFont="1" applyFill="1" applyAlignment="1">
      <alignment vertical="center"/>
    </xf>
    <xf numFmtId="172" fontId="34" fillId="4" borderId="0" xfId="0" applyNumberFormat="1" applyFont="1" applyFill="1" applyAlignment="1">
      <alignment horizontal="right" vertical="center"/>
    </xf>
    <xf numFmtId="0" fontId="47" fillId="4" borderId="0" xfId="0" applyFont="1" applyFill="1" applyBorder="1" applyAlignment="1">
      <alignment vertical="center"/>
    </xf>
    <xf numFmtId="0" fontId="47" fillId="4" borderId="5" xfId="0" applyFont="1" applyFill="1" applyBorder="1" applyAlignment="1">
      <alignment vertical="center"/>
    </xf>
    <xf numFmtId="173" fontId="34" fillId="4" borderId="0" xfId="0" applyNumberFormat="1" applyFont="1" applyFill="1" applyAlignment="1">
      <alignment horizontal="right" vertical="center"/>
    </xf>
    <xf numFmtId="173" fontId="33" fillId="0" borderId="0" xfId="0" applyNumberFormat="1" applyFont="1" applyFill="1" applyAlignment="1">
      <alignment horizontal="right"/>
    </xf>
    <xf numFmtId="0" fontId="28" fillId="4" borderId="0" xfId="0" applyFont="1" applyFill="1" applyBorder="1"/>
    <xf numFmtId="0" fontId="33" fillId="4" borderId="0" xfId="0" applyFont="1" applyFill="1" applyAlignment="1">
      <alignment vertical="center"/>
    </xf>
    <xf numFmtId="173" fontId="34" fillId="4" borderId="0" xfId="0" applyNumberFormat="1" applyFont="1" applyFill="1" applyAlignment="1">
      <alignment horizontal="right"/>
    </xf>
    <xf numFmtId="0" fontId="37" fillId="4" borderId="6" xfId="0" applyFont="1" applyFill="1" applyBorder="1" applyAlignment="1">
      <alignment vertical="center"/>
    </xf>
    <xf numFmtId="172" fontId="33" fillId="4" borderId="6" xfId="0" applyNumberFormat="1" applyFont="1" applyFill="1" applyBorder="1" applyAlignment="1">
      <alignment horizontal="right" vertical="center"/>
    </xf>
    <xf numFmtId="172" fontId="33" fillId="4" borderId="0" xfId="0" applyNumberFormat="1" applyFont="1" applyFill="1" applyBorder="1" applyAlignment="1">
      <alignment horizontal="right" vertical="center"/>
    </xf>
    <xf numFmtId="0" fontId="37" fillId="4" borderId="0" xfId="0" applyFont="1" applyFill="1" applyBorder="1" applyAlignment="1">
      <alignment vertical="center"/>
    </xf>
    <xf numFmtId="0" fontId="38" fillId="4" borderId="0" xfId="0" applyFont="1" applyFill="1"/>
    <xf numFmtId="165" fontId="28" fillId="4" borderId="0" xfId="0" applyNumberFormat="1" applyFont="1" applyFill="1"/>
    <xf numFmtId="0" fontId="29" fillId="4" borderId="0" xfId="0" applyFont="1" applyFill="1"/>
    <xf numFmtId="0" fontId="75" fillId="4" borderId="0" xfId="0" applyFont="1" applyFill="1" applyAlignment="1">
      <alignment horizontal="right"/>
    </xf>
    <xf numFmtId="0" fontId="28" fillId="4" borderId="0" xfId="0" applyFont="1" applyFill="1"/>
    <xf numFmtId="0" fontId="76" fillId="4" borderId="0" xfId="0" applyFont="1" applyFill="1" applyBorder="1"/>
    <xf numFmtId="0" fontId="55" fillId="4" borderId="0" xfId="0" applyFont="1" applyFill="1" applyBorder="1"/>
    <xf numFmtId="0" fontId="62" fillId="4" borderId="0" xfId="0" applyFont="1" applyFill="1" applyBorder="1"/>
    <xf numFmtId="0" fontId="62" fillId="4" borderId="0" xfId="0" applyFont="1" applyFill="1"/>
    <xf numFmtId="0" fontId="50" fillId="4" borderId="0" xfId="0" applyFont="1" applyFill="1"/>
    <xf numFmtId="0" fontId="0" fillId="4" borderId="0" xfId="0" applyFill="1" applyAlignment="1">
      <alignment horizontal="right"/>
    </xf>
    <xf numFmtId="0" fontId="0" fillId="4" borderId="0" xfId="0" applyFill="1"/>
    <xf numFmtId="0" fontId="55" fillId="4" borderId="0" xfId="0" applyFont="1" applyFill="1"/>
    <xf numFmtId="0" fontId="77" fillId="4" borderId="0" xfId="0" applyFont="1" applyFill="1" applyBorder="1"/>
    <xf numFmtId="0" fontId="0" fillId="4" borderId="0" xfId="0" applyFill="1" applyBorder="1"/>
    <xf numFmtId="0" fontId="35" fillId="4" borderId="7" xfId="0" applyFont="1" applyFill="1" applyBorder="1" applyAlignment="1">
      <alignment horizontal="right"/>
    </xf>
    <xf numFmtId="0" fontId="78" fillId="4" borderId="7" xfId="0" applyFont="1" applyFill="1" applyBorder="1" applyAlignment="1">
      <alignment horizontal="right"/>
    </xf>
    <xf numFmtId="0" fontId="52" fillId="4" borderId="4" xfId="0" applyFont="1" applyFill="1" applyBorder="1"/>
    <xf numFmtId="0" fontId="52" fillId="4" borderId="4" xfId="0" applyFont="1" applyFill="1" applyBorder="1" applyAlignment="1">
      <alignment horizontal="right"/>
    </xf>
    <xf numFmtId="0" fontId="54" fillId="4" borderId="4" xfId="0" applyFont="1" applyFill="1" applyBorder="1" applyAlignment="1">
      <alignment horizontal="right"/>
    </xf>
    <xf numFmtId="0" fontId="79" fillId="4" borderId="4" xfId="0" applyFont="1" applyFill="1" applyBorder="1" applyAlignment="1">
      <alignment horizontal="right"/>
    </xf>
    <xf numFmtId="0" fontId="37" fillId="4" borderId="0" xfId="0" applyFont="1" applyFill="1"/>
    <xf numFmtId="0" fontId="52" fillId="4" borderId="0" xfId="0" applyFont="1" applyFill="1" applyAlignment="1">
      <alignment horizontal="right"/>
    </xf>
    <xf numFmtId="0" fontId="54" fillId="4" borderId="0" xfId="0" applyFont="1" applyFill="1" applyAlignment="1">
      <alignment horizontal="right"/>
    </xf>
    <xf numFmtId="0" fontId="52" fillId="4" borderId="0" xfId="0" applyFont="1" applyFill="1" applyBorder="1"/>
    <xf numFmtId="172" fontId="52" fillId="4" borderId="0" xfId="0" applyNumberFormat="1" applyFont="1" applyFill="1" applyBorder="1"/>
    <xf numFmtId="0" fontId="33" fillId="4" borderId="0" xfId="0" applyFont="1" applyFill="1"/>
    <xf numFmtId="172" fontId="56" fillId="4" borderId="0" xfId="0" applyNumberFormat="1" applyFont="1" applyFill="1" applyAlignment="1">
      <alignment horizontal="right"/>
    </xf>
    <xf numFmtId="172" fontId="33" fillId="4" borderId="0" xfId="0" applyNumberFormat="1" applyFont="1" applyFill="1" applyAlignment="1">
      <alignment horizontal="right"/>
    </xf>
    <xf numFmtId="173" fontId="33" fillId="4" borderId="0" xfId="0" applyNumberFormat="1" applyFont="1" applyFill="1" applyAlignment="1">
      <alignment horizontal="right"/>
    </xf>
    <xf numFmtId="173" fontId="33" fillId="4" borderId="0" xfId="0" applyNumberFormat="1" applyFont="1" applyFill="1" applyBorder="1" applyAlignment="1">
      <alignment horizontal="right"/>
    </xf>
    <xf numFmtId="172" fontId="33" fillId="4" borderId="0" xfId="0" applyNumberFormat="1" applyFont="1" applyFill="1" applyBorder="1" applyAlignment="1">
      <alignment horizontal="right"/>
    </xf>
    <xf numFmtId="0" fontId="52" fillId="4" borderId="0" xfId="0" applyFont="1" applyFill="1"/>
    <xf numFmtId="172" fontId="33" fillId="4" borderId="1" xfId="0" applyNumberFormat="1" applyFont="1" applyFill="1" applyBorder="1" applyAlignment="1">
      <alignment horizontal="right"/>
    </xf>
    <xf numFmtId="0" fontId="37" fillId="4" borderId="5" xfId="0" applyFont="1" applyFill="1" applyBorder="1" applyAlignment="1">
      <alignment vertical="center"/>
    </xf>
    <xf numFmtId="172" fontId="59" fillId="4" borderId="5" xfId="0" applyNumberFormat="1" applyFont="1" applyFill="1" applyBorder="1" applyAlignment="1">
      <alignment horizontal="right" vertical="center"/>
    </xf>
    <xf numFmtId="172" fontId="34" fillId="4" borderId="5" xfId="0" applyNumberFormat="1" applyFont="1" applyFill="1" applyBorder="1" applyAlignment="1">
      <alignment horizontal="right" vertical="center"/>
    </xf>
    <xf numFmtId="173" fontId="34" fillId="4" borderId="5" xfId="0" applyNumberFormat="1" applyFont="1" applyFill="1" applyBorder="1" applyAlignment="1">
      <alignment horizontal="right" vertical="center"/>
    </xf>
    <xf numFmtId="0" fontId="0" fillId="4" borderId="0" xfId="0" applyFill="1" applyAlignment="1">
      <alignment vertical="center"/>
    </xf>
    <xf numFmtId="183" fontId="56" fillId="4" borderId="5" xfId="0" applyNumberFormat="1" applyFont="1" applyFill="1" applyBorder="1" applyAlignment="1">
      <alignment horizontal="right" vertical="center"/>
    </xf>
    <xf numFmtId="183" fontId="33" fillId="4" borderId="5" xfId="0" applyNumberFormat="1" applyFont="1" applyFill="1" applyBorder="1" applyAlignment="1">
      <alignment horizontal="right" vertical="center"/>
    </xf>
    <xf numFmtId="184" fontId="33" fillId="4" borderId="5" xfId="0" applyNumberFormat="1" applyFont="1" applyFill="1" applyBorder="1" applyAlignment="1">
      <alignment horizontal="right" vertical="center"/>
    </xf>
    <xf numFmtId="172" fontId="56" fillId="4" borderId="1" xfId="0" applyNumberFormat="1" applyFont="1" applyFill="1" applyBorder="1" applyAlignment="1">
      <alignment horizontal="right"/>
    </xf>
    <xf numFmtId="0" fontId="37" fillId="4" borderId="8" xfId="0" applyFont="1" applyFill="1" applyBorder="1"/>
    <xf numFmtId="172" fontId="59" fillId="4" borderId="0" xfId="0" applyNumberFormat="1" applyFont="1" applyFill="1" applyAlignment="1">
      <alignment horizontal="right"/>
    </xf>
    <xf numFmtId="172" fontId="59" fillId="4" borderId="8" xfId="0" applyNumberFormat="1" applyFont="1" applyFill="1" applyBorder="1" applyAlignment="1">
      <alignment horizontal="right"/>
    </xf>
    <xf numFmtId="172" fontId="34" fillId="4" borderId="8" xfId="0" applyNumberFormat="1" applyFont="1" applyFill="1" applyBorder="1" applyAlignment="1">
      <alignment horizontal="right"/>
    </xf>
    <xf numFmtId="173" fontId="34" fillId="4" borderId="8" xfId="0" applyNumberFormat="1" applyFont="1" applyFill="1" applyBorder="1" applyAlignment="1">
      <alignment horizontal="right"/>
    </xf>
    <xf numFmtId="173" fontId="34" fillId="4" borderId="0" xfId="0" applyNumberFormat="1" applyFont="1" applyFill="1" applyBorder="1" applyAlignment="1">
      <alignment horizontal="right"/>
    </xf>
    <xf numFmtId="172" fontId="34" fillId="4" borderId="0" xfId="0" applyNumberFormat="1" applyFont="1" applyFill="1" applyBorder="1" applyAlignment="1">
      <alignment horizontal="right"/>
    </xf>
    <xf numFmtId="172" fontId="56" fillId="4" borderId="0" xfId="0" applyNumberFormat="1" applyFont="1" applyFill="1" applyBorder="1" applyAlignment="1">
      <alignment horizontal="right"/>
    </xf>
    <xf numFmtId="172" fontId="34" fillId="4" borderId="0" xfId="0" applyNumberFormat="1" applyFont="1" applyFill="1" applyAlignment="1">
      <alignment horizontal="right"/>
    </xf>
    <xf numFmtId="172" fontId="59" fillId="4" borderId="1" xfId="0" applyNumberFormat="1" applyFont="1" applyFill="1" applyBorder="1" applyAlignment="1">
      <alignment horizontal="right"/>
    </xf>
    <xf numFmtId="0" fontId="47" fillId="4" borderId="0" xfId="0" applyFont="1" applyFill="1"/>
    <xf numFmtId="0" fontId="37" fillId="4" borderId="5" xfId="0" applyFont="1" applyFill="1" applyBorder="1"/>
    <xf numFmtId="172" fontId="59" fillId="4" borderId="5" xfId="0" applyNumberFormat="1" applyFont="1" applyFill="1" applyBorder="1" applyAlignment="1">
      <alignment horizontal="right"/>
    </xf>
    <xf numFmtId="172" fontId="34" fillId="4" borderId="5" xfId="0" applyNumberFormat="1" applyFont="1" applyFill="1" applyBorder="1" applyAlignment="1">
      <alignment horizontal="right"/>
    </xf>
    <xf numFmtId="173" fontId="34" fillId="4" borderId="5" xfId="0" applyNumberFormat="1" applyFont="1" applyFill="1" applyBorder="1" applyAlignment="1">
      <alignment horizontal="right"/>
    </xf>
    <xf numFmtId="173" fontId="34" fillId="4" borderId="0" xfId="0" applyNumberFormat="1" applyFont="1" applyFill="1" applyAlignment="1">
      <alignment horizontal="right"/>
    </xf>
    <xf numFmtId="172" fontId="59" fillId="4" borderId="0" xfId="0" applyNumberFormat="1" applyFont="1" applyFill="1" applyBorder="1" applyAlignment="1">
      <alignment horizontal="right"/>
    </xf>
    <xf numFmtId="0" fontId="37" fillId="4" borderId="6" xfId="0" applyFont="1" applyFill="1" applyBorder="1" applyAlignment="1">
      <alignment vertical="center"/>
    </xf>
    <xf numFmtId="172" fontId="59" fillId="4" borderId="6" xfId="0" applyNumberFormat="1" applyFont="1" applyFill="1" applyBorder="1" applyAlignment="1">
      <alignment horizontal="right"/>
    </xf>
    <xf numFmtId="172" fontId="34" fillId="4" borderId="6" xfId="0" applyNumberFormat="1" applyFont="1" applyFill="1" applyBorder="1" applyAlignment="1">
      <alignment horizontal="right"/>
    </xf>
    <xf numFmtId="0" fontId="37" fillId="4" borderId="0" xfId="0" applyFont="1" applyFill="1" applyBorder="1"/>
    <xf numFmtId="0" fontId="55" fillId="4" borderId="0" xfId="0" applyFont="1" applyFill="1" applyAlignment="1">
      <alignment horizontal="right"/>
    </xf>
    <xf numFmtId="0" fontId="69" fillId="4" borderId="0" xfId="0" applyFont="1" applyFill="1" applyAlignment="1">
      <alignment horizontal="right"/>
    </xf>
    <xf numFmtId="0" fontId="36" fillId="4" borderId="0" xfId="0" applyFont="1" applyFill="1" applyAlignment="1">
      <alignment horizontal="right"/>
    </xf>
    <xf numFmtId="0" fontId="78" fillId="4" borderId="0" xfId="0" applyFont="1" applyFill="1" applyAlignment="1">
      <alignment horizontal="right"/>
    </xf>
    <xf numFmtId="0" fontId="54" fillId="4" borderId="4" xfId="0" applyFont="1" applyFill="1" applyBorder="1"/>
    <xf numFmtId="172" fontId="54" fillId="4" borderId="0" xfId="0" applyNumberFormat="1" applyFont="1" applyFill="1"/>
    <xf numFmtId="0" fontId="37" fillId="4" borderId="1" xfId="0" applyFont="1" applyFill="1" applyBorder="1"/>
    <xf numFmtId="172" fontId="34" fillId="4" borderId="1" xfId="0" applyNumberFormat="1" applyFont="1" applyFill="1" applyBorder="1" applyAlignment="1">
      <alignment horizontal="right"/>
    </xf>
    <xf numFmtId="173" fontId="34" fillId="4" borderId="1" xfId="0" applyNumberFormat="1" applyFont="1" applyFill="1" applyBorder="1" applyAlignment="1">
      <alignment horizontal="right"/>
    </xf>
    <xf numFmtId="0" fontId="0" fillId="4" borderId="8" xfId="0" applyFill="1" applyBorder="1"/>
    <xf numFmtId="0" fontId="52" fillId="4" borderId="10" xfId="0" applyFont="1" applyFill="1" applyBorder="1"/>
    <xf numFmtId="172" fontId="56" fillId="4" borderId="10" xfId="0" applyNumberFormat="1" applyFont="1" applyFill="1" applyBorder="1" applyAlignment="1">
      <alignment horizontal="right"/>
    </xf>
    <xf numFmtId="172" fontId="33" fillId="4" borderId="10" xfId="0" applyNumberFormat="1" applyFont="1" applyFill="1" applyBorder="1" applyAlignment="1">
      <alignment horizontal="right"/>
    </xf>
    <xf numFmtId="0" fontId="0" fillId="4" borderId="10" xfId="0" applyFill="1" applyBorder="1"/>
    <xf numFmtId="0" fontId="37" fillId="4" borderId="0" xfId="0" applyFont="1" applyFill="1" applyAlignment="1">
      <alignment vertical="center"/>
    </xf>
    <xf numFmtId="172" fontId="56" fillId="4" borderId="0" xfId="0" applyNumberFormat="1" applyFont="1" applyFill="1" applyAlignment="1">
      <alignment horizontal="right" vertical="center"/>
    </xf>
    <xf numFmtId="172" fontId="33" fillId="4" borderId="0" xfId="0" applyNumberFormat="1" applyFont="1" applyFill="1" applyAlignment="1">
      <alignment horizontal="right" vertical="center"/>
    </xf>
    <xf numFmtId="0" fontId="34" fillId="4" borderId="6" xfId="0" applyFont="1" applyFill="1" applyBorder="1" applyAlignment="1">
      <alignment vertical="center"/>
    </xf>
    <xf numFmtId="172" fontId="59" fillId="4" borderId="6" xfId="0" applyNumberFormat="1" applyFont="1" applyFill="1" applyBorder="1" applyAlignment="1">
      <alignment horizontal="right" vertical="center"/>
    </xf>
    <xf numFmtId="172" fontId="34" fillId="4" borderId="6" xfId="0" applyNumberFormat="1" applyFont="1" applyFill="1" applyBorder="1" applyAlignment="1">
      <alignment horizontal="right" vertical="center"/>
    </xf>
    <xf numFmtId="173" fontId="34" fillId="4" borderId="6" xfId="0" applyNumberFormat="1" applyFont="1" applyFill="1" applyBorder="1" applyAlignment="1">
      <alignment horizontal="right" vertical="center"/>
    </xf>
    <xf numFmtId="0" fontId="54" fillId="4" borderId="0" xfId="0" applyFont="1" applyFill="1"/>
    <xf numFmtId="0" fontId="38" fillId="4" borderId="0" xfId="0" applyFont="1" applyFill="1"/>
    <xf numFmtId="172" fontId="33" fillId="4" borderId="0" xfId="0" applyNumberFormat="1" applyFont="1" applyFill="1"/>
    <xf numFmtId="0" fontId="57" fillId="4" borderId="0" xfId="0" applyFont="1" applyFill="1"/>
    <xf numFmtId="0" fontId="80" fillId="4" borderId="0" xfId="0" applyFont="1" applyFill="1"/>
    <xf numFmtId="164" fontId="27" fillId="3" borderId="3" xfId="3" applyNumberFormat="1" applyAlignment="1">
      <alignment horizontal="right" vertical="center"/>
    </xf>
    <xf numFmtId="185" fontId="0" fillId="0" borderId="0" xfId="0" applyNumberFormat="1" applyAlignment="1">
      <alignment vertical="center"/>
    </xf>
    <xf numFmtId="0" fontId="71" fillId="4" borderId="0" xfId="0" applyFont="1" applyFill="1"/>
    <xf numFmtId="0" fontId="71" fillId="4" borderId="0" xfId="0" applyFont="1" applyFill="1" applyBorder="1"/>
    <xf numFmtId="0" fontId="35" fillId="4" borderId="7" xfId="0" applyFont="1" applyFill="1" applyBorder="1" applyAlignment="1">
      <alignment horizontal="left"/>
    </xf>
    <xf numFmtId="0" fontId="72" fillId="4" borderId="0" xfId="0" applyFont="1" applyFill="1" applyBorder="1"/>
    <xf numFmtId="0" fontId="52" fillId="4" borderId="9" xfId="0" applyFont="1" applyFill="1" applyBorder="1"/>
    <xf numFmtId="0" fontId="37" fillId="4" borderId="9" xfId="0" applyFont="1" applyFill="1" applyBorder="1"/>
    <xf numFmtId="0" fontId="52" fillId="4" borderId="0" xfId="0" applyFont="1" applyFill="1" applyAlignment="1">
      <alignment vertical="center"/>
    </xf>
    <xf numFmtId="0" fontId="37" fillId="4" borderId="0" xfId="0" applyFont="1" applyFill="1" applyAlignment="1">
      <alignment horizontal="right" vertical="center"/>
    </xf>
    <xf numFmtId="0" fontId="37" fillId="4" borderId="0" xfId="0" applyFont="1" applyFill="1" applyAlignment="1">
      <alignment horizontal="right"/>
    </xf>
    <xf numFmtId="0" fontId="37" fillId="4" borderId="0" xfId="0" applyFont="1" applyFill="1" applyBorder="1" applyAlignment="1">
      <alignment horizontal="right"/>
    </xf>
    <xf numFmtId="0" fontId="52" fillId="4" borderId="0" xfId="0" applyFont="1" applyFill="1" applyBorder="1" applyAlignment="1">
      <alignment vertical="center"/>
    </xf>
    <xf numFmtId="0" fontId="0" fillId="4" borderId="0" xfId="0" applyFill="1" applyBorder="1" applyAlignment="1">
      <alignment vertical="center"/>
    </xf>
    <xf numFmtId="0" fontId="28" fillId="4" borderId="0" xfId="0" applyFont="1" applyFill="1" applyAlignment="1">
      <alignment horizontal="right" vertical="center"/>
    </xf>
    <xf numFmtId="0" fontId="52" fillId="4" borderId="0" xfId="0" applyFont="1" applyFill="1" applyAlignment="1">
      <alignment horizontal="right" vertical="center"/>
    </xf>
    <xf numFmtId="49" fontId="38" fillId="4" borderId="0" xfId="0" applyNumberFormat="1" applyFont="1" applyFill="1" applyAlignment="1">
      <alignment horizontal="right" vertical="center"/>
    </xf>
    <xf numFmtId="49" fontId="38" fillId="4" borderId="0" xfId="0" applyNumberFormat="1" applyFont="1" applyFill="1" applyAlignment="1">
      <alignment horizontal="right"/>
    </xf>
    <xf numFmtId="0" fontId="34" fillId="4" borderId="0" xfId="0" applyFont="1" applyFill="1" applyBorder="1" applyAlignment="1">
      <alignment horizontal="right" vertical="center"/>
    </xf>
    <xf numFmtId="0" fontId="52" fillId="4" borderId="1" xfId="0" applyFont="1" applyFill="1" applyBorder="1" applyAlignment="1">
      <alignment vertical="center"/>
    </xf>
    <xf numFmtId="0" fontId="28" fillId="4" borderId="1" xfId="0" applyFont="1" applyFill="1" applyBorder="1" applyAlignment="1">
      <alignment horizontal="right" vertical="center"/>
    </xf>
    <xf numFmtId="0" fontId="52" fillId="4" borderId="1" xfId="0" applyFont="1" applyFill="1" applyBorder="1" applyAlignment="1">
      <alignment horizontal="right" vertical="center"/>
    </xf>
    <xf numFmtId="49" fontId="38" fillId="4" borderId="1" xfId="0" applyNumberFormat="1" applyFont="1" applyFill="1" applyBorder="1" applyAlignment="1">
      <alignment horizontal="right" vertical="center"/>
    </xf>
    <xf numFmtId="0" fontId="37" fillId="4" borderId="1" xfId="0" applyFont="1" applyFill="1" applyBorder="1" applyAlignment="1">
      <alignment horizontal="right" vertical="center"/>
    </xf>
    <xf numFmtId="0" fontId="52" fillId="4" borderId="1" xfId="0" applyFont="1" applyFill="1" applyBorder="1" applyAlignment="1">
      <alignment horizontal="right"/>
    </xf>
    <xf numFmtId="0" fontId="37" fillId="4" borderId="1" xfId="0" applyFont="1" applyFill="1" applyBorder="1" applyAlignment="1">
      <alignment horizontal="right"/>
    </xf>
    <xf numFmtId="49" fontId="41" fillId="4" borderId="0" xfId="0" applyNumberFormat="1" applyFont="1" applyFill="1" applyBorder="1" applyAlignment="1">
      <alignment horizontal="right" vertical="center"/>
    </xf>
    <xf numFmtId="0" fontId="47" fillId="4" borderId="0" xfId="0" applyFont="1" applyFill="1" applyAlignment="1">
      <alignment horizontal="left"/>
    </xf>
    <xf numFmtId="0" fontId="34" fillId="4" borderId="0" xfId="0" applyFont="1" applyFill="1" applyBorder="1" applyAlignment="1">
      <alignment horizontal="right"/>
    </xf>
    <xf numFmtId="49" fontId="41" fillId="4" borderId="0" xfId="0" applyNumberFormat="1" applyFont="1" applyFill="1" applyBorder="1" applyAlignment="1">
      <alignment horizontal="right"/>
    </xf>
    <xf numFmtId="0" fontId="47" fillId="4" borderId="0" xfId="0" applyFont="1" applyFill="1" applyBorder="1" applyAlignment="1">
      <alignment horizontal="left"/>
    </xf>
    <xf numFmtId="0" fontId="40" fillId="4" borderId="0" xfId="0" applyFont="1" applyFill="1" applyBorder="1" applyAlignment="1">
      <alignment horizontal="right"/>
    </xf>
    <xf numFmtId="3" fontId="40" fillId="4" borderId="0" xfId="0" applyNumberFormat="1" applyFont="1" applyFill="1" applyBorder="1" applyAlignment="1">
      <alignment horizontal="right"/>
    </xf>
    <xf numFmtId="0" fontId="33" fillId="4" borderId="1" xfId="0" applyFont="1" applyFill="1" applyBorder="1"/>
    <xf numFmtId="0" fontId="33" fillId="4" borderId="0" xfId="0" applyFont="1" applyFill="1" applyAlignment="1">
      <alignment horizontal="right"/>
    </xf>
    <xf numFmtId="0" fontId="33" fillId="4" borderId="7" xfId="0" applyFont="1" applyFill="1" applyBorder="1"/>
    <xf numFmtId="172" fontId="33" fillId="4" borderId="7" xfId="0" applyNumberFormat="1" applyFont="1" applyFill="1" applyBorder="1" applyAlignment="1">
      <alignment horizontal="right"/>
    </xf>
    <xf numFmtId="0" fontId="40" fillId="4" borderId="0" xfId="0" applyFont="1" applyFill="1" applyBorder="1" applyAlignment="1">
      <alignment horizontal="right" vertical="center"/>
    </xf>
    <xf numFmtId="3" fontId="40" fillId="4" borderId="0" xfId="0" applyNumberFormat="1" applyFont="1" applyFill="1" applyBorder="1" applyAlignment="1">
      <alignment horizontal="right" vertical="center"/>
    </xf>
    <xf numFmtId="0" fontId="40" fillId="4" borderId="0" xfId="0" applyFont="1" applyFill="1" applyBorder="1"/>
    <xf numFmtId="0" fontId="81" fillId="4" borderId="0" xfId="0" applyFont="1" applyFill="1" applyBorder="1" applyAlignment="1">
      <alignment horizontal="left"/>
    </xf>
    <xf numFmtId="0" fontId="81" fillId="4" borderId="0" xfId="0" applyFont="1" applyFill="1" applyBorder="1" applyAlignment="1">
      <alignment horizontal="right"/>
    </xf>
    <xf numFmtId="49" fontId="82" fillId="4" borderId="0" xfId="0" applyNumberFormat="1" applyFont="1" applyFill="1" applyBorder="1" applyAlignment="1">
      <alignment horizontal="right"/>
    </xf>
    <xf numFmtId="3" fontId="40" fillId="4" borderId="0" xfId="0" applyNumberFormat="1" applyFont="1" applyFill="1" applyBorder="1" applyAlignment="1">
      <alignment vertical="center"/>
    </xf>
    <xf numFmtId="0" fontId="40" fillId="4" borderId="0" xfId="0" applyFont="1" applyFill="1" applyBorder="1" applyAlignment="1">
      <alignment vertical="center"/>
    </xf>
    <xf numFmtId="3" fontId="40" fillId="4" borderId="0" xfId="0" applyNumberFormat="1" applyFont="1" applyFill="1" applyBorder="1"/>
    <xf numFmtId="0" fontId="38" fillId="4" borderId="0" xfId="0" applyFont="1" applyFill="1" applyBorder="1"/>
    <xf numFmtId="0" fontId="52" fillId="4" borderId="1" xfId="0" applyFont="1" applyFill="1" applyBorder="1"/>
    <xf numFmtId="49" fontId="38" fillId="4" borderId="1" xfId="0" applyNumberFormat="1" applyFont="1" applyFill="1" applyBorder="1" applyAlignment="1">
      <alignment horizontal="right"/>
    </xf>
    <xf numFmtId="0" fontId="47" fillId="4" borderId="0" xfId="0" applyFont="1" applyFill="1" applyAlignment="1">
      <alignment horizontal="left" vertical="center"/>
    </xf>
    <xf numFmtId="0" fontId="33" fillId="4" borderId="0" xfId="0" applyFont="1" applyFill="1" applyAlignment="1">
      <alignment horizontal="right" vertical="center"/>
    </xf>
    <xf numFmtId="186" fontId="33" fillId="4" borderId="0" xfId="0" applyNumberFormat="1" applyFont="1" applyFill="1" applyAlignment="1">
      <alignment horizontal="right"/>
    </xf>
    <xf numFmtId="186" fontId="56" fillId="4" borderId="0" xfId="0" applyNumberFormat="1" applyFont="1" applyFill="1" applyAlignment="1">
      <alignment horizontal="right"/>
    </xf>
    <xf numFmtId="172" fontId="0" fillId="4" borderId="0" xfId="0" applyNumberFormat="1" applyFill="1"/>
    <xf numFmtId="186" fontId="56" fillId="4" borderId="0" xfId="0" applyNumberFormat="1" applyFont="1" applyFill="1" applyBorder="1" applyAlignment="1">
      <alignment horizontal="right"/>
    </xf>
    <xf numFmtId="186" fontId="56" fillId="4" borderId="1" xfId="0" applyNumberFormat="1" applyFont="1" applyFill="1" applyBorder="1" applyAlignment="1">
      <alignment horizontal="right"/>
    </xf>
    <xf numFmtId="186" fontId="56" fillId="4" borderId="7" xfId="0" applyNumberFormat="1" applyFont="1" applyFill="1" applyBorder="1" applyAlignment="1">
      <alignment horizontal="right"/>
    </xf>
    <xf numFmtId="186" fontId="56" fillId="4" borderId="0" xfId="0" applyNumberFormat="1" applyFont="1" applyFill="1" applyAlignment="1">
      <alignment horizontal="right" vertical="center"/>
    </xf>
    <xf numFmtId="186" fontId="0" fillId="4" borderId="0" xfId="0" applyNumberFormat="1" applyFill="1"/>
    <xf numFmtId="186" fontId="33" fillId="4" borderId="1" xfId="0" applyNumberFormat="1" applyFont="1" applyFill="1" applyBorder="1" applyAlignment="1">
      <alignment horizontal="right"/>
    </xf>
    <xf numFmtId="186" fontId="33" fillId="4" borderId="0" xfId="0" applyNumberFormat="1" applyFont="1" applyFill="1" applyBorder="1" applyAlignment="1">
      <alignment horizontal="right"/>
    </xf>
    <xf numFmtId="187" fontId="33" fillId="4" borderId="0" xfId="0" applyNumberFormat="1" applyFont="1" applyFill="1" applyAlignment="1">
      <alignment horizontal="right"/>
    </xf>
    <xf numFmtId="186" fontId="33" fillId="4" borderId="7" xfId="0" applyNumberFormat="1" applyFont="1" applyFill="1" applyBorder="1" applyAlignment="1">
      <alignment horizontal="right"/>
    </xf>
    <xf numFmtId="186" fontId="33" fillId="4" borderId="0" xfId="0" applyNumberFormat="1" applyFont="1" applyFill="1" applyAlignment="1">
      <alignment horizontal="right" vertical="center"/>
    </xf>
    <xf numFmtId="187" fontId="33" fillId="4" borderId="0" xfId="0" applyNumberFormat="1" applyFont="1" applyFill="1" applyBorder="1" applyAlignment="1">
      <alignment horizontal="right"/>
    </xf>
    <xf numFmtId="187" fontId="33" fillId="4" borderId="1" xfId="0" applyNumberFormat="1" applyFont="1" applyFill="1" applyBorder="1" applyAlignment="1">
      <alignment horizontal="right"/>
    </xf>
    <xf numFmtId="187" fontId="33" fillId="4" borderId="7" xfId="0" applyNumberFormat="1" applyFont="1" applyFill="1" applyBorder="1" applyAlignment="1">
      <alignment horizontal="right"/>
    </xf>
    <xf numFmtId="0" fontId="33" fillId="4" borderId="0" xfId="0" applyFont="1" applyFill="1" applyBorder="1"/>
    <xf numFmtId="0" fontId="28" fillId="4" borderId="0" xfId="0" applyFont="1" applyFill="1" applyBorder="1"/>
    <xf numFmtId="0" fontId="33" fillId="4" borderId="0" xfId="0" applyFont="1" applyFill="1" applyBorder="1" applyAlignment="1">
      <alignment horizontal="right"/>
    </xf>
    <xf numFmtId="0" fontId="52" fillId="4" borderId="0" xfId="0" applyFont="1" applyFill="1" applyBorder="1" applyAlignment="1"/>
    <xf numFmtId="0" fontId="33" fillId="4" borderId="0" xfId="0" applyFont="1" applyFill="1" applyBorder="1" applyAlignment="1">
      <alignment horizontal="center"/>
    </xf>
    <xf numFmtId="0" fontId="0" fillId="4" borderId="1" xfId="0" applyFill="1" applyBorder="1" applyAlignment="1">
      <alignment horizontal="center"/>
    </xf>
    <xf numFmtId="0" fontId="34" fillId="4" borderId="0" xfId="0" applyFont="1" applyFill="1" applyAlignment="1">
      <alignment horizontal="right"/>
    </xf>
    <xf numFmtId="0" fontId="0" fillId="4" borderId="1" xfId="0" applyFill="1" applyBorder="1"/>
    <xf numFmtId="49" fontId="82" fillId="4" borderId="1" xfId="0" applyNumberFormat="1" applyFont="1" applyFill="1" applyBorder="1" applyAlignment="1">
      <alignment horizontal="right"/>
    </xf>
    <xf numFmtId="0" fontId="0" fillId="4" borderId="1" xfId="0" applyFill="1" applyBorder="1" applyAlignment="1">
      <alignment vertical="center"/>
    </xf>
    <xf numFmtId="0" fontId="40" fillId="4" borderId="1" xfId="0" applyFont="1" applyFill="1" applyBorder="1"/>
    <xf numFmtId="0" fontId="40" fillId="4" borderId="0" xfId="0" applyFont="1" applyFill="1" applyAlignment="1">
      <alignment horizontal="right" vertical="center"/>
    </xf>
    <xf numFmtId="187" fontId="56" fillId="4" borderId="0" xfId="0" applyNumberFormat="1" applyFont="1" applyFill="1" applyBorder="1" applyAlignment="1">
      <alignment horizontal="right"/>
    </xf>
    <xf numFmtId="187" fontId="56" fillId="4" borderId="1" xfId="0" applyNumberFormat="1" applyFont="1" applyFill="1" applyBorder="1" applyAlignment="1">
      <alignment horizontal="right"/>
    </xf>
    <xf numFmtId="186" fontId="57" fillId="4" borderId="0" xfId="0" applyNumberFormat="1" applyFont="1" applyFill="1" applyAlignment="1">
      <alignment horizontal="right" vertical="center"/>
    </xf>
    <xf numFmtId="186" fontId="57" fillId="4" borderId="0" xfId="0" applyNumberFormat="1" applyFont="1" applyFill="1" applyBorder="1" applyAlignment="1">
      <alignment horizontal="right"/>
    </xf>
    <xf numFmtId="186" fontId="57" fillId="4" borderId="1" xfId="0" applyNumberFormat="1" applyFont="1" applyFill="1" applyBorder="1" applyAlignment="1">
      <alignment horizontal="right"/>
    </xf>
    <xf numFmtId="172" fontId="57" fillId="4" borderId="0" xfId="0" applyNumberFormat="1" applyFont="1" applyFill="1" applyAlignment="1">
      <alignment horizontal="right" vertical="center"/>
    </xf>
    <xf numFmtId="187" fontId="56" fillId="4" borderId="0" xfId="0" applyNumberFormat="1" applyFont="1" applyFill="1" applyAlignment="1">
      <alignment horizontal="right"/>
    </xf>
    <xf numFmtId="186" fontId="57" fillId="4" borderId="0" xfId="0" applyNumberFormat="1" applyFont="1" applyFill="1" applyAlignment="1">
      <alignment horizontal="right"/>
    </xf>
    <xf numFmtId="0" fontId="0" fillId="4" borderId="7" xfId="0" applyFill="1" applyBorder="1"/>
    <xf numFmtId="187" fontId="56" fillId="4" borderId="7" xfId="0" applyNumberFormat="1" applyFont="1" applyFill="1" applyBorder="1" applyAlignment="1">
      <alignment horizontal="right"/>
    </xf>
    <xf numFmtId="172" fontId="56" fillId="4" borderId="7" xfId="0" applyNumberFormat="1" applyFont="1" applyFill="1" applyBorder="1" applyAlignment="1">
      <alignment horizontal="right"/>
    </xf>
    <xf numFmtId="186" fontId="57" fillId="4" borderId="7" xfId="0" applyNumberFormat="1" applyFont="1" applyFill="1" applyBorder="1" applyAlignment="1">
      <alignment horizontal="right"/>
    </xf>
    <xf numFmtId="186" fontId="0" fillId="4" borderId="0" xfId="0" applyNumberFormat="1" applyFill="1" applyBorder="1"/>
    <xf numFmtId="186" fontId="33" fillId="4" borderId="0" xfId="0" applyNumberFormat="1" applyFont="1" applyFill="1" applyBorder="1"/>
    <xf numFmtId="0" fontId="63" fillId="4" borderId="0" xfId="0" applyFont="1" applyFill="1"/>
    <xf numFmtId="164" fontId="0" fillId="0" borderId="0" xfId="2" applyNumberFormat="1" applyFont="1" applyAlignment="1">
      <alignment vertical="center"/>
    </xf>
    <xf numFmtId="191" fontId="83" fillId="2" borderId="0" xfId="2" applyFont="1" applyFill="1" applyBorder="1" applyAlignment="1">
      <alignment vertical="center"/>
    </xf>
    <xf numFmtId="191" fontId="25" fillId="2" borderId="0" xfId="2"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3" fillId="0" borderId="0" xfId="0" applyFont="1" applyFill="1" applyBorder="1" applyAlignment="1">
      <alignment horizontal="left" vertical="center"/>
    </xf>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10" fillId="0" borderId="0" xfId="0" applyFont="1" applyFill="1" applyBorder="1" applyAlignment="1">
      <alignment vertical="center"/>
    </xf>
    <xf numFmtId="0" fontId="1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84"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vertical="center"/>
    </xf>
    <xf numFmtId="0" fontId="12" fillId="0" borderId="0" xfId="0" applyFont="1" applyFill="1" applyBorder="1" applyAlignment="1">
      <alignment horizontal="center" vertical="center"/>
    </xf>
    <xf numFmtId="191" fontId="18" fillId="0" borderId="0" xfId="2" applyFont="1" applyFill="1" applyBorder="1" applyAlignment="1">
      <alignment vertical="center"/>
    </xf>
    <xf numFmtId="0" fontId="0" fillId="0" borderId="0" xfId="0" applyFont="1" applyFill="1" applyBorder="1" applyAlignment="1">
      <alignment vertical="center"/>
    </xf>
    <xf numFmtId="0" fontId="12" fillId="0" borderId="0" xfId="0" applyFont="1" applyFill="1" applyBorder="1" applyAlignment="1">
      <alignment horizontal="left" vertical="center"/>
    </xf>
    <xf numFmtId="191" fontId="83" fillId="0" borderId="0" xfId="2" applyFont="1" applyFill="1" applyBorder="1" applyAlignment="1">
      <alignment vertical="center"/>
    </xf>
    <xf numFmtId="191" fontId="25" fillId="0" borderId="0" xfId="2"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191" fontId="74" fillId="0" borderId="0" xfId="2" applyFont="1" applyFill="1" applyBorder="1" applyAlignment="1">
      <alignment vertical="center"/>
    </xf>
    <xf numFmtId="191" fontId="25" fillId="0" borderId="0" xfId="2" applyFont="1" applyFill="1" applyBorder="1" applyAlignment="1">
      <alignment horizontal="center" vertical="center" wrapText="1"/>
    </xf>
    <xf numFmtId="0" fontId="0" fillId="0" borderId="0" xfId="0" applyFill="1" applyBorder="1" applyAlignment="1">
      <alignment horizontal="center" vertical="center"/>
    </xf>
    <xf numFmtId="0" fontId="65" fillId="0" borderId="0" xfId="4" applyNumberFormat="1" applyFill="1" applyBorder="1" applyAlignment="1">
      <alignment vertical="center"/>
    </xf>
    <xf numFmtId="0" fontId="65" fillId="0" borderId="0" xfId="4" applyNumberFormat="1" applyFill="1" applyBorder="1" applyAlignment="1">
      <alignment horizontal="center" vertical="center"/>
    </xf>
    <xf numFmtId="0" fontId="65" fillId="0" borderId="0" xfId="4" applyNumberFormat="1" applyFill="1" applyBorder="1" applyAlignment="1">
      <alignment horizontal="left" vertical="center"/>
    </xf>
    <xf numFmtId="176" fontId="65" fillId="0" borderId="0" xfId="4" applyFill="1" applyBorder="1" applyAlignment="1">
      <alignment vertical="center"/>
    </xf>
    <xf numFmtId="0" fontId="65" fillId="0" borderId="0" xfId="4" applyNumberFormat="1" applyFont="1" applyFill="1" applyBorder="1" applyAlignment="1">
      <alignment horizontal="center" vertical="center"/>
    </xf>
    <xf numFmtId="0" fontId="65" fillId="0" borderId="0" xfId="4" applyNumberFormat="1" applyFont="1" applyFill="1" applyBorder="1" applyAlignment="1">
      <alignment horizontal="left" vertical="center"/>
    </xf>
    <xf numFmtId="176" fontId="65" fillId="0" borderId="0" xfId="4" applyFont="1" applyFill="1" applyBorder="1" applyAlignment="1">
      <alignment vertical="center"/>
    </xf>
    <xf numFmtId="0" fontId="65" fillId="0" borderId="0" xfId="4" applyNumberFormat="1" applyFont="1" applyFill="1" applyBorder="1" applyAlignment="1">
      <alignment vertical="center"/>
    </xf>
    <xf numFmtId="176" fontId="25" fillId="0" borderId="0" xfId="2" applyNumberFormat="1" applyFont="1" applyFill="1" applyBorder="1" applyAlignment="1">
      <alignment vertical="center"/>
    </xf>
    <xf numFmtId="0" fontId="6" fillId="0" borderId="0" xfId="0" applyFont="1" applyFill="1" applyBorder="1" applyAlignment="1">
      <alignment horizontal="center" vertical="center" wrapText="1"/>
    </xf>
    <xf numFmtId="0" fontId="14" fillId="5" borderId="0" xfId="0" applyFont="1" applyFill="1" applyBorder="1" applyAlignment="1">
      <alignment horizontal="center" vertical="center" wrapText="1"/>
    </xf>
    <xf numFmtId="191" fontId="18" fillId="5" borderId="0" xfId="2" applyFont="1" applyFill="1" applyBorder="1" applyAlignment="1">
      <alignment vertical="center"/>
    </xf>
    <xf numFmtId="191" fontId="83" fillId="5" borderId="0" xfId="2" applyFont="1" applyFill="1" applyBorder="1" applyAlignment="1">
      <alignment vertical="center"/>
    </xf>
    <xf numFmtId="191" fontId="25" fillId="5" borderId="0" xfId="2" applyFont="1" applyFill="1" applyBorder="1" applyAlignment="1">
      <alignment vertical="center"/>
    </xf>
    <xf numFmtId="176" fontId="65" fillId="5" borderId="0" xfId="4" applyFill="1" applyBorder="1" applyAlignment="1">
      <alignment vertical="center"/>
    </xf>
    <xf numFmtId="176" fontId="65" fillId="5" borderId="0" xfId="4" applyFont="1" applyFill="1" applyBorder="1" applyAlignment="1">
      <alignment vertical="center"/>
    </xf>
    <xf numFmtId="0" fontId="14" fillId="6" borderId="0" xfId="0" applyFont="1" applyFill="1" applyBorder="1" applyAlignment="1">
      <alignment horizontal="center" vertical="center" wrapText="1"/>
    </xf>
    <xf numFmtId="191" fontId="18" fillId="6" borderId="0" xfId="2" applyFont="1" applyFill="1" applyBorder="1" applyAlignment="1">
      <alignment vertical="center"/>
    </xf>
    <xf numFmtId="191" fontId="83" fillId="6" borderId="0" xfId="2" applyFont="1" applyFill="1" applyBorder="1" applyAlignment="1">
      <alignment vertical="center"/>
    </xf>
    <xf numFmtId="191" fontId="25" fillId="6" borderId="0" xfId="2" applyFont="1" applyFill="1" applyBorder="1" applyAlignment="1">
      <alignment vertical="center"/>
    </xf>
    <xf numFmtId="176" fontId="65" fillId="6" borderId="0" xfId="4" applyFill="1" applyBorder="1" applyAlignment="1">
      <alignment vertical="center"/>
    </xf>
    <xf numFmtId="176" fontId="65" fillId="6" borderId="0" xfId="4" applyFont="1" applyFill="1" applyBorder="1" applyAlignment="1">
      <alignment vertical="center"/>
    </xf>
    <xf numFmtId="0" fontId="14" fillId="7" borderId="0" xfId="0" applyFont="1" applyFill="1" applyBorder="1" applyAlignment="1">
      <alignment horizontal="center" vertical="center" wrapText="1"/>
    </xf>
    <xf numFmtId="191" fontId="18" fillId="7" borderId="0" xfId="2" applyFont="1" applyFill="1" applyBorder="1" applyAlignment="1">
      <alignment vertical="center"/>
    </xf>
    <xf numFmtId="191" fontId="83" fillId="7" borderId="0" xfId="2" applyFont="1" applyFill="1" applyBorder="1" applyAlignment="1">
      <alignment vertical="center"/>
    </xf>
    <xf numFmtId="191" fontId="25" fillId="7" borderId="0" xfId="2" applyFont="1" applyFill="1" applyBorder="1" applyAlignment="1">
      <alignment vertical="center"/>
    </xf>
    <xf numFmtId="176" fontId="65" fillId="7" borderId="0" xfId="4" applyFill="1" applyBorder="1" applyAlignment="1">
      <alignment vertical="center"/>
    </xf>
    <xf numFmtId="176" fontId="65" fillId="7" borderId="0" xfId="4" applyFont="1" applyFill="1" applyBorder="1" applyAlignment="1">
      <alignment vertical="center"/>
    </xf>
    <xf numFmtId="0" fontId="14" fillId="8" borderId="0" xfId="0" applyFont="1" applyFill="1" applyBorder="1" applyAlignment="1">
      <alignment horizontal="center" vertical="center" wrapText="1"/>
    </xf>
    <xf numFmtId="191" fontId="18" fillId="8" borderId="0" xfId="2" applyFont="1" applyFill="1" applyBorder="1" applyAlignment="1">
      <alignment vertical="center"/>
    </xf>
    <xf numFmtId="191" fontId="83" fillId="8" borderId="0" xfId="2" applyFont="1" applyFill="1" applyBorder="1" applyAlignment="1">
      <alignment vertical="center"/>
    </xf>
    <xf numFmtId="191" fontId="25" fillId="8" borderId="0" xfId="2" applyFont="1" applyFill="1" applyBorder="1" applyAlignment="1">
      <alignment vertical="center"/>
    </xf>
    <xf numFmtId="176" fontId="65" fillId="8" borderId="0" xfId="4" applyFill="1" applyBorder="1" applyAlignment="1">
      <alignment vertical="center"/>
    </xf>
    <xf numFmtId="176" fontId="65" fillId="8" borderId="0" xfId="4" applyFont="1" applyFill="1" applyBorder="1" applyAlignment="1">
      <alignment vertical="center"/>
    </xf>
    <xf numFmtId="0" fontId="14" fillId="2" borderId="0" xfId="0" applyFont="1" applyFill="1" applyBorder="1" applyAlignment="1">
      <alignment horizontal="center" vertical="center" wrapText="1"/>
    </xf>
    <xf numFmtId="191" fontId="18" fillId="2" borderId="0" xfId="2" applyFont="1" applyFill="1" applyBorder="1" applyAlignment="1">
      <alignment vertical="center"/>
    </xf>
    <xf numFmtId="176" fontId="65" fillId="2" borderId="0" xfId="4" applyFill="1" applyBorder="1" applyAlignment="1">
      <alignment vertical="center"/>
    </xf>
    <xf numFmtId="176" fontId="65" fillId="2" borderId="0" xfId="4" applyFont="1" applyFill="1" applyBorder="1" applyAlignment="1">
      <alignment vertical="center"/>
    </xf>
    <xf numFmtId="176" fontId="25" fillId="8" borderId="0" xfId="2" applyNumberFormat="1" applyFont="1" applyFill="1" applyBorder="1" applyAlignment="1">
      <alignment vertical="center"/>
    </xf>
    <xf numFmtId="191" fontId="19" fillId="6" borderId="0" xfId="2" applyFont="1" applyFill="1" applyBorder="1" applyAlignment="1">
      <alignment horizontal="center" vertical="center" wrapText="1"/>
    </xf>
    <xf numFmtId="191" fontId="26" fillId="6" borderId="0" xfId="2" applyFont="1" applyFill="1" applyBorder="1" applyAlignment="1">
      <alignment horizontal="center" vertical="center" wrapText="1"/>
    </xf>
    <xf numFmtId="191" fontId="25" fillId="6" borderId="0" xfId="2" applyFont="1" applyFill="1" applyBorder="1" applyAlignment="1">
      <alignment horizontal="center" vertical="center" wrapText="1"/>
    </xf>
    <xf numFmtId="176" fontId="65" fillId="6" borderId="0" xfId="4" applyFill="1" applyBorder="1" applyAlignment="1">
      <alignment horizontal="center" vertical="center" wrapText="1"/>
    </xf>
    <xf numFmtId="176" fontId="65" fillId="6" borderId="0" xfId="4" applyFont="1" applyFill="1" applyBorder="1" applyAlignment="1">
      <alignment horizontal="center" vertical="center" wrapText="1"/>
    </xf>
    <xf numFmtId="0" fontId="84" fillId="9" borderId="0" xfId="0" applyFont="1" applyFill="1" applyBorder="1" applyAlignment="1">
      <alignment horizontal="center" vertical="center" wrapText="1"/>
    </xf>
    <xf numFmtId="0" fontId="14" fillId="9" borderId="0" xfId="0" applyFont="1" applyFill="1" applyBorder="1" applyAlignment="1">
      <alignment horizontal="center" vertical="center" wrapText="1"/>
    </xf>
    <xf numFmtId="191" fontId="18" fillId="9" borderId="0" xfId="2" applyFont="1" applyFill="1" applyBorder="1" applyAlignment="1">
      <alignment vertical="center"/>
    </xf>
    <xf numFmtId="191" fontId="83" fillId="9" borderId="0" xfId="2" applyFont="1" applyFill="1" applyBorder="1" applyAlignment="1">
      <alignment vertical="center"/>
    </xf>
    <xf numFmtId="191" fontId="25" fillId="9" borderId="0" xfId="2" applyFont="1" applyFill="1" applyBorder="1" applyAlignment="1">
      <alignment vertical="center"/>
    </xf>
    <xf numFmtId="176" fontId="65" fillId="9" borderId="0" xfId="4" applyFill="1" applyBorder="1" applyAlignment="1">
      <alignment vertical="center"/>
    </xf>
    <xf numFmtId="176" fontId="65" fillId="9" borderId="0" xfId="4" applyFont="1" applyFill="1" applyBorder="1" applyAlignment="1">
      <alignment vertical="center"/>
    </xf>
    <xf numFmtId="176" fontId="25" fillId="7" borderId="0" xfId="2" applyNumberFormat="1" applyFont="1" applyFill="1" applyBorder="1" applyAlignment="1">
      <alignment vertical="center"/>
    </xf>
    <xf numFmtId="0" fontId="14" fillId="10" borderId="0" xfId="0" applyFont="1" applyFill="1" applyBorder="1" applyAlignment="1">
      <alignment horizontal="center" vertical="center" wrapText="1"/>
    </xf>
    <xf numFmtId="191" fontId="18" fillId="10" borderId="0" xfId="2" applyFont="1" applyFill="1" applyBorder="1" applyAlignment="1">
      <alignment vertical="center"/>
    </xf>
    <xf numFmtId="191" fontId="83" fillId="10" borderId="0" xfId="2" applyFont="1" applyFill="1" applyBorder="1" applyAlignment="1">
      <alignment vertical="center"/>
    </xf>
    <xf numFmtId="191" fontId="25" fillId="10" borderId="0" xfId="2" applyFont="1" applyFill="1" applyBorder="1" applyAlignment="1">
      <alignment vertical="center"/>
    </xf>
    <xf numFmtId="176" fontId="65" fillId="10" borderId="0" xfId="4" applyFill="1" applyBorder="1" applyAlignment="1">
      <alignment vertical="center"/>
    </xf>
    <xf numFmtId="176" fontId="65" fillId="10" borderId="0" xfId="4" applyFont="1" applyFill="1" applyBorder="1" applyAlignment="1">
      <alignment vertical="center"/>
    </xf>
    <xf numFmtId="0" fontId="84" fillId="10" borderId="0" xfId="0" applyFont="1" applyFill="1" applyBorder="1" applyAlignment="1">
      <alignment horizontal="center" vertical="center" wrapText="1"/>
    </xf>
    <xf numFmtId="0" fontId="14" fillId="11" borderId="0" xfId="0" applyFont="1" applyFill="1" applyBorder="1" applyAlignment="1">
      <alignment horizontal="center" vertical="center" wrapText="1"/>
    </xf>
    <xf numFmtId="191" fontId="18" fillId="11" borderId="0" xfId="2" applyFont="1" applyFill="1" applyBorder="1" applyAlignment="1">
      <alignment vertical="center"/>
    </xf>
    <xf numFmtId="191" fontId="83" fillId="11" borderId="0" xfId="2" applyFont="1" applyFill="1" applyBorder="1" applyAlignment="1">
      <alignment vertical="center"/>
    </xf>
    <xf numFmtId="191" fontId="25" fillId="11" borderId="0" xfId="2" applyFont="1" applyFill="1" applyBorder="1" applyAlignment="1">
      <alignment vertical="center"/>
    </xf>
    <xf numFmtId="176" fontId="65" fillId="11" borderId="0" xfId="4" applyFill="1" applyBorder="1" applyAlignment="1">
      <alignment vertical="center"/>
    </xf>
    <xf numFmtId="176" fontId="65" fillId="11" borderId="0" xfId="4" applyFont="1" applyFill="1" applyBorder="1" applyAlignment="1">
      <alignment vertical="center"/>
    </xf>
    <xf numFmtId="176" fontId="25" fillId="11" borderId="0" xfId="2" applyNumberFormat="1" applyFont="1" applyFill="1" applyBorder="1" applyAlignment="1">
      <alignment vertical="center"/>
    </xf>
    <xf numFmtId="0" fontId="84" fillId="12" borderId="0" xfId="0" applyFont="1" applyFill="1" applyBorder="1" applyAlignment="1">
      <alignment horizontal="center" vertical="center" wrapText="1"/>
    </xf>
    <xf numFmtId="0" fontId="14" fillId="12" borderId="0" xfId="0" applyFont="1" applyFill="1" applyBorder="1" applyAlignment="1">
      <alignment horizontal="center" vertical="center" wrapText="1"/>
    </xf>
    <xf numFmtId="191" fontId="18" fillId="12" borderId="0" xfId="2" applyFont="1" applyFill="1" applyBorder="1" applyAlignment="1">
      <alignment vertical="center"/>
    </xf>
    <xf numFmtId="191" fontId="83" fillId="12" borderId="0" xfId="2" applyFont="1" applyFill="1" applyBorder="1" applyAlignment="1">
      <alignment vertical="center"/>
    </xf>
    <xf numFmtId="191" fontId="25" fillId="12" borderId="0" xfId="2" applyFont="1" applyFill="1" applyBorder="1" applyAlignment="1">
      <alignment vertical="center"/>
    </xf>
    <xf numFmtId="176" fontId="65" fillId="12" borderId="0" xfId="4" applyFill="1" applyBorder="1" applyAlignment="1">
      <alignment vertical="center"/>
    </xf>
    <xf numFmtId="176" fontId="65" fillId="12" borderId="0" xfId="4" applyFont="1" applyFill="1" applyBorder="1" applyAlignment="1">
      <alignment vertical="center"/>
    </xf>
    <xf numFmtId="176" fontId="25" fillId="12" borderId="0" xfId="2" applyNumberFormat="1" applyFont="1" applyFill="1" applyBorder="1" applyAlignment="1">
      <alignment vertical="center"/>
    </xf>
    <xf numFmtId="0" fontId="14" fillId="13" borderId="0" xfId="0" applyFont="1" applyFill="1" applyBorder="1" applyAlignment="1">
      <alignment horizontal="center" vertical="center" wrapText="1"/>
    </xf>
    <xf numFmtId="191" fontId="18" fillId="13" borderId="0" xfId="2" applyFont="1" applyFill="1" applyBorder="1" applyAlignment="1">
      <alignment vertical="center"/>
    </xf>
    <xf numFmtId="191" fontId="83" fillId="13" borderId="0" xfId="2" applyFont="1" applyFill="1" applyBorder="1" applyAlignment="1">
      <alignment vertical="center"/>
    </xf>
    <xf numFmtId="191" fontId="25" fillId="13" borderId="0" xfId="2" applyFont="1" applyFill="1" applyBorder="1" applyAlignment="1">
      <alignment vertical="center"/>
    </xf>
    <xf numFmtId="176" fontId="65" fillId="13" borderId="0" xfId="4" applyFill="1" applyBorder="1" applyAlignment="1">
      <alignment vertical="center"/>
    </xf>
    <xf numFmtId="176" fontId="65" fillId="13" borderId="0" xfId="4" applyFont="1" applyFill="1" applyBorder="1" applyAlignment="1">
      <alignment vertical="center"/>
    </xf>
    <xf numFmtId="0" fontId="84" fillId="14" borderId="0" xfId="0" applyFont="1" applyFill="1" applyBorder="1" applyAlignment="1">
      <alignment horizontal="center" vertical="center" wrapText="1"/>
    </xf>
    <xf numFmtId="0" fontId="14" fillId="14" borderId="0" xfId="0" applyFont="1" applyFill="1" applyBorder="1" applyAlignment="1">
      <alignment horizontal="center" vertical="center" wrapText="1"/>
    </xf>
    <xf numFmtId="191" fontId="18" fillId="14" borderId="0" xfId="2" applyFont="1" applyFill="1" applyBorder="1" applyAlignment="1">
      <alignment vertical="center"/>
    </xf>
    <xf numFmtId="191" fontId="83" fillId="14" borderId="0" xfId="2" applyFont="1" applyFill="1" applyBorder="1" applyAlignment="1">
      <alignment vertical="center"/>
    </xf>
    <xf numFmtId="191" fontId="25" fillId="14" borderId="0" xfId="2" applyFont="1" applyFill="1" applyBorder="1" applyAlignment="1">
      <alignment vertical="center"/>
    </xf>
    <xf numFmtId="176" fontId="65" fillId="14" borderId="0" xfId="4" applyFill="1" applyBorder="1" applyAlignment="1">
      <alignment vertical="center"/>
    </xf>
    <xf numFmtId="176" fontId="65" fillId="14" borderId="0" xfId="4" applyFont="1" applyFill="1" applyBorder="1" applyAlignment="1">
      <alignment vertical="center"/>
    </xf>
    <xf numFmtId="0" fontId="10" fillId="0" borderId="11" xfId="0" applyFont="1" applyFill="1" applyBorder="1" applyAlignment="1">
      <alignment vertical="center"/>
    </xf>
    <xf numFmtId="0" fontId="10" fillId="0" borderId="11" xfId="0" applyFont="1" applyFill="1" applyBorder="1" applyAlignment="1">
      <alignment horizontal="left" vertical="center"/>
    </xf>
    <xf numFmtId="0" fontId="10" fillId="0" borderId="11" xfId="0" applyFont="1" applyFill="1" applyBorder="1" applyAlignment="1">
      <alignment horizontal="center" vertical="center"/>
    </xf>
    <xf numFmtId="191" fontId="83" fillId="5" borderId="11" xfId="2" applyFont="1" applyFill="1" applyBorder="1" applyAlignment="1">
      <alignment vertical="center"/>
    </xf>
    <xf numFmtId="191" fontId="83" fillId="6" borderId="11" xfId="2" applyFont="1" applyFill="1" applyBorder="1" applyAlignment="1">
      <alignment vertical="center"/>
    </xf>
    <xf numFmtId="191" fontId="83" fillId="9" borderId="11" xfId="2" applyFont="1" applyFill="1" applyBorder="1" applyAlignment="1">
      <alignment vertical="center"/>
    </xf>
    <xf numFmtId="191" fontId="83" fillId="0" borderId="11" xfId="2" applyFont="1" applyFill="1" applyBorder="1" applyAlignment="1">
      <alignment vertical="center"/>
    </xf>
    <xf numFmtId="191" fontId="83" fillId="2" borderId="11" xfId="2" applyFont="1" applyFill="1" applyBorder="1" applyAlignment="1">
      <alignment vertical="center"/>
    </xf>
    <xf numFmtId="191" fontId="83" fillId="10" borderId="11" xfId="2" applyFont="1" applyFill="1" applyBorder="1" applyAlignment="1">
      <alignment vertical="center"/>
    </xf>
    <xf numFmtId="191" fontId="83" fillId="8" borderId="11" xfId="2" applyFont="1" applyFill="1" applyBorder="1" applyAlignment="1">
      <alignment vertical="center"/>
    </xf>
    <xf numFmtId="191" fontId="83" fillId="11" borderId="11" xfId="2" applyFont="1" applyFill="1" applyBorder="1" applyAlignment="1">
      <alignment vertical="center"/>
    </xf>
    <xf numFmtId="191" fontId="83" fillId="12" borderId="11" xfId="2" applyFont="1" applyFill="1" applyBorder="1" applyAlignment="1">
      <alignment vertical="center"/>
    </xf>
    <xf numFmtId="191" fontId="83" fillId="7" borderId="11" xfId="2" applyFont="1" applyFill="1" applyBorder="1" applyAlignment="1">
      <alignment vertical="center"/>
    </xf>
    <xf numFmtId="191" fontId="83" fillId="13" borderId="11" xfId="2" applyFont="1" applyFill="1" applyBorder="1" applyAlignment="1">
      <alignment vertical="center"/>
    </xf>
    <xf numFmtId="191" fontId="83" fillId="14" borderId="11" xfId="2" applyFont="1" applyFill="1" applyBorder="1" applyAlignment="1">
      <alignment vertical="center"/>
    </xf>
    <xf numFmtId="0" fontId="8" fillId="0" borderId="13" xfId="0" applyFont="1" applyFill="1" applyBorder="1" applyAlignment="1">
      <alignment horizontal="center" vertical="center"/>
    </xf>
    <xf numFmtId="0" fontId="10" fillId="0" borderId="13" xfId="0" applyFont="1" applyFill="1" applyBorder="1" applyAlignment="1">
      <alignment vertical="center"/>
    </xf>
    <xf numFmtId="0" fontId="8" fillId="0" borderId="13" xfId="0" applyFont="1" applyFill="1" applyBorder="1" applyAlignment="1">
      <alignment vertical="center"/>
    </xf>
    <xf numFmtId="0" fontId="8" fillId="0" borderId="13" xfId="0" applyFont="1" applyFill="1" applyBorder="1" applyAlignment="1">
      <alignment horizontal="left" vertical="center"/>
    </xf>
    <xf numFmtId="191" fontId="83" fillId="5" borderId="13" xfId="2" applyFont="1" applyFill="1" applyBorder="1" applyAlignment="1">
      <alignment vertical="center"/>
    </xf>
    <xf numFmtId="191" fontId="83" fillId="6" borderId="13" xfId="2" applyFont="1" applyFill="1" applyBorder="1" applyAlignment="1">
      <alignment vertical="center"/>
    </xf>
    <xf numFmtId="191" fontId="83" fillId="9" borderId="13" xfId="2" applyFont="1" applyFill="1" applyBorder="1" applyAlignment="1">
      <alignment vertical="center"/>
    </xf>
    <xf numFmtId="191" fontId="83" fillId="0" borderId="13" xfId="2" applyFont="1" applyFill="1" applyBorder="1" applyAlignment="1">
      <alignment vertical="center"/>
    </xf>
    <xf numFmtId="191" fontId="83" fillId="2" borderId="13" xfId="2" applyFont="1" applyFill="1" applyBorder="1" applyAlignment="1">
      <alignment vertical="center"/>
    </xf>
    <xf numFmtId="191" fontId="83" fillId="10" borderId="13" xfId="2" applyFont="1" applyFill="1" applyBorder="1" applyAlignment="1">
      <alignment vertical="center"/>
    </xf>
    <xf numFmtId="191" fontId="83" fillId="8" borderId="13" xfId="2" applyFont="1" applyFill="1" applyBorder="1" applyAlignment="1">
      <alignment vertical="center"/>
    </xf>
    <xf numFmtId="191" fontId="83" fillId="11" borderId="13" xfId="2" applyFont="1" applyFill="1" applyBorder="1" applyAlignment="1">
      <alignment vertical="center"/>
    </xf>
    <xf numFmtId="191" fontId="83" fillId="12" borderId="13" xfId="2" applyFont="1" applyFill="1" applyBorder="1" applyAlignment="1">
      <alignment vertical="center"/>
    </xf>
    <xf numFmtId="191" fontId="83" fillId="7" borderId="13" xfId="2" applyFont="1" applyFill="1" applyBorder="1" applyAlignment="1">
      <alignment vertical="center"/>
    </xf>
    <xf numFmtId="191" fontId="83" fillId="13" borderId="13" xfId="2" applyFont="1" applyFill="1" applyBorder="1" applyAlignment="1">
      <alignment vertical="center"/>
    </xf>
    <xf numFmtId="191" fontId="83" fillId="14" borderId="13" xfId="2" applyFont="1" applyFill="1" applyBorder="1" applyAlignment="1">
      <alignmen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16" fillId="0" borderId="14" xfId="0" applyFont="1" applyFill="1" applyBorder="1" applyAlignment="1">
      <alignment horizontal="center" vertical="center"/>
    </xf>
    <xf numFmtId="0" fontId="16" fillId="0" borderId="14" xfId="0" applyFont="1" applyFill="1" applyBorder="1" applyAlignment="1">
      <alignment vertical="center"/>
    </xf>
    <xf numFmtId="0" fontId="6" fillId="0" borderId="14" xfId="0" applyFont="1" applyFill="1" applyBorder="1" applyAlignment="1">
      <alignment vertical="center"/>
    </xf>
    <xf numFmtId="0" fontId="12" fillId="0" borderId="14" xfId="0" applyFont="1" applyFill="1" applyBorder="1" applyAlignment="1">
      <alignment horizontal="center" vertical="center"/>
    </xf>
    <xf numFmtId="0" fontId="12" fillId="0" borderId="14" xfId="0" applyFont="1" applyFill="1" applyBorder="1" applyAlignment="1">
      <alignment horizontal="left" vertical="center"/>
    </xf>
    <xf numFmtId="191" fontId="74" fillId="5" borderId="14" xfId="2" applyFont="1" applyFill="1" applyBorder="1" applyAlignment="1">
      <alignment vertical="center"/>
    </xf>
    <xf numFmtId="191" fontId="74" fillId="6" borderId="14" xfId="2" applyFont="1" applyFill="1" applyBorder="1" applyAlignment="1">
      <alignment vertical="center"/>
    </xf>
    <xf numFmtId="191" fontId="74" fillId="6" borderId="14" xfId="2" applyFont="1" applyFill="1" applyBorder="1" applyAlignment="1">
      <alignment horizontal="center" vertical="center" wrapText="1"/>
    </xf>
    <xf numFmtId="191" fontId="74" fillId="9" borderId="14" xfId="2" applyFont="1" applyFill="1" applyBorder="1" applyAlignment="1">
      <alignment vertical="center"/>
    </xf>
    <xf numFmtId="191" fontId="74" fillId="0" borderId="14" xfId="2" applyFont="1" applyFill="1" applyBorder="1" applyAlignment="1">
      <alignment vertical="center"/>
    </xf>
    <xf numFmtId="191" fontId="74" fillId="2" borderId="14" xfId="2" applyFont="1" applyFill="1" applyBorder="1" applyAlignment="1">
      <alignment vertical="center"/>
    </xf>
    <xf numFmtId="191" fontId="74" fillId="10" borderId="14" xfId="2" applyFont="1" applyFill="1" applyBorder="1" applyAlignment="1">
      <alignment vertical="center"/>
    </xf>
    <xf numFmtId="191" fontId="74" fillId="8" borderId="14" xfId="2" applyFont="1" applyFill="1" applyBorder="1" applyAlignment="1">
      <alignment vertical="center"/>
    </xf>
    <xf numFmtId="191" fontId="74" fillId="11" borderId="14" xfId="2" applyFont="1" applyFill="1" applyBorder="1" applyAlignment="1">
      <alignment vertical="center"/>
    </xf>
    <xf numFmtId="191" fontId="74" fillId="12" borderId="14" xfId="2" applyFont="1" applyFill="1" applyBorder="1" applyAlignment="1">
      <alignment vertical="center"/>
    </xf>
    <xf numFmtId="191" fontId="74" fillId="7" borderId="14" xfId="2" applyFont="1" applyFill="1" applyBorder="1" applyAlignment="1">
      <alignment vertical="center"/>
    </xf>
    <xf numFmtId="191" fontId="74" fillId="13" borderId="14" xfId="2" applyFont="1" applyFill="1" applyBorder="1" applyAlignment="1">
      <alignment vertical="center"/>
    </xf>
    <xf numFmtId="191" fontId="74" fillId="14" borderId="14" xfId="2" applyFont="1" applyFill="1" applyBorder="1" applyAlignment="1">
      <alignment vertical="center"/>
    </xf>
    <xf numFmtId="0" fontId="0" fillId="0" borderId="15" xfId="0" applyFill="1" applyBorder="1" applyAlignment="1">
      <alignment vertical="center"/>
    </xf>
    <xf numFmtId="0" fontId="12" fillId="0" borderId="15" xfId="0" applyFont="1" applyFill="1" applyBorder="1" applyAlignment="1">
      <alignment horizontal="center" vertical="center"/>
    </xf>
    <xf numFmtId="0" fontId="12" fillId="0" borderId="15" xfId="0" applyFont="1" applyFill="1" applyBorder="1" applyAlignment="1">
      <alignment horizontal="left" vertical="center"/>
    </xf>
    <xf numFmtId="191" fontId="25" fillId="5" borderId="15" xfId="2" applyFont="1" applyFill="1" applyBorder="1" applyAlignment="1">
      <alignment vertical="center"/>
    </xf>
    <xf numFmtId="191" fontId="25" fillId="6" borderId="15" xfId="2" applyFont="1" applyFill="1" applyBorder="1" applyAlignment="1">
      <alignment vertical="center"/>
    </xf>
    <xf numFmtId="191" fontId="25" fillId="6" borderId="15" xfId="2" applyFont="1" applyFill="1" applyBorder="1" applyAlignment="1">
      <alignment horizontal="center" vertical="center" wrapText="1"/>
    </xf>
    <xf numFmtId="191" fontId="25" fillId="9" borderId="15" xfId="2" applyFont="1" applyFill="1" applyBorder="1" applyAlignment="1">
      <alignment vertical="center"/>
    </xf>
    <xf numFmtId="191" fontId="25" fillId="0" borderId="15" xfId="2" applyFont="1" applyFill="1" applyBorder="1" applyAlignment="1">
      <alignment vertical="center"/>
    </xf>
    <xf numFmtId="191" fontId="25" fillId="2" borderId="15" xfId="2" applyFont="1" applyFill="1" applyBorder="1" applyAlignment="1">
      <alignment vertical="center"/>
    </xf>
    <xf numFmtId="191" fontId="25" fillId="10" borderId="15" xfId="2" applyFont="1" applyFill="1" applyBorder="1" applyAlignment="1">
      <alignment vertical="center"/>
    </xf>
    <xf numFmtId="191" fontId="25" fillId="8" borderId="15" xfId="2" applyFont="1" applyFill="1" applyBorder="1" applyAlignment="1">
      <alignment vertical="center"/>
    </xf>
    <xf numFmtId="191" fontId="25" fillId="11" borderId="15" xfId="2" applyFont="1" applyFill="1" applyBorder="1" applyAlignment="1">
      <alignment vertical="center"/>
    </xf>
    <xf numFmtId="191" fontId="25" fillId="12" borderId="15" xfId="2" applyFont="1" applyFill="1" applyBorder="1" applyAlignment="1">
      <alignment vertical="center"/>
    </xf>
    <xf numFmtId="191" fontId="25" fillId="7" borderId="15" xfId="2" applyFont="1" applyFill="1" applyBorder="1" applyAlignment="1">
      <alignment vertical="center"/>
    </xf>
    <xf numFmtId="191" fontId="25" fillId="13" borderId="15" xfId="2" applyFont="1" applyFill="1" applyBorder="1" applyAlignment="1">
      <alignment vertical="center"/>
    </xf>
    <xf numFmtId="191" fontId="25" fillId="14" borderId="15" xfId="2" applyFont="1" applyFill="1" applyBorder="1" applyAlignment="1">
      <alignment vertical="center"/>
    </xf>
    <xf numFmtId="0" fontId="6" fillId="0" borderId="15" xfId="0" applyFont="1" applyFill="1" applyBorder="1" applyAlignment="1">
      <alignment vertical="center"/>
    </xf>
    <xf numFmtId="0" fontId="0" fillId="0" borderId="15" xfId="0" applyFont="1" applyFill="1" applyBorder="1" applyAlignment="1">
      <alignment vertical="center"/>
    </xf>
    <xf numFmtId="176" fontId="25" fillId="7" borderId="15" xfId="2" applyNumberFormat="1" applyFont="1" applyFill="1" applyBorder="1" applyAlignment="1">
      <alignment vertical="center"/>
    </xf>
    <xf numFmtId="0" fontId="6" fillId="0" borderId="15" xfId="0" applyFont="1" applyFill="1" applyBorder="1" applyAlignment="1">
      <alignment horizontal="center" vertical="center"/>
    </xf>
    <xf numFmtId="185" fontId="0" fillId="0" borderId="0" xfId="0" applyNumberFormat="1"/>
    <xf numFmtId="0" fontId="9" fillId="0" borderId="0" xfId="0" applyFont="1" applyFill="1" applyBorder="1" applyAlignment="1">
      <alignment horizontal="center" vertical="center"/>
    </xf>
    <xf numFmtId="0" fontId="0" fillId="0" borderId="0" xfId="0" applyBorder="1" applyAlignment="1">
      <alignment horizontal="right" vertical="center"/>
    </xf>
    <xf numFmtId="3" fontId="0" fillId="0" borderId="1" xfId="0" applyNumberFormat="1" applyBorder="1" applyAlignment="1">
      <alignment vertical="center"/>
    </xf>
    <xf numFmtId="0" fontId="16" fillId="0" borderId="16" xfId="0" applyFont="1" applyBorder="1" applyAlignment="1">
      <alignment horizontal="left" vertical="center"/>
    </xf>
    <xf numFmtId="191" fontId="16" fillId="0" borderId="0" xfId="2" applyFont="1" applyBorder="1" applyAlignment="1">
      <alignment vertical="center"/>
    </xf>
    <xf numFmtId="188" fontId="0" fillId="0" borderId="0" xfId="2" applyNumberFormat="1" applyFont="1"/>
    <xf numFmtId="189" fontId="0" fillId="0" borderId="0" xfId="2" applyNumberFormat="1" applyFont="1"/>
    <xf numFmtId="191" fontId="85" fillId="10" borderId="0" xfId="2" applyFont="1" applyFill="1" applyBorder="1" applyAlignment="1">
      <alignment vertical="center"/>
    </xf>
    <xf numFmtId="191" fontId="85" fillId="11" borderId="0" xfId="2" applyFont="1" applyFill="1" applyBorder="1" applyAlignment="1">
      <alignment vertical="center"/>
    </xf>
    <xf numFmtId="191" fontId="85" fillId="12" borderId="0" xfId="2" applyFont="1" applyFill="1" applyBorder="1" applyAlignment="1">
      <alignment vertical="center"/>
    </xf>
    <xf numFmtId="191" fontId="85" fillId="14" borderId="0" xfId="2" applyFont="1" applyFill="1" applyBorder="1" applyAlignment="1">
      <alignment vertical="center"/>
    </xf>
    <xf numFmtId="191" fontId="85" fillId="2" borderId="0" xfId="2" applyFont="1" applyFill="1" applyBorder="1" applyAlignment="1">
      <alignment vertical="center"/>
    </xf>
    <xf numFmtId="191" fontId="85" fillId="7" borderId="0" xfId="2" applyFont="1" applyFill="1" applyBorder="1" applyAlignment="1">
      <alignment vertical="center"/>
    </xf>
    <xf numFmtId="191" fontId="85" fillId="13" borderId="0" xfId="2" applyFont="1" applyFill="1" applyBorder="1" applyAlignment="1">
      <alignment vertical="center"/>
    </xf>
    <xf numFmtId="0" fontId="16" fillId="0" borderId="2" xfId="0" applyFont="1" applyBorder="1" applyAlignment="1">
      <alignment horizontal="center" vertical="center"/>
    </xf>
    <xf numFmtId="0" fontId="14" fillId="15" borderId="0" xfId="0" applyFont="1" applyFill="1" applyBorder="1" applyAlignment="1">
      <alignment horizontal="center" vertical="center" wrapText="1"/>
    </xf>
    <xf numFmtId="0" fontId="0" fillId="15" borderId="0" xfId="0" applyFill="1"/>
    <xf numFmtId="185" fontId="25" fillId="15" borderId="0" xfId="2" applyNumberFormat="1" applyFont="1" applyFill="1" applyBorder="1" applyAlignment="1">
      <alignment vertical="center"/>
    </xf>
    <xf numFmtId="185" fontId="25" fillId="15" borderId="0" xfId="2" applyNumberFormat="1" applyFont="1" applyFill="1" applyBorder="1" applyAlignment="1">
      <alignment horizontal="right" vertical="center"/>
    </xf>
    <xf numFmtId="0" fontId="84" fillId="16" borderId="0" xfId="0" applyFont="1" applyFill="1" applyBorder="1" applyAlignment="1">
      <alignment horizontal="center" vertical="center" wrapText="1"/>
    </xf>
    <xf numFmtId="0" fontId="0" fillId="16" borderId="0" xfId="0" applyFill="1"/>
    <xf numFmtId="185" fontId="74" fillId="16" borderId="0" xfId="2" applyNumberFormat="1" applyFont="1" applyFill="1" applyBorder="1" applyAlignment="1">
      <alignment vertical="center"/>
    </xf>
    <xf numFmtId="0" fontId="84" fillId="17" borderId="0" xfId="0" applyFont="1" applyFill="1" applyBorder="1" applyAlignment="1">
      <alignment horizontal="center" vertical="center" wrapText="1"/>
    </xf>
    <xf numFmtId="0" fontId="14" fillId="17" borderId="0" xfId="0" applyFont="1" applyFill="1" applyBorder="1" applyAlignment="1">
      <alignment horizontal="center" vertical="center" wrapText="1"/>
    </xf>
    <xf numFmtId="0" fontId="0" fillId="17" borderId="0" xfId="0" applyFill="1"/>
    <xf numFmtId="185" fontId="74" fillId="17" borderId="0" xfId="2" applyNumberFormat="1" applyFont="1" applyFill="1" applyBorder="1" applyAlignment="1">
      <alignment vertical="center"/>
    </xf>
    <xf numFmtId="0" fontId="0" fillId="16" borderId="0" xfId="0" applyFill="1" applyBorder="1"/>
    <xf numFmtId="0" fontId="0" fillId="15" borderId="17" xfId="0" applyFill="1" applyBorder="1"/>
    <xf numFmtId="0" fontId="0" fillId="17" borderId="17" xfId="0" applyFill="1" applyBorder="1"/>
    <xf numFmtId="0" fontId="0" fillId="16" borderId="17" xfId="0" applyFill="1" applyBorder="1"/>
    <xf numFmtId="185" fontId="74" fillId="17" borderId="18" xfId="2" applyNumberFormat="1" applyFont="1" applyFill="1" applyBorder="1" applyAlignment="1">
      <alignment vertical="center"/>
    </xf>
    <xf numFmtId="185" fontId="74" fillId="16" borderId="18" xfId="2" applyNumberFormat="1" applyFont="1" applyFill="1" applyBorder="1" applyAlignment="1">
      <alignment vertical="center"/>
    </xf>
    <xf numFmtId="185" fontId="74" fillId="17" borderId="14" xfId="2" applyNumberFormat="1" applyFont="1" applyFill="1" applyBorder="1" applyAlignment="1">
      <alignment vertical="center"/>
    </xf>
    <xf numFmtId="185" fontId="74" fillId="16" borderId="14" xfId="2" applyNumberFormat="1" applyFont="1" applyFill="1" applyBorder="1" applyAlignment="1">
      <alignment vertical="center"/>
    </xf>
    <xf numFmtId="0" fontId="65" fillId="0" borderId="0" xfId="4" applyNumberFormat="1"/>
    <xf numFmtId="185" fontId="65" fillId="15" borderId="0" xfId="4" applyNumberFormat="1" applyFill="1" applyBorder="1" applyAlignment="1">
      <alignment vertical="center"/>
    </xf>
    <xf numFmtId="185" fontId="65" fillId="17" borderId="0" xfId="4" applyNumberFormat="1" applyFill="1" applyBorder="1" applyAlignment="1">
      <alignment vertical="center"/>
    </xf>
    <xf numFmtId="185" fontId="65" fillId="15" borderId="0" xfId="4" applyNumberFormat="1" applyFill="1" applyBorder="1" applyAlignment="1">
      <alignment horizontal="right" vertical="center"/>
    </xf>
    <xf numFmtId="185" fontId="65" fillId="16" borderId="0" xfId="4" applyNumberFormat="1" applyFill="1" applyBorder="1" applyAlignment="1">
      <alignment vertical="center"/>
    </xf>
    <xf numFmtId="176" fontId="65" fillId="8" borderId="0" xfId="4" applyNumberFormat="1" applyFont="1" applyFill="1" applyBorder="1" applyAlignment="1">
      <alignment vertical="center"/>
    </xf>
    <xf numFmtId="176" fontId="65" fillId="11" borderId="0" xfId="4" applyNumberFormat="1" applyFont="1" applyFill="1" applyBorder="1" applyAlignment="1">
      <alignment vertical="center"/>
    </xf>
    <xf numFmtId="185" fontId="25" fillId="15" borderId="15" xfId="2" applyNumberFormat="1" applyFont="1" applyFill="1" applyBorder="1" applyAlignment="1">
      <alignment vertical="center"/>
    </xf>
    <xf numFmtId="185" fontId="74" fillId="17" borderId="15" xfId="2" applyNumberFormat="1" applyFont="1" applyFill="1" applyBorder="1" applyAlignment="1">
      <alignment vertical="center"/>
    </xf>
    <xf numFmtId="185" fontId="25" fillId="15" borderId="15" xfId="2" applyNumberFormat="1" applyFont="1" applyFill="1" applyBorder="1" applyAlignment="1">
      <alignment horizontal="right" vertical="center"/>
    </xf>
    <xf numFmtId="185" fontId="74" fillId="16" borderId="15" xfId="2" applyNumberFormat="1" applyFont="1" applyFill="1" applyBorder="1" applyAlignment="1">
      <alignment vertical="center"/>
    </xf>
    <xf numFmtId="185" fontId="74" fillId="15" borderId="14" xfId="2" applyNumberFormat="1" applyFont="1" applyFill="1" applyBorder="1" applyAlignment="1">
      <alignment vertical="center"/>
    </xf>
    <xf numFmtId="185" fontId="74" fillId="15" borderId="18" xfId="2" applyNumberFormat="1" applyFont="1" applyFill="1" applyBorder="1" applyAlignment="1">
      <alignment vertical="center"/>
    </xf>
    <xf numFmtId="185" fontId="74" fillId="15" borderId="18" xfId="2" applyNumberFormat="1" applyFont="1" applyFill="1" applyBorder="1" applyAlignment="1">
      <alignment horizontal="right" vertical="center"/>
    </xf>
    <xf numFmtId="185" fontId="25" fillId="17" borderId="0" xfId="2" applyNumberFormat="1" applyFont="1" applyFill="1" applyBorder="1" applyAlignment="1">
      <alignment vertical="center"/>
    </xf>
    <xf numFmtId="185" fontId="25" fillId="16" borderId="0" xfId="2" applyNumberFormat="1" applyFont="1" applyFill="1" applyBorder="1" applyAlignment="1">
      <alignment vertical="center"/>
    </xf>
    <xf numFmtId="0" fontId="16" fillId="0" borderId="0" xfId="0" applyFont="1"/>
    <xf numFmtId="185" fontId="25" fillId="17" borderId="15" xfId="2" applyNumberFormat="1" applyFont="1" applyFill="1" applyBorder="1" applyAlignment="1">
      <alignment vertical="center"/>
    </xf>
    <xf numFmtId="185" fontId="25" fillId="16" borderId="15" xfId="2" applyNumberFormat="1" applyFont="1" applyFill="1" applyBorder="1" applyAlignment="1">
      <alignment vertical="center"/>
    </xf>
    <xf numFmtId="0" fontId="65" fillId="0" borderId="0" xfId="4" applyNumberFormat="1" applyFont="1"/>
    <xf numFmtId="185" fontId="65" fillId="15" borderId="0" xfId="4" applyNumberFormat="1" applyFont="1" applyFill="1" applyBorder="1" applyAlignment="1">
      <alignment vertical="center"/>
    </xf>
    <xf numFmtId="185" fontId="65" fillId="17" borderId="0" xfId="4" applyNumberFormat="1" applyFont="1" applyFill="1" applyBorder="1" applyAlignment="1">
      <alignment vertical="center"/>
    </xf>
    <xf numFmtId="185" fontId="65" fillId="15" borderId="0" xfId="4" applyNumberFormat="1" applyFont="1" applyFill="1" applyBorder="1" applyAlignment="1">
      <alignment horizontal="right" vertical="center"/>
    </xf>
    <xf numFmtId="185" fontId="65" fillId="16" borderId="0" xfId="4" applyNumberFormat="1" applyFont="1" applyFill="1" applyBorder="1" applyAlignment="1">
      <alignment vertical="center"/>
    </xf>
    <xf numFmtId="176" fontId="65" fillId="7" borderId="0" xfId="4" applyNumberFormat="1" applyFont="1" applyFill="1" applyBorder="1" applyAlignment="1">
      <alignment vertical="center"/>
    </xf>
    <xf numFmtId="0" fontId="65" fillId="0" borderId="15" xfId="4" applyNumberFormat="1" applyFont="1" applyFill="1" applyBorder="1" applyAlignment="1">
      <alignment horizontal="center" vertical="center"/>
    </xf>
    <xf numFmtId="0" fontId="0" fillId="0" borderId="0" xfId="0" applyAlignment="1">
      <alignment vertical="top"/>
    </xf>
    <xf numFmtId="0" fontId="13" fillId="0" borderId="0" xfId="0" applyFont="1" applyAlignment="1">
      <alignment vertical="center"/>
    </xf>
    <xf numFmtId="0" fontId="0" fillId="0" borderId="0" xfId="0" applyAlignment="1">
      <alignment vertical="center"/>
    </xf>
    <xf numFmtId="0" fontId="16" fillId="0" borderId="0" xfId="0" applyFont="1" applyFill="1" applyBorder="1" applyAlignment="1">
      <alignment horizontal="right" vertical="center"/>
    </xf>
    <xf numFmtId="0" fontId="0" fillId="0" borderId="15" xfId="0" applyFill="1" applyBorder="1" applyAlignment="1">
      <alignment horizontal="right" vertical="center"/>
    </xf>
    <xf numFmtId="0" fontId="65" fillId="0" borderId="0" xfId="4" applyNumberFormat="1" applyFill="1" applyBorder="1" applyAlignment="1">
      <alignment horizontal="right" vertical="center"/>
    </xf>
    <xf numFmtId="0" fontId="0" fillId="0" borderId="0" xfId="0" applyFill="1" applyBorder="1" applyAlignment="1">
      <alignment horizontal="right" vertical="center"/>
    </xf>
    <xf numFmtId="0" fontId="6" fillId="0" borderId="0" xfId="0" applyFont="1" applyFill="1" applyBorder="1" applyAlignment="1">
      <alignment horizontal="right" vertical="center"/>
    </xf>
    <xf numFmtId="0" fontId="0" fillId="0" borderId="15" xfId="0" applyFont="1" applyFill="1" applyBorder="1" applyAlignment="1">
      <alignment horizontal="right" vertical="center"/>
    </xf>
    <xf numFmtId="0" fontId="65" fillId="0" borderId="0" xfId="4" applyNumberFormat="1" applyFont="1" applyFill="1" applyBorder="1" applyAlignment="1">
      <alignment horizontal="right" vertical="center"/>
    </xf>
    <xf numFmtId="0" fontId="0" fillId="0" borderId="0" xfId="0" applyFont="1" applyFill="1" applyBorder="1" applyAlignment="1">
      <alignment horizontal="right" vertical="center"/>
    </xf>
    <xf numFmtId="0" fontId="0" fillId="0" borderId="0" xfId="0" applyAlignment="1">
      <alignment horizontal="left" vertical="center"/>
    </xf>
    <xf numFmtId="0" fontId="8" fillId="0" borderId="0" xfId="0" applyFont="1" applyAlignment="1">
      <alignment vertical="center"/>
    </xf>
    <xf numFmtId="0" fontId="0" fillId="0" borderId="0" xfId="0" applyAlignment="1">
      <alignment wrapText="1"/>
    </xf>
    <xf numFmtId="0" fontId="86"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Border="1" applyAlignment="1">
      <alignment horizontal="center" vertical="center" wrapText="1"/>
    </xf>
    <xf numFmtId="0" fontId="0" fillId="0" borderId="0" xfId="0" applyBorder="1" applyAlignment="1">
      <alignment wrapText="1"/>
    </xf>
    <xf numFmtId="0" fontId="88" fillId="0" borderId="0" xfId="0" applyFont="1"/>
    <xf numFmtId="0" fontId="88" fillId="0" borderId="0" xfId="0" applyFont="1" applyAlignment="1">
      <alignment vertical="center"/>
    </xf>
    <xf numFmtId="0" fontId="89" fillId="3" borderId="3" xfId="3" applyFont="1" applyAlignment="1">
      <alignment horizontal="left" vertical="center" indent="1"/>
    </xf>
    <xf numFmtId="0" fontId="0" fillId="0" borderId="12" xfId="0" applyBorder="1"/>
    <xf numFmtId="0" fontId="23" fillId="0" borderId="12" xfId="0" applyFont="1" applyFill="1" applyBorder="1" applyAlignment="1">
      <alignment horizontal="left" vertical="center"/>
    </xf>
    <xf numFmtId="164" fontId="0" fillId="0" borderId="12" xfId="0" applyNumberFormat="1" applyBorder="1"/>
    <xf numFmtId="0" fontId="0" fillId="8" borderId="0" xfId="0" applyFill="1" applyBorder="1" applyAlignment="1">
      <alignment vertical="center"/>
    </xf>
    <xf numFmtId="0" fontId="13" fillId="6" borderId="19" xfId="0" applyFont="1" applyFill="1" applyBorder="1" applyAlignment="1">
      <alignment vertical="center"/>
    </xf>
    <xf numFmtId="0" fontId="91" fillId="0" borderId="0" xfId="0" applyFont="1"/>
    <xf numFmtId="0" fontId="91" fillId="0" borderId="0" xfId="0" applyFont="1" applyAlignment="1">
      <alignment vertical="center"/>
    </xf>
    <xf numFmtId="0" fontId="0" fillId="6" borderId="20" xfId="0" applyNumberFormat="1" applyFill="1" applyBorder="1" applyAlignment="1">
      <alignment vertical="center"/>
    </xf>
    <xf numFmtId="0" fontId="0" fillId="6" borderId="20" xfId="0" applyFill="1" applyBorder="1" applyAlignment="1">
      <alignment vertical="center"/>
    </xf>
    <xf numFmtId="0" fontId="13" fillId="6" borderId="19" xfId="0" applyFont="1" applyFill="1" applyBorder="1" applyAlignment="1">
      <alignment horizontal="right" vertical="center"/>
    </xf>
    <xf numFmtId="0" fontId="13" fillId="6" borderId="21" xfId="0" applyFont="1" applyFill="1" applyBorder="1" applyAlignment="1">
      <alignment horizontal="right" vertical="center"/>
    </xf>
    <xf numFmtId="164" fontId="0" fillId="0" borderId="0" xfId="0" applyNumberFormat="1" applyAlignment="1">
      <alignment vertical="center"/>
    </xf>
    <xf numFmtId="0" fontId="13" fillId="6" borderId="0" xfId="0" applyFont="1" applyFill="1" applyBorder="1" applyAlignment="1">
      <alignment vertical="center"/>
    </xf>
    <xf numFmtId="0" fontId="4" fillId="6" borderId="0" xfId="0" applyFont="1" applyFill="1" applyBorder="1" applyAlignment="1">
      <alignment vertical="center"/>
    </xf>
    <xf numFmtId="190" fontId="4" fillId="6" borderId="0" xfId="1" applyNumberFormat="1" applyFont="1" applyFill="1" applyBorder="1" applyAlignment="1">
      <alignment horizontal="right" vertical="center"/>
    </xf>
    <xf numFmtId="200" fontId="0" fillId="6" borderId="20" xfId="1" applyFont="1" applyFill="1" applyBorder="1" applyAlignment="1">
      <alignment vertical="center"/>
    </xf>
    <xf numFmtId="190" fontId="0" fillId="6" borderId="20" xfId="1" applyNumberFormat="1" applyFont="1" applyFill="1" applyBorder="1" applyAlignment="1">
      <alignment vertical="center"/>
    </xf>
    <xf numFmtId="170" fontId="0" fillId="8" borderId="0" xfId="0" applyNumberFormat="1" applyFill="1" applyBorder="1" applyAlignment="1">
      <alignment vertical="center"/>
    </xf>
    <xf numFmtId="200" fontId="0" fillId="6" borderId="23" xfId="1" applyFont="1" applyFill="1" applyBorder="1" applyAlignment="1">
      <alignment vertical="center"/>
    </xf>
    <xf numFmtId="200" fontId="0" fillId="6" borderId="22" xfId="1" applyFont="1" applyFill="1" applyBorder="1" applyAlignment="1">
      <alignment vertical="center"/>
    </xf>
    <xf numFmtId="191" fontId="0" fillId="6" borderId="20" xfId="2" applyFont="1" applyFill="1" applyBorder="1" applyAlignment="1">
      <alignment vertical="center"/>
    </xf>
    <xf numFmtId="191" fontId="16" fillId="0" borderId="0" xfId="2" applyFont="1"/>
    <xf numFmtId="0" fontId="0" fillId="0" borderId="0" xfId="0" applyNumberFormat="1" applyAlignment="1">
      <alignment vertical="center"/>
    </xf>
    <xf numFmtId="190" fontId="4" fillId="6" borderId="22" xfId="0" applyNumberFormat="1" applyFont="1" applyFill="1" applyBorder="1" applyAlignment="1">
      <alignment horizontal="right" vertical="center"/>
    </xf>
    <xf numFmtId="190" fontId="0" fillId="6" borderId="23" xfId="0" applyNumberFormat="1" applyFill="1" applyBorder="1" applyAlignment="1">
      <alignment vertical="center"/>
    </xf>
    <xf numFmtId="0" fontId="0" fillId="0" borderId="0" xfId="0" applyBorder="1" applyAlignment="1">
      <alignment horizontal="left" vertical="center"/>
    </xf>
    <xf numFmtId="0" fontId="0" fillId="0" borderId="0" xfId="0" applyNumberFormat="1" applyBorder="1" applyAlignment="1">
      <alignment vertical="center"/>
    </xf>
    <xf numFmtId="0" fontId="92" fillId="0" borderId="0" xfId="0" applyFont="1"/>
    <xf numFmtId="0" fontId="93" fillId="0" borderId="0" xfId="0" applyFont="1"/>
    <xf numFmtId="0" fontId="0" fillId="6" borderId="24" xfId="0" applyNumberFormat="1" applyFill="1" applyBorder="1" applyAlignment="1">
      <alignment vertical="center"/>
    </xf>
    <xf numFmtId="0" fontId="0" fillId="6" borderId="24" xfId="0" applyFill="1" applyBorder="1" applyAlignment="1">
      <alignment vertical="center"/>
    </xf>
    <xf numFmtId="191" fontId="0" fillId="6" borderId="24" xfId="2" applyFont="1" applyFill="1" applyBorder="1" applyAlignment="1">
      <alignment vertical="center"/>
    </xf>
    <xf numFmtId="0" fontId="4" fillId="6" borderId="24" xfId="0" applyFont="1" applyFill="1" applyBorder="1" applyAlignment="1">
      <alignment vertical="center"/>
    </xf>
    <xf numFmtId="0" fontId="13" fillId="6" borderId="24" xfId="0" applyFont="1" applyFill="1" applyBorder="1" applyAlignment="1">
      <alignment vertical="center"/>
    </xf>
    <xf numFmtId="190" fontId="4" fillId="6" borderId="24" xfId="1" applyNumberFormat="1" applyFont="1" applyFill="1" applyBorder="1" applyAlignment="1">
      <alignment horizontal="right" vertical="center"/>
    </xf>
    <xf numFmtId="190" fontId="4" fillId="6" borderId="25" xfId="0" applyNumberFormat="1" applyFont="1" applyFill="1" applyBorder="1" applyAlignment="1">
      <alignment horizontal="right" vertical="center"/>
    </xf>
    <xf numFmtId="200" fontId="0" fillId="6" borderId="24" xfId="1" applyFont="1" applyFill="1" applyBorder="1" applyAlignment="1">
      <alignment vertical="center"/>
    </xf>
    <xf numFmtId="200" fontId="0" fillId="6" borderId="25" xfId="1" applyFont="1" applyFill="1" applyBorder="1" applyAlignment="1">
      <alignment vertical="center"/>
    </xf>
    <xf numFmtId="9" fontId="0" fillId="6" borderId="20" xfId="0" applyNumberFormat="1" applyFill="1" applyBorder="1" applyAlignment="1">
      <alignment vertical="center"/>
    </xf>
    <xf numFmtId="185" fontId="74" fillId="15" borderId="14" xfId="2" applyNumberFormat="1" applyFont="1" applyFill="1" applyBorder="1" applyAlignment="1">
      <alignment horizontal="right" vertical="center"/>
    </xf>
    <xf numFmtId="185" fontId="83" fillId="15" borderId="11" xfId="2" applyNumberFormat="1" applyFont="1" applyFill="1" applyBorder="1" applyAlignment="1">
      <alignment vertical="center"/>
    </xf>
    <xf numFmtId="185" fontId="83" fillId="17" borderId="11" xfId="2" applyNumberFormat="1" applyFont="1" applyFill="1" applyBorder="1" applyAlignment="1">
      <alignment vertical="center"/>
    </xf>
    <xf numFmtId="185" fontId="83" fillId="15" borderId="11" xfId="2" applyNumberFormat="1" applyFont="1" applyFill="1" applyBorder="1" applyAlignment="1">
      <alignment horizontal="right" vertical="center"/>
    </xf>
    <xf numFmtId="185" fontId="83" fillId="16" borderId="11" xfId="2" applyNumberFormat="1" applyFont="1" applyFill="1" applyBorder="1" applyAlignment="1">
      <alignment vertical="center"/>
    </xf>
    <xf numFmtId="0" fontId="0" fillId="0" borderId="0" xfId="0" quotePrefix="1"/>
    <xf numFmtId="0" fontId="16" fillId="0" borderId="0" xfId="0" quotePrefix="1" applyFont="1"/>
    <xf numFmtId="0" fontId="10" fillId="0" borderId="0" xfId="0" applyFont="1" applyFill="1" applyBorder="1" applyAlignment="1">
      <alignment horizontal="left" vertical="center"/>
    </xf>
    <xf numFmtId="0" fontId="9" fillId="0" borderId="0" xfId="0" applyFont="1"/>
    <xf numFmtId="191" fontId="65" fillId="5" borderId="0" xfId="4" applyNumberFormat="1" applyFill="1" applyBorder="1" applyAlignment="1">
      <alignment vertical="center"/>
    </xf>
    <xf numFmtId="191" fontId="65" fillId="6" borderId="0" xfId="4" applyNumberFormat="1" applyFill="1" applyBorder="1" applyAlignment="1">
      <alignment vertical="center"/>
    </xf>
    <xf numFmtId="191" fontId="65" fillId="6" borderId="0" xfId="4" applyNumberFormat="1" applyFill="1" applyBorder="1" applyAlignment="1">
      <alignment horizontal="center" vertical="center" wrapText="1"/>
    </xf>
    <xf numFmtId="191" fontId="65" fillId="9" borderId="0" xfId="4" applyNumberFormat="1" applyFill="1" applyBorder="1" applyAlignment="1">
      <alignment vertical="center"/>
    </xf>
    <xf numFmtId="191" fontId="65" fillId="0" borderId="0" xfId="4" applyNumberFormat="1" applyFill="1" applyBorder="1" applyAlignment="1">
      <alignment vertical="center"/>
    </xf>
    <xf numFmtId="191" fontId="65" fillId="2" borderId="0" xfId="4" applyNumberFormat="1" applyFill="1" applyBorder="1" applyAlignment="1">
      <alignment vertical="center"/>
    </xf>
    <xf numFmtId="191" fontId="65" fillId="10" borderId="0" xfId="4" applyNumberFormat="1" applyFill="1" applyBorder="1" applyAlignment="1">
      <alignment vertical="center"/>
    </xf>
    <xf numFmtId="191" fontId="65" fillId="8" borderId="0" xfId="4" applyNumberFormat="1" applyFill="1" applyBorder="1" applyAlignment="1">
      <alignment vertical="center"/>
    </xf>
    <xf numFmtId="191" fontId="65" fillId="11" borderId="0" xfId="4" applyNumberFormat="1" applyFill="1" applyBorder="1" applyAlignment="1">
      <alignment vertical="center"/>
    </xf>
    <xf numFmtId="191" fontId="65" fillId="12" borderId="0" xfId="4" applyNumberFormat="1" applyFill="1" applyBorder="1" applyAlignment="1">
      <alignment vertical="center"/>
    </xf>
    <xf numFmtId="191" fontId="65" fillId="7" borderId="0" xfId="4" applyNumberFormat="1" applyFill="1" applyBorder="1" applyAlignment="1">
      <alignment vertical="center"/>
    </xf>
    <xf numFmtId="191" fontId="65" fillId="13" borderId="0" xfId="4" applyNumberFormat="1" applyFill="1" applyBorder="1" applyAlignment="1">
      <alignment vertical="center"/>
    </xf>
    <xf numFmtId="191" fontId="65" fillId="14" borderId="0" xfId="4" applyNumberFormat="1" applyFill="1" applyBorder="1" applyAlignment="1">
      <alignment vertical="center"/>
    </xf>
    <xf numFmtId="191" fontId="6" fillId="0" borderId="0" xfId="2" applyFont="1"/>
    <xf numFmtId="190" fontId="0" fillId="6" borderId="24" xfId="1" applyNumberFormat="1" applyFont="1" applyFill="1" applyBorder="1" applyAlignment="1">
      <alignment vertical="center"/>
    </xf>
    <xf numFmtId="0" fontId="95" fillId="0" borderId="0" xfId="0" applyFont="1"/>
    <xf numFmtId="190" fontId="6" fillId="0" borderId="0" xfId="1" applyNumberFormat="1" applyFont="1"/>
    <xf numFmtId="190" fontId="0" fillId="0" borderId="0" xfId="1" applyNumberFormat="1" applyFont="1"/>
    <xf numFmtId="190" fontId="0" fillId="6" borderId="25" xfId="0" applyNumberFormat="1" applyFill="1" applyBorder="1" applyAlignment="1">
      <alignment vertical="center"/>
    </xf>
    <xf numFmtId="0" fontId="0" fillId="0" borderId="0" xfId="0" applyBorder="1" applyAlignment="1">
      <alignment horizontal="right"/>
    </xf>
    <xf numFmtId="0" fontId="21" fillId="0" borderId="0" xfId="0" applyFont="1" applyFill="1" applyBorder="1" applyAlignment="1">
      <alignment vertical="center"/>
    </xf>
    <xf numFmtId="0" fontId="0" fillId="6" borderId="0" xfId="0" applyNumberFormat="1" applyFill="1" applyBorder="1" applyAlignment="1">
      <alignment vertical="center"/>
    </xf>
    <xf numFmtId="0" fontId="0" fillId="6" borderId="0" xfId="0" applyFill="1" applyBorder="1" applyAlignment="1">
      <alignment vertical="center"/>
    </xf>
    <xf numFmtId="0" fontId="0" fillId="6" borderId="15" xfId="0" applyFill="1" applyBorder="1" applyAlignment="1">
      <alignment vertical="center"/>
    </xf>
    <xf numFmtId="0" fontId="16" fillId="0" borderId="0" xfId="0" applyFont="1" applyAlignment="1">
      <alignment vertical="center"/>
    </xf>
    <xf numFmtId="191" fontId="16" fillId="0" borderId="0" xfId="0" applyNumberFormat="1" applyFont="1" applyAlignment="1">
      <alignment vertical="center"/>
    </xf>
    <xf numFmtId="200" fontId="0" fillId="0" borderId="0" xfId="1" applyFont="1" applyAlignment="1">
      <alignment vertical="center"/>
    </xf>
    <xf numFmtId="0" fontId="0" fillId="0" borderId="0" xfId="0" quotePrefix="1" applyAlignment="1">
      <alignment vertical="center"/>
    </xf>
    <xf numFmtId="191" fontId="0" fillId="0" borderId="0" xfId="0" applyNumberFormat="1" applyAlignment="1">
      <alignment vertical="center"/>
    </xf>
    <xf numFmtId="191" fontId="16" fillId="0" borderId="0" xfId="2" applyFont="1" applyAlignment="1">
      <alignment vertical="center"/>
    </xf>
    <xf numFmtId="191" fontId="0" fillId="0" borderId="0" xfId="2" applyFont="1" applyAlignment="1">
      <alignment vertical="center"/>
    </xf>
    <xf numFmtId="0" fontId="16" fillId="0" borderId="0" xfId="0" quotePrefix="1" applyFont="1" applyAlignment="1">
      <alignment vertical="center"/>
    </xf>
    <xf numFmtId="200" fontId="6" fillId="0" borderId="0" xfId="1" applyFont="1" applyAlignment="1">
      <alignment vertical="center"/>
    </xf>
    <xf numFmtId="191" fontId="16" fillId="0" borderId="8" xfId="2" applyFont="1" applyBorder="1" applyAlignment="1">
      <alignment vertical="center"/>
    </xf>
    <xf numFmtId="176" fontId="0" fillId="0" borderId="0" xfId="0" applyNumberFormat="1" applyAlignment="1">
      <alignment vertical="center"/>
    </xf>
    <xf numFmtId="176" fontId="16" fillId="0" borderId="0" xfId="0" applyNumberFormat="1" applyFont="1" applyAlignment="1">
      <alignment vertical="center"/>
    </xf>
    <xf numFmtId="9" fontId="0" fillId="6" borderId="20" xfId="1" applyNumberFormat="1" applyFont="1" applyFill="1" applyBorder="1" applyAlignment="1">
      <alignment vertical="center"/>
    </xf>
    <xf numFmtId="191" fontId="0" fillId="6" borderId="0" xfId="2" applyFont="1" applyFill="1" applyBorder="1" applyAlignment="1">
      <alignment vertical="center"/>
    </xf>
    <xf numFmtId="0" fontId="0" fillId="6" borderId="0" xfId="0" applyFill="1" applyBorder="1" applyAlignment="1">
      <alignment horizontal="right" vertical="center"/>
    </xf>
    <xf numFmtId="0" fontId="94" fillId="0" borderId="0" xfId="4" applyNumberFormat="1" applyFont="1"/>
    <xf numFmtId="0" fontId="94" fillId="0" borderId="0" xfId="4" applyNumberFormat="1" applyFont="1" applyFill="1" applyBorder="1" applyAlignment="1">
      <alignment horizontal="center" vertical="center"/>
    </xf>
    <xf numFmtId="0" fontId="94" fillId="0" borderId="0" xfId="4" applyNumberFormat="1" applyFont="1" applyFill="1" applyBorder="1" applyAlignment="1">
      <alignment vertical="center"/>
    </xf>
    <xf numFmtId="191" fontId="94" fillId="0" borderId="0" xfId="4" applyNumberFormat="1" applyFont="1" applyFill="1" applyBorder="1" applyAlignment="1">
      <alignment vertical="center"/>
    </xf>
    <xf numFmtId="0" fontId="99" fillId="0" borderId="0" xfId="0" applyFont="1"/>
    <xf numFmtId="0" fontId="0" fillId="0" borderId="0" xfId="0" applyAlignment="1">
      <alignment horizontal="center" vertical="center"/>
    </xf>
    <xf numFmtId="192" fontId="0" fillId="0" borderId="0" xfId="2" applyNumberFormat="1" applyFont="1" applyAlignment="1">
      <alignment vertical="center"/>
    </xf>
    <xf numFmtId="191" fontId="0" fillId="6" borderId="22" xfId="2" applyFont="1" applyFill="1" applyBorder="1" applyAlignment="1">
      <alignment vertical="center"/>
    </xf>
    <xf numFmtId="191" fontId="0" fillId="6" borderId="22" xfId="2" applyFont="1" applyFill="1" applyBorder="1" applyAlignment="1">
      <alignment horizontal="right" vertical="center"/>
    </xf>
    <xf numFmtId="191" fontId="0" fillId="6" borderId="23" xfId="2" applyFont="1" applyFill="1" applyBorder="1" applyAlignment="1">
      <alignment horizontal="right" vertical="center"/>
    </xf>
    <xf numFmtId="191" fontId="0" fillId="6" borderId="20" xfId="2" applyFont="1" applyFill="1" applyBorder="1" applyAlignment="1">
      <alignment horizontal="right" vertical="center"/>
    </xf>
    <xf numFmtId="0" fontId="0" fillId="8" borderId="20" xfId="0" applyFill="1" applyBorder="1" applyAlignment="1">
      <alignment vertical="center"/>
    </xf>
    <xf numFmtId="0" fontId="13" fillId="0" borderId="0" xfId="0" applyFont="1" applyAlignment="1">
      <alignment horizontal="center"/>
    </xf>
    <xf numFmtId="0" fontId="16" fillId="0" borderId="0" xfId="0" applyFont="1" applyAlignment="1">
      <alignment horizontal="right"/>
    </xf>
    <xf numFmtId="193" fontId="16" fillId="0" borderId="0" xfId="0" applyNumberFormat="1" applyFont="1"/>
    <xf numFmtId="0" fontId="0" fillId="6" borderId="0" xfId="0" applyFill="1" applyBorder="1"/>
    <xf numFmtId="200" fontId="0" fillId="6" borderId="0" xfId="1" applyFont="1" applyFill="1" applyBorder="1" applyAlignment="1">
      <alignment vertical="center"/>
    </xf>
    <xf numFmtId="0" fontId="16" fillId="6" borderId="0" xfId="0" applyFont="1" applyFill="1" applyBorder="1"/>
    <xf numFmtId="0" fontId="0" fillId="6" borderId="0" xfId="0" applyFill="1" applyBorder="1" applyAlignment="1">
      <alignment horizontal="right"/>
    </xf>
    <xf numFmtId="0" fontId="0" fillId="6" borderId="0" xfId="0" applyNumberFormat="1" applyFill="1" applyBorder="1"/>
    <xf numFmtId="0" fontId="16" fillId="6" borderId="0" xfId="0" applyNumberFormat="1" applyFont="1" applyFill="1" applyBorder="1" applyAlignment="1">
      <alignment vertical="center"/>
    </xf>
    <xf numFmtId="0" fontId="0" fillId="6" borderId="0" xfId="0" quotePrefix="1" applyFill="1" applyBorder="1" applyAlignment="1">
      <alignment horizontal="right" vertical="center"/>
    </xf>
    <xf numFmtId="0" fontId="13" fillId="6" borderId="26" xfId="0" applyFont="1" applyFill="1" applyBorder="1" applyAlignment="1">
      <alignment vertical="center"/>
    </xf>
    <xf numFmtId="0" fontId="13" fillId="6" borderId="16" xfId="0" applyFont="1" applyFill="1" applyBorder="1" applyAlignment="1">
      <alignment vertical="center"/>
    </xf>
    <xf numFmtId="0" fontId="84" fillId="6" borderId="16" xfId="0" applyFont="1" applyFill="1" applyBorder="1" applyAlignment="1">
      <alignment horizontal="center" vertical="center" wrapText="1"/>
    </xf>
    <xf numFmtId="0" fontId="14" fillId="6" borderId="26" xfId="0" applyFont="1" applyFill="1" applyBorder="1" applyAlignment="1">
      <alignment horizontal="center" vertical="center" wrapText="1"/>
    </xf>
    <xf numFmtId="200" fontId="0" fillId="6" borderId="0" xfId="1" applyFont="1" applyFill="1" applyBorder="1" applyAlignment="1">
      <alignment horizontal="right" vertical="center"/>
    </xf>
    <xf numFmtId="200" fontId="0" fillId="6" borderId="20" xfId="1" applyFont="1" applyFill="1" applyBorder="1" applyAlignment="1">
      <alignment horizontal="right" vertical="center"/>
    </xf>
    <xf numFmtId="0" fontId="13" fillId="6" borderId="27" xfId="0" applyFont="1" applyFill="1" applyBorder="1" applyAlignment="1">
      <alignment horizontal="right" vertical="center"/>
    </xf>
    <xf numFmtId="0" fontId="14" fillId="6" borderId="28" xfId="0" applyFont="1" applyFill="1" applyBorder="1" applyAlignment="1">
      <alignment horizontal="center" vertical="center" wrapText="1"/>
    </xf>
    <xf numFmtId="200" fontId="0" fillId="6" borderId="22" xfId="1" applyFont="1" applyFill="1" applyBorder="1" applyAlignment="1">
      <alignment horizontal="right" vertical="center"/>
    </xf>
    <xf numFmtId="200" fontId="0" fillId="6" borderId="23" xfId="1" applyFont="1" applyFill="1" applyBorder="1" applyAlignment="1">
      <alignment horizontal="right" vertical="center"/>
    </xf>
    <xf numFmtId="9" fontId="0" fillId="6" borderId="22" xfId="1" applyNumberFormat="1" applyFont="1" applyFill="1" applyBorder="1" applyAlignment="1">
      <alignment vertical="center"/>
    </xf>
    <xf numFmtId="9" fontId="0" fillId="6" borderId="22" xfId="1" applyNumberFormat="1" applyFont="1" applyFill="1" applyBorder="1" applyAlignment="1">
      <alignment horizontal="right" vertical="center"/>
    </xf>
    <xf numFmtId="9" fontId="0" fillId="6" borderId="23" xfId="1" applyNumberFormat="1" applyFont="1" applyFill="1" applyBorder="1" applyAlignment="1">
      <alignment horizontal="right" vertical="center"/>
    </xf>
    <xf numFmtId="9" fontId="0" fillId="6" borderId="20" xfId="1" applyNumberFormat="1" applyFont="1" applyFill="1" applyBorder="1" applyAlignment="1">
      <alignment horizontal="right" vertical="center"/>
    </xf>
    <xf numFmtId="191" fontId="4" fillId="6" borderId="0" xfId="2" applyFont="1" applyFill="1" applyBorder="1" applyAlignment="1">
      <alignment horizontal="right" vertical="center"/>
    </xf>
    <xf numFmtId="0" fontId="4" fillId="6" borderId="1" xfId="0" applyFont="1" applyFill="1" applyBorder="1" applyAlignment="1">
      <alignment vertical="center"/>
    </xf>
    <xf numFmtId="0" fontId="13" fillId="6" borderId="1" xfId="0" applyFont="1" applyFill="1" applyBorder="1" applyAlignment="1">
      <alignment vertical="center"/>
    </xf>
    <xf numFmtId="191" fontId="4" fillId="6" borderId="1" xfId="2" applyFont="1" applyFill="1" applyBorder="1" applyAlignment="1">
      <alignment horizontal="right" vertical="center"/>
    </xf>
    <xf numFmtId="0" fontId="4" fillId="6" borderId="15" xfId="0" applyFont="1" applyFill="1" applyBorder="1" applyAlignment="1">
      <alignment vertical="center"/>
    </xf>
    <xf numFmtId="191" fontId="4" fillId="6" borderId="15" xfId="2" applyFont="1" applyFill="1" applyBorder="1" applyAlignment="1">
      <alignment horizontal="right" vertical="center"/>
    </xf>
    <xf numFmtId="191" fontId="4" fillId="6" borderId="30" xfId="2" applyFont="1" applyFill="1" applyBorder="1" applyAlignment="1">
      <alignment horizontal="right" vertical="center"/>
    </xf>
    <xf numFmtId="191" fontId="4" fillId="6" borderId="31" xfId="2" applyFont="1" applyFill="1" applyBorder="1" applyAlignment="1">
      <alignment horizontal="right" vertical="center"/>
    </xf>
    <xf numFmtId="191" fontId="4" fillId="6" borderId="32" xfId="2" applyFont="1" applyFill="1" applyBorder="1" applyAlignment="1">
      <alignment horizontal="right" vertical="center"/>
    </xf>
    <xf numFmtId="0" fontId="0" fillId="0" borderId="0" xfId="0" quotePrefix="1" applyFont="1"/>
    <xf numFmtId="192" fontId="0" fillId="6" borderId="22" xfId="2" applyNumberFormat="1" applyFont="1" applyFill="1" applyBorder="1" applyAlignment="1">
      <alignment vertical="center"/>
    </xf>
    <xf numFmtId="192" fontId="0" fillId="6" borderId="22" xfId="2" applyNumberFormat="1" applyFont="1" applyFill="1" applyBorder="1" applyAlignment="1">
      <alignment horizontal="right" vertical="center"/>
    </xf>
    <xf numFmtId="192" fontId="0" fillId="6" borderId="23" xfId="2" applyNumberFormat="1" applyFont="1" applyFill="1" applyBorder="1" applyAlignment="1">
      <alignment horizontal="right" vertical="center"/>
    </xf>
    <xf numFmtId="192" fontId="0" fillId="6" borderId="20" xfId="2" applyNumberFormat="1" applyFont="1" applyFill="1" applyBorder="1" applyAlignment="1">
      <alignment horizontal="right" vertical="center"/>
    </xf>
    <xf numFmtId="0" fontId="0" fillId="6" borderId="1" xfId="0" applyNumberFormat="1" applyFill="1" applyBorder="1" applyAlignment="1">
      <alignment vertical="center"/>
    </xf>
    <xf numFmtId="0" fontId="0" fillId="6" borderId="1" xfId="0" applyFill="1" applyBorder="1" applyAlignment="1">
      <alignment vertical="center"/>
    </xf>
    <xf numFmtId="191" fontId="0" fillId="6" borderId="1" xfId="2" applyFont="1" applyFill="1" applyBorder="1" applyAlignment="1">
      <alignment vertical="center"/>
    </xf>
    <xf numFmtId="0" fontId="100" fillId="0" borderId="0" xfId="4" applyNumberFormat="1" applyFont="1"/>
    <xf numFmtId="0" fontId="21" fillId="0" borderId="0" xfId="0" applyFont="1" applyAlignment="1">
      <alignment vertical="center"/>
    </xf>
    <xf numFmtId="191" fontId="21" fillId="0" borderId="0" xfId="2" applyFont="1" applyAlignment="1">
      <alignment vertical="center"/>
    </xf>
    <xf numFmtId="176" fontId="21" fillId="0" borderId="0" xfId="0" applyNumberFormat="1" applyFont="1" applyAlignment="1">
      <alignment vertical="center"/>
    </xf>
    <xf numFmtId="191" fontId="0" fillId="0" borderId="8" xfId="0" applyNumberFormat="1" applyBorder="1" applyAlignment="1">
      <alignment vertical="center"/>
    </xf>
    <xf numFmtId="194" fontId="0" fillId="6" borderId="22" xfId="2" applyNumberFormat="1" applyFont="1" applyFill="1" applyBorder="1" applyAlignment="1">
      <alignment vertical="center"/>
    </xf>
    <xf numFmtId="194" fontId="0" fillId="6" borderId="33" xfId="2" applyNumberFormat="1" applyFont="1" applyFill="1" applyBorder="1" applyAlignment="1">
      <alignment horizontal="right" vertical="center"/>
    </xf>
    <xf numFmtId="194" fontId="0" fillId="6" borderId="1" xfId="2" applyNumberFormat="1" applyFont="1" applyFill="1" applyBorder="1" applyAlignment="1">
      <alignment horizontal="right" vertical="center"/>
    </xf>
    <xf numFmtId="191" fontId="0" fillId="6" borderId="25" xfId="2" applyFont="1" applyFill="1" applyBorder="1" applyAlignment="1">
      <alignment vertical="center"/>
    </xf>
    <xf numFmtId="192" fontId="0" fillId="6" borderId="0" xfId="2" applyNumberFormat="1" applyFont="1" applyFill="1" applyBorder="1" applyAlignment="1">
      <alignment vertical="center"/>
    </xf>
    <xf numFmtId="192" fontId="0" fillId="6" borderId="0" xfId="2" applyNumberFormat="1" applyFont="1" applyFill="1" applyBorder="1" applyAlignment="1">
      <alignment horizontal="right" vertical="center"/>
    </xf>
    <xf numFmtId="191" fontId="0" fillId="6" borderId="0" xfId="2" applyNumberFormat="1" applyFont="1" applyFill="1" applyBorder="1" applyAlignment="1">
      <alignment vertical="center"/>
    </xf>
    <xf numFmtId="191" fontId="0" fillId="6" borderId="34" xfId="2" applyNumberFormat="1" applyFont="1" applyFill="1" applyBorder="1" applyAlignment="1">
      <alignment vertical="center"/>
    </xf>
    <xf numFmtId="200" fontId="0" fillId="6" borderId="34" xfId="1" applyFont="1" applyFill="1" applyBorder="1" applyAlignment="1">
      <alignment vertical="center"/>
    </xf>
    <xf numFmtId="200" fontId="0" fillId="6" borderId="1" xfId="1" applyFont="1" applyFill="1" applyBorder="1" applyAlignment="1">
      <alignment vertical="center"/>
    </xf>
    <xf numFmtId="200" fontId="0" fillId="6" borderId="33" xfId="1" applyFont="1" applyFill="1" applyBorder="1" applyAlignment="1">
      <alignment vertical="center"/>
    </xf>
    <xf numFmtId="191" fontId="0" fillId="6" borderId="33" xfId="2" applyFont="1" applyFill="1" applyBorder="1" applyAlignment="1">
      <alignment vertical="center"/>
    </xf>
    <xf numFmtId="190" fontId="0" fillId="6" borderId="0" xfId="1" applyNumberFormat="1" applyFont="1" applyFill="1" applyBorder="1" applyAlignment="1">
      <alignment vertical="center"/>
    </xf>
    <xf numFmtId="190" fontId="0" fillId="6" borderId="1" xfId="1" applyNumberFormat="1" applyFont="1" applyFill="1" applyBorder="1" applyAlignment="1">
      <alignment vertical="center"/>
    </xf>
    <xf numFmtId="0" fontId="0" fillId="0" borderId="0" xfId="0" applyAlignment="1">
      <alignment horizontal="center" vertical="center" wrapText="1"/>
    </xf>
    <xf numFmtId="0" fontId="16" fillId="8" borderId="19" xfId="0" applyFont="1" applyFill="1" applyBorder="1" applyAlignment="1">
      <alignment vertical="center"/>
    </xf>
    <xf numFmtId="0" fontId="13" fillId="6" borderId="19" xfId="0" applyNumberFormat="1" applyFont="1" applyFill="1" applyBorder="1" applyAlignment="1">
      <alignment horizontal="right" vertical="center"/>
    </xf>
    <xf numFmtId="0" fontId="13" fillId="6" borderId="21" xfId="0" applyNumberFormat="1" applyFont="1" applyFill="1" applyBorder="1" applyAlignment="1">
      <alignment horizontal="right" vertical="center"/>
    </xf>
    <xf numFmtId="191" fontId="4" fillId="0" borderId="0" xfId="2" applyFont="1" applyAlignment="1">
      <alignment horizontal="right"/>
    </xf>
    <xf numFmtId="193" fontId="0" fillId="6" borderId="22" xfId="2" applyNumberFormat="1" applyFont="1" applyFill="1" applyBorder="1" applyAlignment="1">
      <alignment vertical="center"/>
    </xf>
    <xf numFmtId="193" fontId="0" fillId="6" borderId="22" xfId="2" applyNumberFormat="1" applyFont="1" applyFill="1" applyBorder="1" applyAlignment="1">
      <alignment horizontal="right" vertical="center"/>
    </xf>
    <xf numFmtId="193" fontId="0" fillId="6" borderId="20" xfId="2" applyNumberFormat="1" applyFont="1" applyFill="1" applyBorder="1" applyAlignment="1">
      <alignment vertical="center"/>
    </xf>
    <xf numFmtId="193" fontId="0" fillId="6" borderId="23" xfId="2" applyNumberFormat="1" applyFont="1" applyFill="1" applyBorder="1" applyAlignment="1">
      <alignment horizontal="right" vertical="center"/>
    </xf>
    <xf numFmtId="193" fontId="0" fillId="6" borderId="20" xfId="2" applyNumberFormat="1" applyFont="1" applyFill="1" applyBorder="1" applyAlignment="1">
      <alignment horizontal="right" vertical="center"/>
    </xf>
    <xf numFmtId="0" fontId="13" fillId="6" borderId="26" xfId="0" applyNumberFormat="1" applyFont="1" applyFill="1" applyBorder="1" applyAlignment="1">
      <alignment horizontal="right" vertical="center"/>
    </xf>
    <xf numFmtId="0" fontId="13" fillId="6" borderId="27" xfId="0" applyNumberFormat="1" applyFont="1" applyFill="1" applyBorder="1" applyAlignment="1">
      <alignment horizontal="right" vertical="center"/>
    </xf>
    <xf numFmtId="193" fontId="0" fillId="6" borderId="0" xfId="2" applyNumberFormat="1" applyFont="1" applyFill="1" applyBorder="1" applyAlignment="1">
      <alignment vertical="center"/>
    </xf>
    <xf numFmtId="193" fontId="0" fillId="6" borderId="0" xfId="2" applyNumberFormat="1" applyFont="1" applyFill="1" applyBorder="1" applyAlignment="1">
      <alignment horizontal="right" vertical="center"/>
    </xf>
    <xf numFmtId="0" fontId="16" fillId="0" borderId="2" xfId="0" applyFont="1" applyBorder="1" applyAlignment="1">
      <alignment horizontal="right" vertical="center"/>
    </xf>
    <xf numFmtId="0" fontId="16" fillId="0" borderId="16" xfId="0" applyFont="1" applyBorder="1" applyAlignment="1">
      <alignment horizontal="right" vertical="center"/>
    </xf>
    <xf numFmtId="9" fontId="0" fillId="6" borderId="24" xfId="0" applyNumberFormat="1" applyFill="1" applyBorder="1" applyAlignment="1">
      <alignment vertical="center"/>
    </xf>
    <xf numFmtId="193" fontId="0" fillId="6" borderId="24" xfId="2" applyNumberFormat="1" applyFont="1" applyFill="1" applyBorder="1" applyAlignment="1">
      <alignment vertical="center"/>
    </xf>
    <xf numFmtId="192" fontId="4" fillId="0" borderId="0" xfId="2" applyNumberFormat="1" applyFont="1" applyAlignment="1">
      <alignment horizontal="right"/>
    </xf>
    <xf numFmtId="193" fontId="4" fillId="0" borderId="0" xfId="2" applyNumberFormat="1" applyFont="1" applyAlignment="1">
      <alignment horizontal="right"/>
    </xf>
    <xf numFmtId="11" fontId="4" fillId="0" borderId="0" xfId="2" applyNumberFormat="1" applyFont="1" applyAlignment="1">
      <alignment horizontal="right"/>
    </xf>
    <xf numFmtId="11" fontId="13" fillId="0" borderId="0" xfId="2" applyNumberFormat="1" applyFont="1" applyAlignment="1">
      <alignment horizontal="right"/>
    </xf>
    <xf numFmtId="191" fontId="13" fillId="0" borderId="0" xfId="2" applyFont="1" applyAlignment="1">
      <alignment horizontal="right"/>
    </xf>
    <xf numFmtId="194" fontId="13" fillId="0" borderId="0" xfId="2" applyNumberFormat="1" applyFont="1" applyAlignment="1">
      <alignment horizontal="right"/>
    </xf>
    <xf numFmtId="194" fontId="4" fillId="0" borderId="0" xfId="2" applyNumberFormat="1" applyFont="1" applyAlignment="1">
      <alignment horizontal="right"/>
    </xf>
    <xf numFmtId="0" fontId="0" fillId="6" borderId="0" xfId="0" applyNumberFormat="1" applyFill="1" applyBorder="1" applyAlignment="1">
      <alignment horizontal="right" vertical="center"/>
    </xf>
    <xf numFmtId="193" fontId="0" fillId="6" borderId="25" xfId="2" applyNumberFormat="1" applyFont="1" applyFill="1" applyBorder="1" applyAlignment="1">
      <alignment vertical="center"/>
    </xf>
    <xf numFmtId="196" fontId="0" fillId="0" borderId="0" xfId="0" applyNumberFormat="1"/>
    <xf numFmtId="0" fontId="16" fillId="0" borderId="0" xfId="0" applyFont="1" applyAlignment="1">
      <alignment horizontal="left" vertical="center"/>
    </xf>
    <xf numFmtId="0" fontId="0" fillId="8" borderId="24" xfId="0" applyFill="1" applyBorder="1" applyAlignment="1">
      <alignment vertical="center"/>
    </xf>
    <xf numFmtId="0" fontId="4" fillId="0" borderId="0" xfId="0" applyFont="1" applyFill="1" applyBorder="1" applyAlignment="1">
      <alignment horizontal="left" vertical="center"/>
    </xf>
    <xf numFmtId="0" fontId="0" fillId="8" borderId="0" xfId="0" applyFont="1" applyFill="1" applyBorder="1" applyAlignment="1">
      <alignment vertical="center"/>
    </xf>
    <xf numFmtId="191" fontId="0" fillId="8" borderId="0" xfId="2" applyFont="1" applyFill="1" applyBorder="1" applyAlignment="1">
      <alignment vertical="center"/>
    </xf>
    <xf numFmtId="0" fontId="65" fillId="0" borderId="0" xfId="4" applyNumberFormat="1" applyBorder="1"/>
    <xf numFmtId="191" fontId="18" fillId="6" borderId="35" xfId="2" applyFont="1" applyFill="1" applyBorder="1" applyAlignment="1">
      <alignment vertical="center"/>
    </xf>
    <xf numFmtId="191" fontId="19" fillId="6" borderId="35" xfId="2" applyFont="1" applyFill="1" applyBorder="1" applyAlignment="1">
      <alignment horizontal="center" vertical="center" wrapText="1"/>
    </xf>
    <xf numFmtId="191" fontId="83" fillId="6" borderId="35" xfId="2" applyFont="1" applyFill="1" applyBorder="1" applyAlignment="1">
      <alignment vertical="center"/>
    </xf>
    <xf numFmtId="191" fontId="25" fillId="6" borderId="35" xfId="2" applyFont="1" applyFill="1" applyBorder="1" applyAlignment="1">
      <alignment vertical="center"/>
    </xf>
    <xf numFmtId="191" fontId="26" fillId="6" borderId="35" xfId="2" applyFont="1" applyFill="1" applyBorder="1" applyAlignment="1">
      <alignment horizontal="center" vertical="center" wrapText="1"/>
    </xf>
    <xf numFmtId="191" fontId="25" fillId="6" borderId="35" xfId="2" applyFont="1" applyFill="1" applyBorder="1" applyAlignment="1">
      <alignment horizontal="center" vertical="center" wrapText="1"/>
    </xf>
    <xf numFmtId="191" fontId="94" fillId="6" borderId="35" xfId="4" applyNumberFormat="1" applyFont="1" applyFill="1" applyBorder="1" applyAlignment="1">
      <alignment vertical="center"/>
    </xf>
    <xf numFmtId="191" fontId="94" fillId="6" borderId="35" xfId="4" applyNumberFormat="1" applyFont="1" applyFill="1" applyBorder="1" applyAlignment="1">
      <alignment horizontal="center" vertical="center" wrapText="1"/>
    </xf>
    <xf numFmtId="191" fontId="65" fillId="6" borderId="35" xfId="4" applyNumberFormat="1" applyFill="1" applyBorder="1" applyAlignment="1">
      <alignment vertical="center"/>
    </xf>
    <xf numFmtId="191" fontId="65" fillId="6" borderId="35" xfId="4" applyNumberFormat="1" applyFill="1" applyBorder="1" applyAlignment="1">
      <alignment horizontal="center" vertical="center" wrapText="1"/>
    </xf>
    <xf numFmtId="0" fontId="101" fillId="0" borderId="0" xfId="0" applyFont="1" applyFill="1" applyBorder="1" applyAlignment="1">
      <alignment horizontal="left" vertical="center"/>
    </xf>
    <xf numFmtId="0" fontId="14" fillId="5" borderId="35" xfId="0" applyFont="1" applyFill="1" applyBorder="1" applyAlignment="1">
      <alignment horizontal="center" vertical="center" wrapText="1"/>
    </xf>
    <xf numFmtId="0" fontId="14" fillId="10" borderId="35" xfId="0" applyFont="1" applyFill="1" applyBorder="1" applyAlignment="1">
      <alignment horizontal="center" vertical="center" wrapText="1"/>
    </xf>
    <xf numFmtId="191" fontId="18" fillId="2" borderId="35" xfId="2" applyFont="1" applyFill="1" applyBorder="1" applyAlignment="1">
      <alignment vertical="center"/>
    </xf>
    <xf numFmtId="191" fontId="83" fillId="2" borderId="35" xfId="2" applyFont="1" applyFill="1" applyBorder="1" applyAlignment="1">
      <alignment vertical="center"/>
    </xf>
    <xf numFmtId="191" fontId="25" fillId="2" borderId="35" xfId="2" applyFont="1" applyFill="1" applyBorder="1" applyAlignment="1">
      <alignment vertical="center"/>
    </xf>
    <xf numFmtId="191" fontId="94" fillId="2" borderId="35" xfId="4" applyNumberFormat="1" applyFont="1" applyFill="1" applyBorder="1" applyAlignment="1">
      <alignment vertical="center"/>
    </xf>
    <xf numFmtId="191" fontId="65" fillId="2" borderId="35" xfId="4" applyNumberFormat="1" applyFill="1" applyBorder="1" applyAlignment="1">
      <alignment vertical="center"/>
    </xf>
    <xf numFmtId="191" fontId="85" fillId="2" borderId="35" xfId="2" applyFont="1" applyFill="1" applyBorder="1" applyAlignment="1">
      <alignment vertical="center"/>
    </xf>
    <xf numFmtId="191" fontId="18" fillId="8" borderId="35" xfId="2" applyFont="1" applyFill="1" applyBorder="1" applyAlignment="1">
      <alignment vertical="center"/>
    </xf>
    <xf numFmtId="191" fontId="83" fillId="8" borderId="35" xfId="2" applyFont="1" applyFill="1" applyBorder="1" applyAlignment="1">
      <alignment vertical="center"/>
    </xf>
    <xf numFmtId="191" fontId="25" fillId="8" borderId="35" xfId="2" applyFont="1" applyFill="1" applyBorder="1" applyAlignment="1">
      <alignment vertical="center"/>
    </xf>
    <xf numFmtId="176" fontId="65" fillId="8" borderId="35" xfId="4" applyFill="1" applyBorder="1" applyAlignment="1">
      <alignment vertical="center"/>
    </xf>
    <xf numFmtId="191" fontId="94" fillId="8" borderId="35" xfId="4" applyNumberFormat="1" applyFont="1" applyFill="1" applyBorder="1" applyAlignment="1">
      <alignment vertical="center"/>
    </xf>
    <xf numFmtId="191" fontId="65" fillId="8" borderId="35" xfId="4" applyNumberFormat="1" applyFill="1" applyBorder="1" applyAlignment="1">
      <alignment vertical="center"/>
    </xf>
    <xf numFmtId="191" fontId="85" fillId="8" borderId="35" xfId="2" applyFont="1" applyFill="1" applyBorder="1" applyAlignment="1">
      <alignment vertical="center"/>
    </xf>
    <xf numFmtId="0" fontId="14" fillId="11" borderId="35" xfId="0" applyFont="1" applyFill="1" applyBorder="1" applyAlignment="1">
      <alignment horizontal="center" vertical="center" wrapText="1"/>
    </xf>
    <xf numFmtId="0" fontId="14" fillId="11" borderId="37" xfId="0" applyFont="1" applyFill="1" applyBorder="1" applyAlignment="1">
      <alignment horizontal="center" vertical="center" wrapText="1"/>
    </xf>
    <xf numFmtId="0" fontId="84" fillId="5" borderId="35"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4" fillId="10" borderId="37" xfId="0" applyFont="1" applyFill="1" applyBorder="1" applyAlignment="1">
      <alignment horizontal="center" vertical="center" wrapText="1"/>
    </xf>
    <xf numFmtId="0" fontId="14" fillId="13" borderId="35" xfId="0" applyFont="1" applyFill="1" applyBorder="1" applyAlignment="1">
      <alignment horizontal="center" vertical="center" wrapText="1"/>
    </xf>
    <xf numFmtId="0" fontId="14" fillId="13" borderId="37" xfId="0" applyFont="1" applyFill="1" applyBorder="1" applyAlignment="1">
      <alignment horizontal="center" vertical="center" wrapText="1"/>
    </xf>
    <xf numFmtId="191" fontId="18" fillId="7" borderId="35" xfId="2" applyFont="1" applyFill="1" applyBorder="1" applyAlignment="1">
      <alignment vertical="center"/>
    </xf>
    <xf numFmtId="191" fontId="83" fillId="7" borderId="35" xfId="2" applyFont="1" applyFill="1" applyBorder="1" applyAlignment="1">
      <alignment vertical="center"/>
    </xf>
    <xf numFmtId="191" fontId="25" fillId="7" borderId="35" xfId="2" applyFont="1" applyFill="1" applyBorder="1" applyAlignment="1">
      <alignment vertical="center"/>
    </xf>
    <xf numFmtId="191" fontId="94" fillId="7" borderId="35" xfId="4" applyNumberFormat="1" applyFont="1" applyFill="1" applyBorder="1" applyAlignment="1">
      <alignment vertical="center"/>
    </xf>
    <xf numFmtId="191" fontId="65" fillId="7" borderId="35" xfId="4" applyNumberFormat="1" applyFill="1" applyBorder="1" applyAlignment="1">
      <alignment vertical="center"/>
    </xf>
    <xf numFmtId="191" fontId="85" fillId="7" borderId="35" xfId="2" applyFont="1" applyFill="1" applyBorder="1" applyAlignment="1">
      <alignment vertical="center"/>
    </xf>
    <xf numFmtId="0" fontId="102" fillId="9" borderId="38" xfId="0" applyFont="1" applyFill="1" applyBorder="1" applyAlignment="1">
      <alignment horizontal="centerContinuous" vertical="center" wrapText="1"/>
    </xf>
    <xf numFmtId="191" fontId="25" fillId="6" borderId="37" xfId="2" applyFont="1" applyFill="1" applyBorder="1" applyAlignment="1">
      <alignment vertical="center"/>
    </xf>
    <xf numFmtId="191" fontId="25" fillId="6" borderId="37" xfId="2" applyFont="1" applyFill="1" applyBorder="1" applyAlignment="1">
      <alignment horizontal="center" vertical="center" wrapText="1"/>
    </xf>
    <xf numFmtId="0" fontId="84" fillId="10" borderId="35" xfId="0" applyFont="1" applyFill="1" applyBorder="1" applyAlignment="1">
      <alignment horizontal="center" vertical="center" wrapText="1"/>
    </xf>
    <xf numFmtId="191" fontId="25" fillId="2" borderId="37" xfId="2" applyFont="1" applyFill="1" applyBorder="1" applyAlignment="1">
      <alignment vertical="center"/>
    </xf>
    <xf numFmtId="0" fontId="84" fillId="11" borderId="35" xfId="0" applyFont="1" applyFill="1" applyBorder="1" applyAlignment="1">
      <alignment horizontal="center" vertical="center" wrapText="1"/>
    </xf>
    <xf numFmtId="191" fontId="25" fillId="8" borderId="37" xfId="2" applyFont="1" applyFill="1" applyBorder="1" applyAlignment="1">
      <alignment vertical="center"/>
    </xf>
    <xf numFmtId="0" fontId="84" fillId="13" borderId="35" xfId="0" applyFont="1" applyFill="1" applyBorder="1" applyAlignment="1">
      <alignment horizontal="center" vertical="center" wrapText="1"/>
    </xf>
    <xf numFmtId="191" fontId="25" fillId="7" borderId="37" xfId="2" applyFont="1" applyFill="1" applyBorder="1" applyAlignment="1">
      <alignment vertical="center"/>
    </xf>
    <xf numFmtId="0" fontId="9" fillId="14" borderId="38" xfId="0" applyFont="1" applyFill="1" applyBorder="1" applyAlignment="1">
      <alignment horizontal="centerContinuous" vertical="center" wrapText="1"/>
    </xf>
    <xf numFmtId="0" fontId="65" fillId="0" borderId="36" xfId="4" applyNumberFormat="1" applyBorder="1"/>
    <xf numFmtId="0" fontId="65" fillId="0" borderId="36" xfId="4" applyNumberFormat="1" applyFill="1" applyBorder="1" applyAlignment="1">
      <alignment horizontal="left" vertical="center"/>
    </xf>
    <xf numFmtId="0" fontId="65" fillId="0" borderId="36" xfId="4" applyNumberFormat="1" applyFill="1" applyBorder="1" applyAlignment="1">
      <alignment vertical="center"/>
    </xf>
    <xf numFmtId="176" fontId="65" fillId="0" borderId="36" xfId="4" applyFill="1" applyBorder="1" applyAlignment="1">
      <alignment vertical="center"/>
    </xf>
    <xf numFmtId="176" fontId="65" fillId="8" borderId="37" xfId="4" applyFill="1" applyBorder="1" applyAlignment="1">
      <alignment vertical="center"/>
    </xf>
    <xf numFmtId="0" fontId="65" fillId="0" borderId="36" xfId="4" applyNumberFormat="1" applyFill="1" applyBorder="1" applyAlignment="1">
      <alignment horizontal="right" vertical="center"/>
    </xf>
    <xf numFmtId="0" fontId="65" fillId="0" borderId="16" xfId="4" applyNumberFormat="1" applyFill="1" applyBorder="1" applyAlignment="1">
      <alignment vertical="center"/>
    </xf>
    <xf numFmtId="0" fontId="65" fillId="0" borderId="16" xfId="4" applyNumberFormat="1" applyFill="1" applyBorder="1" applyAlignment="1">
      <alignment horizontal="left" vertical="center"/>
    </xf>
    <xf numFmtId="191" fontId="65" fillId="8" borderId="39" xfId="4" applyNumberFormat="1" applyFill="1" applyBorder="1" applyAlignment="1">
      <alignment vertical="center"/>
    </xf>
    <xf numFmtId="176" fontId="65" fillId="8" borderId="39" xfId="4" applyFill="1" applyBorder="1" applyAlignment="1">
      <alignment vertical="center"/>
    </xf>
    <xf numFmtId="191" fontId="74" fillId="2" borderId="40" xfId="2" applyFont="1" applyFill="1" applyBorder="1" applyAlignment="1">
      <alignment vertical="center"/>
    </xf>
    <xf numFmtId="191" fontId="74" fillId="8" borderId="40" xfId="2" applyFont="1" applyFill="1" applyBorder="1" applyAlignment="1">
      <alignment vertical="center"/>
    </xf>
    <xf numFmtId="191" fontId="74" fillId="7" borderId="40" xfId="2" applyFont="1" applyFill="1" applyBorder="1" applyAlignment="1">
      <alignment vertical="center"/>
    </xf>
    <xf numFmtId="191" fontId="103" fillId="6" borderId="35" xfId="2" applyFont="1" applyFill="1" applyBorder="1" applyAlignment="1">
      <alignment horizontal="right" vertical="center"/>
    </xf>
    <xf numFmtId="191" fontId="103" fillId="6" borderId="37" xfId="2" applyFont="1" applyFill="1" applyBorder="1" applyAlignment="1">
      <alignment horizontal="right" vertical="center"/>
    </xf>
    <xf numFmtId="191" fontId="65" fillId="6" borderId="35" xfId="2" applyFont="1" applyFill="1" applyBorder="1" applyAlignment="1">
      <alignment horizontal="right" vertical="center"/>
    </xf>
    <xf numFmtId="191" fontId="65" fillId="6" borderId="39" xfId="2" applyFont="1" applyFill="1" applyBorder="1" applyAlignment="1">
      <alignment horizontal="right" vertical="center"/>
    </xf>
    <xf numFmtId="191" fontId="25" fillId="6" borderId="35" xfId="2" applyFont="1" applyFill="1" applyBorder="1" applyAlignment="1">
      <alignment horizontal="right" vertical="center"/>
    </xf>
    <xf numFmtId="191" fontId="103" fillId="6" borderId="39" xfId="2" applyFont="1" applyFill="1" applyBorder="1" applyAlignment="1">
      <alignment horizontal="right" vertical="center"/>
    </xf>
    <xf numFmtId="191" fontId="74" fillId="6" borderId="40" xfId="2" applyFont="1" applyFill="1" applyBorder="1" applyAlignment="1">
      <alignment horizontal="right" vertical="center"/>
    </xf>
    <xf numFmtId="191" fontId="65" fillId="6" borderId="37" xfId="2" applyFont="1" applyFill="1" applyBorder="1" applyAlignment="1">
      <alignment horizontal="right" vertical="center"/>
    </xf>
    <xf numFmtId="0" fontId="101" fillId="14" borderId="38" xfId="0" applyFont="1" applyFill="1" applyBorder="1" applyAlignment="1">
      <alignment horizontal="centerContinuous" vertical="center" wrapText="1"/>
    </xf>
    <xf numFmtId="191" fontId="103" fillId="2" borderId="35" xfId="2" applyFont="1" applyFill="1" applyBorder="1" applyAlignment="1">
      <alignment vertical="center"/>
    </xf>
    <xf numFmtId="191" fontId="65" fillId="2" borderId="35" xfId="2" applyFont="1" applyFill="1" applyBorder="1" applyAlignment="1">
      <alignment vertical="center"/>
    </xf>
    <xf numFmtId="191" fontId="103" fillId="2" borderId="37" xfId="2" applyFont="1" applyFill="1" applyBorder="1" applyAlignment="1">
      <alignment vertical="center"/>
    </xf>
    <xf numFmtId="191" fontId="65" fillId="2" borderId="37" xfId="2" applyFont="1" applyFill="1" applyBorder="1" applyAlignment="1">
      <alignment vertical="center"/>
    </xf>
    <xf numFmtId="191" fontId="65" fillId="2" borderId="39" xfId="2" applyFont="1" applyFill="1" applyBorder="1" applyAlignment="1">
      <alignment vertical="center"/>
    </xf>
    <xf numFmtId="191" fontId="103" fillId="2" borderId="39" xfId="2" applyFont="1" applyFill="1" applyBorder="1" applyAlignment="1">
      <alignment vertical="center"/>
    </xf>
    <xf numFmtId="191" fontId="103" fillId="7" borderId="35" xfId="2" applyFont="1" applyFill="1" applyBorder="1" applyAlignment="1">
      <alignment vertical="center"/>
    </xf>
    <xf numFmtId="191" fontId="103" fillId="7" borderId="37" xfId="2" applyFont="1" applyFill="1" applyBorder="1" applyAlignment="1">
      <alignment vertical="center"/>
    </xf>
    <xf numFmtId="191" fontId="65" fillId="7" borderId="35" xfId="2" applyFont="1" applyFill="1" applyBorder="1" applyAlignment="1">
      <alignment vertical="center"/>
    </xf>
    <xf numFmtId="191" fontId="65" fillId="7" borderId="39" xfId="2" applyFont="1" applyFill="1" applyBorder="1" applyAlignment="1">
      <alignment vertical="center"/>
    </xf>
    <xf numFmtId="191" fontId="103" fillId="7" borderId="39" xfId="2" applyFont="1" applyFill="1" applyBorder="1" applyAlignment="1">
      <alignment vertical="center"/>
    </xf>
    <xf numFmtId="191" fontId="65" fillId="7" borderId="41" xfId="2" applyFont="1" applyFill="1" applyBorder="1" applyAlignment="1">
      <alignment vertical="center"/>
    </xf>
    <xf numFmtId="191" fontId="103" fillId="8" borderId="35" xfId="2" applyFont="1" applyFill="1" applyBorder="1" applyAlignment="1">
      <alignment vertical="center"/>
    </xf>
    <xf numFmtId="191" fontId="103" fillId="8" borderId="37" xfId="2" applyFont="1" applyFill="1" applyBorder="1" applyAlignment="1">
      <alignment vertical="center"/>
    </xf>
    <xf numFmtId="191" fontId="65" fillId="8" borderId="35" xfId="2" applyFont="1" applyFill="1" applyBorder="1" applyAlignment="1">
      <alignment vertical="center"/>
    </xf>
    <xf numFmtId="191" fontId="65" fillId="8" borderId="39" xfId="2" applyFont="1" applyFill="1" applyBorder="1" applyAlignment="1">
      <alignment vertical="center"/>
    </xf>
    <xf numFmtId="191" fontId="103" fillId="8" borderId="39" xfId="2" applyFont="1" applyFill="1" applyBorder="1" applyAlignment="1">
      <alignment vertical="center"/>
    </xf>
    <xf numFmtId="191" fontId="65" fillId="8" borderId="41" xfId="2" applyFont="1" applyFill="1" applyBorder="1" applyAlignment="1">
      <alignment vertical="center"/>
    </xf>
    <xf numFmtId="191" fontId="65" fillId="7" borderId="37" xfId="2" applyFont="1" applyFill="1" applyBorder="1" applyAlignment="1">
      <alignment vertical="center"/>
    </xf>
    <xf numFmtId="0" fontId="8" fillId="0" borderId="0" xfId="0" applyFont="1" applyAlignment="1">
      <alignment horizontal="left" vertical="center"/>
    </xf>
    <xf numFmtId="191" fontId="4" fillId="6" borderId="24" xfId="2" applyFont="1" applyFill="1" applyBorder="1" applyAlignment="1">
      <alignment horizontal="right" vertical="center"/>
    </xf>
    <xf numFmtId="191" fontId="4" fillId="6" borderId="25" xfId="2" applyFont="1" applyFill="1" applyBorder="1" applyAlignment="1">
      <alignment horizontal="right" vertical="center"/>
    </xf>
    <xf numFmtId="0" fontId="94" fillId="0" borderId="0" xfId="4" applyNumberFormat="1" applyFont="1" applyFill="1" applyBorder="1" applyAlignment="1">
      <alignment horizontal="right" vertical="center"/>
    </xf>
    <xf numFmtId="0" fontId="94" fillId="0" borderId="42" xfId="4" applyNumberFormat="1" applyFont="1" applyFill="1" applyBorder="1" applyAlignment="1">
      <alignment vertical="center"/>
    </xf>
    <xf numFmtId="191" fontId="94" fillId="6" borderId="43" xfId="4" applyNumberFormat="1" applyFont="1" applyFill="1" applyBorder="1" applyAlignment="1">
      <alignment vertical="center"/>
    </xf>
    <xf numFmtId="191" fontId="94" fillId="6" borderId="43" xfId="4" applyNumberFormat="1" applyFont="1" applyFill="1" applyBorder="1" applyAlignment="1">
      <alignment horizontal="center" vertical="center" wrapText="1"/>
    </xf>
    <xf numFmtId="191" fontId="94" fillId="2" borderId="43" xfId="4" applyNumberFormat="1" applyFont="1" applyFill="1" applyBorder="1" applyAlignment="1">
      <alignment vertical="center"/>
    </xf>
    <xf numFmtId="191" fontId="94" fillId="8" borderId="43" xfId="4" applyNumberFormat="1" applyFont="1" applyFill="1" applyBorder="1" applyAlignment="1">
      <alignment vertical="center"/>
    </xf>
    <xf numFmtId="191" fontId="94" fillId="7" borderId="43" xfId="4" applyNumberFormat="1" applyFont="1" applyFill="1" applyBorder="1" applyAlignment="1">
      <alignment vertical="center"/>
    </xf>
    <xf numFmtId="0" fontId="94" fillId="0" borderId="36" xfId="4" applyNumberFormat="1" applyFont="1" applyFill="1" applyBorder="1" applyAlignment="1">
      <alignment vertical="center"/>
    </xf>
    <xf numFmtId="191" fontId="94" fillId="6" borderId="37" xfId="4" applyNumberFormat="1" applyFont="1" applyFill="1" applyBorder="1" applyAlignment="1">
      <alignment vertical="center"/>
    </xf>
    <xf numFmtId="191" fontId="94" fillId="6" borderId="37" xfId="4" applyNumberFormat="1" applyFont="1" applyFill="1" applyBorder="1" applyAlignment="1">
      <alignment horizontal="center" vertical="center" wrapText="1"/>
    </xf>
    <xf numFmtId="191" fontId="94" fillId="2" borderId="37" xfId="4" applyNumberFormat="1" applyFont="1" applyFill="1" applyBorder="1" applyAlignment="1">
      <alignment vertical="center"/>
    </xf>
    <xf numFmtId="191" fontId="94" fillId="8" borderId="37" xfId="4" applyNumberFormat="1" applyFont="1" applyFill="1" applyBorder="1" applyAlignment="1">
      <alignment vertical="center"/>
    </xf>
    <xf numFmtId="191" fontId="94" fillId="7" borderId="37" xfId="4" applyNumberFormat="1" applyFont="1" applyFill="1" applyBorder="1" applyAlignment="1">
      <alignment vertical="center"/>
    </xf>
    <xf numFmtId="191" fontId="103" fillId="6" borderId="38" xfId="2" applyFont="1" applyFill="1" applyBorder="1" applyAlignment="1">
      <alignment horizontal="right" vertical="center"/>
    </xf>
    <xf numFmtId="191" fontId="65" fillId="6" borderId="38" xfId="2" applyFont="1" applyFill="1" applyBorder="1" applyAlignment="1">
      <alignment horizontal="right" vertical="center"/>
    </xf>
    <xf numFmtId="191" fontId="103" fillId="2" borderId="38" xfId="2" applyFont="1" applyFill="1" applyBorder="1" applyAlignment="1">
      <alignment vertical="center"/>
    </xf>
    <xf numFmtId="191" fontId="65" fillId="2" borderId="38" xfId="2" applyFont="1" applyFill="1" applyBorder="1" applyAlignment="1">
      <alignment vertical="center"/>
    </xf>
    <xf numFmtId="191" fontId="103" fillId="8" borderId="38" xfId="2" applyFont="1" applyFill="1" applyBorder="1" applyAlignment="1">
      <alignment vertical="center"/>
    </xf>
    <xf numFmtId="191" fontId="65" fillId="8" borderId="38" xfId="4" applyNumberFormat="1" applyFill="1" applyBorder="1" applyAlignment="1">
      <alignment vertical="center"/>
    </xf>
    <xf numFmtId="191" fontId="103" fillId="7" borderId="38" xfId="2" applyFont="1" applyFill="1" applyBorder="1" applyAlignment="1">
      <alignment vertical="center"/>
    </xf>
    <xf numFmtId="191" fontId="65" fillId="7" borderId="38" xfId="2" applyFont="1" applyFill="1" applyBorder="1" applyAlignment="1">
      <alignment vertical="center"/>
    </xf>
    <xf numFmtId="0" fontId="0" fillId="0" borderId="16" xfId="0" applyFont="1" applyFill="1" applyBorder="1" applyAlignment="1">
      <alignment vertical="center"/>
    </xf>
    <xf numFmtId="191" fontId="94" fillId="6" borderId="38" xfId="4" applyNumberFormat="1" applyFont="1" applyFill="1" applyBorder="1" applyAlignment="1">
      <alignment vertical="center"/>
    </xf>
    <xf numFmtId="191" fontId="94" fillId="6" borderId="38" xfId="4" applyNumberFormat="1" applyFont="1" applyFill="1" applyBorder="1" applyAlignment="1">
      <alignment horizontal="center" vertical="center" wrapText="1"/>
    </xf>
    <xf numFmtId="191" fontId="94" fillId="2" borderId="38" xfId="4" applyNumberFormat="1" applyFont="1" applyFill="1" applyBorder="1" applyAlignment="1">
      <alignment vertical="center"/>
    </xf>
    <xf numFmtId="191" fontId="94" fillId="8" borderId="38" xfId="4" applyNumberFormat="1" applyFont="1" applyFill="1" applyBorder="1" applyAlignment="1">
      <alignment vertical="center"/>
    </xf>
    <xf numFmtId="191" fontId="94" fillId="7" borderId="38" xfId="4" applyNumberFormat="1" applyFont="1" applyFill="1" applyBorder="1" applyAlignment="1">
      <alignment vertical="center"/>
    </xf>
    <xf numFmtId="191" fontId="74" fillId="6" borderId="40" xfId="2" applyFont="1" applyFill="1" applyBorder="1" applyAlignment="1">
      <alignment vertical="center"/>
    </xf>
    <xf numFmtId="191" fontId="74" fillId="6" borderId="40" xfId="2" applyFont="1" applyFill="1" applyBorder="1" applyAlignment="1">
      <alignment horizontal="center" vertical="center" wrapText="1"/>
    </xf>
    <xf numFmtId="0" fontId="104" fillId="0" borderId="0" xfId="4" applyNumberFormat="1" applyFont="1"/>
    <xf numFmtId="10" fontId="0" fillId="0" borderId="0" xfId="0" applyNumberFormat="1"/>
    <xf numFmtId="191" fontId="0" fillId="6" borderId="23" xfId="2" applyFont="1" applyFill="1" applyBorder="1" applyAlignment="1">
      <alignment vertical="center"/>
    </xf>
    <xf numFmtId="190" fontId="0" fillId="6" borderId="0" xfId="0" applyNumberFormat="1" applyFill="1" applyBorder="1" applyAlignment="1">
      <alignment vertical="center"/>
    </xf>
    <xf numFmtId="0" fontId="0" fillId="6" borderId="20" xfId="0" applyNumberFormat="1" applyFont="1" applyFill="1" applyBorder="1" applyAlignment="1">
      <alignment vertical="center"/>
    </xf>
    <xf numFmtId="0" fontId="0" fillId="6" borderId="20" xfId="0" applyFont="1" applyFill="1" applyBorder="1" applyAlignment="1">
      <alignment vertical="center"/>
    </xf>
    <xf numFmtId="9" fontId="0" fillId="6" borderId="23" xfId="0" applyNumberFormat="1" applyFont="1" applyFill="1" applyBorder="1" applyAlignment="1">
      <alignment vertical="center"/>
    </xf>
    <xf numFmtId="0" fontId="0" fillId="6" borderId="0" xfId="0" applyFont="1" applyFill="1" applyBorder="1" applyAlignment="1">
      <alignment vertical="center"/>
    </xf>
    <xf numFmtId="0" fontId="16" fillId="6" borderId="0" xfId="0" applyFont="1" applyFill="1" applyBorder="1" applyAlignment="1">
      <alignment vertical="center"/>
    </xf>
    <xf numFmtId="190" fontId="0" fillId="6" borderId="0" xfId="1" applyNumberFormat="1" applyFont="1" applyFill="1" applyBorder="1" applyAlignment="1">
      <alignment horizontal="right" vertical="center"/>
    </xf>
    <xf numFmtId="9" fontId="0" fillId="6" borderId="22" xfId="0" applyNumberFormat="1" applyFont="1" applyFill="1" applyBorder="1" applyAlignment="1">
      <alignment horizontal="right" vertical="center"/>
    </xf>
    <xf numFmtId="9" fontId="0" fillId="6" borderId="0" xfId="1" applyNumberFormat="1" applyFont="1" applyFill="1" applyBorder="1" applyAlignment="1">
      <alignment horizontal="right" vertical="center"/>
    </xf>
    <xf numFmtId="0" fontId="0" fillId="6" borderId="1" xfId="0" applyNumberFormat="1" applyFont="1" applyFill="1" applyBorder="1" applyAlignment="1">
      <alignment vertical="center"/>
    </xf>
    <xf numFmtId="0" fontId="0" fillId="6" borderId="1" xfId="0" applyFont="1" applyFill="1" applyBorder="1" applyAlignment="1">
      <alignment vertical="center"/>
    </xf>
    <xf numFmtId="191" fontId="0" fillId="6" borderId="0" xfId="2" applyFont="1" applyFill="1" applyBorder="1" applyAlignment="1">
      <alignment horizontal="right" vertical="center"/>
    </xf>
    <xf numFmtId="190" fontId="0" fillId="6" borderId="22" xfId="0" applyNumberFormat="1" applyFont="1" applyFill="1" applyBorder="1" applyAlignment="1">
      <alignment horizontal="right" vertical="center"/>
    </xf>
    <xf numFmtId="190" fontId="0" fillId="6" borderId="23" xfId="0" applyNumberFormat="1" applyFont="1" applyFill="1" applyBorder="1" applyAlignment="1">
      <alignment vertical="center"/>
    </xf>
    <xf numFmtId="0" fontId="13" fillId="0" borderId="0" xfId="0" applyFont="1"/>
    <xf numFmtId="0" fontId="0" fillId="0" borderId="0" xfId="0" applyFill="1" applyBorder="1" applyAlignment="1">
      <alignment horizontal="left" vertical="center"/>
    </xf>
    <xf numFmtId="191" fontId="65" fillId="6" borderId="35" xfId="4" applyNumberFormat="1" applyFill="1" applyBorder="1" applyAlignment="1">
      <alignment horizontal="right" vertical="center"/>
    </xf>
    <xf numFmtId="0" fontId="25" fillId="0" borderId="0" xfId="4" applyNumberFormat="1" applyFont="1"/>
    <xf numFmtId="191" fontId="83" fillId="6" borderId="44" xfId="2" applyFont="1" applyFill="1" applyBorder="1" applyAlignment="1">
      <alignment vertical="center"/>
    </xf>
    <xf numFmtId="191" fontId="83" fillId="2" borderId="44" xfId="2" applyFont="1" applyFill="1" applyBorder="1" applyAlignment="1">
      <alignment vertical="center"/>
    </xf>
    <xf numFmtId="191" fontId="83" fillId="8" borderId="44" xfId="2" applyFont="1" applyFill="1" applyBorder="1" applyAlignment="1">
      <alignment vertical="center"/>
    </xf>
    <xf numFmtId="191" fontId="83" fillId="7" borderId="44" xfId="2" applyFont="1" applyFill="1" applyBorder="1" applyAlignment="1">
      <alignment vertical="center"/>
    </xf>
    <xf numFmtId="191" fontId="65" fillId="6" borderId="39" xfId="4" applyNumberFormat="1" applyFill="1" applyBorder="1" applyAlignment="1">
      <alignment vertical="center"/>
    </xf>
    <xf numFmtId="191" fontId="65" fillId="6" borderId="39" xfId="4" applyNumberFormat="1" applyFill="1" applyBorder="1" applyAlignment="1">
      <alignment horizontal="center" vertical="center" wrapText="1"/>
    </xf>
    <xf numFmtId="191" fontId="65" fillId="6" borderId="39" xfId="4" applyNumberFormat="1" applyFill="1" applyBorder="1" applyAlignment="1">
      <alignment horizontal="right" vertical="center"/>
    </xf>
    <xf numFmtId="191" fontId="65" fillId="2" borderId="39" xfId="4" applyNumberFormat="1" applyFill="1" applyBorder="1" applyAlignment="1">
      <alignment vertical="center"/>
    </xf>
    <xf numFmtId="191" fontId="65" fillId="7" borderId="39" xfId="4" applyNumberFormat="1" applyFill="1" applyBorder="1" applyAlignment="1">
      <alignment vertical="center"/>
    </xf>
    <xf numFmtId="0" fontId="106" fillId="0" borderId="0" xfId="0" applyFont="1"/>
    <xf numFmtId="191" fontId="21" fillId="0" borderId="0" xfId="2" applyFont="1"/>
    <xf numFmtId="191" fontId="65" fillId="0" borderId="0" xfId="4" applyNumberFormat="1"/>
    <xf numFmtId="0" fontId="0" fillId="0" borderId="0" xfId="0" applyAlignment="1">
      <alignment horizontal="center"/>
    </xf>
    <xf numFmtId="0" fontId="0" fillId="0" borderId="0" xfId="0" applyAlignment="1">
      <alignment horizontal="centerContinuous"/>
    </xf>
    <xf numFmtId="0" fontId="0" fillId="2" borderId="45" xfId="0" applyFill="1" applyBorder="1" applyAlignment="1">
      <alignment vertical="center"/>
    </xf>
    <xf numFmtId="0" fontId="0" fillId="0" borderId="45" xfId="0" applyFill="1" applyBorder="1" applyAlignment="1">
      <alignment vertical="center"/>
    </xf>
    <xf numFmtId="0" fontId="0" fillId="0" borderId="45" xfId="0" applyFill="1" applyBorder="1" applyAlignment="1">
      <alignment horizontal="center" vertical="center"/>
    </xf>
    <xf numFmtId="0" fontId="8" fillId="2" borderId="45" xfId="0" applyFont="1" applyFill="1" applyBorder="1" applyAlignment="1">
      <alignment vertical="center"/>
    </xf>
    <xf numFmtId="0" fontId="8" fillId="2" borderId="46" xfId="0" applyFont="1" applyFill="1" applyBorder="1" applyAlignment="1">
      <alignment vertical="center"/>
    </xf>
    <xf numFmtId="0" fontId="107" fillId="0" borderId="0" xfId="0" applyFont="1" applyAlignment="1">
      <alignment horizontal="center" vertical="center"/>
    </xf>
    <xf numFmtId="0" fontId="107" fillId="0" borderId="45" xfId="0" applyFont="1" applyFill="1" applyBorder="1" applyAlignment="1">
      <alignment horizontal="center" vertical="center"/>
    </xf>
    <xf numFmtId="0" fontId="9" fillId="18" borderId="0" xfId="0" applyFont="1" applyFill="1" applyAlignment="1">
      <alignment vertical="center"/>
    </xf>
    <xf numFmtId="0" fontId="13" fillId="18" borderId="0" xfId="0" applyFont="1" applyFill="1" applyAlignment="1">
      <alignment vertical="center"/>
    </xf>
    <xf numFmtId="0" fontId="0" fillId="2" borderId="45" xfId="0" applyFill="1" applyBorder="1" applyAlignment="1">
      <alignment horizontal="right" vertical="center"/>
    </xf>
    <xf numFmtId="0" fontId="0" fillId="2" borderId="45" xfId="0" applyFont="1" applyFill="1" applyBorder="1" applyAlignment="1">
      <alignment horizontal="right" vertical="center"/>
    </xf>
    <xf numFmtId="0" fontId="0" fillId="0" borderId="0" xfId="0" applyFont="1" applyAlignment="1">
      <alignment horizontal="right" vertical="center"/>
    </xf>
    <xf numFmtId="0" fontId="4" fillId="0" borderId="0" xfId="0" applyFont="1"/>
    <xf numFmtId="197" fontId="0" fillId="0" borderId="0" xfId="0" applyNumberFormat="1"/>
    <xf numFmtId="0" fontId="98" fillId="0" borderId="0" xfId="0" applyFont="1"/>
    <xf numFmtId="197" fontId="0" fillId="0" borderId="0" xfId="0" applyNumberFormat="1" applyBorder="1"/>
    <xf numFmtId="0" fontId="13" fillId="18" borderId="0" xfId="0" applyFont="1" applyFill="1" applyAlignment="1">
      <alignment horizontal="center" vertical="center"/>
    </xf>
    <xf numFmtId="3" fontId="0" fillId="0" borderId="0" xfId="0" applyNumberFormat="1" applyBorder="1" applyAlignment="1">
      <alignment vertical="center"/>
    </xf>
    <xf numFmtId="0" fontId="0" fillId="0" borderId="0" xfId="0" applyFont="1" applyBorder="1" applyAlignment="1">
      <alignment horizontal="left" vertical="center"/>
    </xf>
    <xf numFmtId="0" fontId="0" fillId="0" borderId="15" xfId="0" applyFont="1" applyBorder="1" applyAlignment="1">
      <alignment horizontal="left" vertical="center"/>
    </xf>
    <xf numFmtId="191" fontId="65" fillId="2" borderId="41" xfId="2" applyFont="1" applyFill="1" applyBorder="1" applyAlignment="1">
      <alignment vertical="center"/>
    </xf>
    <xf numFmtId="0" fontId="101" fillId="18" borderId="46" xfId="0" applyFont="1" applyFill="1" applyBorder="1" applyAlignment="1">
      <alignment horizontal="centerContinuous" vertical="center" wrapText="1"/>
    </xf>
    <xf numFmtId="0" fontId="9" fillId="18" borderId="45" xfId="0" applyFont="1" applyFill="1" applyBorder="1" applyAlignment="1">
      <alignment horizontal="centerContinuous" vertical="center" wrapText="1"/>
    </xf>
    <xf numFmtId="0" fontId="101" fillId="12" borderId="45" xfId="0" applyFont="1" applyFill="1" applyBorder="1" applyAlignment="1">
      <alignment horizontal="centerContinuous" vertical="center" wrapText="1"/>
    </xf>
    <xf numFmtId="0" fontId="9" fillId="12" borderId="45" xfId="0" applyFont="1" applyFill="1" applyBorder="1" applyAlignment="1">
      <alignment horizontal="centerContinuous" vertical="center" wrapText="1"/>
    </xf>
    <xf numFmtId="0" fontId="9" fillId="18" borderId="47" xfId="0" applyFont="1" applyFill="1" applyBorder="1" applyAlignment="1">
      <alignment horizontal="centerContinuous" vertical="center" wrapText="1"/>
    </xf>
    <xf numFmtId="0" fontId="101" fillId="18" borderId="45" xfId="0" applyFont="1" applyFill="1" applyBorder="1" applyAlignment="1">
      <alignment horizontal="centerContinuous" vertical="center" wrapText="1"/>
    </xf>
    <xf numFmtId="0" fontId="9" fillId="12" borderId="46" xfId="0" applyFont="1" applyFill="1" applyBorder="1" applyAlignment="1">
      <alignment horizontal="centerContinuous" vertical="center" wrapText="1"/>
    </xf>
    <xf numFmtId="0" fontId="9" fillId="12" borderId="47" xfId="0" applyFont="1" applyFill="1" applyBorder="1" applyAlignment="1">
      <alignment horizontal="centerContinuous" vertical="center" wrapText="1"/>
    </xf>
    <xf numFmtId="0" fontId="0" fillId="0" borderId="0" xfId="0" applyAlignment="1">
      <alignment horizontal="right" vertical="center"/>
    </xf>
    <xf numFmtId="0" fontId="101" fillId="16" borderId="46" xfId="0" applyFont="1" applyFill="1" applyBorder="1" applyAlignment="1">
      <alignment horizontal="centerContinuous" vertical="center" wrapText="1"/>
    </xf>
    <xf numFmtId="0" fontId="101" fillId="16" borderId="45" xfId="0" applyFont="1" applyFill="1" applyBorder="1" applyAlignment="1">
      <alignment horizontal="centerContinuous" vertical="center"/>
    </xf>
    <xf numFmtId="0" fontId="0" fillId="17" borderId="38" xfId="0" applyFill="1" applyBorder="1" applyAlignment="1">
      <alignment horizontal="center" vertical="center"/>
    </xf>
    <xf numFmtId="0" fontId="0" fillId="15" borderId="43" xfId="0" applyFill="1" applyBorder="1"/>
    <xf numFmtId="0" fontId="0" fillId="15" borderId="35" xfId="0" applyFill="1" applyBorder="1"/>
    <xf numFmtId="0" fontId="65" fillId="15" borderId="35" xfId="4" applyNumberFormat="1" applyFill="1" applyBorder="1"/>
    <xf numFmtId="0" fontId="0" fillId="15" borderId="35" xfId="0" applyFont="1" applyFill="1" applyBorder="1"/>
    <xf numFmtId="0" fontId="94" fillId="15" borderId="35" xfId="4" applyNumberFormat="1" applyFont="1" applyFill="1" applyBorder="1"/>
    <xf numFmtId="0" fontId="0" fillId="15" borderId="37" xfId="0" applyFill="1" applyBorder="1"/>
    <xf numFmtId="0" fontId="0" fillId="17" borderId="48" xfId="0" applyFont="1" applyFill="1" applyBorder="1" applyAlignment="1">
      <alignment horizontal="centerContinuous" vertical="center" wrapText="1"/>
    </xf>
    <xf numFmtId="0" fontId="0" fillId="17" borderId="42" xfId="0" applyFont="1" applyFill="1" applyBorder="1" applyAlignment="1">
      <alignment horizontal="centerContinuous" vertical="center" wrapText="1"/>
    </xf>
    <xf numFmtId="0" fontId="0" fillId="17" borderId="49" xfId="0" applyFont="1" applyFill="1" applyBorder="1" applyAlignment="1">
      <alignment horizontal="centerContinuous" vertical="center" wrapText="1"/>
    </xf>
    <xf numFmtId="0" fontId="12" fillId="17" borderId="50" xfId="0" applyFont="1" applyFill="1" applyBorder="1" applyAlignment="1">
      <alignment horizontal="centerContinuous" vertical="center"/>
    </xf>
    <xf numFmtId="0" fontId="12" fillId="17" borderId="36" xfId="0" applyFont="1" applyFill="1" applyBorder="1" applyAlignment="1">
      <alignment horizontal="centerContinuous" vertical="center"/>
    </xf>
    <xf numFmtId="0" fontId="12" fillId="17" borderId="51" xfId="0" applyFont="1" applyFill="1" applyBorder="1" applyAlignment="1">
      <alignment horizontal="centerContinuous" vertical="center"/>
    </xf>
    <xf numFmtId="0" fontId="0" fillId="6" borderId="52" xfId="0" applyFill="1" applyBorder="1"/>
    <xf numFmtId="0" fontId="0" fillId="6" borderId="53" xfId="0" applyFill="1" applyBorder="1"/>
    <xf numFmtId="0" fontId="8" fillId="6" borderId="52" xfId="0" applyFont="1" applyFill="1" applyBorder="1"/>
    <xf numFmtId="0" fontId="16" fillId="6" borderId="52" xfId="0" applyFont="1" applyFill="1" applyBorder="1"/>
    <xf numFmtId="0" fontId="8" fillId="6" borderId="52" xfId="0" applyFont="1" applyFill="1" applyBorder="1" applyAlignment="1">
      <alignment vertical="center"/>
    </xf>
    <xf numFmtId="0" fontId="0" fillId="6" borderId="53" xfId="0" applyFill="1" applyBorder="1" applyAlignment="1">
      <alignment vertical="center"/>
    </xf>
    <xf numFmtId="0" fontId="0" fillId="6" borderId="52" xfId="0" applyFont="1" applyFill="1" applyBorder="1"/>
    <xf numFmtId="0" fontId="0" fillId="6" borderId="50" xfId="0" applyFill="1" applyBorder="1"/>
    <xf numFmtId="0" fontId="0" fillId="6" borderId="36" xfId="0" applyFill="1" applyBorder="1"/>
    <xf numFmtId="0" fontId="0" fillId="6" borderId="51" xfId="0" applyFill="1" applyBorder="1"/>
    <xf numFmtId="0" fontId="0" fillId="9" borderId="45" xfId="0" applyFill="1" applyBorder="1" applyAlignment="1">
      <alignment vertical="center"/>
    </xf>
    <xf numFmtId="0" fontId="0" fillId="9" borderId="47" xfId="0" applyFill="1" applyBorder="1" applyAlignment="1">
      <alignment vertical="center"/>
    </xf>
    <xf numFmtId="0" fontId="9" fillId="9" borderId="45" xfId="0" applyFont="1" applyFill="1" applyBorder="1" applyAlignment="1">
      <alignment vertical="center"/>
    </xf>
    <xf numFmtId="0" fontId="110" fillId="0" borderId="0" xfId="0" applyFont="1" applyAlignment="1">
      <alignment vertical="center"/>
    </xf>
    <xf numFmtId="0" fontId="110" fillId="0" borderId="0" xfId="0" applyFont="1"/>
    <xf numFmtId="0" fontId="0" fillId="8" borderId="52" xfId="0" applyFill="1" applyBorder="1"/>
    <xf numFmtId="0" fontId="0" fillId="8" borderId="0" xfId="0" applyFont="1" applyFill="1" applyBorder="1"/>
    <xf numFmtId="0" fontId="0" fillId="8" borderId="0" xfId="0" applyFill="1" applyBorder="1"/>
    <xf numFmtId="0" fontId="0" fillId="8" borderId="0" xfId="0" applyFill="1" applyBorder="1" applyAlignment="1">
      <alignment horizontal="right"/>
    </xf>
    <xf numFmtId="0" fontId="0" fillId="8" borderId="53" xfId="0" applyFill="1" applyBorder="1"/>
    <xf numFmtId="0" fontId="8" fillId="8" borderId="52" xfId="0" applyFont="1" applyFill="1" applyBorder="1"/>
    <xf numFmtId="0" fontId="8" fillId="8" borderId="50" xfId="0" applyFont="1" applyFill="1" applyBorder="1"/>
    <xf numFmtId="0" fontId="0" fillId="8" borderId="36" xfId="0" applyFill="1" applyBorder="1" applyAlignment="1">
      <alignment vertical="center"/>
    </xf>
    <xf numFmtId="0" fontId="0" fillId="8" borderId="36" xfId="0" applyFill="1" applyBorder="1"/>
    <xf numFmtId="0" fontId="0" fillId="8" borderId="51" xfId="0" applyFill="1" applyBorder="1"/>
    <xf numFmtId="0" fontId="9" fillId="12" borderId="45" xfId="0" applyFont="1" applyFill="1" applyBorder="1" applyAlignment="1">
      <alignment vertical="center"/>
    </xf>
    <xf numFmtId="0" fontId="0" fillId="12" borderId="45" xfId="0" applyFill="1" applyBorder="1"/>
    <xf numFmtId="0" fontId="0" fillId="12" borderId="45" xfId="0" applyFill="1" applyBorder="1" applyAlignment="1">
      <alignment horizontal="right"/>
    </xf>
    <xf numFmtId="0" fontId="0" fillId="12" borderId="47" xfId="0" applyFill="1" applyBorder="1"/>
    <xf numFmtId="0" fontId="16" fillId="8" borderId="0" xfId="0" applyFont="1" applyFill="1" applyBorder="1"/>
    <xf numFmtId="0" fontId="8" fillId="8" borderId="52" xfId="0" applyFont="1" applyFill="1" applyBorder="1" applyAlignment="1">
      <alignment vertical="center"/>
    </xf>
    <xf numFmtId="0" fontId="4" fillId="8" borderId="0" xfId="0" applyFont="1" applyFill="1" applyBorder="1" applyAlignment="1">
      <alignment vertical="center"/>
    </xf>
    <xf numFmtId="0" fontId="90" fillId="8" borderId="0" xfId="0" applyFont="1" applyFill="1" applyBorder="1" applyAlignment="1">
      <alignment vertical="center"/>
    </xf>
    <xf numFmtId="0" fontId="90" fillId="8" borderId="53" xfId="0" applyFont="1" applyFill="1" applyBorder="1" applyAlignment="1">
      <alignment vertical="center"/>
    </xf>
    <xf numFmtId="0" fontId="0" fillId="8" borderId="53" xfId="0" applyFill="1" applyBorder="1" applyAlignment="1">
      <alignment vertical="center"/>
    </xf>
    <xf numFmtId="0" fontId="0" fillId="8" borderId="50" xfId="0" applyFill="1" applyBorder="1"/>
    <xf numFmtId="0" fontId="8" fillId="6" borderId="50" xfId="0" applyFont="1" applyFill="1" applyBorder="1"/>
    <xf numFmtId="0" fontId="0" fillId="6" borderId="36" xfId="0" applyNumberFormat="1" applyFill="1" applyBorder="1" applyAlignment="1">
      <alignment vertical="center"/>
    </xf>
    <xf numFmtId="0" fontId="0" fillId="6" borderId="36" xfId="0" applyFill="1" applyBorder="1" applyAlignment="1">
      <alignment vertical="center"/>
    </xf>
    <xf numFmtId="191" fontId="0" fillId="6" borderId="36" xfId="2" applyFont="1" applyFill="1" applyBorder="1" applyAlignment="1">
      <alignment vertical="center"/>
    </xf>
    <xf numFmtId="0" fontId="0" fillId="6" borderId="36" xfId="0" applyFill="1" applyBorder="1" applyAlignment="1">
      <alignment horizontal="right" vertical="center"/>
    </xf>
    <xf numFmtId="0" fontId="9" fillId="13" borderId="45" xfId="0" applyFont="1" applyFill="1" applyBorder="1" applyAlignment="1">
      <alignment vertical="center"/>
    </xf>
    <xf numFmtId="0" fontId="0" fillId="13" borderId="45" xfId="0" applyFill="1" applyBorder="1"/>
    <xf numFmtId="0" fontId="0" fillId="13" borderId="47" xfId="0" applyFill="1" applyBorder="1"/>
    <xf numFmtId="0" fontId="16" fillId="7" borderId="0" xfId="0" applyFont="1" applyFill="1" applyBorder="1"/>
    <xf numFmtId="0" fontId="0" fillId="7" borderId="0" xfId="0" applyFill="1" applyBorder="1"/>
    <xf numFmtId="0" fontId="0" fillId="7" borderId="0" xfId="0" applyFill="1" applyBorder="1" applyAlignment="1">
      <alignment horizontal="right"/>
    </xf>
    <xf numFmtId="0" fontId="4" fillId="7" borderId="0" xfId="0" applyFont="1" applyFill="1" applyBorder="1" applyAlignment="1">
      <alignment vertical="center"/>
    </xf>
    <xf numFmtId="0" fontId="90" fillId="7" borderId="0" xfId="0" applyFont="1" applyFill="1" applyBorder="1" applyAlignment="1">
      <alignment vertical="center"/>
    </xf>
    <xf numFmtId="0" fontId="0" fillId="7" borderId="0" xfId="0" applyFill="1" applyBorder="1" applyAlignment="1">
      <alignment vertical="center"/>
    </xf>
    <xf numFmtId="0" fontId="0" fillId="7" borderId="48" xfId="0" applyFill="1" applyBorder="1"/>
    <xf numFmtId="0" fontId="0" fillId="7" borderId="42" xfId="0" applyFill="1" applyBorder="1"/>
    <xf numFmtId="0" fontId="0" fillId="7" borderId="49" xfId="0" applyFill="1" applyBorder="1"/>
    <xf numFmtId="0" fontId="0" fillId="7" borderId="52" xfId="0" applyFill="1" applyBorder="1"/>
    <xf numFmtId="0" fontId="0" fillId="7" borderId="53" xfId="0" applyFill="1" applyBorder="1"/>
    <xf numFmtId="0" fontId="8" fillId="7" borderId="52" xfId="0" applyFont="1" applyFill="1" applyBorder="1"/>
    <xf numFmtId="0" fontId="0" fillId="7" borderId="50" xfId="0" applyFill="1" applyBorder="1"/>
    <xf numFmtId="0" fontId="0" fillId="7" borderId="36" xfId="0" applyFill="1" applyBorder="1"/>
    <xf numFmtId="0" fontId="0" fillId="7" borderId="51" xfId="0" applyFill="1" applyBorder="1"/>
    <xf numFmtId="0" fontId="0" fillId="7" borderId="0" xfId="0" applyNumberFormat="1" applyFill="1" applyBorder="1" applyAlignment="1">
      <alignment vertical="center"/>
    </xf>
    <xf numFmtId="191" fontId="6" fillId="0" borderId="0" xfId="2" applyFont="1" applyBorder="1" applyAlignment="1">
      <alignment vertical="center"/>
    </xf>
    <xf numFmtId="191" fontId="0" fillId="7" borderId="0" xfId="2" applyFont="1" applyFill="1" applyBorder="1" applyAlignment="1">
      <alignment vertical="center"/>
    </xf>
    <xf numFmtId="0" fontId="16" fillId="12" borderId="45" xfId="0" applyFont="1" applyFill="1" applyBorder="1"/>
    <xf numFmtId="0" fontId="0" fillId="6" borderId="48" xfId="0" applyFill="1" applyBorder="1"/>
    <xf numFmtId="0" fontId="0" fillId="6" borderId="42" xfId="0" applyFill="1" applyBorder="1"/>
    <xf numFmtId="0" fontId="0" fillId="6" borderId="49" xfId="0" applyFill="1" applyBorder="1"/>
    <xf numFmtId="0" fontId="0" fillId="6" borderId="50" xfId="0" applyFont="1" applyFill="1" applyBorder="1"/>
    <xf numFmtId="0" fontId="0" fillId="6" borderId="36" xfId="0" applyNumberFormat="1" applyFill="1" applyBorder="1"/>
    <xf numFmtId="0" fontId="65" fillId="6" borderId="52" xfId="4" applyNumberFormat="1" applyFill="1" applyBorder="1"/>
    <xf numFmtId="0" fontId="25" fillId="6" borderId="0" xfId="4" applyNumberFormat="1" applyFont="1" applyFill="1" applyBorder="1" applyAlignment="1">
      <alignment horizontal="right"/>
    </xf>
    <xf numFmtId="0" fontId="25" fillId="6" borderId="0" xfId="4" applyNumberFormat="1" applyFont="1" applyFill="1" applyBorder="1" applyAlignment="1">
      <alignment horizontal="left"/>
    </xf>
    <xf numFmtId="0" fontId="65" fillId="6" borderId="0" xfId="4" applyNumberFormat="1" applyFill="1" applyBorder="1"/>
    <xf numFmtId="0" fontId="65" fillId="6" borderId="53" xfId="4" applyNumberFormat="1" applyFill="1" applyBorder="1"/>
    <xf numFmtId="0" fontId="25" fillId="6" borderId="0" xfId="4" applyNumberFormat="1" applyFont="1" applyFill="1" applyBorder="1"/>
    <xf numFmtId="0" fontId="9" fillId="12" borderId="46" xfId="0" applyFont="1" applyFill="1" applyBorder="1" applyAlignment="1">
      <alignment horizontal="left" vertical="center" indent="1"/>
    </xf>
    <xf numFmtId="0" fontId="0" fillId="8" borderId="52" xfId="0" applyFill="1" applyBorder="1" applyAlignment="1">
      <alignment horizontal="left" indent="1"/>
    </xf>
    <xf numFmtId="0" fontId="8" fillId="8" borderId="52" xfId="0" applyFont="1" applyFill="1" applyBorder="1" applyAlignment="1">
      <alignment horizontal="left" vertical="center" indent="1"/>
    </xf>
    <xf numFmtId="0" fontId="0" fillId="8" borderId="50" xfId="0" applyFill="1" applyBorder="1" applyAlignment="1">
      <alignment horizontal="left" indent="1"/>
    </xf>
    <xf numFmtId="0" fontId="0" fillId="0" borderId="0" xfId="0" applyAlignment="1">
      <alignment horizontal="left" indent="1"/>
    </xf>
    <xf numFmtId="0" fontId="9" fillId="9" borderId="46" xfId="0" applyFont="1" applyFill="1" applyBorder="1" applyAlignment="1">
      <alignment horizontal="left" vertical="center" indent="1"/>
    </xf>
    <xf numFmtId="0" fontId="0" fillId="6" borderId="48" xfId="0" applyFill="1" applyBorder="1" applyAlignment="1">
      <alignment horizontal="left" indent="1"/>
    </xf>
    <xf numFmtId="0" fontId="0" fillId="6" borderId="52" xfId="0" applyFill="1" applyBorder="1" applyAlignment="1">
      <alignment horizontal="left" indent="1"/>
    </xf>
    <xf numFmtId="0" fontId="8" fillId="6" borderId="52" xfId="0" applyFont="1" applyFill="1" applyBorder="1" applyAlignment="1">
      <alignment horizontal="left" indent="1"/>
    </xf>
    <xf numFmtId="0" fontId="8" fillId="6" borderId="52" xfId="0" applyFont="1" applyFill="1" applyBorder="1" applyAlignment="1">
      <alignment horizontal="left" vertical="center" indent="1"/>
    </xf>
    <xf numFmtId="0" fontId="0" fillId="6" borderId="52" xfId="0" applyFont="1" applyFill="1" applyBorder="1" applyAlignment="1">
      <alignment horizontal="left" indent="1"/>
    </xf>
    <xf numFmtId="0" fontId="0" fillId="6" borderId="50" xfId="0" applyFont="1" applyFill="1" applyBorder="1" applyAlignment="1">
      <alignment horizontal="left" indent="1"/>
    </xf>
    <xf numFmtId="0" fontId="16" fillId="6" borderId="52" xfId="0" applyFont="1" applyFill="1" applyBorder="1" applyAlignment="1">
      <alignment horizontal="left" indent="1"/>
    </xf>
    <xf numFmtId="0" fontId="65" fillId="6" borderId="52" xfId="4" applyNumberFormat="1" applyFill="1" applyBorder="1" applyAlignment="1">
      <alignment horizontal="left" indent="1"/>
    </xf>
    <xf numFmtId="0" fontId="0" fillId="6" borderId="50" xfId="0" applyFill="1" applyBorder="1" applyAlignment="1">
      <alignment horizontal="left" indent="1"/>
    </xf>
    <xf numFmtId="0" fontId="9" fillId="0" borderId="0" xfId="0" applyFont="1" applyAlignment="1">
      <alignment horizontal="left" indent="1"/>
    </xf>
    <xf numFmtId="0" fontId="8" fillId="8" borderId="52" xfId="0" applyFont="1" applyFill="1" applyBorder="1" applyAlignment="1">
      <alignment horizontal="left" indent="1"/>
    </xf>
    <xf numFmtId="0" fontId="8" fillId="8" borderId="50" xfId="0" applyFont="1" applyFill="1" applyBorder="1" applyAlignment="1">
      <alignment horizontal="left" indent="1"/>
    </xf>
    <xf numFmtId="0" fontId="9" fillId="13" borderId="46" xfId="0" applyFont="1" applyFill="1" applyBorder="1" applyAlignment="1">
      <alignment horizontal="left" vertical="center" indent="1"/>
    </xf>
    <xf numFmtId="0" fontId="0" fillId="6" borderId="0" xfId="0" applyFont="1" applyFill="1" applyBorder="1" applyAlignment="1">
      <alignment horizontal="right"/>
    </xf>
    <xf numFmtId="0" fontId="65" fillId="6" borderId="0" xfId="4" applyNumberFormat="1" applyFill="1" applyBorder="1" applyAlignment="1">
      <alignment horizontal="right"/>
    </xf>
    <xf numFmtId="192" fontId="0" fillId="6" borderId="36" xfId="2" applyNumberFormat="1" applyFont="1" applyFill="1" applyBorder="1" applyAlignment="1">
      <alignment vertical="center"/>
    </xf>
    <xf numFmtId="192" fontId="0" fillId="6" borderId="36" xfId="2" applyNumberFormat="1" applyFont="1" applyFill="1" applyBorder="1" applyAlignment="1">
      <alignment horizontal="right" vertical="center"/>
    </xf>
    <xf numFmtId="9" fontId="0" fillId="6" borderId="0" xfId="0" applyNumberFormat="1" applyFill="1" applyBorder="1" applyAlignment="1">
      <alignment vertical="center"/>
    </xf>
    <xf numFmtId="0" fontId="65" fillId="6" borderId="0" xfId="4" applyNumberFormat="1" applyFill="1" applyBorder="1" applyAlignment="1">
      <alignment horizontal="left"/>
    </xf>
    <xf numFmtId="0" fontId="0" fillId="6" borderId="0" xfId="0" quotePrefix="1" applyFont="1" applyFill="1" applyBorder="1" applyAlignment="1">
      <alignment horizontal="right"/>
    </xf>
    <xf numFmtId="9" fontId="0" fillId="6" borderId="0" xfId="1" applyNumberFormat="1" applyFont="1" applyFill="1" applyBorder="1" applyAlignment="1">
      <alignment vertical="center"/>
    </xf>
    <xf numFmtId="10" fontId="0" fillId="6" borderId="0" xfId="0" applyNumberFormat="1" applyFill="1" applyBorder="1" applyAlignment="1">
      <alignment vertical="center"/>
    </xf>
    <xf numFmtId="0" fontId="0" fillId="6" borderId="0" xfId="0" applyNumberFormat="1" applyFont="1" applyFill="1" applyBorder="1"/>
    <xf numFmtId="0" fontId="65" fillId="6" borderId="50" xfId="4" applyNumberFormat="1" applyFill="1" applyBorder="1"/>
    <xf numFmtId="0" fontId="0" fillId="6" borderId="36" xfId="0" applyFill="1" applyBorder="1" applyAlignment="1">
      <alignment horizontal="right"/>
    </xf>
    <xf numFmtId="0" fontId="65" fillId="6" borderId="36" xfId="4" applyNumberFormat="1" applyFill="1" applyBorder="1"/>
    <xf numFmtId="0" fontId="65" fillId="6" borderId="51" xfId="4" applyNumberFormat="1" applyFill="1" applyBorder="1"/>
    <xf numFmtId="0" fontId="0" fillId="9" borderId="45" xfId="0" applyFill="1" applyBorder="1"/>
    <xf numFmtId="0" fontId="0" fillId="9" borderId="47" xfId="0" applyFill="1" applyBorder="1"/>
    <xf numFmtId="191" fontId="4" fillId="8" borderId="0" xfId="2" applyFont="1" applyFill="1" applyBorder="1" applyAlignment="1">
      <alignment vertical="center"/>
    </xf>
    <xf numFmtId="0" fontId="0" fillId="7" borderId="0" xfId="0" applyNumberFormat="1" applyFill="1" applyBorder="1" applyAlignment="1">
      <alignment horizontal="left" vertical="center"/>
    </xf>
    <xf numFmtId="191" fontId="0" fillId="7" borderId="0" xfId="2" applyNumberFormat="1" applyFont="1" applyFill="1" applyBorder="1" applyAlignment="1">
      <alignment vertical="center"/>
    </xf>
    <xf numFmtId="0" fontId="13" fillId="7" borderId="16" xfId="0" applyFont="1" applyFill="1" applyBorder="1" applyAlignment="1">
      <alignment vertical="center"/>
    </xf>
    <xf numFmtId="0" fontId="8" fillId="7" borderId="50" xfId="0" applyFont="1" applyFill="1" applyBorder="1"/>
    <xf numFmtId="0" fontId="0" fillId="6" borderId="0" xfId="0" applyNumberFormat="1" applyFont="1" applyFill="1" applyBorder="1" applyAlignment="1">
      <alignment vertical="center"/>
    </xf>
    <xf numFmtId="194" fontId="0" fillId="6" borderId="0" xfId="2" applyNumberFormat="1" applyFont="1" applyFill="1" applyBorder="1" applyAlignment="1">
      <alignment vertical="center"/>
    </xf>
    <xf numFmtId="0" fontId="4" fillId="8" borderId="53" xfId="0" applyFont="1" applyFill="1" applyBorder="1" applyAlignment="1">
      <alignment vertical="center"/>
    </xf>
    <xf numFmtId="0" fontId="11" fillId="8" borderId="52" xfId="0" applyFont="1" applyFill="1" applyBorder="1"/>
    <xf numFmtId="170" fontId="0" fillId="8" borderId="53" xfId="0" applyNumberFormat="1" applyFill="1" applyBorder="1" applyAlignment="1">
      <alignment vertical="center"/>
    </xf>
    <xf numFmtId="0" fontId="11" fillId="8" borderId="50" xfId="0" applyFont="1" applyFill="1" applyBorder="1"/>
    <xf numFmtId="170" fontId="0" fillId="8" borderId="51" xfId="0" applyNumberFormat="1" applyFill="1" applyBorder="1" applyAlignment="1">
      <alignment vertical="center"/>
    </xf>
    <xf numFmtId="191" fontId="0" fillId="7" borderId="0" xfId="0" applyNumberFormat="1" applyFont="1" applyFill="1" applyBorder="1" applyAlignment="1">
      <alignment vertical="center"/>
    </xf>
    <xf numFmtId="0" fontId="0" fillId="7" borderId="0" xfId="0" applyFill="1" applyBorder="1" applyAlignment="1">
      <alignment horizontal="left" vertical="center"/>
    </xf>
    <xf numFmtId="0" fontId="0" fillId="16" borderId="36" xfId="0" applyFill="1" applyBorder="1"/>
    <xf numFmtId="0" fontId="65" fillId="8" borderId="36" xfId="4" applyNumberFormat="1" applyFill="1" applyBorder="1" applyAlignment="1">
      <alignment horizontal="right" vertical="center"/>
    </xf>
    <xf numFmtId="0" fontId="65" fillId="8" borderId="36" xfId="4" applyNumberFormat="1" applyFill="1" applyBorder="1" applyAlignment="1">
      <alignment vertical="center"/>
    </xf>
    <xf numFmtId="191" fontId="105" fillId="8" borderId="0" xfId="0" applyNumberFormat="1" applyFont="1" applyFill="1" applyBorder="1" applyAlignment="1">
      <alignment vertical="center"/>
    </xf>
    <xf numFmtId="0" fontId="0" fillId="6" borderId="0" xfId="0" quotePrefix="1" applyFill="1" applyBorder="1" applyAlignment="1">
      <alignment horizontal="right"/>
    </xf>
    <xf numFmtId="0" fontId="16" fillId="6" borderId="36" xfId="0" applyFont="1" applyFill="1" applyBorder="1"/>
    <xf numFmtId="0" fontId="0" fillId="12" borderId="46" xfId="0" applyFill="1" applyBorder="1"/>
    <xf numFmtId="0" fontId="0" fillId="8" borderId="48" xfId="0" applyFill="1" applyBorder="1"/>
    <xf numFmtId="0" fontId="16" fillId="0" borderId="0" xfId="0" applyFont="1" applyAlignment="1">
      <alignment horizontal="left"/>
    </xf>
    <xf numFmtId="170" fontId="0" fillId="8" borderId="36" xfId="0" applyNumberFormat="1" applyFill="1" applyBorder="1" applyAlignment="1">
      <alignment vertical="center"/>
    </xf>
    <xf numFmtId="0" fontId="4" fillId="7" borderId="0" xfId="0" applyFont="1" applyFill="1" applyBorder="1" applyAlignment="1">
      <alignment horizontal="left" vertical="center"/>
    </xf>
    <xf numFmtId="0" fontId="0" fillId="8" borderId="15" xfId="0" applyFill="1" applyBorder="1" applyAlignment="1">
      <alignment vertical="center"/>
    </xf>
    <xf numFmtId="0" fontId="0" fillId="8" borderId="1" xfId="0" applyFill="1" applyBorder="1" applyAlignment="1">
      <alignment vertical="center"/>
    </xf>
    <xf numFmtId="0" fontId="13" fillId="6" borderId="0" xfId="0" applyNumberFormat="1" applyFont="1" applyFill="1" applyBorder="1" applyAlignment="1">
      <alignment horizontal="right" vertical="center"/>
    </xf>
    <xf numFmtId="0" fontId="0" fillId="6" borderId="1" xfId="0" applyFill="1" applyBorder="1"/>
    <xf numFmtId="191" fontId="94" fillId="6" borderId="35" xfId="4" applyNumberFormat="1" applyFont="1" applyFill="1" applyBorder="1" applyAlignment="1">
      <alignment horizontal="right" vertical="center"/>
    </xf>
    <xf numFmtId="0" fontId="94" fillId="0" borderId="0" xfId="4" applyNumberFormat="1" applyFont="1" applyBorder="1"/>
    <xf numFmtId="191" fontId="94" fillId="2" borderId="35" xfId="2" applyFont="1" applyFill="1" applyBorder="1" applyAlignment="1">
      <alignment vertical="center"/>
    </xf>
    <xf numFmtId="176" fontId="94" fillId="0" borderId="0" xfId="4" applyFont="1" applyFill="1" applyBorder="1" applyAlignment="1">
      <alignment vertical="center"/>
    </xf>
    <xf numFmtId="191" fontId="94" fillId="6" borderId="35" xfId="2" applyFont="1" applyFill="1" applyBorder="1" applyAlignment="1">
      <alignment horizontal="right" vertical="center"/>
    </xf>
    <xf numFmtId="191" fontId="94" fillId="8" borderId="35" xfId="2" applyFont="1" applyFill="1" applyBorder="1" applyAlignment="1">
      <alignment vertical="center"/>
    </xf>
    <xf numFmtId="191" fontId="94" fillId="7" borderId="35" xfId="2" applyFont="1" applyFill="1" applyBorder="1" applyAlignment="1">
      <alignment vertical="center"/>
    </xf>
    <xf numFmtId="0" fontId="21" fillId="15" borderId="35" xfId="0" applyFont="1" applyFill="1" applyBorder="1"/>
    <xf numFmtId="191" fontId="65" fillId="6" borderId="35" xfId="4" applyNumberFormat="1" applyFont="1" applyFill="1" applyBorder="1" applyAlignment="1">
      <alignment horizontal="right" vertical="center"/>
    </xf>
    <xf numFmtId="191" fontId="65" fillId="2" borderId="35" xfId="4" applyNumberFormat="1" applyFont="1" applyFill="1" applyBorder="1" applyAlignment="1">
      <alignment vertical="center"/>
    </xf>
    <xf numFmtId="191" fontId="65" fillId="8" borderId="35" xfId="4" applyNumberFormat="1" applyFont="1" applyFill="1" applyBorder="1" applyAlignment="1">
      <alignment vertical="center"/>
    </xf>
    <xf numFmtId="191" fontId="65" fillId="7" borderId="35" xfId="4" applyNumberFormat="1" applyFont="1" applyFill="1" applyBorder="1" applyAlignment="1">
      <alignment vertical="center"/>
    </xf>
    <xf numFmtId="191" fontId="65" fillId="0" borderId="0" xfId="4" applyNumberFormat="1" applyFont="1" applyFill="1" applyBorder="1" applyAlignment="1">
      <alignment vertical="center"/>
    </xf>
    <xf numFmtId="0" fontId="65" fillId="15" borderId="35" xfId="4" applyNumberFormat="1" applyFont="1" applyFill="1" applyBorder="1"/>
    <xf numFmtId="191" fontId="94" fillId="2" borderId="35" xfId="2" applyNumberFormat="1" applyFont="1" applyFill="1" applyBorder="1" applyAlignment="1">
      <alignment vertical="center"/>
    </xf>
    <xf numFmtId="191" fontId="65" fillId="2" borderId="35" xfId="2" applyNumberFormat="1" applyFont="1" applyFill="1" applyBorder="1" applyAlignment="1">
      <alignment vertical="center"/>
    </xf>
    <xf numFmtId="191" fontId="112" fillId="2" borderId="35" xfId="4" applyNumberFormat="1" applyFont="1" applyFill="1" applyBorder="1" applyAlignment="1">
      <alignment vertical="center"/>
    </xf>
    <xf numFmtId="191" fontId="112" fillId="2" borderId="35" xfId="2" applyFont="1" applyFill="1" applyBorder="1" applyAlignment="1">
      <alignment vertical="center"/>
    </xf>
    <xf numFmtId="0" fontId="29" fillId="4" borderId="0" xfId="6" applyFont="1" applyFill="1"/>
    <xf numFmtId="0" fontId="71" fillId="4" borderId="0" xfId="6" applyFont="1" applyFill="1"/>
    <xf numFmtId="0" fontId="71" fillId="4" borderId="0" xfId="6" applyFont="1" applyFill="1" applyBorder="1"/>
    <xf numFmtId="14" fontId="62" fillId="4" borderId="0" xfId="6" applyNumberFormat="1" applyFont="1" applyFill="1" applyBorder="1"/>
    <xf numFmtId="14" fontId="113" fillId="4" borderId="0" xfId="6" applyNumberFormat="1" applyFont="1" applyFill="1" applyBorder="1"/>
    <xf numFmtId="199" fontId="71" fillId="4" borderId="0" xfId="6" applyNumberFormat="1" applyFont="1" applyFill="1" applyBorder="1"/>
    <xf numFmtId="199" fontId="71" fillId="4" borderId="0" xfId="6" applyNumberFormat="1" applyFont="1" applyFill="1"/>
    <xf numFmtId="0" fontId="62" fillId="4" borderId="0" xfId="6" applyFont="1" applyFill="1"/>
    <xf numFmtId="0" fontId="62" fillId="4" borderId="0" xfId="6" applyFont="1" applyFill="1" applyBorder="1"/>
    <xf numFmtId="199" fontId="62" fillId="4" borderId="0" xfId="6" applyNumberFormat="1" applyFont="1" applyFill="1"/>
    <xf numFmtId="0" fontId="33" fillId="4" borderId="0" xfId="6" applyFont="1" applyFill="1"/>
    <xf numFmtId="0" fontId="34" fillId="4" borderId="0" xfId="6" applyFont="1" applyFill="1" applyAlignment="1">
      <alignment horizontal="left"/>
    </xf>
    <xf numFmtId="0" fontId="36" fillId="4" borderId="0" xfId="6" applyFont="1" applyFill="1"/>
    <xf numFmtId="0" fontId="34" fillId="4" borderId="0" xfId="6" applyFont="1" applyFill="1" applyAlignment="1">
      <alignment horizontal="right"/>
    </xf>
    <xf numFmtId="0" fontId="28" fillId="4" borderId="0" xfId="6" applyFill="1"/>
    <xf numFmtId="0" fontId="47" fillId="4" borderId="0" xfId="6" applyFont="1" applyFill="1" applyAlignment="1">
      <alignment horizontal="right"/>
    </xf>
    <xf numFmtId="199" fontId="33" fillId="4" borderId="0" xfId="6" applyNumberFormat="1" applyFont="1" applyFill="1"/>
    <xf numFmtId="0" fontId="34" fillId="4" borderId="0" xfId="6" applyFont="1" applyFill="1"/>
    <xf numFmtId="0" fontId="28" fillId="0" borderId="0" xfId="6"/>
    <xf numFmtId="0" fontId="115" fillId="4" borderId="0" xfId="6" applyFont="1" applyFill="1" applyAlignment="1">
      <alignment horizontal="right"/>
    </xf>
    <xf numFmtId="0" fontId="115" fillId="4" borderId="7" xfId="6" applyFont="1" applyFill="1" applyBorder="1" applyAlignment="1">
      <alignment horizontal="right"/>
    </xf>
    <xf numFmtId="199" fontId="52" fillId="4" borderId="4" xfId="6" applyNumberFormat="1" applyFont="1" applyFill="1" applyBorder="1"/>
    <xf numFmtId="0" fontId="52" fillId="4" borderId="4" xfId="6" applyFont="1" applyFill="1" applyBorder="1"/>
    <xf numFmtId="0" fontId="52" fillId="4" borderId="4" xfId="6" applyNumberFormat="1" applyFont="1" applyFill="1" applyBorder="1"/>
    <xf numFmtId="199" fontId="28" fillId="4" borderId="0" xfId="6" applyNumberFormat="1" applyFill="1"/>
    <xf numFmtId="0" fontId="37" fillId="4" borderId="0" xfId="6" applyFont="1" applyFill="1" applyAlignment="1">
      <alignment vertical="center"/>
    </xf>
    <xf numFmtId="172" fontId="33" fillId="4" borderId="0" xfId="6" applyNumberFormat="1" applyFont="1" applyFill="1" applyAlignment="1">
      <alignment vertical="center"/>
    </xf>
    <xf numFmtId="172" fontId="62" fillId="4" borderId="0" xfId="6" applyNumberFormat="1" applyFont="1" applyFill="1" applyBorder="1" applyAlignment="1">
      <alignment vertical="center"/>
    </xf>
    <xf numFmtId="199" fontId="28" fillId="4" borderId="0" xfId="6" applyNumberFormat="1" applyFill="1" applyBorder="1" applyAlignment="1">
      <alignment vertical="center"/>
    </xf>
    <xf numFmtId="199" fontId="62" fillId="4" borderId="0" xfId="6" applyNumberFormat="1" applyFont="1" applyFill="1" applyBorder="1" applyAlignment="1">
      <alignment vertical="center"/>
    </xf>
    <xf numFmtId="199" fontId="33" fillId="4" borderId="0" xfId="6" applyNumberFormat="1" applyFont="1" applyFill="1" applyBorder="1" applyAlignment="1">
      <alignment vertical="center"/>
    </xf>
    <xf numFmtId="199" fontId="28" fillId="4" borderId="0" xfId="6" applyNumberFormat="1" applyFill="1" applyAlignment="1">
      <alignment vertical="center"/>
    </xf>
    <xf numFmtId="0" fontId="28" fillId="4" borderId="0" xfId="6" applyFill="1" applyAlignment="1">
      <alignment vertical="center"/>
    </xf>
    <xf numFmtId="165" fontId="56" fillId="4" borderId="0" xfId="6" applyNumberFormat="1" applyFont="1" applyFill="1" applyAlignment="1">
      <alignment horizontal="right"/>
    </xf>
    <xf numFmtId="172" fontId="56" fillId="4" borderId="0" xfId="6" applyNumberFormat="1" applyFont="1" applyFill="1" applyAlignment="1">
      <alignment horizontal="right"/>
    </xf>
    <xf numFmtId="172" fontId="56" fillId="4" borderId="0" xfId="6" applyNumberFormat="1" applyFont="1" applyFill="1" applyBorder="1" applyAlignment="1">
      <alignment horizontal="right"/>
    </xf>
    <xf numFmtId="172" fontId="33" fillId="4" borderId="0" xfId="6" applyNumberFormat="1" applyFont="1" applyFill="1" applyBorder="1" applyAlignment="1">
      <alignment horizontal="right"/>
    </xf>
    <xf numFmtId="173" fontId="33" fillId="4" borderId="0" xfId="6" applyNumberFormat="1" applyFont="1" applyFill="1" applyBorder="1" applyAlignment="1">
      <alignment horizontal="right"/>
    </xf>
    <xf numFmtId="173" fontId="56" fillId="4" borderId="0" xfId="6" applyNumberFormat="1" applyFont="1" applyFill="1" applyBorder="1" applyAlignment="1">
      <alignment horizontal="right"/>
    </xf>
    <xf numFmtId="0" fontId="37" fillId="4" borderId="6" xfId="6" applyFont="1" applyFill="1" applyBorder="1" applyAlignment="1">
      <alignment vertical="center"/>
    </xf>
    <xf numFmtId="165" fontId="59" fillId="4" borderId="6" xfId="6" applyNumberFormat="1" applyFont="1" applyFill="1" applyBorder="1" applyAlignment="1">
      <alignment horizontal="right"/>
    </xf>
    <xf numFmtId="172" fontId="59" fillId="4" borderId="6" xfId="6" applyNumberFormat="1" applyFont="1" applyFill="1" applyBorder="1" applyAlignment="1">
      <alignment horizontal="right"/>
    </xf>
    <xf numFmtId="172" fontId="34" fillId="4" borderId="6" xfId="6" applyNumberFormat="1" applyFont="1" applyFill="1" applyBorder="1" applyAlignment="1">
      <alignment horizontal="right"/>
    </xf>
    <xf numFmtId="173" fontId="34" fillId="4" borderId="6" xfId="6" applyNumberFormat="1" applyFont="1" applyFill="1" applyBorder="1" applyAlignment="1">
      <alignment horizontal="right"/>
    </xf>
    <xf numFmtId="165" fontId="59" fillId="4" borderId="0" xfId="6" applyNumberFormat="1" applyFont="1" applyFill="1" applyAlignment="1">
      <alignment horizontal="right"/>
    </xf>
    <xf numFmtId="172" fontId="59" fillId="4" borderId="0" xfId="6" applyNumberFormat="1" applyFont="1" applyFill="1" applyAlignment="1">
      <alignment horizontal="right"/>
    </xf>
    <xf numFmtId="172" fontId="34" fillId="4" borderId="0" xfId="6" applyNumberFormat="1" applyFont="1" applyFill="1" applyAlignment="1">
      <alignment horizontal="right"/>
    </xf>
    <xf numFmtId="0" fontId="37" fillId="4" borderId="1" xfId="6" applyFont="1" applyFill="1" applyBorder="1" applyAlignment="1">
      <alignment vertical="center"/>
    </xf>
    <xf numFmtId="165" fontId="56" fillId="4" borderId="1" xfId="6" applyNumberFormat="1" applyFont="1" applyFill="1" applyBorder="1" applyAlignment="1">
      <alignment horizontal="right"/>
    </xf>
    <xf numFmtId="172" fontId="56" fillId="4" borderId="1" xfId="6" applyNumberFormat="1" applyFont="1" applyFill="1" applyBorder="1" applyAlignment="1">
      <alignment horizontal="right"/>
    </xf>
    <xf numFmtId="172" fontId="33" fillId="4" borderId="1" xfId="6" applyNumberFormat="1" applyFont="1" applyFill="1" applyBorder="1" applyAlignment="1">
      <alignment horizontal="right"/>
    </xf>
    <xf numFmtId="173" fontId="34" fillId="4" borderId="0" xfId="6" applyNumberFormat="1" applyFont="1" applyFill="1" applyAlignment="1">
      <alignment horizontal="right"/>
    </xf>
    <xf numFmtId="0" fontId="37" fillId="4" borderId="7" xfId="6" applyFont="1" applyFill="1" applyBorder="1" applyAlignment="1">
      <alignment vertical="center"/>
    </xf>
    <xf numFmtId="165" fontId="56" fillId="4" borderId="7" xfId="6" applyNumberFormat="1" applyFont="1" applyFill="1" applyBorder="1" applyAlignment="1">
      <alignment horizontal="right"/>
    </xf>
    <xf numFmtId="172" fontId="56" fillId="4" borderId="7" xfId="6" applyNumberFormat="1" applyFont="1" applyFill="1" applyBorder="1" applyAlignment="1">
      <alignment horizontal="right"/>
    </xf>
    <xf numFmtId="173" fontId="33" fillId="4" borderId="7" xfId="6" applyNumberFormat="1" applyFont="1" applyFill="1" applyBorder="1" applyAlignment="1">
      <alignment horizontal="right"/>
    </xf>
    <xf numFmtId="172" fontId="57" fillId="4" borderId="0" xfId="6" applyNumberFormat="1" applyFont="1" applyFill="1" applyAlignment="1">
      <alignment horizontal="right"/>
    </xf>
    <xf numFmtId="173" fontId="33" fillId="4" borderId="0" xfId="6" applyNumberFormat="1" applyFont="1" applyFill="1" applyAlignment="1">
      <alignment horizontal="right"/>
    </xf>
    <xf numFmtId="172" fontId="33" fillId="4" borderId="0" xfId="6" applyNumberFormat="1" applyFont="1" applyFill="1" applyAlignment="1">
      <alignment horizontal="right"/>
    </xf>
    <xf numFmtId="0" fontId="33" fillId="4" borderId="1" xfId="6" applyFont="1" applyFill="1" applyBorder="1"/>
    <xf numFmtId="173" fontId="33" fillId="4" borderId="1" xfId="6" applyNumberFormat="1" applyFont="1" applyFill="1" applyBorder="1" applyAlignment="1">
      <alignment horizontal="right"/>
    </xf>
    <xf numFmtId="165" fontId="59" fillId="4" borderId="7" xfId="6" applyNumberFormat="1" applyFont="1" applyFill="1" applyBorder="1" applyAlignment="1">
      <alignment horizontal="right"/>
    </xf>
    <xf numFmtId="172" fontId="59" fillId="4" borderId="7" xfId="6" applyNumberFormat="1" applyFont="1" applyFill="1" applyBorder="1" applyAlignment="1">
      <alignment horizontal="right"/>
    </xf>
    <xf numFmtId="172" fontId="59" fillId="4" borderId="7" xfId="6" applyNumberFormat="1" applyFont="1" applyFill="1" applyBorder="1" applyAlignment="1">
      <alignment horizontal="right" vertical="center"/>
    </xf>
    <xf numFmtId="173" fontId="34" fillId="4" borderId="7" xfId="6" applyNumberFormat="1" applyFont="1" applyFill="1" applyBorder="1" applyAlignment="1">
      <alignment horizontal="right" vertical="center"/>
    </xf>
    <xf numFmtId="172" fontId="34" fillId="4" borderId="7" xfId="6" applyNumberFormat="1" applyFont="1" applyFill="1" applyBorder="1" applyAlignment="1">
      <alignment horizontal="right" vertical="center"/>
    </xf>
    <xf numFmtId="0" fontId="37" fillId="4" borderId="0" xfId="6" applyFont="1" applyFill="1"/>
    <xf numFmtId="199" fontId="33" fillId="4" borderId="1" xfId="6" applyNumberFormat="1" applyFont="1" applyFill="1" applyBorder="1"/>
    <xf numFmtId="199" fontId="41" fillId="4" borderId="7" xfId="6" applyNumberFormat="1" applyFont="1" applyFill="1" applyBorder="1"/>
    <xf numFmtId="165" fontId="33" fillId="4" borderId="0" xfId="6" applyNumberFormat="1" applyFont="1" applyFill="1" applyAlignment="1">
      <alignment horizontal="right"/>
    </xf>
    <xf numFmtId="172" fontId="59" fillId="4" borderId="0" xfId="6" applyNumberFormat="1" applyFont="1" applyFill="1" applyAlignment="1">
      <alignment horizontal="right" vertical="center"/>
    </xf>
    <xf numFmtId="173" fontId="34" fillId="4" borderId="0" xfId="6" applyNumberFormat="1" applyFont="1" applyFill="1" applyAlignment="1">
      <alignment horizontal="right" vertical="center"/>
    </xf>
    <xf numFmtId="172" fontId="56" fillId="4" borderId="1" xfId="6" applyNumberFormat="1" applyFont="1" applyFill="1" applyBorder="1" applyAlignment="1">
      <alignment horizontal="right" vertical="center"/>
    </xf>
    <xf numFmtId="173" fontId="33" fillId="4" borderId="1" xfId="6" applyNumberFormat="1" applyFont="1" applyFill="1" applyBorder="1" applyAlignment="1">
      <alignment horizontal="right" vertical="center"/>
    </xf>
    <xf numFmtId="172" fontId="56" fillId="4" borderId="7" xfId="6" applyNumberFormat="1" applyFont="1" applyFill="1" applyBorder="1" applyAlignment="1">
      <alignment horizontal="right" vertical="center"/>
    </xf>
    <xf numFmtId="173" fontId="33" fillId="4" borderId="7" xfId="6" applyNumberFormat="1" applyFont="1" applyFill="1" applyBorder="1" applyAlignment="1">
      <alignment horizontal="right" vertical="center"/>
    </xf>
    <xf numFmtId="172" fontId="57" fillId="4" borderId="0" xfId="6" applyNumberFormat="1" applyFont="1" applyFill="1" applyAlignment="1">
      <alignment horizontal="right" vertical="center"/>
    </xf>
    <xf numFmtId="172" fontId="34" fillId="4" borderId="0" xfId="6" applyNumberFormat="1" applyFont="1" applyFill="1" applyAlignment="1">
      <alignment horizontal="right" vertical="center"/>
    </xf>
    <xf numFmtId="0" fontId="56" fillId="4" borderId="0" xfId="6" applyFont="1" applyFill="1"/>
    <xf numFmtId="0" fontId="56" fillId="4" borderId="0" xfId="6" applyFont="1" applyFill="1" applyAlignment="1">
      <alignment horizontal="right"/>
    </xf>
    <xf numFmtId="0" fontId="28" fillId="4" borderId="0" xfId="6" applyFont="1" applyFill="1" applyBorder="1" applyAlignment="1">
      <alignment horizontal="right"/>
    </xf>
    <xf numFmtId="0" fontId="28" fillId="4" borderId="0" xfId="6" applyFill="1" applyBorder="1" applyAlignment="1">
      <alignment horizontal="right"/>
    </xf>
    <xf numFmtId="0" fontId="62" fillId="4" borderId="0" xfId="6" applyFont="1" applyFill="1" applyBorder="1" applyAlignment="1">
      <alignment horizontal="right"/>
    </xf>
    <xf numFmtId="199" fontId="33" fillId="4" borderId="0" xfId="6" applyNumberFormat="1" applyFont="1" applyFill="1" applyBorder="1"/>
    <xf numFmtId="0" fontId="41" fillId="4" borderId="0" xfId="6" applyFont="1" applyFill="1"/>
    <xf numFmtId="0" fontId="33" fillId="4" borderId="0" xfId="6" applyFont="1" applyFill="1" applyAlignment="1">
      <alignment horizontal="right"/>
    </xf>
    <xf numFmtId="199" fontId="28" fillId="4" borderId="0" xfId="6" applyNumberFormat="1" applyFont="1" applyFill="1"/>
    <xf numFmtId="0" fontId="28" fillId="4" borderId="0" xfId="6" applyFont="1" applyFill="1"/>
    <xf numFmtId="0" fontId="28" fillId="4" borderId="0" xfId="6" applyFill="1" applyAlignment="1">
      <alignment horizontal="right"/>
    </xf>
    <xf numFmtId="199" fontId="34" fillId="4" borderId="0" xfId="6" applyNumberFormat="1" applyFont="1" applyFill="1" applyBorder="1"/>
    <xf numFmtId="0" fontId="28" fillId="4" borderId="0" xfId="6" applyFill="1" applyBorder="1"/>
    <xf numFmtId="0" fontId="28" fillId="0" borderId="0" xfId="6" applyFont="1"/>
    <xf numFmtId="199" fontId="52" fillId="4" borderId="0" xfId="6" applyNumberFormat="1" applyFont="1" applyFill="1"/>
    <xf numFmtId="0" fontId="52" fillId="4" borderId="0" xfId="6" applyFont="1" applyFill="1"/>
    <xf numFmtId="199" fontId="33" fillId="4" borderId="0" xfId="6" applyNumberFormat="1" applyFont="1" applyFill="1" applyAlignment="1">
      <alignment vertical="center"/>
    </xf>
    <xf numFmtId="199" fontId="57" fillId="4" borderId="0" xfId="6" applyNumberFormat="1" applyFont="1" applyFill="1" applyAlignment="1">
      <alignment vertical="center"/>
    </xf>
    <xf numFmtId="199" fontId="60" fillId="4" borderId="0" xfId="6" applyNumberFormat="1" applyFont="1" applyFill="1" applyBorder="1" applyAlignment="1">
      <alignment vertical="center"/>
    </xf>
    <xf numFmtId="165" fontId="56" fillId="4" borderId="0" xfId="6" applyNumberFormat="1" applyFont="1" applyFill="1"/>
    <xf numFmtId="172" fontId="56" fillId="4" borderId="0" xfId="6" applyNumberFormat="1" applyFont="1" applyFill="1"/>
    <xf numFmtId="172" fontId="33" fillId="4" borderId="0" xfId="6" applyNumberFormat="1" applyFont="1" applyFill="1"/>
    <xf numFmtId="173" fontId="33" fillId="4" borderId="0" xfId="6" applyNumberFormat="1" applyFont="1" applyFill="1"/>
    <xf numFmtId="165" fontId="33" fillId="4" borderId="0" xfId="6" applyNumberFormat="1" applyFont="1" applyFill="1"/>
    <xf numFmtId="172" fontId="56" fillId="4" borderId="1" xfId="6" quotePrefix="1" applyNumberFormat="1" applyFont="1" applyFill="1" applyBorder="1" applyAlignment="1">
      <alignment horizontal="right"/>
    </xf>
    <xf numFmtId="0" fontId="37" fillId="4" borderId="7" xfId="6" applyFont="1" applyFill="1" applyBorder="1"/>
    <xf numFmtId="165" fontId="59" fillId="4" borderId="7" xfId="6" applyNumberFormat="1" applyFont="1" applyFill="1" applyBorder="1"/>
    <xf numFmtId="172" fontId="59" fillId="4" borderId="7" xfId="6" applyNumberFormat="1" applyFont="1" applyFill="1" applyBorder="1"/>
    <xf numFmtId="173" fontId="34" fillId="4" borderId="7" xfId="6" applyNumberFormat="1" applyFont="1" applyFill="1" applyBorder="1"/>
    <xf numFmtId="0" fontId="37" fillId="4" borderId="9" xfId="6" applyFont="1" applyFill="1" applyBorder="1"/>
    <xf numFmtId="165" fontId="59" fillId="4" borderId="9" xfId="6" applyNumberFormat="1" applyFont="1" applyFill="1" applyBorder="1"/>
    <xf numFmtId="172" fontId="59" fillId="4" borderId="9" xfId="6" applyNumberFormat="1" applyFont="1" applyFill="1" applyBorder="1"/>
    <xf numFmtId="172" fontId="34" fillId="4" borderId="9" xfId="6" applyNumberFormat="1" applyFont="1" applyFill="1" applyBorder="1"/>
    <xf numFmtId="173" fontId="34" fillId="4" borderId="9" xfId="6" applyNumberFormat="1" applyFont="1" applyFill="1" applyBorder="1"/>
    <xf numFmtId="0" fontId="37" fillId="4" borderId="0" xfId="6" applyFont="1" applyFill="1" applyBorder="1"/>
    <xf numFmtId="165" fontId="59" fillId="4" borderId="0" xfId="6" applyNumberFormat="1" applyFont="1" applyFill="1" applyBorder="1"/>
    <xf numFmtId="172" fontId="59" fillId="4" borderId="0" xfId="6" applyNumberFormat="1" applyFont="1" applyFill="1" applyBorder="1"/>
    <xf numFmtId="173" fontId="34" fillId="4" borderId="0" xfId="6" applyNumberFormat="1" applyFont="1" applyFill="1" applyBorder="1"/>
    <xf numFmtId="172" fontId="57" fillId="4" borderId="0" xfId="6" applyNumberFormat="1" applyFont="1" applyFill="1"/>
    <xf numFmtId="165" fontId="56" fillId="4" borderId="1" xfId="6" applyNumberFormat="1" applyFont="1" applyFill="1" applyBorder="1"/>
    <xf numFmtId="172" fontId="56" fillId="4" borderId="1" xfId="6" applyNumberFormat="1" applyFont="1" applyFill="1" applyBorder="1"/>
    <xf numFmtId="173" fontId="33" fillId="4" borderId="1" xfId="6" applyNumberFormat="1" applyFont="1" applyFill="1" applyBorder="1"/>
    <xf numFmtId="165" fontId="59" fillId="4" borderId="0" xfId="6" applyNumberFormat="1" applyFont="1" applyFill="1"/>
    <xf numFmtId="172" fontId="59" fillId="4" borderId="0" xfId="6" applyNumberFormat="1" applyFont="1" applyFill="1"/>
    <xf numFmtId="173" fontId="34" fillId="4" borderId="0" xfId="6" applyNumberFormat="1" applyFont="1" applyFill="1"/>
    <xf numFmtId="165" fontId="59" fillId="4" borderId="0" xfId="6" applyNumberFormat="1" applyFont="1" applyFill="1" applyBorder="1" applyAlignment="1">
      <alignment horizontal="right"/>
    </xf>
    <xf numFmtId="172" fontId="59" fillId="4" borderId="0" xfId="6" applyNumberFormat="1" applyFont="1" applyFill="1" applyBorder="1" applyAlignment="1">
      <alignment horizontal="right"/>
    </xf>
    <xf numFmtId="173" fontId="34" fillId="4" borderId="0" xfId="6" applyNumberFormat="1" applyFont="1" applyFill="1" applyBorder="1" applyAlignment="1">
      <alignment horizontal="right"/>
    </xf>
    <xf numFmtId="0" fontId="37" fillId="4" borderId="0" xfId="6" applyFont="1" applyFill="1" applyAlignment="1"/>
    <xf numFmtId="172" fontId="57" fillId="4" borderId="0" xfId="6" applyNumberFormat="1" applyFont="1" applyFill="1" applyAlignment="1">
      <alignment vertical="center"/>
    </xf>
    <xf numFmtId="199" fontId="33" fillId="4" borderId="7" xfId="6" applyNumberFormat="1" applyFont="1" applyFill="1" applyBorder="1"/>
    <xf numFmtId="0" fontId="58" fillId="4" borderId="0" xfId="6" applyFont="1" applyFill="1"/>
    <xf numFmtId="0" fontId="70" fillId="4" borderId="0" xfId="6" applyFont="1" applyFill="1"/>
    <xf numFmtId="0" fontId="28" fillId="4" borderId="0" xfId="6" applyFont="1" applyFill="1" applyBorder="1"/>
    <xf numFmtId="0" fontId="37" fillId="4" borderId="0" xfId="6" applyFont="1" applyFill="1" applyAlignment="1">
      <alignment horizontal="right"/>
    </xf>
    <xf numFmtId="3" fontId="56" fillId="4" borderId="0" xfId="6" applyNumberFormat="1" applyFont="1" applyFill="1"/>
    <xf numFmtId="1" fontId="56" fillId="4" borderId="0" xfId="6" applyNumberFormat="1" applyFont="1" applyFill="1"/>
    <xf numFmtId="3" fontId="59" fillId="4" borderId="0" xfId="6" applyNumberFormat="1" applyFont="1" applyFill="1"/>
    <xf numFmtId="172" fontId="59" fillId="0" borderId="0" xfId="6" applyNumberFormat="1" applyFont="1" applyFill="1"/>
    <xf numFmtId="173" fontId="34" fillId="0" borderId="0" xfId="6" applyNumberFormat="1" applyFont="1" applyFill="1"/>
    <xf numFmtId="0" fontId="59" fillId="4" borderId="0" xfId="6" applyFont="1" applyFill="1"/>
    <xf numFmtId="172" fontId="55" fillId="4" borderId="0" xfId="6" applyNumberFormat="1" applyFont="1" applyFill="1"/>
    <xf numFmtId="165" fontId="55" fillId="4" borderId="0" xfId="6" applyNumberFormat="1" applyFont="1" applyFill="1" applyBorder="1"/>
    <xf numFmtId="172" fontId="60" fillId="4" borderId="0" xfId="6" applyNumberFormat="1" applyFont="1" applyFill="1" applyAlignment="1">
      <alignment horizontal="right"/>
    </xf>
    <xf numFmtId="0" fontId="55" fillId="4" borderId="0" xfId="6" applyFont="1" applyFill="1"/>
    <xf numFmtId="10" fontId="0" fillId="0" borderId="0" xfId="1" applyNumberFormat="1" applyFont="1"/>
    <xf numFmtId="191" fontId="0" fillId="0" borderId="0" xfId="2" applyFont="1" applyAlignment="1">
      <alignment horizontal="right"/>
    </xf>
    <xf numFmtId="0" fontId="13" fillId="6" borderId="19" xfId="0" applyNumberFormat="1" applyFont="1" applyFill="1" applyBorder="1" applyAlignment="1">
      <alignment horizontal="center" vertical="center"/>
    </xf>
    <xf numFmtId="191" fontId="0" fillId="8" borderId="0" xfId="0" applyNumberFormat="1" applyFont="1" applyFill="1" applyBorder="1" applyAlignment="1">
      <alignment vertical="center"/>
    </xf>
    <xf numFmtId="191" fontId="4" fillId="7" borderId="0" xfId="0" applyNumberFormat="1" applyFont="1" applyFill="1" applyBorder="1" applyAlignment="1">
      <alignment vertical="center"/>
    </xf>
    <xf numFmtId="9" fontId="0" fillId="6" borderId="1" xfId="0" applyNumberFormat="1" applyFill="1" applyBorder="1" applyAlignment="1">
      <alignment vertical="center"/>
    </xf>
    <xf numFmtId="190" fontId="0" fillId="6" borderId="20" xfId="1" applyNumberFormat="1" applyFont="1" applyFill="1" applyBorder="1" applyAlignment="1">
      <alignment horizontal="right" vertical="center"/>
    </xf>
    <xf numFmtId="10" fontId="0" fillId="6" borderId="0" xfId="1" applyNumberFormat="1" applyFont="1" applyFill="1" applyBorder="1" applyAlignment="1">
      <alignment vertical="center"/>
    </xf>
    <xf numFmtId="10" fontId="0" fillId="6" borderId="0" xfId="1" applyNumberFormat="1" applyFont="1" applyFill="1" applyBorder="1" applyAlignment="1">
      <alignment horizontal="right" vertical="center"/>
    </xf>
    <xf numFmtId="10" fontId="0" fillId="6" borderId="20" xfId="1" applyNumberFormat="1" applyFont="1" applyFill="1" applyBorder="1" applyAlignment="1">
      <alignment horizontal="right" vertical="center"/>
    </xf>
    <xf numFmtId="0" fontId="116" fillId="0" borderId="0" xfId="0" applyFont="1"/>
    <xf numFmtId="193" fontId="0" fillId="6" borderId="36" xfId="2" applyNumberFormat="1" applyFont="1" applyFill="1" applyBorder="1" applyAlignment="1">
      <alignment vertical="center"/>
    </xf>
    <xf numFmtId="193" fontId="0" fillId="6" borderId="36" xfId="2" applyNumberFormat="1" applyFont="1" applyFill="1" applyBorder="1" applyAlignment="1">
      <alignment horizontal="right" vertical="center"/>
    </xf>
    <xf numFmtId="9" fontId="0" fillId="6" borderId="0" xfId="0" applyNumberFormat="1" applyFill="1" applyBorder="1" applyAlignment="1">
      <alignment horizontal="right" vertical="center"/>
    </xf>
    <xf numFmtId="191" fontId="6" fillId="0" borderId="0" xfId="2" applyFont="1" applyAlignment="1">
      <alignment horizontal="right"/>
    </xf>
    <xf numFmtId="0" fontId="117" fillId="0" borderId="0" xfId="0" applyFont="1"/>
    <xf numFmtId="0" fontId="25" fillId="0" borderId="0" xfId="0" applyFont="1"/>
    <xf numFmtId="191" fontId="112" fillId="6" borderId="35" xfId="4" applyNumberFormat="1" applyFont="1" applyFill="1" applyBorder="1" applyAlignment="1">
      <alignment vertical="center"/>
    </xf>
    <xf numFmtId="191" fontId="112" fillId="6" borderId="35" xfId="4" applyNumberFormat="1" applyFont="1" applyFill="1" applyBorder="1" applyAlignment="1">
      <alignment horizontal="center" vertical="center" wrapText="1"/>
    </xf>
    <xf numFmtId="0" fontId="112" fillId="0" borderId="0" xfId="4" applyNumberFormat="1" applyFont="1"/>
    <xf numFmtId="191" fontId="112" fillId="8" borderId="35" xfId="4" applyNumberFormat="1" applyFont="1" applyFill="1" applyBorder="1" applyAlignment="1">
      <alignment vertical="center"/>
    </xf>
    <xf numFmtId="191" fontId="112" fillId="7" borderId="35" xfId="4" applyNumberFormat="1" applyFont="1" applyFill="1" applyBorder="1" applyAlignment="1">
      <alignment vertical="center"/>
    </xf>
    <xf numFmtId="191" fontId="94" fillId="6" borderId="38" xfId="4" applyNumberFormat="1" applyFont="1" applyFill="1" applyBorder="1" applyAlignment="1">
      <alignment horizontal="right" vertical="center"/>
    </xf>
    <xf numFmtId="0" fontId="16" fillId="0" borderId="0" xfId="0" applyFont="1" applyAlignment="1">
      <alignment horizontal="center" vertical="center"/>
    </xf>
    <xf numFmtId="0" fontId="65" fillId="0" borderId="0" xfId="4" applyNumberFormat="1" applyBorder="1" applyAlignment="1">
      <alignment vertical="center"/>
    </xf>
    <xf numFmtId="191" fontId="65" fillId="15" borderId="35" xfId="2" applyFont="1" applyFill="1" applyBorder="1" applyAlignment="1">
      <alignment vertical="center"/>
    </xf>
    <xf numFmtId="191" fontId="0" fillId="15" borderId="35" xfId="2" applyFont="1" applyFill="1" applyBorder="1" applyAlignment="1">
      <alignment vertical="center"/>
    </xf>
    <xf numFmtId="0" fontId="65" fillId="0" borderId="36" xfId="4" applyNumberFormat="1" applyBorder="1" applyAlignment="1">
      <alignment vertical="center"/>
    </xf>
    <xf numFmtId="0" fontId="65" fillId="0" borderId="0" xfId="4" applyNumberFormat="1" applyAlignment="1">
      <alignment vertical="center"/>
    </xf>
    <xf numFmtId="191" fontId="65" fillId="15" borderId="39" xfId="2" applyFont="1" applyFill="1" applyBorder="1" applyAlignment="1">
      <alignment vertical="center"/>
    </xf>
    <xf numFmtId="191" fontId="0" fillId="15" borderId="39" xfId="2" applyFont="1" applyFill="1" applyBorder="1" applyAlignment="1">
      <alignment vertical="center"/>
    </xf>
    <xf numFmtId="191" fontId="16" fillId="15" borderId="54" xfId="2" applyFont="1" applyFill="1" applyBorder="1" applyAlignment="1">
      <alignment vertical="center"/>
    </xf>
    <xf numFmtId="0" fontId="94" fillId="0" borderId="0" xfId="4" applyNumberFormat="1" applyFont="1" applyAlignment="1">
      <alignment vertical="center"/>
    </xf>
    <xf numFmtId="0" fontId="104" fillId="0" borderId="0" xfId="4" applyNumberFormat="1" applyFont="1" applyAlignment="1">
      <alignment vertical="center"/>
    </xf>
    <xf numFmtId="191" fontId="94" fillId="15" borderId="35" xfId="2" applyFont="1" applyFill="1" applyBorder="1" applyAlignment="1">
      <alignment vertical="center"/>
    </xf>
    <xf numFmtId="0" fontId="94" fillId="0" borderId="45" xfId="4" applyNumberFormat="1" applyFont="1" applyBorder="1" applyAlignment="1">
      <alignment vertical="center"/>
    </xf>
    <xf numFmtId="0" fontId="25" fillId="0" borderId="0" xfId="4" applyNumberFormat="1" applyFont="1" applyAlignment="1">
      <alignment vertical="center"/>
    </xf>
    <xf numFmtId="191" fontId="10" fillId="15" borderId="55" xfId="2" applyFont="1" applyFill="1" applyBorder="1" applyAlignment="1">
      <alignment vertical="center"/>
    </xf>
    <xf numFmtId="0" fontId="0" fillId="15" borderId="37" xfId="0" applyFill="1" applyBorder="1" applyAlignment="1">
      <alignment vertical="center"/>
    </xf>
    <xf numFmtId="0" fontId="118" fillId="0" borderId="0" xfId="0" applyFont="1" applyAlignment="1">
      <alignment vertical="center"/>
    </xf>
    <xf numFmtId="191" fontId="65" fillId="8" borderId="39" xfId="4" applyNumberFormat="1" applyFont="1" applyFill="1" applyBorder="1" applyAlignment="1">
      <alignment vertical="center"/>
    </xf>
    <xf numFmtId="191" fontId="112" fillId="6" borderId="35" xfId="2" applyFont="1" applyFill="1" applyBorder="1" applyAlignment="1">
      <alignment horizontal="right" vertical="center"/>
    </xf>
    <xf numFmtId="191" fontId="112" fillId="8" borderId="35" xfId="2" applyFont="1" applyFill="1" applyBorder="1" applyAlignment="1">
      <alignment vertical="center"/>
    </xf>
    <xf numFmtId="191" fontId="112" fillId="7" borderId="35" xfId="2" applyFont="1" applyFill="1" applyBorder="1" applyAlignment="1">
      <alignment vertical="center"/>
    </xf>
    <xf numFmtId="0" fontId="13" fillId="6" borderId="21" xfId="0" applyNumberFormat="1" applyFont="1" applyFill="1" applyBorder="1" applyAlignment="1">
      <alignment horizontal="left" vertical="center"/>
    </xf>
    <xf numFmtId="11" fontId="0" fillId="6" borderId="0" xfId="0" applyNumberFormat="1" applyFill="1" applyBorder="1"/>
    <xf numFmtId="1" fontId="0" fillId="6" borderId="22" xfId="2" applyNumberFormat="1" applyFont="1" applyFill="1" applyBorder="1" applyAlignment="1">
      <alignment vertical="center"/>
    </xf>
    <xf numFmtId="9" fontId="0" fillId="6" borderId="30" xfId="1" applyNumberFormat="1" applyFont="1" applyFill="1" applyBorder="1" applyAlignment="1">
      <alignment vertical="center"/>
    </xf>
    <xf numFmtId="11" fontId="0" fillId="6" borderId="30" xfId="2" applyNumberFormat="1" applyFont="1" applyFill="1" applyBorder="1" applyAlignment="1">
      <alignment vertical="center"/>
    </xf>
    <xf numFmtId="11" fontId="4" fillId="6" borderId="34" xfId="2" applyNumberFormat="1" applyFont="1" applyFill="1" applyBorder="1" applyAlignment="1">
      <alignment horizontal="right" vertical="center"/>
    </xf>
    <xf numFmtId="11" fontId="4" fillId="6" borderId="15" xfId="2" applyNumberFormat="1" applyFont="1" applyFill="1" applyBorder="1" applyAlignment="1">
      <alignment horizontal="right" vertical="center"/>
    </xf>
    <xf numFmtId="11" fontId="0" fillId="6" borderId="0" xfId="2" applyNumberFormat="1" applyFont="1" applyFill="1" applyBorder="1" applyAlignment="1">
      <alignment vertical="center"/>
    </xf>
    <xf numFmtId="11" fontId="0" fillId="6" borderId="0" xfId="2" applyNumberFormat="1" applyFont="1" applyFill="1" applyBorder="1"/>
    <xf numFmtId="11" fontId="0" fillId="6" borderId="0" xfId="2" applyNumberFormat="1" applyFont="1" applyFill="1" applyBorder="1" applyAlignment="1">
      <alignment horizontal="right" vertical="center"/>
    </xf>
    <xf numFmtId="11" fontId="0" fillId="6" borderId="1" xfId="2" applyNumberFormat="1" applyFont="1" applyFill="1" applyBorder="1" applyAlignment="1">
      <alignment vertical="center"/>
    </xf>
    <xf numFmtId="11" fontId="0" fillId="6" borderId="1" xfId="2" applyNumberFormat="1" applyFont="1" applyFill="1" applyBorder="1" applyAlignment="1">
      <alignment horizontal="right" vertical="center"/>
    </xf>
    <xf numFmtId="11" fontId="0" fillId="6" borderId="1" xfId="2" applyNumberFormat="1" applyFont="1" applyFill="1" applyBorder="1"/>
    <xf numFmtId="1" fontId="13" fillId="6" borderId="19" xfId="2" applyNumberFormat="1" applyFont="1" applyFill="1" applyBorder="1" applyAlignment="1">
      <alignment horizontal="right" vertical="center"/>
    </xf>
    <xf numFmtId="1" fontId="13" fillId="6" borderId="27" xfId="2" applyNumberFormat="1" applyFont="1" applyFill="1" applyBorder="1" applyAlignment="1">
      <alignment horizontal="right" vertical="center"/>
    </xf>
    <xf numFmtId="1" fontId="13" fillId="6" borderId="26" xfId="2" applyNumberFormat="1" applyFont="1" applyFill="1" applyBorder="1" applyAlignment="1">
      <alignment horizontal="right" vertical="center"/>
    </xf>
    <xf numFmtId="0" fontId="0" fillId="6" borderId="15" xfId="0" applyNumberFormat="1" applyFill="1" applyBorder="1" applyAlignment="1">
      <alignment vertical="center"/>
    </xf>
    <xf numFmtId="11" fontId="4" fillId="6" borderId="1" xfId="2" applyNumberFormat="1" applyFont="1" applyFill="1" applyBorder="1" applyAlignment="1">
      <alignment horizontal="right" vertical="center"/>
    </xf>
    <xf numFmtId="11" fontId="0" fillId="6" borderId="32" xfId="2" applyNumberFormat="1" applyFont="1" applyFill="1" applyBorder="1" applyAlignment="1">
      <alignment horizontal="right" vertical="center"/>
    </xf>
    <xf numFmtId="11" fontId="4" fillId="6" borderId="33" xfId="2" applyNumberFormat="1" applyFont="1" applyFill="1" applyBorder="1" applyAlignment="1">
      <alignment horizontal="right" vertical="center"/>
    </xf>
    <xf numFmtId="1" fontId="13" fillId="6" borderId="57" xfId="2" applyNumberFormat="1" applyFont="1" applyFill="1" applyBorder="1" applyAlignment="1">
      <alignment horizontal="right" vertical="center"/>
    </xf>
    <xf numFmtId="11" fontId="0" fillId="6" borderId="31" xfId="2" applyNumberFormat="1" applyFont="1" applyFill="1" applyBorder="1" applyAlignment="1">
      <alignment vertical="center"/>
    </xf>
    <xf numFmtId="11" fontId="0" fillId="6" borderId="58" xfId="2" applyNumberFormat="1" applyFont="1" applyFill="1" applyBorder="1" applyAlignment="1">
      <alignment vertical="center"/>
    </xf>
    <xf numFmtId="11" fontId="0" fillId="6" borderId="0" xfId="2" applyNumberFormat="1" applyFont="1" applyFill="1" applyBorder="1" applyAlignment="1">
      <alignment horizontal="center" vertical="center"/>
    </xf>
    <xf numFmtId="11" fontId="0" fillId="6" borderId="0" xfId="2" applyNumberFormat="1" applyFont="1" applyFill="1" applyBorder="1" applyAlignment="1">
      <alignment horizontal="center"/>
    </xf>
    <xf numFmtId="11" fontId="0" fillId="6" borderId="1" xfId="2" applyNumberFormat="1" applyFont="1" applyFill="1" applyBorder="1" applyAlignment="1">
      <alignment horizontal="center" vertical="center"/>
    </xf>
    <xf numFmtId="11" fontId="0" fillId="6" borderId="1" xfId="2" applyNumberFormat="1" applyFont="1" applyFill="1" applyBorder="1" applyAlignment="1">
      <alignment horizontal="center"/>
    </xf>
    <xf numFmtId="200" fontId="4" fillId="6" borderId="34" xfId="1" applyFont="1" applyFill="1" applyBorder="1" applyAlignment="1">
      <alignment horizontal="right" vertical="center"/>
    </xf>
    <xf numFmtId="200" fontId="4" fillId="6" borderId="15" xfId="1" applyFont="1" applyFill="1" applyBorder="1" applyAlignment="1">
      <alignment horizontal="right" vertical="center"/>
    </xf>
    <xf numFmtId="200" fontId="0" fillId="6" borderId="0" xfId="1" applyFont="1" applyFill="1" applyBorder="1"/>
    <xf numFmtId="200" fontId="0" fillId="6" borderId="33" xfId="1" applyFont="1" applyFill="1" applyBorder="1" applyAlignment="1">
      <alignment horizontal="right" vertical="center"/>
    </xf>
    <xf numFmtId="200" fontId="0" fillId="6" borderId="1" xfId="1" applyFont="1" applyFill="1" applyBorder="1" applyAlignment="1">
      <alignment horizontal="right" vertical="center"/>
    </xf>
    <xf numFmtId="200" fontId="0" fillId="6" borderId="1" xfId="1" applyFont="1" applyFill="1" applyBorder="1"/>
    <xf numFmtId="11" fontId="6" fillId="6" borderId="15" xfId="2" applyNumberFormat="1" applyFont="1" applyFill="1" applyBorder="1" applyAlignment="1">
      <alignment horizontal="center" vertical="center"/>
    </xf>
    <xf numFmtId="0" fontId="94" fillId="0" borderId="45" xfId="4" applyNumberFormat="1" applyFont="1" applyFill="1" applyBorder="1" applyAlignment="1">
      <alignment horizontal="right" vertical="center"/>
    </xf>
    <xf numFmtId="0" fontId="94" fillId="0" borderId="45" xfId="4" applyNumberFormat="1" applyFont="1" applyFill="1" applyBorder="1" applyAlignment="1">
      <alignment vertical="center"/>
    </xf>
    <xf numFmtId="191" fontId="94" fillId="0" borderId="45" xfId="4" applyNumberFormat="1" applyFont="1" applyFill="1" applyBorder="1" applyAlignment="1">
      <alignment vertical="center"/>
    </xf>
    <xf numFmtId="191" fontId="94" fillId="0" borderId="45" xfId="4" applyNumberFormat="1" applyFont="1" applyBorder="1" applyAlignment="1">
      <alignment vertical="center"/>
    </xf>
    <xf numFmtId="191" fontId="94" fillId="15" borderId="38" xfId="4" applyNumberFormat="1" applyFont="1" applyFill="1" applyBorder="1" applyAlignment="1">
      <alignment vertical="center"/>
    </xf>
    <xf numFmtId="11" fontId="6" fillId="6" borderId="15" xfId="2" quotePrefix="1" applyNumberFormat="1" applyFont="1" applyFill="1" applyBorder="1" applyAlignment="1">
      <alignment horizontal="right" vertical="center"/>
    </xf>
    <xf numFmtId="11" fontId="6" fillId="6" borderId="30" xfId="2" applyNumberFormat="1" applyFont="1" applyFill="1" applyBorder="1" applyAlignment="1">
      <alignment vertical="center"/>
    </xf>
    <xf numFmtId="0" fontId="13" fillId="6" borderId="57" xfId="0" applyFont="1" applyFill="1" applyBorder="1" applyAlignment="1">
      <alignment horizontal="right" vertical="center"/>
    </xf>
    <xf numFmtId="190" fontId="4" fillId="6" borderId="29" xfId="1" applyNumberFormat="1" applyFont="1" applyFill="1" applyBorder="1" applyAlignment="1">
      <alignment horizontal="right" vertical="center"/>
    </xf>
    <xf numFmtId="200" fontId="0" fillId="6" borderId="29" xfId="1" applyFont="1" applyFill="1" applyBorder="1" applyAlignment="1">
      <alignment vertical="center"/>
    </xf>
    <xf numFmtId="191" fontId="0" fillId="6" borderId="29" xfId="2" applyFont="1" applyFill="1" applyBorder="1" applyAlignment="1">
      <alignment vertical="center"/>
    </xf>
    <xf numFmtId="0" fontId="13" fillId="6" borderId="57" xfId="0" applyNumberFormat="1" applyFont="1" applyFill="1" applyBorder="1" applyAlignment="1">
      <alignment horizontal="right" vertical="center"/>
    </xf>
    <xf numFmtId="0" fontId="13" fillId="0" borderId="5" xfId="0" applyFont="1" applyBorder="1" applyAlignment="1">
      <alignment vertical="center"/>
    </xf>
    <xf numFmtId="200" fontId="6" fillId="0" borderId="0" xfId="1" applyFont="1"/>
    <xf numFmtId="0" fontId="91" fillId="6" borderId="52" xfId="0" applyFont="1" applyFill="1" applyBorder="1"/>
    <xf numFmtId="191" fontId="0" fillId="6" borderId="31" xfId="2" applyFont="1" applyFill="1" applyBorder="1" applyAlignment="1">
      <alignment vertical="center"/>
    </xf>
    <xf numFmtId="191" fontId="0" fillId="6" borderId="58" xfId="2" applyFont="1" applyFill="1" applyBorder="1" applyAlignment="1">
      <alignment vertical="center"/>
    </xf>
    <xf numFmtId="0" fontId="0" fillId="6" borderId="0" xfId="0" applyFont="1" applyFill="1" applyBorder="1"/>
    <xf numFmtId="0" fontId="16" fillId="0" borderId="19" xfId="0" applyFont="1" applyFill="1" applyBorder="1" applyAlignment="1">
      <alignment horizontal="center" vertical="center"/>
    </xf>
    <xf numFmtId="0" fontId="0" fillId="0" borderId="1" xfId="0" applyBorder="1"/>
    <xf numFmtId="193" fontId="0" fillId="0" borderId="0" xfId="2" applyNumberFormat="1" applyFont="1"/>
    <xf numFmtId="0" fontId="21" fillId="0" borderId="0" xfId="0" applyFont="1" applyAlignment="1">
      <alignment horizontal="right"/>
    </xf>
    <xf numFmtId="9" fontId="0" fillId="6" borderId="15" xfId="1" applyNumberFormat="1" applyFont="1" applyFill="1" applyBorder="1" applyAlignment="1">
      <alignment vertical="center"/>
    </xf>
    <xf numFmtId="11" fontId="0" fillId="6" borderId="0" xfId="1" applyNumberFormat="1" applyFont="1" applyFill="1" applyBorder="1" applyAlignment="1">
      <alignment vertical="center"/>
    </xf>
    <xf numFmtId="191" fontId="0" fillId="6" borderId="0" xfId="2" applyFont="1" applyFill="1" applyBorder="1" applyAlignment="1">
      <alignment horizontal="center" vertical="center"/>
    </xf>
    <xf numFmtId="179" fontId="0" fillId="0" borderId="0" xfId="0" applyNumberFormat="1"/>
    <xf numFmtId="191" fontId="6" fillId="6" borderId="30" xfId="2" applyFont="1" applyFill="1" applyBorder="1" applyAlignment="1">
      <alignment vertical="center"/>
    </xf>
    <xf numFmtId="191" fontId="6" fillId="6" borderId="15" xfId="2" applyFont="1" applyFill="1" applyBorder="1" applyAlignment="1">
      <alignment horizontal="center" vertical="center"/>
    </xf>
    <xf numFmtId="191" fontId="0" fillId="6" borderId="0" xfId="2" applyFont="1" applyFill="1" applyBorder="1" applyAlignment="1">
      <alignment horizontal="center"/>
    </xf>
    <xf numFmtId="191" fontId="0" fillId="6" borderId="1" xfId="2" applyFont="1" applyFill="1" applyBorder="1" applyAlignment="1">
      <alignment horizontal="center" vertical="center"/>
    </xf>
    <xf numFmtId="191" fontId="0" fillId="6" borderId="1" xfId="2" applyFont="1" applyFill="1" applyBorder="1" applyAlignment="1">
      <alignment horizontal="center"/>
    </xf>
    <xf numFmtId="11" fontId="0" fillId="6" borderId="0" xfId="0" quotePrefix="1" applyNumberFormat="1" applyFill="1" applyBorder="1"/>
    <xf numFmtId="0" fontId="0" fillId="0" borderId="0" xfId="0" applyFont="1" applyAlignment="1">
      <alignment horizontal="right"/>
    </xf>
    <xf numFmtId="11" fontId="6" fillId="0" borderId="0" xfId="2" applyNumberFormat="1" applyFont="1"/>
    <xf numFmtId="191" fontId="16" fillId="0" borderId="5" xfId="2" applyFont="1" applyBorder="1" applyAlignment="1">
      <alignment vertical="center"/>
    </xf>
    <xf numFmtId="191" fontId="16" fillId="0" borderId="5" xfId="2" applyFont="1" applyBorder="1" applyAlignment="1">
      <alignment horizontal="right"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8" xfId="0" applyFont="1" applyBorder="1" applyAlignment="1">
      <alignment vertical="center"/>
    </xf>
    <xf numFmtId="0" fontId="16" fillId="0" borderId="8" xfId="0" applyFont="1" applyBorder="1" applyAlignment="1">
      <alignment horizontal="right" vertical="center"/>
    </xf>
    <xf numFmtId="0" fontId="0" fillId="0" borderId="0" xfId="0" applyFont="1" applyBorder="1" applyAlignment="1">
      <alignment horizontal="right" vertical="center"/>
    </xf>
    <xf numFmtId="0" fontId="16" fillId="0" borderId="0" xfId="0" quotePrefix="1" applyFont="1" applyAlignment="1">
      <alignment horizontal="right"/>
    </xf>
    <xf numFmtId="0" fontId="16" fillId="0" borderId="0" xfId="0" applyFont="1" applyAlignment="1">
      <alignment horizontal="right" vertical="center"/>
    </xf>
    <xf numFmtId="0" fontId="16" fillId="0" borderId="0" xfId="0" quotePrefix="1" applyFont="1" applyAlignment="1">
      <alignment horizontal="right" vertical="center"/>
    </xf>
    <xf numFmtId="0" fontId="111" fillId="0" borderId="0" xfId="0" quotePrefix="1" applyFont="1" applyAlignment="1">
      <alignment horizontal="right"/>
    </xf>
    <xf numFmtId="191" fontId="16" fillId="0" borderId="8" xfId="2" applyFont="1" applyBorder="1"/>
    <xf numFmtId="0" fontId="0" fillId="8" borderId="42" xfId="0" applyFill="1" applyBorder="1"/>
    <xf numFmtId="0" fontId="0" fillId="8" borderId="49" xfId="0" applyFill="1" applyBorder="1"/>
    <xf numFmtId="0" fontId="8" fillId="0" borderId="50" xfId="0" applyFont="1" applyFill="1" applyBorder="1"/>
    <xf numFmtId="0" fontId="0" fillId="0" borderId="51" xfId="0" applyFill="1" applyBorder="1"/>
    <xf numFmtId="0" fontId="9" fillId="0" borderId="45" xfId="0" applyFont="1" applyFill="1" applyBorder="1" applyAlignment="1">
      <alignment vertical="center"/>
    </xf>
    <xf numFmtId="0" fontId="0" fillId="0" borderId="45" xfId="0" applyFill="1" applyBorder="1"/>
    <xf numFmtId="0" fontId="0" fillId="0" borderId="0" xfId="0" applyFill="1"/>
    <xf numFmtId="193" fontId="4" fillId="6" borderId="0" xfId="2" applyNumberFormat="1" applyFont="1" applyFill="1" applyBorder="1" applyAlignment="1">
      <alignment horizontal="right" vertical="center"/>
    </xf>
    <xf numFmtId="11" fontId="13" fillId="6" borderId="0" xfId="2" applyNumberFormat="1" applyFont="1" applyFill="1" applyBorder="1" applyAlignment="1">
      <alignment horizontal="right" vertical="center"/>
    </xf>
    <xf numFmtId="193" fontId="4" fillId="6" borderId="15" xfId="2" applyNumberFormat="1" applyFont="1" applyFill="1" applyBorder="1" applyAlignment="1">
      <alignment horizontal="right" vertical="center"/>
    </xf>
    <xf numFmtId="193" fontId="4" fillId="6" borderId="1" xfId="2" applyNumberFormat="1" applyFont="1" applyFill="1" applyBorder="1" applyAlignment="1">
      <alignment horizontal="right" vertical="center"/>
    </xf>
    <xf numFmtId="0" fontId="0" fillId="0" borderId="8" xfId="0" applyBorder="1" applyAlignment="1">
      <alignment vertical="center"/>
    </xf>
    <xf numFmtId="193" fontId="16" fillId="0" borderId="8" xfId="0" applyNumberFormat="1" applyFont="1" applyBorder="1" applyAlignment="1">
      <alignment vertical="center"/>
    </xf>
    <xf numFmtId="193" fontId="0" fillId="0" borderId="0" xfId="0" applyNumberFormat="1" applyFont="1"/>
    <xf numFmtId="193" fontId="0" fillId="0" borderId="0" xfId="0" applyNumberFormat="1" applyFont="1" applyAlignment="1">
      <alignment vertical="center"/>
    </xf>
    <xf numFmtId="0" fontId="13" fillId="8" borderId="19" xfId="0" applyFont="1" applyFill="1" applyBorder="1" applyAlignment="1">
      <alignment vertical="center"/>
    </xf>
    <xf numFmtId="191" fontId="0" fillId="8" borderId="20" xfId="2" applyNumberFormat="1" applyFont="1" applyFill="1" applyBorder="1" applyAlignment="1">
      <alignment vertical="center"/>
    </xf>
    <xf numFmtId="0" fontId="13" fillId="8" borderId="19" xfId="0" applyNumberFormat="1" applyFont="1" applyFill="1" applyBorder="1" applyAlignment="1">
      <alignment vertical="center"/>
    </xf>
    <xf numFmtId="193" fontId="0" fillId="0" borderId="0" xfId="0" applyNumberFormat="1" applyFont="1" applyAlignment="1">
      <alignment horizontal="right"/>
    </xf>
    <xf numFmtId="0" fontId="98" fillId="0" borderId="0" xfId="0" applyFont="1" applyAlignment="1">
      <alignment horizontal="right"/>
    </xf>
    <xf numFmtId="0" fontId="0" fillId="0" borderId="0" xfId="0" applyFont="1" applyBorder="1"/>
    <xf numFmtId="0" fontId="0" fillId="0" borderId="0" xfId="0" applyBorder="1" applyAlignment="1">
      <alignment horizontal="left" vertical="center" wrapText="1"/>
    </xf>
    <xf numFmtId="191" fontId="65" fillId="15" borderId="35" xfId="4" applyNumberFormat="1" applyFill="1" applyBorder="1" applyAlignment="1">
      <alignment vertical="center"/>
    </xf>
    <xf numFmtId="191" fontId="65" fillId="0" borderId="0" xfId="4" applyNumberFormat="1" applyAlignment="1">
      <alignment vertical="center"/>
    </xf>
    <xf numFmtId="191" fontId="103" fillId="6" borderId="35" xfId="4" applyNumberFormat="1" applyFont="1" applyFill="1" applyBorder="1" applyAlignment="1">
      <alignment horizontal="right" vertical="center"/>
    </xf>
    <xf numFmtId="191" fontId="103" fillId="6" borderId="35" xfId="4" applyNumberFormat="1" applyFont="1" applyFill="1" applyBorder="1" applyAlignment="1">
      <alignment horizontal="right" vertical="center" wrapText="1"/>
    </xf>
    <xf numFmtId="191" fontId="103" fillId="2" borderId="35" xfId="4" applyNumberFormat="1" applyFont="1" applyFill="1" applyBorder="1" applyAlignment="1">
      <alignment vertical="center"/>
    </xf>
    <xf numFmtId="191" fontId="103" fillId="8" borderId="35" xfId="4" applyNumberFormat="1" applyFont="1" applyFill="1" applyBorder="1" applyAlignment="1">
      <alignment vertical="center"/>
    </xf>
    <xf numFmtId="191" fontId="103" fillId="7" borderId="35" xfId="4" applyNumberFormat="1" applyFont="1" applyFill="1" applyBorder="1" applyAlignment="1">
      <alignment vertical="center"/>
    </xf>
    <xf numFmtId="0" fontId="8" fillId="8" borderId="0" xfId="0" applyFont="1" applyFill="1" applyBorder="1"/>
    <xf numFmtId="0" fontId="3" fillId="0" borderId="0" xfId="0" applyFont="1"/>
    <xf numFmtId="191" fontId="0" fillId="0" borderId="0" xfId="2" applyFont="1" applyBorder="1" applyAlignment="1">
      <alignment vertical="center"/>
    </xf>
    <xf numFmtId="191" fontId="0" fillId="6" borderId="31" xfId="2" applyFont="1" applyFill="1" applyBorder="1" applyAlignment="1">
      <alignment horizontal="right" vertical="center"/>
    </xf>
    <xf numFmtId="191" fontId="0" fillId="6" borderId="58" xfId="2" applyFont="1" applyFill="1" applyBorder="1" applyAlignment="1">
      <alignment horizontal="right" vertical="center"/>
    </xf>
    <xf numFmtId="200" fontId="16" fillId="6" borderId="0" xfId="1" applyFont="1" applyFill="1" applyBorder="1" applyAlignment="1">
      <alignment vertical="center"/>
    </xf>
    <xf numFmtId="200" fontId="16" fillId="6" borderId="0" xfId="1" applyFont="1" applyFill="1" applyBorder="1" applyAlignment="1">
      <alignment horizontal="right" vertical="center"/>
    </xf>
    <xf numFmtId="0" fontId="0" fillId="6" borderId="20" xfId="0" applyNumberFormat="1" applyFill="1" applyBorder="1" applyAlignment="1">
      <alignment horizontal="right" vertical="center"/>
    </xf>
    <xf numFmtId="0" fontId="121" fillId="6" borderId="52" xfId="4" applyNumberFormat="1" applyFont="1" applyFill="1" applyBorder="1"/>
    <xf numFmtId="200" fontId="4" fillId="0" borderId="0" xfId="1" applyFont="1" applyAlignment="1">
      <alignment horizontal="right"/>
    </xf>
    <xf numFmtId="0" fontId="0" fillId="6" borderId="0" xfId="0" applyNumberFormat="1" applyFill="1" applyBorder="1" applyAlignment="1">
      <alignment horizontal="left" vertical="center"/>
    </xf>
    <xf numFmtId="0" fontId="12" fillId="0" borderId="0" xfId="0" applyFont="1" applyAlignment="1">
      <alignment horizontal="right"/>
    </xf>
    <xf numFmtId="192" fontId="13" fillId="0" borderId="0" xfId="2" applyNumberFormat="1" applyFont="1" applyAlignment="1">
      <alignment horizontal="right"/>
    </xf>
    <xf numFmtId="190" fontId="0" fillId="6" borderId="22" xfId="1" applyNumberFormat="1" applyFont="1" applyFill="1" applyBorder="1" applyAlignment="1">
      <alignment vertical="center"/>
    </xf>
    <xf numFmtId="0" fontId="0" fillId="0" borderId="0" xfId="0" applyFont="1" applyAlignment="1">
      <alignment horizontal="left"/>
    </xf>
    <xf numFmtId="0" fontId="0" fillId="0" borderId="0" xfId="0" quotePrefix="1" applyFont="1" applyAlignment="1">
      <alignment horizontal="right"/>
    </xf>
    <xf numFmtId="0" fontId="65" fillId="0" borderId="0" xfId="4" quotePrefix="1" applyNumberFormat="1"/>
    <xf numFmtId="190" fontId="122" fillId="6" borderId="0" xfId="1" applyNumberFormat="1" applyFont="1" applyFill="1" applyBorder="1" applyAlignment="1">
      <alignment vertical="center"/>
    </xf>
    <xf numFmtId="191" fontId="65" fillId="0" borderId="0" xfId="2" applyFont="1"/>
    <xf numFmtId="194" fontId="65" fillId="0" borderId="0" xfId="2" applyNumberFormat="1" applyFont="1"/>
    <xf numFmtId="0" fontId="122" fillId="0" borderId="0" xfId="0" applyFont="1"/>
    <xf numFmtId="192" fontId="122" fillId="6" borderId="0" xfId="2" applyNumberFormat="1" applyFont="1" applyFill="1" applyBorder="1" applyAlignment="1">
      <alignment vertical="center"/>
    </xf>
    <xf numFmtId="192" fontId="122" fillId="6" borderId="20" xfId="2" applyNumberFormat="1" applyFont="1" applyFill="1" applyBorder="1" applyAlignment="1">
      <alignment vertical="center"/>
    </xf>
    <xf numFmtId="190" fontId="122" fillId="6" borderId="20" xfId="1" applyNumberFormat="1" applyFont="1" applyFill="1" applyBorder="1" applyAlignment="1">
      <alignment vertical="center"/>
    </xf>
    <xf numFmtId="191" fontId="123" fillId="6" borderId="0" xfId="2" applyFont="1" applyFill="1" applyBorder="1" applyAlignment="1">
      <alignment vertical="center"/>
    </xf>
    <xf numFmtId="10" fontId="65" fillId="0" borderId="0" xfId="4" applyNumberFormat="1"/>
    <xf numFmtId="0" fontId="124" fillId="0" borderId="0" xfId="4" applyNumberFormat="1" applyFont="1"/>
    <xf numFmtId="194" fontId="0" fillId="0" borderId="0" xfId="2" applyNumberFormat="1" applyFont="1"/>
    <xf numFmtId="10" fontId="65" fillId="0" borderId="0" xfId="1" applyNumberFormat="1" applyFont="1"/>
    <xf numFmtId="190" fontId="12" fillId="0" borderId="0" xfId="1" applyNumberFormat="1" applyFont="1"/>
    <xf numFmtId="193" fontId="123" fillId="6" borderId="0" xfId="2" applyNumberFormat="1" applyFont="1" applyFill="1" applyBorder="1" applyAlignment="1">
      <alignment vertical="center"/>
    </xf>
    <xf numFmtId="193" fontId="123" fillId="6" borderId="0" xfId="2" applyNumberFormat="1" applyFont="1" applyFill="1" applyBorder="1" applyAlignment="1">
      <alignment horizontal="right" vertical="center"/>
    </xf>
    <xf numFmtId="193" fontId="123" fillId="6" borderId="20" xfId="2" applyNumberFormat="1" applyFont="1" applyFill="1" applyBorder="1" applyAlignment="1">
      <alignment horizontal="right" vertical="center"/>
    </xf>
    <xf numFmtId="191" fontId="123" fillId="6" borderId="22" xfId="2" applyFont="1" applyFill="1" applyBorder="1" applyAlignment="1">
      <alignment vertical="center"/>
    </xf>
    <xf numFmtId="191" fontId="123" fillId="6" borderId="22" xfId="2" applyFont="1" applyFill="1" applyBorder="1" applyAlignment="1">
      <alignment horizontal="right" vertical="center"/>
    </xf>
    <xf numFmtId="191" fontId="123" fillId="6" borderId="0" xfId="2" applyFont="1" applyFill="1" applyBorder="1" applyAlignment="1">
      <alignment horizontal="right" vertical="center"/>
    </xf>
    <xf numFmtId="191" fontId="123" fillId="6" borderId="20" xfId="2" applyFont="1" applyFill="1" applyBorder="1" applyAlignment="1">
      <alignment horizontal="right" vertical="center"/>
    </xf>
    <xf numFmtId="191" fontId="123" fillId="6" borderId="23" xfId="2" applyFont="1" applyFill="1" applyBorder="1" applyAlignment="1">
      <alignment horizontal="right" vertical="center"/>
    </xf>
    <xf numFmtId="190" fontId="0" fillId="6" borderId="22" xfId="1" applyNumberFormat="1" applyFont="1" applyFill="1" applyBorder="1" applyAlignment="1">
      <alignment horizontal="right" vertical="center"/>
    </xf>
    <xf numFmtId="190" fontId="4" fillId="0" borderId="0" xfId="1" applyNumberFormat="1" applyFont="1" applyAlignment="1">
      <alignment horizontal="right"/>
    </xf>
    <xf numFmtId="9" fontId="0" fillId="6" borderId="15" xfId="0" applyNumberFormat="1" applyFill="1" applyBorder="1" applyAlignment="1">
      <alignment vertical="center"/>
    </xf>
    <xf numFmtId="0" fontId="0" fillId="6" borderId="16" xfId="0" applyFill="1" applyBorder="1" applyAlignment="1">
      <alignment vertical="center"/>
    </xf>
    <xf numFmtId="9" fontId="0" fillId="6" borderId="16" xfId="0" applyNumberFormat="1" applyFill="1" applyBorder="1" applyAlignment="1">
      <alignment vertical="center"/>
    </xf>
    <xf numFmtId="0" fontId="16" fillId="6" borderId="0" xfId="0" applyFont="1" applyFill="1" applyBorder="1" applyAlignment="1">
      <alignment horizontal="left"/>
    </xf>
    <xf numFmtId="9" fontId="122" fillId="6" borderId="0" xfId="1" applyNumberFormat="1" applyFont="1" applyFill="1" applyBorder="1" applyAlignment="1">
      <alignment vertical="center"/>
    </xf>
    <xf numFmtId="9" fontId="25" fillId="6" borderId="34" xfId="1" applyNumberFormat="1" applyFont="1" applyFill="1" applyBorder="1" applyAlignment="1">
      <alignment vertical="center"/>
    </xf>
    <xf numFmtId="9" fontId="25" fillId="6" borderId="15" xfId="1" applyNumberFormat="1" applyFont="1" applyFill="1" applyBorder="1" applyAlignment="1">
      <alignment vertical="center"/>
    </xf>
    <xf numFmtId="200" fontId="122" fillId="6" borderId="0" xfId="1" applyFont="1" applyFill="1" applyBorder="1" applyAlignment="1">
      <alignment horizontal="right" vertical="center"/>
    </xf>
    <xf numFmtId="190" fontId="25" fillId="6" borderId="22" xfId="1" applyNumberFormat="1" applyFont="1" applyFill="1" applyBorder="1" applyAlignment="1">
      <alignment vertical="center"/>
    </xf>
    <xf numFmtId="190" fontId="25" fillId="6" borderId="0" xfId="1" applyNumberFormat="1" applyFont="1" applyFill="1" applyBorder="1" applyAlignment="1">
      <alignment vertical="center"/>
    </xf>
    <xf numFmtId="0" fontId="16" fillId="6" borderId="0" xfId="0" applyNumberFormat="1" applyFont="1" applyFill="1" applyBorder="1" applyAlignment="1">
      <alignment horizontal="left" vertical="center"/>
    </xf>
    <xf numFmtId="200" fontId="16" fillId="6" borderId="0" xfId="1" applyFont="1" applyFill="1" applyBorder="1" applyAlignment="1">
      <alignment horizontal="left" vertical="center"/>
    </xf>
    <xf numFmtId="192" fontId="25" fillId="6" borderId="22" xfId="2" applyNumberFormat="1" applyFont="1" applyFill="1" applyBorder="1" applyAlignment="1">
      <alignment vertical="center"/>
    </xf>
    <xf numFmtId="192" fontId="25" fillId="6" borderId="0" xfId="2" applyNumberFormat="1" applyFont="1" applyFill="1" applyBorder="1" applyAlignment="1">
      <alignment vertical="center"/>
    </xf>
    <xf numFmtId="200" fontId="25" fillId="6" borderId="15" xfId="1" applyFont="1" applyFill="1" applyBorder="1" applyAlignment="1">
      <alignment vertical="center"/>
    </xf>
    <xf numFmtId="200" fontId="25" fillId="6" borderId="0" xfId="1" applyFont="1" applyFill="1" applyBorder="1" applyAlignment="1">
      <alignment vertical="center"/>
    </xf>
    <xf numFmtId="200" fontId="25" fillId="6" borderId="16" xfId="1" applyFont="1" applyFill="1" applyBorder="1" applyAlignment="1">
      <alignment vertical="center"/>
    </xf>
    <xf numFmtId="200" fontId="25" fillId="6" borderId="24" xfId="1" applyFont="1" applyFill="1" applyBorder="1" applyAlignment="1">
      <alignment vertical="center"/>
    </xf>
    <xf numFmtId="200" fontId="25" fillId="6" borderId="34" xfId="1" applyFont="1" applyFill="1" applyBorder="1" applyAlignment="1">
      <alignment vertical="center"/>
    </xf>
    <xf numFmtId="200" fontId="25" fillId="6" borderId="22" xfId="1" applyFont="1" applyFill="1" applyBorder="1" applyAlignment="1">
      <alignment vertical="center"/>
    </xf>
    <xf numFmtId="200" fontId="25" fillId="6" borderId="28" xfId="1" applyFont="1" applyFill="1" applyBorder="1" applyAlignment="1">
      <alignment vertical="center"/>
    </xf>
    <xf numFmtId="200" fontId="25" fillId="6" borderId="25" xfId="1" applyFont="1" applyFill="1" applyBorder="1" applyAlignment="1">
      <alignment vertical="center"/>
    </xf>
    <xf numFmtId="0" fontId="125" fillId="0" borderId="0" xfId="4" applyNumberFormat="1" applyFont="1"/>
    <xf numFmtId="0" fontId="126" fillId="6" borderId="52" xfId="0" applyFont="1" applyFill="1" applyBorder="1"/>
    <xf numFmtId="190" fontId="25" fillId="6" borderId="20" xfId="1" applyNumberFormat="1" applyFont="1" applyFill="1" applyBorder="1" applyAlignment="1">
      <alignment vertical="center"/>
    </xf>
    <xf numFmtId="190" fontId="25" fillId="6" borderId="0" xfId="1" applyNumberFormat="1" applyFont="1" applyFill="1" applyBorder="1"/>
    <xf numFmtId="190" fontId="25" fillId="6" borderId="22" xfId="1" applyNumberFormat="1" applyFont="1" applyFill="1" applyBorder="1" applyAlignment="1">
      <alignment horizontal="right" vertical="center"/>
    </xf>
    <xf numFmtId="190" fontId="25" fillId="6" borderId="0" xfId="1" applyNumberFormat="1" applyFont="1" applyFill="1" applyBorder="1" applyAlignment="1">
      <alignment horizontal="right" vertical="center"/>
    </xf>
    <xf numFmtId="190" fontId="25" fillId="6" borderId="23" xfId="1" applyNumberFormat="1" applyFont="1" applyFill="1" applyBorder="1" applyAlignment="1">
      <alignment horizontal="right" vertical="center"/>
    </xf>
    <xf numFmtId="190" fontId="25" fillId="6" borderId="20" xfId="1" applyNumberFormat="1" applyFont="1" applyFill="1" applyBorder="1" applyAlignment="1">
      <alignment horizontal="right" vertical="center"/>
    </xf>
    <xf numFmtId="194" fontId="25" fillId="6" borderId="15" xfId="2" applyNumberFormat="1" applyFont="1" applyFill="1" applyBorder="1" applyAlignment="1">
      <alignment vertical="center"/>
    </xf>
    <xf numFmtId="194" fontId="25" fillId="6" borderId="0" xfId="2" applyNumberFormat="1" applyFont="1" applyFill="1" applyBorder="1" applyAlignment="1">
      <alignment vertical="center"/>
    </xf>
    <xf numFmtId="194" fontId="25" fillId="6" borderId="24" xfId="2" applyNumberFormat="1" applyFont="1" applyFill="1" applyBorder="1" applyAlignment="1">
      <alignment vertical="center"/>
    </xf>
    <xf numFmtId="194" fontId="25" fillId="6" borderId="34" xfId="2" applyNumberFormat="1" applyFont="1" applyFill="1" applyBorder="1" applyAlignment="1">
      <alignment vertical="center"/>
    </xf>
    <xf numFmtId="194" fontId="25" fillId="6" borderId="22" xfId="2" applyNumberFormat="1" applyFont="1" applyFill="1" applyBorder="1" applyAlignment="1">
      <alignment vertical="center"/>
    </xf>
    <xf numFmtId="194" fontId="25" fillId="6" borderId="25" xfId="2" applyNumberFormat="1" applyFont="1" applyFill="1" applyBorder="1" applyAlignment="1">
      <alignment vertical="center"/>
    </xf>
    <xf numFmtId="191" fontId="13" fillId="0" borderId="0" xfId="2" applyFont="1" applyAlignment="1">
      <alignment horizontal="left"/>
    </xf>
    <xf numFmtId="191" fontId="124" fillId="0" borderId="0" xfId="2" applyFont="1"/>
    <xf numFmtId="198" fontId="65" fillId="0" borderId="0" xfId="2" applyNumberFormat="1" applyFont="1"/>
    <xf numFmtId="192" fontId="65" fillId="0" borderId="0" xfId="2" applyNumberFormat="1" applyFont="1"/>
    <xf numFmtId="192" fontId="124" fillId="0" borderId="0" xfId="2" applyNumberFormat="1" applyFont="1"/>
    <xf numFmtId="194" fontId="124" fillId="0" borderId="0" xfId="2" applyNumberFormat="1" applyFont="1"/>
    <xf numFmtId="191" fontId="25" fillId="6" borderId="24" xfId="2" applyNumberFormat="1" applyFont="1" applyFill="1" applyBorder="1" applyAlignment="1">
      <alignment vertical="center"/>
    </xf>
    <xf numFmtId="191" fontId="25" fillId="6" borderId="25" xfId="2" applyNumberFormat="1" applyFont="1" applyFill="1" applyBorder="1" applyAlignment="1">
      <alignment vertical="center"/>
    </xf>
    <xf numFmtId="0" fontId="0" fillId="6" borderId="52" xfId="0" applyFill="1" applyBorder="1" applyAlignment="1">
      <alignment horizontal="left" vertical="center"/>
    </xf>
    <xf numFmtId="190" fontId="4" fillId="6" borderId="0" xfId="0" applyNumberFormat="1" applyFont="1" applyFill="1" applyBorder="1" applyAlignment="1">
      <alignment horizontal="right" vertical="center"/>
    </xf>
    <xf numFmtId="190" fontId="4" fillId="6" borderId="1" xfId="1" applyNumberFormat="1" applyFont="1" applyFill="1" applyBorder="1" applyAlignment="1">
      <alignment horizontal="right" vertical="center"/>
    </xf>
    <xf numFmtId="190" fontId="4" fillId="6" borderId="15" xfId="1" applyNumberFormat="1" applyFont="1" applyFill="1" applyBorder="1" applyAlignment="1">
      <alignment horizontal="right" vertical="center"/>
    </xf>
    <xf numFmtId="0" fontId="8" fillId="6" borderId="52" xfId="0" applyFont="1" applyFill="1" applyBorder="1" applyAlignment="1">
      <alignment horizontal="left" vertical="center"/>
    </xf>
    <xf numFmtId="0" fontId="0" fillId="6" borderId="31" xfId="0" applyFill="1" applyBorder="1" applyAlignment="1">
      <alignment vertical="center"/>
    </xf>
    <xf numFmtId="0" fontId="0" fillId="6" borderId="32" xfId="0" applyFill="1" applyBorder="1" applyAlignment="1">
      <alignment vertical="center"/>
    </xf>
    <xf numFmtId="0" fontId="13" fillId="6" borderId="21" xfId="0" applyFont="1" applyFill="1" applyBorder="1" applyAlignment="1">
      <alignment horizontal="center" vertical="center"/>
    </xf>
    <xf numFmtId="0" fontId="13" fillId="6" borderId="19" xfId="0" applyFont="1" applyFill="1" applyBorder="1" applyAlignment="1">
      <alignment horizontal="center" vertical="center"/>
    </xf>
    <xf numFmtId="200" fontId="4" fillId="6" borderId="0" xfId="1" applyFont="1" applyFill="1" applyBorder="1" applyAlignment="1">
      <alignment horizontal="right" vertical="center"/>
    </xf>
    <xf numFmtId="200" fontId="4" fillId="6" borderId="30" xfId="1" applyFont="1" applyFill="1" applyBorder="1" applyAlignment="1">
      <alignment horizontal="right" vertical="center"/>
    </xf>
    <xf numFmtId="200" fontId="4" fillId="6" borderId="32" xfId="1" applyFont="1" applyFill="1" applyBorder="1" applyAlignment="1">
      <alignment horizontal="right" vertical="center"/>
    </xf>
    <xf numFmtId="200" fontId="4" fillId="6" borderId="1" xfId="1" applyFont="1" applyFill="1" applyBorder="1" applyAlignment="1">
      <alignment horizontal="right" vertical="center"/>
    </xf>
    <xf numFmtId="0" fontId="13" fillId="6" borderId="0" xfId="0" applyFont="1" applyFill="1" applyBorder="1" applyAlignment="1">
      <alignment horizontal="right" vertical="center"/>
    </xf>
    <xf numFmtId="0" fontId="13" fillId="6" borderId="0" xfId="0" applyFont="1" applyFill="1" applyBorder="1" applyAlignment="1">
      <alignment horizontal="center" vertical="center"/>
    </xf>
    <xf numFmtId="198" fontId="4" fillId="6" borderId="0" xfId="2" applyNumberFormat="1" applyFont="1" applyFill="1" applyBorder="1" applyAlignment="1">
      <alignment horizontal="right" vertical="center"/>
    </xf>
    <xf numFmtId="198" fontId="4" fillId="6" borderId="1" xfId="2" applyNumberFormat="1" applyFont="1" applyFill="1" applyBorder="1" applyAlignment="1">
      <alignment horizontal="right" vertical="center"/>
    </xf>
    <xf numFmtId="194" fontId="16" fillId="0" borderId="0" xfId="2" applyNumberFormat="1" applyFont="1"/>
    <xf numFmtId="194" fontId="21" fillId="0" borderId="0" xfId="2" applyNumberFormat="1" applyFont="1"/>
    <xf numFmtId="192" fontId="0" fillId="0" borderId="0" xfId="2" applyNumberFormat="1" applyFont="1"/>
    <xf numFmtId="0" fontId="0" fillId="0" borderId="0" xfId="0" applyFont="1" applyBorder="1" applyAlignment="1">
      <alignment horizontal="left" vertical="center" wrapText="1"/>
    </xf>
    <xf numFmtId="191" fontId="13" fillId="7" borderId="0" xfId="0" applyNumberFormat="1" applyFont="1" applyFill="1" applyBorder="1" applyAlignment="1">
      <alignment vertical="center"/>
    </xf>
    <xf numFmtId="0" fontId="0" fillId="6" borderId="16" xfId="0" applyNumberFormat="1" applyFill="1" applyBorder="1" applyAlignment="1">
      <alignment vertical="center"/>
    </xf>
    <xf numFmtId="191" fontId="0" fillId="6" borderId="15" xfId="2" applyNumberFormat="1" applyFont="1" applyFill="1" applyBorder="1" applyAlignment="1">
      <alignment vertical="center"/>
    </xf>
    <xf numFmtId="191" fontId="0" fillId="6" borderId="22" xfId="2" applyNumberFormat="1" applyFont="1" applyFill="1" applyBorder="1" applyAlignment="1">
      <alignment vertical="center"/>
    </xf>
    <xf numFmtId="191" fontId="0" fillId="6" borderId="16" xfId="2" applyNumberFormat="1" applyFont="1" applyFill="1" applyBorder="1" applyAlignment="1">
      <alignment vertical="center"/>
    </xf>
    <xf numFmtId="191" fontId="0" fillId="6" borderId="28" xfId="2" applyNumberFormat="1" applyFont="1" applyFill="1" applyBorder="1" applyAlignment="1">
      <alignment vertical="center"/>
    </xf>
    <xf numFmtId="191" fontId="0" fillId="6" borderId="22" xfId="2" applyNumberFormat="1" applyFont="1" applyFill="1" applyBorder="1" applyAlignment="1">
      <alignment horizontal="right" vertical="center"/>
    </xf>
    <xf numFmtId="191" fontId="0" fillId="6" borderId="0" xfId="2" applyNumberFormat="1" applyFont="1" applyFill="1" applyBorder="1" applyAlignment="1">
      <alignment horizontal="right" vertical="center"/>
    </xf>
    <xf numFmtId="191" fontId="0" fillId="6" borderId="20" xfId="2" applyNumberFormat="1" applyFont="1" applyFill="1" applyBorder="1" applyAlignment="1">
      <alignment vertical="center"/>
    </xf>
    <xf numFmtId="191" fontId="0" fillId="6" borderId="23" xfId="2" applyNumberFormat="1" applyFont="1" applyFill="1" applyBorder="1" applyAlignment="1">
      <alignment horizontal="right" vertical="center"/>
    </xf>
    <xf numFmtId="191" fontId="0" fillId="6" borderId="20" xfId="2" applyNumberFormat="1" applyFont="1" applyFill="1" applyBorder="1" applyAlignment="1">
      <alignment horizontal="right" vertical="center"/>
    </xf>
    <xf numFmtId="192" fontId="0" fillId="6" borderId="20" xfId="2" applyNumberFormat="1" applyFont="1" applyFill="1" applyBorder="1" applyAlignment="1">
      <alignment vertical="center"/>
    </xf>
    <xf numFmtId="190" fontId="0" fillId="6" borderId="23" xfId="1" applyNumberFormat="1" applyFont="1" applyFill="1" applyBorder="1" applyAlignment="1">
      <alignment horizontal="right" vertical="center"/>
    </xf>
    <xf numFmtId="191" fontId="0" fillId="6" borderId="1" xfId="2" applyNumberFormat="1" applyFont="1" applyFill="1" applyBorder="1" applyAlignment="1">
      <alignment vertical="center"/>
    </xf>
    <xf numFmtId="191" fontId="0" fillId="6" borderId="33" xfId="2" applyNumberFormat="1" applyFont="1" applyFill="1" applyBorder="1" applyAlignment="1">
      <alignment vertical="center"/>
    </xf>
    <xf numFmtId="192" fontId="0" fillId="6" borderId="15" xfId="2" applyNumberFormat="1" applyFont="1" applyFill="1" applyBorder="1" applyAlignment="1">
      <alignment vertical="center"/>
    </xf>
    <xf numFmtId="192" fontId="0" fillId="6" borderId="1" xfId="2" applyNumberFormat="1" applyFont="1" applyFill="1" applyBorder="1" applyAlignment="1">
      <alignment vertical="center"/>
    </xf>
    <xf numFmtId="192" fontId="0" fillId="6" borderId="34" xfId="2" applyNumberFormat="1" applyFont="1" applyFill="1" applyBorder="1" applyAlignment="1">
      <alignment vertical="center"/>
    </xf>
    <xf numFmtId="192" fontId="0" fillId="6" borderId="0" xfId="0" applyNumberFormat="1" applyFill="1" applyBorder="1"/>
    <xf numFmtId="192" fontId="0" fillId="6" borderId="33" xfId="2" applyNumberFormat="1" applyFont="1" applyFill="1" applyBorder="1" applyAlignment="1">
      <alignment vertical="center"/>
    </xf>
    <xf numFmtId="192" fontId="0" fillId="6" borderId="1" xfId="0" applyNumberFormat="1" applyFill="1" applyBorder="1"/>
    <xf numFmtId="192" fontId="0" fillId="6" borderId="0" xfId="2" applyNumberFormat="1" applyFont="1" applyFill="1" applyBorder="1"/>
    <xf numFmtId="191" fontId="0" fillId="6" borderId="0" xfId="2" applyNumberFormat="1" applyFont="1" applyFill="1" applyBorder="1"/>
    <xf numFmtId="192" fontId="0" fillId="6" borderId="1" xfId="2" applyNumberFormat="1" applyFont="1" applyFill="1" applyBorder="1"/>
    <xf numFmtId="0" fontId="13" fillId="6" borderId="31" xfId="0" applyFont="1" applyFill="1" applyBorder="1" applyAlignment="1">
      <alignment horizontal="right" vertical="center"/>
    </xf>
    <xf numFmtId="0" fontId="0" fillId="6" borderId="20" xfId="0" applyFill="1" applyBorder="1"/>
    <xf numFmtId="0" fontId="0" fillId="6" borderId="31" xfId="0" applyFill="1" applyBorder="1"/>
    <xf numFmtId="190" fontId="0" fillId="6" borderId="0" xfId="1" applyNumberFormat="1" applyFont="1" applyFill="1" applyBorder="1"/>
    <xf numFmtId="0" fontId="0" fillId="6" borderId="0" xfId="0" quotePrefix="1" applyFont="1" applyFill="1" applyBorder="1" applyAlignment="1">
      <alignment horizontal="right" vertical="center"/>
    </xf>
    <xf numFmtId="190" fontId="0" fillId="6" borderId="33" xfId="1" applyNumberFormat="1" applyFont="1" applyFill="1" applyBorder="1" applyAlignment="1">
      <alignment horizontal="right" vertical="center"/>
    </xf>
    <xf numFmtId="190" fontId="0" fillId="6" borderId="1" xfId="1" applyNumberFormat="1" applyFont="1" applyFill="1" applyBorder="1" applyAlignment="1">
      <alignment horizontal="right" vertical="center"/>
    </xf>
    <xf numFmtId="0" fontId="0" fillId="0" borderId="0" xfId="0" quotePrefix="1" applyAlignment="1">
      <alignment horizontal="right"/>
    </xf>
    <xf numFmtId="191" fontId="128" fillId="0" borderId="0" xfId="2" applyFont="1" applyAlignment="1">
      <alignment horizontal="right"/>
    </xf>
    <xf numFmtId="200" fontId="128" fillId="0" borderId="0" xfId="1" applyFont="1" applyAlignment="1">
      <alignment horizontal="right"/>
    </xf>
    <xf numFmtId="10" fontId="128" fillId="0" borderId="0" xfId="1" applyNumberFormat="1" applyFont="1" applyAlignment="1">
      <alignment horizontal="right"/>
    </xf>
    <xf numFmtId="191" fontId="6" fillId="8" borderId="0" xfId="0" applyNumberFormat="1" applyFont="1" applyFill="1" applyBorder="1" applyAlignment="1">
      <alignment vertical="center"/>
    </xf>
    <xf numFmtId="0" fontId="13" fillId="6" borderId="15" xfId="0" applyFont="1" applyFill="1" applyBorder="1" applyAlignment="1">
      <alignment vertical="center"/>
    </xf>
    <xf numFmtId="190" fontId="4" fillId="6" borderId="30" xfId="1" applyNumberFormat="1" applyFont="1" applyFill="1" applyBorder="1" applyAlignment="1">
      <alignment horizontal="right" vertical="center"/>
    </xf>
    <xf numFmtId="190" fontId="4" fillId="6" borderId="1" xfId="0" applyNumberFormat="1" applyFont="1" applyFill="1" applyBorder="1" applyAlignment="1">
      <alignment horizontal="right" vertical="center"/>
    </xf>
    <xf numFmtId="190" fontId="4" fillId="6" borderId="15" xfId="0" applyNumberFormat="1" applyFont="1" applyFill="1" applyBorder="1" applyAlignment="1">
      <alignment horizontal="right" vertical="center"/>
    </xf>
    <xf numFmtId="190" fontId="4" fillId="6" borderId="31" xfId="1" applyNumberFormat="1" applyFont="1" applyFill="1" applyBorder="1" applyAlignment="1">
      <alignment horizontal="right" vertical="center"/>
    </xf>
    <xf numFmtId="190" fontId="4" fillId="6" borderId="32" xfId="1" applyNumberFormat="1" applyFont="1" applyFill="1" applyBorder="1" applyAlignment="1">
      <alignment horizontal="right" vertical="center"/>
    </xf>
    <xf numFmtId="0" fontId="8" fillId="6" borderId="0" xfId="0" applyFont="1" applyFill="1" applyBorder="1" applyAlignment="1">
      <alignment horizontal="left" vertical="center" indent="1"/>
    </xf>
    <xf numFmtId="200" fontId="21" fillId="0" borderId="0" xfId="1" applyFont="1"/>
    <xf numFmtId="0" fontId="0" fillId="6" borderId="59" xfId="0" quotePrefix="1" applyFont="1" applyFill="1" applyBorder="1" applyAlignment="1">
      <alignment horizontal="right"/>
    </xf>
    <xf numFmtId="0" fontId="0" fillId="6" borderId="60" xfId="0" applyFill="1" applyBorder="1"/>
    <xf numFmtId="0" fontId="0" fillId="6" borderId="59" xfId="0" applyFill="1" applyBorder="1"/>
    <xf numFmtId="0" fontId="13" fillId="6" borderId="61" xfId="0" applyFont="1" applyFill="1" applyBorder="1" applyAlignment="1">
      <alignment vertical="center"/>
    </xf>
    <xf numFmtId="0" fontId="13" fillId="6" borderId="62" xfId="0" applyNumberFormat="1" applyFont="1" applyFill="1" applyBorder="1" applyAlignment="1">
      <alignment horizontal="center" vertical="center"/>
    </xf>
    <xf numFmtId="9" fontId="0" fillId="6" borderId="59" xfId="0" applyNumberFormat="1" applyFill="1" applyBorder="1" applyAlignment="1">
      <alignment vertical="center"/>
    </xf>
    <xf numFmtId="10" fontId="0" fillId="6" borderId="60" xfId="1" applyNumberFormat="1" applyFont="1" applyFill="1" applyBorder="1" applyAlignment="1">
      <alignment vertical="center"/>
    </xf>
    <xf numFmtId="0" fontId="0" fillId="6" borderId="63" xfId="0" applyFill="1" applyBorder="1" applyAlignment="1">
      <alignment vertical="center"/>
    </xf>
    <xf numFmtId="0" fontId="13" fillId="6" borderId="0" xfId="0" applyNumberFormat="1" applyFont="1" applyFill="1" applyBorder="1" applyAlignment="1">
      <alignment horizontal="center" vertical="center"/>
    </xf>
    <xf numFmtId="201" fontId="0" fillId="6" borderId="0" xfId="1" applyNumberFormat="1" applyFont="1" applyFill="1" applyBorder="1" applyAlignment="1">
      <alignment vertical="center"/>
    </xf>
    <xf numFmtId="201" fontId="0" fillId="6" borderId="20" xfId="1" applyNumberFormat="1" applyFont="1" applyFill="1" applyBorder="1" applyAlignment="1">
      <alignment vertical="center"/>
    </xf>
    <xf numFmtId="191" fontId="16" fillId="6" borderId="0" xfId="2" applyFont="1" applyFill="1" applyBorder="1" applyAlignment="1">
      <alignment vertical="center"/>
    </xf>
    <xf numFmtId="191" fontId="16" fillId="6" borderId="0" xfId="0" applyNumberFormat="1" applyFont="1" applyFill="1" applyBorder="1"/>
    <xf numFmtId="194" fontId="0" fillId="6" borderId="0" xfId="2" applyNumberFormat="1" applyFont="1" applyFill="1" applyBorder="1" applyAlignment="1">
      <alignment horizontal="right" vertical="center"/>
    </xf>
    <xf numFmtId="194" fontId="0" fillId="6" borderId="22" xfId="2" applyNumberFormat="1" applyFont="1" applyFill="1" applyBorder="1" applyAlignment="1">
      <alignment horizontal="right" vertical="center"/>
    </xf>
    <xf numFmtId="194" fontId="0" fillId="6" borderId="20" xfId="2" applyNumberFormat="1" applyFont="1" applyFill="1" applyBorder="1" applyAlignment="1">
      <alignment horizontal="right" vertical="center"/>
    </xf>
    <xf numFmtId="194" fontId="0" fillId="6" borderId="23" xfId="2" applyNumberFormat="1" applyFont="1" applyFill="1" applyBorder="1" applyAlignment="1">
      <alignment horizontal="right" vertical="center"/>
    </xf>
    <xf numFmtId="191" fontId="0" fillId="6" borderId="60" xfId="2" applyFont="1" applyFill="1" applyBorder="1" applyAlignment="1">
      <alignment vertical="center"/>
    </xf>
    <xf numFmtId="191" fontId="0" fillId="6" borderId="59" xfId="2" applyFont="1" applyFill="1" applyBorder="1" applyAlignment="1">
      <alignment horizontal="right" vertical="center"/>
    </xf>
    <xf numFmtId="191" fontId="0" fillId="6" borderId="60" xfId="2" applyFont="1" applyFill="1" applyBorder="1" applyAlignment="1">
      <alignment horizontal="right" vertical="center"/>
    </xf>
    <xf numFmtId="191" fontId="0" fillId="6" borderId="63" xfId="2" applyFont="1" applyFill="1" applyBorder="1" applyAlignment="1">
      <alignment horizontal="right" vertical="center"/>
    </xf>
    <xf numFmtId="191" fontId="0" fillId="6" borderId="64" xfId="2" applyFont="1" applyFill="1" applyBorder="1" applyAlignment="1">
      <alignment horizontal="right" vertical="center"/>
    </xf>
    <xf numFmtId="191" fontId="16" fillId="6" borderId="59" xfId="2" applyFont="1" applyFill="1" applyBorder="1" applyAlignment="1">
      <alignment vertical="center"/>
    </xf>
    <xf numFmtId="191" fontId="16" fillId="6" borderId="60" xfId="2" applyFont="1" applyFill="1" applyBorder="1" applyAlignment="1">
      <alignment vertical="center"/>
    </xf>
    <xf numFmtId="0" fontId="13" fillId="6" borderId="62" xfId="0" applyNumberFormat="1" applyFont="1" applyFill="1" applyBorder="1" applyAlignment="1">
      <alignment horizontal="right" vertical="center"/>
    </xf>
    <xf numFmtId="0" fontId="13" fillId="6" borderId="61" xfId="0" applyNumberFormat="1" applyFont="1" applyFill="1" applyBorder="1" applyAlignment="1">
      <alignment horizontal="right" vertical="center"/>
    </xf>
    <xf numFmtId="191" fontId="0" fillId="6" borderId="64" xfId="2" applyFont="1" applyFill="1" applyBorder="1" applyAlignment="1">
      <alignment vertical="center"/>
    </xf>
    <xf numFmtId="0" fontId="16" fillId="6" borderId="59" xfId="0" applyFont="1" applyFill="1" applyBorder="1" applyAlignment="1">
      <alignment vertical="center"/>
    </xf>
    <xf numFmtId="200" fontId="0" fillId="6" borderId="31" xfId="1" applyFont="1" applyFill="1" applyBorder="1" applyAlignment="1">
      <alignment vertical="center"/>
    </xf>
    <xf numFmtId="200" fontId="0" fillId="6" borderId="58" xfId="1" applyFont="1" applyFill="1" applyBorder="1" applyAlignment="1">
      <alignment vertical="center"/>
    </xf>
    <xf numFmtId="200" fontId="129" fillId="6" borderId="0" xfId="1" applyFont="1" applyFill="1" applyBorder="1" applyAlignment="1">
      <alignment vertical="center"/>
    </xf>
    <xf numFmtId="200" fontId="129" fillId="6" borderId="0" xfId="1" applyFont="1" applyFill="1" applyBorder="1" applyAlignment="1">
      <alignment horizontal="right" vertical="center"/>
    </xf>
    <xf numFmtId="200" fontId="129" fillId="6" borderId="20" xfId="1" applyFont="1" applyFill="1" applyBorder="1" applyAlignment="1">
      <alignment horizontal="right" vertical="center"/>
    </xf>
    <xf numFmtId="190" fontId="0" fillId="6" borderId="60" xfId="1" applyNumberFormat="1" applyFont="1" applyFill="1" applyBorder="1" applyAlignment="1">
      <alignment vertical="center"/>
    </xf>
    <xf numFmtId="9" fontId="0" fillId="6" borderId="65" xfId="0" applyNumberFormat="1" applyFill="1" applyBorder="1" applyAlignment="1">
      <alignment vertical="center"/>
    </xf>
    <xf numFmtId="190" fontId="0" fillId="6" borderId="66" xfId="1" applyNumberFormat="1" applyFont="1" applyFill="1" applyBorder="1" applyAlignment="1">
      <alignment vertical="center"/>
    </xf>
    <xf numFmtId="0" fontId="0" fillId="6" borderId="59" xfId="0" applyFill="1" applyBorder="1" applyAlignment="1">
      <alignment vertical="center"/>
    </xf>
    <xf numFmtId="194" fontId="0" fillId="6" borderId="60" xfId="2" applyNumberFormat="1" applyFont="1" applyFill="1" applyBorder="1" applyAlignment="1">
      <alignment vertical="center"/>
    </xf>
    <xf numFmtId="0" fontId="0" fillId="6" borderId="65" xfId="0" applyFill="1" applyBorder="1" applyAlignment="1">
      <alignment vertical="center"/>
    </xf>
    <xf numFmtId="194" fontId="0" fillId="6" borderId="66" xfId="2" applyNumberFormat="1" applyFont="1" applyFill="1" applyBorder="1" applyAlignment="1">
      <alignment vertical="center"/>
    </xf>
    <xf numFmtId="194" fontId="0" fillId="6" borderId="1" xfId="2" applyNumberFormat="1" applyFont="1" applyFill="1" applyBorder="1" applyAlignment="1">
      <alignment vertical="center"/>
    </xf>
    <xf numFmtId="10" fontId="16" fillId="0" borderId="0" xfId="1" applyNumberFormat="1" applyFont="1"/>
    <xf numFmtId="191" fontId="16" fillId="0" borderId="67" xfId="2" applyFont="1" applyBorder="1"/>
    <xf numFmtId="191" fontId="16" fillId="0" borderId="67" xfId="2" applyFont="1" applyBorder="1" applyAlignment="1">
      <alignment vertical="center"/>
    </xf>
    <xf numFmtId="10" fontId="6" fillId="0" borderId="0" xfId="1" applyNumberFormat="1" applyFont="1"/>
    <xf numFmtId="10" fontId="21" fillId="0" borderId="0" xfId="1" applyNumberFormat="1" applyFont="1"/>
    <xf numFmtId="9" fontId="0" fillId="6" borderId="24" xfId="1" applyNumberFormat="1" applyFont="1" applyFill="1" applyBorder="1" applyAlignment="1">
      <alignment vertical="center"/>
    </xf>
    <xf numFmtId="191" fontId="129" fillId="6" borderId="22" xfId="2" applyFont="1" applyFill="1" applyBorder="1" applyAlignment="1">
      <alignment vertical="center"/>
    </xf>
    <xf numFmtId="191" fontId="129" fillId="6" borderId="0" xfId="2" applyFont="1" applyFill="1" applyBorder="1" applyAlignment="1">
      <alignment vertical="center"/>
    </xf>
    <xf numFmtId="191" fontId="129" fillId="6" borderId="22" xfId="2" applyFont="1" applyFill="1" applyBorder="1" applyAlignment="1">
      <alignment horizontal="right" vertical="center"/>
    </xf>
    <xf numFmtId="191" fontId="129" fillId="6" borderId="0" xfId="2" applyFont="1" applyFill="1" applyBorder="1" applyAlignment="1">
      <alignment horizontal="right" vertical="center"/>
    </xf>
    <xf numFmtId="191" fontId="129" fillId="6" borderId="23" xfId="2" applyFont="1" applyFill="1" applyBorder="1" applyAlignment="1">
      <alignment horizontal="right" vertical="center"/>
    </xf>
    <xf numFmtId="191" fontId="129" fillId="6" borderId="20" xfId="2" applyFont="1" applyFill="1" applyBorder="1" applyAlignment="1">
      <alignment horizontal="right" vertical="center"/>
    </xf>
    <xf numFmtId="191" fontId="4" fillId="0" borderId="0" xfId="2" applyFont="1" applyAlignment="1">
      <alignment horizontal="center"/>
    </xf>
    <xf numFmtId="11" fontId="0" fillId="6" borderId="33" xfId="2" applyNumberFormat="1" applyFont="1" applyFill="1" applyBorder="1" applyAlignment="1">
      <alignment vertical="center"/>
    </xf>
    <xf numFmtId="0" fontId="13" fillId="6" borderId="19" xfId="0" applyFont="1" applyFill="1" applyBorder="1" applyAlignment="1">
      <alignment horizontal="left" vertical="center"/>
    </xf>
    <xf numFmtId="190" fontId="0" fillId="6" borderId="0" xfId="1" applyNumberFormat="1" applyFont="1" applyFill="1" applyBorder="1" applyAlignment="1">
      <alignment horizontal="left" vertical="center"/>
    </xf>
    <xf numFmtId="190" fontId="0" fillId="6" borderId="20" xfId="1" applyNumberFormat="1" applyFont="1" applyFill="1" applyBorder="1" applyAlignment="1">
      <alignment horizontal="left" vertical="center"/>
    </xf>
    <xf numFmtId="0" fontId="0" fillId="6" borderId="0" xfId="0" applyFill="1" applyBorder="1" applyAlignment="1">
      <alignment horizontal="left"/>
    </xf>
    <xf numFmtId="0" fontId="0" fillId="6" borderId="0" xfId="0" quotePrefix="1" applyFont="1" applyFill="1" applyBorder="1" applyAlignment="1">
      <alignment horizontal="left"/>
    </xf>
    <xf numFmtId="200" fontId="25" fillId="6" borderId="1" xfId="1" applyFont="1" applyFill="1" applyBorder="1" applyAlignment="1">
      <alignment vertical="center"/>
    </xf>
    <xf numFmtId="200" fontId="25" fillId="6" borderId="33" xfId="1" applyFont="1" applyFill="1" applyBorder="1" applyAlignment="1">
      <alignment vertical="center"/>
    </xf>
    <xf numFmtId="191" fontId="13" fillId="0" borderId="5" xfId="2" applyFont="1" applyBorder="1" applyAlignment="1">
      <alignment horizontal="right"/>
    </xf>
    <xf numFmtId="0" fontId="0" fillId="2" borderId="0" xfId="0" applyFill="1" applyBorder="1" applyAlignment="1">
      <alignment vertical="center"/>
    </xf>
    <xf numFmtId="0" fontId="21" fillId="0" borderId="0" xfId="0" applyFont="1" applyAlignment="1">
      <alignment horizontal="center" vertical="center"/>
    </xf>
    <xf numFmtId="201" fontId="21" fillId="0" borderId="0" xfId="1" applyNumberFormat="1" applyFont="1" applyAlignment="1">
      <alignment vertical="center"/>
    </xf>
    <xf numFmtId="193" fontId="0" fillId="6" borderId="31" xfId="2" applyNumberFormat="1" applyFont="1" applyFill="1" applyBorder="1" applyAlignment="1">
      <alignment vertical="center"/>
    </xf>
    <xf numFmtId="193" fontId="0" fillId="6" borderId="32" xfId="2" applyNumberFormat="1" applyFont="1" applyFill="1" applyBorder="1" applyAlignment="1">
      <alignment vertical="center"/>
    </xf>
    <xf numFmtId="200" fontId="129" fillId="6" borderId="22" xfId="1" applyFont="1" applyFill="1" applyBorder="1" applyAlignment="1">
      <alignment vertical="center"/>
    </xf>
    <xf numFmtId="200" fontId="129" fillId="6" borderId="33" xfId="1" applyFont="1" applyFill="1" applyBorder="1" applyAlignment="1">
      <alignment horizontal="right" vertical="center"/>
    </xf>
    <xf numFmtId="200" fontId="129" fillId="6" borderId="1" xfId="1" applyFont="1" applyFill="1" applyBorder="1" applyAlignment="1">
      <alignment horizontal="right" vertical="center"/>
    </xf>
    <xf numFmtId="11" fontId="21" fillId="0" borderId="0" xfId="0" applyNumberFormat="1" applyFont="1"/>
    <xf numFmtId="201" fontId="16" fillId="0" borderId="0" xfId="1" applyNumberFormat="1" applyFont="1"/>
    <xf numFmtId="0" fontId="8" fillId="8" borderId="0" xfId="0" applyFont="1" applyFill="1" applyBorder="1" applyAlignment="1">
      <alignment horizontal="left" vertical="center" indent="1"/>
    </xf>
    <xf numFmtId="191" fontId="13" fillId="0" borderId="0" xfId="2" applyFont="1" applyAlignment="1">
      <alignment horizontal="center"/>
    </xf>
    <xf numFmtId="191" fontId="25" fillId="6" borderId="22" xfId="2" applyFont="1" applyFill="1" applyBorder="1" applyAlignment="1">
      <alignment vertical="center"/>
    </xf>
    <xf numFmtId="191" fontId="25" fillId="6" borderId="22" xfId="2" applyFont="1" applyFill="1" applyBorder="1" applyAlignment="1">
      <alignment horizontal="right" vertical="center"/>
    </xf>
    <xf numFmtId="191" fontId="25" fillId="6" borderId="0" xfId="2" applyFont="1" applyFill="1" applyBorder="1" applyAlignment="1">
      <alignment horizontal="right" vertical="center"/>
    </xf>
    <xf numFmtId="191" fontId="25" fillId="6" borderId="23" xfId="2" applyFont="1" applyFill="1" applyBorder="1" applyAlignment="1">
      <alignment horizontal="right" vertical="center"/>
    </xf>
    <xf numFmtId="191" fontId="25" fillId="6" borderId="20" xfId="2" applyFont="1" applyFill="1" applyBorder="1" applyAlignment="1">
      <alignment horizontal="right" vertical="center"/>
    </xf>
    <xf numFmtId="0" fontId="16" fillId="0" borderId="0" xfId="0" applyFont="1" applyBorder="1" applyAlignment="1">
      <alignment vertical="center"/>
    </xf>
    <xf numFmtId="0" fontId="0" fillId="8" borderId="56" xfId="0" applyFill="1" applyBorder="1" applyAlignment="1">
      <alignment horizontal="left" vertical="center"/>
    </xf>
    <xf numFmtId="0" fontId="0" fillId="8" borderId="56" xfId="0" applyFill="1" applyBorder="1" applyAlignment="1">
      <alignment horizontal="right" vertical="center"/>
    </xf>
    <xf numFmtId="0" fontId="13" fillId="8" borderId="56" xfId="0" applyFont="1" applyFill="1" applyBorder="1" applyAlignment="1">
      <alignment vertical="center"/>
    </xf>
    <xf numFmtId="0" fontId="16" fillId="8" borderId="15" xfId="0" applyFont="1" applyFill="1" applyBorder="1" applyAlignment="1">
      <alignment vertical="center"/>
    </xf>
    <xf numFmtId="191" fontId="16" fillId="8" borderId="15" xfId="2" applyFont="1" applyFill="1" applyBorder="1" applyAlignment="1">
      <alignment vertical="center"/>
    </xf>
    <xf numFmtId="0" fontId="16" fillId="8" borderId="0" xfId="0" applyFont="1" applyFill="1" applyBorder="1" applyAlignment="1">
      <alignment vertical="center"/>
    </xf>
    <xf numFmtId="191" fontId="16" fillId="8" borderId="0" xfId="2" applyFont="1" applyFill="1" applyBorder="1" applyAlignment="1">
      <alignment vertical="center"/>
    </xf>
    <xf numFmtId="0" fontId="0" fillId="8" borderId="68" xfId="0" applyFill="1" applyBorder="1"/>
    <xf numFmtId="0" fontId="0" fillId="8" borderId="68" xfId="0" applyFill="1" applyBorder="1" applyAlignment="1">
      <alignment vertical="center"/>
    </xf>
    <xf numFmtId="0" fontId="65" fillId="8" borderId="52" xfId="4" applyNumberFormat="1" applyFill="1" applyBorder="1"/>
    <xf numFmtId="0" fontId="65" fillId="8" borderId="0" xfId="4" applyNumberFormat="1" applyFill="1" applyBorder="1"/>
    <xf numFmtId="191" fontId="65" fillId="8" borderId="0" xfId="4" applyNumberFormat="1" applyFill="1" applyBorder="1"/>
    <xf numFmtId="191" fontId="65" fillId="8" borderId="53" xfId="4" applyNumberFormat="1" applyFill="1" applyBorder="1"/>
    <xf numFmtId="191" fontId="0" fillId="8" borderId="0" xfId="2" applyFont="1" applyFill="1" applyBorder="1"/>
    <xf numFmtId="191" fontId="0" fillId="8" borderId="53" xfId="2" applyFont="1" applyFill="1" applyBorder="1"/>
    <xf numFmtId="0" fontId="118" fillId="8" borderId="52" xfId="0" applyFont="1" applyFill="1" applyBorder="1" applyAlignment="1">
      <alignment vertical="center"/>
    </xf>
    <xf numFmtId="191" fontId="16" fillId="8" borderId="53" xfId="2" applyFont="1" applyFill="1" applyBorder="1" applyAlignment="1">
      <alignment vertical="center"/>
    </xf>
    <xf numFmtId="0" fontId="16" fillId="8" borderId="52" xfId="0" applyFont="1" applyFill="1" applyBorder="1"/>
    <xf numFmtId="191" fontId="16" fillId="8" borderId="0" xfId="2" applyFont="1" applyFill="1" applyBorder="1"/>
    <xf numFmtId="191" fontId="16" fillId="8" borderId="53" xfId="2" applyFont="1" applyFill="1" applyBorder="1"/>
    <xf numFmtId="0" fontId="21" fillId="8" borderId="52" xfId="0" applyFont="1" applyFill="1" applyBorder="1"/>
    <xf numFmtId="0" fontId="21" fillId="8" borderId="0" xfId="0" applyFont="1" applyFill="1" applyBorder="1"/>
    <xf numFmtId="191" fontId="21" fillId="8" borderId="0" xfId="2" applyFont="1" applyFill="1" applyBorder="1"/>
    <xf numFmtId="191" fontId="21" fillId="8" borderId="53" xfId="2" applyFont="1" applyFill="1" applyBorder="1"/>
    <xf numFmtId="0" fontId="91" fillId="8" borderId="52" xfId="0" applyFont="1" applyFill="1" applyBorder="1" applyAlignment="1">
      <alignment vertical="center"/>
    </xf>
    <xf numFmtId="191" fontId="0" fillId="8" borderId="53" xfId="2" applyFont="1" applyFill="1" applyBorder="1" applyAlignment="1">
      <alignment vertical="center"/>
    </xf>
    <xf numFmtId="0" fontId="118" fillId="8" borderId="50" xfId="0" applyFont="1" applyFill="1" applyBorder="1" applyAlignment="1">
      <alignment vertical="center"/>
    </xf>
    <xf numFmtId="0" fontId="16" fillId="8" borderId="36" xfId="0" applyFont="1" applyFill="1" applyBorder="1" applyAlignment="1">
      <alignment vertical="center"/>
    </xf>
    <xf numFmtId="191" fontId="16" fillId="8" borderId="36" xfId="2" applyFont="1" applyFill="1" applyBorder="1" applyAlignment="1">
      <alignment vertical="center"/>
    </xf>
    <xf numFmtId="191" fontId="16" fillId="8" borderId="51" xfId="2" applyFont="1" applyFill="1" applyBorder="1" applyAlignment="1">
      <alignment vertical="center"/>
    </xf>
    <xf numFmtId="0" fontId="74" fillId="8" borderId="0" xfId="4" applyNumberFormat="1" applyFont="1" applyFill="1" applyBorder="1"/>
    <xf numFmtId="0" fontId="12" fillId="8" borderId="0" xfId="0" applyFont="1" applyFill="1" applyBorder="1"/>
    <xf numFmtId="0" fontId="132" fillId="8" borderId="0" xfId="0" applyFont="1" applyFill="1" applyBorder="1" applyAlignment="1">
      <alignment vertical="center"/>
    </xf>
    <xf numFmtId="0" fontId="132" fillId="8" borderId="0" xfId="0" applyFont="1" applyFill="1" applyBorder="1"/>
    <xf numFmtId="0" fontId="117" fillId="8" borderId="0" xfId="0" applyFont="1" applyFill="1" applyBorder="1"/>
    <xf numFmtId="0" fontId="65" fillId="8" borderId="0" xfId="4" applyNumberFormat="1" applyFont="1" applyFill="1" applyBorder="1"/>
    <xf numFmtId="0" fontId="9" fillId="18" borderId="46" xfId="0" applyFont="1" applyFill="1" applyBorder="1" applyAlignment="1">
      <alignment horizontal="left" vertical="center" indent="1"/>
    </xf>
    <xf numFmtId="0" fontId="0" fillId="18" borderId="45" xfId="0" applyFill="1" applyBorder="1"/>
    <xf numFmtId="191" fontId="0" fillId="18" borderId="45" xfId="2" applyFont="1" applyFill="1" applyBorder="1"/>
    <xf numFmtId="191" fontId="0" fillId="18" borderId="47" xfId="2" applyFont="1" applyFill="1" applyBorder="1"/>
    <xf numFmtId="0" fontId="0" fillId="2" borderId="48" xfId="0" applyFill="1" applyBorder="1"/>
    <xf numFmtId="0" fontId="0" fillId="2" borderId="42" xfId="0" applyFill="1" applyBorder="1"/>
    <xf numFmtId="191" fontId="0" fillId="2" borderId="42" xfId="2" applyFont="1" applyFill="1" applyBorder="1"/>
    <xf numFmtId="191" fontId="0" fillId="2" borderId="49" xfId="2" applyFont="1" applyFill="1" applyBorder="1"/>
    <xf numFmtId="0" fontId="0" fillId="2" borderId="52" xfId="0" applyFill="1" applyBorder="1"/>
    <xf numFmtId="0" fontId="0" fillId="2" borderId="0" xfId="0" applyFill="1" applyBorder="1"/>
    <xf numFmtId="191" fontId="65" fillId="2" borderId="0" xfId="4" applyNumberFormat="1" applyFill="1" applyBorder="1"/>
    <xf numFmtId="191" fontId="0" fillId="2" borderId="0" xfId="2" applyFont="1" applyFill="1" applyBorder="1"/>
    <xf numFmtId="191" fontId="0" fillId="2" borderId="53" xfId="2" applyFont="1" applyFill="1" applyBorder="1"/>
    <xf numFmtId="0" fontId="91" fillId="2" borderId="52" xfId="0" applyFont="1" applyFill="1" applyBorder="1" applyAlignment="1">
      <alignment vertical="center"/>
    </xf>
    <xf numFmtId="0" fontId="16" fillId="2" borderId="15" xfId="0" applyFont="1" applyFill="1" applyBorder="1" applyAlignment="1">
      <alignment vertical="center"/>
    </xf>
    <xf numFmtId="191" fontId="16" fillId="2" borderId="15" xfId="2" applyFont="1" applyFill="1" applyBorder="1" applyAlignment="1">
      <alignment vertical="center"/>
    </xf>
    <xf numFmtId="191" fontId="0" fillId="2" borderId="53" xfId="2" applyFont="1" applyFill="1" applyBorder="1" applyAlignment="1">
      <alignment vertical="center"/>
    </xf>
    <xf numFmtId="0" fontId="0" fillId="2" borderId="53" xfId="0" applyFill="1" applyBorder="1"/>
    <xf numFmtId="0" fontId="65" fillId="2" borderId="52" xfId="4" applyNumberFormat="1" applyFill="1" applyBorder="1"/>
    <xf numFmtId="0" fontId="65" fillId="2" borderId="0" xfId="4" applyNumberFormat="1" applyFill="1" applyBorder="1"/>
    <xf numFmtId="0" fontId="65" fillId="2" borderId="53" xfId="4" applyNumberFormat="1" applyFill="1" applyBorder="1"/>
    <xf numFmtId="0" fontId="16" fillId="2" borderId="15" xfId="0" applyFont="1" applyFill="1" applyBorder="1"/>
    <xf numFmtId="191" fontId="16" fillId="2" borderId="15" xfId="2" applyFont="1" applyFill="1" applyBorder="1"/>
    <xf numFmtId="0" fontId="0" fillId="2" borderId="50" xfId="0" applyFill="1" applyBorder="1"/>
    <xf numFmtId="0" fontId="0" fillId="2" borderId="36" xfId="0" applyFill="1" applyBorder="1"/>
    <xf numFmtId="0" fontId="0" fillId="2" borderId="51" xfId="0" applyFill="1" applyBorder="1"/>
    <xf numFmtId="0" fontId="0" fillId="0" borderId="52" xfId="0" applyFill="1" applyBorder="1"/>
    <xf numFmtId="0" fontId="0" fillId="0" borderId="53" xfId="0" applyFill="1" applyBorder="1"/>
    <xf numFmtId="0" fontId="9" fillId="2" borderId="52" xfId="0" applyFont="1" applyFill="1" applyBorder="1" applyAlignment="1">
      <alignment horizontal="left" vertical="center" indent="1"/>
    </xf>
    <xf numFmtId="0" fontId="0" fillId="0" borderId="0" xfId="0" applyFont="1" applyFill="1"/>
    <xf numFmtId="0" fontId="9" fillId="16" borderId="46" xfId="0" applyFont="1" applyFill="1" applyBorder="1" applyAlignment="1">
      <alignment horizontal="left" vertical="center" indent="1"/>
    </xf>
    <xf numFmtId="0" fontId="8" fillId="15" borderId="52" xfId="0" applyFont="1" applyFill="1" applyBorder="1"/>
    <xf numFmtId="0" fontId="0" fillId="15" borderId="0" xfId="0" applyFill="1" applyBorder="1"/>
    <xf numFmtId="0" fontId="0" fillId="15" borderId="0" xfId="0" applyFill="1" applyBorder="1" applyAlignment="1">
      <alignment horizontal="right"/>
    </xf>
    <xf numFmtId="0" fontId="0" fillId="15" borderId="53" xfId="0" applyFill="1" applyBorder="1"/>
    <xf numFmtId="0" fontId="0" fillId="15" borderId="52" xfId="0" applyFill="1" applyBorder="1"/>
    <xf numFmtId="0" fontId="16" fillId="15" borderId="0" xfId="0" applyFont="1" applyFill="1" applyBorder="1"/>
    <xf numFmtId="0" fontId="65" fillId="15" borderId="52" xfId="4" applyNumberFormat="1" applyFill="1" applyBorder="1"/>
    <xf numFmtId="0" fontId="65" fillId="15" borderId="0" xfId="4" applyNumberFormat="1" applyFill="1" applyBorder="1" applyAlignment="1">
      <alignment horizontal="right"/>
    </xf>
    <xf numFmtId="0" fontId="65" fillId="15" borderId="0" xfId="4" applyNumberFormat="1" applyFill="1" applyBorder="1"/>
    <xf numFmtId="192" fontId="65" fillId="15" borderId="0" xfId="4" applyNumberFormat="1" applyFill="1" applyBorder="1"/>
    <xf numFmtId="192" fontId="0" fillId="15" borderId="0" xfId="0" applyNumberFormat="1" applyFill="1" applyBorder="1"/>
    <xf numFmtId="0" fontId="65" fillId="15" borderId="53" xfId="4" applyNumberFormat="1" applyFill="1" applyBorder="1"/>
    <xf numFmtId="192" fontId="0" fillId="15" borderId="0" xfId="2" applyNumberFormat="1" applyFont="1" applyFill="1" applyBorder="1"/>
    <xf numFmtId="192" fontId="16" fillId="15" borderId="0" xfId="0" applyNumberFormat="1" applyFont="1" applyFill="1" applyBorder="1"/>
    <xf numFmtId="0" fontId="16" fillId="15" borderId="52" xfId="0" applyFont="1" applyFill="1" applyBorder="1"/>
    <xf numFmtId="192" fontId="16" fillId="15" borderId="0" xfId="2" applyNumberFormat="1" applyFont="1" applyFill="1" applyBorder="1"/>
    <xf numFmtId="200" fontId="16" fillId="15" borderId="0" xfId="1" applyFont="1" applyFill="1" applyBorder="1"/>
    <xf numFmtId="0" fontId="16" fillId="15" borderId="53" xfId="0" applyFont="1" applyFill="1" applyBorder="1"/>
    <xf numFmtId="0" fontId="21" fillId="15" borderId="52" xfId="0" applyFont="1" applyFill="1" applyBorder="1"/>
    <xf numFmtId="0" fontId="21" fillId="15" borderId="0" xfId="0" applyFont="1" applyFill="1" applyBorder="1"/>
    <xf numFmtId="192" fontId="21" fillId="15" borderId="0" xfId="0" applyNumberFormat="1" applyFont="1" applyFill="1" applyBorder="1"/>
    <xf numFmtId="0" fontId="21" fillId="15" borderId="53" xfId="0" applyFont="1" applyFill="1" applyBorder="1"/>
    <xf numFmtId="0" fontId="0" fillId="15" borderId="50" xfId="0" applyFill="1" applyBorder="1"/>
    <xf numFmtId="0" fontId="0" fillId="15" borderId="36" xfId="0" applyFill="1" applyBorder="1"/>
    <xf numFmtId="0" fontId="0" fillId="15" borderId="51" xfId="0" applyFill="1" applyBorder="1"/>
    <xf numFmtId="0" fontId="0" fillId="16" borderId="45" xfId="0" applyFill="1" applyBorder="1"/>
    <xf numFmtId="0" fontId="0" fillId="16" borderId="45" xfId="0" applyFill="1" applyBorder="1" applyAlignment="1">
      <alignment horizontal="right"/>
    </xf>
    <xf numFmtId="0" fontId="0" fillId="16" borderId="47" xfId="0" applyFill="1" applyBorder="1"/>
    <xf numFmtId="192" fontId="21" fillId="15" borderId="0" xfId="2" applyNumberFormat="1" applyFont="1" applyFill="1" applyBorder="1"/>
    <xf numFmtId="0" fontId="8" fillId="15" borderId="0" xfId="0" applyFont="1" applyFill="1" applyBorder="1"/>
    <xf numFmtId="192" fontId="8" fillId="0" borderId="0" xfId="2" applyNumberFormat="1" applyFont="1" applyAlignment="1">
      <alignment vertical="center"/>
    </xf>
    <xf numFmtId="0" fontId="74" fillId="6" borderId="0" xfId="4" applyNumberFormat="1" applyFont="1" applyFill="1" applyBorder="1" applyAlignment="1">
      <alignment horizontal="right"/>
    </xf>
    <xf numFmtId="0" fontId="0" fillId="6" borderId="53" xfId="0" applyFont="1" applyFill="1" applyBorder="1"/>
    <xf numFmtId="0" fontId="25" fillId="6" borderId="52" xfId="4" applyNumberFormat="1" applyFont="1" applyFill="1" applyBorder="1"/>
    <xf numFmtId="0" fontId="25" fillId="6" borderId="53" xfId="4" applyNumberFormat="1" applyFont="1" applyFill="1" applyBorder="1"/>
    <xf numFmtId="0" fontId="0" fillId="6" borderId="36" xfId="0" applyFont="1" applyFill="1" applyBorder="1"/>
    <xf numFmtId="0" fontId="0" fillId="6" borderId="51" xfId="0" applyFont="1" applyFill="1" applyBorder="1"/>
    <xf numFmtId="0" fontId="0" fillId="15" borderId="0" xfId="0" applyFill="1" applyBorder="1" applyAlignment="1">
      <alignment horizontal="center"/>
    </xf>
    <xf numFmtId="9" fontId="0" fillId="15" borderId="0" xfId="0" quotePrefix="1" applyNumberFormat="1" applyFill="1" applyBorder="1"/>
    <xf numFmtId="0" fontId="0" fillId="15" borderId="0" xfId="0" quotePrefix="1" applyFill="1" applyBorder="1"/>
    <xf numFmtId="200" fontId="21" fillId="15" borderId="0" xfId="1" applyFont="1" applyFill="1" applyBorder="1"/>
    <xf numFmtId="0" fontId="0" fillId="15" borderId="52" xfId="0" applyFill="1" applyBorder="1" applyAlignment="1">
      <alignment vertical="center"/>
    </xf>
    <xf numFmtId="0" fontId="0" fillId="15" borderId="0" xfId="0" applyFill="1" applyBorder="1" applyAlignment="1">
      <alignment vertical="center"/>
    </xf>
    <xf numFmtId="0" fontId="0" fillId="15" borderId="53" xfId="0" applyFill="1" applyBorder="1" applyAlignment="1">
      <alignment vertical="center"/>
    </xf>
    <xf numFmtId="200" fontId="0" fillId="15" borderId="0" xfId="1" applyNumberFormat="1" applyFont="1" applyFill="1" applyBorder="1"/>
    <xf numFmtId="200" fontId="0" fillId="15" borderId="0" xfId="0" applyNumberFormat="1" applyFill="1" applyBorder="1"/>
    <xf numFmtId="200" fontId="16" fillId="15" borderId="0" xfId="1" applyNumberFormat="1" applyFont="1" applyFill="1" applyBorder="1"/>
    <xf numFmtId="200" fontId="21" fillId="15" borderId="0" xfId="1" applyNumberFormat="1" applyFont="1" applyFill="1" applyBorder="1"/>
    <xf numFmtId="0" fontId="65" fillId="0" borderId="45" xfId="4" applyNumberFormat="1" applyBorder="1" applyAlignment="1">
      <alignment vertical="center"/>
    </xf>
    <xf numFmtId="0" fontId="65" fillId="0" borderId="45" xfId="4" applyNumberFormat="1" applyFill="1" applyBorder="1" applyAlignment="1">
      <alignment horizontal="right" vertical="center"/>
    </xf>
    <xf numFmtId="0" fontId="65" fillId="0" borderId="45" xfId="4" applyNumberFormat="1" applyFill="1" applyBorder="1" applyAlignment="1">
      <alignment vertical="center"/>
    </xf>
    <xf numFmtId="0" fontId="0" fillId="0" borderId="45" xfId="0" applyBorder="1" applyAlignment="1">
      <alignment vertical="center"/>
    </xf>
    <xf numFmtId="191" fontId="65" fillId="0" borderId="45" xfId="4" applyNumberFormat="1" applyFill="1" applyBorder="1" applyAlignment="1">
      <alignment vertical="center"/>
    </xf>
    <xf numFmtId="191" fontId="0" fillId="0" borderId="45" xfId="2" applyFont="1" applyBorder="1" applyAlignment="1">
      <alignment vertical="center"/>
    </xf>
    <xf numFmtId="191" fontId="65" fillId="15" borderId="38" xfId="2" applyFont="1" applyFill="1" applyBorder="1" applyAlignment="1">
      <alignment vertical="center"/>
    </xf>
    <xf numFmtId="191" fontId="0" fillId="15" borderId="38" xfId="2" applyFont="1" applyFill="1" applyBorder="1" applyAlignment="1">
      <alignment vertical="center"/>
    </xf>
    <xf numFmtId="191" fontId="0" fillId="0" borderId="45" xfId="0" applyNumberFormat="1" applyBorder="1" applyAlignment="1">
      <alignment vertical="center"/>
    </xf>
    <xf numFmtId="191" fontId="94" fillId="15" borderId="38" xfId="2" applyFont="1" applyFill="1" applyBorder="1" applyAlignment="1">
      <alignment vertical="center"/>
    </xf>
    <xf numFmtId="191" fontId="0" fillId="6" borderId="25" xfId="2" applyNumberFormat="1" applyFont="1" applyFill="1" applyBorder="1" applyAlignment="1">
      <alignment vertical="center"/>
    </xf>
    <xf numFmtId="0" fontId="30" fillId="4" borderId="0" xfId="6" applyFont="1" applyFill="1"/>
    <xf numFmtId="14" fontId="55" fillId="4" borderId="0" xfId="6" applyNumberFormat="1" applyFont="1" applyFill="1"/>
    <xf numFmtId="0" fontId="133" fillId="4" borderId="0" xfId="6" applyFont="1" applyFill="1"/>
    <xf numFmtId="0" fontId="28" fillId="4" borderId="7" xfId="6" applyFill="1" applyBorder="1"/>
    <xf numFmtId="0" fontId="54" fillId="4" borderId="4" xfId="6" applyFont="1" applyFill="1" applyBorder="1"/>
    <xf numFmtId="0" fontId="52" fillId="4" borderId="1" xfId="6" applyFont="1" applyFill="1" applyBorder="1"/>
    <xf numFmtId="0" fontId="35" fillId="4" borderId="0" xfId="6" applyFont="1" applyFill="1"/>
    <xf numFmtId="202" fontId="56" fillId="4" borderId="0" xfId="6" applyNumberFormat="1" applyFont="1" applyFill="1" applyAlignment="1">
      <alignment horizontal="right"/>
    </xf>
    <xf numFmtId="202" fontId="28" fillId="4" borderId="0" xfId="6" applyNumberFormat="1" applyFill="1"/>
    <xf numFmtId="203" fontId="56" fillId="4" borderId="0" xfId="6" applyNumberFormat="1" applyFont="1" applyFill="1" applyAlignment="1">
      <alignment horizontal="right"/>
    </xf>
    <xf numFmtId="0" fontId="33" fillId="4" borderId="0" xfId="6" applyFont="1" applyFill="1" applyBorder="1"/>
    <xf numFmtId="202" fontId="56" fillId="4" borderId="1" xfId="6" applyNumberFormat="1" applyFont="1" applyFill="1" applyBorder="1" applyAlignment="1">
      <alignment horizontal="right"/>
    </xf>
    <xf numFmtId="0" fontId="37" fillId="4" borderId="10" xfId="6" applyFont="1" applyFill="1" applyBorder="1"/>
    <xf numFmtId="202" fontId="59" fillId="4" borderId="10" xfId="6" applyNumberFormat="1" applyFont="1" applyFill="1" applyBorder="1" applyAlignment="1">
      <alignment horizontal="right"/>
    </xf>
    <xf numFmtId="203" fontId="59" fillId="4" borderId="10" xfId="6" applyNumberFormat="1" applyFont="1" applyFill="1" applyBorder="1" applyAlignment="1">
      <alignment horizontal="right"/>
    </xf>
    <xf numFmtId="0" fontId="52" fillId="4" borderId="10" xfId="6" applyFont="1" applyFill="1" applyBorder="1"/>
    <xf numFmtId="202" fontId="56" fillId="4" borderId="10" xfId="6" applyNumberFormat="1" applyFont="1" applyFill="1" applyBorder="1" applyAlignment="1">
      <alignment horizontal="right"/>
    </xf>
    <xf numFmtId="186" fontId="56" fillId="4" borderId="0" xfId="6" applyNumberFormat="1" applyFont="1" applyFill="1" applyAlignment="1">
      <alignment horizontal="right"/>
    </xf>
    <xf numFmtId="187" fontId="56" fillId="4" borderId="0" xfId="6" applyNumberFormat="1" applyFont="1" applyFill="1" applyAlignment="1">
      <alignment horizontal="right"/>
    </xf>
    <xf numFmtId="0" fontId="33" fillId="4" borderId="5" xfId="6" applyFont="1" applyFill="1" applyBorder="1"/>
    <xf numFmtId="186" fontId="56" fillId="4" borderId="5" xfId="6" applyNumberFormat="1" applyFont="1" applyFill="1" applyBorder="1" applyAlignment="1">
      <alignment horizontal="right"/>
    </xf>
    <xf numFmtId="187" fontId="56" fillId="4" borderId="5" xfId="6" applyNumberFormat="1" applyFont="1" applyFill="1" applyBorder="1" applyAlignment="1">
      <alignment horizontal="right"/>
    </xf>
    <xf numFmtId="186" fontId="59" fillId="4" borderId="10" xfId="6" applyNumberFormat="1" applyFont="1" applyFill="1" applyBorder="1" applyAlignment="1">
      <alignment horizontal="right"/>
    </xf>
    <xf numFmtId="187" fontId="59" fillId="4" borderId="10" xfId="6" applyNumberFormat="1" applyFont="1" applyFill="1" applyBorder="1" applyAlignment="1">
      <alignment horizontal="right"/>
    </xf>
    <xf numFmtId="186" fontId="56" fillId="4" borderId="10" xfId="6" applyNumberFormat="1" applyFont="1" applyFill="1" applyBorder="1" applyAlignment="1">
      <alignment horizontal="right"/>
    </xf>
    <xf numFmtId="0" fontId="57" fillId="4" borderId="0" xfId="6" applyFont="1" applyFill="1" applyBorder="1" applyAlignment="1">
      <alignment horizontal="right"/>
    </xf>
    <xf numFmtId="0" fontId="56" fillId="4" borderId="0" xfId="6" applyFont="1" applyFill="1" applyBorder="1" applyAlignment="1">
      <alignment horizontal="right"/>
    </xf>
    <xf numFmtId="202" fontId="57" fillId="4" borderId="0" xfId="6" applyNumberFormat="1" applyFont="1" applyFill="1" applyBorder="1" applyAlignment="1">
      <alignment horizontal="right"/>
    </xf>
    <xf numFmtId="202" fontId="56" fillId="4" borderId="0" xfId="6" applyNumberFormat="1" applyFont="1" applyFill="1" applyBorder="1" applyAlignment="1">
      <alignment horizontal="right"/>
    </xf>
    <xf numFmtId="203" fontId="56" fillId="4" borderId="0" xfId="6" applyNumberFormat="1" applyFont="1" applyFill="1" applyBorder="1" applyAlignment="1">
      <alignment horizontal="right"/>
    </xf>
    <xf numFmtId="0" fontId="33" fillId="4" borderId="7" xfId="6" applyFont="1" applyFill="1" applyBorder="1"/>
    <xf numFmtId="202" fontId="56" fillId="4" borderId="7" xfId="6" applyNumberFormat="1" applyFont="1" applyFill="1" applyBorder="1" applyAlignment="1">
      <alignment horizontal="right"/>
    </xf>
    <xf numFmtId="203" fontId="56" fillId="4" borderId="7" xfId="6" applyNumberFormat="1" applyFont="1" applyFill="1" applyBorder="1" applyAlignment="1">
      <alignment horizontal="right"/>
    </xf>
    <xf numFmtId="0" fontId="33" fillId="4" borderId="10" xfId="6" applyFont="1" applyFill="1" applyBorder="1"/>
    <xf numFmtId="0" fontId="34" fillId="4" borderId="0" xfId="6" applyFont="1" applyFill="1" applyBorder="1"/>
    <xf numFmtId="202" fontId="57" fillId="4" borderId="0" xfId="6" applyNumberFormat="1" applyFont="1" applyFill="1" applyBorder="1"/>
    <xf numFmtId="203" fontId="56" fillId="4" borderId="7" xfId="6" applyNumberFormat="1" applyFont="1" applyFill="1" applyBorder="1"/>
    <xf numFmtId="202" fontId="56" fillId="4" borderId="7" xfId="6" applyNumberFormat="1" applyFont="1" applyFill="1" applyBorder="1"/>
    <xf numFmtId="0" fontId="57" fillId="4" borderId="0" xfId="6" applyFont="1" applyFill="1"/>
    <xf numFmtId="0" fontId="63" fillId="4" borderId="0" xfId="6" applyFont="1" applyFill="1"/>
    <xf numFmtId="0" fontId="113" fillId="4" borderId="0" xfId="6" applyFont="1" applyFill="1"/>
    <xf numFmtId="0" fontId="55" fillId="4" borderId="0" xfId="6" applyFont="1" applyFill="1" applyBorder="1"/>
    <xf numFmtId="0" fontId="52" fillId="4" borderId="0" xfId="6" applyFont="1" applyFill="1" applyBorder="1"/>
    <xf numFmtId="0" fontId="54" fillId="4" borderId="0" xfId="6" applyFont="1" applyFill="1" applyBorder="1"/>
    <xf numFmtId="2" fontId="33" fillId="4" borderId="0" xfId="6" applyNumberFormat="1" applyFont="1" applyFill="1" applyBorder="1"/>
    <xf numFmtId="2" fontId="56" fillId="4" borderId="0" xfId="6" applyNumberFormat="1" applyFont="1" applyFill="1" applyBorder="1"/>
    <xf numFmtId="0" fontId="0" fillId="2" borderId="56" xfId="0" applyFill="1" applyBorder="1"/>
    <xf numFmtId="0" fontId="13" fillId="2" borderId="56" xfId="0" applyFont="1" applyFill="1" applyBorder="1" applyAlignment="1">
      <alignment horizontal="center" vertical="center"/>
    </xf>
    <xf numFmtId="191" fontId="103" fillId="6" borderId="43" xfId="2" applyFont="1" applyFill="1" applyBorder="1" applyAlignment="1">
      <alignment horizontal="right" vertical="center"/>
    </xf>
    <xf numFmtId="191" fontId="65" fillId="6" borderId="43" xfId="2" applyFont="1" applyFill="1" applyBorder="1" applyAlignment="1">
      <alignment horizontal="right" vertical="center"/>
    </xf>
    <xf numFmtId="191" fontId="103" fillId="2" borderId="43" xfId="2" applyFont="1" applyFill="1" applyBorder="1" applyAlignment="1">
      <alignment vertical="center"/>
    </xf>
    <xf numFmtId="191" fontId="65" fillId="2" borderId="43" xfId="2" applyFont="1" applyFill="1" applyBorder="1" applyAlignment="1">
      <alignment vertical="center"/>
    </xf>
    <xf numFmtId="191" fontId="103" fillId="8" borderId="43" xfId="2" applyFont="1" applyFill="1" applyBorder="1" applyAlignment="1">
      <alignment vertical="center"/>
    </xf>
    <xf numFmtId="191" fontId="65" fillId="8" borderId="43" xfId="4" applyNumberFormat="1" applyFill="1" applyBorder="1" applyAlignment="1">
      <alignment vertical="center"/>
    </xf>
    <xf numFmtId="191" fontId="103" fillId="7" borderId="43" xfId="2" applyFont="1" applyFill="1" applyBorder="1" applyAlignment="1">
      <alignment vertical="center"/>
    </xf>
    <xf numFmtId="191" fontId="65" fillId="7" borderId="43" xfId="2" applyFont="1" applyFill="1" applyBorder="1" applyAlignment="1">
      <alignment vertical="center"/>
    </xf>
    <xf numFmtId="0" fontId="21" fillId="2" borderId="0" xfId="0" applyFont="1" applyFill="1" applyBorder="1" applyAlignment="1">
      <alignment vertical="center"/>
    </xf>
    <xf numFmtId="0" fontId="21" fillId="2" borderId="0" xfId="0" applyFont="1" applyFill="1" applyBorder="1"/>
    <xf numFmtId="191" fontId="21" fillId="2" borderId="0" xfId="2" applyFont="1" applyFill="1" applyBorder="1" applyAlignment="1">
      <alignment vertical="center"/>
    </xf>
    <xf numFmtId="0" fontId="21" fillId="2" borderId="53" xfId="0" applyFont="1" applyFill="1" applyBorder="1" applyAlignment="1">
      <alignment vertical="center"/>
    </xf>
    <xf numFmtId="191" fontId="0" fillId="0" borderId="0" xfId="2" applyFont="1" applyFill="1" applyBorder="1"/>
    <xf numFmtId="191" fontId="0" fillId="0" borderId="53" xfId="2" applyFont="1" applyFill="1" applyBorder="1"/>
    <xf numFmtId="191" fontId="65" fillId="0" borderId="0" xfId="4" applyNumberFormat="1" applyFill="1" applyBorder="1"/>
    <xf numFmtId="0" fontId="91" fillId="0" borderId="52" xfId="0" applyFont="1" applyFill="1" applyBorder="1" applyAlignment="1">
      <alignment vertical="center"/>
    </xf>
    <xf numFmtId="0" fontId="16" fillId="0" borderId="15" xfId="0" applyFont="1" applyFill="1" applyBorder="1" applyAlignment="1">
      <alignment vertical="center"/>
    </xf>
    <xf numFmtId="191" fontId="16" fillId="0" borderId="15" xfId="2" applyFont="1" applyFill="1" applyBorder="1" applyAlignment="1">
      <alignment vertical="center"/>
    </xf>
    <xf numFmtId="0" fontId="0" fillId="0" borderId="53" xfId="0" applyFill="1" applyBorder="1" applyAlignment="1">
      <alignment vertical="center"/>
    </xf>
    <xf numFmtId="0" fontId="21" fillId="2" borderId="52" xfId="0" applyFont="1" applyFill="1" applyBorder="1" applyAlignment="1">
      <alignment vertical="center"/>
    </xf>
    <xf numFmtId="0" fontId="0" fillId="2" borderId="52" xfId="0" applyFont="1" applyFill="1" applyBorder="1"/>
    <xf numFmtId="191" fontId="4" fillId="8" borderId="0" xfId="0" applyNumberFormat="1" applyFont="1" applyFill="1" applyBorder="1" applyAlignment="1">
      <alignment vertical="center"/>
    </xf>
    <xf numFmtId="0" fontId="0" fillId="6" borderId="15" xfId="0" applyNumberFormat="1" applyFill="1" applyBorder="1" applyAlignment="1">
      <alignment horizontal="right" vertical="center"/>
    </xf>
    <xf numFmtId="200" fontId="0" fillId="6" borderId="15" xfId="1" applyFont="1" applyFill="1" applyBorder="1"/>
    <xf numFmtId="0" fontId="0" fillId="6" borderId="16" xfId="0" applyNumberFormat="1" applyFill="1" applyBorder="1" applyAlignment="1">
      <alignment horizontal="right" vertical="center"/>
    </xf>
    <xf numFmtId="200" fontId="0" fillId="6" borderId="16" xfId="1" applyFont="1" applyFill="1" applyBorder="1"/>
    <xf numFmtId="191" fontId="6" fillId="0" borderId="8" xfId="2" applyFont="1" applyBorder="1"/>
    <xf numFmtId="191" fontId="6" fillId="0" borderId="0" xfId="2" applyFont="1" applyBorder="1"/>
    <xf numFmtId="0" fontId="21" fillId="2" borderId="52" xfId="0" applyFont="1" applyFill="1" applyBorder="1"/>
    <xf numFmtId="191" fontId="21" fillId="2" borderId="0" xfId="2" applyFont="1" applyFill="1" applyBorder="1"/>
    <xf numFmtId="191" fontId="21" fillId="2" borderId="53" xfId="2" applyFont="1" applyFill="1" applyBorder="1"/>
    <xf numFmtId="0" fontId="0" fillId="6" borderId="24" xfId="0" applyNumberFormat="1" applyFont="1" applyFill="1" applyBorder="1" applyAlignment="1">
      <alignment vertical="center"/>
    </xf>
    <xf numFmtId="0" fontId="0" fillId="6" borderId="24" xfId="0" applyFont="1" applyFill="1" applyBorder="1" applyAlignment="1">
      <alignment vertical="center"/>
    </xf>
    <xf numFmtId="195" fontId="0" fillId="6" borderId="24" xfId="2" applyNumberFormat="1" applyFont="1" applyFill="1" applyBorder="1" applyAlignment="1">
      <alignment vertical="center"/>
    </xf>
    <xf numFmtId="195" fontId="0" fillId="6" borderId="25" xfId="2" applyNumberFormat="1" applyFont="1" applyFill="1" applyBorder="1" applyAlignment="1">
      <alignment vertical="center"/>
    </xf>
    <xf numFmtId="191" fontId="0" fillId="0" borderId="0" xfId="0" applyNumberFormat="1" applyBorder="1" applyAlignment="1">
      <alignment vertical="center"/>
    </xf>
    <xf numFmtId="191" fontId="21" fillId="0" borderId="0" xfId="2" applyFont="1" applyBorder="1" applyAlignment="1">
      <alignment vertical="center"/>
    </xf>
    <xf numFmtId="0" fontId="21" fillId="0" borderId="0" xfId="0" applyFont="1" applyFill="1" applyBorder="1" applyAlignment="1">
      <alignment horizontal="right" vertical="center"/>
    </xf>
    <xf numFmtId="0" fontId="136" fillId="0" borderId="0" xfId="0" applyFont="1" applyFill="1" applyBorder="1" applyAlignment="1">
      <alignment horizontal="right" vertical="center"/>
    </xf>
    <xf numFmtId="0" fontId="0" fillId="2" borderId="0" xfId="0" applyFill="1"/>
    <xf numFmtId="0" fontId="0" fillId="2" borderId="0" xfId="0" applyFill="1" applyAlignment="1">
      <alignment vertical="center"/>
    </xf>
    <xf numFmtId="0" fontId="21" fillId="2" borderId="0" xfId="0" applyFont="1" applyFill="1" applyAlignment="1">
      <alignment vertical="center"/>
    </xf>
    <xf numFmtId="192" fontId="8" fillId="2" borderId="0" xfId="2" applyNumberFormat="1" applyFont="1" applyFill="1" applyAlignment="1">
      <alignment vertical="center"/>
    </xf>
    <xf numFmtId="0" fontId="8" fillId="2" borderId="0" xfId="0" applyFont="1" applyFill="1" applyAlignment="1">
      <alignment vertical="center"/>
    </xf>
    <xf numFmtId="0" fontId="126" fillId="2" borderId="56" xfId="0" applyFont="1" applyFill="1" applyBorder="1" applyAlignment="1">
      <alignment vertical="center"/>
    </xf>
    <xf numFmtId="0" fontId="8" fillId="2" borderId="0" xfId="0" applyFont="1" applyFill="1" applyAlignment="1">
      <alignment horizontal="right" vertical="center"/>
    </xf>
    <xf numFmtId="0" fontId="0" fillId="2" borderId="15" xfId="0" applyFill="1" applyBorder="1" applyAlignment="1">
      <alignment vertical="center"/>
    </xf>
    <xf numFmtId="0" fontId="126" fillId="2" borderId="15" xfId="0" applyFont="1" applyFill="1" applyBorder="1" applyAlignment="1">
      <alignment vertical="center"/>
    </xf>
    <xf numFmtId="0" fontId="0" fillId="2" borderId="1" xfId="0" applyFill="1" applyBorder="1" applyAlignment="1">
      <alignment vertical="center"/>
    </xf>
    <xf numFmtId="0" fontId="8" fillId="2" borderId="1" xfId="0" applyFont="1" applyFill="1" applyBorder="1" applyAlignment="1">
      <alignment vertical="center"/>
    </xf>
    <xf numFmtId="0" fontId="0" fillId="2" borderId="1" xfId="0" applyFont="1" applyFill="1" applyBorder="1" applyAlignment="1">
      <alignment vertical="center"/>
    </xf>
    <xf numFmtId="0" fontId="21" fillId="2" borderId="1" xfId="0" applyFont="1" applyFill="1" applyBorder="1" applyAlignment="1">
      <alignment vertical="center"/>
    </xf>
    <xf numFmtId="0" fontId="101" fillId="2" borderId="0" xfId="0" applyFont="1" applyFill="1" applyAlignment="1">
      <alignment vertical="center"/>
    </xf>
    <xf numFmtId="0" fontId="8" fillId="2" borderId="56" xfId="0" applyFont="1" applyFill="1" applyBorder="1" applyAlignment="1">
      <alignment vertical="center"/>
    </xf>
    <xf numFmtId="0" fontId="126" fillId="2" borderId="0" xfId="0" applyFont="1" applyFill="1" applyAlignment="1">
      <alignment horizontal="left" vertical="center"/>
    </xf>
    <xf numFmtId="0" fontId="8" fillId="2" borderId="1" xfId="0" applyFont="1" applyFill="1" applyBorder="1" applyAlignment="1">
      <alignment horizontal="right" vertical="center"/>
    </xf>
    <xf numFmtId="192" fontId="8" fillId="2" borderId="1" xfId="2" applyNumberFormat="1" applyFont="1" applyFill="1" applyBorder="1" applyAlignment="1">
      <alignment vertical="center"/>
    </xf>
    <xf numFmtId="0" fontId="137" fillId="19" borderId="0" xfId="0" applyFont="1" applyFill="1" applyAlignment="1">
      <alignment vertical="center"/>
    </xf>
    <xf numFmtId="0" fontId="138" fillId="19" borderId="0" xfId="0" applyFont="1" applyFill="1" applyAlignment="1">
      <alignment vertical="center"/>
    </xf>
    <xf numFmtId="0" fontId="139" fillId="19" borderId="0" xfId="0" applyFont="1" applyFill="1" applyAlignment="1">
      <alignment horizontal="center" vertical="center"/>
    </xf>
    <xf numFmtId="0" fontId="137" fillId="19" borderId="0" xfId="0" applyFont="1" applyFill="1" applyAlignment="1">
      <alignment horizontal="centerContinuous" vertical="center"/>
    </xf>
    <xf numFmtId="0" fontId="138" fillId="19" borderId="0" xfId="0" applyFont="1" applyFill="1" applyAlignment="1">
      <alignment horizontal="centerContinuous" vertical="center"/>
    </xf>
    <xf numFmtId="0" fontId="0" fillId="0" borderId="0" xfId="0" applyFill="1" applyAlignment="1">
      <alignment vertical="center"/>
    </xf>
    <xf numFmtId="192" fontId="126" fillId="2" borderId="0" xfId="2" applyNumberFormat="1" applyFont="1" applyFill="1" applyAlignment="1">
      <alignment vertical="center"/>
    </xf>
    <xf numFmtId="0" fontId="16" fillId="2" borderId="56" xfId="0" applyFont="1" applyFill="1" applyBorder="1" applyAlignment="1">
      <alignment vertical="center"/>
    </xf>
    <xf numFmtId="0" fontId="0" fillId="2" borderId="56" xfId="0" applyFont="1" applyFill="1" applyBorder="1" applyAlignment="1">
      <alignment horizontal="right" vertical="center"/>
    </xf>
    <xf numFmtId="0" fontId="8" fillId="2" borderId="56" xfId="0" applyFont="1" applyFill="1" applyBorder="1"/>
    <xf numFmtId="0" fontId="140" fillId="2" borderId="56" xfId="0" applyFont="1" applyFill="1" applyBorder="1" applyAlignment="1">
      <alignment vertical="center"/>
    </xf>
    <xf numFmtId="9" fontId="0" fillId="6" borderId="1" xfId="1" applyNumberFormat="1" applyFont="1" applyFill="1" applyBorder="1" applyAlignment="1">
      <alignment vertical="center"/>
    </xf>
    <xf numFmtId="0" fontId="0" fillId="0" borderId="0" xfId="0" applyFill="1" applyBorder="1" applyAlignment="1">
      <alignment horizontal="left"/>
    </xf>
    <xf numFmtId="1" fontId="0" fillId="6" borderId="33" xfId="2" applyNumberFormat="1" applyFont="1" applyFill="1" applyBorder="1" applyAlignment="1">
      <alignment vertical="center"/>
    </xf>
    <xf numFmtId="0" fontId="13" fillId="6" borderId="0" xfId="0" applyNumberFormat="1" applyFont="1" applyFill="1" applyBorder="1" applyAlignment="1">
      <alignment horizontal="left" vertical="center"/>
    </xf>
    <xf numFmtId="9" fontId="0" fillId="6" borderId="33" xfId="1" applyNumberFormat="1" applyFont="1" applyFill="1" applyBorder="1" applyAlignment="1">
      <alignment vertical="center"/>
    </xf>
    <xf numFmtId="9" fontId="0" fillId="6" borderId="0" xfId="0" applyNumberFormat="1" applyFill="1" applyBorder="1"/>
    <xf numFmtId="191" fontId="143" fillId="0" borderId="15" xfId="2" applyFont="1" applyBorder="1" applyAlignment="1">
      <alignment horizontal="right"/>
    </xf>
    <xf numFmtId="0" fontId="129" fillId="0" borderId="15" xfId="0" applyFont="1" applyBorder="1"/>
    <xf numFmtId="191" fontId="144" fillId="0" borderId="0" xfId="2" applyFont="1"/>
    <xf numFmtId="193" fontId="4" fillId="6" borderId="30" xfId="2" applyNumberFormat="1" applyFont="1" applyFill="1" applyBorder="1" applyAlignment="1">
      <alignment horizontal="right" vertical="center"/>
    </xf>
    <xf numFmtId="193" fontId="4" fillId="6" borderId="32" xfId="2" applyNumberFormat="1" applyFont="1" applyFill="1" applyBorder="1" applyAlignment="1">
      <alignment horizontal="right" vertical="center"/>
    </xf>
    <xf numFmtId="200" fontId="0" fillId="6" borderId="0" xfId="0" quotePrefix="1" applyNumberFormat="1" applyFill="1" applyBorder="1"/>
    <xf numFmtId="11" fontId="0" fillId="6" borderId="1" xfId="1" applyNumberFormat="1" applyFont="1" applyFill="1" applyBorder="1" applyAlignment="1">
      <alignment vertical="center"/>
    </xf>
    <xf numFmtId="191" fontId="0" fillId="6" borderId="30" xfId="2" applyFont="1" applyFill="1" applyBorder="1" applyAlignment="1">
      <alignment vertical="center"/>
    </xf>
    <xf numFmtId="191" fontId="4" fillId="6" borderId="34" xfId="2" applyFont="1" applyFill="1" applyBorder="1" applyAlignment="1">
      <alignment horizontal="right" vertical="center"/>
    </xf>
    <xf numFmtId="191" fontId="0" fillId="6" borderId="0" xfId="2" applyFont="1" applyFill="1" applyBorder="1"/>
    <xf numFmtId="191" fontId="0" fillId="6" borderId="1" xfId="2" applyFont="1" applyFill="1" applyBorder="1"/>
    <xf numFmtId="0" fontId="8" fillId="6" borderId="48" xfId="0" applyFont="1" applyFill="1" applyBorder="1"/>
    <xf numFmtId="0" fontId="0" fillId="6" borderId="42" xfId="0" applyNumberFormat="1" applyFill="1" applyBorder="1" applyAlignment="1">
      <alignment vertical="center"/>
    </xf>
    <xf numFmtId="0" fontId="0" fillId="6" borderId="42" xfId="0" applyFill="1" applyBorder="1" applyAlignment="1">
      <alignment vertical="center"/>
    </xf>
    <xf numFmtId="200" fontId="0" fillId="6" borderId="42" xfId="1" applyFont="1" applyFill="1" applyBorder="1" applyAlignment="1">
      <alignment vertical="center"/>
    </xf>
    <xf numFmtId="0" fontId="0" fillId="0" borderId="42" xfId="0" applyBorder="1"/>
    <xf numFmtId="9" fontId="0" fillId="6" borderId="42" xfId="1" applyNumberFormat="1" applyFont="1" applyFill="1" applyBorder="1" applyAlignment="1">
      <alignment vertical="center"/>
    </xf>
    <xf numFmtId="11" fontId="0" fillId="6" borderId="42" xfId="1" applyNumberFormat="1" applyFont="1" applyFill="1" applyBorder="1" applyAlignment="1">
      <alignment vertical="center"/>
    </xf>
    <xf numFmtId="11" fontId="0" fillId="6" borderId="42" xfId="2" applyNumberFormat="1" applyFont="1" applyFill="1" applyBorder="1" applyAlignment="1">
      <alignment vertical="center"/>
    </xf>
    <xf numFmtId="0" fontId="4" fillId="6" borderId="34" xfId="1" applyNumberFormat="1" applyFont="1" applyFill="1" applyBorder="1" applyAlignment="1">
      <alignment horizontal="right" vertical="center"/>
    </xf>
    <xf numFmtId="200" fontId="0" fillId="6" borderId="0" xfId="1" applyNumberFormat="1" applyFont="1" applyFill="1" applyBorder="1" applyAlignment="1">
      <alignment vertical="center"/>
    </xf>
    <xf numFmtId="11" fontId="0" fillId="6" borderId="22" xfId="1" applyNumberFormat="1" applyFont="1" applyFill="1" applyBorder="1" applyAlignment="1">
      <alignment vertical="center"/>
    </xf>
    <xf numFmtId="11" fontId="0" fillId="6" borderId="0" xfId="1" applyNumberFormat="1" applyFont="1" applyFill="1" applyBorder="1"/>
    <xf numFmtId="11" fontId="0" fillId="6" borderId="33" xfId="1" applyNumberFormat="1" applyFont="1" applyFill="1" applyBorder="1" applyAlignment="1">
      <alignment vertical="center"/>
    </xf>
    <xf numFmtId="11" fontId="0" fillId="6" borderId="1" xfId="1" applyNumberFormat="1" applyFont="1" applyFill="1" applyBorder="1"/>
    <xf numFmtId="11" fontId="6" fillId="6" borderId="34" xfId="1" applyNumberFormat="1" applyFont="1" applyFill="1" applyBorder="1" applyAlignment="1">
      <alignment horizontal="right" vertical="center"/>
    </xf>
    <xf numFmtId="11" fontId="6" fillId="6" borderId="15" xfId="1" applyNumberFormat="1" applyFont="1" applyFill="1" applyBorder="1" applyAlignment="1">
      <alignment horizontal="right" vertical="center"/>
    </xf>
    <xf numFmtId="11" fontId="6" fillId="6" borderId="22" xfId="1" applyNumberFormat="1" applyFont="1" applyFill="1" applyBorder="1" applyAlignment="1">
      <alignment vertical="center"/>
    </xf>
    <xf numFmtId="11" fontId="6" fillId="6" borderId="0" xfId="1" applyNumberFormat="1" applyFont="1" applyFill="1" applyBorder="1" applyAlignment="1">
      <alignment vertical="center"/>
    </xf>
    <xf numFmtId="11" fontId="6" fillId="6" borderId="0" xfId="1" applyNumberFormat="1" applyFont="1" applyFill="1" applyBorder="1"/>
    <xf numFmtId="11" fontId="6" fillId="6" borderId="33" xfId="1" applyNumberFormat="1" applyFont="1" applyFill="1" applyBorder="1" applyAlignment="1">
      <alignment vertical="center"/>
    </xf>
    <xf numFmtId="11" fontId="6" fillId="6" borderId="1" xfId="1" applyNumberFormat="1" applyFont="1" applyFill="1" applyBorder="1" applyAlignment="1">
      <alignment vertical="center"/>
    </xf>
    <xf numFmtId="11" fontId="6" fillId="6" borderId="1" xfId="1" applyNumberFormat="1" applyFont="1" applyFill="1" applyBorder="1"/>
    <xf numFmtId="11" fontId="6" fillId="6" borderId="0" xfId="0" quotePrefix="1" applyNumberFormat="1" applyFont="1" applyFill="1" applyBorder="1"/>
    <xf numFmtId="0" fontId="6" fillId="6" borderId="53" xfId="0" applyFont="1" applyFill="1" applyBorder="1"/>
    <xf numFmtId="0" fontId="0" fillId="8" borderId="8" xfId="0" applyFill="1" applyBorder="1" applyAlignment="1">
      <alignment vertical="center"/>
    </xf>
    <xf numFmtId="0" fontId="0" fillId="8" borderId="5" xfId="0" applyFill="1" applyBorder="1" applyAlignment="1">
      <alignment horizontal="centerContinuous" vertical="center"/>
    </xf>
    <xf numFmtId="191" fontId="0" fillId="8" borderId="5" xfId="2" applyFont="1" applyFill="1" applyBorder="1" applyAlignment="1">
      <alignment horizontal="centerContinuous" vertical="center"/>
    </xf>
    <xf numFmtId="0" fontId="0" fillId="8" borderId="0" xfId="0" applyFill="1" applyBorder="1" applyAlignment="1">
      <alignment horizontal="center" vertical="center"/>
    </xf>
    <xf numFmtId="0" fontId="0" fillId="8" borderId="1" xfId="0" applyFill="1" applyBorder="1" applyAlignment="1">
      <alignment horizontal="center" vertical="center"/>
    </xf>
    <xf numFmtId="192" fontId="16" fillId="8" borderId="0" xfId="2" applyNumberFormat="1" applyFont="1" applyFill="1" applyBorder="1" applyAlignment="1">
      <alignment horizontal="centerContinuous" vertical="center"/>
    </xf>
    <xf numFmtId="0" fontId="0" fillId="8" borderId="16" xfId="0" applyFill="1" applyBorder="1" applyAlignment="1">
      <alignment vertical="center"/>
    </xf>
    <xf numFmtId="0" fontId="0" fillId="8" borderId="16" xfId="0" applyFill="1" applyBorder="1" applyAlignment="1">
      <alignment horizontal="center" vertical="center"/>
    </xf>
    <xf numFmtId="191" fontId="0" fillId="8" borderId="16" xfId="2" applyFont="1" applyFill="1" applyBorder="1" applyAlignment="1">
      <alignment horizontal="center" vertical="center"/>
    </xf>
    <xf numFmtId="9" fontId="0" fillId="6" borderId="53" xfId="1" applyNumberFormat="1" applyFont="1" applyFill="1" applyBorder="1" applyAlignment="1">
      <alignment vertical="center"/>
    </xf>
    <xf numFmtId="9" fontId="0" fillId="6" borderId="53" xfId="1" applyNumberFormat="1" applyFont="1" applyFill="1" applyBorder="1" applyAlignment="1">
      <alignment horizontal="right" vertical="center"/>
    </xf>
    <xf numFmtId="0" fontId="95" fillId="0" borderId="0" xfId="0" applyFont="1" applyAlignment="1">
      <alignment vertical="center"/>
    </xf>
    <xf numFmtId="201" fontId="0" fillId="6" borderId="0" xfId="1" applyNumberFormat="1" applyFont="1" applyFill="1" applyBorder="1" applyAlignment="1">
      <alignment horizontal="right" vertical="center"/>
    </xf>
    <xf numFmtId="201" fontId="0" fillId="6" borderId="0" xfId="1" applyNumberFormat="1" applyFont="1" applyFill="1" applyBorder="1"/>
    <xf numFmtId="0" fontId="142" fillId="6" borderId="19" xfId="0" applyFont="1" applyFill="1" applyBorder="1" applyAlignment="1">
      <alignment vertical="center"/>
    </xf>
    <xf numFmtId="0" fontId="0" fillId="6" borderId="60" xfId="0" applyFill="1" applyBorder="1" applyAlignment="1">
      <alignment horizontal="centerContinuous"/>
    </xf>
    <xf numFmtId="0" fontId="0" fillId="6" borderId="0" xfId="0" applyFill="1" applyBorder="1" applyAlignment="1">
      <alignment horizontal="centerContinuous"/>
    </xf>
    <xf numFmtId="200" fontId="0" fillId="6" borderId="63" xfId="1" applyFont="1" applyFill="1" applyBorder="1" applyAlignment="1">
      <alignment horizontal="right" vertical="center"/>
    </xf>
    <xf numFmtId="200" fontId="135" fillId="6" borderId="0" xfId="1" applyFont="1" applyFill="1" applyBorder="1" applyAlignment="1">
      <alignment vertical="center"/>
    </xf>
    <xf numFmtId="200" fontId="135" fillId="6" borderId="20" xfId="1" applyFont="1" applyFill="1" applyBorder="1" applyAlignment="1">
      <alignment vertical="center"/>
    </xf>
    <xf numFmtId="200" fontId="0" fillId="0" borderId="0" xfId="1" applyFont="1" applyFill="1" applyBorder="1"/>
    <xf numFmtId="0" fontId="135" fillId="15" borderId="0" xfId="0" applyFont="1" applyFill="1" applyAlignment="1">
      <alignment vertical="center"/>
    </xf>
    <xf numFmtId="0" fontId="16" fillId="15" borderId="0" xfId="0" applyFont="1" applyFill="1" applyBorder="1" applyAlignment="1">
      <alignment horizontal="right" vertical="center"/>
    </xf>
    <xf numFmtId="198" fontId="16" fillId="15" borderId="0" xfId="2" applyNumberFormat="1" applyFont="1" applyFill="1" applyBorder="1" applyAlignment="1">
      <alignment vertical="center"/>
    </xf>
    <xf numFmtId="200" fontId="8" fillId="2" borderId="0" xfId="1" applyFont="1" applyFill="1" applyAlignment="1">
      <alignment vertical="center"/>
    </xf>
    <xf numFmtId="0" fontId="8" fillId="2" borderId="0" xfId="0" applyFont="1" applyFill="1" applyBorder="1" applyAlignment="1">
      <alignment horizontal="right" vertical="center"/>
    </xf>
    <xf numFmtId="0" fontId="8" fillId="2" borderId="0" xfId="0" applyFont="1" applyFill="1" applyBorder="1" applyAlignment="1">
      <alignment vertical="center"/>
    </xf>
    <xf numFmtId="200" fontId="8" fillId="2" borderId="0" xfId="1" applyFont="1" applyFill="1" applyBorder="1" applyAlignment="1">
      <alignment vertical="center"/>
    </xf>
    <xf numFmtId="0" fontId="84" fillId="0" borderId="0" xfId="0" applyFont="1" applyAlignment="1">
      <alignment horizontal="center"/>
    </xf>
    <xf numFmtId="192" fontId="4" fillId="0" borderId="0" xfId="2" applyNumberFormat="1" applyFont="1"/>
    <xf numFmtId="192" fontId="25" fillId="6" borderId="22" xfId="2" applyNumberFormat="1" applyFont="1" applyFill="1" applyBorder="1" applyAlignment="1">
      <alignment horizontal="right" vertical="center"/>
    </xf>
    <xf numFmtId="192" fontId="25" fillId="6" borderId="0" xfId="2" applyNumberFormat="1" applyFont="1" applyFill="1" applyBorder="1" applyAlignment="1">
      <alignment horizontal="right" vertical="center"/>
    </xf>
    <xf numFmtId="192" fontId="25" fillId="6" borderId="23" xfId="2" applyNumberFormat="1" applyFont="1" applyFill="1" applyBorder="1" applyAlignment="1">
      <alignment horizontal="right" vertical="center"/>
    </xf>
    <xf numFmtId="192" fontId="25" fillId="6" borderId="20" xfId="2" applyNumberFormat="1" applyFont="1" applyFill="1" applyBorder="1" applyAlignment="1">
      <alignment horizontal="right" vertical="center"/>
    </xf>
    <xf numFmtId="200" fontId="25" fillId="6" borderId="22" xfId="1" applyFont="1" applyFill="1" applyBorder="1" applyAlignment="1">
      <alignment horizontal="right" vertical="center"/>
    </xf>
    <xf numFmtId="200" fontId="25" fillId="6" borderId="0" xfId="1" applyFont="1" applyFill="1" applyBorder="1" applyAlignment="1">
      <alignment horizontal="right" vertical="center"/>
    </xf>
    <xf numFmtId="0" fontId="101" fillId="2" borderId="0" xfId="0" applyFont="1" applyFill="1" applyAlignment="1"/>
    <xf numFmtId="0" fontId="23" fillId="0" borderId="0" xfId="0" applyFont="1" applyFill="1" applyBorder="1" applyAlignment="1">
      <alignment horizontal="left" vertical="center"/>
    </xf>
    <xf numFmtId="164" fontId="0" fillId="0" borderId="0" xfId="0" applyNumberFormat="1" applyBorder="1"/>
    <xf numFmtId="194" fontId="122" fillId="6" borderId="15" xfId="2" applyNumberFormat="1" applyFont="1" applyFill="1" applyBorder="1" applyAlignment="1">
      <alignment horizontal="right" vertical="center"/>
    </xf>
    <xf numFmtId="200" fontId="122" fillId="6" borderId="15" xfId="1" applyFont="1" applyFill="1" applyBorder="1" applyAlignment="1">
      <alignment horizontal="right" vertical="center"/>
    </xf>
    <xf numFmtId="194" fontId="129" fillId="6" borderId="15" xfId="2" applyNumberFormat="1" applyFont="1" applyFill="1" applyBorder="1" applyAlignment="1">
      <alignment vertical="center"/>
    </xf>
    <xf numFmtId="194" fontId="129" fillId="6" borderId="0" xfId="2" applyNumberFormat="1" applyFont="1" applyFill="1" applyBorder="1" applyAlignment="1">
      <alignment vertical="center"/>
    </xf>
    <xf numFmtId="190" fontId="122" fillId="6" borderId="24" xfId="1" applyNumberFormat="1" applyFont="1" applyFill="1" applyBorder="1" applyAlignment="1">
      <alignment horizontal="right" vertical="center"/>
    </xf>
    <xf numFmtId="194" fontId="122" fillId="6" borderId="0" xfId="2" applyNumberFormat="1" applyFont="1" applyFill="1" applyBorder="1" applyAlignment="1">
      <alignment vertical="center"/>
    </xf>
    <xf numFmtId="194" fontId="25" fillId="6" borderId="15" xfId="2" applyNumberFormat="1" applyFont="1" applyFill="1" applyBorder="1" applyAlignment="1">
      <alignment horizontal="right" vertical="center"/>
    </xf>
    <xf numFmtId="191" fontId="25" fillId="6" borderId="20" xfId="2" applyFont="1" applyFill="1" applyBorder="1" applyAlignment="1">
      <alignment vertical="center"/>
    </xf>
    <xf numFmtId="198" fontId="25" fillId="6" borderId="0" xfId="2" applyNumberFormat="1" applyFont="1" applyFill="1" applyBorder="1" applyAlignment="1">
      <alignment vertical="center"/>
    </xf>
    <xf numFmtId="194" fontId="25" fillId="6" borderId="22" xfId="2" applyNumberFormat="1" applyFont="1" applyFill="1" applyBorder="1" applyAlignment="1">
      <alignment horizontal="right" vertical="center"/>
    </xf>
    <xf numFmtId="194" fontId="25" fillId="6" borderId="0" xfId="2" applyNumberFormat="1" applyFont="1" applyFill="1" applyBorder="1" applyAlignment="1">
      <alignment horizontal="right" vertical="center"/>
    </xf>
    <xf numFmtId="198" fontId="25" fillId="6" borderId="22" xfId="2" applyNumberFormat="1" applyFont="1" applyFill="1" applyBorder="1" applyAlignment="1">
      <alignment horizontal="right" vertical="center"/>
    </xf>
    <xf numFmtId="198" fontId="25" fillId="6" borderId="0" xfId="2" applyNumberFormat="1" applyFont="1" applyFill="1" applyBorder="1" applyAlignment="1">
      <alignment horizontal="right" vertical="center"/>
    </xf>
    <xf numFmtId="0" fontId="8" fillId="0" borderId="0" xfId="0" applyFont="1" applyFill="1" applyAlignment="1">
      <alignment vertical="center"/>
    </xf>
    <xf numFmtId="192" fontId="8" fillId="0" borderId="0" xfId="2" applyNumberFormat="1" applyFont="1" applyFill="1" applyAlignment="1">
      <alignment vertical="center"/>
    </xf>
    <xf numFmtId="194" fontId="122" fillId="6" borderId="24" xfId="2" applyNumberFormat="1" applyFont="1" applyFill="1" applyBorder="1" applyAlignment="1">
      <alignment horizontal="right" vertical="center"/>
    </xf>
    <xf numFmtId="198" fontId="122" fillId="6" borderId="15" xfId="2" applyNumberFormat="1" applyFont="1" applyFill="1" applyBorder="1" applyAlignment="1">
      <alignment horizontal="right" vertical="center"/>
    </xf>
    <xf numFmtId="198" fontId="122" fillId="6" borderId="24" xfId="2" applyNumberFormat="1" applyFont="1" applyFill="1" applyBorder="1" applyAlignment="1">
      <alignment horizontal="right" vertical="center"/>
    </xf>
    <xf numFmtId="198" fontId="25" fillId="6" borderId="25" xfId="2" applyNumberFormat="1" applyFont="1" applyFill="1" applyBorder="1" applyAlignment="1">
      <alignment vertical="center"/>
    </xf>
    <xf numFmtId="198" fontId="25" fillId="6" borderId="24" xfId="2" applyNumberFormat="1" applyFont="1" applyFill="1" applyBorder="1" applyAlignment="1">
      <alignment vertical="center"/>
    </xf>
    <xf numFmtId="0" fontId="121" fillId="6" borderId="69" xfId="4" applyNumberFormat="1" applyFont="1" applyFill="1" applyBorder="1"/>
    <xf numFmtId="0" fontId="0" fillId="6" borderId="70" xfId="0" applyNumberFormat="1" applyFill="1" applyBorder="1" applyAlignment="1">
      <alignment vertical="center"/>
    </xf>
    <xf numFmtId="0" fontId="16" fillId="6" borderId="70" xfId="0" applyFont="1" applyFill="1" applyBorder="1" applyAlignment="1">
      <alignment vertical="center"/>
    </xf>
    <xf numFmtId="0" fontId="0" fillId="6" borderId="70" xfId="0" applyFill="1" applyBorder="1" applyAlignment="1">
      <alignment vertical="center"/>
    </xf>
    <xf numFmtId="200" fontId="16" fillId="6" borderId="70" xfId="1" applyFont="1" applyFill="1" applyBorder="1" applyAlignment="1">
      <alignment vertical="center"/>
    </xf>
    <xf numFmtId="200" fontId="16" fillId="6" borderId="70" xfId="1" applyFont="1" applyFill="1" applyBorder="1" applyAlignment="1">
      <alignment horizontal="right" vertical="center"/>
    </xf>
    <xf numFmtId="193" fontId="0" fillId="6" borderId="70" xfId="2" applyNumberFormat="1" applyFont="1" applyFill="1" applyBorder="1" applyAlignment="1">
      <alignment horizontal="right" vertical="center"/>
    </xf>
    <xf numFmtId="0" fontId="65" fillId="6" borderId="71" xfId="4" applyNumberFormat="1" applyFill="1" applyBorder="1"/>
    <xf numFmtId="190" fontId="129" fillId="6" borderId="22" xfId="1" applyNumberFormat="1" applyFont="1" applyFill="1" applyBorder="1" applyAlignment="1">
      <alignment vertical="center"/>
    </xf>
    <xf numFmtId="190" fontId="129" fillId="6" borderId="0" xfId="1" applyNumberFormat="1" applyFont="1" applyFill="1" applyBorder="1" applyAlignment="1">
      <alignment vertical="center"/>
    </xf>
    <xf numFmtId="190" fontId="129" fillId="6" borderId="0" xfId="1" applyNumberFormat="1" applyFont="1" applyFill="1" applyBorder="1"/>
    <xf numFmtId="190" fontId="129" fillId="6" borderId="22" xfId="1" applyNumberFormat="1" applyFont="1" applyFill="1" applyBorder="1" applyAlignment="1">
      <alignment horizontal="right" vertical="center"/>
    </xf>
    <xf numFmtId="190" fontId="129" fillId="6" borderId="0" xfId="1" applyNumberFormat="1" applyFont="1" applyFill="1" applyBorder="1" applyAlignment="1">
      <alignment horizontal="right" vertical="center"/>
    </xf>
    <xf numFmtId="190" fontId="129" fillId="6" borderId="23" xfId="1" applyNumberFormat="1" applyFont="1" applyFill="1" applyBorder="1" applyAlignment="1">
      <alignment horizontal="right" vertical="center"/>
    </xf>
    <xf numFmtId="190" fontId="129" fillId="6" borderId="20" xfId="1" applyNumberFormat="1" applyFont="1" applyFill="1" applyBorder="1" applyAlignment="1">
      <alignment horizontal="right" vertical="center"/>
    </xf>
    <xf numFmtId="191" fontId="13" fillId="0" borderId="0" xfId="2" applyFont="1" applyBorder="1" applyAlignment="1">
      <alignment horizontal="right"/>
    </xf>
    <xf numFmtId="194" fontId="129" fillId="6" borderId="22" xfId="2" applyNumberFormat="1" applyFont="1" applyFill="1" applyBorder="1" applyAlignment="1">
      <alignment vertical="center"/>
    </xf>
    <xf numFmtId="194" fontId="129" fillId="6" borderId="0" xfId="2" applyNumberFormat="1" applyFont="1" applyFill="1" applyBorder="1"/>
    <xf numFmtId="194" fontId="129" fillId="6" borderId="22" xfId="2" applyNumberFormat="1" applyFont="1" applyFill="1" applyBorder="1" applyAlignment="1">
      <alignment horizontal="right" vertical="center"/>
    </xf>
    <xf numFmtId="194" fontId="129" fillId="6" borderId="0" xfId="2" applyNumberFormat="1" applyFont="1" applyFill="1" applyBorder="1" applyAlignment="1">
      <alignment horizontal="right" vertical="center"/>
    </xf>
    <xf numFmtId="198" fontId="129" fillId="6" borderId="22" xfId="2" applyNumberFormat="1" applyFont="1" applyFill="1" applyBorder="1" applyAlignment="1">
      <alignment horizontal="right" vertical="center"/>
    </xf>
    <xf numFmtId="198" fontId="129" fillId="6" borderId="0" xfId="2" applyNumberFormat="1" applyFont="1" applyFill="1" applyBorder="1" applyAlignment="1">
      <alignment horizontal="right" vertical="center"/>
    </xf>
    <xf numFmtId="198" fontId="129" fillId="6" borderId="0" xfId="2" applyNumberFormat="1" applyFont="1" applyFill="1" applyBorder="1"/>
    <xf numFmtId="191" fontId="129" fillId="6" borderId="23" xfId="2" applyNumberFormat="1" applyFont="1" applyFill="1" applyBorder="1" applyAlignment="1">
      <alignment horizontal="right" vertical="center"/>
    </xf>
    <xf numFmtId="191" fontId="129" fillId="6" borderId="20" xfId="2" applyNumberFormat="1" applyFont="1" applyFill="1" applyBorder="1" applyAlignment="1">
      <alignment horizontal="right" vertical="center"/>
    </xf>
    <xf numFmtId="191" fontId="25" fillId="6" borderId="1" xfId="2" applyFont="1" applyFill="1" applyBorder="1" applyAlignment="1">
      <alignment vertical="center"/>
    </xf>
    <xf numFmtId="194" fontId="25" fillId="6" borderId="24" xfId="2" applyNumberFormat="1" applyFont="1" applyFill="1" applyBorder="1" applyAlignment="1">
      <alignment horizontal="right" vertical="center"/>
    </xf>
    <xf numFmtId="0" fontId="16" fillId="0" borderId="0" xfId="0" applyFont="1" applyBorder="1"/>
    <xf numFmtId="192" fontId="143" fillId="0" borderId="15" xfId="2" applyNumberFormat="1" applyFont="1" applyBorder="1" applyAlignment="1">
      <alignment horizontal="right"/>
    </xf>
    <xf numFmtId="194" fontId="122" fillId="6" borderId="20" xfId="2" applyNumberFormat="1" applyFont="1" applyFill="1" applyBorder="1" applyAlignment="1">
      <alignment vertical="center"/>
    </xf>
    <xf numFmtId="194" fontId="25" fillId="6" borderId="23" xfId="2" applyNumberFormat="1" applyFont="1" applyFill="1" applyBorder="1" applyAlignment="1">
      <alignment horizontal="right" vertical="center"/>
    </xf>
    <xf numFmtId="194" fontId="25" fillId="6" borderId="20" xfId="2" applyNumberFormat="1" applyFont="1" applyFill="1" applyBorder="1" applyAlignment="1">
      <alignment horizontal="right" vertical="center"/>
    </xf>
    <xf numFmtId="201" fontId="0" fillId="6" borderId="23" xfId="1" applyNumberFormat="1" applyFont="1" applyFill="1" applyBorder="1" applyAlignment="1">
      <alignment horizontal="right" vertical="center"/>
    </xf>
    <xf numFmtId="201" fontId="0" fillId="6" borderId="20" xfId="1" applyNumberFormat="1" applyFont="1" applyFill="1" applyBorder="1" applyAlignment="1">
      <alignment horizontal="right" vertical="center"/>
    </xf>
    <xf numFmtId="201" fontId="0" fillId="6" borderId="22" xfId="1" applyNumberFormat="1" applyFont="1" applyFill="1" applyBorder="1" applyAlignment="1">
      <alignment vertical="center"/>
    </xf>
    <xf numFmtId="201" fontId="0" fillId="6" borderId="22" xfId="1" applyNumberFormat="1" applyFont="1" applyFill="1" applyBorder="1" applyAlignment="1">
      <alignment horizontal="right" vertical="center"/>
    </xf>
    <xf numFmtId="191" fontId="0" fillId="6" borderId="34" xfId="2" applyFont="1" applyFill="1" applyBorder="1" applyAlignment="1">
      <alignment vertical="center"/>
    </xf>
    <xf numFmtId="191" fontId="0" fillId="6" borderId="15" xfId="2" applyFont="1" applyFill="1" applyBorder="1" applyAlignment="1">
      <alignment vertical="center"/>
    </xf>
    <xf numFmtId="191" fontId="123" fillId="6" borderId="32" xfId="2" applyFont="1" applyFill="1" applyBorder="1" applyAlignment="1">
      <alignment vertical="center"/>
    </xf>
    <xf numFmtId="0" fontId="2" fillId="0" borderId="0" xfId="0" quotePrefix="1" applyFont="1"/>
    <xf numFmtId="0" fontId="16" fillId="8" borderId="19" xfId="0" applyFont="1" applyFill="1" applyBorder="1" applyAlignment="1">
      <alignment horizontal="left" vertical="center"/>
    </xf>
    <xf numFmtId="0" fontId="108" fillId="20" borderId="46" xfId="0" applyFont="1" applyFill="1" applyBorder="1" applyAlignment="1">
      <alignment vertical="center"/>
    </xf>
    <xf numFmtId="0" fontId="108" fillId="20" borderId="45" xfId="0" applyFont="1" applyFill="1" applyBorder="1" applyAlignment="1">
      <alignment vertical="center"/>
    </xf>
    <xf numFmtId="0" fontId="8" fillId="20" borderId="46" xfId="0" applyFont="1" applyFill="1" applyBorder="1" applyAlignment="1">
      <alignment vertical="center"/>
    </xf>
    <xf numFmtId="0" fontId="8" fillId="20" borderId="45" xfId="0" applyFont="1" applyFill="1" applyBorder="1" applyAlignment="1">
      <alignment vertical="center"/>
    </xf>
    <xf numFmtId="0" fontId="21" fillId="20" borderId="45" xfId="0" applyFont="1" applyFill="1" applyBorder="1" applyAlignment="1">
      <alignment vertical="center"/>
    </xf>
    <xf numFmtId="0" fontId="0" fillId="20" borderId="45" xfId="0" applyFont="1" applyFill="1" applyBorder="1" applyAlignment="1">
      <alignment horizontal="right" vertical="center"/>
    </xf>
    <xf numFmtId="0" fontId="0" fillId="20" borderId="0" xfId="0" applyFill="1" applyBorder="1" applyAlignment="1">
      <alignment vertical="center"/>
    </xf>
    <xf numFmtId="0" fontId="0" fillId="20" borderId="0" xfId="0" applyFill="1" applyBorder="1" applyAlignment="1">
      <alignment horizontal="right" vertical="center"/>
    </xf>
    <xf numFmtId="0" fontId="0" fillId="20" borderId="45" xfId="0" applyFill="1" applyBorder="1" applyAlignment="1">
      <alignment vertical="center"/>
    </xf>
    <xf numFmtId="0" fontId="0" fillId="20" borderId="45" xfId="0" applyFill="1" applyBorder="1" applyAlignment="1">
      <alignment horizontal="right" vertical="center"/>
    </xf>
    <xf numFmtId="0" fontId="137" fillId="0" borderId="0" xfId="0" applyFont="1" applyFill="1" applyAlignment="1">
      <alignment horizontal="left" vertical="center"/>
    </xf>
    <xf numFmtId="0" fontId="4" fillId="0" borderId="0" xfId="0" applyFont="1" applyFill="1"/>
    <xf numFmtId="0" fontId="21" fillId="0" borderId="0" xfId="0" applyFont="1" applyFill="1"/>
    <xf numFmtId="0" fontId="4" fillId="8" borderId="0" xfId="0" applyNumberFormat="1" applyFont="1" applyFill="1" applyBorder="1" applyAlignment="1">
      <alignment vertical="center"/>
    </xf>
    <xf numFmtId="191" fontId="0" fillId="8" borderId="0" xfId="2" applyNumberFormat="1" applyFont="1" applyFill="1" applyBorder="1" applyAlignment="1">
      <alignment vertical="center"/>
    </xf>
    <xf numFmtId="0" fontId="13" fillId="8" borderId="0" xfId="0" applyFont="1" applyFill="1" applyBorder="1" applyAlignment="1">
      <alignment vertical="center"/>
    </xf>
    <xf numFmtId="191" fontId="4" fillId="8" borderId="0" xfId="2" applyFont="1" applyFill="1" applyBorder="1" applyAlignment="1">
      <alignment horizontal="right" vertical="center"/>
    </xf>
    <xf numFmtId="0" fontId="13" fillId="8" borderId="19" xfId="0" applyNumberFormat="1" applyFont="1" applyFill="1" applyBorder="1" applyAlignment="1">
      <alignment horizontal="right" vertical="center"/>
    </xf>
    <xf numFmtId="0" fontId="13" fillId="8" borderId="21" xfId="0" applyNumberFormat="1" applyFont="1" applyFill="1" applyBorder="1" applyAlignment="1">
      <alignment horizontal="right" vertical="center"/>
    </xf>
    <xf numFmtId="0" fontId="0" fillId="8" borderId="0" xfId="0" applyNumberFormat="1" applyFill="1" applyBorder="1" applyAlignment="1">
      <alignment vertical="center"/>
    </xf>
    <xf numFmtId="192" fontId="0" fillId="8" borderId="0" xfId="2" applyNumberFormat="1" applyFont="1" applyFill="1" applyBorder="1" applyAlignment="1">
      <alignment vertical="center"/>
    </xf>
    <xf numFmtId="0" fontId="0" fillId="8" borderId="1" xfId="0" applyNumberFormat="1" applyFill="1" applyBorder="1" applyAlignment="1">
      <alignment vertical="center"/>
    </xf>
    <xf numFmtId="0" fontId="0" fillId="8" borderId="5" xfId="0" applyNumberFormat="1" applyFill="1" applyBorder="1" applyAlignment="1">
      <alignment vertical="center"/>
    </xf>
    <xf numFmtId="0" fontId="0" fillId="8" borderId="5" xfId="0" applyFill="1" applyBorder="1" applyAlignment="1">
      <alignment vertical="center"/>
    </xf>
    <xf numFmtId="192" fontId="0" fillId="8" borderId="5" xfId="2" applyNumberFormat="1" applyFont="1" applyFill="1" applyBorder="1" applyAlignment="1">
      <alignment vertical="center"/>
    </xf>
    <xf numFmtId="0" fontId="13" fillId="6" borderId="26" xfId="0" applyNumberFormat="1" applyFont="1" applyFill="1" applyBorder="1" applyAlignment="1">
      <alignment horizontal="center" vertical="center" wrapText="1"/>
    </xf>
    <xf numFmtId="200" fontId="4" fillId="6" borderId="24" xfId="1" applyFont="1" applyFill="1" applyBorder="1" applyAlignment="1">
      <alignment horizontal="right" vertical="center"/>
    </xf>
    <xf numFmtId="0" fontId="4" fillId="6" borderId="16" xfId="0" applyNumberFormat="1" applyFont="1" applyFill="1" applyBorder="1" applyAlignment="1">
      <alignment horizontal="center" vertical="center" wrapText="1"/>
    </xf>
    <xf numFmtId="0" fontId="13" fillId="6" borderId="27" xfId="0" applyNumberFormat="1" applyFont="1" applyFill="1" applyBorder="1" applyAlignment="1">
      <alignment horizontal="center" vertical="center" wrapText="1"/>
    </xf>
    <xf numFmtId="0" fontId="13" fillId="6" borderId="72" xfId="0" applyNumberFormat="1" applyFont="1" applyFill="1" applyBorder="1" applyAlignment="1">
      <alignment horizontal="center" vertical="center" wrapText="1"/>
    </xf>
    <xf numFmtId="0" fontId="4" fillId="6" borderId="28" xfId="0" applyNumberFormat="1" applyFont="1" applyFill="1" applyBorder="1" applyAlignment="1">
      <alignment horizontal="center" vertical="center" wrapText="1"/>
    </xf>
    <xf numFmtId="0" fontId="4" fillId="6" borderId="73" xfId="0" applyNumberFormat="1" applyFont="1" applyFill="1" applyBorder="1" applyAlignment="1">
      <alignment horizontal="center" vertical="center" wrapText="1"/>
    </xf>
    <xf numFmtId="192" fontId="4" fillId="6" borderId="25" xfId="2" applyNumberFormat="1" applyFont="1" applyFill="1" applyBorder="1" applyAlignment="1">
      <alignment horizontal="right" vertical="center"/>
    </xf>
    <xf numFmtId="192" fontId="4" fillId="6" borderId="29" xfId="2" applyNumberFormat="1" applyFont="1" applyFill="1" applyBorder="1" applyAlignment="1">
      <alignment horizontal="right" vertical="center"/>
    </xf>
    <xf numFmtId="194" fontId="0" fillId="6" borderId="20" xfId="2" applyNumberFormat="1" applyFont="1" applyFill="1" applyBorder="1" applyAlignment="1">
      <alignment vertical="center"/>
    </xf>
    <xf numFmtId="0" fontId="21" fillId="6" borderId="0" xfId="0" applyFont="1" applyFill="1" applyBorder="1"/>
    <xf numFmtId="191" fontId="0" fillId="6" borderId="32" xfId="2" applyFont="1" applyFill="1" applyBorder="1" applyAlignment="1">
      <alignment vertical="center"/>
    </xf>
    <xf numFmtId="0" fontId="13" fillId="0" borderId="19" xfId="0" applyFont="1" applyFill="1" applyBorder="1" applyAlignment="1">
      <alignment vertical="center"/>
    </xf>
    <xf numFmtId="0" fontId="4" fillId="0" borderId="0" xfId="0" applyNumberFormat="1" applyFont="1" applyFill="1" applyBorder="1" applyAlignment="1">
      <alignment vertical="center"/>
    </xf>
    <xf numFmtId="191" fontId="0" fillId="0" borderId="0" xfId="2" applyNumberFormat="1" applyFont="1" applyFill="1" applyBorder="1" applyAlignment="1">
      <alignment vertical="center"/>
    </xf>
    <xf numFmtId="0" fontId="4" fillId="0" borderId="20" xfId="0" applyFont="1" applyFill="1" applyBorder="1" applyAlignment="1">
      <alignment vertical="center"/>
    </xf>
    <xf numFmtId="0" fontId="4" fillId="0" borderId="20" xfId="0" applyNumberFormat="1" applyFont="1" applyFill="1" applyBorder="1" applyAlignment="1">
      <alignment vertical="center"/>
    </xf>
    <xf numFmtId="191" fontId="0" fillId="0" borderId="20" xfId="2" applyNumberFormat="1" applyFont="1" applyFill="1" applyBorder="1" applyAlignment="1">
      <alignment vertical="center"/>
    </xf>
    <xf numFmtId="192" fontId="0" fillId="21" borderId="0" xfId="2" applyNumberFormat="1" applyFont="1" applyFill="1" applyBorder="1" applyAlignment="1">
      <alignment vertical="center"/>
    </xf>
    <xf numFmtId="0" fontId="0" fillId="21" borderId="0" xfId="0" applyFill="1"/>
    <xf numFmtId="0" fontId="0" fillId="21" borderId="0" xfId="0" applyFill="1" applyAlignment="1">
      <alignment vertical="center"/>
    </xf>
    <xf numFmtId="192" fontId="0" fillId="21" borderId="1" xfId="2" applyNumberFormat="1" applyFont="1" applyFill="1" applyBorder="1" applyAlignment="1">
      <alignment vertical="center"/>
    </xf>
    <xf numFmtId="0" fontId="0" fillId="21" borderId="0" xfId="0" applyFill="1" applyBorder="1"/>
    <xf numFmtId="0" fontId="0" fillId="21" borderId="0" xfId="0" applyFill="1" applyBorder="1" applyAlignment="1">
      <alignment horizontal="left"/>
    </xf>
    <xf numFmtId="0" fontId="12" fillId="6" borderId="0" xfId="0" applyNumberFormat="1" applyFont="1" applyFill="1" applyBorder="1"/>
    <xf numFmtId="192" fontId="0" fillId="0" borderId="0" xfId="2" applyNumberFormat="1" applyFont="1" applyBorder="1" applyAlignment="1">
      <alignment vertical="center"/>
    </xf>
    <xf numFmtId="0" fontId="23" fillId="0" borderId="1" xfId="0" applyFont="1" applyFill="1" applyBorder="1" applyAlignment="1">
      <alignment horizontal="left" vertical="center"/>
    </xf>
    <xf numFmtId="192" fontId="0" fillId="0" borderId="1" xfId="2" applyNumberFormat="1" applyFont="1" applyBorder="1" applyAlignment="1">
      <alignment vertical="center"/>
    </xf>
    <xf numFmtId="11" fontId="0" fillId="0" borderId="0" xfId="2" applyNumberFormat="1" applyFont="1" applyBorder="1" applyAlignment="1">
      <alignment vertical="center"/>
    </xf>
    <xf numFmtId="192" fontId="0" fillId="0" borderId="0" xfId="2" applyNumberFormat="1" applyFont="1" applyBorder="1" applyAlignment="1">
      <alignment horizontal="left" vertical="center"/>
    </xf>
    <xf numFmtId="0" fontId="0" fillId="0" borderId="5" xfId="0" applyBorder="1"/>
    <xf numFmtId="191" fontId="0" fillId="0" borderId="5" xfId="0" applyNumberFormat="1" applyBorder="1"/>
    <xf numFmtId="0" fontId="13" fillId="22" borderId="19" xfId="0" applyNumberFormat="1" applyFont="1" applyFill="1" applyBorder="1" applyAlignment="1">
      <alignment horizontal="right" vertical="center"/>
    </xf>
    <xf numFmtId="0" fontId="13" fillId="22" borderId="21" xfId="0" applyNumberFormat="1" applyFont="1" applyFill="1" applyBorder="1" applyAlignment="1">
      <alignment horizontal="right" vertical="center"/>
    </xf>
    <xf numFmtId="191" fontId="0" fillId="0" borderId="74" xfId="0" applyNumberFormat="1" applyBorder="1"/>
    <xf numFmtId="191" fontId="0" fillId="22" borderId="22" xfId="1" applyNumberFormat="1" applyFont="1" applyFill="1" applyBorder="1" applyAlignment="1">
      <alignment vertical="center"/>
    </xf>
    <xf numFmtId="191" fontId="0" fillId="22" borderId="33" xfId="1" applyNumberFormat="1" applyFont="1" applyFill="1" applyBorder="1" applyAlignment="1">
      <alignment vertical="center"/>
    </xf>
    <xf numFmtId="191" fontId="0" fillId="8" borderId="0" xfId="2" applyFont="1" applyFill="1"/>
    <xf numFmtId="191" fontId="0" fillId="0" borderId="0" xfId="0" applyNumberFormat="1" applyBorder="1"/>
    <xf numFmtId="191" fontId="0" fillId="0" borderId="34" xfId="2" applyNumberFormat="1" applyFont="1" applyFill="1" applyBorder="1" applyAlignment="1">
      <alignment vertical="center"/>
    </xf>
    <xf numFmtId="191" fontId="0" fillId="0" borderId="22" xfId="2" applyNumberFormat="1" applyFont="1" applyFill="1" applyBorder="1" applyAlignment="1">
      <alignment vertical="center"/>
    </xf>
    <xf numFmtId="200" fontId="0" fillId="0" borderId="0" xfId="1" applyFont="1" applyFill="1" applyBorder="1" applyAlignment="1">
      <alignment vertical="center"/>
    </xf>
    <xf numFmtId="200" fontId="0" fillId="0" borderId="34" xfId="1" applyFont="1" applyFill="1" applyBorder="1" applyAlignment="1">
      <alignment vertical="center"/>
    </xf>
    <xf numFmtId="200" fontId="0" fillId="0" borderId="22" xfId="1" applyFont="1" applyFill="1" applyBorder="1" applyAlignment="1">
      <alignment vertical="center"/>
    </xf>
    <xf numFmtId="200" fontId="0" fillId="0" borderId="5" xfId="1" applyFont="1" applyBorder="1"/>
    <xf numFmtId="200" fontId="0" fillId="0" borderId="74" xfId="1" applyFont="1" applyBorder="1"/>
    <xf numFmtId="191" fontId="0" fillId="0" borderId="0" xfId="0" applyNumberFormat="1"/>
    <xf numFmtId="0" fontId="13" fillId="0" borderId="0" xfId="0" applyFont="1" applyFill="1" applyBorder="1" applyAlignment="1">
      <alignment vertical="center"/>
    </xf>
    <xf numFmtId="0" fontId="13" fillId="22" borderId="0" xfId="0" applyNumberFormat="1" applyFont="1" applyFill="1" applyBorder="1" applyAlignment="1">
      <alignment horizontal="right" vertical="center"/>
    </xf>
    <xf numFmtId="191" fontId="6" fillId="0" borderId="0" xfId="2" applyNumberFormat="1" applyFont="1"/>
    <xf numFmtId="0" fontId="0" fillId="0" borderId="0" xfId="0" applyBorder="1" applyAlignment="1">
      <alignment horizontal="left"/>
    </xf>
    <xf numFmtId="0" fontId="0" fillId="0" borderId="1" xfId="0" applyFill="1" applyBorder="1" applyAlignment="1">
      <alignment horizontal="left"/>
    </xf>
    <xf numFmtId="0" fontId="0" fillId="0" borderId="1" xfId="0" applyBorder="1" applyAlignment="1">
      <alignment horizontal="left"/>
    </xf>
    <xf numFmtId="191" fontId="0" fillId="0" borderId="1" xfId="0" applyNumberFormat="1" applyBorder="1"/>
    <xf numFmtId="0" fontId="0" fillId="6" borderId="1" xfId="0" applyNumberFormat="1" applyFill="1" applyBorder="1"/>
    <xf numFmtId="9" fontId="0" fillId="6" borderId="1" xfId="0" applyNumberFormat="1" applyFill="1" applyBorder="1" applyAlignment="1">
      <alignment horizontal="right"/>
    </xf>
    <xf numFmtId="0" fontId="0" fillId="6" borderId="1" xfId="0" applyFill="1" applyBorder="1" applyAlignment="1">
      <alignment horizontal="right"/>
    </xf>
    <xf numFmtId="0" fontId="0" fillId="0" borderId="5" xfId="0" applyFill="1" applyBorder="1" applyAlignment="1">
      <alignment horizontal="left"/>
    </xf>
    <xf numFmtId="0" fontId="0" fillId="0" borderId="5" xfId="0" applyBorder="1" applyAlignment="1">
      <alignment horizontal="left"/>
    </xf>
    <xf numFmtId="0" fontId="8" fillId="2" borderId="0" xfId="0" applyFont="1" applyFill="1" applyAlignment="1">
      <alignment horizontal="left" vertical="center"/>
    </xf>
    <xf numFmtId="200" fontId="8" fillId="2" borderId="0" xfId="1" applyFont="1" applyFill="1"/>
    <xf numFmtId="192" fontId="8" fillId="2" borderId="0" xfId="2" applyNumberFormat="1" applyFont="1" applyFill="1"/>
    <xf numFmtId="0" fontId="8" fillId="2" borderId="1" xfId="0" applyFont="1" applyFill="1" applyBorder="1" applyAlignment="1">
      <alignment horizontal="left" vertical="center"/>
    </xf>
    <xf numFmtId="0" fontId="0" fillId="2" borderId="1" xfId="0" applyFill="1" applyBorder="1"/>
    <xf numFmtId="192" fontId="8" fillId="2" borderId="1" xfId="2" applyNumberFormat="1" applyFont="1" applyFill="1" applyBorder="1"/>
    <xf numFmtId="192" fontId="0" fillId="0" borderId="1" xfId="2" applyNumberFormat="1" applyFont="1" applyBorder="1" applyAlignment="1">
      <alignment horizontal="left" vertical="center"/>
    </xf>
    <xf numFmtId="191" fontId="0" fillId="0" borderId="0" xfId="0" applyNumberFormat="1" applyFill="1" applyBorder="1"/>
    <xf numFmtId="200" fontId="0" fillId="0" borderId="0" xfId="0" applyNumberFormat="1"/>
    <xf numFmtId="192" fontId="0" fillId="21" borderId="0" xfId="2" applyNumberFormat="1" applyFont="1" applyFill="1"/>
    <xf numFmtId="0" fontId="0" fillId="0" borderId="1" xfId="0" applyBorder="1" applyAlignment="1">
      <alignment horizontal="left" vertical="center"/>
    </xf>
    <xf numFmtId="200" fontId="25" fillId="6" borderId="23" xfId="1" applyFont="1" applyFill="1" applyBorder="1" applyAlignment="1">
      <alignment vertical="center"/>
    </xf>
    <xf numFmtId="200" fontId="25" fillId="6" borderId="20" xfId="1" applyFont="1" applyFill="1" applyBorder="1" applyAlignment="1">
      <alignment vertical="center"/>
    </xf>
    <xf numFmtId="0" fontId="95" fillId="0" borderId="0" xfId="0" quotePrefix="1" applyFont="1" applyAlignment="1">
      <alignment vertical="center"/>
    </xf>
    <xf numFmtId="194" fontId="0" fillId="6" borderId="31" xfId="2" applyNumberFormat="1" applyFont="1" applyFill="1" applyBorder="1" applyAlignment="1">
      <alignment vertical="center"/>
    </xf>
    <xf numFmtId="194" fontId="0" fillId="6" borderId="31" xfId="2" applyNumberFormat="1" applyFont="1" applyFill="1" applyBorder="1" applyAlignment="1">
      <alignment horizontal="right" vertical="center"/>
    </xf>
    <xf numFmtId="194" fontId="0" fillId="6" borderId="58" xfId="2" applyNumberFormat="1" applyFont="1" applyFill="1" applyBorder="1" applyAlignment="1">
      <alignment horizontal="right" vertical="center"/>
    </xf>
    <xf numFmtId="177" fontId="0" fillId="0" borderId="0" xfId="0" applyNumberFormat="1"/>
    <xf numFmtId="9" fontId="4" fillId="6" borderId="15" xfId="1" applyNumberFormat="1" applyFont="1" applyFill="1" applyBorder="1" applyAlignment="1">
      <alignment horizontal="right" vertical="center"/>
    </xf>
    <xf numFmtId="9" fontId="4" fillId="6" borderId="34" xfId="0" applyNumberFormat="1" applyFont="1" applyFill="1" applyBorder="1" applyAlignment="1">
      <alignment horizontal="right" vertical="center"/>
    </xf>
    <xf numFmtId="200" fontId="129" fillId="6" borderId="20" xfId="1" applyFont="1" applyFill="1" applyBorder="1" applyAlignment="1">
      <alignment vertical="center"/>
    </xf>
    <xf numFmtId="0" fontId="8" fillId="6" borderId="0" xfId="0" applyFont="1" applyFill="1" applyBorder="1"/>
    <xf numFmtId="201" fontId="129" fillId="6" borderId="20" xfId="1" applyNumberFormat="1" applyFont="1" applyFill="1" applyBorder="1" applyAlignment="1">
      <alignment vertical="center"/>
    </xf>
    <xf numFmtId="200" fontId="129" fillId="6" borderId="20" xfId="1" applyNumberFormat="1" applyFont="1" applyFill="1" applyBorder="1" applyAlignment="1">
      <alignment vertical="center"/>
    </xf>
    <xf numFmtId="200" fontId="25" fillId="6" borderId="20" xfId="1" applyNumberFormat="1" applyFont="1" applyFill="1" applyBorder="1" applyAlignment="1">
      <alignment vertical="center"/>
    </xf>
    <xf numFmtId="191" fontId="0" fillId="6" borderId="24" xfId="2" applyNumberFormat="1" applyFont="1" applyFill="1" applyBorder="1" applyAlignment="1">
      <alignment vertical="center"/>
    </xf>
    <xf numFmtId="0" fontId="95" fillId="0" borderId="0" xfId="0" quotePrefix="1" applyFont="1"/>
    <xf numFmtId="11" fontId="0" fillId="0" borderId="0" xfId="2" applyNumberFormat="1" applyFont="1"/>
    <xf numFmtId="191" fontId="25" fillId="6" borderId="34" xfId="2" applyNumberFormat="1" applyFont="1" applyFill="1" applyBorder="1" applyAlignment="1">
      <alignment vertical="center"/>
    </xf>
    <xf numFmtId="191" fontId="25" fillId="6" borderId="15" xfId="2" applyNumberFormat="1" applyFont="1" applyFill="1" applyBorder="1" applyAlignment="1">
      <alignment vertical="center"/>
    </xf>
    <xf numFmtId="191" fontId="25" fillId="6" borderId="22" xfId="2" applyNumberFormat="1" applyFont="1" applyFill="1" applyBorder="1" applyAlignment="1">
      <alignment vertical="center"/>
    </xf>
    <xf numFmtId="191" fontId="25" fillId="6" borderId="0" xfId="2" applyNumberFormat="1" applyFont="1" applyFill="1" applyBorder="1" applyAlignment="1">
      <alignment vertical="center"/>
    </xf>
    <xf numFmtId="191" fontId="25" fillId="6" borderId="28" xfId="2" applyNumberFormat="1" applyFont="1" applyFill="1" applyBorder="1" applyAlignment="1">
      <alignment vertical="center"/>
    </xf>
    <xf numFmtId="191" fontId="25" fillId="6" borderId="16" xfId="2" applyNumberFormat="1" applyFont="1" applyFill="1" applyBorder="1" applyAlignment="1">
      <alignment vertical="center"/>
    </xf>
    <xf numFmtId="191" fontId="0" fillId="6" borderId="33" xfId="2" applyNumberFormat="1" applyFont="1" applyFill="1" applyBorder="1" applyAlignment="1">
      <alignment horizontal="right" vertical="center"/>
    </xf>
    <xf numFmtId="0" fontId="0" fillId="6" borderId="0" xfId="0" applyFont="1" applyFill="1" applyBorder="1" applyAlignment="1">
      <alignment horizontal="right" vertical="center"/>
    </xf>
    <xf numFmtId="192" fontId="0" fillId="6" borderId="24" xfId="2" applyNumberFormat="1" applyFont="1" applyFill="1" applyBorder="1" applyAlignment="1">
      <alignment vertical="center"/>
    </xf>
    <xf numFmtId="190" fontId="0" fillId="6" borderId="25" xfId="1" applyNumberFormat="1" applyFont="1" applyFill="1" applyBorder="1" applyAlignment="1">
      <alignment vertical="center"/>
    </xf>
    <xf numFmtId="200" fontId="0" fillId="6" borderId="15" xfId="1" applyFont="1" applyFill="1" applyBorder="1" applyAlignment="1">
      <alignment vertical="center"/>
    </xf>
    <xf numFmtId="201" fontId="0" fillId="6" borderId="15" xfId="1" applyNumberFormat="1" applyFont="1" applyFill="1" applyBorder="1" applyAlignment="1">
      <alignment vertical="center"/>
    </xf>
    <xf numFmtId="201" fontId="0" fillId="6" borderId="34" xfId="1" applyNumberFormat="1" applyFont="1" applyFill="1" applyBorder="1" applyAlignment="1">
      <alignment vertical="center"/>
    </xf>
    <xf numFmtId="201" fontId="0" fillId="6" borderId="31" xfId="1" applyNumberFormat="1" applyFont="1" applyFill="1" applyBorder="1"/>
    <xf numFmtId="201" fontId="0" fillId="6" borderId="1" xfId="1" applyNumberFormat="1" applyFont="1" applyFill="1" applyBorder="1" applyAlignment="1">
      <alignment vertical="center"/>
    </xf>
    <xf numFmtId="201" fontId="0" fillId="6" borderId="33" xfId="1" applyNumberFormat="1" applyFont="1" applyFill="1" applyBorder="1" applyAlignment="1">
      <alignment vertical="center"/>
    </xf>
    <xf numFmtId="201" fontId="0" fillId="6" borderId="32" xfId="1" applyNumberFormat="1" applyFont="1" applyFill="1" applyBorder="1"/>
    <xf numFmtId="201" fontId="0" fillId="6" borderId="1" xfId="1" applyNumberFormat="1" applyFont="1" applyFill="1" applyBorder="1"/>
    <xf numFmtId="201" fontId="0" fillId="6" borderId="24" xfId="1" applyNumberFormat="1" applyFont="1" applyFill="1" applyBorder="1" applyAlignment="1">
      <alignment vertical="center"/>
    </xf>
    <xf numFmtId="201" fontId="0" fillId="6" borderId="25" xfId="1" applyNumberFormat="1" applyFont="1" applyFill="1" applyBorder="1" applyAlignment="1">
      <alignment vertical="center"/>
    </xf>
    <xf numFmtId="201" fontId="0" fillId="6" borderId="29" xfId="1" applyNumberFormat="1" applyFont="1" applyFill="1" applyBorder="1" applyAlignment="1">
      <alignment vertical="center"/>
    </xf>
    <xf numFmtId="191" fontId="0" fillId="6" borderId="24" xfId="0" applyNumberFormat="1" applyFill="1" applyBorder="1" applyAlignment="1">
      <alignment vertical="center"/>
    </xf>
    <xf numFmtId="198" fontId="0" fillId="6" borderId="24" xfId="2" applyNumberFormat="1" applyFont="1" applyFill="1" applyBorder="1" applyAlignment="1">
      <alignment vertical="center"/>
    </xf>
    <xf numFmtId="200" fontId="0" fillId="6" borderId="0" xfId="0" applyNumberFormat="1" applyFill="1" applyBorder="1"/>
    <xf numFmtId="0" fontId="91" fillId="6" borderId="52" xfId="0" applyFont="1" applyFill="1" applyBorder="1" applyAlignment="1">
      <alignment horizontal="left" indent="1"/>
    </xf>
    <xf numFmtId="192" fontId="4" fillId="6" borderId="30" xfId="2" applyNumberFormat="1" applyFont="1" applyFill="1" applyBorder="1" applyAlignment="1">
      <alignment horizontal="right" vertical="center"/>
    </xf>
    <xf numFmtId="192" fontId="4" fillId="6" borderId="0" xfId="2" applyNumberFormat="1" applyFont="1" applyFill="1" applyBorder="1" applyAlignment="1">
      <alignment horizontal="right" vertical="center"/>
    </xf>
    <xf numFmtId="192" fontId="4" fillId="6" borderId="31" xfId="2" applyNumberFormat="1" applyFont="1" applyFill="1" applyBorder="1" applyAlignment="1">
      <alignment horizontal="right" vertical="center"/>
    </xf>
    <xf numFmtId="192" fontId="4" fillId="6" borderId="32" xfId="2" applyNumberFormat="1" applyFont="1" applyFill="1" applyBorder="1" applyAlignment="1">
      <alignment horizontal="right" vertical="center"/>
    </xf>
    <xf numFmtId="192" fontId="4" fillId="6" borderId="1" xfId="2" applyNumberFormat="1" applyFont="1" applyFill="1" applyBorder="1" applyAlignment="1">
      <alignment horizontal="right" vertical="center"/>
    </xf>
    <xf numFmtId="191" fontId="4" fillId="6" borderId="30" xfId="2" applyNumberFormat="1" applyFont="1" applyFill="1" applyBorder="1" applyAlignment="1">
      <alignment horizontal="right" vertical="center"/>
    </xf>
    <xf numFmtId="191" fontId="4" fillId="6" borderId="0" xfId="2" applyNumberFormat="1" applyFont="1" applyFill="1" applyBorder="1" applyAlignment="1">
      <alignment horizontal="right" vertical="center"/>
    </xf>
    <xf numFmtId="191" fontId="4" fillId="6" borderId="31" xfId="2" applyNumberFormat="1" applyFont="1" applyFill="1" applyBorder="1" applyAlignment="1">
      <alignment horizontal="right" vertical="center"/>
    </xf>
    <xf numFmtId="191" fontId="4" fillId="6" borderId="32" xfId="2" applyNumberFormat="1" applyFont="1" applyFill="1" applyBorder="1" applyAlignment="1">
      <alignment horizontal="right" vertical="center"/>
    </xf>
    <xf numFmtId="191" fontId="4" fillId="6" borderId="1" xfId="2" applyNumberFormat="1" applyFont="1" applyFill="1" applyBorder="1" applyAlignment="1">
      <alignment horizontal="right" vertical="center"/>
    </xf>
    <xf numFmtId="200" fontId="4" fillId="6" borderId="31" xfId="1" applyFont="1" applyFill="1" applyBorder="1" applyAlignment="1">
      <alignment horizontal="right" vertical="center"/>
    </xf>
    <xf numFmtId="0" fontId="0" fillId="6" borderId="48" xfId="0" applyFont="1" applyFill="1" applyBorder="1" applyAlignment="1">
      <alignment horizontal="left" indent="1"/>
    </xf>
    <xf numFmtId="0" fontId="0" fillId="6" borderId="42" xfId="0" applyNumberFormat="1" applyFill="1" applyBorder="1"/>
    <xf numFmtId="191" fontId="16" fillId="0" borderId="0" xfId="0" applyNumberFormat="1" applyFont="1"/>
    <xf numFmtId="0" fontId="13" fillId="0" borderId="0" xfId="0" applyFont="1" applyAlignment="1">
      <alignment horizontal="left" indent="1"/>
    </xf>
    <xf numFmtId="0" fontId="16" fillId="8" borderId="19" xfId="0" applyFont="1" applyFill="1" applyBorder="1" applyAlignment="1">
      <alignment horizontal="right" vertical="center"/>
    </xf>
    <xf numFmtId="200" fontId="147" fillId="6" borderId="1" xfId="1" applyFont="1" applyFill="1" applyBorder="1" applyAlignment="1">
      <alignment horizontal="right" vertical="center"/>
    </xf>
    <xf numFmtId="0" fontId="13" fillId="0" borderId="0" xfId="0" applyFont="1" applyAlignment="1">
      <alignment horizontal="right"/>
    </xf>
    <xf numFmtId="0" fontId="13" fillId="0" borderId="0" xfId="0" quotePrefix="1" applyFont="1" applyAlignment="1">
      <alignment horizontal="right"/>
    </xf>
    <xf numFmtId="0" fontId="16" fillId="0" borderId="8" xfId="0" applyFont="1" applyBorder="1"/>
    <xf numFmtId="0" fontId="0" fillId="0" borderId="8" xfId="0" applyBorder="1"/>
    <xf numFmtId="0" fontId="0" fillId="0" borderId="0" xfId="0" applyFont="1" applyBorder="1" applyAlignment="1">
      <alignment horizontal="right"/>
    </xf>
    <xf numFmtId="191" fontId="0" fillId="0" borderId="0" xfId="0" applyNumberFormat="1" applyFont="1" applyBorder="1"/>
    <xf numFmtId="0" fontId="0" fillId="0" borderId="1" xfId="0" applyFont="1" applyBorder="1" applyAlignment="1">
      <alignment horizontal="right"/>
    </xf>
    <xf numFmtId="0" fontId="0" fillId="0" borderId="1" xfId="0" applyFont="1" applyBorder="1"/>
    <xf numFmtId="191" fontId="0" fillId="0" borderId="1" xfId="0" applyNumberFormat="1" applyFont="1" applyBorder="1"/>
    <xf numFmtId="0" fontId="0" fillId="0" borderId="1" xfId="0" applyBorder="1" applyAlignment="1">
      <alignment horizontal="right"/>
    </xf>
    <xf numFmtId="191" fontId="0" fillId="0" borderId="1" xfId="2" applyFont="1" applyBorder="1"/>
    <xf numFmtId="194" fontId="0" fillId="6" borderId="15" xfId="2" applyNumberFormat="1" applyFont="1" applyFill="1" applyBorder="1" applyAlignment="1">
      <alignment vertical="center"/>
    </xf>
    <xf numFmtId="0" fontId="21" fillId="0" borderId="0" xfId="0" applyFont="1" applyAlignment="1">
      <alignment horizontal="right" vertical="center"/>
    </xf>
    <xf numFmtId="200" fontId="147" fillId="6" borderId="0" xfId="1" applyFont="1" applyFill="1" applyBorder="1" applyAlignment="1">
      <alignment horizontal="right" vertical="center"/>
    </xf>
    <xf numFmtId="204" fontId="0" fillId="0" borderId="0" xfId="2" applyNumberFormat="1" applyFont="1"/>
    <xf numFmtId="0" fontId="0" fillId="6" borderId="15" xfId="0" applyFill="1" applyBorder="1"/>
    <xf numFmtId="191" fontId="0" fillId="6" borderId="15" xfId="2" applyFont="1" applyFill="1" applyBorder="1"/>
    <xf numFmtId="0" fontId="0" fillId="0" borderId="50" xfId="0" applyFill="1" applyBorder="1"/>
    <xf numFmtId="0" fontId="0" fillId="0" borderId="36" xfId="0" applyFill="1" applyBorder="1"/>
    <xf numFmtId="0" fontId="4" fillId="6" borderId="0" xfId="0" applyFont="1" applyFill="1" applyBorder="1" applyAlignment="1">
      <alignment horizontal="right" vertical="center"/>
    </xf>
    <xf numFmtId="0" fontId="0" fillId="6" borderId="0" xfId="0" applyFill="1" applyBorder="1" applyAlignment="1">
      <alignment horizontal="centerContinuous" vertical="center"/>
    </xf>
    <xf numFmtId="192" fontId="0" fillId="6" borderId="31" xfId="2" applyNumberFormat="1" applyFont="1" applyFill="1" applyBorder="1" applyAlignment="1">
      <alignment vertical="center"/>
    </xf>
    <xf numFmtId="192" fontId="0" fillId="6" borderId="31" xfId="2" applyNumberFormat="1" applyFont="1" applyFill="1" applyBorder="1" applyAlignment="1">
      <alignment horizontal="right" vertical="center"/>
    </xf>
    <xf numFmtId="192" fontId="0" fillId="6" borderId="58" xfId="2" applyNumberFormat="1" applyFont="1" applyFill="1" applyBorder="1" applyAlignment="1">
      <alignment horizontal="right" vertical="center"/>
    </xf>
    <xf numFmtId="0" fontId="22" fillId="0" borderId="0" xfId="0" applyFont="1"/>
    <xf numFmtId="191" fontId="0" fillId="6" borderId="42" xfId="2" applyFont="1" applyFill="1" applyBorder="1" applyAlignment="1">
      <alignment vertical="center"/>
    </xf>
    <xf numFmtId="0" fontId="0" fillId="6" borderId="42" xfId="0" applyFill="1" applyBorder="1" applyAlignment="1">
      <alignment horizontal="right" vertical="center"/>
    </xf>
    <xf numFmtId="0" fontId="0" fillId="6" borderId="48" xfId="0" applyFont="1" applyFill="1" applyBorder="1"/>
    <xf numFmtId="193" fontId="0" fillId="6" borderId="42" xfId="2" applyNumberFormat="1" applyFont="1" applyFill="1" applyBorder="1" applyAlignment="1">
      <alignment vertical="center"/>
    </xf>
    <xf numFmtId="193" fontId="0" fillId="6" borderId="42" xfId="2" applyNumberFormat="1" applyFont="1" applyFill="1" applyBorder="1" applyAlignment="1">
      <alignment horizontal="right" vertical="center"/>
    </xf>
    <xf numFmtId="194" fontId="123" fillId="6" borderId="30" xfId="2" applyNumberFormat="1" applyFont="1" applyFill="1" applyBorder="1" applyAlignment="1">
      <alignment vertical="center"/>
    </xf>
    <xf numFmtId="194" fontId="123" fillId="6" borderId="0" xfId="2" applyNumberFormat="1" applyFont="1" applyFill="1" applyBorder="1" applyAlignment="1">
      <alignment vertical="center"/>
    </xf>
    <xf numFmtId="194" fontId="123" fillId="6" borderId="0" xfId="2" applyNumberFormat="1" applyFont="1" applyFill="1" applyBorder="1" applyAlignment="1">
      <alignment horizontal="right" vertical="center"/>
    </xf>
    <xf numFmtId="194" fontId="123" fillId="6" borderId="20" xfId="2" applyNumberFormat="1" applyFont="1" applyFill="1" applyBorder="1" applyAlignment="1">
      <alignment horizontal="right" vertical="center"/>
    </xf>
    <xf numFmtId="194" fontId="129" fillId="6" borderId="20" xfId="2" applyNumberFormat="1" applyFont="1" applyFill="1" applyBorder="1" applyAlignment="1">
      <alignment horizontal="right" vertical="center"/>
    </xf>
    <xf numFmtId="194" fontId="25" fillId="6" borderId="33" xfId="2" applyNumberFormat="1" applyFont="1" applyFill="1" applyBorder="1" applyAlignment="1">
      <alignment vertical="center"/>
    </xf>
    <xf numFmtId="194" fontId="25" fillId="6" borderId="1" xfId="2" applyNumberFormat="1" applyFont="1" applyFill="1" applyBorder="1" applyAlignment="1">
      <alignment vertical="center"/>
    </xf>
    <xf numFmtId="194" fontId="0" fillId="6" borderId="34" xfId="2" applyNumberFormat="1" applyFont="1" applyFill="1" applyBorder="1" applyAlignment="1">
      <alignment vertical="center"/>
    </xf>
    <xf numFmtId="194" fontId="128" fillId="0" borderId="0" xfId="2" applyNumberFormat="1" applyFont="1" applyAlignment="1">
      <alignment horizontal="right"/>
    </xf>
    <xf numFmtId="193" fontId="128" fillId="0" borderId="0" xfId="2" applyNumberFormat="1" applyFont="1" applyAlignment="1">
      <alignment horizontal="right"/>
    </xf>
    <xf numFmtId="0" fontId="149" fillId="0" borderId="0" xfId="0" applyFont="1"/>
    <xf numFmtId="191" fontId="0" fillId="6" borderId="53" xfId="2" applyFont="1" applyFill="1" applyBorder="1"/>
    <xf numFmtId="192" fontId="147" fillId="6" borderId="1" xfId="2" applyNumberFormat="1" applyFont="1" applyFill="1" applyBorder="1" applyAlignment="1">
      <alignment horizontal="right" vertical="center"/>
    </xf>
    <xf numFmtId="0" fontId="25" fillId="6" borderId="42" xfId="0" applyFont="1" applyFill="1" applyBorder="1"/>
    <xf numFmtId="0" fontId="25" fillId="6" borderId="49" xfId="0" applyFont="1" applyFill="1" applyBorder="1"/>
    <xf numFmtId="0" fontId="0" fillId="6" borderId="53" xfId="0" quotePrefix="1" applyFill="1" applyBorder="1" applyAlignment="1">
      <alignment horizontal="right" vertical="center"/>
    </xf>
    <xf numFmtId="0" fontId="0" fillId="6" borderId="53" xfId="0" applyFill="1" applyBorder="1" applyAlignment="1">
      <alignment horizontal="right" vertical="center"/>
    </xf>
    <xf numFmtId="0" fontId="13" fillId="6" borderId="53" xfId="0" applyNumberFormat="1" applyFont="1" applyFill="1" applyBorder="1" applyAlignment="1">
      <alignment horizontal="right" vertical="center"/>
    </xf>
    <xf numFmtId="200" fontId="0" fillId="6" borderId="53" xfId="1" applyFont="1" applyFill="1" applyBorder="1" applyAlignment="1">
      <alignment vertical="center"/>
    </xf>
    <xf numFmtId="11" fontId="47" fillId="0" borderId="0" xfId="0" applyNumberFormat="1" applyFont="1" applyFill="1" applyBorder="1"/>
    <xf numFmtId="11" fontId="0" fillId="6" borderId="20" xfId="2" applyNumberFormat="1" applyFont="1" applyFill="1" applyBorder="1" applyAlignment="1">
      <alignment horizontal="right" vertical="center"/>
    </xf>
    <xf numFmtId="0" fontId="0" fillId="0" borderId="48" xfId="0" applyFill="1" applyBorder="1"/>
    <xf numFmtId="0" fontId="0" fillId="0" borderId="42" xfId="0" applyFill="1" applyBorder="1"/>
    <xf numFmtId="0" fontId="0" fillId="0" borderId="49" xfId="0" applyFill="1" applyBorder="1"/>
    <xf numFmtId="0" fontId="0" fillId="6" borderId="42" xfId="0" quotePrefix="1" applyFill="1" applyBorder="1" applyAlignment="1">
      <alignment horizontal="right" vertical="center"/>
    </xf>
    <xf numFmtId="0" fontId="0" fillId="6" borderId="49" xfId="0" quotePrefix="1" applyFill="1" applyBorder="1" applyAlignment="1">
      <alignment horizontal="right" vertical="center"/>
    </xf>
    <xf numFmtId="192" fontId="0" fillId="6" borderId="42" xfId="2" applyNumberFormat="1" applyFont="1" applyFill="1" applyBorder="1" applyAlignment="1">
      <alignment vertical="center"/>
    </xf>
    <xf numFmtId="192" fontId="0" fillId="6" borderId="42" xfId="2" applyNumberFormat="1" applyFont="1" applyFill="1" applyBorder="1" applyAlignment="1">
      <alignment horizontal="right" vertical="center"/>
    </xf>
    <xf numFmtId="9" fontId="0" fillId="6" borderId="32" xfId="1" applyNumberFormat="1" applyFont="1" applyFill="1" applyBorder="1" applyAlignment="1">
      <alignment vertical="center"/>
    </xf>
    <xf numFmtId="0" fontId="150" fillId="0" borderId="0" xfId="0" applyFont="1" applyBorder="1"/>
    <xf numFmtId="0" fontId="150" fillId="0" borderId="0" xfId="0" applyFont="1" applyBorder="1" applyAlignment="1">
      <alignment vertical="center"/>
    </xf>
    <xf numFmtId="0" fontId="150" fillId="0" borderId="0" xfId="0" applyFont="1" applyBorder="1" applyAlignment="1">
      <alignment horizontal="left" vertical="center" wrapText="1"/>
    </xf>
    <xf numFmtId="191" fontId="0" fillId="0" borderId="0" xfId="2" applyFont="1" applyBorder="1"/>
    <xf numFmtId="0" fontId="4" fillId="6" borderId="75" xfId="0" applyFont="1" applyFill="1" applyBorder="1" applyAlignment="1">
      <alignment vertical="center"/>
    </xf>
    <xf numFmtId="0" fontId="13" fillId="6" borderId="75" xfId="0" applyFont="1" applyFill="1" applyBorder="1" applyAlignment="1">
      <alignment vertical="center"/>
    </xf>
    <xf numFmtId="190" fontId="4" fillId="6" borderId="76" xfId="1" applyNumberFormat="1" applyFont="1" applyFill="1" applyBorder="1" applyAlignment="1">
      <alignment horizontal="right" vertical="center"/>
    </xf>
    <xf numFmtId="190" fontId="4" fillId="6" borderId="75" xfId="0" applyNumberFormat="1" applyFont="1" applyFill="1" applyBorder="1" applyAlignment="1">
      <alignment horizontal="right" vertical="center"/>
    </xf>
    <xf numFmtId="0" fontId="0" fillId="6" borderId="1" xfId="0" applyNumberFormat="1" applyFill="1" applyBorder="1" applyAlignment="1">
      <alignment horizontal="right" vertical="center"/>
    </xf>
    <xf numFmtId="0" fontId="0" fillId="6" borderId="8" xfId="0" applyFill="1" applyBorder="1"/>
    <xf numFmtId="0" fontId="13" fillId="6" borderId="73" xfId="0" applyFont="1" applyFill="1" applyBorder="1" applyAlignment="1">
      <alignment horizontal="right" vertical="center"/>
    </xf>
    <xf numFmtId="0" fontId="13" fillId="6" borderId="28" xfId="0" applyFont="1" applyFill="1" applyBorder="1" applyAlignment="1">
      <alignment horizontal="right" vertical="center"/>
    </xf>
    <xf numFmtId="0" fontId="13" fillId="6" borderId="16" xfId="0" applyFont="1" applyFill="1" applyBorder="1" applyAlignment="1">
      <alignment horizontal="right" vertical="center"/>
    </xf>
    <xf numFmtId="0" fontId="0" fillId="6" borderId="77" xfId="0" applyFill="1" applyBorder="1"/>
    <xf numFmtId="0" fontId="12" fillId="6" borderId="78"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8" fillId="2" borderId="80" xfId="0" applyFont="1" applyFill="1" applyBorder="1" applyAlignment="1">
      <alignment horizontal="right" vertical="center"/>
    </xf>
    <xf numFmtId="0" fontId="8" fillId="2" borderId="80" xfId="0" applyFont="1" applyFill="1" applyBorder="1" applyAlignment="1">
      <alignment vertical="center"/>
    </xf>
    <xf numFmtId="0" fontId="0" fillId="2" borderId="80" xfId="0" applyFill="1" applyBorder="1"/>
    <xf numFmtId="200" fontId="8" fillId="2" borderId="80" xfId="1" applyFont="1" applyFill="1" applyBorder="1" applyAlignment="1">
      <alignment vertical="center"/>
    </xf>
    <xf numFmtId="0" fontId="8" fillId="2" borderId="81" xfId="0" applyFont="1" applyFill="1" applyBorder="1" applyAlignment="1">
      <alignment horizontal="right" vertical="center"/>
    </xf>
    <xf numFmtId="0" fontId="8" fillId="2" borderId="81" xfId="0" applyFont="1" applyFill="1" applyBorder="1" applyAlignment="1">
      <alignment vertical="center"/>
    </xf>
    <xf numFmtId="0" fontId="0" fillId="2" borderId="81" xfId="0" applyFill="1" applyBorder="1"/>
    <xf numFmtId="200" fontId="8" fillId="2" borderId="81" xfId="1" applyFont="1" applyFill="1" applyBorder="1" applyAlignment="1">
      <alignment vertical="center"/>
    </xf>
    <xf numFmtId="0" fontId="8" fillId="2" borderId="79" xfId="0" applyFont="1" applyFill="1" applyBorder="1" applyAlignment="1">
      <alignment horizontal="right" vertical="center"/>
    </xf>
    <xf numFmtId="0" fontId="8" fillId="2" borderId="79" xfId="0" applyFont="1" applyFill="1" applyBorder="1" applyAlignment="1">
      <alignment vertical="center"/>
    </xf>
    <xf numFmtId="0" fontId="0" fillId="2" borderId="79" xfId="0" applyFill="1" applyBorder="1" applyAlignment="1">
      <alignment vertical="center"/>
    </xf>
    <xf numFmtId="192" fontId="8" fillId="2" borderId="79" xfId="2" applyNumberFormat="1" applyFont="1" applyFill="1" applyBorder="1" applyAlignment="1">
      <alignment vertical="center"/>
    </xf>
    <xf numFmtId="200" fontId="8" fillId="2" borderId="79" xfId="1" applyFont="1" applyFill="1" applyBorder="1" applyAlignment="1">
      <alignment vertical="center"/>
    </xf>
    <xf numFmtId="0" fontId="0" fillId="2" borderId="80" xfId="0" applyFill="1" applyBorder="1" applyAlignment="1">
      <alignment vertical="center"/>
    </xf>
    <xf numFmtId="0" fontId="0" fillId="2" borderId="81" xfId="0" applyFill="1" applyBorder="1" applyAlignment="1">
      <alignment vertical="center"/>
    </xf>
    <xf numFmtId="0" fontId="0" fillId="2" borderId="82" xfId="0" applyFill="1" applyBorder="1" applyAlignment="1">
      <alignment vertical="center"/>
    </xf>
    <xf numFmtId="192" fontId="8" fillId="2" borderId="80" xfId="2" applyNumberFormat="1" applyFont="1" applyFill="1" applyBorder="1" applyAlignment="1">
      <alignment vertical="center"/>
    </xf>
    <xf numFmtId="192" fontId="8" fillId="2" borderId="0" xfId="2" applyNumberFormat="1" applyFont="1" applyFill="1" applyBorder="1" applyAlignment="1">
      <alignment vertical="center"/>
    </xf>
    <xf numFmtId="192" fontId="8" fillId="2" borderId="81" xfId="2" applyNumberFormat="1" applyFont="1" applyFill="1" applyBorder="1" applyAlignment="1">
      <alignment vertical="center"/>
    </xf>
    <xf numFmtId="0" fontId="0" fillId="2" borderId="79" xfId="0" applyFill="1" applyBorder="1"/>
    <xf numFmtId="0" fontId="151" fillId="0" borderId="0" xfId="0" applyFont="1"/>
    <xf numFmtId="200" fontId="65" fillId="0" borderId="0" xfId="1" applyFont="1"/>
    <xf numFmtId="193" fontId="21" fillId="0" borderId="0" xfId="0" applyNumberFormat="1" applyFont="1"/>
    <xf numFmtId="0" fontId="98" fillId="0" borderId="8" xfId="0" applyFont="1" applyBorder="1" applyAlignment="1">
      <alignment horizontal="right" vertical="center"/>
    </xf>
    <xf numFmtId="200" fontId="129" fillId="6" borderId="24" xfId="1" applyFont="1" applyFill="1" applyBorder="1" applyAlignment="1">
      <alignment vertical="center"/>
    </xf>
    <xf numFmtId="0" fontId="0" fillId="6" borderId="8" xfId="0" applyNumberFormat="1" applyFill="1" applyBorder="1" applyAlignment="1">
      <alignment vertical="center"/>
    </xf>
    <xf numFmtId="0" fontId="0" fillId="6" borderId="8" xfId="0" applyFill="1" applyBorder="1" applyAlignment="1">
      <alignment vertical="center"/>
    </xf>
    <xf numFmtId="200" fontId="0" fillId="6" borderId="8" xfId="0" applyNumberFormat="1" applyFill="1" applyBorder="1" applyAlignment="1">
      <alignment vertical="center"/>
    </xf>
    <xf numFmtId="9" fontId="0" fillId="6" borderId="8" xfId="1" applyNumberFormat="1" applyFont="1" applyFill="1" applyBorder="1" applyAlignment="1">
      <alignment vertical="center"/>
    </xf>
    <xf numFmtId="0" fontId="0" fillId="2" borderId="45" xfId="0" applyFont="1" applyFill="1" applyBorder="1" applyAlignment="1">
      <alignment vertical="center"/>
    </xf>
    <xf numFmtId="0" fontId="0" fillId="2" borderId="0" xfId="0" applyFont="1" applyFill="1" applyBorder="1" applyAlignment="1">
      <alignment horizontal="right" vertical="center"/>
    </xf>
    <xf numFmtId="0" fontId="0" fillId="2" borderId="0" xfId="0" applyFont="1" applyFill="1" applyBorder="1" applyAlignment="1">
      <alignment vertical="center"/>
    </xf>
    <xf numFmtId="0" fontId="13" fillId="18" borderId="70" xfId="0" applyFont="1" applyFill="1" applyBorder="1" applyAlignment="1">
      <alignment vertical="center"/>
    </xf>
    <xf numFmtId="0" fontId="0" fillId="0" borderId="70" xfId="0" applyFont="1" applyBorder="1"/>
    <xf numFmtId="0" fontId="0" fillId="2" borderId="70" xfId="0" applyFont="1" applyFill="1" applyBorder="1"/>
    <xf numFmtId="0" fontId="0" fillId="2" borderId="70" xfId="0" applyFont="1" applyFill="1" applyBorder="1" applyAlignment="1">
      <alignment vertical="center"/>
    </xf>
    <xf numFmtId="0" fontId="0" fillId="2" borderId="42" xfId="0" applyFont="1" applyFill="1" applyBorder="1" applyAlignment="1">
      <alignment vertical="center"/>
    </xf>
    <xf numFmtId="0" fontId="13" fillId="18" borderId="83" xfId="0" applyFont="1" applyFill="1" applyBorder="1" applyAlignment="1">
      <alignment vertical="center"/>
    </xf>
    <xf numFmtId="0" fontId="13" fillId="18" borderId="83" xfId="0" applyFont="1" applyFill="1" applyBorder="1" applyAlignment="1">
      <alignment horizontal="center" vertical="center"/>
    </xf>
    <xf numFmtId="0" fontId="0" fillId="0" borderId="0" xfId="0" applyFont="1" applyBorder="1" applyAlignment="1">
      <alignment vertical="center"/>
    </xf>
    <xf numFmtId="0" fontId="13" fillId="2" borderId="0" xfId="0" applyFont="1" applyFill="1" applyBorder="1" applyAlignment="1">
      <alignment vertical="center"/>
    </xf>
    <xf numFmtId="0" fontId="16" fillId="2" borderId="0" xfId="0" applyFont="1" applyFill="1" applyBorder="1" applyAlignment="1">
      <alignment vertical="center"/>
    </xf>
    <xf numFmtId="0" fontId="0" fillId="2" borderId="0" xfId="0" applyFont="1" applyFill="1" applyBorder="1"/>
    <xf numFmtId="0" fontId="21" fillId="0" borderId="0" xfId="0" applyFont="1" applyBorder="1" applyAlignment="1">
      <alignment vertical="center"/>
    </xf>
    <xf numFmtId="0" fontId="0" fillId="2" borderId="0" xfId="0" applyFont="1" applyFill="1" applyBorder="1" applyAlignment="1">
      <alignment horizontal="left" vertical="center"/>
    </xf>
    <xf numFmtId="0" fontId="0" fillId="2" borderId="0" xfId="0" applyFont="1" applyFill="1" applyBorder="1" applyAlignment="1"/>
    <xf numFmtId="0" fontId="0" fillId="0" borderId="84" xfId="0" applyBorder="1"/>
    <xf numFmtId="0" fontId="0" fillId="0" borderId="85" xfId="0" applyBorder="1"/>
    <xf numFmtId="0" fontId="0" fillId="0" borderId="86" xfId="0" applyBorder="1"/>
    <xf numFmtId="0" fontId="152" fillId="19" borderId="0" xfId="0" applyFont="1" applyFill="1" applyBorder="1" applyAlignment="1">
      <alignment vertical="center"/>
    </xf>
    <xf numFmtId="0" fontId="153" fillId="19" borderId="0" xfId="0" applyFont="1" applyFill="1" applyBorder="1" applyAlignment="1">
      <alignment vertical="center"/>
    </xf>
    <xf numFmtId="0" fontId="152" fillId="19" borderId="0" xfId="0" applyFont="1" applyFill="1" applyBorder="1" applyAlignment="1">
      <alignment horizontal="centerContinuous" vertical="center"/>
    </xf>
    <xf numFmtId="0" fontId="153" fillId="19" borderId="0" xfId="0" applyFont="1" applyFill="1" applyBorder="1" applyAlignment="1">
      <alignment horizontal="centerContinuous" vertical="center"/>
    </xf>
    <xf numFmtId="0" fontId="0" fillId="0" borderId="87" xfId="0" applyBorder="1"/>
    <xf numFmtId="0" fontId="0" fillId="0" borderId="88" xfId="0" applyBorder="1"/>
    <xf numFmtId="0" fontId="0" fillId="0" borderId="89" xfId="0" applyBorder="1"/>
    <xf numFmtId="0" fontId="4" fillId="18" borderId="70" xfId="0" applyFont="1" applyFill="1" applyBorder="1" applyAlignment="1">
      <alignment horizontal="center" vertical="center"/>
    </xf>
    <xf numFmtId="0" fontId="154" fillId="19" borderId="0" xfId="0" applyFont="1" applyFill="1" applyBorder="1" applyAlignment="1">
      <alignment vertical="center"/>
    </xf>
    <xf numFmtId="0" fontId="155" fillId="19" borderId="0" xfId="0" applyFont="1" applyFill="1" applyBorder="1" applyAlignment="1">
      <alignment vertical="center"/>
    </xf>
    <xf numFmtId="0" fontId="154" fillId="19" borderId="0" xfId="0" applyFont="1" applyFill="1" applyBorder="1" applyAlignment="1">
      <alignment horizontal="centerContinuous" vertical="center"/>
    </xf>
    <xf numFmtId="0" fontId="156" fillId="0" borderId="0" xfId="0" applyFont="1" applyBorder="1"/>
    <xf numFmtId="0" fontId="155" fillId="19" borderId="0" xfId="0" applyFont="1" applyFill="1" applyBorder="1" applyAlignment="1">
      <alignment horizontal="centerContinuous" vertical="center"/>
    </xf>
    <xf numFmtId="0" fontId="16" fillId="2" borderId="45" xfId="0" applyFont="1" applyFill="1" applyBorder="1" applyAlignment="1">
      <alignment vertical="center"/>
    </xf>
    <xf numFmtId="0" fontId="126" fillId="2" borderId="0" xfId="0" applyFont="1" applyFill="1" applyBorder="1" applyAlignment="1">
      <alignment vertical="center" wrapText="1"/>
    </xf>
    <xf numFmtId="192" fontId="141" fillId="2" borderId="0" xfId="2" applyNumberFormat="1" applyFont="1" applyFill="1" applyAlignment="1">
      <alignment vertical="center"/>
    </xf>
    <xf numFmtId="192" fontId="140" fillId="2" borderId="15" xfId="0" applyNumberFormat="1" applyFont="1" applyFill="1" applyBorder="1" applyAlignment="1">
      <alignment vertical="center"/>
    </xf>
    <xf numFmtId="0" fontId="157" fillId="2" borderId="56" xfId="0" applyFont="1" applyFill="1" applyBorder="1" applyAlignment="1">
      <alignment vertical="center"/>
    </xf>
    <xf numFmtId="200" fontId="121" fillId="2" borderId="0" xfId="1" applyFont="1" applyFill="1" applyAlignment="1">
      <alignment vertical="center"/>
    </xf>
    <xf numFmtId="200" fontId="157" fillId="2" borderId="15" xfId="1" applyNumberFormat="1" applyFont="1" applyFill="1" applyBorder="1" applyAlignment="1">
      <alignment vertical="center"/>
    </xf>
    <xf numFmtId="0" fontId="97" fillId="2" borderId="1" xfId="0" applyFont="1" applyFill="1" applyBorder="1" applyAlignment="1">
      <alignment vertical="center"/>
    </xf>
    <xf numFmtId="200" fontId="141" fillId="2" borderId="1" xfId="1" applyFont="1" applyFill="1" applyBorder="1" applyAlignment="1">
      <alignment vertical="center"/>
    </xf>
    <xf numFmtId="0" fontId="0" fillId="0" borderId="0" xfId="0" applyAlignment="1">
      <alignment horizontal="centerContinuous" vertical="center"/>
    </xf>
    <xf numFmtId="0" fontId="110" fillId="0" borderId="0" xfId="0" applyFont="1" applyAlignment="1">
      <alignment horizontal="centerContinuous" vertical="center"/>
    </xf>
    <xf numFmtId="0" fontId="0" fillId="0" borderId="90" xfId="0" applyBorder="1"/>
    <xf numFmtId="0" fontId="158" fillId="0" borderId="0" xfId="0" applyFont="1"/>
    <xf numFmtId="0" fontId="0" fillId="0" borderId="38" xfId="0" applyBorder="1" applyAlignment="1">
      <alignment vertical="center"/>
    </xf>
    <xf numFmtId="0" fontId="159" fillId="2" borderId="38" xfId="0" applyFont="1" applyFill="1" applyBorder="1" applyAlignment="1">
      <alignment horizontal="left" vertical="center" indent="1"/>
    </xf>
    <xf numFmtId="0" fontId="159" fillId="0" borderId="38" xfId="0" applyFont="1" applyBorder="1" applyAlignment="1">
      <alignment horizontal="left" vertical="center" indent="1"/>
    </xf>
    <xf numFmtId="0" fontId="159" fillId="23" borderId="38" xfId="0" applyFont="1" applyFill="1" applyBorder="1" applyAlignment="1">
      <alignment horizontal="left" vertical="center" indent="1"/>
    </xf>
    <xf numFmtId="0" fontId="159" fillId="7" borderId="38" xfId="0" applyFont="1" applyFill="1" applyBorder="1" applyAlignment="1">
      <alignment horizontal="left" vertical="center" indent="1"/>
    </xf>
    <xf numFmtId="0" fontId="159" fillId="9" borderId="38" xfId="0" applyFont="1" applyFill="1" applyBorder="1" applyAlignment="1">
      <alignment horizontal="left" vertical="center" indent="1"/>
    </xf>
    <xf numFmtId="0" fontId="159" fillId="11" borderId="38" xfId="0" applyFont="1" applyFill="1" applyBorder="1" applyAlignment="1">
      <alignment horizontal="left" vertical="center" indent="1"/>
    </xf>
    <xf numFmtId="205" fontId="65" fillId="0" borderId="0" xfId="1" applyNumberFormat="1" applyFont="1"/>
    <xf numFmtId="9" fontId="0" fillId="6" borderId="31" xfId="1" applyNumberFormat="1" applyFont="1" applyFill="1" applyBorder="1" applyAlignment="1">
      <alignment vertical="center"/>
    </xf>
    <xf numFmtId="200" fontId="0" fillId="6" borderId="30" xfId="1" applyFont="1" applyFill="1" applyBorder="1" applyAlignment="1">
      <alignment vertical="center"/>
    </xf>
    <xf numFmtId="200" fontId="0" fillId="6" borderId="32" xfId="1" applyFont="1" applyFill="1" applyBorder="1" applyAlignment="1">
      <alignment vertical="center"/>
    </xf>
    <xf numFmtId="0" fontId="11" fillId="2" borderId="0" xfId="0" applyFont="1" applyFill="1" applyAlignment="1"/>
    <xf numFmtId="0" fontId="11" fillId="2" borderId="0" xfId="0" applyFont="1" applyFill="1" applyAlignment="1">
      <alignment vertical="center"/>
    </xf>
    <xf numFmtId="0" fontId="102" fillId="12" borderId="0" xfId="0" applyFont="1" applyFill="1" applyAlignment="1">
      <alignment vertical="center"/>
    </xf>
    <xf numFmtId="0" fontId="138" fillId="12" borderId="0" xfId="0" applyFont="1" applyFill="1" applyAlignment="1">
      <alignment vertical="center"/>
    </xf>
    <xf numFmtId="0" fontId="16" fillId="11" borderId="35" xfId="0" applyFont="1" applyFill="1" applyBorder="1" applyAlignment="1">
      <alignment horizontal="center" vertical="center"/>
    </xf>
    <xf numFmtId="0" fontId="0" fillId="8" borderId="35" xfId="0" applyFill="1" applyBorder="1" applyAlignment="1">
      <alignment horizontal="center" vertical="center"/>
    </xf>
    <xf numFmtId="0" fontId="0" fillId="8" borderId="35" xfId="0" applyFont="1" applyFill="1" applyBorder="1" applyAlignment="1">
      <alignment horizontal="center" vertical="center"/>
    </xf>
    <xf numFmtId="0" fontId="160" fillId="24" borderId="38" xfId="0" applyFont="1" applyFill="1" applyBorder="1" applyAlignment="1">
      <alignment horizontal="left" vertical="center" indent="1"/>
    </xf>
    <xf numFmtId="0" fontId="160" fillId="25" borderId="38" xfId="0" applyFont="1" applyFill="1" applyBorder="1" applyAlignment="1">
      <alignment horizontal="left" vertical="center" indent="1"/>
    </xf>
    <xf numFmtId="0" fontId="161" fillId="0" borderId="0" xfId="0" applyFont="1" applyBorder="1"/>
    <xf numFmtId="0" fontId="159" fillId="0" borderId="43" xfId="0" applyFont="1" applyBorder="1" applyAlignment="1">
      <alignment horizontal="left" vertical="center" indent="1"/>
    </xf>
    <xf numFmtId="0" fontId="0" fillId="0" borderId="0" xfId="0" applyFont="1" applyAlignment="1">
      <alignment horizontal="center" vertical="top"/>
    </xf>
    <xf numFmtId="0" fontId="0" fillId="0" borderId="0" xfId="0" applyFont="1" applyAlignment="1">
      <alignment vertical="top"/>
    </xf>
    <xf numFmtId="0" fontId="0" fillId="0" borderId="90" xfId="0" applyFont="1" applyBorder="1" applyAlignment="1">
      <alignment horizontal="center" vertical="top"/>
    </xf>
    <xf numFmtId="0" fontId="0" fillId="0" borderId="90" xfId="0" applyFont="1" applyBorder="1" applyAlignment="1">
      <alignment horizontal="left" vertical="top"/>
    </xf>
    <xf numFmtId="0" fontId="0" fillId="0" borderId="90" xfId="0" applyFont="1" applyBorder="1" applyAlignment="1">
      <alignment vertical="top"/>
    </xf>
    <xf numFmtId="0" fontId="11" fillId="0" borderId="0" xfId="0" applyFont="1" applyFill="1" applyAlignment="1">
      <alignment horizontal="left" vertical="top" wrapText="1"/>
    </xf>
    <xf numFmtId="0" fontId="15" fillId="0" borderId="0" xfId="0" applyFont="1" applyFill="1" applyBorder="1" applyAlignment="1">
      <alignment horizontal="left" vertical="top" wrapText="1"/>
    </xf>
    <xf numFmtId="0" fontId="0" fillId="0" borderId="38" xfId="0" applyFill="1" applyBorder="1" applyAlignment="1">
      <alignment horizontal="left" vertical="center"/>
    </xf>
    <xf numFmtId="0" fontId="25" fillId="0" borderId="38" xfId="0" applyFont="1" applyFill="1" applyBorder="1" applyAlignment="1">
      <alignment horizontal="left" vertical="center"/>
    </xf>
    <xf numFmtId="0" fontId="0" fillId="0" borderId="43" xfId="0" applyFill="1" applyBorder="1" applyAlignment="1">
      <alignment horizontal="left" vertical="center"/>
    </xf>
    <xf numFmtId="0" fontId="0" fillId="27" borderId="52" xfId="0" applyFill="1" applyBorder="1"/>
    <xf numFmtId="0" fontId="0" fillId="27" borderId="0" xfId="0" applyFill="1" applyBorder="1"/>
    <xf numFmtId="0" fontId="0" fillId="27" borderId="53" xfId="0" applyFill="1" applyBorder="1"/>
    <xf numFmtId="0" fontId="16" fillId="27" borderId="0" xfId="0" applyFont="1" applyFill="1" applyBorder="1"/>
    <xf numFmtId="0" fontId="0" fillId="27" borderId="0" xfId="0" applyFill="1" applyBorder="1" applyAlignment="1">
      <alignment horizontal="right"/>
    </xf>
    <xf numFmtId="0" fontId="8" fillId="27" borderId="52" xfId="0" applyFont="1" applyFill="1" applyBorder="1"/>
    <xf numFmtId="0" fontId="4" fillId="27" borderId="0" xfId="0" applyFont="1" applyFill="1" applyBorder="1" applyAlignment="1">
      <alignment vertical="center"/>
    </xf>
    <xf numFmtId="0" fontId="90" fillId="27" borderId="0" xfId="0" applyFont="1" applyFill="1" applyBorder="1" applyAlignment="1">
      <alignment vertical="center"/>
    </xf>
    <xf numFmtId="0" fontId="0" fillId="27" borderId="0" xfId="0" applyFill="1" applyBorder="1" applyAlignment="1">
      <alignment vertical="center"/>
    </xf>
    <xf numFmtId="200" fontId="0" fillId="27" borderId="0" xfId="1" applyFont="1" applyFill="1" applyBorder="1" applyAlignment="1">
      <alignment vertical="center"/>
    </xf>
    <xf numFmtId="191" fontId="0" fillId="27" borderId="0" xfId="2" applyFont="1" applyFill="1" applyBorder="1" applyAlignment="1">
      <alignment vertical="center"/>
    </xf>
    <xf numFmtId="191" fontId="0" fillId="27" borderId="0" xfId="0" applyNumberFormat="1" applyFont="1" applyFill="1" applyBorder="1" applyAlignment="1">
      <alignment vertical="center"/>
    </xf>
    <xf numFmtId="0" fontId="8" fillId="27" borderId="50" xfId="0" applyFont="1" applyFill="1" applyBorder="1"/>
    <xf numFmtId="0" fontId="65" fillId="27" borderId="36" xfId="4" applyNumberFormat="1" applyFill="1" applyBorder="1" applyAlignment="1">
      <alignment horizontal="right" vertical="center"/>
    </xf>
    <xf numFmtId="0" fontId="65" fillId="27" borderId="36" xfId="4" applyNumberFormat="1" applyFill="1" applyBorder="1" applyAlignment="1">
      <alignment vertical="center"/>
    </xf>
    <xf numFmtId="0" fontId="0" fillId="27" borderId="51" xfId="0" applyFill="1" applyBorder="1"/>
    <xf numFmtId="0" fontId="9" fillId="26" borderId="46" xfId="0" applyFont="1" applyFill="1" applyBorder="1" applyAlignment="1">
      <alignment horizontal="left" vertical="center" indent="1"/>
    </xf>
    <xf numFmtId="0" fontId="0" fillId="26" borderId="45" xfId="0" applyFill="1" applyBorder="1"/>
    <xf numFmtId="0" fontId="0" fillId="26" borderId="47" xfId="0" applyFill="1" applyBorder="1"/>
    <xf numFmtId="0" fontId="0" fillId="0" borderId="0" xfId="0" applyAlignment="1">
      <alignment vertical="top" wrapText="1"/>
    </xf>
    <xf numFmtId="0" fontId="16" fillId="0" borderId="0" xfId="0" applyFont="1" applyAlignment="1">
      <alignment vertical="top"/>
    </xf>
    <xf numFmtId="0" fontId="16" fillId="0" borderId="90" xfId="0" applyFont="1" applyBorder="1"/>
    <xf numFmtId="0" fontId="0" fillId="0" borderId="0" xfId="0" applyNumberFormat="1" applyAlignment="1">
      <alignment vertical="top" wrapText="1"/>
    </xf>
    <xf numFmtId="0" fontId="162" fillId="28" borderId="46" xfId="0" applyFont="1" applyFill="1" applyBorder="1" applyAlignment="1">
      <alignment horizontal="left" vertical="center" indent="1"/>
    </xf>
    <xf numFmtId="0" fontId="21" fillId="28" borderId="45" xfId="0" applyFont="1" applyFill="1" applyBorder="1"/>
    <xf numFmtId="191" fontId="21" fillId="28" borderId="45" xfId="2" applyFont="1" applyFill="1" applyBorder="1"/>
    <xf numFmtId="191" fontId="21" fillId="28" borderId="47" xfId="2" applyFont="1" applyFill="1" applyBorder="1"/>
    <xf numFmtId="0" fontId="21" fillId="23" borderId="0" xfId="0" applyFont="1" applyFill="1" applyBorder="1"/>
    <xf numFmtId="0" fontId="21" fillId="23" borderId="42" xfId="0" applyFont="1" applyFill="1" applyBorder="1"/>
    <xf numFmtId="191" fontId="21" fillId="23" borderId="42" xfId="2" applyFont="1" applyFill="1" applyBorder="1"/>
    <xf numFmtId="0" fontId="21" fillId="23" borderId="52" xfId="0" applyFont="1" applyFill="1" applyBorder="1"/>
    <xf numFmtId="0" fontId="21" fillId="23" borderId="53" xfId="0" applyFont="1" applyFill="1" applyBorder="1"/>
    <xf numFmtId="0" fontId="162" fillId="23" borderId="48" xfId="0" applyFont="1" applyFill="1" applyBorder="1" applyAlignment="1">
      <alignment horizontal="left" vertical="center" indent="1"/>
    </xf>
    <xf numFmtId="191" fontId="21" fillId="23" borderId="49" xfId="2" applyFont="1" applyFill="1" applyBorder="1"/>
    <xf numFmtId="192" fontId="21" fillId="23" borderId="0" xfId="2" applyNumberFormat="1" applyFont="1" applyFill="1" applyBorder="1"/>
    <xf numFmtId="0" fontId="98" fillId="23" borderId="0" xfId="0" applyFont="1" applyFill="1" applyBorder="1"/>
    <xf numFmtId="192" fontId="98" fillId="23" borderId="0" xfId="2" applyNumberFormat="1" applyFont="1" applyFill="1" applyBorder="1"/>
    <xf numFmtId="191" fontId="21" fillId="23" borderId="0" xfId="0" applyNumberFormat="1" applyFont="1" applyFill="1" applyBorder="1"/>
    <xf numFmtId="0" fontId="0" fillId="23" borderId="52" xfId="0" applyFill="1" applyBorder="1"/>
    <xf numFmtId="0" fontId="0" fillId="23" borderId="0" xfId="0" applyFill="1" applyBorder="1"/>
    <xf numFmtId="191" fontId="0" fillId="23" borderId="0" xfId="0" applyNumberFormat="1" applyFill="1" applyBorder="1"/>
    <xf numFmtId="0" fontId="0" fillId="23" borderId="53" xfId="0" applyFill="1" applyBorder="1"/>
    <xf numFmtId="0" fontId="0" fillId="23" borderId="50" xfId="0" applyFill="1" applyBorder="1"/>
    <xf numFmtId="0" fontId="0" fillId="23" borderId="36" xfId="0" applyFill="1" applyBorder="1"/>
    <xf numFmtId="191" fontId="0" fillId="23" borderId="36" xfId="0" applyNumberFormat="1" applyFill="1" applyBorder="1"/>
    <xf numFmtId="0" fontId="0" fillId="23" borderId="51" xfId="0" applyFill="1" applyBorder="1"/>
    <xf numFmtId="194" fontId="0" fillId="6" borderId="0" xfId="2" applyNumberFormat="1" applyFont="1" applyFill="1" applyAlignment="1">
      <alignment horizontal="left"/>
    </xf>
    <xf numFmtId="0" fontId="0" fillId="2" borderId="36" xfId="0" applyFont="1" applyFill="1" applyBorder="1" applyAlignment="1">
      <alignment vertical="center"/>
    </xf>
    <xf numFmtId="0" fontId="164" fillId="2" borderId="45" xfId="0" applyFont="1" applyFill="1" applyBorder="1" applyAlignment="1">
      <alignment vertical="center"/>
    </xf>
    <xf numFmtId="0" fontId="164" fillId="2" borderId="42" xfId="0" applyFont="1" applyFill="1" applyBorder="1" applyAlignment="1">
      <alignment vertical="center"/>
    </xf>
    <xf numFmtId="0" fontId="84" fillId="18" borderId="83" xfId="0" applyFont="1" applyFill="1" applyBorder="1" applyAlignment="1">
      <alignment vertical="center"/>
    </xf>
    <xf numFmtId="0" fontId="164" fillId="2" borderId="46" xfId="0" applyFont="1" applyFill="1" applyBorder="1" applyAlignment="1">
      <alignment vertical="center"/>
    </xf>
    <xf numFmtId="0" fontId="165" fillId="20" borderId="46" xfId="0" applyFont="1" applyFill="1" applyBorder="1" applyAlignment="1">
      <alignment vertical="center"/>
    </xf>
    <xf numFmtId="0" fontId="165" fillId="20" borderId="45" xfId="0" applyFont="1" applyFill="1" applyBorder="1" applyAlignment="1">
      <alignment vertical="center"/>
    </xf>
    <xf numFmtId="0" fontId="164" fillId="2" borderId="36" xfId="0" applyFont="1" applyFill="1" applyBorder="1" applyAlignment="1">
      <alignment vertical="center"/>
    </xf>
    <xf numFmtId="0" fontId="21" fillId="20" borderId="45" xfId="0" applyFont="1" applyFill="1" applyBorder="1" applyAlignment="1">
      <alignment horizontal="right" vertical="center"/>
    </xf>
    <xf numFmtId="0" fontId="8" fillId="0" borderId="0" xfId="0" applyFont="1" applyAlignment="1">
      <alignment horizontal="centerContinuous"/>
    </xf>
    <xf numFmtId="0" fontId="13" fillId="0" borderId="90" xfId="0" applyFont="1" applyBorder="1"/>
    <xf numFmtId="0" fontId="0" fillId="0" borderId="0" xfId="0" applyFont="1" applyAlignment="1">
      <alignment horizontal="centerContinuous" vertical="center"/>
    </xf>
    <xf numFmtId="0" fontId="0" fillId="0" borderId="90" xfId="0" applyFont="1" applyBorder="1"/>
    <xf numFmtId="0" fontId="101" fillId="0" borderId="0" xfId="0" applyFont="1" applyAlignment="1">
      <alignment horizontal="centerContinuous" vertical="center"/>
    </xf>
    <xf numFmtId="0" fontId="166" fillId="0" borderId="0" xfId="0" applyFont="1" applyAlignment="1">
      <alignment horizontal="centerContinuous" vertical="center"/>
    </xf>
    <xf numFmtId="0" fontId="163" fillId="6" borderId="0" xfId="0" applyFont="1" applyFill="1" applyBorder="1" applyAlignment="1">
      <alignment horizontal="centerContinuous" vertical="center"/>
    </xf>
    <xf numFmtId="0" fontId="167" fillId="6" borderId="94" xfId="0" applyFont="1" applyFill="1" applyBorder="1"/>
    <xf numFmtId="0" fontId="163" fillId="6" borderId="95" xfId="0" applyFont="1" applyFill="1" applyBorder="1"/>
    <xf numFmtId="0" fontId="163" fillId="6" borderId="96" xfId="0" applyFont="1" applyFill="1" applyBorder="1"/>
    <xf numFmtId="0" fontId="121" fillId="6" borderId="97" xfId="0" applyFont="1" applyFill="1" applyBorder="1" applyAlignment="1">
      <alignment horizontal="centerContinuous" vertical="center"/>
    </xf>
    <xf numFmtId="0" fontId="163" fillId="6" borderId="98" xfId="0" applyFont="1" applyFill="1" applyBorder="1" applyAlignment="1">
      <alignment horizontal="centerContinuous" vertical="center"/>
    </xf>
    <xf numFmtId="0" fontId="167" fillId="6" borderId="99" xfId="0" applyFont="1" applyFill="1" applyBorder="1"/>
    <xf numFmtId="0" fontId="163" fillId="6" borderId="100" xfId="0" applyFont="1" applyFill="1" applyBorder="1"/>
    <xf numFmtId="0" fontId="163" fillId="6" borderId="101" xfId="0" applyFont="1" applyFill="1" applyBorder="1"/>
    <xf numFmtId="0" fontId="126" fillId="0" borderId="0" xfId="0" applyFont="1"/>
    <xf numFmtId="0" fontId="126" fillId="0" borderId="0" xfId="0" applyFont="1" applyAlignment="1">
      <alignment horizontal="center"/>
    </xf>
    <xf numFmtId="0" fontId="8" fillId="0" borderId="0" xfId="0" applyFont="1" applyAlignment="1">
      <alignment horizontal="center"/>
    </xf>
    <xf numFmtId="0" fontId="107" fillId="2" borderId="45" xfId="0" applyFont="1" applyFill="1" applyBorder="1" applyAlignment="1" applyProtection="1">
      <alignment horizontal="center" vertical="center"/>
      <protection locked="0"/>
    </xf>
    <xf numFmtId="0" fontId="107" fillId="0" borderId="0" xfId="0" applyFont="1" applyAlignment="1" applyProtection="1">
      <alignment horizontal="center" vertical="center"/>
      <protection locked="0"/>
    </xf>
    <xf numFmtId="0" fontId="107" fillId="20" borderId="45" xfId="0" applyFont="1" applyFill="1" applyBorder="1" applyAlignment="1" applyProtection="1">
      <alignment horizontal="center" vertical="center"/>
      <protection locked="0"/>
    </xf>
    <xf numFmtId="0" fontId="108" fillId="0" borderId="0" xfId="0" applyFont="1"/>
    <xf numFmtId="0" fontId="168" fillId="0" borderId="0" xfId="0" applyFont="1"/>
    <xf numFmtId="0" fontId="170" fillId="0" borderId="0" xfId="0" applyFont="1" applyAlignment="1">
      <alignment vertical="center"/>
    </xf>
    <xf numFmtId="0" fontId="171" fillId="0" borderId="0" xfId="0" applyFont="1" applyAlignment="1">
      <alignment vertical="center"/>
    </xf>
    <xf numFmtId="0" fontId="15" fillId="0" borderId="0" xfId="0" applyFont="1" applyFill="1" applyBorder="1" applyAlignment="1">
      <alignment horizontal="left" vertical="top" wrapText="1"/>
    </xf>
    <xf numFmtId="0" fontId="0" fillId="2" borderId="0" xfId="0" applyFill="1" applyBorder="1" applyAlignment="1">
      <alignment horizontal="center" vertical="top" wrapText="1"/>
    </xf>
    <xf numFmtId="0" fontId="159" fillId="6" borderId="84" xfId="0" applyFont="1" applyFill="1" applyBorder="1" applyAlignment="1">
      <alignment horizontal="center" vertical="center" wrapText="1"/>
    </xf>
    <xf numFmtId="0" fontId="159" fillId="6" borderId="85" xfId="0" applyFont="1" applyFill="1" applyBorder="1" applyAlignment="1">
      <alignment horizontal="center" vertical="center" wrapText="1"/>
    </xf>
    <xf numFmtId="0" fontId="159" fillId="6" borderId="86" xfId="0" applyFont="1" applyFill="1" applyBorder="1" applyAlignment="1">
      <alignment horizontal="center" vertical="center" wrapText="1"/>
    </xf>
    <xf numFmtId="0" fontId="159" fillId="6" borderId="87" xfId="0" applyFont="1" applyFill="1" applyBorder="1" applyAlignment="1">
      <alignment horizontal="center" vertical="center" wrapText="1"/>
    </xf>
    <xf numFmtId="0" fontId="159" fillId="6" borderId="88" xfId="0" applyFont="1" applyFill="1" applyBorder="1" applyAlignment="1">
      <alignment horizontal="center" vertical="center" wrapText="1"/>
    </xf>
    <xf numFmtId="0" fontId="159" fillId="6" borderId="89" xfId="0" applyFont="1" applyFill="1" applyBorder="1" applyAlignment="1">
      <alignment horizontal="center" vertical="center" wrapText="1"/>
    </xf>
    <xf numFmtId="0" fontId="159" fillId="6" borderId="92" xfId="0" applyFont="1" applyFill="1" applyBorder="1" applyAlignment="1">
      <alignment horizontal="center" vertical="center" wrapText="1"/>
    </xf>
    <xf numFmtId="0" fontId="159" fillId="6" borderId="93" xfId="0" applyFont="1" applyFill="1" applyBorder="1" applyAlignment="1">
      <alignment horizontal="center" vertical="center" wrapText="1"/>
    </xf>
    <xf numFmtId="0" fontId="159" fillId="6" borderId="91" xfId="0" applyFont="1" applyFill="1" applyBorder="1" applyAlignment="1">
      <alignment horizontal="center" vertical="center" wrapText="1"/>
    </xf>
    <xf numFmtId="0" fontId="0" fillId="2" borderId="0" xfId="0" applyFont="1" applyFill="1" applyBorder="1" applyAlignment="1">
      <alignment horizontal="center" vertical="top" wrapText="1"/>
    </xf>
    <xf numFmtId="0" fontId="9" fillId="0" borderId="0" xfId="0" applyFont="1" applyBorder="1" applyAlignment="1">
      <alignment horizontal="center" vertical="center" wrapText="1"/>
    </xf>
    <xf numFmtId="0" fontId="9" fillId="0" borderId="12" xfId="0" applyFont="1" applyBorder="1" applyAlignment="1">
      <alignment horizontal="center" vertical="center"/>
    </xf>
    <xf numFmtId="0" fontId="9" fillId="0" borderId="0" xfId="0" applyFont="1" applyFill="1" applyBorder="1" applyAlignment="1">
      <alignment horizontal="center" vertical="center" wrapText="1"/>
    </xf>
    <xf numFmtId="0" fontId="9" fillId="0" borderId="12" xfId="0" applyFont="1" applyFill="1" applyBorder="1" applyAlignment="1">
      <alignment horizontal="center" vertical="center"/>
    </xf>
    <xf numFmtId="0" fontId="35" fillId="4" borderId="0" xfId="0" applyFont="1" applyFill="1" applyBorder="1" applyAlignment="1">
      <alignment horizontal="right"/>
    </xf>
    <xf numFmtId="0" fontId="37" fillId="4" borderId="4" xfId="0" applyFont="1" applyFill="1" applyBorder="1" applyAlignment="1">
      <alignment horizontal="center"/>
    </xf>
    <xf numFmtId="0" fontId="37" fillId="4" borderId="0" xfId="0" applyFont="1" applyFill="1" applyBorder="1" applyAlignment="1">
      <alignment horizontal="right"/>
    </xf>
    <xf numFmtId="0" fontId="35" fillId="4" borderId="0" xfId="0" applyFont="1" applyFill="1" applyBorder="1" applyAlignment="1">
      <alignment horizontal="center" vertical="center"/>
    </xf>
    <xf numFmtId="0" fontId="33" fillId="4" borderId="1" xfId="0" applyFont="1" applyFill="1" applyBorder="1" applyAlignment="1">
      <alignment horizontal="center"/>
    </xf>
    <xf numFmtId="0" fontId="33" fillId="4" borderId="7" xfId="0" applyFont="1" applyFill="1" applyBorder="1" applyAlignment="1">
      <alignment horizontal="center"/>
    </xf>
    <xf numFmtId="0" fontId="35" fillId="4" borderId="7" xfId="0" applyFont="1" applyFill="1" applyBorder="1" applyAlignment="1">
      <alignment horizontal="right"/>
    </xf>
    <xf numFmtId="0" fontId="28" fillId="4" borderId="0" xfId="0" applyFont="1" applyFill="1" applyAlignment="1">
      <alignment horizontal="center"/>
    </xf>
    <xf numFmtId="0" fontId="69" fillId="4" borderId="0" xfId="0" applyFont="1" applyFill="1" applyAlignment="1">
      <alignment horizontal="center"/>
    </xf>
  </cellXfs>
  <cellStyles count="7">
    <cellStyle name="Comma" xfId="2" builtinId="3" customBuiltin="1"/>
    <cellStyle name="Input" xfId="3" builtinId="20"/>
    <cellStyle name="Normal" xfId="0" builtinId="0" customBuiltin="1"/>
    <cellStyle name="Normal 2" xfId="6"/>
    <cellStyle name="ofwhich" xfId="4"/>
    <cellStyle name="Percent" xfId="1" builtinId="5" customBuiltin="1"/>
    <cellStyle name="Table_HeaderRow" xfId="5"/>
  </cellStyles>
  <dxfs count="1782">
    <dxf>
      <font>
        <b val="0"/>
        <i/>
        <condense val="0"/>
        <extend val="0"/>
      </font>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ttom style="thin">
          <color theme="1" tint="4.9989318521683403E-2"/>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ttom style="thin">
          <color theme="1" tint="4.9989318521683403E-2"/>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libri"/>
        <scheme val="maj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mergeCell="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ttom style="thin">
          <color theme="1" tint="4.9989318521683403E-2"/>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border outline="0">
        <top style="thin">
          <color rgb="FF0D0D0D"/>
        </top>
        <bottom style="thin">
          <color rgb="FF0D0D0D"/>
        </bottom>
      </border>
    </dxf>
    <dxf>
      <font>
        <b val="0"/>
        <i val="0"/>
        <strike val="0"/>
        <condense val="0"/>
        <extend val="0"/>
        <outline val="0"/>
        <shadow val="0"/>
        <u val="none"/>
        <vertAlign val="baseline"/>
        <sz val="10"/>
        <color rgb="FF000000"/>
        <name val="Cambria"/>
        <scheme val="none"/>
      </font>
      <fill>
        <patternFill patternType="solid">
          <fgColor rgb="FF000000"/>
          <bgColor rgb="FFE5E0EC"/>
        </patternFill>
      </fill>
      <alignment horizontal="general" vertical="center" textRotation="0" wrapText="0" indent="0" relativeIndent="0" justifyLastLine="0" shrinkToFit="0" readingOrder="0"/>
    </dxf>
    <dxf>
      <border outline="0">
        <bottom style="thin">
          <color rgb="FFA5A5A5"/>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numFmt numFmtId="170" formatCode="#,##0.0"/>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rgb="FF0D0D0D"/>
        </top>
        <bottom style="thin">
          <color rgb="FF0D0D0D"/>
        </bottom>
      </border>
    </dxf>
    <dxf>
      <font>
        <b val="0"/>
        <i val="0"/>
        <strike val="0"/>
        <condense val="0"/>
        <extend val="0"/>
        <outline val="0"/>
        <shadow val="0"/>
        <u val="none"/>
        <vertAlign val="baseline"/>
        <sz val="10"/>
        <color rgb="FF000000"/>
        <name val="Cambria"/>
        <scheme val="none"/>
      </font>
      <fill>
        <patternFill patternType="solid">
          <fgColor rgb="FF000000"/>
          <bgColor rgb="FFE5E0EC"/>
        </patternFill>
      </fill>
      <alignment horizontal="general" vertical="center" textRotation="0" wrapText="0" indent="0" relativeIndent="0" justifyLastLine="0" shrinkToFit="0" readingOrder="0"/>
    </dxf>
    <dxf>
      <border outline="0">
        <bottom style="thin">
          <color rgb="FFA5A5A5"/>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ttom style="thin">
          <color theme="1" tint="4.9989318521683403E-2"/>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ttom style="thin">
          <color theme="1" tint="4.9989318521683403E-2"/>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ttom style="thin">
          <color theme="1" tint="4.9989318521683403E-2"/>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i val="0"/>
      </font>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ttom style="thin">
          <color theme="1" tint="4.9989318521683403E-2"/>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border outline="0">
        <top style="thin">
          <color theme="1" tint="4.9989318521683403E-2"/>
        </top>
        <bottom style="thin">
          <color theme="1" tint="4.9989318521683403E-2"/>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border outline="0">
        <top style="thin">
          <color theme="1" tint="4.9989318521683403E-2"/>
        </top>
        <bottom style="thin">
          <color theme="1" tint="4.9989318521683403E-2"/>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border outline="0">
        <top style="thin">
          <color theme="1" tint="4.9989318521683403E-2"/>
        </top>
        <bottom style="thin">
          <color theme="1" tint="4.9989318521683403E-2"/>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border outline="0">
        <top style="thin">
          <color theme="1" tint="4.9989318521683403E-2"/>
        </top>
        <bottom style="thin">
          <color theme="1" tint="4.9989318521683403E-2"/>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alignment horizontal="general" vertical="center" textRotation="0" wrapText="0" indent="0" relativeIndent="255" justifyLastLine="0" shrinkToFit="0" mergeCell="0" readingOrder="0"/>
    </dxf>
    <dxf>
      <fill>
        <patternFill patternType="solid">
          <fgColor indexed="64"/>
          <bgColor theme="8" tint="0.79998168889431442"/>
        </patternFill>
      </fill>
      <alignment horizontal="general" vertical="center" textRotation="0" wrapText="0" indent="0" relativeIndent="255" justifyLastLine="0" shrinkToFit="0" mergeCell="0" readingOrder="0"/>
    </dxf>
    <dxf>
      <fill>
        <patternFill patternType="solid">
          <fgColor indexed="64"/>
          <bgColor theme="8" tint="0.79998168889431442"/>
        </patternFill>
      </fill>
      <alignment textRotation="0" wrapText="0" indent="0" relativeIndent="255" justifyLastLine="0" shrinkToFit="0" mergeCell="0" readingOrder="0"/>
    </dxf>
    <dxf>
      <font>
        <b val="0"/>
        <i val="0"/>
        <strike val="0"/>
        <condense val="0"/>
        <extend val="0"/>
        <outline val="0"/>
        <shadow val="0"/>
        <u val="none"/>
        <vertAlign val="baseline"/>
        <sz val="10"/>
        <color theme="1"/>
        <name val="Calibri"/>
        <scheme val="major"/>
      </font>
      <fill>
        <patternFill patternType="solid">
          <fgColor indexed="64"/>
          <bgColor theme="8" tint="0.79998168889431442"/>
        </patternFill>
      </fill>
      <alignment horizontal="general" vertical="center" textRotation="0" wrapText="0" indent="0" relativeIndent="255" justifyLastLine="0" shrinkToFit="0" mergeCell="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numFmt numFmtId="0" formatCode="General"/>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left" vertical="center" textRotation="0" wrapText="0" indent="0" relativeIndent="0" justifyLastLine="0" shrinkToFit="0" mergeCell="0" readingOrder="0"/>
      <border diagonalUp="0" diagonalDown="0" outline="0">
        <left/>
        <right/>
        <top/>
        <bottom/>
      </border>
    </dxf>
    <dxf>
      <numFmt numFmtId="0" formatCode="General"/>
      <fill>
        <patternFill patternType="solid">
          <fgColor indexed="64"/>
          <bgColor theme="7" tint="0.79998168889431442"/>
        </patternFill>
      </fill>
      <alignment horizontal="left"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left" vertical="center" textRotation="0" wrapText="0" indent="0" relativeIndent="0" justifyLastLine="0" shrinkToFit="0" mergeCell="0" readingOrder="0"/>
      <border diagonalUp="0" diagonalDown="0" outline="0">
        <left/>
        <right/>
        <top/>
        <bottom/>
      </border>
    </dxf>
    <dxf>
      <numFmt numFmtId="0" formatCode="General"/>
      <fill>
        <patternFill patternType="solid">
          <fgColor indexed="64"/>
          <bgColor theme="7" tint="0.79998168889431442"/>
        </patternFill>
      </fill>
      <alignment horizontal="left"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left"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left"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i val="0"/>
        <strike val="0"/>
        <condense val="0"/>
        <extend val="0"/>
        <outline val="0"/>
        <shadow val="0"/>
        <u val="none"/>
        <vertAlign val="baseline"/>
        <sz val="10"/>
        <color theme="1"/>
        <name val="Calibri"/>
        <scheme val="maj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left"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left"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mergeCell="0" readingOrder="0"/>
    </dxf>
    <dxf>
      <numFmt numFmtId="170" formatCode="#,##0.0"/>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255" justifyLastLine="0" shrinkToFit="0" readingOrder="0"/>
      <border diagonalUp="0" diagonalDown="0" outline="0">
        <left/>
        <right/>
        <top style="thin">
          <color auto="1"/>
        </top>
        <bottom style="thin">
          <color auto="1"/>
        </bottom>
      </border>
    </dxf>
    <dxf>
      <font>
        <strike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255" justifyLastLine="0" shrinkToFit="0" readingOrder="0"/>
      <border diagonalUp="0" diagonalDown="0" outline="0">
        <left/>
        <right/>
        <top style="thin">
          <color auto="1"/>
        </top>
        <bottom style="thin">
          <color auto="1"/>
        </bottom>
      </border>
    </dxf>
    <dxf>
      <font>
        <strike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255" justifyLastLine="0" shrinkToFit="0" readingOrder="0"/>
      <border diagonalUp="0" diagonalDown="0" outline="0">
        <left/>
        <right/>
        <top style="thin">
          <color auto="1"/>
        </top>
        <bottom style="thin">
          <color auto="1"/>
        </bottom>
      </border>
    </dxf>
    <dxf>
      <font>
        <strike val="0"/>
        <outline val="0"/>
        <shadow val="0"/>
        <u val="none"/>
        <vertAlign val="baseline"/>
        <sz val="10"/>
        <color theme="1"/>
        <name val="Cambria"/>
        <scheme val="minor"/>
      </font>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255"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255"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255" justifyLastLine="0" shrinkToFit="0" readingOrder="0"/>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255" justifyLastLine="0" shrinkToFit="0" readingOrder="0"/>
    </dxf>
    <dxf>
      <fill>
        <patternFill>
          <fgColor indexed="64"/>
          <bgColor theme="7" tint="0.79998168889431442"/>
        </patternFill>
      </fill>
    </dxf>
    <dxf>
      <fill>
        <patternFill patternType="solid">
          <fgColor indexed="64"/>
          <bgColor theme="7" tint="0.79998168889431442"/>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0" justifyLastLine="0" shrinkToFit="0" readingOrder="0"/>
    </dxf>
    <dxf>
      <numFmt numFmtId="170" formatCode="#,##0.0"/>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mergeCell="0" readingOrder="0"/>
      <border diagonalUp="0" diagonalDown="0" outline="0">
        <left/>
        <right/>
        <top/>
        <bottom/>
      </border>
    </dxf>
    <dxf>
      <fill>
        <patternFill patternType="solid">
          <fgColor indexed="64"/>
          <bgColor theme="6" tint="0.79998168889431442"/>
        </patternFill>
      </fill>
      <alignment horizontal="general" vertical="center" textRotation="0" wrapText="0" indent="0" relativeIndent="255" justifyLastLine="0" shrinkToFit="0" readingOrder="0"/>
    </dxf>
    <dxf>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255" justifyLastLine="0" shrinkToFit="0" readingOrder="0"/>
    </dxf>
    <dxf>
      <font>
        <strike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255" justifyLastLine="0" shrinkToFit="0" readingOrder="0"/>
    </dxf>
    <dxf>
      <font>
        <strike val="0"/>
        <outline val="0"/>
        <shadow val="0"/>
        <u val="none"/>
        <vertAlign val="baseline"/>
        <sz val="10"/>
        <color theme="1"/>
        <name val="Cambria"/>
        <scheme val="minor"/>
      </font>
      <fill>
        <patternFill patternType="solid">
          <fgColor indexed="64"/>
          <bgColor theme="6" tint="0.79998168889431442"/>
        </patternFill>
      </fill>
      <alignment horizontal="general" vertical="center" textRotation="0" wrapText="0" indent="0" relativeIndent="255" justifyLastLine="0" shrinkToFit="0" readingOrder="0"/>
    </dxf>
    <dxf>
      <font>
        <strike val="0"/>
        <outline val="0"/>
        <shadow val="0"/>
        <u val="none"/>
        <vertAlign val="baseline"/>
        <sz val="10"/>
        <color theme="1"/>
        <name val="Cambria"/>
        <scheme val="minor"/>
      </font>
      <fill>
        <patternFill patternType="solid">
          <fgColor rgb="FF000000"/>
          <bgColor rgb="FFEAF1DD"/>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Cambria"/>
        <scheme val="minor"/>
      </font>
      <numFmt numFmtId="191" formatCode="#,##0.0_);\(#,##0.0\);&quot;-&quot;_);@"/>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numFmt numFmtId="0" formatCode="General"/>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outline="0">
        <left/>
        <right/>
        <top/>
        <bottom/>
      </border>
    </dxf>
    <dxf>
      <fill>
        <patternFill patternType="solid">
          <fgColor indexed="64"/>
          <bgColor theme="7"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border outline="0">
        <top style="thin">
          <color theme="1" tint="4.9989318521683403E-2"/>
        </top>
        <bottom style="thin">
          <color auto="1"/>
        </bottom>
      </border>
    </dxf>
    <dxf>
      <font>
        <b val="0"/>
        <i val="0"/>
        <strike val="0"/>
        <condense val="0"/>
        <extend val="0"/>
        <outline val="0"/>
        <shadow val="0"/>
        <u val="none"/>
        <vertAlign val="baseline"/>
        <sz val="10"/>
        <color theme="1"/>
        <name val="Cambria"/>
        <scheme val="minor"/>
      </font>
      <fill>
        <patternFill patternType="solid">
          <fgColor indexed="64"/>
          <bgColor theme="7" tint="0.79998168889431442"/>
        </patternFill>
      </fill>
      <alignment horizontal="general" vertical="center" textRotation="0" wrapText="0" indent="0" relative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1"/>
        <name val="Calibri"/>
        <scheme val="major"/>
      </font>
      <fill>
        <patternFill patternType="solid">
          <fgColor indexed="64"/>
          <bgColor theme="7"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0" justifyLastLine="0" shrinkToFit="0" readingOrder="0"/>
      <border diagonalUp="0" diagonalDown="0">
        <left/>
        <right/>
        <top style="thin">
          <color auto="1"/>
        </top>
        <bottom style="thin">
          <color auto="1"/>
        </bottom>
      </border>
    </dxf>
    <dxf>
      <numFmt numFmtId="170" formatCode="#,##0.0"/>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0" justifyLastLine="0" shrinkToFit="0" readingOrder="0"/>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ont>
        <strike val="0"/>
        <outline val="0"/>
        <shadow val="0"/>
        <u val="none"/>
        <vertAlign val="baseline"/>
        <sz val="10"/>
        <name val="Cambria"/>
        <scheme val="minor"/>
      </font>
      <fill>
        <patternFill patternType="solid">
          <fgColor indexed="64"/>
          <bgColor theme="6" tint="0.79998168889431442"/>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ont>
        <b val="0"/>
        <i val="0"/>
        <strike val="0"/>
        <condense val="0"/>
        <extend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0" justifyLastLine="0" shrinkToFit="0" readingOrder="0"/>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border diagonalUp="0" diagonalDown="0">
        <left/>
        <right/>
        <top style="thin">
          <color auto="1"/>
        </top>
        <bottom style="thin">
          <color auto="1"/>
        </bottom>
      </border>
    </dxf>
    <dxf>
      <fill>
        <patternFill patternType="solid">
          <fgColor indexed="64"/>
          <bgColor theme="6" tint="0.79998168889431442"/>
        </patternFill>
      </fill>
      <alignment horizontal="general" vertical="center" textRotation="0" wrapText="0" indent="0" relativeIndent="255" justifyLastLine="0" shrinkToFit="0" readingOrder="0"/>
    </dxf>
    <dxf>
      <font>
        <strike val="0"/>
        <outline val="0"/>
        <shadow val="0"/>
        <u val="none"/>
        <vertAlign val="baseline"/>
        <sz val="10"/>
        <color theme="1"/>
        <name val="Calibri"/>
        <scheme val="major"/>
      </font>
      <fill>
        <patternFill patternType="solid">
          <fgColor indexed="64"/>
          <bgColor theme="6" tint="0.79998168889431442"/>
        </patternFill>
      </fill>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alignment horizontal="left" vertical="center" textRotation="0" wrapText="1" indent="0" relativeIndent="0" justifyLastLine="0" shrinkToFit="0" readingOrder="0"/>
    </dxf>
    <dxf>
      <font>
        <b val="0"/>
        <i val="0"/>
        <strike val="0"/>
        <condense val="0"/>
        <extend val="0"/>
        <outline val="0"/>
        <shadow val="0"/>
        <u val="none"/>
        <vertAlign val="baseline"/>
        <sz val="10"/>
        <color theme="1"/>
        <name val="Cambria"/>
        <scheme val="minor"/>
      </font>
      <alignment horizontal="general" vertical="center" textRotation="0" wrapText="0" indent="0" relativeIndent="255" justifyLastLine="0" shrinkToFit="0" readingOrder="0"/>
    </dxf>
    <dxf>
      <font>
        <b val="0"/>
        <i val="0"/>
        <strike val="0"/>
        <condense val="0"/>
        <extend val="0"/>
        <outline val="0"/>
        <shadow val="0"/>
        <u val="none"/>
        <vertAlign val="baseline"/>
        <sz val="10"/>
        <color theme="1"/>
        <name val="Cambria"/>
        <scheme val="minor"/>
      </font>
    </dxf>
    <dxf>
      <font>
        <b val="0"/>
        <i val="0"/>
        <strike val="0"/>
        <condense val="0"/>
        <extend val="0"/>
        <outline val="0"/>
        <shadow val="0"/>
        <u val="none"/>
        <vertAlign val="baseline"/>
        <sz val="10"/>
        <color theme="1"/>
        <name val="Cambria"/>
        <scheme val="minor"/>
      </font>
    </dxf>
    <dxf>
      <font>
        <b val="0"/>
        <i val="0"/>
        <strike val="0"/>
        <condense val="0"/>
        <extend val="0"/>
        <outline val="0"/>
        <shadow val="0"/>
        <u val="none"/>
        <vertAlign val="baseline"/>
        <sz val="10"/>
        <color theme="1"/>
        <name val="Cambria"/>
        <scheme val="minor"/>
      </font>
    </dxf>
    <dxf>
      <font>
        <b val="0"/>
        <i val="0"/>
        <strike val="0"/>
        <condense val="0"/>
        <extend val="0"/>
        <outline val="0"/>
        <shadow val="0"/>
        <u val="none"/>
        <vertAlign val="baseline"/>
        <sz val="10"/>
        <color theme="1"/>
        <name val="Cambria"/>
        <scheme val="minor"/>
      </font>
    </dxf>
    <dxf>
      <font>
        <b val="0"/>
        <strike val="0"/>
        <outline val="0"/>
        <shadow val="0"/>
        <u val="none"/>
        <vertAlign val="baseline"/>
        <sz val="11"/>
        <color theme="1"/>
        <name val="Calibri"/>
        <scheme val="major"/>
      </font>
      <alignment horizontal="general" vertical="center" textRotation="0" wrapText="0" indent="0" relativeIndent="0" justifyLastLine="0" shrinkToFit="0" readingOrder="0"/>
    </dxf>
    <dxf>
      <alignment horizontal="general" vertical="center" textRotation="0" wrapText="0" indent="0" relativeIndent="255" justifyLastLine="0" shrinkToFit="0" readingOrder="0"/>
    </dxf>
    <dxf>
      <numFmt numFmtId="0" formatCode="General"/>
      <alignment horizontal="general" vertical="center" textRotation="0" wrapText="0" indent="0" relativeIndent="0" justifyLastLine="0" shrinkToFit="0" readingOrder="0"/>
    </dxf>
    <dxf>
      <numFmt numFmtId="0" formatCode="General"/>
      <alignment horizontal="general" vertical="center" textRotation="0" wrapText="0" indent="0" relativeIndent="0" justifyLastLine="0" shrinkToFit="0" readingOrder="0"/>
    </dxf>
    <dxf>
      <alignment horizontal="general" vertical="center" textRotation="0" wrapText="0" indent="0" relativeIndent="255" justifyLastLine="0" shrinkToFit="0" readingOrder="0"/>
    </dxf>
    <dxf>
      <alignment horizontal="left"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center" vertical="center" textRotation="0" wrapText="1" indent="0" relativeIndent="255" justifyLastLine="0" shrinkToFit="0" readingOrder="0"/>
    </dxf>
    <dxf>
      <alignment horizontal="left" vertical="center" textRotation="0" wrapText="0" indent="0" relativeIndent="255" justifyLastLine="0" shrinkToFit="0" readingOrder="0"/>
    </dxf>
    <dxf>
      <alignment horizontal="left" vertical="center" textRotation="0" wrapText="0" indent="0" relativeIndent="255" justifyLastLine="0" shrinkToFit="0" readingOrder="0"/>
    </dxf>
    <dxf>
      <alignment horizontal="left" vertical="center" textRotation="0" wrapText="0" indent="0" relativeIndent="255" justifyLastLine="0" shrinkToFit="0" readingOrder="0"/>
    </dxf>
    <dxf>
      <alignment horizontal="center" vertical="center" textRotation="0" wrapText="1"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numFmt numFmtId="192" formatCode="#,##0_);\(#,##0\);&quot;-&quot;_);@"/>
      <alignment horizontal="general" vertical="center" textRotation="0" wrapText="0" indent="0" relativeIndent="255" justifyLastLine="0" shrinkToFit="0" readingOrder="0"/>
    </dxf>
    <dxf>
      <numFmt numFmtId="192" formatCode="#,##0_);\(#,##0\);&quot;-&quot;_);@"/>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alignment horizontal="general" vertical="center" textRotation="0" wrapText="0" indent="0" relativeIndent="255" justifyLastLine="0" shrinkToFit="0" readingOrder="0"/>
    </dxf>
    <dxf>
      <numFmt numFmtId="197" formatCode="dd\-mmm\-yyyy"/>
    </dxf>
    <dxf>
      <alignment horizontal="general" vertical="center" textRotation="0" wrapText="0" indent="0" relativeIndent="255" justifyLastLine="0" shrinkToFit="0" readingOrder="0"/>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s>
  <tableStyles count="1" defaultTableStyle="EnergyCalcTables" defaultPivotStyle="PivotStyleLight16">
    <tableStyle name="EnergyCalcTables" pivot="0" count="4">
      <tableStyleElement type="wholeTable" dxfId="1781"/>
      <tableStyleElement type="headerRow" dxfId="1780"/>
      <tableStyleElement type="totalRow" dxfId="1779"/>
      <tableStyleElement type="secondRowStripe" dxfId="1778"/>
    </tableStyle>
  </tableStyles>
  <colors>
    <mruColors>
      <color rgb="FFE9EFF7"/>
      <color rgb="FF000000"/>
      <color rgb="FFFFFFFF"/>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lang val="en-GB"/>
  <c:style val="10"/>
  <c:chart>
    <c:title>
      <c:tx>
        <c:rich>
          <a:bodyPr/>
          <a:lstStyle/>
          <a:p>
            <a:pPr>
              <a:defRPr lang="en-US"/>
            </a:pPr>
            <a:r>
              <a:rPr lang="en-GB"/>
              <a:t>Demand</a:t>
            </a:r>
          </a:p>
        </c:rich>
      </c:tx>
      <c:layout>
        <c:manualLayout>
          <c:xMode val="edge"/>
          <c:yMode val="edge"/>
          <c:x val="0.29752610155503162"/>
          <c:y val="2.0382168331031968E-2"/>
        </c:manualLayout>
      </c:layout>
    </c:title>
    <c:plotArea>
      <c:layout>
        <c:manualLayout>
          <c:layoutTarget val="inner"/>
          <c:xMode val="edge"/>
          <c:yMode val="edge"/>
          <c:x val="0.1139796399792361"/>
          <c:y val="0.12339175210123299"/>
          <c:w val="0.61684225623041444"/>
          <c:h val="0.78135864043594716"/>
        </c:manualLayout>
      </c:layout>
      <c:areaChart>
        <c:grouping val="stacked"/>
        <c:ser>
          <c:idx val="0"/>
          <c:order val="0"/>
          <c:tx>
            <c:strRef>
              <c:f>'Intermediate output'!$D$7</c:f>
              <c:strCache>
                <c:ptCount val="1"/>
                <c:pt idx="0">
                  <c:v>Road transport</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output'!$E$7:$Q$7</c:f>
            </c:numRef>
          </c:val>
        </c:ser>
        <c:ser>
          <c:idx val="1"/>
          <c:order val="1"/>
          <c:tx>
            <c:strRef>
              <c:f>'Intermediate output'!$D$8</c:f>
              <c:strCache>
                <c:ptCount val="1"/>
                <c:pt idx="0">
                  <c:v>Rail transport</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output'!$E$8:$Q$8</c:f>
            </c:numRef>
          </c:val>
        </c:ser>
        <c:ser>
          <c:idx val="2"/>
          <c:order val="2"/>
          <c:tx>
            <c:strRef>
              <c:f>'Intermediate output'!$D$9</c:f>
              <c:strCache>
                <c:ptCount val="1"/>
                <c:pt idx="0">
                  <c:v>Domestic aviation</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output'!$E$9:$Q$9</c:f>
            </c:numRef>
          </c:val>
        </c:ser>
        <c:ser>
          <c:idx val="3"/>
          <c:order val="3"/>
          <c:tx>
            <c:strRef>
              <c:f>'Intermediate output'!$D$10</c:f>
              <c:strCache>
                <c:ptCount val="1"/>
                <c:pt idx="0">
                  <c:v>National navigation</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output'!$E$10:$Q$10</c:f>
            </c:numRef>
          </c:val>
        </c:ser>
        <c:ser>
          <c:idx val="4"/>
          <c:order val="4"/>
          <c:tx>
            <c:strRef>
              <c:f>'Intermediate output'!$D$11</c:f>
              <c:strCache>
                <c:ptCount val="1"/>
                <c:pt idx="0">
                  <c:v>International aviation</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output'!$E$11:$Q$11</c:f>
            </c:numRef>
          </c:val>
        </c:ser>
        <c:ser>
          <c:idx val="5"/>
          <c:order val="5"/>
          <c:tx>
            <c:strRef>
              <c:f>'Intermediate output'!$D$12</c:f>
              <c:strCache>
                <c:ptCount val="1"/>
                <c:pt idx="0">
                  <c:v>International shipping</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output'!$E$12:$Q$12</c:f>
            </c:numRef>
          </c:val>
        </c:ser>
        <c:ser>
          <c:idx val="6"/>
          <c:order val="6"/>
          <c:tx>
            <c:strRef>
              <c:f>'Intermediate output'!$D$13</c:f>
              <c:strCache>
                <c:ptCount val="1"/>
                <c:pt idx="0">
                  <c:v>Transport</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output'!$H$13:$Q$13</c:f>
              <c:numCache>
                <c:formatCode>#,##0.0_);\(#,##0.0\);"-"_);@</c:formatCode>
                <c:ptCount val="10"/>
                <c:pt idx="0">
                  <c:v>716.7576380332365</c:v>
                </c:pt>
                <c:pt idx="1">
                  <c:v>721.07526678852219</c:v>
                </c:pt>
                <c:pt idx="2">
                  <c:v>718.52001141003245</c:v>
                </c:pt>
                <c:pt idx="3">
                  <c:v>721.55644650625129</c:v>
                </c:pt>
                <c:pt idx="4">
                  <c:v>705.1219589700371</c:v>
                </c:pt>
                <c:pt idx="5">
                  <c:v>685.47095954926829</c:v>
                </c:pt>
                <c:pt idx="6">
                  <c:v>695.60651052650655</c:v>
                </c:pt>
                <c:pt idx="7">
                  <c:v>701.13847176086313</c:v>
                </c:pt>
                <c:pt idx="8">
                  <c:v>710.0565569942903</c:v>
                </c:pt>
                <c:pt idx="9">
                  <c:v>721.41713555411968</c:v>
                </c:pt>
              </c:numCache>
            </c:numRef>
          </c:val>
        </c:ser>
        <c:ser>
          <c:idx val="7"/>
          <c:order val="7"/>
          <c:tx>
            <c:strRef>
              <c:f>'Intermediate output'!$D$14</c:f>
              <c:strCache>
                <c:ptCount val="1"/>
                <c:pt idx="0">
                  <c:v>Industry</c:v>
                </c:pt>
              </c:strCache>
            </c:strRef>
          </c:tx>
          <c:spPr>
            <a:solidFill>
              <a:schemeClr val="bg1">
                <a:lumMod val="50000"/>
              </a:schemeClr>
            </a:solidFill>
          </c:spPr>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output'!$H$14:$Q$14</c:f>
              <c:numCache>
                <c:formatCode>#,##0.0_);\(#,##0.0\);"-"_);@</c:formatCode>
                <c:ptCount val="10"/>
                <c:pt idx="0">
                  <c:v>484.94967152772296</c:v>
                </c:pt>
                <c:pt idx="1">
                  <c:v>477.03808458335413</c:v>
                </c:pt>
                <c:pt idx="2">
                  <c:v>471.74495663020178</c:v>
                </c:pt>
                <c:pt idx="3">
                  <c:v>467.93399165725043</c:v>
                </c:pt>
                <c:pt idx="4">
                  <c:v>466.5270608176387</c:v>
                </c:pt>
                <c:pt idx="5">
                  <c:v>467.14436497577742</c:v>
                </c:pt>
                <c:pt idx="6">
                  <c:v>469.52852546229497</c:v>
                </c:pt>
                <c:pt idx="7">
                  <c:v>473.40064147240503</c:v>
                </c:pt>
                <c:pt idx="8">
                  <c:v>478.57511077545985</c:v>
                </c:pt>
                <c:pt idx="9">
                  <c:v>484.90681918968028</c:v>
                </c:pt>
              </c:numCache>
            </c:numRef>
          </c:val>
        </c:ser>
        <c:ser>
          <c:idx val="8"/>
          <c:order val="8"/>
          <c:tx>
            <c:strRef>
              <c:f>'Intermediate output'!$D$15</c:f>
              <c:strCache>
                <c:ptCount val="1"/>
                <c:pt idx="0">
                  <c:v>Heating and cooling</c:v>
                </c:pt>
              </c:strCache>
            </c:strRef>
          </c:tx>
          <c:spPr>
            <a:solidFill>
              <a:schemeClr val="accent6"/>
            </a:solidFill>
          </c:spPr>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output'!$H$15:$Q$15</c:f>
              <c:numCache>
                <c:formatCode>#,##0.0_);\(#,##0.0\);"-"_);@</c:formatCode>
                <c:ptCount val="10"/>
                <c:pt idx="0">
                  <c:v>498.42483853439262</c:v>
                </c:pt>
                <c:pt idx="1">
                  <c:v>530.15178411927457</c:v>
                </c:pt>
                <c:pt idx="2">
                  <c:v>560.79657715903761</c:v>
                </c:pt>
                <c:pt idx="3">
                  <c:v>590.98249950821378</c:v>
                </c:pt>
                <c:pt idx="4">
                  <c:v>619.32554128308072</c:v>
                </c:pt>
                <c:pt idx="5">
                  <c:v>651.04611206371885</c:v>
                </c:pt>
                <c:pt idx="6">
                  <c:v>673.79296204551042</c:v>
                </c:pt>
                <c:pt idx="7">
                  <c:v>700.8881433886479</c:v>
                </c:pt>
                <c:pt idx="8">
                  <c:v>732.17817493630173</c:v>
                </c:pt>
                <c:pt idx="9">
                  <c:v>767.71687249176193</c:v>
                </c:pt>
              </c:numCache>
            </c:numRef>
          </c:val>
        </c:ser>
        <c:ser>
          <c:idx val="9"/>
          <c:order val="9"/>
          <c:tx>
            <c:strRef>
              <c:f>'Intermediate output'!$D$16</c:f>
              <c:strCache>
                <c:ptCount val="1"/>
                <c:pt idx="0">
                  <c:v>Lighting &amp; appliances</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output'!$H$16:$Q$16</c:f>
              <c:numCache>
                <c:formatCode>#,##0.0_);\(#,##0.0\);"-"_);@</c:formatCode>
                <c:ptCount val="10"/>
                <c:pt idx="0">
                  <c:v>176.36080205964583</c:v>
                </c:pt>
                <c:pt idx="1">
                  <c:v>177.42796936210306</c:v>
                </c:pt>
                <c:pt idx="2">
                  <c:v>181.64752039357137</c:v>
                </c:pt>
                <c:pt idx="3">
                  <c:v>185.83085939782245</c:v>
                </c:pt>
                <c:pt idx="4">
                  <c:v>189.81046011329818</c:v>
                </c:pt>
                <c:pt idx="5">
                  <c:v>193.5794282147545</c:v>
                </c:pt>
                <c:pt idx="6">
                  <c:v>198.16407689154261</c:v>
                </c:pt>
                <c:pt idx="7">
                  <c:v>202.8565997740406</c:v>
                </c:pt>
                <c:pt idx="8">
                  <c:v>207.74130210103971</c:v>
                </c:pt>
                <c:pt idx="9">
                  <c:v>212.82687278526893</c:v>
                </c:pt>
              </c:numCache>
            </c:numRef>
          </c:val>
        </c:ser>
        <c:ser>
          <c:idx val="11"/>
          <c:order val="10"/>
          <c:tx>
            <c:strRef>
              <c:f>'Intermediate output'!$D$20</c:f>
              <c:strCache>
                <c:ptCount val="1"/>
                <c:pt idx="0">
                  <c:v>Dummy for charting uses</c:v>
                </c:pt>
              </c:strCache>
            </c:strRef>
          </c:tx>
          <c:spPr>
            <a:noFill/>
            <a:ln>
              <a:noFill/>
            </a:ln>
          </c:spPr>
          <c:val>
            <c:numRef>
              <c:f>'Intermediate output'!$H$20:$Q$20</c:f>
              <c:numCache>
                <c:formatCode>#,##0.0_);\(#,##0.0\);"-"_);@</c:formatCode>
                <c:ptCount val="10"/>
                <c:pt idx="0">
                  <c:v>658.09922861728228</c:v>
                </c:pt>
                <c:pt idx="1">
                  <c:v>657.02965798317359</c:v>
                </c:pt>
                <c:pt idx="2">
                  <c:v>610.98818851271176</c:v>
                </c:pt>
                <c:pt idx="3">
                  <c:v>562.80271713968682</c:v>
                </c:pt>
                <c:pt idx="4">
                  <c:v>511.57324610744126</c:v>
                </c:pt>
                <c:pt idx="5">
                  <c:v>536.12657992532195</c:v>
                </c:pt>
                <c:pt idx="6">
                  <c:v>561.19441508341492</c:v>
                </c:pt>
                <c:pt idx="7">
                  <c:v>596.85639025143701</c:v>
                </c:pt>
                <c:pt idx="8">
                  <c:v>632.78192659511069</c:v>
                </c:pt>
                <c:pt idx="9">
                  <c:v>657.24176315209297</c:v>
                </c:pt>
              </c:numCache>
            </c:numRef>
          </c:val>
        </c:ser>
        <c:axId val="106127360"/>
        <c:axId val="106128896"/>
      </c:areaChart>
      <c:catAx>
        <c:axId val="106127360"/>
        <c:scaling>
          <c:orientation val="minMax"/>
        </c:scaling>
        <c:axPos val="b"/>
        <c:numFmt formatCode="General" sourceLinked="1"/>
        <c:tickLblPos val="nextTo"/>
        <c:txPr>
          <a:bodyPr/>
          <a:lstStyle/>
          <a:p>
            <a:pPr>
              <a:defRPr lang="en-US" sz="1200"/>
            </a:pPr>
            <a:endParaRPr lang="en-US"/>
          </a:p>
        </c:txPr>
        <c:crossAx val="106128896"/>
        <c:crosses val="autoZero"/>
        <c:auto val="1"/>
        <c:lblAlgn val="ctr"/>
        <c:lblOffset val="100"/>
      </c:catAx>
      <c:valAx>
        <c:axId val="106128896"/>
        <c:scaling>
          <c:orientation val="minMax"/>
        </c:scaling>
        <c:axPos val="l"/>
        <c:majorGridlines>
          <c:spPr>
            <a:ln>
              <a:solidFill>
                <a:schemeClr val="accent1">
                  <a:lumMod val="20000"/>
                  <a:lumOff val="80000"/>
                </a:schemeClr>
              </a:solidFill>
            </a:ln>
          </c:spPr>
        </c:majorGridlines>
        <c:title>
          <c:tx>
            <c:strRef>
              <c:f>'Intermediate output'!$D$4</c:f>
              <c:strCache>
                <c:ptCount val="1"/>
                <c:pt idx="0">
                  <c:v>TWh / year</c:v>
                </c:pt>
              </c:strCache>
            </c:strRef>
          </c:tx>
          <c:txPr>
            <a:bodyPr rot="-5400000" vert="horz"/>
            <a:lstStyle/>
            <a:p>
              <a:pPr>
                <a:defRPr lang="en-US" sz="1200"/>
              </a:pPr>
              <a:endParaRPr lang="en-US"/>
            </a:p>
          </c:txPr>
        </c:title>
        <c:numFmt formatCode="#,##0" sourceLinked="0"/>
        <c:tickLblPos val="nextTo"/>
        <c:spPr>
          <a:ln>
            <a:noFill/>
          </a:ln>
        </c:spPr>
        <c:txPr>
          <a:bodyPr/>
          <a:lstStyle/>
          <a:p>
            <a:pPr>
              <a:defRPr lang="en-US" sz="1200"/>
            </a:pPr>
            <a:endParaRPr lang="en-US"/>
          </a:p>
        </c:txPr>
        <c:crossAx val="106127360"/>
        <c:crosses val="autoZero"/>
        <c:crossBetween val="midCat"/>
      </c:valAx>
      <c:spPr>
        <a:noFill/>
      </c:spPr>
    </c:plotArea>
    <c:legend>
      <c:legendPos val="r"/>
      <c:legendEntry>
        <c:idx val="0"/>
        <c:delete val="1"/>
      </c:legendEntry>
      <c:layout>
        <c:manualLayout>
          <c:xMode val="edge"/>
          <c:yMode val="edge"/>
          <c:x val="0.72883431522304465"/>
          <c:y val="0.39510113604876695"/>
          <c:w val="0.26943738397808231"/>
          <c:h val="0.3006315230442515"/>
        </c:manualLayout>
      </c:layout>
      <c:txPr>
        <a:bodyPr/>
        <a:lstStyle/>
        <a:p>
          <a:pPr>
            <a:defRPr lang="en-US" sz="1200"/>
          </a:pPr>
          <a:endParaRPr lang="en-US"/>
        </a:p>
      </c:txPr>
    </c:legend>
    <c:plotVisOnly val="1"/>
    <c:dispBlanksAs val="zero"/>
  </c:chart>
  <c:spPr>
    <a:noFill/>
    <a:ln>
      <a:noFill/>
    </a:ln>
  </c:spPr>
  <c:txPr>
    <a:bodyPr/>
    <a:lstStyle/>
    <a:p>
      <a:pPr>
        <a:defRPr>
          <a:latin typeface="+mj-lt"/>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GB"/>
  <c:style val="10"/>
  <c:chart>
    <c:plotArea>
      <c:layout>
        <c:manualLayout>
          <c:layoutTarget val="inner"/>
          <c:xMode val="edge"/>
          <c:yMode val="edge"/>
          <c:x val="9.9171822618246766E-2"/>
          <c:y val="5.1014502068150475E-2"/>
          <c:w val="0.45092664167575847"/>
          <c:h val="0.80110552114216949"/>
        </c:manualLayout>
      </c:layout>
      <c:areaChart>
        <c:grouping val="stacked"/>
        <c:ser>
          <c:idx val="0"/>
          <c:order val="0"/>
          <c:tx>
            <c:strRef>
              <c:f>IX.a!$D$289</c:f>
              <c:strCache>
                <c:ptCount val="1"/>
                <c:pt idx="0">
                  <c:v>Electric air conditioner (old)</c:v>
                </c:pt>
              </c:strCache>
            </c:strRef>
          </c:tx>
          <c:cat>
            <c:multiLvlStrRef>
              <c:f>IX.a!$F$288:$O$288</c:f>
            </c:multiLvlStrRef>
          </c:cat>
          <c:val>
            <c:numRef>
              <c:f>IX.a!$F$289:$O$289</c:f>
            </c:numRef>
          </c:val>
        </c:ser>
        <c:ser>
          <c:idx val="1"/>
          <c:order val="1"/>
          <c:tx>
            <c:strRef>
              <c:f>IX.a!$D$290</c:f>
              <c:strCache>
                <c:ptCount val="1"/>
                <c:pt idx="0">
                  <c:v>Electric air conditioner (new)</c:v>
                </c:pt>
              </c:strCache>
            </c:strRef>
          </c:tx>
          <c:cat>
            <c:multiLvlStrRef>
              <c:f>IX.a!$F$288:$O$288</c:f>
            </c:multiLvlStrRef>
          </c:cat>
          <c:val>
            <c:numRef>
              <c:f>IX.a!$F$290:$O$290</c:f>
            </c:numRef>
          </c:val>
        </c:ser>
        <c:ser>
          <c:idx val="2"/>
          <c:order val="2"/>
          <c:tx>
            <c:strRef>
              <c:f>IX.a!$D$291</c:f>
              <c:strCache>
                <c:ptCount val="1"/>
                <c:pt idx="0">
                  <c:v>Absorption chiller</c:v>
                </c:pt>
              </c:strCache>
            </c:strRef>
          </c:tx>
          <c:cat>
            <c:multiLvlStrRef>
              <c:f>IX.a!$F$288:$O$288</c:f>
            </c:multiLvlStrRef>
          </c:cat>
          <c:val>
            <c:numRef>
              <c:f>IX.a!$F$291:$O$291</c:f>
            </c:numRef>
          </c:val>
        </c:ser>
        <c:axId val="113993984"/>
        <c:axId val="113999872"/>
      </c:areaChart>
      <c:catAx>
        <c:axId val="113993984"/>
        <c:scaling>
          <c:orientation val="minMax"/>
        </c:scaling>
        <c:axPos val="b"/>
        <c:numFmt formatCode="General" sourceLinked="1"/>
        <c:tickLblPos val="nextTo"/>
        <c:txPr>
          <a:bodyPr/>
          <a:lstStyle/>
          <a:p>
            <a:pPr>
              <a:defRPr lang="en-US"/>
            </a:pPr>
            <a:endParaRPr lang="en-US"/>
          </a:p>
        </c:txPr>
        <c:crossAx val="113999872"/>
        <c:crosses val="autoZero"/>
        <c:auto val="1"/>
        <c:lblAlgn val="ctr"/>
        <c:lblOffset val="100"/>
      </c:catAx>
      <c:valAx>
        <c:axId val="113999872"/>
        <c:scaling>
          <c:orientation val="minMax"/>
          <c:max val="50000000"/>
        </c:scaling>
        <c:axPos val="l"/>
        <c:majorGridlines>
          <c:spPr>
            <a:ln>
              <a:solidFill>
                <a:schemeClr val="accent1">
                  <a:lumMod val="20000"/>
                  <a:lumOff val="80000"/>
                </a:schemeClr>
              </a:solidFill>
            </a:ln>
          </c:spPr>
        </c:majorGridlines>
        <c:numFmt formatCode="#,##0" sourceLinked="0"/>
        <c:tickLblPos val="nextTo"/>
        <c:spPr>
          <a:ln>
            <a:noFill/>
          </a:ln>
        </c:spPr>
        <c:txPr>
          <a:bodyPr/>
          <a:lstStyle/>
          <a:p>
            <a:pPr>
              <a:defRPr lang="en-US"/>
            </a:pPr>
            <a:endParaRPr lang="en-US"/>
          </a:p>
        </c:txPr>
        <c:crossAx val="113993984"/>
        <c:crosses val="autoZero"/>
        <c:crossBetween val="midCat"/>
        <c:majorUnit val="10000000"/>
        <c:dispUnits>
          <c:builtInUnit val="millions"/>
          <c:dispUnitsLbl>
            <c:txPr>
              <a:bodyPr/>
              <a:lstStyle/>
              <a:p>
                <a:pPr>
                  <a:defRPr lang="en-US"/>
                </a:pPr>
                <a:endParaRPr lang="en-US"/>
              </a:p>
            </c:txPr>
          </c:dispUnitsLbl>
        </c:dispUnits>
      </c:valAx>
    </c:plotArea>
    <c:legend>
      <c:legendPos val="r"/>
      <c:layout>
        <c:manualLayout>
          <c:xMode val="edge"/>
          <c:yMode val="edge"/>
          <c:x val="0.61343382801195556"/>
          <c:y val="2.5941805489776038E-2"/>
          <c:w val="0.27171939868007933"/>
          <c:h val="0.90739982140515463"/>
        </c:manualLayout>
      </c:layout>
      <c:txPr>
        <a:bodyPr/>
        <a:lstStyle/>
        <a:p>
          <a:pPr>
            <a:defRPr lang="en-US"/>
          </a:pPr>
          <a:endParaRPr lang="en-US"/>
        </a:p>
      </c:txPr>
    </c:legend>
    <c:plotVisOnly val="1"/>
    <c:dispBlanksAs val="zero"/>
  </c:chart>
  <c:spPr>
    <a:ln>
      <a:no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plotArea>
      <c:layout/>
      <c:areaChart>
        <c:grouping val="stacked"/>
        <c:ser>
          <c:idx val="1"/>
          <c:order val="0"/>
          <c:tx>
            <c:strRef>
              <c:f>IX.c!$D$170</c:f>
              <c:strCache>
                <c:ptCount val="1"/>
                <c:pt idx="0">
                  <c:v>Gas boiler (old)</c:v>
                </c:pt>
              </c:strCache>
            </c:strRef>
          </c:tx>
          <c:cat>
            <c:multiLvlStrRef>
              <c:f>IX.c!$F$169:$O$169</c:f>
            </c:multiLvlStrRef>
          </c:cat>
          <c:val>
            <c:numRef>
              <c:f>IX.c!$F$170:$O$170</c:f>
            </c:numRef>
          </c:val>
        </c:ser>
        <c:ser>
          <c:idx val="2"/>
          <c:order val="1"/>
          <c:tx>
            <c:strRef>
              <c:f>IX.c!$D$171</c:f>
              <c:strCache>
                <c:ptCount val="1"/>
                <c:pt idx="0">
                  <c:v>Gas boiler (new)</c:v>
                </c:pt>
              </c:strCache>
            </c:strRef>
          </c:tx>
          <c:cat>
            <c:multiLvlStrRef>
              <c:f>IX.c!$F$169:$O$169</c:f>
            </c:multiLvlStrRef>
          </c:cat>
          <c:val>
            <c:numRef>
              <c:f>IX.c!$F$171:$O$171</c:f>
            </c:numRef>
          </c:val>
        </c:ser>
        <c:ser>
          <c:idx val="3"/>
          <c:order val="2"/>
          <c:tx>
            <c:strRef>
              <c:f>IX.c!$D$172</c:f>
              <c:strCache>
                <c:ptCount val="1"/>
                <c:pt idx="0">
                  <c:v>Resisitive heating</c:v>
                </c:pt>
              </c:strCache>
            </c:strRef>
          </c:tx>
          <c:cat>
            <c:multiLvlStrRef>
              <c:f>IX.c!$F$169:$O$169</c:f>
            </c:multiLvlStrRef>
          </c:cat>
          <c:val>
            <c:numRef>
              <c:f>IX.c!$F$172:$O$172</c:f>
            </c:numRef>
          </c:val>
        </c:ser>
        <c:ser>
          <c:idx val="4"/>
          <c:order val="3"/>
          <c:tx>
            <c:strRef>
              <c:f>IX.c!$D$173</c:f>
              <c:strCache>
                <c:ptCount val="1"/>
                <c:pt idx="0">
                  <c:v>Oil-fired boiler</c:v>
                </c:pt>
              </c:strCache>
            </c:strRef>
          </c:tx>
          <c:cat>
            <c:multiLvlStrRef>
              <c:f>IX.c!$F$169:$O$169</c:f>
            </c:multiLvlStrRef>
          </c:cat>
          <c:val>
            <c:numRef>
              <c:f>IX.c!$F$173:$O$173</c:f>
            </c:numRef>
          </c:val>
        </c:ser>
        <c:ser>
          <c:idx val="5"/>
          <c:order val="4"/>
          <c:tx>
            <c:strRef>
              <c:f>IX.c!$D$174</c:f>
              <c:strCache>
                <c:ptCount val="1"/>
                <c:pt idx="0">
                  <c:v>Solid-fuel boiler</c:v>
                </c:pt>
              </c:strCache>
            </c:strRef>
          </c:tx>
          <c:cat>
            <c:multiLvlStrRef>
              <c:f>IX.c!$F$169:$O$169</c:f>
            </c:multiLvlStrRef>
          </c:cat>
          <c:val>
            <c:numRef>
              <c:f>IX.c!$F$174:$O$174</c:f>
            </c:numRef>
          </c:val>
        </c:ser>
        <c:ser>
          <c:idx val="6"/>
          <c:order val="5"/>
          <c:tx>
            <c:strRef>
              <c:f>IX.c!$D$175</c:f>
              <c:strCache>
                <c:ptCount val="1"/>
                <c:pt idx="0">
                  <c:v>Stirling engine μCHP</c:v>
                </c:pt>
              </c:strCache>
            </c:strRef>
          </c:tx>
          <c:cat>
            <c:multiLvlStrRef>
              <c:f>IX.c!$F$169:$O$169</c:f>
            </c:multiLvlStrRef>
          </c:cat>
          <c:val>
            <c:numRef>
              <c:f>IX.c!$F$175:$O$175</c:f>
            </c:numRef>
          </c:val>
        </c:ser>
        <c:ser>
          <c:idx val="7"/>
          <c:order val="6"/>
          <c:tx>
            <c:strRef>
              <c:f>IX.c!$D$176</c:f>
              <c:strCache>
                <c:ptCount val="1"/>
                <c:pt idx="0">
                  <c:v>Fuel-cell μCHP</c:v>
                </c:pt>
              </c:strCache>
            </c:strRef>
          </c:tx>
          <c:cat>
            <c:multiLvlStrRef>
              <c:f>IX.c!$F$169:$O$169</c:f>
            </c:multiLvlStrRef>
          </c:cat>
          <c:val>
            <c:numRef>
              <c:f>IX.c!$F$176:$O$176</c:f>
            </c:numRef>
          </c:val>
        </c:ser>
        <c:ser>
          <c:idx val="8"/>
          <c:order val="7"/>
          <c:tx>
            <c:strRef>
              <c:f>IX.c!$D$177</c:f>
              <c:strCache>
                <c:ptCount val="1"/>
                <c:pt idx="0">
                  <c:v>Air-source heat pump</c:v>
                </c:pt>
              </c:strCache>
            </c:strRef>
          </c:tx>
          <c:cat>
            <c:multiLvlStrRef>
              <c:f>IX.c!$F$169:$O$169</c:f>
            </c:multiLvlStrRef>
          </c:cat>
          <c:val>
            <c:numRef>
              <c:f>IX.c!$F$177:$O$177</c:f>
            </c:numRef>
          </c:val>
        </c:ser>
        <c:ser>
          <c:idx val="9"/>
          <c:order val="8"/>
          <c:tx>
            <c:strRef>
              <c:f>IX.c!$D$178</c:f>
              <c:strCache>
                <c:ptCount val="1"/>
                <c:pt idx="0">
                  <c:v>Ground-source heat pump</c:v>
                </c:pt>
              </c:strCache>
            </c:strRef>
          </c:tx>
          <c:cat>
            <c:multiLvlStrRef>
              <c:f>IX.c!$F$169:$O$169</c:f>
            </c:multiLvlStrRef>
          </c:cat>
          <c:val>
            <c:numRef>
              <c:f>IX.c!$F$178:$O$178</c:f>
            </c:numRef>
          </c:val>
        </c:ser>
        <c:ser>
          <c:idx val="10"/>
          <c:order val="9"/>
          <c:tx>
            <c:strRef>
              <c:f>IX.c!$D$179</c:f>
              <c:strCache>
                <c:ptCount val="1"/>
                <c:pt idx="0">
                  <c:v>Geothermal</c:v>
                </c:pt>
              </c:strCache>
            </c:strRef>
          </c:tx>
          <c:cat>
            <c:multiLvlStrRef>
              <c:f>IX.c!$F$169:$O$169</c:f>
            </c:multiLvlStrRef>
          </c:cat>
          <c:val>
            <c:numRef>
              <c:f>IX.c!$F$179:$O$179</c:f>
            </c:numRef>
          </c:val>
        </c:ser>
        <c:ser>
          <c:idx val="11"/>
          <c:order val="10"/>
          <c:tx>
            <c:strRef>
              <c:f>IX.c!$D$182</c:f>
              <c:strCache>
                <c:ptCount val="1"/>
                <c:pt idx="0">
                  <c:v>District heating from power stations</c:v>
                </c:pt>
              </c:strCache>
            </c:strRef>
          </c:tx>
          <c:spPr>
            <a:ln w="25400">
              <a:noFill/>
            </a:ln>
          </c:spPr>
          <c:cat>
            <c:multiLvlStrRef>
              <c:f>IX.c!$F$169:$O$169</c:f>
            </c:multiLvlStrRef>
          </c:cat>
          <c:val>
            <c:numRef>
              <c:f>IX.c!$F$182:$O$182</c:f>
            </c:numRef>
          </c:val>
        </c:ser>
        <c:axId val="114577408"/>
        <c:axId val="114578944"/>
      </c:areaChart>
      <c:catAx>
        <c:axId val="114577408"/>
        <c:scaling>
          <c:orientation val="minMax"/>
        </c:scaling>
        <c:axPos val="b"/>
        <c:numFmt formatCode="General" sourceLinked="1"/>
        <c:tickLblPos val="nextTo"/>
        <c:txPr>
          <a:bodyPr/>
          <a:lstStyle/>
          <a:p>
            <a:pPr>
              <a:defRPr lang="en-US"/>
            </a:pPr>
            <a:endParaRPr lang="en-US"/>
          </a:p>
        </c:txPr>
        <c:crossAx val="114578944"/>
        <c:crosses val="autoZero"/>
        <c:auto val="1"/>
        <c:lblAlgn val="ctr"/>
        <c:lblOffset val="100"/>
      </c:catAx>
      <c:valAx>
        <c:axId val="114578944"/>
        <c:scaling>
          <c:orientation val="minMax"/>
          <c:max val="1"/>
        </c:scaling>
        <c:axPos val="l"/>
        <c:majorGridlines>
          <c:spPr>
            <a:ln>
              <a:solidFill>
                <a:schemeClr val="accent1">
                  <a:lumMod val="20000"/>
                  <a:lumOff val="80000"/>
                </a:schemeClr>
              </a:solidFill>
            </a:ln>
          </c:spPr>
        </c:majorGridlines>
        <c:numFmt formatCode="0%;\ \(0%\);\ \-" sourceLinked="1"/>
        <c:tickLblPos val="nextTo"/>
        <c:spPr>
          <a:ln>
            <a:noFill/>
          </a:ln>
        </c:spPr>
        <c:txPr>
          <a:bodyPr/>
          <a:lstStyle/>
          <a:p>
            <a:pPr>
              <a:defRPr lang="en-US"/>
            </a:pPr>
            <a:endParaRPr lang="en-US"/>
          </a:p>
        </c:txPr>
        <c:crossAx val="114577408"/>
        <c:crosses val="autoZero"/>
        <c:crossBetween val="midCat"/>
        <c:majorUnit val="0.2"/>
      </c:valAx>
    </c:plotArea>
    <c:legend>
      <c:legendPos val="r"/>
      <c:txPr>
        <a:bodyPr/>
        <a:lstStyle/>
        <a:p>
          <a:pPr>
            <a:defRPr lang="en-US"/>
          </a:pPr>
          <a:endParaRPr lang="en-US"/>
        </a:p>
      </c:txPr>
    </c:legend>
    <c:plotVisOnly val="1"/>
    <c:dispBlanksAs val="zero"/>
  </c:chart>
  <c:spPr>
    <a:ln>
      <a:noFill/>
    </a:ln>
  </c:spPr>
  <c:printSettings>
    <c:headerFooter/>
    <c:pageMargins b="0.75000000000001277" l="0.70000000000000062" r="0.70000000000000062" t="0.750000000000012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29613619352103E-2"/>
          <c:y val="9.8599422378191304E-2"/>
          <c:w val="0.533200652187799"/>
          <c:h val="0.61558223770577425"/>
        </c:manualLayout>
      </c:layout>
      <c:areaChart>
        <c:grouping val="stacked"/>
        <c:ser>
          <c:idx val="4"/>
          <c:order val="0"/>
          <c:tx>
            <c:strRef>
              <c:f>IX.c!$D$189</c:f>
              <c:strCache>
                <c:ptCount val="1"/>
                <c:pt idx="0">
                  <c:v>Absorption chiller</c:v>
                </c:pt>
              </c:strCache>
            </c:strRef>
          </c:tx>
          <c:spPr>
            <a:ln w="25400">
              <a:noFill/>
            </a:ln>
          </c:spPr>
          <c:val>
            <c:numRef>
              <c:f>IX.c!$F$189:$O$189</c:f>
            </c:numRef>
          </c:val>
        </c:ser>
        <c:ser>
          <c:idx val="2"/>
          <c:order val="1"/>
          <c:tx>
            <c:strRef>
              <c:f>IX.c!$D$188</c:f>
              <c:strCache>
                <c:ptCount val="1"/>
                <c:pt idx="0">
                  <c:v>Electric air conditioner (new)</c:v>
                </c:pt>
              </c:strCache>
            </c:strRef>
          </c:tx>
          <c:cat>
            <c:multiLvlStrRef>
              <c:f>IX.c!$F$186:$O$186</c:f>
            </c:multiLvlStrRef>
          </c:cat>
          <c:val>
            <c:numRef>
              <c:f>IX.c!$F$188:$O$188</c:f>
            </c:numRef>
          </c:val>
        </c:ser>
        <c:ser>
          <c:idx val="0"/>
          <c:order val="2"/>
          <c:tx>
            <c:strRef>
              <c:f>IX.c!$D$187</c:f>
              <c:strCache>
                <c:ptCount val="1"/>
                <c:pt idx="0">
                  <c:v>Electric air conditioner (old)</c:v>
                </c:pt>
              </c:strCache>
            </c:strRef>
          </c:tx>
          <c:spPr>
            <a:ln w="25400">
              <a:noFill/>
            </a:ln>
          </c:spPr>
          <c:val>
            <c:numRef>
              <c:f>IX.c!$F$187:$O$187</c:f>
            </c:numRef>
          </c:val>
        </c:ser>
        <c:axId val="114616576"/>
        <c:axId val="114622464"/>
      </c:areaChart>
      <c:catAx>
        <c:axId val="114616576"/>
        <c:scaling>
          <c:orientation val="minMax"/>
        </c:scaling>
        <c:axPos val="b"/>
        <c:numFmt formatCode="General" sourceLinked="1"/>
        <c:tickLblPos val="nextTo"/>
        <c:txPr>
          <a:bodyPr/>
          <a:lstStyle/>
          <a:p>
            <a:pPr>
              <a:defRPr lang="en-US"/>
            </a:pPr>
            <a:endParaRPr lang="en-US"/>
          </a:p>
        </c:txPr>
        <c:crossAx val="114622464"/>
        <c:crosses val="autoZero"/>
        <c:auto val="1"/>
        <c:lblAlgn val="ctr"/>
        <c:lblOffset val="100"/>
      </c:catAx>
      <c:valAx>
        <c:axId val="114622464"/>
        <c:scaling>
          <c:orientation val="minMax"/>
          <c:max val="1"/>
        </c:scaling>
        <c:axPos val="l"/>
        <c:majorGridlines>
          <c:spPr>
            <a:ln>
              <a:solidFill>
                <a:schemeClr val="accent1">
                  <a:lumMod val="20000"/>
                  <a:lumOff val="80000"/>
                </a:schemeClr>
              </a:solidFill>
            </a:ln>
          </c:spPr>
        </c:majorGridlines>
        <c:numFmt formatCode="0%" sourceLinked="0"/>
        <c:tickLblPos val="nextTo"/>
        <c:spPr>
          <a:ln>
            <a:noFill/>
          </a:ln>
        </c:spPr>
        <c:txPr>
          <a:bodyPr/>
          <a:lstStyle/>
          <a:p>
            <a:pPr>
              <a:defRPr lang="en-US"/>
            </a:pPr>
            <a:endParaRPr lang="en-US"/>
          </a:p>
        </c:txPr>
        <c:crossAx val="114616576"/>
        <c:crosses val="autoZero"/>
        <c:crossBetween val="midCat"/>
        <c:majorUnit val="0.2"/>
      </c:valAx>
    </c:plotArea>
    <c:legend>
      <c:legendPos val="r"/>
      <c:layout>
        <c:manualLayout>
          <c:xMode val="edge"/>
          <c:yMode val="edge"/>
          <c:x val="0.61561696732678461"/>
          <c:y val="0.10554231799690016"/>
          <c:w val="0.37332949409028243"/>
          <c:h val="0.78891536400619966"/>
        </c:manualLayout>
      </c:layout>
      <c:txPr>
        <a:bodyPr/>
        <a:lstStyle/>
        <a:p>
          <a:pPr>
            <a:defRPr lang="en-US"/>
          </a:pPr>
          <a:endParaRPr lang="en-US"/>
        </a:p>
      </c:txPr>
    </c:legend>
    <c:plotVisOnly val="1"/>
    <c:dispBlanksAs val="zero"/>
  </c:chart>
  <c:spPr>
    <a:ln>
      <a:noFill/>
    </a:ln>
  </c:spPr>
  <c:printSettings>
    <c:headerFooter/>
    <c:pageMargins b="0.75000000000001288" l="0.70000000000000062" r="0.70000000000000062" t="0.7500000000000128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style val="10"/>
  <c:chart>
    <c:title>
      <c:tx>
        <c:rich>
          <a:bodyPr/>
          <a:lstStyle/>
          <a:p>
            <a:pPr>
              <a:defRPr lang="en-US"/>
            </a:pPr>
            <a:r>
              <a:rPr lang="en-GB"/>
              <a:t>Primary supply</a:t>
            </a:r>
          </a:p>
        </c:rich>
      </c:tx>
      <c:layout>
        <c:manualLayout>
          <c:xMode val="edge"/>
          <c:yMode val="edge"/>
          <c:x val="0.28384883677568723"/>
          <c:y val="4.0551399279578806E-2"/>
        </c:manualLayout>
      </c:layout>
    </c:title>
    <c:plotArea>
      <c:layout>
        <c:manualLayout>
          <c:layoutTarget val="inner"/>
          <c:xMode val="edge"/>
          <c:yMode val="edge"/>
          <c:x val="0.11514510324896426"/>
          <c:y val="0.14293864860339744"/>
          <c:w val="0.61502812487767344"/>
          <c:h val="0.74672293785685562"/>
        </c:manualLayout>
      </c:layout>
      <c:areaChart>
        <c:grouping val="stacked"/>
        <c:ser>
          <c:idx val="0"/>
          <c:order val="0"/>
          <c:tx>
            <c:strRef>
              <c:f>'Intermediate output'!$D$7</c:f>
              <c:strCache>
                <c:ptCount val="1"/>
                <c:pt idx="0">
                  <c:v>Road transport</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output'!$E$7:$Q$7</c:f>
            </c:numRef>
          </c:val>
        </c:ser>
        <c:ser>
          <c:idx val="1"/>
          <c:order val="1"/>
          <c:tx>
            <c:strRef>
              <c:f>'Intermediate output'!$D$8</c:f>
              <c:strCache>
                <c:ptCount val="1"/>
                <c:pt idx="0">
                  <c:v>Rail transport</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output'!$E$8:$Q$8</c:f>
            </c:numRef>
          </c:val>
        </c:ser>
        <c:ser>
          <c:idx val="2"/>
          <c:order val="2"/>
          <c:tx>
            <c:strRef>
              <c:f>'Intermediate output'!$D$9</c:f>
              <c:strCache>
                <c:ptCount val="1"/>
                <c:pt idx="0">
                  <c:v>Domestic aviation</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output'!$E$9:$Q$9</c:f>
            </c:numRef>
          </c:val>
        </c:ser>
        <c:ser>
          <c:idx val="3"/>
          <c:order val="3"/>
          <c:tx>
            <c:strRef>
              <c:f>'Intermediate output'!$D$10</c:f>
              <c:strCache>
                <c:ptCount val="1"/>
                <c:pt idx="0">
                  <c:v>National navigation</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output'!$E$10:$Q$10</c:f>
            </c:numRef>
          </c:val>
        </c:ser>
        <c:ser>
          <c:idx val="4"/>
          <c:order val="4"/>
          <c:tx>
            <c:strRef>
              <c:f>'Intermediate output'!$D$11</c:f>
              <c:strCache>
                <c:ptCount val="1"/>
                <c:pt idx="0">
                  <c:v>International aviation</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output'!$E$11:$Q$11</c:f>
            </c:numRef>
          </c:val>
        </c:ser>
        <c:ser>
          <c:idx val="5"/>
          <c:order val="5"/>
          <c:tx>
            <c:strRef>
              <c:f>'Intermediate output'!$D$12</c:f>
              <c:strCache>
                <c:ptCount val="1"/>
                <c:pt idx="0">
                  <c:v>International shipping</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output'!$E$12:$Q$12</c:f>
            </c:numRef>
          </c:val>
        </c:ser>
        <c:ser>
          <c:idx val="6"/>
          <c:order val="6"/>
          <c:tx>
            <c:strRef>
              <c:f>'Intermediate output'!$D$31</c:f>
              <c:strCache>
                <c:ptCount val="1"/>
                <c:pt idx="0">
                  <c:v>Primary electricity, solar, marine, and net imports</c:v>
                </c:pt>
              </c:strCache>
            </c:strRef>
          </c:tx>
          <c:spPr>
            <a:solidFill>
              <a:schemeClr val="accent1">
                <a:lumMod val="60000"/>
                <a:lumOff val="40000"/>
              </a:schemeClr>
            </a:solidFill>
            <a:effectLst/>
          </c:spPr>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output'!$H$31:$Q$31</c:f>
              <c:numCache>
                <c:formatCode>#,##0.0_);\(#,##0.0\);"-"_);@</c:formatCode>
                <c:ptCount val="10"/>
                <c:pt idx="0">
                  <c:v>179.22488683861556</c:v>
                </c:pt>
                <c:pt idx="1">
                  <c:v>180.51346149065751</c:v>
                </c:pt>
                <c:pt idx="2">
                  <c:v>169.70561868542461</c:v>
                </c:pt>
                <c:pt idx="3">
                  <c:v>126.92407412739723</c:v>
                </c:pt>
                <c:pt idx="4">
                  <c:v>85.666955168493175</c:v>
                </c:pt>
                <c:pt idx="5">
                  <c:v>75.020648168493111</c:v>
                </c:pt>
                <c:pt idx="6">
                  <c:v>33.883658099999948</c:v>
                </c:pt>
                <c:pt idx="7">
                  <c:v>18.981458100000001</c:v>
                </c:pt>
                <c:pt idx="8">
                  <c:v>5.6133081000000011</c:v>
                </c:pt>
                <c:pt idx="9">
                  <c:v>5.613308100000058</c:v>
                </c:pt>
              </c:numCache>
            </c:numRef>
          </c:val>
        </c:ser>
        <c:ser>
          <c:idx val="7"/>
          <c:order val="7"/>
          <c:tx>
            <c:strRef>
              <c:f>'Intermediate output'!$D$32</c:f>
              <c:strCache>
                <c:ptCount val="1"/>
                <c:pt idx="0">
                  <c:v>Environmental heat</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output'!$H$32:$Q$32</c:f>
              <c:numCache>
                <c:formatCode>#,##0.0_);\(#,##0.0\);"-"_);@</c:formatCode>
                <c:ptCount val="10"/>
                <c:pt idx="0">
                  <c:v>0</c:v>
                </c:pt>
                <c:pt idx="1">
                  <c:v>0</c:v>
                </c:pt>
                <c:pt idx="2">
                  <c:v>0</c:v>
                </c:pt>
                <c:pt idx="3">
                  <c:v>0</c:v>
                </c:pt>
                <c:pt idx="4">
                  <c:v>0</c:v>
                </c:pt>
                <c:pt idx="5">
                  <c:v>0</c:v>
                </c:pt>
                <c:pt idx="6">
                  <c:v>0</c:v>
                </c:pt>
                <c:pt idx="7">
                  <c:v>0</c:v>
                </c:pt>
                <c:pt idx="8">
                  <c:v>0</c:v>
                </c:pt>
                <c:pt idx="9">
                  <c:v>0</c:v>
                </c:pt>
              </c:numCache>
            </c:numRef>
          </c:val>
        </c:ser>
        <c:ser>
          <c:idx val="8"/>
          <c:order val="8"/>
          <c:tx>
            <c:strRef>
              <c:f>'Intermediate output'!$D$36</c:f>
              <c:strCache>
                <c:ptCount val="1"/>
                <c:pt idx="0">
                  <c:v>Agriculture, waste, and biomatter imports</c:v>
                </c:pt>
              </c:strCache>
            </c:strRef>
          </c:tx>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output'!$H$36:$Q$36</c:f>
              <c:numCache>
                <c:formatCode>#,##0.0_);\(#,##0.0\);"-"_);@</c:formatCode>
                <c:ptCount val="10"/>
                <c:pt idx="0">
                  <c:v>70.949028130756432</c:v>
                </c:pt>
                <c:pt idx="1">
                  <c:v>83.773157740859332</c:v>
                </c:pt>
                <c:pt idx="2">
                  <c:v>123.45997016676208</c:v>
                </c:pt>
                <c:pt idx="3">
                  <c:v>170.43350561959289</c:v>
                </c:pt>
                <c:pt idx="4">
                  <c:v>197.58381376394567</c:v>
                </c:pt>
                <c:pt idx="5">
                  <c:v>217.98908385242413</c:v>
                </c:pt>
                <c:pt idx="6">
                  <c:v>244.00256199257785</c:v>
                </c:pt>
                <c:pt idx="7">
                  <c:v>273.25275878728661</c:v>
                </c:pt>
                <c:pt idx="8">
                  <c:v>299.51788637600964</c:v>
                </c:pt>
                <c:pt idx="9">
                  <c:v>328.07208317312518</c:v>
                </c:pt>
              </c:numCache>
            </c:numRef>
          </c:val>
        </c:ser>
        <c:ser>
          <c:idx val="9"/>
          <c:order val="9"/>
          <c:tx>
            <c:strRef>
              <c:f>'Intermediate output'!$D$39</c:f>
              <c:strCache>
                <c:ptCount val="1"/>
                <c:pt idx="0">
                  <c:v>Coal</c:v>
                </c:pt>
              </c:strCache>
            </c:strRef>
          </c:tx>
          <c:spPr>
            <a:solidFill>
              <a:schemeClr val="bg2">
                <a:lumMod val="25000"/>
              </a:schemeClr>
            </a:solidFill>
            <a:effectLst/>
          </c:spPr>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output'!$H$39:$Q$39</c:f>
              <c:numCache>
                <c:formatCode>#,##0.0_);\(#,##0.0\);"-"_);@</c:formatCode>
                <c:ptCount val="10"/>
                <c:pt idx="0">
                  <c:v>400.92807953732461</c:v>
                </c:pt>
                <c:pt idx="1">
                  <c:v>379.76597567116818</c:v>
                </c:pt>
                <c:pt idx="2">
                  <c:v>241.86998643630537</c:v>
                </c:pt>
                <c:pt idx="3">
                  <c:v>128.09898610495765</c:v>
                </c:pt>
                <c:pt idx="4">
                  <c:v>3.0907862736342366</c:v>
                </c:pt>
                <c:pt idx="5">
                  <c:v>-8.1531626603632787</c:v>
                </c:pt>
                <c:pt idx="6">
                  <c:v>-20.305702414817006</c:v>
                </c:pt>
                <c:pt idx="7">
                  <c:v>-33.890960634695148</c:v>
                </c:pt>
                <c:pt idx="8">
                  <c:v>-43.134021702986956</c:v>
                </c:pt>
                <c:pt idx="9">
                  <c:v>-52.935284671695172</c:v>
                </c:pt>
              </c:numCache>
            </c:numRef>
          </c:val>
        </c:ser>
        <c:ser>
          <c:idx val="10"/>
          <c:order val="10"/>
          <c:tx>
            <c:strRef>
              <c:f>'Intermediate output'!$D$43</c:f>
              <c:strCache>
                <c:ptCount val="1"/>
                <c:pt idx="0">
                  <c:v>Oil and petroleum products</c:v>
                </c:pt>
              </c:strCache>
            </c:strRef>
          </c:tx>
          <c:spPr>
            <a:solidFill>
              <a:schemeClr val="bg2">
                <a:lumMod val="50000"/>
              </a:schemeClr>
            </a:solidFill>
          </c:spPr>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output'!$H$43:$Q$43</c:f>
              <c:numCache>
                <c:formatCode>#,##0.0_);\(#,##0.0\);"-"_);@</c:formatCode>
                <c:ptCount val="10"/>
                <c:pt idx="0">
                  <c:v>875.29826266475266</c:v>
                </c:pt>
                <c:pt idx="1">
                  <c:v>879.88654710744879</c:v>
                </c:pt>
                <c:pt idx="2">
                  <c:v>861.54937235318141</c:v>
                </c:pt>
                <c:pt idx="3">
                  <c:v>855.49601977451869</c:v>
                </c:pt>
                <c:pt idx="4">
                  <c:v>827.07383830358731</c:v>
                </c:pt>
                <c:pt idx="5">
                  <c:v>796.97441639052499</c:v>
                </c:pt>
                <c:pt idx="6">
                  <c:v>795.10578931526902</c:v>
                </c:pt>
                <c:pt idx="7">
                  <c:v>788.99093031521011</c:v>
                </c:pt>
                <c:pt idx="8">
                  <c:v>786.52173302619337</c:v>
                </c:pt>
                <c:pt idx="9">
                  <c:v>786.05031450159186</c:v>
                </c:pt>
              </c:numCache>
            </c:numRef>
          </c:val>
        </c:ser>
        <c:ser>
          <c:idx val="11"/>
          <c:order val="11"/>
          <c:tx>
            <c:strRef>
              <c:f>'Intermediate output'!$D$46</c:f>
              <c:strCache>
                <c:ptCount val="1"/>
                <c:pt idx="0">
                  <c:v>Natural gas</c:v>
                </c:pt>
              </c:strCache>
            </c:strRef>
          </c:tx>
          <c:spPr>
            <a:solidFill>
              <a:schemeClr val="bg2">
                <a:lumMod val="90000"/>
              </a:schemeClr>
            </a:solidFill>
          </c:spPr>
          <c:val>
            <c:numRef>
              <c:f>'Intermediate output'!$H$46:$Q$46</c:f>
              <c:numCache>
                <c:formatCode>#,##0.0_);\(#,##0.0\);"-"_);@</c:formatCode>
                <c:ptCount val="10"/>
                <c:pt idx="0">
                  <c:v>1008.1919216008305</c:v>
                </c:pt>
                <c:pt idx="1">
                  <c:v>1038.7836208262938</c:v>
                </c:pt>
                <c:pt idx="2">
                  <c:v>1147.1123064638814</c:v>
                </c:pt>
                <c:pt idx="3">
                  <c:v>1248.1539285827585</c:v>
                </c:pt>
                <c:pt idx="4">
                  <c:v>1378.9428737818355</c:v>
                </c:pt>
                <c:pt idx="5">
                  <c:v>1451.5364589777619</c:v>
                </c:pt>
                <c:pt idx="6">
                  <c:v>1545.6001830162397</c:v>
                </c:pt>
                <c:pt idx="7">
                  <c:v>1627.806060079592</c:v>
                </c:pt>
                <c:pt idx="8">
                  <c:v>1712.8141656029861</c:v>
                </c:pt>
                <c:pt idx="9">
                  <c:v>1777.3090420699018</c:v>
                </c:pt>
              </c:numCache>
            </c:numRef>
          </c:val>
        </c:ser>
        <c:ser>
          <c:idx val="12"/>
          <c:order val="12"/>
          <c:tx>
            <c:strRef>
              <c:f>'Intermediate output'!$D$49</c:f>
              <c:strCache>
                <c:ptCount val="1"/>
                <c:pt idx="0">
                  <c:v>Dummy for charting supply</c:v>
                </c:pt>
              </c:strCache>
            </c:strRef>
          </c:tx>
          <c:spPr>
            <a:noFill/>
            <a:ln>
              <a:noFill/>
            </a:ln>
          </c:spPr>
          <c:val>
            <c:numRef>
              <c:f>'Intermediate output'!$H$49:$Q$49</c:f>
              <c:numCache>
                <c:formatCode>#,##0.0_);\(#,##0.0\);"-"_);@</c:formatCode>
                <c:ptCount val="10"/>
                <c:pt idx="0">
                  <c:v>0</c:v>
                </c:pt>
                <c:pt idx="1">
                  <c:v>0</c:v>
                </c:pt>
                <c:pt idx="2">
                  <c:v>0</c:v>
                </c:pt>
                <c:pt idx="3">
                  <c:v>0</c:v>
                </c:pt>
                <c:pt idx="4">
                  <c:v>0</c:v>
                </c:pt>
                <c:pt idx="5">
                  <c:v>0</c:v>
                </c:pt>
                <c:pt idx="6">
                  <c:v>0</c:v>
                </c:pt>
                <c:pt idx="7">
                  <c:v>0</c:v>
                </c:pt>
                <c:pt idx="8">
                  <c:v>0</c:v>
                </c:pt>
                <c:pt idx="9">
                  <c:v>0</c:v>
                </c:pt>
              </c:numCache>
            </c:numRef>
          </c:val>
        </c:ser>
        <c:axId val="106532224"/>
        <c:axId val="106542208"/>
      </c:areaChart>
      <c:catAx>
        <c:axId val="106532224"/>
        <c:scaling>
          <c:orientation val="minMax"/>
        </c:scaling>
        <c:axPos val="b"/>
        <c:numFmt formatCode="General" sourceLinked="1"/>
        <c:tickLblPos val="nextTo"/>
        <c:txPr>
          <a:bodyPr/>
          <a:lstStyle/>
          <a:p>
            <a:pPr>
              <a:defRPr lang="en-US" sz="1200"/>
            </a:pPr>
            <a:endParaRPr lang="en-US"/>
          </a:p>
        </c:txPr>
        <c:crossAx val="106542208"/>
        <c:crosses val="autoZero"/>
        <c:auto val="1"/>
        <c:lblAlgn val="ctr"/>
        <c:lblOffset val="100"/>
      </c:catAx>
      <c:valAx>
        <c:axId val="106542208"/>
        <c:scaling>
          <c:orientation val="minMax"/>
        </c:scaling>
        <c:axPos val="l"/>
        <c:majorGridlines>
          <c:spPr>
            <a:ln>
              <a:solidFill>
                <a:schemeClr val="accent1">
                  <a:lumMod val="20000"/>
                  <a:lumOff val="80000"/>
                </a:schemeClr>
              </a:solidFill>
            </a:ln>
          </c:spPr>
        </c:majorGridlines>
        <c:title>
          <c:tx>
            <c:strRef>
              <c:f>'Intermediate output'!$D$4</c:f>
              <c:strCache>
                <c:ptCount val="1"/>
                <c:pt idx="0">
                  <c:v>TWh / year</c:v>
                </c:pt>
              </c:strCache>
            </c:strRef>
          </c:tx>
          <c:txPr>
            <a:bodyPr rot="-5400000" vert="horz"/>
            <a:lstStyle/>
            <a:p>
              <a:pPr>
                <a:defRPr lang="en-US" sz="1200"/>
              </a:pPr>
              <a:endParaRPr lang="en-US"/>
            </a:p>
          </c:txPr>
        </c:title>
        <c:numFmt formatCode="#,##0" sourceLinked="0"/>
        <c:tickLblPos val="nextTo"/>
        <c:spPr>
          <a:ln>
            <a:noFill/>
          </a:ln>
        </c:spPr>
        <c:txPr>
          <a:bodyPr/>
          <a:lstStyle/>
          <a:p>
            <a:pPr>
              <a:defRPr lang="en-US" sz="1200"/>
            </a:pPr>
            <a:endParaRPr lang="en-US"/>
          </a:p>
        </c:txPr>
        <c:crossAx val="106532224"/>
        <c:crosses val="autoZero"/>
        <c:crossBetween val="midCat"/>
      </c:valAx>
      <c:spPr>
        <a:noFill/>
      </c:spPr>
    </c:plotArea>
    <c:legend>
      <c:legendPos val="r"/>
      <c:legendEntry>
        <c:idx val="0"/>
        <c:delete val="1"/>
      </c:legendEntry>
      <c:layout>
        <c:manualLayout>
          <c:xMode val="edge"/>
          <c:yMode val="edge"/>
          <c:x val="0.72821940744359492"/>
          <c:y val="0.10208391059388565"/>
          <c:w val="0.27178059255644088"/>
          <c:h val="0.77136787660482065"/>
        </c:manualLayout>
      </c:layout>
      <c:txPr>
        <a:bodyPr/>
        <a:lstStyle/>
        <a:p>
          <a:pPr>
            <a:defRPr lang="en-US" sz="1200"/>
          </a:pPr>
          <a:endParaRPr lang="en-US"/>
        </a:p>
      </c:txPr>
    </c:legend>
    <c:plotVisOnly val="1"/>
    <c:dispBlanksAs val="zero"/>
  </c:chart>
  <c:spPr>
    <a:noFill/>
    <a:ln>
      <a:noFill/>
    </a:ln>
  </c:spPr>
  <c:txPr>
    <a:bodyPr/>
    <a:lstStyle/>
    <a:p>
      <a:pPr>
        <a:defRPr>
          <a:latin typeface="+mj-lt"/>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style val="10"/>
  <c:chart>
    <c:title>
      <c:tx>
        <c:rich>
          <a:bodyPr/>
          <a:lstStyle/>
          <a:p>
            <a:pPr>
              <a:defRPr lang="en-US"/>
            </a:pPr>
            <a:r>
              <a:rPr lang="en-GB"/>
              <a:t>Electricity generation</a:t>
            </a:r>
          </a:p>
        </c:rich>
      </c:tx>
      <c:layout>
        <c:manualLayout>
          <c:xMode val="edge"/>
          <c:yMode val="edge"/>
          <c:x val="0.19056903184720569"/>
          <c:y val="2.37598231827112E-2"/>
        </c:manualLayout>
      </c:layout>
    </c:title>
    <c:plotArea>
      <c:layout>
        <c:manualLayout>
          <c:layoutTarget val="inner"/>
          <c:xMode val="edge"/>
          <c:yMode val="edge"/>
          <c:x val="9.2313902765380304E-2"/>
          <c:y val="0.14293864860339744"/>
          <c:w val="0.6433838861019906"/>
          <c:h val="0.74672293785685562"/>
        </c:manualLayout>
      </c:layout>
      <c:areaChart>
        <c:grouping val="stacked"/>
        <c:ser>
          <c:idx val="6"/>
          <c:order val="0"/>
          <c:tx>
            <c:strRef>
              <c:f>'Intermediate output'!$D$99</c:f>
              <c:strCache>
                <c:ptCount val="1"/>
                <c:pt idx="0">
                  <c:v>Unabated thermal generation</c:v>
                </c:pt>
              </c:strCache>
            </c:strRef>
          </c:tx>
          <c:spPr>
            <a:solidFill>
              <a:schemeClr val="bg1">
                <a:lumMod val="50000"/>
              </a:schemeClr>
            </a:solidFill>
            <a:effectLst/>
          </c:spPr>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output'!$H$99:$Q$99</c:f>
              <c:numCache>
                <c:formatCode>#,##0.0_);\(#,##0.0\);"-"_);@</c:formatCode>
                <c:ptCount val="10"/>
                <c:pt idx="0">
                  <c:v>310.84555353950748</c:v>
                </c:pt>
                <c:pt idx="1">
                  <c:v>317.11022819979797</c:v>
                </c:pt>
                <c:pt idx="2">
                  <c:v>321.84468626164545</c:v>
                </c:pt>
                <c:pt idx="3">
                  <c:v>327.88120350936583</c:v>
                </c:pt>
                <c:pt idx="4">
                  <c:v>342.46656545275857</c:v>
                </c:pt>
                <c:pt idx="5">
                  <c:v>362.93040558124227</c:v>
                </c:pt>
                <c:pt idx="6">
                  <c:v>398.31448335383675</c:v>
                </c:pt>
                <c:pt idx="7">
                  <c:v>426.45622963888565</c:v>
                </c:pt>
                <c:pt idx="8">
                  <c:v>454.38263962527992</c:v>
                </c:pt>
                <c:pt idx="9">
                  <c:v>470.71349267598947</c:v>
                </c:pt>
              </c:numCache>
            </c:numRef>
          </c:val>
        </c:ser>
        <c:ser>
          <c:idx val="7"/>
          <c:order val="1"/>
          <c:tx>
            <c:strRef>
              <c:f>'Intermediate output'!$D$100</c:f>
              <c:strCache>
                <c:ptCount val="1"/>
                <c:pt idx="0">
                  <c:v>Combustion + CCS</c:v>
                </c:pt>
              </c:strCache>
            </c:strRef>
          </c:tx>
          <c:spPr>
            <a:effectLst/>
          </c:spPr>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output'!$H$100:$Q$100</c:f>
              <c:numCache>
                <c:formatCode>#,##0.0_);\(#,##0.0\);"-"_);@</c:formatCode>
                <c:ptCount val="10"/>
                <c:pt idx="0">
                  <c:v>0</c:v>
                </c:pt>
                <c:pt idx="1">
                  <c:v>0</c:v>
                </c:pt>
                <c:pt idx="2">
                  <c:v>1.6778124000000003</c:v>
                </c:pt>
                <c:pt idx="3">
                  <c:v>9.3147516000000028</c:v>
                </c:pt>
                <c:pt idx="4">
                  <c:v>9.4015350000000026</c:v>
                </c:pt>
                <c:pt idx="5">
                  <c:v>9.4883184000000043</c:v>
                </c:pt>
                <c:pt idx="6">
                  <c:v>9.5751018000000041</c:v>
                </c:pt>
                <c:pt idx="7">
                  <c:v>9.6618852000000039</c:v>
                </c:pt>
                <c:pt idx="8">
                  <c:v>9.748668600000002</c:v>
                </c:pt>
                <c:pt idx="9">
                  <c:v>9.8354520000000019</c:v>
                </c:pt>
              </c:numCache>
            </c:numRef>
          </c:val>
        </c:ser>
        <c:ser>
          <c:idx val="8"/>
          <c:order val="2"/>
          <c:tx>
            <c:strRef>
              <c:f>'Intermediate output'!$D$101</c:f>
              <c:strCache>
                <c:ptCount val="1"/>
                <c:pt idx="0">
                  <c:v>Nuclear power</c:v>
                </c:pt>
              </c:strCache>
            </c:strRef>
          </c:tx>
          <c:spPr>
            <a:solidFill>
              <a:schemeClr val="accent4">
                <a:lumMod val="60000"/>
                <a:lumOff val="40000"/>
              </a:schemeClr>
            </a:solidFill>
            <a:effectLst/>
          </c:spPr>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output'!$H$101:$Q$101</c:f>
              <c:numCache>
                <c:formatCode>#,##0.0_);\(#,##0.0\);"-"_);@</c:formatCode>
                <c:ptCount val="10"/>
                <c:pt idx="0">
                  <c:v>57.469895999999999</c:v>
                </c:pt>
                <c:pt idx="1">
                  <c:v>52.595999999999997</c:v>
                </c:pt>
                <c:pt idx="2">
                  <c:v>44.180639999999997</c:v>
                </c:pt>
                <c:pt idx="3">
                  <c:v>25.246080000000006</c:v>
                </c:pt>
                <c:pt idx="4">
                  <c:v>8.4153600000000051</c:v>
                </c:pt>
                <c:pt idx="5">
                  <c:v>8.4153600000000051</c:v>
                </c:pt>
                <c:pt idx="6">
                  <c:v>0</c:v>
                </c:pt>
                <c:pt idx="7">
                  <c:v>0</c:v>
                </c:pt>
                <c:pt idx="8">
                  <c:v>0</c:v>
                </c:pt>
                <c:pt idx="9">
                  <c:v>0</c:v>
                </c:pt>
              </c:numCache>
            </c:numRef>
          </c:val>
        </c:ser>
        <c:ser>
          <c:idx val="9"/>
          <c:order val="3"/>
          <c:tx>
            <c:strRef>
              <c:f>'Intermediate output'!$D$109</c:f>
              <c:strCache>
                <c:ptCount val="1"/>
                <c:pt idx="0">
                  <c:v>Non-thermal renewable generation</c:v>
                </c:pt>
              </c:strCache>
            </c:strRef>
          </c:tx>
          <c:spPr>
            <a:solidFill>
              <a:schemeClr val="accent3"/>
            </a:solidFill>
            <a:effectLst/>
          </c:spPr>
          <c:cat>
            <c:numRef>
              <c:f>'Intermediate output'!$H$4:$Q$4</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output'!$H$109:$Q$109</c:f>
              <c:numCache>
                <c:formatCode>#,##0.0_);\(#,##0.0\);"-"_);@</c:formatCode>
                <c:ptCount val="10"/>
                <c:pt idx="0">
                  <c:v>10.094159451600001</c:v>
                </c:pt>
                <c:pt idx="1">
                  <c:v>19.803461490657536</c:v>
                </c:pt>
                <c:pt idx="2">
                  <c:v>34.709218685424659</c:v>
                </c:pt>
                <c:pt idx="3">
                  <c:v>49.78327412739727</c:v>
                </c:pt>
                <c:pt idx="4">
                  <c:v>59.953355168493147</c:v>
                </c:pt>
                <c:pt idx="5">
                  <c:v>49.307048168493147</c:v>
                </c:pt>
                <c:pt idx="6">
                  <c:v>33.883658100000005</c:v>
                </c:pt>
                <c:pt idx="7">
                  <c:v>18.981458100000001</c:v>
                </c:pt>
                <c:pt idx="8">
                  <c:v>5.6133081000000011</c:v>
                </c:pt>
                <c:pt idx="9">
                  <c:v>5.6133081000000011</c:v>
                </c:pt>
              </c:numCache>
            </c:numRef>
          </c:val>
        </c:ser>
        <c:ser>
          <c:idx val="12"/>
          <c:order val="6"/>
          <c:tx>
            <c:strRef>
              <c:f>'Intermediate output'!$D$110</c:f>
              <c:strCache>
                <c:ptCount val="1"/>
                <c:pt idx="0">
                  <c:v>Electricity imports / exports</c:v>
                </c:pt>
              </c:strCache>
            </c:strRef>
          </c:tx>
          <c:spPr>
            <a:solidFill>
              <a:schemeClr val="accent6">
                <a:lumMod val="60000"/>
                <a:lumOff val="40000"/>
              </a:schemeClr>
            </a:solidFill>
          </c:spPr>
          <c:val>
            <c:numRef>
              <c:f>'Intermediate output'!$H$110:$Q$110</c:f>
              <c:numCache>
                <c:formatCode>#,##0.0_);\(#,##0.0\);"-"_);@</c:formatCode>
                <c:ptCount val="10"/>
                <c:pt idx="0">
                  <c:v>5.2145242500000002</c:v>
                </c:pt>
                <c:pt idx="1">
                  <c:v>0</c:v>
                </c:pt>
                <c:pt idx="2">
                  <c:v>0</c:v>
                </c:pt>
                <c:pt idx="3">
                  <c:v>0</c:v>
                </c:pt>
                <c:pt idx="4">
                  <c:v>0</c:v>
                </c:pt>
                <c:pt idx="5">
                  <c:v>0</c:v>
                </c:pt>
                <c:pt idx="6">
                  <c:v>0</c:v>
                </c:pt>
                <c:pt idx="7">
                  <c:v>0</c:v>
                </c:pt>
                <c:pt idx="8">
                  <c:v>0</c:v>
                </c:pt>
                <c:pt idx="9">
                  <c:v>0</c:v>
                </c:pt>
              </c:numCache>
            </c:numRef>
          </c:val>
        </c:ser>
        <c:axId val="106589568"/>
        <c:axId val="106624128"/>
      </c:areaChart>
      <c:lineChart>
        <c:grouping val="standard"/>
        <c:ser>
          <c:idx val="10"/>
          <c:order val="4"/>
          <c:tx>
            <c:v>Domestic demand</c:v>
          </c:tx>
          <c:spPr>
            <a:ln w="57150">
              <a:solidFill>
                <a:srgbClr val="000000">
                  <a:alpha val="50196"/>
                </a:srgbClr>
              </a:solidFill>
            </a:ln>
          </c:spPr>
          <c:marker>
            <c:symbol val="none"/>
          </c:marker>
          <c:cat>
            <c:numRef>
              <c:f>'Intermediate output'!$H$95:$Q$95</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output'!$H$85:$Q$85</c:f>
              <c:numCache>
                <c:formatCode>#,##0.0_);\(#,##0.0\);"-"_);@</c:formatCode>
                <c:ptCount val="10"/>
                <c:pt idx="0">
                  <c:v>381.13960565016595</c:v>
                </c:pt>
                <c:pt idx="1">
                  <c:v>388.24972969011895</c:v>
                </c:pt>
                <c:pt idx="2">
                  <c:v>401.14479360288669</c:v>
                </c:pt>
                <c:pt idx="3">
                  <c:v>410.94812239067085</c:v>
                </c:pt>
                <c:pt idx="4">
                  <c:v>418.94747307226794</c:v>
                </c:pt>
                <c:pt idx="5">
                  <c:v>428.83730137822869</c:v>
                </c:pt>
                <c:pt idx="6">
                  <c:v>440.4527457849822</c:v>
                </c:pt>
                <c:pt idx="7">
                  <c:v>453.76034724046235</c:v>
                </c:pt>
                <c:pt idx="8">
                  <c:v>468.38468780060123</c:v>
                </c:pt>
                <c:pt idx="9">
                  <c:v>484.77970938998772</c:v>
                </c:pt>
              </c:numCache>
            </c:numRef>
          </c:val>
        </c:ser>
        <c:ser>
          <c:idx val="11"/>
          <c:order val="5"/>
          <c:tx>
            <c:v>Dummy</c:v>
          </c:tx>
          <c:spPr>
            <a:ln>
              <a:noFill/>
            </a:ln>
          </c:spPr>
          <c:marker>
            <c:symbol val="none"/>
          </c:marker>
          <c:cat>
            <c:numRef>
              <c:f>'Intermediate output'!$H$95:$Q$95</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output'!$H$86:$Q$86</c:f>
              <c:numCache>
                <c:formatCode>#,##0.0_);\(#,##0.0\);"-"_);@</c:formatCode>
                <c:ptCount val="10"/>
                <c:pt idx="0">
                  <c:v>383.62413324110747</c:v>
                </c:pt>
                <c:pt idx="1">
                  <c:v>389.5096896904555</c:v>
                </c:pt>
                <c:pt idx="2">
                  <c:v>402.4123573470701</c:v>
                </c:pt>
                <c:pt idx="3">
                  <c:v>412.22530923676311</c:v>
                </c:pt>
                <c:pt idx="4">
                  <c:v>420.23681562125176</c:v>
                </c:pt>
                <c:pt idx="5">
                  <c:v>430.14113214973548</c:v>
                </c:pt>
                <c:pt idx="6">
                  <c:v>441.77324325383677</c:v>
                </c:pt>
                <c:pt idx="7">
                  <c:v>455.09957293888567</c:v>
                </c:pt>
                <c:pt idx="8">
                  <c:v>469.74461632527988</c:v>
                </c:pt>
                <c:pt idx="9">
                  <c:v>486.16225277598943</c:v>
                </c:pt>
              </c:numCache>
            </c:numRef>
          </c:val>
        </c:ser>
        <c:marker val="1"/>
        <c:axId val="106631936"/>
        <c:axId val="106626048"/>
      </c:lineChart>
      <c:catAx>
        <c:axId val="106589568"/>
        <c:scaling>
          <c:orientation val="minMax"/>
        </c:scaling>
        <c:axPos val="b"/>
        <c:numFmt formatCode="General" sourceLinked="1"/>
        <c:tickLblPos val="nextTo"/>
        <c:txPr>
          <a:bodyPr/>
          <a:lstStyle/>
          <a:p>
            <a:pPr>
              <a:defRPr lang="en-US" sz="1200"/>
            </a:pPr>
            <a:endParaRPr lang="en-US"/>
          </a:p>
        </c:txPr>
        <c:crossAx val="106624128"/>
        <c:crosses val="autoZero"/>
        <c:auto val="1"/>
        <c:lblAlgn val="ctr"/>
        <c:lblOffset val="100"/>
      </c:catAx>
      <c:valAx>
        <c:axId val="106624128"/>
        <c:scaling>
          <c:orientation val="minMax"/>
        </c:scaling>
        <c:axPos val="l"/>
        <c:majorGridlines>
          <c:spPr>
            <a:ln>
              <a:solidFill>
                <a:schemeClr val="accent1">
                  <a:lumMod val="20000"/>
                  <a:lumOff val="80000"/>
                </a:schemeClr>
              </a:solidFill>
            </a:ln>
          </c:spPr>
        </c:majorGridlines>
        <c:title>
          <c:tx>
            <c:strRef>
              <c:f>'Intermediate output'!$D$4</c:f>
              <c:strCache>
                <c:ptCount val="1"/>
                <c:pt idx="0">
                  <c:v>TWh / year</c:v>
                </c:pt>
              </c:strCache>
            </c:strRef>
          </c:tx>
          <c:txPr>
            <a:bodyPr rot="-5400000" vert="horz"/>
            <a:lstStyle/>
            <a:p>
              <a:pPr>
                <a:defRPr lang="en-US" sz="1200"/>
              </a:pPr>
              <a:endParaRPr lang="en-US"/>
            </a:p>
          </c:txPr>
        </c:title>
        <c:numFmt formatCode="#,##0" sourceLinked="0"/>
        <c:tickLblPos val="nextTo"/>
        <c:spPr>
          <a:ln>
            <a:noFill/>
          </a:ln>
        </c:spPr>
        <c:txPr>
          <a:bodyPr/>
          <a:lstStyle/>
          <a:p>
            <a:pPr>
              <a:defRPr lang="en-US" sz="1200"/>
            </a:pPr>
            <a:endParaRPr lang="en-US"/>
          </a:p>
        </c:txPr>
        <c:crossAx val="106589568"/>
        <c:crosses val="autoZero"/>
        <c:crossBetween val="midCat"/>
      </c:valAx>
      <c:valAx>
        <c:axId val="106626048"/>
        <c:scaling>
          <c:orientation val="minMax"/>
        </c:scaling>
        <c:delete val="1"/>
        <c:axPos val="r"/>
        <c:numFmt formatCode="#,##0.0_);\(#,##0.0\);&quot;-&quot;_);@" sourceLinked="1"/>
        <c:tickLblPos val="none"/>
        <c:crossAx val="106631936"/>
        <c:crosses val="max"/>
        <c:crossBetween val="between"/>
      </c:valAx>
      <c:catAx>
        <c:axId val="106631936"/>
        <c:scaling>
          <c:orientation val="minMax"/>
        </c:scaling>
        <c:delete val="1"/>
        <c:axPos val="b"/>
        <c:numFmt formatCode="General" sourceLinked="1"/>
        <c:tickLblPos val="none"/>
        <c:crossAx val="106626048"/>
        <c:crosses val="autoZero"/>
        <c:auto val="1"/>
        <c:lblAlgn val="ctr"/>
        <c:lblOffset val="100"/>
      </c:catAx>
      <c:spPr>
        <a:noFill/>
        <a:effectLst/>
      </c:spPr>
    </c:plotArea>
    <c:legend>
      <c:legendPos val="r"/>
      <c:legendEntry>
        <c:idx val="6"/>
        <c:delete val="1"/>
      </c:legendEntry>
      <c:layout>
        <c:manualLayout>
          <c:xMode val="edge"/>
          <c:yMode val="edge"/>
          <c:x val="0.75215875866159165"/>
          <c:y val="0.10208391059388565"/>
          <c:w val="0.24784122011871881"/>
          <c:h val="0.7352806193960677"/>
        </c:manualLayout>
      </c:layout>
      <c:txPr>
        <a:bodyPr/>
        <a:lstStyle/>
        <a:p>
          <a:pPr>
            <a:defRPr lang="en-US" sz="1200"/>
          </a:pPr>
          <a:endParaRPr lang="en-US"/>
        </a:p>
      </c:txPr>
    </c:legend>
    <c:plotVisOnly val="1"/>
    <c:dispBlanksAs val="zero"/>
  </c:chart>
  <c:spPr>
    <a:noFill/>
    <a:ln>
      <a:noFill/>
    </a:ln>
  </c:spPr>
  <c:txPr>
    <a:bodyPr/>
    <a:lstStyle/>
    <a:p>
      <a:pPr>
        <a:defRPr>
          <a:latin typeface="+mj-lt"/>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style val="10"/>
  <c:chart>
    <c:title>
      <c:tx>
        <c:rich>
          <a:bodyPr/>
          <a:lstStyle/>
          <a:p>
            <a:pPr>
              <a:defRPr lang="en-US"/>
            </a:pPr>
            <a:r>
              <a:rPr lang="en-GB"/>
              <a:t>Emissions (% of base year)</a:t>
            </a:r>
          </a:p>
        </c:rich>
      </c:tx>
      <c:layout>
        <c:manualLayout>
          <c:xMode val="edge"/>
          <c:yMode val="edge"/>
          <c:x val="0.26909292368401388"/>
          <c:y val="3.7817639846480684E-2"/>
        </c:manualLayout>
      </c:layout>
    </c:title>
    <c:plotArea>
      <c:layout>
        <c:manualLayout>
          <c:layoutTarget val="inner"/>
          <c:xMode val="edge"/>
          <c:yMode val="edge"/>
          <c:x val="9.1279683680020679E-2"/>
          <c:y val="0.12339175210123302"/>
          <c:w val="0.63954239297005144"/>
          <c:h val="0.78135864043594716"/>
        </c:manualLayout>
      </c:layout>
      <c:areaChart>
        <c:grouping val="stacked"/>
        <c:ser>
          <c:idx val="6"/>
          <c:order val="2"/>
          <c:tx>
            <c:strRef>
              <c:f>'Intermediate output'!$D$121</c:f>
              <c:strCache>
                <c:ptCount val="1"/>
                <c:pt idx="0">
                  <c:v>Fuel Combustion</c:v>
                </c:pt>
              </c:strCache>
            </c:strRef>
          </c:tx>
          <c:spPr>
            <a:solidFill>
              <a:schemeClr val="bg1">
                <a:lumMod val="75000"/>
              </a:schemeClr>
            </a:solidFill>
            <a:ln>
              <a:noFill/>
            </a:ln>
            <a:effectLst/>
          </c:spPr>
          <c:cat>
            <c:numRef>
              <c:f>'Intermediate output'!$H$118:$Q$118</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output'!$H$121:$Q$121</c:f>
              <c:numCache>
                <c:formatCode>0%;\ \(0%\);\ \-</c:formatCode>
                <c:ptCount val="10"/>
                <c:pt idx="0">
                  <c:v>0.68095665749683898</c:v>
                </c:pt>
                <c:pt idx="1">
                  <c:v>0.679133280136061</c:v>
                </c:pt>
                <c:pt idx="2">
                  <c:v>0.64762358672047671</c:v>
                </c:pt>
                <c:pt idx="3">
                  <c:v>0.62840214706771647</c:v>
                </c:pt>
                <c:pt idx="4">
                  <c:v>0.60112637164252403</c:v>
                </c:pt>
                <c:pt idx="5">
                  <c:v>0.60443854037198019</c:v>
                </c:pt>
                <c:pt idx="6">
                  <c:v>0.6240922937544009</c:v>
                </c:pt>
                <c:pt idx="7">
                  <c:v>0.64057281767975538</c:v>
                </c:pt>
                <c:pt idx="8">
                  <c:v>0.65969347536126643</c:v>
                </c:pt>
                <c:pt idx="9">
                  <c:v>0.67400842224418978</c:v>
                </c:pt>
              </c:numCache>
            </c:numRef>
          </c:val>
        </c:ser>
        <c:ser>
          <c:idx val="7"/>
          <c:order val="3"/>
          <c:tx>
            <c:strRef>
              <c:f>'Intermediate output'!$D$122</c:f>
              <c:strCache>
                <c:ptCount val="1"/>
                <c:pt idx="0">
                  <c:v>Industrial Processes</c:v>
                </c:pt>
              </c:strCache>
            </c:strRef>
          </c:tx>
          <c:spPr>
            <a:solidFill>
              <a:schemeClr val="accent4"/>
            </a:solidFill>
            <a:ln>
              <a:noFill/>
            </a:ln>
          </c:spPr>
          <c:cat>
            <c:numRef>
              <c:f>'Intermediate output'!$H$118:$Q$118</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output'!$H$122:$Q$122</c:f>
              <c:numCache>
                <c:formatCode>0%;\ \(0%\);\ \-</c:formatCode>
                <c:ptCount val="10"/>
                <c:pt idx="0">
                  <c:v>3.6796549086824171E-2</c:v>
                </c:pt>
                <c:pt idx="1">
                  <c:v>3.6103265890185088E-2</c:v>
                </c:pt>
                <c:pt idx="2">
                  <c:v>3.5029339313814911E-2</c:v>
                </c:pt>
                <c:pt idx="3">
                  <c:v>3.4050497924077078E-2</c:v>
                </c:pt>
                <c:pt idx="4">
                  <c:v>3.3159413843868953E-2</c:v>
                </c:pt>
                <c:pt idx="5">
                  <c:v>3.2349347597058063E-2</c:v>
                </c:pt>
                <c:pt idx="6">
                  <c:v>3.1614100695889248E-2</c:v>
                </c:pt>
                <c:pt idx="7">
                  <c:v>3.0947972065806725E-2</c:v>
                </c:pt>
                <c:pt idx="8">
                  <c:v>3.0345717996556491E-2</c:v>
                </c:pt>
                <c:pt idx="9">
                  <c:v>2.9802515333684096E-2</c:v>
                </c:pt>
              </c:numCache>
            </c:numRef>
          </c:val>
        </c:ser>
        <c:ser>
          <c:idx val="8"/>
          <c:order val="4"/>
          <c:tx>
            <c:strRef>
              <c:f>'Intermediate output'!$D$124</c:f>
              <c:strCache>
                <c:ptCount val="1"/>
                <c:pt idx="0">
                  <c:v>Agriculture</c:v>
                </c:pt>
              </c:strCache>
            </c:strRef>
          </c:tx>
          <c:spPr>
            <a:solidFill>
              <a:schemeClr val="accent3"/>
            </a:solidFill>
            <a:ln>
              <a:noFill/>
            </a:ln>
          </c:spPr>
          <c:cat>
            <c:numRef>
              <c:f>'Intermediate output'!$H$118:$Q$118</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output'!$H$124:$Q$124</c:f>
              <c:numCache>
                <c:formatCode>0%;\ \(0%\);\ \-</c:formatCode>
                <c:ptCount val="10"/>
                <c:pt idx="0">
                  <c:v>5.7133859765391627E-2</c:v>
                </c:pt>
                <c:pt idx="1">
                  <c:v>5.5923362049742971E-2</c:v>
                </c:pt>
                <c:pt idx="2">
                  <c:v>5.413516196508758E-2</c:v>
                </c:pt>
                <c:pt idx="3">
                  <c:v>5.1186900349042774E-2</c:v>
                </c:pt>
                <c:pt idx="4">
                  <c:v>5.1011182286152298E-2</c:v>
                </c:pt>
                <c:pt idx="5">
                  <c:v>5.0836073236815445E-2</c:v>
                </c:pt>
                <c:pt idx="6">
                  <c:v>5.0661571074996914E-2</c:v>
                </c:pt>
                <c:pt idx="7">
                  <c:v>5.0487673682124902E-2</c:v>
                </c:pt>
                <c:pt idx="8">
                  <c:v>5.0314378947064899E-2</c:v>
                </c:pt>
                <c:pt idx="9">
                  <c:v>5.0141684766093389E-2</c:v>
                </c:pt>
              </c:numCache>
            </c:numRef>
          </c:val>
        </c:ser>
        <c:ser>
          <c:idx val="9"/>
          <c:order val="5"/>
          <c:tx>
            <c:strRef>
              <c:f>'Intermediate output'!$D$125</c:f>
              <c:strCache>
                <c:ptCount val="1"/>
                <c:pt idx="0">
                  <c:v>Land Use, Land-Use Change and Forestry</c:v>
                </c:pt>
              </c:strCache>
            </c:strRef>
          </c:tx>
          <c:spPr>
            <a:solidFill>
              <a:schemeClr val="accent3">
                <a:lumMod val="50000"/>
              </a:schemeClr>
            </a:solidFill>
            <a:ln>
              <a:noFill/>
            </a:ln>
          </c:spPr>
          <c:cat>
            <c:numRef>
              <c:f>'Intermediate output'!$H$118:$Q$118</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output'!$H$125:$Q$125</c:f>
              <c:numCache>
                <c:formatCode>0%;\ \(0%\);\ \-</c:formatCode>
                <c:ptCount val="10"/>
                <c:pt idx="0">
                  <c:v>-2.4074225466765337E-3</c:v>
                </c:pt>
                <c:pt idx="1">
                  <c:v>3.4857525072975624E-3</c:v>
                </c:pt>
                <c:pt idx="2">
                  <c:v>7.7023611588182394E-3</c:v>
                </c:pt>
                <c:pt idx="3">
                  <c:v>1.1561192699840661E-2</c:v>
                </c:pt>
                <c:pt idx="4">
                  <c:v>1.4877805678518669E-2</c:v>
                </c:pt>
                <c:pt idx="5">
                  <c:v>1.6026223811169669E-2</c:v>
                </c:pt>
                <c:pt idx="6">
                  <c:v>1.5468493741597856E-2</c:v>
                </c:pt>
                <c:pt idx="7">
                  <c:v>1.3244713545787256E-2</c:v>
                </c:pt>
                <c:pt idx="8">
                  <c:v>1.0707805087518446E-2</c:v>
                </c:pt>
                <c:pt idx="9">
                  <c:v>9.1717885458114205E-3</c:v>
                </c:pt>
              </c:numCache>
            </c:numRef>
          </c:val>
        </c:ser>
        <c:ser>
          <c:idx val="10"/>
          <c:order val="6"/>
          <c:tx>
            <c:strRef>
              <c:f>'Intermediate output'!$D$126</c:f>
              <c:strCache>
                <c:ptCount val="1"/>
                <c:pt idx="0">
                  <c:v>Waste</c:v>
                </c:pt>
              </c:strCache>
            </c:strRef>
          </c:tx>
          <c:spPr>
            <a:solidFill>
              <a:schemeClr val="accent6">
                <a:lumMod val="75000"/>
              </a:schemeClr>
            </a:solidFill>
            <a:ln>
              <a:noFill/>
            </a:ln>
          </c:spPr>
          <c:cat>
            <c:numRef>
              <c:f>'Intermediate output'!$H$118:$Q$118</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output'!$H$126:$Q$126</c:f>
              <c:numCache>
                <c:formatCode>0%;\ \(0%\);\ \-</c:formatCode>
                <c:ptCount val="10"/>
                <c:pt idx="0">
                  <c:v>3.0239518180235715E-2</c:v>
                </c:pt>
                <c:pt idx="1">
                  <c:v>3.046743906760294E-2</c:v>
                </c:pt>
                <c:pt idx="2">
                  <c:v>3.0102968846482187E-2</c:v>
                </c:pt>
                <c:pt idx="3">
                  <c:v>2.9204743133796836E-2</c:v>
                </c:pt>
                <c:pt idx="4">
                  <c:v>2.8640685402145667E-2</c:v>
                </c:pt>
                <c:pt idx="5">
                  <c:v>2.8671473995581741E-2</c:v>
                </c:pt>
                <c:pt idx="6">
                  <c:v>2.9086367530995184E-2</c:v>
                </c:pt>
                <c:pt idx="7">
                  <c:v>2.9760898779266669E-2</c:v>
                </c:pt>
                <c:pt idx="8">
                  <c:v>3.0660003205282119E-2</c:v>
                </c:pt>
                <c:pt idx="9">
                  <c:v>3.1743647950770906E-2</c:v>
                </c:pt>
              </c:numCache>
            </c:numRef>
          </c:val>
        </c:ser>
        <c:ser>
          <c:idx val="12"/>
          <c:order val="7"/>
          <c:tx>
            <c:strRef>
              <c:f>'Intermediate output'!$D$128</c:f>
              <c:strCache>
                <c:ptCount val="1"/>
                <c:pt idx="0">
                  <c:v>International Aviation and Shipping</c:v>
                </c:pt>
              </c:strCache>
            </c:strRef>
          </c:tx>
          <c:spPr>
            <a:ln>
              <a:noFill/>
            </a:ln>
          </c:spPr>
          <c:cat>
            <c:numRef>
              <c:f>'Intermediate output'!$H$118:$Q$118</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output'!$H$128:$Q$128</c:f>
              <c:numCache>
                <c:formatCode>0%;\ \(0%\);\ \-</c:formatCode>
                <c:ptCount val="10"/>
                <c:pt idx="0">
                  <c:v>6.1254079494970345E-2</c:v>
                </c:pt>
                <c:pt idx="1">
                  <c:v>6.6204384421678267E-2</c:v>
                </c:pt>
                <c:pt idx="2">
                  <c:v>7.4190933650887733E-2</c:v>
                </c:pt>
                <c:pt idx="3">
                  <c:v>8.2202082635452769E-2</c:v>
                </c:pt>
                <c:pt idx="4">
                  <c:v>8.7450841150792907E-2</c:v>
                </c:pt>
                <c:pt idx="5">
                  <c:v>9.3029813366038647E-2</c:v>
                </c:pt>
                <c:pt idx="6">
                  <c:v>9.8219118405767705E-2</c:v>
                </c:pt>
                <c:pt idx="7">
                  <c:v>0.1027505446407838</c:v>
                </c:pt>
                <c:pt idx="8">
                  <c:v>0.10704933232928254</c:v>
                </c:pt>
                <c:pt idx="9">
                  <c:v>0.11223377448969825</c:v>
                </c:pt>
              </c:numCache>
            </c:numRef>
          </c:val>
        </c:ser>
        <c:axId val="106728064"/>
        <c:axId val="106738048"/>
      </c:areaChart>
      <c:areaChart>
        <c:grouping val="stacked"/>
        <c:ser>
          <c:idx val="13"/>
          <c:order val="0"/>
          <c:tx>
            <c:strRef>
              <c:f>'Intermediate output'!$D$129</c:f>
              <c:strCache>
                <c:ptCount val="1"/>
                <c:pt idx="0">
                  <c:v>Bioenergy credit</c:v>
                </c:pt>
              </c:strCache>
            </c:strRef>
          </c:tx>
          <c:spPr>
            <a:ln w="9525">
              <a:noFill/>
            </a:ln>
            <a:effectLst/>
          </c:spPr>
          <c:cat>
            <c:numRef>
              <c:f>'Intermediate output'!$H$118:$Q$118</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output'!$H$129:$Q$129</c:f>
              <c:numCache>
                <c:formatCode>0%;\ \(0%\);\ \-</c:formatCode>
                <c:ptCount val="10"/>
                <c:pt idx="0">
                  <c:v>-1.2333984125662298E-2</c:v>
                </c:pt>
                <c:pt idx="1">
                  <c:v>-1.4183930378157376E-2</c:v>
                </c:pt>
                <c:pt idx="2">
                  <c:v>-1.9763488231147659E-2</c:v>
                </c:pt>
                <c:pt idx="3">
                  <c:v>-2.7475780429818089E-2</c:v>
                </c:pt>
                <c:pt idx="4">
                  <c:v>-3.2804348162925275E-2</c:v>
                </c:pt>
                <c:pt idx="5">
                  <c:v>-3.6913116799687146E-2</c:v>
                </c:pt>
                <c:pt idx="6">
                  <c:v>-4.2275567636080806E-2</c:v>
                </c:pt>
                <c:pt idx="7">
                  <c:v>-4.8489338131520711E-2</c:v>
                </c:pt>
                <c:pt idx="8">
                  <c:v>-5.3918699678971872E-2</c:v>
                </c:pt>
                <c:pt idx="9">
                  <c:v>-5.9882349004624046E-2</c:v>
                </c:pt>
              </c:numCache>
            </c:numRef>
          </c:val>
        </c:ser>
        <c:ser>
          <c:idx val="11"/>
          <c:order val="1"/>
          <c:tx>
            <c:strRef>
              <c:f>'Intermediate output'!$D$130</c:f>
              <c:strCache>
                <c:ptCount val="1"/>
                <c:pt idx="0">
                  <c:v>Carbon capture</c:v>
                </c:pt>
              </c:strCache>
            </c:strRef>
          </c:tx>
          <c:spPr>
            <a:solidFill>
              <a:schemeClr val="accent2"/>
            </a:solidFill>
            <a:ln w="9525">
              <a:noFill/>
            </a:ln>
            <a:effectLst/>
          </c:spPr>
          <c:cat>
            <c:numRef>
              <c:f>'Intermediate output'!$H$118:$Q$118</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output'!$H$130:$Q$130</c:f>
              <c:numCache>
                <c:formatCode>0%;\ \(0%\);\ \-</c:formatCode>
                <c:ptCount val="10"/>
                <c:pt idx="0">
                  <c:v>0</c:v>
                </c:pt>
                <c:pt idx="1">
                  <c:v>0</c:v>
                </c:pt>
                <c:pt idx="2">
                  <c:v>-1.8743469719491018E-3</c:v>
                </c:pt>
                <c:pt idx="3">
                  <c:v>-1.0184067799575961E-2</c:v>
                </c:pt>
                <c:pt idx="4">
                  <c:v>-1.0173705192695339E-2</c:v>
                </c:pt>
                <c:pt idx="5">
                  <c:v>-1.0163552638656891E-2</c:v>
                </c:pt>
                <c:pt idx="6">
                  <c:v>-1.0153603814799813E-2</c:v>
                </c:pt>
                <c:pt idx="7">
                  <c:v>-1.0143852649694867E-2</c:v>
                </c:pt>
                <c:pt idx="8">
                  <c:v>-1.0134293310788705E-2</c:v>
                </c:pt>
                <c:pt idx="9">
                  <c:v>-1.0124920192770325E-2</c:v>
                </c:pt>
              </c:numCache>
            </c:numRef>
          </c:val>
        </c:ser>
        <c:axId val="106749952"/>
        <c:axId val="106739968"/>
      </c:areaChart>
      <c:lineChart>
        <c:grouping val="standard"/>
        <c:ser>
          <c:idx val="0"/>
          <c:order val="8"/>
          <c:tx>
            <c:strRef>
              <c:f>'Intermediate output'!$D$131</c:f>
              <c:strCache>
                <c:ptCount val="1"/>
                <c:pt idx="0">
                  <c:v>Total</c:v>
                </c:pt>
              </c:strCache>
            </c:strRef>
          </c:tx>
          <c:spPr>
            <a:ln w="57150">
              <a:solidFill>
                <a:srgbClr val="000000">
                  <a:alpha val="80000"/>
                </a:srgbClr>
              </a:solidFill>
            </a:ln>
          </c:spPr>
          <c:marker>
            <c:symbol val="none"/>
          </c:marker>
          <c:cat>
            <c:numRef>
              <c:f>'Intermediate output'!$H$118:$Q$118</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output'!$H$131:$Q$131</c:f>
              <c:numCache>
                <c:formatCode>0%;\ \(0%\);\ \-</c:formatCode>
                <c:ptCount val="10"/>
                <c:pt idx="0">
                  <c:v>0.85163925735192192</c:v>
                </c:pt>
                <c:pt idx="1">
                  <c:v>0.85713355369441058</c:v>
                </c:pt>
                <c:pt idx="2">
                  <c:v>0.82714651645247061</c:v>
                </c:pt>
                <c:pt idx="3">
                  <c:v>0.79894771558053268</c:v>
                </c:pt>
                <c:pt idx="4">
                  <c:v>0.77328824664838203</c:v>
                </c:pt>
                <c:pt idx="5">
                  <c:v>0.77827480294029994</c:v>
                </c:pt>
                <c:pt idx="6">
                  <c:v>0.79671277375276717</c:v>
                </c:pt>
                <c:pt idx="7">
                  <c:v>0.80913142961230922</c:v>
                </c:pt>
                <c:pt idx="8">
                  <c:v>0.82471771993721044</c:v>
                </c:pt>
                <c:pt idx="9">
                  <c:v>0.83709456413285344</c:v>
                </c:pt>
              </c:numCache>
            </c:numRef>
          </c:val>
        </c:ser>
        <c:ser>
          <c:idx val="1"/>
          <c:order val="9"/>
          <c:tx>
            <c:strRef>
              <c:f>'Intermediate output'!$D$162</c:f>
              <c:strCache>
                <c:ptCount val="1"/>
                <c:pt idx="0">
                  <c:v>Target, for chart</c:v>
                </c:pt>
              </c:strCache>
            </c:strRef>
          </c:tx>
          <c:spPr>
            <a:ln w="12700">
              <a:solidFill>
                <a:schemeClr val="bg1"/>
              </a:solidFill>
              <a:prstDash val="dash"/>
            </a:ln>
          </c:spPr>
          <c:marker>
            <c:symbol val="none"/>
          </c:marker>
          <c:cat>
            <c:numRef>
              <c:f>'Intermediate output'!$H$118:$Q$118</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output'!$H$162:$Q$162</c:f>
              <c:numCache>
                <c:formatCode>0%;\ \(0%\);\ \-</c:formatCode>
                <c:ptCount val="10"/>
                <c:pt idx="0">
                  <c:v>0.2</c:v>
                </c:pt>
                <c:pt idx="1">
                  <c:v>0.2</c:v>
                </c:pt>
                <c:pt idx="2">
                  <c:v>0.2</c:v>
                </c:pt>
                <c:pt idx="3">
                  <c:v>0.2</c:v>
                </c:pt>
                <c:pt idx="4">
                  <c:v>0.2</c:v>
                </c:pt>
                <c:pt idx="5">
                  <c:v>0.2</c:v>
                </c:pt>
                <c:pt idx="6">
                  <c:v>0.2</c:v>
                </c:pt>
                <c:pt idx="7">
                  <c:v>0.2</c:v>
                </c:pt>
                <c:pt idx="8">
                  <c:v>0.2</c:v>
                </c:pt>
                <c:pt idx="9">
                  <c:v>0.2</c:v>
                </c:pt>
              </c:numCache>
            </c:numRef>
          </c:val>
        </c:ser>
        <c:ser>
          <c:idx val="2"/>
          <c:order val="10"/>
          <c:tx>
            <c:strRef>
              <c:f>'Intermediate output'!$D$163</c:f>
              <c:strCache>
                <c:ptCount val="1"/>
                <c:pt idx="0">
                  <c:v>Dummy, for chart</c:v>
                </c:pt>
              </c:strCache>
            </c:strRef>
          </c:tx>
          <c:spPr>
            <a:ln w="12700">
              <a:solidFill>
                <a:schemeClr val="tx1"/>
              </a:solidFill>
            </a:ln>
          </c:spPr>
          <c:marker>
            <c:symbol val="none"/>
          </c:marker>
          <c:cat>
            <c:numRef>
              <c:f>'Intermediate output'!$H$118:$Q$118</c:f>
              <c:numCache>
                <c:formatCode>General</c:formatCode>
                <c:ptCount val="10"/>
                <c:pt idx="0">
                  <c:v>2007</c:v>
                </c:pt>
                <c:pt idx="1">
                  <c:v>2010</c:v>
                </c:pt>
                <c:pt idx="2">
                  <c:v>2015</c:v>
                </c:pt>
                <c:pt idx="3">
                  <c:v>2020</c:v>
                </c:pt>
                <c:pt idx="4">
                  <c:v>2025</c:v>
                </c:pt>
                <c:pt idx="5">
                  <c:v>2030</c:v>
                </c:pt>
                <c:pt idx="6">
                  <c:v>2035</c:v>
                </c:pt>
                <c:pt idx="7">
                  <c:v>2040</c:v>
                </c:pt>
                <c:pt idx="8">
                  <c:v>2045</c:v>
                </c:pt>
                <c:pt idx="9">
                  <c:v>2050</c:v>
                </c:pt>
              </c:numCache>
            </c:numRef>
          </c:cat>
          <c:val>
            <c:numRef>
              <c:f>'Intermediate output'!$H$163:$Q$163</c:f>
              <c:numCache>
                <c:formatCode>0%;\ \(0%\);\ \-</c:formatCode>
                <c:ptCount val="10"/>
                <c:pt idx="0">
                  <c:v>0</c:v>
                </c:pt>
                <c:pt idx="1">
                  <c:v>0</c:v>
                </c:pt>
                <c:pt idx="2">
                  <c:v>0</c:v>
                </c:pt>
                <c:pt idx="3">
                  <c:v>0</c:v>
                </c:pt>
                <c:pt idx="4">
                  <c:v>0</c:v>
                </c:pt>
                <c:pt idx="5">
                  <c:v>0</c:v>
                </c:pt>
                <c:pt idx="6">
                  <c:v>0</c:v>
                </c:pt>
                <c:pt idx="7">
                  <c:v>0</c:v>
                </c:pt>
                <c:pt idx="8">
                  <c:v>0</c:v>
                </c:pt>
                <c:pt idx="9">
                  <c:v>0</c:v>
                </c:pt>
              </c:numCache>
            </c:numRef>
          </c:val>
        </c:ser>
        <c:marker val="1"/>
        <c:axId val="106749952"/>
        <c:axId val="106739968"/>
      </c:lineChart>
      <c:catAx>
        <c:axId val="106728064"/>
        <c:scaling>
          <c:orientation val="minMax"/>
        </c:scaling>
        <c:axPos val="b"/>
        <c:numFmt formatCode="General" sourceLinked="1"/>
        <c:tickLblPos val="nextTo"/>
        <c:txPr>
          <a:bodyPr/>
          <a:lstStyle/>
          <a:p>
            <a:pPr>
              <a:defRPr lang="en-US" sz="1200"/>
            </a:pPr>
            <a:endParaRPr lang="en-US"/>
          </a:p>
        </c:txPr>
        <c:crossAx val="106738048"/>
        <c:crossesAt val="-0.5"/>
        <c:auto val="1"/>
        <c:lblAlgn val="ctr"/>
        <c:lblOffset val="100"/>
      </c:catAx>
      <c:valAx>
        <c:axId val="106738048"/>
        <c:scaling>
          <c:orientation val="minMax"/>
          <c:max val="1"/>
          <c:min val="-0.5"/>
        </c:scaling>
        <c:axPos val="l"/>
        <c:majorGridlines>
          <c:spPr>
            <a:ln>
              <a:solidFill>
                <a:schemeClr val="accent1">
                  <a:lumMod val="20000"/>
                  <a:lumOff val="80000"/>
                </a:schemeClr>
              </a:solidFill>
            </a:ln>
          </c:spPr>
        </c:majorGridlines>
        <c:title>
          <c:tx>
            <c:rich>
              <a:bodyPr rot="-5400000" vert="horz"/>
              <a:lstStyle/>
              <a:p>
                <a:pPr>
                  <a:defRPr lang="en-US" sz="1200"/>
                </a:pPr>
                <a:r>
                  <a:rPr lang="en-US" sz="1200"/>
                  <a:t>CO</a:t>
                </a:r>
                <a:r>
                  <a:rPr lang="en-US" sz="1200" baseline="-25000"/>
                  <a:t>2</a:t>
                </a:r>
                <a:r>
                  <a:rPr lang="en-US" sz="1200"/>
                  <a:t>e / year (% of 1990)</a:t>
                </a:r>
              </a:p>
            </c:rich>
          </c:tx>
        </c:title>
        <c:numFmt formatCode="0%" sourceLinked="0"/>
        <c:tickLblPos val="nextTo"/>
        <c:spPr>
          <a:ln>
            <a:noFill/>
          </a:ln>
        </c:spPr>
        <c:txPr>
          <a:bodyPr/>
          <a:lstStyle/>
          <a:p>
            <a:pPr>
              <a:defRPr lang="en-US" sz="1200"/>
            </a:pPr>
            <a:endParaRPr lang="en-US"/>
          </a:p>
        </c:txPr>
        <c:crossAx val="106728064"/>
        <c:crosses val="autoZero"/>
        <c:crossBetween val="midCat"/>
        <c:majorUnit val="0.25"/>
      </c:valAx>
      <c:valAx>
        <c:axId val="106739968"/>
        <c:scaling>
          <c:orientation val="minMax"/>
          <c:max val="1"/>
          <c:min val="-0.5"/>
        </c:scaling>
        <c:axPos val="r"/>
        <c:numFmt formatCode="0%;\ \(0%\);\ \-" sourceLinked="1"/>
        <c:majorTickMark val="none"/>
        <c:tickLblPos val="none"/>
        <c:spPr>
          <a:ln>
            <a:noFill/>
          </a:ln>
        </c:spPr>
        <c:txPr>
          <a:bodyPr/>
          <a:lstStyle/>
          <a:p>
            <a:pPr>
              <a:defRPr lang="en-US"/>
            </a:pPr>
            <a:endParaRPr lang="en-US"/>
          </a:p>
        </c:txPr>
        <c:crossAx val="106749952"/>
        <c:crosses val="max"/>
        <c:crossBetween val="between"/>
        <c:majorUnit val="0.25"/>
      </c:valAx>
      <c:catAx>
        <c:axId val="106749952"/>
        <c:scaling>
          <c:orientation val="minMax"/>
        </c:scaling>
        <c:delete val="1"/>
        <c:axPos val="b"/>
        <c:numFmt formatCode="General" sourceLinked="1"/>
        <c:tickLblPos val="none"/>
        <c:crossAx val="106739968"/>
        <c:crosses val="autoZero"/>
        <c:auto val="1"/>
        <c:lblAlgn val="ctr"/>
        <c:lblOffset val="100"/>
      </c:catAx>
      <c:spPr>
        <a:noFill/>
      </c:spPr>
    </c:plotArea>
    <c:legend>
      <c:legendPos val="r"/>
      <c:legendEntry>
        <c:idx val="9"/>
        <c:delete val="1"/>
      </c:legendEntry>
      <c:legendEntry>
        <c:idx val="10"/>
        <c:delete val="1"/>
      </c:legendEntry>
      <c:layout>
        <c:manualLayout>
          <c:xMode val="edge"/>
          <c:yMode val="edge"/>
          <c:x val="0.73249970163529865"/>
          <c:y val="0.17657784398102191"/>
          <c:w val="0.26750029836470762"/>
          <c:h val="0.72940816604061398"/>
        </c:manualLayout>
      </c:layout>
      <c:txPr>
        <a:bodyPr/>
        <a:lstStyle/>
        <a:p>
          <a:pPr>
            <a:defRPr lang="en-US" sz="1200"/>
          </a:pPr>
          <a:endParaRPr lang="en-US"/>
        </a:p>
      </c:txPr>
    </c:legend>
    <c:plotVisOnly val="1"/>
    <c:dispBlanksAs val="zero"/>
  </c:chart>
  <c:spPr>
    <a:noFill/>
    <a:ln>
      <a:noFill/>
    </a:ln>
    <a:effectLst/>
  </c:spPr>
  <c:txPr>
    <a:bodyPr/>
    <a:lstStyle/>
    <a:p>
      <a:pPr>
        <a:defRPr>
          <a:latin typeface="+mj-lt"/>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1144414438177492E-2"/>
          <c:y val="9.8599422378193108E-2"/>
          <c:w val="0.41808005515858782"/>
          <c:h val="0.61558223770577425"/>
        </c:manualLayout>
      </c:layout>
      <c:areaChart>
        <c:grouping val="percentStacked"/>
        <c:ser>
          <c:idx val="0"/>
          <c:order val="0"/>
          <c:tx>
            <c:strRef>
              <c:f>VI.a!$D$19</c:f>
              <c:strCache>
                <c:ptCount val="1"/>
                <c:pt idx="0">
                  <c:v>Arable, for food crops (grades 1–3)</c:v>
                </c:pt>
              </c:strCache>
            </c:strRef>
          </c:tx>
          <c:cat>
            <c:multiLvlStrRef>
              <c:f>VI.a!$F$18:$O$18</c:f>
            </c:multiLvlStrRef>
          </c:cat>
          <c:val>
            <c:numRef>
              <c:f>VI.a!$F$19:$O$19</c:f>
            </c:numRef>
          </c:val>
        </c:ser>
        <c:ser>
          <c:idx val="1"/>
          <c:order val="1"/>
          <c:tx>
            <c:strRef>
              <c:f>VI.a!$D$20</c:f>
              <c:strCache>
                <c:ptCount val="1"/>
                <c:pt idx="0">
                  <c:v>Arable, for 1st gen energy crops  (grades 1–3)</c:v>
                </c:pt>
              </c:strCache>
            </c:strRef>
          </c:tx>
          <c:spPr>
            <a:ln w="25400">
              <a:noFill/>
            </a:ln>
          </c:spPr>
          <c:cat>
            <c:multiLvlStrRef>
              <c:f>VI.a!$F$18:$O$18</c:f>
            </c:multiLvlStrRef>
          </c:cat>
          <c:val>
            <c:numRef>
              <c:f>VI.a!$F$20:$O$20</c:f>
            </c:numRef>
          </c:val>
        </c:ser>
        <c:ser>
          <c:idx val="2"/>
          <c:order val="2"/>
          <c:tx>
            <c:strRef>
              <c:f>VI.a!$D$21</c:f>
              <c:strCache>
                <c:ptCount val="1"/>
                <c:pt idx="0">
                  <c:v>Arable, for 2nd gen energy crops  (grades 1–3)</c:v>
                </c:pt>
              </c:strCache>
            </c:strRef>
          </c:tx>
          <c:spPr>
            <a:ln w="25400">
              <a:noFill/>
            </a:ln>
          </c:spPr>
          <c:cat>
            <c:multiLvlStrRef>
              <c:f>VI.a!$F$18:$O$18</c:f>
            </c:multiLvlStrRef>
          </c:cat>
          <c:val>
            <c:numRef>
              <c:f>VI.a!$F$21:$O$21</c:f>
            </c:numRef>
          </c:val>
        </c:ser>
        <c:ser>
          <c:idx val="7"/>
          <c:order val="3"/>
          <c:tx>
            <c:strRef>
              <c:f>VI.a!$D$22</c:f>
              <c:strCache>
                <c:ptCount val="1"/>
                <c:pt idx="0">
                  <c:v>Grassland, for 2nd gen energy crops (grades 3–4)</c:v>
                </c:pt>
              </c:strCache>
            </c:strRef>
          </c:tx>
          <c:spPr>
            <a:ln w="25400">
              <a:noFill/>
            </a:ln>
          </c:spPr>
          <c:val>
            <c:numRef>
              <c:f>VI.a!$F$22:$O$22</c:f>
            </c:numRef>
          </c:val>
        </c:ser>
        <c:ser>
          <c:idx val="3"/>
          <c:order val="4"/>
          <c:tx>
            <c:strRef>
              <c:f>VI.a!$D$23</c:f>
              <c:strCache>
                <c:ptCount val="1"/>
                <c:pt idx="0">
                  <c:v>Grassland, for livestock and fallow (grades 3–5)</c:v>
                </c:pt>
              </c:strCache>
            </c:strRef>
          </c:tx>
          <c:spPr>
            <a:ln w="25400">
              <a:noFill/>
            </a:ln>
          </c:spPr>
          <c:cat>
            <c:multiLvlStrRef>
              <c:f>VI.a!$F$18:$O$18</c:f>
            </c:multiLvlStrRef>
          </c:cat>
          <c:val>
            <c:numRef>
              <c:f>VI.a!$F$23:$O$23</c:f>
            </c:numRef>
          </c:val>
        </c:ser>
        <c:ser>
          <c:idx val="4"/>
          <c:order val="5"/>
          <c:tx>
            <c:strRef>
              <c:f>VI.a!$D$24</c:f>
              <c:strCache>
                <c:ptCount val="1"/>
                <c:pt idx="0">
                  <c:v>Settlements</c:v>
                </c:pt>
              </c:strCache>
            </c:strRef>
          </c:tx>
          <c:spPr>
            <a:ln w="25400">
              <a:noFill/>
            </a:ln>
          </c:spPr>
          <c:cat>
            <c:multiLvlStrRef>
              <c:f>VI.a!$F$18:$O$18</c:f>
            </c:multiLvlStrRef>
          </c:cat>
          <c:val>
            <c:numRef>
              <c:f>VI.a!$F$24:$O$24</c:f>
            </c:numRef>
          </c:val>
        </c:ser>
        <c:ser>
          <c:idx val="5"/>
          <c:order val="6"/>
          <c:tx>
            <c:strRef>
              <c:f>VI.a!$D$25</c:f>
              <c:strCache>
                <c:ptCount val="1"/>
                <c:pt idx="0">
                  <c:v>Forests</c:v>
                </c:pt>
              </c:strCache>
            </c:strRef>
          </c:tx>
          <c:spPr>
            <a:ln w="25400">
              <a:noFill/>
            </a:ln>
          </c:spPr>
          <c:cat>
            <c:multiLvlStrRef>
              <c:f>VI.a!$F$18:$O$18</c:f>
            </c:multiLvlStrRef>
          </c:cat>
          <c:val>
            <c:numRef>
              <c:f>VI.a!$F$25:$O$25</c:f>
            </c:numRef>
          </c:val>
        </c:ser>
        <c:ser>
          <c:idx val="6"/>
          <c:order val="7"/>
          <c:tx>
            <c:strRef>
              <c:f>VI.a!$D$26</c:f>
              <c:strCache>
                <c:ptCount val="1"/>
                <c:pt idx="0">
                  <c:v>Other</c:v>
                </c:pt>
              </c:strCache>
            </c:strRef>
          </c:tx>
          <c:spPr>
            <a:ln w="25400">
              <a:noFill/>
            </a:ln>
          </c:spPr>
          <c:cat>
            <c:multiLvlStrRef>
              <c:f>VI.a!$F$18:$O$18</c:f>
            </c:multiLvlStrRef>
          </c:cat>
          <c:val>
            <c:numRef>
              <c:f>VI.a!$F$26:$O$26</c:f>
            </c:numRef>
          </c:val>
        </c:ser>
        <c:axId val="112342144"/>
        <c:axId val="112343680"/>
      </c:areaChart>
      <c:catAx>
        <c:axId val="112342144"/>
        <c:scaling>
          <c:orientation val="minMax"/>
        </c:scaling>
        <c:axPos val="b"/>
        <c:numFmt formatCode="General" sourceLinked="1"/>
        <c:tickLblPos val="nextTo"/>
        <c:txPr>
          <a:bodyPr/>
          <a:lstStyle/>
          <a:p>
            <a:pPr>
              <a:defRPr lang="en-US"/>
            </a:pPr>
            <a:endParaRPr lang="en-US"/>
          </a:p>
        </c:txPr>
        <c:crossAx val="112343680"/>
        <c:crosses val="autoZero"/>
        <c:auto val="1"/>
        <c:lblAlgn val="ctr"/>
        <c:lblOffset val="100"/>
      </c:catAx>
      <c:valAx>
        <c:axId val="112343680"/>
        <c:scaling>
          <c:orientation val="minMax"/>
        </c:scaling>
        <c:axPos val="l"/>
        <c:majorGridlines/>
        <c:numFmt formatCode="0%" sourceLinked="0"/>
        <c:tickLblPos val="nextTo"/>
        <c:spPr>
          <a:ln>
            <a:noFill/>
          </a:ln>
        </c:spPr>
        <c:txPr>
          <a:bodyPr/>
          <a:lstStyle/>
          <a:p>
            <a:pPr>
              <a:defRPr lang="en-US"/>
            </a:pPr>
            <a:endParaRPr lang="en-US"/>
          </a:p>
        </c:txPr>
        <c:crossAx val="112342144"/>
        <c:crosses val="autoZero"/>
        <c:crossBetween val="midCat"/>
      </c:valAx>
    </c:plotArea>
    <c:legend>
      <c:legendPos val="r"/>
      <c:layout>
        <c:manualLayout>
          <c:xMode val="edge"/>
          <c:yMode val="edge"/>
          <c:x val="0.52549026119907905"/>
          <c:y val="5.3623591168750987E-3"/>
          <c:w val="0.47419244517284737"/>
          <c:h val="0.89267685656941376"/>
        </c:manualLayout>
      </c:layout>
      <c:txPr>
        <a:bodyPr/>
        <a:lstStyle/>
        <a:p>
          <a:pPr>
            <a:defRPr lang="en-US"/>
          </a:pPr>
          <a:endParaRPr lang="en-US"/>
        </a:p>
      </c:txPr>
    </c:legend>
    <c:plotVisOnly val="1"/>
    <c:dispBlanksAs val="zero"/>
  </c:chart>
  <c:spPr>
    <a:ln>
      <a:noFill/>
    </a:ln>
  </c:spPr>
  <c:printSettings>
    <c:headerFooter/>
    <c:pageMargins b="0.75000000000001399" l="0.70000000000000062" r="0.70000000000000062" t="0.7500000000000139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1144414438177492E-2"/>
          <c:y val="9.8599422378193163E-2"/>
          <c:w val="0.41808005515858782"/>
          <c:h val="0.61558223770577425"/>
        </c:manualLayout>
      </c:layout>
      <c:areaChart>
        <c:grouping val="percentStacked"/>
        <c:ser>
          <c:idx val="0"/>
          <c:order val="0"/>
          <c:tx>
            <c:strRef>
              <c:f>VI.a!$D$27</c:f>
              <c:strCache>
                <c:ptCount val="1"/>
                <c:pt idx="0">
                  <c:v>Arable, for food crops (grades 1–3)</c:v>
                </c:pt>
              </c:strCache>
            </c:strRef>
          </c:tx>
          <c:cat>
            <c:multiLvlStrRef>
              <c:f>VI.a!$F$18:$O$18</c:f>
            </c:multiLvlStrRef>
          </c:cat>
          <c:val>
            <c:numRef>
              <c:f>VI.a!$F$27:$O$27</c:f>
            </c:numRef>
          </c:val>
        </c:ser>
        <c:ser>
          <c:idx val="1"/>
          <c:order val="1"/>
          <c:tx>
            <c:strRef>
              <c:f>VI.a!$D$28</c:f>
              <c:strCache>
                <c:ptCount val="1"/>
                <c:pt idx="0">
                  <c:v>Arable, for 1st gen energy crops  (grades 1–3)</c:v>
                </c:pt>
              </c:strCache>
            </c:strRef>
          </c:tx>
          <c:spPr>
            <a:ln w="25400">
              <a:noFill/>
            </a:ln>
          </c:spPr>
          <c:cat>
            <c:multiLvlStrRef>
              <c:f>VI.a!$F$18:$O$18</c:f>
            </c:multiLvlStrRef>
          </c:cat>
          <c:val>
            <c:numRef>
              <c:f>VI.a!$F$28:$O$28</c:f>
            </c:numRef>
          </c:val>
        </c:ser>
        <c:ser>
          <c:idx val="7"/>
          <c:order val="2"/>
          <c:tx>
            <c:strRef>
              <c:f>VI.a!$D$29</c:f>
              <c:strCache>
                <c:ptCount val="1"/>
                <c:pt idx="0">
                  <c:v>Arable, for 2nd gen energy crops  (grades 1–3)</c:v>
                </c:pt>
              </c:strCache>
            </c:strRef>
          </c:tx>
          <c:spPr>
            <a:ln w="25400">
              <a:noFill/>
            </a:ln>
          </c:spPr>
          <c:val>
            <c:numRef>
              <c:f>VI.a!$F$29:$O$29</c:f>
            </c:numRef>
          </c:val>
        </c:ser>
        <c:ser>
          <c:idx val="2"/>
          <c:order val="3"/>
          <c:tx>
            <c:strRef>
              <c:f>VI.a!$D$30</c:f>
              <c:strCache>
                <c:ptCount val="1"/>
                <c:pt idx="0">
                  <c:v>Grassland, for 2nd gen energy crops (grades 3–4)</c:v>
                </c:pt>
              </c:strCache>
            </c:strRef>
          </c:tx>
          <c:spPr>
            <a:ln w="25400">
              <a:noFill/>
            </a:ln>
          </c:spPr>
          <c:cat>
            <c:multiLvlStrRef>
              <c:f>VI.a!$F$18:$O$18</c:f>
            </c:multiLvlStrRef>
          </c:cat>
          <c:val>
            <c:numRef>
              <c:f>VI.a!$F$30:$O$30</c:f>
            </c:numRef>
          </c:val>
        </c:ser>
        <c:ser>
          <c:idx val="3"/>
          <c:order val="4"/>
          <c:tx>
            <c:strRef>
              <c:f>VI.a!$D$31</c:f>
              <c:strCache>
                <c:ptCount val="1"/>
                <c:pt idx="0">
                  <c:v>Grassland, for livestock and fallow (grades 3–5)</c:v>
                </c:pt>
              </c:strCache>
            </c:strRef>
          </c:tx>
          <c:spPr>
            <a:ln w="25400">
              <a:noFill/>
            </a:ln>
          </c:spPr>
          <c:cat>
            <c:multiLvlStrRef>
              <c:f>VI.a!$F$18:$O$18</c:f>
            </c:multiLvlStrRef>
          </c:cat>
          <c:val>
            <c:numRef>
              <c:f>VI.a!$F$31:$O$31</c:f>
            </c:numRef>
          </c:val>
        </c:ser>
        <c:ser>
          <c:idx val="4"/>
          <c:order val="5"/>
          <c:tx>
            <c:strRef>
              <c:f>VI.a!$D$32</c:f>
              <c:strCache>
                <c:ptCount val="1"/>
                <c:pt idx="0">
                  <c:v>Settlements</c:v>
                </c:pt>
              </c:strCache>
            </c:strRef>
          </c:tx>
          <c:spPr>
            <a:ln w="25400">
              <a:noFill/>
            </a:ln>
          </c:spPr>
          <c:cat>
            <c:multiLvlStrRef>
              <c:f>VI.a!$F$18:$O$18</c:f>
            </c:multiLvlStrRef>
          </c:cat>
          <c:val>
            <c:numRef>
              <c:f>VI.a!$F$32:$O$32</c:f>
            </c:numRef>
          </c:val>
        </c:ser>
        <c:ser>
          <c:idx val="5"/>
          <c:order val="6"/>
          <c:tx>
            <c:strRef>
              <c:f>VI.a!$D$33</c:f>
              <c:strCache>
                <c:ptCount val="1"/>
                <c:pt idx="0">
                  <c:v>Forests</c:v>
                </c:pt>
              </c:strCache>
            </c:strRef>
          </c:tx>
          <c:spPr>
            <a:ln w="25400">
              <a:noFill/>
            </a:ln>
          </c:spPr>
          <c:cat>
            <c:multiLvlStrRef>
              <c:f>VI.a!$F$18:$O$18</c:f>
            </c:multiLvlStrRef>
          </c:cat>
          <c:val>
            <c:numRef>
              <c:f>VI.a!$F$33:$O$33</c:f>
            </c:numRef>
          </c:val>
        </c:ser>
        <c:ser>
          <c:idx val="6"/>
          <c:order val="7"/>
          <c:tx>
            <c:strRef>
              <c:f>VI.a!$D$34</c:f>
              <c:strCache>
                <c:ptCount val="1"/>
                <c:pt idx="0">
                  <c:v>Other</c:v>
                </c:pt>
              </c:strCache>
            </c:strRef>
          </c:tx>
          <c:spPr>
            <a:ln w="25400">
              <a:noFill/>
            </a:ln>
          </c:spPr>
          <c:cat>
            <c:multiLvlStrRef>
              <c:f>VI.a!$F$18:$O$18</c:f>
            </c:multiLvlStrRef>
          </c:cat>
          <c:val>
            <c:numRef>
              <c:f>VI.a!$F$34:$O$34</c:f>
            </c:numRef>
          </c:val>
        </c:ser>
        <c:axId val="112418176"/>
        <c:axId val="112428160"/>
      </c:areaChart>
      <c:catAx>
        <c:axId val="112418176"/>
        <c:scaling>
          <c:orientation val="minMax"/>
        </c:scaling>
        <c:axPos val="b"/>
        <c:numFmt formatCode="General" sourceLinked="1"/>
        <c:tickLblPos val="nextTo"/>
        <c:txPr>
          <a:bodyPr/>
          <a:lstStyle/>
          <a:p>
            <a:pPr>
              <a:defRPr lang="en-US"/>
            </a:pPr>
            <a:endParaRPr lang="en-US"/>
          </a:p>
        </c:txPr>
        <c:crossAx val="112428160"/>
        <c:crosses val="autoZero"/>
        <c:auto val="1"/>
        <c:lblAlgn val="ctr"/>
        <c:lblOffset val="100"/>
      </c:catAx>
      <c:valAx>
        <c:axId val="112428160"/>
        <c:scaling>
          <c:orientation val="minMax"/>
        </c:scaling>
        <c:axPos val="l"/>
        <c:majorGridlines/>
        <c:numFmt formatCode="0%" sourceLinked="0"/>
        <c:tickLblPos val="nextTo"/>
        <c:spPr>
          <a:ln>
            <a:noFill/>
          </a:ln>
        </c:spPr>
        <c:txPr>
          <a:bodyPr/>
          <a:lstStyle/>
          <a:p>
            <a:pPr>
              <a:defRPr lang="en-US"/>
            </a:pPr>
            <a:endParaRPr lang="en-US"/>
          </a:p>
        </c:txPr>
        <c:crossAx val="112418176"/>
        <c:crosses val="autoZero"/>
        <c:crossBetween val="midCat"/>
      </c:valAx>
    </c:plotArea>
    <c:legend>
      <c:legendPos val="r"/>
      <c:layout>
        <c:manualLayout>
          <c:xMode val="edge"/>
          <c:yMode val="edge"/>
          <c:x val="0.52374734204829565"/>
          <c:y val="5.3623558052457556E-3"/>
          <c:w val="0.47450973880092101"/>
          <c:h val="0.8926769228489001"/>
        </c:manualLayout>
      </c:layout>
      <c:txPr>
        <a:bodyPr/>
        <a:lstStyle/>
        <a:p>
          <a:pPr>
            <a:defRPr lang="en-US"/>
          </a:pPr>
          <a:endParaRPr lang="en-US"/>
        </a:p>
      </c:txPr>
    </c:legend>
    <c:plotVisOnly val="1"/>
    <c:dispBlanksAs val="zero"/>
  </c:chart>
  <c:spPr>
    <a:ln>
      <a:noFill/>
    </a:ln>
  </c:spPr>
  <c:printSettings>
    <c:headerFooter/>
    <c:pageMargins b="0.7500000000000141" l="0.70000000000000062" r="0.70000000000000062" t="0.750000000000014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1144414438177492E-2"/>
          <c:y val="9.8599422378193205E-2"/>
          <c:w val="0.41808005515858782"/>
          <c:h val="0.61558223770577425"/>
        </c:manualLayout>
      </c:layout>
      <c:areaChart>
        <c:grouping val="percentStacked"/>
        <c:ser>
          <c:idx val="0"/>
          <c:order val="0"/>
          <c:tx>
            <c:strRef>
              <c:f>VI.a!$D$35</c:f>
              <c:strCache>
                <c:ptCount val="1"/>
                <c:pt idx="0">
                  <c:v>Arable, for food crops (grades 1–3)</c:v>
                </c:pt>
              </c:strCache>
            </c:strRef>
          </c:tx>
          <c:cat>
            <c:multiLvlStrRef>
              <c:f>VI.a!$F$18:$O$18</c:f>
            </c:multiLvlStrRef>
          </c:cat>
          <c:val>
            <c:numRef>
              <c:f>VI.a!$F$35:$O$35</c:f>
            </c:numRef>
          </c:val>
        </c:ser>
        <c:ser>
          <c:idx val="1"/>
          <c:order val="1"/>
          <c:tx>
            <c:strRef>
              <c:f>VI.a!$D$36</c:f>
              <c:strCache>
                <c:ptCount val="1"/>
                <c:pt idx="0">
                  <c:v>Arable, for 1st gen energy crops  (grades 1–3)</c:v>
                </c:pt>
              </c:strCache>
            </c:strRef>
          </c:tx>
          <c:spPr>
            <a:ln w="25400">
              <a:noFill/>
            </a:ln>
          </c:spPr>
          <c:cat>
            <c:multiLvlStrRef>
              <c:f>VI.a!$F$18:$O$18</c:f>
            </c:multiLvlStrRef>
          </c:cat>
          <c:val>
            <c:numRef>
              <c:f>VI.a!$F$36:$O$36</c:f>
            </c:numRef>
          </c:val>
        </c:ser>
        <c:ser>
          <c:idx val="2"/>
          <c:order val="2"/>
          <c:tx>
            <c:strRef>
              <c:f>VI.a!$D$37</c:f>
              <c:strCache>
                <c:ptCount val="1"/>
                <c:pt idx="0">
                  <c:v>Arable, for 2nd gen energy crops  (grades 1–3)</c:v>
                </c:pt>
              </c:strCache>
            </c:strRef>
          </c:tx>
          <c:spPr>
            <a:ln w="25400">
              <a:noFill/>
            </a:ln>
          </c:spPr>
          <c:cat>
            <c:multiLvlStrRef>
              <c:f>VI.a!$F$18:$O$18</c:f>
            </c:multiLvlStrRef>
          </c:cat>
          <c:val>
            <c:numRef>
              <c:f>VI.a!$F$37:$O$37</c:f>
            </c:numRef>
          </c:val>
        </c:ser>
        <c:ser>
          <c:idx val="7"/>
          <c:order val="3"/>
          <c:tx>
            <c:strRef>
              <c:f>VI.a!$D$38</c:f>
              <c:strCache>
                <c:ptCount val="1"/>
                <c:pt idx="0">
                  <c:v>Grassland, for 2nd gen energy crops (grades 3–4)</c:v>
                </c:pt>
              </c:strCache>
            </c:strRef>
          </c:tx>
          <c:spPr>
            <a:ln w="25400">
              <a:noFill/>
            </a:ln>
          </c:spPr>
          <c:val>
            <c:numRef>
              <c:f>VI.a!$F$38:$O$38</c:f>
            </c:numRef>
          </c:val>
        </c:ser>
        <c:ser>
          <c:idx val="3"/>
          <c:order val="4"/>
          <c:tx>
            <c:strRef>
              <c:f>VI.a!$D$39</c:f>
              <c:strCache>
                <c:ptCount val="1"/>
                <c:pt idx="0">
                  <c:v>Grassland, for livestock and fallow (grades 3–5)</c:v>
                </c:pt>
              </c:strCache>
            </c:strRef>
          </c:tx>
          <c:spPr>
            <a:ln w="25400">
              <a:noFill/>
            </a:ln>
          </c:spPr>
          <c:cat>
            <c:multiLvlStrRef>
              <c:f>VI.a!$F$18:$O$18</c:f>
            </c:multiLvlStrRef>
          </c:cat>
          <c:val>
            <c:numRef>
              <c:f>VI.a!$F$39:$O$39</c:f>
            </c:numRef>
          </c:val>
        </c:ser>
        <c:ser>
          <c:idx val="4"/>
          <c:order val="5"/>
          <c:tx>
            <c:strRef>
              <c:f>VI.a!$D$40</c:f>
              <c:strCache>
                <c:ptCount val="1"/>
                <c:pt idx="0">
                  <c:v>Settlements</c:v>
                </c:pt>
              </c:strCache>
            </c:strRef>
          </c:tx>
          <c:spPr>
            <a:ln w="25400">
              <a:noFill/>
            </a:ln>
          </c:spPr>
          <c:cat>
            <c:multiLvlStrRef>
              <c:f>VI.a!$F$18:$O$18</c:f>
            </c:multiLvlStrRef>
          </c:cat>
          <c:val>
            <c:numRef>
              <c:f>VI.a!$F$40:$O$40</c:f>
            </c:numRef>
          </c:val>
        </c:ser>
        <c:ser>
          <c:idx val="5"/>
          <c:order val="6"/>
          <c:tx>
            <c:strRef>
              <c:f>VI.a!$D$41</c:f>
              <c:strCache>
                <c:ptCount val="1"/>
                <c:pt idx="0">
                  <c:v>Forests</c:v>
                </c:pt>
              </c:strCache>
            </c:strRef>
          </c:tx>
          <c:spPr>
            <a:ln w="25400">
              <a:noFill/>
            </a:ln>
          </c:spPr>
          <c:cat>
            <c:multiLvlStrRef>
              <c:f>VI.a!$F$18:$O$18</c:f>
            </c:multiLvlStrRef>
          </c:cat>
          <c:val>
            <c:numRef>
              <c:f>VI.a!$F$41:$O$41</c:f>
            </c:numRef>
          </c:val>
        </c:ser>
        <c:ser>
          <c:idx val="6"/>
          <c:order val="7"/>
          <c:tx>
            <c:strRef>
              <c:f>VI.a!$D$42</c:f>
              <c:strCache>
                <c:ptCount val="1"/>
                <c:pt idx="0">
                  <c:v>Other</c:v>
                </c:pt>
              </c:strCache>
            </c:strRef>
          </c:tx>
          <c:spPr>
            <a:ln w="25400">
              <a:noFill/>
            </a:ln>
          </c:spPr>
          <c:cat>
            <c:multiLvlStrRef>
              <c:f>VI.a!$F$18:$O$18</c:f>
            </c:multiLvlStrRef>
          </c:cat>
          <c:val>
            <c:numRef>
              <c:f>VI.a!$F$42:$O$42</c:f>
            </c:numRef>
          </c:val>
        </c:ser>
        <c:axId val="112466176"/>
        <c:axId val="112476160"/>
      </c:areaChart>
      <c:catAx>
        <c:axId val="112466176"/>
        <c:scaling>
          <c:orientation val="minMax"/>
        </c:scaling>
        <c:axPos val="b"/>
        <c:numFmt formatCode="General" sourceLinked="1"/>
        <c:tickLblPos val="nextTo"/>
        <c:txPr>
          <a:bodyPr/>
          <a:lstStyle/>
          <a:p>
            <a:pPr>
              <a:defRPr lang="en-US"/>
            </a:pPr>
            <a:endParaRPr lang="en-US"/>
          </a:p>
        </c:txPr>
        <c:crossAx val="112476160"/>
        <c:crosses val="autoZero"/>
        <c:auto val="1"/>
        <c:lblAlgn val="ctr"/>
        <c:lblOffset val="100"/>
      </c:catAx>
      <c:valAx>
        <c:axId val="112476160"/>
        <c:scaling>
          <c:orientation val="minMax"/>
        </c:scaling>
        <c:axPos val="l"/>
        <c:majorGridlines/>
        <c:numFmt formatCode="0%" sourceLinked="0"/>
        <c:tickLblPos val="nextTo"/>
        <c:spPr>
          <a:ln>
            <a:noFill/>
          </a:ln>
        </c:spPr>
        <c:txPr>
          <a:bodyPr/>
          <a:lstStyle/>
          <a:p>
            <a:pPr>
              <a:defRPr lang="en-US"/>
            </a:pPr>
            <a:endParaRPr lang="en-US"/>
          </a:p>
        </c:txPr>
        <c:crossAx val="112466176"/>
        <c:crosses val="autoZero"/>
        <c:crossBetween val="midCat"/>
      </c:valAx>
    </c:plotArea>
    <c:legend>
      <c:legendPos val="r"/>
      <c:layout>
        <c:manualLayout>
          <c:xMode val="edge"/>
          <c:yMode val="edge"/>
          <c:x val="0.52549026119907905"/>
          <c:y val="0.10732303626934228"/>
          <c:w val="0.47450973880092101"/>
          <c:h val="0.89267685656941376"/>
        </c:manualLayout>
      </c:layout>
      <c:txPr>
        <a:bodyPr/>
        <a:lstStyle/>
        <a:p>
          <a:pPr>
            <a:defRPr lang="en-US"/>
          </a:pPr>
          <a:endParaRPr lang="en-US"/>
        </a:p>
      </c:txPr>
    </c:legend>
    <c:plotVisOnly val="1"/>
    <c:dispBlanksAs val="zero"/>
  </c:chart>
  <c:spPr>
    <a:ln>
      <a:noFill/>
    </a:ln>
  </c:spPr>
  <c:printSettings>
    <c:headerFooter/>
    <c:pageMargins b="0.75000000000001421" l="0.70000000000000062" r="0.70000000000000062" t="0.7500000000000142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1144414438177492E-2"/>
          <c:y val="9.8599422378193247E-2"/>
          <c:w val="0.41808005515858782"/>
          <c:h val="0.61558223770577425"/>
        </c:manualLayout>
      </c:layout>
      <c:areaChart>
        <c:grouping val="percentStacked"/>
        <c:ser>
          <c:idx val="0"/>
          <c:order val="0"/>
          <c:tx>
            <c:strRef>
              <c:f>VI.a!$D$43</c:f>
              <c:strCache>
                <c:ptCount val="1"/>
                <c:pt idx="0">
                  <c:v>Arable, for food crops (grades 1–3)</c:v>
                </c:pt>
              </c:strCache>
            </c:strRef>
          </c:tx>
          <c:cat>
            <c:multiLvlStrRef>
              <c:f>VI.a!$F$18:$O$18</c:f>
            </c:multiLvlStrRef>
          </c:cat>
          <c:val>
            <c:numRef>
              <c:f>VI.a!$F$43:$O$43</c:f>
            </c:numRef>
          </c:val>
        </c:ser>
        <c:ser>
          <c:idx val="1"/>
          <c:order val="1"/>
          <c:tx>
            <c:strRef>
              <c:f>VI.a!$D$44</c:f>
              <c:strCache>
                <c:ptCount val="1"/>
                <c:pt idx="0">
                  <c:v>Arable, for 1st gen energy crops  (grades 1–3)</c:v>
                </c:pt>
              </c:strCache>
            </c:strRef>
          </c:tx>
          <c:spPr>
            <a:ln w="25400">
              <a:noFill/>
            </a:ln>
          </c:spPr>
          <c:cat>
            <c:multiLvlStrRef>
              <c:f>VI.a!$F$18:$O$18</c:f>
            </c:multiLvlStrRef>
          </c:cat>
          <c:val>
            <c:numRef>
              <c:f>VI.a!$F$44:$O$44</c:f>
            </c:numRef>
          </c:val>
        </c:ser>
        <c:ser>
          <c:idx val="2"/>
          <c:order val="2"/>
          <c:tx>
            <c:strRef>
              <c:f>VI.a!$D$45</c:f>
              <c:strCache>
                <c:ptCount val="1"/>
                <c:pt idx="0">
                  <c:v>Arable, for 2nd gen energy crops  (grades 1–3)</c:v>
                </c:pt>
              </c:strCache>
            </c:strRef>
          </c:tx>
          <c:spPr>
            <a:ln w="25400">
              <a:noFill/>
            </a:ln>
          </c:spPr>
          <c:cat>
            <c:multiLvlStrRef>
              <c:f>VI.a!$F$18:$O$18</c:f>
            </c:multiLvlStrRef>
          </c:cat>
          <c:val>
            <c:numRef>
              <c:f>VI.a!$F$45:$O$45</c:f>
            </c:numRef>
          </c:val>
        </c:ser>
        <c:ser>
          <c:idx val="7"/>
          <c:order val="3"/>
          <c:tx>
            <c:strRef>
              <c:f>VI.a!$D$46</c:f>
              <c:strCache>
                <c:ptCount val="1"/>
                <c:pt idx="0">
                  <c:v>Grassland, for 2nd gen energy crops (grades 3–4)</c:v>
                </c:pt>
              </c:strCache>
            </c:strRef>
          </c:tx>
          <c:spPr>
            <a:ln w="25400">
              <a:noFill/>
            </a:ln>
          </c:spPr>
          <c:val>
            <c:numRef>
              <c:f>VI.a!$F$46:$O$46</c:f>
            </c:numRef>
          </c:val>
        </c:ser>
        <c:ser>
          <c:idx val="3"/>
          <c:order val="4"/>
          <c:tx>
            <c:strRef>
              <c:f>VI.a!$D$47</c:f>
              <c:strCache>
                <c:ptCount val="1"/>
                <c:pt idx="0">
                  <c:v>Grassland, for livestock and fallow (grades 3–5)</c:v>
                </c:pt>
              </c:strCache>
            </c:strRef>
          </c:tx>
          <c:spPr>
            <a:ln w="25400">
              <a:noFill/>
            </a:ln>
          </c:spPr>
          <c:cat>
            <c:multiLvlStrRef>
              <c:f>VI.a!$F$18:$O$18</c:f>
            </c:multiLvlStrRef>
          </c:cat>
          <c:val>
            <c:numRef>
              <c:f>VI.a!$F$47:$O$47</c:f>
            </c:numRef>
          </c:val>
        </c:ser>
        <c:ser>
          <c:idx val="4"/>
          <c:order val="5"/>
          <c:tx>
            <c:strRef>
              <c:f>VI.a!$D$48</c:f>
              <c:strCache>
                <c:ptCount val="1"/>
                <c:pt idx="0">
                  <c:v>Settlements</c:v>
                </c:pt>
              </c:strCache>
            </c:strRef>
          </c:tx>
          <c:spPr>
            <a:ln w="25400">
              <a:noFill/>
            </a:ln>
          </c:spPr>
          <c:cat>
            <c:multiLvlStrRef>
              <c:f>VI.a!$F$18:$O$18</c:f>
            </c:multiLvlStrRef>
          </c:cat>
          <c:val>
            <c:numRef>
              <c:f>VI.a!$F$48:$O$48</c:f>
            </c:numRef>
          </c:val>
        </c:ser>
        <c:ser>
          <c:idx val="5"/>
          <c:order val="6"/>
          <c:tx>
            <c:strRef>
              <c:f>VI.a!$D$49</c:f>
              <c:strCache>
                <c:ptCount val="1"/>
                <c:pt idx="0">
                  <c:v>Forests</c:v>
                </c:pt>
              </c:strCache>
            </c:strRef>
          </c:tx>
          <c:spPr>
            <a:ln w="25400">
              <a:noFill/>
            </a:ln>
          </c:spPr>
          <c:cat>
            <c:multiLvlStrRef>
              <c:f>VI.a!$F$18:$O$18</c:f>
            </c:multiLvlStrRef>
          </c:cat>
          <c:val>
            <c:numRef>
              <c:f>VI.a!$F$49:$O$49</c:f>
            </c:numRef>
          </c:val>
        </c:ser>
        <c:ser>
          <c:idx val="6"/>
          <c:order val="7"/>
          <c:tx>
            <c:strRef>
              <c:f>VI.a!$D$50</c:f>
              <c:strCache>
                <c:ptCount val="1"/>
                <c:pt idx="0">
                  <c:v>Other</c:v>
                </c:pt>
              </c:strCache>
            </c:strRef>
          </c:tx>
          <c:spPr>
            <a:ln w="25400">
              <a:noFill/>
            </a:ln>
          </c:spPr>
          <c:cat>
            <c:multiLvlStrRef>
              <c:f>VI.a!$F$18:$O$18</c:f>
            </c:multiLvlStrRef>
          </c:cat>
          <c:val>
            <c:numRef>
              <c:f>VI.a!$F$50:$O$50</c:f>
            </c:numRef>
          </c:val>
        </c:ser>
        <c:axId val="112525696"/>
        <c:axId val="112527232"/>
      </c:areaChart>
      <c:catAx>
        <c:axId val="112525696"/>
        <c:scaling>
          <c:orientation val="minMax"/>
        </c:scaling>
        <c:axPos val="b"/>
        <c:numFmt formatCode="General" sourceLinked="1"/>
        <c:tickLblPos val="nextTo"/>
        <c:txPr>
          <a:bodyPr/>
          <a:lstStyle/>
          <a:p>
            <a:pPr>
              <a:defRPr lang="en-US"/>
            </a:pPr>
            <a:endParaRPr lang="en-US"/>
          </a:p>
        </c:txPr>
        <c:crossAx val="112527232"/>
        <c:crosses val="autoZero"/>
        <c:auto val="1"/>
        <c:lblAlgn val="ctr"/>
        <c:lblOffset val="100"/>
      </c:catAx>
      <c:valAx>
        <c:axId val="112527232"/>
        <c:scaling>
          <c:orientation val="minMax"/>
        </c:scaling>
        <c:axPos val="l"/>
        <c:majorGridlines/>
        <c:numFmt formatCode="0%" sourceLinked="0"/>
        <c:tickLblPos val="nextTo"/>
        <c:spPr>
          <a:ln>
            <a:noFill/>
          </a:ln>
        </c:spPr>
        <c:txPr>
          <a:bodyPr/>
          <a:lstStyle/>
          <a:p>
            <a:pPr>
              <a:defRPr lang="en-US"/>
            </a:pPr>
            <a:endParaRPr lang="en-US"/>
          </a:p>
        </c:txPr>
        <c:crossAx val="112525696"/>
        <c:crosses val="autoZero"/>
        <c:crossBetween val="midCat"/>
      </c:valAx>
    </c:plotArea>
    <c:legend>
      <c:legendPos val="r"/>
      <c:layout>
        <c:manualLayout>
          <c:xMode val="edge"/>
          <c:yMode val="edge"/>
          <c:x val="0.52549026119907905"/>
          <c:y val="0.10732303626934228"/>
          <c:w val="0.46799643621067138"/>
          <c:h val="0.89267685656941376"/>
        </c:manualLayout>
      </c:layout>
      <c:txPr>
        <a:bodyPr/>
        <a:lstStyle/>
        <a:p>
          <a:pPr>
            <a:defRPr lang="en-US"/>
          </a:pPr>
          <a:endParaRPr lang="en-US"/>
        </a:p>
      </c:txPr>
    </c:legend>
    <c:plotVisOnly val="1"/>
    <c:dispBlanksAs val="zero"/>
  </c:chart>
  <c:spPr>
    <a:ln>
      <a:noFill/>
    </a:ln>
  </c:spPr>
  <c:printSettings>
    <c:headerFooter/>
    <c:pageMargins b="0.75000000000001432" l="0.70000000000000062" r="0.70000000000000062" t="0.7500000000000143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style val="10"/>
  <c:chart>
    <c:plotArea>
      <c:layout>
        <c:manualLayout>
          <c:layoutTarget val="inner"/>
          <c:xMode val="edge"/>
          <c:yMode val="edge"/>
          <c:x val="9.9171822618246766E-2"/>
          <c:y val="5.1014502068150475E-2"/>
          <c:w val="0.45092664167575841"/>
          <c:h val="0.80110552114216949"/>
        </c:manualLayout>
      </c:layout>
      <c:areaChart>
        <c:grouping val="stacked"/>
        <c:ser>
          <c:idx val="0"/>
          <c:order val="0"/>
          <c:tx>
            <c:strRef>
              <c:f>IX.a!$D$273</c:f>
              <c:strCache>
                <c:ptCount val="1"/>
                <c:pt idx="0">
                  <c:v>Gas boiler (old)</c:v>
                </c:pt>
              </c:strCache>
            </c:strRef>
          </c:tx>
          <c:cat>
            <c:multiLvlStrRef>
              <c:f>IX.a!$F$272:$O$272</c:f>
            </c:multiLvlStrRef>
          </c:cat>
          <c:val>
            <c:numRef>
              <c:f>IX.a!$F$273:$O$273</c:f>
            </c:numRef>
          </c:val>
        </c:ser>
        <c:ser>
          <c:idx val="1"/>
          <c:order val="1"/>
          <c:tx>
            <c:strRef>
              <c:f>IX.a!$D$274</c:f>
              <c:strCache>
                <c:ptCount val="1"/>
                <c:pt idx="0">
                  <c:v>Gas boiler (new)</c:v>
                </c:pt>
              </c:strCache>
            </c:strRef>
          </c:tx>
          <c:cat>
            <c:multiLvlStrRef>
              <c:f>IX.a!$F$272:$O$272</c:f>
            </c:multiLvlStrRef>
          </c:cat>
          <c:val>
            <c:numRef>
              <c:f>IX.a!$F$274:$O$274</c:f>
            </c:numRef>
          </c:val>
        </c:ser>
        <c:ser>
          <c:idx val="2"/>
          <c:order val="2"/>
          <c:tx>
            <c:strRef>
              <c:f>IX.a!$D$275</c:f>
              <c:strCache>
                <c:ptCount val="1"/>
                <c:pt idx="0">
                  <c:v>Resisitive heating</c:v>
                </c:pt>
              </c:strCache>
            </c:strRef>
          </c:tx>
          <c:cat>
            <c:multiLvlStrRef>
              <c:f>IX.a!$F$272:$O$272</c:f>
            </c:multiLvlStrRef>
          </c:cat>
          <c:val>
            <c:numRef>
              <c:f>IX.a!$F$275:$O$275</c:f>
            </c:numRef>
          </c:val>
        </c:ser>
        <c:ser>
          <c:idx val="3"/>
          <c:order val="3"/>
          <c:tx>
            <c:strRef>
              <c:f>IX.a!$D$276</c:f>
              <c:strCache>
                <c:ptCount val="1"/>
                <c:pt idx="0">
                  <c:v>Oil-fired boiler</c:v>
                </c:pt>
              </c:strCache>
            </c:strRef>
          </c:tx>
          <c:cat>
            <c:multiLvlStrRef>
              <c:f>IX.a!$F$272:$O$272</c:f>
            </c:multiLvlStrRef>
          </c:cat>
          <c:val>
            <c:numRef>
              <c:f>IX.a!$F$276:$O$276</c:f>
            </c:numRef>
          </c:val>
        </c:ser>
        <c:ser>
          <c:idx val="4"/>
          <c:order val="4"/>
          <c:tx>
            <c:strRef>
              <c:f>IX.a!$D$277</c:f>
              <c:strCache>
                <c:ptCount val="1"/>
                <c:pt idx="0">
                  <c:v>Solid-fuel boiler</c:v>
                </c:pt>
              </c:strCache>
            </c:strRef>
          </c:tx>
          <c:cat>
            <c:multiLvlStrRef>
              <c:f>IX.a!$F$272:$O$272</c:f>
            </c:multiLvlStrRef>
          </c:cat>
          <c:val>
            <c:numRef>
              <c:f>IX.a!$F$277:$O$277</c:f>
            </c:numRef>
          </c:val>
        </c:ser>
        <c:ser>
          <c:idx val="5"/>
          <c:order val="5"/>
          <c:tx>
            <c:strRef>
              <c:f>IX.a!$D$278</c:f>
              <c:strCache>
                <c:ptCount val="1"/>
                <c:pt idx="0">
                  <c:v>Stirling engine μCHP</c:v>
                </c:pt>
              </c:strCache>
            </c:strRef>
          </c:tx>
          <c:cat>
            <c:multiLvlStrRef>
              <c:f>IX.a!$F$272:$O$272</c:f>
            </c:multiLvlStrRef>
          </c:cat>
          <c:val>
            <c:numRef>
              <c:f>IX.a!$F$278:$O$278</c:f>
            </c:numRef>
          </c:val>
        </c:ser>
        <c:ser>
          <c:idx val="10"/>
          <c:order val="6"/>
          <c:tx>
            <c:strRef>
              <c:f>IX.a!$D$279</c:f>
              <c:strCache>
                <c:ptCount val="1"/>
                <c:pt idx="0">
                  <c:v>Fuel-cell μCHP</c:v>
                </c:pt>
              </c:strCache>
            </c:strRef>
          </c:tx>
          <c:val>
            <c:numRef>
              <c:f>IX.a!$F$279:$O$279</c:f>
            </c:numRef>
          </c:val>
        </c:ser>
        <c:ser>
          <c:idx val="6"/>
          <c:order val="7"/>
          <c:tx>
            <c:strRef>
              <c:f>IX.a!$D$280</c:f>
              <c:strCache>
                <c:ptCount val="1"/>
                <c:pt idx="0">
                  <c:v>Air-source heat pump</c:v>
                </c:pt>
              </c:strCache>
            </c:strRef>
          </c:tx>
          <c:cat>
            <c:multiLvlStrRef>
              <c:f>IX.a!$F$272:$O$272</c:f>
            </c:multiLvlStrRef>
          </c:cat>
          <c:val>
            <c:numRef>
              <c:f>IX.a!$F$280:$O$280</c:f>
            </c:numRef>
          </c:val>
        </c:ser>
        <c:ser>
          <c:idx val="7"/>
          <c:order val="8"/>
          <c:tx>
            <c:strRef>
              <c:f>IX.a!$D$281</c:f>
              <c:strCache>
                <c:ptCount val="1"/>
                <c:pt idx="0">
                  <c:v>Ground-source heat pump</c:v>
                </c:pt>
              </c:strCache>
            </c:strRef>
          </c:tx>
          <c:cat>
            <c:multiLvlStrRef>
              <c:f>IX.a!$F$272:$O$272</c:f>
            </c:multiLvlStrRef>
          </c:cat>
          <c:val>
            <c:numRef>
              <c:f>IX.a!$F$281:$O$281</c:f>
            </c:numRef>
          </c:val>
        </c:ser>
        <c:ser>
          <c:idx val="8"/>
          <c:order val="9"/>
          <c:tx>
            <c:strRef>
              <c:f>IX.a!$D$282</c:f>
              <c:strCache>
                <c:ptCount val="1"/>
                <c:pt idx="0">
                  <c:v>Geothermal</c:v>
                </c:pt>
              </c:strCache>
            </c:strRef>
          </c:tx>
          <c:cat>
            <c:multiLvlStrRef>
              <c:f>IX.a!$F$272:$O$272</c:f>
            </c:multiLvlStrRef>
          </c:cat>
          <c:val>
            <c:numRef>
              <c:f>IX.a!$F$282:$O$282</c:f>
            </c:numRef>
          </c:val>
        </c:ser>
        <c:ser>
          <c:idx val="9"/>
          <c:order val="10"/>
          <c:tx>
            <c:strRef>
              <c:f>IX.a!$D$285</c:f>
              <c:strCache>
                <c:ptCount val="1"/>
                <c:pt idx="0">
                  <c:v>District heating from power stations</c:v>
                </c:pt>
              </c:strCache>
            </c:strRef>
          </c:tx>
          <c:cat>
            <c:multiLvlStrRef>
              <c:f>IX.a!$F$272:$O$272</c:f>
            </c:multiLvlStrRef>
          </c:cat>
          <c:val>
            <c:numRef>
              <c:f>IX.a!$F$285:$O$285</c:f>
            </c:numRef>
          </c:val>
        </c:ser>
        <c:ser>
          <c:idx val="11"/>
          <c:order val="11"/>
          <c:tx>
            <c:strRef>
              <c:f>IX.a!$D$283</c:f>
              <c:strCache>
                <c:ptCount val="1"/>
                <c:pt idx="0">
                  <c:v>Community scale gas CHP</c:v>
                </c:pt>
              </c:strCache>
            </c:strRef>
          </c:tx>
          <c:val>
            <c:numRef>
              <c:f>IX.a!$F$283:$O$283</c:f>
            </c:numRef>
          </c:val>
        </c:ser>
        <c:ser>
          <c:idx val="12"/>
          <c:order val="12"/>
          <c:tx>
            <c:strRef>
              <c:f>IX.a!$D$284</c:f>
              <c:strCache>
                <c:ptCount val="1"/>
                <c:pt idx="0">
                  <c:v>Community scale solid-fuel CHP</c:v>
                </c:pt>
              </c:strCache>
            </c:strRef>
          </c:tx>
          <c:val>
            <c:numRef>
              <c:f>IX.a!$F$284:$O$284</c:f>
            </c:numRef>
          </c:val>
        </c:ser>
        <c:axId val="113945984"/>
        <c:axId val="113964160"/>
      </c:areaChart>
      <c:catAx>
        <c:axId val="113945984"/>
        <c:scaling>
          <c:orientation val="minMax"/>
        </c:scaling>
        <c:axPos val="b"/>
        <c:numFmt formatCode="0" sourceLinked="1"/>
        <c:tickLblPos val="nextTo"/>
        <c:txPr>
          <a:bodyPr/>
          <a:lstStyle/>
          <a:p>
            <a:pPr>
              <a:defRPr lang="en-US"/>
            </a:pPr>
            <a:endParaRPr lang="en-US"/>
          </a:p>
        </c:txPr>
        <c:crossAx val="113964160"/>
        <c:crosses val="autoZero"/>
        <c:auto val="1"/>
        <c:lblAlgn val="ctr"/>
        <c:lblOffset val="100"/>
      </c:catAx>
      <c:valAx>
        <c:axId val="113964160"/>
        <c:scaling>
          <c:orientation val="minMax"/>
        </c:scaling>
        <c:axPos val="l"/>
        <c:majorGridlines>
          <c:spPr>
            <a:ln>
              <a:solidFill>
                <a:schemeClr val="accent1">
                  <a:lumMod val="20000"/>
                  <a:lumOff val="80000"/>
                </a:schemeClr>
              </a:solidFill>
            </a:ln>
          </c:spPr>
        </c:majorGridlines>
        <c:numFmt formatCode="#,##0" sourceLinked="0"/>
        <c:tickLblPos val="nextTo"/>
        <c:spPr>
          <a:ln>
            <a:noFill/>
          </a:ln>
        </c:spPr>
        <c:txPr>
          <a:bodyPr/>
          <a:lstStyle/>
          <a:p>
            <a:pPr>
              <a:defRPr lang="en-US"/>
            </a:pPr>
            <a:endParaRPr lang="en-US"/>
          </a:p>
        </c:txPr>
        <c:crossAx val="113945984"/>
        <c:crosses val="autoZero"/>
        <c:crossBetween val="midCat"/>
        <c:dispUnits>
          <c:builtInUnit val="millions"/>
          <c:dispUnitsLbl>
            <c:txPr>
              <a:bodyPr/>
              <a:lstStyle/>
              <a:p>
                <a:pPr>
                  <a:defRPr lang="en-US"/>
                </a:pPr>
                <a:endParaRPr lang="en-US"/>
              </a:p>
            </c:txPr>
          </c:dispUnitsLbl>
        </c:dispUnits>
      </c:valAx>
    </c:plotArea>
    <c:legend>
      <c:legendPos val="r"/>
      <c:layout>
        <c:manualLayout>
          <c:xMode val="edge"/>
          <c:yMode val="edge"/>
          <c:x val="0.61343382801195556"/>
          <c:y val="2.5941805489776024E-2"/>
          <c:w val="0.27171939868007933"/>
          <c:h val="0.90739982140515463"/>
        </c:manualLayout>
      </c:layout>
      <c:txPr>
        <a:bodyPr/>
        <a:lstStyle/>
        <a:p>
          <a:pPr>
            <a:defRPr lang="en-US"/>
          </a:pPr>
          <a:endParaRPr lang="en-US"/>
        </a:p>
      </c:txPr>
    </c:legend>
    <c:plotVisOnly val="1"/>
    <c:dispBlanksAs val="zero"/>
  </c:chart>
  <c:spPr>
    <a:ln>
      <a:noFill/>
    </a:ln>
  </c:spPr>
  <c:printSettings>
    <c:headerFooter/>
    <c:pageMargins b="0.75000000000001465" l="0.70000000000000062" r="0.70000000000000062" t="0.75000000000001465" header="0.30000000000000032" footer="0.30000000000000032"/>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18</xdr:col>
      <xdr:colOff>583387</xdr:colOff>
      <xdr:row>37</xdr:row>
      <xdr:rowOff>1</xdr:rowOff>
    </xdr:from>
    <xdr:to>
      <xdr:col>21</xdr:col>
      <xdr:colOff>238105</xdr:colOff>
      <xdr:row>38</xdr:row>
      <xdr:rowOff>-1</xdr:rowOff>
    </xdr:to>
    <xdr:sp macro="" textlink="">
      <xdr:nvSpPr>
        <xdr:cNvPr id="8" name="Flowchart: Manual Input 7"/>
        <xdr:cNvSpPr/>
      </xdr:nvSpPr>
      <xdr:spPr>
        <a:xfrm rot="5400000" flipH="1">
          <a:off x="10888246" y="7066361"/>
          <a:ext cx="202405" cy="785812"/>
        </a:xfrm>
        <a:prstGeom prst="flowChartManualInput">
          <a:avLst/>
        </a:prstGeom>
        <a:solidFill>
          <a:schemeClr val="accent1">
            <a:lumMod val="20000"/>
            <a:lumOff val="80000"/>
          </a:schemeClr>
        </a:solidFill>
        <a:ln w="12700">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vert270" rtlCol="0" anchor="ctr"/>
        <a:lstStyle/>
        <a:p>
          <a:pPr algn="r"/>
          <a:r>
            <a:rPr lang="en-GB" sz="1000">
              <a:solidFill>
                <a:sysClr val="windowText" lastClr="000000"/>
              </a:solidFill>
              <a:latin typeface="Tahoma" pitchFamily="34" charset="0"/>
              <a:cs typeface="Tahoma" pitchFamily="34" charset="0"/>
            </a:rPr>
            <a:t>Glossary</a:t>
          </a:r>
        </a:p>
      </xdr:txBody>
    </xdr:sp>
    <xdr:clientData/>
  </xdr:twoCellAnchor>
  <xdr:twoCellAnchor editAs="oneCell">
    <xdr:from>
      <xdr:col>16</xdr:col>
      <xdr:colOff>273837</xdr:colOff>
      <xdr:row>37</xdr:row>
      <xdr:rowOff>4</xdr:rowOff>
    </xdr:from>
    <xdr:to>
      <xdr:col>18</xdr:col>
      <xdr:colOff>178588</xdr:colOff>
      <xdr:row>38</xdr:row>
      <xdr:rowOff>3</xdr:rowOff>
    </xdr:to>
    <xdr:sp macro="" textlink="">
      <xdr:nvSpPr>
        <xdr:cNvPr id="6" name="Flowchart: Manual Input 5"/>
        <xdr:cNvSpPr/>
      </xdr:nvSpPr>
      <xdr:spPr>
        <a:xfrm rot="5400000" flipH="1">
          <a:off x="9423791" y="6792519"/>
          <a:ext cx="202406" cy="1333501"/>
        </a:xfrm>
        <a:prstGeom prst="flowChartManualInput">
          <a:avLst/>
        </a:prstGeom>
        <a:solidFill>
          <a:schemeClr val="tx2">
            <a:lumMod val="75000"/>
          </a:schemeClr>
        </a:solidFill>
        <a:ln w="12700">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vert270" rtlCol="0" anchor="ctr"/>
        <a:lstStyle/>
        <a:p>
          <a:pPr algn="r"/>
          <a:r>
            <a:rPr lang="en-GB" sz="1000">
              <a:solidFill>
                <a:schemeClr val="bg1"/>
              </a:solidFill>
              <a:latin typeface="Tahoma" pitchFamily="34" charset="0"/>
              <a:cs typeface="Tahoma" pitchFamily="34" charset="0"/>
            </a:rPr>
            <a:t>Instructions</a:t>
          </a:r>
        </a:p>
      </xdr:txBody>
    </xdr:sp>
    <xdr:clientData/>
  </xdr:twoCellAnchor>
  <xdr:twoCellAnchor editAs="oneCell">
    <xdr:from>
      <xdr:col>15</xdr:col>
      <xdr:colOff>95244</xdr:colOff>
      <xdr:row>37</xdr:row>
      <xdr:rowOff>4</xdr:rowOff>
    </xdr:from>
    <xdr:to>
      <xdr:col>16</xdr:col>
      <xdr:colOff>619120</xdr:colOff>
      <xdr:row>38</xdr:row>
      <xdr:rowOff>2</xdr:rowOff>
    </xdr:to>
    <xdr:sp macro="" textlink="">
      <xdr:nvSpPr>
        <xdr:cNvPr id="5" name="Flowchart: Manual Input 4"/>
        <xdr:cNvSpPr/>
      </xdr:nvSpPr>
      <xdr:spPr>
        <a:xfrm rot="5400000" flipH="1">
          <a:off x="8673698" y="7030644"/>
          <a:ext cx="202405" cy="857251"/>
        </a:xfrm>
        <a:prstGeom prst="flowChartManualInput">
          <a:avLst/>
        </a:prstGeom>
        <a:solidFill>
          <a:schemeClr val="accent1">
            <a:lumMod val="20000"/>
            <a:lumOff val="80000"/>
          </a:schemeClr>
        </a:solidFill>
        <a:ln w="12700">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vert270" rtlCol="0" anchor="ctr"/>
        <a:lstStyle/>
        <a:p>
          <a:pPr algn="ctr"/>
          <a:r>
            <a:rPr lang="en-GB" sz="1000">
              <a:solidFill>
                <a:sysClr val="windowText" lastClr="000000"/>
              </a:solidFill>
              <a:latin typeface="Tahoma" pitchFamily="34" charset="0"/>
              <a:cs typeface="Tahoma" pitchFamily="34" charset="0"/>
            </a:rPr>
            <a:t>Contents</a:t>
          </a:r>
        </a:p>
      </xdr:txBody>
    </xdr:sp>
    <xdr:clientData/>
  </xdr:twoCellAnchor>
  <xdr:twoCellAnchor editAs="oneCell">
    <xdr:from>
      <xdr:col>17</xdr:col>
      <xdr:colOff>535764</xdr:colOff>
      <xdr:row>37</xdr:row>
      <xdr:rowOff>5</xdr:rowOff>
    </xdr:from>
    <xdr:to>
      <xdr:col>18</xdr:col>
      <xdr:colOff>714360</xdr:colOff>
      <xdr:row>38</xdr:row>
      <xdr:rowOff>3</xdr:rowOff>
    </xdr:to>
    <xdr:sp macro="" textlink="">
      <xdr:nvSpPr>
        <xdr:cNvPr id="7" name="Flowchart: Manual Input 6"/>
        <xdr:cNvSpPr/>
      </xdr:nvSpPr>
      <xdr:spPr>
        <a:xfrm rot="5400000" flipH="1">
          <a:off x="10233406" y="7066364"/>
          <a:ext cx="202405" cy="785814"/>
        </a:xfrm>
        <a:prstGeom prst="flowChartManualInput">
          <a:avLst/>
        </a:prstGeom>
        <a:solidFill>
          <a:schemeClr val="accent2">
            <a:lumMod val="75000"/>
          </a:schemeClr>
        </a:solidFill>
        <a:ln w="12700">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vert270" rtlCol="0" anchor="ctr"/>
        <a:lstStyle/>
        <a:p>
          <a:pPr algn="ctr"/>
          <a:r>
            <a:rPr lang="en-GB" sz="1000">
              <a:solidFill>
                <a:schemeClr val="bg1"/>
              </a:solidFill>
              <a:latin typeface="Tahoma" pitchFamily="34" charset="0"/>
              <a:cs typeface="Tahoma" pitchFamily="34" charset="0"/>
            </a:rPr>
            <a:t>Control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0</xdr:colOff>
      <xdr:row>18</xdr:row>
      <xdr:rowOff>49950</xdr:rowOff>
    </xdr:from>
    <xdr:to>
      <xdr:col>41</xdr:col>
      <xdr:colOff>0</xdr:colOff>
      <xdr:row>32</xdr:row>
      <xdr:rowOff>36600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4</xdr:row>
      <xdr:rowOff>-1</xdr:rowOff>
    </xdr:from>
    <xdr:to>
      <xdr:col>41</xdr:col>
      <xdr:colOff>0</xdr:colOff>
      <xdr:row>17</xdr:row>
      <xdr:rowOff>158099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33</xdr:row>
      <xdr:rowOff>0</xdr:rowOff>
    </xdr:from>
    <xdr:to>
      <xdr:col>40</xdr:col>
      <xdr:colOff>546556</xdr:colOff>
      <xdr:row>46</xdr:row>
      <xdr:rowOff>158100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0</xdr:colOff>
      <xdr:row>4</xdr:row>
      <xdr:rowOff>0</xdr:rowOff>
    </xdr:from>
    <xdr:to>
      <xdr:col>52</xdr:col>
      <xdr:colOff>579439</xdr:colOff>
      <xdr:row>25</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42</xdr:col>
      <xdr:colOff>625472</xdr:colOff>
      <xdr:row>13</xdr:row>
      <xdr:rowOff>264582</xdr:rowOff>
    </xdr:from>
    <xdr:ext cx="663771" cy="311496"/>
    <xdr:sp macro="" textlink="">
      <xdr:nvSpPr>
        <xdr:cNvPr id="6" name="TextBox 5"/>
        <xdr:cNvSpPr txBox="1"/>
      </xdr:nvSpPr>
      <xdr:spPr>
        <a:xfrm>
          <a:off x="15336305" y="3457221"/>
          <a:ext cx="663771"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GB" sz="1400" b="1">
              <a:solidFill>
                <a:schemeClr val="bg1"/>
              </a:solidFill>
              <a:latin typeface="+mj-lt"/>
            </a:rPr>
            <a:t>Target</a:t>
          </a:r>
        </a:p>
      </xdr:txBody>
    </xdr:sp>
    <xdr:clientData/>
  </xdr:oneCellAnchor>
  <xdr:twoCellAnchor>
    <xdr:from>
      <xdr:col>14</xdr:col>
      <xdr:colOff>158751</xdr:colOff>
      <xdr:row>0</xdr:row>
      <xdr:rowOff>61732</xdr:rowOff>
    </xdr:from>
    <xdr:to>
      <xdr:col>15</xdr:col>
      <xdr:colOff>299861</xdr:colOff>
      <xdr:row>0</xdr:row>
      <xdr:rowOff>335135</xdr:rowOff>
    </xdr:to>
    <xdr:sp macro="" textlink="">
      <xdr:nvSpPr>
        <xdr:cNvPr id="7" name="Bent Arrow 6"/>
        <xdr:cNvSpPr/>
      </xdr:nvSpPr>
      <xdr:spPr>
        <a:xfrm rot="16200000">
          <a:off x="4230321" y="-63093"/>
          <a:ext cx="273403" cy="523053"/>
        </a:xfrm>
        <a:prstGeom prst="bentArrow">
          <a:avLst>
            <a:gd name="adj1" fmla="val 26725"/>
            <a:gd name="adj2" fmla="val 31899"/>
            <a:gd name="adj3" fmla="val 35348"/>
            <a:gd name="adj4" fmla="val 33402"/>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solidFill>
              <a:schemeClr val="tx1"/>
            </a:solidFill>
          </a:endParaRPr>
        </a:p>
      </xdr:txBody>
    </xdr:sp>
    <xdr:clientData/>
  </xdr:twoCellAnchor>
  <xdr:twoCellAnchor>
    <xdr:from>
      <xdr:col>28</xdr:col>
      <xdr:colOff>117124</xdr:colOff>
      <xdr:row>0</xdr:row>
      <xdr:rowOff>73020</xdr:rowOff>
    </xdr:from>
    <xdr:to>
      <xdr:col>29</xdr:col>
      <xdr:colOff>52917</xdr:colOff>
      <xdr:row>0</xdr:row>
      <xdr:rowOff>366712</xdr:rowOff>
    </xdr:to>
    <xdr:sp macro="" textlink="">
      <xdr:nvSpPr>
        <xdr:cNvPr id="9" name="Bent Arrow 8"/>
        <xdr:cNvSpPr/>
      </xdr:nvSpPr>
      <xdr:spPr>
        <a:xfrm rot="16200000">
          <a:off x="7286712" y="85282"/>
          <a:ext cx="293692" cy="269168"/>
        </a:xfrm>
        <a:prstGeom prst="bentArrow">
          <a:avLst>
            <a:gd name="adj1" fmla="val 32077"/>
            <a:gd name="adj2" fmla="val 33847"/>
            <a:gd name="adj3" fmla="val 40924"/>
            <a:gd name="adj4" fmla="val 43750"/>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607217</xdr:colOff>
      <xdr:row>18</xdr:row>
      <xdr:rowOff>1</xdr:rowOff>
    </xdr:from>
    <xdr:to>
      <xdr:col>29</xdr:col>
      <xdr:colOff>0</xdr:colOff>
      <xdr:row>26</xdr:row>
      <xdr:rowOff>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26</xdr:row>
      <xdr:rowOff>0</xdr:rowOff>
    </xdr:from>
    <xdr:to>
      <xdr:col>29</xdr:col>
      <xdr:colOff>1</xdr:colOff>
      <xdr:row>34</xdr:row>
      <xdr:rowOff>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xdr:colOff>
      <xdr:row>34</xdr:row>
      <xdr:rowOff>0</xdr:rowOff>
    </xdr:from>
    <xdr:to>
      <xdr:col>29</xdr:col>
      <xdr:colOff>2</xdr:colOff>
      <xdr:row>42</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xdr:colOff>
      <xdr:row>41</xdr:row>
      <xdr:rowOff>202405</xdr:rowOff>
    </xdr:from>
    <xdr:to>
      <xdr:col>29</xdr:col>
      <xdr:colOff>3</xdr:colOff>
      <xdr:row>49</xdr:row>
      <xdr:rowOff>202405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166688</xdr:colOff>
      <xdr:row>269</xdr:row>
      <xdr:rowOff>0</xdr:rowOff>
    </xdr:from>
    <xdr:to>
      <xdr:col>32</xdr:col>
      <xdr:colOff>107156</xdr:colOff>
      <xdr:row>285</xdr:row>
      <xdr:rowOff>130968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286</xdr:row>
      <xdr:rowOff>0</xdr:rowOff>
    </xdr:from>
    <xdr:to>
      <xdr:col>31</xdr:col>
      <xdr:colOff>547687</xdr:colOff>
      <xdr:row>292</xdr:row>
      <xdr:rowOff>-1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166</xdr:row>
      <xdr:rowOff>0</xdr:rowOff>
    </xdr:from>
    <xdr:to>
      <xdr:col>28</xdr:col>
      <xdr:colOff>214314</xdr:colOff>
      <xdr:row>181</xdr:row>
      <xdr:rowOff>178593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183</xdr:row>
      <xdr:rowOff>0</xdr:rowOff>
    </xdr:from>
    <xdr:to>
      <xdr:col>28</xdr:col>
      <xdr:colOff>214314</xdr:colOff>
      <xdr:row>189</xdr:row>
      <xdr:rowOff>130968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CC%20Projects\Current%20Projects\2050%20vision\3.%20Outputs\The%20Energy%20Calculator\Nightly%20versions\20100204_The%20Energy%20Calculator-v1p3-JG%20balancing%20201002081020%20tamc.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HANGELOG AND TODO"/>
      <sheetName val="Preferences"/>
      <sheetName val="{Workstreams}"/>
      <sheetName val="{Modules}"/>
      <sheetName val="{Energy vectors}"/>
      <sheetName val="{Emissions}"/>
      <sheetName val="{Mappings}"/>
      <sheetName val="Control"/>
      <sheetName val="Output (figures)"/>
      <sheetName val="2007 (actual, frozen)"/>
      <sheetName val="2007 (More consistent)"/>
      <sheetName val="2007"/>
      <sheetName val="2010"/>
      <sheetName val="2015"/>
      <sheetName val="2020"/>
      <sheetName val="2025"/>
      <sheetName val="2030"/>
      <sheetName val="2035"/>
      <sheetName val="2040"/>
      <sheetName val="2045"/>
      <sheetName val="2050"/>
      <sheetName val="VII.c"/>
      <sheetName val="XII.a"/>
      <sheetName val="I.a"/>
      <sheetName val="I.b"/>
      <sheetName val="II.a"/>
      <sheetName val="III.a.1"/>
      <sheetName val="III.a.2"/>
      <sheetName val="III.b"/>
      <sheetName val="III.c"/>
      <sheetName val="III.e"/>
      <sheetName val="IV.a"/>
      <sheetName val="IV.b"/>
      <sheetName val="IV.c"/>
      <sheetName val="VI.a"/>
      <sheetName val="VI.b"/>
      <sheetName val="V.a"/>
      <sheetName val="V.b"/>
      <sheetName val="VII.a"/>
      <sheetName val="VII.b"/>
      <sheetName val="IX.a"/>
      <sheetName val="IX.c"/>
      <sheetName val="X.a"/>
      <sheetName val="X.b"/>
      <sheetName val="XI.a"/>
      <sheetName val="XII.b"/>
      <sheetName val="XII.c"/>
      <sheetName val="XII.e"/>
      <sheetName val="XIII.a"/>
      <sheetName val="XIV.a"/>
      <sheetName val="XV.a"/>
      <sheetName val="XV.b"/>
      <sheetName val="XVI.a"/>
      <sheetName val="XVII.a"/>
      <sheetName val="Conversions"/>
      <sheetName val="Combustion Emissions Factors"/>
      <sheetName val="Global assumptions"/>
      <sheetName val="Constants"/>
      <sheetName val="DUKES 09 (1.2)"/>
      <sheetName val="DUKES 09 (1.9)"/>
      <sheetName val="DUKES 09 (2.5)"/>
      <sheetName val="DUKES 09 (5.1)"/>
      <sheetName val="DUKES 09 (5.6)"/>
      <sheetName val="DUKES 09 (7.2)"/>
      <sheetName val="DUKES 09 (7.4)"/>
      <sheetName val="DUKES 09 (A.1)"/>
      <sheetName val="DECC Energy Cons. (1.14)"/>
      <sheetName val="DECC Energy Cons. (4.1)"/>
      <sheetName val="20100204_The Energy Calcul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tables/table1.xml><?xml version="1.0" encoding="utf-8"?>
<table xmlns="http://schemas.openxmlformats.org/spreadsheetml/2006/main" id="30" name="Changelog" displayName="Changelog" ref="B2:E34" totalsRowShown="0" headerRowDxfId="1777">
  <autoFilter ref="B2:E34"/>
  <tableColumns count="4">
    <tableColumn id="1" name="Version"/>
    <tableColumn id="2" name="Release date" dataDxfId="1776"/>
    <tableColumn id="3" name="Responsible"/>
    <tableColumn id="4" name="Changes since last version"/>
  </tableColumns>
  <tableStyleInfo name="TableStyleMedium11" showFirstColumn="0" showLastColumn="0" showRowStripes="1" showColumnStripes="0"/>
</table>
</file>

<file path=xl/tables/table10.xml><?xml version="1.0" encoding="utf-8"?>
<table xmlns="http://schemas.openxmlformats.org/spreadsheetml/2006/main" id="4" name="I.a.Outputs" displayName="I.a.Outputs" ref="C129:O136" totalsRowCount="1" headerRowDxfId="1718" dataDxfId="1717">
  <autoFilter ref="C129:O135"/>
  <tableColumns count="13">
    <tableColumn id="1" name="Vector" totalsRowLabel="Total" dataDxfId="1716" totalsRowDxfId="1715"/>
    <tableColumn id="2" name="Name" dataDxfId="1714" totalsRowDxfId="1713">
      <calculatedColumnFormula>INDEX(Vectors[Description], MATCH([Vector], Vectors[Code], 0))</calculatedColumnFormula>
    </tableColumn>
    <tableColumn id="3" name="Notes" dataDxfId="1712" totalsRowDxfId="1711"/>
    <tableColumn id="4" name="2007" totalsRowFunction="sum" dataDxfId="1710" totalsRowDxfId="1709" dataCellStyle="Comma">
      <calculatedColumnFormula>F$98+F$107</calculatedColumnFormula>
    </tableColumn>
    <tableColumn id="5" name="2010" totalsRowFunction="sum" dataDxfId="1708" totalsRowDxfId="1707" dataCellStyle="Comma"/>
    <tableColumn id="6" name="2015" totalsRowFunction="sum" dataDxfId="1706" totalsRowDxfId="1705" dataCellStyle="Comma"/>
    <tableColumn id="7" name="2020" totalsRowFunction="sum" dataDxfId="1704" totalsRowDxfId="1703" dataCellStyle="Comma"/>
    <tableColumn id="8" name="2025" totalsRowFunction="sum" dataDxfId="1702" totalsRowDxfId="1701" dataCellStyle="Comma"/>
    <tableColumn id="9" name="2030" totalsRowFunction="sum" dataDxfId="1700" totalsRowDxfId="1699" dataCellStyle="Comma"/>
    <tableColumn id="10" name="2035" totalsRowFunction="sum" dataDxfId="1698" totalsRowDxfId="1697" dataCellStyle="Comma"/>
    <tableColumn id="11" name="2040" totalsRowFunction="sum" dataDxfId="1696" totalsRowDxfId="1695" dataCellStyle="Comma"/>
    <tableColumn id="12" name="2045" totalsRowFunction="sum" dataDxfId="1694" totalsRowDxfId="1693" dataCellStyle="Comma"/>
    <tableColumn id="13" name="2050" totalsRowFunction="sum" dataDxfId="1692" totalsRowDxfId="1691" dataCellStyle="Comma"/>
  </tableColumns>
  <tableStyleInfo name="EnergyCalcTables" showFirstColumn="0" showLastColumn="0" showRowStripes="1" showColumnStripes="0"/>
</table>
</file>

<file path=xl/tables/table11.xml><?xml version="1.0" encoding="utf-8"?>
<table xmlns="http://schemas.openxmlformats.org/spreadsheetml/2006/main" id="38" name="I.a.Emissions" displayName="I.a.Emissions" ref="C143:O147" totalsRowCount="1" headerRowDxfId="1690" dataDxfId="1688" headerRowBorderDxfId="1689" tableBorderDxfId="1687" dataCellStyle="Comma">
  <autoFilter ref="C143:O146"/>
  <tableColumns count="13">
    <tableColumn id="1" name="GHG" totalsRowLabel="Total" dataDxfId="1686" totalsRowDxfId="1685"/>
    <tableColumn id="2" name="IPCC Sector" dataDxfId="1684" totalsRowDxfId="1683"/>
    <tableColumn id="3" name="Notes" dataDxfId="1682" totalsRowDxfId="1681"/>
    <tableColumn id="4" name="2007" totalsRowFunction="sum" dataDxfId="1680" totalsRowDxfId="1679" dataCellStyle="Comma"/>
    <tableColumn id="5" name="2010" totalsRowFunction="sum" dataDxfId="1678" totalsRowDxfId="1677" dataCellStyle="Comma"/>
    <tableColumn id="6" name="2015" totalsRowFunction="sum" dataDxfId="1676" totalsRowDxfId="1675" dataCellStyle="Comma"/>
    <tableColumn id="7" name="2020" totalsRowFunction="sum" dataDxfId="1674" totalsRowDxfId="1673" dataCellStyle="Comma"/>
    <tableColumn id="8" name="2025" totalsRowFunction="sum" dataDxfId="1672" totalsRowDxfId="1671" dataCellStyle="Comma"/>
    <tableColumn id="9" name="2030" totalsRowFunction="sum" dataDxfId="1670" totalsRowDxfId="1669" dataCellStyle="Comma"/>
    <tableColumn id="10" name="2035" totalsRowFunction="min" dataDxfId="1668" totalsRowDxfId="1667" dataCellStyle="Comma"/>
    <tableColumn id="11" name="2040" totalsRowFunction="sum" dataDxfId="1666" totalsRowDxfId="1665" dataCellStyle="Comma"/>
    <tableColumn id="12" name="2045" totalsRowFunction="sum" dataDxfId="1664" totalsRowDxfId="1663" dataCellStyle="Comma"/>
    <tableColumn id="13" name="2050" totalsRowFunction="sum" dataDxfId="1662" totalsRowDxfId="1661" dataCellStyle="Comma"/>
  </tableColumns>
  <tableStyleInfo name="EnergyCalcTables" showFirstColumn="0" showLastColumn="0" showRowStripes="1" showColumnStripes="0"/>
</table>
</file>

<file path=xl/tables/table12.xml><?xml version="1.0" encoding="utf-8"?>
<table xmlns="http://schemas.openxmlformats.org/spreadsheetml/2006/main" id="17" name="I.b.Inputs" displayName="I.b.Inputs" ref="C14:O16" totalsRowShown="0" headerRowDxfId="1660" dataDxfId="1659">
  <autoFilter ref="C14:O16"/>
  <tableColumns count="13">
    <tableColumn id="1" name="Vector" dataDxfId="1658"/>
    <tableColumn id="2" name="Name" dataDxfId="1657">
      <calculatedColumnFormula>INDEX(Vectors[Description], MATCH([Vector], Vectors[Code], 0))</calculatedColumnFormula>
    </tableColumn>
    <tableColumn id="3" name="Notes" dataDxfId="1656"/>
    <tableColumn id="4" name="2007" dataDxfId="1655" dataCellStyle="Comma">
      <calculatedColumnFormula>INDIRECT("'"&amp;I.b.Inputs[#Headers]&amp;"'!Requested.CoalCCS")</calculatedColumnFormula>
    </tableColumn>
    <tableColumn id="5" name="2010" dataDxfId="1654" dataCellStyle="Comma">
      <calculatedColumnFormula>INDEX(INDIRECT("'"&amp;I.b.Inputs[#Headers]&amp;"'!Year.Matrix"), MATCH("Subtotal."&amp;$A$2, INDIRECT("'"&amp;I.b.Inputs[#Headers]&amp;"'!Year.Modules"), 0), MATCH([Vector], INDIRECT("'"&amp;I.b.Inputs[#Headers]&amp;"'!Year.Vectors"), 0))</calculatedColumnFormula>
    </tableColumn>
    <tableColumn id="6" name="2015" dataDxfId="1653" dataCellStyle="Comma">
      <calculatedColumnFormula>INDEX(INDIRECT("'"&amp;I.b.Inputs[#Headers]&amp;"'!Year.Matrix"), MATCH("Subtotal."&amp;$A$2, INDIRECT("'"&amp;I.b.Inputs[#Headers]&amp;"'!Year.Modules"), 0), MATCH([Vector], INDIRECT("'"&amp;I.b.Inputs[#Headers]&amp;"'!Year.Vectors"), 0))</calculatedColumnFormula>
    </tableColumn>
    <tableColumn id="7" name="2020" dataDxfId="1652" dataCellStyle="Comma">
      <calculatedColumnFormula>INDEX(INDIRECT("'"&amp;I.b.Inputs[#Headers]&amp;"'!Year.Matrix"), MATCH("Subtotal."&amp;$A$2, INDIRECT("'"&amp;I.b.Inputs[#Headers]&amp;"'!Year.Modules"), 0), MATCH([Vector], INDIRECT("'"&amp;I.b.Inputs[#Headers]&amp;"'!Year.Vectors"), 0))</calculatedColumnFormula>
    </tableColumn>
    <tableColumn id="15" name="2025" dataDxfId="1651" dataCellStyle="Comma">
      <calculatedColumnFormula>INDEX(INDIRECT("'"&amp;I.b.Inputs[#Headers]&amp;"'!Year.Matrix"), MATCH("Subtotal."&amp;$A$2, INDIRECT("'"&amp;I.b.Inputs[#Headers]&amp;"'!Year.Modules"), 0), MATCH([Vector], INDIRECT("'"&amp;I.b.Inputs[#Headers]&amp;"'!Year.Vectors"), 0))</calculatedColumnFormula>
    </tableColumn>
    <tableColumn id="16" name="2030" dataDxfId="1650" dataCellStyle="Comma">
      <calculatedColumnFormula>INDEX(INDIRECT("'"&amp;I.b.Inputs[#Headers]&amp;"'!Year.Matrix"), MATCH("Subtotal."&amp;$A$2, INDIRECT("'"&amp;I.b.Inputs[#Headers]&amp;"'!Year.Modules"), 0), MATCH([Vector], INDIRECT("'"&amp;I.b.Inputs[#Headers]&amp;"'!Year.Vectors"), 0))</calculatedColumnFormula>
    </tableColumn>
    <tableColumn id="17" name="2035" dataDxfId="1649" dataCellStyle="Comma">
      <calculatedColumnFormula>INDEX(INDIRECT("'"&amp;I.b.Inputs[#Headers]&amp;"'!Year.Matrix"), MATCH("Subtotal."&amp;$A$2, INDIRECT("'"&amp;I.b.Inputs[#Headers]&amp;"'!Year.Modules"), 0), MATCH([Vector], INDIRECT("'"&amp;I.b.Inputs[#Headers]&amp;"'!Year.Vectors"), 0))</calculatedColumnFormula>
    </tableColumn>
    <tableColumn id="18" name="2040" dataDxfId="1648" dataCellStyle="Comma">
      <calculatedColumnFormula>INDEX(INDIRECT("'"&amp;I.b.Inputs[#Headers]&amp;"'!Year.Matrix"), MATCH("Subtotal."&amp;$A$2, INDIRECT("'"&amp;I.b.Inputs[#Headers]&amp;"'!Year.Modules"), 0), MATCH([Vector], INDIRECT("'"&amp;I.b.Inputs[#Headers]&amp;"'!Year.Vectors"), 0))</calculatedColumnFormula>
    </tableColumn>
    <tableColumn id="19" name="2045" dataDxfId="1647" dataCellStyle="Comma">
      <calculatedColumnFormula>INDEX(INDIRECT("'"&amp;I.b.Inputs[#Headers]&amp;"'!Year.Matrix"), MATCH("Subtotal."&amp;$A$2, INDIRECT("'"&amp;I.b.Inputs[#Headers]&amp;"'!Year.Modules"), 0), MATCH([Vector], INDIRECT("'"&amp;I.b.Inputs[#Headers]&amp;"'!Year.Vectors"), 0))</calculatedColumnFormula>
    </tableColumn>
    <tableColumn id="20" name="2050" dataDxfId="1646" dataCellStyle="Comma">
      <calculatedColumnFormula>INDEX(INDIRECT("'"&amp;I.b.Inputs[#Headers]&amp;"'!Year.Matrix"), MATCH("Subtotal."&amp;$A$2, INDIRECT("'"&amp;I.b.Inputs[#Headers]&amp;"'!Year.Modules"), 0), MATCH([Vector], INDIRECT("'"&amp;I.b.Inputs[#Headers]&amp;"'!Year.Vectors"), 0))</calculatedColumnFormula>
    </tableColumn>
  </tableColumns>
  <tableStyleInfo name="EnergyCalcTables" showFirstColumn="0" showLastColumn="0" showRowStripes="1" showColumnStripes="0"/>
</table>
</file>

<file path=xl/tables/table13.xml><?xml version="1.0" encoding="utf-8"?>
<table xmlns="http://schemas.openxmlformats.org/spreadsheetml/2006/main" id="19" name="I.b.Outputs" displayName="I.b.Outputs" ref="C124:O129" totalsRowCount="1" headerRowDxfId="1645" dataDxfId="1644">
  <autoFilter ref="C124:O128"/>
  <tableColumns count="13">
    <tableColumn id="1" name="Vector" totalsRowLabel="Total" dataDxfId="1643" totalsRowDxfId="1642"/>
    <tableColumn id="2" name="Name" dataDxfId="1641" totalsRowDxfId="1640">
      <calculatedColumnFormula>INDEX(Vectors[Description], MATCH([Vector], Vectors[Code], 0))</calculatedColumnFormula>
    </tableColumn>
    <tableColumn id="3" name="Notes" dataDxfId="1639" totalsRowDxfId="1638"/>
    <tableColumn id="4" name="2007" totalsRowFunction="sum" dataDxfId="1637" totalsRowDxfId="1636" dataCellStyle="Comma">
      <calculatedColumnFormula>F$102+#REF!</calculatedColumnFormula>
    </tableColumn>
    <tableColumn id="5" name="2010" totalsRowFunction="sum" dataDxfId="1635" totalsRowDxfId="1634" dataCellStyle="Comma"/>
    <tableColumn id="6" name="2015" totalsRowFunction="sum" dataDxfId="1633" totalsRowDxfId="1632" dataCellStyle="Comma"/>
    <tableColumn id="7" name="2020" totalsRowFunction="sum" dataDxfId="1631" totalsRowDxfId="1630" dataCellStyle="Comma"/>
    <tableColumn id="8" name="2025" totalsRowFunction="sum" dataDxfId="1629" totalsRowDxfId="1628" dataCellStyle="Comma"/>
    <tableColumn id="9" name="2030" totalsRowFunction="sum" dataDxfId="1627" totalsRowDxfId="1626" dataCellStyle="Comma"/>
    <tableColumn id="10" name="2035" totalsRowFunction="sum" dataDxfId="1625" totalsRowDxfId="1624" dataCellStyle="Comma"/>
    <tableColumn id="11" name="2040" totalsRowFunction="sum" dataDxfId="1623" totalsRowDxfId="1622" dataCellStyle="Comma"/>
    <tableColumn id="12" name="2045" totalsRowFunction="sum" dataDxfId="1621" totalsRowDxfId="1620" dataCellStyle="Comma"/>
    <tableColumn id="13" name="2050" totalsRowFunction="sum" dataDxfId="1619" totalsRowDxfId="1618" dataCellStyle="Comma"/>
  </tableColumns>
  <tableStyleInfo name="EnergyCalcTables" showFirstColumn="0" showLastColumn="0" showRowStripes="1" showColumnStripes="0"/>
</table>
</file>

<file path=xl/tables/table14.xml><?xml version="1.0" encoding="utf-8"?>
<table xmlns="http://schemas.openxmlformats.org/spreadsheetml/2006/main" id="34" name="I.b.Emissions" displayName="I.b.Emissions" ref="C136:O141" totalsRowCount="1" headerRowDxfId="1617" dataDxfId="1616" totalsRowDxfId="1615">
  <autoFilter ref="C136:O140"/>
  <tableColumns count="13">
    <tableColumn id="1" name="GHG" totalsRowLabel="Total" dataDxfId="1614" totalsRowDxfId="1613"/>
    <tableColumn id="2" name="IPCC Sector" dataDxfId="1612" totalsRowDxfId="1611">
      <calculatedColumnFormula>INDEX(Vectors[Description], MATCH([GHG], Vectors[Code], 0))</calculatedColumnFormula>
    </tableColumn>
    <tableColumn id="3" name="Notes" dataDxfId="1610" totalsRowDxfId="1609"/>
    <tableColumn id="4" name="2007" totalsRowFunction="sum" dataDxfId="1608" totalsRowDxfId="1607" dataCellStyle="Comma"/>
    <tableColumn id="5" name="2010" totalsRowFunction="sum" dataDxfId="1606" totalsRowDxfId="1605" dataCellStyle="Comma"/>
    <tableColumn id="6" name="2015" totalsRowFunction="sum" dataDxfId="1604" totalsRowDxfId="1603" dataCellStyle="Comma"/>
    <tableColumn id="7" name="2020" totalsRowFunction="sum" dataDxfId="1602" totalsRowDxfId="1601" dataCellStyle="Comma"/>
    <tableColumn id="8" name="2025" totalsRowFunction="sum" dataDxfId="1600" totalsRowDxfId="1599" dataCellStyle="Comma"/>
    <tableColumn id="9" name="2030" totalsRowFunction="sum" dataDxfId="1598" totalsRowDxfId="1597" dataCellStyle="Comma"/>
    <tableColumn id="10" name="2035" totalsRowFunction="sum" dataDxfId="1596" totalsRowDxfId="1595" dataCellStyle="Comma"/>
    <tableColumn id="11" name="2040" totalsRowFunction="sum" dataDxfId="1594" totalsRowDxfId="1593" dataCellStyle="Comma"/>
    <tableColumn id="12" name="2045" totalsRowFunction="sum" dataDxfId="1592" totalsRowDxfId="1591" dataCellStyle="Comma"/>
    <tableColumn id="13" name="2050" totalsRowFunction="sum" dataDxfId="1590" totalsRowDxfId="1589" dataCellStyle="Comma"/>
  </tableColumns>
  <tableStyleInfo name="EnergyCalcTables" showFirstColumn="0" showLastColumn="0" showRowStripes="1" showColumnStripes="0"/>
</table>
</file>

<file path=xl/tables/table15.xml><?xml version="1.0" encoding="utf-8"?>
<table xmlns="http://schemas.openxmlformats.org/spreadsheetml/2006/main" id="6" name="II.a.Inputs" displayName="II.a.Inputs" ref="C14:O16" totalsRowShown="0" headerRowDxfId="1588" dataDxfId="1587">
  <autoFilter ref="C14:O16"/>
  <tableColumns count="13">
    <tableColumn id="1" name="Vector" dataDxfId="1586"/>
    <tableColumn id="2" name="Name" dataDxfId="1585">
      <calculatedColumnFormula>INDEX(Vectors[Description], MATCH([Vector], Vectors[Code], 0))</calculatedColumnFormula>
    </tableColumn>
    <tableColumn id="3" name="Notes" dataDxfId="1584"/>
    <tableColumn id="4" name="2007" dataDxfId="1583" dataCellStyle="Comma">
      <calculatedColumnFormula>INDIRECT("'"&amp;II.a.Inputs[#Headers]&amp;"'!Requested.Nuclear")</calculatedColumnFormula>
    </tableColumn>
    <tableColumn id="5" name="2010" dataDxfId="1582" dataCellStyle="Comma">
      <calculatedColumnFormula>INDIRECT("'"&amp;II.a.Inputs[#Headers]&amp;"'!Requested.Nuclear")</calculatedColumnFormula>
    </tableColumn>
    <tableColumn id="6" name="2015" dataDxfId="1581" dataCellStyle="Comma">
      <calculatedColumnFormula>INDIRECT("'"&amp;II.a.Inputs[#Headers]&amp;"'!Requested.Nuclear")</calculatedColumnFormula>
    </tableColumn>
    <tableColumn id="7" name="2020" dataDxfId="1580" dataCellStyle="Comma">
      <calculatedColumnFormula>INDIRECT("'"&amp;II.a.Inputs[#Headers]&amp;"'!Requested.Nuclear")</calculatedColumnFormula>
    </tableColumn>
    <tableColumn id="15" name="2025" dataDxfId="1579" dataCellStyle="Comma">
      <calculatedColumnFormula>INDIRECT("'"&amp;II.a.Inputs[#Headers]&amp;"'!Requested.Nuclear")</calculatedColumnFormula>
    </tableColumn>
    <tableColumn id="16" name="2030" dataDxfId="1578" dataCellStyle="Comma">
      <calculatedColumnFormula>INDIRECT("'"&amp;II.a.Inputs[#Headers]&amp;"'!Requested.Nuclear")</calculatedColumnFormula>
    </tableColumn>
    <tableColumn id="17" name="2035" dataDxfId="1577" dataCellStyle="Comma">
      <calculatedColumnFormula>INDIRECT("'"&amp;II.a.Inputs[#Headers]&amp;"'!Requested.Nuclear")</calculatedColumnFormula>
    </tableColumn>
    <tableColumn id="18" name="2040" dataDxfId="1576" dataCellStyle="Comma">
      <calculatedColumnFormula>INDIRECT("'"&amp;II.a.Inputs[#Headers]&amp;"'!Requested.Nuclear")</calculatedColumnFormula>
    </tableColumn>
    <tableColumn id="19" name="2045" dataDxfId="1575" dataCellStyle="Comma">
      <calculatedColumnFormula>INDIRECT("'"&amp;II.a.Inputs[#Headers]&amp;"'!Requested.Nuclear")</calculatedColumnFormula>
    </tableColumn>
    <tableColumn id="20" name="2050" dataDxfId="1574" dataCellStyle="Comma">
      <calculatedColumnFormula>INDIRECT("'"&amp;II.a.Inputs[#Headers]&amp;"'!Requested.Nuclear")</calculatedColumnFormula>
    </tableColumn>
  </tableColumns>
  <tableStyleInfo name="EnergyCalcTables" showFirstColumn="0" showLastColumn="0" showRowStripes="1" showColumnStripes="0"/>
</table>
</file>

<file path=xl/tables/table16.xml><?xml version="1.0" encoding="utf-8"?>
<table xmlns="http://schemas.openxmlformats.org/spreadsheetml/2006/main" id="7" name="II.a.Outputs" displayName="II.a.Outputs" ref="C109:O115" totalsRowCount="1" headerRowDxfId="1573" dataDxfId="1572">
  <autoFilter ref="C109:O114"/>
  <tableColumns count="13">
    <tableColumn id="1" name="Vector" totalsRowLabel="Total" dataDxfId="1571" totalsRowDxfId="1570"/>
    <tableColumn id="2" name="Name" dataDxfId="1569" totalsRowDxfId="1568">
      <calculatedColumnFormula>INDEX(Vectors[Description], MATCH([Vector], Vectors[Code], 0))</calculatedColumnFormula>
    </tableColumn>
    <tableColumn id="3" name="Notes" dataDxfId="1567" totalsRowDxfId="1566"/>
    <tableColumn id="4" name="2007" totalsRowFunction="sum" dataDxfId="1565" totalsRowDxfId="1564" dataCellStyle="Comma">
      <calculatedColumnFormula>F$101+#REF!</calculatedColumnFormula>
    </tableColumn>
    <tableColumn id="5" name="2010" totalsRowFunction="sum" dataDxfId="1563" totalsRowDxfId="1562" dataCellStyle="Comma"/>
    <tableColumn id="6" name="2015" totalsRowFunction="sum" dataDxfId="1561" totalsRowDxfId="1560" dataCellStyle="Comma"/>
    <tableColumn id="7" name="2020" totalsRowFunction="sum" dataDxfId="1559" totalsRowDxfId="1558" dataCellStyle="Comma"/>
    <tableColumn id="8" name="2025" totalsRowFunction="sum" dataDxfId="1557" totalsRowDxfId="1556" dataCellStyle="Comma"/>
    <tableColumn id="9" name="2030" totalsRowFunction="sum" dataDxfId="1555" totalsRowDxfId="1554" dataCellStyle="Comma"/>
    <tableColumn id="10" name="2035" totalsRowFunction="sum" dataDxfId="1553" totalsRowDxfId="1552" dataCellStyle="Comma"/>
    <tableColumn id="11" name="2040" totalsRowFunction="sum" dataDxfId="1551" totalsRowDxfId="1550" dataCellStyle="Comma"/>
    <tableColumn id="12" name="2045" totalsRowFunction="sum" dataDxfId="1549" totalsRowDxfId="1548" dataCellStyle="Comma"/>
    <tableColumn id="13" name="2050" totalsRowFunction="sum" dataDxfId="1547" totalsRowDxfId="1546" dataCellStyle="Comma"/>
  </tableColumns>
  <tableStyleInfo name="EnergyCalcTables" showFirstColumn="0" showLastColumn="0" showRowStripes="1" showColumnStripes="0"/>
</table>
</file>

<file path=xl/tables/table17.xml><?xml version="1.0" encoding="utf-8"?>
<table xmlns="http://schemas.openxmlformats.org/spreadsheetml/2006/main" id="13" name="III.a.1.Outputs" displayName="III.a.1.Outputs" ref="C74:O77" totalsRowCount="1" headerRowDxfId="1545" dataDxfId="1544">
  <autoFilter ref="C74:O76"/>
  <tableColumns count="13">
    <tableColumn id="1" name="Vector" totalsRowLabel="Total" dataDxfId="1543" totalsRowDxfId="1542"/>
    <tableColumn id="2" name="Name" dataDxfId="1541" totalsRowDxfId="1540">
      <calculatedColumnFormula>INDEX(Vectors[Description], MATCH([Vector], Vectors[Code], 0))</calculatedColumnFormula>
    </tableColumn>
    <tableColumn id="3" name="Notes" dataDxfId="1539" totalsRowDxfId="1538"/>
    <tableColumn id="4" name="2007" totalsRowFunction="sum" dataDxfId="1537" totalsRowDxfId="1536" dataCellStyle="Comma">
      <calculatedColumnFormula>#REF!+#REF!</calculatedColumnFormula>
    </tableColumn>
    <tableColumn id="5" name="2010" totalsRowFunction="sum" dataDxfId="1535" totalsRowDxfId="1534" dataCellStyle="Comma"/>
    <tableColumn id="6" name="2015" totalsRowFunction="sum" dataDxfId="1533" totalsRowDxfId="1532" dataCellStyle="Comma"/>
    <tableColumn id="7" name="2020" totalsRowFunction="sum" dataDxfId="1531" totalsRowDxfId="1530" dataCellStyle="Comma"/>
    <tableColumn id="8" name="2025" totalsRowFunction="sum" dataDxfId="1529" totalsRowDxfId="1528" dataCellStyle="Comma"/>
    <tableColumn id="9" name="2030" totalsRowFunction="sum" dataDxfId="1527" totalsRowDxfId="1526" dataCellStyle="Comma"/>
    <tableColumn id="10" name="2035" totalsRowFunction="sum" dataDxfId="1525" totalsRowDxfId="1524" dataCellStyle="Comma"/>
    <tableColumn id="11" name="2040" totalsRowFunction="sum" dataDxfId="1523" totalsRowDxfId="1522" dataCellStyle="Comma"/>
    <tableColumn id="12" name="2045" totalsRowFunction="sum" dataDxfId="1521" totalsRowDxfId="1520" dataCellStyle="Comma"/>
    <tableColumn id="13" name="2050" totalsRowFunction="sum" dataDxfId="1519" totalsRowDxfId="1518" dataCellStyle="Comma"/>
  </tableColumns>
  <tableStyleInfo name="EnergyCalcTables" showFirstColumn="0" showLastColumn="0" showRowStripes="1" showColumnStripes="0"/>
</table>
</file>

<file path=xl/tables/table18.xml><?xml version="1.0" encoding="utf-8"?>
<table xmlns="http://schemas.openxmlformats.org/spreadsheetml/2006/main" id="70" name="III.a.2.Outputs" displayName="III.a.2.Outputs" ref="C74:O77" totalsRowCount="1" headerRowDxfId="1517" dataDxfId="1516">
  <autoFilter ref="C74:O76"/>
  <tableColumns count="13">
    <tableColumn id="1" name="Vector" totalsRowLabel="Total" dataDxfId="1515" totalsRowDxfId="1514"/>
    <tableColumn id="2" name="Name" dataDxfId="1513" totalsRowDxfId="1512">
      <calculatedColumnFormula>INDEX(Vectors[Description], MATCH([Vector], Vectors[Code], 0))</calculatedColumnFormula>
    </tableColumn>
    <tableColumn id="3" name="Notes" dataDxfId="1511" totalsRowDxfId="1510"/>
    <tableColumn id="4" name="2007" totalsRowFunction="sum" dataDxfId="1509" totalsRowDxfId="1508" dataCellStyle="Comma">
      <calculatedColumnFormula>#REF!+#REF!</calculatedColumnFormula>
    </tableColumn>
    <tableColumn id="5" name="2010" totalsRowFunction="sum" dataDxfId="1507" totalsRowDxfId="1506" dataCellStyle="Comma"/>
    <tableColumn id="6" name="2015" totalsRowFunction="sum" dataDxfId="1505" totalsRowDxfId="1504" dataCellStyle="Comma"/>
    <tableColumn id="7" name="2020" totalsRowFunction="sum" dataDxfId="1503" totalsRowDxfId="1502" dataCellStyle="Comma"/>
    <tableColumn id="8" name="2025" totalsRowFunction="sum" dataDxfId="1501" totalsRowDxfId="1500" dataCellStyle="Comma"/>
    <tableColumn id="9" name="2030" totalsRowFunction="sum" dataDxfId="1499" totalsRowDxfId="1498" dataCellStyle="Comma"/>
    <tableColumn id="10" name="2035" totalsRowFunction="sum" dataDxfId="1497" totalsRowDxfId="1496" dataCellStyle="Comma"/>
    <tableColumn id="11" name="2040" totalsRowFunction="sum" dataDxfId="1495" totalsRowDxfId="1494" dataCellStyle="Comma"/>
    <tableColumn id="12" name="2045" totalsRowFunction="sum" dataDxfId="1493" totalsRowDxfId="1492" dataCellStyle="Comma"/>
    <tableColumn id="13" name="2050" totalsRowFunction="sum" dataDxfId="1491" totalsRowDxfId="1490" dataCellStyle="Comma"/>
  </tableColumns>
  <tableStyleInfo name="EnergyCalcTables" showFirstColumn="0" showLastColumn="0" showRowStripes="1" showColumnStripes="0"/>
</table>
</file>

<file path=xl/tables/table19.xml><?xml version="1.0" encoding="utf-8"?>
<table xmlns="http://schemas.openxmlformats.org/spreadsheetml/2006/main" id="14" name="III.b.Outputs" displayName="III.b.Outputs" ref="C63:O66" totalsRowCount="1" headerRowDxfId="1489" dataDxfId="1488">
  <autoFilter ref="C63:O65"/>
  <tableColumns count="13">
    <tableColumn id="1" name="Vector" totalsRowLabel="Total" dataDxfId="1487" totalsRowDxfId="1486"/>
    <tableColumn id="2" name="Name" dataDxfId="1485" totalsRowDxfId="1484">
      <calculatedColumnFormula>INDEX(Vectors[Description], MATCH([Vector], Vectors[Code], 0))</calculatedColumnFormula>
    </tableColumn>
    <tableColumn id="3" name="Notes" dataDxfId="1483" totalsRowDxfId="1482"/>
    <tableColumn id="4" name="2007" totalsRowFunction="sum" dataDxfId="1481" totalsRowDxfId="1480" dataCellStyle="Comma">
      <calculatedColumnFormula>#REF!+#REF!</calculatedColumnFormula>
    </tableColumn>
    <tableColumn id="5" name="2010" totalsRowFunction="sum" dataDxfId="1479" totalsRowDxfId="1478" dataCellStyle="Comma"/>
    <tableColumn id="6" name="2015" totalsRowFunction="sum" dataDxfId="1477" totalsRowDxfId="1476" dataCellStyle="Comma"/>
    <tableColumn id="7" name="2020" totalsRowFunction="sum" dataDxfId="1475" totalsRowDxfId="1474" dataCellStyle="Comma"/>
    <tableColumn id="8" name="2025" totalsRowFunction="sum" dataDxfId="1473" totalsRowDxfId="1472" dataCellStyle="Comma"/>
    <tableColumn id="9" name="2030" totalsRowFunction="sum" dataDxfId="1471" totalsRowDxfId="1470" dataCellStyle="Comma"/>
    <tableColumn id="10" name="2035" totalsRowFunction="sum" dataDxfId="1469" totalsRowDxfId="1468" dataCellStyle="Comma"/>
    <tableColumn id="11" name="2040" totalsRowFunction="sum" dataDxfId="1467" totalsRowDxfId="1466" dataCellStyle="Comma"/>
    <tableColumn id="12" name="2045" totalsRowFunction="sum" dataDxfId="1465" totalsRowDxfId="1464" dataCellStyle="Comma"/>
    <tableColumn id="13" name="2050" totalsRowFunction="sum" dataDxfId="1463" totalsRowDxfId="1462" dataCellStyle="Comma"/>
  </tableColumns>
  <tableStyleInfo name="EnergyCalcTables" showFirstColumn="0" showLastColumn="0" showRowStripes="1" showColumnStripes="0"/>
</table>
</file>

<file path=xl/tables/table2.xml><?xml version="1.0" encoding="utf-8"?>
<table xmlns="http://schemas.openxmlformats.org/spreadsheetml/2006/main" id="16" name="Global.Assumptions" displayName="Global.Assumptions" ref="B4:E14" totalsRowShown="0" headerRowDxfId="1775" dataDxfId="1774">
  <autoFilter ref="B4:E14"/>
  <tableColumns count="4">
    <tableColumn id="1" name="Year" dataDxfId="1773"/>
    <tableColumn id="2" name="Population" dataDxfId="1772" dataCellStyle="Comma"/>
    <tableColumn id="3" name="Households" dataDxfId="1771" dataCellStyle="Comma">
      <calculatedColumnFormula>Global.Assumptions[[#This Row],[Population]]/25751000</calculatedColumnFormula>
    </tableColumn>
    <tableColumn id="4" name="GDP (2005 £m)" dataDxfId="1770"/>
  </tableColumns>
  <tableStyleInfo name="EnergyCalcTables" showFirstColumn="0" showLastColumn="0" showRowStripes="0" showColumnStripes="0"/>
</table>
</file>

<file path=xl/tables/table20.xml><?xml version="1.0" encoding="utf-8"?>
<table xmlns="http://schemas.openxmlformats.org/spreadsheetml/2006/main" id="60" name="III.c.Outputs" displayName="III.c.Outputs" ref="C101:O105" totalsRowCount="1" headerRowDxfId="1461" dataDxfId="1460">
  <autoFilter ref="C101:O104"/>
  <tableColumns count="13">
    <tableColumn id="1" name="Vector" totalsRowLabel="Total" dataDxfId="1459" totalsRowDxfId="1458"/>
    <tableColumn id="2" name="Name" dataDxfId="1457" totalsRowDxfId="1456">
      <calculatedColumnFormula>INDEX(Vectors[Description], MATCH([Vector], Vectors[Code], 0))</calculatedColumnFormula>
    </tableColumn>
    <tableColumn id="3" name="Notes" dataDxfId="1455" totalsRowDxfId="1454"/>
    <tableColumn id="4" name="2007" totalsRowFunction="sum" dataDxfId="1453" totalsRowDxfId="1452" dataCellStyle="Comma">
      <calculatedColumnFormula>#REF!+#REF!</calculatedColumnFormula>
    </tableColumn>
    <tableColumn id="5" name="2010" totalsRowFunction="sum" dataDxfId="1451" totalsRowDxfId="1450" dataCellStyle="Comma"/>
    <tableColumn id="6" name="2015" totalsRowFunction="sum" dataDxfId="1449" totalsRowDxfId="1448" dataCellStyle="Comma"/>
    <tableColumn id="7" name="2020" totalsRowFunction="sum" dataDxfId="1447" totalsRowDxfId="1446" dataCellStyle="Comma"/>
    <tableColumn id="8" name="2025" totalsRowFunction="sum" dataDxfId="1445" totalsRowDxfId="1444" dataCellStyle="Comma"/>
    <tableColumn id="9" name="2030" totalsRowFunction="sum" dataDxfId="1443" totalsRowDxfId="1442" dataCellStyle="Comma"/>
    <tableColumn id="10" name="2035" totalsRowFunction="sum" dataDxfId="1441" totalsRowDxfId="1440" dataCellStyle="Comma"/>
    <tableColumn id="11" name="2040" totalsRowFunction="sum" dataDxfId="1439" totalsRowDxfId="1438" dataCellStyle="Comma"/>
    <tableColumn id="12" name="2045" totalsRowFunction="sum" dataDxfId="1437" totalsRowDxfId="1436" dataCellStyle="Comma"/>
    <tableColumn id="13" name="2050" totalsRowFunction="sum" dataDxfId="1435" totalsRowDxfId="1434" dataCellStyle="Comma"/>
  </tableColumns>
  <tableStyleInfo name="EnergyCalcTables" showFirstColumn="0" showLastColumn="0" showRowStripes="1" showColumnStripes="0"/>
</table>
</file>

<file path=xl/tables/table21.xml><?xml version="1.0" encoding="utf-8"?>
<table xmlns="http://schemas.openxmlformats.org/spreadsheetml/2006/main" id="72" name="III.d.Outputs" displayName="III.d.Outputs" ref="C58:O61" totalsRowCount="1" headerRowDxfId="1433" dataDxfId="1432">
  <autoFilter ref="C58:O60"/>
  <tableColumns count="13">
    <tableColumn id="1" name="Vector" totalsRowLabel="Total" dataDxfId="1431" totalsRowDxfId="1430"/>
    <tableColumn id="2" name="Name" dataDxfId="1429" totalsRowDxfId="1428">
      <calculatedColumnFormula>INDEX(Vectors[Description], MATCH([Vector], Vectors[Code], 0))</calculatedColumnFormula>
    </tableColumn>
    <tableColumn id="3" name="Notes" dataDxfId="1427" totalsRowDxfId="1426"/>
    <tableColumn id="4" name="2007" totalsRowFunction="sum" dataDxfId="1425" totalsRowDxfId="1424" dataCellStyle="Comma">
      <calculatedColumnFormula>#REF!+#REF!</calculatedColumnFormula>
    </tableColumn>
    <tableColumn id="5" name="2010" totalsRowFunction="sum" dataDxfId="1423" totalsRowDxfId="1422" dataCellStyle="Comma"/>
    <tableColumn id="6" name="2015" totalsRowFunction="sum" dataDxfId="1421" totalsRowDxfId="1420" dataCellStyle="Comma"/>
    <tableColumn id="7" name="2020" totalsRowFunction="sum" dataDxfId="1419" totalsRowDxfId="1418" dataCellStyle="Comma"/>
    <tableColumn id="8" name="2025" totalsRowFunction="sum" dataDxfId="1417" totalsRowDxfId="1416" dataCellStyle="Comma"/>
    <tableColumn id="9" name="2030" totalsRowFunction="sum" dataDxfId="1415" totalsRowDxfId="1414" dataCellStyle="Comma"/>
    <tableColumn id="10" name="2035" totalsRowFunction="sum" dataDxfId="1413" totalsRowDxfId="1412" dataCellStyle="Comma"/>
    <tableColumn id="11" name="2040" totalsRowFunction="sum" dataDxfId="1411" totalsRowDxfId="1410" dataCellStyle="Comma"/>
    <tableColumn id="12" name="2045" totalsRowFunction="sum" dataDxfId="1409" totalsRowDxfId="1408" dataCellStyle="Comma"/>
    <tableColumn id="13" name="2050" totalsRowFunction="sum" dataDxfId="1407" totalsRowDxfId="1406" dataCellStyle="Comma"/>
  </tableColumns>
  <tableStyleInfo name="EnergyCalcTables" showFirstColumn="0" showLastColumn="0" showRowStripes="1" showColumnStripes="0"/>
</table>
</file>

<file path=xl/tables/table22.xml><?xml version="1.0" encoding="utf-8"?>
<table xmlns="http://schemas.openxmlformats.org/spreadsheetml/2006/main" id="58" name="IV.a.Outputs" displayName="IV.a.Outputs" ref="C70:O73" totalsRowCount="1" headerRowDxfId="1405" dataDxfId="1404">
  <autoFilter ref="C70:O72"/>
  <tableColumns count="13">
    <tableColumn id="1" name="Vector" totalsRowLabel="Total" dataDxfId="1403" totalsRowDxfId="1402"/>
    <tableColumn id="2" name="Name" dataDxfId="1401" totalsRowDxfId="1400">
      <calculatedColumnFormula>INDEX(Vectors[Description], MATCH([Vector], Vectors[Code], 0))</calculatedColumnFormula>
    </tableColumn>
    <tableColumn id="3" name="Notes" dataDxfId="1399" totalsRowDxfId="1398"/>
    <tableColumn id="4" name="2007" totalsRowFunction="sum" dataDxfId="1397" totalsRowDxfId="1396" dataCellStyle="Comma">
      <calculatedColumnFormula>#REF!+#REF!</calculatedColumnFormula>
    </tableColumn>
    <tableColumn id="5" name="2010" totalsRowFunction="sum" dataDxfId="1395" totalsRowDxfId="1394" dataCellStyle="Comma"/>
    <tableColumn id="6" name="2015" totalsRowFunction="sum" dataDxfId="1393" totalsRowDxfId="1392" dataCellStyle="Comma"/>
    <tableColumn id="7" name="2020" totalsRowFunction="sum" dataDxfId="1391" totalsRowDxfId="1390" dataCellStyle="Comma"/>
    <tableColumn id="8" name="2025" totalsRowFunction="sum" dataDxfId="1389" totalsRowDxfId="1388" dataCellStyle="Comma"/>
    <tableColumn id="9" name="2030" totalsRowFunction="sum" dataDxfId="1387" totalsRowDxfId="1386" dataCellStyle="Comma"/>
    <tableColumn id="10" name="2035" totalsRowFunction="sum" dataDxfId="1385" totalsRowDxfId="1384" dataCellStyle="Comma"/>
    <tableColumn id="11" name="2040" totalsRowFunction="sum" dataDxfId="1383" totalsRowDxfId="1382" dataCellStyle="Comma"/>
    <tableColumn id="12" name="2045" totalsRowFunction="sum" dataDxfId="1381" totalsRowDxfId="1380" dataCellStyle="Comma"/>
    <tableColumn id="13" name="2050" totalsRowFunction="sum" dataDxfId="1379" totalsRowDxfId="1378" dataCellStyle="Comma"/>
  </tableColumns>
  <tableStyleInfo name="EnergyCalcTables" showFirstColumn="0" showLastColumn="0" showRowStripes="1" showColumnStripes="0"/>
</table>
</file>

<file path=xl/tables/table23.xml><?xml version="1.0" encoding="utf-8"?>
<table xmlns="http://schemas.openxmlformats.org/spreadsheetml/2006/main" id="55" name="IV.b.Outputs" displayName="IV.b.Outputs" ref="C60:O65" totalsRowCount="1" headerRowDxfId="1377" dataDxfId="1376">
  <autoFilter ref="C60:O64"/>
  <tableColumns count="13">
    <tableColumn id="1" name="Vector" totalsRowLabel="Total" dataDxfId="1375" totalsRowDxfId="1374"/>
    <tableColumn id="2" name="Name" dataDxfId="1373" totalsRowDxfId="1372">
      <calculatedColumnFormula>INDEX(Vectors[Description], MATCH([Vector], Vectors[Code], 0))</calculatedColumnFormula>
    </tableColumn>
    <tableColumn id="3" name="Notes" dataDxfId="1371" totalsRowDxfId="1370"/>
    <tableColumn id="4" name="2007" totalsRowFunction="sum" dataDxfId="1369" totalsRowDxfId="1368" dataCellStyle="Comma">
      <calculatedColumnFormula>#REF!+#REF!</calculatedColumnFormula>
    </tableColumn>
    <tableColumn id="5" name="2010" totalsRowFunction="sum" dataDxfId="1367" totalsRowDxfId="1366" dataCellStyle="Comma"/>
    <tableColumn id="6" name="2015" totalsRowFunction="sum" dataDxfId="1365" totalsRowDxfId="1364" dataCellStyle="Comma"/>
    <tableColumn id="7" name="2020" totalsRowFunction="sum" dataDxfId="1363" totalsRowDxfId="1362" dataCellStyle="Comma"/>
    <tableColumn id="8" name="2025" totalsRowFunction="sum" dataDxfId="1361" totalsRowDxfId="1360" dataCellStyle="Comma"/>
    <tableColumn id="9" name="2030" totalsRowFunction="sum" dataDxfId="1359" totalsRowDxfId="1358" dataCellStyle="Comma"/>
    <tableColumn id="10" name="2035" totalsRowFunction="sum" dataDxfId="1357" totalsRowDxfId="1356" dataCellStyle="Comma"/>
    <tableColumn id="11" name="2040" totalsRowFunction="sum" dataDxfId="1355" totalsRowDxfId="1354" dataCellStyle="Comma"/>
    <tableColumn id="12" name="2045" totalsRowFunction="sum" dataDxfId="1353" totalsRowDxfId="1352" dataCellStyle="Comma"/>
    <tableColumn id="13" name="2050" totalsRowFunction="sum" dataDxfId="1351" totalsRowDxfId="1350" dataCellStyle="Comma"/>
  </tableColumns>
  <tableStyleInfo name="EnergyCalcTables" showFirstColumn="0" showLastColumn="0" showRowStripes="1" showColumnStripes="0"/>
</table>
</file>

<file path=xl/tables/table24.xml><?xml version="1.0" encoding="utf-8"?>
<table xmlns="http://schemas.openxmlformats.org/spreadsheetml/2006/main" id="62" name="IV.c.Outputs" displayName="IV.c.Outputs" ref="C59:O62" totalsRowCount="1" headerRowDxfId="1349" dataDxfId="1348">
  <autoFilter ref="C59:O61"/>
  <tableColumns count="13">
    <tableColumn id="1" name="Vector" totalsRowLabel="Total" dataDxfId="1347" totalsRowDxfId="1346"/>
    <tableColumn id="2" name="Name" dataDxfId="1345" totalsRowDxfId="1344">
      <calculatedColumnFormula>INDEX(Vectors[Description], MATCH([Vector], Vectors[Code], 0))</calculatedColumnFormula>
    </tableColumn>
    <tableColumn id="3" name="Notes" dataDxfId="1343" totalsRowDxfId="1342"/>
    <tableColumn id="4" name="2007" totalsRowFunction="sum" dataDxfId="1341" totalsRowDxfId="1340" dataCellStyle="Comma">
      <calculatedColumnFormula>#REF!+#REF!</calculatedColumnFormula>
    </tableColumn>
    <tableColumn id="5" name="2010" totalsRowFunction="sum" dataDxfId="1339" totalsRowDxfId="1338" dataCellStyle="Comma"/>
    <tableColumn id="6" name="2015" totalsRowFunction="sum" dataDxfId="1337" totalsRowDxfId="1336" dataCellStyle="Comma"/>
    <tableColumn id="7" name="2020" totalsRowFunction="sum" dataDxfId="1335" totalsRowDxfId="1334" dataCellStyle="Comma"/>
    <tableColumn id="8" name="2025" totalsRowFunction="sum" dataDxfId="1333" totalsRowDxfId="1332" dataCellStyle="Comma"/>
    <tableColumn id="9" name="2030" totalsRowFunction="sum" dataDxfId="1331" totalsRowDxfId="1330" dataCellStyle="Comma"/>
    <tableColumn id="10" name="2035" totalsRowFunction="sum" dataDxfId="1329" totalsRowDxfId="1328" dataCellStyle="Comma"/>
    <tableColumn id="11" name="2040" totalsRowFunction="sum" dataDxfId="1327" totalsRowDxfId="1326" dataCellStyle="Comma"/>
    <tableColumn id="12" name="2045" totalsRowFunction="sum" dataDxfId="1325" totalsRowDxfId="1324" dataCellStyle="Comma"/>
    <tableColumn id="13" name="2050" totalsRowFunction="sum" dataDxfId="1323" totalsRowDxfId="1322" dataCellStyle="Comma"/>
  </tableColumns>
  <tableStyleInfo name="EnergyCalcTables" showFirstColumn="0" showLastColumn="0" showRowStripes="1" showColumnStripes="0"/>
</table>
</file>

<file path=xl/tables/table25.xml><?xml version="1.0" encoding="utf-8"?>
<table xmlns="http://schemas.openxmlformats.org/spreadsheetml/2006/main" id="53" name="V.a.Inputs" displayName="V.a.Inputs" ref="C14:O19" totalsRowShown="0" headerRowDxfId="1321" dataDxfId="1320">
  <autoFilter ref="C14:O19"/>
  <tableColumns count="13">
    <tableColumn id="1" name="Vector" dataDxfId="1319"/>
    <tableColumn id="2" name="Name" dataDxfId="1318">
      <calculatedColumnFormula>INDEX(Vectors[Description], MATCH([Vector], Vectors[Code], 0))</calculatedColumnFormula>
    </tableColumn>
    <tableColumn id="3" name="Notes" dataDxfId="1317"/>
    <tableColumn id="4" name="2007" dataDxfId="1316" dataCellStyle="Comma">
      <calculatedColumnFormula>INDIRECT("'"&amp;V.a.Inputs[#Headers]&amp;"'!Requested.Nuclear")</calculatedColumnFormula>
    </tableColumn>
    <tableColumn id="5" name="2010" dataDxfId="1315" dataCellStyle="Comma">
      <calculatedColumnFormula>INDIRECT("'"&amp;V.a.Inputs[#Headers]&amp;"'!Requested.Nuclear")</calculatedColumnFormula>
    </tableColumn>
    <tableColumn id="6" name="2015" dataDxfId="1314" dataCellStyle="Comma">
      <calculatedColumnFormula>INDIRECT("'"&amp;V.a.Inputs[#Headers]&amp;"'!Requested.Nuclear")</calculatedColumnFormula>
    </tableColumn>
    <tableColumn id="7" name="2020" dataDxfId="1313" dataCellStyle="Comma">
      <calculatedColumnFormula>INDIRECT("'"&amp;V.a.Inputs[#Headers]&amp;"'!Requested.Nuclear")</calculatedColumnFormula>
    </tableColumn>
    <tableColumn id="15" name="2025" dataDxfId="1312" dataCellStyle="Comma">
      <calculatedColumnFormula>INDIRECT("'"&amp;V.a.Inputs[#Headers]&amp;"'!Requested.Nuclear")</calculatedColumnFormula>
    </tableColumn>
    <tableColumn id="16" name="2030" dataDxfId="1311" dataCellStyle="Comma">
      <calculatedColumnFormula>INDIRECT("'"&amp;V.a.Inputs[#Headers]&amp;"'!Requested.Nuclear")</calculatedColumnFormula>
    </tableColumn>
    <tableColumn id="17" name="2035" dataDxfId="1310" dataCellStyle="Comma">
      <calculatedColumnFormula>INDIRECT("'"&amp;V.a.Inputs[#Headers]&amp;"'!Requested.Nuclear")</calculatedColumnFormula>
    </tableColumn>
    <tableColumn id="18" name="2040" dataDxfId="1309" dataCellStyle="Comma">
      <calculatedColumnFormula>INDIRECT("'"&amp;V.a.Inputs[#Headers]&amp;"'!Requested.Nuclear")</calculatedColumnFormula>
    </tableColumn>
    <tableColumn id="19" name="2045" dataDxfId="1308" dataCellStyle="Comma">
      <calculatedColumnFormula>INDIRECT("'"&amp;V.a.Inputs[#Headers]&amp;"'!Requested.Nuclear")</calculatedColumnFormula>
    </tableColumn>
    <tableColumn id="20" name="2050" dataDxfId="1307" dataCellStyle="Comma">
      <calculatedColumnFormula>INDIRECT("'"&amp;V.a.Inputs[#Headers]&amp;"'!Requested.Nuclear")</calculatedColumnFormula>
    </tableColumn>
  </tableColumns>
  <tableStyleInfo name="EnergyCalcTables" showFirstColumn="0" showLastColumn="0" showRowStripes="1" showColumnStripes="0"/>
</table>
</file>

<file path=xl/tables/table26.xml><?xml version="1.0" encoding="utf-8"?>
<table xmlns="http://schemas.openxmlformats.org/spreadsheetml/2006/main" id="54" name="V.a.Outputs" displayName="V.a.Outputs" ref="C186:O196" totalsRowCount="1" headerRowDxfId="1306" dataDxfId="1305">
  <autoFilter ref="C186:O195"/>
  <tableColumns count="13">
    <tableColumn id="1" name="Vector" totalsRowLabel="Total" dataDxfId="1304" totalsRowDxfId="1303"/>
    <tableColumn id="2" name="Name" dataDxfId="1302" totalsRowDxfId="1301">
      <calculatedColumnFormula>INDEX(Vectors[Description], MATCH([Vector], Vectors[Code], 0))</calculatedColumnFormula>
    </tableColumn>
    <tableColumn id="3" name="Notes" dataDxfId="1300" totalsRowDxfId="1299"/>
    <tableColumn id="4" name="2007" totalsRowFunction="sum" dataDxfId="1298" totalsRowDxfId="1297" dataCellStyle="Comma"/>
    <tableColumn id="5" name="2010" totalsRowFunction="sum" dataDxfId="1296" totalsRowDxfId="1295" dataCellStyle="Comma"/>
    <tableColumn id="6" name="2015" totalsRowFunction="sum" dataDxfId="1294" totalsRowDxfId="1293" dataCellStyle="Comma"/>
    <tableColumn id="7" name="2020" totalsRowFunction="sum" dataDxfId="1292" totalsRowDxfId="1291" dataCellStyle="Comma"/>
    <tableColumn id="8" name="2025" totalsRowFunction="sum" dataDxfId="1290" totalsRowDxfId="1289" dataCellStyle="Comma"/>
    <tableColumn id="9" name="2030" totalsRowFunction="sum" dataDxfId="1288" totalsRowDxfId="1287" dataCellStyle="Comma"/>
    <tableColumn id="10" name="2035" totalsRowFunction="sum" dataDxfId="1286" totalsRowDxfId="1285" dataCellStyle="Comma"/>
    <tableColumn id="11" name="2040" totalsRowFunction="sum" dataDxfId="1284" totalsRowDxfId="1283" dataCellStyle="Comma"/>
    <tableColumn id="12" name="2045" totalsRowFunction="sum" dataDxfId="1282" totalsRowDxfId="1281" dataCellStyle="Comma"/>
    <tableColumn id="13" name="2050" totalsRowFunction="sum" dataDxfId="1280" totalsRowDxfId="1279" dataCellStyle="Comma"/>
  </tableColumns>
  <tableStyleInfo name="EnergyCalcTables" showFirstColumn="0" showLastColumn="0" showRowStripes="1" showColumnStripes="0"/>
</table>
</file>

<file path=xl/tables/table27.xml><?xml version="1.0" encoding="utf-8"?>
<table xmlns="http://schemas.openxmlformats.org/spreadsheetml/2006/main" id="59" name="V.a.Emissions" displayName="V.a.Emissions" ref="C203:O205" totalsRowCount="1" headerRowDxfId="1278" dataDxfId="1276" headerRowBorderDxfId="1277" tableBorderDxfId="1275" dataCellStyle="Comma">
  <autoFilter ref="C203:O204"/>
  <tableColumns count="13">
    <tableColumn id="1" name="GHG" totalsRowLabel="Total" dataDxfId="1274" totalsRowDxfId="1273"/>
    <tableColumn id="2" name="IPCC Sector" dataDxfId="1272" totalsRowDxfId="1271"/>
    <tableColumn id="3" name="Notes" dataDxfId="1270" totalsRowDxfId="1269">
      <calculatedColumnFormula>INDEX(IPCC[Sector_description], MATCH([IPCC Sector], IPCC[Sector_code], 0))</calculatedColumnFormula>
    </tableColumn>
    <tableColumn id="4" name="2007" totalsRowFunction="sum" dataDxfId="1268" totalsRowDxfId="1267" dataCellStyle="Comma">
      <calculatedColumnFormula>-SUM(F$179:F$180)</calculatedColumnFormula>
    </tableColumn>
    <tableColumn id="5" name="2010" totalsRowFunction="sum" dataDxfId="1266" totalsRowDxfId="1265" dataCellStyle="Comma">
      <calculatedColumnFormula>-SUM(G$179:G$180)</calculatedColumnFormula>
    </tableColumn>
    <tableColumn id="6" name="2015" totalsRowFunction="sum" dataDxfId="1264" totalsRowDxfId="1263" dataCellStyle="Comma">
      <calculatedColumnFormula>-SUM(H$179:H$180)</calculatedColumnFormula>
    </tableColumn>
    <tableColumn id="7" name="2020" totalsRowFunction="sum" dataDxfId="1262" totalsRowDxfId="1261" dataCellStyle="Comma">
      <calculatedColumnFormula>-SUM(I$179:I$180)</calculatedColumnFormula>
    </tableColumn>
    <tableColumn id="8" name="2025" totalsRowFunction="sum" dataDxfId="1260" totalsRowDxfId="1259" dataCellStyle="Comma">
      <calculatedColumnFormula>-SUM(J$179:J$180)</calculatedColumnFormula>
    </tableColumn>
    <tableColumn id="9" name="2030" totalsRowFunction="sum" dataDxfId="1258" totalsRowDxfId="1257" dataCellStyle="Comma">
      <calculatedColumnFormula>-SUM(K$179:K$180)</calculatedColumnFormula>
    </tableColumn>
    <tableColumn id="10" name="2035" totalsRowFunction="sum" dataDxfId="1256" totalsRowDxfId="1255" dataCellStyle="Comma">
      <calculatedColumnFormula>-SUM(L$179:L$180)</calculatedColumnFormula>
    </tableColumn>
    <tableColumn id="11" name="2040" totalsRowFunction="sum" dataDxfId="1254" totalsRowDxfId="1253" dataCellStyle="Comma">
      <calculatedColumnFormula>-SUM(M$179:M$180)</calculatedColumnFormula>
    </tableColumn>
    <tableColumn id="12" name="2045" totalsRowFunction="sum" dataDxfId="1252" totalsRowDxfId="1251" dataCellStyle="Comma">
      <calculatedColumnFormula>-SUM(N$179:N$180)</calculatedColumnFormula>
    </tableColumn>
    <tableColumn id="13" name="2050" totalsRowFunction="sum" dataDxfId="1250" totalsRowDxfId="1249" dataCellStyle="Comma">
      <calculatedColumnFormula>-SUM(O$179:O$180)</calculatedColumnFormula>
    </tableColumn>
  </tableColumns>
  <tableStyleInfo name="EnergyCalcTables" showFirstColumn="0" showLastColumn="0" showRowStripes="1" showColumnStripes="0"/>
</table>
</file>

<file path=xl/tables/table28.xml><?xml version="1.0" encoding="utf-8"?>
<table xmlns="http://schemas.openxmlformats.org/spreadsheetml/2006/main" id="65" name="V.a.Inputs2" displayName="V.a.Inputs2" ref="C23:O26" totalsRowShown="0" headerRowDxfId="1248" dataDxfId="1247">
  <autoFilter ref="C23:O26"/>
  <tableColumns count="13">
    <tableColumn id="1" name="Vector" dataDxfId="1246"/>
    <tableColumn id="2" name="Name" dataDxfId="1245">
      <calculatedColumnFormula>INDEX(Vectors[Description], MATCH([Vector], Vectors[Code], 0))</calculatedColumnFormula>
    </tableColumn>
    <tableColumn id="3" name="Notes" dataDxfId="1244"/>
    <tableColumn id="4" name="2007" dataDxfId="1243" dataCellStyle="Comma">
      <calculatedColumnFormula>INDIRECT("'"&amp;V.a.Inputs2[#Headers]&amp;"'!Requested.Nuclear")</calculatedColumnFormula>
    </tableColumn>
    <tableColumn id="5" name="2010" dataDxfId="1242" dataCellStyle="Comma"/>
    <tableColumn id="6" name="2015" dataDxfId="1241" dataCellStyle="Comma"/>
    <tableColumn id="7" name="2020" dataDxfId="1240" dataCellStyle="Comma"/>
    <tableColumn id="15" name="2025" dataDxfId="1239" dataCellStyle="Comma"/>
    <tableColumn id="16" name="2030" dataDxfId="1238" dataCellStyle="Comma"/>
    <tableColumn id="17" name="2035" dataDxfId="1237" dataCellStyle="Comma"/>
    <tableColumn id="18" name="2040" dataDxfId="1236" dataCellStyle="Comma"/>
    <tableColumn id="19" name="2045" dataDxfId="1235" dataCellStyle="Comma"/>
    <tableColumn id="20" name="2050" dataDxfId="1234" dataCellStyle="Comma"/>
  </tableColumns>
  <tableStyleInfo name="EnergyCalcTables" showFirstColumn="0" showLastColumn="0" showRowStripes="1" showColumnStripes="0"/>
</table>
</file>

<file path=xl/tables/table29.xml><?xml version="1.0" encoding="utf-8"?>
<table xmlns="http://schemas.openxmlformats.org/spreadsheetml/2006/main" id="66" name="V.b.Outputs" displayName="V.b.Outputs" ref="C62:O66" totalsRowCount="1" headerRowDxfId="1233" dataDxfId="1232">
  <autoFilter ref="C62:O65"/>
  <tableColumns count="13">
    <tableColumn id="1" name="Vector" totalsRowLabel="Total" dataDxfId="1231" totalsRowDxfId="1230"/>
    <tableColumn id="2" name="Name" dataDxfId="1229" totalsRowDxfId="1228">
      <calculatedColumnFormula>INDEX(Vectors[Description], MATCH([Vector], Vectors[Code], 0))</calculatedColumnFormula>
    </tableColumn>
    <tableColumn id="3" name="Notes" dataDxfId="1227" totalsRowDxfId="1226"/>
    <tableColumn id="4" name="2007" totalsRowFunction="sum" dataDxfId="1225" totalsRowDxfId="1224" dataCellStyle="Comma">
      <calculatedColumnFormula>#REF!+#REF!</calculatedColumnFormula>
    </tableColumn>
    <tableColumn id="5" name="2010" totalsRowFunction="sum" dataDxfId="1223" totalsRowDxfId="1222" dataCellStyle="Comma"/>
    <tableColumn id="6" name="2015" totalsRowFunction="sum" dataDxfId="1221" totalsRowDxfId="1220" dataCellStyle="Comma"/>
    <tableColumn id="7" name="2020" totalsRowFunction="sum" dataDxfId="1219" totalsRowDxfId="1218" dataCellStyle="Comma"/>
    <tableColumn id="8" name="2025" totalsRowFunction="sum" dataDxfId="1217" totalsRowDxfId="1216" dataCellStyle="Comma"/>
    <tableColumn id="9" name="2030" totalsRowFunction="sum" dataDxfId="1215" totalsRowDxfId="1214" dataCellStyle="Comma"/>
    <tableColumn id="10" name="2035" totalsRowFunction="sum" dataDxfId="1213" totalsRowDxfId="1212" dataCellStyle="Comma"/>
    <tableColumn id="11" name="2040" totalsRowFunction="sum" dataDxfId="1211" totalsRowDxfId="1210" dataCellStyle="Comma"/>
    <tableColumn id="12" name="2045" totalsRowFunction="sum" dataDxfId="1209" totalsRowDxfId="1208" dataCellStyle="Comma"/>
    <tableColumn id="13" name="2050" totalsRowFunction="sum" dataDxfId="1207" totalsRowDxfId="1206" dataCellStyle="Comma"/>
  </tableColumns>
  <tableStyleInfo name="EnergyCalcTables" showFirstColumn="0" showLastColumn="0" showRowStripes="1" showColumnStripes="0"/>
</table>
</file>

<file path=xl/tables/table3.xml><?xml version="1.0" encoding="utf-8"?>
<table xmlns="http://schemas.openxmlformats.org/spreadsheetml/2006/main" id="33" name="EF" displayName="EF" ref="B4:G50" totalsRowShown="0" headerRowDxfId="1769" dataDxfId="1768">
  <autoFilter ref="B4:G50"/>
  <tableColumns count="6">
    <tableColumn id="1" name="Vector" dataDxfId="1767"/>
    <tableColumn id="6" name="Description" dataDxfId="1766">
      <calculatedColumnFormula>INDEX(Vectors[Description], MATCH([Vector], Vectors[Code], 0))</calculatedColumnFormula>
    </tableColumn>
    <tableColumn id="2" name="CO2" dataDxfId="1765" dataCellStyle="Comma"/>
    <tableColumn id="3" name="CH4" dataDxfId="1764" dataCellStyle="Comma"/>
    <tableColumn id="4" name="N2O" dataDxfId="1763" dataCellStyle="Comma"/>
    <tableColumn id="5" name="Comments" dataDxfId="1762"/>
  </tableColumns>
  <tableStyleInfo name="TableStyleMedium12" showFirstColumn="0" showLastColumn="0" showRowStripes="1" showColumnStripes="0"/>
</table>
</file>

<file path=xl/tables/table30.xml><?xml version="1.0" encoding="utf-8"?>
<table xmlns="http://schemas.openxmlformats.org/spreadsheetml/2006/main" id="67" name="V.b.Emissions" displayName="V.b.Emissions" ref="C73:O75" totalsRowCount="1" headerRowDxfId="1205" dataDxfId="1203" headerRowBorderDxfId="1204" tableBorderDxfId="1202" dataCellStyle="Comma">
  <autoFilter ref="C73:O74"/>
  <tableColumns count="13">
    <tableColumn id="1" name="GHG" totalsRowLabel="Total" dataDxfId="1201" totalsRowDxfId="1200"/>
    <tableColumn id="2" name="IPCC Sector" dataDxfId="1199" totalsRowDxfId="1198"/>
    <tableColumn id="3" name="Notes" dataDxfId="1197" totalsRowDxfId="1196">
      <calculatedColumnFormula>INDEX(IPCC[Sector_description], MATCH([IPCC Sector], IPCC[Sector_code], 0))</calculatedColumnFormula>
    </tableColumn>
    <tableColumn id="4" name="2007" totalsRowFunction="sum" dataDxfId="1195" totalsRowDxfId="1194" dataCellStyle="Comma">
      <calculatedColumnFormula>-F55</calculatedColumnFormula>
    </tableColumn>
    <tableColumn id="5" name="2010" totalsRowFunction="sum" dataDxfId="1193" totalsRowDxfId="1192" dataCellStyle="Comma">
      <calculatedColumnFormula>-G55</calculatedColumnFormula>
    </tableColumn>
    <tableColumn id="6" name="2015" totalsRowFunction="sum" dataDxfId="1191" totalsRowDxfId="1190" dataCellStyle="Comma">
      <calculatedColumnFormula>-H55</calculatedColumnFormula>
    </tableColumn>
    <tableColumn id="7" name="2020" totalsRowFunction="sum" dataDxfId="1189" totalsRowDxfId="1188" dataCellStyle="Comma">
      <calculatedColumnFormula>-I55</calculatedColumnFormula>
    </tableColumn>
    <tableColumn id="8" name="2025" totalsRowFunction="sum" dataDxfId="1187" totalsRowDxfId="1186" dataCellStyle="Comma">
      <calculatedColumnFormula>-J55</calculatedColumnFormula>
    </tableColumn>
    <tableColumn id="9" name="2030" totalsRowFunction="sum" dataDxfId="1185" totalsRowDxfId="1184" dataCellStyle="Comma">
      <calculatedColumnFormula>-K55</calculatedColumnFormula>
    </tableColumn>
    <tableColumn id="10" name="2035" totalsRowFunction="sum" dataDxfId="1183" totalsRowDxfId="1182" dataCellStyle="Comma">
      <calculatedColumnFormula>-L55</calculatedColumnFormula>
    </tableColumn>
    <tableColumn id="11" name="2040" totalsRowFunction="sum" dataDxfId="1181" totalsRowDxfId="1180" dataCellStyle="Comma">
      <calculatedColumnFormula>-M55</calculatedColumnFormula>
    </tableColumn>
    <tableColumn id="12" name="2045" totalsRowFunction="sum" dataDxfId="1179" totalsRowDxfId="1178" dataCellStyle="Comma">
      <calculatedColumnFormula>-N55</calculatedColumnFormula>
    </tableColumn>
    <tableColumn id="13" name="2050" totalsRowFunction="sum" dataDxfId="1177" totalsRowDxfId="1176" dataCellStyle="Comma">
      <calculatedColumnFormula>-O55</calculatedColumnFormula>
    </tableColumn>
  </tableColumns>
  <tableStyleInfo name="EnergyCalcTables" showFirstColumn="0" showLastColumn="0" showRowStripes="1" showColumnStripes="0"/>
</table>
</file>

<file path=xl/tables/table31.xml><?xml version="1.0" encoding="utf-8"?>
<table xmlns="http://schemas.openxmlformats.org/spreadsheetml/2006/main" id="69" name="V.b.Inputs" displayName="V.b.Inputs" ref="C14:O16" totalsRowShown="0" headerRowDxfId="1175" dataDxfId="1174">
  <autoFilter ref="C14:O16"/>
  <tableColumns count="13">
    <tableColumn id="1" name="Vector" dataDxfId="1173"/>
    <tableColumn id="2" name="Name" dataDxfId="1172">
      <calculatedColumnFormula>INDEX(Vectors[Description], MATCH([Vector], Vectors[Code], 0))</calculatedColumnFormula>
    </tableColumn>
    <tableColumn id="3" name="Notes" dataDxfId="1171"/>
    <tableColumn id="4" name="2007" dataDxfId="1170" dataCellStyle="Comma">
      <calculatedColumnFormula>INDEX(INDIRECT("'"&amp;V.b.Inputs[#Headers]&amp;"'!Year.Matrix"), MATCH("Subtotal."&amp;$A$2, INDIRECT("'"&amp;V.b.Inputs[#Headers]&amp;"'!Year.Modules"), 0), MATCH([Vector], INDIRECT("'"&amp;V.b.Inputs[#Headers]&amp;"'!Year.Vectors"), 0))</calculatedColumnFormula>
    </tableColumn>
    <tableColumn id="5" name="2010" dataDxfId="1169" dataCellStyle="Comma">
      <calculatedColumnFormula>INDEX(INDIRECT("'"&amp;V.b.Inputs[#Headers]&amp;"'!Year.Matrix"), MATCH("Subtotal."&amp;$A$2, INDIRECT("'"&amp;V.b.Inputs[#Headers]&amp;"'!Year.Modules"), 0), MATCH([Vector], INDIRECT("'"&amp;V.b.Inputs[#Headers]&amp;"'!Year.Vectors"), 0))</calculatedColumnFormula>
    </tableColumn>
    <tableColumn id="6" name="2015" dataDxfId="1168" dataCellStyle="Comma">
      <calculatedColumnFormula>INDEX(INDIRECT("'"&amp;V.b.Inputs[#Headers]&amp;"'!Year.Matrix"), MATCH("Subtotal."&amp;$A$2, INDIRECT("'"&amp;V.b.Inputs[#Headers]&amp;"'!Year.Modules"), 0), MATCH([Vector], INDIRECT("'"&amp;V.b.Inputs[#Headers]&amp;"'!Year.Vectors"), 0))</calculatedColumnFormula>
    </tableColumn>
    <tableColumn id="7" name="2020" dataDxfId="1167" dataCellStyle="Comma">
      <calculatedColumnFormula>INDEX(INDIRECT("'"&amp;V.b.Inputs[#Headers]&amp;"'!Year.Matrix"), MATCH("Subtotal."&amp;$A$2, INDIRECT("'"&amp;V.b.Inputs[#Headers]&amp;"'!Year.Modules"), 0), MATCH([Vector], INDIRECT("'"&amp;V.b.Inputs[#Headers]&amp;"'!Year.Vectors"), 0))</calculatedColumnFormula>
    </tableColumn>
    <tableColumn id="15" name="2025" dataDxfId="1166" dataCellStyle="Comma">
      <calculatedColumnFormula>INDEX(INDIRECT("'"&amp;V.b.Inputs[#Headers]&amp;"'!Year.Matrix"), MATCH("Subtotal."&amp;$A$2, INDIRECT("'"&amp;V.b.Inputs[#Headers]&amp;"'!Year.Modules"), 0), MATCH([Vector], INDIRECT("'"&amp;V.b.Inputs[#Headers]&amp;"'!Year.Vectors"), 0))</calculatedColumnFormula>
    </tableColumn>
    <tableColumn id="16" name="2030" dataDxfId="1165" dataCellStyle="Comma">
      <calculatedColumnFormula>INDEX(INDIRECT("'"&amp;V.b.Inputs[#Headers]&amp;"'!Year.Matrix"), MATCH("Subtotal."&amp;$A$2, INDIRECT("'"&amp;V.b.Inputs[#Headers]&amp;"'!Year.Modules"), 0), MATCH([Vector], INDIRECT("'"&amp;V.b.Inputs[#Headers]&amp;"'!Year.Vectors"), 0))</calculatedColumnFormula>
    </tableColumn>
    <tableColumn id="17" name="2035" dataDxfId="1164" dataCellStyle="Comma">
      <calculatedColumnFormula>INDEX(INDIRECT("'"&amp;V.b.Inputs[#Headers]&amp;"'!Year.Matrix"), MATCH("Subtotal."&amp;$A$2, INDIRECT("'"&amp;V.b.Inputs[#Headers]&amp;"'!Year.Modules"), 0), MATCH([Vector], INDIRECT("'"&amp;V.b.Inputs[#Headers]&amp;"'!Year.Vectors"), 0))</calculatedColumnFormula>
    </tableColumn>
    <tableColumn id="18" name="2040" dataDxfId="1163" dataCellStyle="Comma">
      <calculatedColumnFormula>INDEX(INDIRECT("'"&amp;V.b.Inputs[#Headers]&amp;"'!Year.Matrix"), MATCH("Subtotal."&amp;$A$2, INDIRECT("'"&amp;V.b.Inputs[#Headers]&amp;"'!Year.Modules"), 0), MATCH([Vector], INDIRECT("'"&amp;V.b.Inputs[#Headers]&amp;"'!Year.Vectors"), 0))</calculatedColumnFormula>
    </tableColumn>
    <tableColumn id="19" name="2045" dataDxfId="1162" dataCellStyle="Comma">
      <calculatedColumnFormula>INDEX(INDIRECT("'"&amp;V.b.Inputs[#Headers]&amp;"'!Year.Matrix"), MATCH("Subtotal."&amp;$A$2, INDIRECT("'"&amp;V.b.Inputs[#Headers]&amp;"'!Year.Modules"), 0), MATCH([Vector], INDIRECT("'"&amp;V.b.Inputs[#Headers]&amp;"'!Year.Vectors"), 0))</calculatedColumnFormula>
    </tableColumn>
    <tableColumn id="20" name="2050" dataDxfId="1161" dataCellStyle="Comma">
      <calculatedColumnFormula>INDEX(INDIRECT("'"&amp;V.b.Inputs[#Headers]&amp;"'!Year.Matrix"), MATCH("Subtotal."&amp;$A$2, INDIRECT("'"&amp;V.b.Inputs[#Headers]&amp;"'!Year.Modules"), 0), MATCH([Vector], INDIRECT("'"&amp;V.b.Inputs[#Headers]&amp;"'!Year.Vectors"), 0))</calculatedColumnFormula>
    </tableColumn>
  </tableColumns>
  <tableStyleInfo name="EnergyCalcTables" showFirstColumn="0" showLastColumn="0" showRowStripes="1" showColumnStripes="0"/>
</table>
</file>

<file path=xl/tables/table32.xml><?xml version="1.0" encoding="utf-8"?>
<table xmlns="http://schemas.openxmlformats.org/spreadsheetml/2006/main" id="25" name="VI.a.Outputs" displayName="VI.a.Outputs" ref="C388:O400" totalsRowCount="1" headerRowDxfId="1160" dataDxfId="1159">
  <autoFilter ref="C388:O399"/>
  <tableColumns count="13">
    <tableColumn id="1" name="Vector" totalsRowLabel="Total" dataDxfId="1158" totalsRowDxfId="1157"/>
    <tableColumn id="2" name="Name" dataDxfId="1156" totalsRowDxfId="1155">
      <calculatedColumnFormula>INDEX(Vectors[Description], MATCH([Vector], Vectors[Code], 0))</calculatedColumnFormula>
    </tableColumn>
    <tableColumn id="3" name="Notes" dataDxfId="1154" totalsRowDxfId="1153"/>
    <tableColumn id="4" name="2007" totalsRowFunction="sum" dataDxfId="1152" totalsRowDxfId="1151" dataCellStyle="Comma">
      <calculatedColumnFormula>INDEX(#REF!, MATCH([Vector],#REF!, 0))</calculatedColumnFormula>
    </tableColumn>
    <tableColumn id="5" name="2010" totalsRowFunction="sum" dataDxfId="1150" totalsRowDxfId="1149" dataCellStyle="Comma"/>
    <tableColumn id="6" name="2015" totalsRowFunction="sum" dataDxfId="1148" totalsRowDxfId="1147" dataCellStyle="Comma"/>
    <tableColumn id="7" name="2020" totalsRowFunction="sum" dataDxfId="1146" totalsRowDxfId="1145" dataCellStyle="Comma"/>
    <tableColumn id="8" name="2025" totalsRowFunction="sum" dataDxfId="1144" totalsRowDxfId="1143" dataCellStyle="Comma"/>
    <tableColumn id="9" name="2030" totalsRowFunction="sum" dataDxfId="1142" totalsRowDxfId="1141" dataCellStyle="Comma"/>
    <tableColumn id="10" name="2035" totalsRowFunction="sum" dataDxfId="1140" totalsRowDxfId="1139" dataCellStyle="Comma"/>
    <tableColumn id="11" name="2040" totalsRowFunction="sum" dataDxfId="1138" totalsRowDxfId="1137" dataCellStyle="Comma"/>
    <tableColumn id="12" name="2045" totalsRowFunction="sum" dataDxfId="1136" totalsRowDxfId="1135" dataCellStyle="Comma"/>
    <tableColumn id="13" name="2050" totalsRowFunction="sum" dataDxfId="1134" totalsRowDxfId="1133" dataCellStyle="Comma"/>
  </tableColumns>
  <tableStyleInfo name="EnergyCalcTables" showFirstColumn="0" showLastColumn="0" showRowStripes="1" showColumnStripes="0"/>
</table>
</file>

<file path=xl/tables/table33.xml><?xml version="1.0" encoding="utf-8"?>
<table xmlns="http://schemas.openxmlformats.org/spreadsheetml/2006/main" id="36" name="VI.a.Emissions" displayName="VI.a.Emissions" ref="C407:O414" totalsRowCount="1" headerRowDxfId="1132" dataDxfId="1130" headerRowBorderDxfId="1131" tableBorderDxfId="1129" dataCellStyle="Comma">
  <autoFilter ref="C407:O413"/>
  <tableColumns count="13">
    <tableColumn id="1" name="GHG" totalsRowLabel="Total" dataDxfId="1128" totalsRowDxfId="1127"/>
    <tableColumn id="2" name="IPCC Sector" dataDxfId="1126" totalsRowDxfId="1125"/>
    <tableColumn id="3" name="Notes" dataDxfId="1124" totalsRowDxfId="1123"/>
    <tableColumn id="4" name="2007" totalsRowFunction="sum" dataDxfId="1122" totalsRowDxfId="1121" dataCellStyle="Comma"/>
    <tableColumn id="5" name="2010" totalsRowFunction="sum" dataDxfId="1120" totalsRowDxfId="1119" dataCellStyle="Comma"/>
    <tableColumn id="6" name="2015" totalsRowFunction="sum" dataDxfId="1118" totalsRowDxfId="1117" dataCellStyle="Comma"/>
    <tableColumn id="7" name="2020" totalsRowFunction="sum" dataDxfId="1116" totalsRowDxfId="1115" dataCellStyle="Comma"/>
    <tableColumn id="8" name="2025" totalsRowFunction="sum" dataDxfId="1114" totalsRowDxfId="1113" dataCellStyle="Comma"/>
    <tableColumn id="9" name="2030" totalsRowFunction="sum" dataDxfId="1112" totalsRowDxfId="1111" dataCellStyle="Comma"/>
    <tableColumn id="10" name="2035" totalsRowFunction="sum" dataDxfId="1110" totalsRowDxfId="1109" dataCellStyle="Comma"/>
    <tableColumn id="11" name="2040" totalsRowFunction="sum" dataDxfId="1108" totalsRowDxfId="1107" dataCellStyle="Comma"/>
    <tableColumn id="12" name="2045" totalsRowFunction="sum" dataDxfId="1106" totalsRowDxfId="1105" dataCellStyle="Comma"/>
    <tableColumn id="13" name="2050" totalsRowFunction="sum" dataDxfId="1104" totalsRowDxfId="1103" dataCellStyle="Comma"/>
  </tableColumns>
  <tableStyleInfo name="EnergyCalcTables" showFirstColumn="0" showLastColumn="0" showRowStripes="1" showColumnStripes="0"/>
</table>
</file>

<file path=xl/tables/table34.xml><?xml version="1.0" encoding="utf-8"?>
<table xmlns="http://schemas.openxmlformats.org/spreadsheetml/2006/main" id="52" name="VI.b.Outputs" displayName="VI.b.Outputs" ref="C266:O272" totalsRowCount="1" headerRowDxfId="1102" dataDxfId="1101">
  <autoFilter ref="C266:O271"/>
  <tableColumns count="13">
    <tableColumn id="1" name="Vector" totalsRowLabel="Total" dataDxfId="1100" totalsRowDxfId="1099"/>
    <tableColumn id="2" name="Name" dataDxfId="1098" totalsRowDxfId="1097">
      <calculatedColumnFormula>INDEX(Vectors[Description], MATCH([Vector], Vectors[Code], 0))</calculatedColumnFormula>
    </tableColumn>
    <tableColumn id="3" name="Notes" dataDxfId="1096" totalsRowDxfId="1095"/>
    <tableColumn id="4" name="2007" totalsRowFunction="sum" dataDxfId="1094" totalsRowDxfId="1093" dataCellStyle="Comma">
      <calculatedColumnFormula>F$259+#REF!</calculatedColumnFormula>
    </tableColumn>
    <tableColumn id="5" name="2010" totalsRowFunction="sum" dataDxfId="1092" totalsRowDxfId="1091" dataCellStyle="Comma"/>
    <tableColumn id="6" name="2015" totalsRowFunction="sum" dataDxfId="1090" totalsRowDxfId="1089" dataCellStyle="Comma"/>
    <tableColumn id="7" name="2020" totalsRowFunction="sum" dataDxfId="1088" totalsRowDxfId="1087" dataCellStyle="Comma"/>
    <tableColumn id="8" name="2025" totalsRowFunction="sum" dataDxfId="1086" totalsRowDxfId="1085" dataCellStyle="Comma"/>
    <tableColumn id="9" name="2030" totalsRowFunction="sum" dataDxfId="1084" totalsRowDxfId="1083" dataCellStyle="Comma"/>
    <tableColumn id="10" name="2035" totalsRowFunction="sum" dataDxfId="1082" totalsRowDxfId="1081" dataCellStyle="Comma"/>
    <tableColumn id="11" name="2040" totalsRowFunction="sum" dataDxfId="1080" totalsRowDxfId="1079" dataCellStyle="Comma"/>
    <tableColumn id="12" name="2045" totalsRowFunction="sum" dataDxfId="1078" totalsRowDxfId="1077" dataCellStyle="Comma"/>
    <tableColumn id="13" name="2050" totalsRowFunction="sum" dataDxfId="1076" totalsRowDxfId="1075" dataCellStyle="Comma"/>
  </tableColumns>
  <tableStyleInfo name="EnergyCalcTables" showFirstColumn="0" showLastColumn="0" showRowStripes="1" showColumnStripes="0"/>
</table>
</file>

<file path=xl/tables/table35.xml><?xml version="1.0" encoding="utf-8"?>
<table xmlns="http://schemas.openxmlformats.org/spreadsheetml/2006/main" id="51" name="VI.b.Emissions" displayName="VI.b.Emissions" ref="C279:O283" totalsRowCount="1" headerRowDxfId="1074" dataDxfId="1072" headerRowBorderDxfId="1073" tableBorderDxfId="1071" dataCellStyle="Comma">
  <autoFilter ref="C279:O282"/>
  <tableColumns count="13">
    <tableColumn id="1" name="GHG" totalsRowLabel="Total" dataDxfId="1070" totalsRowDxfId="1069"/>
    <tableColumn id="2" name="IPCC Sector" dataDxfId="1068" totalsRowDxfId="1067"/>
    <tableColumn id="3" name="Notes" dataDxfId="1066" totalsRowDxfId="1065">
      <calculatedColumnFormula>INDEX(IPCC[Sector_description], MATCH([IPCC Sector], IPCC[Sector_code], 0))</calculatedColumnFormula>
    </tableColumn>
    <tableColumn id="4" name="2007" totalsRowFunction="sum" dataDxfId="1064" totalsRowDxfId="1063" dataCellStyle="Comma"/>
    <tableColumn id="5" name="2010" totalsRowFunction="sum" dataDxfId="1062" totalsRowDxfId="1061" dataCellStyle="Comma"/>
    <tableColumn id="6" name="2015" totalsRowFunction="sum" dataDxfId="1060" totalsRowDxfId="1059" dataCellStyle="Comma"/>
    <tableColumn id="7" name="2020" totalsRowFunction="sum" dataDxfId="1058" totalsRowDxfId="1057" dataCellStyle="Comma"/>
    <tableColumn id="8" name="2025" totalsRowFunction="sum" dataDxfId="1056" totalsRowDxfId="1055" dataCellStyle="Comma"/>
    <tableColumn id="9" name="2030" totalsRowFunction="sum" dataDxfId="1054" totalsRowDxfId="1053" dataCellStyle="Comma"/>
    <tableColumn id="10" name="2035" totalsRowFunction="sum" dataDxfId="1052" totalsRowDxfId="1051" dataCellStyle="Comma"/>
    <tableColumn id="11" name="2040" totalsRowFunction="sum" dataDxfId="1050" totalsRowDxfId="1049" dataCellStyle="Comma"/>
    <tableColumn id="12" name="2045" totalsRowFunction="sum" dataDxfId="1048" totalsRowDxfId="1047" dataCellStyle="Comma"/>
    <tableColumn id="13" name="2050" totalsRowFunction="sum" dataDxfId="1046" totalsRowDxfId="1045" dataCellStyle="Comma"/>
  </tableColumns>
  <tableStyleInfo name="EnergyCalcTables" showFirstColumn="0" showLastColumn="0" showRowStripes="1" showColumnStripes="0"/>
</table>
</file>

<file path=xl/tables/table36.xml><?xml version="1.0" encoding="utf-8"?>
<table xmlns="http://schemas.openxmlformats.org/spreadsheetml/2006/main" id="61" name="VI.c.Outputs" displayName="VI.c.Outputs" ref="C55:O58" totalsRowCount="1" headerRowDxfId="1044" dataDxfId="1043">
  <autoFilter ref="C55:O57"/>
  <tableColumns count="13">
    <tableColumn id="1" name="Vector" totalsRowLabel="Total" dataDxfId="1042" totalsRowDxfId="1041"/>
    <tableColumn id="2" name="Name" dataDxfId="1040" totalsRowDxfId="1039">
      <calculatedColumnFormula>INDEX(Vectors[Description], MATCH([Vector], Vectors[Code], 0))</calculatedColumnFormula>
    </tableColumn>
    <tableColumn id="3" name="Notes" dataDxfId="1038" totalsRowDxfId="1037"/>
    <tableColumn id="4" name="2007" totalsRowFunction="sum" dataDxfId="1036" totalsRowDxfId="1035" dataCellStyle="Comma">
      <calculatedColumnFormula>F$253+#REF!</calculatedColumnFormula>
    </tableColumn>
    <tableColumn id="5" name="2010" totalsRowFunction="sum" dataDxfId="1034" totalsRowDxfId="1033" dataCellStyle="Comma"/>
    <tableColumn id="6" name="2015" totalsRowFunction="sum" dataDxfId="1032" totalsRowDxfId="1031" dataCellStyle="Comma"/>
    <tableColumn id="7" name="2020" totalsRowFunction="sum" dataDxfId="1030" totalsRowDxfId="1029" dataCellStyle="Comma"/>
    <tableColumn id="8" name="2025" totalsRowFunction="sum" dataDxfId="1028" totalsRowDxfId="1027" dataCellStyle="Comma"/>
    <tableColumn id="9" name="2030" totalsRowFunction="sum" dataDxfId="1026" totalsRowDxfId="1025" dataCellStyle="Comma"/>
    <tableColumn id="10" name="2035" totalsRowFunction="sum" dataDxfId="1024" totalsRowDxfId="1023" dataCellStyle="Comma"/>
    <tableColumn id="11" name="2040" totalsRowFunction="sum" dataDxfId="1022" totalsRowDxfId="1021" dataCellStyle="Comma"/>
    <tableColumn id="12" name="2045" totalsRowFunction="sum" dataDxfId="1020" totalsRowDxfId="1019" dataCellStyle="Comma"/>
    <tableColumn id="13" name="2050" totalsRowFunction="sum" dataDxfId="1018" totalsRowDxfId="1017" dataCellStyle="Comma"/>
  </tableColumns>
  <tableStyleInfo name="EnergyCalcTables" showFirstColumn="0" showLastColumn="0" showRowStripes="1" showColumnStripes="0"/>
</table>
</file>

<file path=xl/tables/table37.xml><?xml version="1.0" encoding="utf-8"?>
<table xmlns="http://schemas.openxmlformats.org/spreadsheetml/2006/main" id="11" name="VII.a.Outputs" displayName="VII.a.Outputs" ref="C45:O48" totalsRowCount="1" headerRowDxfId="1016" dataDxfId="1015">
  <autoFilter ref="C45:O47"/>
  <tableColumns count="13">
    <tableColumn id="1" name="Vector" totalsRowLabel="Total" dataDxfId="1014" totalsRowDxfId="1013"/>
    <tableColumn id="2" name="Name" dataDxfId="1012" totalsRowDxfId="1011">
      <calculatedColumnFormula>INDEX(Vectors[Description], MATCH([Vector], Vectors[Code], 0))</calculatedColumnFormula>
    </tableColumn>
    <tableColumn id="3" name="Notes" dataDxfId="1010" totalsRowDxfId="1009"/>
    <tableColumn id="4" name="2007" totalsRowFunction="sum" dataDxfId="1008" totalsRowDxfId="1007" dataCellStyle="Comma">
      <calculatedColumnFormula>#REF!+#REF!</calculatedColumnFormula>
    </tableColumn>
    <tableColumn id="5" name="2010" totalsRowFunction="sum" dataDxfId="1006" totalsRowDxfId="1005" dataCellStyle="Comma"/>
    <tableColumn id="6" name="2015" totalsRowFunction="sum" dataDxfId="1004" totalsRowDxfId="1003" dataCellStyle="Comma"/>
    <tableColumn id="7" name="2020" totalsRowFunction="sum" dataDxfId="1002" totalsRowDxfId="1001" dataCellStyle="Comma"/>
    <tableColumn id="8" name="2025" totalsRowFunction="sum" dataDxfId="1000" totalsRowDxfId="999" dataCellStyle="Comma"/>
    <tableColumn id="9" name="2030" totalsRowFunction="sum" dataDxfId="998" totalsRowDxfId="997" dataCellStyle="Comma"/>
    <tableColumn id="10" name="2035" totalsRowFunction="sum" dataDxfId="996" totalsRowDxfId="995" dataCellStyle="Comma"/>
    <tableColumn id="11" name="2040" totalsRowFunction="sum" dataDxfId="994" totalsRowDxfId="993" dataCellStyle="Comma"/>
    <tableColumn id="12" name="2045" totalsRowFunction="sum" dataDxfId="992" totalsRowDxfId="991" dataCellStyle="Comma"/>
    <tableColumn id="13" name="2050" totalsRowFunction="sum" dataDxfId="990" totalsRowDxfId="989" dataCellStyle="Comma"/>
  </tableColumns>
  <tableStyleInfo name="EnergyCalcTables" showFirstColumn="0" showLastColumn="0" showRowStripes="1" showColumnStripes="0"/>
</table>
</file>

<file path=xl/tables/table38.xml><?xml version="1.0" encoding="utf-8"?>
<table xmlns="http://schemas.openxmlformats.org/spreadsheetml/2006/main" id="8" name="VII.b.Inputs" displayName="VII.b.Inputs" ref="C8:O9" totalsRowShown="0" headerRowDxfId="988" dataDxfId="987">
  <autoFilter ref="C8:O9"/>
  <tableColumns count="13">
    <tableColumn id="1" name="Vector" dataDxfId="986"/>
    <tableColumn id="2" name="Name" dataDxfId="985">
      <calculatedColumnFormula>INDEX(Vectors[Description], MATCH([Vector], Vectors[Code], 0))</calculatedColumnFormula>
    </tableColumn>
    <tableColumn id="3" name="Notes" dataDxfId="984"/>
    <tableColumn id="4" name="2007" dataDxfId="983" dataCellStyle="Comma">
      <calculatedColumnFormula>INDEX(INDIRECT("'"&amp;VII.b.Inputs[#Headers]&amp;"'!Year.Matrix"), MATCH("Subtotal."&amp;$A$2, INDIRECT("'"&amp;VII.b.Inputs[#Headers]&amp;"'!Year.Modules"), 0), MATCH([Vector], INDIRECT("'"&amp;VII.b.Inputs[#Headers]&amp;"'!Year.Vectors"), 0))</calculatedColumnFormula>
    </tableColumn>
    <tableColumn id="5" name="2010" dataDxfId="982" dataCellStyle="Comma">
      <calculatedColumnFormula>INDEX(INDIRECT("'"&amp;VII.b.Inputs[#Headers]&amp;"'!Year.Matrix"), MATCH("Subtotal."&amp;$A$2, INDIRECT("'"&amp;VII.b.Inputs[#Headers]&amp;"'!Year.Modules"), 0), MATCH([Vector], INDIRECT("'"&amp;VII.b.Inputs[#Headers]&amp;"'!Year.Vectors"), 0))</calculatedColumnFormula>
    </tableColumn>
    <tableColumn id="6" name="2015" dataDxfId="981" dataCellStyle="Comma">
      <calculatedColumnFormula>INDEX(INDIRECT("'"&amp;VII.b.Inputs[#Headers]&amp;"'!Year.Matrix"), MATCH("Subtotal."&amp;$A$2, INDIRECT("'"&amp;VII.b.Inputs[#Headers]&amp;"'!Year.Modules"), 0), MATCH([Vector], INDIRECT("'"&amp;VII.b.Inputs[#Headers]&amp;"'!Year.Vectors"), 0))</calculatedColumnFormula>
    </tableColumn>
    <tableColumn id="7" name="2020" dataDxfId="980" dataCellStyle="Comma">
      <calculatedColumnFormula>INDEX(INDIRECT("'"&amp;VII.b.Inputs[#Headers]&amp;"'!Year.Matrix"), MATCH("Subtotal."&amp;$A$2, INDIRECT("'"&amp;VII.b.Inputs[#Headers]&amp;"'!Year.Modules"), 0), MATCH([Vector], INDIRECT("'"&amp;VII.b.Inputs[#Headers]&amp;"'!Year.Vectors"), 0))</calculatedColumnFormula>
    </tableColumn>
    <tableColumn id="15" name="2025" dataDxfId="979" dataCellStyle="Comma">
      <calculatedColumnFormula>INDEX(INDIRECT("'"&amp;VII.b.Inputs[#Headers]&amp;"'!Year.Matrix"), MATCH("Subtotal."&amp;$A$2, INDIRECT("'"&amp;VII.b.Inputs[#Headers]&amp;"'!Year.Modules"), 0), MATCH([Vector], INDIRECT("'"&amp;VII.b.Inputs[#Headers]&amp;"'!Year.Vectors"), 0))</calculatedColumnFormula>
    </tableColumn>
    <tableColumn id="16" name="2030" dataDxfId="978" dataCellStyle="Comma">
      <calculatedColumnFormula>INDEX(INDIRECT("'"&amp;VII.b.Inputs[#Headers]&amp;"'!Year.Matrix"), MATCH("Subtotal."&amp;$A$2, INDIRECT("'"&amp;VII.b.Inputs[#Headers]&amp;"'!Year.Modules"), 0), MATCH([Vector], INDIRECT("'"&amp;VII.b.Inputs[#Headers]&amp;"'!Year.Vectors"), 0))</calculatedColumnFormula>
    </tableColumn>
    <tableColumn id="17" name="2035" dataDxfId="977" dataCellStyle="Comma">
      <calculatedColumnFormula>INDEX(INDIRECT("'"&amp;VII.b.Inputs[#Headers]&amp;"'!Year.Matrix"), MATCH("Subtotal."&amp;$A$2, INDIRECT("'"&amp;VII.b.Inputs[#Headers]&amp;"'!Year.Modules"), 0), MATCH([Vector], INDIRECT("'"&amp;VII.b.Inputs[#Headers]&amp;"'!Year.Vectors"), 0))</calculatedColumnFormula>
    </tableColumn>
    <tableColumn id="18" name="2040" dataDxfId="976" dataCellStyle="Comma">
      <calculatedColumnFormula>INDEX(INDIRECT("'"&amp;VII.b.Inputs[#Headers]&amp;"'!Year.Matrix"), MATCH("Subtotal."&amp;$A$2, INDIRECT("'"&amp;VII.b.Inputs[#Headers]&amp;"'!Year.Modules"), 0), MATCH([Vector], INDIRECT("'"&amp;VII.b.Inputs[#Headers]&amp;"'!Year.Vectors"), 0))</calculatedColumnFormula>
    </tableColumn>
    <tableColumn id="19" name="2045" dataDxfId="975" dataCellStyle="Comma">
      <calculatedColumnFormula>INDEX(INDIRECT("'"&amp;VII.b.Inputs[#Headers]&amp;"'!Year.Matrix"), MATCH("Subtotal."&amp;$A$2, INDIRECT("'"&amp;VII.b.Inputs[#Headers]&amp;"'!Year.Modules"), 0), MATCH([Vector], INDIRECT("'"&amp;VII.b.Inputs[#Headers]&amp;"'!Year.Vectors"), 0))</calculatedColumnFormula>
    </tableColumn>
    <tableColumn id="20" name="2050" dataDxfId="974" dataCellStyle="Comma">
      <calculatedColumnFormula>INDEX(INDIRECT("'"&amp;VII.b.Inputs[#Headers]&amp;"'!Year.Matrix"), MATCH("Subtotal."&amp;$A$2, INDIRECT("'"&amp;VII.b.Inputs[#Headers]&amp;"'!Year.Modules"), 0), MATCH([Vector], INDIRECT("'"&amp;VII.b.Inputs[#Headers]&amp;"'!Year.Vectors"), 0))</calculatedColumnFormula>
    </tableColumn>
  </tableColumns>
  <tableStyleInfo name="EnergyCalcTables" showFirstColumn="0" showLastColumn="0" showRowStripes="1" showColumnStripes="0"/>
</table>
</file>

<file path=xl/tables/table39.xml><?xml version="1.0" encoding="utf-8"?>
<table xmlns="http://schemas.openxmlformats.org/spreadsheetml/2006/main" id="9" name="VII.b.Outputs" displayName="VII.b.Outputs" ref="C36:O40" totalsRowCount="1" headerRowDxfId="973" dataDxfId="972">
  <autoFilter ref="C36:O39"/>
  <tableColumns count="13">
    <tableColumn id="1" name="Vector" totalsRowLabel="Total" dataDxfId="971" totalsRowDxfId="970"/>
    <tableColumn id="2" name="Name" dataDxfId="969" totalsRowDxfId="968">
      <calculatedColumnFormula>INDEX(Vectors[Description], MATCH([Vector], Vectors[Code], 0))</calculatedColumnFormula>
    </tableColumn>
    <tableColumn id="3" name="Notes" dataDxfId="967" totalsRowDxfId="966"/>
    <tableColumn id="4" name="2007" totalsRowFunction="sum" dataDxfId="965" totalsRowDxfId="964" dataCellStyle="Comma">
      <calculatedColumnFormula>F$26+#REF!</calculatedColumnFormula>
    </tableColumn>
    <tableColumn id="5" name="2010" totalsRowFunction="sum" dataDxfId="963" totalsRowDxfId="962" dataCellStyle="Comma"/>
    <tableColumn id="6" name="2015" totalsRowFunction="sum" dataDxfId="961" totalsRowDxfId="960" dataCellStyle="Comma"/>
    <tableColumn id="7" name="2020" totalsRowFunction="sum" dataDxfId="959" totalsRowDxfId="958" dataCellStyle="Comma"/>
    <tableColumn id="8" name="2025" totalsRowFunction="sum" dataDxfId="957" totalsRowDxfId="956" dataCellStyle="Comma"/>
    <tableColumn id="9" name="2030" totalsRowFunction="sum" dataDxfId="955" totalsRowDxfId="954" dataCellStyle="Comma"/>
    <tableColumn id="10" name="2035" totalsRowFunction="sum" dataDxfId="953" totalsRowDxfId="952" dataCellStyle="Comma"/>
    <tableColumn id="11" name="2040" totalsRowFunction="sum" dataDxfId="951" totalsRowDxfId="950" dataCellStyle="Comma"/>
    <tableColumn id="12" name="2045" totalsRowFunction="sum" dataDxfId="949" totalsRowDxfId="948" dataCellStyle="Comma"/>
    <tableColumn id="13" name="2050" totalsRowFunction="sum" dataDxfId="947" totalsRowDxfId="946" dataCellStyle="Comma"/>
  </tableColumns>
  <tableStyleInfo name="EnergyCalcTables" showFirstColumn="0" showLastColumn="0" showRowStripes="1" showColumnStripes="0"/>
</table>
</file>

<file path=xl/tables/table4.xml><?xml version="1.0" encoding="utf-8"?>
<table xmlns="http://schemas.openxmlformats.org/spreadsheetml/2006/main" id="2" name="Workstreams" displayName="Workstreams" ref="B4:C21" totalsRowShown="0" headerRowDxfId="1761" dataDxfId="1760">
  <autoFilter ref="B4:C21"/>
  <tableColumns count="2">
    <tableColumn id="1" name="Code" dataDxfId="1759"/>
    <tableColumn id="2" name="Workstream" dataDxfId="1758"/>
  </tableColumns>
  <tableStyleInfo name="TableStyleMedium9" showFirstColumn="0" showLastColumn="0" showRowStripes="1" showColumnStripes="0"/>
</table>
</file>

<file path=xl/tables/table40.xml><?xml version="1.0" encoding="utf-8"?>
<table xmlns="http://schemas.openxmlformats.org/spreadsheetml/2006/main" id="68" name="VIII.a.Inputs" displayName="VIII.a.Inputs" ref="C8:O9" totalsRowShown="0" headerRowDxfId="945" dataDxfId="944">
  <autoFilter ref="C8:O9"/>
  <tableColumns count="13">
    <tableColumn id="1" name="Vector" dataDxfId="943"/>
    <tableColumn id="2" name="Name" dataDxfId="942">
      <calculatedColumnFormula>INDEX(Vectors[Description], MATCH([Vector], Vectors[Code], 0))</calculatedColumnFormula>
    </tableColumn>
    <tableColumn id="3" name="Notes" dataDxfId="941"/>
    <tableColumn id="4" name="2007" dataDxfId="940" dataCellStyle="Comma">
      <calculatedColumnFormula>INDEX(INDIRECT("'"&amp;VIII.a.Inputs[#Headers]&amp;"'!Year.Matrix"), MATCH("Subtotal."&amp;$A$2, INDIRECT("'"&amp;VIII.a.Inputs[#Headers]&amp;"'!Year.Modules"), 0), MATCH([Vector], INDIRECT("'"&amp;VIII.a.Inputs[#Headers]&amp;"'!Year.Vectors"), 0))</calculatedColumnFormula>
    </tableColumn>
    <tableColumn id="5" name="2010" dataDxfId="939" dataCellStyle="Comma">
      <calculatedColumnFormula>INDEX(INDIRECT("'"&amp;VIII.a.Inputs[#Headers]&amp;"'!Year.Matrix"), MATCH("Subtotal."&amp;$A$2, INDIRECT("'"&amp;VIII.a.Inputs[#Headers]&amp;"'!Year.Modules"), 0), MATCH([Vector], INDIRECT("'"&amp;VIII.a.Inputs[#Headers]&amp;"'!Year.Vectors"), 0))</calculatedColumnFormula>
    </tableColumn>
    <tableColumn id="6" name="2015" dataDxfId="938" dataCellStyle="Comma">
      <calculatedColumnFormula>INDEX(INDIRECT("'"&amp;VIII.a.Inputs[#Headers]&amp;"'!Year.Matrix"), MATCH("Subtotal."&amp;$A$2, INDIRECT("'"&amp;VIII.a.Inputs[#Headers]&amp;"'!Year.Modules"), 0), MATCH([Vector], INDIRECT("'"&amp;VIII.a.Inputs[#Headers]&amp;"'!Year.Vectors"), 0))</calculatedColumnFormula>
    </tableColumn>
    <tableColumn id="7" name="2020" dataDxfId="937" dataCellStyle="Comma">
      <calculatedColumnFormula>INDEX(INDIRECT("'"&amp;VIII.a.Inputs[#Headers]&amp;"'!Year.Matrix"), MATCH("Subtotal."&amp;$A$2, INDIRECT("'"&amp;VIII.a.Inputs[#Headers]&amp;"'!Year.Modules"), 0), MATCH([Vector], INDIRECT("'"&amp;VIII.a.Inputs[#Headers]&amp;"'!Year.Vectors"), 0))</calculatedColumnFormula>
    </tableColumn>
    <tableColumn id="15" name="2025" dataDxfId="936" dataCellStyle="Comma">
      <calculatedColumnFormula>INDEX(INDIRECT("'"&amp;VIII.a.Inputs[#Headers]&amp;"'!Year.Matrix"), MATCH("Subtotal."&amp;$A$2, INDIRECT("'"&amp;VIII.a.Inputs[#Headers]&amp;"'!Year.Modules"), 0), MATCH([Vector], INDIRECT("'"&amp;VIII.a.Inputs[#Headers]&amp;"'!Year.Vectors"), 0))</calculatedColumnFormula>
    </tableColumn>
    <tableColumn id="16" name="2030" dataDxfId="935" dataCellStyle="Comma">
      <calculatedColumnFormula>INDEX(INDIRECT("'"&amp;VIII.a.Inputs[#Headers]&amp;"'!Year.Matrix"), MATCH("Subtotal."&amp;$A$2, INDIRECT("'"&amp;VIII.a.Inputs[#Headers]&amp;"'!Year.Modules"), 0), MATCH([Vector], INDIRECT("'"&amp;VIII.a.Inputs[#Headers]&amp;"'!Year.Vectors"), 0))</calculatedColumnFormula>
    </tableColumn>
    <tableColumn id="17" name="2035" dataDxfId="934" dataCellStyle="Comma">
      <calculatedColumnFormula>INDEX(INDIRECT("'"&amp;VIII.a.Inputs[#Headers]&amp;"'!Year.Matrix"), MATCH("Subtotal."&amp;$A$2, INDIRECT("'"&amp;VIII.a.Inputs[#Headers]&amp;"'!Year.Modules"), 0), MATCH([Vector], INDIRECT("'"&amp;VIII.a.Inputs[#Headers]&amp;"'!Year.Vectors"), 0))</calculatedColumnFormula>
    </tableColumn>
    <tableColumn id="18" name="2040" dataDxfId="933" dataCellStyle="Comma">
      <calculatedColumnFormula>INDEX(INDIRECT("'"&amp;VIII.a.Inputs[#Headers]&amp;"'!Year.Matrix"), MATCH("Subtotal."&amp;$A$2, INDIRECT("'"&amp;VIII.a.Inputs[#Headers]&amp;"'!Year.Modules"), 0), MATCH([Vector], INDIRECT("'"&amp;VIII.a.Inputs[#Headers]&amp;"'!Year.Vectors"), 0))</calculatedColumnFormula>
    </tableColumn>
    <tableColumn id="19" name="2045" dataDxfId="932" dataCellStyle="Comma">
      <calculatedColumnFormula>INDEX(INDIRECT("'"&amp;VIII.a.Inputs[#Headers]&amp;"'!Year.Matrix"), MATCH("Subtotal."&amp;$A$2, INDIRECT("'"&amp;VIII.a.Inputs[#Headers]&amp;"'!Year.Modules"), 0), MATCH([Vector], INDIRECT("'"&amp;VIII.a.Inputs[#Headers]&amp;"'!Year.Vectors"), 0))</calculatedColumnFormula>
    </tableColumn>
    <tableColumn id="20" name="2050" dataDxfId="931" dataCellStyle="Comma">
      <calculatedColumnFormula>INDEX(INDIRECT("'"&amp;VIII.a.Inputs[#Headers]&amp;"'!Year.Matrix"), MATCH("Subtotal."&amp;$A$2, INDIRECT("'"&amp;VIII.a.Inputs[#Headers]&amp;"'!Year.Modules"), 0), MATCH([Vector], INDIRECT("'"&amp;VIII.a.Inputs[#Headers]&amp;"'!Year.Vectors"), 0))</calculatedColumnFormula>
    </tableColumn>
  </tableColumns>
  <tableStyleInfo name="EnergyCalcTables" showFirstColumn="0" showLastColumn="0" showRowStripes="1" showColumnStripes="0"/>
</table>
</file>

<file path=xl/tables/table41.xml><?xml version="1.0" encoding="utf-8"?>
<table xmlns="http://schemas.openxmlformats.org/spreadsheetml/2006/main" id="71" name="VIII.a.Outputs" displayName="VIII.a.Outputs" ref="C34:O38" totalsRowCount="1" headerRowDxfId="930" dataDxfId="929">
  <autoFilter ref="C34:O37"/>
  <tableColumns count="13">
    <tableColumn id="1" name="Vector" totalsRowLabel="Total" dataDxfId="928" totalsRowDxfId="927"/>
    <tableColumn id="2" name="Name" dataDxfId="926" totalsRowDxfId="925">
      <calculatedColumnFormula>INDEX(Vectors[Description], MATCH([Vector], Vectors[Code], 0))</calculatedColumnFormula>
    </tableColumn>
    <tableColumn id="3" name="Notes" dataDxfId="924" totalsRowDxfId="923"/>
    <tableColumn id="4" name="2007" totalsRowFunction="sum" dataDxfId="922" totalsRowDxfId="921" dataCellStyle="Comma">
      <calculatedColumnFormula>F$25+#REF!</calculatedColumnFormula>
    </tableColumn>
    <tableColumn id="5" name="2010" totalsRowFunction="sum" dataDxfId="920" totalsRowDxfId="919" dataCellStyle="Comma"/>
    <tableColumn id="6" name="2015" totalsRowFunction="sum" dataDxfId="918" totalsRowDxfId="917" dataCellStyle="Comma"/>
    <tableColumn id="7" name="2020" totalsRowFunction="sum" dataDxfId="916" totalsRowDxfId="915" dataCellStyle="Comma"/>
    <tableColumn id="8" name="2025" totalsRowFunction="sum" dataDxfId="914" totalsRowDxfId="913" dataCellStyle="Comma"/>
    <tableColumn id="9" name="2030" totalsRowFunction="sum" dataDxfId="912" totalsRowDxfId="911" dataCellStyle="Comma"/>
    <tableColumn id="10" name="2035" totalsRowFunction="sum" dataDxfId="910" totalsRowDxfId="909" dataCellStyle="Comma"/>
    <tableColumn id="11" name="2040" totalsRowFunction="sum" dataDxfId="908" totalsRowDxfId="907" dataCellStyle="Comma"/>
    <tableColumn id="12" name="2045" totalsRowFunction="sum" dataDxfId="906" totalsRowDxfId="905" dataCellStyle="Comma"/>
    <tableColumn id="13" name="2050" totalsRowFunction="sum" dataDxfId="904" totalsRowDxfId="903" dataCellStyle="Comma"/>
  </tableColumns>
  <tableStyleInfo name="EnergyCalcTables" showFirstColumn="0" showLastColumn="0" showRowStripes="1" showColumnStripes="0"/>
</table>
</file>

<file path=xl/tables/table42.xml><?xml version="1.0" encoding="utf-8"?>
<table xmlns="http://schemas.openxmlformats.org/spreadsheetml/2006/main" id="10" name="VII.c.Outputs" displayName="VII.c.Outputs" ref="C267:O270" totalsRowCount="1" headerRowDxfId="902" dataDxfId="901">
  <autoFilter ref="C267:O269"/>
  <tableColumns count="13">
    <tableColumn id="1" name="Vector" totalsRowLabel="Total" dataDxfId="900" totalsRowDxfId="899"/>
    <tableColumn id="2" name="Name" dataDxfId="898" totalsRowDxfId="897">
      <calculatedColumnFormula>INDEX(Vectors[Description], MATCH([Vector], Vectors[Code], 0))</calculatedColumnFormula>
    </tableColumn>
    <tableColumn id="3" name="Notes" dataDxfId="896" totalsRowDxfId="895"/>
    <tableColumn id="4" name="2007" totalsRowFunction="sum" dataDxfId="894" totalsRowDxfId="893" dataCellStyle="Comma">
      <calculatedColumnFormula>#REF!+#REF!</calculatedColumnFormula>
    </tableColumn>
    <tableColumn id="5" name="2010" totalsRowFunction="sum" dataDxfId="892" totalsRowDxfId="891" dataCellStyle="Comma"/>
    <tableColumn id="6" name="2015" totalsRowFunction="sum" dataDxfId="890" totalsRowDxfId="889" dataCellStyle="Comma"/>
    <tableColumn id="7" name="2020" totalsRowFunction="sum" dataDxfId="888" totalsRowDxfId="887" dataCellStyle="Comma"/>
    <tableColumn id="8" name="2025" totalsRowFunction="sum" dataDxfId="886" totalsRowDxfId="885" dataCellStyle="Comma"/>
    <tableColumn id="9" name="2030" totalsRowFunction="sum" dataDxfId="884" totalsRowDxfId="883" dataCellStyle="Comma"/>
    <tableColumn id="10" name="2035" totalsRowFunction="sum" dataDxfId="882" totalsRowDxfId="881" dataCellStyle="Comma"/>
    <tableColumn id="11" name="2040" totalsRowFunction="sum" dataDxfId="880" totalsRowDxfId="879" dataCellStyle="Comma"/>
    <tableColumn id="12" name="2045" totalsRowFunction="sum" dataDxfId="878" totalsRowDxfId="877" dataCellStyle="Comma"/>
    <tableColumn id="13" name="2050" totalsRowFunction="sum" dataDxfId="876" totalsRowDxfId="875" dataCellStyle="Comma"/>
  </tableColumns>
  <tableStyleInfo name="EnergyCalcTables" showFirstColumn="0" showLastColumn="0" showRowStripes="1" showColumnStripes="0"/>
</table>
</file>

<file path=xl/tables/table43.xml><?xml version="1.0" encoding="utf-8"?>
<table xmlns="http://schemas.openxmlformats.org/spreadsheetml/2006/main" id="73" name="VII.c.Inputs.Volatile" displayName="VII.c.Inputs.Volatile" ref="C15:O18" totalsRowShown="0" headerRowDxfId="874">
  <autoFilter ref="C15:O18"/>
  <tableColumns count="13">
    <tableColumn id="1" name="Module" dataDxfId="873"/>
    <tableColumn id="2" name="Name" dataDxfId="872">
      <calculatedColumnFormula>INDEX('[1]2050'!$D$9:$D$83,MATCH([1]!VII.c.InputsVolatility[[#This Row],[Vector]],'[1]2050'!$C$9:$C$83,FALSE))</calculatedColumnFormula>
    </tableColumn>
    <tableColumn id="3" name="Notes" dataDxfId="871"/>
    <tableColumn id="4" name="2007">
      <calculatedColumnFormula>IF([1]!VII.c.InputsVolatility[Supply?],INDEX(INDIRECT("'"&amp;[1]!VII.c.InputsVolatility[#Headers]&amp;"'!$T$9:$T$83"),MATCH([1]!VII.c.InputsVolatility[Vector],'[1]2050'!$C$9:$C$83,FALSE)),INDEX(INDIRECT("'"&amp;[1]!VII.c.InputsVolatility[#Headers]&amp;"'!$S$9:$S$83"),MATCH([1]!VII.c.InputsVolatility[Vector],'[1]2050'!$C$9:$C$83,FALSE)))</calculatedColumnFormula>
    </tableColumn>
    <tableColumn id="5" name="2010">
      <calculatedColumnFormula>IF([1]!VII.c.InputsVolatility[Supply?],INDEX(INDIRECT("'"&amp;[1]!VII.c.InputsVolatility[#Headers]&amp;"'!$T$9:$T$83"),MATCH([1]!VII.c.InputsVolatility[Vector],'[1]2050'!$C$9:$C$83,FALSE)),INDEX(INDIRECT("'"&amp;[1]!VII.c.InputsVolatility[#Headers]&amp;"'!$S$9:$S$83"),MATCH([1]!VII.c.InputsVolatility[Vector],'[1]2050'!$C$9:$C$83,FALSE)))</calculatedColumnFormula>
    </tableColumn>
    <tableColumn id="6" name="2015">
      <calculatedColumnFormula>IF([1]!VII.c.InputsVolatility[Supply?],INDEX(INDIRECT("'"&amp;[1]!VII.c.InputsVolatility[#Headers]&amp;"'!$T$9:$T$83"),MATCH([1]!VII.c.InputsVolatility[Vector],'[1]2050'!$C$9:$C$83,FALSE)),INDEX(INDIRECT("'"&amp;[1]!VII.c.InputsVolatility[#Headers]&amp;"'!$S$9:$S$83"),MATCH([1]!VII.c.InputsVolatility[Vector],'[1]2050'!$C$9:$C$83,FALSE)))</calculatedColumnFormula>
    </tableColumn>
    <tableColumn id="7" name="2020">
      <calculatedColumnFormula>IF([1]!VII.c.InputsVolatility[Supply?],INDEX(INDIRECT("'"&amp;[1]!VII.c.InputsVolatility[#Headers]&amp;"'!$T$9:$T$83"),MATCH([1]!VII.c.InputsVolatility[Vector],'[1]2050'!$C$9:$C$83,FALSE)),INDEX(INDIRECT("'"&amp;[1]!VII.c.InputsVolatility[#Headers]&amp;"'!$S$9:$S$83"),MATCH([1]!VII.c.InputsVolatility[Vector],'[1]2050'!$C$9:$C$83,FALSE)))</calculatedColumnFormula>
    </tableColumn>
    <tableColumn id="8" name="2025">
      <calculatedColumnFormula>IF([1]!VII.c.InputsVolatility[Supply?],INDEX(INDIRECT("'"&amp;[1]!VII.c.InputsVolatility[#Headers]&amp;"'!$T$9:$T$83"),MATCH([1]!VII.c.InputsVolatility[Vector],'[1]2050'!$C$9:$C$83,FALSE)),INDEX(INDIRECT("'"&amp;[1]!VII.c.InputsVolatility[#Headers]&amp;"'!$S$9:$S$83"),MATCH([1]!VII.c.InputsVolatility[Vector],'[1]2050'!$C$9:$C$83,FALSE)))</calculatedColumnFormula>
    </tableColumn>
    <tableColumn id="9" name="2030">
      <calculatedColumnFormula>IF([1]!VII.c.InputsVolatility[Supply?],INDEX(INDIRECT("'"&amp;[1]!VII.c.InputsVolatility[#Headers]&amp;"'!$T$9:$T$83"),MATCH([1]!VII.c.InputsVolatility[Vector],'[1]2050'!$C$9:$C$83,FALSE)),INDEX(INDIRECT("'"&amp;[1]!VII.c.InputsVolatility[#Headers]&amp;"'!$S$9:$S$83"),MATCH([1]!VII.c.InputsVolatility[Vector],'[1]2050'!$C$9:$C$83,FALSE)))</calculatedColumnFormula>
    </tableColumn>
    <tableColumn id="10" name="2035">
      <calculatedColumnFormula>IF([1]!VII.c.InputsVolatility[Supply?],INDEX(INDIRECT("'"&amp;[1]!VII.c.InputsVolatility[#Headers]&amp;"'!$T$9:$T$83"),MATCH([1]!VII.c.InputsVolatility[Vector],'[1]2050'!$C$9:$C$83,FALSE)),INDEX(INDIRECT("'"&amp;[1]!VII.c.InputsVolatility[#Headers]&amp;"'!$S$9:$S$83"),MATCH([1]!VII.c.InputsVolatility[Vector],'[1]2050'!$C$9:$C$83,FALSE)))</calculatedColumnFormula>
    </tableColumn>
    <tableColumn id="11" name="2040">
      <calculatedColumnFormula>IF([1]!VII.c.InputsVolatility[Supply?],INDEX(INDIRECT("'"&amp;[1]!VII.c.InputsVolatility[#Headers]&amp;"'!$T$9:$T$83"),MATCH([1]!VII.c.InputsVolatility[Vector],'[1]2050'!$C$9:$C$83,FALSE)),INDEX(INDIRECT("'"&amp;[1]!VII.c.InputsVolatility[#Headers]&amp;"'!$S$9:$S$83"),MATCH([1]!VII.c.InputsVolatility[Vector],'[1]2050'!$C$9:$C$83,FALSE)))</calculatedColumnFormula>
    </tableColumn>
    <tableColumn id="12" name="2045">
      <calculatedColumnFormula>IF([1]!VII.c.InputsVolatility[Supply?],INDEX(INDIRECT("'"&amp;[1]!VII.c.InputsVolatility[#Headers]&amp;"'!$T$9:$T$83"),MATCH([1]!VII.c.InputsVolatility[Vector],'[1]2050'!$C$9:$C$83,FALSE)),INDEX(INDIRECT("'"&amp;[1]!VII.c.InputsVolatility[#Headers]&amp;"'!$S$9:$S$83"),MATCH([1]!VII.c.InputsVolatility[Vector],'[1]2050'!$C$9:$C$83,FALSE)))</calculatedColumnFormula>
    </tableColumn>
    <tableColumn id="13" name="2050">
      <calculatedColumnFormula>IF([1]!VII.c.InputsVolatility[Supply?],INDEX(INDIRECT("'"&amp;[1]!VII.c.InputsVolatility[#Headers]&amp;"'!$T$9:$T$83"),MATCH([1]!VII.c.InputsVolatility[Vector],'[1]2050'!$C$9:$C$83,FALSE)),INDEX(INDIRECT("'"&amp;[1]!VII.c.InputsVolatility[#Headers]&amp;"'!$S$9:$S$83"),MATCH([1]!VII.c.InputsVolatility[Vector],'[1]2050'!$C$9:$C$83,FALSE)))</calculatedColumnFormula>
    </tableColumn>
  </tableColumns>
  <tableStyleInfo name="EnergyCalcTables" showFirstColumn="0" showLastColumn="0" showRowStripes="1" showColumnStripes="0"/>
</table>
</file>

<file path=xl/tables/table44.xml><?xml version="1.0" encoding="utf-8"?>
<table xmlns="http://schemas.openxmlformats.org/spreadsheetml/2006/main" id="74" name="VII.c.Balancing.Shock.Outputs" displayName="VII.c.Balancing.Shock.Outputs" ref="D256:O259" totalsRowShown="0" headerRowDxfId="870" dataDxfId="869">
  <autoFilter ref="D256:O259"/>
  <tableColumns count="12">
    <tableColumn id="1" name="Name" dataDxfId="868"/>
    <tableColumn id="2" name="Unit" dataDxfId="867"/>
    <tableColumn id="3" name="2007" dataDxfId="866"/>
    <tableColumn id="4" name="2010" dataDxfId="865"/>
    <tableColumn id="5" name="2015" dataDxfId="864"/>
    <tableColumn id="6" name="2020" dataDxfId="863"/>
    <tableColumn id="7" name="2025" dataDxfId="862"/>
    <tableColumn id="8" name="2030" dataDxfId="861"/>
    <tableColumn id="9" name="2035" dataDxfId="860"/>
    <tableColumn id="10" name="2040" dataDxfId="859"/>
    <tableColumn id="11" name="2045" dataDxfId="858"/>
    <tableColumn id="12" name="2050" dataDxfId="857"/>
  </tableColumns>
  <tableStyleInfo name="EnergyCalcTables" showFirstColumn="0" showLastColumn="0" showRowStripes="1" showColumnStripes="0"/>
</table>
</file>

<file path=xl/tables/table45.xml><?xml version="1.0" encoding="utf-8"?>
<table xmlns="http://schemas.openxmlformats.org/spreadsheetml/2006/main" id="18" name="IX.a.Outputs" displayName="IX.a.Outputs" ref="C575:O585" totalsRowCount="1" headerRowDxfId="856" dataDxfId="855">
  <autoFilter ref="C575:O584"/>
  <tableColumns count="13">
    <tableColumn id="1" name="Vector" totalsRowLabel="Total" dataDxfId="854" totalsRowDxfId="853"/>
    <tableColumn id="2" name="Name" dataDxfId="852" totalsRowDxfId="851">
      <calculatedColumnFormula>INDEX(Vectors[Description], MATCH([Vector], Vectors[Code], 0))</calculatedColumnFormula>
    </tableColumn>
    <tableColumn id="3" name="Notes" dataDxfId="850" totalsRowDxfId="849"/>
    <tableColumn id="4" name="2007" totalsRowFunction="sum" dataDxfId="848" totalsRowDxfId="847" dataCellStyle="Comma">
      <calculatedColumnFormula>INDEX(F$504:F$512, MATCH([Vector], $B$504:$B$512, 0))</calculatedColumnFormula>
    </tableColumn>
    <tableColumn id="5" name="2010" totalsRowFunction="sum" dataDxfId="846" totalsRowDxfId="845" dataCellStyle="Comma">
      <calculatedColumnFormula>INDEX(G$504:G$512, MATCH([Vector], $B$504:$B$512, 0))</calculatedColumnFormula>
    </tableColumn>
    <tableColumn id="6" name="2015" totalsRowFunction="sum" dataDxfId="844" totalsRowDxfId="843" dataCellStyle="Comma">
      <calculatedColumnFormula>INDEX(H$504:H$512, MATCH([Vector], $B$504:$B$512, 0))</calculatedColumnFormula>
    </tableColumn>
    <tableColumn id="7" name="2020" totalsRowFunction="sum" dataDxfId="842" totalsRowDxfId="841" dataCellStyle="Comma">
      <calculatedColumnFormula>INDEX(I$504:I$512, MATCH([Vector], $B$504:$B$512, 0))</calculatedColumnFormula>
    </tableColumn>
    <tableColumn id="8" name="2025" totalsRowFunction="sum" dataDxfId="840" totalsRowDxfId="839" dataCellStyle="Comma">
      <calculatedColumnFormula>INDEX(J$504:J$512, MATCH([Vector], $B$504:$B$512, 0))</calculatedColumnFormula>
    </tableColumn>
    <tableColumn id="9" name="2030" totalsRowFunction="sum" dataDxfId="838" totalsRowDxfId="837" dataCellStyle="Comma">
      <calculatedColumnFormula>INDEX(K$504:K$512, MATCH([Vector], $B$504:$B$512, 0))</calculatedColumnFormula>
    </tableColumn>
    <tableColumn id="10" name="2035" totalsRowFunction="sum" dataDxfId="836" totalsRowDxfId="835" dataCellStyle="Comma">
      <calculatedColumnFormula>INDEX(L$504:L$512, MATCH([Vector], $B$504:$B$512, 0))</calculatedColumnFormula>
    </tableColumn>
    <tableColumn id="11" name="2040" totalsRowFunction="sum" dataDxfId="834" totalsRowDxfId="833" dataCellStyle="Comma">
      <calculatedColumnFormula>INDEX(M$504:M$512, MATCH([Vector], $B$504:$B$512, 0))</calculatedColumnFormula>
    </tableColumn>
    <tableColumn id="12" name="2045" totalsRowFunction="sum" dataDxfId="832" totalsRowDxfId="831" dataCellStyle="Comma">
      <calculatedColumnFormula>INDEX(N$504:N$512, MATCH([Vector], $B$504:$B$512, 0))</calculatedColumnFormula>
    </tableColumn>
    <tableColumn id="13" name="2050" totalsRowFunction="sum" dataDxfId="830" totalsRowDxfId="829" dataCellStyle="Comma">
      <calculatedColumnFormula>INDEX(O$504:O$512, MATCH([Vector], $B$504:$B$512, 0))</calculatedColumnFormula>
    </tableColumn>
  </tableColumns>
  <tableStyleInfo name="EnergyCalcTables" showFirstColumn="0" showLastColumn="0" showRowStripes="1" showColumnStripes="0"/>
</table>
</file>

<file path=xl/tables/table46.xml><?xml version="1.0" encoding="utf-8"?>
<table xmlns="http://schemas.openxmlformats.org/spreadsheetml/2006/main" id="40" name="IX.a.Emissions" displayName="IX.a.Emissions" ref="C593:O597" totalsRowCount="1" headerRowDxfId="828" dataDxfId="826" headerRowBorderDxfId="827" tableBorderDxfId="825" dataCellStyle="Comma">
  <autoFilter ref="C593:O596"/>
  <tableColumns count="13">
    <tableColumn id="1" name="GHG" totalsRowLabel="Total" dataDxfId="824" totalsRowDxfId="823"/>
    <tableColumn id="2" name="IPCC Sector" dataDxfId="822" totalsRowDxfId="821"/>
    <tableColumn id="3" name="Notes" dataDxfId="820" totalsRowDxfId="819"/>
    <tableColumn id="4" name="2007" totalsRowFunction="sum" dataDxfId="818" totalsRowDxfId="817" dataCellStyle="Comma"/>
    <tableColumn id="5" name="2010" totalsRowFunction="sum" dataDxfId="816" totalsRowDxfId="815" dataCellStyle="Comma"/>
    <tableColumn id="6" name="2015" totalsRowFunction="sum" dataDxfId="814" totalsRowDxfId="813" dataCellStyle="Comma"/>
    <tableColumn id="7" name="2020" totalsRowFunction="sum" dataDxfId="812" totalsRowDxfId="811" dataCellStyle="Comma"/>
    <tableColumn id="8" name="2025" totalsRowFunction="sum" dataDxfId="810" totalsRowDxfId="809" dataCellStyle="Comma"/>
    <tableColumn id="9" name="2030" totalsRowFunction="sum" dataDxfId="808" totalsRowDxfId="807" dataCellStyle="Comma"/>
    <tableColumn id="10" name="2035" totalsRowFunction="sum" dataDxfId="806" totalsRowDxfId="805" dataCellStyle="Comma"/>
    <tableColumn id="11" name="2040" totalsRowFunction="sum" dataDxfId="804" totalsRowDxfId="803" dataCellStyle="Comma"/>
    <tableColumn id="12" name="2045" totalsRowFunction="sum" dataDxfId="802" totalsRowDxfId="801" dataCellStyle="Comma"/>
    <tableColumn id="13" name="2050" totalsRowFunction="sum" dataDxfId="800" totalsRowDxfId="799" dataCellStyle="Comma"/>
  </tableColumns>
  <tableStyleInfo name="EnergyCalcTables" showFirstColumn="0" showLastColumn="0" showRowStripes="1" showColumnStripes="0"/>
</table>
</file>

<file path=xl/tables/table47.xml><?xml version="1.0" encoding="utf-8"?>
<table xmlns="http://schemas.openxmlformats.org/spreadsheetml/2006/main" id="12" name="IX.c.Outputs" displayName="IX.c.Outputs" ref="C324:O333" totalsRowCount="1" headerRowDxfId="798" dataDxfId="797">
  <autoFilter ref="C324:O332"/>
  <tableColumns count="13">
    <tableColumn id="1" name="Vector" totalsRowLabel="Total" dataDxfId="796" totalsRowDxfId="795"/>
    <tableColumn id="2" name="Name" dataDxfId="794" totalsRowDxfId="793">
      <calculatedColumnFormula>INDEX(Vectors[Description], MATCH([Vector], Vectors[Code], 0))</calculatedColumnFormula>
    </tableColumn>
    <tableColumn id="3" name="Notes" dataDxfId="792" totalsRowDxfId="791"/>
    <tableColumn id="4" name="2007" totalsRowFunction="sum" dataDxfId="790" totalsRowDxfId="789" dataCellStyle="Comma">
      <calculatedColumnFormula>INDEX(#REF!, MATCH([Vector],#REF!, 0))</calculatedColumnFormula>
    </tableColumn>
    <tableColumn id="5" name="2010" totalsRowFunction="sum" dataDxfId="788" totalsRowDxfId="787" dataCellStyle="Comma">
      <calculatedColumnFormula>G301</calculatedColumnFormula>
    </tableColumn>
    <tableColumn id="6" name="2015" totalsRowFunction="sum" dataDxfId="786" totalsRowDxfId="785" dataCellStyle="Comma">
      <calculatedColumnFormula>H301</calculatedColumnFormula>
    </tableColumn>
    <tableColumn id="7" name="2020" totalsRowFunction="sum" dataDxfId="784" totalsRowDxfId="783" dataCellStyle="Comma">
      <calculatedColumnFormula>I301</calculatedColumnFormula>
    </tableColumn>
    <tableColumn id="8" name="2025" totalsRowFunction="sum" dataDxfId="782" totalsRowDxfId="781" dataCellStyle="Comma">
      <calculatedColumnFormula>J301</calculatedColumnFormula>
    </tableColumn>
    <tableColumn id="9" name="2030" totalsRowFunction="sum" dataDxfId="780" totalsRowDxfId="779" dataCellStyle="Comma">
      <calculatedColumnFormula>K301</calculatedColumnFormula>
    </tableColumn>
    <tableColumn id="10" name="2035" totalsRowFunction="sum" dataDxfId="778" totalsRowDxfId="777" dataCellStyle="Comma">
      <calculatedColumnFormula>L301</calculatedColumnFormula>
    </tableColumn>
    <tableColumn id="11" name="2040" totalsRowFunction="sum" dataDxfId="776" totalsRowDxfId="775" dataCellStyle="Comma">
      <calculatedColumnFormula>M301</calculatedColumnFormula>
    </tableColumn>
    <tableColumn id="12" name="2045" totalsRowFunction="sum" dataDxfId="774" totalsRowDxfId="773" dataCellStyle="Comma">
      <calculatedColumnFormula>N301</calculatedColumnFormula>
    </tableColumn>
    <tableColumn id="13" name="2050" totalsRowFunction="sum" dataDxfId="772" totalsRowDxfId="771" dataCellStyle="Comma">
      <calculatedColumnFormula>O301</calculatedColumnFormula>
    </tableColumn>
  </tableColumns>
  <tableStyleInfo name="EnergyCalcTables" showFirstColumn="0" showLastColumn="0" showRowStripes="1" showColumnStripes="0"/>
</table>
</file>

<file path=xl/tables/table48.xml><?xml version="1.0" encoding="utf-8"?>
<table xmlns="http://schemas.openxmlformats.org/spreadsheetml/2006/main" id="42" name="IX.c.Emissions" displayName="IX.c.Emissions" ref="C340:O344" totalsRowCount="1" headerRowDxfId="770" dataDxfId="768" headerRowBorderDxfId="769" tableBorderDxfId="767" dataCellStyle="Comma">
  <autoFilter ref="C340:O343"/>
  <tableColumns count="13">
    <tableColumn id="1" name="GHG" totalsRowLabel="Total" dataDxfId="766" totalsRowDxfId="765"/>
    <tableColumn id="2" name="IPCC Sector" dataDxfId="764" totalsRowDxfId="763"/>
    <tableColumn id="3" name="Notes" dataDxfId="762" totalsRowDxfId="761"/>
    <tableColumn id="4" name="2007" totalsRowFunction="sum" dataDxfId="760" totalsRowDxfId="759" dataCellStyle="Comma"/>
    <tableColumn id="5" name="2010" totalsRowFunction="sum" dataDxfId="758" totalsRowDxfId="757" dataCellStyle="Comma"/>
    <tableColumn id="6" name="2015" totalsRowFunction="sum" dataDxfId="756" totalsRowDxfId="755" dataCellStyle="Comma"/>
    <tableColumn id="7" name="2020" totalsRowFunction="sum" dataDxfId="754" totalsRowDxfId="753" dataCellStyle="Comma"/>
    <tableColumn id="8" name="2025" totalsRowFunction="sum" dataDxfId="752" totalsRowDxfId="751" dataCellStyle="Comma"/>
    <tableColumn id="9" name="2030" totalsRowFunction="sum" dataDxfId="750" totalsRowDxfId="749" dataCellStyle="Comma"/>
    <tableColumn id="10" name="2035" totalsRowFunction="sum" dataDxfId="748" totalsRowDxfId="747" dataCellStyle="Comma"/>
    <tableColumn id="11" name="2040" totalsRowFunction="sum" dataDxfId="746" totalsRowDxfId="745" dataCellStyle="Comma"/>
    <tableColumn id="12" name="2045" totalsRowFunction="sum" dataDxfId="744" totalsRowDxfId="743" dataCellStyle="Comma"/>
    <tableColumn id="13" name="2050" totalsRowFunction="sum" dataDxfId="742" totalsRowDxfId="741" dataCellStyle="Comma"/>
  </tableColumns>
  <tableStyleInfo name="EnergyCalcTables" showFirstColumn="0" showLastColumn="0" showRowStripes="1" showColumnStripes="0"/>
</table>
</file>

<file path=xl/tables/table49.xml><?xml version="1.0" encoding="utf-8"?>
<table xmlns="http://schemas.openxmlformats.org/spreadsheetml/2006/main" id="29" name="X.a.Outputs" displayName="X.a.Outputs" ref="C98:O102" totalsRowCount="1" headerRowDxfId="740" dataDxfId="739">
  <autoFilter ref="C98:O101"/>
  <tableColumns count="13">
    <tableColumn id="1" name="Vector" totalsRowLabel="Total" dataDxfId="738" totalsRowDxfId="737"/>
    <tableColumn id="2" name="Name" dataDxfId="736" totalsRowDxfId="735">
      <calculatedColumnFormula>INDEX(Vectors[Description], MATCH([Vector], Vectors[Code], 0))</calculatedColumnFormula>
    </tableColumn>
    <tableColumn id="3" name="Notes" dataDxfId="734" totalsRowDxfId="733"/>
    <tableColumn id="4" name="2007" totalsRowFunction="sum" dataDxfId="732" totalsRowDxfId="731" dataCellStyle="Comma">
      <calculatedColumnFormula>INDEX(#REF!, MATCH([Vector],#REF!, 0))</calculatedColumnFormula>
    </tableColumn>
    <tableColumn id="5" name="2010" totalsRowFunction="sum" dataDxfId="730" totalsRowDxfId="729" dataCellStyle="Comma"/>
    <tableColumn id="6" name="2015" totalsRowFunction="sum" dataDxfId="728" totalsRowDxfId="727" dataCellStyle="Comma"/>
    <tableColumn id="7" name="2020" totalsRowFunction="sum" dataDxfId="726" totalsRowDxfId="725" dataCellStyle="Comma"/>
    <tableColumn id="8" name="2025" totalsRowFunction="sum" dataDxfId="724" totalsRowDxfId="723" dataCellStyle="Comma"/>
    <tableColumn id="9" name="2030" totalsRowFunction="sum" dataDxfId="722" totalsRowDxfId="721" dataCellStyle="Comma"/>
    <tableColumn id="10" name="2035" totalsRowFunction="sum" dataDxfId="720" totalsRowDxfId="719" dataCellStyle="Comma"/>
    <tableColumn id="11" name="2040" totalsRowFunction="sum" dataDxfId="718" totalsRowDxfId="717" dataCellStyle="Comma"/>
    <tableColumn id="12" name="2045" totalsRowFunction="sum" dataDxfId="716" totalsRowDxfId="715" dataCellStyle="Comma"/>
    <tableColumn id="13" name="2050" totalsRowFunction="sum" dataDxfId="714" totalsRowDxfId="713" dataCellStyle="Comma"/>
  </tableColumns>
  <tableStyleInfo name="EnergyCalcTables" showFirstColumn="0" showLastColumn="0" showRowStripes="1" showColumnStripes="0"/>
</table>
</file>

<file path=xl/tables/table5.xml><?xml version="1.0" encoding="utf-8"?>
<table xmlns="http://schemas.openxmlformats.org/spreadsheetml/2006/main" id="5" name="Modules" displayName="Modules" ref="B4:F45" totalsRowShown="0" headerRowDxfId="1757" dataDxfId="1756">
  <autoFilter ref="B4:F45"/>
  <sortState ref="B4:I19">
    <sortCondition ref="B3:B19"/>
  </sortState>
  <tableColumns count="5">
    <tableColumn id="1" name="Code" dataDxfId="1755"/>
    <tableColumn id="2" name="Module" dataDxfId="1754"/>
    <tableColumn id="7" name="WS Code" dataDxfId="1753">
      <calculatedColumnFormula>LEFT([Code], FIND(".", [Code])-1)</calculatedColumnFormula>
    </tableColumn>
    <tableColumn id="6" name="Workstream" dataDxfId="1752">
      <calculatedColumnFormula>INDEX(Workstreams[Workstream], MATCH([WS Code], Workstreams[Code], 0))</calculatedColumnFormula>
    </tableColumn>
    <tableColumn id="3" name="Comments" dataDxfId="1751"/>
  </tableColumns>
  <tableStyleInfo name="TableStyleMedium9" showFirstColumn="0" showLastColumn="0" showRowStripes="1" showColumnStripes="0"/>
</table>
</file>

<file path=xl/tables/table50.xml><?xml version="1.0" encoding="utf-8"?>
<table xmlns="http://schemas.openxmlformats.org/spreadsheetml/2006/main" id="43" name="X.a.Emissions" displayName="X.a.Emissions" ref="C109:O113" totalsRowCount="1" headerRowDxfId="712" dataDxfId="710" headerRowBorderDxfId="711" tableBorderDxfId="709" dataCellStyle="Comma">
  <autoFilter ref="C109:O112"/>
  <tableColumns count="13">
    <tableColumn id="1" name="GHG" totalsRowLabel="Total" dataDxfId="708" totalsRowDxfId="707"/>
    <tableColumn id="2" name="IPCC Sector" dataDxfId="706" totalsRowDxfId="705"/>
    <tableColumn id="3" name="Notes" dataDxfId="704" totalsRowDxfId="703"/>
    <tableColumn id="4" name="2007" totalsRowFunction="sum" dataDxfId="702" totalsRowDxfId="701" dataCellStyle="Comma"/>
    <tableColumn id="5" name="2010" totalsRowFunction="sum" dataDxfId="700" totalsRowDxfId="699" dataCellStyle="Comma">
      <calculatedColumnFormula>G89</calculatedColumnFormula>
    </tableColumn>
    <tableColumn id="6" name="2015" totalsRowFunction="sum" dataDxfId="698" totalsRowDxfId="697" dataCellStyle="Comma">
      <calculatedColumnFormula>H89</calculatedColumnFormula>
    </tableColumn>
    <tableColumn id="7" name="2020" totalsRowFunction="sum" dataDxfId="696" totalsRowDxfId="695" dataCellStyle="Comma">
      <calculatedColumnFormula>I89</calculatedColumnFormula>
    </tableColumn>
    <tableColumn id="8" name="2025" totalsRowFunction="sum" dataDxfId="694" totalsRowDxfId="693" dataCellStyle="Comma">
      <calculatedColumnFormula>J89</calculatedColumnFormula>
    </tableColumn>
    <tableColumn id="9" name="2030" totalsRowFunction="sum" dataDxfId="692" totalsRowDxfId="691" dataCellStyle="Comma">
      <calculatedColumnFormula>K89</calculatedColumnFormula>
    </tableColumn>
    <tableColumn id="10" name="2035" totalsRowFunction="sum" dataDxfId="690" totalsRowDxfId="689" dataCellStyle="Comma">
      <calculatedColumnFormula>L89</calculatedColumnFormula>
    </tableColumn>
    <tableColumn id="11" name="2040" totalsRowFunction="sum" dataDxfId="688" totalsRowDxfId="687" dataCellStyle="Comma">
      <calculatedColumnFormula>M89</calculatedColumnFormula>
    </tableColumn>
    <tableColumn id="12" name="2045" totalsRowFunction="sum" dataDxfId="686" totalsRowDxfId="685" dataCellStyle="Comma">
      <calculatedColumnFormula>N89</calculatedColumnFormula>
    </tableColumn>
    <tableColumn id="13" name="2050" totalsRowFunction="sum" dataDxfId="684" totalsRowDxfId="683" dataCellStyle="Comma">
      <calculatedColumnFormula>O89</calculatedColumnFormula>
    </tableColumn>
  </tableColumns>
  <tableStyleInfo name="EnergyCalcTables" showFirstColumn="0" showLastColumn="0" showRowStripes="1" showColumnStripes="0"/>
</table>
</file>

<file path=xl/tables/table51.xml><?xml version="1.0" encoding="utf-8"?>
<table xmlns="http://schemas.openxmlformats.org/spreadsheetml/2006/main" id="15" name="X.b.Outputs" displayName="X.b.Outputs" ref="C89:O93" totalsRowCount="1" headerRowDxfId="682" dataDxfId="681">
  <autoFilter ref="C89:O92"/>
  <tableColumns count="13">
    <tableColumn id="1" name="Vector" totalsRowLabel="Total" dataDxfId="680" totalsRowDxfId="679"/>
    <tableColumn id="2" name="Name" dataDxfId="678" totalsRowDxfId="677">
      <calculatedColumnFormula>INDEX(Vectors[Description], MATCH([Vector], Vectors[Code], 0))</calculatedColumnFormula>
    </tableColumn>
    <tableColumn id="3" name="Notes" dataDxfId="676" totalsRowDxfId="675"/>
    <tableColumn id="4" name="2007" totalsRowFunction="sum" dataDxfId="674" totalsRowDxfId="673" dataCellStyle="Comma">
      <calculatedColumnFormula>INDEX(#REF!, MATCH([Vector],#REF!, 0))</calculatedColumnFormula>
    </tableColumn>
    <tableColumn id="5" name="2010" totalsRowFunction="sum" dataDxfId="672" totalsRowDxfId="671" dataCellStyle="Comma"/>
    <tableColumn id="6" name="2015" totalsRowFunction="sum" dataDxfId="670" totalsRowDxfId="669" dataCellStyle="Comma"/>
    <tableColumn id="7" name="2020" totalsRowFunction="sum" dataDxfId="668" totalsRowDxfId="667" dataCellStyle="Comma"/>
    <tableColumn id="8" name="2025" totalsRowFunction="sum" dataDxfId="666" totalsRowDxfId="665" dataCellStyle="Comma"/>
    <tableColumn id="9" name="2030" totalsRowFunction="sum" dataDxfId="664" totalsRowDxfId="663" dataCellStyle="Comma"/>
    <tableColumn id="10" name="2035" totalsRowFunction="sum" dataDxfId="662" totalsRowDxfId="661" dataCellStyle="Comma"/>
    <tableColumn id="11" name="2040" totalsRowFunction="sum" dataDxfId="660" totalsRowDxfId="659" dataCellStyle="Comma"/>
    <tableColumn id="12" name="2045" totalsRowFunction="sum" dataDxfId="658" totalsRowDxfId="657" dataCellStyle="Comma"/>
    <tableColumn id="13" name="2050" totalsRowFunction="sum" dataDxfId="656" totalsRowDxfId="655" dataCellStyle="Comma"/>
  </tableColumns>
  <tableStyleInfo name="EnergyCalcTables" showFirstColumn="0" showLastColumn="0" showRowStripes="1" showColumnStripes="0"/>
</table>
</file>

<file path=xl/tables/table52.xml><?xml version="1.0" encoding="utf-8"?>
<table xmlns="http://schemas.openxmlformats.org/spreadsheetml/2006/main" id="44" name="X.b.Emissions" displayName="X.b.Emissions" ref="C100:O104" totalsRowCount="1" headerRowDxfId="654" dataDxfId="652" headerRowBorderDxfId="653" tableBorderDxfId="651" dataCellStyle="Comma">
  <autoFilter ref="C100:O103"/>
  <tableColumns count="13">
    <tableColumn id="1" name="GHG" totalsRowLabel="Total" dataDxfId="650" totalsRowDxfId="649"/>
    <tableColumn id="2" name="IPCC Sector" dataDxfId="648" totalsRowDxfId="647"/>
    <tableColumn id="3" name="Notes" dataDxfId="646" totalsRowDxfId="645"/>
    <tableColumn id="4" name="2007" totalsRowFunction="sum" dataDxfId="644" totalsRowDxfId="643" dataCellStyle="Comma"/>
    <tableColumn id="5" name="2010" totalsRowFunction="sum" dataDxfId="642" totalsRowDxfId="641" dataCellStyle="Comma">
      <calculatedColumnFormula>G80</calculatedColumnFormula>
    </tableColumn>
    <tableColumn id="6" name="2015" totalsRowFunction="sum" dataDxfId="640" totalsRowDxfId="639" dataCellStyle="Comma">
      <calculatedColumnFormula>H80</calculatedColumnFormula>
    </tableColumn>
    <tableColumn id="7" name="2020" totalsRowFunction="sum" dataDxfId="638" totalsRowDxfId="637" dataCellStyle="Comma">
      <calculatedColumnFormula>I80</calculatedColumnFormula>
    </tableColumn>
    <tableColumn id="8" name="2025" totalsRowFunction="sum" dataDxfId="636" totalsRowDxfId="635" dataCellStyle="Comma">
      <calculatedColumnFormula>J80</calculatedColumnFormula>
    </tableColumn>
    <tableColumn id="9" name="2030" totalsRowFunction="sum" dataDxfId="634" totalsRowDxfId="633" dataCellStyle="Comma">
      <calculatedColumnFormula>K80</calculatedColumnFormula>
    </tableColumn>
    <tableColumn id="10" name="2035" totalsRowFunction="sum" dataDxfId="632" totalsRowDxfId="631" dataCellStyle="Comma">
      <calculatedColumnFormula>L80</calculatedColumnFormula>
    </tableColumn>
    <tableColumn id="11" name="2040" totalsRowFunction="sum" dataDxfId="630" totalsRowDxfId="629" dataCellStyle="Comma">
      <calculatedColumnFormula>M80</calculatedColumnFormula>
    </tableColumn>
    <tableColumn id="12" name="2045" totalsRowFunction="sum" dataDxfId="628" totalsRowDxfId="627" dataCellStyle="Comma">
      <calculatedColumnFormula>N80</calculatedColumnFormula>
    </tableColumn>
    <tableColumn id="13" name="2050" totalsRowFunction="sum" dataDxfId="626" totalsRowDxfId="625" dataCellStyle="Comma">
      <calculatedColumnFormula>O80</calculatedColumnFormula>
    </tableColumn>
  </tableColumns>
  <tableStyleInfo name="EnergyCalcTables" showFirstColumn="0" showLastColumn="0" showRowStripes="1" showColumnStripes="0"/>
</table>
</file>

<file path=xl/tables/table53.xml><?xml version="1.0" encoding="utf-8"?>
<table xmlns="http://schemas.openxmlformats.org/spreadsheetml/2006/main" id="21" name="XI.a.Outputs" displayName="XI.a.Outputs" ref="C211:O218" totalsRowCount="1" headerRowDxfId="624" dataDxfId="623">
  <autoFilter ref="C211:O217"/>
  <tableColumns count="13">
    <tableColumn id="1" name="Vector" totalsRowLabel="Total" dataDxfId="622" totalsRowDxfId="621"/>
    <tableColumn id="2" name="Name" dataDxfId="620" totalsRowDxfId="619">
      <calculatedColumnFormula>INDEX(Vectors[Description], MATCH([Vector], Vectors[Code], 0))</calculatedColumnFormula>
    </tableColumn>
    <tableColumn id="3" name="Notes" dataDxfId="618" totalsRowDxfId="617"/>
    <tableColumn id="4" name="2007" totalsRowFunction="sum" dataDxfId="616" totalsRowDxfId="615" dataCellStyle="Comma">
      <calculatedColumnFormula>INDEX(#REF!, MATCH([Vector],#REF!, 0))</calculatedColumnFormula>
    </tableColumn>
    <tableColumn id="5" name="2010" totalsRowFunction="sum" dataDxfId="614" totalsRowDxfId="613" dataCellStyle="Comma"/>
    <tableColumn id="6" name="2015" totalsRowFunction="sum" dataDxfId="612" totalsRowDxfId="611" dataCellStyle="Comma"/>
    <tableColumn id="7" name="2020" totalsRowFunction="sum" dataDxfId="610" totalsRowDxfId="609" dataCellStyle="Comma"/>
    <tableColumn id="8" name="2025" totalsRowFunction="sum" dataDxfId="608" totalsRowDxfId="607" dataCellStyle="Comma"/>
    <tableColumn id="9" name="2030" totalsRowFunction="sum" dataDxfId="606" totalsRowDxfId="605" dataCellStyle="Comma"/>
    <tableColumn id="10" name="2035" totalsRowFunction="sum" dataDxfId="604" totalsRowDxfId="603" dataCellStyle="Comma"/>
    <tableColumn id="11" name="2040" totalsRowFunction="sum" dataDxfId="602" totalsRowDxfId="601" dataCellStyle="Comma"/>
    <tableColumn id="12" name="2045" totalsRowFunction="sum" dataDxfId="600" totalsRowDxfId="599" dataCellStyle="Comma"/>
    <tableColumn id="13" name="2050" totalsRowFunction="sum" dataDxfId="598" totalsRowDxfId="597" dataCellStyle="Comma"/>
  </tableColumns>
  <tableStyleInfo name="EnergyCalcTables" showFirstColumn="0" showLastColumn="0" showRowStripes="1" showColumnStripes="0"/>
</table>
</file>

<file path=xl/tables/table54.xml><?xml version="1.0" encoding="utf-8"?>
<table xmlns="http://schemas.openxmlformats.org/spreadsheetml/2006/main" id="45" name="XI.a.Emissions" displayName="XI.a.Emissions" ref="C225:O234" totalsRowCount="1" headerRowDxfId="596" dataDxfId="594" headerRowBorderDxfId="595" tableBorderDxfId="593" dataCellStyle="Comma">
  <autoFilter ref="C225:O233"/>
  <tableColumns count="13">
    <tableColumn id="1" name="GHG" totalsRowLabel="Total" dataDxfId="592" totalsRowDxfId="591"/>
    <tableColumn id="2" name="IPCC Sector" dataDxfId="590" totalsRowDxfId="589"/>
    <tableColumn id="3" name="Notes" dataDxfId="588" totalsRowDxfId="587"/>
    <tableColumn id="4" name="2007" totalsRowFunction="sum" dataDxfId="586" totalsRowDxfId="585" dataCellStyle="Comma"/>
    <tableColumn id="5" name="2010" totalsRowFunction="sum" dataDxfId="584" totalsRowDxfId="583" dataCellStyle="Comma"/>
    <tableColumn id="6" name="2015" totalsRowFunction="sum" dataDxfId="582" totalsRowDxfId="581" dataCellStyle="Comma"/>
    <tableColumn id="7" name="2020" totalsRowFunction="sum" dataDxfId="580" totalsRowDxfId="579" dataCellStyle="Comma"/>
    <tableColumn id="8" name="2025" totalsRowFunction="sum" dataDxfId="578" totalsRowDxfId="577" dataCellStyle="Comma"/>
    <tableColumn id="9" name="2030" totalsRowFunction="sum" dataDxfId="576" totalsRowDxfId="575" dataCellStyle="Comma"/>
    <tableColumn id="10" name="2035" totalsRowFunction="sum" dataDxfId="574" totalsRowDxfId="573" dataCellStyle="Comma"/>
    <tableColumn id="11" name="2040" totalsRowFunction="sum" dataDxfId="572" totalsRowDxfId="571" dataCellStyle="Comma"/>
    <tableColumn id="12" name="2045" totalsRowFunction="sum" dataDxfId="570" totalsRowDxfId="569" dataCellStyle="Comma"/>
    <tableColumn id="13" name="2050" totalsRowFunction="sum" dataDxfId="568" totalsRowDxfId="567" dataCellStyle="Comma"/>
  </tableColumns>
  <tableStyleInfo name="EnergyCalcTables" showFirstColumn="0" showLastColumn="0" showRowStripes="1" showColumnStripes="0"/>
</table>
</file>

<file path=xl/tables/table55.xml><?xml version="1.0" encoding="utf-8"?>
<table xmlns="http://schemas.openxmlformats.org/spreadsheetml/2006/main" id="22" name="XII.a.Outputs" displayName="XII.a.Outputs" ref="C319:O326" totalsRowCount="1" headerRowDxfId="565" dataDxfId="564">
  <autoFilter ref="C319:O325"/>
  <tableColumns count="13">
    <tableColumn id="1" name="Vector" totalsRowLabel="Total" dataDxfId="563" totalsRowDxfId="562"/>
    <tableColumn id="2" name="Name" dataDxfId="561" totalsRowDxfId="560">
      <calculatedColumnFormula>INDEX(Vectors[Description], MATCH([Vector], Vectors[Code], 0))</calculatedColumnFormula>
    </tableColumn>
    <tableColumn id="3" name="Notes" dataDxfId="559" totalsRowDxfId="558"/>
    <tableColumn id="4" name="2007" totalsRowFunction="sum" dataDxfId="557" totalsRowDxfId="556" dataCellStyle="Comma"/>
    <tableColumn id="5" name="2010" totalsRowFunction="sum" dataDxfId="555" totalsRowDxfId="554" dataCellStyle="Comma"/>
    <tableColumn id="6" name="2015" totalsRowFunction="sum" dataDxfId="553" totalsRowDxfId="552" dataCellStyle="Comma"/>
    <tableColumn id="7" name="2020" totalsRowFunction="sum" dataDxfId="551" totalsRowDxfId="550" dataCellStyle="Comma"/>
    <tableColumn id="8" name="2025" totalsRowFunction="sum" dataDxfId="549" totalsRowDxfId="548" dataCellStyle="Comma"/>
    <tableColumn id="9" name="2030" totalsRowFunction="sum" dataDxfId="547" totalsRowDxfId="546" dataCellStyle="Comma"/>
    <tableColumn id="10" name="2035" totalsRowFunction="sum" dataDxfId="545" totalsRowDxfId="544" dataCellStyle="Comma"/>
    <tableColumn id="11" name="2040" totalsRowFunction="sum" dataDxfId="543" totalsRowDxfId="542" dataCellStyle="Comma"/>
    <tableColumn id="12" name="2045" totalsRowFunction="sum" dataDxfId="541" totalsRowDxfId="540" dataCellStyle="Comma"/>
    <tableColumn id="13" name="2050" totalsRowFunction="sum" dataDxfId="539" totalsRowDxfId="538" dataCellStyle="Comma"/>
  </tableColumns>
  <tableStyleInfo name="EnergyCalcTables" showFirstColumn="0" showLastColumn="0" showRowStripes="1" showColumnStripes="0"/>
</table>
</file>

<file path=xl/tables/table56.xml><?xml version="1.0" encoding="utf-8"?>
<table xmlns="http://schemas.openxmlformats.org/spreadsheetml/2006/main" id="35" name="XII.a.Emissions" displayName="XII.a.Emissions" ref="C333:O337" totalsRowCount="1" headerRowDxfId="537" dataDxfId="535" headerRowBorderDxfId="536" tableBorderDxfId="534" dataCellStyle="Comma">
  <autoFilter ref="C333:O336"/>
  <tableColumns count="13">
    <tableColumn id="1" name="GHG" totalsRowLabel="Total" dataDxfId="533" totalsRowDxfId="532"/>
    <tableColumn id="2" name="IPCC Sector" dataDxfId="531" totalsRowDxfId="530"/>
    <tableColumn id="3" name="Notes" dataDxfId="529" totalsRowDxfId="528"/>
    <tableColumn id="4" name="2007" totalsRowFunction="sum" dataDxfId="527" totalsRowDxfId="526" dataCellStyle="Comma"/>
    <tableColumn id="5" name="2010" totalsRowFunction="sum" dataDxfId="525" totalsRowDxfId="524" dataCellStyle="Comma"/>
    <tableColumn id="6" name="2015" totalsRowFunction="sum" dataDxfId="523" totalsRowDxfId="522" dataCellStyle="Comma"/>
    <tableColumn id="7" name="2020" totalsRowFunction="sum" dataDxfId="521" totalsRowDxfId="520" dataCellStyle="Comma"/>
    <tableColumn id="8" name="2025" totalsRowFunction="sum" dataDxfId="519" totalsRowDxfId="518" dataCellStyle="Comma"/>
    <tableColumn id="9" name="2030" totalsRowFunction="sum" dataDxfId="517" totalsRowDxfId="516" dataCellStyle="Comma"/>
    <tableColumn id="10" name="2035" totalsRowFunction="sum" dataDxfId="515" totalsRowDxfId="514" dataCellStyle="Comma"/>
    <tableColumn id="11" name="2040" totalsRowFunction="sum" dataDxfId="513" totalsRowDxfId="512" dataCellStyle="Comma"/>
    <tableColumn id="12" name="2045" totalsRowFunction="sum" dataDxfId="511" totalsRowDxfId="510" dataCellStyle="Comma"/>
    <tableColumn id="13" name="2050" totalsRowFunction="sum" dataDxfId="509" totalsRowDxfId="508" dataCellStyle="Comma"/>
  </tableColumns>
  <tableStyleInfo name="EnergyCalcTables" showFirstColumn="0" showLastColumn="0" showRowStripes="1" showColumnStripes="0"/>
</table>
</file>

<file path=xl/tables/table57.xml><?xml version="1.0" encoding="utf-8"?>
<table xmlns="http://schemas.openxmlformats.org/spreadsheetml/2006/main" id="23" name="XII.b.Outputs" displayName="XII.b.Outputs" ref="C130:O136" totalsRowCount="1" headerRowDxfId="507" dataDxfId="506">
  <autoFilter ref="C130:O135"/>
  <tableColumns count="13">
    <tableColumn id="1" name="Vector" totalsRowLabel="Total" dataDxfId="505" totalsRowDxfId="504"/>
    <tableColumn id="2" name="Name" dataDxfId="503" totalsRowDxfId="502">
      <calculatedColumnFormula>INDEX(Vectors[Description], MATCH([Vector], Vectors[Code], 0))</calculatedColumnFormula>
    </tableColumn>
    <tableColumn id="3" name="Notes" dataDxfId="501" totalsRowDxfId="500"/>
    <tableColumn id="4" name="2007" totalsRowFunction="sum" dataDxfId="499" totalsRowDxfId="498" dataCellStyle="Comma"/>
    <tableColumn id="5" name="2010" totalsRowFunction="sum" dataDxfId="497" totalsRowDxfId="496" dataCellStyle="Comma"/>
    <tableColumn id="6" name="2015" totalsRowFunction="sum" dataDxfId="495" totalsRowDxfId="494" dataCellStyle="Comma"/>
    <tableColumn id="7" name="2020" totalsRowFunction="sum" dataDxfId="493" totalsRowDxfId="492" dataCellStyle="Comma"/>
    <tableColumn id="8" name="2025" totalsRowFunction="sum" dataDxfId="491" totalsRowDxfId="490" dataCellStyle="Comma"/>
    <tableColumn id="9" name="2030" totalsRowFunction="sum" dataDxfId="489" totalsRowDxfId="488" dataCellStyle="Comma"/>
    <tableColumn id="10" name="2035" totalsRowFunction="sum" dataDxfId="487" totalsRowDxfId="486" dataCellStyle="Comma"/>
    <tableColumn id="11" name="2040" totalsRowFunction="sum" dataDxfId="485" totalsRowDxfId="484" dataCellStyle="Comma"/>
    <tableColumn id="12" name="2045" totalsRowFunction="sum" dataDxfId="483" totalsRowDxfId="482" dataCellStyle="Comma"/>
    <tableColumn id="13" name="2050" totalsRowFunction="sum" dataDxfId="481" totalsRowDxfId="480" dataCellStyle="Comma"/>
  </tableColumns>
  <tableStyleInfo name="EnergyCalcTables" showFirstColumn="0" showLastColumn="0" showRowStripes="1" showColumnStripes="0"/>
</table>
</file>

<file path=xl/tables/table58.xml><?xml version="1.0" encoding="utf-8"?>
<table xmlns="http://schemas.openxmlformats.org/spreadsheetml/2006/main" id="37" name="XII.b.Emissions" displayName="XII.b.Emissions" ref="C143:O147" totalsRowCount="1" headerRowDxfId="479" dataDxfId="477" headerRowBorderDxfId="478" tableBorderDxfId="476" dataCellStyle="Comma">
  <autoFilter ref="C143:O146"/>
  <tableColumns count="13">
    <tableColumn id="1" name="GHG" totalsRowLabel="Total" dataDxfId="475" totalsRowDxfId="474"/>
    <tableColumn id="2" name="IPCC Sector" dataDxfId="473" totalsRowDxfId="472"/>
    <tableColumn id="3" name="Notes" dataDxfId="471" totalsRowDxfId="470"/>
    <tableColumn id="4" name="2007" totalsRowFunction="sum" dataDxfId="469" totalsRowDxfId="468" dataCellStyle="Comma"/>
    <tableColumn id="5" name="2010" totalsRowFunction="sum" dataDxfId="467" totalsRowDxfId="466" dataCellStyle="Comma"/>
    <tableColumn id="6" name="2015" totalsRowFunction="sum" dataDxfId="465" totalsRowDxfId="464" dataCellStyle="Comma"/>
    <tableColumn id="7" name="2020" totalsRowFunction="sum" dataDxfId="463" totalsRowDxfId="462" dataCellStyle="Comma"/>
    <tableColumn id="8" name="2025" totalsRowFunction="sum" dataDxfId="461" totalsRowDxfId="460" dataCellStyle="Comma"/>
    <tableColumn id="9" name="2030" totalsRowFunction="sum" dataDxfId="459" totalsRowDxfId="458" dataCellStyle="Comma"/>
    <tableColumn id="10" name="2035" totalsRowFunction="sum" dataDxfId="457" totalsRowDxfId="456" dataCellStyle="Comma"/>
    <tableColumn id="11" name="2040" totalsRowFunction="sum" dataDxfId="455" totalsRowDxfId="454" dataCellStyle="Comma"/>
    <tableColumn id="12" name="2045" totalsRowFunction="sum" dataDxfId="453" totalsRowDxfId="452" dataCellStyle="Comma"/>
    <tableColumn id="13" name="2050" totalsRowFunction="sum" dataDxfId="451" totalsRowDxfId="450" dataCellStyle="Comma"/>
  </tableColumns>
  <tableStyleInfo name="EnergyCalcTables" showFirstColumn="0" showLastColumn="0" showRowStripes="1" showColumnStripes="0"/>
</table>
</file>

<file path=xl/tables/table59.xml><?xml version="1.0" encoding="utf-8"?>
<table xmlns="http://schemas.openxmlformats.org/spreadsheetml/2006/main" id="24" name="XII.c.Outputs" displayName="XII.c.Outputs" ref="C60:O63" totalsRowCount="1" headerRowDxfId="449" dataDxfId="448">
  <autoFilter ref="C60:O62"/>
  <tableColumns count="13">
    <tableColumn id="1" name="Vector" totalsRowLabel="Total" dataDxfId="447" totalsRowDxfId="446"/>
    <tableColumn id="2" name="Name" dataDxfId="445" totalsRowDxfId="444">
      <calculatedColumnFormula>INDEX(Vectors[Description], MATCH([Vector], Vectors[Code], 0))</calculatedColumnFormula>
    </tableColumn>
    <tableColumn id="3" name="Notes" dataDxfId="443" totalsRowDxfId="442"/>
    <tableColumn id="4" name="2007" totalsRowFunction="sum" dataDxfId="441" totalsRowDxfId="440" dataCellStyle="Comma"/>
    <tableColumn id="5" name="2010" totalsRowFunction="sum" dataDxfId="439" totalsRowDxfId="438" dataCellStyle="Comma"/>
    <tableColumn id="6" name="2015" totalsRowFunction="sum" dataDxfId="437" totalsRowDxfId="436" dataCellStyle="Comma"/>
    <tableColumn id="7" name="2020" totalsRowFunction="sum" dataDxfId="435" totalsRowDxfId="434" dataCellStyle="Comma"/>
    <tableColumn id="8" name="2025" totalsRowFunction="sum" dataDxfId="433" totalsRowDxfId="432" dataCellStyle="Comma"/>
    <tableColumn id="9" name="2030" totalsRowFunction="sum" dataDxfId="431" totalsRowDxfId="430" dataCellStyle="Comma"/>
    <tableColumn id="10" name="2035" totalsRowFunction="sum" dataDxfId="429" totalsRowDxfId="428" dataCellStyle="Comma"/>
    <tableColumn id="11" name="2040" totalsRowFunction="sum" dataDxfId="427" totalsRowDxfId="426" dataCellStyle="Comma"/>
    <tableColumn id="12" name="2045" totalsRowFunction="sum" dataDxfId="425" totalsRowDxfId="424" dataCellStyle="Comma"/>
    <tableColumn id="13" name="2050" totalsRowFunction="sum" dataDxfId="423" totalsRowDxfId="422" dataCellStyle="Comma"/>
  </tableColumns>
  <tableStyleInfo name="EnergyCalcTables" showFirstColumn="0" showLastColumn="0" showRowStripes="1" showColumnStripes="0"/>
</table>
</file>

<file path=xl/tables/table6.xml><?xml version="1.0" encoding="utf-8"?>
<table xmlns="http://schemas.openxmlformats.org/spreadsheetml/2006/main" id="1" name="Vectors" displayName="Vectors" ref="B4:F54" totalsRowShown="0" headerRowDxfId="1750" dataDxfId="1749">
  <autoFilter ref="B4:F54"/>
  <sortState ref="B5:F51">
    <sortCondition ref="B4:B51"/>
  </sortState>
  <tableColumns count="5">
    <tableColumn id="1" name="Category" dataDxfId="1748"/>
    <tableColumn id="2" name="Subcategory" dataDxfId="1747"/>
    <tableColumn id="3" name="Code" dataDxfId="1746"/>
    <tableColumn id="4" name="Description" dataDxfId="1745"/>
    <tableColumn id="5" name="Comment" dataDxfId="1744"/>
  </tableColumns>
  <tableStyleInfo name="TableStyleMedium10" showFirstColumn="0" showLastColumn="0" showRowStripes="1" showColumnStripes="0"/>
</table>
</file>

<file path=xl/tables/table60.xml><?xml version="1.0" encoding="utf-8"?>
<table xmlns="http://schemas.openxmlformats.org/spreadsheetml/2006/main" id="39" name="XII.c.Emissions" displayName="XII.c.Emissions" ref="C70:O74" totalsRowCount="1" headerRowDxfId="421" dataDxfId="419" headerRowBorderDxfId="420" tableBorderDxfId="418" dataCellStyle="Comma">
  <autoFilter ref="C70:O73"/>
  <tableColumns count="13">
    <tableColumn id="1" name="GHG" totalsRowLabel="Total" dataDxfId="417" totalsRowDxfId="416"/>
    <tableColumn id="2" name="IPCC Sector" dataDxfId="415" totalsRowDxfId="414"/>
    <tableColumn id="3" name="Notes" dataDxfId="413" totalsRowDxfId="412"/>
    <tableColumn id="4" name="2007" totalsRowFunction="sum" dataDxfId="411" totalsRowDxfId="410" dataCellStyle="Comma"/>
    <tableColumn id="5" name="2010" totalsRowFunction="sum" dataDxfId="409" totalsRowDxfId="408" dataCellStyle="Comma"/>
    <tableColumn id="6" name="2015" totalsRowFunction="sum" dataDxfId="407" totalsRowDxfId="406" dataCellStyle="Comma"/>
    <tableColumn id="7" name="2020" totalsRowFunction="sum" dataDxfId="405" totalsRowDxfId="404" dataCellStyle="Comma"/>
    <tableColumn id="8" name="2025" totalsRowFunction="sum" dataDxfId="403" totalsRowDxfId="402" dataCellStyle="Comma"/>
    <tableColumn id="9" name="2030" totalsRowFunction="sum" dataDxfId="401" totalsRowDxfId="400" dataCellStyle="Comma"/>
    <tableColumn id="10" name="2035" totalsRowFunction="sum" dataDxfId="399" totalsRowDxfId="398" dataCellStyle="Comma"/>
    <tableColumn id="11" name="2040" totalsRowFunction="sum" dataDxfId="397" totalsRowDxfId="396" dataCellStyle="Comma"/>
    <tableColumn id="12" name="2045" totalsRowFunction="sum" dataDxfId="395" totalsRowDxfId="394" dataCellStyle="Comma"/>
    <tableColumn id="13" name="2050" totalsRowFunction="sum" dataDxfId="393" totalsRowDxfId="392" dataCellStyle="Comma"/>
  </tableColumns>
  <tableStyleInfo name="EnergyCalcTables" showFirstColumn="0" showLastColumn="0" showRowStripes="1" showColumnStripes="0"/>
</table>
</file>

<file path=xl/tables/table61.xml><?xml version="1.0" encoding="utf-8"?>
<table xmlns="http://schemas.openxmlformats.org/spreadsheetml/2006/main" id="20" name="XII.e.Outputs" displayName="XII.e.Outputs" ref="C59:O62" totalsRowCount="1" headerRowDxfId="391" dataDxfId="390">
  <autoFilter ref="C59:O61"/>
  <tableColumns count="13">
    <tableColumn id="1" name="Vector" totalsRowLabel="Total" dataDxfId="389" totalsRowDxfId="388"/>
    <tableColumn id="2" name="Name" dataDxfId="387" totalsRowDxfId="386">
      <calculatedColumnFormula>INDEX(Vectors[Description], MATCH([Vector], Vectors[Code], 0))</calculatedColumnFormula>
    </tableColumn>
    <tableColumn id="3" name="Notes" dataDxfId="385" totalsRowDxfId="384"/>
    <tableColumn id="4" name="2007" totalsRowFunction="sum" dataDxfId="383" totalsRowDxfId="382" dataCellStyle="Comma"/>
    <tableColumn id="5" name="2010" totalsRowFunction="sum" dataDxfId="381" totalsRowDxfId="380" dataCellStyle="Comma"/>
    <tableColumn id="6" name="2015" totalsRowFunction="sum" dataDxfId="379" totalsRowDxfId="378" dataCellStyle="Comma"/>
    <tableColumn id="7" name="2020" totalsRowFunction="sum" dataDxfId="377" totalsRowDxfId="376" dataCellStyle="Comma"/>
    <tableColumn id="8" name="2025" totalsRowFunction="sum" dataDxfId="375" totalsRowDxfId="374" dataCellStyle="Comma"/>
    <tableColumn id="9" name="2030" totalsRowFunction="sum" dataDxfId="373" totalsRowDxfId="372" dataCellStyle="Comma"/>
    <tableColumn id="10" name="2035" totalsRowFunction="sum" dataDxfId="371" totalsRowDxfId="370" dataCellStyle="Comma"/>
    <tableColumn id="11" name="2040" totalsRowFunction="sum" dataDxfId="369" totalsRowDxfId="368" dataCellStyle="Comma"/>
    <tableColumn id="12" name="2045" totalsRowFunction="sum" dataDxfId="367" totalsRowDxfId="366" dataCellStyle="Comma"/>
    <tableColumn id="13" name="2050" totalsRowFunction="sum" dataDxfId="365" totalsRowDxfId="364" dataCellStyle="Comma"/>
  </tableColumns>
  <tableStyleInfo name="EnergyCalcTables" showFirstColumn="0" showLastColumn="0" showRowStripes="1" showColumnStripes="0"/>
</table>
</file>

<file path=xl/tables/table62.xml><?xml version="1.0" encoding="utf-8"?>
<table xmlns="http://schemas.openxmlformats.org/spreadsheetml/2006/main" id="41" name="XII.e.Emissions" displayName="XII.e.Emissions" ref="C69:O73" totalsRowCount="1" headerRowDxfId="363" dataDxfId="361" headerRowBorderDxfId="362" tableBorderDxfId="360" dataCellStyle="Comma">
  <autoFilter ref="C69:O72"/>
  <tableColumns count="13">
    <tableColumn id="1" name="GHG" totalsRowLabel="Total" dataDxfId="359" totalsRowDxfId="358"/>
    <tableColumn id="2" name="IPCC Sector" dataDxfId="357" totalsRowDxfId="356"/>
    <tableColumn id="3" name="Notes" dataDxfId="355" totalsRowDxfId="354">
      <calculatedColumnFormula>INDEX(IPCC[Sector_description], MATCH([IPCC Sector], IPCC[Sector_code], 0))</calculatedColumnFormula>
    </tableColumn>
    <tableColumn id="4" name="2007" totalsRowFunction="sum" dataDxfId="353" totalsRowDxfId="352" dataCellStyle="Comma"/>
    <tableColumn id="5" name="2010" totalsRowFunction="sum" dataDxfId="351" totalsRowDxfId="350" dataCellStyle="Comma"/>
    <tableColumn id="6" name="2015" totalsRowFunction="sum" dataDxfId="349" totalsRowDxfId="348" dataCellStyle="Comma"/>
    <tableColumn id="7" name="2020" totalsRowFunction="sum" dataDxfId="347" totalsRowDxfId="346" dataCellStyle="Comma"/>
    <tableColumn id="8" name="2025" totalsRowFunction="sum" dataDxfId="345" totalsRowDxfId="344" dataCellStyle="Comma"/>
    <tableColumn id="9" name="2030" totalsRowFunction="sum" dataDxfId="343" totalsRowDxfId="342" dataCellStyle="Comma"/>
    <tableColumn id="10" name="2035" totalsRowFunction="sum" dataDxfId="341" totalsRowDxfId="340" dataCellStyle="Comma"/>
    <tableColumn id="11" name="2040" totalsRowFunction="sum" dataDxfId="339" totalsRowDxfId="338" dataCellStyle="Comma"/>
    <tableColumn id="12" name="2045" totalsRowFunction="sum" dataDxfId="337" totalsRowDxfId="336" dataCellStyle="Comma"/>
    <tableColumn id="13" name="2050" totalsRowFunction="sum" dataDxfId="335" totalsRowDxfId="334" dataCellStyle="Comma"/>
  </tableColumns>
  <tableStyleInfo name="EnergyCalcTables" showFirstColumn="0" showLastColumn="0" showRowStripes="1" showColumnStripes="0"/>
</table>
</file>

<file path=xl/tables/table63.xml><?xml version="1.0" encoding="utf-8"?>
<table xmlns="http://schemas.openxmlformats.org/spreadsheetml/2006/main" id="26" name="UNUSED.XIII.a.Outputs" displayName="UNUSED.XIII.a.Outputs" ref="C43:O48" totalsRowCount="1" headerRowDxfId="333" dataDxfId="332">
  <autoFilter ref="C43:O47"/>
  <tableColumns count="13">
    <tableColumn id="1" name="Vector" totalsRowLabel="Total" dataDxfId="331" totalsRowDxfId="330"/>
    <tableColumn id="2" name="Name" dataDxfId="329" totalsRowDxfId="328">
      <calculatedColumnFormula>INDEX(Vectors[Description], MATCH([Vector], Vectors[Code], 0))</calculatedColumnFormula>
    </tableColumn>
    <tableColumn id="3" name="Notes" dataDxfId="327" totalsRowDxfId="326"/>
    <tableColumn id="4" name="2007" totalsRowFunction="sum" dataDxfId="325" totalsRowDxfId="324" dataCellStyle="Comma">
      <calculatedColumnFormula>INDEX(#REF!, MATCH([Vector],#REF!, 0))</calculatedColumnFormula>
    </tableColumn>
    <tableColumn id="5" name="2010" totalsRowFunction="sum" dataDxfId="323" totalsRowDxfId="322" dataCellStyle="Comma"/>
    <tableColumn id="6" name="2015" totalsRowFunction="sum" dataDxfId="321" totalsRowDxfId="320" dataCellStyle="Comma"/>
    <tableColumn id="7" name="2020" totalsRowFunction="sum" dataDxfId="319" totalsRowDxfId="318" dataCellStyle="Comma"/>
    <tableColumn id="8" name="2025" totalsRowFunction="sum" dataDxfId="317" totalsRowDxfId="316" dataCellStyle="Comma"/>
    <tableColumn id="9" name="2030" totalsRowFunction="sum" dataDxfId="315" totalsRowDxfId="314" dataCellStyle="Comma"/>
    <tableColumn id="10" name="2035" totalsRowFunction="sum" dataDxfId="313" totalsRowDxfId="312" dataCellStyle="Comma"/>
    <tableColumn id="11" name="2040" totalsRowFunction="sum" dataDxfId="311" totalsRowDxfId="310" dataCellStyle="Comma"/>
    <tableColumn id="12" name="2045" totalsRowFunction="sum" dataDxfId="309" totalsRowDxfId="308" dataCellStyle="Comma"/>
    <tableColumn id="13" name="2050" totalsRowFunction="sum" dataDxfId="307" totalsRowDxfId="306" dataCellStyle="Comma"/>
  </tableColumns>
  <tableStyleInfo name="EnergyCalcTables" showFirstColumn="0" showLastColumn="0" showRowStripes="1" showColumnStripes="0"/>
</table>
</file>

<file path=xl/tables/table64.xml><?xml version="1.0" encoding="utf-8"?>
<table xmlns="http://schemas.openxmlformats.org/spreadsheetml/2006/main" id="63" name="XIV.a.Outputs" displayName="XIV.a.Outputs" ref="C70:O73" totalsRowCount="1" headerRowDxfId="305" dataDxfId="304">
  <autoFilter ref="C70:O72"/>
  <tableColumns count="13">
    <tableColumn id="1" name="Vector" totalsRowLabel="Total" dataDxfId="303" totalsRowDxfId="302"/>
    <tableColumn id="2" name="Name" dataDxfId="301" totalsRowDxfId="300">
      <calculatedColumnFormula>INDEX(Vectors[Description], MATCH([Vector], Vectors[Code], 0))</calculatedColumnFormula>
    </tableColumn>
    <tableColumn id="3" name="Notes" dataDxfId="299" totalsRowDxfId="298"/>
    <tableColumn id="4" name="2007" totalsRowFunction="sum" dataDxfId="297" totalsRowDxfId="296">
      <calculatedColumnFormula>INDEX(#REF!, MATCH([Vector],#REF!, 0))</calculatedColumnFormula>
    </tableColumn>
    <tableColumn id="5" name="2010" totalsRowFunction="sum" dataDxfId="295" totalsRowDxfId="294"/>
    <tableColumn id="6" name="2015" totalsRowFunction="sum" dataDxfId="293" totalsRowDxfId="292"/>
    <tableColumn id="7" name="2020" totalsRowFunction="sum" dataDxfId="291" totalsRowDxfId="290"/>
    <tableColumn id="8" name="2025" totalsRowFunction="sum" dataDxfId="289" totalsRowDxfId="288"/>
    <tableColumn id="9" name="2030" totalsRowFunction="sum" dataDxfId="287" totalsRowDxfId="286"/>
    <tableColumn id="10" name="2035" totalsRowFunction="sum" dataDxfId="285" totalsRowDxfId="284"/>
    <tableColumn id="11" name="2040" totalsRowFunction="sum" dataDxfId="283" totalsRowDxfId="282"/>
    <tableColumn id="12" name="2045" totalsRowFunction="sum" dataDxfId="281" totalsRowDxfId="280"/>
    <tableColumn id="13" name="2050" totalsRowFunction="sum" dataDxfId="279" totalsRowDxfId="278"/>
  </tableColumns>
  <tableStyleInfo name="EnergyCalcTables" showFirstColumn="0" showLastColumn="0" showRowStripes="1" showColumnStripes="0"/>
</table>
</file>

<file path=xl/tables/table65.xml><?xml version="1.0" encoding="utf-8"?>
<table xmlns="http://schemas.openxmlformats.org/spreadsheetml/2006/main" id="64" name="XIV.a.Emissions" displayName="XIV.a.Emissions" ref="C80:O82" totalsRowCount="1" headerRowDxfId="277" dataDxfId="275" headerRowBorderDxfId="276" tableBorderDxfId="274" dataCellStyle="Comma">
  <autoFilter ref="C80:O81"/>
  <tableColumns count="13">
    <tableColumn id="1" name="GHG" totalsRowLabel="Total" dataDxfId="273" totalsRowDxfId="272"/>
    <tableColumn id="2" name="IPCC Sector" dataDxfId="271" totalsRowDxfId="270"/>
    <tableColumn id="3" name="Notes" dataDxfId="269" totalsRowDxfId="268">
      <calculatedColumnFormula>INDEX(IPCC[Sector_description], MATCH([IPCC Sector], IPCC[Sector_code], 0))</calculatedColumnFormula>
    </tableColumn>
    <tableColumn id="4" name="2007" totalsRowFunction="sum" dataDxfId="267" totalsRowDxfId="266" dataCellStyle="Comma">
      <calculatedColumnFormula>-F61</calculatedColumnFormula>
    </tableColumn>
    <tableColumn id="5" name="2010" totalsRowFunction="sum" dataDxfId="265" totalsRowDxfId="264" dataCellStyle="Comma">
      <calculatedColumnFormula>-G61</calculatedColumnFormula>
    </tableColumn>
    <tableColumn id="6" name="2015" totalsRowFunction="sum" dataDxfId="263" totalsRowDxfId="262" dataCellStyle="Comma">
      <calculatedColumnFormula>-H61</calculatedColumnFormula>
    </tableColumn>
    <tableColumn id="7" name="2020" totalsRowFunction="sum" dataDxfId="261" totalsRowDxfId="260" dataCellStyle="Comma">
      <calculatedColumnFormula>-I61</calculatedColumnFormula>
    </tableColumn>
    <tableColumn id="8" name="2025" totalsRowFunction="sum" dataDxfId="259" totalsRowDxfId="258" dataCellStyle="Comma">
      <calculatedColumnFormula>-J61</calculatedColumnFormula>
    </tableColumn>
    <tableColumn id="9" name="2030" totalsRowFunction="sum" dataDxfId="257" totalsRowDxfId="256" dataCellStyle="Comma">
      <calculatedColumnFormula>-K61</calculatedColumnFormula>
    </tableColumn>
    <tableColumn id="10" name="2035" totalsRowFunction="sum" dataDxfId="255" totalsRowDxfId="254" dataCellStyle="Comma">
      <calculatedColumnFormula>-L61</calculatedColumnFormula>
    </tableColumn>
    <tableColumn id="11" name="2040" totalsRowFunction="sum" dataDxfId="253" totalsRowDxfId="252" dataCellStyle="Comma">
      <calculatedColumnFormula>-M61</calculatedColumnFormula>
    </tableColumn>
    <tableColumn id="12" name="2045" totalsRowFunction="sum" dataDxfId="251" totalsRowDxfId="250" dataCellStyle="Comma">
      <calculatedColumnFormula>-N61</calculatedColumnFormula>
    </tableColumn>
    <tableColumn id="13" name="2050" totalsRowFunction="sum" dataDxfId="249" totalsRowDxfId="248" dataCellStyle="Comma">
      <calculatedColumnFormula>-O61</calculatedColumnFormula>
    </tableColumn>
  </tableColumns>
  <tableStyleInfo name="EnergyCalcTables" showFirstColumn="0" showLastColumn="0" showRowStripes="1" showColumnStripes="0"/>
</table>
</file>

<file path=xl/tables/table66.xml><?xml version="1.0" encoding="utf-8"?>
<table xmlns="http://schemas.openxmlformats.org/spreadsheetml/2006/main" id="28" name="XV.a.Outputs" displayName="XV.a.Outputs" ref="C100:O108" totalsRowCount="1" headerRowDxfId="247" dataDxfId="246">
  <autoFilter ref="C100:O107"/>
  <tableColumns count="13">
    <tableColumn id="1" name="Vector" totalsRowLabel="Total" dataDxfId="245" totalsRowDxfId="244"/>
    <tableColumn id="2" name="Name" dataDxfId="243" totalsRowDxfId="242">
      <calculatedColumnFormula>INDEX(Vectors[Description], MATCH([Vector], Vectors[Code], 0))</calculatedColumnFormula>
    </tableColumn>
    <tableColumn id="3" name="Notes" dataDxfId="241" totalsRowDxfId="240"/>
    <tableColumn id="4" name="2007" totalsRowFunction="sum" dataDxfId="239" totalsRowDxfId="238" dataCellStyle="Comma">
      <calculatedColumnFormula>#REF!+#REF!</calculatedColumnFormula>
    </tableColumn>
    <tableColumn id="5" name="2010" totalsRowFunction="sum" dataDxfId="237" totalsRowDxfId="236" dataCellStyle="Comma"/>
    <tableColumn id="6" name="2015" totalsRowFunction="sum" dataDxfId="235" totalsRowDxfId="234" dataCellStyle="Comma"/>
    <tableColumn id="7" name="2020" totalsRowFunction="sum" dataDxfId="233" totalsRowDxfId="232" dataCellStyle="Comma"/>
    <tableColumn id="8" name="2025" totalsRowFunction="sum" dataDxfId="231" totalsRowDxfId="230" dataCellStyle="Comma"/>
    <tableColumn id="9" name="2030" totalsRowFunction="sum" dataDxfId="229" totalsRowDxfId="228" dataCellStyle="Comma"/>
    <tableColumn id="10" name="2035" totalsRowFunction="sum" dataDxfId="227" totalsRowDxfId="226" dataCellStyle="Comma"/>
    <tableColumn id="11" name="2040" totalsRowFunction="sum" dataDxfId="225" totalsRowDxfId="224" dataCellStyle="Comma"/>
    <tableColumn id="12" name="2045" totalsRowFunction="sum" dataDxfId="223" totalsRowDxfId="222" dataCellStyle="Comma"/>
    <tableColumn id="13" name="2050" totalsRowFunction="sum" dataDxfId="221" totalsRowDxfId="220" dataCellStyle="Comma"/>
  </tableColumns>
  <tableStyleInfo name="EnergyCalcTables" showFirstColumn="0" showLastColumn="0" showRowStripes="1" showColumnStripes="0"/>
</table>
</file>

<file path=xl/tables/table67.xml><?xml version="1.0" encoding="utf-8"?>
<table xmlns="http://schemas.openxmlformats.org/spreadsheetml/2006/main" id="46" name="XV.a.Emissions" displayName="XV.a.Emissions" ref="C115:O119" totalsRowCount="1" headerRowDxfId="219" dataDxfId="217" headerRowBorderDxfId="218" tableBorderDxfId="216" dataCellStyle="Comma">
  <autoFilter ref="C115:O118"/>
  <tableColumns count="13">
    <tableColumn id="1" name="GHG" totalsRowLabel="Total" dataDxfId="215" totalsRowDxfId="214"/>
    <tableColumn id="2" name="IPCC Sector" dataDxfId="213" totalsRowDxfId="212"/>
    <tableColumn id="3" name="Notes" dataDxfId="211" totalsRowDxfId="210">
      <calculatedColumnFormula>INDEX(IPCC[Sector_description], MATCH([IPCC Sector], IPCC[Sector_code], 0))</calculatedColumnFormula>
    </tableColumn>
    <tableColumn id="4" name="2007" totalsRowFunction="sum" dataDxfId="209" totalsRowDxfId="208" dataCellStyle="Comma"/>
    <tableColumn id="5" name="2010" totalsRowFunction="sum" dataDxfId="207" totalsRowDxfId="206" dataCellStyle="Comma"/>
    <tableColumn id="6" name="2015" totalsRowFunction="sum" dataDxfId="205" totalsRowDxfId="204" dataCellStyle="Comma"/>
    <tableColumn id="7" name="2020" totalsRowFunction="sum" dataDxfId="203" totalsRowDxfId="202" dataCellStyle="Comma"/>
    <tableColumn id="8" name="2025" totalsRowFunction="sum" dataDxfId="201" totalsRowDxfId="200" dataCellStyle="Comma"/>
    <tableColumn id="9" name="2030" totalsRowFunction="sum" dataDxfId="199" totalsRowDxfId="198" dataCellStyle="Comma"/>
    <tableColumn id="10" name="2035" totalsRowFunction="sum" dataDxfId="197" totalsRowDxfId="196" dataCellStyle="Comma"/>
    <tableColumn id="11" name="2040" totalsRowFunction="sum" dataDxfId="195" totalsRowDxfId="194" dataCellStyle="Comma"/>
    <tableColumn id="12" name="2045" totalsRowFunction="sum" dataDxfId="193" totalsRowDxfId="192" dataCellStyle="Comma"/>
    <tableColumn id="13" name="2050" totalsRowFunction="sum" dataDxfId="191" totalsRowDxfId="190" dataCellStyle="Comma"/>
  </tableColumns>
  <tableStyleInfo name="EnergyCalcTables" showFirstColumn="0" showLastColumn="0" showRowStripes="1" showColumnStripes="0"/>
</table>
</file>

<file path=xl/tables/table68.xml><?xml version="1.0" encoding="utf-8"?>
<table xmlns="http://schemas.openxmlformats.org/spreadsheetml/2006/main" id="75" name="XV.a.Inputs" displayName="XV.a.Inputs" ref="C8:O9" totalsRowShown="0" headerRowDxfId="189" dataDxfId="188">
  <autoFilter ref="C8:O9"/>
  <tableColumns count="13">
    <tableColumn id="1" name="Vector" dataDxfId="187"/>
    <tableColumn id="2" name="Name" dataDxfId="186">
      <calculatedColumnFormula>INDEX(Vectors[Description], MATCH([Vector], Vectors[Code], 0))</calculatedColumnFormula>
    </tableColumn>
    <tableColumn id="3" name="Notes" dataDxfId="185"/>
    <tableColumn id="4" name="2007" dataDxfId="184" dataCellStyle="Comma">
      <calculatedColumnFormula>INDEX(INDIRECT("'"&amp;XV.a.Inputs[#Headers]&amp;"'!Year.NetBalance"), MATCH([Vector], INDIRECT("'"&amp;XV.a.Inputs[#Headers]&amp;"'!Year.Vectors"), 0))</calculatedColumnFormula>
    </tableColumn>
    <tableColumn id="5" name="2010" dataDxfId="183" dataCellStyle="Comma">
      <calculatedColumnFormula>INDEX(INDIRECT("'"&amp;XV.a.Inputs[#Headers]&amp;"'!Year.NetBalance"), MATCH([Vector], INDIRECT("'"&amp;XV.a.Inputs[#Headers]&amp;"'!Year.Vectors"), 0))</calculatedColumnFormula>
    </tableColumn>
    <tableColumn id="6" name="2015" dataDxfId="182" dataCellStyle="Comma">
      <calculatedColumnFormula>INDEX(INDIRECT("'"&amp;XV.a.Inputs[#Headers]&amp;"'!Year.NetBalance"), MATCH([Vector], INDIRECT("'"&amp;XV.a.Inputs[#Headers]&amp;"'!Year.Vectors"), 0))</calculatedColumnFormula>
    </tableColumn>
    <tableColumn id="7" name="2020" dataDxfId="181" dataCellStyle="Comma">
      <calculatedColumnFormula>INDEX(INDIRECT("'"&amp;XV.a.Inputs[#Headers]&amp;"'!Year.NetBalance"), MATCH([Vector], INDIRECT("'"&amp;XV.a.Inputs[#Headers]&amp;"'!Year.Vectors"), 0))</calculatedColumnFormula>
    </tableColumn>
    <tableColumn id="15" name="2025" dataDxfId="180" dataCellStyle="Comma">
      <calculatedColumnFormula>INDEX(INDIRECT("'"&amp;XV.a.Inputs[#Headers]&amp;"'!Year.NetBalance"), MATCH([Vector], INDIRECT("'"&amp;XV.a.Inputs[#Headers]&amp;"'!Year.Vectors"), 0))</calculatedColumnFormula>
    </tableColumn>
    <tableColumn id="16" name="2030" dataDxfId="179" dataCellStyle="Comma">
      <calculatedColumnFormula>INDEX(INDIRECT("'"&amp;XV.a.Inputs[#Headers]&amp;"'!Year.NetBalance"), MATCH([Vector], INDIRECT("'"&amp;XV.a.Inputs[#Headers]&amp;"'!Year.Vectors"), 0))</calculatedColumnFormula>
    </tableColumn>
    <tableColumn id="17" name="2035" dataDxfId="178" dataCellStyle="Comma">
      <calculatedColumnFormula>INDEX(INDIRECT("'"&amp;XV.a.Inputs[#Headers]&amp;"'!Year.NetBalance"), MATCH([Vector], INDIRECT("'"&amp;XV.a.Inputs[#Headers]&amp;"'!Year.Vectors"), 0))</calculatedColumnFormula>
    </tableColumn>
    <tableColumn id="18" name="2040" dataDxfId="177" dataCellStyle="Comma">
      <calculatedColumnFormula>INDEX(INDIRECT("'"&amp;XV.a.Inputs[#Headers]&amp;"'!Year.NetBalance"), MATCH([Vector], INDIRECT("'"&amp;XV.a.Inputs[#Headers]&amp;"'!Year.Vectors"), 0))</calculatedColumnFormula>
    </tableColumn>
    <tableColumn id="19" name="2045" dataDxfId="176" dataCellStyle="Comma">
      <calculatedColumnFormula>INDEX(INDIRECT("'"&amp;XV.a.Inputs[#Headers]&amp;"'!Year.NetBalance"), MATCH([Vector], INDIRECT("'"&amp;XV.a.Inputs[#Headers]&amp;"'!Year.Vectors"), 0))</calculatedColumnFormula>
    </tableColumn>
    <tableColumn id="20" name="2050" dataDxfId="175" dataCellStyle="Comma">
      <calculatedColumnFormula>INDEX(INDIRECT("'"&amp;XV.a.Inputs[#Headers]&amp;"'!Year.NetBalance"), MATCH([Vector], INDIRECT("'"&amp;XV.a.Inputs[#Headers]&amp;"'!Year.Vectors"), 0))</calculatedColumnFormula>
    </tableColumn>
  </tableColumns>
  <tableStyleInfo name="EnergyCalcTables" showFirstColumn="0" showLastColumn="0" showRowStripes="1" showColumnStripes="0"/>
</table>
</file>

<file path=xl/tables/table69.xml><?xml version="1.0" encoding="utf-8"?>
<table xmlns="http://schemas.openxmlformats.org/spreadsheetml/2006/main" id="27" name="XV.b.Outputs" displayName="XV.b.Outputs" ref="C73:O84" totalsRowCount="1" headerRowDxfId="174" dataDxfId="173">
  <autoFilter ref="C73:O83"/>
  <tableColumns count="13">
    <tableColumn id="1" name="Vector" totalsRowLabel="Total" dataDxfId="172" totalsRowDxfId="171"/>
    <tableColumn id="2" name="Name" dataDxfId="170" totalsRowDxfId="169">
      <calculatedColumnFormula>INDEX(Vectors[Description], MATCH([Vector], Vectors[Code], 0))</calculatedColumnFormula>
    </tableColumn>
    <tableColumn id="3" name="Notes" dataDxfId="168" totalsRowDxfId="167"/>
    <tableColumn id="4" name="2007" totalsRowFunction="sum" dataDxfId="166" totalsRowDxfId="165" dataCellStyle="Comma"/>
    <tableColumn id="5" name="2010" totalsRowFunction="sum" dataDxfId="164" totalsRowDxfId="163" dataCellStyle="Comma"/>
    <tableColumn id="6" name="2015" totalsRowFunction="sum" dataDxfId="162" totalsRowDxfId="161" dataCellStyle="Comma"/>
    <tableColumn id="7" name="2020" totalsRowFunction="sum" dataDxfId="160" totalsRowDxfId="159" dataCellStyle="Comma"/>
    <tableColumn id="8" name="2025" totalsRowFunction="sum" dataDxfId="158" totalsRowDxfId="157" dataCellStyle="Comma"/>
    <tableColumn id="9" name="2030" totalsRowFunction="sum" dataDxfId="156" totalsRowDxfId="155" dataCellStyle="Comma"/>
    <tableColumn id="10" name="2035" totalsRowFunction="sum" dataDxfId="154" totalsRowDxfId="153" dataCellStyle="Comma"/>
    <tableColumn id="11" name="2040" totalsRowFunction="sum" dataDxfId="152" totalsRowDxfId="151" dataCellStyle="Comma"/>
    <tableColumn id="12" name="2045" totalsRowFunction="sum" dataDxfId="150" totalsRowDxfId="149" dataCellStyle="Comma"/>
    <tableColumn id="13" name="2050" totalsRowFunction="sum" dataDxfId="148" totalsRowDxfId="147" dataCellStyle="Comma"/>
  </tableColumns>
  <tableStyleInfo name="EnergyCalcTables" showFirstColumn="0" showLastColumn="0" showRowStripes="1" showColumnStripes="0"/>
</table>
</file>

<file path=xl/tables/table7.xml><?xml version="1.0" encoding="utf-8"?>
<table xmlns="http://schemas.openxmlformats.org/spreadsheetml/2006/main" id="31" name="IPCC" displayName="IPCC" ref="B4:D15" totalsRowShown="0" headerRowDxfId="1743" dataDxfId="1742">
  <autoFilter ref="B4:D15"/>
  <tableColumns count="3">
    <tableColumn id="1" name="Sector_code" dataDxfId="1741"/>
    <tableColumn id="2" name="Sector_description" dataDxfId="1740"/>
    <tableColumn id="3" name="Comment" dataDxfId="1739"/>
  </tableColumns>
  <tableStyleInfo name="TableStyleMedium11" showFirstColumn="0" showLastColumn="0" showRowStripes="1" showColumnStripes="0"/>
</table>
</file>

<file path=xl/tables/table70.xml><?xml version="1.0" encoding="utf-8"?>
<table xmlns="http://schemas.openxmlformats.org/spreadsheetml/2006/main" id="47" name="XV.b.Emissions" displayName="XV.b.Emissions" ref="C91:O97" totalsRowCount="1" headerRowDxfId="146" dataDxfId="144" headerRowBorderDxfId="145" tableBorderDxfId="143" dataCellStyle="Comma">
  <autoFilter ref="C91:O96"/>
  <tableColumns count="13">
    <tableColumn id="1" name="GHG" totalsRowLabel="Total" dataDxfId="142" totalsRowDxfId="141"/>
    <tableColumn id="2" name="IPCC Sector" dataDxfId="140" totalsRowDxfId="139"/>
    <tableColumn id="3" name="Notes" dataDxfId="138" totalsRowDxfId="137">
      <calculatedColumnFormula>INDEX(IPCC[Sector_description], MATCH([IPCC Sector], IPCC[Sector_code], 0))</calculatedColumnFormula>
    </tableColumn>
    <tableColumn id="4" name="2007" totalsRowFunction="sum" dataDxfId="136" totalsRowDxfId="135" dataCellStyle="Comma"/>
    <tableColumn id="5" name="2010" totalsRowFunction="sum" dataDxfId="134" totalsRowDxfId="133" dataCellStyle="Comma"/>
    <tableColumn id="6" name="2015" totalsRowFunction="sum" dataDxfId="132" totalsRowDxfId="131" dataCellStyle="Comma"/>
    <tableColumn id="7" name="2020" totalsRowFunction="sum" dataDxfId="130" totalsRowDxfId="129" dataCellStyle="Comma"/>
    <tableColumn id="8" name="2025" totalsRowFunction="sum" dataDxfId="128" totalsRowDxfId="127" dataCellStyle="Comma"/>
    <tableColumn id="9" name="2030" totalsRowFunction="sum" dataDxfId="126" totalsRowDxfId="125" dataCellStyle="Comma"/>
    <tableColumn id="10" name="2035" totalsRowFunction="sum" dataDxfId="124" totalsRowDxfId="123" dataCellStyle="Comma"/>
    <tableColumn id="11" name="2040" totalsRowFunction="sum" dataDxfId="122" totalsRowDxfId="121" dataCellStyle="Comma"/>
    <tableColumn id="12" name="2045" totalsRowFunction="sum" dataDxfId="120" totalsRowDxfId="119" dataCellStyle="Comma"/>
    <tableColumn id="13" name="2050" totalsRowFunction="sum" dataDxfId="118" totalsRowDxfId="117" dataCellStyle="Comma"/>
  </tableColumns>
  <tableStyleInfo name="EnergyCalcTables" showFirstColumn="0" showLastColumn="0" showRowStripes="1" showColumnStripes="0"/>
</table>
</file>

<file path=xl/tables/table71.xml><?xml version="1.0" encoding="utf-8"?>
<table xmlns="http://schemas.openxmlformats.org/spreadsheetml/2006/main" id="48" name="XVI.a.Inputs" displayName="XVI.a.Inputs" ref="C8:O11" totalsRowShown="0" headerRowDxfId="116" dataDxfId="115">
  <autoFilter ref="C8:O11"/>
  <tableColumns count="13">
    <tableColumn id="1" name="Vector" dataDxfId="114"/>
    <tableColumn id="2" name="Name" dataDxfId="113">
      <calculatedColumnFormula>INDEX(Vectors[Description], MATCH([Vector], Vectors[Code], 0))</calculatedColumnFormula>
    </tableColumn>
    <tableColumn id="3" name="Notes" dataDxfId="112"/>
    <tableColumn id="4" name="2007" dataDxfId="111" dataCellStyle="Comma">
      <calculatedColumnFormula>-'2007'!Requested.Grid</calculatedColumnFormula>
    </tableColumn>
    <tableColumn id="5" name="2010" dataDxfId="110" dataCellStyle="Comma">
      <calculatedColumnFormula>-'2007'!Requested.Grid</calculatedColumnFormula>
    </tableColumn>
    <tableColumn id="6" name="2015" dataDxfId="109" dataCellStyle="Comma">
      <calculatedColumnFormula>-'2007'!Requested.Grid</calculatedColumnFormula>
    </tableColumn>
    <tableColumn id="7" name="2020" dataDxfId="108" dataCellStyle="Comma">
      <calculatedColumnFormula>-'2007'!Requested.Grid</calculatedColumnFormula>
    </tableColumn>
    <tableColumn id="15" name="2025" dataDxfId="107" dataCellStyle="Comma">
      <calculatedColumnFormula>-'2007'!Requested.Grid</calculatedColumnFormula>
    </tableColumn>
    <tableColumn id="16" name="2030" dataDxfId="106" dataCellStyle="Comma">
      <calculatedColumnFormula>-'2007'!Requested.Grid</calculatedColumnFormula>
    </tableColumn>
    <tableColumn id="17" name="2035" dataDxfId="105" dataCellStyle="Comma">
      <calculatedColumnFormula>-'2007'!Requested.Grid</calculatedColumnFormula>
    </tableColumn>
    <tableColumn id="18" name="2040" dataDxfId="104" dataCellStyle="Comma">
      <calculatedColumnFormula>-'2007'!Requested.Grid</calculatedColumnFormula>
    </tableColumn>
    <tableColumn id="19" name="2045" dataDxfId="103" dataCellStyle="Comma">
      <calculatedColumnFormula>-'2007'!Requested.Grid</calculatedColumnFormula>
    </tableColumn>
    <tableColumn id="20" name="2050" dataDxfId="102" dataCellStyle="Comma">
      <calculatedColumnFormula>-'2007'!Requested.Grid</calculatedColumnFormula>
    </tableColumn>
  </tableColumns>
  <tableStyleInfo name="EnergyCalcTables" showFirstColumn="0" showLastColumn="0" showRowStripes="1" showColumnStripes="0"/>
</table>
</file>

<file path=xl/tables/table72.xml><?xml version="1.0" encoding="utf-8"?>
<table xmlns="http://schemas.openxmlformats.org/spreadsheetml/2006/main" id="49" name="XVI.a.Outputs" displayName="XVI.a.Outputs" ref="C57:O65" totalsRowCount="1" headerRowDxfId="101" dataDxfId="100">
  <autoFilter ref="C57:O64"/>
  <tableColumns count="13">
    <tableColumn id="1" name="Vector" totalsRowLabel="Total" dataDxfId="99" totalsRowDxfId="98"/>
    <tableColumn id="2" name="Name" dataDxfId="97" totalsRowDxfId="96">
      <calculatedColumnFormula>INDEX(Vectors[Description], MATCH([Vector], Vectors[Code], 0))</calculatedColumnFormula>
    </tableColumn>
    <tableColumn id="3" name="Notes" dataDxfId="95" totalsRowDxfId="94"/>
    <tableColumn id="4" name="2007" totalsRowFunction="sum" dataDxfId="93" totalsRowDxfId="92" dataCellStyle="Comma">
      <calculatedColumnFormula>F$40+#REF!</calculatedColumnFormula>
    </tableColumn>
    <tableColumn id="5" name="2010" totalsRowFunction="sum" dataDxfId="91" totalsRowDxfId="90" dataCellStyle="Comma"/>
    <tableColumn id="6" name="2015" totalsRowFunction="sum" dataDxfId="89" totalsRowDxfId="88" dataCellStyle="Comma"/>
    <tableColumn id="7" name="2020" totalsRowFunction="sum" dataDxfId="87" totalsRowDxfId="86" dataCellStyle="Comma"/>
    <tableColumn id="8" name="2025" totalsRowFunction="sum" dataDxfId="85" totalsRowDxfId="84" dataCellStyle="Comma"/>
    <tableColumn id="9" name="2030" totalsRowFunction="sum" dataDxfId="83" totalsRowDxfId="82" dataCellStyle="Comma"/>
    <tableColumn id="10" name="2035" totalsRowFunction="sum" dataDxfId="81" totalsRowDxfId="80" dataCellStyle="Comma"/>
    <tableColumn id="11" name="2040" totalsRowFunction="sum" dataDxfId="79" totalsRowDxfId="78" dataCellStyle="Comma"/>
    <tableColumn id="12" name="2045" totalsRowFunction="sum" dataDxfId="77" totalsRowDxfId="76" dataCellStyle="Comma"/>
    <tableColumn id="13" name="2050" totalsRowFunction="sum" dataDxfId="75" totalsRowDxfId="74" dataCellStyle="Comma"/>
  </tableColumns>
  <tableStyleInfo name="EnergyCalcTables" showFirstColumn="0" showLastColumn="0" showRowStripes="1" showColumnStripes="0"/>
</table>
</file>

<file path=xl/tables/table73.xml><?xml version="1.0" encoding="utf-8"?>
<table xmlns="http://schemas.openxmlformats.org/spreadsheetml/2006/main" id="50" name="XVI.a.Emissions" displayName="XVI.a.Emissions" ref="C72:O74" totalsRowCount="1" headerRowDxfId="73" dataDxfId="71" headerRowBorderDxfId="72" tableBorderDxfId="70" dataCellStyle="Comma">
  <autoFilter ref="C72:O73"/>
  <tableColumns count="13">
    <tableColumn id="1" name="GHG" totalsRowLabel="Total" dataDxfId="69" totalsRowDxfId="68"/>
    <tableColumn id="2" name="IPCC Sector" dataDxfId="67" totalsRowDxfId="66"/>
    <tableColumn id="3" name="Notes" dataDxfId="65" totalsRowDxfId="64">
      <calculatedColumnFormula>INDEX(IPCC[Sector_description], MATCH([IPCC Sector], IPCC[Sector_code], 0))</calculatedColumnFormula>
    </tableColumn>
    <tableColumn id="4" name="2007" totalsRowFunction="sum" dataDxfId="63" totalsRowDxfId="62" dataCellStyle="Comma">
      <calculatedColumnFormula>F$49</calculatedColumnFormula>
    </tableColumn>
    <tableColumn id="5" name="2010" totalsRowFunction="sum" dataDxfId="61" totalsRowDxfId="60" dataCellStyle="Comma">
      <calculatedColumnFormula>G$49</calculatedColumnFormula>
    </tableColumn>
    <tableColumn id="6" name="2015" totalsRowFunction="sum" dataDxfId="59" totalsRowDxfId="58" dataCellStyle="Comma">
      <calculatedColumnFormula>H$49</calculatedColumnFormula>
    </tableColumn>
    <tableColumn id="7" name="2020" totalsRowFunction="sum" dataDxfId="57" totalsRowDxfId="56" dataCellStyle="Comma">
      <calculatedColumnFormula>I$49</calculatedColumnFormula>
    </tableColumn>
    <tableColumn id="8" name="2025" totalsRowFunction="sum" dataDxfId="55" totalsRowDxfId="54" dataCellStyle="Comma">
      <calculatedColumnFormula>J$49</calculatedColumnFormula>
    </tableColumn>
    <tableColumn id="9" name="2030" totalsRowFunction="sum" dataDxfId="53" totalsRowDxfId="52" dataCellStyle="Comma">
      <calculatedColumnFormula>K$49</calculatedColumnFormula>
    </tableColumn>
    <tableColumn id="10" name="2035" totalsRowFunction="sum" dataDxfId="51" totalsRowDxfId="50" dataCellStyle="Comma">
      <calculatedColumnFormula>L$49</calculatedColumnFormula>
    </tableColumn>
    <tableColumn id="11" name="2040" totalsRowFunction="sum" dataDxfId="49" totalsRowDxfId="48" dataCellStyle="Comma">
      <calculatedColumnFormula>M$49</calculatedColumnFormula>
    </tableColumn>
    <tableColumn id="12" name="2045" totalsRowFunction="sum" dataDxfId="47" totalsRowDxfId="46" dataCellStyle="Comma">
      <calculatedColumnFormula>N$49</calculatedColumnFormula>
    </tableColumn>
    <tableColumn id="13" name="2050" totalsRowFunction="sum" dataDxfId="45" totalsRowDxfId="44" dataCellStyle="Comma">
      <calculatedColumnFormula>O$49</calculatedColumnFormula>
    </tableColumn>
  </tableColumns>
  <tableStyleInfo name="EnergyCalcTables" showFirstColumn="0" showLastColumn="0" showRowStripes="1" showColumnStripes="0"/>
</table>
</file>

<file path=xl/tables/table74.xml><?xml version="1.0" encoding="utf-8"?>
<table xmlns="http://schemas.openxmlformats.org/spreadsheetml/2006/main" id="56" name="XVII.a.Inputs" displayName="XVII.a.Inputs" ref="C8:O9" totalsRowShown="0" headerRowDxfId="43" dataDxfId="42">
  <autoFilter ref="C8:O9"/>
  <tableColumns count="13">
    <tableColumn id="1" name="Vector" dataDxfId="41"/>
    <tableColumn id="2" name="Name" dataDxfId="40">
      <calculatedColumnFormula>INDEX(Vectors[Description], MATCH([Vector], Vectors[Code], 0))</calculatedColumnFormula>
    </tableColumn>
    <tableColumn id="3" name="Notes" dataDxfId="39"/>
    <tableColumn id="4" name="2007" dataDxfId="38" dataCellStyle="Comma">
      <calculatedColumnFormula>INDEX(INDIRECT("'"&amp;XVII.a.Inputs[#Headers]&amp;"'!Year.Matrix"), MATCH("Subtotal."&amp;$A$2, INDIRECT("'"&amp;XVII.a.Inputs[#Headers]&amp;"'!Year.Modules"), 0), MATCH([Vector], INDIRECT("'"&amp;XVII.a.Inputs[#Headers]&amp;"'!Year.Vectors"), 0))</calculatedColumnFormula>
    </tableColumn>
    <tableColumn id="5" name="2010" dataDxfId="37" dataCellStyle="Comma">
      <calculatedColumnFormula>INDEX(INDIRECT("'"&amp;XVII.a.Inputs[#Headers]&amp;"'!Year.Matrix"), MATCH("Subtotal."&amp;$A$2, INDIRECT("'"&amp;XVII.a.Inputs[#Headers]&amp;"'!Year.Modules"), 0), MATCH([Vector], INDIRECT("'"&amp;XVII.a.Inputs[#Headers]&amp;"'!Year.Vectors"), 0))</calculatedColumnFormula>
    </tableColumn>
    <tableColumn id="6" name="2015" dataDxfId="36" dataCellStyle="Comma">
      <calculatedColumnFormula>INDEX(INDIRECT("'"&amp;XVII.a.Inputs[#Headers]&amp;"'!Year.Matrix"), MATCH("Subtotal."&amp;$A$2, INDIRECT("'"&amp;XVII.a.Inputs[#Headers]&amp;"'!Year.Modules"), 0), MATCH([Vector], INDIRECT("'"&amp;XVII.a.Inputs[#Headers]&amp;"'!Year.Vectors"), 0))</calculatedColumnFormula>
    </tableColumn>
    <tableColumn id="7" name="2020" dataDxfId="35" dataCellStyle="Comma">
      <calculatedColumnFormula>INDEX(INDIRECT("'"&amp;XVII.a.Inputs[#Headers]&amp;"'!Year.Matrix"), MATCH("Subtotal."&amp;$A$2, INDIRECT("'"&amp;XVII.a.Inputs[#Headers]&amp;"'!Year.Modules"), 0), MATCH([Vector], INDIRECT("'"&amp;XVII.a.Inputs[#Headers]&amp;"'!Year.Vectors"), 0))</calculatedColumnFormula>
    </tableColumn>
    <tableColumn id="15" name="2025" dataDxfId="34" dataCellStyle="Comma">
      <calculatedColumnFormula>INDEX(INDIRECT("'"&amp;XVII.a.Inputs[#Headers]&amp;"'!Year.Matrix"), MATCH("Subtotal."&amp;$A$2, INDIRECT("'"&amp;XVII.a.Inputs[#Headers]&amp;"'!Year.Modules"), 0), MATCH([Vector], INDIRECT("'"&amp;XVII.a.Inputs[#Headers]&amp;"'!Year.Vectors"), 0))</calculatedColumnFormula>
    </tableColumn>
    <tableColumn id="16" name="2030" dataDxfId="33" dataCellStyle="Comma">
      <calculatedColumnFormula>INDEX(INDIRECT("'"&amp;XVII.a.Inputs[#Headers]&amp;"'!Year.Matrix"), MATCH("Subtotal."&amp;$A$2, INDIRECT("'"&amp;XVII.a.Inputs[#Headers]&amp;"'!Year.Modules"), 0), MATCH([Vector], INDIRECT("'"&amp;XVII.a.Inputs[#Headers]&amp;"'!Year.Vectors"), 0))</calculatedColumnFormula>
    </tableColumn>
    <tableColumn id="17" name="2035" dataDxfId="32" dataCellStyle="Comma">
      <calculatedColumnFormula>INDEX(INDIRECT("'"&amp;XVII.a.Inputs[#Headers]&amp;"'!Year.Matrix"), MATCH("Subtotal."&amp;$A$2, INDIRECT("'"&amp;XVII.a.Inputs[#Headers]&amp;"'!Year.Modules"), 0), MATCH([Vector], INDIRECT("'"&amp;XVII.a.Inputs[#Headers]&amp;"'!Year.Vectors"), 0))</calculatedColumnFormula>
    </tableColumn>
    <tableColumn id="18" name="2040" dataDxfId="31" dataCellStyle="Comma">
      <calculatedColumnFormula>INDEX(INDIRECT("'"&amp;XVII.a.Inputs[#Headers]&amp;"'!Year.Matrix"), MATCH("Subtotal."&amp;$A$2, INDIRECT("'"&amp;XVII.a.Inputs[#Headers]&amp;"'!Year.Modules"), 0), MATCH([Vector], INDIRECT("'"&amp;XVII.a.Inputs[#Headers]&amp;"'!Year.Vectors"), 0))</calculatedColumnFormula>
    </tableColumn>
    <tableColumn id="19" name="2045" dataDxfId="30" dataCellStyle="Comma">
      <calculatedColumnFormula>INDEX(INDIRECT("'"&amp;XVII.a.Inputs[#Headers]&amp;"'!Year.Matrix"), MATCH("Subtotal."&amp;$A$2, INDIRECT("'"&amp;XVII.a.Inputs[#Headers]&amp;"'!Year.Modules"), 0), MATCH([Vector], INDIRECT("'"&amp;XVII.a.Inputs[#Headers]&amp;"'!Year.Vectors"), 0))</calculatedColumnFormula>
    </tableColumn>
    <tableColumn id="20" name="2050" dataDxfId="29" dataCellStyle="Comma">
      <calculatedColumnFormula>INDEX(INDIRECT("'"&amp;XVII.a.Inputs[#Headers]&amp;"'!Year.Matrix"), MATCH("Subtotal."&amp;$A$2, INDIRECT("'"&amp;XVII.a.Inputs[#Headers]&amp;"'!Year.Modules"), 0), MATCH([Vector], INDIRECT("'"&amp;XVII.a.Inputs[#Headers]&amp;"'!Year.Vectors"), 0))</calculatedColumnFormula>
    </tableColumn>
  </tableColumns>
  <tableStyleInfo name="EnergyCalcTables" showFirstColumn="0" showLastColumn="0" showRowStripes="1" showColumnStripes="0"/>
</table>
</file>

<file path=xl/tables/table75.xml><?xml version="1.0" encoding="utf-8"?>
<table xmlns="http://schemas.openxmlformats.org/spreadsheetml/2006/main" id="57" name="XVII.a.Outputs" displayName="XVII.a.Outputs" ref="C37:O41" totalsRowCount="1" headerRowDxfId="28" dataDxfId="27">
  <autoFilter ref="C37:O40"/>
  <tableColumns count="13">
    <tableColumn id="1" name="Vector" totalsRowLabel="Total" dataDxfId="26" totalsRowDxfId="25"/>
    <tableColumn id="2" name="Name" dataDxfId="24" totalsRowDxfId="23">
      <calculatedColumnFormula>INDEX(Vectors[Description], MATCH([Vector], Vectors[Code], 0))</calculatedColumnFormula>
    </tableColumn>
    <tableColumn id="3" name="Notes" dataDxfId="22" totalsRowDxfId="21"/>
    <tableColumn id="4" name="2007" totalsRowFunction="sum" dataDxfId="20" totalsRowDxfId="19" dataCellStyle="Comma">
      <calculatedColumnFormula>F$27+#REF!</calculatedColumnFormula>
    </tableColumn>
    <tableColumn id="5" name="2010" totalsRowFunction="sum" dataDxfId="18" totalsRowDxfId="17" dataCellStyle="Comma"/>
    <tableColumn id="6" name="2015" totalsRowFunction="sum" dataDxfId="16" totalsRowDxfId="15" dataCellStyle="Comma"/>
    <tableColumn id="7" name="2020" totalsRowFunction="sum" dataDxfId="14" totalsRowDxfId="13" dataCellStyle="Comma"/>
    <tableColumn id="8" name="2025" totalsRowFunction="sum" dataDxfId="12" totalsRowDxfId="11" dataCellStyle="Comma"/>
    <tableColumn id="9" name="2030" totalsRowFunction="sum" dataDxfId="10" totalsRowDxfId="9" dataCellStyle="Comma"/>
    <tableColumn id="10" name="2035" totalsRowFunction="sum" dataDxfId="8" totalsRowDxfId="7" dataCellStyle="Comma"/>
    <tableColumn id="11" name="2040" totalsRowFunction="sum" dataDxfId="6" totalsRowDxfId="5" dataCellStyle="Comma"/>
    <tableColumn id="12" name="2045" totalsRowFunction="sum" dataDxfId="4" totalsRowDxfId="3" dataCellStyle="Comma"/>
    <tableColumn id="13" name="2050" totalsRowFunction="sum" dataDxfId="2" totalsRowDxfId="1" dataCellStyle="Comma"/>
  </tableColumns>
  <tableStyleInfo name="EnergyCalcTables" showFirstColumn="0" showLastColumn="0" showRowStripes="1" showColumnStripes="0"/>
</table>
</file>

<file path=xl/tables/table8.xml><?xml version="1.0" encoding="utf-8"?>
<table xmlns="http://schemas.openxmlformats.org/spreadsheetml/2006/main" id="32" name="GHG" displayName="GHG" ref="B20:D24" totalsRowShown="0" headerRowDxfId="1738" dataDxfId="1737">
  <autoFilter ref="B20:D24"/>
  <tableColumns count="3">
    <tableColumn id="1" name="GHG_code" dataDxfId="1736"/>
    <tableColumn id="2" name="GHG_description" dataDxfId="1735"/>
    <tableColumn id="3" name="Comment" dataDxfId="1734"/>
  </tableColumns>
  <tableStyleInfo name="TableStyleMedium11" showFirstColumn="0" showLastColumn="0" showRowStripes="1" showColumnStripes="0"/>
</table>
</file>

<file path=xl/tables/table9.xml><?xml version="1.0" encoding="utf-8"?>
<table xmlns="http://schemas.openxmlformats.org/spreadsheetml/2006/main" id="3" name="I.a.Inputs" displayName="I.a.Inputs" ref="C8:O10" totalsRowShown="0" headerRowDxfId="1733" dataDxfId="1732">
  <autoFilter ref="C8:O10"/>
  <tableColumns count="13">
    <tableColumn id="1" name="Vector" dataDxfId="1731"/>
    <tableColumn id="2" name="Name" dataDxfId="1730">
      <calculatedColumnFormula>INDEX(Vectors[Description], MATCH([Vector], Vectors[Code], 0))</calculatedColumnFormula>
    </tableColumn>
    <tableColumn id="3" name="Notes" dataDxfId="1729"/>
    <tableColumn id="4" name="2007" dataDxfId="1728" dataCellStyle="Comma">
      <calculatedColumnFormula>INDEX(INDIRECT("'"&amp;I.a.Inputs[#Headers]&amp;"'!Year.Matrix"), MATCH("Subtotal."&amp;$A$2, INDIRECT("'"&amp;I.a.Inputs[#Headers]&amp;"'!Year.Modules"), 0), MATCH([Vector], INDIRECT("'"&amp;I.a.Inputs[#Headers]&amp;"'!Year.Vectors"), 0))</calculatedColumnFormula>
    </tableColumn>
    <tableColumn id="5" name="2010" dataDxfId="1727" dataCellStyle="Comma">
      <calculatedColumnFormula>INDEX(INDIRECT("'"&amp;I.a.Inputs[#Headers]&amp;"'!Year.Matrix"), MATCH("Subtotal."&amp;$A$2, INDIRECT("'"&amp;I.a.Inputs[#Headers]&amp;"'!Year.Modules"), 0), MATCH([Vector], INDIRECT("'"&amp;I.a.Inputs[#Headers]&amp;"'!Year.Vectors"), 0))</calculatedColumnFormula>
    </tableColumn>
    <tableColumn id="6" name="2015" dataDxfId="1726" dataCellStyle="Comma">
      <calculatedColumnFormula>INDEX(INDIRECT("'"&amp;I.a.Inputs[#Headers]&amp;"'!Year.Matrix"), MATCH("Subtotal."&amp;$A$2, INDIRECT("'"&amp;I.a.Inputs[#Headers]&amp;"'!Year.Modules"), 0), MATCH([Vector], INDIRECT("'"&amp;I.a.Inputs[#Headers]&amp;"'!Year.Vectors"), 0))</calculatedColumnFormula>
    </tableColumn>
    <tableColumn id="7" name="2020" dataDxfId="1725" dataCellStyle="Comma">
      <calculatedColumnFormula>INDEX(INDIRECT("'"&amp;I.a.Inputs[#Headers]&amp;"'!Year.Matrix"), MATCH("Subtotal."&amp;$A$2, INDIRECT("'"&amp;I.a.Inputs[#Headers]&amp;"'!Year.Modules"), 0), MATCH([Vector], INDIRECT("'"&amp;I.a.Inputs[#Headers]&amp;"'!Year.Vectors"), 0))</calculatedColumnFormula>
    </tableColumn>
    <tableColumn id="15" name="2025" dataDxfId="1724" dataCellStyle="Comma">
      <calculatedColumnFormula>INDEX(INDIRECT("'"&amp;I.a.Inputs[#Headers]&amp;"'!Year.Matrix"), MATCH("Subtotal."&amp;$A$2, INDIRECT("'"&amp;I.a.Inputs[#Headers]&amp;"'!Year.Modules"), 0), MATCH([Vector], INDIRECT("'"&amp;I.a.Inputs[#Headers]&amp;"'!Year.Vectors"), 0))</calculatedColumnFormula>
    </tableColumn>
    <tableColumn id="16" name="2030" dataDxfId="1723" dataCellStyle="Comma">
      <calculatedColumnFormula>INDEX(INDIRECT("'"&amp;I.a.Inputs[#Headers]&amp;"'!Year.Matrix"), MATCH("Subtotal."&amp;$A$2, INDIRECT("'"&amp;I.a.Inputs[#Headers]&amp;"'!Year.Modules"), 0), MATCH([Vector], INDIRECT("'"&amp;I.a.Inputs[#Headers]&amp;"'!Year.Vectors"), 0))</calculatedColumnFormula>
    </tableColumn>
    <tableColumn id="17" name="2035" dataDxfId="1722" dataCellStyle="Comma">
      <calculatedColumnFormula>INDEX(INDIRECT("'"&amp;I.a.Inputs[#Headers]&amp;"'!Year.Matrix"), MATCH("Subtotal."&amp;$A$2, INDIRECT("'"&amp;I.a.Inputs[#Headers]&amp;"'!Year.Modules"), 0), MATCH([Vector], INDIRECT("'"&amp;I.a.Inputs[#Headers]&amp;"'!Year.Vectors"), 0))</calculatedColumnFormula>
    </tableColumn>
    <tableColumn id="18" name="2040" dataDxfId="1721" dataCellStyle="Comma">
      <calculatedColumnFormula>INDEX(INDIRECT("'"&amp;I.a.Inputs[#Headers]&amp;"'!Year.Matrix"), MATCH("Subtotal."&amp;$A$2, INDIRECT("'"&amp;I.a.Inputs[#Headers]&amp;"'!Year.Modules"), 0), MATCH([Vector], INDIRECT("'"&amp;I.a.Inputs[#Headers]&amp;"'!Year.Vectors"), 0))</calculatedColumnFormula>
    </tableColumn>
    <tableColumn id="19" name="2045" dataDxfId="1720" dataCellStyle="Comma">
      <calculatedColumnFormula>INDEX(INDIRECT("'"&amp;I.a.Inputs[#Headers]&amp;"'!Year.Matrix"), MATCH("Subtotal."&amp;$A$2, INDIRECT("'"&amp;I.a.Inputs[#Headers]&amp;"'!Year.Modules"), 0), MATCH([Vector], INDIRECT("'"&amp;I.a.Inputs[#Headers]&amp;"'!Year.Vectors"), 0))</calculatedColumnFormula>
    </tableColumn>
    <tableColumn id="20" name="2050" dataDxfId="1719" dataCellStyle="Comma">
      <calculatedColumnFormula>INDEX(INDIRECT("'"&amp;I.a.Inputs[#Headers]&amp;"'!Year.Matrix"), MATCH("Subtotal."&amp;$A$2, INDIRECT("'"&amp;I.a.Inputs[#Headers]&amp;"'!Year.Modules"), 0), MATCH([Vector], INDIRECT("'"&amp;I.a.Inputs[#Headers]&amp;"'!Year.Vectors"), 0))</calculatedColumnFormula>
    </tableColumn>
  </tableColumns>
  <tableStyleInfo name="EnergyCalcTables"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0.bin"/><Relationship Id="rId4" Type="http://schemas.openxmlformats.org/officeDocument/2006/relationships/table" Target="../tables/table11.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11.bin"/><Relationship Id="rId4"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21.bin"/><Relationship Id="rId5" Type="http://schemas.openxmlformats.org/officeDocument/2006/relationships/table" Target="../tables/table28.xml"/><Relationship Id="rId4" Type="http://schemas.openxmlformats.org/officeDocument/2006/relationships/table" Target="../tables/table27.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table" Target="../tables/table29.xml"/><Relationship Id="rId1" Type="http://schemas.openxmlformats.org/officeDocument/2006/relationships/printerSettings" Target="../printerSettings/printerSettings22.bin"/><Relationship Id="rId4" Type="http://schemas.openxmlformats.org/officeDocument/2006/relationships/table" Target="../tables/table31.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table" Target="../tables/table3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table" Target="../tables/table34.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table" Target="../tables/table38.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table" Target="../tables/table42.xml"/><Relationship Id="rId1" Type="http://schemas.openxmlformats.org/officeDocument/2006/relationships/printerSettings" Target="../printerSettings/printerSettings29.bin"/><Relationship Id="rId4" Type="http://schemas.openxmlformats.org/officeDocument/2006/relationships/table" Target="../tables/table44.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4.xml"/><Relationship Id="rId1" Type="http://schemas.openxmlformats.org/officeDocument/2006/relationships/printerSettings" Target="../printerSettings/printerSettings30.bin"/><Relationship Id="rId4" Type="http://schemas.openxmlformats.org/officeDocument/2006/relationships/table" Target="../tables/table46.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5.xml"/><Relationship Id="rId1" Type="http://schemas.openxmlformats.org/officeDocument/2006/relationships/printerSettings" Target="../printerSettings/printerSettings31.bin"/><Relationship Id="rId4" Type="http://schemas.openxmlformats.org/officeDocument/2006/relationships/table" Target="../tables/table48.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table" Target="../tables/table49.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vmlDrawing" Target="../drawings/vmlDrawing2.vml"/><Relationship Id="rId1" Type="http://schemas.openxmlformats.org/officeDocument/2006/relationships/printerSettings" Target="../printerSettings/printerSettings33.bin"/><Relationship Id="rId4" Type="http://schemas.openxmlformats.org/officeDocument/2006/relationships/table" Target="../tables/table52.xml"/></Relationships>
</file>

<file path=xl/worksheets/_rels/sheet40.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table" Target="../tables/table53.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table" Target="../tables/table55.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table" Target="../tables/table57.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table" Target="../tables/table59.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vmlDrawing" Target="../drawings/vmlDrawing3.vml"/><Relationship Id="rId1" Type="http://schemas.openxmlformats.org/officeDocument/2006/relationships/printerSettings" Target="../printerSettings/printerSettings38.bin"/><Relationship Id="rId4" Type="http://schemas.openxmlformats.org/officeDocument/2006/relationships/table" Target="../tables/table62.xml"/></Relationships>
</file>

<file path=xl/worksheets/_rels/sheet45.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table" Target="../tables/table64.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table" Target="../tables/table66.xml"/><Relationship Id="rId1" Type="http://schemas.openxmlformats.org/officeDocument/2006/relationships/printerSettings" Target="../printerSettings/printerSettings41.bin"/><Relationship Id="rId4" Type="http://schemas.openxmlformats.org/officeDocument/2006/relationships/table" Target="../tables/table68.xml"/></Relationships>
</file>

<file path=xl/worksheets/_rels/sheet48.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table" Target="../tables/table69.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72.xml"/><Relationship Id="rId2" Type="http://schemas.openxmlformats.org/officeDocument/2006/relationships/table" Target="../tables/table71.xml"/><Relationship Id="rId1" Type="http://schemas.openxmlformats.org/officeDocument/2006/relationships/printerSettings" Target="../printerSettings/printerSettings43.bin"/><Relationship Id="rId4" Type="http://schemas.openxmlformats.org/officeDocument/2006/relationships/table" Target="../tables/table73.xml"/></Relationships>
</file>

<file path=xl/worksheets/_rels/sheet50.xml.rels><?xml version="1.0" encoding="UTF-8" standalone="yes"?>
<Relationships xmlns="http://schemas.openxmlformats.org/package/2006/relationships"><Relationship Id="rId3" Type="http://schemas.openxmlformats.org/officeDocument/2006/relationships/table" Target="../tables/table75.xml"/><Relationship Id="rId2" Type="http://schemas.openxmlformats.org/officeDocument/2006/relationships/table" Target="../tables/table74.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sheetPr codeName="Sheet60"/>
  <dimension ref="A2:F38"/>
  <sheetViews>
    <sheetView showGridLines="0" tabSelected="1" zoomScale="80" zoomScaleNormal="80" workbookViewId="0"/>
  </sheetViews>
  <sheetFormatPr defaultRowHeight="12.75"/>
  <cols>
    <col min="1" max="1" width="3.42578125" style="121" customWidth="1"/>
    <col min="2" max="2" width="28.28515625" style="121" customWidth="1"/>
    <col min="3" max="3" width="1" style="121" customWidth="1"/>
    <col min="4" max="4" width="31" customWidth="1"/>
    <col min="5" max="5" width="1.5703125" customWidth="1"/>
    <col min="6" max="6" width="122.42578125" customWidth="1"/>
  </cols>
  <sheetData>
    <row r="2" spans="2:6" ht="22.5">
      <c r="B2" s="2525" t="s">
        <v>2354</v>
      </c>
      <c r="C2" s="2525"/>
    </row>
    <row r="3" spans="2:6" s="121" customFormat="1" ht="22.5">
      <c r="B3" s="2525"/>
      <c r="C3" s="2525"/>
      <c r="E3"/>
    </row>
    <row r="4" spans="2:6" s="2549" customFormat="1" ht="17.25" customHeight="1">
      <c r="B4" s="2550" t="s">
        <v>2543</v>
      </c>
      <c r="C4" s="2548"/>
      <c r="D4" s="2551" t="s">
        <v>2544</v>
      </c>
      <c r="E4" s="741"/>
      <c r="F4" s="2552" t="s">
        <v>2545</v>
      </c>
    </row>
    <row r="5" spans="2:6" s="121" customFormat="1" ht="13.5" customHeight="1">
      <c r="C5" s="2546"/>
      <c r="E5"/>
      <c r="F5" s="40"/>
    </row>
    <row r="6" spans="2:6" s="743" customFormat="1" ht="18">
      <c r="B6" s="2639" t="s">
        <v>2538</v>
      </c>
      <c r="C6" s="768"/>
      <c r="D6" s="2527" t="s">
        <v>2354</v>
      </c>
      <c r="E6"/>
      <c r="F6" s="2555" t="s">
        <v>2368</v>
      </c>
    </row>
    <row r="7" spans="2:6" s="743" customFormat="1" ht="18">
      <c r="B7" s="2639"/>
      <c r="C7" s="768"/>
      <c r="D7" s="2545" t="s">
        <v>2355</v>
      </c>
      <c r="E7"/>
      <c r="F7" s="2556" t="s">
        <v>2370</v>
      </c>
    </row>
    <row r="8" spans="2:6" s="743" customFormat="1" ht="18">
      <c r="B8" s="2639"/>
      <c r="C8" s="768"/>
      <c r="D8" s="2544" t="s">
        <v>2357</v>
      </c>
      <c r="E8"/>
      <c r="F8" s="2556" t="s">
        <v>2371</v>
      </c>
    </row>
    <row r="9" spans="2:6" s="743" customFormat="1" ht="18">
      <c r="B9" s="2639"/>
      <c r="C9" s="768"/>
      <c r="D9" s="2527" t="s">
        <v>2531</v>
      </c>
      <c r="E9"/>
      <c r="F9" s="2555" t="s">
        <v>2532</v>
      </c>
    </row>
    <row r="10" spans="2:6" s="743" customFormat="1" ht="18">
      <c r="B10" s="2639"/>
      <c r="C10" s="768"/>
      <c r="D10" s="2527" t="s">
        <v>2356</v>
      </c>
      <c r="E10"/>
      <c r="F10" s="2555" t="s">
        <v>2369</v>
      </c>
    </row>
    <row r="11" spans="2:6" s="743" customFormat="1" ht="18">
      <c r="B11" s="2639"/>
      <c r="C11" s="768"/>
      <c r="D11" s="2527" t="s">
        <v>2533</v>
      </c>
      <c r="E11"/>
      <c r="F11" s="2555" t="s">
        <v>2534</v>
      </c>
    </row>
    <row r="12" spans="2:6" s="743" customFormat="1" ht="5.25" customHeight="1">
      <c r="B12" s="2553"/>
      <c r="C12" s="753"/>
      <c r="D12" s="2547"/>
      <c r="E12"/>
      <c r="F12" s="2557"/>
    </row>
    <row r="13" spans="2:6" s="743" customFormat="1" ht="18">
      <c r="B13" s="2554" t="s">
        <v>2539</v>
      </c>
      <c r="C13" s="768"/>
      <c r="D13" s="2529" t="s">
        <v>2542</v>
      </c>
      <c r="E13"/>
      <c r="F13" s="2555" t="s">
        <v>2382</v>
      </c>
    </row>
    <row r="14" spans="2:6" s="743" customFormat="1" ht="5.25" customHeight="1">
      <c r="B14" s="2553"/>
      <c r="C14" s="753"/>
      <c r="D14" s="2528"/>
      <c r="E14"/>
      <c r="F14" s="2555"/>
    </row>
    <row r="15" spans="2:6" s="743" customFormat="1" ht="18">
      <c r="B15" s="2639" t="s">
        <v>2535</v>
      </c>
      <c r="C15" s="768"/>
      <c r="D15" s="2530" t="s">
        <v>2372</v>
      </c>
      <c r="E15"/>
      <c r="F15" s="2555" t="s">
        <v>2373</v>
      </c>
    </row>
    <row r="16" spans="2:6" s="743" customFormat="1" ht="18">
      <c r="B16" s="2639"/>
      <c r="C16" s="768"/>
      <c r="D16" s="2530" t="s">
        <v>2358</v>
      </c>
      <c r="E16"/>
      <c r="F16" s="2555" t="s">
        <v>2374</v>
      </c>
    </row>
    <row r="17" spans="2:6" s="743" customFormat="1" ht="18">
      <c r="B17" s="2639"/>
      <c r="C17" s="768"/>
      <c r="D17" s="2530" t="s">
        <v>2359</v>
      </c>
      <c r="E17"/>
      <c r="F17" s="2555" t="s">
        <v>2375</v>
      </c>
    </row>
    <row r="18" spans="2:6" s="743" customFormat="1" ht="18">
      <c r="B18" s="2639"/>
      <c r="C18" s="768"/>
      <c r="D18" s="2530" t="s">
        <v>2360</v>
      </c>
      <c r="E18"/>
      <c r="F18" s="2555" t="s">
        <v>2376</v>
      </c>
    </row>
    <row r="19" spans="2:6" s="743" customFormat="1" ht="5.25" customHeight="1">
      <c r="B19" s="2553"/>
      <c r="C19" s="753"/>
      <c r="D19" s="2547"/>
      <c r="E19"/>
      <c r="F19" s="2557"/>
    </row>
    <row r="20" spans="2:6" s="743" customFormat="1" ht="18">
      <c r="B20" s="2639" t="s">
        <v>2540</v>
      </c>
      <c r="C20" s="768"/>
      <c r="D20" s="2527" t="s">
        <v>2361</v>
      </c>
      <c r="E20"/>
      <c r="F20" s="2555" t="s">
        <v>2378</v>
      </c>
    </row>
    <row r="21" spans="2:6" s="743" customFormat="1" ht="18">
      <c r="B21" s="2639"/>
      <c r="C21" s="768"/>
      <c r="D21" s="2527" t="s">
        <v>2362</v>
      </c>
      <c r="E21"/>
      <c r="F21" s="2555" t="s">
        <v>2379</v>
      </c>
    </row>
    <row r="22" spans="2:6" s="743" customFormat="1" ht="18">
      <c r="B22" s="2639"/>
      <c r="C22" s="768"/>
      <c r="D22" s="2527" t="s">
        <v>2363</v>
      </c>
      <c r="E22"/>
      <c r="F22" s="2555" t="s">
        <v>2380</v>
      </c>
    </row>
    <row r="23" spans="2:6" s="743" customFormat="1" ht="18">
      <c r="B23" s="2639"/>
      <c r="C23" s="768"/>
      <c r="D23" s="2527" t="s">
        <v>2364</v>
      </c>
      <c r="E23"/>
      <c r="F23" s="2555" t="s">
        <v>2377</v>
      </c>
    </row>
    <row r="24" spans="2:6" s="743" customFormat="1" ht="5.25" customHeight="1">
      <c r="B24" s="2553"/>
      <c r="C24" s="753"/>
      <c r="D24" s="2547"/>
      <c r="E24"/>
      <c r="F24" s="2557"/>
    </row>
    <row r="25" spans="2:6" s="743" customFormat="1" ht="18">
      <c r="B25" s="2554" t="s">
        <v>2536</v>
      </c>
      <c r="C25" s="768"/>
      <c r="D25" s="2531" t="s">
        <v>2366</v>
      </c>
      <c r="E25"/>
      <c r="F25" s="2555" t="s">
        <v>2381</v>
      </c>
    </row>
    <row r="26" spans="2:6" s="743" customFormat="1" ht="5.25" customHeight="1">
      <c r="B26" s="2553"/>
      <c r="C26" s="753"/>
      <c r="D26" s="2547"/>
      <c r="E26"/>
      <c r="F26" s="2557"/>
    </row>
    <row r="27" spans="2:6" s="743" customFormat="1" ht="18">
      <c r="B27" s="2639" t="s">
        <v>2537</v>
      </c>
      <c r="C27" s="768"/>
      <c r="D27" s="2532" t="s">
        <v>2554</v>
      </c>
      <c r="E27"/>
      <c r="F27" s="2555" t="s">
        <v>2384</v>
      </c>
    </row>
    <row r="28" spans="2:6" s="743" customFormat="1" ht="18">
      <c r="B28" s="2639"/>
      <c r="C28" s="768"/>
      <c r="D28" s="2532" t="s">
        <v>2555</v>
      </c>
      <c r="E28"/>
      <c r="F28" s="2555" t="s">
        <v>2384</v>
      </c>
    </row>
    <row r="29" spans="2:6" s="743" customFormat="1" ht="18">
      <c r="B29" s="2639"/>
      <c r="C29" s="768"/>
      <c r="D29" s="2532" t="s">
        <v>2367</v>
      </c>
      <c r="E29"/>
      <c r="F29" s="2555" t="s">
        <v>2383</v>
      </c>
    </row>
    <row r="30" spans="2:6" s="743" customFormat="1" ht="5.25" customHeight="1">
      <c r="B30" s="2553"/>
      <c r="C30" s="753"/>
      <c r="D30" s="2547"/>
      <c r="E30"/>
      <c r="F30" s="2557"/>
    </row>
    <row r="31" spans="2:6" s="743" customFormat="1" ht="18">
      <c r="B31" s="2554" t="s">
        <v>123</v>
      </c>
      <c r="C31" s="768"/>
      <c r="D31" s="2527" t="s">
        <v>2365</v>
      </c>
      <c r="E31"/>
      <c r="F31" s="2555" t="s">
        <v>2556</v>
      </c>
    </row>
    <row r="32" spans="2:6" s="743" customFormat="1" ht="15.75">
      <c r="B32" s="753"/>
      <c r="C32" s="753"/>
      <c r="D32" s="2526"/>
      <c r="E32"/>
      <c r="F32" s="2526"/>
    </row>
    <row r="33" spans="2:3" ht="15.75">
      <c r="B33" s="3"/>
      <c r="C33" s="3"/>
    </row>
    <row r="34" spans="2:3" ht="15.75">
      <c r="B34" s="3"/>
      <c r="C34" s="3"/>
    </row>
    <row r="35" spans="2:3" ht="15.75">
      <c r="B35" s="3"/>
      <c r="C35" s="3"/>
    </row>
    <row r="36" spans="2:3" ht="15.75">
      <c r="B36" s="3"/>
      <c r="C36" s="3"/>
    </row>
    <row r="37" spans="2:3" ht="15.75">
      <c r="B37" s="3"/>
      <c r="C37" s="3"/>
    </row>
    <row r="38" spans="2:3" ht="15.75">
      <c r="B38" s="3"/>
      <c r="C38" s="3"/>
    </row>
  </sheetData>
  <mergeCells count="4">
    <mergeCell ref="B6:B11"/>
    <mergeCell ref="B15:B18"/>
    <mergeCell ref="B20:B23"/>
    <mergeCell ref="B27:B29"/>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9">
    <tabColor theme="7" tint="0.39997558519241921"/>
    <pageSetUpPr autoPageBreaks="0"/>
  </sheetPr>
  <dimension ref="A2:K40"/>
  <sheetViews>
    <sheetView showGridLines="0" showRowColHeaders="0" zoomScale="80" zoomScaleNormal="80" workbookViewId="0"/>
  </sheetViews>
  <sheetFormatPr defaultRowHeight="12.75"/>
  <cols>
    <col min="1" max="1" width="2.85546875" customWidth="1"/>
    <col min="2" max="2" width="35" customWidth="1"/>
    <col min="3" max="3" width="26.28515625" customWidth="1"/>
    <col min="5" max="5" width="18.7109375" style="121" bestFit="1" customWidth="1"/>
    <col min="6" max="6" width="14.140625" customWidth="1"/>
    <col min="7" max="8" width="14.140625" style="121" customWidth="1"/>
    <col min="10" max="10" width="24.140625" customWidth="1"/>
    <col min="11" max="11" width="12.28515625" bestFit="1" customWidth="1"/>
  </cols>
  <sheetData>
    <row r="2" spans="1:11" ht="18" customHeight="1">
      <c r="B2" s="29" t="s">
        <v>383</v>
      </c>
      <c r="C2" s="121"/>
      <c r="E2" s="29" t="s">
        <v>621</v>
      </c>
      <c r="F2" s="121"/>
      <c r="H2" s="20" t="str">
        <f>"per " &amp; Preferences.EnergyUnits</f>
        <v>per TWh</v>
      </c>
      <c r="J2" s="29" t="s">
        <v>628</v>
      </c>
      <c r="K2" s="29"/>
    </row>
    <row r="3" spans="1:11" ht="6.75" customHeight="1">
      <c r="B3" s="246"/>
      <c r="C3" s="121"/>
      <c r="E3" s="246"/>
      <c r="F3" s="121"/>
      <c r="J3" s="246"/>
      <c r="K3" s="246"/>
    </row>
    <row r="4" spans="1:11" s="121" customFormat="1" ht="6.75" customHeight="1">
      <c r="B4" s="246"/>
      <c r="E4" s="246"/>
      <c r="J4" s="246"/>
      <c r="K4" s="246"/>
    </row>
    <row r="5" spans="1:11" ht="18.75" customHeight="1">
      <c r="B5" s="34" t="s">
        <v>379</v>
      </c>
      <c r="C5" s="935" t="str">
        <f>Preferences.EnergyUnits &amp; " / kg"</f>
        <v>TWh / kg</v>
      </c>
      <c r="E5" s="34" t="s">
        <v>624</v>
      </c>
      <c r="F5" s="35" t="s">
        <v>648</v>
      </c>
      <c r="G5" s="35" t="s">
        <v>649</v>
      </c>
      <c r="H5" s="35" t="s">
        <v>650</v>
      </c>
      <c r="J5" s="34" t="s">
        <v>14</v>
      </c>
      <c r="K5" s="34" t="s">
        <v>629</v>
      </c>
    </row>
    <row r="6" spans="1:11" ht="15.75">
      <c r="A6" s="3"/>
      <c r="B6" s="30" t="s">
        <v>375</v>
      </c>
      <c r="C6" s="247">
        <f>'DUKES 09 (A.1)'!$C$7*Unit.GJ/1000</f>
        <v>7.2500000000000004E-9</v>
      </c>
      <c r="E6" s="30" t="s">
        <v>622</v>
      </c>
      <c r="F6" s="247">
        <f>0.308/1000000000/Unit.kWh</f>
        <v>0.30799999999999994</v>
      </c>
      <c r="G6" s="247">
        <f>(13.56 / 96935) * EF.IndustrialCoal.CO2 * GWP.CH4</f>
        <v>9.0479269613658628E-4</v>
      </c>
      <c r="H6" s="247">
        <f>(2.77 / 96935) *EF.IndustrialCoal.CO2 * GWP.N2O</f>
        <v>2.7284221385464481E-3</v>
      </c>
      <c r="J6" s="30" t="s">
        <v>630</v>
      </c>
      <c r="K6" s="30">
        <v>1</v>
      </c>
    </row>
    <row r="7" spans="1:11" ht="15.75">
      <c r="A7" s="3"/>
      <c r="B7" s="30" t="s">
        <v>378</v>
      </c>
      <c r="C7" s="247">
        <f>'DUKES 09 (A.1)'!$C$38*Unit.GJ/1000</f>
        <v>8.277777777777778E-9</v>
      </c>
      <c r="E7" s="30" t="s">
        <v>623</v>
      </c>
      <c r="F7" s="247">
        <f>0.25/1000000000/Unit.kWh</f>
        <v>0.25</v>
      </c>
      <c r="G7" s="247">
        <f>(4.28 / 72193) * EF.Diesel.CO2 * GWP.CH4</f>
        <v>3.1124901306220826E-4</v>
      </c>
      <c r="H7" s="247">
        <f>(4.19 / 72193)*EF.Diesel.CO2 * GWP.N2O</f>
        <v>4.4980122726580142E-3</v>
      </c>
      <c r="J7" s="30" t="s">
        <v>631</v>
      </c>
      <c r="K7" s="30">
        <v>21</v>
      </c>
    </row>
    <row r="8" spans="1:11" ht="15.75">
      <c r="A8" s="3"/>
      <c r="B8" s="30" t="s">
        <v>348</v>
      </c>
      <c r="C8" s="247">
        <f>'DUKES 09 (A.1)'!$C$39*Unit.GJ/1000</f>
        <v>6.8888888888888888E-9</v>
      </c>
      <c r="E8" s="30" t="s">
        <v>275</v>
      </c>
      <c r="F8" s="247">
        <f>0.184/1000000000/Unit.kWh</f>
        <v>0.18399999999999997</v>
      </c>
      <c r="G8" s="247">
        <f>(5.49 / 57516) * EF.NaturalGas.CO2 * GWP.CH4</f>
        <v>3.6882537033173374E-4</v>
      </c>
      <c r="H8" s="247">
        <f>(0.4 / 57516) *EF.NaturalGas.CO2 * GWP.N2O</f>
        <v>3.9668961680228111E-4</v>
      </c>
      <c r="J8" s="30" t="s">
        <v>632</v>
      </c>
      <c r="K8" s="30">
        <v>310</v>
      </c>
    </row>
    <row r="9" spans="1:11" ht="15.75">
      <c r="A9" s="3"/>
      <c r="B9" s="30" t="s">
        <v>349</v>
      </c>
      <c r="C9" s="247">
        <f>'DUKES 09 (A.1)'!$C$40*Unit.GJ/1000</f>
        <v>9.0555555555555567E-9</v>
      </c>
      <c r="E9" s="32" t="s">
        <v>268</v>
      </c>
      <c r="F9" s="248">
        <f>(44/12)*6.273/1000/1000000/Unit.therm</f>
        <v>0.78482259931212373</v>
      </c>
      <c r="G9" s="248"/>
      <c r="H9" s="248"/>
      <c r="J9" s="30" t="s">
        <v>633</v>
      </c>
      <c r="K9" s="682" t="s">
        <v>636</v>
      </c>
    </row>
    <row r="10" spans="1:11" ht="15.75">
      <c r="A10" s="3"/>
      <c r="B10" s="30"/>
      <c r="C10" s="36"/>
      <c r="E10" s="30"/>
      <c r="F10" s="36"/>
      <c r="G10" s="36"/>
      <c r="H10" s="36"/>
      <c r="J10" s="30" t="s">
        <v>634</v>
      </c>
      <c r="K10" s="682" t="s">
        <v>637</v>
      </c>
    </row>
    <row r="11" spans="1:11" ht="15.75">
      <c r="A11" s="3"/>
      <c r="B11" s="684" t="s">
        <v>904</v>
      </c>
      <c r="C11" s="936" t="str">
        <f>Preferences.EnergyUnits &amp; " / kg"</f>
        <v>TWh / kg</v>
      </c>
      <c r="E11"/>
      <c r="J11" s="32" t="s">
        <v>635</v>
      </c>
      <c r="K11" s="683">
        <v>23900</v>
      </c>
    </row>
    <row r="12" spans="1:11" s="121" customFormat="1" ht="15.75">
      <c r="A12" s="3"/>
      <c r="B12" s="1131" t="s">
        <v>1037</v>
      </c>
      <c r="C12" s="247">
        <f>'DUKES 09 (A.1)'!$F$20*Unit.GJ/1000</f>
        <v>1.2681685784924602E-8</v>
      </c>
      <c r="J12" s="30"/>
      <c r="K12" s="1129"/>
    </row>
    <row r="13" spans="1:11" ht="15.75">
      <c r="A13" s="3"/>
      <c r="B13" s="30" t="s">
        <v>905</v>
      </c>
      <c r="C13" s="247">
        <f>'DUKES 09 (A.1)'!$F$21*Unit.GJ/1000</f>
        <v>1.2793750995122346E-8</v>
      </c>
      <c r="E13" s="687"/>
      <c r="F13" s="686"/>
      <c r="G13" s="686"/>
    </row>
    <row r="14" spans="1:11" s="121" customFormat="1" ht="15.75">
      <c r="A14" s="3"/>
      <c r="B14" s="30" t="s">
        <v>908</v>
      </c>
      <c r="C14" s="247">
        <f>'DUKES 09 (A.1)'!$F$28*Unit.GJ/1000</f>
        <v>1.3081411266069852E-8</v>
      </c>
      <c r="E14" s="687"/>
      <c r="F14" s="686"/>
      <c r="G14" s="686"/>
    </row>
    <row r="15" spans="1:11" s="121" customFormat="1" ht="15.75">
      <c r="A15" s="3"/>
      <c r="B15" s="30" t="s">
        <v>909</v>
      </c>
      <c r="C15" s="247">
        <f>'DUKES 09 (A.1)'!$F$30*Unit.GJ/1000</f>
        <v>1.2651871239786547E-8</v>
      </c>
      <c r="E15" s="687"/>
      <c r="F15" s="686"/>
      <c r="G15" s="686"/>
    </row>
    <row r="16" spans="1:11" s="121" customFormat="1" ht="15.75">
      <c r="A16" s="3"/>
      <c r="B16" s="32" t="s">
        <v>923</v>
      </c>
      <c r="C16" s="248">
        <f>'DUKES 09 (A.1)'!$F$27*Unit.GJ/1000</f>
        <v>1.2827208886163561E-8</v>
      </c>
      <c r="E16" s="687"/>
      <c r="F16" s="686"/>
      <c r="G16" s="686"/>
    </row>
    <row r="17" spans="1:10" ht="15" customHeight="1">
      <c r="B17" s="30"/>
      <c r="C17" s="36"/>
    </row>
    <row r="18" spans="1:10" ht="15.75">
      <c r="A18" s="3"/>
      <c r="B18" s="684" t="s">
        <v>380</v>
      </c>
      <c r="C18" s="936" t="str">
        <f>Preferences.EnergyUnits &amp; " / cubic metre"</f>
        <v>TWh / cubic metre</v>
      </c>
      <c r="E18" s="24" t="s">
        <v>640</v>
      </c>
      <c r="J18" s="24" t="s">
        <v>641</v>
      </c>
    </row>
    <row r="19" spans="1:10" s="121" customFormat="1" ht="15.75">
      <c r="A19" s="3"/>
      <c r="B19" s="1130" t="s">
        <v>1038</v>
      </c>
      <c r="C19" s="247">
        <f>'DUKES 09 (A.1)'!$F$37*Unit.MJ</f>
        <v>1.1016960011247869E-8</v>
      </c>
      <c r="E19" s="24"/>
      <c r="J19" s="24"/>
    </row>
    <row r="20" spans="1:10" ht="15.75">
      <c r="A20" s="3"/>
      <c r="B20" s="30" t="s">
        <v>381</v>
      </c>
      <c r="C20" s="247">
        <f>'DUKES 09 (A.1)'!$F$38*Unit.MJ</f>
        <v>1.0944444444444444E-8</v>
      </c>
      <c r="E20" s="246" t="s">
        <v>639</v>
      </c>
      <c r="J20" s="246" t="s">
        <v>642</v>
      </c>
    </row>
    <row r="21" spans="1:10" ht="15.75">
      <c r="A21" s="3"/>
      <c r="B21" s="30" t="s">
        <v>273</v>
      </c>
      <c r="C21" s="247">
        <f>'DUKES 09 (A.1)'!$F$39*Unit.MJ</f>
        <v>5.0000000000000001E-9</v>
      </c>
      <c r="E21" s="246" t="s">
        <v>638</v>
      </c>
    </row>
    <row r="22" spans="1:10" ht="15.75">
      <c r="A22" s="3"/>
      <c r="B22" s="30" t="s">
        <v>268</v>
      </c>
      <c r="C22" s="247">
        <f>'DUKES 09 (A.1)'!$F$40*Unit.MJ</f>
        <v>8.3333333333333335E-10</v>
      </c>
      <c r="E22" s="246" t="s">
        <v>644</v>
      </c>
    </row>
    <row r="23" spans="1:10" ht="15.75">
      <c r="A23" s="3"/>
      <c r="B23" s="30" t="s">
        <v>227</v>
      </c>
      <c r="C23" s="247">
        <f>23*Unit.MJ</f>
        <v>6.3888888888888885E-9</v>
      </c>
      <c r="E23"/>
    </row>
    <row r="24" spans="1:10" ht="15.75">
      <c r="A24" s="3"/>
      <c r="B24" s="32" t="s">
        <v>382</v>
      </c>
      <c r="C24" s="248">
        <f>23*Unit.MJ</f>
        <v>6.3888888888888885E-9</v>
      </c>
      <c r="E24" s="24" t="s">
        <v>643</v>
      </c>
    </row>
    <row r="25" spans="1:10">
      <c r="E25" s="246" t="s">
        <v>645</v>
      </c>
    </row>
    <row r="26" spans="1:10">
      <c r="B26" s="24" t="s">
        <v>641</v>
      </c>
      <c r="E26" s="246" t="s">
        <v>646</v>
      </c>
    </row>
    <row r="27" spans="1:10">
      <c r="B27" s="246" t="s">
        <v>906</v>
      </c>
      <c r="E27" s="246" t="s">
        <v>647</v>
      </c>
    </row>
    <row r="30" spans="1:10" ht="18.75">
      <c r="B30" s="29" t="s">
        <v>910</v>
      </c>
      <c r="C30" s="121"/>
    </row>
    <row r="31" spans="1:10">
      <c r="B31" s="246"/>
      <c r="C31" s="121"/>
    </row>
    <row r="32" spans="1:10" ht="15.75">
      <c r="A32" s="3"/>
      <c r="B32" s="34" t="s">
        <v>911</v>
      </c>
      <c r="C32" s="935" t="s">
        <v>907</v>
      </c>
    </row>
    <row r="33" spans="1:3" ht="15.75">
      <c r="A33" s="3"/>
      <c r="B33" s="30" t="s">
        <v>913</v>
      </c>
      <c r="C33" s="247">
        <f>(1/1362)*1000</f>
        <v>0.73421439060205573</v>
      </c>
    </row>
    <row r="34" spans="1:3" ht="15.75">
      <c r="A34" s="3"/>
      <c r="B34" s="32" t="s">
        <v>914</v>
      </c>
      <c r="C34" s="248">
        <f>(1/1198)*1000</f>
        <v>0.8347245409015025</v>
      </c>
    </row>
    <row r="35" spans="1:3" ht="15.75">
      <c r="A35" s="3"/>
      <c r="B35" s="30"/>
      <c r="C35" s="247"/>
    </row>
    <row r="36" spans="1:3" ht="15.75">
      <c r="A36" s="3"/>
      <c r="B36" s="30"/>
      <c r="C36" s="247"/>
    </row>
    <row r="39" spans="1:3">
      <c r="B39" s="38" t="s">
        <v>641</v>
      </c>
    </row>
    <row r="40" spans="1:3">
      <c r="B40" s="830" t="s">
        <v>912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44">
    <tabColor theme="7" tint="0.39997558519241921"/>
    <pageSetUpPr autoPageBreaks="0"/>
  </sheetPr>
  <dimension ref="A1:G55"/>
  <sheetViews>
    <sheetView showGridLines="0" showRowColHeaders="0" zoomScale="80" zoomScaleNormal="80" workbookViewId="0"/>
  </sheetViews>
  <sheetFormatPr defaultRowHeight="12.75"/>
  <cols>
    <col min="1" max="1" width="1.140625" customWidth="1"/>
    <col min="3" max="3" width="28.140625" style="121" bestFit="1" customWidth="1"/>
    <col min="4" max="4" width="9.7109375" customWidth="1"/>
    <col min="5" max="5" width="9.5703125" customWidth="1"/>
    <col min="6" max="6" width="9.7109375" customWidth="1"/>
    <col min="7" max="7" width="49.7109375" bestFit="1" customWidth="1"/>
  </cols>
  <sheetData>
    <row r="1" spans="1:7" s="121" customFormat="1" ht="15.75">
      <c r="B1" s="809" t="s">
        <v>1068</v>
      </c>
    </row>
    <row r="2" spans="1:7" s="121" customFormat="1">
      <c r="B2" s="121" t="s">
        <v>2546</v>
      </c>
      <c r="G2" s="20" t="str">
        <f>"Mt CO2e per " &amp; Preferences.EnergyUnits</f>
        <v>Mt CO2e per TWh</v>
      </c>
    </row>
    <row r="4" spans="1:7" ht="18">
      <c r="A4" s="767"/>
      <c r="B4" s="743" t="s">
        <v>78</v>
      </c>
      <c r="C4" s="743" t="s">
        <v>79</v>
      </c>
      <c r="D4" s="743" t="s">
        <v>1055</v>
      </c>
      <c r="E4" s="743" t="s">
        <v>1056</v>
      </c>
      <c r="F4" s="743" t="s">
        <v>1057</v>
      </c>
      <c r="G4" s="743" t="s">
        <v>670</v>
      </c>
    </row>
    <row r="5" spans="1:7" ht="15.75">
      <c r="A5" s="3"/>
      <c r="B5" s="743" t="s">
        <v>34</v>
      </c>
      <c r="C5" s="743" t="str">
        <f>INDEX(Vectors[Description], MATCH([Vector], Vectors[Code], 0))</f>
        <v>Conversion losses</v>
      </c>
      <c r="D5" s="840">
        <v>0</v>
      </c>
      <c r="E5" s="840">
        <v>0</v>
      </c>
      <c r="F5" s="840">
        <v>0</v>
      </c>
      <c r="G5" s="743"/>
    </row>
    <row r="6" spans="1:7" ht="15.75">
      <c r="A6" s="3"/>
      <c r="B6" s="743" t="s">
        <v>35</v>
      </c>
      <c r="C6" s="743" t="str">
        <f>INDEX(Vectors[Description], MATCH([Vector], Vectors[Code], 0))</f>
        <v>Distribution losses and own use</v>
      </c>
      <c r="D6" s="840">
        <v>0</v>
      </c>
      <c r="E6" s="840">
        <v>0</v>
      </c>
      <c r="F6" s="840">
        <v>0</v>
      </c>
      <c r="G6" s="743"/>
    </row>
    <row r="7" spans="1:7" ht="15.75">
      <c r="A7" s="3"/>
      <c r="B7" s="743" t="s">
        <v>61</v>
      </c>
      <c r="C7" s="743" t="str">
        <f>INDEX(Vectors[Description], MATCH([Vector], Vectors[Code], 0))</f>
        <v>Unallocated</v>
      </c>
      <c r="D7" s="840">
        <v>0</v>
      </c>
      <c r="E7" s="840">
        <v>0</v>
      </c>
      <c r="F7" s="840">
        <v>0</v>
      </c>
      <c r="G7" s="743"/>
    </row>
    <row r="8" spans="1:7" ht="15.75">
      <c r="A8" s="3"/>
      <c r="B8" s="743" t="s">
        <v>36</v>
      </c>
      <c r="C8" s="743" t="str">
        <f>INDEX(Vectors[Description], MATCH([Vector], Vectors[Code], 0))</f>
        <v>Road transport</v>
      </c>
      <c r="D8" s="840">
        <v>0</v>
      </c>
      <c r="E8" s="840">
        <v>0</v>
      </c>
      <c r="F8" s="840">
        <v>0</v>
      </c>
      <c r="G8" s="743"/>
    </row>
    <row r="9" spans="1:7" ht="15.75">
      <c r="A9" s="3"/>
      <c r="B9" s="743" t="s">
        <v>37</v>
      </c>
      <c r="C9" s="743" t="str">
        <f>INDEX(Vectors[Description], MATCH([Vector], Vectors[Code], 0))</f>
        <v>Rail transport</v>
      </c>
      <c r="D9" s="840">
        <v>0</v>
      </c>
      <c r="E9" s="840">
        <v>0</v>
      </c>
      <c r="F9" s="840">
        <v>0</v>
      </c>
      <c r="G9" s="743"/>
    </row>
    <row r="10" spans="1:7" ht="15.75">
      <c r="A10" s="3"/>
      <c r="B10" s="743" t="s">
        <v>38</v>
      </c>
      <c r="C10" s="743" t="str">
        <f>INDEX(Vectors[Description], MATCH([Vector], Vectors[Code], 0))</f>
        <v>Domestic aviation</v>
      </c>
      <c r="D10" s="840">
        <v>0</v>
      </c>
      <c r="E10" s="840">
        <v>0</v>
      </c>
      <c r="F10" s="840">
        <v>0</v>
      </c>
      <c r="G10" s="743"/>
    </row>
    <row r="11" spans="1:7" ht="15.75">
      <c r="A11" s="3"/>
      <c r="B11" s="743" t="s">
        <v>39</v>
      </c>
      <c r="C11" s="743" t="str">
        <f>INDEX(Vectors[Description], MATCH([Vector], Vectors[Code], 0))</f>
        <v>National navigation</v>
      </c>
      <c r="D11" s="840">
        <v>0</v>
      </c>
      <c r="E11" s="840">
        <v>0</v>
      </c>
      <c r="F11" s="840">
        <v>0</v>
      </c>
      <c r="G11" s="743"/>
    </row>
    <row r="12" spans="1:7" ht="15.75">
      <c r="A12" s="3"/>
      <c r="B12" s="743" t="s">
        <v>966</v>
      </c>
      <c r="C12" s="743" t="str">
        <f>INDEX(Vectors[Description], MATCH([Vector], Vectors[Code], 0))</f>
        <v>International aviation</v>
      </c>
      <c r="D12" s="840">
        <v>0</v>
      </c>
      <c r="E12" s="840">
        <v>0</v>
      </c>
      <c r="F12" s="840">
        <v>0</v>
      </c>
      <c r="G12" s="743"/>
    </row>
    <row r="13" spans="1:7" ht="15.75">
      <c r="A13" s="3"/>
      <c r="B13" s="743" t="s">
        <v>967</v>
      </c>
      <c r="C13" s="743" t="str">
        <f>INDEX(Vectors[Description], MATCH([Vector], Vectors[Code], 0))</f>
        <v>International shipping</v>
      </c>
      <c r="D13" s="840">
        <v>0</v>
      </c>
      <c r="E13" s="840">
        <v>0</v>
      </c>
      <c r="F13" s="840">
        <v>0</v>
      </c>
      <c r="G13" s="743"/>
    </row>
    <row r="14" spans="1:7" ht="15.75">
      <c r="A14" s="3"/>
      <c r="B14" s="743" t="s">
        <v>13</v>
      </c>
      <c r="C14" s="743" t="str">
        <f>INDEX(Vectors[Description], MATCH([Vector], Vectors[Code], 0))</f>
        <v>Industry</v>
      </c>
      <c r="D14" s="840">
        <v>0</v>
      </c>
      <c r="E14" s="840">
        <v>0</v>
      </c>
      <c r="F14" s="840">
        <v>0</v>
      </c>
      <c r="G14" s="743"/>
    </row>
    <row r="15" spans="1:7" ht="15.75">
      <c r="A15" s="3"/>
      <c r="B15" s="743" t="s">
        <v>6</v>
      </c>
      <c r="C15" s="743" t="str">
        <f>INDEX(Vectors[Description], MATCH([Vector], Vectors[Code], 0))</f>
        <v>Heating and cooling</v>
      </c>
      <c r="D15" s="840">
        <v>0</v>
      </c>
      <c r="E15" s="840">
        <v>0</v>
      </c>
      <c r="F15" s="840">
        <v>0</v>
      </c>
      <c r="G15" s="743"/>
    </row>
    <row r="16" spans="1:7" ht="15.75">
      <c r="A16" s="3"/>
      <c r="B16" s="743" t="s">
        <v>57</v>
      </c>
      <c r="C16" s="743" t="str">
        <f>INDEX(Vectors[Description], MATCH([Vector], Vectors[Code], 0))</f>
        <v>Lighting &amp; appliances</v>
      </c>
      <c r="D16" s="840">
        <v>0</v>
      </c>
      <c r="E16" s="840">
        <v>0</v>
      </c>
      <c r="F16" s="840">
        <v>0</v>
      </c>
      <c r="G16" s="743"/>
    </row>
    <row r="17" spans="1:7" ht="15.75">
      <c r="A17" s="3"/>
      <c r="B17" s="743" t="s">
        <v>40</v>
      </c>
      <c r="C17" s="743" t="str">
        <f>INDEX(Vectors[Description], MATCH([Vector], Vectors[Code], 0))</f>
        <v>Food consumption [UNUSED]</v>
      </c>
      <c r="D17" s="840">
        <v>0</v>
      </c>
      <c r="E17" s="840">
        <v>0</v>
      </c>
      <c r="F17" s="840">
        <v>0</v>
      </c>
      <c r="G17" s="743"/>
    </row>
    <row r="18" spans="1:7" ht="15.75">
      <c r="A18" s="3"/>
      <c r="B18" s="743" t="s">
        <v>7</v>
      </c>
      <c r="C18" s="743" t="str">
        <f>INDEX(Vectors[Description], MATCH([Vector], Vectors[Code], 0))</f>
        <v>Nuclear fission</v>
      </c>
      <c r="D18" s="840">
        <v>0</v>
      </c>
      <c r="E18" s="840">
        <v>0</v>
      </c>
      <c r="F18" s="840">
        <v>0</v>
      </c>
      <c r="G18" s="743"/>
    </row>
    <row r="19" spans="1:7" ht="15.75">
      <c r="A19" s="3"/>
      <c r="B19" s="743" t="s">
        <v>33</v>
      </c>
      <c r="C19" s="743" t="str">
        <f>INDEX(Vectors[Description], MATCH([Vector], Vectors[Code], 0))</f>
        <v>Solar</v>
      </c>
      <c r="D19" s="840">
        <v>0</v>
      </c>
      <c r="E19" s="840">
        <v>0</v>
      </c>
      <c r="F19" s="840">
        <v>0</v>
      </c>
      <c r="G19" s="743"/>
    </row>
    <row r="20" spans="1:7" ht="15.75">
      <c r="A20" s="3"/>
      <c r="B20" s="743" t="s">
        <v>8</v>
      </c>
      <c r="C20" s="743" t="str">
        <f>INDEX(Vectors[Description], MATCH([Vector], Vectors[Code], 0))</f>
        <v>Wind</v>
      </c>
      <c r="D20" s="840">
        <v>0</v>
      </c>
      <c r="E20" s="840">
        <v>0</v>
      </c>
      <c r="F20" s="840">
        <v>0</v>
      </c>
      <c r="G20" s="743"/>
    </row>
    <row r="21" spans="1:7" ht="15.75">
      <c r="A21" s="3"/>
      <c r="B21" s="743" t="s">
        <v>9</v>
      </c>
      <c r="C21" s="743" t="str">
        <f>INDEX(Vectors[Description], MATCH([Vector], Vectors[Code], 0))</f>
        <v>Tidal</v>
      </c>
      <c r="D21" s="840">
        <v>0</v>
      </c>
      <c r="E21" s="840">
        <v>0</v>
      </c>
      <c r="F21" s="840">
        <v>0</v>
      </c>
      <c r="G21" s="743"/>
    </row>
    <row r="22" spans="1:7" ht="15.75">
      <c r="A22" s="3"/>
      <c r="B22" s="743" t="s">
        <v>10</v>
      </c>
      <c r="C22" s="743" t="str">
        <f>INDEX(Vectors[Description], MATCH([Vector], Vectors[Code], 0))</f>
        <v>Wave</v>
      </c>
      <c r="D22" s="840">
        <v>0</v>
      </c>
      <c r="E22" s="840">
        <v>0</v>
      </c>
      <c r="F22" s="840">
        <v>0</v>
      </c>
      <c r="G22" s="743"/>
    </row>
    <row r="23" spans="1:7" ht="15.75">
      <c r="A23" s="3"/>
      <c r="B23" s="743" t="s">
        <v>11</v>
      </c>
      <c r="C23" s="743" t="str">
        <f>INDEX(Vectors[Description], MATCH([Vector], Vectors[Code], 0))</f>
        <v>Geothermal</v>
      </c>
      <c r="D23" s="840">
        <v>0</v>
      </c>
      <c r="E23" s="840">
        <v>0</v>
      </c>
      <c r="F23" s="840">
        <v>0</v>
      </c>
      <c r="G23" s="743"/>
    </row>
    <row r="24" spans="1:7" ht="15.75">
      <c r="A24" s="3"/>
      <c r="B24" s="743" t="s">
        <v>12</v>
      </c>
      <c r="C24" s="743" t="str">
        <f>INDEX(Vectors[Description], MATCH([Vector], Vectors[Code], 0))</f>
        <v>Hydro</v>
      </c>
      <c r="D24" s="840">
        <v>0</v>
      </c>
      <c r="E24" s="840">
        <v>0</v>
      </c>
      <c r="F24" s="840">
        <v>0</v>
      </c>
      <c r="G24" s="743"/>
    </row>
    <row r="25" spans="1:7" ht="15.75">
      <c r="A25" s="3"/>
      <c r="B25" s="743" t="s">
        <v>104</v>
      </c>
      <c r="C25" s="743" t="str">
        <f>INDEX(Vectors[Description], MATCH([Vector], Vectors[Code], 0))</f>
        <v>Environmental heat</v>
      </c>
      <c r="D25" s="840">
        <v>0</v>
      </c>
      <c r="E25" s="840">
        <v>0</v>
      </c>
      <c r="F25" s="840">
        <v>0</v>
      </c>
      <c r="G25" s="743"/>
    </row>
    <row r="26" spans="1:7" ht="15.75">
      <c r="A26" s="3"/>
      <c r="B26" s="743" t="s">
        <v>1027</v>
      </c>
      <c r="C26" s="743" t="str">
        <f>INDEX(Vectors[Description], MATCH([Vector], Vectors[Code], 0))</f>
        <v>Agriculture</v>
      </c>
      <c r="D26" s="840">
        <v>0</v>
      </c>
      <c r="E26" s="840">
        <v>0</v>
      </c>
      <c r="F26" s="840">
        <v>0</v>
      </c>
      <c r="G26" s="743"/>
    </row>
    <row r="27" spans="1:7" ht="15.75">
      <c r="A27" s="3"/>
      <c r="B27" s="743" t="s">
        <v>54</v>
      </c>
      <c r="C27" s="743" t="str">
        <f>INDEX(Vectors[Description], MATCH([Vector], Vectors[Code], 0))</f>
        <v>Waste</v>
      </c>
      <c r="D27" s="840">
        <v>0</v>
      </c>
      <c r="E27" s="840">
        <v>0</v>
      </c>
      <c r="F27" s="840">
        <v>0</v>
      </c>
      <c r="G27" s="743"/>
    </row>
    <row r="28" spans="1:7" ht="15.75">
      <c r="A28" s="3"/>
      <c r="B28" s="743" t="s">
        <v>59</v>
      </c>
      <c r="C28" s="743" t="str">
        <f>INDEX(Vectors[Description], MATCH([Vector], Vectors[Code], 0))</f>
        <v>Biomatter exports (imports)</v>
      </c>
      <c r="D28" s="840">
        <v>0</v>
      </c>
      <c r="E28" s="840">
        <v>0</v>
      </c>
      <c r="F28" s="840">
        <v>0</v>
      </c>
      <c r="G28" s="743"/>
    </row>
    <row r="29" spans="1:7" ht="15.75">
      <c r="A29" s="3"/>
      <c r="B29" s="743" t="s">
        <v>60</v>
      </c>
      <c r="C29" s="743" t="str">
        <f>INDEX(Vectors[Description], MATCH([Vector], Vectors[Code], 0))</f>
        <v>Electricity exports (imports)</v>
      </c>
      <c r="D29" s="840">
        <v>0</v>
      </c>
      <c r="E29" s="840">
        <v>0</v>
      </c>
      <c r="F29" s="840">
        <v>0</v>
      </c>
      <c r="G29" s="743"/>
    </row>
    <row r="30" spans="1:7" ht="15.75">
      <c r="A30" s="3"/>
      <c r="B30" s="743" t="s">
        <v>799</v>
      </c>
      <c r="C30" s="743" t="str">
        <f>INDEX(Vectors[Description], MATCH([Vector], Vectors[Code], 0))</f>
        <v>Petroleum products exports</v>
      </c>
      <c r="D30" s="840">
        <v>0</v>
      </c>
      <c r="E30" s="840">
        <v>0</v>
      </c>
      <c r="F30" s="840">
        <v>0</v>
      </c>
      <c r="G30" s="743"/>
    </row>
    <row r="31" spans="1:7" ht="15.75">
      <c r="A31" s="3"/>
      <c r="B31" s="743" t="s">
        <v>991</v>
      </c>
      <c r="C31" s="743" t="str">
        <f>INDEX(Vectors[Description], MATCH([Vector], Vectors[Code], 0))</f>
        <v>Coal exports (imports)</v>
      </c>
      <c r="D31" s="840">
        <v>0</v>
      </c>
      <c r="E31" s="840">
        <v>0</v>
      </c>
      <c r="F31" s="840">
        <v>0</v>
      </c>
      <c r="G31" s="743"/>
    </row>
    <row r="32" spans="1:7" ht="15.75">
      <c r="A32" s="3"/>
      <c r="B32" s="743" t="s">
        <v>992</v>
      </c>
      <c r="C32" s="743" t="str">
        <f>INDEX(Vectors[Description], MATCH([Vector], Vectors[Code], 0))</f>
        <v>Oil and petroleum products exports (imports)</v>
      </c>
      <c r="D32" s="840">
        <v>0</v>
      </c>
      <c r="E32" s="840">
        <v>0</v>
      </c>
      <c r="F32" s="840">
        <v>0</v>
      </c>
      <c r="G32" s="743"/>
    </row>
    <row r="33" spans="1:7" ht="15.75">
      <c r="A33" s="3"/>
      <c r="B33" s="743" t="s">
        <v>993</v>
      </c>
      <c r="C33" s="743" t="str">
        <f>INDEX(Vectors[Description], MATCH([Vector], Vectors[Code], 0))</f>
        <v>Gas exports (imports)</v>
      </c>
      <c r="D33" s="840">
        <v>0</v>
      </c>
      <c r="E33" s="840">
        <v>0</v>
      </c>
      <c r="F33" s="840">
        <v>0</v>
      </c>
      <c r="G33" s="743"/>
    </row>
    <row r="34" spans="1:7" ht="15.75">
      <c r="A34" s="3"/>
      <c r="B34" s="743" t="s">
        <v>999</v>
      </c>
      <c r="C34" s="743" t="str">
        <f>INDEX(Vectors[Description], MATCH([Vector], Vectors[Code], 0))</f>
        <v>Coal reserves</v>
      </c>
      <c r="D34" s="247">
        <f>EF.IndustrialCoal.CO2</f>
        <v>0.30799999999999994</v>
      </c>
      <c r="E34" s="247">
        <f>EF.IndustrialCoal.CH4</f>
        <v>9.0479269613658628E-4</v>
      </c>
      <c r="F34" s="247">
        <f>EF.IndustrialCoal.N2O</f>
        <v>2.7284221385464481E-3</v>
      </c>
      <c r="G34" s="743" t="s">
        <v>1069</v>
      </c>
    </row>
    <row r="35" spans="1:7" ht="15.75">
      <c r="A35" s="3"/>
      <c r="B35" s="743" t="s">
        <v>1000</v>
      </c>
      <c r="C35" s="743" t="str">
        <f>INDEX(Vectors[Description], MATCH([Vector], Vectors[Code], 0))</f>
        <v>Oil reserves</v>
      </c>
      <c r="D35" s="247">
        <f>EF.Diesel.CO2</f>
        <v>0.25</v>
      </c>
      <c r="E35" s="247">
        <f>EF.Diesel.CH4</f>
        <v>3.1124901306220826E-4</v>
      </c>
      <c r="F35" s="247">
        <f>EF.Diesel.N2O</f>
        <v>4.4980122726580142E-3</v>
      </c>
      <c r="G35" s="743" t="s">
        <v>1070</v>
      </c>
    </row>
    <row r="36" spans="1:7" ht="15.75">
      <c r="A36" s="3"/>
      <c r="B36" s="743" t="s">
        <v>1001</v>
      </c>
      <c r="C36" s="743" t="str">
        <f>INDEX(Vectors[Description], MATCH([Vector], Vectors[Code], 0))</f>
        <v>Gas reserves</v>
      </c>
      <c r="D36" s="247">
        <f>EF.NaturalGas.CO2</f>
        <v>0.18399999999999997</v>
      </c>
      <c r="E36" s="247">
        <f>EF.NaturalGas.CH4</f>
        <v>3.6882537033173374E-4</v>
      </c>
      <c r="F36" s="247">
        <f>EF.NaturalGas.N2O</f>
        <v>3.9668961680228111E-4</v>
      </c>
      <c r="G36" s="743" t="s">
        <v>1071</v>
      </c>
    </row>
    <row r="37" spans="1:7" ht="15.75">
      <c r="A37" s="3"/>
      <c r="B37" s="743" t="s">
        <v>64</v>
      </c>
      <c r="C37" s="743" t="str">
        <f>INDEX(Vectors[Description], MATCH([Vector], Vectors[Code], 0))</f>
        <v>Coal and fossil waste</v>
      </c>
      <c r="D37" s="247">
        <f>EF.IndustrialCoal.CO2</f>
        <v>0.30799999999999994</v>
      </c>
      <c r="E37" s="247">
        <f>EF.IndustrialCoal.CH4</f>
        <v>9.0479269613658628E-4</v>
      </c>
      <c r="F37" s="247">
        <f>EF.IndustrialCoal.N2O</f>
        <v>2.7284221385464481E-3</v>
      </c>
      <c r="G37" s="743" t="s">
        <v>1069</v>
      </c>
    </row>
    <row r="38" spans="1:7" ht="15.75">
      <c r="A38" s="3"/>
      <c r="B38" s="743" t="s">
        <v>65</v>
      </c>
      <c r="C38" s="743" t="str">
        <f>INDEX(Vectors[Description], MATCH([Vector], Vectors[Code], 0))</f>
        <v>Oil and petroleum products</v>
      </c>
      <c r="D38" s="247">
        <f>EF.Diesel.CO2</f>
        <v>0.25</v>
      </c>
      <c r="E38" s="247">
        <f>EF.Diesel.CH4</f>
        <v>3.1124901306220826E-4</v>
      </c>
      <c r="F38" s="247">
        <f>EF.Diesel.N2O</f>
        <v>4.4980122726580142E-3</v>
      </c>
      <c r="G38" s="743" t="s">
        <v>1070</v>
      </c>
    </row>
    <row r="39" spans="1:7" ht="15.75">
      <c r="A39" s="3"/>
      <c r="B39" s="743" t="s">
        <v>66</v>
      </c>
      <c r="C39" s="743" t="str">
        <f>INDEX(Vectors[Description], MATCH([Vector], Vectors[Code], 0))</f>
        <v>Natural gas</v>
      </c>
      <c r="D39" s="247">
        <f>EF.NaturalGas.CO2</f>
        <v>0.18399999999999997</v>
      </c>
      <c r="E39" s="247">
        <f>EF.NaturalGas.CH4</f>
        <v>3.6882537033173374E-4</v>
      </c>
      <c r="F39" s="247">
        <f>EF.NaturalGas.N2O</f>
        <v>3.9668961680228111E-4</v>
      </c>
      <c r="G39" s="743" t="s">
        <v>1071</v>
      </c>
    </row>
    <row r="40" spans="1:7" ht="15.75">
      <c r="A40" s="3"/>
      <c r="B40" s="743" t="s">
        <v>45</v>
      </c>
      <c r="C40" s="743" t="str">
        <f>INDEX(Vectors[Description], MATCH([Vector], Vectors[Code], 0))</f>
        <v>Electricity (delivered to end user)</v>
      </c>
      <c r="D40" s="840">
        <v>0</v>
      </c>
      <c r="E40" s="840">
        <v>0</v>
      </c>
      <c r="F40" s="840">
        <v>0</v>
      </c>
      <c r="G40" s="743"/>
    </row>
    <row r="41" spans="1:7" ht="15.75">
      <c r="A41" s="3"/>
      <c r="B41" s="743" t="s">
        <v>46</v>
      </c>
      <c r="C41" s="743" t="str">
        <f>INDEX(Vectors[Description], MATCH([Vector], Vectors[Code], 0))</f>
        <v>Electricity (supplied to grid)</v>
      </c>
      <c r="D41" s="840">
        <v>0</v>
      </c>
      <c r="E41" s="840">
        <v>0</v>
      </c>
      <c r="F41" s="840">
        <v>0</v>
      </c>
      <c r="G41" s="743"/>
    </row>
    <row r="42" spans="1:7" ht="15.75">
      <c r="A42" s="3"/>
      <c r="B42" s="743" t="s">
        <v>47</v>
      </c>
      <c r="C42" s="743" t="str">
        <f>INDEX(Vectors[Description], MATCH([Vector], Vectors[Code], 0))</f>
        <v>Solid hydrocarbons</v>
      </c>
      <c r="D42" s="247">
        <f>EF.IndustrialCoal.CO2</f>
        <v>0.30799999999999994</v>
      </c>
      <c r="E42" s="247">
        <f>EF.IndustrialCoal.CH4</f>
        <v>9.0479269613658628E-4</v>
      </c>
      <c r="F42" s="247">
        <f>EF.IndustrialCoal.N2O</f>
        <v>2.7284221385464481E-3</v>
      </c>
      <c r="G42" s="743" t="s">
        <v>1069</v>
      </c>
    </row>
    <row r="43" spans="1:7" ht="15.75">
      <c r="A43" s="3"/>
      <c r="B43" s="743" t="s">
        <v>49</v>
      </c>
      <c r="C43" s="743" t="str">
        <f>INDEX(Vectors[Description], MATCH([Vector], Vectors[Code], 0))</f>
        <v>Liquid hydrocarbons</v>
      </c>
      <c r="D43" s="247">
        <f>EF.Diesel.CO2</f>
        <v>0.25</v>
      </c>
      <c r="E43" s="247">
        <f>EF.Diesel.CH4</f>
        <v>3.1124901306220826E-4</v>
      </c>
      <c r="F43" s="247">
        <f>EF.Diesel.N2O</f>
        <v>4.4980122726580142E-3</v>
      </c>
      <c r="G43" s="743" t="s">
        <v>1070</v>
      </c>
    </row>
    <row r="44" spans="1:7" ht="15.75">
      <c r="A44" s="3"/>
      <c r="B44" s="743" t="s">
        <v>50</v>
      </c>
      <c r="C44" s="743" t="str">
        <f>INDEX(Vectors[Description], MATCH([Vector], Vectors[Code], 0))</f>
        <v>Gaseous hydrocarbons</v>
      </c>
      <c r="D44" s="247">
        <f>EF.NaturalGas.CO2</f>
        <v>0.18399999999999997</v>
      </c>
      <c r="E44" s="247">
        <f>EF.NaturalGas.CH4</f>
        <v>3.6882537033173374E-4</v>
      </c>
      <c r="F44" s="247">
        <f>EF.NaturalGas.N2O</f>
        <v>3.9668961680228111E-4</v>
      </c>
      <c r="G44" s="743" t="s">
        <v>1071</v>
      </c>
    </row>
    <row r="45" spans="1:7" ht="15.75">
      <c r="A45" s="3"/>
      <c r="B45" s="743" t="s">
        <v>108</v>
      </c>
      <c r="C45" s="743" t="str">
        <f>INDEX(Vectors[Description], MATCH([Vector], Vectors[Code], 0))</f>
        <v>Blast furnace gas</v>
      </c>
      <c r="D45" s="247">
        <f>EF.BlastFurnaceGas.CO2</f>
        <v>0.78482259931212373</v>
      </c>
      <c r="E45" s="840">
        <v>0</v>
      </c>
      <c r="F45" s="840">
        <v>0</v>
      </c>
      <c r="G45" s="743"/>
    </row>
    <row r="46" spans="1:7" ht="15.75">
      <c r="A46" s="3"/>
      <c r="B46" s="743" t="s">
        <v>753</v>
      </c>
      <c r="C46" s="743" t="str">
        <f>INDEX(Vectors[Description], MATCH([Vector], Vectors[Code], 0))</f>
        <v>Heat transport</v>
      </c>
      <c r="D46" s="840">
        <v>0</v>
      </c>
      <c r="E46" s="840">
        <v>0</v>
      </c>
      <c r="F46" s="840">
        <v>0</v>
      </c>
      <c r="G46" s="743"/>
    </row>
    <row r="47" spans="1:7" ht="15.75">
      <c r="A47" s="3"/>
      <c r="B47" s="743" t="s">
        <v>754</v>
      </c>
      <c r="C47" s="743" t="str">
        <f>INDEX(Vectors[Description], MATCH([Vector], Vectors[Code], 0))</f>
        <v>Edible biomatter</v>
      </c>
      <c r="D47" s="840">
        <v>0</v>
      </c>
      <c r="E47" s="840">
        <v>0</v>
      </c>
      <c r="F47" s="840">
        <v>0</v>
      </c>
      <c r="G47" s="743"/>
    </row>
    <row r="48" spans="1:7" ht="15.75">
      <c r="A48" s="3"/>
      <c r="B48" s="743" t="s">
        <v>755</v>
      </c>
      <c r="C48" s="743" t="str">
        <f>INDEX(Vectors[Description], MATCH([Vector], Vectors[Code], 0))</f>
        <v>Dry biomatter and waste</v>
      </c>
      <c r="D48" s="840">
        <v>0</v>
      </c>
      <c r="E48" s="840">
        <v>0</v>
      </c>
      <c r="F48" s="840">
        <v>0</v>
      </c>
      <c r="G48" s="743"/>
    </row>
    <row r="49" spans="1:7" ht="15.75">
      <c r="A49" s="3"/>
      <c r="B49" s="743" t="s">
        <v>929</v>
      </c>
      <c r="C49" s="743" t="str">
        <f>INDEX(Vectors[Description], MATCH([Vector], Vectors[Code], 0))</f>
        <v>Wet biomatter and waste</v>
      </c>
      <c r="D49" s="840">
        <v>0</v>
      </c>
      <c r="E49" s="840">
        <v>0</v>
      </c>
      <c r="F49" s="840">
        <v>0</v>
      </c>
      <c r="G49" s="743"/>
    </row>
    <row r="50" spans="1:7" ht="15.75">
      <c r="A50" s="3"/>
      <c r="B50" s="30" t="s">
        <v>1331</v>
      </c>
      <c r="C50" s="30" t="str">
        <f>INDEX(Vectors[Description], MATCH([Vector], Vectors[Code], 0))</f>
        <v>Domestic solar thermal</v>
      </c>
      <c r="D50" s="1611">
        <v>0</v>
      </c>
      <c r="E50" s="1611">
        <v>0</v>
      </c>
      <c r="F50" s="1611">
        <v>0</v>
      </c>
      <c r="G50" s="30"/>
    </row>
    <row r="51" spans="1:7" ht="15.75">
      <c r="A51" s="3"/>
    </row>
    <row r="55" spans="1:7" ht="6.75" customHeight="1"/>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sheetPr codeName="Sheet21">
    <pageSetUpPr autoPageBreaks="0"/>
  </sheetPr>
  <dimension ref="A1:G23"/>
  <sheetViews>
    <sheetView showGridLines="0" showRowColHeaders="0" zoomScale="80" zoomScaleNormal="80" workbookViewId="0"/>
  </sheetViews>
  <sheetFormatPr defaultRowHeight="12.75"/>
  <cols>
    <col min="1" max="1" width="1" customWidth="1"/>
    <col min="2" max="2" width="8.5703125" customWidth="1"/>
    <col min="3" max="3" width="41.7109375" customWidth="1"/>
    <col min="4" max="4" width="5.28515625" customWidth="1"/>
    <col min="5" max="5" width="3.42578125" bestFit="1" customWidth="1"/>
  </cols>
  <sheetData>
    <row r="1" spans="1:7" s="121" customFormat="1" ht="15.75">
      <c r="A1" s="3"/>
    </row>
    <row r="2" spans="1:7" ht="15.75">
      <c r="A2" s="3"/>
      <c r="B2" s="8" t="s">
        <v>668</v>
      </c>
    </row>
    <row r="3" spans="1:7" ht="15.75">
      <c r="A3" s="3"/>
    </row>
    <row r="4" spans="1:7" ht="18">
      <c r="A4" s="767"/>
      <c r="B4" s="26" t="s">
        <v>83</v>
      </c>
      <c r="C4" s="26" t="s">
        <v>669</v>
      </c>
      <c r="E4" s="949"/>
      <c r="F4" s="752"/>
      <c r="G4" s="752"/>
    </row>
    <row r="5" spans="1:7" s="752" customFormat="1" ht="15.75">
      <c r="A5" s="1045"/>
      <c r="B5" s="752" t="s">
        <v>74</v>
      </c>
      <c r="C5" s="752" t="s">
        <v>470</v>
      </c>
    </row>
    <row r="6" spans="1:7" s="752" customFormat="1" ht="15.75">
      <c r="A6" s="1045"/>
      <c r="B6" s="752" t="s">
        <v>75</v>
      </c>
      <c r="C6" s="752" t="s">
        <v>471</v>
      </c>
    </row>
    <row r="7" spans="1:7" s="752" customFormat="1" ht="15.75">
      <c r="A7" s="1045"/>
      <c r="B7" s="752" t="s">
        <v>76</v>
      </c>
      <c r="C7" s="752" t="s">
        <v>472</v>
      </c>
    </row>
    <row r="8" spans="1:7" s="752" customFormat="1" ht="15.75">
      <c r="A8" s="1045"/>
      <c r="B8" s="752" t="s">
        <v>77</v>
      </c>
      <c r="C8" s="752" t="s">
        <v>1614</v>
      </c>
    </row>
    <row r="9" spans="1:7" s="752" customFormat="1" ht="15.75">
      <c r="A9" s="1045"/>
      <c r="B9" s="752" t="s">
        <v>671</v>
      </c>
      <c r="C9" s="752" t="s">
        <v>2437</v>
      </c>
    </row>
    <row r="10" spans="1:7" s="752" customFormat="1" ht="15.75">
      <c r="A10" s="1045"/>
      <c r="B10" s="752" t="s">
        <v>672</v>
      </c>
      <c r="C10" s="752" t="s">
        <v>964</v>
      </c>
    </row>
    <row r="11" spans="1:7" s="752" customFormat="1" ht="15.75">
      <c r="A11" s="1045"/>
      <c r="B11" s="752" t="s">
        <v>673</v>
      </c>
      <c r="C11" s="752" t="s">
        <v>982</v>
      </c>
    </row>
    <row r="12" spans="1:7" s="752" customFormat="1" ht="15.75">
      <c r="A12" s="1045"/>
      <c r="B12" s="752" t="s">
        <v>674</v>
      </c>
      <c r="C12" s="752" t="s">
        <v>681</v>
      </c>
    </row>
    <row r="13" spans="1:7" s="752" customFormat="1" ht="15.75">
      <c r="A13" s="1045"/>
      <c r="B13" s="752" t="s">
        <v>676</v>
      </c>
      <c r="C13" s="752" t="s">
        <v>29</v>
      </c>
    </row>
    <row r="14" spans="1:7" s="752" customFormat="1" ht="15.75">
      <c r="A14" s="1045"/>
      <c r="B14" s="752" t="s">
        <v>677</v>
      </c>
      <c r="C14" s="752" t="s">
        <v>71</v>
      </c>
    </row>
    <row r="15" spans="1:7" s="752" customFormat="1" ht="15.75">
      <c r="A15" s="1045"/>
      <c r="B15" s="752" t="s">
        <v>678</v>
      </c>
      <c r="C15" s="752" t="s">
        <v>43</v>
      </c>
    </row>
    <row r="16" spans="1:7" s="752" customFormat="1" ht="15.75">
      <c r="A16" s="1045"/>
      <c r="B16" s="752" t="s">
        <v>679</v>
      </c>
      <c r="C16" s="752" t="s">
        <v>260</v>
      </c>
    </row>
    <row r="17" spans="1:3" s="752" customFormat="1" ht="15.75">
      <c r="A17" s="1045"/>
      <c r="B17" s="752" t="s">
        <v>680</v>
      </c>
      <c r="C17" s="752" t="s">
        <v>2561</v>
      </c>
    </row>
    <row r="18" spans="1:3" s="752" customFormat="1" ht="15.75">
      <c r="A18" s="1045"/>
      <c r="B18" s="752" t="s">
        <v>675</v>
      </c>
      <c r="C18" s="752" t="s">
        <v>453</v>
      </c>
    </row>
    <row r="19" spans="1:3" ht="15.75">
      <c r="A19" s="3"/>
      <c r="B19" s="787" t="s">
        <v>969</v>
      </c>
      <c r="C19" s="787" t="s">
        <v>970</v>
      </c>
    </row>
    <row r="20" spans="1:3">
      <c r="B20" s="787" t="s">
        <v>1012</v>
      </c>
      <c r="C20" s="787" t="s">
        <v>157</v>
      </c>
    </row>
    <row r="21" spans="1:3">
      <c r="B21" s="787" t="s">
        <v>1336</v>
      </c>
      <c r="C21" s="787" t="s">
        <v>848</v>
      </c>
    </row>
    <row r="23" spans="1:3">
      <c r="B23" s="121"/>
      <c r="C23" s="121"/>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sheetPr codeName="Sheet22">
    <pageSetUpPr autoPageBreaks="0"/>
  </sheetPr>
  <dimension ref="A1:G55"/>
  <sheetViews>
    <sheetView showGridLines="0" showRowColHeaders="0" zoomScale="80" zoomScaleNormal="80" workbookViewId="0"/>
  </sheetViews>
  <sheetFormatPr defaultRowHeight="12.75"/>
  <cols>
    <col min="1" max="1" width="1" style="121" customWidth="1"/>
    <col min="2" max="2" width="8.5703125" style="121" customWidth="1"/>
    <col min="3" max="3" width="32" style="121" bestFit="1" customWidth="1"/>
    <col min="4" max="4" width="10.5703125" style="121" bestFit="1" customWidth="1"/>
    <col min="5" max="5" width="32" style="121" customWidth="1"/>
    <col min="6" max="6" width="43.5703125" style="121" customWidth="1"/>
    <col min="7" max="7" width="56.7109375" style="121" bestFit="1" customWidth="1"/>
    <col min="8" max="16384" width="9.140625" style="121"/>
  </cols>
  <sheetData>
    <row r="1" spans="1:6" ht="15.75">
      <c r="A1" s="3"/>
    </row>
    <row r="2" spans="1:6" ht="15.75">
      <c r="A2" s="3"/>
      <c r="B2" s="8" t="s">
        <v>741</v>
      </c>
      <c r="C2" s="8"/>
      <c r="D2" s="8"/>
      <c r="E2" s="8"/>
    </row>
    <row r="3" spans="1:6" ht="15.75">
      <c r="A3" s="3"/>
    </row>
    <row r="4" spans="1:6" ht="36.75" customHeight="1">
      <c r="A4" s="767"/>
      <c r="B4" s="921" t="s">
        <v>83</v>
      </c>
      <c r="C4" s="921" t="s">
        <v>745</v>
      </c>
      <c r="D4" s="921" t="s">
        <v>746</v>
      </c>
      <c r="E4" s="921" t="s">
        <v>669</v>
      </c>
      <c r="F4" s="921" t="s">
        <v>670</v>
      </c>
    </row>
    <row r="5" spans="1:6" s="743" customFormat="1" ht="14.25">
      <c r="A5" s="15"/>
      <c r="B5" s="752" t="s">
        <v>742</v>
      </c>
      <c r="C5" s="743" t="s">
        <v>877</v>
      </c>
      <c r="D5" s="784" t="str">
        <f>LEFT([Code], FIND(".", [Code])-1)</f>
        <v>I</v>
      </c>
      <c r="E5" s="784" t="str">
        <f>INDEX(Workstreams[Workstream], MATCH([WS Code], Workstreams[Code], 0))</f>
        <v>Hydrocarbon fuel power generation</v>
      </c>
      <c r="F5" s="743" t="s">
        <v>879</v>
      </c>
    </row>
    <row r="6" spans="1:6" s="743" customFormat="1" ht="14.25">
      <c r="A6" s="15"/>
      <c r="B6" s="752" t="s">
        <v>878</v>
      </c>
      <c r="C6" s="743" t="s">
        <v>1676</v>
      </c>
      <c r="D6" s="784" t="str">
        <f>LEFT([Code], FIND(".", [Code])-1)</f>
        <v>I</v>
      </c>
      <c r="E6" s="784" t="str">
        <f>INDEX(Workstreams[Workstream], MATCH([WS Code], Workstreams[Code], 0))</f>
        <v>Hydrocarbon fuel power generation</v>
      </c>
    </row>
    <row r="7" spans="1:6" s="743" customFormat="1" ht="14.25">
      <c r="A7" s="15"/>
      <c r="B7" s="787" t="s">
        <v>756</v>
      </c>
      <c r="C7" s="30" t="s">
        <v>1618</v>
      </c>
      <c r="D7" s="788" t="str">
        <f>LEFT([Code], FIND(".", [Code])-1)</f>
        <v>II</v>
      </c>
      <c r="E7" s="788" t="str">
        <f>INDEX(Workstreams[Workstream], MATCH([WS Code], Workstreams[Code], 0))</f>
        <v>Nuclear power generation</v>
      </c>
      <c r="F7" s="30"/>
    </row>
    <row r="8" spans="1:6" s="743" customFormat="1" ht="14.25">
      <c r="A8" s="15"/>
      <c r="B8" s="787" t="s">
        <v>1730</v>
      </c>
      <c r="C8" s="30" t="s">
        <v>891</v>
      </c>
      <c r="D8" s="788" t="str">
        <f>LEFT([Code], FIND(".", [Code])-1)</f>
        <v>III</v>
      </c>
      <c r="E8" s="788" t="str">
        <f>INDEX(Workstreams[Workstream], MATCH([WS Code], Workstreams[Code], 0))</f>
        <v>National renewable power generation</v>
      </c>
      <c r="F8" s="30"/>
    </row>
    <row r="9" spans="1:6" s="743" customFormat="1" ht="14.25">
      <c r="A9" s="15"/>
      <c r="B9" s="787" t="s">
        <v>1731</v>
      </c>
      <c r="C9" s="30" t="s">
        <v>892</v>
      </c>
      <c r="D9" s="788" t="str">
        <f>LEFT([Code], FIND(".", [Code])-1)</f>
        <v>III</v>
      </c>
      <c r="E9" s="788" t="str">
        <f>INDEX(Workstreams[Workstream], MATCH([WS Code], Workstreams[Code], 0))</f>
        <v>National renewable power generation</v>
      </c>
      <c r="F9" s="30"/>
    </row>
    <row r="10" spans="1:6" s="743" customFormat="1" ht="14.25">
      <c r="A10" s="15"/>
      <c r="B10" s="787" t="s">
        <v>803</v>
      </c>
      <c r="C10" s="30" t="s">
        <v>69</v>
      </c>
      <c r="D10" s="788" t="str">
        <f>LEFT([Code], FIND(".", [Code])-1)</f>
        <v>III</v>
      </c>
      <c r="E10" s="788" t="str">
        <f>INDEX(Workstreams[Workstream], MATCH([WS Code], Workstreams[Code], 0))</f>
        <v>National renewable power generation</v>
      </c>
      <c r="F10" s="30" t="s">
        <v>804</v>
      </c>
    </row>
    <row r="11" spans="1:6" s="743" customFormat="1" ht="14.25">
      <c r="A11" s="15"/>
      <c r="B11" s="787" t="s">
        <v>808</v>
      </c>
      <c r="C11" s="30" t="s">
        <v>2331</v>
      </c>
      <c r="D11" s="788" t="str">
        <f>LEFT([Code], FIND(".", [Code])-1)</f>
        <v>III</v>
      </c>
      <c r="E11" s="788" t="str">
        <f>INDEX(Workstreams[Workstream], MATCH([WS Code], Workstreams[Code], 0))</f>
        <v>National renewable power generation</v>
      </c>
      <c r="F11" s="30"/>
    </row>
    <row r="12" spans="1:6" s="743" customFormat="1" ht="14.25">
      <c r="A12" s="15"/>
      <c r="B12" s="787" t="s">
        <v>809</v>
      </c>
      <c r="C12" s="30" t="s">
        <v>3</v>
      </c>
      <c r="D12" s="788" t="str">
        <f>LEFT([Code], FIND(".", [Code])-1)</f>
        <v>III</v>
      </c>
      <c r="E12" s="788" t="str">
        <f>INDEX(Workstreams[Workstream], MATCH([WS Code], Workstreams[Code], 0))</f>
        <v>National renewable power generation</v>
      </c>
      <c r="F12" s="30"/>
    </row>
    <row r="13" spans="1:6" s="743" customFormat="1" ht="14.25">
      <c r="A13" s="15"/>
      <c r="B13" s="787" t="s">
        <v>810</v>
      </c>
      <c r="C13" s="30" t="s">
        <v>2564</v>
      </c>
      <c r="D13" s="788" t="str">
        <f>LEFT([Code], FIND(".", [Code])-1)</f>
        <v>III</v>
      </c>
      <c r="E13" s="788" t="str">
        <f>INDEX(Workstreams[Workstream], MATCH([WS Code], Workstreams[Code], 0))</f>
        <v>National renewable power generation</v>
      </c>
      <c r="F13" s="30"/>
    </row>
    <row r="14" spans="1:6" s="743" customFormat="1" ht="14.25">
      <c r="A14" s="15"/>
      <c r="B14" s="787" t="s">
        <v>976</v>
      </c>
      <c r="C14" s="30" t="s">
        <v>1615</v>
      </c>
      <c r="D14" s="788" t="str">
        <f>LEFT([Code], FIND(".", [Code])-1)</f>
        <v>IV</v>
      </c>
      <c r="E14" s="788" t="str">
        <f>INDEX(Workstreams[Workstream], MATCH([WS Code], Workstreams[Code], 0))</f>
        <v>Distributed renewable power generation</v>
      </c>
      <c r="F14" s="30"/>
    </row>
    <row r="15" spans="1:6" s="743" customFormat="1" ht="14.25">
      <c r="A15" s="15"/>
      <c r="B15" s="787" t="s">
        <v>1329</v>
      </c>
      <c r="C15" s="30" t="s">
        <v>1616</v>
      </c>
      <c r="D15" s="788" t="str">
        <f>LEFT([Code], FIND(".", [Code])-1)</f>
        <v>IV</v>
      </c>
      <c r="E15" s="788" t="str">
        <f>INDEX(Workstreams[Workstream], MATCH([WS Code], Workstreams[Code], 0))</f>
        <v>Distributed renewable power generation</v>
      </c>
      <c r="F15" s="30"/>
    </row>
    <row r="16" spans="1:6" s="743" customFormat="1" ht="14.25">
      <c r="A16" s="15"/>
      <c r="B16" s="787" t="s">
        <v>1597</v>
      </c>
      <c r="C16" s="30" t="s">
        <v>1617</v>
      </c>
      <c r="D16" s="788" t="str">
        <f>LEFT([Code], FIND(".", [Code])-1)</f>
        <v>IV</v>
      </c>
      <c r="E16" s="788" t="str">
        <f>INDEX(Workstreams[Workstream], MATCH([WS Code], Workstreams[Code], 0))</f>
        <v>Distributed renewable power generation</v>
      </c>
      <c r="F16" s="30"/>
    </row>
    <row r="17" spans="1:6" s="743" customFormat="1" ht="14.25">
      <c r="A17" s="15"/>
      <c r="B17" s="787" t="s">
        <v>963</v>
      </c>
      <c r="C17" s="30" t="s">
        <v>2438</v>
      </c>
      <c r="D17" s="788" t="str">
        <f>LEFT([Code], FIND(".", [Code])-1)</f>
        <v>V</v>
      </c>
      <c r="E17" s="788" t="str">
        <f>INDEX(Workstreams[Workstream], MATCH([WS Code], Workstreams[Code], 0))</f>
        <v>Bioenergy</v>
      </c>
      <c r="F17" s="30"/>
    </row>
    <row r="18" spans="1:6" s="743" customFormat="1" ht="14.25">
      <c r="A18" s="15"/>
      <c r="B18" s="787" t="s">
        <v>1695</v>
      </c>
      <c r="C18" s="30" t="s">
        <v>1696</v>
      </c>
      <c r="D18" s="788" t="str">
        <f>LEFT([Code], FIND(".", [Code])-1)</f>
        <v>V</v>
      </c>
      <c r="E18" s="788" t="str">
        <f>INDEX(Workstreams[Workstream], MATCH([WS Code], Workstreams[Code], 0))</f>
        <v>Bioenergy</v>
      </c>
      <c r="F18" s="30"/>
    </row>
    <row r="19" spans="1:6" s="743" customFormat="1" ht="14.25">
      <c r="A19" s="15"/>
      <c r="B19" s="787" t="s">
        <v>924</v>
      </c>
      <c r="C19" s="30" t="s">
        <v>2439</v>
      </c>
      <c r="D19" s="788" t="str">
        <f>LEFT([Code], FIND(".", [Code])-1)</f>
        <v>VI</v>
      </c>
      <c r="E19" s="788" t="str">
        <f>INDEX(Workstreams[Workstream], MATCH([WS Code], Workstreams[Code], 0))</f>
        <v>Agriculture and waste</v>
      </c>
      <c r="F19" s="30"/>
    </row>
    <row r="20" spans="1:6" s="743" customFormat="1" ht="14.25">
      <c r="A20" s="15"/>
      <c r="B20" s="787" t="s">
        <v>965</v>
      </c>
      <c r="C20" s="30" t="s">
        <v>1441</v>
      </c>
      <c r="D20" s="788" t="str">
        <f>LEFT([Code], FIND(".", [Code])-1)</f>
        <v>VI</v>
      </c>
      <c r="E20" s="788" t="str">
        <f>INDEX(Workstreams[Workstream], MATCH([WS Code], Workstreams[Code], 0))</f>
        <v>Agriculture and waste</v>
      </c>
      <c r="F20" s="30"/>
    </row>
    <row r="21" spans="1:6" s="743" customFormat="1" ht="14.25">
      <c r="A21" s="15"/>
      <c r="B21" s="787" t="s">
        <v>2280</v>
      </c>
      <c r="C21" s="30" t="s">
        <v>2279</v>
      </c>
      <c r="D21" s="788" t="s">
        <v>672</v>
      </c>
      <c r="E21" s="788" t="str">
        <f>INDEX(Workstreams[Workstream], MATCH([WS Code], Workstreams[Code], 0))</f>
        <v>Agriculture and waste</v>
      </c>
      <c r="F21" s="30"/>
    </row>
    <row r="22" spans="1:6" s="743" customFormat="1" ht="14.25">
      <c r="A22" s="15"/>
      <c r="B22" s="787" t="s">
        <v>774</v>
      </c>
      <c r="C22" s="30" t="s">
        <v>797</v>
      </c>
      <c r="D22" s="788" t="str">
        <f>LEFT([Code], FIND(".", [Code])-1)</f>
        <v>VII</v>
      </c>
      <c r="E22" s="788" t="str">
        <f>INDEX(Workstreams[Workstream], MATCH([WS Code], Workstreams[Code], 0))</f>
        <v>Electricity distribution, storage, and balancing</v>
      </c>
      <c r="F22" s="30"/>
    </row>
    <row r="23" spans="1:6" s="743" customFormat="1" ht="14.25">
      <c r="A23" s="15"/>
      <c r="B23" s="787" t="s">
        <v>784</v>
      </c>
      <c r="C23" s="30" t="s">
        <v>775</v>
      </c>
      <c r="D23" s="788" t="str">
        <f>LEFT([Code], FIND(".", [Code])-1)</f>
        <v>VII</v>
      </c>
      <c r="E23" s="788" t="str">
        <f>INDEX(Workstreams[Workstream], MATCH([WS Code], Workstreams[Code], 0))</f>
        <v>Electricity distribution, storage, and balancing</v>
      </c>
      <c r="F23" s="30"/>
    </row>
    <row r="24" spans="1:6" s="743" customFormat="1" ht="14.25">
      <c r="A24" s="15"/>
      <c r="B24" s="787" t="s">
        <v>796</v>
      </c>
      <c r="C24" s="30" t="s">
        <v>1932</v>
      </c>
      <c r="D24" s="788" t="str">
        <f>LEFT([Code], FIND(".", [Code])-1)</f>
        <v>VII</v>
      </c>
      <c r="E24" s="788" t="str">
        <f>INDEX(Workstreams[Workstream], MATCH([WS Code], Workstreams[Code], 0))</f>
        <v>Electricity distribution, storage, and balancing</v>
      </c>
      <c r="F24" s="30" t="s">
        <v>801</v>
      </c>
    </row>
    <row r="25" spans="1:6" s="743" customFormat="1" ht="14.25">
      <c r="A25" s="15"/>
      <c r="B25" s="787" t="s">
        <v>981</v>
      </c>
      <c r="C25" s="30" t="s">
        <v>681</v>
      </c>
      <c r="D25" s="788" t="str">
        <f>LEFT([Code], FIND(".", [Code])-1)</f>
        <v>VIII</v>
      </c>
      <c r="E25" s="788" t="str">
        <f>INDEX(Workstreams[Workstream], MATCH([WS Code], Workstreams[Code], 0))</f>
        <v>H2 Production</v>
      </c>
      <c r="F25" s="30"/>
    </row>
    <row r="26" spans="1:6" s="743" customFormat="1" ht="14.25">
      <c r="A26" s="15"/>
      <c r="B26" s="787" t="s">
        <v>829</v>
      </c>
      <c r="C26" s="30" t="s">
        <v>1282</v>
      </c>
      <c r="D26" s="788" t="str">
        <f>LEFT([Code], FIND(".", [Code])-1)</f>
        <v>IX</v>
      </c>
      <c r="E26" s="788" t="str">
        <f>INDEX(Workstreams[Workstream], MATCH([WS Code], Workstreams[Code], 0))</f>
        <v>Heating</v>
      </c>
      <c r="F26" s="30"/>
    </row>
    <row r="27" spans="1:6" s="743" customFormat="1" ht="14.25">
      <c r="A27" s="15"/>
      <c r="B27" s="787" t="s">
        <v>898</v>
      </c>
      <c r="C27" s="30" t="s">
        <v>2565</v>
      </c>
      <c r="D27" s="788" t="str">
        <f>LEFT([Code], FIND(".", [Code])-1)</f>
        <v>IX</v>
      </c>
      <c r="E27" s="788" t="str">
        <f>INDEX(Workstreams[Workstream], MATCH([WS Code], Workstreams[Code], 0))</f>
        <v>Heating</v>
      </c>
      <c r="F27" s="30"/>
    </row>
    <row r="28" spans="1:6" s="743" customFormat="1" ht="14.25">
      <c r="A28" s="15"/>
      <c r="B28" s="787" t="s">
        <v>945</v>
      </c>
      <c r="C28" s="30" t="s">
        <v>1326</v>
      </c>
      <c r="D28" s="788" t="str">
        <f>LEFT([Code], FIND(".", [Code])-1)</f>
        <v>IX</v>
      </c>
      <c r="E28" s="788" t="str">
        <f>INDEX(Workstreams[Workstream], MATCH([WS Code], Workstreams[Code], 0))</f>
        <v>Heating</v>
      </c>
      <c r="F28" s="30"/>
    </row>
    <row r="29" spans="1:6" s="743" customFormat="1" ht="14.25">
      <c r="A29" s="15"/>
      <c r="B29" s="787" t="s">
        <v>946</v>
      </c>
      <c r="C29" s="30" t="s">
        <v>2566</v>
      </c>
      <c r="D29" s="788" t="str">
        <f>LEFT([Code], FIND(".", [Code])-1)</f>
        <v>IX</v>
      </c>
      <c r="E29" s="788" t="str">
        <f>INDEX(Workstreams[Workstream], MATCH([WS Code], Workstreams[Code], 0))</f>
        <v>Heating</v>
      </c>
      <c r="F29" s="30"/>
    </row>
    <row r="30" spans="1:6" s="743" customFormat="1" ht="14.25">
      <c r="A30" s="15"/>
      <c r="B30" s="787" t="s">
        <v>950</v>
      </c>
      <c r="C30" s="30" t="s">
        <v>952</v>
      </c>
      <c r="D30" s="788" t="str">
        <f>LEFT([Code], FIND(".", [Code])-1)</f>
        <v>X</v>
      </c>
      <c r="E30" s="788" t="str">
        <f>INDEX(Workstreams[Workstream], MATCH([WS Code], Workstreams[Code], 0))</f>
        <v>Lighting and appliances</v>
      </c>
      <c r="F30" s="30"/>
    </row>
    <row r="31" spans="1:6" s="743" customFormat="1" ht="14.25">
      <c r="A31" s="15"/>
      <c r="B31" s="787" t="s">
        <v>951</v>
      </c>
      <c r="C31" s="30" t="s">
        <v>953</v>
      </c>
      <c r="D31" s="788" t="str">
        <f>LEFT([Code], FIND(".", [Code])-1)</f>
        <v>X</v>
      </c>
      <c r="E31" s="788" t="str">
        <f>INDEX(Workstreams[Workstream], MATCH([WS Code], Workstreams[Code], 0))</f>
        <v>Lighting and appliances</v>
      </c>
      <c r="F31" s="30"/>
    </row>
    <row r="32" spans="1:6" s="743" customFormat="1" ht="14.25">
      <c r="A32" s="15"/>
      <c r="B32" s="787" t="s">
        <v>900</v>
      </c>
      <c r="C32" s="30" t="s">
        <v>460</v>
      </c>
      <c r="D32" s="788" t="str">
        <f>LEFT([Code], FIND(".", [Code])-1)</f>
        <v>XI</v>
      </c>
      <c r="E32" s="788" t="str">
        <f>INDEX(Workstreams[Workstream], MATCH([WS Code], Workstreams[Code], 0))</f>
        <v>Industry</v>
      </c>
      <c r="F32" s="30"/>
    </row>
    <row r="33" spans="1:7" s="743" customFormat="1" ht="14.25">
      <c r="A33" s="15"/>
      <c r="B33" s="787" t="s">
        <v>903</v>
      </c>
      <c r="C33" s="30" t="s">
        <v>1363</v>
      </c>
      <c r="D33" s="788" t="str">
        <f>LEFT([Code], FIND(".", [Code])-1)</f>
        <v>XII</v>
      </c>
      <c r="E33" s="788" t="str">
        <f>INDEX(Workstreams[Workstream], MATCH([WS Code], Workstreams[Code], 0))</f>
        <v>Transport</v>
      </c>
      <c r="F33" s="30"/>
    </row>
    <row r="34" spans="1:7" s="743" customFormat="1" ht="14.25">
      <c r="A34" s="15"/>
      <c r="B34" s="787" t="s">
        <v>916</v>
      </c>
      <c r="C34" s="30" t="s">
        <v>1364</v>
      </c>
      <c r="D34" s="788" t="str">
        <f>LEFT([Code], FIND(".", [Code])-1)</f>
        <v>XII</v>
      </c>
      <c r="E34" s="788" t="str">
        <f>INDEX(Workstreams[Workstream], MATCH([WS Code], Workstreams[Code], 0))</f>
        <v>Transport</v>
      </c>
      <c r="F34" s="30"/>
    </row>
    <row r="35" spans="1:7" ht="14.25">
      <c r="A35" s="11"/>
      <c r="B35" s="787" t="s">
        <v>919</v>
      </c>
      <c r="C35" s="30" t="s">
        <v>955</v>
      </c>
      <c r="D35" s="788" t="str">
        <f>LEFT([Code], FIND(".", [Code])-1)</f>
        <v>XII</v>
      </c>
      <c r="E35" s="788" t="str">
        <f>INDEX(Workstreams[Workstream], MATCH([WS Code], Workstreams[Code], 0))</f>
        <v>Transport</v>
      </c>
      <c r="F35" s="30"/>
    </row>
    <row r="36" spans="1:7" ht="14.25">
      <c r="A36" s="11"/>
      <c r="B36" s="787" t="s">
        <v>954</v>
      </c>
      <c r="C36" s="30" t="s">
        <v>2562</v>
      </c>
      <c r="D36" s="788" t="str">
        <f>LEFT([Code], FIND(".", [Code])-1)</f>
        <v>XII</v>
      </c>
      <c r="E36" s="788" t="str">
        <f>INDEX(Workstreams[Workstream], MATCH([WS Code], Workstreams[Code], 0))</f>
        <v>Transport</v>
      </c>
      <c r="F36" s="30"/>
    </row>
    <row r="37" spans="1:7" ht="14.25">
      <c r="A37" s="11"/>
      <c r="B37" s="787" t="s">
        <v>957</v>
      </c>
      <c r="C37" s="30" t="s">
        <v>958</v>
      </c>
      <c r="D37" s="788" t="str">
        <f>LEFT([Code], FIND(".", [Code])-1)</f>
        <v>XII</v>
      </c>
      <c r="E37" s="788" t="str">
        <f>INDEX(Workstreams[Workstream], MATCH([WS Code], Workstreams[Code], 0))</f>
        <v>Transport</v>
      </c>
      <c r="F37" s="30"/>
    </row>
    <row r="38" spans="1:7" ht="14.25">
      <c r="A38" s="11"/>
      <c r="B38" s="787" t="s">
        <v>959</v>
      </c>
      <c r="C38" s="30" t="s">
        <v>2563</v>
      </c>
      <c r="D38" s="788" t="str">
        <f>LEFT([Code], FIND(".", [Code])-1)</f>
        <v>XII</v>
      </c>
      <c r="E38" s="788" t="str">
        <f>INDEX(Workstreams[Workstream], MATCH([WS Code], Workstreams[Code], 0))</f>
        <v>Transport</v>
      </c>
      <c r="F38" s="30"/>
    </row>
    <row r="39" spans="1:7" ht="14.25">
      <c r="A39" s="11"/>
      <c r="B39" s="787" t="s">
        <v>930</v>
      </c>
      <c r="C39" s="30" t="s">
        <v>2561</v>
      </c>
      <c r="D39" s="788" t="str">
        <f>LEFT([Code], FIND(".", [Code])-1)</f>
        <v>XIII</v>
      </c>
      <c r="E39" s="788" t="str">
        <f>INDEX(Workstreams[Workstream], MATCH([WS Code], Workstreams[Code], 0))</f>
        <v>Food consumption [UNUSED]</v>
      </c>
      <c r="F39" s="30"/>
    </row>
    <row r="40" spans="1:7" ht="14.25">
      <c r="A40" s="11"/>
      <c r="B40" s="787" t="s">
        <v>962</v>
      </c>
      <c r="C40" s="30" t="s">
        <v>453</v>
      </c>
      <c r="D40" s="788" t="str">
        <f>LEFT([Code], FIND(".", [Code])-1)</f>
        <v>XIV</v>
      </c>
      <c r="E40" s="788" t="str">
        <f>INDEX(Workstreams[Workstream], MATCH([WS Code], Workstreams[Code], 0))</f>
        <v>Geosequestration</v>
      </c>
      <c r="F40" s="30"/>
    </row>
    <row r="41" spans="1:7" ht="14.25">
      <c r="A41" s="11"/>
      <c r="B41" s="787" t="s">
        <v>971</v>
      </c>
      <c r="C41" s="30" t="s">
        <v>162</v>
      </c>
      <c r="D41" s="788" t="str">
        <f>LEFT([Code], FIND(".", [Code])-1)</f>
        <v>XV</v>
      </c>
      <c r="E41" s="788" t="str">
        <f>INDEX(Workstreams[Workstream], MATCH([WS Code], Workstreams[Code], 0))</f>
        <v>Fossil fuel production</v>
      </c>
      <c r="F41" s="30"/>
    </row>
    <row r="42" spans="1:7" ht="14.25">
      <c r="A42" s="11"/>
      <c r="B42" s="787" t="s">
        <v>989</v>
      </c>
      <c r="C42" s="30" t="s">
        <v>990</v>
      </c>
      <c r="D42" s="788" t="str">
        <f>LEFT([Code], FIND(".", [Code])-1)</f>
        <v>XV</v>
      </c>
      <c r="E42" s="788" t="str">
        <f>INDEX(Workstreams[Workstream], MATCH([WS Code], Workstreams[Code], 0))</f>
        <v>Fossil fuel production</v>
      </c>
      <c r="F42" s="30"/>
    </row>
    <row r="43" spans="1:7" ht="14.25">
      <c r="A43" s="11"/>
      <c r="B43" s="787" t="s">
        <v>1013</v>
      </c>
      <c r="C43" s="30" t="s">
        <v>1015</v>
      </c>
      <c r="D43" s="788" t="str">
        <f>LEFT([Code], FIND(".", [Code])-1)</f>
        <v>XVI</v>
      </c>
      <c r="E43" s="788" t="str">
        <f>INDEX(Workstreams[Workstream], MATCH([WS Code], Workstreams[Code], 0))</f>
        <v>Transfers</v>
      </c>
      <c r="F43" s="30" t="s">
        <v>1208</v>
      </c>
    </row>
    <row r="44" spans="1:7" ht="14.25">
      <c r="A44" s="11"/>
      <c r="B44" s="787" t="s">
        <v>1014</v>
      </c>
      <c r="C44" s="30" t="s">
        <v>2251</v>
      </c>
      <c r="D44" s="788" t="str">
        <f>LEFT([Code], FIND(".", [Code])-1)</f>
        <v>XVI</v>
      </c>
      <c r="E44" s="788" t="str">
        <f>INDEX(Workstreams[Workstream], MATCH([WS Code], Workstreams[Code], 0))</f>
        <v>Transfers</v>
      </c>
      <c r="F44" s="30"/>
    </row>
    <row r="45" spans="1:7" ht="14.25">
      <c r="A45" s="11"/>
      <c r="B45" s="787" t="s">
        <v>1338</v>
      </c>
      <c r="C45" s="30" t="s">
        <v>1337</v>
      </c>
      <c r="D45" s="788" t="str">
        <f>LEFT([Code], FIND(".", [Code])-1)</f>
        <v>XVII</v>
      </c>
      <c r="E45" s="788" t="str">
        <f>INDEX(Workstreams[Workstream], MATCH([WS Code], Workstreams[Code], 0))</f>
        <v>District heating</v>
      </c>
      <c r="F45" s="30" t="s">
        <v>1339</v>
      </c>
      <c r="G45" s="30"/>
    </row>
    <row r="46" spans="1:7" ht="14.25">
      <c r="A46" s="11"/>
      <c r="B46" s="787"/>
      <c r="C46" s="30"/>
      <c r="D46" s="788"/>
      <c r="E46" s="788"/>
      <c r="F46" s="30"/>
      <c r="G46" s="30"/>
    </row>
    <row r="47" spans="1:7" ht="14.25">
      <c r="A47" s="11"/>
      <c r="B47" s="787"/>
      <c r="C47" s="30"/>
      <c r="D47" s="788"/>
      <c r="E47" s="788"/>
      <c r="F47" s="30"/>
      <c r="G47" s="30"/>
    </row>
    <row r="48" spans="1:7" ht="14.25">
      <c r="A48" s="11"/>
    </row>
    <row r="49" spans="1:1" ht="14.25">
      <c r="A49" s="11"/>
    </row>
    <row r="50" spans="1:1" ht="14.25">
      <c r="A50" s="11"/>
    </row>
    <row r="51" spans="1:1" ht="14.25">
      <c r="A51" s="11"/>
    </row>
    <row r="52" spans="1:1" ht="14.25">
      <c r="A52" s="11"/>
    </row>
    <row r="53" spans="1:1" ht="14.25">
      <c r="A53" s="11"/>
    </row>
    <row r="54" spans="1:1" ht="14.25">
      <c r="A54" s="11"/>
    </row>
    <row r="55" spans="1:1" ht="14.25">
      <c r="A55" s="11"/>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sheetPr codeName="Sheet20">
    <pageSetUpPr autoPageBreaks="0" fitToPage="1"/>
  </sheetPr>
  <dimension ref="A2:K75"/>
  <sheetViews>
    <sheetView showGridLines="0" showRowColHeaders="0" zoomScale="80" zoomScaleNormal="80" workbookViewId="0"/>
  </sheetViews>
  <sheetFormatPr defaultRowHeight="15.75"/>
  <cols>
    <col min="1" max="1" width="1" style="3" customWidth="1"/>
    <col min="2" max="2" width="16.140625" style="3" bestFit="1" customWidth="1"/>
    <col min="3" max="3" width="21" style="12" bestFit="1" customWidth="1"/>
    <col min="4" max="4" width="9.5703125" style="2" bestFit="1" customWidth="1"/>
    <col min="5" max="5" width="29.5703125" style="3" bestFit="1" customWidth="1"/>
    <col min="6" max="6" width="142.42578125" style="17" customWidth="1"/>
    <col min="7" max="9" width="6.5703125" style="6" customWidth="1"/>
    <col min="10" max="16384" width="9.140625" style="3"/>
  </cols>
  <sheetData>
    <row r="2" spans="1:9" s="9" customFormat="1">
      <c r="A2" s="753"/>
      <c r="B2" s="8" t="s">
        <v>17</v>
      </c>
      <c r="C2" s="13"/>
      <c r="F2" s="16"/>
      <c r="G2" s="4"/>
      <c r="H2" s="4"/>
      <c r="I2" s="4"/>
    </row>
    <row r="3" spans="1:9" s="9" customFormat="1">
      <c r="A3" s="753"/>
      <c r="B3" s="10"/>
      <c r="C3" s="13"/>
      <c r="F3" s="16"/>
      <c r="G3" s="4"/>
      <c r="H3" s="4"/>
      <c r="I3" s="4"/>
    </row>
    <row r="4" spans="1:9" s="9" customFormat="1" ht="21" customHeight="1">
      <c r="A4" s="768"/>
      <c r="B4" s="14" t="s">
        <v>81</v>
      </c>
      <c r="C4" s="14" t="s">
        <v>82</v>
      </c>
      <c r="D4" s="14" t="s">
        <v>83</v>
      </c>
      <c r="E4" s="14" t="s">
        <v>79</v>
      </c>
      <c r="F4" s="25" t="s">
        <v>80</v>
      </c>
      <c r="G4" s="5"/>
      <c r="H4" s="5"/>
      <c r="I4" s="5"/>
    </row>
    <row r="5" spans="1:9" s="9" customFormat="1" ht="14.25">
      <c r="A5" s="15"/>
      <c r="B5" s="22" t="s">
        <v>28</v>
      </c>
      <c r="C5" s="22" t="s">
        <v>58</v>
      </c>
      <c r="D5" s="24" t="s">
        <v>34</v>
      </c>
      <c r="E5" s="22" t="s">
        <v>20</v>
      </c>
      <c r="F5" s="23"/>
      <c r="G5" s="4"/>
      <c r="H5" s="4"/>
      <c r="I5" s="4"/>
    </row>
    <row r="6" spans="1:9" s="9" customFormat="1" ht="14.25">
      <c r="A6" s="15"/>
      <c r="B6" s="22" t="s">
        <v>28</v>
      </c>
      <c r="C6" s="22" t="s">
        <v>58</v>
      </c>
      <c r="D6" s="24" t="s">
        <v>35</v>
      </c>
      <c r="E6" s="22" t="s">
        <v>21</v>
      </c>
      <c r="F6" s="23"/>
      <c r="G6" s="4"/>
      <c r="H6" s="4"/>
      <c r="I6" s="4"/>
    </row>
    <row r="7" spans="1:9" s="9" customFormat="1" ht="14.25">
      <c r="A7" s="15"/>
      <c r="B7" s="22" t="s">
        <v>28</v>
      </c>
      <c r="C7" s="24" t="s">
        <v>31</v>
      </c>
      <c r="D7" s="24" t="s">
        <v>61</v>
      </c>
      <c r="E7" s="22" t="s">
        <v>31</v>
      </c>
      <c r="F7" s="23"/>
      <c r="G7" s="4"/>
      <c r="H7" s="4"/>
      <c r="I7" s="4"/>
    </row>
    <row r="8" spans="1:9" s="9" customFormat="1" ht="14.25">
      <c r="A8" s="15"/>
      <c r="B8" s="18" t="s">
        <v>73</v>
      </c>
      <c r="C8" s="24" t="s">
        <v>23</v>
      </c>
      <c r="D8" s="24" t="s">
        <v>36</v>
      </c>
      <c r="E8" s="743" t="s">
        <v>1019</v>
      </c>
      <c r="F8" s="23"/>
      <c r="G8" s="4"/>
      <c r="H8" s="4"/>
      <c r="I8" s="4"/>
    </row>
    <row r="9" spans="1:9" s="9" customFormat="1" ht="14.25">
      <c r="A9" s="15"/>
      <c r="B9" s="18" t="s">
        <v>73</v>
      </c>
      <c r="C9" s="24" t="s">
        <v>23</v>
      </c>
      <c r="D9" s="24" t="s">
        <v>37</v>
      </c>
      <c r="E9" s="743" t="s">
        <v>1020</v>
      </c>
      <c r="F9" s="23"/>
      <c r="G9" s="4"/>
      <c r="H9" s="4"/>
      <c r="I9" s="4"/>
    </row>
    <row r="10" spans="1:9" s="9" customFormat="1" ht="14.25">
      <c r="A10" s="15"/>
      <c r="B10" s="18" t="s">
        <v>73</v>
      </c>
      <c r="C10" s="24" t="s">
        <v>23</v>
      </c>
      <c r="D10" s="24" t="s">
        <v>38</v>
      </c>
      <c r="E10" s="743" t="s">
        <v>956</v>
      </c>
      <c r="F10" s="23"/>
      <c r="G10" s="4"/>
      <c r="H10" s="4"/>
      <c r="I10" s="4"/>
    </row>
    <row r="11" spans="1:9" s="9" customFormat="1" ht="14.25">
      <c r="A11" s="15"/>
      <c r="B11" s="18" t="s">
        <v>73</v>
      </c>
      <c r="C11" s="24" t="s">
        <v>23</v>
      </c>
      <c r="D11" s="24" t="s">
        <v>39</v>
      </c>
      <c r="E11" s="743" t="s">
        <v>185</v>
      </c>
      <c r="F11" s="23"/>
      <c r="G11" s="7"/>
      <c r="H11" s="7"/>
      <c r="I11" s="4"/>
    </row>
    <row r="12" spans="1:9" s="9" customFormat="1" ht="14.25">
      <c r="A12" s="15"/>
      <c r="B12" s="18" t="s">
        <v>73</v>
      </c>
      <c r="C12" s="121" t="s">
        <v>23</v>
      </c>
      <c r="D12" s="121" t="s">
        <v>966</v>
      </c>
      <c r="E12" s="743" t="s">
        <v>955</v>
      </c>
      <c r="F12" s="23"/>
      <c r="G12" s="4"/>
      <c r="H12" s="4"/>
      <c r="I12" s="4"/>
    </row>
    <row r="13" spans="1:9" s="9" customFormat="1" ht="14.25">
      <c r="A13" s="15"/>
      <c r="B13" s="18" t="s">
        <v>73</v>
      </c>
      <c r="C13" s="121" t="s">
        <v>23</v>
      </c>
      <c r="D13" s="121" t="s">
        <v>967</v>
      </c>
      <c r="E13" s="743" t="s">
        <v>968</v>
      </c>
      <c r="F13" s="23"/>
      <c r="G13" s="4"/>
      <c r="H13" s="4"/>
      <c r="I13" s="4"/>
    </row>
    <row r="14" spans="1:9" s="9" customFormat="1" ht="14.25">
      <c r="A14" s="15"/>
      <c r="B14" s="18" t="s">
        <v>73</v>
      </c>
      <c r="C14" s="24" t="s">
        <v>43</v>
      </c>
      <c r="D14" s="24" t="s">
        <v>13</v>
      </c>
      <c r="E14" s="743" t="s">
        <v>43</v>
      </c>
      <c r="F14" s="26" t="s">
        <v>2158</v>
      </c>
      <c r="G14" s="4"/>
      <c r="H14" s="4"/>
      <c r="I14" s="4"/>
    </row>
    <row r="15" spans="1:9" s="9" customFormat="1" ht="14.25">
      <c r="A15" s="15"/>
      <c r="B15" s="18" t="s">
        <v>73</v>
      </c>
      <c r="C15" s="121" t="s">
        <v>1636</v>
      </c>
      <c r="D15" s="24" t="s">
        <v>6</v>
      </c>
      <c r="E15" s="743" t="s">
        <v>1636</v>
      </c>
      <c r="F15" s="26" t="s">
        <v>1637</v>
      </c>
      <c r="G15" s="4"/>
      <c r="H15" s="4"/>
      <c r="I15" s="4"/>
    </row>
    <row r="16" spans="1:9" s="9" customFormat="1" ht="14.25">
      <c r="A16" s="15"/>
      <c r="B16" s="743" t="s">
        <v>73</v>
      </c>
      <c r="C16" s="24" t="s">
        <v>71</v>
      </c>
      <c r="D16" s="24" t="s">
        <v>57</v>
      </c>
      <c r="E16" s="22" t="s">
        <v>30</v>
      </c>
      <c r="F16" s="26" t="s">
        <v>928</v>
      </c>
      <c r="G16" s="4"/>
      <c r="H16" s="4"/>
      <c r="I16" s="4"/>
    </row>
    <row r="17" spans="1:9" s="9" customFormat="1" ht="14.25">
      <c r="A17" s="15"/>
      <c r="B17" s="18" t="s">
        <v>73</v>
      </c>
      <c r="C17" s="24" t="s">
        <v>32</v>
      </c>
      <c r="D17" s="24" t="s">
        <v>40</v>
      </c>
      <c r="E17" s="743" t="s">
        <v>2561</v>
      </c>
      <c r="F17" s="26" t="s">
        <v>2568</v>
      </c>
      <c r="G17" s="4"/>
      <c r="H17" s="4"/>
      <c r="I17" s="4"/>
    </row>
    <row r="18" spans="1:9" s="9" customFormat="1" ht="14.25">
      <c r="A18" s="15"/>
      <c r="B18" s="18" t="s">
        <v>748</v>
      </c>
      <c r="C18" s="22" t="s">
        <v>0</v>
      </c>
      <c r="D18" s="22" t="s">
        <v>7</v>
      </c>
      <c r="E18" s="743" t="s">
        <v>1259</v>
      </c>
      <c r="F18" s="26" t="s">
        <v>451</v>
      </c>
      <c r="G18" s="4"/>
      <c r="H18" s="4"/>
      <c r="I18" s="4"/>
    </row>
    <row r="19" spans="1:9" s="9" customFormat="1" ht="14.25">
      <c r="A19" s="15"/>
      <c r="B19" s="18" t="s">
        <v>748</v>
      </c>
      <c r="C19" s="743" t="s">
        <v>51</v>
      </c>
      <c r="D19" s="22" t="s">
        <v>33</v>
      </c>
      <c r="E19" s="22" t="s">
        <v>15</v>
      </c>
      <c r="F19" s="23"/>
      <c r="G19" s="4"/>
      <c r="H19" s="4"/>
      <c r="I19" s="4"/>
    </row>
    <row r="20" spans="1:9" s="9" customFormat="1" ht="14.25">
      <c r="A20" s="15"/>
      <c r="B20" s="18" t="s">
        <v>748</v>
      </c>
      <c r="C20" s="18" t="s">
        <v>51</v>
      </c>
      <c r="D20" s="22" t="s">
        <v>8</v>
      </c>
      <c r="E20" s="22" t="s">
        <v>1</v>
      </c>
      <c r="F20" s="23"/>
      <c r="G20" s="4"/>
      <c r="H20" s="4"/>
      <c r="I20" s="4"/>
    </row>
    <row r="21" spans="1:9" s="9" customFormat="1" ht="14.25">
      <c r="A21" s="15"/>
      <c r="B21" s="18" t="s">
        <v>748</v>
      </c>
      <c r="C21" s="18" t="s">
        <v>51</v>
      </c>
      <c r="D21" s="22" t="s">
        <v>9</v>
      </c>
      <c r="E21" s="22" t="s">
        <v>70</v>
      </c>
      <c r="F21" s="23"/>
      <c r="G21" s="4"/>
      <c r="H21" s="4"/>
      <c r="I21" s="4"/>
    </row>
    <row r="22" spans="1:9" s="9" customFormat="1" ht="14.25">
      <c r="A22" s="15"/>
      <c r="B22" s="743" t="s">
        <v>748</v>
      </c>
      <c r="C22" s="743" t="s">
        <v>51</v>
      </c>
      <c r="D22" s="22" t="s">
        <v>10</v>
      </c>
      <c r="E22" s="22" t="s">
        <v>2</v>
      </c>
      <c r="F22" s="23"/>
      <c r="G22" s="4"/>
      <c r="H22" s="4"/>
      <c r="I22" s="4"/>
    </row>
    <row r="23" spans="1:9" s="9" customFormat="1" ht="14.25">
      <c r="A23" s="15"/>
      <c r="B23" s="743" t="s">
        <v>748</v>
      </c>
      <c r="C23" s="743" t="s">
        <v>51</v>
      </c>
      <c r="D23" s="743" t="s">
        <v>11</v>
      </c>
      <c r="E23" s="22" t="s">
        <v>3</v>
      </c>
      <c r="F23" s="23"/>
      <c r="G23" s="4"/>
      <c r="H23" s="4"/>
      <c r="I23" s="4"/>
    </row>
    <row r="24" spans="1:9" s="9" customFormat="1" ht="14.25">
      <c r="A24" s="15"/>
      <c r="B24" s="743" t="s">
        <v>748</v>
      </c>
      <c r="C24" s="743" t="s">
        <v>51</v>
      </c>
      <c r="D24" s="743" t="s">
        <v>12</v>
      </c>
      <c r="E24" s="22" t="s">
        <v>19</v>
      </c>
      <c r="F24" s="23"/>
      <c r="G24" s="4"/>
      <c r="H24" s="4"/>
      <c r="I24" s="4"/>
    </row>
    <row r="25" spans="1:9" s="9" customFormat="1" ht="16.5" customHeight="1">
      <c r="A25" s="15"/>
      <c r="B25" s="743" t="s">
        <v>748</v>
      </c>
      <c r="C25" s="743" t="s">
        <v>51</v>
      </c>
      <c r="D25" s="743" t="s">
        <v>104</v>
      </c>
      <c r="E25" s="743" t="s">
        <v>2289</v>
      </c>
      <c r="F25" s="26" t="s">
        <v>438</v>
      </c>
      <c r="G25" s="4"/>
      <c r="H25" s="4"/>
      <c r="I25" s="4"/>
    </row>
    <row r="26" spans="1:9" s="9" customFormat="1" ht="14.25">
      <c r="A26" s="15"/>
      <c r="B26" s="18" t="s">
        <v>748</v>
      </c>
      <c r="C26" s="18" t="s">
        <v>51</v>
      </c>
      <c r="D26" s="743" t="s">
        <v>1027</v>
      </c>
      <c r="E26" s="743" t="s">
        <v>188</v>
      </c>
      <c r="F26" s="26" t="s">
        <v>1028</v>
      </c>
      <c r="G26" s="4"/>
      <c r="H26" s="4"/>
      <c r="I26" s="4"/>
    </row>
    <row r="27" spans="1:9" s="9" customFormat="1" ht="14.25">
      <c r="A27" s="15"/>
      <c r="B27" s="18" t="s">
        <v>748</v>
      </c>
      <c r="C27" s="22" t="s">
        <v>53</v>
      </c>
      <c r="D27" s="22" t="s">
        <v>54</v>
      </c>
      <c r="E27" s="743" t="s">
        <v>53</v>
      </c>
      <c r="F27" s="26" t="s">
        <v>1475</v>
      </c>
      <c r="G27" s="4"/>
      <c r="H27" s="4"/>
      <c r="I27" s="4"/>
    </row>
    <row r="28" spans="1:9" s="9" customFormat="1" ht="14.25">
      <c r="A28" s="15"/>
      <c r="B28" s="18" t="s">
        <v>748</v>
      </c>
      <c r="C28" s="121" t="s">
        <v>48</v>
      </c>
      <c r="D28" s="24" t="s">
        <v>59</v>
      </c>
      <c r="E28" s="743" t="s">
        <v>1694</v>
      </c>
      <c r="F28" s="26" t="s">
        <v>626</v>
      </c>
      <c r="G28" s="4"/>
      <c r="H28" s="4"/>
      <c r="I28" s="4"/>
    </row>
    <row r="29" spans="1:9" s="9" customFormat="1" ht="14.25">
      <c r="A29" s="15"/>
      <c r="B29" s="18" t="s">
        <v>748</v>
      </c>
      <c r="C29" s="24" t="s">
        <v>48</v>
      </c>
      <c r="D29" s="24" t="s">
        <v>60</v>
      </c>
      <c r="E29" s="743" t="s">
        <v>1693</v>
      </c>
      <c r="F29" s="23"/>
      <c r="G29" s="4"/>
      <c r="H29" s="4"/>
      <c r="I29" s="4"/>
    </row>
    <row r="30" spans="1:9" s="9" customFormat="1" ht="14.25">
      <c r="A30" s="15"/>
      <c r="B30" s="18" t="s">
        <v>748</v>
      </c>
      <c r="C30" s="121" t="s">
        <v>48</v>
      </c>
      <c r="D30" s="121" t="s">
        <v>799</v>
      </c>
      <c r="E30" s="743" t="s">
        <v>1689</v>
      </c>
      <c r="F30" s="26" t="s">
        <v>2252</v>
      </c>
      <c r="G30" s="4"/>
      <c r="H30" s="4"/>
      <c r="I30" s="4"/>
    </row>
    <row r="31" spans="1:9" s="9" customFormat="1" ht="14.25">
      <c r="A31" s="15"/>
      <c r="B31" s="18" t="s">
        <v>748</v>
      </c>
      <c r="C31" s="121" t="s">
        <v>48</v>
      </c>
      <c r="D31" s="121" t="s">
        <v>991</v>
      </c>
      <c r="E31" s="743" t="s">
        <v>1690</v>
      </c>
      <c r="F31" s="23"/>
      <c r="G31" s="4"/>
      <c r="H31" s="4"/>
      <c r="I31" s="4"/>
    </row>
    <row r="32" spans="1:9" s="9" customFormat="1" ht="14.25">
      <c r="A32" s="15"/>
      <c r="B32" s="743" t="s">
        <v>748</v>
      </c>
      <c r="C32" s="121" t="s">
        <v>48</v>
      </c>
      <c r="D32" s="121" t="s">
        <v>992</v>
      </c>
      <c r="E32" s="743" t="s">
        <v>1691</v>
      </c>
      <c r="F32" s="26" t="s">
        <v>1678</v>
      </c>
      <c r="G32" s="4"/>
      <c r="H32" s="4"/>
      <c r="I32" s="4"/>
    </row>
    <row r="33" spans="1:9" s="9" customFormat="1" ht="14.25">
      <c r="A33" s="15"/>
      <c r="B33" s="743" t="s">
        <v>748</v>
      </c>
      <c r="C33" s="121" t="s">
        <v>48</v>
      </c>
      <c r="D33" s="121" t="s">
        <v>993</v>
      </c>
      <c r="E33" s="743" t="s">
        <v>1692</v>
      </c>
      <c r="F33" s="23"/>
      <c r="G33" s="4"/>
      <c r="H33" s="4"/>
      <c r="I33" s="4"/>
    </row>
    <row r="34" spans="1:9" s="9" customFormat="1" ht="14.25">
      <c r="A34" s="15"/>
      <c r="B34" s="18" t="s">
        <v>748</v>
      </c>
      <c r="C34" s="121" t="s">
        <v>998</v>
      </c>
      <c r="D34" s="121" t="s">
        <v>999</v>
      </c>
      <c r="E34" s="743" t="s">
        <v>1002</v>
      </c>
      <c r="F34" s="26"/>
      <c r="G34" s="4"/>
      <c r="H34" s="4"/>
      <c r="I34" s="4"/>
    </row>
    <row r="35" spans="1:9" s="9" customFormat="1" ht="14.25">
      <c r="A35" s="15"/>
      <c r="B35" s="18" t="s">
        <v>748</v>
      </c>
      <c r="C35" s="121" t="s">
        <v>998</v>
      </c>
      <c r="D35" s="121" t="s">
        <v>1000</v>
      </c>
      <c r="E35" s="743" t="s">
        <v>1003</v>
      </c>
      <c r="F35" s="26"/>
      <c r="G35" s="4"/>
      <c r="H35" s="4"/>
      <c r="I35" s="4"/>
    </row>
    <row r="36" spans="1:9" s="2" customFormat="1" ht="14.25">
      <c r="A36" s="11"/>
      <c r="B36" s="18" t="s">
        <v>748</v>
      </c>
      <c r="C36" s="121" t="s">
        <v>998</v>
      </c>
      <c r="D36" s="121" t="s">
        <v>1001</v>
      </c>
      <c r="E36" s="743" t="s">
        <v>1025</v>
      </c>
      <c r="F36" s="26"/>
      <c r="G36" s="4"/>
      <c r="H36" s="4"/>
      <c r="I36" s="4"/>
    </row>
    <row r="37" spans="1:9" s="2" customFormat="1" ht="14.25">
      <c r="A37" s="11"/>
      <c r="B37" s="18" t="s">
        <v>78</v>
      </c>
      <c r="C37" s="743" t="s">
        <v>749</v>
      </c>
      <c r="D37" s="22" t="s">
        <v>64</v>
      </c>
      <c r="E37" s="743" t="s">
        <v>2270</v>
      </c>
      <c r="F37" s="26" t="s">
        <v>1677</v>
      </c>
      <c r="G37" s="4"/>
      <c r="H37" s="4"/>
      <c r="I37" s="4"/>
    </row>
    <row r="38" spans="1:9" s="2" customFormat="1" ht="14.25">
      <c r="A38" s="11"/>
      <c r="B38" s="743" t="s">
        <v>78</v>
      </c>
      <c r="C38" s="743" t="s">
        <v>749</v>
      </c>
      <c r="D38" s="22" t="s">
        <v>65</v>
      </c>
      <c r="E38" s="743" t="s">
        <v>1435</v>
      </c>
      <c r="F38" s="26" t="s">
        <v>1677</v>
      </c>
      <c r="G38" s="4"/>
      <c r="H38" s="4"/>
      <c r="I38" s="4"/>
    </row>
    <row r="39" spans="1:9" s="2" customFormat="1" ht="14.25">
      <c r="A39" s="11"/>
      <c r="B39" s="743" t="s">
        <v>78</v>
      </c>
      <c r="C39" s="743" t="s">
        <v>749</v>
      </c>
      <c r="D39" s="22" t="s">
        <v>66</v>
      </c>
      <c r="E39" s="743" t="s">
        <v>275</v>
      </c>
      <c r="F39" s="26" t="s">
        <v>1677</v>
      </c>
      <c r="G39" s="4"/>
      <c r="H39" s="4"/>
      <c r="I39" s="4"/>
    </row>
    <row r="40" spans="1:9" s="2" customFormat="1" ht="14.25">
      <c r="A40" s="11"/>
      <c r="B40" s="743" t="s">
        <v>78</v>
      </c>
      <c r="C40" s="743" t="s">
        <v>5</v>
      </c>
      <c r="D40" s="22" t="s">
        <v>45</v>
      </c>
      <c r="E40" s="22" t="s">
        <v>67</v>
      </c>
      <c r="F40" s="743"/>
      <c r="G40" s="4"/>
      <c r="H40" s="4"/>
      <c r="I40" s="4"/>
    </row>
    <row r="41" spans="1:9" s="2" customFormat="1" ht="14.25">
      <c r="A41" s="11"/>
      <c r="B41" s="743" t="s">
        <v>78</v>
      </c>
      <c r="C41" s="743" t="s">
        <v>5</v>
      </c>
      <c r="D41" s="22" t="s">
        <v>46</v>
      </c>
      <c r="E41" s="743" t="s">
        <v>435</v>
      </c>
      <c r="F41" s="23"/>
      <c r="G41" s="4"/>
      <c r="H41" s="4"/>
      <c r="I41" s="4"/>
    </row>
    <row r="42" spans="1:9" s="2" customFormat="1" ht="14.25">
      <c r="A42" s="11"/>
      <c r="B42" s="743" t="s">
        <v>78</v>
      </c>
      <c r="C42" s="743" t="s">
        <v>267</v>
      </c>
      <c r="D42" s="743" t="s">
        <v>47</v>
      </c>
      <c r="E42" s="22" t="s">
        <v>62</v>
      </c>
      <c r="F42" s="26" t="s">
        <v>436</v>
      </c>
      <c r="G42" s="4"/>
      <c r="H42" s="4"/>
      <c r="I42" s="4"/>
    </row>
    <row r="43" spans="1:9" s="2" customFormat="1" ht="14.25">
      <c r="A43" s="11"/>
      <c r="B43" s="743" t="s">
        <v>78</v>
      </c>
      <c r="C43" s="743" t="s">
        <v>267</v>
      </c>
      <c r="D43" s="743" t="s">
        <v>49</v>
      </c>
      <c r="E43" s="22" t="s">
        <v>63</v>
      </c>
      <c r="F43" s="26" t="s">
        <v>437</v>
      </c>
      <c r="G43" s="4"/>
      <c r="H43" s="4"/>
      <c r="I43" s="4"/>
    </row>
    <row r="44" spans="1:9" s="2" customFormat="1" ht="14.25">
      <c r="A44" s="11"/>
      <c r="B44" s="743" t="s">
        <v>78</v>
      </c>
      <c r="C44" s="743" t="s">
        <v>267</v>
      </c>
      <c r="D44" s="743" t="s">
        <v>50</v>
      </c>
      <c r="E44" s="743" t="s">
        <v>627</v>
      </c>
      <c r="F44" s="26" t="s">
        <v>266</v>
      </c>
      <c r="G44" s="4"/>
      <c r="H44" s="4"/>
      <c r="I44" s="4"/>
    </row>
    <row r="45" spans="1:9" s="2" customFormat="1" ht="14.25">
      <c r="A45" s="11"/>
      <c r="B45" s="743" t="s">
        <v>78</v>
      </c>
      <c r="C45" s="743" t="s">
        <v>267</v>
      </c>
      <c r="D45" s="743" t="s">
        <v>108</v>
      </c>
      <c r="E45" s="743" t="s">
        <v>268</v>
      </c>
      <c r="F45" s="26"/>
      <c r="G45" s="4"/>
      <c r="H45" s="4"/>
      <c r="I45" s="4"/>
    </row>
    <row r="46" spans="1:9" s="2" customFormat="1" ht="14.25">
      <c r="A46" s="11"/>
      <c r="B46" s="743" t="s">
        <v>78</v>
      </c>
      <c r="C46" s="743" t="s">
        <v>16</v>
      </c>
      <c r="D46" s="743" t="s">
        <v>753</v>
      </c>
      <c r="E46" s="743" t="s">
        <v>850</v>
      </c>
      <c r="F46" s="26" t="s">
        <v>625</v>
      </c>
      <c r="G46" s="4"/>
      <c r="H46" s="4"/>
      <c r="I46" s="4"/>
    </row>
    <row r="47" spans="1:9" s="2" customFormat="1" ht="14.25">
      <c r="A47" s="11"/>
      <c r="B47" s="743" t="s">
        <v>78</v>
      </c>
      <c r="C47" s="743" t="s">
        <v>105</v>
      </c>
      <c r="D47" s="743" t="s">
        <v>754</v>
      </c>
      <c r="E47" s="743" t="s">
        <v>106</v>
      </c>
      <c r="F47" s="26" t="s">
        <v>925</v>
      </c>
      <c r="G47" s="4"/>
      <c r="H47" s="4"/>
      <c r="I47" s="4"/>
    </row>
    <row r="48" spans="1:9" s="2" customFormat="1" ht="14.25">
      <c r="A48" s="11"/>
      <c r="B48" s="743" t="s">
        <v>78</v>
      </c>
      <c r="C48" s="743" t="s">
        <v>105</v>
      </c>
      <c r="D48" s="743" t="s">
        <v>755</v>
      </c>
      <c r="E48" s="743" t="s">
        <v>1473</v>
      </c>
      <c r="F48" s="26" t="s">
        <v>1802</v>
      </c>
      <c r="G48" s="4"/>
      <c r="H48" s="4"/>
      <c r="I48" s="4"/>
    </row>
    <row r="49" spans="1:11" s="2" customFormat="1" ht="14.25">
      <c r="A49" s="11"/>
      <c r="B49" s="743" t="s">
        <v>78</v>
      </c>
      <c r="C49" s="743" t="s">
        <v>107</v>
      </c>
      <c r="D49" s="743" t="s">
        <v>929</v>
      </c>
      <c r="E49" s="743" t="s">
        <v>1474</v>
      </c>
      <c r="F49" s="26" t="s">
        <v>927</v>
      </c>
      <c r="G49" s="4"/>
      <c r="H49" s="4"/>
      <c r="I49" s="4"/>
    </row>
    <row r="50" spans="1:11" s="2" customFormat="1" ht="14.25">
      <c r="A50" s="11"/>
      <c r="B50" s="2435" t="s">
        <v>78</v>
      </c>
      <c r="C50" s="2435" t="s">
        <v>105</v>
      </c>
      <c r="D50" s="2435" t="s">
        <v>2294</v>
      </c>
      <c r="E50" s="2436" t="s">
        <v>136</v>
      </c>
      <c r="F50" s="2437" t="s">
        <v>2295</v>
      </c>
      <c r="G50" s="4"/>
      <c r="H50" s="4"/>
      <c r="I50" s="4"/>
    </row>
    <row r="51" spans="1:11" s="2" customFormat="1" ht="14.25">
      <c r="A51" s="11"/>
      <c r="B51" s="1600" t="s">
        <v>78</v>
      </c>
      <c r="C51" s="40" t="s">
        <v>23</v>
      </c>
      <c r="D51" s="40" t="s">
        <v>1331</v>
      </c>
      <c r="E51" s="30" t="s">
        <v>1330</v>
      </c>
      <c r="F51" s="1601" t="s">
        <v>1332</v>
      </c>
      <c r="G51" s="4"/>
      <c r="H51" s="4"/>
      <c r="I51" s="4"/>
    </row>
    <row r="52" spans="1:11" s="2" customFormat="1" ht="14.25">
      <c r="A52" s="11"/>
      <c r="B52" s="1600" t="s">
        <v>78</v>
      </c>
      <c r="C52" s="743" t="s">
        <v>107</v>
      </c>
      <c r="D52" s="743" t="s">
        <v>1476</v>
      </c>
      <c r="E52" s="22" t="s">
        <v>18</v>
      </c>
      <c r="F52" s="1713"/>
      <c r="G52" s="4"/>
      <c r="H52" s="4"/>
      <c r="I52" s="4"/>
    </row>
    <row r="53" spans="1:11" s="2" customFormat="1" ht="14.25">
      <c r="A53" s="11"/>
      <c r="B53" s="1600" t="s">
        <v>78</v>
      </c>
      <c r="C53" s="40" t="s">
        <v>105</v>
      </c>
      <c r="D53" s="40" t="s">
        <v>1801</v>
      </c>
      <c r="E53" s="30" t="s">
        <v>2290</v>
      </c>
      <c r="F53" s="1601" t="s">
        <v>2292</v>
      </c>
      <c r="G53" s="4"/>
      <c r="H53" s="4"/>
      <c r="I53" s="4"/>
    </row>
    <row r="54" spans="1:11" s="2" customFormat="1" ht="14.25">
      <c r="A54" s="11"/>
      <c r="B54" s="2435" t="s">
        <v>78</v>
      </c>
      <c r="C54" s="2435" t="s">
        <v>105</v>
      </c>
      <c r="D54" s="2435" t="s">
        <v>2291</v>
      </c>
      <c r="E54" s="30" t="s">
        <v>2296</v>
      </c>
      <c r="F54" s="1601" t="s">
        <v>2293</v>
      </c>
      <c r="G54" s="4"/>
      <c r="H54" s="4"/>
      <c r="I54" s="4"/>
    </row>
    <row r="55" spans="1:11" s="2" customFormat="1" ht="14.25">
      <c r="A55" s="15"/>
      <c r="C55" s="12"/>
      <c r="F55" s="16"/>
      <c r="G55" s="4"/>
      <c r="H55" s="4"/>
      <c r="I55" s="4"/>
    </row>
    <row r="56" spans="1:11">
      <c r="A56" s="15"/>
      <c r="B56" s="2"/>
      <c r="E56" s="2"/>
      <c r="F56" s="16"/>
      <c r="G56" s="4"/>
      <c r="H56" s="4"/>
      <c r="I56" s="4"/>
      <c r="J56" s="2"/>
      <c r="K56" s="2"/>
    </row>
    <row r="57" spans="1:11" s="2" customFormat="1" ht="14.25">
      <c r="A57" s="15"/>
      <c r="C57" s="12"/>
      <c r="F57" s="16"/>
      <c r="G57" s="4"/>
      <c r="H57" s="4"/>
      <c r="I57" s="4"/>
    </row>
    <row r="58" spans="1:11" s="2" customFormat="1" ht="14.25">
      <c r="A58" s="15"/>
      <c r="C58" s="12"/>
      <c r="F58" s="16"/>
      <c r="G58" s="4"/>
      <c r="H58" s="4"/>
      <c r="I58" s="4"/>
    </row>
    <row r="59" spans="1:11" s="2" customFormat="1" ht="14.25">
      <c r="A59" s="15"/>
      <c r="C59" s="12"/>
      <c r="F59" s="16"/>
      <c r="G59" s="4"/>
      <c r="H59" s="4"/>
      <c r="I59" s="4"/>
    </row>
    <row r="60" spans="1:11" s="2" customFormat="1" ht="14.25">
      <c r="A60" s="15"/>
      <c r="C60" s="12"/>
      <c r="F60" s="16"/>
      <c r="G60" s="4"/>
      <c r="H60" s="4"/>
      <c r="I60" s="4"/>
    </row>
    <row r="61" spans="1:11" s="2" customFormat="1" ht="14.25">
      <c r="A61" s="15"/>
      <c r="C61" s="12"/>
      <c r="F61" s="16"/>
      <c r="G61" s="4"/>
      <c r="H61" s="4"/>
      <c r="I61" s="4"/>
    </row>
    <row r="62" spans="1:11" s="2" customFormat="1" ht="14.25">
      <c r="A62" s="15"/>
      <c r="C62" s="12"/>
      <c r="F62" s="16"/>
      <c r="G62" s="4"/>
      <c r="H62" s="4"/>
      <c r="I62" s="4"/>
    </row>
    <row r="63" spans="1:11" s="2" customFormat="1" ht="14.25">
      <c r="A63" s="15"/>
      <c r="C63" s="12"/>
      <c r="F63" s="16"/>
      <c r="G63" s="4"/>
      <c r="H63" s="4"/>
      <c r="I63" s="4"/>
    </row>
    <row r="64" spans="1:11" s="2" customFormat="1" ht="14.25">
      <c r="A64" s="15"/>
      <c r="C64" s="12"/>
      <c r="F64" s="16"/>
      <c r="G64" s="4"/>
      <c r="H64" s="4"/>
      <c r="I64" s="4"/>
    </row>
    <row r="65" spans="1:9" s="2" customFormat="1" ht="14.25">
      <c r="A65" s="15"/>
      <c r="C65" s="12"/>
      <c r="F65" s="16"/>
      <c r="G65" s="4"/>
      <c r="H65" s="4"/>
      <c r="I65" s="4"/>
    </row>
    <row r="66" spans="1:9" s="2" customFormat="1" ht="12.75">
      <c r="C66" s="12"/>
      <c r="F66" s="16"/>
      <c r="G66" s="4"/>
      <c r="H66" s="4"/>
      <c r="I66" s="4"/>
    </row>
    <row r="67" spans="1:9" s="2" customFormat="1" ht="12.75">
      <c r="C67" s="12"/>
      <c r="F67" s="16"/>
      <c r="G67" s="4"/>
      <c r="H67" s="4"/>
      <c r="I67" s="4"/>
    </row>
    <row r="68" spans="1:9" s="2" customFormat="1" ht="12.75">
      <c r="C68" s="12"/>
      <c r="F68" s="16"/>
      <c r="G68" s="4"/>
      <c r="H68" s="4"/>
      <c r="I68" s="4"/>
    </row>
    <row r="69" spans="1:9" s="2" customFormat="1" ht="12.75">
      <c r="C69" s="12"/>
      <c r="F69" s="16"/>
      <c r="G69" s="4"/>
      <c r="H69" s="4"/>
      <c r="I69" s="4"/>
    </row>
    <row r="70" spans="1:9" s="2" customFormat="1">
      <c r="B70" s="3"/>
      <c r="C70" s="12"/>
      <c r="E70" s="3"/>
      <c r="F70" s="17"/>
      <c r="G70" s="4"/>
      <c r="H70" s="4"/>
      <c r="I70" s="4"/>
    </row>
    <row r="71" spans="1:9" s="2" customFormat="1">
      <c r="B71" s="3"/>
      <c r="C71" s="12"/>
      <c r="E71" s="3"/>
      <c r="F71" s="17"/>
      <c r="G71" s="4"/>
      <c r="H71" s="4"/>
      <c r="I71" s="4"/>
    </row>
    <row r="72" spans="1:9" s="2" customFormat="1">
      <c r="B72" s="3"/>
      <c r="C72" s="12"/>
      <c r="E72" s="3"/>
      <c r="F72" s="17"/>
      <c r="G72" s="4"/>
      <c r="H72" s="4"/>
      <c r="I72" s="4"/>
    </row>
    <row r="73" spans="1:9" s="2" customFormat="1">
      <c r="B73" s="3"/>
      <c r="C73" s="12"/>
      <c r="E73" s="3"/>
      <c r="F73" s="17"/>
      <c r="G73" s="4"/>
      <c r="H73" s="4"/>
      <c r="I73" s="4"/>
    </row>
    <row r="74" spans="1:9" s="2" customFormat="1">
      <c r="B74" s="3"/>
      <c r="C74" s="12"/>
      <c r="E74" s="3"/>
      <c r="F74" s="17"/>
      <c r="G74" s="4"/>
      <c r="H74" s="4"/>
      <c r="I74" s="4"/>
    </row>
    <row r="75" spans="1:9" s="2" customFormat="1">
      <c r="B75" s="3"/>
      <c r="C75" s="12"/>
      <c r="E75" s="3"/>
      <c r="F75" s="17"/>
      <c r="G75" s="4"/>
      <c r="H75" s="4"/>
      <c r="I75" s="4"/>
    </row>
  </sheetData>
  <pageMargins left="0.70866141732283472" right="0.70866141732283472" top="0.74803149606299213" bottom="0.74803149606299213" header="0.31496062992125984" footer="0.31496062992125984"/>
  <pageSetup paperSize="9" scale="60"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sheetPr codeName="Sheet28">
    <pageSetUpPr autoPageBreaks="0"/>
  </sheetPr>
  <dimension ref="A1:E36"/>
  <sheetViews>
    <sheetView showGridLines="0" showRowColHeaders="0" zoomScale="80" zoomScaleNormal="80" workbookViewId="0"/>
  </sheetViews>
  <sheetFormatPr defaultRowHeight="12.75"/>
  <cols>
    <col min="1" max="1" width="1" customWidth="1"/>
    <col min="2" max="2" width="14.42578125" customWidth="1"/>
    <col min="3" max="3" width="35.7109375" bestFit="1" customWidth="1"/>
    <col min="4" max="4" width="61" bestFit="1" customWidth="1"/>
  </cols>
  <sheetData>
    <row r="1" spans="1:4" ht="15.75">
      <c r="A1" s="3"/>
    </row>
    <row r="2" spans="1:4" ht="15.75">
      <c r="A2" s="3"/>
      <c r="B2" s="809" t="s">
        <v>1049</v>
      </c>
    </row>
    <row r="3" spans="1:4" ht="15.75">
      <c r="A3" s="3"/>
    </row>
    <row r="4" spans="1:4" ht="17.25" customHeight="1">
      <c r="A4" s="768"/>
      <c r="B4" s="743" t="s">
        <v>1047</v>
      </c>
      <c r="C4" s="743" t="s">
        <v>1048</v>
      </c>
      <c r="D4" s="743" t="s">
        <v>80</v>
      </c>
    </row>
    <row r="5" spans="1:4" ht="15.75">
      <c r="A5" s="753"/>
      <c r="B5" s="1141" t="s">
        <v>1065</v>
      </c>
      <c r="C5" s="743" t="s">
        <v>1043</v>
      </c>
      <c r="D5" s="743" t="s">
        <v>1374</v>
      </c>
    </row>
    <row r="6" spans="1:4" s="121" customFormat="1" ht="15.75">
      <c r="A6" s="753"/>
      <c r="B6" s="1141" t="s">
        <v>1064</v>
      </c>
      <c r="C6" s="743" t="s">
        <v>1066</v>
      </c>
      <c r="D6" s="743"/>
    </row>
    <row r="7" spans="1:4" ht="15.75">
      <c r="A7" s="753"/>
      <c r="B7" s="743">
        <v>2</v>
      </c>
      <c r="C7" s="743" t="s">
        <v>1044</v>
      </c>
      <c r="D7" s="743"/>
    </row>
    <row r="8" spans="1:4" ht="15.75">
      <c r="A8" s="753"/>
      <c r="B8" s="743">
        <v>3</v>
      </c>
      <c r="C8" s="743" t="s">
        <v>1045</v>
      </c>
      <c r="D8" s="743" t="s">
        <v>1171</v>
      </c>
    </row>
    <row r="9" spans="1:4" ht="15.75">
      <c r="A9" s="753"/>
      <c r="B9" s="743">
        <v>4</v>
      </c>
      <c r="C9" s="743" t="s">
        <v>188</v>
      </c>
      <c r="D9" s="743" t="s">
        <v>1375</v>
      </c>
    </row>
    <row r="10" spans="1:4" ht="15.75">
      <c r="A10" s="753"/>
      <c r="B10" s="743">
        <v>5</v>
      </c>
      <c r="C10" s="743" t="s">
        <v>1046</v>
      </c>
      <c r="D10" s="743"/>
    </row>
    <row r="11" spans="1:4" ht="15.75">
      <c r="A11" s="753"/>
      <c r="B11" s="743">
        <v>6</v>
      </c>
      <c r="C11" s="743" t="s">
        <v>53</v>
      </c>
      <c r="D11" s="743"/>
    </row>
    <row r="12" spans="1:4" ht="15.75">
      <c r="A12" s="753"/>
      <c r="B12" s="743">
        <v>7</v>
      </c>
      <c r="C12" s="743" t="s">
        <v>123</v>
      </c>
      <c r="D12" s="743"/>
    </row>
    <row r="13" spans="1:4" ht="15.75">
      <c r="A13" s="3"/>
      <c r="B13" s="682" t="s">
        <v>1050</v>
      </c>
      <c r="C13" s="30" t="s">
        <v>1814</v>
      </c>
      <c r="D13" s="30" t="s">
        <v>1376</v>
      </c>
    </row>
    <row r="14" spans="1:4" ht="15.75">
      <c r="A14" s="3"/>
      <c r="B14" s="682" t="s">
        <v>1051</v>
      </c>
      <c r="C14" s="30" t="s">
        <v>1875</v>
      </c>
      <c r="D14" s="30" t="s">
        <v>1584</v>
      </c>
    </row>
    <row r="15" spans="1:4" ht="15.75">
      <c r="A15" s="3"/>
      <c r="B15" s="682" t="s">
        <v>1078</v>
      </c>
      <c r="C15" s="30" t="s">
        <v>1874</v>
      </c>
      <c r="D15" s="30" t="s">
        <v>1872</v>
      </c>
    </row>
    <row r="16" spans="1:4" s="121" customFormat="1"/>
    <row r="18" spans="1:5" ht="15.75">
      <c r="B18" s="809" t="s">
        <v>1052</v>
      </c>
    </row>
    <row r="20" spans="1:5" ht="15.75">
      <c r="A20" s="753"/>
      <c r="B20" s="743" t="s">
        <v>1053</v>
      </c>
      <c r="C20" s="743" t="s">
        <v>1054</v>
      </c>
      <c r="D20" s="743" t="s">
        <v>80</v>
      </c>
    </row>
    <row r="21" spans="1:5" ht="15.75">
      <c r="A21" s="753"/>
      <c r="B21" s="743" t="s">
        <v>1055</v>
      </c>
      <c r="C21" s="743" t="s">
        <v>1059</v>
      </c>
      <c r="D21" s="743"/>
    </row>
    <row r="22" spans="1:5" ht="15.75">
      <c r="A22" s="753"/>
      <c r="B22" s="743" t="s">
        <v>1056</v>
      </c>
      <c r="C22" s="743" t="s">
        <v>1060</v>
      </c>
      <c r="D22" s="743"/>
    </row>
    <row r="23" spans="1:5" ht="15.75">
      <c r="A23" s="753"/>
      <c r="B23" s="743" t="s">
        <v>1057</v>
      </c>
      <c r="C23" s="743" t="s">
        <v>1061</v>
      </c>
      <c r="D23" s="743"/>
    </row>
    <row r="24" spans="1:5" ht="15.75">
      <c r="A24" s="753"/>
      <c r="B24" s="743" t="s">
        <v>1058</v>
      </c>
      <c r="C24" s="743" t="s">
        <v>1062</v>
      </c>
      <c r="D24" s="743"/>
    </row>
    <row r="26" spans="1:5">
      <c r="B26" s="121" t="s">
        <v>1176</v>
      </c>
    </row>
    <row r="28" spans="1:5">
      <c r="B28" s="121" t="s">
        <v>1177</v>
      </c>
    </row>
    <row r="30" spans="1:5" s="121" customFormat="1">
      <c r="B30" s="121" t="s">
        <v>1181</v>
      </c>
      <c r="C30" s="121" t="s">
        <v>1182</v>
      </c>
      <c r="D30" s="121" t="s">
        <v>1189</v>
      </c>
      <c r="E30" s="121" t="s">
        <v>1193</v>
      </c>
    </row>
    <row r="31" spans="1:5" s="121" customFormat="1">
      <c r="B31" s="121" t="s">
        <v>1183</v>
      </c>
      <c r="C31" s="121" t="s">
        <v>1184</v>
      </c>
      <c r="D31" s="121" t="s">
        <v>1190</v>
      </c>
    </row>
    <row r="32" spans="1:5" s="121" customFormat="1">
      <c r="B32" s="121" t="s">
        <v>1185</v>
      </c>
      <c r="C32" s="121" t="s">
        <v>123</v>
      </c>
      <c r="D32" s="121" t="s">
        <v>940</v>
      </c>
    </row>
    <row r="33" spans="2:5">
      <c r="B33" s="121" t="s">
        <v>1178</v>
      </c>
      <c r="C33" s="121" t="s">
        <v>202</v>
      </c>
      <c r="D33" s="121" t="s">
        <v>1191</v>
      </c>
    </row>
    <row r="34" spans="2:5">
      <c r="B34" s="121" t="s">
        <v>1179</v>
      </c>
      <c r="C34" s="121" t="s">
        <v>1180</v>
      </c>
      <c r="D34" s="121" t="s">
        <v>1195</v>
      </c>
      <c r="E34" s="121" t="s">
        <v>1196</v>
      </c>
    </row>
    <row r="35" spans="2:5">
      <c r="B35" s="121" t="s">
        <v>1186</v>
      </c>
      <c r="C35" s="121" t="s">
        <v>1188</v>
      </c>
      <c r="D35" s="121" t="s">
        <v>1192</v>
      </c>
      <c r="E35" s="121" t="s">
        <v>1194</v>
      </c>
    </row>
    <row r="36" spans="2:5">
      <c r="B36" s="121" t="s">
        <v>1187</v>
      </c>
      <c r="C36" s="121" t="s">
        <v>123</v>
      </c>
      <c r="D36" s="121" t="s">
        <v>940</v>
      </c>
    </row>
  </sheetData>
  <pageMargins left="0.7" right="0.7" top="0.75" bottom="0.75" header="0.3" footer="0.3"/>
  <pageSetup paperSize="9" orientation="portrait" r:id="rId1"/>
  <tableParts count="2">
    <tablePart r:id="rId2"/>
    <tablePart r:id="rId3"/>
  </tableParts>
</worksheet>
</file>

<file path=xl/worksheets/sheet16.xml><?xml version="1.0" encoding="utf-8"?>
<worksheet xmlns="http://schemas.openxmlformats.org/spreadsheetml/2006/main" xmlns:r="http://schemas.openxmlformats.org/officeDocument/2006/relationships">
  <sheetPr codeName="Sheet71">
    <tabColor theme="9"/>
    <outlinePr summaryBelow="0"/>
    <pageSetUpPr autoPageBreaks="0"/>
  </sheetPr>
  <dimension ref="A1:AA149"/>
  <sheetViews>
    <sheetView showGridLines="0" zoomScale="80" zoomScaleNormal="80" workbookViewId="0">
      <pane ySplit="2" topLeftCell="A3" activePane="bottomLeft" state="frozen"/>
      <selection activeCell="Q127" sqref="Q127:Z140"/>
      <selection pane="bottomLeft"/>
    </sheetView>
  </sheetViews>
  <sheetFormatPr defaultRowHeight="12.75" outlineLevelRow="1"/>
  <cols>
    <col min="1" max="1" width="5.85546875" customWidth="1"/>
    <col min="2" max="2" width="2.5703125" style="1" customWidth="1"/>
    <col min="4" max="4" width="28.140625" style="1" bestFit="1" customWidth="1"/>
    <col min="5" max="5" width="8.140625" customWidth="1"/>
    <col min="6" max="15" width="11.42578125" customWidth="1"/>
    <col min="16" max="16" width="2" customWidth="1"/>
    <col min="17" max="17" width="9" customWidth="1"/>
    <col min="18" max="27" width="13.28515625" customWidth="1"/>
  </cols>
  <sheetData>
    <row r="1" spans="1:27" ht="21">
      <c r="A1" s="790" t="s">
        <v>74</v>
      </c>
      <c r="B1" s="790" t="str">
        <f>INDEX(Workstreams[Workstream], MATCH($A1, Workstreams[Code], 0))</f>
        <v>Hydrocarbon fuel power generation</v>
      </c>
      <c r="C1" s="790"/>
    </row>
    <row r="2" spans="1:27" s="743" customFormat="1" ht="19.5" customHeight="1">
      <c r="A2" s="10" t="s">
        <v>742</v>
      </c>
      <c r="B2" s="10" t="str">
        <f>INDEX(Modules[Module], MATCH($A2, Modules[Code], 0))</f>
        <v>Conventional thermal plant</v>
      </c>
      <c r="C2" s="10"/>
    </row>
    <row r="4" spans="1:27" ht="22.5" collapsed="1">
      <c r="A4" s="1171"/>
      <c r="B4" s="1231" t="s">
        <v>682</v>
      </c>
      <c r="C4" s="1183"/>
      <c r="D4" s="1183"/>
      <c r="E4" s="1183"/>
      <c r="F4" s="1183"/>
      <c r="G4" s="1183"/>
      <c r="H4" s="1183"/>
      <c r="I4" s="1183"/>
      <c r="J4" s="1183"/>
      <c r="K4" s="1183"/>
      <c r="L4" s="1183"/>
      <c r="M4" s="1183"/>
      <c r="N4" s="1183"/>
      <c r="O4" s="1183"/>
      <c r="P4" s="1185"/>
    </row>
    <row r="5" spans="1:27" hidden="1" outlineLevel="1">
      <c r="B5" s="1172"/>
      <c r="C5" s="1174"/>
      <c r="D5" s="1174"/>
      <c r="E5" s="1174"/>
      <c r="F5" s="1174"/>
      <c r="G5" s="1174"/>
      <c r="H5" s="1174"/>
      <c r="I5" s="1174"/>
      <c r="J5" s="1174"/>
      <c r="K5" s="1174"/>
      <c r="L5" s="1174"/>
      <c r="M5" s="1174"/>
      <c r="N5" s="1174"/>
      <c r="O5" s="1174"/>
      <c r="P5" s="1176"/>
    </row>
    <row r="6" spans="1:27" hidden="1" outlineLevel="1">
      <c r="B6" s="1172"/>
      <c r="C6" s="1186" t="s">
        <v>747</v>
      </c>
      <c r="D6" s="1174"/>
      <c r="E6" s="1175" t="str">
        <f>Preferences.EnergyUnits</f>
        <v>TWh</v>
      </c>
      <c r="F6" s="1174"/>
      <c r="G6" s="1174"/>
      <c r="H6" s="1174"/>
      <c r="I6" s="1174"/>
      <c r="J6" s="1174"/>
      <c r="K6" s="1174"/>
      <c r="L6" s="1174"/>
      <c r="M6" s="1174"/>
      <c r="N6" s="1174"/>
      <c r="O6" s="1174"/>
      <c r="P6" s="1176"/>
    </row>
    <row r="7" spans="1:27" ht="6" hidden="1" customHeight="1" outlineLevel="1">
      <c r="B7" s="1172"/>
      <c r="C7" s="1173"/>
      <c r="D7" s="1174"/>
      <c r="E7" s="1175"/>
      <c r="F7" s="1174"/>
      <c r="G7" s="1174"/>
      <c r="H7" s="1174"/>
      <c r="I7" s="1174"/>
      <c r="J7" s="1174"/>
      <c r="K7" s="1174"/>
      <c r="L7" s="1174"/>
      <c r="M7" s="1174"/>
      <c r="N7" s="1174"/>
      <c r="O7" s="1174"/>
      <c r="P7" s="1176"/>
    </row>
    <row r="8" spans="1:27" s="743" customFormat="1" ht="15.75" hidden="1" outlineLevel="1">
      <c r="A8" s="753"/>
      <c r="B8" s="1187"/>
      <c r="C8" s="1188" t="s">
        <v>78</v>
      </c>
      <c r="D8" s="1188" t="s">
        <v>418</v>
      </c>
      <c r="E8" s="1188" t="s">
        <v>442</v>
      </c>
      <c r="F8" s="1188" t="s">
        <v>691</v>
      </c>
      <c r="G8" s="1188" t="s">
        <v>692</v>
      </c>
      <c r="H8" s="1189" t="s">
        <v>721</v>
      </c>
      <c r="I8" s="1189" t="s">
        <v>722</v>
      </c>
      <c r="J8" s="1189" t="s">
        <v>723</v>
      </c>
      <c r="K8" s="1189" t="s">
        <v>724</v>
      </c>
      <c r="L8" s="1189" t="s">
        <v>725</v>
      </c>
      <c r="M8" s="1189" t="s">
        <v>726</v>
      </c>
      <c r="N8" s="1189" t="s">
        <v>727</v>
      </c>
      <c r="O8" s="1189" t="s">
        <v>728</v>
      </c>
      <c r="P8" s="1190"/>
    </row>
    <row r="9" spans="1:27" s="743" customFormat="1" ht="15.75" hidden="1" outlineLevel="1">
      <c r="A9" s="753"/>
      <c r="B9" s="1187"/>
      <c r="C9" s="1188" t="s">
        <v>45</v>
      </c>
      <c r="D9" s="1188" t="str">
        <f>INDEX(Vectors[Description], MATCH([Vector], Vectors[Code], 0))</f>
        <v>Electricity (delivered to end user)</v>
      </c>
      <c r="E9" s="1188"/>
      <c r="F9" s="1266">
        <f ca="1">INDEX(INDIRECT("'"&amp;I.a.Inputs[#Headers]&amp;"'!Year.Matrix"), MATCH("Subtotal."&amp;$A$2, INDIRECT("'"&amp;I.a.Inputs[#Headers]&amp;"'!Year.Modules"), 0), MATCH([Vector], INDIRECT("'"&amp;I.a.Inputs[#Headers]&amp;"'!Year.Vectors"), 0))</f>
        <v>-354.55512401053005</v>
      </c>
      <c r="G9" s="1266">
        <f ca="1">INDEX(INDIRECT("'"&amp;I.a.Inputs[#Headers]&amp;"'!Year.Matrix"), MATCH("Subtotal."&amp;$A$2, INDIRECT("'"&amp;I.a.Inputs[#Headers]&amp;"'!Year.Modules"), 0), MATCH([Vector], INDIRECT("'"&amp;I.a.Inputs[#Headers]&amp;"'!Year.Vectors"), 0))</f>
        <v>-361.16931700791082</v>
      </c>
      <c r="H9" s="1266">
        <f ca="1">INDEX(INDIRECT("'"&amp;I.a.Inputs[#Headers]&amp;"'!Year.Matrix"), MATCH("Subtotal."&amp;$A$2, INDIRECT("'"&amp;I.a.Inputs[#Headers]&amp;"'!Year.Modules"), 0), MATCH([Vector], INDIRECT("'"&amp;I.a.Inputs[#Headers]&amp;"'!Year.Vectors"), 0))</f>
        <v>-373.16495041083652</v>
      </c>
      <c r="I9" s="1266">
        <f ca="1">INDEX(INDIRECT("'"&amp;I.a.Inputs[#Headers]&amp;"'!Year.Matrix"), MATCH("Subtotal."&amp;$A$2, INDIRECT("'"&amp;I.a.Inputs[#Headers]&amp;"'!Year.Modules"), 0), MATCH([Vector], INDIRECT("'"&amp;I.a.Inputs[#Headers]&amp;"'!Year.Vectors"), 0))</f>
        <v>-382.28449716625596</v>
      </c>
      <c r="J9" s="1266">
        <f ca="1">INDEX(INDIRECT("'"&amp;I.a.Inputs[#Headers]&amp;"'!Year.Matrix"), MATCH("Subtotal."&amp;$A$2, INDIRECT("'"&amp;I.a.Inputs[#Headers]&amp;"'!Year.Modules"), 0), MATCH([Vector], INDIRECT("'"&amp;I.a.Inputs[#Headers]&amp;"'!Year.Vectors"), 0))</f>
        <v>-389.72589326068504</v>
      </c>
      <c r="K9" s="1266">
        <f ca="1">INDEX(INDIRECT("'"&amp;I.a.Inputs[#Headers]&amp;"'!Year.Matrix"), MATCH("Subtotal."&amp;$A$2, INDIRECT("'"&amp;I.a.Inputs[#Headers]&amp;"'!Year.Modules"), 0), MATCH([Vector], INDIRECT("'"&amp;I.a.Inputs[#Headers]&amp;"'!Year.Vectors"), 0))</f>
        <v>-398.92590619421691</v>
      </c>
      <c r="L9" s="1266">
        <f ca="1">INDEX(INDIRECT("'"&amp;I.a.Inputs[#Headers]&amp;"'!Year.Matrix"), MATCH("Subtotal."&amp;$A$2, INDIRECT("'"&amp;I.a.Inputs[#Headers]&amp;"'!Year.Modules"), 0), MATCH([Vector], INDIRECT("'"&amp;I.a.Inputs[#Headers]&amp;"'!Year.Vectors"), 0))</f>
        <v>-409.73117353201741</v>
      </c>
      <c r="M9" s="1266">
        <f ca="1">INDEX(INDIRECT("'"&amp;I.a.Inputs[#Headers]&amp;"'!Year.Matrix"), MATCH("Subtotal."&amp;$A$2, INDIRECT("'"&amp;I.a.Inputs[#Headers]&amp;"'!Year.Modules"), 0), MATCH([Vector], INDIRECT("'"&amp;I.a.Inputs[#Headers]&amp;"'!Year.Vectors"), 0))</f>
        <v>-422.11056999038811</v>
      </c>
      <c r="N9" s="1266">
        <f ca="1">INDEX(INDIRECT("'"&amp;I.a.Inputs[#Headers]&amp;"'!Year.Matrix"), MATCH("Subtotal."&amp;$A$2, INDIRECT("'"&amp;I.a.Inputs[#Headers]&amp;"'!Year.Modules"), 0), MATCH([Vector], INDIRECT("'"&amp;I.a.Inputs[#Headers]&amp;"'!Year.Vectors"), 0))</f>
        <v>-435.71486302109327</v>
      </c>
      <c r="O9" s="1266">
        <f ca="1">INDEX(INDIRECT("'"&amp;I.a.Inputs[#Headers]&amp;"'!Year.Matrix"), MATCH("Subtotal."&amp;$A$2, INDIRECT("'"&amp;I.a.Inputs[#Headers]&amp;"'!Year.Modules"), 0), MATCH([Vector], INDIRECT("'"&amp;I.a.Inputs[#Headers]&amp;"'!Year.Vectors"), 0))</f>
        <v>-450.96633210645444</v>
      </c>
      <c r="P9" s="1190"/>
      <c r="R9" s="27"/>
      <c r="S9" s="27"/>
      <c r="T9" s="27"/>
      <c r="U9" s="27"/>
      <c r="V9" s="27"/>
      <c r="W9" s="27"/>
      <c r="X9" s="27"/>
      <c r="Y9" s="27"/>
      <c r="Z9" s="27"/>
      <c r="AA9" s="27"/>
    </row>
    <row r="10" spans="1:27" s="743" customFormat="1" ht="15.75" hidden="1" outlineLevel="1">
      <c r="A10" s="753"/>
      <c r="B10" s="1187"/>
      <c r="C10" s="765" t="s">
        <v>46</v>
      </c>
      <c r="D10" s="765" t="str">
        <f>INDEX(Vectors[Description], MATCH([Vector], Vectors[Code], 0))</f>
        <v>Electricity (supplied to grid)</v>
      </c>
      <c r="E10" s="765"/>
      <c r="F10" s="1266">
        <f ca="1">INDEX(INDIRECT("'"&amp;I.a.Inputs[#Headers]&amp;"'!Year.Matrix"), MATCH("Subtotal."&amp;$A$2, INDIRECT("'"&amp;I.a.Inputs[#Headers]&amp;"'!Year.Modules"), 0), MATCH([Vector], INDIRECT("'"&amp;I.a.Inputs[#Headers]&amp;"'!Year.Vectors"), 0))</f>
        <v>43.709570471022559</v>
      </c>
      <c r="G10" s="1266">
        <f ca="1">INDEX(INDIRECT("'"&amp;I.a.Inputs[#Headers]&amp;"'!Year.Matrix"), MATCH("Subtotal."&amp;$A$2, INDIRECT("'"&amp;I.a.Inputs[#Headers]&amp;"'!Year.Modules"), 0), MATCH([Vector], INDIRECT("'"&amp;I.a.Inputs[#Headers]&amp;"'!Year.Vectors"), 0))</f>
        <v>44.059088808112847</v>
      </c>
      <c r="H10" s="1266">
        <f ca="1">INDEX(INDIRECT("'"&amp;I.a.Inputs[#Headers]&amp;"'!Year.Matrix"), MATCH("Subtotal."&amp;$A$2, INDIRECT("'"&amp;I.a.Inputs[#Headers]&amp;"'!Year.Modules"), 0), MATCH([Vector], INDIRECT("'"&amp;I.a.Inputs[#Headers]&amp;"'!Year.Vectors"), 0))</f>
        <v>51.320264149191097</v>
      </c>
      <c r="I10" s="1266">
        <f ca="1">INDEX(INDIRECT("'"&amp;I.a.Inputs[#Headers]&amp;"'!Year.Matrix"), MATCH("Subtotal."&amp;$A$2, INDIRECT("'"&amp;I.a.Inputs[#Headers]&amp;"'!Year.Modules"), 0), MATCH([Vector], INDIRECT("'"&amp;I.a.Inputs[#Headers]&amp;"'!Year.Vectors"), 0))</f>
        <v>54.403293656890156</v>
      </c>
      <c r="J10" s="1266">
        <f ca="1">INDEX(INDIRECT("'"&amp;I.a.Inputs[#Headers]&amp;"'!Year.Matrix"), MATCH("Subtotal."&amp;$A$2, INDIRECT("'"&amp;I.a.Inputs[#Headers]&amp;"'!Year.Modules"), 0), MATCH([Vector], INDIRECT("'"&amp;I.a.Inputs[#Headers]&amp;"'!Year.Vectors"), 0))</f>
        <v>47.259327807926482</v>
      </c>
      <c r="K10" s="1266">
        <f ca="1">INDEX(INDIRECT("'"&amp;I.a.Inputs[#Headers]&amp;"'!Year.Matrix"), MATCH("Subtotal."&amp;$A$2, INDIRECT("'"&amp;I.a.Inputs[#Headers]&amp;"'!Year.Modules"), 0), MATCH([Vector], INDIRECT("'"&amp;I.a.Inputs[#Headers]&amp;"'!Year.Vectors"), 0))</f>
        <v>35.995500612974652</v>
      </c>
      <c r="L10" s="1266">
        <f ca="1">INDEX(INDIRECT("'"&amp;I.a.Inputs[#Headers]&amp;"'!Year.Matrix"), MATCH("Subtotal."&amp;$A$2, INDIRECT("'"&amp;I.a.Inputs[#Headers]&amp;"'!Year.Modules"), 0), MATCH([Vector], INDIRECT("'"&amp;I.a.Inputs[#Headers]&amp;"'!Year.Vectors"), 0))</f>
        <v>11.416690178180676</v>
      </c>
      <c r="M10" s="1266">
        <f ca="1">INDEX(INDIRECT("'"&amp;I.a.Inputs[#Headers]&amp;"'!Year.Matrix"), MATCH("Subtotal."&amp;$A$2, INDIRECT("'"&amp;I.a.Inputs[#Headers]&amp;"'!Year.Modules"), 0), MATCH([Vector], INDIRECT("'"&amp;I.a.Inputs[#Headers]&amp;"'!Year.Vectors"), 0))</f>
        <v>-4.3456596484975432</v>
      </c>
      <c r="N10" s="1266">
        <f ca="1">INDEX(INDIRECT("'"&amp;I.a.Inputs[#Headers]&amp;"'!Year.Matrix"), MATCH("Subtotal."&amp;$A$2, INDIRECT("'"&amp;I.a.Inputs[#Headers]&amp;"'!Year.Modules"), 0), MATCH([Vector], INDIRECT("'"&amp;I.a.Inputs[#Headers]&amp;"'!Year.Vectors"), 0))</f>
        <v>-18.667776604186628</v>
      </c>
      <c r="O10" s="1266">
        <f ca="1">INDEX(INDIRECT("'"&amp;I.a.Inputs[#Headers]&amp;"'!Year.Matrix"), MATCH("Subtotal."&amp;$A$2, INDIRECT("'"&amp;I.a.Inputs[#Headers]&amp;"'!Year.Modules"), 0), MATCH([Vector], INDIRECT("'"&amp;I.a.Inputs[#Headers]&amp;"'!Year.Vectors"), 0))</f>
        <v>-19.747160569535048</v>
      </c>
      <c r="P10" s="1191"/>
      <c r="R10" s="27"/>
      <c r="S10" s="27"/>
      <c r="T10" s="27"/>
      <c r="U10" s="27"/>
      <c r="V10" s="27"/>
      <c r="W10" s="27"/>
      <c r="X10" s="27"/>
      <c r="Y10" s="27"/>
      <c r="Z10" s="27"/>
      <c r="AA10" s="27"/>
    </row>
    <row r="11" spans="1:27" hidden="1" outlineLevel="1">
      <c r="B11" s="1192"/>
      <c r="C11" s="1180"/>
      <c r="D11" s="1180"/>
      <c r="E11" s="1180"/>
      <c r="F11" s="1180"/>
      <c r="G11" s="1180"/>
      <c r="H11" s="1180"/>
      <c r="I11" s="1180"/>
      <c r="J11" s="1180"/>
      <c r="K11" s="1180"/>
      <c r="L11" s="1180"/>
      <c r="M11" s="1180"/>
      <c r="N11" s="1180"/>
      <c r="O11" s="1180"/>
      <c r="P11" s="1181"/>
    </row>
    <row r="12" spans="1:27" s="1" customFormat="1"/>
    <row r="13" spans="1:27" s="743" customFormat="1" ht="22.5" collapsed="1">
      <c r="A13" s="1170"/>
      <c r="B13" s="1236" t="s">
        <v>786</v>
      </c>
      <c r="C13" s="1167"/>
      <c r="D13" s="1167"/>
      <c r="E13" s="1167"/>
      <c r="F13" s="1167"/>
      <c r="G13" s="1167"/>
      <c r="H13" s="1167"/>
      <c r="I13" s="1167"/>
      <c r="J13" s="1167"/>
      <c r="K13" s="1167"/>
      <c r="L13" s="1167"/>
      <c r="M13" s="1167"/>
      <c r="N13" s="1167"/>
      <c r="O13" s="1167"/>
      <c r="P13" s="1168"/>
    </row>
    <row r="14" spans="1:27" s="121" customFormat="1" hidden="1" outlineLevel="1">
      <c r="B14" s="1220"/>
      <c r="C14" s="1221"/>
      <c r="D14" s="1221"/>
      <c r="E14" s="1221"/>
      <c r="F14" s="1221"/>
      <c r="G14" s="1221"/>
      <c r="H14" s="1221"/>
      <c r="I14" s="1221"/>
      <c r="J14" s="1221"/>
      <c r="K14" s="1221"/>
      <c r="L14" s="1221"/>
      <c r="M14" s="1221"/>
      <c r="N14" s="1221"/>
      <c r="O14" s="1221"/>
      <c r="P14" s="1222"/>
    </row>
    <row r="15" spans="1:27" s="121" customFormat="1" hidden="1" outlineLevel="1">
      <c r="B15" s="1157"/>
      <c r="C15" s="866" t="s">
        <v>1810</v>
      </c>
      <c r="D15" s="864"/>
      <c r="E15" s="864"/>
      <c r="F15" s="864"/>
      <c r="G15" s="867"/>
      <c r="H15" s="864"/>
      <c r="I15" s="864"/>
      <c r="J15" s="864"/>
      <c r="K15" s="864"/>
      <c r="L15" s="864"/>
      <c r="M15" s="864"/>
      <c r="N15" s="864"/>
      <c r="O15" s="864"/>
      <c r="P15" s="1158"/>
    </row>
    <row r="16" spans="1:27" s="121" customFormat="1" ht="5.25" hidden="1" customHeight="1" outlineLevel="1">
      <c r="B16" s="1157"/>
      <c r="C16" s="864"/>
      <c r="D16" s="864"/>
      <c r="E16" s="864"/>
      <c r="F16" s="864"/>
      <c r="G16" s="864"/>
      <c r="H16" s="864"/>
      <c r="I16" s="864"/>
      <c r="J16" s="864"/>
      <c r="K16" s="864"/>
      <c r="L16" s="864"/>
      <c r="M16" s="864"/>
      <c r="N16" s="864"/>
      <c r="O16" s="864"/>
      <c r="P16" s="1158"/>
    </row>
    <row r="17" spans="2:18" s="121" customFormat="1" ht="15.75" hidden="1" outlineLevel="1">
      <c r="B17" s="1159"/>
      <c r="C17" s="766" t="s">
        <v>715</v>
      </c>
      <c r="D17" s="766" t="s">
        <v>731</v>
      </c>
      <c r="E17" s="766" t="s">
        <v>442</v>
      </c>
      <c r="F17" s="771" t="s">
        <v>691</v>
      </c>
      <c r="G17" s="772" t="s">
        <v>692</v>
      </c>
      <c r="H17" s="771" t="s">
        <v>721</v>
      </c>
      <c r="I17" s="771" t="s">
        <v>722</v>
      </c>
      <c r="J17" s="771" t="s">
        <v>723</v>
      </c>
      <c r="K17" s="771" t="s">
        <v>724</v>
      </c>
      <c r="L17" s="771" t="s">
        <v>725</v>
      </c>
      <c r="M17" s="771" t="s">
        <v>726</v>
      </c>
      <c r="N17" s="771" t="s">
        <v>727</v>
      </c>
      <c r="O17" s="771" t="s">
        <v>728</v>
      </c>
      <c r="P17" s="1158"/>
    </row>
    <row r="18" spans="2:18" s="121" customFormat="1" ht="15.75" hidden="1" outlineLevel="1">
      <c r="B18" s="1159"/>
      <c r="C18" s="1084" t="s">
        <v>47</v>
      </c>
      <c r="D18" s="1084" t="s">
        <v>719</v>
      </c>
      <c r="E18" s="1085"/>
      <c r="F18" s="1086">
        <f>'2007 (Actual, frozen)'!$AZ$88/'2007 (Actual, frozen)'!$U$88</f>
        <v>5.3497576519792589E-2</v>
      </c>
      <c r="G18" s="1087">
        <v>0.05</v>
      </c>
      <c r="H18" s="1088">
        <v>0.05</v>
      </c>
      <c r="I18" s="1088">
        <v>0.05</v>
      </c>
      <c r="J18" s="1088">
        <v>0.05</v>
      </c>
      <c r="K18" s="1088">
        <v>0.05</v>
      </c>
      <c r="L18" s="1088">
        <v>0.05</v>
      </c>
      <c r="M18" s="1088">
        <v>0.05</v>
      </c>
      <c r="N18" s="1088">
        <v>0.05</v>
      </c>
      <c r="O18" s="1088">
        <v>0.05</v>
      </c>
      <c r="P18" s="1158"/>
    </row>
    <row r="19" spans="2:18" s="121" customFormat="1" ht="15.75" hidden="1" outlineLevel="1">
      <c r="B19" s="1159"/>
      <c r="C19" s="1084" t="s">
        <v>49</v>
      </c>
      <c r="D19" s="1084" t="s">
        <v>718</v>
      </c>
      <c r="E19" s="1085"/>
      <c r="F19" s="1086">
        <f>'2007 (Actual, frozen)'!$AZ$89/'2007 (Actual, frozen)'!$U$89</f>
        <v>0.20281161546449455</v>
      </c>
      <c r="G19" s="1087">
        <v>0.2</v>
      </c>
      <c r="H19" s="1088">
        <v>0.2</v>
      </c>
      <c r="I19" s="1088">
        <v>0.2</v>
      </c>
      <c r="J19" s="1088">
        <v>0.2</v>
      </c>
      <c r="K19" s="1088">
        <v>0.2</v>
      </c>
      <c r="L19" s="1088">
        <v>0.2</v>
      </c>
      <c r="M19" s="1088">
        <v>0.2</v>
      </c>
      <c r="N19" s="1088">
        <v>0.2</v>
      </c>
      <c r="O19" s="1088">
        <v>0.2</v>
      </c>
      <c r="P19" s="1158"/>
    </row>
    <row r="20" spans="2:18" s="121" customFormat="1" ht="15.75" hidden="1" outlineLevel="1">
      <c r="B20" s="1159"/>
      <c r="C20" s="1081" t="s">
        <v>50</v>
      </c>
      <c r="D20" s="1082" t="s">
        <v>739</v>
      </c>
      <c r="E20" s="1082"/>
      <c r="F20" s="778">
        <f>'2007 (Actual, frozen)'!$AZ$90/'2007 (Actual, frozen)'!$U$90</f>
        <v>1.9761196093076236E-2</v>
      </c>
      <c r="G20" s="1083">
        <v>0.02</v>
      </c>
      <c r="H20" s="846">
        <v>0.02</v>
      </c>
      <c r="I20" s="846">
        <v>0.02</v>
      </c>
      <c r="J20" s="846">
        <v>0.02</v>
      </c>
      <c r="K20" s="846">
        <v>0.02</v>
      </c>
      <c r="L20" s="846">
        <v>0.02</v>
      </c>
      <c r="M20" s="846">
        <v>0.02</v>
      </c>
      <c r="N20" s="846">
        <v>0.02</v>
      </c>
      <c r="O20" s="846">
        <v>0.02</v>
      </c>
      <c r="P20" s="1158"/>
    </row>
    <row r="21" spans="2:18" s="121" customFormat="1" hidden="1" outlineLevel="1">
      <c r="B21" s="1157"/>
      <c r="C21" s="864"/>
      <c r="D21" s="864"/>
      <c r="E21" s="864"/>
      <c r="F21" s="864"/>
      <c r="G21" s="864"/>
      <c r="H21" s="864"/>
      <c r="I21" s="864"/>
      <c r="J21" s="864"/>
      <c r="K21" s="864"/>
      <c r="L21" s="864"/>
      <c r="M21" s="864"/>
      <c r="N21" s="864"/>
      <c r="O21" s="864"/>
      <c r="P21" s="1158"/>
    </row>
    <row r="22" spans="2:18" hidden="1" outlineLevel="1">
      <c r="B22" s="1160"/>
      <c r="C22" s="866" t="s">
        <v>729</v>
      </c>
      <c r="D22" s="864"/>
      <c r="E22" s="864"/>
      <c r="F22" s="864"/>
      <c r="G22" s="867"/>
      <c r="H22" s="864"/>
      <c r="I22" s="864"/>
      <c r="J22" s="864"/>
      <c r="K22" s="864"/>
      <c r="L22" s="864"/>
      <c r="M22" s="864"/>
      <c r="N22" s="864"/>
      <c r="O22" s="864"/>
      <c r="P22" s="1158"/>
    </row>
    <row r="23" spans="2:18" ht="6" hidden="1" customHeight="1" outlineLevel="1">
      <c r="B23" s="1157"/>
      <c r="C23" s="864"/>
      <c r="D23" s="864"/>
      <c r="E23" s="864"/>
      <c r="F23" s="864"/>
      <c r="G23" s="864"/>
      <c r="H23" s="864"/>
      <c r="I23" s="864"/>
      <c r="J23" s="864"/>
      <c r="K23" s="864"/>
      <c r="L23" s="864"/>
      <c r="M23" s="864"/>
      <c r="N23" s="864"/>
      <c r="O23" s="864"/>
      <c r="P23" s="1158"/>
    </row>
    <row r="24" spans="2:18" ht="15.75" hidden="1" outlineLevel="1">
      <c r="B24" s="1159"/>
      <c r="C24" s="766" t="s">
        <v>715</v>
      </c>
      <c r="D24" s="766" t="s">
        <v>731</v>
      </c>
      <c r="E24" s="766" t="s">
        <v>442</v>
      </c>
      <c r="F24" s="771" t="s">
        <v>691</v>
      </c>
      <c r="G24" s="772" t="s">
        <v>692</v>
      </c>
      <c r="H24" s="771" t="s">
        <v>721</v>
      </c>
      <c r="I24" s="771" t="s">
        <v>722</v>
      </c>
      <c r="J24" s="771" t="s">
        <v>723</v>
      </c>
      <c r="K24" s="771" t="s">
        <v>724</v>
      </c>
      <c r="L24" s="771" t="s">
        <v>725</v>
      </c>
      <c r="M24" s="771" t="s">
        <v>726</v>
      </c>
      <c r="N24" s="771" t="s">
        <v>727</v>
      </c>
      <c r="O24" s="771" t="s">
        <v>728</v>
      </c>
      <c r="P24" s="1158"/>
    </row>
    <row r="25" spans="2:18" s="743" customFormat="1" ht="15.75" hidden="1" outlineLevel="1">
      <c r="B25" s="1161"/>
      <c r="C25" s="1271" t="s">
        <v>47</v>
      </c>
      <c r="D25" s="1084" t="s">
        <v>719</v>
      </c>
      <c r="E25" s="1084"/>
      <c r="F25" s="919">
        <v>0.35699999999999998</v>
      </c>
      <c r="G25" s="781">
        <v>0.35</v>
      </c>
      <c r="H25" s="865">
        <v>0.35</v>
      </c>
      <c r="I25" s="865">
        <v>0.35</v>
      </c>
      <c r="J25" s="865">
        <v>0.35</v>
      </c>
      <c r="K25" s="865">
        <v>0.35</v>
      </c>
      <c r="L25" s="865">
        <v>0.35</v>
      </c>
      <c r="M25" s="865">
        <v>0.35</v>
      </c>
      <c r="N25" s="865">
        <v>0.35</v>
      </c>
      <c r="O25" s="865">
        <v>0.35</v>
      </c>
      <c r="P25" s="1162"/>
    </row>
    <row r="26" spans="2:18" s="743" customFormat="1" ht="15.75" hidden="1" outlineLevel="1">
      <c r="B26" s="1161"/>
      <c r="C26" s="1271" t="s">
        <v>49</v>
      </c>
      <c r="D26" s="1084" t="s">
        <v>718</v>
      </c>
      <c r="E26" s="1084" t="s">
        <v>109</v>
      </c>
      <c r="F26" s="1086">
        <v>0.27500000000000002</v>
      </c>
      <c r="G26" s="781">
        <v>0.3</v>
      </c>
      <c r="H26" s="865">
        <v>0.3</v>
      </c>
      <c r="I26" s="865">
        <v>0.3</v>
      </c>
      <c r="J26" s="865">
        <v>0.3</v>
      </c>
      <c r="K26" s="865">
        <v>0.3</v>
      </c>
      <c r="L26" s="865">
        <v>0.3</v>
      </c>
      <c r="M26" s="865">
        <v>0.3</v>
      </c>
      <c r="N26" s="865">
        <v>0.3</v>
      </c>
      <c r="O26" s="865">
        <v>0.3</v>
      </c>
      <c r="P26" s="1162"/>
    </row>
    <row r="27" spans="2:18" s="743" customFormat="1" ht="15.75" hidden="1" outlineLevel="1">
      <c r="B27" s="1161"/>
      <c r="C27" s="1081" t="s">
        <v>50</v>
      </c>
      <c r="D27" s="1082" t="s">
        <v>567</v>
      </c>
      <c r="E27" s="1082" t="s">
        <v>117</v>
      </c>
      <c r="F27" s="778">
        <v>0.48899999999999999</v>
      </c>
      <c r="G27" s="780">
        <v>0.5</v>
      </c>
      <c r="H27" s="777">
        <v>0.5</v>
      </c>
      <c r="I27" s="777">
        <v>0.5</v>
      </c>
      <c r="J27" s="777">
        <v>0.5</v>
      </c>
      <c r="K27" s="777">
        <v>0.5</v>
      </c>
      <c r="L27" s="777">
        <v>0.5</v>
      </c>
      <c r="M27" s="777">
        <v>0.5</v>
      </c>
      <c r="N27" s="777">
        <v>0.5</v>
      </c>
      <c r="O27" s="777">
        <v>0.5</v>
      </c>
      <c r="P27" s="1162"/>
      <c r="R27" s="752"/>
    </row>
    <row r="28" spans="2:18" hidden="1" outlineLevel="1">
      <c r="B28" s="1157"/>
      <c r="C28" s="864"/>
      <c r="D28" s="864"/>
      <c r="E28" s="864"/>
      <c r="F28" s="864"/>
      <c r="G28" s="864"/>
      <c r="H28" s="864"/>
      <c r="I28" s="864"/>
      <c r="J28" s="864"/>
      <c r="K28" s="864"/>
      <c r="L28" s="864"/>
      <c r="M28" s="864"/>
      <c r="N28" s="864"/>
      <c r="O28" s="864"/>
      <c r="P28" s="1158"/>
    </row>
    <row r="29" spans="2:18" s="121" customFormat="1" hidden="1" outlineLevel="1">
      <c r="B29" s="1160"/>
      <c r="C29" s="866" t="s">
        <v>773</v>
      </c>
      <c r="D29" s="864"/>
      <c r="E29" s="864"/>
      <c r="F29" s="864"/>
      <c r="G29" s="867"/>
      <c r="H29" s="864"/>
      <c r="I29" s="864"/>
      <c r="J29" s="864"/>
      <c r="K29" s="864"/>
      <c r="L29" s="864"/>
      <c r="M29" s="864"/>
      <c r="N29" s="864"/>
      <c r="O29" s="864"/>
      <c r="P29" s="1158"/>
    </row>
    <row r="30" spans="2:18" s="121" customFormat="1" ht="6" hidden="1" customHeight="1" outlineLevel="1">
      <c r="B30" s="1157"/>
      <c r="C30" s="864"/>
      <c r="D30" s="864"/>
      <c r="E30" s="864"/>
      <c r="F30" s="864"/>
      <c r="G30" s="864"/>
      <c r="H30" s="864"/>
      <c r="I30" s="864"/>
      <c r="J30" s="864"/>
      <c r="K30" s="864"/>
      <c r="L30" s="864"/>
      <c r="M30" s="864"/>
      <c r="N30" s="864"/>
      <c r="O30" s="864"/>
      <c r="P30" s="1158"/>
    </row>
    <row r="31" spans="2:18" s="121" customFormat="1" ht="15.75" hidden="1" outlineLevel="1">
      <c r="B31" s="1159"/>
      <c r="C31" s="766" t="s">
        <v>715</v>
      </c>
      <c r="D31" s="766" t="s">
        <v>731</v>
      </c>
      <c r="E31" s="766" t="s">
        <v>442</v>
      </c>
      <c r="F31" s="771" t="s">
        <v>691</v>
      </c>
      <c r="G31" s="772" t="s">
        <v>692</v>
      </c>
      <c r="H31" s="771" t="s">
        <v>721</v>
      </c>
      <c r="I31" s="771" t="s">
        <v>722</v>
      </c>
      <c r="J31" s="771" t="s">
        <v>723</v>
      </c>
      <c r="K31" s="771" t="s">
        <v>724</v>
      </c>
      <c r="L31" s="771" t="s">
        <v>725</v>
      </c>
      <c r="M31" s="771" t="s">
        <v>726</v>
      </c>
      <c r="N31" s="771" t="s">
        <v>727</v>
      </c>
      <c r="O31" s="771" t="s">
        <v>728</v>
      </c>
      <c r="P31" s="1158"/>
    </row>
    <row r="32" spans="2:18" s="743" customFormat="1" ht="15.75" hidden="1" outlineLevel="1">
      <c r="B32" s="1161"/>
      <c r="C32" s="1271" t="s">
        <v>47</v>
      </c>
      <c r="D32" s="1084" t="s">
        <v>719</v>
      </c>
      <c r="E32" s="1084"/>
      <c r="F32" s="919">
        <v>0.627</v>
      </c>
      <c r="G32" s="781">
        <v>0.6</v>
      </c>
      <c r="H32" s="865">
        <v>0.6</v>
      </c>
      <c r="I32" s="865">
        <v>0.6</v>
      </c>
      <c r="J32" s="865">
        <v>0.6</v>
      </c>
      <c r="K32" s="865">
        <v>0.6</v>
      </c>
      <c r="L32" s="865">
        <v>0.6</v>
      </c>
      <c r="M32" s="865">
        <v>0.6</v>
      </c>
      <c r="N32" s="865">
        <v>0.6</v>
      </c>
      <c r="O32" s="865">
        <v>0.6</v>
      </c>
      <c r="P32" s="1162"/>
    </row>
    <row r="33" spans="2:16" s="743" customFormat="1" ht="15.75" hidden="1" outlineLevel="1">
      <c r="B33" s="1161"/>
      <c r="C33" s="1271" t="s">
        <v>49</v>
      </c>
      <c r="D33" s="1084" t="s">
        <v>718</v>
      </c>
      <c r="E33" s="1084"/>
      <c r="F33" s="919">
        <v>6.0299999999999999E-2</v>
      </c>
      <c r="G33" s="781">
        <v>0.06</v>
      </c>
      <c r="H33" s="865">
        <v>0.06</v>
      </c>
      <c r="I33" s="865">
        <v>0.06</v>
      </c>
      <c r="J33" s="865">
        <v>0.06</v>
      </c>
      <c r="K33" s="865">
        <v>0.06</v>
      </c>
      <c r="L33" s="865">
        <v>0.06</v>
      </c>
      <c r="M33" s="865">
        <v>0.06</v>
      </c>
      <c r="N33" s="865">
        <v>0.06</v>
      </c>
      <c r="O33" s="865">
        <v>0.06</v>
      </c>
      <c r="P33" s="1162"/>
    </row>
    <row r="34" spans="2:16" s="743" customFormat="1" ht="15.75" hidden="1" outlineLevel="1">
      <c r="B34" s="1161"/>
      <c r="C34" s="1081" t="s">
        <v>50</v>
      </c>
      <c r="D34" s="1082" t="s">
        <v>739</v>
      </c>
      <c r="E34" s="1082"/>
      <c r="F34" s="778">
        <v>0.63200000000000001</v>
      </c>
      <c r="G34" s="780">
        <v>0.7</v>
      </c>
      <c r="H34" s="777">
        <v>0.7</v>
      </c>
      <c r="I34" s="777">
        <v>0.7</v>
      </c>
      <c r="J34" s="777">
        <v>0.7</v>
      </c>
      <c r="K34" s="777">
        <v>0.7</v>
      </c>
      <c r="L34" s="777">
        <v>0.7</v>
      </c>
      <c r="M34" s="777">
        <v>0.7</v>
      </c>
      <c r="N34" s="777">
        <v>0.7</v>
      </c>
      <c r="O34" s="777">
        <v>0.7</v>
      </c>
      <c r="P34" s="1162"/>
    </row>
    <row r="35" spans="2:16" s="121" customFormat="1" hidden="1" outlineLevel="1">
      <c r="B35" s="1157"/>
      <c r="C35" s="864"/>
      <c r="D35" s="864"/>
      <c r="E35" s="864"/>
      <c r="F35" s="864"/>
      <c r="G35" s="864"/>
      <c r="H35" s="864"/>
      <c r="I35" s="864"/>
      <c r="J35" s="864"/>
      <c r="K35" s="864"/>
      <c r="L35" s="864"/>
      <c r="M35" s="864"/>
      <c r="N35" s="864"/>
      <c r="O35" s="864"/>
      <c r="P35" s="1158"/>
    </row>
    <row r="36" spans="2:16" s="121" customFormat="1" hidden="1" outlineLevel="1">
      <c r="B36" s="1157"/>
      <c r="C36" s="866" t="s">
        <v>871</v>
      </c>
      <c r="D36" s="864"/>
      <c r="E36" s="867" t="str">
        <f>Preferences.PowerUnits</f>
        <v>GW</v>
      </c>
      <c r="F36" s="864"/>
      <c r="G36" s="864"/>
      <c r="H36" s="864"/>
      <c r="I36" s="864"/>
      <c r="J36" s="864"/>
      <c r="K36" s="864"/>
      <c r="L36" s="864"/>
      <c r="M36" s="864"/>
      <c r="N36" s="864"/>
      <c r="O36" s="867" t="s">
        <v>872</v>
      </c>
      <c r="P36" s="1158"/>
    </row>
    <row r="37" spans="2:16" s="121" customFormat="1" ht="5.25" hidden="1" customHeight="1" outlineLevel="1">
      <c r="B37" s="1157"/>
      <c r="C37" s="864"/>
      <c r="D37" s="864"/>
      <c r="E37" s="864"/>
      <c r="F37" s="864"/>
      <c r="G37" s="864"/>
      <c r="H37" s="864"/>
      <c r="I37" s="864"/>
      <c r="J37" s="864"/>
      <c r="K37" s="864"/>
      <c r="L37" s="864"/>
      <c r="M37" s="864"/>
      <c r="N37" s="864"/>
      <c r="O37" s="864"/>
      <c r="P37" s="1158"/>
    </row>
    <row r="38" spans="2:16" s="121" customFormat="1" ht="15.75" hidden="1" outlineLevel="1">
      <c r="B38" s="1159"/>
      <c r="C38" s="766"/>
      <c r="D38" s="766" t="s">
        <v>731</v>
      </c>
      <c r="E38" s="766" t="s">
        <v>442</v>
      </c>
      <c r="F38" s="771" t="s">
        <v>691</v>
      </c>
      <c r="G38" s="772" t="s">
        <v>692</v>
      </c>
      <c r="H38" s="771" t="s">
        <v>721</v>
      </c>
      <c r="I38" s="771" t="s">
        <v>722</v>
      </c>
      <c r="J38" s="771" t="s">
        <v>723</v>
      </c>
      <c r="K38" s="771" t="s">
        <v>724</v>
      </c>
      <c r="L38" s="771" t="s">
        <v>725</v>
      </c>
      <c r="M38" s="771" t="s">
        <v>726</v>
      </c>
      <c r="N38" s="771" t="s">
        <v>727</v>
      </c>
      <c r="O38" s="771" t="s">
        <v>728</v>
      </c>
      <c r="P38" s="1158"/>
    </row>
    <row r="39" spans="2:16" s="121" customFormat="1" ht="15.75" hidden="1" outlineLevel="1">
      <c r="B39" s="1159"/>
      <c r="C39" s="1271"/>
      <c r="D39" s="1084" t="s">
        <v>141</v>
      </c>
      <c r="E39" s="1084" t="s">
        <v>118</v>
      </c>
      <c r="F39" s="847"/>
      <c r="G39" s="907">
        <v>0</v>
      </c>
      <c r="H39" s="1272">
        <v>-1.44</v>
      </c>
      <c r="I39" s="1272">
        <v>-1.45</v>
      </c>
      <c r="J39" s="1272">
        <v>-1.45</v>
      </c>
      <c r="K39" s="1272">
        <v>0</v>
      </c>
      <c r="L39" s="1272">
        <v>0</v>
      </c>
      <c r="M39" s="1272">
        <v>0</v>
      </c>
      <c r="N39" s="1272">
        <v>0</v>
      </c>
      <c r="O39" s="1272">
        <v>0</v>
      </c>
      <c r="P39" s="1158"/>
    </row>
    <row r="40" spans="2:16" s="121" customFormat="1" ht="15.75" hidden="1" outlineLevel="1">
      <c r="B40" s="1159"/>
      <c r="C40" s="1089"/>
      <c r="D40" s="1090" t="s">
        <v>718</v>
      </c>
      <c r="E40" s="1090" t="s">
        <v>118</v>
      </c>
      <c r="F40" s="901"/>
      <c r="G40" s="908">
        <v>0</v>
      </c>
      <c r="H40" s="909">
        <v>-0.76</v>
      </c>
      <c r="I40" s="909">
        <v>0</v>
      </c>
      <c r="J40" s="909">
        <v>0</v>
      </c>
      <c r="K40" s="909">
        <v>0</v>
      </c>
      <c r="L40" s="909">
        <v>0</v>
      </c>
      <c r="M40" s="909">
        <v>0</v>
      </c>
      <c r="N40" s="909">
        <v>0</v>
      </c>
      <c r="O40" s="909">
        <v>0</v>
      </c>
      <c r="P40" s="1158"/>
    </row>
    <row r="41" spans="2:16" s="121" customFormat="1" hidden="1" outlineLevel="1">
      <c r="B41" s="1157"/>
      <c r="C41" s="864"/>
      <c r="D41" s="864"/>
      <c r="E41" s="864"/>
      <c r="F41" s="864"/>
      <c r="G41" s="864"/>
      <c r="H41" s="864"/>
      <c r="I41" s="864"/>
      <c r="J41" s="864"/>
      <c r="K41" s="864"/>
      <c r="L41" s="864"/>
      <c r="M41" s="864"/>
      <c r="N41" s="864"/>
      <c r="O41" s="864"/>
      <c r="P41" s="1158"/>
    </row>
    <row r="42" spans="2:16" s="121" customFormat="1" hidden="1" outlineLevel="1">
      <c r="B42" s="1157"/>
      <c r="C42" s="866" t="s">
        <v>881</v>
      </c>
      <c r="D42" s="864"/>
      <c r="E42" s="864"/>
      <c r="F42" s="864"/>
      <c r="G42" s="864"/>
      <c r="H42" s="864"/>
      <c r="I42" s="864"/>
      <c r="J42" s="864"/>
      <c r="K42" s="864"/>
      <c r="L42" s="864"/>
      <c r="M42" s="864"/>
      <c r="N42" s="864"/>
      <c r="O42" s="864"/>
      <c r="P42" s="1158"/>
    </row>
    <row r="43" spans="2:16" s="121" customFormat="1" ht="5.25" hidden="1" customHeight="1" outlineLevel="1">
      <c r="B43" s="1157"/>
      <c r="C43" s="864"/>
      <c r="D43" s="864"/>
      <c r="E43" s="864"/>
      <c r="F43" s="864"/>
      <c r="G43" s="864"/>
      <c r="H43" s="864"/>
      <c r="I43" s="864"/>
      <c r="J43" s="864"/>
      <c r="K43" s="864"/>
      <c r="L43" s="864"/>
      <c r="M43" s="864"/>
      <c r="N43" s="864"/>
      <c r="O43" s="864"/>
      <c r="P43" s="1158"/>
    </row>
    <row r="44" spans="2:16" s="121" customFormat="1" hidden="1" outlineLevel="1">
      <c r="B44" s="1157"/>
      <c r="C44" s="766"/>
      <c r="D44" s="766" t="s">
        <v>731</v>
      </c>
      <c r="E44" s="766" t="s">
        <v>442</v>
      </c>
      <c r="F44" s="771" t="s">
        <v>691</v>
      </c>
      <c r="G44" s="772" t="s">
        <v>692</v>
      </c>
      <c r="H44" s="771" t="s">
        <v>721</v>
      </c>
      <c r="I44" s="771" t="s">
        <v>722</v>
      </c>
      <c r="J44" s="771" t="s">
        <v>723</v>
      </c>
      <c r="K44" s="771" t="s">
        <v>724</v>
      </c>
      <c r="L44" s="771" t="s">
        <v>725</v>
      </c>
      <c r="M44" s="771" t="s">
        <v>726</v>
      </c>
      <c r="N44" s="771" t="s">
        <v>727</v>
      </c>
      <c r="O44" s="771" t="s">
        <v>728</v>
      </c>
      <c r="P44" s="1158"/>
    </row>
    <row r="45" spans="2:16" s="121" customFormat="1" ht="15.75" hidden="1" outlineLevel="1">
      <c r="B45" s="1159"/>
      <c r="C45" s="2044"/>
      <c r="D45" s="2045" t="s">
        <v>882</v>
      </c>
      <c r="E45" s="2045" t="s">
        <v>440</v>
      </c>
      <c r="F45" s="2046">
        <f>'2007 (Actual, frozen)'!$U$88/'2007 (Actual, frozen)'!$U$90</f>
        <v>0.85992712381740988</v>
      </c>
      <c r="G45" s="2047">
        <v>0.85992712381740988</v>
      </c>
      <c r="H45" s="2046">
        <v>0.85992712381740988</v>
      </c>
      <c r="I45" s="2046">
        <v>0.85992712381740988</v>
      </c>
      <c r="J45" s="2046">
        <v>0.85992712381740988</v>
      </c>
      <c r="K45" s="2046">
        <v>0.85992712381740988</v>
      </c>
      <c r="L45" s="2046">
        <v>0.85992712381740988</v>
      </c>
      <c r="M45" s="2046">
        <v>0.85992712381740988</v>
      </c>
      <c r="N45" s="2046">
        <v>0.85992712381740988</v>
      </c>
      <c r="O45" s="2046">
        <v>0.85992712381740988</v>
      </c>
      <c r="P45" s="1158"/>
    </row>
    <row r="46" spans="2:16" s="121" customFormat="1" hidden="1" outlineLevel="1">
      <c r="B46" s="1157"/>
      <c r="C46" s="864"/>
      <c r="D46" s="864"/>
      <c r="E46" s="864"/>
      <c r="F46" s="864"/>
      <c r="G46" s="864"/>
      <c r="H46" s="864"/>
      <c r="I46" s="864"/>
      <c r="J46" s="864"/>
      <c r="K46" s="864"/>
      <c r="L46" s="864"/>
      <c r="M46" s="864"/>
      <c r="N46" s="864"/>
      <c r="O46" s="864"/>
      <c r="P46" s="1158"/>
    </row>
    <row r="47" spans="2:16" s="1" customFormat="1" hidden="1" outlineLevel="1">
      <c r="B47" s="1163"/>
      <c r="C47" s="864" t="s">
        <v>757</v>
      </c>
      <c r="D47" s="868"/>
      <c r="E47" s="864"/>
      <c r="F47" s="864"/>
      <c r="G47" s="864"/>
      <c r="H47" s="864"/>
      <c r="I47" s="864"/>
      <c r="J47" s="864"/>
      <c r="K47" s="864"/>
      <c r="L47" s="864"/>
      <c r="M47" s="864"/>
      <c r="N47" s="864"/>
      <c r="O47" s="864"/>
      <c r="P47" s="1158"/>
    </row>
    <row r="48" spans="2:16" s="1" customFormat="1" hidden="1" outlineLevel="1">
      <c r="B48" s="1163"/>
      <c r="C48" s="864" t="s">
        <v>717</v>
      </c>
      <c r="D48" s="868"/>
      <c r="E48" s="864"/>
      <c r="F48" s="864"/>
      <c r="G48" s="864"/>
      <c r="H48" s="864"/>
      <c r="I48" s="864"/>
      <c r="J48" s="864"/>
      <c r="K48" s="864"/>
      <c r="L48" s="864"/>
      <c r="M48" s="864"/>
      <c r="N48" s="864"/>
      <c r="O48" s="864"/>
      <c r="P48" s="1158"/>
    </row>
    <row r="49" spans="1:18" s="715" customFormat="1" ht="10.5" hidden="1" outlineLevel="1">
      <c r="B49" s="1225"/>
      <c r="C49" s="1251" t="s">
        <v>109</v>
      </c>
      <c r="D49" s="1228" t="s">
        <v>816</v>
      </c>
      <c r="E49" s="1228"/>
      <c r="F49" s="1228"/>
      <c r="G49" s="1228"/>
      <c r="H49" s="1228"/>
      <c r="I49" s="1228"/>
      <c r="J49" s="1228"/>
      <c r="K49" s="1228"/>
      <c r="L49" s="1228"/>
      <c r="M49" s="1228"/>
      <c r="N49" s="1228"/>
      <c r="O49" s="1228"/>
      <c r="P49" s="1229"/>
    </row>
    <row r="50" spans="1:18" s="715" customFormat="1" ht="10.5" hidden="1" outlineLevel="1">
      <c r="B50" s="1225"/>
      <c r="C50" s="1251" t="s">
        <v>117</v>
      </c>
      <c r="D50" s="1228" t="s">
        <v>744</v>
      </c>
      <c r="E50" s="1228"/>
      <c r="F50" s="1228"/>
      <c r="G50" s="1228"/>
      <c r="H50" s="1228"/>
      <c r="I50" s="1228"/>
      <c r="J50" s="1228"/>
      <c r="K50" s="1228"/>
      <c r="L50" s="1228"/>
      <c r="M50" s="1228"/>
      <c r="N50" s="1228"/>
      <c r="O50" s="1228"/>
      <c r="P50" s="1229"/>
    </row>
    <row r="51" spans="1:18" s="715" customFormat="1" ht="10.5" hidden="1" outlineLevel="1">
      <c r="B51" s="1225"/>
      <c r="C51" s="1251" t="s">
        <v>118</v>
      </c>
      <c r="D51" s="1228" t="s">
        <v>2317</v>
      </c>
      <c r="E51" s="1228"/>
      <c r="F51" s="1228"/>
      <c r="G51" s="1228"/>
      <c r="H51" s="1228"/>
      <c r="I51" s="1228"/>
      <c r="J51" s="1228"/>
      <c r="K51" s="1228"/>
      <c r="L51" s="1228"/>
      <c r="M51" s="1228"/>
      <c r="N51" s="1228"/>
      <c r="O51" s="1228"/>
      <c r="P51" s="1229"/>
    </row>
    <row r="52" spans="1:18" s="715" customFormat="1" ht="10.5" hidden="1" outlineLevel="1">
      <c r="B52" s="1225"/>
      <c r="C52" s="1251"/>
      <c r="D52" s="1228" t="s">
        <v>2318</v>
      </c>
      <c r="E52" s="1228"/>
      <c r="F52" s="1228"/>
      <c r="G52" s="1228"/>
      <c r="H52" s="1228"/>
      <c r="I52" s="1228"/>
      <c r="J52" s="1228"/>
      <c r="K52" s="1228"/>
      <c r="L52" s="1228"/>
      <c r="M52" s="1228"/>
      <c r="N52" s="1228"/>
      <c r="O52" s="1228"/>
      <c r="P52" s="1229"/>
    </row>
    <row r="53" spans="1:18" s="715" customFormat="1" ht="10.5" hidden="1" outlineLevel="1">
      <c r="B53" s="1225"/>
      <c r="C53" s="1251" t="s">
        <v>440</v>
      </c>
      <c r="D53" s="1228" t="s">
        <v>883</v>
      </c>
      <c r="E53" s="1228"/>
      <c r="F53" s="1228"/>
      <c r="G53" s="1228"/>
      <c r="H53" s="1228"/>
      <c r="I53" s="1228"/>
      <c r="J53" s="1228"/>
      <c r="K53" s="1228"/>
      <c r="L53" s="1228"/>
      <c r="M53" s="1228"/>
      <c r="N53" s="1228"/>
      <c r="O53" s="1228"/>
      <c r="P53" s="1229"/>
      <c r="R53" s="902"/>
    </row>
    <row r="54" spans="1:18" s="121" customFormat="1" hidden="1" outlineLevel="1">
      <c r="B54" s="1164"/>
      <c r="C54" s="1165"/>
      <c r="D54" s="1165"/>
      <c r="E54" s="1165"/>
      <c r="F54" s="1165"/>
      <c r="G54" s="1165"/>
      <c r="H54" s="1165"/>
      <c r="I54" s="1165"/>
      <c r="J54" s="1165"/>
      <c r="K54" s="1165"/>
      <c r="L54" s="1165"/>
      <c r="M54" s="1165"/>
      <c r="N54" s="1165"/>
      <c r="O54" s="1165"/>
      <c r="P54" s="1166"/>
    </row>
    <row r="55" spans="1:18">
      <c r="B55"/>
      <c r="D55"/>
    </row>
    <row r="56" spans="1:18" s="121" customFormat="1" ht="22.5" collapsed="1">
      <c r="A56" s="1171"/>
      <c r="B56" s="1236" t="s">
        <v>817</v>
      </c>
      <c r="C56" s="1264"/>
      <c r="D56" s="1264"/>
      <c r="E56" s="1264"/>
      <c r="F56" s="1264"/>
      <c r="G56" s="1264"/>
      <c r="H56" s="1264"/>
      <c r="I56" s="1264"/>
      <c r="J56" s="1264"/>
      <c r="K56" s="1264"/>
      <c r="L56" s="1264"/>
      <c r="M56" s="1264"/>
      <c r="N56" s="1264"/>
      <c r="O56" s="1264"/>
      <c r="P56" s="1265"/>
    </row>
    <row r="57" spans="1:18" s="121" customFormat="1" hidden="1" outlineLevel="1">
      <c r="B57" s="1157"/>
      <c r="C57" s="864"/>
      <c r="D57" s="864"/>
      <c r="E57" s="864"/>
      <c r="F57" s="864"/>
      <c r="G57" s="864"/>
      <c r="H57" s="864"/>
      <c r="I57" s="864"/>
      <c r="J57" s="864"/>
      <c r="K57" s="864"/>
      <c r="L57" s="864"/>
      <c r="M57" s="864"/>
      <c r="N57" s="864"/>
      <c r="O57" s="864"/>
      <c r="P57" s="1158"/>
    </row>
    <row r="58" spans="1:18" hidden="1" outlineLevel="1">
      <c r="B58" s="1157"/>
      <c r="C58" s="866" t="s">
        <v>716</v>
      </c>
      <c r="D58" s="864"/>
      <c r="E58" s="867" t="str">
        <f>Preferences.PowerUnits</f>
        <v>GW</v>
      </c>
      <c r="F58" s="864"/>
      <c r="G58" s="864"/>
      <c r="H58" s="864"/>
      <c r="I58" s="864"/>
      <c r="J58" s="864"/>
      <c r="K58" s="864"/>
      <c r="L58" s="864"/>
      <c r="M58" s="864"/>
      <c r="N58" s="864"/>
      <c r="O58" s="864"/>
      <c r="P58" s="1158"/>
    </row>
    <row r="59" spans="1:18" ht="6" hidden="1" customHeight="1" outlineLevel="1">
      <c r="B59" s="1157"/>
      <c r="C59" s="864"/>
      <c r="D59" s="864"/>
      <c r="E59" s="864"/>
      <c r="F59" s="864"/>
      <c r="G59" s="864"/>
      <c r="H59" s="864"/>
      <c r="I59" s="864"/>
      <c r="J59" s="864"/>
      <c r="K59" s="864"/>
      <c r="L59" s="864"/>
      <c r="M59" s="864"/>
      <c r="N59" s="864"/>
      <c r="O59" s="864"/>
      <c r="P59" s="1158"/>
    </row>
    <row r="60" spans="1:18" ht="15.75" hidden="1" outlineLevel="1">
      <c r="B60" s="1159"/>
      <c r="C60" s="766" t="s">
        <v>715</v>
      </c>
      <c r="D60" s="766" t="s">
        <v>731</v>
      </c>
      <c r="E60" s="766" t="s">
        <v>442</v>
      </c>
      <c r="F60" s="771" t="s">
        <v>691</v>
      </c>
      <c r="G60" s="772" t="s">
        <v>692</v>
      </c>
      <c r="H60" s="771" t="s">
        <v>721</v>
      </c>
      <c r="I60" s="771" t="s">
        <v>722</v>
      </c>
      <c r="J60" s="771" t="s">
        <v>723</v>
      </c>
      <c r="K60" s="771" t="s">
        <v>724</v>
      </c>
      <c r="L60" s="771" t="s">
        <v>725</v>
      </c>
      <c r="M60" s="771" t="s">
        <v>726</v>
      </c>
      <c r="N60" s="771" t="s">
        <v>727</v>
      </c>
      <c r="O60" s="771" t="s">
        <v>728</v>
      </c>
      <c r="P60" s="1158"/>
    </row>
    <row r="61" spans="1:18" s="743" customFormat="1" ht="15.75" hidden="1" outlineLevel="1">
      <c r="B61" s="1161"/>
      <c r="C61" s="831" t="s">
        <v>47</v>
      </c>
      <c r="D61" s="832" t="s">
        <v>141</v>
      </c>
      <c r="E61" s="833"/>
      <c r="F61" s="847">
        <f>23008*Unit.MW</f>
        <v>23.007999999999999</v>
      </c>
      <c r="G61" s="895">
        <f t="shared" ref="G61:O61" si="0">MAX(F61+(G$60-F$60)*G39,0)</f>
        <v>23.007999999999999</v>
      </c>
      <c r="H61" s="911">
        <f t="shared" si="0"/>
        <v>15.808</v>
      </c>
      <c r="I61" s="911">
        <f t="shared" si="0"/>
        <v>8.5579999999999998</v>
      </c>
      <c r="J61" s="911">
        <f t="shared" si="0"/>
        <v>1.3079999999999998</v>
      </c>
      <c r="K61" s="911">
        <f t="shared" si="0"/>
        <v>1.3079999999999998</v>
      </c>
      <c r="L61" s="911">
        <f t="shared" si="0"/>
        <v>1.3079999999999998</v>
      </c>
      <c r="M61" s="911">
        <f t="shared" si="0"/>
        <v>1.3079999999999998</v>
      </c>
      <c r="N61" s="911">
        <f t="shared" si="0"/>
        <v>1.3079999999999998</v>
      </c>
      <c r="O61" s="911">
        <f t="shared" si="0"/>
        <v>1.3079999999999998</v>
      </c>
      <c r="P61" s="1162"/>
    </row>
    <row r="62" spans="1:18" s="743" customFormat="1" ht="15.75" hidden="1" outlineLevel="1">
      <c r="B62" s="1161"/>
      <c r="C62" s="831" t="s">
        <v>50</v>
      </c>
      <c r="D62" s="832" t="s">
        <v>738</v>
      </c>
      <c r="E62" s="832" t="s">
        <v>109</v>
      </c>
      <c r="F62" s="847">
        <f>6948*Unit.MW</f>
        <v>6.9480000000000004</v>
      </c>
      <c r="G62" s="896" t="s">
        <v>651</v>
      </c>
      <c r="H62" s="912" t="s">
        <v>651</v>
      </c>
      <c r="I62" s="912" t="s">
        <v>651</v>
      </c>
      <c r="J62" s="912" t="s">
        <v>651</v>
      </c>
      <c r="K62" s="912" t="s">
        <v>651</v>
      </c>
      <c r="L62" s="912" t="s">
        <v>651</v>
      </c>
      <c r="M62" s="912" t="s">
        <v>651</v>
      </c>
      <c r="N62" s="912" t="s">
        <v>651</v>
      </c>
      <c r="O62" s="912" t="s">
        <v>651</v>
      </c>
      <c r="P62" s="1162"/>
    </row>
    <row r="63" spans="1:18" s="743" customFormat="1" ht="15.75" hidden="1" outlineLevel="1">
      <c r="B63" s="1161"/>
      <c r="C63" s="831" t="s">
        <v>49</v>
      </c>
      <c r="D63" s="832" t="s">
        <v>718</v>
      </c>
      <c r="E63" s="832"/>
      <c r="F63" s="847">
        <f>3778*Unit.MW</f>
        <v>3.778</v>
      </c>
      <c r="G63" s="896">
        <f t="shared" ref="G63:O63" si="1">MAX(F63+(G$60-F$60)*G40,0)</f>
        <v>3.778</v>
      </c>
      <c r="H63" s="912">
        <f t="shared" si="1"/>
        <v>0</v>
      </c>
      <c r="I63" s="912">
        <f t="shared" si="1"/>
        <v>0</v>
      </c>
      <c r="J63" s="912">
        <f t="shared" si="1"/>
        <v>0</v>
      </c>
      <c r="K63" s="912">
        <f t="shared" si="1"/>
        <v>0</v>
      </c>
      <c r="L63" s="912">
        <f t="shared" si="1"/>
        <v>0</v>
      </c>
      <c r="M63" s="912">
        <f t="shared" si="1"/>
        <v>0</v>
      </c>
      <c r="N63" s="912">
        <f t="shared" si="1"/>
        <v>0</v>
      </c>
      <c r="O63" s="912">
        <f t="shared" si="1"/>
        <v>0</v>
      </c>
      <c r="P63" s="1162"/>
    </row>
    <row r="64" spans="1:18" s="743" customFormat="1" ht="15.75" hidden="1" outlineLevel="1">
      <c r="B64" s="1161"/>
      <c r="C64" s="769" t="s">
        <v>50</v>
      </c>
      <c r="D64" s="770" t="s">
        <v>720</v>
      </c>
      <c r="E64" s="770"/>
      <c r="F64" s="782">
        <f>(24854+1445)*Unit.MW</f>
        <v>26.298999999999999</v>
      </c>
      <c r="G64" s="897" t="s">
        <v>651</v>
      </c>
      <c r="H64" s="898" t="s">
        <v>651</v>
      </c>
      <c r="I64" s="898" t="s">
        <v>651</v>
      </c>
      <c r="J64" s="898" t="s">
        <v>651</v>
      </c>
      <c r="K64" s="898" t="s">
        <v>651</v>
      </c>
      <c r="L64" s="898" t="s">
        <v>651</v>
      </c>
      <c r="M64" s="898" t="s">
        <v>651</v>
      </c>
      <c r="N64" s="898" t="s">
        <v>651</v>
      </c>
      <c r="O64" s="898" t="s">
        <v>651</v>
      </c>
      <c r="P64" s="1162"/>
    </row>
    <row r="65" spans="2:16" hidden="1" outlineLevel="1">
      <c r="B65" s="1163"/>
      <c r="C65" s="864"/>
      <c r="D65" s="868"/>
      <c r="E65" s="864"/>
      <c r="F65" s="864"/>
      <c r="G65" s="864"/>
      <c r="H65" s="864"/>
      <c r="I65" s="864"/>
      <c r="J65" s="864"/>
      <c r="K65" s="864"/>
      <c r="L65" s="864"/>
      <c r="M65" s="864"/>
      <c r="N65" s="864"/>
      <c r="O65" s="864"/>
      <c r="P65" s="1158"/>
    </row>
    <row r="66" spans="2:16" s="121" customFormat="1" hidden="1" outlineLevel="1">
      <c r="B66" s="1163"/>
      <c r="C66" s="864" t="s">
        <v>717</v>
      </c>
      <c r="D66" s="864" t="s">
        <v>757</v>
      </c>
      <c r="E66" s="864"/>
      <c r="F66" s="864"/>
      <c r="G66" s="864"/>
      <c r="H66" s="864"/>
      <c r="I66" s="864"/>
      <c r="J66" s="864"/>
      <c r="K66" s="864"/>
      <c r="L66" s="864"/>
      <c r="M66" s="864"/>
      <c r="N66" s="864"/>
      <c r="O66" s="864"/>
      <c r="P66" s="1158"/>
    </row>
    <row r="67" spans="2:16" s="121" customFormat="1" hidden="1" outlineLevel="1">
      <c r="B67" s="1163"/>
      <c r="C67" s="867" t="s">
        <v>109</v>
      </c>
      <c r="D67" s="868" t="s">
        <v>873</v>
      </c>
      <c r="E67" s="864"/>
      <c r="F67" s="864"/>
      <c r="G67" s="864"/>
      <c r="H67" s="864"/>
      <c r="I67" s="864"/>
      <c r="J67" s="864"/>
      <c r="K67" s="864"/>
      <c r="L67" s="864"/>
      <c r="M67" s="864"/>
      <c r="N67" s="864"/>
      <c r="O67" s="864"/>
      <c r="P67" s="1158"/>
    </row>
    <row r="68" spans="2:16" s="121" customFormat="1" hidden="1" outlineLevel="1">
      <c r="B68" s="1163"/>
      <c r="C68" s="864"/>
      <c r="D68" s="868"/>
      <c r="E68" s="864"/>
      <c r="F68" s="864"/>
      <c r="G68" s="864"/>
      <c r="H68" s="864"/>
      <c r="I68" s="864"/>
      <c r="J68" s="864"/>
      <c r="K68" s="864"/>
      <c r="L68" s="864"/>
      <c r="M68" s="864"/>
      <c r="N68" s="864"/>
      <c r="O68" s="864"/>
      <c r="P68" s="1158"/>
    </row>
    <row r="69" spans="2:16" hidden="1" outlineLevel="1">
      <c r="B69" s="1164"/>
      <c r="C69" s="1165"/>
      <c r="D69" s="1165"/>
      <c r="E69" s="1165"/>
      <c r="F69" s="1165"/>
      <c r="G69" s="1165"/>
      <c r="H69" s="1165"/>
      <c r="I69" s="1165"/>
      <c r="J69" s="1165"/>
      <c r="K69" s="1165"/>
      <c r="L69" s="1165"/>
      <c r="M69" s="1165"/>
      <c r="N69" s="1165"/>
      <c r="O69" s="1165"/>
      <c r="P69" s="1166"/>
    </row>
    <row r="71" spans="2:16" ht="15.75" collapsed="1">
      <c r="B71" s="809" t="s">
        <v>732</v>
      </c>
      <c r="C71" s="121"/>
    </row>
    <row r="72" spans="2:16" hidden="1" outlineLevel="1"/>
    <row r="73" spans="2:16" hidden="1" outlineLevel="1">
      <c r="B73" s="731">
        <v>1</v>
      </c>
      <c r="C73" s="121" t="s">
        <v>875</v>
      </c>
    </row>
    <row r="74" spans="2:16" s="121" customFormat="1" hidden="1" outlineLevel="1">
      <c r="B74" s="731">
        <v>2</v>
      </c>
      <c r="C74" s="121" t="s">
        <v>880</v>
      </c>
    </row>
    <row r="75" spans="2:16" s="743" customFormat="1" hidden="1" outlineLevel="1">
      <c r="B75" s="834"/>
    </row>
    <row r="76" spans="2:16" s="743" customFormat="1" hidden="1" outlineLevel="1">
      <c r="B76" s="834"/>
      <c r="F76" s="1546">
        <v>2007</v>
      </c>
      <c r="G76" s="1546">
        <v>2010</v>
      </c>
      <c r="H76" s="1546">
        <v>2015</v>
      </c>
      <c r="I76" s="1546">
        <v>2020</v>
      </c>
      <c r="J76" s="1546">
        <v>2025</v>
      </c>
      <c r="K76" s="1546">
        <v>2030</v>
      </c>
      <c r="L76" s="1546">
        <v>2035</v>
      </c>
      <c r="M76" s="1546">
        <v>2040</v>
      </c>
      <c r="N76" s="1546">
        <v>2045</v>
      </c>
      <c r="O76" s="1546">
        <v>2050</v>
      </c>
    </row>
    <row r="77" spans="2:16" s="743" customFormat="1" hidden="1" outlineLevel="1">
      <c r="B77" s="834" t="s">
        <v>202</v>
      </c>
    </row>
    <row r="78" spans="2:16" s="743" customFormat="1" hidden="1" outlineLevel="1">
      <c r="C78" s="834" t="s">
        <v>815</v>
      </c>
      <c r="E78" s="743" t="str">
        <f>Preferences.PowerUnits</f>
        <v>GW</v>
      </c>
      <c r="F78" s="835">
        <f t="shared" ref="F78:O78" si="2">F$63</f>
        <v>3.778</v>
      </c>
      <c r="G78" s="835">
        <f t="shared" si="2"/>
        <v>3.778</v>
      </c>
      <c r="H78" s="835">
        <f t="shared" si="2"/>
        <v>0</v>
      </c>
      <c r="I78" s="835">
        <f t="shared" si="2"/>
        <v>0</v>
      </c>
      <c r="J78" s="835">
        <f t="shared" si="2"/>
        <v>0</v>
      </c>
      <c r="K78" s="835">
        <f t="shared" si="2"/>
        <v>0</v>
      </c>
      <c r="L78" s="835">
        <f t="shared" si="2"/>
        <v>0</v>
      </c>
      <c r="M78" s="835">
        <f t="shared" si="2"/>
        <v>0</v>
      </c>
      <c r="N78" s="835">
        <f t="shared" si="2"/>
        <v>0</v>
      </c>
      <c r="O78" s="835">
        <f t="shared" si="2"/>
        <v>0</v>
      </c>
    </row>
    <row r="79" spans="2:16" s="743" customFormat="1" hidden="1" outlineLevel="1">
      <c r="B79" s="743" t="s">
        <v>838</v>
      </c>
      <c r="C79" s="743" t="s">
        <v>773</v>
      </c>
      <c r="F79" s="836">
        <f>F$33</f>
        <v>6.0299999999999999E-2</v>
      </c>
      <c r="G79" s="836">
        <f t="shared" ref="G79:O79" si="3">G$33</f>
        <v>0.06</v>
      </c>
      <c r="H79" s="836">
        <f t="shared" si="3"/>
        <v>0.06</v>
      </c>
      <c r="I79" s="836">
        <f t="shared" si="3"/>
        <v>0.06</v>
      </c>
      <c r="J79" s="836">
        <f t="shared" si="3"/>
        <v>0.06</v>
      </c>
      <c r="K79" s="836">
        <f t="shared" si="3"/>
        <v>0.06</v>
      </c>
      <c r="L79" s="836">
        <f t="shared" si="3"/>
        <v>0.06</v>
      </c>
      <c r="M79" s="836">
        <f t="shared" si="3"/>
        <v>0.06</v>
      </c>
      <c r="N79" s="836">
        <f t="shared" si="3"/>
        <v>0.06</v>
      </c>
      <c r="O79" s="836">
        <f t="shared" si="3"/>
        <v>0.06</v>
      </c>
    </row>
    <row r="80" spans="2:16" s="743" customFormat="1" hidden="1" outlineLevel="1">
      <c r="B80" s="837" t="s">
        <v>840</v>
      </c>
      <c r="C80" s="743" t="s">
        <v>1275</v>
      </c>
      <c r="F80" s="906">
        <f t="shared" ref="F80:O80" si="4">F78*F79</f>
        <v>0.2278134</v>
      </c>
      <c r="G80" s="906">
        <f t="shared" si="4"/>
        <v>0.22667999999999999</v>
      </c>
      <c r="H80" s="906">
        <f t="shared" si="4"/>
        <v>0</v>
      </c>
      <c r="I80" s="906">
        <f t="shared" si="4"/>
        <v>0</v>
      </c>
      <c r="J80" s="906">
        <f t="shared" si="4"/>
        <v>0</v>
      </c>
      <c r="K80" s="906">
        <f t="shared" si="4"/>
        <v>0</v>
      </c>
      <c r="L80" s="906">
        <f t="shared" si="4"/>
        <v>0</v>
      </c>
      <c r="M80" s="906">
        <f t="shared" si="4"/>
        <v>0</v>
      </c>
      <c r="N80" s="906">
        <f t="shared" si="4"/>
        <v>0</v>
      </c>
      <c r="O80" s="906">
        <f t="shared" si="4"/>
        <v>0</v>
      </c>
    </row>
    <row r="81" spans="2:27" s="743" customFormat="1" hidden="1" outlineLevel="1">
      <c r="B81" s="834"/>
      <c r="C81" s="834" t="s">
        <v>884</v>
      </c>
      <c r="E81" s="743" t="str">
        <f>Preferences.EnergyUnits</f>
        <v>TWh</v>
      </c>
      <c r="F81" s="685">
        <f t="shared" ref="F81:O81" si="5">F80*Preferences.Unit.Power*Unit.year/Preferences.Unit.Energy</f>
        <v>1.9970122643999999</v>
      </c>
      <c r="G81" s="685">
        <f t="shared" si="5"/>
        <v>1.98707688</v>
      </c>
      <c r="H81" s="685">
        <f t="shared" si="5"/>
        <v>0</v>
      </c>
      <c r="I81" s="685">
        <f t="shared" si="5"/>
        <v>0</v>
      </c>
      <c r="J81" s="685">
        <f t="shared" si="5"/>
        <v>0</v>
      </c>
      <c r="K81" s="685">
        <f t="shared" si="5"/>
        <v>0</v>
      </c>
      <c r="L81" s="685">
        <f t="shared" si="5"/>
        <v>0</v>
      </c>
      <c r="M81" s="685">
        <f t="shared" si="5"/>
        <v>0</v>
      </c>
      <c r="N81" s="685">
        <f t="shared" si="5"/>
        <v>0</v>
      </c>
      <c r="O81" s="685">
        <f t="shared" si="5"/>
        <v>0</v>
      </c>
    </row>
    <row r="82" spans="2:27" s="743" customFormat="1" hidden="1" outlineLevel="1">
      <c r="B82" s="837" t="s">
        <v>1232</v>
      </c>
      <c r="C82" s="743" t="s">
        <v>1792</v>
      </c>
      <c r="F82" s="840">
        <f>F$19*F81</f>
        <v>0.4050172834453723</v>
      </c>
      <c r="G82" s="840">
        <f t="shared" ref="G82:P82" si="6">G$19*G81</f>
        <v>0.39741537600000004</v>
      </c>
      <c r="H82" s="840">
        <f t="shared" si="6"/>
        <v>0</v>
      </c>
      <c r="I82" s="840">
        <f t="shared" si="6"/>
        <v>0</v>
      </c>
      <c r="J82" s="840">
        <f t="shared" si="6"/>
        <v>0</v>
      </c>
      <c r="K82" s="840">
        <f t="shared" si="6"/>
        <v>0</v>
      </c>
      <c r="L82" s="840">
        <f t="shared" si="6"/>
        <v>0</v>
      </c>
      <c r="M82" s="840">
        <f t="shared" si="6"/>
        <v>0</v>
      </c>
      <c r="N82" s="840">
        <f t="shared" si="6"/>
        <v>0</v>
      </c>
      <c r="O82" s="840">
        <f t="shared" si="6"/>
        <v>0</v>
      </c>
      <c r="P82" s="840">
        <f t="shared" si="6"/>
        <v>0</v>
      </c>
    </row>
    <row r="83" spans="2:27" s="743" customFormat="1" hidden="1" outlineLevel="1">
      <c r="B83" s="841" t="s">
        <v>840</v>
      </c>
      <c r="C83" s="834" t="s">
        <v>897</v>
      </c>
      <c r="F83" s="839">
        <f t="shared" ref="F83:P83" si="7">F81+F82</f>
        <v>2.4020295478453724</v>
      </c>
      <c r="G83" s="839">
        <f t="shared" si="7"/>
        <v>2.3844922560000001</v>
      </c>
      <c r="H83" s="839">
        <f t="shared" si="7"/>
        <v>0</v>
      </c>
      <c r="I83" s="839">
        <f t="shared" si="7"/>
        <v>0</v>
      </c>
      <c r="J83" s="839">
        <f t="shared" si="7"/>
        <v>0</v>
      </c>
      <c r="K83" s="839">
        <f t="shared" si="7"/>
        <v>0</v>
      </c>
      <c r="L83" s="839">
        <f t="shared" si="7"/>
        <v>0</v>
      </c>
      <c r="M83" s="839">
        <f t="shared" si="7"/>
        <v>0</v>
      </c>
      <c r="N83" s="839">
        <f t="shared" si="7"/>
        <v>0</v>
      </c>
      <c r="O83" s="839">
        <f t="shared" si="7"/>
        <v>0</v>
      </c>
      <c r="P83" s="839">
        <f t="shared" si="7"/>
        <v>0</v>
      </c>
    </row>
    <row r="84" spans="2:27" s="743" customFormat="1" hidden="1" outlineLevel="1">
      <c r="B84" s="2133" t="s">
        <v>2074</v>
      </c>
      <c r="C84" s="743" t="s">
        <v>1793</v>
      </c>
      <c r="F84" s="842">
        <f>F$26</f>
        <v>0.27500000000000002</v>
      </c>
      <c r="G84" s="842">
        <f t="shared" ref="G84:P84" si="8">G$26</f>
        <v>0.3</v>
      </c>
      <c r="H84" s="842">
        <f t="shared" si="8"/>
        <v>0.3</v>
      </c>
      <c r="I84" s="842">
        <f t="shared" si="8"/>
        <v>0.3</v>
      </c>
      <c r="J84" s="842">
        <f t="shared" si="8"/>
        <v>0.3</v>
      </c>
      <c r="K84" s="842">
        <f t="shared" si="8"/>
        <v>0.3</v>
      </c>
      <c r="L84" s="842">
        <f t="shared" si="8"/>
        <v>0.3</v>
      </c>
      <c r="M84" s="842">
        <f t="shared" si="8"/>
        <v>0.3</v>
      </c>
      <c r="N84" s="842">
        <f t="shared" si="8"/>
        <v>0.3</v>
      </c>
      <c r="O84" s="842">
        <f t="shared" si="8"/>
        <v>0.3</v>
      </c>
      <c r="P84" s="842">
        <f t="shared" si="8"/>
        <v>0</v>
      </c>
    </row>
    <row r="85" spans="2:27" s="743" customFormat="1" hidden="1" outlineLevel="1">
      <c r="B85" s="841" t="s">
        <v>840</v>
      </c>
      <c r="C85" s="834" t="s">
        <v>2307</v>
      </c>
      <c r="F85" s="843">
        <f t="shared" ref="F85:O85" si="9">F83/F84</f>
        <v>8.7346529012558989</v>
      </c>
      <c r="G85" s="843">
        <f t="shared" si="9"/>
        <v>7.9483075200000011</v>
      </c>
      <c r="H85" s="843">
        <f t="shared" si="9"/>
        <v>0</v>
      </c>
      <c r="I85" s="843">
        <f t="shared" si="9"/>
        <v>0</v>
      </c>
      <c r="J85" s="843">
        <f t="shared" si="9"/>
        <v>0</v>
      </c>
      <c r="K85" s="843">
        <f t="shared" si="9"/>
        <v>0</v>
      </c>
      <c r="L85" s="843">
        <f t="shared" si="9"/>
        <v>0</v>
      </c>
      <c r="M85" s="843">
        <f t="shared" si="9"/>
        <v>0</v>
      </c>
      <c r="N85" s="843">
        <f t="shared" si="9"/>
        <v>0</v>
      </c>
      <c r="O85" s="843">
        <f t="shared" si="9"/>
        <v>0</v>
      </c>
      <c r="P85" s="843"/>
    </row>
    <row r="86" spans="2:27" s="743" customFormat="1" hidden="1" outlineLevel="1">
      <c r="F86" s="840"/>
    </row>
    <row r="87" spans="2:27" s="903" customFormat="1" hidden="1" outlineLevel="1">
      <c r="C87" s="903" t="s">
        <v>792</v>
      </c>
      <c r="E87" s="903" t="str">
        <f>Preferences.EnergyUnits</f>
        <v>TWh</v>
      </c>
      <c r="F87" s="904">
        <f ca="1">MAX(-SUM(I.a.Inputs[2007])-F$81,0)</f>
        <v>308.84854127510749</v>
      </c>
      <c r="G87" s="904">
        <f ca="1">MAX(-SUM(I.a.Inputs[2010])-G$81,0)</f>
        <v>315.12315131979796</v>
      </c>
      <c r="H87" s="904">
        <f ca="1">MAX(-SUM(I.a.Inputs[2015])-H$81,0)</f>
        <v>321.84468626164545</v>
      </c>
      <c r="I87" s="904">
        <f ca="1">MAX(-SUM(I.a.Inputs[2020])-I$81,0)</f>
        <v>327.88120350936583</v>
      </c>
      <c r="J87" s="904">
        <f ca="1">MAX(-SUM(I.a.Inputs[2025])-J$81,0)</f>
        <v>342.46656545275857</v>
      </c>
      <c r="K87" s="904">
        <f ca="1">MAX(-SUM(I.a.Inputs[2030])-K$81,0)</f>
        <v>362.93040558124227</v>
      </c>
      <c r="L87" s="904">
        <f ca="1">MAX(-SUM(I.a.Inputs[2035])-L$81,0)</f>
        <v>398.31448335383675</v>
      </c>
      <c r="M87" s="904">
        <f ca="1">MAX(-SUM(I.a.Inputs[2040])-M$81,0)</f>
        <v>426.45622963888565</v>
      </c>
      <c r="N87" s="904">
        <f ca="1">MAX(-SUM(I.a.Inputs[2045])-N$81,0)</f>
        <v>454.38263962527992</v>
      </c>
      <c r="O87" s="904">
        <f ca="1">MAX(-SUM(I.a.Inputs[2050])-O$81,0)</f>
        <v>470.71349267598947</v>
      </c>
      <c r="R87" s="743"/>
      <c r="S87" s="743"/>
      <c r="T87" s="743"/>
      <c r="U87" s="743"/>
      <c r="V87" s="743"/>
      <c r="W87" s="743"/>
      <c r="X87" s="743"/>
      <c r="Y87" s="743"/>
      <c r="Z87" s="743"/>
      <c r="AA87" s="743"/>
    </row>
    <row r="88" spans="2:27" s="743" customFormat="1" hidden="1" outlineLevel="1"/>
    <row r="89" spans="2:27" s="743" customFormat="1" hidden="1" outlineLevel="1">
      <c r="B89" s="834" t="s">
        <v>141</v>
      </c>
    </row>
    <row r="90" spans="2:27" s="743" customFormat="1" hidden="1" outlineLevel="1">
      <c r="C90" s="834" t="s">
        <v>793</v>
      </c>
      <c r="E90" s="743" t="str">
        <f>Preferences.PowerUnits</f>
        <v>GW</v>
      </c>
      <c r="F90" s="835">
        <f t="shared" ref="F90:O90" si="10">F$61</f>
        <v>23.007999999999999</v>
      </c>
      <c r="G90" s="835">
        <f t="shared" si="10"/>
        <v>23.007999999999999</v>
      </c>
      <c r="H90" s="835">
        <f t="shared" si="10"/>
        <v>15.808</v>
      </c>
      <c r="I90" s="835">
        <f t="shared" si="10"/>
        <v>8.5579999999999998</v>
      </c>
      <c r="J90" s="835">
        <f t="shared" si="10"/>
        <v>1.3079999999999998</v>
      </c>
      <c r="K90" s="835">
        <f t="shared" si="10"/>
        <v>1.3079999999999998</v>
      </c>
      <c r="L90" s="835">
        <f t="shared" si="10"/>
        <v>1.3079999999999998</v>
      </c>
      <c r="M90" s="835">
        <f t="shared" si="10"/>
        <v>1.3079999999999998</v>
      </c>
      <c r="N90" s="835">
        <f t="shared" si="10"/>
        <v>1.3079999999999998</v>
      </c>
      <c r="O90" s="835">
        <f t="shared" si="10"/>
        <v>1.3079999999999998</v>
      </c>
    </row>
    <row r="91" spans="2:27" s="743" customFormat="1" hidden="1" outlineLevel="1">
      <c r="B91" s="743" t="s">
        <v>838</v>
      </c>
      <c r="C91" s="743" t="s">
        <v>773</v>
      </c>
      <c r="F91" s="836">
        <f t="shared" ref="F91:O91" si="11">F$32</f>
        <v>0.627</v>
      </c>
      <c r="G91" s="836">
        <f t="shared" si="11"/>
        <v>0.6</v>
      </c>
      <c r="H91" s="836">
        <f t="shared" si="11"/>
        <v>0.6</v>
      </c>
      <c r="I91" s="836">
        <f t="shared" si="11"/>
        <v>0.6</v>
      </c>
      <c r="J91" s="836">
        <f t="shared" si="11"/>
        <v>0.6</v>
      </c>
      <c r="K91" s="836">
        <f t="shared" si="11"/>
        <v>0.6</v>
      </c>
      <c r="L91" s="836">
        <f t="shared" si="11"/>
        <v>0.6</v>
      </c>
      <c r="M91" s="836">
        <f t="shared" si="11"/>
        <v>0.6</v>
      </c>
      <c r="N91" s="836">
        <f t="shared" si="11"/>
        <v>0.6</v>
      </c>
      <c r="O91" s="836">
        <f t="shared" si="11"/>
        <v>0.6</v>
      </c>
    </row>
    <row r="92" spans="2:27" s="743" customFormat="1" hidden="1" outlineLevel="1">
      <c r="B92" s="837" t="s">
        <v>840</v>
      </c>
      <c r="C92" s="743" t="s">
        <v>795</v>
      </c>
      <c r="F92" s="906">
        <f t="shared" ref="F92:O92" si="12">F90*F91</f>
        <v>14.426015999999999</v>
      </c>
      <c r="G92" s="906">
        <f t="shared" si="12"/>
        <v>13.804799999999998</v>
      </c>
      <c r="H92" s="906">
        <f t="shared" si="12"/>
        <v>9.4847999999999999</v>
      </c>
      <c r="I92" s="906">
        <f t="shared" si="12"/>
        <v>5.1347999999999994</v>
      </c>
      <c r="J92" s="906">
        <f t="shared" si="12"/>
        <v>0.78479999999999983</v>
      </c>
      <c r="K92" s="906">
        <f t="shared" si="12"/>
        <v>0.78479999999999983</v>
      </c>
      <c r="L92" s="906">
        <f t="shared" si="12"/>
        <v>0.78479999999999983</v>
      </c>
      <c r="M92" s="906">
        <f t="shared" si="12"/>
        <v>0.78479999999999983</v>
      </c>
      <c r="N92" s="906">
        <f t="shared" si="12"/>
        <v>0.78479999999999983</v>
      </c>
      <c r="O92" s="906">
        <f t="shared" si="12"/>
        <v>0.78479999999999983</v>
      </c>
    </row>
    <row r="93" spans="2:27" s="743" customFormat="1" hidden="1" outlineLevel="1">
      <c r="B93" s="837" t="s">
        <v>862</v>
      </c>
      <c r="C93" s="2133" t="s">
        <v>1792</v>
      </c>
      <c r="F93" s="2048"/>
      <c r="G93" s="2048"/>
      <c r="H93" s="2048"/>
      <c r="I93" s="2048"/>
      <c r="J93" s="2048"/>
      <c r="K93" s="2048"/>
      <c r="L93" s="2048"/>
      <c r="M93" s="2048"/>
      <c r="N93" s="2048"/>
      <c r="O93" s="2048"/>
    </row>
    <row r="94" spans="2:27" s="743" customFormat="1" hidden="1" outlineLevel="1">
      <c r="B94" s="837" t="s">
        <v>840</v>
      </c>
      <c r="C94" s="834" t="s">
        <v>795</v>
      </c>
      <c r="E94" s="743" t="str">
        <f>Preferences.EnergyUnits</f>
        <v>TWh</v>
      </c>
      <c r="F94" s="685">
        <f t="shared" ref="F94:O94" si="13">F92*Preferences.Unit.Power*Unit.year/Preferences.Unit.Energy</f>
        <v>126.45845625599998</v>
      </c>
      <c r="G94" s="685">
        <f t="shared" si="13"/>
        <v>121.01287679999999</v>
      </c>
      <c r="H94" s="685">
        <f t="shared" si="13"/>
        <v>83.143756799999991</v>
      </c>
      <c r="I94" s="685">
        <f t="shared" si="13"/>
        <v>45.011656799999997</v>
      </c>
      <c r="J94" s="685">
        <f t="shared" si="13"/>
        <v>6.8795567999999987</v>
      </c>
      <c r="K94" s="685">
        <f t="shared" si="13"/>
        <v>6.8795567999999987</v>
      </c>
      <c r="L94" s="685">
        <f t="shared" si="13"/>
        <v>6.8795567999999987</v>
      </c>
      <c r="M94" s="685">
        <f t="shared" si="13"/>
        <v>6.8795567999999987</v>
      </c>
      <c r="N94" s="685">
        <f t="shared" si="13"/>
        <v>6.8795567999999987</v>
      </c>
      <c r="O94" s="685">
        <f t="shared" si="13"/>
        <v>6.8795567999999987</v>
      </c>
    </row>
    <row r="95" spans="2:27" s="743" customFormat="1" hidden="1" outlineLevel="1"/>
    <row r="96" spans="2:27" s="903" customFormat="1" hidden="1" outlineLevel="1">
      <c r="C96" s="903" t="s">
        <v>792</v>
      </c>
      <c r="F96" s="904">
        <f t="shared" ref="F96:O96" ca="1" si="14">F$87*F$45/(1+F$45)</f>
        <v>142.79443231560649</v>
      </c>
      <c r="G96" s="904">
        <f t="shared" ca="1" si="14"/>
        <v>145.6954639203997</v>
      </c>
      <c r="H96" s="904">
        <f t="shared" ca="1" si="14"/>
        <v>148.80312880477322</v>
      </c>
      <c r="I96" s="904">
        <f t="shared" ca="1" si="14"/>
        <v>151.59407950828901</v>
      </c>
      <c r="J96" s="904">
        <f t="shared" ca="1" si="14"/>
        <v>158.33754175753839</v>
      </c>
      <c r="K96" s="904">
        <f t="shared" ca="1" si="14"/>
        <v>167.79888621485694</v>
      </c>
      <c r="L96" s="904">
        <f t="shared" ca="1" si="14"/>
        <v>184.1585208684273</v>
      </c>
      <c r="M96" s="904">
        <f t="shared" ca="1" si="14"/>
        <v>197.16970320573969</v>
      </c>
      <c r="N96" s="904">
        <f t="shared" ca="1" si="14"/>
        <v>210.081325984194</v>
      </c>
      <c r="O96" s="904">
        <f t="shared" ca="1" si="14"/>
        <v>217.63180649149373</v>
      </c>
    </row>
    <row r="97" spans="2:27" s="743" customFormat="1" hidden="1" outlineLevel="1"/>
    <row r="98" spans="2:27" s="743" customFormat="1" hidden="1" outlineLevel="1">
      <c r="C98" s="834" t="s">
        <v>794</v>
      </c>
      <c r="D98" s="834"/>
      <c r="E98" s="834"/>
      <c r="F98" s="839">
        <f t="shared" ref="F98:O98" ca="1" si="15">MIN(F94,F96)</f>
        <v>126.45845625599998</v>
      </c>
      <c r="G98" s="839">
        <f t="shared" ca="1" si="15"/>
        <v>121.01287679999999</v>
      </c>
      <c r="H98" s="839">
        <f t="shared" ca="1" si="15"/>
        <v>83.143756799999991</v>
      </c>
      <c r="I98" s="839">
        <f t="shared" ca="1" si="15"/>
        <v>45.011656799999997</v>
      </c>
      <c r="J98" s="839">
        <f t="shared" ca="1" si="15"/>
        <v>6.8795567999999987</v>
      </c>
      <c r="K98" s="839">
        <f t="shared" ca="1" si="15"/>
        <v>6.8795567999999987</v>
      </c>
      <c r="L98" s="839">
        <f t="shared" ca="1" si="15"/>
        <v>6.8795567999999987</v>
      </c>
      <c r="M98" s="839">
        <f t="shared" ca="1" si="15"/>
        <v>6.8795567999999987</v>
      </c>
      <c r="N98" s="839">
        <f t="shared" ca="1" si="15"/>
        <v>6.8795567999999987</v>
      </c>
      <c r="O98" s="839">
        <f t="shared" ca="1" si="15"/>
        <v>6.8795567999999987</v>
      </c>
    </row>
    <row r="99" spans="2:27" s="743" customFormat="1" hidden="1" outlineLevel="1">
      <c r="B99" s="837" t="s">
        <v>1232</v>
      </c>
      <c r="C99" s="743" t="s">
        <v>1792</v>
      </c>
      <c r="F99" s="840">
        <f t="shared" ref="F99:O99" ca="1" si="16">F$18*F98</f>
        <v>6.7652209401302024</v>
      </c>
      <c r="G99" s="840">
        <f t="shared" ca="1" si="16"/>
        <v>6.0506438399999993</v>
      </c>
      <c r="H99" s="840">
        <f t="shared" ca="1" si="16"/>
        <v>4.1571878399999997</v>
      </c>
      <c r="I99" s="840">
        <f t="shared" ca="1" si="16"/>
        <v>2.2505828399999999</v>
      </c>
      <c r="J99" s="840">
        <f t="shared" ca="1" si="16"/>
        <v>0.34397783999999998</v>
      </c>
      <c r="K99" s="840">
        <f t="shared" ca="1" si="16"/>
        <v>0.34397783999999998</v>
      </c>
      <c r="L99" s="840">
        <f t="shared" ca="1" si="16"/>
        <v>0.34397783999999998</v>
      </c>
      <c r="M99" s="840">
        <f t="shared" ca="1" si="16"/>
        <v>0.34397783999999998</v>
      </c>
      <c r="N99" s="840">
        <f t="shared" ca="1" si="16"/>
        <v>0.34397783999999998</v>
      </c>
      <c r="O99" s="840">
        <f t="shared" ca="1" si="16"/>
        <v>0.34397783999999998</v>
      </c>
    </row>
    <row r="100" spans="2:27" s="743" customFormat="1" hidden="1" outlineLevel="1">
      <c r="B100" s="837" t="s">
        <v>840</v>
      </c>
      <c r="C100" s="834" t="s">
        <v>897</v>
      </c>
      <c r="F100" s="839">
        <f t="shared" ref="F100:O100" ca="1" si="17">F98+F99</f>
        <v>133.22367719613018</v>
      </c>
      <c r="G100" s="839">
        <f t="shared" ca="1" si="17"/>
        <v>127.06352063999998</v>
      </c>
      <c r="H100" s="839">
        <f t="shared" ca="1" si="17"/>
        <v>87.300944639999997</v>
      </c>
      <c r="I100" s="839">
        <f t="shared" ca="1" si="17"/>
        <v>47.262239639999997</v>
      </c>
      <c r="J100" s="839">
        <f t="shared" ca="1" si="17"/>
        <v>7.2235346399999987</v>
      </c>
      <c r="K100" s="839">
        <f t="shared" ca="1" si="17"/>
        <v>7.2235346399999987</v>
      </c>
      <c r="L100" s="839">
        <f t="shared" ca="1" si="17"/>
        <v>7.2235346399999987</v>
      </c>
      <c r="M100" s="839">
        <f t="shared" ca="1" si="17"/>
        <v>7.2235346399999987</v>
      </c>
      <c r="N100" s="839">
        <f t="shared" ca="1" si="17"/>
        <v>7.2235346399999987</v>
      </c>
      <c r="O100" s="839">
        <f t="shared" ca="1" si="17"/>
        <v>7.2235346399999987</v>
      </c>
    </row>
    <row r="101" spans="2:27" s="743" customFormat="1" hidden="1" outlineLevel="1">
      <c r="B101" s="2133" t="s">
        <v>2074</v>
      </c>
      <c r="C101" s="743" t="s">
        <v>1793</v>
      </c>
      <c r="F101" s="842">
        <f t="shared" ref="F101:O101" si="18">F$25</f>
        <v>0.35699999999999998</v>
      </c>
      <c r="G101" s="842">
        <f t="shared" si="18"/>
        <v>0.35</v>
      </c>
      <c r="H101" s="842">
        <f t="shared" si="18"/>
        <v>0.35</v>
      </c>
      <c r="I101" s="842">
        <f t="shared" si="18"/>
        <v>0.35</v>
      </c>
      <c r="J101" s="842">
        <f t="shared" si="18"/>
        <v>0.35</v>
      </c>
      <c r="K101" s="842">
        <f t="shared" si="18"/>
        <v>0.35</v>
      </c>
      <c r="L101" s="842">
        <f t="shared" si="18"/>
        <v>0.35</v>
      </c>
      <c r="M101" s="842">
        <f t="shared" si="18"/>
        <v>0.35</v>
      </c>
      <c r="N101" s="842">
        <f t="shared" si="18"/>
        <v>0.35</v>
      </c>
      <c r="O101" s="842">
        <f t="shared" si="18"/>
        <v>0.35</v>
      </c>
    </row>
    <row r="102" spans="2:27" s="743" customFormat="1" hidden="1" outlineLevel="1">
      <c r="B102" s="837" t="s">
        <v>840</v>
      </c>
      <c r="C102" s="834" t="s">
        <v>2308</v>
      </c>
      <c r="F102" s="843">
        <f t="shared" ref="F102:O102" ca="1" si="19">F100/F101</f>
        <v>373.17556637571482</v>
      </c>
      <c r="G102" s="843">
        <f t="shared" ca="1" si="19"/>
        <v>363.03863039999999</v>
      </c>
      <c r="H102" s="843">
        <f t="shared" ca="1" si="19"/>
        <v>249.43127040000002</v>
      </c>
      <c r="I102" s="843">
        <f t="shared" ca="1" si="19"/>
        <v>135.03497039999999</v>
      </c>
      <c r="J102" s="843">
        <f t="shared" ca="1" si="19"/>
        <v>20.638670399999999</v>
      </c>
      <c r="K102" s="843">
        <f t="shared" ca="1" si="19"/>
        <v>20.638670399999999</v>
      </c>
      <c r="L102" s="843">
        <f t="shared" ca="1" si="19"/>
        <v>20.638670399999999</v>
      </c>
      <c r="M102" s="843">
        <f t="shared" ca="1" si="19"/>
        <v>20.638670399999999</v>
      </c>
      <c r="N102" s="843">
        <f t="shared" ca="1" si="19"/>
        <v>20.638670399999999</v>
      </c>
      <c r="O102" s="843">
        <f t="shared" ca="1" si="19"/>
        <v>20.638670399999999</v>
      </c>
    </row>
    <row r="103" spans="2:27" s="743" customFormat="1" hidden="1" outlineLevel="1">
      <c r="F103" s="840"/>
      <c r="O103" s="840">
        <f ca="1">O$102*INDEX(EF[CO2], MATCH("V.03", EF[Vector], 0))</f>
        <v>6.3567104831999988</v>
      </c>
    </row>
    <row r="104" spans="2:27" s="743" customFormat="1" hidden="1" outlineLevel="1">
      <c r="B104" s="834" t="s">
        <v>14</v>
      </c>
    </row>
    <row r="105" spans="2:27" s="903" customFormat="1" hidden="1" outlineLevel="1">
      <c r="C105" s="903" t="s">
        <v>792</v>
      </c>
      <c r="E105" s="903" t="str">
        <f>Preferences.EnergyUnits</f>
        <v>TWh</v>
      </c>
      <c r="F105" s="905">
        <f ca="1">F$87-F$98</f>
        <v>182.39008501910752</v>
      </c>
      <c r="G105" s="905">
        <f t="shared" ref="G105:O105" ca="1" si="20">G$87-G$98</f>
        <v>194.11027451979797</v>
      </c>
      <c r="H105" s="905">
        <f t="shared" ca="1" si="20"/>
        <v>238.70092946164544</v>
      </c>
      <c r="I105" s="905">
        <f t="shared" ca="1" si="20"/>
        <v>282.86954670936586</v>
      </c>
      <c r="J105" s="905">
        <f t="shared" ca="1" si="20"/>
        <v>335.58700865275858</v>
      </c>
      <c r="K105" s="905">
        <f t="shared" ca="1" si="20"/>
        <v>356.05084878124228</v>
      </c>
      <c r="L105" s="905">
        <f t="shared" ca="1" si="20"/>
        <v>391.43492655383676</v>
      </c>
      <c r="M105" s="905">
        <f t="shared" ca="1" si="20"/>
        <v>419.57667283888566</v>
      </c>
      <c r="N105" s="905">
        <f t="shared" ca="1" si="20"/>
        <v>447.50308282527993</v>
      </c>
      <c r="O105" s="905">
        <f t="shared" ca="1" si="20"/>
        <v>463.83393587598948</v>
      </c>
      <c r="R105" s="834"/>
      <c r="S105" s="834"/>
      <c r="T105" s="834"/>
      <c r="U105" s="834"/>
      <c r="V105" s="834"/>
      <c r="W105" s="834"/>
      <c r="X105" s="834"/>
      <c r="Y105" s="834"/>
      <c r="Z105" s="834"/>
      <c r="AA105" s="834"/>
    </row>
    <row r="106" spans="2:27" s="743" customFormat="1" hidden="1" outlineLevel="1">
      <c r="F106" s="844"/>
      <c r="G106" s="844"/>
      <c r="H106" s="844"/>
      <c r="I106" s="844"/>
      <c r="J106" s="844"/>
      <c r="K106" s="844"/>
      <c r="L106" s="844"/>
      <c r="M106" s="844"/>
      <c r="N106" s="844"/>
      <c r="O106" s="844"/>
    </row>
    <row r="107" spans="2:27" s="834" customFormat="1" hidden="1" outlineLevel="1">
      <c r="C107" s="834" t="s">
        <v>743</v>
      </c>
      <c r="F107" s="845">
        <f ca="1">IF(F105&gt;0,F105,0)</f>
        <v>182.39008501910752</v>
      </c>
      <c r="G107" s="845">
        <f t="shared" ref="G107:O107" ca="1" si="21">IF(G105&gt;0,G105,0)</f>
        <v>194.11027451979797</v>
      </c>
      <c r="H107" s="845">
        <f t="shared" ca="1" si="21"/>
        <v>238.70092946164544</v>
      </c>
      <c r="I107" s="845">
        <f t="shared" ca="1" si="21"/>
        <v>282.86954670936586</v>
      </c>
      <c r="J107" s="845">
        <f t="shared" ca="1" si="21"/>
        <v>335.58700865275858</v>
      </c>
      <c r="K107" s="845">
        <f t="shared" ca="1" si="21"/>
        <v>356.05084878124228</v>
      </c>
      <c r="L107" s="845">
        <f t="shared" ca="1" si="21"/>
        <v>391.43492655383676</v>
      </c>
      <c r="M107" s="845">
        <f t="shared" ca="1" si="21"/>
        <v>419.57667283888566</v>
      </c>
      <c r="N107" s="845">
        <f t="shared" ca="1" si="21"/>
        <v>447.50308282527993</v>
      </c>
      <c r="O107" s="845">
        <f t="shared" ca="1" si="21"/>
        <v>463.83393587598948</v>
      </c>
    </row>
    <row r="108" spans="2:27" s="743" customFormat="1" hidden="1" outlineLevel="1">
      <c r="B108" s="837" t="s">
        <v>1232</v>
      </c>
      <c r="C108" s="743" t="s">
        <v>1792</v>
      </c>
      <c r="F108" s="840">
        <f ca="1">F$20*F107</f>
        <v>3.6042462354954301</v>
      </c>
      <c r="G108" s="840">
        <f t="shared" ref="G108:O108" ca="1" si="22">G$20*G107</f>
        <v>3.8822054903959593</v>
      </c>
      <c r="H108" s="840">
        <f t="shared" ca="1" si="22"/>
        <v>4.7740185892329086</v>
      </c>
      <c r="I108" s="840">
        <f t="shared" ca="1" si="22"/>
        <v>5.6573909341873172</v>
      </c>
      <c r="J108" s="840">
        <f t="shared" ca="1" si="22"/>
        <v>6.7117401730551718</v>
      </c>
      <c r="K108" s="840">
        <f t="shared" ca="1" si="22"/>
        <v>7.1210169756248458</v>
      </c>
      <c r="L108" s="840">
        <f t="shared" ca="1" si="22"/>
        <v>7.8286985310767356</v>
      </c>
      <c r="M108" s="840">
        <f t="shared" ca="1" si="22"/>
        <v>8.3915334567777133</v>
      </c>
      <c r="N108" s="840">
        <f t="shared" ca="1" si="22"/>
        <v>8.9500616565055982</v>
      </c>
      <c r="O108" s="840">
        <f t="shared" ca="1" si="22"/>
        <v>9.2766787175197898</v>
      </c>
    </row>
    <row r="109" spans="2:27" s="743" customFormat="1" hidden="1" outlineLevel="1">
      <c r="B109" s="837" t="s">
        <v>840</v>
      </c>
      <c r="C109" s="834" t="s">
        <v>897</v>
      </c>
      <c r="F109" s="839">
        <f ca="1">F107+F108</f>
        <v>185.99433125460294</v>
      </c>
      <c r="G109" s="839">
        <f t="shared" ref="G109:O109" ca="1" si="23">G107+G108</f>
        <v>197.99248001019393</v>
      </c>
      <c r="H109" s="839">
        <f t="shared" ca="1" si="23"/>
        <v>243.47494805087834</v>
      </c>
      <c r="I109" s="839">
        <f t="shared" ca="1" si="23"/>
        <v>288.5269376435532</v>
      </c>
      <c r="J109" s="839">
        <f t="shared" ca="1" si="23"/>
        <v>342.29874882581373</v>
      </c>
      <c r="K109" s="839">
        <f t="shared" ca="1" si="23"/>
        <v>363.17186575686713</v>
      </c>
      <c r="L109" s="839">
        <f t="shared" ca="1" si="23"/>
        <v>399.26362508491349</v>
      </c>
      <c r="M109" s="839">
        <f t="shared" ca="1" si="23"/>
        <v>427.96820629566338</v>
      </c>
      <c r="N109" s="839">
        <f t="shared" ca="1" si="23"/>
        <v>456.45314448178556</v>
      </c>
      <c r="O109" s="839">
        <f t="shared" ca="1" si="23"/>
        <v>473.1106145935093</v>
      </c>
    </row>
    <row r="110" spans="2:27" s="743" customFormat="1" hidden="1" outlineLevel="1">
      <c r="B110" s="2133" t="s">
        <v>2074</v>
      </c>
      <c r="C110" s="743" t="s">
        <v>2309</v>
      </c>
      <c r="F110" s="842">
        <f>F$27</f>
        <v>0.48899999999999999</v>
      </c>
      <c r="G110" s="842">
        <f t="shared" ref="G110:O110" si="24">G$27</f>
        <v>0.5</v>
      </c>
      <c r="H110" s="842">
        <f t="shared" si="24"/>
        <v>0.5</v>
      </c>
      <c r="I110" s="842">
        <f t="shared" si="24"/>
        <v>0.5</v>
      </c>
      <c r="J110" s="842">
        <f t="shared" si="24"/>
        <v>0.5</v>
      </c>
      <c r="K110" s="842">
        <f t="shared" si="24"/>
        <v>0.5</v>
      </c>
      <c r="L110" s="842">
        <f t="shared" si="24"/>
        <v>0.5</v>
      </c>
      <c r="M110" s="842">
        <f t="shared" si="24"/>
        <v>0.5</v>
      </c>
      <c r="N110" s="842">
        <f t="shared" si="24"/>
        <v>0.5</v>
      </c>
      <c r="O110" s="842">
        <f t="shared" si="24"/>
        <v>0.5</v>
      </c>
    </row>
    <row r="111" spans="2:27" s="743" customFormat="1" hidden="1" outlineLevel="1">
      <c r="B111" s="837" t="s">
        <v>840</v>
      </c>
      <c r="C111" s="834" t="s">
        <v>2310</v>
      </c>
      <c r="F111" s="843">
        <f ca="1">F109/F110</f>
        <v>380.35650563313487</v>
      </c>
      <c r="G111" s="843">
        <f t="shared" ref="G111:O111" ca="1" si="25">G109/G110</f>
        <v>395.98496002038786</v>
      </c>
      <c r="H111" s="843">
        <f t="shared" ca="1" si="25"/>
        <v>486.94989610175668</v>
      </c>
      <c r="I111" s="843">
        <f t="shared" ca="1" si="25"/>
        <v>577.05387528710639</v>
      </c>
      <c r="J111" s="843">
        <f t="shared" ca="1" si="25"/>
        <v>684.59749765162746</v>
      </c>
      <c r="K111" s="843">
        <f t="shared" ca="1" si="25"/>
        <v>726.34373151373427</v>
      </c>
      <c r="L111" s="843">
        <f t="shared" ca="1" si="25"/>
        <v>798.52725016982697</v>
      </c>
      <c r="M111" s="843">
        <f t="shared" ca="1" si="25"/>
        <v>855.93641259132676</v>
      </c>
      <c r="N111" s="843">
        <f t="shared" ca="1" si="25"/>
        <v>912.90628896357111</v>
      </c>
      <c r="O111" s="843">
        <f t="shared" ca="1" si="25"/>
        <v>946.22122918701859</v>
      </c>
    </row>
    <row r="112" spans="2:27" s="743" customFormat="1" hidden="1" outlineLevel="1">
      <c r="C112" s="841"/>
      <c r="F112" s="685"/>
      <c r="G112" s="685"/>
      <c r="H112" s="685"/>
      <c r="I112" s="685"/>
      <c r="J112" s="685"/>
      <c r="K112" s="685"/>
      <c r="L112" s="685"/>
      <c r="M112" s="685"/>
      <c r="N112" s="685"/>
      <c r="O112" s="685"/>
    </row>
    <row r="113" spans="1:20" s="743" customFormat="1" hidden="1" outlineLevel="1">
      <c r="B113" s="903" t="s">
        <v>1809</v>
      </c>
      <c r="C113" s="841"/>
      <c r="F113" s="685"/>
      <c r="G113" s="685"/>
      <c r="H113" s="685"/>
      <c r="I113" s="685"/>
      <c r="J113" s="685"/>
      <c r="K113" s="685"/>
      <c r="L113" s="685"/>
      <c r="M113" s="685"/>
      <c r="N113" s="685"/>
      <c r="O113" s="685"/>
    </row>
    <row r="114" spans="1:20" s="743" customFormat="1" ht="5.25" hidden="1" customHeight="1" outlineLevel="1">
      <c r="C114" s="841"/>
      <c r="F114" s="685"/>
      <c r="G114" s="685"/>
      <c r="H114" s="685"/>
      <c r="I114" s="685"/>
      <c r="J114" s="685"/>
      <c r="K114" s="685"/>
      <c r="L114" s="685"/>
      <c r="M114" s="685"/>
      <c r="N114" s="685"/>
      <c r="O114" s="685"/>
    </row>
    <row r="115" spans="1:20" s="743" customFormat="1" hidden="1" outlineLevel="1">
      <c r="C115" s="903" t="s">
        <v>202</v>
      </c>
      <c r="D115" s="903"/>
      <c r="E115" s="903" t="str">
        <f>Preferences.PowerUnits</f>
        <v>GW</v>
      </c>
      <c r="F115" s="2049">
        <f t="shared" ref="F115:O115" si="26">F$78</f>
        <v>3.778</v>
      </c>
      <c r="G115" s="2049">
        <f t="shared" si="26"/>
        <v>3.778</v>
      </c>
      <c r="H115" s="2049">
        <f t="shared" si="26"/>
        <v>0</v>
      </c>
      <c r="I115" s="2049">
        <f t="shared" si="26"/>
        <v>0</v>
      </c>
      <c r="J115" s="2049">
        <f t="shared" si="26"/>
        <v>0</v>
      </c>
      <c r="K115" s="2049">
        <f t="shared" si="26"/>
        <v>0</v>
      </c>
      <c r="L115" s="2049">
        <f t="shared" si="26"/>
        <v>0</v>
      </c>
      <c r="M115" s="2049">
        <f t="shared" si="26"/>
        <v>0</v>
      </c>
      <c r="N115" s="2049">
        <f t="shared" si="26"/>
        <v>0</v>
      </c>
      <c r="O115" s="2049">
        <f t="shared" si="26"/>
        <v>0</v>
      </c>
    </row>
    <row r="116" spans="1:20" s="743" customFormat="1" hidden="1" outlineLevel="1">
      <c r="C116" s="903" t="s">
        <v>141</v>
      </c>
      <c r="D116" s="903"/>
      <c r="E116" s="903" t="str">
        <f>Preferences.PowerUnits</f>
        <v>GW</v>
      </c>
      <c r="F116" s="2049">
        <f t="shared" ref="F116:O116" ca="1" si="27">F98*Preferences.Unit.Energy/(Preferences.Unit.Power*Unit.year*F$32)</f>
        <v>23.007999999999999</v>
      </c>
      <c r="G116" s="2049">
        <f t="shared" ca="1" si="27"/>
        <v>23.007999999999999</v>
      </c>
      <c r="H116" s="2049">
        <f t="shared" ca="1" si="27"/>
        <v>15.808</v>
      </c>
      <c r="I116" s="2049">
        <f t="shared" ca="1" si="27"/>
        <v>8.5579999999999998</v>
      </c>
      <c r="J116" s="2049">
        <f t="shared" ca="1" si="27"/>
        <v>1.3079999999999998</v>
      </c>
      <c r="K116" s="2049">
        <f t="shared" ca="1" si="27"/>
        <v>1.3079999999999998</v>
      </c>
      <c r="L116" s="2049">
        <f t="shared" ca="1" si="27"/>
        <v>1.3079999999999998</v>
      </c>
      <c r="M116" s="2049">
        <f t="shared" ca="1" si="27"/>
        <v>1.3079999999999998</v>
      </c>
      <c r="N116" s="2049">
        <f t="shared" ca="1" si="27"/>
        <v>1.3079999999999998</v>
      </c>
      <c r="O116" s="2049">
        <f t="shared" ca="1" si="27"/>
        <v>1.3079999999999998</v>
      </c>
    </row>
    <row r="117" spans="1:20" s="743" customFormat="1" hidden="1" outlineLevel="1">
      <c r="C117" s="903" t="s">
        <v>14</v>
      </c>
      <c r="D117" s="903"/>
      <c r="E117" s="903" t="str">
        <f>Preferences.PowerUnits</f>
        <v>GW</v>
      </c>
      <c r="F117" s="2049">
        <f t="shared" ref="F117:O117" ca="1" si="28">F107*Preferences.Unit.Energy/(Preferences.Unit.Power*Unit.year*F$34)</f>
        <v>32.921732452179221</v>
      </c>
      <c r="G117" s="2049">
        <f t="shared" ca="1" si="28"/>
        <v>31.633629040741496</v>
      </c>
      <c r="H117" s="2049">
        <f t="shared" ca="1" si="28"/>
        <v>38.900448072364888</v>
      </c>
      <c r="I117" s="2049">
        <f t="shared" ca="1" si="28"/>
        <v>46.098488756782025</v>
      </c>
      <c r="J117" s="2049">
        <f t="shared" ca="1" si="28"/>
        <v>54.689711654241812</v>
      </c>
      <c r="K117" s="2049">
        <f t="shared" ca="1" si="28"/>
        <v>58.024648606831967</v>
      </c>
      <c r="L117" s="2049">
        <f t="shared" ca="1" si="28"/>
        <v>63.791096534310618</v>
      </c>
      <c r="M117" s="2049">
        <f t="shared" ca="1" si="28"/>
        <v>68.377281190131626</v>
      </c>
      <c r="N117" s="2049">
        <f t="shared" ca="1" si="28"/>
        <v>72.928373068883019</v>
      </c>
      <c r="O117" s="2049">
        <f t="shared" ca="1" si="28"/>
        <v>75.58976824027728</v>
      </c>
      <c r="Q117" s="2267" t="s">
        <v>1956</v>
      </c>
      <c r="R117" s="2267"/>
      <c r="S117" s="2267"/>
      <c r="T117" s="2267"/>
    </row>
    <row r="118" spans="1:20" s="743" customFormat="1" hidden="1" outlineLevel="1">
      <c r="C118" s="841"/>
      <c r="F118" s="685"/>
      <c r="G118" s="685"/>
      <c r="H118" s="685"/>
      <c r="I118" s="685"/>
      <c r="J118" s="685"/>
      <c r="K118" s="685"/>
      <c r="L118" s="685"/>
      <c r="M118" s="685"/>
      <c r="N118" s="685"/>
      <c r="O118" s="685"/>
    </row>
    <row r="119" spans="1:20" s="743" customFormat="1" hidden="1" outlineLevel="1">
      <c r="B119" s="834" t="s">
        <v>902</v>
      </c>
    </row>
    <row r="120" spans="1:20" s="743" customFormat="1" hidden="1" outlineLevel="1">
      <c r="C120" s="743" t="s">
        <v>1055</v>
      </c>
      <c r="E120" s="743" t="s">
        <v>1075</v>
      </c>
      <c r="F120" s="840">
        <f ca="1">F$85*INDEX(EF[CO2], MATCH("V.04", EF[Vector], 0))+F$102*INDEX(EF[CO2], MATCH("V.03", EF[Vector], 0))+F$111*INDEX(EF[CO2], MATCH("V.05", EF[Vector], 0))</f>
        <v>187.10733470553092</v>
      </c>
      <c r="G120" s="840">
        <f ca="1">G$85*INDEX(EF[CO2], MATCH("V.04", EF[Vector], 0))+G$102*INDEX(EF[CO2], MATCH("V.03", EF[Vector], 0))+G$111*INDEX(EF[CO2], MATCH("V.05", EF[Vector], 0))</f>
        <v>186.66420768695133</v>
      </c>
      <c r="H120" s="840">
        <f ca="1">H$85*INDEX(EF[CO2], MATCH("V.04", EF[Vector], 0))+H$102*INDEX(EF[CO2], MATCH("V.03", EF[Vector], 0))+H$111*INDEX(EF[CO2], MATCH("V.05", EF[Vector], 0))</f>
        <v>166.4236121659232</v>
      </c>
      <c r="I120" s="840">
        <f ca="1">I$85*INDEX(EF[CO2], MATCH("V.04", EF[Vector], 0))+I$102*INDEX(EF[CO2], MATCH("V.03", EF[Vector], 0))+I$111*INDEX(EF[CO2], MATCH("V.05", EF[Vector], 0))</f>
        <v>147.76868393602754</v>
      </c>
      <c r="J120" s="840">
        <f ca="1">J$85*INDEX(EF[CO2], MATCH("V.04", EF[Vector], 0))+J$102*INDEX(EF[CO2], MATCH("V.03", EF[Vector], 0))+J$111*INDEX(EF[CO2], MATCH("V.05", EF[Vector], 0))</f>
        <v>132.32265005109943</v>
      </c>
      <c r="K120" s="840">
        <f ca="1">K$85*INDEX(EF[CO2], MATCH("V.04", EF[Vector], 0))+K$102*INDEX(EF[CO2], MATCH("V.03", EF[Vector], 0))+K$111*INDEX(EF[CO2], MATCH("V.05", EF[Vector], 0))</f>
        <v>140.00395708172709</v>
      </c>
      <c r="L120" s="840">
        <f ca="1">L$85*INDEX(EF[CO2], MATCH("V.04", EF[Vector], 0))+L$102*INDEX(EF[CO2], MATCH("V.03", EF[Vector], 0))+L$111*INDEX(EF[CO2], MATCH("V.05", EF[Vector], 0))</f>
        <v>153.28572451444813</v>
      </c>
      <c r="M120" s="840">
        <f ca="1">M$85*INDEX(EF[CO2], MATCH("V.04", EF[Vector], 0))+M$102*INDEX(EF[CO2], MATCH("V.03", EF[Vector], 0))+M$111*INDEX(EF[CO2], MATCH("V.05", EF[Vector], 0))</f>
        <v>163.84901040000409</v>
      </c>
      <c r="N120" s="840">
        <f ca="1">N$85*INDEX(EF[CO2], MATCH("V.04", EF[Vector], 0))+N$102*INDEX(EF[CO2], MATCH("V.03", EF[Vector], 0))+N$111*INDEX(EF[CO2], MATCH("V.05", EF[Vector], 0))</f>
        <v>174.33146765249705</v>
      </c>
      <c r="O120" s="840">
        <f ca="1">O$85*INDEX(EF[CO2], MATCH("V.04", EF[Vector], 0))+O$102*INDEX(EF[CO2], MATCH("V.03", EF[Vector], 0))+O$111*INDEX(EF[CO2], MATCH("V.05", EF[Vector], 0))</f>
        <v>180.46141665361139</v>
      </c>
    </row>
    <row r="121" spans="1:20" s="743" customFormat="1" hidden="1" outlineLevel="1">
      <c r="C121" s="743" t="s">
        <v>1056</v>
      </c>
      <c r="F121" s="840">
        <f ca="1">F$85*INDEX(EF[CH4], MATCH("V.04", EF[Vector], 0))+F$102*INDEX(EF[CH4], MATCH("V.03", EF[Vector], 0))+F$111*INDEX(EF[CH4], MATCH("V.05", EF[Vector], 0))</f>
        <v>0.48065030797656261</v>
      </c>
      <c r="G121" s="840">
        <f ca="1">G$85*INDEX(EF[CH4], MATCH("V.04", EF[Vector], 0))+G$102*INDEX(EF[CH4], MATCH("V.03", EF[Vector], 0))+G$111*INDEX(EF[CH4], MATCH("V.05", EF[Vector], 0))</f>
        <v>0.47699790359778094</v>
      </c>
      <c r="H121" s="840">
        <f ca="1">H$85*INDEX(EF[CH4], MATCH("V.04", EF[Vector], 0))+H$102*INDEX(EF[CH4], MATCH("V.03", EF[Vector], 0))+H$111*INDEX(EF[CH4], MATCH("V.05", EF[Vector], 0))</f>
        <v>0.40528306740871956</v>
      </c>
      <c r="I121" s="840">
        <f ca="1">I$85*INDEX(EF[CH4], MATCH("V.04", EF[Vector], 0))+I$102*INDEX(EF[CH4], MATCH("V.03", EF[Vector], 0))+I$111*INDEX(EF[CH4], MATCH("V.05", EF[Vector], 0))</f>
        <v>0.3350107641950692</v>
      </c>
      <c r="J121" s="840">
        <f ca="1">J$85*INDEX(EF[CH4], MATCH("V.04", EF[Vector], 0))+J$102*INDEX(EF[CH4], MATCH("V.03", EF[Vector], 0))+J$111*INDEX(EF[CH4], MATCH("V.05", EF[Vector], 0))</f>
        <v>0.2711706438354301</v>
      </c>
      <c r="K121" s="840">
        <f ca="1">K$85*INDEX(EF[CH4], MATCH("V.04", EF[Vector], 0))+K$102*INDEX(EF[CH4], MATCH("V.03", EF[Vector], 0))+K$111*INDEX(EF[CH4], MATCH("V.05", EF[Vector], 0))</f>
        <v>0.28656771399957681</v>
      </c>
      <c r="L121" s="840">
        <f ca="1">L$85*INDEX(EF[CH4], MATCH("V.04", EF[Vector], 0))+L$102*INDEX(EF[CH4], MATCH("V.03", EF[Vector], 0))+L$111*INDEX(EF[CH4], MATCH("V.05", EF[Vector], 0))</f>
        <v>0.31319082699975781</v>
      </c>
      <c r="M121" s="840">
        <f ca="1">M$85*INDEX(EF[CH4], MATCH("V.04", EF[Vector], 0))+M$102*INDEX(EF[CH4], MATCH("V.03", EF[Vector], 0))+M$111*INDEX(EF[CH4], MATCH("V.05", EF[Vector], 0))</f>
        <v>0.33436478259030211</v>
      </c>
      <c r="N121" s="840">
        <f ca="1">N$85*INDEX(EF[CH4], MATCH("V.04", EF[Vector], 0))+N$102*INDEX(EF[CH4], MATCH("V.03", EF[Vector], 0))+N$111*INDEX(EF[CH4], MATCH("V.05", EF[Vector], 0))</f>
        <v>0.35537671834104823</v>
      </c>
      <c r="O121" s="840">
        <f ca="1">O$85*INDEX(EF[CH4], MATCH("V.04", EF[Vector], 0))+O$102*INDEX(EF[CH4], MATCH("V.03", EF[Vector], 0))+O$111*INDEX(EF[CH4], MATCH("V.05", EF[Vector], 0))</f>
        <v>0.36766411350654082</v>
      </c>
    </row>
    <row r="122" spans="1:20" s="743" customFormat="1" hidden="1" outlineLevel="1">
      <c r="C122" s="743" t="s">
        <v>1057</v>
      </c>
      <c r="F122" s="840">
        <f ca="1">F$85*INDEX(EF[N2O], MATCH("V.04", EF[Vector], 0))+F$102*INDEX(EF[N2O], MATCH("V.03", EF[Vector], 0))+F$111*INDEX(EF[N2O], MATCH("V.05", EF[Vector], 0))</f>
        <v>1.2083525292792299</v>
      </c>
      <c r="G122" s="840">
        <f ca="1">G$85*INDEX(EF[N2O], MATCH("V.04", EF[Vector], 0))+G$102*INDEX(EF[N2O], MATCH("V.03", EF[Vector], 0))+G$111*INDEX(EF[N2O], MATCH("V.05", EF[Vector], 0))</f>
        <v>1.1833573431527158</v>
      </c>
      <c r="H122" s="840">
        <f ca="1">H$85*INDEX(EF[N2O], MATCH("V.04", EF[Vector], 0))+H$102*INDEX(EF[N2O], MATCH("V.03", EF[Vector], 0))+H$111*INDEX(EF[N2O], MATCH("V.05", EF[Vector], 0))</f>
        <v>0.8737217678916418</v>
      </c>
      <c r="I122" s="840">
        <f ca="1">I$85*INDEX(EF[N2O], MATCH("V.04", EF[Vector], 0))+I$102*INDEX(EF[N2O], MATCH("V.03", EF[Vector], 0))+I$111*INDEX(EF[N2O], MATCH("V.05", EF[Vector], 0))</f>
        <v>0.59734368337923782</v>
      </c>
      <c r="J122" s="840">
        <f ca="1">J$85*INDEX(EF[N2O], MATCH("V.04", EF[Vector], 0))+J$102*INDEX(EF[N2O], MATCH("V.03", EF[Vector], 0))+J$111*INDEX(EF[N2O], MATCH("V.05", EF[Vector], 0))</f>
        <v>0.32788372423674789</v>
      </c>
      <c r="K122" s="840">
        <f ca="1">K$85*INDEX(EF[N2O], MATCH("V.04", EF[Vector], 0))+K$102*INDEX(EF[N2O], MATCH("V.03", EF[Vector], 0))+K$111*INDEX(EF[N2O], MATCH("V.05", EF[Vector], 0))</f>
        <v>0.34444402175044547</v>
      </c>
      <c r="L122" s="840">
        <f ca="1">L$85*INDEX(EF[N2O], MATCH("V.04", EF[Vector], 0))+L$102*INDEX(EF[N2O], MATCH("V.03", EF[Vector], 0))+L$111*INDEX(EF[N2O], MATCH("V.05", EF[Vector], 0))</f>
        <v>0.37307847410557116</v>
      </c>
      <c r="M122" s="840">
        <f ca="1">M$85*INDEX(EF[N2O], MATCH("V.04", EF[Vector], 0))+M$102*INDEX(EF[N2O], MATCH("V.03", EF[Vector], 0))+M$111*INDEX(EF[N2O], MATCH("V.05", EF[Vector], 0))</f>
        <v>0.39585209274749583</v>
      </c>
      <c r="N122" s="840">
        <f ca="1">N$85*INDEX(EF[N2O], MATCH("V.04", EF[Vector], 0))+N$102*INDEX(EF[N2O], MATCH("V.03", EF[Vector], 0))+N$111*INDEX(EF[N2O], MATCH("V.05", EF[Vector], 0))</f>
        <v>0.41845145117487481</v>
      </c>
      <c r="O122" s="840">
        <f ca="1">O$85*INDEX(EF[N2O], MATCH("V.04", EF[Vector], 0))+O$102*INDEX(EF[N2O], MATCH("V.03", EF[Vector], 0))+O$111*INDEX(EF[N2O], MATCH("V.05", EF[Vector], 0))</f>
        <v>0.43166714204590506</v>
      </c>
    </row>
    <row r="123" spans="1:20" s="743" customFormat="1" hidden="1" outlineLevel="1"/>
    <row r="125" spans="1:20" ht="22.5" collapsed="1">
      <c r="A125" s="1171"/>
      <c r="B125" s="1231" t="s">
        <v>683</v>
      </c>
      <c r="C125" s="1183"/>
      <c r="D125" s="1183"/>
      <c r="E125" s="1183"/>
      <c r="F125" s="1183"/>
      <c r="G125" s="1183"/>
      <c r="H125" s="1183"/>
      <c r="I125" s="1183"/>
      <c r="J125" s="1183"/>
      <c r="K125" s="1183"/>
      <c r="L125" s="1183"/>
      <c r="M125" s="1183"/>
      <c r="N125" s="1183"/>
      <c r="O125" s="1183"/>
      <c r="P125" s="1185"/>
    </row>
    <row r="126" spans="1:20" hidden="1" outlineLevel="1">
      <c r="B126" s="1172"/>
      <c r="C126" s="1174"/>
      <c r="D126" s="1174"/>
      <c r="E126" s="1174"/>
      <c r="F126" s="1174"/>
      <c r="G126" s="1174"/>
      <c r="H126" s="1174"/>
      <c r="I126" s="1174"/>
      <c r="J126" s="1174"/>
      <c r="K126" s="1174"/>
      <c r="L126" s="1174"/>
      <c r="M126" s="1174"/>
      <c r="N126" s="1174"/>
      <c r="O126" s="1174"/>
      <c r="P126" s="1176"/>
    </row>
    <row r="127" spans="1:20" hidden="1" outlineLevel="1">
      <c r="B127" s="1172"/>
      <c r="C127" s="1186" t="s">
        <v>730</v>
      </c>
      <c r="D127" s="1174"/>
      <c r="E127" s="1175" t="str">
        <f>Preferences.EnergyUnits</f>
        <v>TWh</v>
      </c>
      <c r="F127" s="1174"/>
      <c r="G127" s="1175"/>
      <c r="H127" s="1174"/>
      <c r="I127" s="1174"/>
      <c r="J127" s="1174"/>
      <c r="K127" s="1174"/>
      <c r="L127" s="1174"/>
      <c r="M127" s="1174"/>
      <c r="N127" s="1174"/>
      <c r="O127" s="1174"/>
      <c r="P127" s="1176"/>
    </row>
    <row r="128" spans="1:20" ht="6" hidden="1" customHeight="1" outlineLevel="1">
      <c r="B128" s="1172"/>
      <c r="C128" s="1174"/>
      <c r="D128" s="1174"/>
      <c r="E128" s="1174"/>
      <c r="F128" s="1174"/>
      <c r="G128" s="1174"/>
      <c r="H128" s="1174"/>
      <c r="I128" s="1174"/>
      <c r="J128" s="1174"/>
      <c r="K128" s="1174"/>
      <c r="L128" s="1174"/>
      <c r="M128" s="1174"/>
      <c r="N128" s="1174"/>
      <c r="O128" s="1174"/>
      <c r="P128" s="1176"/>
    </row>
    <row r="129" spans="1:16" ht="15.75" hidden="1" outlineLevel="1">
      <c r="A129" s="3"/>
      <c r="B129" s="1177"/>
      <c r="C129" s="1188" t="s">
        <v>78</v>
      </c>
      <c r="D129" s="1188" t="s">
        <v>418</v>
      </c>
      <c r="E129" s="1188" t="s">
        <v>442</v>
      </c>
      <c r="F129" s="1188" t="s">
        <v>691</v>
      </c>
      <c r="G129" s="1188" t="s">
        <v>692</v>
      </c>
      <c r="H129" s="1189" t="s">
        <v>721</v>
      </c>
      <c r="I129" s="1189" t="s">
        <v>722</v>
      </c>
      <c r="J129" s="1189" t="s">
        <v>723</v>
      </c>
      <c r="K129" s="1189" t="s">
        <v>724</v>
      </c>
      <c r="L129" s="1189" t="s">
        <v>725</v>
      </c>
      <c r="M129" s="1189" t="s">
        <v>726</v>
      </c>
      <c r="N129" s="1189" t="s">
        <v>727</v>
      </c>
      <c r="O129" s="1189" t="s">
        <v>728</v>
      </c>
      <c r="P129" s="1273"/>
    </row>
    <row r="130" spans="1:16" ht="15" hidden="1" customHeight="1" outlineLevel="1">
      <c r="A130" s="3"/>
      <c r="B130" s="1274"/>
      <c r="C130" s="952" t="s">
        <v>46</v>
      </c>
      <c r="D130" s="952" t="str">
        <f>INDEX(Vectors[Description], MATCH([Vector], Vectors[Code], 0))</f>
        <v>Electricity (supplied to grid)</v>
      </c>
      <c r="E130" s="952"/>
      <c r="F130" s="953">
        <f ca="1">F$81+F$98+F$107</f>
        <v>310.84555353950748</v>
      </c>
      <c r="G130" s="953">
        <f t="shared" ref="G130:O130" ca="1" si="29">G$81+G$98+G$107</f>
        <v>317.11022819979797</v>
      </c>
      <c r="H130" s="953">
        <f t="shared" ca="1" si="29"/>
        <v>321.84468626164545</v>
      </c>
      <c r="I130" s="953">
        <f t="shared" ca="1" si="29"/>
        <v>327.88120350936583</v>
      </c>
      <c r="J130" s="953">
        <f t="shared" ca="1" si="29"/>
        <v>342.46656545275857</v>
      </c>
      <c r="K130" s="953">
        <f t="shared" ca="1" si="29"/>
        <v>362.93040558124227</v>
      </c>
      <c r="L130" s="953">
        <f t="shared" ca="1" si="29"/>
        <v>398.31448335383675</v>
      </c>
      <c r="M130" s="953">
        <f t="shared" ca="1" si="29"/>
        <v>426.45622963888565</v>
      </c>
      <c r="N130" s="953">
        <f t="shared" ca="1" si="29"/>
        <v>454.38263962527992</v>
      </c>
      <c r="O130" s="953">
        <f t="shared" ca="1" si="29"/>
        <v>470.71349267598947</v>
      </c>
      <c r="P130" s="1275"/>
    </row>
    <row r="131" spans="1:16" ht="15" hidden="1" customHeight="1" outlineLevel="1">
      <c r="A131" s="3"/>
      <c r="B131" s="1274"/>
      <c r="C131" s="952" t="s">
        <v>47</v>
      </c>
      <c r="D131" s="952" t="str">
        <f>INDEX(Vectors[Description], MATCH([Vector], Vectors[Code], 0))</f>
        <v>Solid hydrocarbons</v>
      </c>
      <c r="E131" s="952"/>
      <c r="F131" s="953">
        <f ca="1">-F$102</f>
        <v>-373.17556637571482</v>
      </c>
      <c r="G131" s="953">
        <f t="shared" ref="G131:O131" ca="1" si="30">-G$102</f>
        <v>-363.03863039999999</v>
      </c>
      <c r="H131" s="953">
        <f t="shared" ca="1" si="30"/>
        <v>-249.43127040000002</v>
      </c>
      <c r="I131" s="953">
        <f t="shared" ca="1" si="30"/>
        <v>-135.03497039999999</v>
      </c>
      <c r="J131" s="953">
        <f t="shared" ca="1" si="30"/>
        <v>-20.638670399999999</v>
      </c>
      <c r="K131" s="953">
        <f t="shared" ca="1" si="30"/>
        <v>-20.638670399999999</v>
      </c>
      <c r="L131" s="953">
        <f t="shared" ca="1" si="30"/>
        <v>-20.638670399999999</v>
      </c>
      <c r="M131" s="953">
        <f t="shared" ca="1" si="30"/>
        <v>-20.638670399999999</v>
      </c>
      <c r="N131" s="953">
        <f t="shared" ca="1" si="30"/>
        <v>-20.638670399999999</v>
      </c>
      <c r="O131" s="953">
        <f t="shared" ca="1" si="30"/>
        <v>-20.638670399999999</v>
      </c>
      <c r="P131" s="1275"/>
    </row>
    <row r="132" spans="1:16" s="121" customFormat="1" ht="15" hidden="1" customHeight="1" outlineLevel="1">
      <c r="A132" s="3"/>
      <c r="B132" s="1274"/>
      <c r="C132" s="952" t="s">
        <v>49</v>
      </c>
      <c r="D132" s="952" t="str">
        <f>INDEX(Vectors[Description], MATCH([Vector], Vectors[Code], 0))</f>
        <v>Liquid hydrocarbons</v>
      </c>
      <c r="E132" s="952"/>
      <c r="F132" s="953">
        <f>-F$85</f>
        <v>-8.7346529012558989</v>
      </c>
      <c r="G132" s="953">
        <f t="shared" ref="G132:O132" si="31">-G$85</f>
        <v>-7.9483075200000011</v>
      </c>
      <c r="H132" s="953">
        <f t="shared" si="31"/>
        <v>0</v>
      </c>
      <c r="I132" s="953">
        <f t="shared" si="31"/>
        <v>0</v>
      </c>
      <c r="J132" s="953">
        <f t="shared" si="31"/>
        <v>0</v>
      </c>
      <c r="K132" s="953">
        <f t="shared" si="31"/>
        <v>0</v>
      </c>
      <c r="L132" s="953">
        <f t="shared" si="31"/>
        <v>0</v>
      </c>
      <c r="M132" s="953">
        <f t="shared" si="31"/>
        <v>0</v>
      </c>
      <c r="N132" s="953">
        <f t="shared" si="31"/>
        <v>0</v>
      </c>
      <c r="O132" s="953">
        <f t="shared" si="31"/>
        <v>0</v>
      </c>
      <c r="P132" s="1275"/>
    </row>
    <row r="133" spans="1:16" s="121" customFormat="1" ht="15" hidden="1" customHeight="1" outlineLevel="1">
      <c r="A133" s="3"/>
      <c r="B133" s="1274"/>
      <c r="C133" s="952" t="s">
        <v>50</v>
      </c>
      <c r="D133" s="952" t="str">
        <f>INDEX(Vectors[Description], MATCH([Vector], Vectors[Code], 0))</f>
        <v>Gaseous hydrocarbons</v>
      </c>
      <c r="E133" s="952"/>
      <c r="F133" s="953">
        <f ca="1">-F$111</f>
        <v>-380.35650563313487</v>
      </c>
      <c r="G133" s="953">
        <f t="shared" ref="G133:O133" ca="1" si="32">-G$111</f>
        <v>-395.98496002038786</v>
      </c>
      <c r="H133" s="953">
        <f t="shared" ca="1" si="32"/>
        <v>-486.94989610175668</v>
      </c>
      <c r="I133" s="953">
        <f t="shared" ca="1" si="32"/>
        <v>-577.05387528710639</v>
      </c>
      <c r="J133" s="953">
        <f t="shared" ca="1" si="32"/>
        <v>-684.59749765162746</v>
      </c>
      <c r="K133" s="953">
        <f t="shared" ca="1" si="32"/>
        <v>-726.34373151373427</v>
      </c>
      <c r="L133" s="953">
        <f t="shared" ca="1" si="32"/>
        <v>-798.52725016982697</v>
      </c>
      <c r="M133" s="953">
        <f t="shared" ca="1" si="32"/>
        <v>-855.93641259132676</v>
      </c>
      <c r="N133" s="953">
        <f t="shared" ca="1" si="32"/>
        <v>-912.90628896357111</v>
      </c>
      <c r="O133" s="953">
        <f t="shared" ca="1" si="32"/>
        <v>-946.22122918701859</v>
      </c>
      <c r="P133" s="1275"/>
    </row>
    <row r="134" spans="1:16" s="121" customFormat="1" ht="15" hidden="1" customHeight="1" outlineLevel="1">
      <c r="A134" s="3"/>
      <c r="B134" s="1274"/>
      <c r="C134" s="952" t="s">
        <v>34</v>
      </c>
      <c r="D134" s="952" t="str">
        <f>INDEX(Vectors[Description], MATCH([Vector], Vectors[Code], 0))</f>
        <v>Conversion losses</v>
      </c>
      <c r="E134" s="952"/>
      <c r="F134" s="953">
        <f ca="1">(F$102+F$111)-(F$100+F$109)+(F$85-F$83)</f>
        <v>440.64668691152713</v>
      </c>
      <c r="G134" s="953">
        <f t="shared" ref="G134:O134" ca="1" si="33">(G$102+G$111)-(G$100+G$109)+(G$85-G$83)</f>
        <v>439.53140503419388</v>
      </c>
      <c r="H134" s="953">
        <f t="shared" ca="1" si="33"/>
        <v>405.60527381087843</v>
      </c>
      <c r="I134" s="953">
        <f t="shared" ca="1" si="33"/>
        <v>376.2996684035532</v>
      </c>
      <c r="J134" s="953">
        <f t="shared" ca="1" si="33"/>
        <v>355.71388458581373</v>
      </c>
      <c r="K134" s="953">
        <f t="shared" ca="1" si="33"/>
        <v>376.58700151686713</v>
      </c>
      <c r="L134" s="953">
        <f t="shared" ca="1" si="33"/>
        <v>412.67876084491348</v>
      </c>
      <c r="M134" s="953">
        <f t="shared" ca="1" si="33"/>
        <v>441.38334205566338</v>
      </c>
      <c r="N134" s="953">
        <f t="shared" ca="1" si="33"/>
        <v>469.86828024178556</v>
      </c>
      <c r="O134" s="953">
        <f t="shared" ca="1" si="33"/>
        <v>486.5257503535093</v>
      </c>
      <c r="P134" s="1275"/>
    </row>
    <row r="135" spans="1:16" s="121" customFormat="1" ht="15" hidden="1" customHeight="1" outlineLevel="1">
      <c r="A135" s="3"/>
      <c r="B135" s="1274"/>
      <c r="C135" s="952" t="s">
        <v>35</v>
      </c>
      <c r="D135" s="952" t="str">
        <f>INDEX(Vectors[Description], MATCH([Vector], Vectors[Code], 0))</f>
        <v>Distribution losses and own use</v>
      </c>
      <c r="E135" s="952"/>
      <c r="F135" s="953">
        <f ca="1">F$82+F$99+F$108</f>
        <v>10.774484459071004</v>
      </c>
      <c r="G135" s="953">
        <f t="shared" ref="G135:O135" ca="1" si="34">G$82+G$99+G$108</f>
        <v>10.330264706395958</v>
      </c>
      <c r="H135" s="953">
        <f t="shared" ca="1" si="34"/>
        <v>8.9312064292329083</v>
      </c>
      <c r="I135" s="953">
        <f t="shared" ca="1" si="34"/>
        <v>7.9079737741873171</v>
      </c>
      <c r="J135" s="953">
        <f t="shared" ca="1" si="34"/>
        <v>7.0557180130551718</v>
      </c>
      <c r="K135" s="953">
        <f t="shared" ca="1" si="34"/>
        <v>7.4649948156248458</v>
      </c>
      <c r="L135" s="953">
        <f t="shared" ca="1" si="34"/>
        <v>8.1726763710767365</v>
      </c>
      <c r="M135" s="953">
        <f t="shared" ca="1" si="34"/>
        <v>8.7355112967777124</v>
      </c>
      <c r="N135" s="953">
        <f t="shared" ca="1" si="34"/>
        <v>9.2940394965055972</v>
      </c>
      <c r="O135" s="953">
        <f t="shared" ca="1" si="34"/>
        <v>9.6206565575197907</v>
      </c>
      <c r="P135" s="1275"/>
    </row>
    <row r="136" spans="1:16" s="121" customFormat="1" ht="15" hidden="1" customHeight="1" outlineLevel="1">
      <c r="A136" s="3"/>
      <c r="B136" s="1274"/>
      <c r="C136" s="765" t="s">
        <v>148</v>
      </c>
      <c r="D136" s="765"/>
      <c r="E136" s="765"/>
      <c r="F136" s="953">
        <f>SUBTOTAL(109,[2007])</f>
        <v>0</v>
      </c>
      <c r="G136" s="953">
        <f>SUBTOTAL(109,[2010])</f>
        <v>0</v>
      </c>
      <c r="H136" s="953">
        <f>SUBTOTAL(109,[2015])</f>
        <v>0</v>
      </c>
      <c r="I136" s="953">
        <f>SUBTOTAL(109,[2020])</f>
        <v>0</v>
      </c>
      <c r="J136" s="953">
        <f>SUBTOTAL(109,[2025])</f>
        <v>0</v>
      </c>
      <c r="K136" s="953">
        <f>SUBTOTAL(109,[2030])</f>
        <v>0</v>
      </c>
      <c r="L136" s="953">
        <f>SUBTOTAL(109,[2035])</f>
        <v>0</v>
      </c>
      <c r="M136" s="953">
        <f>SUBTOTAL(109,[2040])</f>
        <v>0</v>
      </c>
      <c r="N136" s="953">
        <f>SUBTOTAL(109,[2045])</f>
        <v>0</v>
      </c>
      <c r="O136" s="953">
        <f>SUBTOTAL(109,[2050])</f>
        <v>0</v>
      </c>
      <c r="P136" s="1275"/>
    </row>
    <row r="137" spans="1:16" s="121" customFormat="1" ht="15" hidden="1" customHeight="1" outlineLevel="1">
      <c r="A137" s="3"/>
      <c r="B137" s="1276"/>
      <c r="C137" s="1180"/>
      <c r="D137" s="1180"/>
      <c r="E137" s="1180"/>
      <c r="F137" s="1180"/>
      <c r="G137" s="1180"/>
      <c r="H137" s="1180"/>
      <c r="I137" s="1180"/>
      <c r="J137" s="1180"/>
      <c r="K137" s="1180"/>
      <c r="L137" s="1180"/>
      <c r="M137" s="1180"/>
      <c r="N137" s="1180"/>
      <c r="O137" s="1180"/>
      <c r="P137" s="1277">
        <v>0</v>
      </c>
    </row>
    <row r="138" spans="1:16" hidden="1" outlineLevel="1"/>
    <row r="139" spans="1:16" ht="22.5" hidden="1" outlineLevel="1">
      <c r="A139" s="1171"/>
      <c r="B139" s="1249" t="s">
        <v>902</v>
      </c>
      <c r="C139" s="1198"/>
      <c r="D139" s="1199"/>
      <c r="E139" s="1199"/>
      <c r="F139" s="1199"/>
      <c r="G139" s="1199"/>
      <c r="H139" s="1199"/>
      <c r="I139" s="1199"/>
      <c r="J139" s="1199"/>
      <c r="K139" s="1199"/>
      <c r="L139" s="1199"/>
      <c r="M139" s="1199"/>
      <c r="N139" s="1199"/>
      <c r="O139" s="1199"/>
      <c r="P139" s="1200"/>
    </row>
    <row r="140" spans="1:16" hidden="1" outlineLevel="1">
      <c r="B140" s="1207"/>
      <c r="C140" s="1208"/>
      <c r="D140" s="1208"/>
      <c r="E140" s="1208"/>
      <c r="F140" s="1208"/>
      <c r="G140" s="1208"/>
      <c r="H140" s="1208"/>
      <c r="I140" s="1208"/>
      <c r="J140" s="1208"/>
      <c r="K140" s="1208"/>
      <c r="L140" s="1208"/>
      <c r="M140" s="1208"/>
      <c r="N140" s="1208"/>
      <c r="O140" s="1208"/>
      <c r="P140" s="1209"/>
    </row>
    <row r="141" spans="1:16" ht="14.25" hidden="1" outlineLevel="1">
      <c r="B141" s="1210"/>
      <c r="C141" s="1201" t="s">
        <v>1073</v>
      </c>
      <c r="D141" s="1202"/>
      <c r="E141" s="1203"/>
      <c r="F141" s="1202"/>
      <c r="G141" s="1203"/>
      <c r="H141" s="1202"/>
      <c r="I141" s="1202"/>
      <c r="J141" s="1202"/>
      <c r="K141" s="1202"/>
      <c r="L141" s="1202"/>
      <c r="M141" s="1202"/>
      <c r="N141" s="1202"/>
      <c r="O141" s="1203" t="s">
        <v>1076</v>
      </c>
      <c r="P141" s="1211"/>
    </row>
    <row r="142" spans="1:16" ht="5.25" hidden="1" customHeight="1" outlineLevel="1">
      <c r="B142" s="1210"/>
      <c r="C142" s="1202"/>
      <c r="D142" s="1202"/>
      <c r="E142" s="1202"/>
      <c r="F142" s="1202"/>
      <c r="G142" s="1202"/>
      <c r="H142" s="1202"/>
      <c r="I142" s="1202"/>
      <c r="J142" s="1202"/>
      <c r="K142" s="1202"/>
      <c r="L142" s="1202"/>
      <c r="M142" s="1202"/>
      <c r="N142" s="1202"/>
      <c r="O142" s="1202"/>
      <c r="P142" s="1211"/>
    </row>
    <row r="143" spans="1:16" ht="15.75" hidden="1" outlineLevel="1">
      <c r="B143" s="1212"/>
      <c r="C143" s="1269" t="s">
        <v>1072</v>
      </c>
      <c r="D143" s="1269" t="s">
        <v>1042</v>
      </c>
      <c r="E143" s="1269" t="s">
        <v>442</v>
      </c>
      <c r="F143" s="1269" t="s">
        <v>691</v>
      </c>
      <c r="G143" s="1269" t="s">
        <v>692</v>
      </c>
      <c r="H143" s="1269" t="s">
        <v>721</v>
      </c>
      <c r="I143" s="1269" t="s">
        <v>722</v>
      </c>
      <c r="J143" s="1269" t="s">
        <v>723</v>
      </c>
      <c r="K143" s="1269" t="s">
        <v>724</v>
      </c>
      <c r="L143" s="1269" t="s">
        <v>725</v>
      </c>
      <c r="M143" s="1269" t="s">
        <v>726</v>
      </c>
      <c r="N143" s="1269" t="s">
        <v>727</v>
      </c>
      <c r="O143" s="1269" t="s">
        <v>728</v>
      </c>
      <c r="P143" s="1211"/>
    </row>
    <row r="144" spans="1:16" ht="15.75" hidden="1" outlineLevel="1">
      <c r="B144" s="1212"/>
      <c r="C144" s="1206" t="s">
        <v>1055</v>
      </c>
      <c r="D144" s="1216" t="s">
        <v>1065</v>
      </c>
      <c r="E144" s="1206"/>
      <c r="F144" s="1268">
        <f ca="1">F$120</f>
        <v>187.10733470553092</v>
      </c>
      <c r="G144" s="1268">
        <f t="shared" ref="G144:O144" ca="1" si="35">G$120</f>
        <v>186.66420768695133</v>
      </c>
      <c r="H144" s="1268">
        <f t="shared" ca="1" si="35"/>
        <v>166.4236121659232</v>
      </c>
      <c r="I144" s="1268">
        <f t="shared" ca="1" si="35"/>
        <v>147.76868393602754</v>
      </c>
      <c r="J144" s="1268">
        <f t="shared" ca="1" si="35"/>
        <v>132.32265005109943</v>
      </c>
      <c r="K144" s="1268">
        <f t="shared" ca="1" si="35"/>
        <v>140.00395708172709</v>
      </c>
      <c r="L144" s="1268">
        <f t="shared" ca="1" si="35"/>
        <v>153.28572451444813</v>
      </c>
      <c r="M144" s="1268">
        <f t="shared" ca="1" si="35"/>
        <v>163.84901040000409</v>
      </c>
      <c r="N144" s="1268">
        <f t="shared" ca="1" si="35"/>
        <v>174.33146765249705</v>
      </c>
      <c r="O144" s="1268">
        <f t="shared" ca="1" si="35"/>
        <v>180.46141665361139</v>
      </c>
      <c r="P144" s="1211"/>
    </row>
    <row r="145" spans="2:16" ht="15.75" hidden="1" outlineLevel="1">
      <c r="B145" s="1212"/>
      <c r="C145" s="1206" t="s">
        <v>1056</v>
      </c>
      <c r="D145" s="1216" t="s">
        <v>1065</v>
      </c>
      <c r="E145" s="1206"/>
      <c r="F145" s="1268">
        <f ca="1">F$121</f>
        <v>0.48065030797656261</v>
      </c>
      <c r="G145" s="1268">
        <f t="shared" ref="G145:O145" ca="1" si="36">G$121</f>
        <v>0.47699790359778094</v>
      </c>
      <c r="H145" s="1268">
        <f t="shared" ca="1" si="36"/>
        <v>0.40528306740871956</v>
      </c>
      <c r="I145" s="1268">
        <f t="shared" ca="1" si="36"/>
        <v>0.3350107641950692</v>
      </c>
      <c r="J145" s="1268">
        <f t="shared" ca="1" si="36"/>
        <v>0.2711706438354301</v>
      </c>
      <c r="K145" s="1268">
        <f t="shared" ca="1" si="36"/>
        <v>0.28656771399957681</v>
      </c>
      <c r="L145" s="1268">
        <f t="shared" ca="1" si="36"/>
        <v>0.31319082699975781</v>
      </c>
      <c r="M145" s="1268">
        <f t="shared" ca="1" si="36"/>
        <v>0.33436478259030211</v>
      </c>
      <c r="N145" s="1268">
        <f t="shared" ca="1" si="36"/>
        <v>0.35537671834104823</v>
      </c>
      <c r="O145" s="1268">
        <f t="shared" ca="1" si="36"/>
        <v>0.36766411350654082</v>
      </c>
      <c r="P145" s="1211"/>
    </row>
    <row r="146" spans="2:16" ht="15.75" hidden="1" outlineLevel="1">
      <c r="B146" s="1212"/>
      <c r="C146" s="1206" t="s">
        <v>1057</v>
      </c>
      <c r="D146" s="1216" t="s">
        <v>1065</v>
      </c>
      <c r="E146" s="1206"/>
      <c r="F146" s="1268">
        <f ca="1">F$122</f>
        <v>1.2083525292792299</v>
      </c>
      <c r="G146" s="1268">
        <f t="shared" ref="G146:O146" ca="1" si="37">G$122</f>
        <v>1.1833573431527158</v>
      </c>
      <c r="H146" s="1268">
        <f t="shared" ca="1" si="37"/>
        <v>0.8737217678916418</v>
      </c>
      <c r="I146" s="1268">
        <f t="shared" ca="1" si="37"/>
        <v>0.59734368337923782</v>
      </c>
      <c r="J146" s="1268">
        <f t="shared" ca="1" si="37"/>
        <v>0.32788372423674789</v>
      </c>
      <c r="K146" s="1268">
        <f t="shared" ca="1" si="37"/>
        <v>0.34444402175044547</v>
      </c>
      <c r="L146" s="1268">
        <f t="shared" ca="1" si="37"/>
        <v>0.37307847410557116</v>
      </c>
      <c r="M146" s="1268">
        <f t="shared" ca="1" si="37"/>
        <v>0.39585209274749583</v>
      </c>
      <c r="N146" s="1268">
        <f t="shared" ca="1" si="37"/>
        <v>0.41845145117487481</v>
      </c>
      <c r="O146" s="1268">
        <f t="shared" ca="1" si="37"/>
        <v>0.43166714204590506</v>
      </c>
      <c r="P146" s="1211"/>
    </row>
    <row r="147" spans="2:16" ht="15.75" hidden="1" outlineLevel="1">
      <c r="B147" s="1212"/>
      <c r="C147" s="1206" t="s">
        <v>148</v>
      </c>
      <c r="D147" s="1206"/>
      <c r="E147" s="1206"/>
      <c r="F147" s="1278">
        <f>SUBTOTAL(109,[2007])</f>
        <v>0</v>
      </c>
      <c r="G147" s="1278">
        <f>SUBTOTAL(109,[2010])</f>
        <v>0</v>
      </c>
      <c r="H147" s="1278">
        <f>SUBTOTAL(109,[2015])</f>
        <v>0</v>
      </c>
      <c r="I147" s="1278">
        <f>SUBTOTAL(109,[2020])</f>
        <v>0</v>
      </c>
      <c r="J147" s="1278">
        <f>SUBTOTAL(109,[2025])</f>
        <v>0</v>
      </c>
      <c r="K147" s="1278">
        <f>SUBTOTAL(109,[2030])</f>
        <v>0</v>
      </c>
      <c r="L147" s="1278">
        <f>SUBTOTAL(105,[2035])</f>
        <v>0</v>
      </c>
      <c r="M147" s="1278">
        <f>SUBTOTAL(109,[2040])</f>
        <v>0</v>
      </c>
      <c r="N147" s="1278">
        <f>SUBTOTAL(109,[2045])</f>
        <v>0</v>
      </c>
      <c r="O147" s="1278">
        <f>SUBTOTAL(109,[2050])</f>
        <v>0</v>
      </c>
      <c r="P147" s="1211"/>
    </row>
    <row r="148" spans="2:16" ht="15.75" hidden="1" outlineLevel="1">
      <c r="B148" s="1270"/>
      <c r="C148" s="1214"/>
      <c r="D148" s="1214"/>
      <c r="E148" s="1214"/>
      <c r="F148" s="1214"/>
      <c r="G148" s="1214"/>
      <c r="H148" s="1214"/>
      <c r="I148" s="1214"/>
      <c r="J148" s="1214"/>
      <c r="K148" s="1214"/>
      <c r="L148" s="1214"/>
      <c r="M148" s="1214"/>
      <c r="N148" s="1214"/>
      <c r="O148" s="1214"/>
      <c r="P148" s="1215"/>
    </row>
    <row r="149" spans="2:16" hidden="1" outlineLevel="1"/>
  </sheetData>
  <pageMargins left="0.7" right="0.7" top="0.75" bottom="0.75" header="0.3" footer="0.3"/>
  <pageSetup paperSize="9" orientation="portrait" r:id="rId1"/>
  <ignoredErrors>
    <ignoredError sqref="F60:O60 F17:O17 F24:O24 F31:O31 F38:O38 F44:O44" numberStoredAsText="1"/>
    <ignoredError sqref="F131 F133 F130 F134:F135 F132" calculatedColumn="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sheetPr codeName="Sheet29">
    <tabColor theme="9"/>
    <outlinePr summaryBelow="0"/>
    <pageSetUpPr autoPageBreaks="0"/>
  </sheetPr>
  <dimension ref="A1:AG142"/>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7" width="9" style="121" customWidth="1"/>
    <col min="8" max="15" width="9.140625" style="121"/>
    <col min="16" max="16" width="2" style="121" customWidth="1"/>
    <col min="17" max="16384" width="9.140625" style="121"/>
  </cols>
  <sheetData>
    <row r="1" spans="1:23" ht="21">
      <c r="A1" s="790" t="s">
        <v>74</v>
      </c>
      <c r="B1" s="790" t="str">
        <f>INDEX(Workstreams[Workstream], MATCH($A1, Workstreams[Code], 0))</f>
        <v>Hydrocarbon fuel power generation</v>
      </c>
      <c r="C1" s="790"/>
    </row>
    <row r="2" spans="1:23" s="743" customFormat="1" ht="19.5" customHeight="1">
      <c r="A2" s="10" t="s">
        <v>878</v>
      </c>
      <c r="B2" s="10" t="str">
        <f>INDEX(Modules[Module], MATCH($A2, Modules[Code], 0))</f>
        <v>Combustion + CCS</v>
      </c>
      <c r="C2" s="10"/>
    </row>
    <row r="4" spans="1:23" ht="22.5" collapsed="1">
      <c r="A4" s="1171"/>
      <c r="B4" s="1231" t="s">
        <v>1357</v>
      </c>
      <c r="C4" s="1182"/>
      <c r="D4" s="1183"/>
      <c r="E4" s="1184"/>
      <c r="F4" s="1183"/>
      <c r="G4" s="1183"/>
      <c r="H4" s="1183"/>
      <c r="I4" s="1183"/>
      <c r="J4" s="1183"/>
      <c r="K4" s="1183"/>
      <c r="L4" s="1183"/>
      <c r="M4" s="1183"/>
      <c r="N4" s="1183"/>
      <c r="O4" s="1183"/>
      <c r="P4" s="1185"/>
    </row>
    <row r="5" spans="1:23" hidden="1" outlineLevel="1">
      <c r="B5" s="1232"/>
      <c r="C5" s="1173"/>
      <c r="D5" s="1174"/>
      <c r="E5" s="1175"/>
      <c r="F5" s="1174"/>
      <c r="G5" s="1174"/>
      <c r="H5" s="1174"/>
      <c r="I5" s="1174"/>
      <c r="J5" s="1174"/>
      <c r="K5" s="1174"/>
      <c r="L5" s="1174"/>
      <c r="M5" s="1174"/>
      <c r="N5" s="1174"/>
      <c r="O5" s="1174"/>
      <c r="P5" s="1176"/>
    </row>
    <row r="6" spans="1:23" ht="15.75" hidden="1" outlineLevel="1">
      <c r="B6" s="1247"/>
      <c r="C6" s="1174"/>
      <c r="D6" s="922" t="s">
        <v>830</v>
      </c>
      <c r="E6" s="922" t="s">
        <v>1352</v>
      </c>
      <c r="F6" s="1174"/>
      <c r="G6" s="1174"/>
      <c r="H6" s="1174"/>
      <c r="I6" s="1174"/>
      <c r="J6" s="1174"/>
      <c r="K6" s="1174"/>
      <c r="L6" s="1174"/>
      <c r="M6" s="1174"/>
      <c r="N6" s="1174"/>
      <c r="O6" s="1174"/>
      <c r="P6" s="1176"/>
    </row>
    <row r="7" spans="1:23" ht="15.75" hidden="1" outlineLevel="1">
      <c r="B7" s="1247"/>
      <c r="C7" s="1174"/>
      <c r="D7" s="950" t="s">
        <v>1352</v>
      </c>
      <c r="E7" s="950">
        <f>I.b.Scenario</f>
        <v>1</v>
      </c>
      <c r="F7" s="1174"/>
      <c r="G7" s="1174"/>
      <c r="H7" s="1174"/>
      <c r="I7" s="1174"/>
      <c r="J7" s="1174"/>
      <c r="K7" s="1174"/>
      <c r="L7" s="1174"/>
      <c r="M7" s="1174"/>
      <c r="N7" s="1174"/>
      <c r="O7" s="1174"/>
      <c r="P7" s="1176"/>
    </row>
    <row r="8" spans="1:23" ht="15.75" hidden="1" outlineLevel="1">
      <c r="B8" s="1248"/>
      <c r="C8" s="1179"/>
      <c r="D8" s="1179"/>
      <c r="E8" s="1179"/>
      <c r="F8" s="1180"/>
      <c r="G8" s="1180"/>
      <c r="H8" s="1180"/>
      <c r="I8" s="1180"/>
      <c r="J8" s="1180"/>
      <c r="K8" s="1180"/>
      <c r="L8" s="1180"/>
      <c r="M8" s="1180"/>
      <c r="N8" s="1180"/>
      <c r="O8" s="1180"/>
      <c r="P8" s="1181"/>
      <c r="S8"/>
      <c r="T8"/>
      <c r="U8"/>
      <c r="V8"/>
      <c r="W8"/>
    </row>
    <row r="9" spans="1:23">
      <c r="B9" s="1235"/>
      <c r="S9"/>
      <c r="T9"/>
      <c r="U9"/>
      <c r="V9"/>
      <c r="W9"/>
    </row>
    <row r="10" spans="1:23" ht="22.5" collapsed="1">
      <c r="A10" s="1171"/>
      <c r="B10" s="1231" t="s">
        <v>2330</v>
      </c>
      <c r="C10" s="1182"/>
      <c r="D10" s="1183"/>
      <c r="E10" s="1183"/>
      <c r="F10" s="1183"/>
      <c r="G10" s="1183"/>
      <c r="H10" s="1183"/>
      <c r="I10" s="1183"/>
      <c r="J10" s="1183"/>
      <c r="K10" s="1183"/>
      <c r="L10" s="1183"/>
      <c r="M10" s="1183"/>
      <c r="N10" s="1183"/>
      <c r="O10" s="1183"/>
      <c r="P10" s="1185"/>
      <c r="S10"/>
      <c r="T10"/>
      <c r="U10"/>
      <c r="V10"/>
      <c r="W10"/>
    </row>
    <row r="11" spans="1:23" hidden="1" outlineLevel="1">
      <c r="B11" s="1232"/>
      <c r="C11" s="1174"/>
      <c r="D11" s="1174"/>
      <c r="E11" s="1174"/>
      <c r="F11" s="1174"/>
      <c r="G11" s="1174"/>
      <c r="H11" s="1174"/>
      <c r="I11" s="1174"/>
      <c r="J11" s="1174"/>
      <c r="K11" s="1174"/>
      <c r="L11" s="1174"/>
      <c r="M11" s="1174"/>
      <c r="N11" s="1174"/>
      <c r="O11" s="1174"/>
      <c r="P11" s="1176"/>
      <c r="S11"/>
      <c r="T11"/>
      <c r="U11"/>
      <c r="V11"/>
      <c r="W11"/>
    </row>
    <row r="12" spans="1:23" hidden="1" outlineLevel="1">
      <c r="B12" s="1232"/>
      <c r="C12" s="1186" t="s">
        <v>747</v>
      </c>
      <c r="D12" s="1174"/>
      <c r="E12" s="1175"/>
      <c r="F12" s="1174"/>
      <c r="G12" s="1174"/>
      <c r="H12" s="1174"/>
      <c r="I12" s="1174"/>
      <c r="J12" s="1174"/>
      <c r="K12" s="1174"/>
      <c r="L12" s="1174"/>
      <c r="M12" s="1174"/>
      <c r="N12" s="1174"/>
      <c r="O12" s="1175" t="str">
        <f>Preferences.EnergyUnits</f>
        <v>TWh</v>
      </c>
      <c r="P12" s="1176"/>
      <c r="S12"/>
      <c r="T12"/>
      <c r="U12"/>
      <c r="V12"/>
      <c r="W12"/>
    </row>
    <row r="13" spans="1:23" ht="6" hidden="1" customHeight="1" outlineLevel="1">
      <c r="B13" s="1232"/>
      <c r="C13" s="1173"/>
      <c r="D13" s="1174"/>
      <c r="E13" s="1175"/>
      <c r="F13" s="1174"/>
      <c r="G13" s="1174"/>
      <c r="H13" s="1174"/>
      <c r="I13" s="1174"/>
      <c r="J13" s="1174"/>
      <c r="K13" s="1174"/>
      <c r="L13" s="1174"/>
      <c r="M13" s="1174"/>
      <c r="N13" s="1174"/>
      <c r="O13" s="1174"/>
      <c r="P13" s="1176"/>
      <c r="S13"/>
      <c r="T13"/>
      <c r="U13"/>
      <c r="V13"/>
      <c r="W13"/>
    </row>
    <row r="14" spans="1:23" s="743" customFormat="1" ht="15.75" hidden="1" outlineLevel="1">
      <c r="A14" s="753"/>
      <c r="B14" s="1233"/>
      <c r="C14" s="1188" t="s">
        <v>78</v>
      </c>
      <c r="D14" s="1188" t="s">
        <v>418</v>
      </c>
      <c r="E14" s="1188" t="s">
        <v>442</v>
      </c>
      <c r="F14" s="1188" t="s">
        <v>691</v>
      </c>
      <c r="G14" s="1188" t="s">
        <v>692</v>
      </c>
      <c r="H14" s="1189" t="s">
        <v>721</v>
      </c>
      <c r="I14" s="1189" t="s">
        <v>722</v>
      </c>
      <c r="J14" s="1189" t="s">
        <v>723</v>
      </c>
      <c r="K14" s="1189" t="s">
        <v>724</v>
      </c>
      <c r="L14" s="1189" t="s">
        <v>725</v>
      </c>
      <c r="M14" s="1189" t="s">
        <v>726</v>
      </c>
      <c r="N14" s="1189" t="s">
        <v>727</v>
      </c>
      <c r="O14" s="1189" t="s">
        <v>728</v>
      </c>
      <c r="P14" s="1190"/>
      <c r="S14"/>
      <c r="T14"/>
      <c r="U14"/>
      <c r="V14"/>
      <c r="W14"/>
    </row>
    <row r="15" spans="1:23" s="743" customFormat="1" ht="15.75" hidden="1" outlineLevel="1">
      <c r="A15" s="753"/>
      <c r="B15" s="1233"/>
      <c r="C15" s="765" t="s">
        <v>45</v>
      </c>
      <c r="D15" s="952" t="str">
        <f>INDEX(Vectors[Description], MATCH([Vector], Vectors[Code], 0))</f>
        <v>Electricity (delivered to end user)</v>
      </c>
      <c r="E15" s="952"/>
      <c r="F15" s="953">
        <f ca="1">INDEX(INDIRECT("'"&amp;I.b.Inputs[#Headers]&amp;"'!Year.Matrix"), MATCH("Subtotal."&amp;$A$2, INDIRECT("'"&amp;I.b.Inputs[#Headers]&amp;"'!Year.Modules"), 0), MATCH([Vector], INDIRECT("'"&amp;I.b.Inputs[#Headers]&amp;"'!Year.Vectors"), 0))</f>
        <v>-354.55512401053005</v>
      </c>
      <c r="G15" s="953">
        <f ca="1">INDEX(INDIRECT("'"&amp;I.b.Inputs[#Headers]&amp;"'!Year.Matrix"), MATCH("Subtotal."&amp;$A$2, INDIRECT("'"&amp;I.b.Inputs[#Headers]&amp;"'!Year.Modules"), 0), MATCH([Vector], INDIRECT("'"&amp;I.b.Inputs[#Headers]&amp;"'!Year.Vectors"), 0))</f>
        <v>-361.16931700791082</v>
      </c>
      <c r="H15" s="953">
        <f ca="1">INDEX(INDIRECT("'"&amp;I.b.Inputs[#Headers]&amp;"'!Year.Matrix"), MATCH("Subtotal."&amp;$A$2, INDIRECT("'"&amp;I.b.Inputs[#Headers]&amp;"'!Year.Modules"), 0), MATCH([Vector], INDIRECT("'"&amp;I.b.Inputs[#Headers]&amp;"'!Year.Vectors"), 0))</f>
        <v>-373.16495041083652</v>
      </c>
      <c r="I15" s="953">
        <f ca="1">INDEX(INDIRECT("'"&amp;I.b.Inputs[#Headers]&amp;"'!Year.Matrix"), MATCH("Subtotal."&amp;$A$2, INDIRECT("'"&amp;I.b.Inputs[#Headers]&amp;"'!Year.Modules"), 0), MATCH([Vector], INDIRECT("'"&amp;I.b.Inputs[#Headers]&amp;"'!Year.Vectors"), 0))</f>
        <v>-382.28449716625596</v>
      </c>
      <c r="J15" s="953">
        <f ca="1">INDEX(INDIRECT("'"&amp;I.b.Inputs[#Headers]&amp;"'!Year.Matrix"), MATCH("Subtotal."&amp;$A$2, INDIRECT("'"&amp;I.b.Inputs[#Headers]&amp;"'!Year.Modules"), 0), MATCH([Vector], INDIRECT("'"&amp;I.b.Inputs[#Headers]&amp;"'!Year.Vectors"), 0))</f>
        <v>-389.72589326068504</v>
      </c>
      <c r="K15" s="953">
        <f ca="1">INDEX(INDIRECT("'"&amp;I.b.Inputs[#Headers]&amp;"'!Year.Matrix"), MATCH("Subtotal."&amp;$A$2, INDIRECT("'"&amp;I.b.Inputs[#Headers]&amp;"'!Year.Modules"), 0), MATCH([Vector], INDIRECT("'"&amp;I.b.Inputs[#Headers]&amp;"'!Year.Vectors"), 0))</f>
        <v>-398.92590619421691</v>
      </c>
      <c r="L15" s="953">
        <f ca="1">INDEX(INDIRECT("'"&amp;I.b.Inputs[#Headers]&amp;"'!Year.Matrix"), MATCH("Subtotal."&amp;$A$2, INDIRECT("'"&amp;I.b.Inputs[#Headers]&amp;"'!Year.Modules"), 0), MATCH([Vector], INDIRECT("'"&amp;I.b.Inputs[#Headers]&amp;"'!Year.Vectors"), 0))</f>
        <v>-409.73117353201741</v>
      </c>
      <c r="M15" s="953">
        <f ca="1">INDEX(INDIRECT("'"&amp;I.b.Inputs[#Headers]&amp;"'!Year.Matrix"), MATCH("Subtotal."&amp;$A$2, INDIRECT("'"&amp;I.b.Inputs[#Headers]&amp;"'!Year.Modules"), 0), MATCH([Vector], INDIRECT("'"&amp;I.b.Inputs[#Headers]&amp;"'!Year.Vectors"), 0))</f>
        <v>-422.11056999038811</v>
      </c>
      <c r="N15" s="953">
        <f ca="1">INDEX(INDIRECT("'"&amp;I.b.Inputs[#Headers]&amp;"'!Year.Matrix"), MATCH("Subtotal."&amp;$A$2, INDIRECT("'"&amp;I.b.Inputs[#Headers]&amp;"'!Year.Modules"), 0), MATCH([Vector], INDIRECT("'"&amp;I.b.Inputs[#Headers]&amp;"'!Year.Vectors"), 0))</f>
        <v>-435.71486302109327</v>
      </c>
      <c r="O15" s="953">
        <f ca="1">INDEX(INDIRECT("'"&amp;I.b.Inputs[#Headers]&amp;"'!Year.Matrix"), MATCH("Subtotal."&amp;$A$2, INDIRECT("'"&amp;I.b.Inputs[#Headers]&amp;"'!Year.Modules"), 0), MATCH([Vector], INDIRECT("'"&amp;I.b.Inputs[#Headers]&amp;"'!Year.Vectors"), 0))</f>
        <v>-450.96633210645444</v>
      </c>
      <c r="P15" s="1190"/>
      <c r="S15" s="121"/>
      <c r="T15" s="121"/>
      <c r="U15" s="121"/>
      <c r="V15" s="121"/>
      <c r="W15" s="121"/>
    </row>
    <row r="16" spans="1:23" s="743" customFormat="1" ht="15.75" hidden="1" outlineLevel="1">
      <c r="A16" s="753"/>
      <c r="B16" s="1233"/>
      <c r="C16" s="765" t="s">
        <v>46</v>
      </c>
      <c r="D16" s="952" t="str">
        <f>INDEX(Vectors[Description], MATCH([Vector], Vectors[Code], 0))</f>
        <v>Electricity (supplied to grid)</v>
      </c>
      <c r="E16" s="952"/>
      <c r="F16" s="953">
        <f ca="1">INDEX(INDIRECT("'"&amp;I.b.Inputs[#Headers]&amp;"'!Year.Matrix"), MATCH("Subtotal."&amp;$A$2, INDIRECT("'"&amp;I.b.Inputs[#Headers]&amp;"'!Year.Modules"), 0), MATCH([Vector], INDIRECT("'"&amp;I.b.Inputs[#Headers]&amp;"'!Year.Vectors"), 0))</f>
        <v>43.709570471022559</v>
      </c>
      <c r="G16" s="953">
        <f ca="1">INDEX(INDIRECT("'"&amp;I.b.Inputs[#Headers]&amp;"'!Year.Matrix"), MATCH("Subtotal."&amp;$A$2, INDIRECT("'"&amp;I.b.Inputs[#Headers]&amp;"'!Year.Modules"), 0), MATCH([Vector], INDIRECT("'"&amp;I.b.Inputs[#Headers]&amp;"'!Year.Vectors"), 0))</f>
        <v>44.059088808112847</v>
      </c>
      <c r="H16" s="953">
        <f ca="1">INDEX(INDIRECT("'"&amp;I.b.Inputs[#Headers]&amp;"'!Year.Matrix"), MATCH("Subtotal."&amp;$A$2, INDIRECT("'"&amp;I.b.Inputs[#Headers]&amp;"'!Year.Modules"), 0), MATCH([Vector], INDIRECT("'"&amp;I.b.Inputs[#Headers]&amp;"'!Year.Vectors"), 0))</f>
        <v>49.642451749191096</v>
      </c>
      <c r="I16" s="953">
        <f ca="1">INDEX(INDIRECT("'"&amp;I.b.Inputs[#Headers]&amp;"'!Year.Matrix"), MATCH("Subtotal."&amp;$A$2, INDIRECT("'"&amp;I.b.Inputs[#Headers]&amp;"'!Year.Modules"), 0), MATCH([Vector], INDIRECT("'"&amp;I.b.Inputs[#Headers]&amp;"'!Year.Vectors"), 0))</f>
        <v>45.088542056890155</v>
      </c>
      <c r="J16" s="953">
        <f ca="1">INDEX(INDIRECT("'"&amp;I.b.Inputs[#Headers]&amp;"'!Year.Matrix"), MATCH("Subtotal."&amp;$A$2, INDIRECT("'"&amp;I.b.Inputs[#Headers]&amp;"'!Year.Modules"), 0), MATCH([Vector], INDIRECT("'"&amp;I.b.Inputs[#Headers]&amp;"'!Year.Vectors"), 0))</f>
        <v>37.857792807926479</v>
      </c>
      <c r="K16" s="953">
        <f ca="1">INDEX(INDIRECT("'"&amp;I.b.Inputs[#Headers]&amp;"'!Year.Matrix"), MATCH("Subtotal."&amp;$A$2, INDIRECT("'"&amp;I.b.Inputs[#Headers]&amp;"'!Year.Modules"), 0), MATCH([Vector], INDIRECT("'"&amp;I.b.Inputs[#Headers]&amp;"'!Year.Vectors"), 0))</f>
        <v>26.507182212974648</v>
      </c>
      <c r="L16" s="953">
        <f ca="1">INDEX(INDIRECT("'"&amp;I.b.Inputs[#Headers]&amp;"'!Year.Matrix"), MATCH("Subtotal."&amp;$A$2, INDIRECT("'"&amp;I.b.Inputs[#Headers]&amp;"'!Year.Modules"), 0), MATCH([Vector], INDIRECT("'"&amp;I.b.Inputs[#Headers]&amp;"'!Year.Vectors"), 0))</f>
        <v>1.841588378180673</v>
      </c>
      <c r="M16" s="953">
        <f ca="1">INDEX(INDIRECT("'"&amp;I.b.Inputs[#Headers]&amp;"'!Year.Matrix"), MATCH("Subtotal."&amp;$A$2, INDIRECT("'"&amp;I.b.Inputs[#Headers]&amp;"'!Year.Modules"), 0), MATCH([Vector], INDIRECT("'"&amp;I.b.Inputs[#Headers]&amp;"'!Year.Vectors"), 0))</f>
        <v>-14.007544848497547</v>
      </c>
      <c r="N16" s="953">
        <f ca="1">INDEX(INDIRECT("'"&amp;I.b.Inputs[#Headers]&amp;"'!Year.Matrix"), MATCH("Subtotal."&amp;$A$2, INDIRECT("'"&amp;I.b.Inputs[#Headers]&amp;"'!Year.Modules"), 0), MATCH([Vector], INDIRECT("'"&amp;I.b.Inputs[#Headers]&amp;"'!Year.Vectors"), 0))</f>
        <v>-28.41644520418663</v>
      </c>
      <c r="O16" s="953">
        <f ca="1">INDEX(INDIRECT("'"&amp;I.b.Inputs[#Headers]&amp;"'!Year.Matrix"), MATCH("Subtotal."&amp;$A$2, INDIRECT("'"&amp;I.b.Inputs[#Headers]&amp;"'!Year.Modules"), 0), MATCH([Vector], INDIRECT("'"&amp;I.b.Inputs[#Headers]&amp;"'!Year.Vectors"), 0))</f>
        <v>-29.582612569535051</v>
      </c>
      <c r="P16" s="1191"/>
      <c r="S16"/>
      <c r="T16"/>
      <c r="U16"/>
      <c r="V16"/>
      <c r="W16"/>
    </row>
    <row r="17" spans="1:33" hidden="1" outlineLevel="1">
      <c r="B17" s="1234"/>
      <c r="C17" s="1180"/>
      <c r="D17" s="1180"/>
      <c r="E17" s="1180"/>
      <c r="F17" s="1180"/>
      <c r="G17" s="1180"/>
      <c r="H17" s="1180"/>
      <c r="I17" s="1180"/>
      <c r="J17" s="1180"/>
      <c r="K17" s="1180"/>
      <c r="L17" s="1180"/>
      <c r="M17" s="1180"/>
      <c r="N17" s="1180"/>
      <c r="O17" s="1180"/>
      <c r="P17" s="1181"/>
      <c r="S17"/>
      <c r="T17"/>
      <c r="U17"/>
      <c r="V17"/>
      <c r="W17"/>
    </row>
    <row r="18" spans="1:33">
      <c r="B18" s="1235"/>
      <c r="S18"/>
      <c r="T18"/>
      <c r="U18"/>
      <c r="V18"/>
      <c r="W18"/>
    </row>
    <row r="19" spans="1:33" s="743" customFormat="1" ht="22.5" collapsed="1">
      <c r="A19" s="1170"/>
      <c r="B19" s="1236" t="s">
        <v>1354</v>
      </c>
      <c r="C19" s="1169"/>
      <c r="D19" s="1167"/>
      <c r="E19" s="1167"/>
      <c r="F19" s="1167"/>
      <c r="G19" s="1167"/>
      <c r="H19" s="1167"/>
      <c r="I19" s="1167"/>
      <c r="J19" s="1167"/>
      <c r="K19" s="1167"/>
      <c r="L19" s="1167"/>
      <c r="M19" s="1167"/>
      <c r="N19" s="1167"/>
      <c r="O19" s="1167"/>
      <c r="P19" s="1168"/>
    </row>
    <row r="20" spans="1:33" hidden="1" outlineLevel="1">
      <c r="B20" s="1238"/>
      <c r="C20" s="864"/>
      <c r="D20" s="864"/>
      <c r="E20" s="864"/>
      <c r="F20" s="864"/>
      <c r="G20" s="864"/>
      <c r="H20" s="864"/>
      <c r="I20" s="864"/>
      <c r="J20" s="864"/>
      <c r="K20" s="864"/>
      <c r="L20" s="864"/>
      <c r="M20" s="864"/>
      <c r="N20" s="864"/>
      <c r="O20" s="864"/>
      <c r="P20" s="1158"/>
    </row>
    <row r="21" spans="1:33" hidden="1" outlineLevel="1">
      <c r="B21" s="1238"/>
      <c r="C21" s="866" t="s">
        <v>2045</v>
      </c>
      <c r="D21" s="864"/>
      <c r="E21" s="867"/>
      <c r="F21" s="864"/>
      <c r="G21" s="864"/>
      <c r="H21" s="864"/>
      <c r="I21" s="864"/>
      <c r="J21" s="864"/>
      <c r="K21" s="864"/>
      <c r="L21" s="864"/>
      <c r="M21" s="864"/>
      <c r="N21" s="864"/>
      <c r="O21" s="867" t="str">
        <f>Preferences.PowerUnits &amp; " per annum, average, following period"</f>
        <v>GW per annum, average, following period</v>
      </c>
      <c r="P21" s="1158"/>
    </row>
    <row r="22" spans="1:33" ht="5.25" hidden="1" customHeight="1" outlineLevel="1">
      <c r="B22" s="1238"/>
      <c r="C22" s="864"/>
      <c r="D22" s="864"/>
      <c r="E22" s="864"/>
      <c r="F22" s="864"/>
      <c r="G22" s="864"/>
      <c r="H22" s="864"/>
      <c r="I22" s="864"/>
      <c r="J22" s="864"/>
      <c r="K22" s="864"/>
      <c r="L22" s="864"/>
      <c r="M22" s="864"/>
      <c r="N22" s="864"/>
      <c r="O22" s="864"/>
      <c r="P22" s="1158"/>
    </row>
    <row r="23" spans="1:33" ht="15.75" hidden="1" outlineLevel="1">
      <c r="B23" s="1239"/>
      <c r="C23" s="766" t="s">
        <v>1352</v>
      </c>
      <c r="D23" s="766" t="s">
        <v>79</v>
      </c>
      <c r="E23" s="766" t="s">
        <v>442</v>
      </c>
      <c r="F23" s="1545">
        <v>2007</v>
      </c>
      <c r="G23" s="923">
        <v>2010</v>
      </c>
      <c r="H23" s="923">
        <v>2015</v>
      </c>
      <c r="I23" s="923">
        <v>2020</v>
      </c>
      <c r="J23" s="923">
        <v>2025</v>
      </c>
      <c r="K23" s="923">
        <v>2030</v>
      </c>
      <c r="L23" s="923">
        <v>2035</v>
      </c>
      <c r="M23" s="923">
        <v>2040</v>
      </c>
      <c r="N23" s="923">
        <v>2045</v>
      </c>
      <c r="O23" s="923">
        <v>2050</v>
      </c>
      <c r="P23" s="1158"/>
      <c r="W23"/>
      <c r="X23"/>
      <c r="Y23"/>
      <c r="Z23"/>
      <c r="AA23"/>
      <c r="AB23"/>
      <c r="AC23"/>
      <c r="AD23"/>
      <c r="AE23"/>
      <c r="AF23"/>
      <c r="AG23"/>
    </row>
    <row r="24" spans="1:33" ht="15.75" hidden="1" outlineLevel="1">
      <c r="B24" s="1239"/>
      <c r="C24" s="831">
        <v>1</v>
      </c>
      <c r="D24" s="832"/>
      <c r="E24" s="833"/>
      <c r="F24" s="1549">
        <f>(Unit.GW)*0</f>
        <v>0</v>
      </c>
      <c r="G24" s="847">
        <f>(Unit.GW)*0.06</f>
        <v>0.06</v>
      </c>
      <c r="H24" s="847">
        <f>(Unit.GW)*0.27</f>
        <v>0.27</v>
      </c>
      <c r="I24" s="847">
        <f t="shared" ref="I24:N24" si="0">(Unit.GW)*0</f>
        <v>0</v>
      </c>
      <c r="J24" s="847">
        <f t="shared" si="0"/>
        <v>0</v>
      </c>
      <c r="K24" s="847">
        <f t="shared" si="0"/>
        <v>0</v>
      </c>
      <c r="L24" s="847">
        <f t="shared" si="0"/>
        <v>0</v>
      </c>
      <c r="M24" s="847">
        <f t="shared" si="0"/>
        <v>0</v>
      </c>
      <c r="N24" s="847">
        <f t="shared" si="0"/>
        <v>0</v>
      </c>
      <c r="O24" s="847"/>
      <c r="P24" s="1158"/>
      <c r="R24"/>
      <c r="S24"/>
      <c r="T24"/>
      <c r="U24"/>
      <c r="V24"/>
      <c r="W24"/>
      <c r="X24"/>
      <c r="Y24"/>
      <c r="Z24"/>
      <c r="AA24"/>
      <c r="AB24"/>
      <c r="AC24"/>
      <c r="AD24"/>
      <c r="AE24"/>
      <c r="AF24"/>
      <c r="AG24"/>
    </row>
    <row r="25" spans="1:33" ht="15.75" hidden="1" outlineLevel="1">
      <c r="B25" s="1239"/>
      <c r="C25" s="831">
        <v>2</v>
      </c>
      <c r="D25" s="832"/>
      <c r="E25" s="832"/>
      <c r="F25" s="1549">
        <f>(Unit.GW)*0</f>
        <v>0</v>
      </c>
      <c r="G25" s="1091">
        <f>(Unit.GW)*0.06</f>
        <v>0.06</v>
      </c>
      <c r="H25" s="1091">
        <f>(Unit.GW)*0.27</f>
        <v>0.27</v>
      </c>
      <c r="I25" s="1091">
        <f>(Unit.GW)*0.54</f>
        <v>0.54</v>
      </c>
      <c r="J25" s="1091">
        <f>(Unit.GW)*1.14</f>
        <v>1.1399999999999999</v>
      </c>
      <c r="K25" s="1091">
        <f>(Unit.GW)*1.5</f>
        <v>1.5</v>
      </c>
      <c r="L25" s="1091">
        <f>(Unit.GW)*1.5</f>
        <v>1.5</v>
      </c>
      <c r="M25" s="1091">
        <f>(Unit.GW)*1.5</f>
        <v>1.5</v>
      </c>
      <c r="N25" s="1091">
        <f>(Unit.GW)*1.5</f>
        <v>1.5</v>
      </c>
      <c r="O25" s="1091"/>
      <c r="P25" s="1158"/>
      <c r="S25"/>
      <c r="T25"/>
      <c r="U25"/>
      <c r="V25"/>
      <c r="W25"/>
      <c r="X25"/>
      <c r="Y25"/>
      <c r="Z25"/>
      <c r="AA25"/>
      <c r="AB25"/>
      <c r="AC25"/>
      <c r="AD25"/>
      <c r="AE25"/>
      <c r="AF25"/>
      <c r="AG25"/>
    </row>
    <row r="26" spans="1:33" ht="15.75" hidden="1" outlineLevel="1">
      <c r="B26" s="1239"/>
      <c r="C26" s="831">
        <v>3</v>
      </c>
      <c r="D26" s="832"/>
      <c r="E26" s="832"/>
      <c r="F26" s="1549">
        <f>(Unit.GW)*0</f>
        <v>0</v>
      </c>
      <c r="G26" s="1091">
        <f>(Unit.GW)*0.06</f>
        <v>0.06</v>
      </c>
      <c r="H26" s="1091">
        <f>(Unit.GW)*0.27</f>
        <v>0.27</v>
      </c>
      <c r="I26" s="1091">
        <f>(Unit.GW)*0.98</f>
        <v>0.98</v>
      </c>
      <c r="J26" s="1091">
        <f>(Unit.GW)*2</f>
        <v>2</v>
      </c>
      <c r="K26" s="1091">
        <f>(Unit.GW)*2</f>
        <v>2</v>
      </c>
      <c r="L26" s="1091">
        <f>(Unit.GW)*2</f>
        <v>2</v>
      </c>
      <c r="M26" s="1091">
        <f>(Unit.GW)*2</f>
        <v>2</v>
      </c>
      <c r="N26" s="1091">
        <f>(Unit.GW)*2</f>
        <v>2</v>
      </c>
      <c r="O26" s="1091"/>
      <c r="P26" s="1158"/>
      <c r="R26"/>
      <c r="S26"/>
      <c r="T26"/>
      <c r="U26"/>
      <c r="V26"/>
      <c r="W26"/>
      <c r="X26"/>
      <c r="Y26"/>
      <c r="Z26"/>
      <c r="AA26"/>
      <c r="AB26"/>
      <c r="AC26"/>
      <c r="AD26"/>
      <c r="AE26"/>
      <c r="AF26"/>
      <c r="AG26"/>
    </row>
    <row r="27" spans="1:33" ht="15.75" hidden="1" outlineLevel="1">
      <c r="B27" s="1239"/>
      <c r="C27" s="769">
        <v>4</v>
      </c>
      <c r="D27" s="770"/>
      <c r="E27" s="770"/>
      <c r="F27" s="1550">
        <f>(Unit.GW)*0</f>
        <v>0</v>
      </c>
      <c r="G27" s="859">
        <f>(Unit.GW)*0.06</f>
        <v>0.06</v>
      </c>
      <c r="H27" s="859">
        <f>(Unit.GW)*0.27</f>
        <v>0.27</v>
      </c>
      <c r="I27" s="859">
        <f>(Unit.GW)*2</f>
        <v>2</v>
      </c>
      <c r="J27" s="859">
        <f>(Unit.GW)*2.8</f>
        <v>2.8</v>
      </c>
      <c r="K27" s="859">
        <f>(Unit.GW)*3</f>
        <v>3</v>
      </c>
      <c r="L27" s="859">
        <f>(Unit.GW)*3</f>
        <v>3</v>
      </c>
      <c r="M27" s="859">
        <f>(Unit.GW)*3</f>
        <v>3</v>
      </c>
      <c r="N27" s="859">
        <f>(Unit.GW)*3</f>
        <v>3</v>
      </c>
      <c r="O27" s="859"/>
      <c r="P27" s="1158"/>
      <c r="R27"/>
      <c r="S27"/>
      <c r="T27"/>
      <c r="U27"/>
      <c r="V27"/>
      <c r="W27"/>
      <c r="X27"/>
      <c r="Y27"/>
      <c r="Z27"/>
      <c r="AA27"/>
      <c r="AB27"/>
      <c r="AC27"/>
      <c r="AD27"/>
      <c r="AE27"/>
      <c r="AF27"/>
      <c r="AG27"/>
    </row>
    <row r="28" spans="1:33" hidden="1" outlineLevel="1">
      <c r="B28" s="1238"/>
      <c r="C28" s="864"/>
      <c r="D28" s="864"/>
      <c r="E28" s="864"/>
      <c r="F28" s="864"/>
      <c r="G28" s="864"/>
      <c r="H28" s="864"/>
      <c r="I28" s="864"/>
      <c r="J28" s="864"/>
      <c r="K28" s="864"/>
      <c r="L28" s="864"/>
      <c r="M28" s="864"/>
      <c r="N28" s="864"/>
      <c r="O28" s="864"/>
      <c r="P28" s="1158"/>
      <c r="R28"/>
      <c r="S28"/>
      <c r="T28"/>
      <c r="U28"/>
      <c r="V28"/>
      <c r="W28"/>
      <c r="X28"/>
      <c r="Y28"/>
      <c r="Z28"/>
      <c r="AA28"/>
      <c r="AB28"/>
      <c r="AC28"/>
      <c r="AD28"/>
      <c r="AE28"/>
      <c r="AF28"/>
      <c r="AG28"/>
    </row>
    <row r="29" spans="1:33" hidden="1" outlineLevel="1">
      <c r="B29" s="1238"/>
      <c r="C29" s="866" t="s">
        <v>1591</v>
      </c>
      <c r="D29" s="864"/>
      <c r="E29" s="867"/>
      <c r="F29" s="864"/>
      <c r="G29" s="864"/>
      <c r="H29" s="864"/>
      <c r="I29" s="864"/>
      <c r="J29" s="864"/>
      <c r="K29" s="864"/>
      <c r="L29" s="864"/>
      <c r="M29" s="864"/>
      <c r="N29" s="864"/>
      <c r="O29" s="867" t="str">
        <f>Preferences.PowerUnits &amp; " per annum, average, following period"</f>
        <v>GW per annum, average, following period</v>
      </c>
      <c r="P29" s="1158"/>
    </row>
    <row r="30" spans="1:33" ht="5.25" hidden="1" customHeight="1" outlineLevel="1">
      <c r="B30" s="1238"/>
      <c r="C30" s="864"/>
      <c r="D30" s="864"/>
      <c r="E30" s="864"/>
      <c r="F30" s="864"/>
      <c r="G30" s="864"/>
      <c r="H30" s="864"/>
      <c r="I30" s="864"/>
      <c r="J30" s="864"/>
      <c r="K30" s="864"/>
      <c r="L30" s="864"/>
      <c r="M30" s="864"/>
      <c r="N30" s="864"/>
      <c r="O30" s="864"/>
      <c r="P30" s="1158"/>
    </row>
    <row r="31" spans="1:33" ht="15.75" hidden="1" outlineLevel="1">
      <c r="B31" s="1239"/>
      <c r="C31" s="766" t="s">
        <v>1352</v>
      </c>
      <c r="D31" s="766" t="s">
        <v>79</v>
      </c>
      <c r="E31" s="766" t="s">
        <v>442</v>
      </c>
      <c r="F31" s="1545">
        <v>2007</v>
      </c>
      <c r="G31" s="923">
        <v>2010</v>
      </c>
      <c r="H31" s="923">
        <v>2015</v>
      </c>
      <c r="I31" s="923">
        <v>2020</v>
      </c>
      <c r="J31" s="923">
        <v>2025</v>
      </c>
      <c r="K31" s="923">
        <v>2030</v>
      </c>
      <c r="L31" s="923">
        <v>2035</v>
      </c>
      <c r="M31" s="923">
        <v>2040</v>
      </c>
      <c r="N31" s="923">
        <v>2045</v>
      </c>
      <c r="O31" s="923">
        <v>2050</v>
      </c>
      <c r="P31" s="1158"/>
    </row>
    <row r="32" spans="1:33" ht="15.75" hidden="1" outlineLevel="1">
      <c r="B32" s="1239"/>
      <c r="C32" s="831">
        <v>1</v>
      </c>
      <c r="D32" s="832"/>
      <c r="E32" s="833"/>
      <c r="F32" s="1549">
        <v>0</v>
      </c>
      <c r="G32" s="847">
        <v>0</v>
      </c>
      <c r="H32" s="847">
        <v>0</v>
      </c>
      <c r="I32" s="847">
        <v>0</v>
      </c>
      <c r="J32" s="847">
        <v>0</v>
      </c>
      <c r="K32" s="847">
        <v>0</v>
      </c>
      <c r="L32" s="847">
        <v>0</v>
      </c>
      <c r="M32" s="847">
        <v>0</v>
      </c>
      <c r="N32" s="847">
        <v>0</v>
      </c>
      <c r="O32" s="847"/>
      <c r="P32" s="1158"/>
    </row>
    <row r="33" spans="1:16" ht="15.75" hidden="1" outlineLevel="1">
      <c r="B33" s="1239"/>
      <c r="C33" s="831">
        <v>2</v>
      </c>
      <c r="D33" s="832"/>
      <c r="E33" s="832"/>
      <c r="F33" s="1549">
        <v>0</v>
      </c>
      <c r="G33" s="1091">
        <v>0</v>
      </c>
      <c r="H33" s="1091">
        <v>0</v>
      </c>
      <c r="I33" s="1091">
        <v>0</v>
      </c>
      <c r="J33" s="1091">
        <v>0</v>
      </c>
      <c r="K33" s="1091">
        <v>0</v>
      </c>
      <c r="L33" s="1091">
        <v>0</v>
      </c>
      <c r="M33" s="1091">
        <v>0</v>
      </c>
      <c r="N33" s="1091">
        <v>0</v>
      </c>
      <c r="O33" s="1091"/>
      <c r="P33" s="1158"/>
    </row>
    <row r="34" spans="1:16" ht="15.75" hidden="1" outlineLevel="1">
      <c r="B34" s="1239"/>
      <c r="C34" s="831">
        <v>3</v>
      </c>
      <c r="D34" s="832"/>
      <c r="E34" s="832"/>
      <c r="F34" s="1549">
        <v>0</v>
      </c>
      <c r="G34" s="1091">
        <v>0</v>
      </c>
      <c r="H34" s="1091">
        <v>0</v>
      </c>
      <c r="I34" s="1091">
        <v>0</v>
      </c>
      <c r="J34" s="1091">
        <v>0</v>
      </c>
      <c r="K34" s="1091">
        <v>0</v>
      </c>
      <c r="L34" s="1091">
        <v>0</v>
      </c>
      <c r="M34" s="1091">
        <v>0</v>
      </c>
      <c r="N34" s="1091">
        <v>0</v>
      </c>
      <c r="O34" s="1091"/>
      <c r="P34" s="1158"/>
    </row>
    <row r="35" spans="1:16" ht="15.75" hidden="1" outlineLevel="1">
      <c r="B35" s="1239"/>
      <c r="C35" s="769">
        <v>4</v>
      </c>
      <c r="D35" s="770"/>
      <c r="E35" s="770"/>
      <c r="F35" s="1550">
        <v>0</v>
      </c>
      <c r="G35" s="859">
        <v>0</v>
      </c>
      <c r="H35" s="859">
        <v>0</v>
      </c>
      <c r="I35" s="859">
        <v>0</v>
      </c>
      <c r="J35" s="859">
        <v>0</v>
      </c>
      <c r="K35" s="859">
        <v>0</v>
      </c>
      <c r="L35" s="859">
        <v>0</v>
      </c>
      <c r="M35" s="859">
        <v>0</v>
      </c>
      <c r="N35" s="859">
        <v>0</v>
      </c>
      <c r="O35" s="859"/>
      <c r="P35" s="1158"/>
    </row>
    <row r="36" spans="1:16" hidden="1" outlineLevel="1">
      <c r="B36" s="1238"/>
      <c r="C36" s="864"/>
      <c r="D36" s="864"/>
      <c r="E36" s="864"/>
      <c r="F36" s="864"/>
      <c r="G36" s="864"/>
      <c r="H36" s="864"/>
      <c r="I36" s="864"/>
      <c r="J36" s="864"/>
      <c r="K36" s="864"/>
      <c r="L36" s="864"/>
      <c r="M36" s="864"/>
      <c r="N36" s="864"/>
      <c r="O36" s="864"/>
      <c r="P36" s="1158"/>
    </row>
    <row r="37" spans="1:16" hidden="1" outlineLevel="1">
      <c r="B37" s="1238"/>
      <c r="C37" s="864"/>
      <c r="D37" s="864"/>
      <c r="E37" s="864"/>
      <c r="F37" s="864"/>
      <c r="G37" s="864"/>
      <c r="H37" s="864"/>
      <c r="I37" s="864"/>
      <c r="J37" s="864"/>
      <c r="K37" s="864"/>
      <c r="L37" s="864"/>
      <c r="M37" s="864"/>
      <c r="N37" s="864"/>
      <c r="O37" s="864"/>
      <c r="P37" s="1158"/>
    </row>
    <row r="38" spans="1:16" hidden="1" outlineLevel="1">
      <c r="B38" s="1238"/>
      <c r="C38" s="864"/>
      <c r="D38" s="864"/>
      <c r="E38" s="864"/>
      <c r="F38" s="864"/>
      <c r="G38" s="864"/>
      <c r="H38" s="864"/>
      <c r="I38" s="864"/>
      <c r="J38" s="864"/>
      <c r="K38" s="864"/>
      <c r="L38" s="864"/>
      <c r="M38" s="864"/>
      <c r="N38" s="864"/>
      <c r="O38" s="864"/>
      <c r="P38" s="1158"/>
    </row>
    <row r="39" spans="1:16" hidden="1" outlineLevel="1">
      <c r="B39" s="1238"/>
      <c r="C39" s="864" t="s">
        <v>717</v>
      </c>
      <c r="D39" s="864"/>
      <c r="E39" s="864"/>
      <c r="F39" s="864"/>
      <c r="G39" s="864"/>
      <c r="H39" s="864"/>
      <c r="I39" s="864"/>
      <c r="J39" s="864"/>
      <c r="K39" s="864"/>
      <c r="L39" s="864"/>
      <c r="M39" s="864"/>
      <c r="N39" s="864"/>
      <c r="O39" s="864"/>
      <c r="P39" s="1158"/>
    </row>
    <row r="40" spans="1:16" hidden="1" outlineLevel="1">
      <c r="B40" s="1238"/>
      <c r="C40" s="867" t="s">
        <v>109</v>
      </c>
      <c r="D40" s="864" t="s">
        <v>2046</v>
      </c>
      <c r="E40" s="864"/>
      <c r="F40" s="864"/>
      <c r="G40" s="864"/>
      <c r="H40" s="864"/>
      <c r="I40" s="864"/>
      <c r="J40" s="864"/>
      <c r="K40" s="864"/>
      <c r="L40" s="864"/>
      <c r="M40" s="864"/>
      <c r="N40" s="864"/>
      <c r="O40" s="864"/>
      <c r="P40" s="1158"/>
    </row>
    <row r="41" spans="1:16" hidden="1" outlineLevel="1">
      <c r="B41" s="1238"/>
      <c r="C41" s="867"/>
      <c r="D41" s="864"/>
      <c r="E41" s="864"/>
      <c r="F41" s="864"/>
      <c r="G41" s="864"/>
      <c r="H41" s="864"/>
      <c r="I41" s="864"/>
      <c r="J41" s="864"/>
      <c r="K41" s="864"/>
      <c r="L41" s="864"/>
      <c r="M41" s="864"/>
      <c r="N41" s="864"/>
      <c r="O41" s="864"/>
      <c r="P41" s="1158"/>
    </row>
    <row r="42" spans="1:16" hidden="1" outlineLevel="1">
      <c r="B42" s="1245"/>
      <c r="C42" s="1165"/>
      <c r="D42" s="1165"/>
      <c r="E42" s="1165"/>
      <c r="F42" s="1165"/>
      <c r="G42" s="1165"/>
      <c r="H42" s="1165"/>
      <c r="I42" s="1165"/>
      <c r="J42" s="1165"/>
      <c r="K42" s="1165"/>
      <c r="L42" s="1165"/>
      <c r="M42" s="1165"/>
      <c r="N42" s="1165"/>
      <c r="O42" s="1165"/>
      <c r="P42" s="1166"/>
    </row>
    <row r="43" spans="1:16">
      <c r="B43" s="1235"/>
    </row>
    <row r="44" spans="1:16" s="743" customFormat="1" ht="22.5" collapsed="1">
      <c r="A44" s="1170"/>
      <c r="B44" s="1236" t="s">
        <v>786</v>
      </c>
      <c r="C44" s="1169"/>
      <c r="D44" s="1167"/>
      <c r="E44" s="1167"/>
      <c r="F44" s="1167"/>
      <c r="G44" s="1167"/>
      <c r="H44" s="1167"/>
      <c r="I44" s="1167"/>
      <c r="J44" s="1167"/>
      <c r="K44" s="1167"/>
      <c r="L44" s="1167"/>
      <c r="M44" s="1167"/>
      <c r="N44" s="1167"/>
      <c r="O44" s="1167"/>
      <c r="P44" s="1168"/>
    </row>
    <row r="45" spans="1:16" hidden="1" outlineLevel="1">
      <c r="B45" s="1157"/>
      <c r="C45" s="864"/>
      <c r="D45" s="864"/>
      <c r="E45" s="864"/>
      <c r="F45" s="864"/>
      <c r="G45" s="864"/>
      <c r="H45" s="864"/>
      <c r="I45" s="864"/>
      <c r="J45" s="864"/>
      <c r="K45" s="864"/>
      <c r="L45" s="864"/>
      <c r="M45" s="864"/>
      <c r="N45" s="864"/>
      <c r="O45" s="864"/>
      <c r="P45" s="1158"/>
    </row>
    <row r="46" spans="1:16" hidden="1" outlineLevel="1">
      <c r="B46" s="1160"/>
      <c r="C46" s="866" t="s">
        <v>2063</v>
      </c>
      <c r="D46" s="864"/>
      <c r="E46" s="864"/>
      <c r="F46" s="864"/>
      <c r="G46" s="867"/>
      <c r="H46" s="864"/>
      <c r="I46" s="864"/>
      <c r="J46" s="864"/>
      <c r="K46" s="864"/>
      <c r="L46" s="864"/>
      <c r="M46" s="864"/>
      <c r="N46" s="864"/>
      <c r="O46" s="864"/>
      <c r="P46" s="1158"/>
    </row>
    <row r="47" spans="1:16" ht="6" hidden="1" customHeight="1" outlineLevel="1">
      <c r="B47" s="1157"/>
      <c r="C47" s="864"/>
      <c r="D47" s="864"/>
      <c r="E47" s="864"/>
      <c r="F47" s="864"/>
      <c r="G47" s="864"/>
      <c r="H47" s="864"/>
      <c r="I47" s="864"/>
      <c r="J47" s="864"/>
      <c r="K47" s="864"/>
      <c r="L47" s="864"/>
      <c r="M47" s="864"/>
      <c r="N47" s="864"/>
      <c r="O47" s="864"/>
      <c r="P47" s="1158"/>
    </row>
    <row r="48" spans="1:16" ht="15.75" hidden="1" outlineLevel="1">
      <c r="B48" s="1159"/>
      <c r="C48" s="766" t="s">
        <v>715</v>
      </c>
      <c r="D48" s="766" t="s">
        <v>731</v>
      </c>
      <c r="E48" s="766" t="s">
        <v>442</v>
      </c>
      <c r="F48" s="923">
        <v>2007</v>
      </c>
      <c r="G48" s="924">
        <v>2010</v>
      </c>
      <c r="H48" s="923">
        <v>2015</v>
      </c>
      <c r="I48" s="923">
        <v>2020</v>
      </c>
      <c r="J48" s="923">
        <v>2025</v>
      </c>
      <c r="K48" s="923">
        <v>2030</v>
      </c>
      <c r="L48" s="923">
        <v>2035</v>
      </c>
      <c r="M48" s="923">
        <v>2040</v>
      </c>
      <c r="N48" s="923">
        <v>2045</v>
      </c>
      <c r="O48" s="923">
        <v>2050</v>
      </c>
      <c r="P48" s="1158"/>
    </row>
    <row r="49" spans="2:16" s="743" customFormat="1" ht="15.75" hidden="1" outlineLevel="1">
      <c r="B49" s="1161"/>
      <c r="C49" s="769" t="s">
        <v>47</v>
      </c>
      <c r="D49" s="770" t="s">
        <v>874</v>
      </c>
      <c r="E49" s="770" t="s">
        <v>117</v>
      </c>
      <c r="F49" s="846">
        <v>0.45</v>
      </c>
      <c r="G49" s="2317">
        <v>0.45</v>
      </c>
      <c r="H49" s="2326">
        <f>$G49+($O49-$G49)/($O$48-$G$48)*(H$48-$G$48)</f>
        <v>0.45624999999999999</v>
      </c>
      <c r="I49" s="2329">
        <f t="shared" ref="I49:N49" si="1">$G49+($O49-$G49)/($O$48-$G$48)*(I$48-$G$48)</f>
        <v>0.46250000000000002</v>
      </c>
      <c r="J49" s="2328">
        <f t="shared" si="1"/>
        <v>0.46875</v>
      </c>
      <c r="K49" s="2326">
        <f t="shared" si="1"/>
        <v>0.47499999999999998</v>
      </c>
      <c r="L49" s="2326">
        <f t="shared" si="1"/>
        <v>0.48125000000000001</v>
      </c>
      <c r="M49" s="2326">
        <f t="shared" si="1"/>
        <v>0.48749999999999999</v>
      </c>
      <c r="N49" s="2326">
        <f t="shared" si="1"/>
        <v>0.49375000000000002</v>
      </c>
      <c r="O49" s="2318">
        <v>0.5</v>
      </c>
      <c r="P49" s="1162"/>
    </row>
    <row r="50" spans="2:16" hidden="1" outlineLevel="1">
      <c r="B50" s="1157"/>
      <c r="C50" s="864"/>
      <c r="D50" s="864"/>
      <c r="E50" s="864"/>
      <c r="F50" s="864"/>
      <c r="G50" s="864"/>
      <c r="H50" s="864"/>
      <c r="I50" s="864"/>
      <c r="J50" s="864"/>
      <c r="K50" s="864"/>
      <c r="L50" s="864"/>
      <c r="M50" s="864"/>
      <c r="N50" s="864"/>
      <c r="O50" s="864"/>
      <c r="P50" s="1158"/>
    </row>
    <row r="51" spans="2:16" hidden="1" outlineLevel="1">
      <c r="B51" s="1157"/>
      <c r="C51" s="866" t="s">
        <v>2051</v>
      </c>
      <c r="D51" s="864"/>
      <c r="E51" s="864"/>
      <c r="F51" s="864"/>
      <c r="G51" s="867"/>
      <c r="H51" s="864"/>
      <c r="I51" s="864"/>
      <c r="J51" s="864"/>
      <c r="K51" s="864"/>
      <c r="L51" s="864"/>
      <c r="M51" s="864"/>
      <c r="N51" s="864"/>
      <c r="O51" s="864"/>
      <c r="P51" s="1158"/>
    </row>
    <row r="52" spans="2:16" ht="5.25" hidden="1" customHeight="1" outlineLevel="1">
      <c r="B52" s="1157"/>
      <c r="C52" s="864"/>
      <c r="D52" s="864"/>
      <c r="E52" s="864"/>
      <c r="F52" s="864"/>
      <c r="G52" s="864"/>
      <c r="H52" s="864"/>
      <c r="I52" s="864"/>
      <c r="J52" s="864"/>
      <c r="K52" s="864"/>
      <c r="L52" s="864"/>
      <c r="M52" s="864"/>
      <c r="N52" s="864"/>
      <c r="O52" s="864"/>
      <c r="P52" s="1158"/>
    </row>
    <row r="53" spans="2:16" ht="15.75" hidden="1" outlineLevel="1">
      <c r="B53" s="1159"/>
      <c r="C53" s="766" t="s">
        <v>1442</v>
      </c>
      <c r="D53" s="766" t="s">
        <v>731</v>
      </c>
      <c r="E53" s="766" t="s">
        <v>442</v>
      </c>
      <c r="F53" s="923">
        <v>2007</v>
      </c>
      <c r="G53" s="924">
        <v>2010</v>
      </c>
      <c r="H53" s="923">
        <v>2015</v>
      </c>
      <c r="I53" s="923">
        <v>2020</v>
      </c>
      <c r="J53" s="923">
        <v>2025</v>
      </c>
      <c r="K53" s="923">
        <v>2030</v>
      </c>
      <c r="L53" s="923">
        <v>2035</v>
      </c>
      <c r="M53" s="923">
        <v>2040</v>
      </c>
      <c r="N53" s="923">
        <v>2045</v>
      </c>
      <c r="O53" s="923">
        <v>2050</v>
      </c>
      <c r="P53" s="1158"/>
    </row>
    <row r="54" spans="2:16" ht="15.75" hidden="1" outlineLevel="1">
      <c r="B54" s="1159"/>
      <c r="C54" s="889" t="s">
        <v>2059</v>
      </c>
      <c r="D54" s="889" t="s">
        <v>2060</v>
      </c>
      <c r="E54" s="889" t="s">
        <v>109</v>
      </c>
      <c r="F54" s="2324">
        <v>0.08</v>
      </c>
      <c r="G54" s="2325">
        <v>0.08</v>
      </c>
      <c r="H54" s="2324">
        <v>0.08</v>
      </c>
      <c r="I54" s="2324">
        <v>0.08</v>
      </c>
      <c r="J54" s="2324">
        <v>0.08</v>
      </c>
      <c r="K54" s="2324">
        <v>0.08</v>
      </c>
      <c r="L54" s="2324">
        <v>0.08</v>
      </c>
      <c r="M54" s="2324">
        <v>0.08</v>
      </c>
      <c r="N54" s="2324">
        <v>0.08</v>
      </c>
      <c r="O54" s="2324">
        <v>0.08</v>
      </c>
      <c r="P54" s="1158"/>
    </row>
    <row r="55" spans="2:16" ht="15.75" hidden="1" outlineLevel="1">
      <c r="B55" s="1159"/>
      <c r="C55" s="769" t="s">
        <v>2061</v>
      </c>
      <c r="D55" s="770" t="s">
        <v>2062</v>
      </c>
      <c r="E55" s="770"/>
      <c r="F55" s="1787"/>
      <c r="G55" s="876">
        <v>0.21</v>
      </c>
      <c r="H55" s="1790">
        <f>$G55+($O55-$G55)/($O$53-$G$53)*(H$53-$G$53)</f>
        <v>0.20249999999999999</v>
      </c>
      <c r="I55" s="1790">
        <f t="shared" ref="I55:N55" si="2">$G55+($O55-$G55)/($O$53-$G$53)*(I$53-$G$53)</f>
        <v>0.19500000000000001</v>
      </c>
      <c r="J55" s="1790">
        <f t="shared" si="2"/>
        <v>0.1875</v>
      </c>
      <c r="K55" s="1790">
        <f t="shared" si="2"/>
        <v>0.18</v>
      </c>
      <c r="L55" s="1790">
        <f t="shared" si="2"/>
        <v>0.17249999999999999</v>
      </c>
      <c r="M55" s="1790">
        <f t="shared" si="2"/>
        <v>0.16499999999999998</v>
      </c>
      <c r="N55" s="1790">
        <f t="shared" si="2"/>
        <v>0.1575</v>
      </c>
      <c r="O55" s="876">
        <v>0.15</v>
      </c>
      <c r="P55" s="1158"/>
    </row>
    <row r="56" spans="2:16" hidden="1" outlineLevel="1">
      <c r="B56" s="1157"/>
      <c r="C56" s="864"/>
      <c r="D56" s="864"/>
      <c r="E56" s="864"/>
      <c r="F56" s="864"/>
      <c r="G56" s="864"/>
      <c r="H56" s="864"/>
      <c r="I56" s="864"/>
      <c r="J56" s="864"/>
      <c r="K56" s="864"/>
      <c r="L56" s="864"/>
      <c r="M56" s="864"/>
      <c r="N56" s="864"/>
      <c r="O56" s="864"/>
      <c r="P56" s="1158"/>
    </row>
    <row r="57" spans="2:16" hidden="1" outlineLevel="1">
      <c r="B57" s="1160"/>
      <c r="C57" s="866" t="s">
        <v>2047</v>
      </c>
      <c r="D57" s="864"/>
      <c r="E57" s="864"/>
      <c r="F57" s="864"/>
      <c r="G57" s="867"/>
      <c r="H57" s="864"/>
      <c r="I57" s="864"/>
      <c r="J57" s="864"/>
      <c r="K57" s="864"/>
      <c r="L57" s="864"/>
      <c r="M57" s="864"/>
      <c r="N57" s="864"/>
      <c r="O57" s="864"/>
      <c r="P57" s="1158"/>
    </row>
    <row r="58" spans="2:16" ht="6" hidden="1" customHeight="1" outlineLevel="1">
      <c r="B58" s="1157"/>
      <c r="C58" s="864"/>
      <c r="D58" s="864"/>
      <c r="E58" s="864"/>
      <c r="F58" s="864"/>
      <c r="G58" s="864"/>
      <c r="H58" s="864"/>
      <c r="I58" s="864"/>
      <c r="J58" s="864"/>
      <c r="K58" s="864"/>
      <c r="L58" s="864"/>
      <c r="M58" s="864"/>
      <c r="N58" s="864"/>
      <c r="O58" s="864"/>
      <c r="P58" s="1158"/>
    </row>
    <row r="59" spans="2:16" ht="15.75" hidden="1" outlineLevel="1">
      <c r="B59" s="1159"/>
      <c r="C59" s="766" t="s">
        <v>715</v>
      </c>
      <c r="D59" s="766" t="s">
        <v>731</v>
      </c>
      <c r="E59" s="766" t="s">
        <v>442</v>
      </c>
      <c r="F59" s="923">
        <v>2007</v>
      </c>
      <c r="G59" s="924">
        <v>2010</v>
      </c>
      <c r="H59" s="923">
        <v>2015</v>
      </c>
      <c r="I59" s="923">
        <v>2020</v>
      </c>
      <c r="J59" s="923">
        <v>2025</v>
      </c>
      <c r="K59" s="923">
        <v>2030</v>
      </c>
      <c r="L59" s="923">
        <v>2035</v>
      </c>
      <c r="M59" s="923">
        <v>2040</v>
      </c>
      <c r="N59" s="923">
        <v>2045</v>
      </c>
      <c r="O59" s="923">
        <v>2050</v>
      </c>
      <c r="P59" s="1158"/>
    </row>
    <row r="60" spans="2:16" s="743" customFormat="1" ht="15.75" hidden="1" outlineLevel="1">
      <c r="B60" s="1161"/>
      <c r="C60" s="769" t="s">
        <v>47</v>
      </c>
      <c r="D60" s="770" t="s">
        <v>885</v>
      </c>
      <c r="E60" s="770" t="s">
        <v>109</v>
      </c>
      <c r="F60" s="778">
        <v>0.627</v>
      </c>
      <c r="G60" s="780">
        <v>0.8</v>
      </c>
      <c r="H60" s="777">
        <v>0.8</v>
      </c>
      <c r="I60" s="777">
        <v>0.8</v>
      </c>
      <c r="J60" s="777">
        <v>0.8</v>
      </c>
      <c r="K60" s="777">
        <v>0.8</v>
      </c>
      <c r="L60" s="777">
        <v>0.8</v>
      </c>
      <c r="M60" s="777">
        <v>0.8</v>
      </c>
      <c r="N60" s="777">
        <v>0.8</v>
      </c>
      <c r="O60" s="777">
        <v>0.8</v>
      </c>
      <c r="P60" s="1162"/>
    </row>
    <row r="61" spans="2:16" hidden="1" outlineLevel="1">
      <c r="B61" s="1157"/>
      <c r="C61" s="864"/>
      <c r="D61" s="864"/>
      <c r="E61" s="864"/>
      <c r="F61" s="864"/>
      <c r="G61" s="864"/>
      <c r="H61" s="864"/>
      <c r="I61" s="864"/>
      <c r="J61" s="864"/>
      <c r="K61" s="864"/>
      <c r="L61" s="864"/>
      <c r="M61" s="864"/>
      <c r="N61" s="864"/>
      <c r="O61" s="864"/>
      <c r="P61" s="1158"/>
    </row>
    <row r="62" spans="2:16" hidden="1" outlineLevel="1">
      <c r="B62" s="1157"/>
      <c r="C62" s="866" t="s">
        <v>1074</v>
      </c>
      <c r="D62" s="864"/>
      <c r="E62" s="864"/>
      <c r="F62" s="864"/>
      <c r="G62" s="867"/>
      <c r="H62" s="864"/>
      <c r="I62" s="864"/>
      <c r="J62" s="864"/>
      <c r="K62" s="864"/>
      <c r="L62" s="864"/>
      <c r="M62" s="864"/>
      <c r="N62" s="864"/>
      <c r="O62" s="864"/>
      <c r="P62" s="1158"/>
    </row>
    <row r="63" spans="2:16" ht="5.25" hidden="1" customHeight="1" outlineLevel="1">
      <c r="B63" s="1157"/>
      <c r="C63" s="864"/>
      <c r="D63" s="864"/>
      <c r="E63" s="864"/>
      <c r="F63" s="864"/>
      <c r="G63" s="864"/>
      <c r="H63" s="864"/>
      <c r="I63" s="864"/>
      <c r="J63" s="864"/>
      <c r="K63" s="864"/>
      <c r="L63" s="864"/>
      <c r="M63" s="864"/>
      <c r="N63" s="864"/>
      <c r="O63" s="864"/>
      <c r="P63" s="1158"/>
    </row>
    <row r="64" spans="2:16" ht="15.75" hidden="1" outlineLevel="1">
      <c r="B64" s="1159"/>
      <c r="C64" s="766" t="s">
        <v>715</v>
      </c>
      <c r="D64" s="766" t="s">
        <v>731</v>
      </c>
      <c r="E64" s="766" t="s">
        <v>442</v>
      </c>
      <c r="F64" s="923">
        <v>2007</v>
      </c>
      <c r="G64" s="924">
        <v>2010</v>
      </c>
      <c r="H64" s="923">
        <v>2015</v>
      </c>
      <c r="I64" s="923">
        <v>2020</v>
      </c>
      <c r="J64" s="923">
        <v>2025</v>
      </c>
      <c r="K64" s="923">
        <v>2030</v>
      </c>
      <c r="L64" s="923">
        <v>2035</v>
      </c>
      <c r="M64" s="923">
        <v>2040</v>
      </c>
      <c r="N64" s="923">
        <v>2045</v>
      </c>
      <c r="O64" s="923">
        <v>2050</v>
      </c>
      <c r="P64" s="1158"/>
    </row>
    <row r="65" spans="1:33" ht="15.75" hidden="1" outlineLevel="1">
      <c r="B65" s="1159"/>
      <c r="C65" s="769" t="s">
        <v>47</v>
      </c>
      <c r="D65" s="770" t="s">
        <v>885</v>
      </c>
      <c r="E65" s="770"/>
      <c r="F65" s="846">
        <v>0.9</v>
      </c>
      <c r="G65" s="780">
        <v>0.9</v>
      </c>
      <c r="H65" s="777">
        <v>0.9</v>
      </c>
      <c r="I65" s="777">
        <v>0.9</v>
      </c>
      <c r="J65" s="777">
        <v>0.9</v>
      </c>
      <c r="K65" s="777">
        <v>0.9</v>
      </c>
      <c r="L65" s="777">
        <v>0.9</v>
      </c>
      <c r="M65" s="777">
        <v>0.9</v>
      </c>
      <c r="N65" s="777">
        <v>0.9</v>
      </c>
      <c r="O65" s="777">
        <v>0.9</v>
      </c>
      <c r="P65" s="1158"/>
    </row>
    <row r="66" spans="1:33" hidden="1" outlineLevel="1">
      <c r="B66" s="1157"/>
      <c r="C66" s="864"/>
      <c r="D66" s="864"/>
      <c r="E66" s="864"/>
      <c r="F66" s="864"/>
      <c r="G66" s="864"/>
      <c r="H66" s="864"/>
      <c r="I66" s="864"/>
      <c r="J66" s="864"/>
      <c r="K66" s="864"/>
      <c r="L66" s="864"/>
      <c r="M66" s="864"/>
      <c r="N66" s="864"/>
      <c r="O66" s="864"/>
      <c r="P66" s="1158"/>
    </row>
    <row r="67" spans="1:33" hidden="1" outlineLevel="1">
      <c r="B67" s="1163"/>
      <c r="C67" s="864" t="s">
        <v>757</v>
      </c>
      <c r="D67" s="868"/>
      <c r="E67" s="864"/>
      <c r="F67" s="864"/>
      <c r="G67" s="864"/>
      <c r="H67" s="864"/>
      <c r="I67" s="864"/>
      <c r="J67" s="864"/>
      <c r="K67" s="864"/>
      <c r="L67" s="864"/>
      <c r="M67" s="864"/>
      <c r="N67" s="864"/>
      <c r="O67" s="864"/>
      <c r="P67" s="1158"/>
    </row>
    <row r="68" spans="1:33" hidden="1" outlineLevel="1">
      <c r="B68" s="1163"/>
      <c r="C68" s="864" t="s">
        <v>717</v>
      </c>
      <c r="D68" s="868"/>
      <c r="E68" s="864"/>
      <c r="F68" s="864"/>
      <c r="G68" s="864"/>
      <c r="H68" s="864"/>
      <c r="I68" s="864"/>
      <c r="J68" s="864"/>
      <c r="K68" s="864"/>
      <c r="L68" s="864"/>
      <c r="M68" s="864"/>
      <c r="N68" s="864"/>
      <c r="O68" s="864"/>
      <c r="P68" s="1158"/>
    </row>
    <row r="69" spans="1:33" hidden="1" outlineLevel="1">
      <c r="B69" s="1163"/>
      <c r="C69" s="867" t="s">
        <v>109</v>
      </c>
      <c r="D69" s="868" t="s">
        <v>2049</v>
      </c>
      <c r="E69" s="864"/>
      <c r="F69" s="864"/>
      <c r="G69" s="864"/>
      <c r="H69" s="864"/>
      <c r="I69" s="864"/>
      <c r="J69" s="864"/>
      <c r="K69" s="864"/>
      <c r="L69" s="864"/>
      <c r="M69" s="864"/>
      <c r="N69" s="864"/>
      <c r="O69" s="864"/>
      <c r="P69" s="1158"/>
    </row>
    <row r="70" spans="1:33" hidden="1" outlineLevel="1">
      <c r="B70" s="1163"/>
      <c r="C70" s="867"/>
      <c r="D70" s="868" t="s">
        <v>2050</v>
      </c>
      <c r="E70" s="864"/>
      <c r="F70" s="864"/>
      <c r="G70" s="864"/>
      <c r="H70" s="864"/>
      <c r="I70" s="864"/>
      <c r="J70" s="864"/>
      <c r="K70" s="864"/>
      <c r="L70" s="864"/>
      <c r="M70" s="864"/>
      <c r="N70" s="864"/>
      <c r="O70" s="864"/>
      <c r="P70" s="1158"/>
    </row>
    <row r="71" spans="1:33" hidden="1" outlineLevel="1">
      <c r="B71" s="1163"/>
      <c r="C71" s="867"/>
      <c r="D71" s="868" t="s">
        <v>2064</v>
      </c>
      <c r="E71" s="864"/>
      <c r="F71" s="864"/>
      <c r="G71" s="864"/>
      <c r="H71" s="864"/>
      <c r="I71" s="864"/>
      <c r="J71" s="864"/>
      <c r="K71" s="864"/>
      <c r="L71" s="864"/>
      <c r="M71" s="864"/>
      <c r="N71" s="864"/>
      <c r="O71" s="864"/>
      <c r="P71" s="1158"/>
    </row>
    <row r="72" spans="1:33" hidden="1" outlineLevel="1">
      <c r="B72" s="1163"/>
      <c r="C72" s="867" t="s">
        <v>117</v>
      </c>
      <c r="D72" s="868" t="s">
        <v>2048</v>
      </c>
      <c r="E72" s="864"/>
      <c r="F72" s="864"/>
      <c r="G72" s="864"/>
      <c r="H72" s="864"/>
      <c r="I72" s="864"/>
      <c r="J72" s="864"/>
      <c r="K72" s="864"/>
      <c r="L72" s="864"/>
      <c r="M72" s="864"/>
      <c r="N72" s="864"/>
      <c r="O72" s="864"/>
      <c r="P72" s="1158"/>
    </row>
    <row r="73" spans="1:33" hidden="1" outlineLevel="1">
      <c r="B73" s="1164"/>
      <c r="C73" s="1165"/>
      <c r="D73" s="1165"/>
      <c r="E73" s="1165"/>
      <c r="F73" s="1165"/>
      <c r="G73" s="1165"/>
      <c r="H73" s="1165"/>
      <c r="I73" s="1165"/>
      <c r="J73" s="1165"/>
      <c r="K73" s="1165"/>
      <c r="L73" s="1165"/>
      <c r="M73" s="1165"/>
      <c r="N73" s="1165"/>
      <c r="O73" s="1165"/>
      <c r="P73" s="1166"/>
    </row>
    <row r="74" spans="1:33">
      <c r="B74" s="1235"/>
      <c r="R74"/>
      <c r="S74"/>
      <c r="T74"/>
      <c r="U74"/>
      <c r="V74"/>
      <c r="W74"/>
      <c r="X74"/>
      <c r="Y74"/>
      <c r="Z74"/>
      <c r="AA74"/>
      <c r="AB74"/>
      <c r="AC74"/>
      <c r="AD74"/>
      <c r="AE74"/>
      <c r="AF74"/>
      <c r="AG74"/>
    </row>
    <row r="75" spans="1:33" s="743" customFormat="1" ht="22.5" collapsed="1">
      <c r="A75" s="1170"/>
      <c r="B75" s="1236" t="s">
        <v>817</v>
      </c>
      <c r="C75" s="1169"/>
      <c r="D75" s="1167"/>
      <c r="E75" s="1167"/>
      <c r="F75" s="1167"/>
      <c r="G75" s="1167"/>
      <c r="H75" s="1167"/>
      <c r="I75" s="1167"/>
      <c r="J75" s="1167"/>
      <c r="K75" s="1167"/>
      <c r="L75" s="1167"/>
      <c r="M75" s="1167"/>
      <c r="N75" s="1167"/>
      <c r="O75" s="1167"/>
      <c r="P75" s="1168"/>
      <c r="R75"/>
      <c r="S75"/>
      <c r="T75"/>
      <c r="U75"/>
      <c r="V75"/>
      <c r="W75"/>
      <c r="X75"/>
      <c r="Y75"/>
      <c r="Z75"/>
      <c r="AA75"/>
      <c r="AB75"/>
      <c r="AC75"/>
      <c r="AD75"/>
      <c r="AE75"/>
      <c r="AF75"/>
      <c r="AG75"/>
    </row>
    <row r="76" spans="1:33" hidden="1" outlineLevel="1">
      <c r="B76" s="1157"/>
      <c r="C76" s="864"/>
      <c r="D76" s="864"/>
      <c r="E76" s="864"/>
      <c r="F76" s="864"/>
      <c r="G76" s="864"/>
      <c r="H76" s="864"/>
      <c r="I76" s="864"/>
      <c r="J76" s="864"/>
      <c r="K76" s="864"/>
      <c r="L76" s="864"/>
      <c r="M76" s="864"/>
      <c r="N76" s="864"/>
      <c r="O76" s="864"/>
      <c r="P76" s="1158"/>
      <c r="R76"/>
      <c r="S76"/>
      <c r="T76"/>
      <c r="U76"/>
      <c r="V76"/>
    </row>
    <row r="77" spans="1:33" hidden="1" outlineLevel="1">
      <c r="B77" s="1157"/>
      <c r="C77" s="866" t="s">
        <v>2066</v>
      </c>
      <c r="D77" s="864"/>
      <c r="E77" s="864"/>
      <c r="F77" s="864"/>
      <c r="G77" s="867"/>
      <c r="H77" s="864"/>
      <c r="I77" s="864"/>
      <c r="J77" s="864"/>
      <c r="K77" s="864"/>
      <c r="L77" s="864"/>
      <c r="M77" s="864"/>
      <c r="N77" s="864"/>
      <c r="O77" s="867" t="str">
        <f>Preferences.PowerUnits</f>
        <v>GW</v>
      </c>
      <c r="P77" s="1158"/>
      <c r="R77"/>
      <c r="S77"/>
      <c r="T77"/>
      <c r="U77"/>
      <c r="V77"/>
    </row>
    <row r="78" spans="1:33" ht="5.25" hidden="1" customHeight="1" outlineLevel="1">
      <c r="B78" s="1157"/>
      <c r="C78" s="864"/>
      <c r="D78" s="864"/>
      <c r="E78" s="864"/>
      <c r="F78" s="864"/>
      <c r="G78" s="864"/>
      <c r="H78" s="864"/>
      <c r="I78" s="864"/>
      <c r="J78" s="864"/>
      <c r="K78" s="864"/>
      <c r="L78" s="864"/>
      <c r="M78" s="864"/>
      <c r="N78" s="864"/>
      <c r="O78" s="864"/>
      <c r="P78" s="1158"/>
      <c r="R78"/>
      <c r="S78"/>
      <c r="T78"/>
      <c r="U78"/>
      <c r="V78"/>
    </row>
    <row r="79" spans="1:33" ht="15.75" hidden="1" outlineLevel="1">
      <c r="B79" s="1159"/>
      <c r="C79" s="766" t="s">
        <v>715</v>
      </c>
      <c r="D79" s="766" t="s">
        <v>731</v>
      </c>
      <c r="E79" s="766" t="s">
        <v>442</v>
      </c>
      <c r="F79" s="923">
        <v>2007</v>
      </c>
      <c r="G79" s="924">
        <v>2010</v>
      </c>
      <c r="H79" s="923">
        <v>2015</v>
      </c>
      <c r="I79" s="923">
        <v>2020</v>
      </c>
      <c r="J79" s="923">
        <v>2025</v>
      </c>
      <c r="K79" s="923">
        <v>2030</v>
      </c>
      <c r="L79" s="923">
        <v>2035</v>
      </c>
      <c r="M79" s="923">
        <v>2040</v>
      </c>
      <c r="N79" s="923">
        <v>2045</v>
      </c>
      <c r="O79" s="923">
        <v>2050</v>
      </c>
      <c r="P79" s="1158"/>
    </row>
    <row r="80" spans="1:33" ht="15.75" hidden="1" outlineLevel="1">
      <c r="B80" s="1159"/>
      <c r="C80" s="794" t="s">
        <v>47</v>
      </c>
      <c r="D80" s="794" t="s">
        <v>885</v>
      </c>
      <c r="E80" s="794"/>
      <c r="F80" s="1046">
        <v>0</v>
      </c>
      <c r="G80" s="1047">
        <f t="shared" ref="G80:O80" si="3">F80+(G$79-F$79)*(INDEX(F$24:F$27, MATCH($E$7, $C$24:$C$27, 0))+INDEX(F$32:F$35, MATCH($E$7, $C$32:$C$35, 0)))</f>
        <v>0</v>
      </c>
      <c r="H80" s="1046">
        <f t="shared" si="3"/>
        <v>0.3</v>
      </c>
      <c r="I80" s="1046">
        <f t="shared" si="3"/>
        <v>1.6500000000000001</v>
      </c>
      <c r="J80" s="1046">
        <f t="shared" si="3"/>
        <v>1.6500000000000001</v>
      </c>
      <c r="K80" s="1046">
        <f t="shared" si="3"/>
        <v>1.6500000000000001</v>
      </c>
      <c r="L80" s="1046">
        <f t="shared" si="3"/>
        <v>1.6500000000000001</v>
      </c>
      <c r="M80" s="1046">
        <f t="shared" si="3"/>
        <v>1.6500000000000001</v>
      </c>
      <c r="N80" s="1046">
        <f t="shared" si="3"/>
        <v>1.6500000000000001</v>
      </c>
      <c r="O80" s="1046">
        <f t="shared" si="3"/>
        <v>1.6500000000000001</v>
      </c>
      <c r="P80" s="1158"/>
    </row>
    <row r="81" spans="2:21" hidden="1" outlineLevel="1">
      <c r="B81" s="1157"/>
      <c r="C81" s="864"/>
      <c r="D81" s="864"/>
      <c r="E81" s="864"/>
      <c r="F81" s="864"/>
      <c r="G81" s="864"/>
      <c r="H81" s="864"/>
      <c r="I81" s="864"/>
      <c r="J81" s="864"/>
      <c r="K81" s="864"/>
      <c r="L81" s="864"/>
      <c r="M81" s="864"/>
      <c r="N81" s="864"/>
      <c r="O81" s="864"/>
      <c r="P81" s="1158"/>
    </row>
    <row r="82" spans="2:21" hidden="1" outlineLevel="1">
      <c r="B82" s="864"/>
      <c r="C82" s="866" t="s">
        <v>2065</v>
      </c>
      <c r="D82" s="864"/>
      <c r="E82" s="864"/>
      <c r="F82" s="864"/>
      <c r="G82" s="867"/>
      <c r="H82" s="864"/>
      <c r="I82" s="864"/>
      <c r="J82" s="864"/>
      <c r="K82" s="864"/>
      <c r="L82" s="864"/>
      <c r="M82" s="864"/>
      <c r="N82" s="864"/>
      <c r="O82" s="864"/>
      <c r="P82" s="864"/>
    </row>
    <row r="83" spans="2:21" ht="5.25" hidden="1" customHeight="1" outlineLevel="1">
      <c r="B83" s="864"/>
      <c r="C83" s="864"/>
      <c r="D83" s="864"/>
      <c r="E83" s="864"/>
      <c r="F83" s="864"/>
      <c r="G83" s="864"/>
      <c r="H83" s="864"/>
      <c r="I83" s="864"/>
      <c r="J83" s="864"/>
      <c r="K83" s="864"/>
      <c r="L83" s="864"/>
      <c r="M83" s="864"/>
      <c r="N83" s="864"/>
      <c r="O83" s="864"/>
      <c r="P83" s="864"/>
    </row>
    <row r="84" spans="2:21" ht="15.75" hidden="1" outlineLevel="1">
      <c r="B84" s="2327"/>
      <c r="C84" s="766" t="s">
        <v>715</v>
      </c>
      <c r="D84" s="766" t="s">
        <v>731</v>
      </c>
      <c r="E84" s="766" t="s">
        <v>442</v>
      </c>
      <c r="F84" s="923">
        <v>2007</v>
      </c>
      <c r="G84" s="924">
        <v>2010</v>
      </c>
      <c r="H84" s="923">
        <v>2015</v>
      </c>
      <c r="I84" s="923">
        <v>2020</v>
      </c>
      <c r="J84" s="923">
        <v>2025</v>
      </c>
      <c r="K84" s="923">
        <v>2030</v>
      </c>
      <c r="L84" s="923">
        <v>2035</v>
      </c>
      <c r="M84" s="923">
        <v>2040</v>
      </c>
      <c r="N84" s="923">
        <v>2045</v>
      </c>
      <c r="O84" s="923">
        <v>2050</v>
      </c>
      <c r="P84" s="864"/>
    </row>
    <row r="85" spans="2:21" ht="15.75" hidden="1" outlineLevel="1">
      <c r="B85" s="2327"/>
      <c r="C85" s="769" t="s">
        <v>47</v>
      </c>
      <c r="D85" s="770" t="s">
        <v>874</v>
      </c>
      <c r="E85" s="770"/>
      <c r="F85" s="846">
        <f>F$49</f>
        <v>0.45</v>
      </c>
      <c r="G85" s="2317">
        <f>IF(G$80=0,F85,(F85*F$80+G$49*(G$80-F$80))/G$80)</f>
        <v>0.45</v>
      </c>
      <c r="H85" s="2318">
        <f t="shared" ref="H85:O85" si="4">IF(H$80=0,G85,(G85*G$80+H$49*(H$80-G$80))/H$80)</f>
        <v>0.45624999999999999</v>
      </c>
      <c r="I85" s="2330">
        <f t="shared" si="4"/>
        <v>0.46136363636363636</v>
      </c>
      <c r="J85" s="2330">
        <f t="shared" si="4"/>
        <v>0.46136363636363636</v>
      </c>
      <c r="K85" s="2318">
        <f t="shared" si="4"/>
        <v>0.46136363636363636</v>
      </c>
      <c r="L85" s="2318">
        <f t="shared" si="4"/>
        <v>0.46136363636363636</v>
      </c>
      <c r="M85" s="2318">
        <f t="shared" si="4"/>
        <v>0.46136363636363636</v>
      </c>
      <c r="N85" s="2318">
        <f t="shared" si="4"/>
        <v>0.46136363636363636</v>
      </c>
      <c r="O85" s="2330">
        <f t="shared" si="4"/>
        <v>0.46136363636363636</v>
      </c>
      <c r="P85" s="864"/>
    </row>
    <row r="86" spans="2:21" hidden="1" outlineLevel="1">
      <c r="B86" s="864"/>
      <c r="C86" s="864"/>
      <c r="D86" s="864"/>
      <c r="E86" s="864"/>
      <c r="F86" s="864"/>
      <c r="G86" s="864"/>
      <c r="H86" s="864"/>
      <c r="I86" s="864"/>
      <c r="J86" s="864"/>
      <c r="K86" s="864"/>
      <c r="L86" s="864"/>
      <c r="M86" s="864"/>
      <c r="N86" s="864"/>
      <c r="O86" s="864"/>
      <c r="P86" s="864"/>
    </row>
    <row r="88" spans="2:21" ht="15.75" collapsed="1">
      <c r="B88" s="809" t="s">
        <v>732</v>
      </c>
    </row>
    <row r="89" spans="2:21" hidden="1" outlineLevel="1"/>
    <row r="90" spans="2:21" s="743" customFormat="1" hidden="1" outlineLevel="1">
      <c r="B90" s="834" t="s">
        <v>2052</v>
      </c>
    </row>
    <row r="91" spans="2:21" s="743" customFormat="1" hidden="1" outlineLevel="1"/>
    <row r="92" spans="2:21" s="743" customFormat="1" hidden="1" outlineLevel="1">
      <c r="C92" s="743" t="s">
        <v>764</v>
      </c>
      <c r="E92" s="743" t="str">
        <f>Preferences.PowerUnits</f>
        <v>GW</v>
      </c>
      <c r="F92" s="835">
        <f>F$80</f>
        <v>0</v>
      </c>
      <c r="G92" s="835">
        <f t="shared" ref="G92:O92" si="5">G$80</f>
        <v>0</v>
      </c>
      <c r="H92" s="835">
        <f t="shared" si="5"/>
        <v>0.3</v>
      </c>
      <c r="I92" s="835">
        <f t="shared" si="5"/>
        <v>1.6500000000000001</v>
      </c>
      <c r="J92" s="835">
        <f t="shared" si="5"/>
        <v>1.6500000000000001</v>
      </c>
      <c r="K92" s="835">
        <f t="shared" si="5"/>
        <v>1.6500000000000001</v>
      </c>
      <c r="L92" s="835">
        <f t="shared" si="5"/>
        <v>1.6500000000000001</v>
      </c>
      <c r="M92" s="835">
        <f t="shared" si="5"/>
        <v>1.6500000000000001</v>
      </c>
      <c r="N92" s="835">
        <f t="shared" si="5"/>
        <v>1.6500000000000001</v>
      </c>
      <c r="O92" s="835">
        <f t="shared" si="5"/>
        <v>1.6500000000000001</v>
      </c>
    </row>
    <row r="93" spans="2:21" s="743" customFormat="1" hidden="1" outlineLevel="1">
      <c r="B93" s="2319" t="s">
        <v>862</v>
      </c>
      <c r="C93" s="743" t="s">
        <v>2067</v>
      </c>
      <c r="F93" s="838">
        <f>-F$55*F92</f>
        <v>0</v>
      </c>
      <c r="G93" s="838">
        <f t="shared" ref="G93:O93" si="6">-G$55*G92</f>
        <v>0</v>
      </c>
      <c r="H93" s="838">
        <f t="shared" si="6"/>
        <v>-6.0749999999999992E-2</v>
      </c>
      <c r="I93" s="838">
        <f t="shared" si="6"/>
        <v>-0.32175000000000004</v>
      </c>
      <c r="J93" s="838">
        <f t="shared" si="6"/>
        <v>-0.30937500000000001</v>
      </c>
      <c r="K93" s="838">
        <f t="shared" si="6"/>
        <v>-0.29699999999999999</v>
      </c>
      <c r="L93" s="838">
        <f t="shared" si="6"/>
        <v>-0.28462500000000002</v>
      </c>
      <c r="M93" s="838">
        <f t="shared" si="6"/>
        <v>-0.27224999999999999</v>
      </c>
      <c r="N93" s="838">
        <f t="shared" si="6"/>
        <v>-0.25987500000000002</v>
      </c>
      <c r="O93" s="838">
        <f t="shared" si="6"/>
        <v>-0.2475</v>
      </c>
    </row>
    <row r="94" spans="2:21" s="743" customFormat="1" hidden="1" outlineLevel="1">
      <c r="B94" s="837" t="s">
        <v>840</v>
      </c>
      <c r="C94" s="834" t="s">
        <v>2053</v>
      </c>
      <c r="E94" s="743" t="str">
        <f>Preferences.PowerUnits</f>
        <v>GW</v>
      </c>
      <c r="F94" s="835">
        <f>F92+F93</f>
        <v>0</v>
      </c>
      <c r="G94" s="835">
        <f t="shared" ref="G94:O94" si="7">G92+G93</f>
        <v>0</v>
      </c>
      <c r="H94" s="835">
        <f t="shared" si="7"/>
        <v>0.23924999999999999</v>
      </c>
      <c r="I94" s="835">
        <f t="shared" si="7"/>
        <v>1.3282500000000002</v>
      </c>
      <c r="J94" s="835">
        <f t="shared" si="7"/>
        <v>1.3406250000000002</v>
      </c>
      <c r="K94" s="835">
        <f t="shared" si="7"/>
        <v>1.3530000000000002</v>
      </c>
      <c r="L94" s="835">
        <f t="shared" si="7"/>
        <v>1.3653750000000002</v>
      </c>
      <c r="M94" s="835">
        <f t="shared" si="7"/>
        <v>1.3777500000000003</v>
      </c>
      <c r="N94" s="835">
        <f t="shared" si="7"/>
        <v>1.3901250000000001</v>
      </c>
      <c r="O94" s="835">
        <f t="shared" si="7"/>
        <v>1.4025000000000001</v>
      </c>
      <c r="Q94" s="2267" t="s">
        <v>1956</v>
      </c>
      <c r="R94" s="2267"/>
      <c r="S94" s="2267"/>
      <c r="T94" s="2267"/>
    </row>
    <row r="95" spans="2:21" s="743" customFormat="1" hidden="1" outlineLevel="1">
      <c r="C95" s="834"/>
      <c r="F95" s="835"/>
      <c r="G95" s="835"/>
      <c r="H95" s="835"/>
      <c r="I95" s="835"/>
      <c r="J95" s="835"/>
      <c r="K95" s="835"/>
      <c r="L95" s="835"/>
      <c r="M95" s="835"/>
      <c r="N95" s="835"/>
      <c r="O95" s="835"/>
      <c r="Q95" s="2075"/>
      <c r="R95" s="2075"/>
      <c r="S95" s="2075"/>
      <c r="T95" s="2075"/>
      <c r="U95" s="2075"/>
    </row>
    <row r="96" spans="2:21" s="743" customFormat="1" hidden="1" outlineLevel="1">
      <c r="B96" s="743" t="s">
        <v>838</v>
      </c>
      <c r="C96" s="743" t="s">
        <v>773</v>
      </c>
      <c r="F96" s="836">
        <f t="shared" ref="F96:O96" si="8">F$60</f>
        <v>0.627</v>
      </c>
      <c r="G96" s="836">
        <f t="shared" si="8"/>
        <v>0.8</v>
      </c>
      <c r="H96" s="836">
        <f t="shared" si="8"/>
        <v>0.8</v>
      </c>
      <c r="I96" s="836">
        <f t="shared" si="8"/>
        <v>0.8</v>
      </c>
      <c r="J96" s="836">
        <f t="shared" si="8"/>
        <v>0.8</v>
      </c>
      <c r="K96" s="836">
        <f t="shared" si="8"/>
        <v>0.8</v>
      </c>
      <c r="L96" s="836">
        <f t="shared" si="8"/>
        <v>0.8</v>
      </c>
      <c r="M96" s="836">
        <f t="shared" si="8"/>
        <v>0.8</v>
      </c>
      <c r="N96" s="836">
        <f t="shared" si="8"/>
        <v>0.8</v>
      </c>
      <c r="O96" s="836">
        <f t="shared" si="8"/>
        <v>0.8</v>
      </c>
    </row>
    <row r="97" spans="2:15" s="743" customFormat="1" hidden="1" outlineLevel="1">
      <c r="B97" s="837" t="s">
        <v>840</v>
      </c>
      <c r="C97" s="743" t="s">
        <v>2054</v>
      </c>
      <c r="F97" s="838">
        <f t="shared" ref="F97:O97" si="9">F94*F96</f>
        <v>0</v>
      </c>
      <c r="G97" s="838">
        <f t="shared" si="9"/>
        <v>0</v>
      </c>
      <c r="H97" s="838">
        <f t="shared" si="9"/>
        <v>0.19140000000000001</v>
      </c>
      <c r="I97" s="838">
        <f t="shared" si="9"/>
        <v>1.0626000000000002</v>
      </c>
      <c r="J97" s="838">
        <f t="shared" si="9"/>
        <v>1.0725000000000002</v>
      </c>
      <c r="K97" s="838">
        <f t="shared" si="9"/>
        <v>1.0824000000000003</v>
      </c>
      <c r="L97" s="838">
        <f t="shared" si="9"/>
        <v>1.0923000000000003</v>
      </c>
      <c r="M97" s="838">
        <f t="shared" si="9"/>
        <v>1.1022000000000003</v>
      </c>
      <c r="N97" s="838">
        <f t="shared" si="9"/>
        <v>1.1121000000000001</v>
      </c>
      <c r="O97" s="838">
        <f t="shared" si="9"/>
        <v>1.1220000000000001</v>
      </c>
    </row>
    <row r="98" spans="2:15" s="743" customFormat="1" ht="5.25" hidden="1" customHeight="1" outlineLevel="1">
      <c r="C98" s="837"/>
      <c r="F98" s="838"/>
      <c r="G98" s="838"/>
      <c r="H98" s="838"/>
      <c r="I98" s="838"/>
      <c r="J98" s="838"/>
      <c r="K98" s="838"/>
      <c r="L98" s="838"/>
      <c r="M98" s="838"/>
      <c r="N98" s="838"/>
      <c r="O98" s="838"/>
    </row>
    <row r="99" spans="2:15" s="743" customFormat="1" hidden="1" outlineLevel="1">
      <c r="C99" s="834" t="s">
        <v>2056</v>
      </c>
      <c r="E99" s="743" t="str">
        <f>Preferences.EnergyUnits</f>
        <v>TWh</v>
      </c>
      <c r="F99" s="839">
        <f t="shared" ref="F99:O99" si="10">F97*Preferences.Unit.Power*Unit.year/Preferences.Unit.Energy</f>
        <v>0</v>
      </c>
      <c r="G99" s="839">
        <f t="shared" si="10"/>
        <v>0</v>
      </c>
      <c r="H99" s="839">
        <f t="shared" si="10"/>
        <v>1.6778124000000003</v>
      </c>
      <c r="I99" s="839">
        <f t="shared" si="10"/>
        <v>9.3147516000000028</v>
      </c>
      <c r="J99" s="839">
        <f t="shared" si="10"/>
        <v>9.4015350000000026</v>
      </c>
      <c r="K99" s="839">
        <f t="shared" si="10"/>
        <v>9.4883184000000043</v>
      </c>
      <c r="L99" s="839">
        <f t="shared" si="10"/>
        <v>9.5751018000000041</v>
      </c>
      <c r="M99" s="839">
        <f t="shared" si="10"/>
        <v>9.6618852000000039</v>
      </c>
      <c r="N99" s="839">
        <f t="shared" si="10"/>
        <v>9.748668600000002</v>
      </c>
      <c r="O99" s="839">
        <f t="shared" si="10"/>
        <v>9.8354520000000019</v>
      </c>
    </row>
    <row r="100" spans="2:15" s="743" customFormat="1" hidden="1" outlineLevel="1"/>
    <row r="101" spans="2:15" s="903" customFormat="1" hidden="1" outlineLevel="1">
      <c r="C101" s="903" t="s">
        <v>2055</v>
      </c>
      <c r="E101" s="903" t="str">
        <f>Preferences.EnergyUnits</f>
        <v>TWh</v>
      </c>
      <c r="F101" s="904">
        <f ca="1">-SUM(I.b.Inputs[2007])</f>
        <v>310.84555353950748</v>
      </c>
      <c r="G101" s="904">
        <f ca="1">-SUM(I.b.Inputs[2010])</f>
        <v>317.11022819979797</v>
      </c>
      <c r="H101" s="904">
        <f ca="1">-SUM(I.b.Inputs[2015])</f>
        <v>323.52249866164544</v>
      </c>
      <c r="I101" s="904">
        <f ca="1">-SUM(I.b.Inputs[2020])</f>
        <v>337.1959551093658</v>
      </c>
      <c r="J101" s="904">
        <f ca="1">-SUM(I.b.Inputs[2025])</f>
        <v>351.86810045275854</v>
      </c>
      <c r="K101" s="904">
        <f ca="1">-SUM(I.b.Inputs[2030])</f>
        <v>372.41872398124224</v>
      </c>
      <c r="L101" s="904">
        <f ca="1">-SUM(I.b.Inputs[2035])</f>
        <v>407.88958515383672</v>
      </c>
      <c r="M101" s="904">
        <f ca="1">-SUM(I.b.Inputs[2040])</f>
        <v>436.11811483888567</v>
      </c>
      <c r="N101" s="904">
        <f ca="1">-SUM(I.b.Inputs[2045])</f>
        <v>464.13130822527989</v>
      </c>
      <c r="O101" s="904">
        <f ca="1">-SUM(I.b.Inputs[2050])</f>
        <v>480.5489446759895</v>
      </c>
    </row>
    <row r="102" spans="2:15" s="903" customFormat="1" hidden="1" outlineLevel="1">
      <c r="C102" s="903" t="s">
        <v>1796</v>
      </c>
      <c r="F102" s="904">
        <f t="shared" ref="F102:O102" ca="1" si="11">MAX(MIN(F99,F101),0)</f>
        <v>0</v>
      </c>
      <c r="G102" s="904">
        <f t="shared" ca="1" si="11"/>
        <v>0</v>
      </c>
      <c r="H102" s="904">
        <f t="shared" ca="1" si="11"/>
        <v>1.6778124000000003</v>
      </c>
      <c r="I102" s="904">
        <f t="shared" ca="1" si="11"/>
        <v>9.3147516000000028</v>
      </c>
      <c r="J102" s="904">
        <f t="shared" ca="1" si="11"/>
        <v>9.4015350000000026</v>
      </c>
      <c r="K102" s="904">
        <f t="shared" ca="1" si="11"/>
        <v>9.4883184000000043</v>
      </c>
      <c r="L102" s="904">
        <f t="shared" ca="1" si="11"/>
        <v>9.5751018000000041</v>
      </c>
      <c r="M102" s="904">
        <f t="shared" ca="1" si="11"/>
        <v>9.6618852000000039</v>
      </c>
      <c r="N102" s="904">
        <f t="shared" ca="1" si="11"/>
        <v>9.748668600000002</v>
      </c>
      <c r="O102" s="904">
        <f t="shared" ca="1" si="11"/>
        <v>9.8354520000000019</v>
      </c>
    </row>
    <row r="103" spans="2:15" s="903" customFormat="1" hidden="1" outlineLevel="1">
      <c r="F103" s="904"/>
      <c r="G103" s="904"/>
      <c r="H103" s="904"/>
      <c r="I103" s="904"/>
      <c r="J103" s="904"/>
      <c r="K103" s="904"/>
      <c r="L103" s="904"/>
      <c r="M103" s="904"/>
      <c r="N103" s="904"/>
      <c r="O103" s="904"/>
    </row>
    <row r="104" spans="2:15" s="743" customFormat="1" hidden="1" outlineLevel="1">
      <c r="C104" s="834" t="s">
        <v>2057</v>
      </c>
      <c r="D104" s="834"/>
      <c r="E104" s="834" t="str">
        <f>Preferences.EnergyUnits</f>
        <v>TWh</v>
      </c>
      <c r="F104" s="835">
        <f t="shared" ref="F104:O104" si="12">F99</f>
        <v>0</v>
      </c>
      <c r="G104" s="835">
        <f t="shared" si="12"/>
        <v>0</v>
      </c>
      <c r="H104" s="835">
        <f t="shared" si="12"/>
        <v>1.6778124000000003</v>
      </c>
      <c r="I104" s="835">
        <f t="shared" si="12"/>
        <v>9.3147516000000028</v>
      </c>
      <c r="J104" s="835">
        <f t="shared" si="12"/>
        <v>9.4015350000000026</v>
      </c>
      <c r="K104" s="835">
        <f t="shared" si="12"/>
        <v>9.4883184000000043</v>
      </c>
      <c r="L104" s="835">
        <f t="shared" si="12"/>
        <v>9.5751018000000041</v>
      </c>
      <c r="M104" s="835">
        <f t="shared" si="12"/>
        <v>9.6618852000000039</v>
      </c>
      <c r="N104" s="835">
        <f t="shared" si="12"/>
        <v>9.748668600000002</v>
      </c>
      <c r="O104" s="835">
        <f t="shared" si="12"/>
        <v>9.8354520000000019</v>
      </c>
    </row>
    <row r="105" spans="2:15" s="743" customFormat="1" hidden="1" outlineLevel="1">
      <c r="B105" s="837" t="s">
        <v>1232</v>
      </c>
      <c r="C105" s="22" t="s">
        <v>2068</v>
      </c>
      <c r="D105" s="834"/>
      <c r="E105" s="834"/>
      <c r="F105" s="840">
        <f t="shared" ref="F105:N105" si="13">F107*F$55</f>
        <v>0</v>
      </c>
      <c r="G105" s="840">
        <f t="shared" si="13"/>
        <v>0</v>
      </c>
      <c r="H105" s="840">
        <f t="shared" si="13"/>
        <v>0.47352893519163769</v>
      </c>
      <c r="I105" s="840">
        <f t="shared" si="13"/>
        <v>2.5053469820689664</v>
      </c>
      <c r="J105" s="840">
        <f t="shared" si="13"/>
        <v>2.4065362627986358</v>
      </c>
      <c r="K105" s="840">
        <f t="shared" si="13"/>
        <v>2.3079693405405415</v>
      </c>
      <c r="L105" s="840">
        <f t="shared" si="13"/>
        <v>2.2096388769230777</v>
      </c>
      <c r="M105" s="840">
        <f t="shared" si="13"/>
        <v>2.1115378251655637</v>
      </c>
      <c r="N105" s="840">
        <f t="shared" si="13"/>
        <v>2.0136594157377052</v>
      </c>
      <c r="O105" s="840">
        <f>O107*O$55</f>
        <v>1.915997142857143</v>
      </c>
    </row>
    <row r="106" spans="2:15" s="743" customFormat="1" hidden="1" outlineLevel="1">
      <c r="B106" s="837" t="s">
        <v>1232</v>
      </c>
      <c r="C106" s="743" t="s">
        <v>1792</v>
      </c>
      <c r="F106" s="840">
        <f t="shared" ref="F106:N106" si="14">F107*F$54</f>
        <v>0</v>
      </c>
      <c r="G106" s="840">
        <f t="shared" si="14"/>
        <v>0</v>
      </c>
      <c r="H106" s="840">
        <f t="shared" si="14"/>
        <v>0.18707315958188159</v>
      </c>
      <c r="I106" s="840">
        <f t="shared" si="14"/>
        <v>1.0278346593103451</v>
      </c>
      <c r="J106" s="840">
        <f t="shared" si="14"/>
        <v>1.0267888054607512</v>
      </c>
      <c r="K106" s="840">
        <f t="shared" si="14"/>
        <v>1.0257641513513518</v>
      </c>
      <c r="L106" s="840">
        <f t="shared" si="14"/>
        <v>1.0247600588628767</v>
      </c>
      <c r="M106" s="840">
        <f t="shared" si="14"/>
        <v>1.0237759152317885</v>
      </c>
      <c r="N106" s="840">
        <f t="shared" si="14"/>
        <v>1.0228111318032789</v>
      </c>
      <c r="O106" s="840">
        <f>O107*O$54</f>
        <v>1.021865142857143</v>
      </c>
    </row>
    <row r="107" spans="2:15" s="743" customFormat="1" hidden="1" outlineLevel="1">
      <c r="B107" s="841" t="s">
        <v>840</v>
      </c>
      <c r="C107" s="834" t="s">
        <v>2058</v>
      </c>
      <c r="F107" s="839">
        <f t="shared" ref="F107:N107" si="15">F104/(1-SUM(F$54:F$55))</f>
        <v>0</v>
      </c>
      <c r="G107" s="839">
        <f t="shared" si="15"/>
        <v>0</v>
      </c>
      <c r="H107" s="839">
        <f t="shared" si="15"/>
        <v>2.3384144947735197</v>
      </c>
      <c r="I107" s="839">
        <f t="shared" si="15"/>
        <v>12.847933241379314</v>
      </c>
      <c r="J107" s="839">
        <f t="shared" si="15"/>
        <v>12.83486006825939</v>
      </c>
      <c r="K107" s="839">
        <f t="shared" si="15"/>
        <v>12.822051891891897</v>
      </c>
      <c r="L107" s="839">
        <f t="shared" si="15"/>
        <v>12.809500735785958</v>
      </c>
      <c r="M107" s="839">
        <f t="shared" si="15"/>
        <v>12.797198940397356</v>
      </c>
      <c r="N107" s="839">
        <f t="shared" si="15"/>
        <v>12.785139147540987</v>
      </c>
      <c r="O107" s="839">
        <f>O104/(1-SUM(O$54:O$55))</f>
        <v>12.773314285714287</v>
      </c>
    </row>
    <row r="108" spans="2:15" s="743" customFormat="1" hidden="1" outlineLevel="1">
      <c r="B108" s="743" t="s">
        <v>1795</v>
      </c>
      <c r="C108" s="743" t="s">
        <v>1793</v>
      </c>
      <c r="F108" s="842">
        <f>F$85</f>
        <v>0.45</v>
      </c>
      <c r="G108" s="842">
        <f t="shared" ref="G108:O108" si="16">G$85</f>
        <v>0.45</v>
      </c>
      <c r="H108" s="842">
        <f t="shared" si="16"/>
        <v>0.45624999999999999</v>
      </c>
      <c r="I108" s="842">
        <f t="shared" si="16"/>
        <v>0.46136363636363636</v>
      </c>
      <c r="J108" s="842">
        <f t="shared" si="16"/>
        <v>0.46136363636363636</v>
      </c>
      <c r="K108" s="842">
        <f t="shared" si="16"/>
        <v>0.46136363636363636</v>
      </c>
      <c r="L108" s="842">
        <f t="shared" si="16"/>
        <v>0.46136363636363636</v>
      </c>
      <c r="M108" s="842">
        <f t="shared" si="16"/>
        <v>0.46136363636363636</v>
      </c>
      <c r="N108" s="842">
        <f t="shared" si="16"/>
        <v>0.46136363636363636</v>
      </c>
      <c r="O108" s="842">
        <f t="shared" si="16"/>
        <v>0.46136363636363636</v>
      </c>
    </row>
    <row r="109" spans="2:15" s="743" customFormat="1" hidden="1" outlineLevel="1">
      <c r="B109" s="841" t="s">
        <v>840</v>
      </c>
      <c r="C109" s="834" t="s">
        <v>1794</v>
      </c>
      <c r="F109" s="843">
        <f t="shared" ref="F109:O109" si="17">F107/F108</f>
        <v>0</v>
      </c>
      <c r="G109" s="843">
        <f t="shared" si="17"/>
        <v>0</v>
      </c>
      <c r="H109" s="843">
        <f t="shared" si="17"/>
        <v>5.1252920433392211</v>
      </c>
      <c r="I109" s="843">
        <f t="shared" si="17"/>
        <v>27.847737074910828</v>
      </c>
      <c r="J109" s="843">
        <f t="shared" si="17"/>
        <v>27.819401133173063</v>
      </c>
      <c r="K109" s="843">
        <f t="shared" si="17"/>
        <v>27.791639568632682</v>
      </c>
      <c r="L109" s="843">
        <f t="shared" si="17"/>
        <v>27.764435092343948</v>
      </c>
      <c r="M109" s="843">
        <f t="shared" si="17"/>
        <v>27.737771102339096</v>
      </c>
      <c r="N109" s="843">
        <f t="shared" si="17"/>
        <v>27.711631649842534</v>
      </c>
      <c r="O109" s="843">
        <f t="shared" si="17"/>
        <v>27.686001407459539</v>
      </c>
    </row>
    <row r="110" spans="2:15" s="743" customFormat="1" hidden="1" outlineLevel="1">
      <c r="C110" s="841"/>
      <c r="F110" s="685"/>
      <c r="G110" s="685"/>
      <c r="H110" s="685"/>
      <c r="I110" s="685"/>
      <c r="J110" s="685"/>
      <c r="K110" s="685"/>
      <c r="L110" s="685"/>
      <c r="M110" s="685"/>
      <c r="N110" s="685"/>
      <c r="O110" s="685"/>
    </row>
    <row r="111" spans="2:15" s="743" customFormat="1" hidden="1" outlineLevel="1">
      <c r="B111" s="834" t="s">
        <v>1870</v>
      </c>
      <c r="C111" s="841"/>
      <c r="F111" s="685"/>
      <c r="G111" s="685"/>
      <c r="H111" s="685"/>
      <c r="I111" s="685"/>
      <c r="J111" s="685"/>
      <c r="K111" s="685"/>
      <c r="L111" s="685"/>
      <c r="M111" s="685"/>
      <c r="N111" s="685"/>
      <c r="O111" s="685"/>
    </row>
    <row r="112" spans="2:15" s="743" customFormat="1" hidden="1" outlineLevel="1">
      <c r="C112" s="22" t="s">
        <v>1055</v>
      </c>
      <c r="E112" s="743" t="s">
        <v>1075</v>
      </c>
      <c r="F112" s="1217">
        <f>F$109*INDEX(EF[CO2], MATCH("V.03", EF[Vector], 0))</f>
        <v>0</v>
      </c>
      <c r="G112" s="1217">
        <f>G$109*INDEX(EF[CO2], MATCH("V.03", EF[Vector], 0))</f>
        <v>0</v>
      </c>
      <c r="H112" s="1217">
        <f>H$109*INDEX(EF[CO2], MATCH("V.03", EF[Vector], 0))</f>
        <v>1.5785899493484798</v>
      </c>
      <c r="I112" s="1217">
        <f>I$109*INDEX(EF[CO2], MATCH("V.03", EF[Vector], 0))</f>
        <v>8.577103019072533</v>
      </c>
      <c r="J112" s="1217">
        <f>J$109*INDEX(EF[CO2], MATCH("V.03", EF[Vector], 0))</f>
        <v>8.5683755490173024</v>
      </c>
      <c r="K112" s="1217">
        <f>K$109*INDEX(EF[CO2], MATCH("V.03", EF[Vector], 0))</f>
        <v>8.5598249871388639</v>
      </c>
      <c r="L112" s="1217">
        <f>L$109*INDEX(EF[CO2], MATCH("V.03", EF[Vector], 0))</f>
        <v>8.5514460084419337</v>
      </c>
      <c r="M112" s="1217">
        <f>M$109*INDEX(EF[CO2], MATCH("V.03", EF[Vector], 0))</f>
        <v>8.54323349952044</v>
      </c>
      <c r="N112" s="1217">
        <f>N$109*INDEX(EF[CO2], MATCH("V.03", EF[Vector], 0))</f>
        <v>8.5351825481514982</v>
      </c>
      <c r="O112" s="1217">
        <f>O$109*INDEX(EF[CO2], MATCH("V.03", EF[Vector], 0))</f>
        <v>8.527288433497537</v>
      </c>
    </row>
    <row r="113" spans="1:16" s="743" customFormat="1" hidden="1" outlineLevel="1">
      <c r="C113" s="22" t="s">
        <v>1056</v>
      </c>
      <c r="E113" s="743" t="s">
        <v>1075</v>
      </c>
      <c r="F113" s="1217">
        <f>F$109*INDEX(EF[CH4], MATCH("V.03", EF[Vector], 0))</f>
        <v>0</v>
      </c>
      <c r="G113" s="1217">
        <f>G$109*INDEX(EF[CH4], MATCH("V.03", EF[Vector], 0))</f>
        <v>0</v>
      </c>
      <c r="H113" s="1217">
        <f>H$109*INDEX(EF[CH4], MATCH("V.03", EF[Vector], 0))</f>
        <v>4.637326806380287E-3</v>
      </c>
      <c r="I113" s="1217">
        <f>I$109*INDEX(EF[CH4], MATCH("V.03", EF[Vector], 0))</f>
        <v>2.5196429109311341E-2</v>
      </c>
      <c r="J113" s="1217">
        <f>J$109*INDEX(EF[CH4], MATCH("V.03", EF[Vector], 0))</f>
        <v>2.5170790956188859E-2</v>
      </c>
      <c r="K113" s="1217">
        <f>K$109*INDEX(EF[CH4], MATCH("V.03", EF[Vector], 0))</f>
        <v>2.5145672495359397E-2</v>
      </c>
      <c r="L113" s="1217">
        <f>L$109*INDEX(EF[CH4], MATCH("V.03", EF[Vector], 0))</f>
        <v>2.512105808391113E-2</v>
      </c>
      <c r="M113" s="1217">
        <f>M$109*INDEX(EF[CH4], MATCH("V.03", EF[Vector], 0))</f>
        <v>2.5096932700504882E-2</v>
      </c>
      <c r="N113" s="1217">
        <f>N$109*INDEX(EF[CH4], MATCH("V.03", EF[Vector], 0))</f>
        <v>2.5073281914804985E-2</v>
      </c>
      <c r="O113" s="1217">
        <f>O$109*INDEX(EF[CH4], MATCH("V.03", EF[Vector], 0))</f>
        <v>2.5050091858696638E-2</v>
      </c>
    </row>
    <row r="114" spans="1:16" s="743" customFormat="1" hidden="1" outlineLevel="1">
      <c r="C114" s="22" t="s">
        <v>1057</v>
      </c>
      <c r="E114" s="743" t="s">
        <v>1075</v>
      </c>
      <c r="F114" s="1217">
        <f>F$109*INDEX(EF[N2O], MATCH("V.03", EF[Vector], 0))</f>
        <v>0</v>
      </c>
      <c r="G114" s="1217">
        <f>G$109*INDEX(EF[N2O], MATCH("V.03", EF[Vector], 0))</f>
        <v>0</v>
      </c>
      <c r="H114" s="1217">
        <f>H$109*INDEX(EF[N2O], MATCH("V.03", EF[Vector], 0))</f>
        <v>1.3983960277562692E-2</v>
      </c>
      <c r="I114" s="1217">
        <f>I$109*INDEX(EF[N2O], MATCH("V.03", EF[Vector], 0))</f>
        <v>7.5980382343607406E-2</v>
      </c>
      <c r="J114" s="1217">
        <f>J$109*INDEX(EF[N2O], MATCH("V.03", EF[Vector], 0))</f>
        <v>7.5903069932853534E-2</v>
      </c>
      <c r="K114" s="1217">
        <f>K$109*INDEX(EF[N2O], MATCH("V.03", EF[Vector], 0))</f>
        <v>7.5827324665560872E-2</v>
      </c>
      <c r="L114" s="1217">
        <f>L$109*INDEX(EF[N2O], MATCH("V.03", EF[Vector], 0))</f>
        <v>7.5753099370187121E-2</v>
      </c>
      <c r="M114" s="1217">
        <f>M$109*INDEX(EF[N2O], MATCH("V.03", EF[Vector], 0))</f>
        <v>7.5680348749555898E-2</v>
      </c>
      <c r="N114" s="1217">
        <f>N$109*INDEX(EF[N2O], MATCH("V.03", EF[Vector], 0))</f>
        <v>7.5609029288674801E-2</v>
      </c>
      <c r="O114" s="1217">
        <f>O$109*INDEX(EF[N2O], MATCH("V.03", EF[Vector], 0))</f>
        <v>7.5539099167940729E-2</v>
      </c>
    </row>
    <row r="115" spans="1:16" s="743" customFormat="1" hidden="1" outlineLevel="1">
      <c r="C115" s="22"/>
      <c r="F115" s="1217"/>
      <c r="G115" s="1217"/>
      <c r="H115" s="1217"/>
      <c r="I115" s="1217"/>
      <c r="J115" s="1217"/>
      <c r="K115" s="1217"/>
      <c r="L115" s="1217"/>
      <c r="M115" s="1217"/>
      <c r="N115" s="1217"/>
      <c r="O115" s="1217"/>
    </row>
    <row r="116" spans="1:16" s="743" customFormat="1" hidden="1" outlineLevel="1">
      <c r="B116" s="834" t="s">
        <v>1871</v>
      </c>
      <c r="C116" s="841"/>
      <c r="F116" s="685"/>
      <c r="G116" s="685"/>
      <c r="H116" s="685"/>
      <c r="I116" s="685"/>
      <c r="J116" s="685"/>
      <c r="K116" s="685"/>
      <c r="L116" s="685"/>
      <c r="M116" s="685"/>
      <c r="N116" s="685"/>
      <c r="O116" s="685"/>
    </row>
    <row r="117" spans="1:16" s="743" customFormat="1" hidden="1" outlineLevel="1">
      <c r="C117" s="22" t="s">
        <v>1055</v>
      </c>
      <c r="E117" s="743" t="s">
        <v>1075</v>
      </c>
      <c r="F117" s="1217">
        <f>F112*F$65</f>
        <v>0</v>
      </c>
      <c r="G117" s="1217">
        <f t="shared" ref="G117:O117" si="18">G112*G$65</f>
        <v>0</v>
      </c>
      <c r="H117" s="1217">
        <f t="shared" si="18"/>
        <v>1.420730954413632</v>
      </c>
      <c r="I117" s="1217">
        <f t="shared" si="18"/>
        <v>7.7193927171652801</v>
      </c>
      <c r="J117" s="1217">
        <f t="shared" si="18"/>
        <v>7.7115379941155719</v>
      </c>
      <c r="K117" s="1217">
        <f t="shared" si="18"/>
        <v>7.7038424884249777</v>
      </c>
      <c r="L117" s="1217">
        <f t="shared" si="18"/>
        <v>7.6963014075977405</v>
      </c>
      <c r="M117" s="1217">
        <f t="shared" si="18"/>
        <v>7.6889101495683958</v>
      </c>
      <c r="N117" s="1217">
        <f t="shared" si="18"/>
        <v>7.6816642933363486</v>
      </c>
      <c r="O117" s="1217">
        <f t="shared" si="18"/>
        <v>7.6745595901477834</v>
      </c>
    </row>
    <row r="118" spans="1:16" s="743" customFormat="1" hidden="1" outlineLevel="1"/>
    <row r="120" spans="1:16" ht="22.5" collapsed="1">
      <c r="A120" s="1171"/>
      <c r="B120" s="1231" t="s">
        <v>683</v>
      </c>
      <c r="C120" s="1182"/>
      <c r="D120" s="1183"/>
      <c r="E120" s="1183"/>
      <c r="F120" s="1183"/>
      <c r="G120" s="1183"/>
      <c r="H120" s="1183"/>
      <c r="I120" s="1183"/>
      <c r="J120" s="1183"/>
      <c r="K120" s="1183"/>
      <c r="L120" s="1183"/>
      <c r="M120" s="1183"/>
      <c r="N120" s="1183"/>
      <c r="O120" s="1183"/>
      <c r="P120" s="1185"/>
    </row>
    <row r="121" spans="1:16" hidden="1" outlineLevel="1">
      <c r="B121" s="1232"/>
      <c r="C121" s="1174"/>
      <c r="D121" s="1174"/>
      <c r="E121" s="1174"/>
      <c r="F121" s="1174"/>
      <c r="G121" s="1174"/>
      <c r="H121" s="1174"/>
      <c r="I121" s="1174"/>
      <c r="J121" s="1174"/>
      <c r="K121" s="1174"/>
      <c r="L121" s="1174"/>
      <c r="M121" s="1174"/>
      <c r="N121" s="1174"/>
      <c r="O121" s="1174"/>
      <c r="P121" s="1176"/>
    </row>
    <row r="122" spans="1:16" hidden="1" outlineLevel="1">
      <c r="B122" s="1232"/>
      <c r="C122" s="1186" t="s">
        <v>730</v>
      </c>
      <c r="D122" s="1174"/>
      <c r="E122" s="1175"/>
      <c r="F122" s="1174"/>
      <c r="G122" s="1175"/>
      <c r="H122" s="1174"/>
      <c r="I122" s="1174"/>
      <c r="J122" s="1174"/>
      <c r="K122" s="1174"/>
      <c r="L122" s="1174"/>
      <c r="M122" s="1174"/>
      <c r="N122" s="1174"/>
      <c r="O122" s="1175" t="str">
        <f>Preferences.EnergyUnits</f>
        <v>TWh</v>
      </c>
      <c r="P122" s="1176"/>
    </row>
    <row r="123" spans="1:16" ht="6" hidden="1" customHeight="1" outlineLevel="1">
      <c r="B123" s="1232"/>
      <c r="C123" s="1174"/>
      <c r="D123" s="1174"/>
      <c r="E123" s="1174"/>
      <c r="F123" s="1174"/>
      <c r="G123" s="1174"/>
      <c r="H123" s="1174"/>
      <c r="I123" s="1174"/>
      <c r="J123" s="1174"/>
      <c r="K123" s="1174"/>
      <c r="L123" s="1174"/>
      <c r="M123" s="1174"/>
      <c r="N123" s="1174"/>
      <c r="O123" s="1174"/>
      <c r="P123" s="1176"/>
    </row>
    <row r="124" spans="1:16" ht="15.75" hidden="1" outlineLevel="1">
      <c r="A124" s="3"/>
      <c r="B124" s="1247"/>
      <c r="C124" s="1188" t="s">
        <v>78</v>
      </c>
      <c r="D124" s="1188" t="s">
        <v>418</v>
      </c>
      <c r="E124" s="1188" t="s">
        <v>442</v>
      </c>
      <c r="F124" s="1188" t="s">
        <v>691</v>
      </c>
      <c r="G124" s="1188" t="s">
        <v>692</v>
      </c>
      <c r="H124" s="1189" t="s">
        <v>721</v>
      </c>
      <c r="I124" s="1189" t="s">
        <v>722</v>
      </c>
      <c r="J124" s="1189" t="s">
        <v>723</v>
      </c>
      <c r="K124" s="1189" t="s">
        <v>724</v>
      </c>
      <c r="L124" s="1189" t="s">
        <v>725</v>
      </c>
      <c r="M124" s="1189" t="s">
        <v>726</v>
      </c>
      <c r="N124" s="1189" t="s">
        <v>727</v>
      </c>
      <c r="O124" s="1189" t="s">
        <v>728</v>
      </c>
      <c r="P124" s="1176"/>
    </row>
    <row r="125" spans="1:16" ht="15.75" hidden="1" outlineLevel="1">
      <c r="A125" s="3"/>
      <c r="B125" s="1247"/>
      <c r="C125" s="765" t="s">
        <v>46</v>
      </c>
      <c r="D125" s="765" t="str">
        <f>INDEX(Vectors[Description], MATCH([Vector], Vectors[Code], 0))</f>
        <v>Electricity (supplied to grid)</v>
      </c>
      <c r="E125" s="765"/>
      <c r="F125" s="953">
        <f>F$104</f>
        <v>0</v>
      </c>
      <c r="G125" s="953">
        <f t="shared" ref="G125:O125" si="19">G$104</f>
        <v>0</v>
      </c>
      <c r="H125" s="953">
        <f t="shared" si="19"/>
        <v>1.6778124000000003</v>
      </c>
      <c r="I125" s="953">
        <f t="shared" si="19"/>
        <v>9.3147516000000028</v>
      </c>
      <c r="J125" s="953">
        <f t="shared" si="19"/>
        <v>9.4015350000000026</v>
      </c>
      <c r="K125" s="953">
        <f t="shared" si="19"/>
        <v>9.4883184000000043</v>
      </c>
      <c r="L125" s="953">
        <f t="shared" si="19"/>
        <v>9.5751018000000041</v>
      </c>
      <c r="M125" s="953">
        <f t="shared" si="19"/>
        <v>9.6618852000000039</v>
      </c>
      <c r="N125" s="953">
        <f t="shared" si="19"/>
        <v>9.748668600000002</v>
      </c>
      <c r="O125" s="953">
        <f t="shared" si="19"/>
        <v>9.8354520000000019</v>
      </c>
      <c r="P125" s="1176"/>
    </row>
    <row r="126" spans="1:16" ht="15.75" hidden="1" outlineLevel="1">
      <c r="A126" s="3"/>
      <c r="B126" s="1247"/>
      <c r="C126" s="765" t="s">
        <v>47</v>
      </c>
      <c r="D126" s="765" t="str">
        <f>INDEX(Vectors[Description], MATCH([Vector], Vectors[Code], 0))</f>
        <v>Solid hydrocarbons</v>
      </c>
      <c r="E126" s="765"/>
      <c r="F126" s="953">
        <f>-F$109</f>
        <v>0</v>
      </c>
      <c r="G126" s="953">
        <f t="shared" ref="G126:O126" si="20">-G$109</f>
        <v>0</v>
      </c>
      <c r="H126" s="953">
        <f t="shared" si="20"/>
        <v>-5.1252920433392211</v>
      </c>
      <c r="I126" s="953">
        <f t="shared" si="20"/>
        <v>-27.847737074910828</v>
      </c>
      <c r="J126" s="953">
        <f t="shared" si="20"/>
        <v>-27.819401133173063</v>
      </c>
      <c r="K126" s="953">
        <f t="shared" si="20"/>
        <v>-27.791639568632682</v>
      </c>
      <c r="L126" s="953">
        <f t="shared" si="20"/>
        <v>-27.764435092343948</v>
      </c>
      <c r="M126" s="953">
        <f t="shared" si="20"/>
        <v>-27.737771102339096</v>
      </c>
      <c r="N126" s="953">
        <f t="shared" si="20"/>
        <v>-27.711631649842534</v>
      </c>
      <c r="O126" s="953">
        <f t="shared" si="20"/>
        <v>-27.686001407459539</v>
      </c>
      <c r="P126" s="1176"/>
    </row>
    <row r="127" spans="1:16" ht="15.75" hidden="1" outlineLevel="1">
      <c r="A127" s="3"/>
      <c r="B127" s="1247"/>
      <c r="C127" s="765" t="s">
        <v>34</v>
      </c>
      <c r="D127" s="765" t="str">
        <f>INDEX(Vectors[Description], MATCH([Vector], Vectors[Code], 0))</f>
        <v>Conversion losses</v>
      </c>
      <c r="E127" s="765"/>
      <c r="F127" s="953">
        <f>(F$109-F$107)</f>
        <v>0</v>
      </c>
      <c r="G127" s="953">
        <f t="shared" ref="G127:O127" si="21">(G$109-G$107)</f>
        <v>0</v>
      </c>
      <c r="H127" s="953">
        <f t="shared" si="21"/>
        <v>2.7868775485657014</v>
      </c>
      <c r="I127" s="953">
        <f t="shared" si="21"/>
        <v>14.999803833531514</v>
      </c>
      <c r="J127" s="953">
        <f t="shared" si="21"/>
        <v>14.984541064913673</v>
      </c>
      <c r="K127" s="953">
        <f t="shared" si="21"/>
        <v>14.969587676740785</v>
      </c>
      <c r="L127" s="953">
        <f t="shared" si="21"/>
        <v>14.95493435655799</v>
      </c>
      <c r="M127" s="953">
        <f t="shared" si="21"/>
        <v>14.94057216194174</v>
      </c>
      <c r="N127" s="953">
        <f t="shared" si="21"/>
        <v>14.926492502301548</v>
      </c>
      <c r="O127" s="953">
        <f t="shared" si="21"/>
        <v>14.912687121745252</v>
      </c>
      <c r="P127" s="1176"/>
    </row>
    <row r="128" spans="1:16" ht="15.75" hidden="1" outlineLevel="1">
      <c r="A128" s="3"/>
      <c r="B128" s="1247"/>
      <c r="C128" s="765" t="s">
        <v>35</v>
      </c>
      <c r="D128" s="765" t="str">
        <f>INDEX(Vectors[Description], MATCH([Vector], Vectors[Code], 0))</f>
        <v>Distribution losses and own use</v>
      </c>
      <c r="E128" s="765"/>
      <c r="F128" s="953">
        <f>F$106</f>
        <v>0</v>
      </c>
      <c r="G128" s="953">
        <f>G$106</f>
        <v>0</v>
      </c>
      <c r="H128" s="953">
        <f>H$106+H105</f>
        <v>0.66060209477351928</v>
      </c>
      <c r="I128" s="953">
        <f t="shared" ref="I128:O128" si="22">I$106+I105</f>
        <v>3.5331816413793113</v>
      </c>
      <c r="J128" s="953">
        <f t="shared" si="22"/>
        <v>3.433325068259387</v>
      </c>
      <c r="K128" s="953">
        <f t="shared" si="22"/>
        <v>3.3337334918918931</v>
      </c>
      <c r="L128" s="953">
        <f t="shared" si="22"/>
        <v>3.2343989357859542</v>
      </c>
      <c r="M128" s="953">
        <f t="shared" si="22"/>
        <v>3.1353137403973523</v>
      </c>
      <c r="N128" s="953">
        <f t="shared" si="22"/>
        <v>3.0364705475409841</v>
      </c>
      <c r="O128" s="953">
        <f t="shared" si="22"/>
        <v>2.937862285714286</v>
      </c>
      <c r="P128" s="1176"/>
    </row>
    <row r="129" spans="1:16" ht="15.75" hidden="1" outlineLevel="1">
      <c r="A129" s="3"/>
      <c r="B129" s="1247"/>
      <c r="C129" s="765" t="s">
        <v>148</v>
      </c>
      <c r="D129" s="765"/>
      <c r="E129" s="765"/>
      <c r="F129" s="779">
        <f>SUBTOTAL(109,[2007])</f>
        <v>0</v>
      </c>
      <c r="G129" s="765">
        <f>SUBTOTAL(109,[2010])</f>
        <v>0</v>
      </c>
      <c r="H129" s="765">
        <f>SUBTOTAL(109,[2015])</f>
        <v>0</v>
      </c>
      <c r="I129" s="765">
        <f>SUBTOTAL(109,[2020])</f>
        <v>0</v>
      </c>
      <c r="J129" s="765">
        <f>SUBTOTAL(109,[2025])</f>
        <v>0</v>
      </c>
      <c r="K129" s="765">
        <f>SUBTOTAL(109,[2030])</f>
        <v>0</v>
      </c>
      <c r="L129" s="765">
        <f>SUBTOTAL(109,[2035])</f>
        <v>0</v>
      </c>
      <c r="M129" s="765">
        <f>SUBTOTAL(109,[2040])</f>
        <v>0</v>
      </c>
      <c r="N129" s="765">
        <f>SUBTOTAL(109,[2045])</f>
        <v>0</v>
      </c>
      <c r="O129" s="765">
        <f>SUBTOTAL(109,[2050])</f>
        <v>0</v>
      </c>
      <c r="P129" s="1176"/>
    </row>
    <row r="130" spans="1:16" ht="15.75" hidden="1" outlineLevel="1">
      <c r="A130" s="3"/>
      <c r="B130" s="1248"/>
      <c r="C130" s="1179"/>
      <c r="D130" s="1179"/>
      <c r="E130" s="1179"/>
      <c r="F130" s="1179"/>
      <c r="G130" s="1179"/>
      <c r="H130" s="1179"/>
      <c r="I130" s="1179"/>
      <c r="J130" s="1179"/>
      <c r="K130" s="1179"/>
      <c r="L130" s="1179"/>
      <c r="M130" s="1179"/>
      <c r="N130" s="1179"/>
      <c r="O130" s="1179"/>
      <c r="P130" s="1181"/>
    </row>
    <row r="131" spans="1:16" hidden="1" outlineLevel="1">
      <c r="B131" s="1235"/>
    </row>
    <row r="132" spans="1:16" ht="22.5" hidden="1" outlineLevel="1">
      <c r="A132" s="1171"/>
      <c r="B132" s="1249" t="s">
        <v>902</v>
      </c>
      <c r="C132" s="1198"/>
      <c r="D132" s="1199"/>
      <c r="E132" s="1199"/>
      <c r="F132" s="1199"/>
      <c r="G132" s="1199"/>
      <c r="H132" s="1199"/>
      <c r="I132" s="1199"/>
      <c r="J132" s="1199"/>
      <c r="K132" s="1199"/>
      <c r="L132" s="1199"/>
      <c r="M132" s="1199"/>
      <c r="N132" s="1199"/>
      <c r="O132" s="1199"/>
      <c r="P132" s="1200"/>
    </row>
    <row r="133" spans="1:16" hidden="1" outlineLevel="1">
      <c r="B133" s="1207"/>
      <c r="C133" s="1208"/>
      <c r="D133" s="1208"/>
      <c r="E133" s="1208"/>
      <c r="F133" s="1208"/>
      <c r="G133" s="1208"/>
      <c r="H133" s="1208"/>
      <c r="I133" s="1208"/>
      <c r="J133" s="1208"/>
      <c r="K133" s="1208"/>
      <c r="L133" s="1208"/>
      <c r="M133" s="1208"/>
      <c r="N133" s="1208"/>
      <c r="O133" s="1208"/>
      <c r="P133" s="1209"/>
    </row>
    <row r="134" spans="1:16" ht="14.25" hidden="1" outlineLevel="1">
      <c r="B134" s="1210"/>
      <c r="C134" s="1201" t="s">
        <v>1073</v>
      </c>
      <c r="D134" s="1202"/>
      <c r="E134" s="1203"/>
      <c r="F134" s="1202"/>
      <c r="G134" s="1203"/>
      <c r="H134" s="1202"/>
      <c r="I134" s="1202"/>
      <c r="J134" s="1202"/>
      <c r="K134" s="1202"/>
      <c r="L134" s="1202"/>
      <c r="M134" s="1202"/>
      <c r="N134" s="1202"/>
      <c r="O134" s="1203" t="s">
        <v>1076</v>
      </c>
      <c r="P134" s="1211"/>
    </row>
    <row r="135" spans="1:16" ht="5.25" hidden="1" customHeight="1" outlineLevel="1">
      <c r="B135" s="1210"/>
      <c r="C135" s="1202"/>
      <c r="D135" s="1202"/>
      <c r="E135" s="1202"/>
      <c r="F135" s="1202"/>
      <c r="G135" s="1202"/>
      <c r="H135" s="1202"/>
      <c r="I135" s="1202"/>
      <c r="J135" s="1202"/>
      <c r="K135" s="1202"/>
      <c r="L135" s="1202"/>
      <c r="M135" s="1202"/>
      <c r="N135" s="1202"/>
      <c r="O135" s="1202"/>
      <c r="P135" s="1211"/>
    </row>
    <row r="136" spans="1:16" ht="15.75" hidden="1" outlineLevel="1">
      <c r="B136" s="1212"/>
      <c r="C136" s="1204" t="s">
        <v>1072</v>
      </c>
      <c r="D136" s="1204" t="s">
        <v>1042</v>
      </c>
      <c r="E136" s="1204" t="s">
        <v>442</v>
      </c>
      <c r="F136" s="1204" t="s">
        <v>691</v>
      </c>
      <c r="G136" s="1204" t="s">
        <v>692</v>
      </c>
      <c r="H136" s="1205" t="s">
        <v>721</v>
      </c>
      <c r="I136" s="1205" t="s">
        <v>722</v>
      </c>
      <c r="J136" s="1205" t="s">
        <v>723</v>
      </c>
      <c r="K136" s="1205" t="s">
        <v>724</v>
      </c>
      <c r="L136" s="1205" t="s">
        <v>725</v>
      </c>
      <c r="M136" s="1205" t="s">
        <v>726</v>
      </c>
      <c r="N136" s="1205" t="s">
        <v>727</v>
      </c>
      <c r="O136" s="1205" t="s">
        <v>728</v>
      </c>
      <c r="P136" s="1211"/>
    </row>
    <row r="137" spans="1:16" ht="15.75" hidden="1" outlineLevel="1">
      <c r="B137" s="1212"/>
      <c r="C137" s="1206" t="s">
        <v>1055</v>
      </c>
      <c r="D137" s="1216" t="s">
        <v>1065</v>
      </c>
      <c r="E137" s="1206" t="str">
        <f>INDEX(IPCC[Sector_description], MATCH([IPCC Sector], IPCC[Sector_code], 0))</f>
        <v>Fuel Combustion</v>
      </c>
      <c r="F137" s="1218">
        <f>F$112</f>
        <v>0</v>
      </c>
      <c r="G137" s="1218">
        <f t="shared" ref="G137:O137" si="23">G$112</f>
        <v>0</v>
      </c>
      <c r="H137" s="1218">
        <f t="shared" si="23"/>
        <v>1.5785899493484798</v>
      </c>
      <c r="I137" s="1218">
        <f t="shared" si="23"/>
        <v>8.577103019072533</v>
      </c>
      <c r="J137" s="1218">
        <f t="shared" si="23"/>
        <v>8.5683755490173024</v>
      </c>
      <c r="K137" s="1218">
        <f t="shared" si="23"/>
        <v>8.5598249871388639</v>
      </c>
      <c r="L137" s="1218">
        <f t="shared" si="23"/>
        <v>8.5514460084419337</v>
      </c>
      <c r="M137" s="1218">
        <f t="shared" si="23"/>
        <v>8.54323349952044</v>
      </c>
      <c r="N137" s="1218">
        <f t="shared" si="23"/>
        <v>8.5351825481514982</v>
      </c>
      <c r="O137" s="1218">
        <f t="shared" si="23"/>
        <v>8.527288433497537</v>
      </c>
      <c r="P137" s="1211"/>
    </row>
    <row r="138" spans="1:16" ht="15.75" hidden="1" outlineLevel="1">
      <c r="B138" s="1212"/>
      <c r="C138" s="1206" t="s">
        <v>1056</v>
      </c>
      <c r="D138" s="1216" t="s">
        <v>1065</v>
      </c>
      <c r="E138" s="1206" t="str">
        <f>INDEX(IPCC[Sector_description], MATCH([IPCC Sector], IPCC[Sector_code], 0))</f>
        <v>Fuel Combustion</v>
      </c>
      <c r="F138" s="1218">
        <f>F$113</f>
        <v>0</v>
      </c>
      <c r="G138" s="1218">
        <f t="shared" ref="G138:O138" si="24">G$113</f>
        <v>0</v>
      </c>
      <c r="H138" s="1218">
        <f t="shared" si="24"/>
        <v>4.637326806380287E-3</v>
      </c>
      <c r="I138" s="1218">
        <f t="shared" si="24"/>
        <v>2.5196429109311341E-2</v>
      </c>
      <c r="J138" s="1218">
        <f t="shared" si="24"/>
        <v>2.5170790956188859E-2</v>
      </c>
      <c r="K138" s="1218">
        <f t="shared" si="24"/>
        <v>2.5145672495359397E-2</v>
      </c>
      <c r="L138" s="1218">
        <f t="shared" si="24"/>
        <v>2.512105808391113E-2</v>
      </c>
      <c r="M138" s="1218">
        <f t="shared" si="24"/>
        <v>2.5096932700504882E-2</v>
      </c>
      <c r="N138" s="1218">
        <f t="shared" si="24"/>
        <v>2.5073281914804985E-2</v>
      </c>
      <c r="O138" s="1218">
        <f t="shared" si="24"/>
        <v>2.5050091858696638E-2</v>
      </c>
      <c r="P138" s="1211"/>
    </row>
    <row r="139" spans="1:16" ht="15.75" hidden="1" outlineLevel="1">
      <c r="B139" s="1212"/>
      <c r="C139" s="1206" t="s">
        <v>1057</v>
      </c>
      <c r="D139" s="1216" t="s">
        <v>1065</v>
      </c>
      <c r="E139" s="1206" t="str">
        <f>INDEX(IPCC[Sector_description], MATCH([IPCC Sector], IPCC[Sector_code], 0))</f>
        <v>Fuel Combustion</v>
      </c>
      <c r="F139" s="1218">
        <f>F$114</f>
        <v>0</v>
      </c>
      <c r="G139" s="1218">
        <f t="shared" ref="G139:O139" si="25">G$114</f>
        <v>0</v>
      </c>
      <c r="H139" s="1218">
        <f t="shared" si="25"/>
        <v>1.3983960277562692E-2</v>
      </c>
      <c r="I139" s="1218">
        <f t="shared" si="25"/>
        <v>7.5980382343607406E-2</v>
      </c>
      <c r="J139" s="1218">
        <f t="shared" si="25"/>
        <v>7.5903069932853534E-2</v>
      </c>
      <c r="K139" s="1218">
        <f t="shared" si="25"/>
        <v>7.5827324665560872E-2</v>
      </c>
      <c r="L139" s="1218">
        <f t="shared" si="25"/>
        <v>7.5753099370187121E-2</v>
      </c>
      <c r="M139" s="1218">
        <f t="shared" si="25"/>
        <v>7.5680348749555898E-2</v>
      </c>
      <c r="N139" s="1218">
        <f t="shared" si="25"/>
        <v>7.5609029288674801E-2</v>
      </c>
      <c r="O139" s="1218">
        <f t="shared" si="25"/>
        <v>7.5539099167940729E-2</v>
      </c>
      <c r="P139" s="1211"/>
    </row>
    <row r="140" spans="1:16" ht="15.75" hidden="1" outlineLevel="1">
      <c r="B140" s="1212"/>
      <c r="C140" s="1206" t="s">
        <v>1055</v>
      </c>
      <c r="D140" s="1216" t="s">
        <v>1078</v>
      </c>
      <c r="E140" s="1206" t="str">
        <f>INDEX(IPCC[Sector_description], MATCH([IPCC Sector], IPCC[Sector_code], 0))</f>
        <v>Carbon capture</v>
      </c>
      <c r="F140" s="1218">
        <f>-F117</f>
        <v>0</v>
      </c>
      <c r="G140" s="1218">
        <f t="shared" ref="G140:O140" si="26">-G117</f>
        <v>0</v>
      </c>
      <c r="H140" s="1218">
        <f t="shared" si="26"/>
        <v>-1.420730954413632</v>
      </c>
      <c r="I140" s="1218">
        <f t="shared" si="26"/>
        <v>-7.7193927171652801</v>
      </c>
      <c r="J140" s="1218">
        <f t="shared" si="26"/>
        <v>-7.7115379941155719</v>
      </c>
      <c r="K140" s="1218">
        <f t="shared" si="26"/>
        <v>-7.7038424884249777</v>
      </c>
      <c r="L140" s="1218">
        <f t="shared" si="26"/>
        <v>-7.6963014075977405</v>
      </c>
      <c r="M140" s="1218">
        <f t="shared" si="26"/>
        <v>-7.6889101495683958</v>
      </c>
      <c r="N140" s="1218">
        <f t="shared" si="26"/>
        <v>-7.6816642933363486</v>
      </c>
      <c r="O140" s="1218">
        <f t="shared" si="26"/>
        <v>-7.6745595901477834</v>
      </c>
      <c r="P140" s="1211"/>
    </row>
    <row r="141" spans="1:16" ht="15.75" hidden="1" outlineLevel="1">
      <c r="B141" s="1212"/>
      <c r="C141" s="1206" t="s">
        <v>148</v>
      </c>
      <c r="D141" s="1206"/>
      <c r="E141" s="1206"/>
      <c r="F141" s="1278">
        <f>SUBTOTAL(109,[2007])</f>
        <v>0</v>
      </c>
      <c r="G141" s="1278">
        <f>SUBTOTAL(109,[2010])</f>
        <v>0</v>
      </c>
      <c r="H141" s="1278">
        <f>SUBTOTAL(109,[2015])</f>
        <v>0</v>
      </c>
      <c r="I141" s="1278">
        <f>SUBTOTAL(109,[2020])</f>
        <v>0</v>
      </c>
      <c r="J141" s="1278">
        <f>SUBTOTAL(109,[2025])</f>
        <v>0</v>
      </c>
      <c r="K141" s="1278">
        <f>SUBTOTAL(109,[2030])</f>
        <v>0</v>
      </c>
      <c r="L141" s="1278">
        <f>SUBTOTAL(109,[2035])</f>
        <v>0</v>
      </c>
      <c r="M141" s="1278">
        <f>SUBTOTAL(109,[2040])</f>
        <v>0</v>
      </c>
      <c r="N141" s="1278">
        <f>SUBTOTAL(109,[2045])</f>
        <v>0</v>
      </c>
      <c r="O141" s="1278">
        <f>SUBTOTAL(109,[2050])</f>
        <v>0</v>
      </c>
      <c r="P141" s="1211"/>
    </row>
    <row r="142" spans="1:16" ht="15.75" hidden="1" outlineLevel="1">
      <c r="B142" s="1212"/>
      <c r="C142" s="1214"/>
      <c r="D142" s="1214"/>
      <c r="E142" s="1214"/>
      <c r="F142" s="1214"/>
      <c r="G142" s="1214"/>
      <c r="H142" s="1214"/>
      <c r="I142" s="1214"/>
      <c r="J142" s="1214"/>
      <c r="K142" s="1214"/>
      <c r="L142" s="1214"/>
      <c r="M142" s="1214"/>
      <c r="N142" s="1214"/>
      <c r="O142" s="1214"/>
      <c r="P142" s="1211"/>
    </row>
  </sheetData>
  <pageMargins left="0.7" right="0.7" top="0.75" bottom="0.75" header="0.3" footer="0.3"/>
  <pageSetup paperSize="9" orientation="portrait" r:id="rId1"/>
  <ignoredErrors>
    <ignoredError sqref="D137:D140 F15:F16 F125:O127 F128:G128" calculatedColumn="1"/>
  </ignoredErrors>
  <tableParts count="3">
    <tablePart r:id="rId2"/>
    <tablePart r:id="rId3"/>
    <tablePart r:id="rId4"/>
  </tableParts>
</worksheet>
</file>

<file path=xl/worksheets/sheet18.xml><?xml version="1.0" encoding="utf-8"?>
<worksheet xmlns="http://schemas.openxmlformats.org/spreadsheetml/2006/main" xmlns:r="http://schemas.openxmlformats.org/officeDocument/2006/relationships">
  <sheetPr codeName="Sheet81">
    <tabColor theme="9"/>
    <outlinePr summaryBelow="0"/>
    <pageSetUpPr autoPageBreaks="0"/>
  </sheetPr>
  <dimension ref="A1:AD116"/>
  <sheetViews>
    <sheetView showGridLines="0" zoomScale="80" zoomScaleNormal="80" workbookViewId="0">
      <pane ySplit="2" topLeftCell="A3" activePane="bottomLeft" state="frozen"/>
      <selection activeCell="Q127" sqref="Q127:Z140"/>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15" width="10.7109375" style="121" customWidth="1"/>
    <col min="16" max="16" width="2" style="121" customWidth="1"/>
    <col min="17" max="26" width="10.7109375" style="121" customWidth="1"/>
    <col min="27" max="16384" width="9.140625" style="121"/>
  </cols>
  <sheetData>
    <row r="1" spans="1:30" ht="21">
      <c r="A1" s="789" t="s">
        <v>75</v>
      </c>
      <c r="B1" s="789" t="str">
        <f>INDEX(Workstreams[Workstream], MATCH($A1, Workstreams[Code], 0))</f>
        <v>Nuclear power generation</v>
      </c>
      <c r="C1" s="789"/>
    </row>
    <row r="2" spans="1:30" s="743" customFormat="1" ht="19.5" customHeight="1">
      <c r="A2" s="10" t="s">
        <v>756</v>
      </c>
      <c r="B2" s="10" t="str">
        <f>INDEX(Modules[Module], MATCH($A2, Modules[Code], 0))</f>
        <v>Nuclear power</v>
      </c>
      <c r="C2" s="10"/>
    </row>
    <row r="4" spans="1:30" ht="22.5" collapsed="1">
      <c r="A4" s="1171"/>
      <c r="B4" s="1231" t="s">
        <v>1357</v>
      </c>
      <c r="C4" s="1182"/>
      <c r="D4" s="1183"/>
      <c r="E4" s="1184"/>
      <c r="F4" s="1183"/>
      <c r="G4" s="1183"/>
      <c r="H4" s="1183"/>
      <c r="I4" s="1183"/>
      <c r="J4" s="1183"/>
      <c r="K4" s="1183"/>
      <c r="L4" s="1183"/>
      <c r="M4" s="1183"/>
      <c r="N4" s="1183"/>
      <c r="O4" s="1183"/>
      <c r="P4" s="1185"/>
      <c r="R4" s="834"/>
    </row>
    <row r="5" spans="1:30" hidden="1" outlineLevel="1">
      <c r="B5" s="1172"/>
      <c r="C5" s="1173"/>
      <c r="D5" s="1174"/>
      <c r="E5" s="1175"/>
      <c r="F5" s="1174"/>
      <c r="G5" s="1174"/>
      <c r="H5" s="1174"/>
      <c r="I5" s="1174"/>
      <c r="J5" s="1174"/>
      <c r="K5" s="1174"/>
      <c r="L5" s="1174"/>
      <c r="M5" s="1174"/>
      <c r="N5" s="1174"/>
      <c r="O5" s="1174"/>
      <c r="P5" s="1176"/>
    </row>
    <row r="6" spans="1:30" ht="15.75" hidden="1" outlineLevel="1">
      <c r="B6" s="1177"/>
      <c r="C6" s="1174"/>
      <c r="D6" s="922" t="s">
        <v>830</v>
      </c>
      <c r="E6" s="922" t="s">
        <v>1352</v>
      </c>
      <c r="F6" s="1174"/>
      <c r="G6" s="1174"/>
      <c r="H6" s="1174"/>
      <c r="I6" s="1174"/>
      <c r="J6" s="1174"/>
      <c r="K6" s="1174"/>
      <c r="L6" s="1174"/>
      <c r="M6" s="1174"/>
      <c r="N6" s="1174"/>
      <c r="O6" s="1174"/>
      <c r="P6" s="1176"/>
    </row>
    <row r="7" spans="1:30" ht="15.75" hidden="1" outlineLevel="1">
      <c r="B7" s="1177"/>
      <c r="C7" s="1174"/>
      <c r="D7" s="950" t="s">
        <v>1352</v>
      </c>
      <c r="E7" s="950">
        <f>II.a.Scenario</f>
        <v>1</v>
      </c>
      <c r="F7" s="1174"/>
      <c r="G7" s="1174"/>
      <c r="H7" s="1174"/>
      <c r="I7" s="1174"/>
      <c r="J7" s="1174"/>
      <c r="K7" s="1174"/>
      <c r="L7" s="1174"/>
      <c r="M7" s="1174"/>
      <c r="N7" s="1174"/>
      <c r="O7" s="1174"/>
      <c r="P7" s="1176"/>
      <c r="U7"/>
      <c r="V7"/>
      <c r="W7"/>
      <c r="X7"/>
      <c r="Y7"/>
      <c r="Z7"/>
      <c r="AA7"/>
      <c r="AB7"/>
      <c r="AC7"/>
      <c r="AD7"/>
    </row>
    <row r="8" spans="1:30" ht="15.75" hidden="1" outlineLevel="1">
      <c r="B8" s="1178"/>
      <c r="C8" s="1179"/>
      <c r="D8" s="1179"/>
      <c r="E8" s="1179"/>
      <c r="F8" s="1180"/>
      <c r="G8" s="1180"/>
      <c r="H8" s="1180"/>
      <c r="I8" s="1180"/>
      <c r="J8" s="1180"/>
      <c r="K8" s="1180"/>
      <c r="L8" s="1180"/>
      <c r="M8" s="1180"/>
      <c r="N8" s="1180"/>
      <c r="O8" s="1180"/>
      <c r="P8" s="1181"/>
      <c r="U8"/>
      <c r="V8"/>
      <c r="W8"/>
      <c r="X8"/>
      <c r="Y8"/>
      <c r="Z8"/>
      <c r="AA8"/>
      <c r="AB8"/>
      <c r="AC8"/>
      <c r="AD8"/>
    </row>
    <row r="9" spans="1:30">
      <c r="U9"/>
      <c r="V9"/>
      <c r="W9"/>
      <c r="X9"/>
      <c r="Y9"/>
      <c r="Z9"/>
      <c r="AA9"/>
      <c r="AB9"/>
      <c r="AC9"/>
      <c r="AD9"/>
    </row>
    <row r="10" spans="1:30" ht="22.5" collapsed="1">
      <c r="A10" s="1171"/>
      <c r="B10" s="1231" t="s">
        <v>2330</v>
      </c>
      <c r="C10" s="1183"/>
      <c r="D10" s="1183"/>
      <c r="E10" s="1183"/>
      <c r="F10" s="1183"/>
      <c r="G10" s="1183"/>
      <c r="H10" s="1183"/>
      <c r="I10" s="1183"/>
      <c r="J10" s="1183"/>
      <c r="K10" s="1183"/>
      <c r="L10" s="1183"/>
      <c r="M10" s="1183"/>
      <c r="N10" s="1183"/>
      <c r="O10" s="1183"/>
      <c r="P10" s="1185"/>
      <c r="U10"/>
      <c r="V10"/>
      <c r="W10"/>
      <c r="X10"/>
      <c r="Y10"/>
      <c r="Z10"/>
      <c r="AA10"/>
      <c r="AB10"/>
      <c r="AC10"/>
      <c r="AD10"/>
    </row>
    <row r="11" spans="1:30" hidden="1" outlineLevel="1">
      <c r="B11" s="1232"/>
      <c r="C11" s="1174"/>
      <c r="D11" s="1174"/>
      <c r="E11" s="1174"/>
      <c r="F11" s="1174"/>
      <c r="G11" s="1174"/>
      <c r="H11" s="1174"/>
      <c r="I11" s="1174"/>
      <c r="J11" s="1174"/>
      <c r="K11" s="1174"/>
      <c r="L11" s="1174"/>
      <c r="M11" s="1174"/>
      <c r="N11" s="1174"/>
      <c r="O11" s="1174"/>
      <c r="P11" s="1176"/>
      <c r="U11"/>
      <c r="V11"/>
      <c r="W11"/>
      <c r="X11"/>
      <c r="Y11"/>
      <c r="Z11"/>
      <c r="AA11"/>
      <c r="AB11"/>
      <c r="AC11"/>
      <c r="AD11"/>
    </row>
    <row r="12" spans="1:30" hidden="1" outlineLevel="1">
      <c r="B12" s="1232"/>
      <c r="C12" s="1186" t="s">
        <v>747</v>
      </c>
      <c r="D12" s="1174"/>
      <c r="E12" s="1175"/>
      <c r="F12" s="1174"/>
      <c r="G12" s="1174"/>
      <c r="H12" s="1174"/>
      <c r="I12" s="1174"/>
      <c r="J12" s="1174"/>
      <c r="K12" s="1174"/>
      <c r="L12" s="1174"/>
      <c r="M12" s="1174"/>
      <c r="N12" s="1174"/>
      <c r="O12" s="1175" t="str">
        <f>Preferences.EnergyUnits</f>
        <v>TWh</v>
      </c>
      <c r="P12" s="1176"/>
    </row>
    <row r="13" spans="1:30" ht="6" hidden="1" customHeight="1" outlineLevel="1">
      <c r="B13" s="1232"/>
      <c r="C13" s="1173"/>
      <c r="D13" s="1174"/>
      <c r="E13" s="1175"/>
      <c r="F13" s="1174"/>
      <c r="G13" s="1174"/>
      <c r="H13" s="1174"/>
      <c r="I13" s="1174"/>
      <c r="J13" s="1174"/>
      <c r="K13" s="1174"/>
      <c r="L13" s="1174"/>
      <c r="M13" s="1174"/>
      <c r="N13" s="1174"/>
      <c r="O13" s="1174"/>
      <c r="P13" s="1176"/>
    </row>
    <row r="14" spans="1:30" s="743" customFormat="1" ht="15.75" hidden="1" outlineLevel="1">
      <c r="A14" s="753"/>
      <c r="B14" s="1233"/>
      <c r="C14" s="1188" t="s">
        <v>78</v>
      </c>
      <c r="D14" s="1188" t="s">
        <v>418</v>
      </c>
      <c r="E14" s="1188" t="s">
        <v>442</v>
      </c>
      <c r="F14" s="1188" t="s">
        <v>691</v>
      </c>
      <c r="G14" s="1188" t="s">
        <v>692</v>
      </c>
      <c r="H14" s="1189" t="s">
        <v>721</v>
      </c>
      <c r="I14" s="1189" t="s">
        <v>722</v>
      </c>
      <c r="J14" s="1189" t="s">
        <v>723</v>
      </c>
      <c r="K14" s="1189" t="s">
        <v>724</v>
      </c>
      <c r="L14" s="1189" t="s">
        <v>725</v>
      </c>
      <c r="M14" s="1189" t="s">
        <v>726</v>
      </c>
      <c r="N14" s="1189" t="s">
        <v>727</v>
      </c>
      <c r="O14" s="1189" t="s">
        <v>728</v>
      </c>
      <c r="P14" s="1190"/>
    </row>
    <row r="15" spans="1:30" s="743" customFormat="1" ht="15.75" hidden="1" outlineLevel="1">
      <c r="A15" s="753"/>
      <c r="B15" s="1233"/>
      <c r="C15" s="952" t="s">
        <v>45</v>
      </c>
      <c r="D15" s="952" t="str">
        <f>INDEX(Vectors[Description], MATCH([Vector], Vectors[Code], 0))</f>
        <v>Electricity (delivered to end user)</v>
      </c>
      <c r="E15" s="952"/>
      <c r="F15" s="953">
        <f ca="1">INDEX(INDIRECT("'"&amp;II.a.Inputs[#Headers]&amp;"'!Year.Matrix"), MATCH("Subtotal."&amp;$A$2, INDIRECT("'"&amp;II.a.Inputs[#Headers]&amp;"'!Year.Modules"), 0), MATCH([Vector], INDIRECT("'"&amp;II.a.Inputs[#Headers]&amp;"'!Year.Vectors"), 0))</f>
        <v>-354.55512401053005</v>
      </c>
      <c r="G15" s="953">
        <f ca="1">INDEX(INDIRECT("'"&amp;II.a.Inputs[#Headers]&amp;"'!Year.Matrix"), MATCH("Subtotal."&amp;$A$2, INDIRECT("'"&amp;II.a.Inputs[#Headers]&amp;"'!Year.Modules"), 0), MATCH([Vector], INDIRECT("'"&amp;II.a.Inputs[#Headers]&amp;"'!Year.Vectors"), 0))</f>
        <v>-361.16931700791082</v>
      </c>
      <c r="H15" s="953">
        <f ca="1">INDEX(INDIRECT("'"&amp;II.a.Inputs[#Headers]&amp;"'!Year.Matrix"), MATCH("Subtotal."&amp;$A$2, INDIRECT("'"&amp;II.a.Inputs[#Headers]&amp;"'!Year.Modules"), 0), MATCH([Vector], INDIRECT("'"&amp;II.a.Inputs[#Headers]&amp;"'!Year.Vectors"), 0))</f>
        <v>-373.16495041083652</v>
      </c>
      <c r="I15" s="953">
        <f ca="1">INDEX(INDIRECT("'"&amp;II.a.Inputs[#Headers]&amp;"'!Year.Matrix"), MATCH("Subtotal."&amp;$A$2, INDIRECT("'"&amp;II.a.Inputs[#Headers]&amp;"'!Year.Modules"), 0), MATCH([Vector], INDIRECT("'"&amp;II.a.Inputs[#Headers]&amp;"'!Year.Vectors"), 0))</f>
        <v>-382.28449716625596</v>
      </c>
      <c r="J15" s="953">
        <f ca="1">INDEX(INDIRECT("'"&amp;II.a.Inputs[#Headers]&amp;"'!Year.Matrix"), MATCH("Subtotal."&amp;$A$2, INDIRECT("'"&amp;II.a.Inputs[#Headers]&amp;"'!Year.Modules"), 0), MATCH([Vector], INDIRECT("'"&amp;II.a.Inputs[#Headers]&amp;"'!Year.Vectors"), 0))</f>
        <v>-389.72589326068504</v>
      </c>
      <c r="K15" s="953">
        <f ca="1">INDEX(INDIRECT("'"&amp;II.a.Inputs[#Headers]&amp;"'!Year.Matrix"), MATCH("Subtotal."&amp;$A$2, INDIRECT("'"&amp;II.a.Inputs[#Headers]&amp;"'!Year.Modules"), 0), MATCH([Vector], INDIRECT("'"&amp;II.a.Inputs[#Headers]&amp;"'!Year.Vectors"), 0))</f>
        <v>-398.92590619421691</v>
      </c>
      <c r="L15" s="953">
        <f ca="1">INDEX(INDIRECT("'"&amp;II.a.Inputs[#Headers]&amp;"'!Year.Matrix"), MATCH("Subtotal."&amp;$A$2, INDIRECT("'"&amp;II.a.Inputs[#Headers]&amp;"'!Year.Modules"), 0), MATCH([Vector], INDIRECT("'"&amp;II.a.Inputs[#Headers]&amp;"'!Year.Vectors"), 0))</f>
        <v>-409.73117353201741</v>
      </c>
      <c r="M15" s="953">
        <f ca="1">INDEX(INDIRECT("'"&amp;II.a.Inputs[#Headers]&amp;"'!Year.Matrix"), MATCH("Subtotal."&amp;$A$2, INDIRECT("'"&amp;II.a.Inputs[#Headers]&amp;"'!Year.Modules"), 0), MATCH([Vector], INDIRECT("'"&amp;II.a.Inputs[#Headers]&amp;"'!Year.Vectors"), 0))</f>
        <v>-422.11056999038811</v>
      </c>
      <c r="N15" s="953">
        <f ca="1">INDEX(INDIRECT("'"&amp;II.a.Inputs[#Headers]&amp;"'!Year.Matrix"), MATCH("Subtotal."&amp;$A$2, INDIRECT("'"&amp;II.a.Inputs[#Headers]&amp;"'!Year.Modules"), 0), MATCH([Vector], INDIRECT("'"&amp;II.a.Inputs[#Headers]&amp;"'!Year.Vectors"), 0))</f>
        <v>-435.71486302109327</v>
      </c>
      <c r="O15" s="953">
        <f ca="1">INDEX(INDIRECT("'"&amp;II.a.Inputs[#Headers]&amp;"'!Year.Matrix"), MATCH("Subtotal."&amp;$A$2, INDIRECT("'"&amp;II.a.Inputs[#Headers]&amp;"'!Year.Modules"), 0), MATCH([Vector], INDIRECT("'"&amp;II.a.Inputs[#Headers]&amp;"'!Year.Vectors"), 0))</f>
        <v>-450.96633210645444</v>
      </c>
      <c r="P15" s="1190"/>
    </row>
    <row r="16" spans="1:30" s="743" customFormat="1" ht="15.75" hidden="1" outlineLevel="1">
      <c r="A16" s="753"/>
      <c r="B16" s="1233"/>
      <c r="C16" s="952" t="s">
        <v>46</v>
      </c>
      <c r="D16" s="952" t="str">
        <f>INDEX(Vectors[Description], MATCH([Vector], Vectors[Code], 0))</f>
        <v>Electricity (supplied to grid)</v>
      </c>
      <c r="E16" s="952"/>
      <c r="F16" s="953">
        <f ca="1">INDEX(INDIRECT("'"&amp;II.a.Inputs[#Headers]&amp;"'!Year.Matrix"), MATCH("Subtotal."&amp;$A$2, INDIRECT("'"&amp;II.a.Inputs[#Headers]&amp;"'!Year.Modules"), 0), MATCH([Vector], INDIRECT("'"&amp;II.a.Inputs[#Headers]&amp;"'!Year.Vectors"), 0))</f>
        <v>-13.760325528977441</v>
      </c>
      <c r="G16" s="953">
        <f ca="1">INDEX(INDIRECT("'"&amp;II.a.Inputs[#Headers]&amp;"'!Year.Matrix"), MATCH("Subtotal."&amp;$A$2, INDIRECT("'"&amp;II.a.Inputs[#Headers]&amp;"'!Year.Modules"), 0), MATCH([Vector], INDIRECT("'"&amp;II.a.Inputs[#Headers]&amp;"'!Year.Vectors"), 0))</f>
        <v>-8.5369111918871496</v>
      </c>
      <c r="H16" s="953">
        <f ca="1">INDEX(INDIRECT("'"&amp;II.a.Inputs[#Headers]&amp;"'!Year.Matrix"), MATCH("Subtotal."&amp;$A$2, INDIRECT("'"&amp;II.a.Inputs[#Headers]&amp;"'!Year.Modules"), 0), MATCH([Vector], INDIRECT("'"&amp;II.a.Inputs[#Headers]&amp;"'!Year.Vectors"), 0))</f>
        <v>5.4618117491910958</v>
      </c>
      <c r="I16" s="953">
        <f ca="1">INDEX(INDIRECT("'"&amp;II.a.Inputs[#Headers]&amp;"'!Year.Matrix"), MATCH("Subtotal."&amp;$A$2, INDIRECT("'"&amp;II.a.Inputs[#Headers]&amp;"'!Year.Modules"), 0), MATCH([Vector], INDIRECT("'"&amp;II.a.Inputs[#Headers]&amp;"'!Year.Vectors"), 0))</f>
        <v>19.842462056890149</v>
      </c>
      <c r="J16" s="953">
        <f ca="1">INDEX(INDIRECT("'"&amp;II.a.Inputs[#Headers]&amp;"'!Year.Matrix"), MATCH("Subtotal."&amp;$A$2, INDIRECT("'"&amp;II.a.Inputs[#Headers]&amp;"'!Year.Modules"), 0), MATCH([Vector], INDIRECT("'"&amp;II.a.Inputs[#Headers]&amp;"'!Year.Vectors"), 0))</f>
        <v>29.442432807926476</v>
      </c>
      <c r="K16" s="953">
        <f ca="1">INDEX(INDIRECT("'"&amp;II.a.Inputs[#Headers]&amp;"'!Year.Matrix"), MATCH("Subtotal."&amp;$A$2, INDIRECT("'"&amp;II.a.Inputs[#Headers]&amp;"'!Year.Modules"), 0), MATCH([Vector], INDIRECT("'"&amp;II.a.Inputs[#Headers]&amp;"'!Year.Vectors"), 0))</f>
        <v>18.091822212974641</v>
      </c>
      <c r="L16" s="953">
        <f ca="1">INDEX(INDIRECT("'"&amp;II.a.Inputs[#Headers]&amp;"'!Year.Matrix"), MATCH("Subtotal."&amp;$A$2, INDIRECT("'"&amp;II.a.Inputs[#Headers]&amp;"'!Year.Modules"), 0), MATCH([Vector], INDIRECT("'"&amp;II.a.Inputs[#Headers]&amp;"'!Year.Vectors"), 0))</f>
        <v>1.841588378180673</v>
      </c>
      <c r="M16" s="953">
        <f ca="1">INDEX(INDIRECT("'"&amp;II.a.Inputs[#Headers]&amp;"'!Year.Matrix"), MATCH("Subtotal."&amp;$A$2, INDIRECT("'"&amp;II.a.Inputs[#Headers]&amp;"'!Year.Modules"), 0), MATCH([Vector], INDIRECT("'"&amp;II.a.Inputs[#Headers]&amp;"'!Year.Vectors"), 0))</f>
        <v>-14.007544848497547</v>
      </c>
      <c r="N16" s="953">
        <f ca="1">INDEX(INDIRECT("'"&amp;II.a.Inputs[#Headers]&amp;"'!Year.Matrix"), MATCH("Subtotal."&amp;$A$2, INDIRECT("'"&amp;II.a.Inputs[#Headers]&amp;"'!Year.Modules"), 0), MATCH([Vector], INDIRECT("'"&amp;II.a.Inputs[#Headers]&amp;"'!Year.Vectors"), 0))</f>
        <v>-28.41644520418663</v>
      </c>
      <c r="O16" s="953">
        <f ca="1">INDEX(INDIRECT("'"&amp;II.a.Inputs[#Headers]&amp;"'!Year.Matrix"), MATCH("Subtotal."&amp;$A$2, INDIRECT("'"&amp;II.a.Inputs[#Headers]&amp;"'!Year.Modules"), 0), MATCH([Vector], INDIRECT("'"&amp;II.a.Inputs[#Headers]&amp;"'!Year.Vectors"), 0))</f>
        <v>-29.582612569535051</v>
      </c>
      <c r="P16" s="1191"/>
    </row>
    <row r="17" spans="1:27" hidden="1" outlineLevel="1">
      <c r="B17" s="1234"/>
      <c r="C17" s="1180"/>
      <c r="D17" s="1180"/>
      <c r="E17" s="1180"/>
      <c r="F17" s="1180"/>
      <c r="G17" s="1180"/>
      <c r="H17" s="1180"/>
      <c r="I17" s="1180"/>
      <c r="J17" s="1180"/>
      <c r="K17" s="1180"/>
      <c r="L17" s="1180"/>
      <c r="M17" s="1180"/>
      <c r="N17" s="1180"/>
      <c r="O17" s="1180"/>
      <c r="P17" s="1181"/>
      <c r="R17" s="743"/>
      <c r="S17" s="743"/>
      <c r="T17" s="743"/>
      <c r="U17" s="743"/>
      <c r="V17" s="743"/>
      <c r="W17" s="743"/>
      <c r="X17" s="743"/>
      <c r="Y17" s="743"/>
      <c r="Z17" s="743"/>
      <c r="AA17" s="743"/>
    </row>
    <row r="18" spans="1:27">
      <c r="B18" s="1235"/>
      <c r="R18" s="743"/>
      <c r="S18" s="743"/>
      <c r="T18" s="743"/>
      <c r="U18" s="743"/>
      <c r="V18" s="743"/>
      <c r="W18" s="743"/>
      <c r="X18" s="743"/>
      <c r="Y18" s="743"/>
      <c r="Z18" s="743"/>
      <c r="AA18" s="743"/>
    </row>
    <row r="19" spans="1:27" ht="22.5" collapsed="1">
      <c r="A19" s="1171"/>
      <c r="B19" s="1236" t="s">
        <v>1354</v>
      </c>
      <c r="C19" s="1167"/>
      <c r="D19" s="1167"/>
      <c r="E19" s="1167"/>
      <c r="F19" s="1167"/>
      <c r="G19" s="1167"/>
      <c r="H19" s="1167"/>
      <c r="I19" s="1167"/>
      <c r="J19" s="1167"/>
      <c r="K19" s="1167"/>
      <c r="L19" s="1167"/>
      <c r="M19" s="1167"/>
      <c r="N19" s="1167"/>
      <c r="O19" s="1167"/>
      <c r="P19" s="1168"/>
      <c r="R19" s="743"/>
      <c r="S19" s="743"/>
      <c r="T19" s="743"/>
      <c r="U19" s="743"/>
      <c r="V19" s="743"/>
      <c r="W19" s="743"/>
      <c r="X19" s="743"/>
      <c r="Y19" s="743"/>
      <c r="Z19" s="743"/>
      <c r="AA19" s="743"/>
    </row>
    <row r="20" spans="1:27" hidden="1" outlineLevel="1">
      <c r="B20" s="1237"/>
      <c r="C20" s="1221"/>
      <c r="D20" s="1221"/>
      <c r="E20" s="1221"/>
      <c r="F20" s="1221"/>
      <c r="G20" s="1221"/>
      <c r="H20" s="1221"/>
      <c r="I20" s="1221"/>
      <c r="J20" s="1221"/>
      <c r="K20" s="1221"/>
      <c r="L20" s="1221"/>
      <c r="M20" s="1221"/>
      <c r="N20" s="1221"/>
      <c r="O20" s="1221"/>
      <c r="P20" s="1222"/>
      <c r="R20" s="743"/>
      <c r="S20" s="743"/>
      <c r="T20" s="743"/>
      <c r="U20" s="743"/>
      <c r="V20" s="743"/>
      <c r="W20" s="743"/>
      <c r="X20" s="743"/>
      <c r="Y20" s="743"/>
      <c r="Z20" s="743"/>
      <c r="AA20" s="743"/>
    </row>
    <row r="21" spans="1:27" hidden="1" outlineLevel="1">
      <c r="B21" s="1238"/>
      <c r="C21" s="866" t="s">
        <v>1592</v>
      </c>
      <c r="D21" s="864"/>
      <c r="E21" s="867"/>
      <c r="F21" s="864"/>
      <c r="G21" s="864"/>
      <c r="H21" s="864"/>
      <c r="I21" s="864"/>
      <c r="J21" s="864"/>
      <c r="K21" s="864"/>
      <c r="L21" s="864"/>
      <c r="M21" s="864"/>
      <c r="N21" s="864"/>
      <c r="O21" s="867" t="str">
        <f>Preferences.PowerUnits &amp; " per annum, for subsequent period"</f>
        <v>GW per annum, for subsequent period</v>
      </c>
      <c r="P21" s="1158"/>
      <c r="R21" s="743"/>
      <c r="S21" s="743"/>
      <c r="T21" s="743"/>
      <c r="U21" s="743"/>
      <c r="V21" s="743"/>
      <c r="W21" s="743"/>
      <c r="X21" s="743"/>
      <c r="Y21" s="743"/>
      <c r="Z21" s="743"/>
      <c r="AA21" s="743"/>
    </row>
    <row r="22" spans="1:27" ht="5.25" hidden="1" customHeight="1" outlineLevel="1">
      <c r="B22" s="1238"/>
      <c r="C22" s="864"/>
      <c r="D22" s="864"/>
      <c r="E22" s="864"/>
      <c r="F22" s="864"/>
      <c r="G22" s="864"/>
      <c r="H22" s="864"/>
      <c r="I22" s="864"/>
      <c r="J22" s="864"/>
      <c r="K22" s="864"/>
      <c r="L22" s="864"/>
      <c r="M22" s="864"/>
      <c r="N22" s="864"/>
      <c r="O22" s="864"/>
      <c r="P22" s="1158"/>
      <c r="R22" s="743"/>
      <c r="S22" s="743"/>
      <c r="T22" s="743"/>
      <c r="U22" s="743"/>
      <c r="V22" s="743"/>
      <c r="W22" s="743"/>
      <c r="X22" s="743"/>
      <c r="Y22" s="743"/>
      <c r="Z22" s="743"/>
      <c r="AA22" s="743"/>
    </row>
    <row r="23" spans="1:27" ht="15.75" hidden="1" outlineLevel="1">
      <c r="B23" s="1239"/>
      <c r="C23" s="766" t="s">
        <v>1352</v>
      </c>
      <c r="D23" s="766" t="s">
        <v>79</v>
      </c>
      <c r="E23" s="766" t="s">
        <v>442</v>
      </c>
      <c r="F23" s="1545">
        <v>2007</v>
      </c>
      <c r="G23" s="923">
        <v>2010</v>
      </c>
      <c r="H23" s="923">
        <v>2015</v>
      </c>
      <c r="I23" s="923">
        <v>2020</v>
      </c>
      <c r="J23" s="923">
        <v>2025</v>
      </c>
      <c r="K23" s="923">
        <v>2030</v>
      </c>
      <c r="L23" s="923">
        <v>2035</v>
      </c>
      <c r="M23" s="923">
        <v>2040</v>
      </c>
      <c r="N23" s="923">
        <v>2045</v>
      </c>
      <c r="O23" s="923">
        <v>2050</v>
      </c>
      <c r="P23" s="1158"/>
      <c r="R23"/>
      <c r="S23"/>
      <c r="T23"/>
      <c r="U23"/>
      <c r="V23"/>
      <c r="W23"/>
      <c r="X23"/>
      <c r="Y23"/>
    </row>
    <row r="24" spans="1:27" ht="15.75" hidden="1" outlineLevel="1">
      <c r="B24" s="1240"/>
      <c r="C24" s="831">
        <v>1</v>
      </c>
      <c r="D24" s="832"/>
      <c r="E24" s="833"/>
      <c r="F24" s="2320">
        <f t="shared" ref="F24:N24" si="0">(Unit.GW)*0</f>
        <v>0</v>
      </c>
      <c r="G24" s="1272">
        <f t="shared" si="0"/>
        <v>0</v>
      </c>
      <c r="H24" s="1272">
        <f t="shared" si="0"/>
        <v>0</v>
      </c>
      <c r="I24" s="1272">
        <f t="shared" si="0"/>
        <v>0</v>
      </c>
      <c r="J24" s="1272">
        <f t="shared" si="0"/>
        <v>0</v>
      </c>
      <c r="K24" s="1272">
        <f t="shared" si="0"/>
        <v>0</v>
      </c>
      <c r="L24" s="1272">
        <f t="shared" si="0"/>
        <v>0</v>
      </c>
      <c r="M24" s="1272">
        <f t="shared" si="0"/>
        <v>0</v>
      </c>
      <c r="N24" s="1272">
        <f t="shared" si="0"/>
        <v>0</v>
      </c>
      <c r="O24" s="847"/>
      <c r="P24" s="1162"/>
      <c r="S24"/>
      <c r="T24"/>
      <c r="U24"/>
      <c r="V24"/>
      <c r="W24"/>
      <c r="X24"/>
      <c r="Y24"/>
      <c r="Z24"/>
    </row>
    <row r="25" spans="1:27" ht="15.75" hidden="1" outlineLevel="1">
      <c r="B25" s="1239"/>
      <c r="C25" s="831">
        <v>2</v>
      </c>
      <c r="D25" s="832"/>
      <c r="E25" s="832"/>
      <c r="F25" s="2321">
        <f t="shared" ref="F25:G27" si="1">(Unit.GW)*0</f>
        <v>0</v>
      </c>
      <c r="G25" s="1771">
        <f t="shared" si="1"/>
        <v>0</v>
      </c>
      <c r="H25" s="1771">
        <f>(Unit.GW)*0.64</f>
        <v>0.64</v>
      </c>
      <c r="I25" s="1771">
        <f t="shared" ref="I25:N25" si="2">(Unit.GW)*1.2</f>
        <v>1.2</v>
      </c>
      <c r="J25" s="1771">
        <f t="shared" si="2"/>
        <v>1.2</v>
      </c>
      <c r="K25" s="1771">
        <f t="shared" si="2"/>
        <v>1.2</v>
      </c>
      <c r="L25" s="1771">
        <f t="shared" si="2"/>
        <v>1.2</v>
      </c>
      <c r="M25" s="1771">
        <f t="shared" si="2"/>
        <v>1.2</v>
      </c>
      <c r="N25" s="1771">
        <f t="shared" si="2"/>
        <v>1.2</v>
      </c>
      <c r="O25" s="1091"/>
      <c r="P25" s="1158"/>
      <c r="S25"/>
      <c r="T25"/>
      <c r="U25"/>
      <c r="V25"/>
      <c r="W25"/>
      <c r="X25"/>
      <c r="Y25"/>
      <c r="Z25"/>
    </row>
    <row r="26" spans="1:27" ht="15.75" hidden="1" outlineLevel="1">
      <c r="B26" s="1239"/>
      <c r="C26" s="831">
        <v>3</v>
      </c>
      <c r="D26" s="832"/>
      <c r="E26" s="832"/>
      <c r="F26" s="2321">
        <f t="shared" si="1"/>
        <v>0</v>
      </c>
      <c r="G26" s="1771">
        <f t="shared" si="1"/>
        <v>0</v>
      </c>
      <c r="H26" s="1771">
        <f>(Unit.GW)*0.64</f>
        <v>0.64</v>
      </c>
      <c r="I26" s="1771">
        <f>(Unit.GW)*2.4</f>
        <v>2.4</v>
      </c>
      <c r="J26" s="1771">
        <f>(Unit.GW)*3</f>
        <v>3</v>
      </c>
      <c r="K26" s="1771">
        <f>(Unit.GW)*3</f>
        <v>3</v>
      </c>
      <c r="L26" s="1771">
        <f>(Unit.GW)*3</f>
        <v>3</v>
      </c>
      <c r="M26" s="1771">
        <f>(Unit.GW)*3</f>
        <v>3</v>
      </c>
      <c r="N26" s="1771">
        <f>(Unit.GW)*3</f>
        <v>3</v>
      </c>
      <c r="O26" s="1091"/>
      <c r="P26" s="1158"/>
      <c r="S26"/>
      <c r="T26"/>
      <c r="U26"/>
      <c r="V26"/>
      <c r="W26"/>
      <c r="X26"/>
      <c r="Y26"/>
      <c r="Z26"/>
    </row>
    <row r="27" spans="1:27" ht="15.75" hidden="1" outlineLevel="1">
      <c r="B27" s="1239"/>
      <c r="C27" s="769">
        <v>4</v>
      </c>
      <c r="D27" s="770"/>
      <c r="E27" s="770"/>
      <c r="F27" s="2322">
        <f t="shared" si="1"/>
        <v>0</v>
      </c>
      <c r="G27" s="1773">
        <f t="shared" si="1"/>
        <v>0</v>
      </c>
      <c r="H27" s="1773">
        <f>(Unit.GW)*1.24</f>
        <v>1.24</v>
      </c>
      <c r="I27" s="1773">
        <f>(Unit.GW)*3</f>
        <v>3</v>
      </c>
      <c r="J27" s="1773">
        <f>(Unit.GW)*5</f>
        <v>5</v>
      </c>
      <c r="K27" s="1773">
        <f>(Unit.GW)*5</f>
        <v>5</v>
      </c>
      <c r="L27" s="1773">
        <f>(Unit.GW)*5</f>
        <v>5</v>
      </c>
      <c r="M27" s="1773">
        <f>(Unit.GW)*5</f>
        <v>5</v>
      </c>
      <c r="N27" s="1773">
        <f>(Unit.GW)*5</f>
        <v>5</v>
      </c>
      <c r="O27" s="859"/>
      <c r="P27" s="1158"/>
      <c r="S27"/>
      <c r="T27"/>
      <c r="U27"/>
      <c r="V27"/>
      <c r="W27"/>
      <c r="X27"/>
      <c r="Y27"/>
      <c r="Z27"/>
    </row>
    <row r="28" spans="1:27" hidden="1" outlineLevel="1">
      <c r="B28" s="1241"/>
      <c r="C28" s="864"/>
      <c r="D28" s="868"/>
      <c r="E28" s="864"/>
      <c r="F28" s="864"/>
      <c r="G28" s="864"/>
      <c r="H28" s="864"/>
      <c r="I28" s="864"/>
      <c r="J28" s="864"/>
      <c r="K28" s="864"/>
      <c r="L28" s="864"/>
      <c r="M28" s="864"/>
      <c r="N28" s="864"/>
      <c r="O28" s="864"/>
      <c r="P28" s="1158"/>
      <c r="U28"/>
      <c r="V28"/>
      <c r="W28"/>
      <c r="X28"/>
      <c r="Y28"/>
    </row>
    <row r="29" spans="1:27" hidden="1" outlineLevel="1">
      <c r="B29" s="1241"/>
      <c r="C29" s="866" t="s">
        <v>2329</v>
      </c>
      <c r="D29" s="864"/>
      <c r="E29" s="867"/>
      <c r="F29" s="864"/>
      <c r="G29" s="864"/>
      <c r="H29" s="864"/>
      <c r="I29" s="864"/>
      <c r="J29" s="864"/>
      <c r="K29" s="864"/>
      <c r="L29" s="864"/>
      <c r="M29" s="864"/>
      <c r="N29" s="864"/>
      <c r="O29" s="867" t="str">
        <f>Preferences.PowerUnits &amp; " per annum, for subsequent period"</f>
        <v>GW per annum, for subsequent period</v>
      </c>
      <c r="P29" s="1158"/>
      <c r="U29"/>
      <c r="V29"/>
      <c r="W29"/>
      <c r="X29"/>
      <c r="Y29"/>
    </row>
    <row r="30" spans="1:27" ht="5.25" hidden="1" customHeight="1" outlineLevel="1">
      <c r="B30" s="1241"/>
      <c r="C30" s="864"/>
      <c r="D30" s="864"/>
      <c r="E30" s="864"/>
      <c r="F30" s="864"/>
      <c r="G30" s="864"/>
      <c r="H30" s="864"/>
      <c r="I30" s="864"/>
      <c r="J30" s="864"/>
      <c r="K30" s="864"/>
      <c r="L30" s="864"/>
      <c r="M30" s="864"/>
      <c r="N30" s="864"/>
      <c r="O30" s="864"/>
      <c r="P30" s="1158"/>
      <c r="U30"/>
      <c r="V30"/>
      <c r="W30"/>
      <c r="X30"/>
      <c r="Y30"/>
    </row>
    <row r="31" spans="1:27" ht="15.75" hidden="1" outlineLevel="1">
      <c r="B31" s="1239"/>
      <c r="C31" s="766" t="s">
        <v>1352</v>
      </c>
      <c r="D31" s="766" t="s">
        <v>79</v>
      </c>
      <c r="E31" s="766" t="s">
        <v>442</v>
      </c>
      <c r="F31" s="1545">
        <v>2007</v>
      </c>
      <c r="G31" s="923">
        <v>2010</v>
      </c>
      <c r="H31" s="923">
        <v>2015</v>
      </c>
      <c r="I31" s="923">
        <v>2020</v>
      </c>
      <c r="J31" s="923">
        <v>2025</v>
      </c>
      <c r="K31" s="923">
        <v>2030</v>
      </c>
      <c r="L31" s="923">
        <v>2035</v>
      </c>
      <c r="M31" s="923">
        <v>2040</v>
      </c>
      <c r="N31" s="923">
        <v>2045</v>
      </c>
      <c r="O31" s="923">
        <v>2050</v>
      </c>
      <c r="P31" s="1158"/>
      <c r="U31"/>
      <c r="V31"/>
      <c r="W31"/>
      <c r="X31"/>
      <c r="Y31"/>
    </row>
    <row r="32" spans="1:27" ht="15.75" hidden="1" outlineLevel="1">
      <c r="B32" s="1239"/>
      <c r="C32" s="831">
        <v>1</v>
      </c>
      <c r="D32" s="832"/>
      <c r="E32" s="833"/>
      <c r="F32" s="1549">
        <v>0</v>
      </c>
      <c r="G32" s="847">
        <v>0</v>
      </c>
      <c r="H32" s="847">
        <v>0</v>
      </c>
      <c r="I32" s="847">
        <v>0</v>
      </c>
      <c r="J32" s="847">
        <v>0</v>
      </c>
      <c r="K32" s="847">
        <v>0</v>
      </c>
      <c r="L32" s="847">
        <v>0</v>
      </c>
      <c r="M32" s="847">
        <v>0</v>
      </c>
      <c r="N32" s="847">
        <v>0</v>
      </c>
      <c r="O32" s="847"/>
      <c r="P32" s="1158"/>
      <c r="U32"/>
      <c r="V32"/>
      <c r="W32"/>
      <c r="X32"/>
      <c r="Y32"/>
    </row>
    <row r="33" spans="1:16" ht="15.75" hidden="1" outlineLevel="1">
      <c r="B33" s="1239"/>
      <c r="C33" s="831">
        <v>2</v>
      </c>
      <c r="D33" s="832"/>
      <c r="E33" s="832"/>
      <c r="F33" s="1612">
        <v>0</v>
      </c>
      <c r="G33" s="1091">
        <v>0</v>
      </c>
      <c r="H33" s="1091">
        <v>0</v>
      </c>
      <c r="I33" s="1091">
        <v>0</v>
      </c>
      <c r="J33" s="1091">
        <v>0</v>
      </c>
      <c r="K33" s="1091">
        <v>0</v>
      </c>
      <c r="L33" s="1091">
        <v>0</v>
      </c>
      <c r="M33" s="1091">
        <v>0</v>
      </c>
      <c r="N33" s="1091">
        <v>0</v>
      </c>
      <c r="O33" s="1091"/>
      <c r="P33" s="1158"/>
    </row>
    <row r="34" spans="1:16" ht="15.75" hidden="1" outlineLevel="1">
      <c r="B34" s="1239"/>
      <c r="C34" s="831">
        <v>3</v>
      </c>
      <c r="D34" s="832"/>
      <c r="E34" s="832"/>
      <c r="F34" s="1612">
        <v>0</v>
      </c>
      <c r="G34" s="1091">
        <v>0</v>
      </c>
      <c r="H34" s="1091">
        <v>0</v>
      </c>
      <c r="I34" s="1091">
        <v>0</v>
      </c>
      <c r="J34" s="1091">
        <v>0</v>
      </c>
      <c r="K34" s="1091">
        <v>0</v>
      </c>
      <c r="L34" s="1091">
        <v>0</v>
      </c>
      <c r="M34" s="1091">
        <v>0</v>
      </c>
      <c r="N34" s="1091">
        <v>0</v>
      </c>
      <c r="O34" s="1091"/>
      <c r="P34" s="1158"/>
    </row>
    <row r="35" spans="1:16" ht="15.75" hidden="1" outlineLevel="1">
      <c r="B35" s="1239"/>
      <c r="C35" s="769">
        <v>4</v>
      </c>
      <c r="D35" s="770"/>
      <c r="E35" s="770"/>
      <c r="F35" s="1613">
        <v>0</v>
      </c>
      <c r="G35" s="859">
        <v>0</v>
      </c>
      <c r="H35" s="859">
        <v>0</v>
      </c>
      <c r="I35" s="859">
        <v>0</v>
      </c>
      <c r="J35" s="859">
        <v>0</v>
      </c>
      <c r="K35" s="859">
        <v>0</v>
      </c>
      <c r="L35" s="859">
        <v>0</v>
      </c>
      <c r="M35" s="859">
        <v>0</v>
      </c>
      <c r="N35" s="859">
        <v>0</v>
      </c>
      <c r="O35" s="859"/>
      <c r="P35" s="1158"/>
    </row>
    <row r="36" spans="1:16" hidden="1" outlineLevel="1">
      <c r="B36" s="1241"/>
      <c r="C36" s="831"/>
      <c r="D36" s="832"/>
      <c r="E36" s="832"/>
      <c r="F36" s="847"/>
      <c r="G36" s="1091"/>
      <c r="H36" s="1091"/>
      <c r="I36" s="1091"/>
      <c r="J36" s="1091"/>
      <c r="K36" s="1091"/>
      <c r="L36" s="1091"/>
      <c r="M36" s="1091"/>
      <c r="N36" s="1091"/>
      <c r="O36" s="1091"/>
      <c r="P36" s="1158"/>
    </row>
    <row r="37" spans="1:16" hidden="1" outlineLevel="1">
      <c r="B37" s="1241"/>
      <c r="C37" s="831" t="s">
        <v>717</v>
      </c>
      <c r="D37" s="832"/>
      <c r="E37" s="832"/>
      <c r="F37" s="847"/>
      <c r="G37" s="1091"/>
      <c r="H37" s="1091"/>
      <c r="I37" s="1091"/>
      <c r="J37" s="1091"/>
      <c r="K37" s="1091"/>
      <c r="L37" s="1091"/>
      <c r="M37" s="1091"/>
      <c r="N37" s="1091"/>
      <c r="O37" s="1091"/>
      <c r="P37" s="1158"/>
    </row>
    <row r="38" spans="1:16" hidden="1" outlineLevel="1">
      <c r="B38" s="1241"/>
      <c r="C38" s="946"/>
      <c r="D38" s="1230"/>
      <c r="E38" s="832"/>
      <c r="F38" s="847"/>
      <c r="G38" s="1091"/>
      <c r="H38" s="1091"/>
      <c r="I38" s="1091"/>
      <c r="J38" s="1091"/>
      <c r="K38" s="1091"/>
      <c r="L38" s="1091"/>
      <c r="M38" s="1091"/>
      <c r="N38" s="1091"/>
      <c r="O38" s="1091"/>
      <c r="P38" s="1158"/>
    </row>
    <row r="39" spans="1:16" hidden="1" outlineLevel="1">
      <c r="B39" s="1241"/>
      <c r="C39" s="831"/>
      <c r="D39" s="1230"/>
      <c r="E39" s="832"/>
      <c r="F39" s="847"/>
      <c r="G39" s="1091"/>
      <c r="H39" s="1091"/>
      <c r="I39" s="1091"/>
      <c r="J39" s="1091"/>
      <c r="K39" s="1091"/>
      <c r="L39" s="1091"/>
      <c r="M39" s="1091"/>
      <c r="N39" s="1091"/>
      <c r="O39" s="1091"/>
      <c r="P39" s="1158"/>
    </row>
    <row r="40" spans="1:16" hidden="1" outlineLevel="1">
      <c r="B40" s="1242"/>
      <c r="C40" s="1165"/>
      <c r="D40" s="1224"/>
      <c r="E40" s="1165"/>
      <c r="F40" s="1165"/>
      <c r="G40" s="1165"/>
      <c r="H40" s="1165"/>
      <c r="I40" s="1165"/>
      <c r="J40" s="1165"/>
      <c r="K40" s="1165"/>
      <c r="L40" s="1165"/>
      <c r="M40" s="1165"/>
      <c r="N40" s="1165"/>
      <c r="O40" s="1165"/>
      <c r="P40" s="1166"/>
    </row>
    <row r="41" spans="1:16">
      <c r="B41" s="1235"/>
    </row>
    <row r="42" spans="1:16" s="743" customFormat="1" ht="22.5" collapsed="1">
      <c r="A42" s="1170"/>
      <c r="B42" s="1236" t="s">
        <v>786</v>
      </c>
      <c r="C42" s="1167"/>
      <c r="D42" s="1167"/>
      <c r="E42" s="1167"/>
      <c r="F42" s="1167"/>
      <c r="G42" s="1167"/>
      <c r="H42" s="1167"/>
      <c r="I42" s="1167"/>
      <c r="J42" s="1167"/>
      <c r="K42" s="1167"/>
      <c r="L42" s="1167"/>
      <c r="M42" s="1167"/>
      <c r="N42" s="1167"/>
      <c r="O42" s="1167"/>
      <c r="P42" s="1168"/>
    </row>
    <row r="43" spans="1:16" hidden="1" outlineLevel="1">
      <c r="B43" s="1238"/>
      <c r="C43" s="864"/>
      <c r="D43" s="864"/>
      <c r="E43" s="864"/>
      <c r="F43" s="864"/>
      <c r="G43" s="864"/>
      <c r="H43" s="864"/>
      <c r="I43" s="864"/>
      <c r="J43" s="864"/>
      <c r="K43" s="864"/>
      <c r="L43" s="864"/>
      <c r="M43" s="864"/>
      <c r="N43" s="864"/>
      <c r="O43" s="864"/>
      <c r="P43" s="1158"/>
    </row>
    <row r="44" spans="1:16" hidden="1" outlineLevel="1">
      <c r="B44" s="1238"/>
      <c r="C44" s="866" t="s">
        <v>740</v>
      </c>
      <c r="D44" s="864"/>
      <c r="E44" s="864"/>
      <c r="F44" s="864"/>
      <c r="G44" s="867"/>
      <c r="H44" s="864"/>
      <c r="I44" s="864"/>
      <c r="J44" s="864"/>
      <c r="K44" s="864"/>
      <c r="L44" s="864"/>
      <c r="M44" s="864"/>
      <c r="N44" s="864"/>
      <c r="O44" s="864"/>
      <c r="P44" s="1158"/>
    </row>
    <row r="45" spans="1:16" ht="5.25" hidden="1" customHeight="1" outlineLevel="1">
      <c r="B45" s="1238"/>
      <c r="C45" s="864"/>
      <c r="D45" s="864"/>
      <c r="E45" s="864"/>
      <c r="F45" s="864"/>
      <c r="G45" s="864"/>
      <c r="H45" s="864"/>
      <c r="I45" s="864"/>
      <c r="J45" s="864"/>
      <c r="K45" s="864"/>
      <c r="L45" s="864"/>
      <c r="M45" s="864"/>
      <c r="N45" s="864"/>
      <c r="O45" s="864"/>
      <c r="P45" s="1158"/>
    </row>
    <row r="46" spans="1:16" ht="15.75" hidden="1" outlineLevel="1">
      <c r="B46" s="1239"/>
      <c r="C46" s="766" t="s">
        <v>715</v>
      </c>
      <c r="D46" s="766" t="s">
        <v>731</v>
      </c>
      <c r="E46" s="766" t="s">
        <v>442</v>
      </c>
      <c r="F46" s="1541" t="s">
        <v>691</v>
      </c>
      <c r="G46" s="772" t="s">
        <v>692</v>
      </c>
      <c r="H46" s="771" t="s">
        <v>721</v>
      </c>
      <c r="I46" s="771" t="s">
        <v>722</v>
      </c>
      <c r="J46" s="771" t="s">
        <v>723</v>
      </c>
      <c r="K46" s="771" t="s">
        <v>724</v>
      </c>
      <c r="L46" s="771" t="s">
        <v>725</v>
      </c>
      <c r="M46" s="771" t="s">
        <v>726</v>
      </c>
      <c r="N46" s="771" t="s">
        <v>727</v>
      </c>
      <c r="O46" s="771" t="s">
        <v>728</v>
      </c>
      <c r="P46" s="1158"/>
    </row>
    <row r="47" spans="1:16" ht="15.75" hidden="1" outlineLevel="1">
      <c r="B47" s="1239"/>
      <c r="C47" s="794" t="s">
        <v>7</v>
      </c>
      <c r="D47" s="794" t="str">
        <f>INDEX(Vectors[Description], MATCH($C47, Vectors[Code], 0))</f>
        <v>Nuclear fission</v>
      </c>
      <c r="E47" s="795"/>
      <c r="F47" s="1542">
        <f>'2007 (Actual, frozen)'!$AZ$94/'2007 (Actual, frozen)'!$U$94</f>
        <v>0.10095299999999999</v>
      </c>
      <c r="G47" s="797">
        <v>0.1</v>
      </c>
      <c r="H47" s="796">
        <v>0.1</v>
      </c>
      <c r="I47" s="796">
        <v>0.1</v>
      </c>
      <c r="J47" s="796">
        <v>0.1</v>
      </c>
      <c r="K47" s="796">
        <v>0.1</v>
      </c>
      <c r="L47" s="796">
        <v>0.1</v>
      </c>
      <c r="M47" s="796">
        <v>0.1</v>
      </c>
      <c r="N47" s="796">
        <v>0.1</v>
      </c>
      <c r="O47" s="796">
        <v>0.1</v>
      </c>
      <c r="P47" s="1158"/>
    </row>
    <row r="48" spans="1:16" hidden="1" outlineLevel="1">
      <c r="B48" s="1238"/>
      <c r="C48" s="864"/>
      <c r="D48" s="864"/>
      <c r="E48" s="864"/>
      <c r="F48" s="864"/>
      <c r="G48" s="864"/>
      <c r="H48" s="864"/>
      <c r="I48" s="864"/>
      <c r="J48" s="864"/>
      <c r="K48" s="864"/>
      <c r="L48" s="864"/>
      <c r="M48" s="864"/>
      <c r="N48" s="864"/>
      <c r="O48" s="864"/>
      <c r="P48" s="1158"/>
    </row>
    <row r="49" spans="2:18" hidden="1" outlineLevel="1">
      <c r="B49" s="1243"/>
      <c r="C49" s="866" t="s">
        <v>729</v>
      </c>
      <c r="D49" s="864"/>
      <c r="E49" s="864"/>
      <c r="F49" s="864"/>
      <c r="G49" s="867"/>
      <c r="H49" s="864"/>
      <c r="I49" s="864"/>
      <c r="J49" s="864"/>
      <c r="K49" s="864"/>
      <c r="L49" s="864"/>
      <c r="M49" s="864"/>
      <c r="N49" s="864"/>
      <c r="O49" s="864"/>
      <c r="P49" s="1158"/>
    </row>
    <row r="50" spans="2:18" ht="6" hidden="1" customHeight="1" outlineLevel="1">
      <c r="B50" s="1238"/>
      <c r="C50" s="864"/>
      <c r="D50" s="864"/>
      <c r="E50" s="864"/>
      <c r="F50" s="864"/>
      <c r="G50" s="864"/>
      <c r="H50" s="864"/>
      <c r="I50" s="864"/>
      <c r="J50" s="864"/>
      <c r="K50" s="864"/>
      <c r="L50" s="864"/>
      <c r="M50" s="864"/>
      <c r="N50" s="864"/>
      <c r="O50" s="864"/>
      <c r="P50" s="1158"/>
    </row>
    <row r="51" spans="2:18" ht="15.75" hidden="1" outlineLevel="1">
      <c r="B51" s="1239"/>
      <c r="C51" s="766" t="s">
        <v>715</v>
      </c>
      <c r="D51" s="766" t="s">
        <v>731</v>
      </c>
      <c r="E51" s="766" t="s">
        <v>442</v>
      </c>
      <c r="F51" s="1541" t="s">
        <v>691</v>
      </c>
      <c r="G51" s="772" t="s">
        <v>692</v>
      </c>
      <c r="H51" s="771" t="s">
        <v>721</v>
      </c>
      <c r="I51" s="771" t="s">
        <v>722</v>
      </c>
      <c r="J51" s="771" t="s">
        <v>723</v>
      </c>
      <c r="K51" s="771" t="s">
        <v>724</v>
      </c>
      <c r="L51" s="771" t="s">
        <v>725</v>
      </c>
      <c r="M51" s="771" t="s">
        <v>726</v>
      </c>
      <c r="N51" s="771" t="s">
        <v>727</v>
      </c>
      <c r="O51" s="771" t="s">
        <v>728</v>
      </c>
      <c r="P51" s="1158"/>
    </row>
    <row r="52" spans="2:18" s="743" customFormat="1" ht="15.75" hidden="1" outlineLevel="1">
      <c r="B52" s="1240"/>
      <c r="C52" s="791" t="s">
        <v>7</v>
      </c>
      <c r="D52" s="792" t="str">
        <f>INDEX(Vectors[Description], MATCH($C52, Vectors[Code], 0))</f>
        <v>Nuclear fission</v>
      </c>
      <c r="E52" s="792" t="s">
        <v>109</v>
      </c>
      <c r="F52" s="1543">
        <v>0.38600000000000001</v>
      </c>
      <c r="G52" s="799">
        <v>0.36</v>
      </c>
      <c r="H52" s="798">
        <v>0.36</v>
      </c>
      <c r="I52" s="798">
        <v>0.36</v>
      </c>
      <c r="J52" s="798">
        <v>0.36</v>
      </c>
      <c r="K52" s="798">
        <v>0.36</v>
      </c>
      <c r="L52" s="798">
        <v>0.36</v>
      </c>
      <c r="M52" s="798">
        <v>0.36</v>
      </c>
      <c r="N52" s="798">
        <v>0.36</v>
      </c>
      <c r="O52" s="798">
        <v>0.36</v>
      </c>
      <c r="P52" s="1162"/>
    </row>
    <row r="53" spans="2:18" hidden="1" outlineLevel="1">
      <c r="B53" s="1238"/>
      <c r="C53" s="864"/>
      <c r="D53" s="864"/>
      <c r="E53" s="864"/>
      <c r="F53" s="864"/>
      <c r="G53" s="864"/>
      <c r="H53" s="864"/>
      <c r="I53" s="864"/>
      <c r="J53" s="864"/>
      <c r="K53" s="864"/>
      <c r="L53" s="864"/>
      <c r="M53" s="864"/>
      <c r="N53" s="864"/>
      <c r="O53" s="864"/>
      <c r="P53" s="1158"/>
    </row>
    <row r="54" spans="2:18" hidden="1" outlineLevel="1">
      <c r="B54" s="1238"/>
      <c r="C54" s="866" t="s">
        <v>773</v>
      </c>
      <c r="D54" s="864"/>
      <c r="E54" s="864"/>
      <c r="F54" s="864"/>
      <c r="G54" s="867"/>
      <c r="H54" s="864"/>
      <c r="I54" s="864"/>
      <c r="J54" s="864"/>
      <c r="K54" s="864"/>
      <c r="L54" s="864"/>
      <c r="M54" s="864"/>
      <c r="N54" s="864"/>
      <c r="O54" s="864"/>
      <c r="P54" s="1158"/>
    </row>
    <row r="55" spans="2:18" ht="6" hidden="1" customHeight="1" outlineLevel="1">
      <c r="B55" s="1238"/>
      <c r="C55" s="864"/>
      <c r="D55" s="864"/>
      <c r="E55" s="864"/>
      <c r="F55" s="864"/>
      <c r="G55" s="864"/>
      <c r="H55" s="864"/>
      <c r="I55" s="864"/>
      <c r="J55" s="864"/>
      <c r="K55" s="864"/>
      <c r="L55" s="864"/>
      <c r="M55" s="864"/>
      <c r="N55" s="864"/>
      <c r="O55" s="864"/>
      <c r="P55" s="1158"/>
    </row>
    <row r="56" spans="2:18" ht="15.75" hidden="1" outlineLevel="1">
      <c r="B56" s="1239"/>
      <c r="C56" s="766" t="s">
        <v>715</v>
      </c>
      <c r="D56" s="766" t="s">
        <v>731</v>
      </c>
      <c r="E56" s="766" t="s">
        <v>442</v>
      </c>
      <c r="F56" s="1541" t="s">
        <v>691</v>
      </c>
      <c r="G56" s="772" t="s">
        <v>692</v>
      </c>
      <c r="H56" s="771" t="s">
        <v>721</v>
      </c>
      <c r="I56" s="771" t="s">
        <v>722</v>
      </c>
      <c r="J56" s="771" t="s">
        <v>723</v>
      </c>
      <c r="K56" s="771" t="s">
        <v>724</v>
      </c>
      <c r="L56" s="771" t="s">
        <v>725</v>
      </c>
      <c r="M56" s="771" t="s">
        <v>726</v>
      </c>
      <c r="N56" s="771" t="s">
        <v>727</v>
      </c>
      <c r="O56" s="771" t="s">
        <v>728</v>
      </c>
      <c r="P56" s="1158"/>
    </row>
    <row r="57" spans="2:18" ht="15.75" hidden="1" outlineLevel="1">
      <c r="B57" s="1239"/>
      <c r="C57" s="769" t="s">
        <v>7</v>
      </c>
      <c r="D57" s="770" t="str">
        <f>INDEX(Vectors[Description], MATCH($C57, Vectors[Code], 0))</f>
        <v>Nuclear fission</v>
      </c>
      <c r="E57" s="770" t="s">
        <v>109</v>
      </c>
      <c r="F57" s="1543">
        <v>0.59599999999999997</v>
      </c>
      <c r="G57" s="799">
        <v>0.6</v>
      </c>
      <c r="H57" s="777">
        <v>0.7</v>
      </c>
      <c r="I57" s="777">
        <v>0.8</v>
      </c>
      <c r="J57" s="777">
        <v>0.8</v>
      </c>
      <c r="K57" s="777">
        <v>0.8</v>
      </c>
      <c r="L57" s="777">
        <v>0.8</v>
      </c>
      <c r="M57" s="777">
        <v>0.8</v>
      </c>
      <c r="N57" s="777">
        <v>0.8</v>
      </c>
      <c r="O57" s="777">
        <v>0.8</v>
      </c>
      <c r="P57" s="1158"/>
      <c r="R57" s="1078"/>
    </row>
    <row r="58" spans="2:18" hidden="1" outlineLevel="1">
      <c r="B58" s="1238"/>
      <c r="C58" s="864"/>
      <c r="D58" s="864"/>
      <c r="E58" s="864"/>
      <c r="F58" s="864"/>
      <c r="G58" s="864"/>
      <c r="H58" s="864"/>
      <c r="I58" s="864"/>
      <c r="J58" s="864"/>
      <c r="K58" s="864"/>
      <c r="L58" s="864"/>
      <c r="M58" s="864"/>
      <c r="N58" s="864"/>
      <c r="O58" s="864"/>
      <c r="P58" s="1158"/>
    </row>
    <row r="59" spans="2:18" hidden="1" outlineLevel="1">
      <c r="B59" s="1238"/>
      <c r="C59" s="866" t="s">
        <v>893</v>
      </c>
      <c r="D59" s="864"/>
      <c r="E59" s="867"/>
      <c r="F59" s="867" t="str">
        <f>Preferences.PowerUnits</f>
        <v>GW</v>
      </c>
      <c r="G59" s="864"/>
      <c r="H59" s="864"/>
      <c r="I59" s="864"/>
      <c r="J59" s="864"/>
      <c r="K59" s="864"/>
      <c r="L59" s="864"/>
      <c r="M59" s="864"/>
      <c r="N59" s="864"/>
      <c r="O59" s="867"/>
      <c r="P59" s="1158"/>
    </row>
    <row r="60" spans="2:18" ht="5.25" hidden="1" customHeight="1" outlineLevel="1">
      <c r="B60" s="1238"/>
      <c r="C60" s="864"/>
      <c r="D60" s="864"/>
      <c r="E60" s="864"/>
      <c r="F60" s="864"/>
      <c r="G60" s="864"/>
      <c r="H60" s="864"/>
      <c r="I60" s="864"/>
      <c r="J60" s="864"/>
      <c r="K60" s="864"/>
      <c r="L60" s="864"/>
      <c r="M60" s="864"/>
      <c r="N60" s="864"/>
      <c r="O60" s="864"/>
      <c r="P60" s="1158"/>
    </row>
    <row r="61" spans="2:18" ht="15.75" hidden="1" outlineLevel="1">
      <c r="B61" s="1239"/>
      <c r="C61" s="766" t="s">
        <v>715</v>
      </c>
      <c r="D61" s="766" t="s">
        <v>731</v>
      </c>
      <c r="E61" s="766" t="s">
        <v>442</v>
      </c>
      <c r="F61" s="771">
        <v>2007</v>
      </c>
      <c r="G61" s="1293"/>
      <c r="H61" s="1293"/>
      <c r="I61" s="1293"/>
      <c r="J61" s="1293"/>
      <c r="K61" s="1293"/>
      <c r="L61" s="1293"/>
      <c r="M61" s="1293"/>
      <c r="N61" s="1293"/>
      <c r="O61" s="1293"/>
      <c r="P61" s="1158"/>
    </row>
    <row r="62" spans="2:18" ht="15.75" hidden="1" outlineLevel="1">
      <c r="B62" s="1239"/>
      <c r="C62" s="791" t="s">
        <v>7</v>
      </c>
      <c r="D62" s="770" t="str">
        <f>INDEX(Vectors[Description], MATCH($C62, Vectors[Code], 0))</f>
        <v>Nuclear fission</v>
      </c>
      <c r="E62" s="792" t="s">
        <v>117</v>
      </c>
      <c r="F62" s="793">
        <f>11*Unit.GW</f>
        <v>11</v>
      </c>
      <c r="G62" s="1272"/>
      <c r="H62" s="1272"/>
      <c r="I62" s="1272"/>
      <c r="J62" s="1272"/>
      <c r="K62" s="1272"/>
      <c r="L62" s="1272"/>
      <c r="M62" s="1272"/>
      <c r="N62" s="1272"/>
      <c r="O62" s="1272"/>
      <c r="P62" s="1158"/>
    </row>
    <row r="63" spans="2:18" hidden="1" outlineLevel="1">
      <c r="B63" s="1238"/>
      <c r="C63" s="864"/>
      <c r="D63" s="864"/>
      <c r="E63" s="864"/>
      <c r="F63" s="864"/>
      <c r="G63" s="864"/>
      <c r="H63" s="864"/>
      <c r="I63" s="864"/>
      <c r="J63" s="864"/>
      <c r="K63" s="864"/>
      <c r="L63" s="864"/>
      <c r="M63" s="864"/>
      <c r="N63" s="864"/>
      <c r="O63" s="864"/>
      <c r="P63" s="1158"/>
    </row>
    <row r="64" spans="2:18" hidden="1" outlineLevel="1">
      <c r="B64" s="1238"/>
      <c r="C64" s="866" t="s">
        <v>1258</v>
      </c>
      <c r="D64" s="864"/>
      <c r="E64" s="867"/>
      <c r="F64" s="864"/>
      <c r="G64" s="864"/>
      <c r="H64" s="864"/>
      <c r="I64" s="864"/>
      <c r="J64" s="864"/>
      <c r="K64" s="864"/>
      <c r="L64" s="864"/>
      <c r="M64" s="864"/>
      <c r="N64" s="864"/>
      <c r="O64" s="867" t="str">
        <f>Preferences.PowerUnits &amp; " per annum, following period"</f>
        <v>GW per annum, following period</v>
      </c>
      <c r="P64" s="1158"/>
    </row>
    <row r="65" spans="1:16" ht="5.25" hidden="1" customHeight="1" outlineLevel="1">
      <c r="B65" s="1238"/>
      <c r="C65" s="864"/>
      <c r="D65" s="864"/>
      <c r="E65" s="864"/>
      <c r="F65" s="864"/>
      <c r="G65" s="864"/>
      <c r="H65" s="864"/>
      <c r="I65" s="864"/>
      <c r="J65" s="864"/>
      <c r="K65" s="864"/>
      <c r="L65" s="864"/>
      <c r="M65" s="864"/>
      <c r="N65" s="864"/>
      <c r="O65" s="864"/>
      <c r="P65" s="1158"/>
    </row>
    <row r="66" spans="1:16" ht="15.75" hidden="1" outlineLevel="1">
      <c r="B66" s="1239"/>
      <c r="C66" s="766" t="s">
        <v>715</v>
      </c>
      <c r="D66" s="766" t="s">
        <v>731</v>
      </c>
      <c r="E66" s="766" t="s">
        <v>442</v>
      </c>
      <c r="F66" s="923">
        <v>2007</v>
      </c>
      <c r="G66" s="923">
        <v>2010</v>
      </c>
      <c r="H66" s="923">
        <v>2015</v>
      </c>
      <c r="I66" s="923">
        <v>2020</v>
      </c>
      <c r="J66" s="923">
        <v>2025</v>
      </c>
      <c r="K66" s="923">
        <v>2030</v>
      </c>
      <c r="L66" s="923">
        <v>2035</v>
      </c>
      <c r="M66" s="923">
        <v>2040</v>
      </c>
      <c r="N66" s="923">
        <v>2045</v>
      </c>
      <c r="O66" s="923">
        <v>2050</v>
      </c>
      <c r="P66" s="1158"/>
    </row>
    <row r="67" spans="1:16" ht="15.75" hidden="1" outlineLevel="1">
      <c r="B67" s="1239"/>
      <c r="C67" s="791" t="s">
        <v>7</v>
      </c>
      <c r="D67" s="792" t="s">
        <v>1259</v>
      </c>
      <c r="E67" s="792" t="s">
        <v>118</v>
      </c>
      <c r="F67" s="793">
        <f>(-1/3)*Unit.GW</f>
        <v>-0.33333333333333331</v>
      </c>
      <c r="G67" s="793">
        <f>(-2.8/5)*Unit.GW</f>
        <v>-0.55999999999999994</v>
      </c>
      <c r="H67" s="793">
        <f>(-3.6/5)*Unit.GW</f>
        <v>-0.72</v>
      </c>
      <c r="I67" s="793">
        <f>-(Unit.GW)*(1.2+1.2)/5</f>
        <v>-0.48</v>
      </c>
      <c r="J67" s="793">
        <f>(Unit.GW)*0</f>
        <v>0</v>
      </c>
      <c r="K67" s="793">
        <f>-(Unit.GW)*1.2/5</f>
        <v>-0.24</v>
      </c>
      <c r="L67" s="793">
        <f>(Unit.GW)*0</f>
        <v>0</v>
      </c>
      <c r="M67" s="793">
        <f>(Unit.GW)*0</f>
        <v>0</v>
      </c>
      <c r="N67" s="793">
        <f>(Unit.GW)*0</f>
        <v>0</v>
      </c>
      <c r="O67" s="793"/>
      <c r="P67" s="1158"/>
    </row>
    <row r="68" spans="1:16" hidden="1" outlineLevel="1">
      <c r="B68" s="1238"/>
      <c r="C68" s="864"/>
      <c r="D68" s="864"/>
      <c r="E68" s="864"/>
      <c r="F68" s="864"/>
      <c r="G68" s="864"/>
      <c r="H68" s="864"/>
      <c r="I68" s="864"/>
      <c r="J68" s="864"/>
      <c r="K68" s="864"/>
      <c r="L68" s="864"/>
      <c r="M68" s="864"/>
      <c r="N68" s="864"/>
      <c r="O68" s="864"/>
      <c r="P68" s="1158"/>
    </row>
    <row r="69" spans="1:16" hidden="1" outlineLevel="1">
      <c r="B69" s="1238"/>
      <c r="C69" s="864"/>
      <c r="D69" s="864"/>
      <c r="E69" s="864"/>
      <c r="F69" s="864"/>
      <c r="G69" s="864"/>
      <c r="H69" s="864"/>
      <c r="I69" s="864"/>
      <c r="J69" s="864"/>
      <c r="K69" s="864"/>
      <c r="L69" s="864"/>
      <c r="M69" s="864"/>
      <c r="N69" s="864"/>
      <c r="O69" s="864"/>
      <c r="P69" s="1158"/>
    </row>
    <row r="70" spans="1:16" hidden="1" outlineLevel="1">
      <c r="B70" s="1241"/>
      <c r="C70" s="864" t="s">
        <v>757</v>
      </c>
      <c r="D70" s="868"/>
      <c r="E70" s="864"/>
      <c r="F70" s="864"/>
      <c r="G70" s="864"/>
      <c r="H70" s="864"/>
      <c r="I70" s="864"/>
      <c r="J70" s="864"/>
      <c r="K70" s="864"/>
      <c r="L70" s="864"/>
      <c r="M70" s="864"/>
      <c r="N70" s="864"/>
      <c r="O70" s="864"/>
      <c r="P70" s="1158"/>
    </row>
    <row r="71" spans="1:16" hidden="1" outlineLevel="1">
      <c r="B71" s="1241"/>
      <c r="C71" s="864"/>
      <c r="D71" s="868"/>
      <c r="E71" s="864"/>
      <c r="F71" s="864"/>
      <c r="G71" s="864"/>
      <c r="H71" s="864"/>
      <c r="I71" s="864"/>
      <c r="J71" s="864"/>
      <c r="K71" s="864"/>
      <c r="L71" s="864"/>
      <c r="M71" s="864"/>
      <c r="N71" s="864"/>
      <c r="O71" s="864"/>
      <c r="P71" s="1158"/>
    </row>
    <row r="72" spans="1:16" s="715" customFormat="1" hidden="1" outlineLevel="1">
      <c r="B72" s="1244"/>
      <c r="C72" s="1226" t="s">
        <v>109</v>
      </c>
      <c r="D72" s="1227" t="s">
        <v>1582</v>
      </c>
      <c r="E72" s="1228"/>
      <c r="F72" s="1228"/>
      <c r="G72" s="1228"/>
      <c r="H72" s="1228"/>
      <c r="I72" s="1228"/>
      <c r="J72" s="1228"/>
      <c r="K72" s="1228"/>
      <c r="L72" s="1228"/>
      <c r="M72" s="1228"/>
      <c r="N72" s="1228"/>
      <c r="O72" s="1228"/>
      <c r="P72" s="1229"/>
    </row>
    <row r="73" spans="1:16" s="715" customFormat="1" hidden="1" outlineLevel="1">
      <c r="B73" s="1244"/>
      <c r="C73" s="1226"/>
      <c r="D73" s="1230" t="s">
        <v>887</v>
      </c>
      <c r="E73" s="1228"/>
      <c r="F73" s="1228"/>
      <c r="G73" s="1228"/>
      <c r="H73" s="1228"/>
      <c r="I73" s="1228"/>
      <c r="J73" s="1228"/>
      <c r="K73" s="1228"/>
      <c r="L73" s="1228"/>
      <c r="M73" s="1228"/>
      <c r="N73" s="1228"/>
      <c r="O73" s="1228"/>
      <c r="P73" s="1229"/>
    </row>
    <row r="74" spans="1:16" s="715" customFormat="1" hidden="1" outlineLevel="1">
      <c r="B74" s="1244"/>
      <c r="C74" s="946" t="s">
        <v>117</v>
      </c>
      <c r="D74" s="1230" t="s">
        <v>1160</v>
      </c>
      <c r="E74" s="1228"/>
      <c r="F74" s="1228"/>
      <c r="G74" s="1228"/>
      <c r="H74" s="1228"/>
      <c r="I74" s="1228"/>
      <c r="J74" s="1228"/>
      <c r="K74" s="1228"/>
      <c r="L74" s="1228"/>
      <c r="M74" s="1228"/>
      <c r="N74" s="1228"/>
      <c r="O74" s="1228"/>
      <c r="P74" s="1229"/>
    </row>
    <row r="75" spans="1:16" s="715" customFormat="1" hidden="1" outlineLevel="1">
      <c r="B75" s="1244"/>
      <c r="C75" s="946" t="s">
        <v>118</v>
      </c>
      <c r="D75" s="1230" t="s">
        <v>886</v>
      </c>
      <c r="E75" s="1228"/>
      <c r="F75" s="1228"/>
      <c r="G75" s="1228"/>
      <c r="H75" s="1228"/>
      <c r="I75" s="1228"/>
      <c r="J75" s="1228"/>
      <c r="K75" s="1228"/>
      <c r="L75" s="1228"/>
      <c r="M75" s="1228"/>
      <c r="N75" s="1228"/>
      <c r="O75" s="1228"/>
      <c r="P75" s="1229"/>
    </row>
    <row r="76" spans="1:16" s="715" customFormat="1" hidden="1" outlineLevel="1">
      <c r="B76" s="1244"/>
      <c r="C76" s="946"/>
      <c r="D76" s="1230" t="s">
        <v>1701</v>
      </c>
      <c r="E76" s="1228"/>
      <c r="F76" s="1228"/>
      <c r="G76" s="1228"/>
      <c r="H76" s="1228"/>
      <c r="I76" s="1228"/>
      <c r="J76" s="1228"/>
      <c r="K76" s="1228"/>
      <c r="L76" s="1228"/>
      <c r="M76" s="1228"/>
      <c r="N76" s="1228"/>
      <c r="O76" s="1228"/>
      <c r="P76" s="1229"/>
    </row>
    <row r="77" spans="1:16" hidden="1" outlineLevel="1">
      <c r="B77" s="1245"/>
      <c r="C77" s="1165"/>
      <c r="D77" s="1165"/>
      <c r="E77" s="1165"/>
      <c r="F77" s="1165"/>
      <c r="G77" s="1165"/>
      <c r="H77" s="1165"/>
      <c r="I77" s="1165"/>
      <c r="J77" s="1165"/>
      <c r="K77" s="1165"/>
      <c r="L77" s="1165"/>
      <c r="M77" s="1165"/>
      <c r="N77" s="1165"/>
      <c r="O77" s="1165"/>
      <c r="P77" s="1166"/>
    </row>
    <row r="78" spans="1:16">
      <c r="B78" s="1235"/>
    </row>
    <row r="79" spans="1:16" ht="22.5" collapsed="1">
      <c r="A79" s="1171"/>
      <c r="B79" s="1236" t="s">
        <v>817</v>
      </c>
      <c r="C79" s="1167"/>
      <c r="D79" s="1167"/>
      <c r="E79" s="1167"/>
      <c r="F79" s="1167"/>
      <c r="G79" s="1167"/>
      <c r="H79" s="1167"/>
      <c r="I79" s="1167"/>
      <c r="J79" s="1167"/>
      <c r="K79" s="1167"/>
      <c r="L79" s="1167"/>
      <c r="M79" s="1167"/>
      <c r="N79" s="1167"/>
      <c r="O79" s="1167"/>
      <c r="P79" s="1168"/>
    </row>
    <row r="80" spans="1:16" hidden="1" outlineLevel="1">
      <c r="B80" s="1237"/>
      <c r="C80" s="1221"/>
      <c r="D80" s="1221"/>
      <c r="E80" s="1221"/>
      <c r="F80" s="1221"/>
      <c r="G80" s="1221"/>
      <c r="H80" s="1221"/>
      <c r="I80" s="1221"/>
      <c r="J80" s="1221"/>
      <c r="K80" s="1221"/>
      <c r="L80" s="1221"/>
      <c r="M80" s="1221"/>
      <c r="N80" s="1221"/>
      <c r="O80" s="1221"/>
      <c r="P80" s="1222"/>
    </row>
    <row r="81" spans="1:28" hidden="1" outlineLevel="1">
      <c r="B81" s="1238"/>
      <c r="C81" s="866" t="s">
        <v>716</v>
      </c>
      <c r="D81" s="864"/>
      <c r="E81" s="867"/>
      <c r="F81" s="864"/>
      <c r="G81" s="864"/>
      <c r="H81" s="864"/>
      <c r="I81" s="864"/>
      <c r="J81" s="864"/>
      <c r="K81" s="864"/>
      <c r="L81" s="864"/>
      <c r="M81" s="864"/>
      <c r="N81" s="864"/>
      <c r="O81" s="867" t="str">
        <f>Preferences.PowerUnits</f>
        <v>GW</v>
      </c>
      <c r="P81" s="1158"/>
    </row>
    <row r="82" spans="1:28" ht="5.25" hidden="1" customHeight="1" outlineLevel="1">
      <c r="B82" s="1238"/>
      <c r="C82" s="864"/>
      <c r="D82" s="864"/>
      <c r="E82" s="864"/>
      <c r="F82" s="864"/>
      <c r="G82" s="864"/>
      <c r="H82" s="864"/>
      <c r="I82" s="864"/>
      <c r="J82" s="864"/>
      <c r="K82" s="864"/>
      <c r="L82" s="864"/>
      <c r="M82" s="864"/>
      <c r="N82" s="864"/>
      <c r="O82" s="864"/>
      <c r="P82" s="1158"/>
    </row>
    <row r="83" spans="1:28" ht="15.75" hidden="1" outlineLevel="1">
      <c r="B83" s="1239"/>
      <c r="C83" s="766" t="s">
        <v>715</v>
      </c>
      <c r="D83" s="766" t="s">
        <v>731</v>
      </c>
      <c r="E83" s="766" t="s">
        <v>442</v>
      </c>
      <c r="F83" s="1545">
        <v>2007</v>
      </c>
      <c r="G83" s="924">
        <v>2010</v>
      </c>
      <c r="H83" s="923">
        <v>2015</v>
      </c>
      <c r="I83" s="923">
        <v>2020</v>
      </c>
      <c r="J83" s="923">
        <v>2025</v>
      </c>
      <c r="K83" s="923">
        <v>2030</v>
      </c>
      <c r="L83" s="923">
        <v>2035</v>
      </c>
      <c r="M83" s="923">
        <v>2040</v>
      </c>
      <c r="N83" s="923">
        <v>2045</v>
      </c>
      <c r="O83" s="923">
        <v>2050</v>
      </c>
      <c r="P83" s="1158"/>
    </row>
    <row r="84" spans="1:28" ht="15.75" hidden="1" outlineLevel="1">
      <c r="B84" s="1240"/>
      <c r="C84" s="791" t="s">
        <v>7</v>
      </c>
      <c r="D84" s="792" t="str">
        <f>INDEX(Vectors[Description], MATCH($C84, Vectors[Code], 0))</f>
        <v>Nuclear fission</v>
      </c>
      <c r="E84" s="792"/>
      <c r="F84" s="1544">
        <f>$F$62</f>
        <v>11</v>
      </c>
      <c r="G84" s="910">
        <f t="shared" ref="G84:O84" si="3">F84+(G$83-F$83)*(INDEX(F$24:F$27, MATCH($E$7, $C$24:$C$27, 0))+INDEX(F$32:F$35, MATCH($E$7, $C$32:$C$35, 0)))+(G$83-F$83)*F$67</f>
        <v>10</v>
      </c>
      <c r="H84" s="793">
        <f t="shared" si="3"/>
        <v>7.2</v>
      </c>
      <c r="I84" s="793">
        <f t="shared" si="3"/>
        <v>3.6000000000000005</v>
      </c>
      <c r="J84" s="793">
        <f t="shared" si="3"/>
        <v>1.2000000000000006</v>
      </c>
      <c r="K84" s="793">
        <f t="shared" si="3"/>
        <v>1.2000000000000006</v>
      </c>
      <c r="L84" s="793">
        <f>K84+(L$83-K$83)*(INDEX(K$24:K$27, MATCH($E$7, $C$24:$C$27, 0))+INDEX(K$32:K$35, MATCH($E$7, $C$32:$C$35, 0)))+(L$83-K$83)*K$67</f>
        <v>0</v>
      </c>
      <c r="M84" s="793">
        <f t="shared" si="3"/>
        <v>0</v>
      </c>
      <c r="N84" s="793">
        <f t="shared" si="3"/>
        <v>0</v>
      </c>
      <c r="O84" s="793">
        <f t="shared" si="3"/>
        <v>0</v>
      </c>
      <c r="P84" s="1162"/>
    </row>
    <row r="85" spans="1:28" hidden="1" outlineLevel="1">
      <c r="B85" s="1241"/>
      <c r="C85" s="864"/>
      <c r="D85" s="868"/>
      <c r="E85" s="864"/>
      <c r="F85" s="864"/>
      <c r="G85" s="864"/>
      <c r="H85" s="864"/>
      <c r="I85" s="864"/>
      <c r="J85" s="864"/>
      <c r="K85" s="864"/>
      <c r="L85" s="864"/>
      <c r="M85" s="864"/>
      <c r="N85" s="864"/>
      <c r="O85" s="864"/>
      <c r="P85" s="1158"/>
    </row>
    <row r="86" spans="1:28">
      <c r="B86" s="1235"/>
    </row>
    <row r="87" spans="1:28" ht="22.5" collapsed="1">
      <c r="A87" s="1171"/>
      <c r="B87" s="1246" t="s">
        <v>732</v>
      </c>
    </row>
    <row r="88" spans="1:28" hidden="1" outlineLevel="1">
      <c r="B88" s="731"/>
      <c r="C88" s="731" t="s">
        <v>1797</v>
      </c>
    </row>
    <row r="89" spans="1:28" hidden="1" outlineLevel="1"/>
    <row r="90" spans="1:28" hidden="1" outlineLevel="1">
      <c r="C90" s="731" t="s">
        <v>764</v>
      </c>
      <c r="E90" s="121" t="str">
        <f>Preferences.PowerUnits</f>
        <v>GW</v>
      </c>
      <c r="F90" s="27">
        <f>F$84</f>
        <v>11</v>
      </c>
      <c r="G90" s="27">
        <f t="shared" ref="G90:O90" si="4">G$84</f>
        <v>10</v>
      </c>
      <c r="H90" s="27">
        <f t="shared" si="4"/>
        <v>7.2</v>
      </c>
      <c r="I90" s="27">
        <f t="shared" si="4"/>
        <v>3.6000000000000005</v>
      </c>
      <c r="J90" s="27">
        <f t="shared" si="4"/>
        <v>1.2000000000000006</v>
      </c>
      <c r="K90" s="27">
        <f t="shared" si="4"/>
        <v>1.2000000000000006</v>
      </c>
      <c r="L90" s="27">
        <f t="shared" si="4"/>
        <v>0</v>
      </c>
      <c r="M90" s="27">
        <f t="shared" si="4"/>
        <v>0</v>
      </c>
      <c r="N90" s="27">
        <f t="shared" si="4"/>
        <v>0</v>
      </c>
      <c r="O90" s="27">
        <f t="shared" si="4"/>
        <v>0</v>
      </c>
      <c r="Q90" s="2267" t="s">
        <v>1956</v>
      </c>
      <c r="R90" s="2267"/>
      <c r="S90" s="2267"/>
      <c r="T90" s="2267"/>
    </row>
    <row r="91" spans="1:28" hidden="1" outlineLevel="1">
      <c r="C91" s="121" t="s">
        <v>807</v>
      </c>
      <c r="F91" s="19">
        <f>F$57</f>
        <v>0.59599999999999997</v>
      </c>
      <c r="G91" s="19">
        <f t="shared" ref="G91:O91" si="5">G$57</f>
        <v>0.6</v>
      </c>
      <c r="H91" s="19">
        <f t="shared" si="5"/>
        <v>0.7</v>
      </c>
      <c r="I91" s="19">
        <f t="shared" si="5"/>
        <v>0.8</v>
      </c>
      <c r="J91" s="19">
        <f t="shared" si="5"/>
        <v>0.8</v>
      </c>
      <c r="K91" s="19">
        <f t="shared" si="5"/>
        <v>0.8</v>
      </c>
      <c r="L91" s="19">
        <f t="shared" si="5"/>
        <v>0.8</v>
      </c>
      <c r="M91" s="19">
        <f t="shared" si="5"/>
        <v>0.8</v>
      </c>
      <c r="N91" s="19">
        <f t="shared" si="5"/>
        <v>0.8</v>
      </c>
      <c r="O91" s="19">
        <f t="shared" si="5"/>
        <v>0.8</v>
      </c>
    </row>
    <row r="92" spans="1:28" hidden="1" outlineLevel="1">
      <c r="C92" s="807" t="s">
        <v>765</v>
      </c>
      <c r="F92" s="783">
        <f>F90*F91</f>
        <v>6.556</v>
      </c>
      <c r="G92" s="783">
        <f t="shared" ref="G92:O92" si="6">G90*G91</f>
        <v>6</v>
      </c>
      <c r="H92" s="783">
        <f t="shared" si="6"/>
        <v>5.04</v>
      </c>
      <c r="I92" s="783">
        <f t="shared" si="6"/>
        <v>2.8800000000000008</v>
      </c>
      <c r="J92" s="783">
        <f t="shared" si="6"/>
        <v>0.96000000000000052</v>
      </c>
      <c r="K92" s="783">
        <f t="shared" si="6"/>
        <v>0.96000000000000052</v>
      </c>
      <c r="L92" s="783">
        <f t="shared" si="6"/>
        <v>0</v>
      </c>
      <c r="M92" s="783">
        <f t="shared" si="6"/>
        <v>0</v>
      </c>
      <c r="N92" s="783">
        <f t="shared" si="6"/>
        <v>0</v>
      </c>
      <c r="O92" s="783">
        <f t="shared" si="6"/>
        <v>0</v>
      </c>
    </row>
    <row r="93" spans="1:28" hidden="1" outlineLevel="1">
      <c r="C93" s="731" t="s">
        <v>795</v>
      </c>
      <c r="E93" s="121" t="str">
        <f>Preferences.EnergyUnits</f>
        <v>TWh</v>
      </c>
      <c r="F93" s="783">
        <f t="shared" ref="F93:O93" si="7">F$92*Preferences.Unit.Power*Unit.year/Preferences.Unit.Energy</f>
        <v>57.469895999999999</v>
      </c>
      <c r="G93" s="783">
        <f t="shared" si="7"/>
        <v>52.595999999999997</v>
      </c>
      <c r="H93" s="783">
        <f t="shared" si="7"/>
        <v>44.180639999999997</v>
      </c>
      <c r="I93" s="783">
        <f t="shared" si="7"/>
        <v>25.246080000000006</v>
      </c>
      <c r="J93" s="783">
        <f t="shared" si="7"/>
        <v>8.4153600000000051</v>
      </c>
      <c r="K93" s="783">
        <f t="shared" si="7"/>
        <v>8.4153600000000051</v>
      </c>
      <c r="L93" s="783">
        <f t="shared" si="7"/>
        <v>0</v>
      </c>
      <c r="M93" s="783">
        <f t="shared" si="7"/>
        <v>0</v>
      </c>
      <c r="N93" s="783">
        <f t="shared" si="7"/>
        <v>0</v>
      </c>
      <c r="O93" s="783">
        <f t="shared" si="7"/>
        <v>0</v>
      </c>
      <c r="Q93" s="27"/>
      <c r="R93" s="783"/>
      <c r="S93" s="783"/>
      <c r="T93" s="783"/>
      <c r="U93" s="783"/>
      <c r="V93" s="783"/>
      <c r="W93" s="783"/>
      <c r="X93" s="783"/>
      <c r="Y93" s="783"/>
      <c r="Z93" s="783"/>
      <c r="AA93" s="783"/>
      <c r="AB93" s="783"/>
    </row>
    <row r="94" spans="1:28" hidden="1" outlineLevel="1">
      <c r="C94" s="807"/>
      <c r="F94" s="783"/>
    </row>
    <row r="95" spans="1:28" s="246" customFormat="1" hidden="1" outlineLevel="1">
      <c r="C95" s="246" t="s">
        <v>758</v>
      </c>
      <c r="E95" s="246" t="str">
        <f>Preferences.EnergyUnits</f>
        <v>TWh</v>
      </c>
      <c r="F95" s="1108">
        <f ca="1">-SUM(II.a.Inputs[2007])</f>
        <v>368.31544953950748</v>
      </c>
      <c r="G95" s="1108">
        <f ca="1">-SUM(II.a.Inputs[2010])</f>
        <v>369.70622819979798</v>
      </c>
      <c r="H95" s="1108">
        <f ca="1">-SUM(II.a.Inputs[2015])</f>
        <v>367.70313866164543</v>
      </c>
      <c r="I95" s="1108">
        <f ca="1">-SUM(II.a.Inputs[2020])</f>
        <v>362.4420351093658</v>
      </c>
      <c r="J95" s="1108">
        <f ca="1">-SUM(II.a.Inputs[2025])</f>
        <v>360.28346045275856</v>
      </c>
      <c r="K95" s="1108">
        <f ca="1">-SUM(II.a.Inputs[2030])</f>
        <v>380.83408398124226</v>
      </c>
      <c r="L95" s="1108">
        <f ca="1">-SUM(II.a.Inputs[2035])</f>
        <v>407.88958515383672</v>
      </c>
      <c r="M95" s="1108">
        <f ca="1">-SUM(II.a.Inputs[2040])</f>
        <v>436.11811483888567</v>
      </c>
      <c r="N95" s="1108">
        <f ca="1">-SUM(II.a.Inputs[2045])</f>
        <v>464.13130822527989</v>
      </c>
      <c r="O95" s="1108">
        <f ca="1">-SUM(II.a.Inputs[2050])</f>
        <v>480.5489446759895</v>
      </c>
      <c r="Q95" s="1108"/>
      <c r="R95" s="1108"/>
      <c r="S95" s="1108"/>
      <c r="T95" s="1108"/>
      <c r="U95" s="1108"/>
      <c r="V95" s="1108"/>
      <c r="W95" s="1108"/>
      <c r="X95" s="1108"/>
      <c r="Y95" s="1108"/>
      <c r="Z95" s="1108"/>
    </row>
    <row r="96" spans="1:28" s="246" customFormat="1" hidden="1" outlineLevel="1">
      <c r="C96" s="903" t="s">
        <v>1796</v>
      </c>
      <c r="F96" s="1108">
        <f t="shared" ref="F96:O96" ca="1" si="8">MAX(MIN(F$95,F$93),0)</f>
        <v>57.469895999999999</v>
      </c>
      <c r="G96" s="1108">
        <f t="shared" ca="1" si="8"/>
        <v>52.595999999999997</v>
      </c>
      <c r="H96" s="1108">
        <f t="shared" ca="1" si="8"/>
        <v>44.180639999999997</v>
      </c>
      <c r="I96" s="1108">
        <f t="shared" ca="1" si="8"/>
        <v>25.246080000000006</v>
      </c>
      <c r="J96" s="1108">
        <f t="shared" ca="1" si="8"/>
        <v>8.4153600000000051</v>
      </c>
      <c r="K96" s="1108">
        <f t="shared" ca="1" si="8"/>
        <v>8.4153600000000051</v>
      </c>
      <c r="L96" s="1108">
        <f t="shared" ca="1" si="8"/>
        <v>0</v>
      </c>
      <c r="M96" s="1108">
        <f t="shared" ca="1" si="8"/>
        <v>0</v>
      </c>
      <c r="N96" s="1108">
        <f t="shared" ca="1" si="8"/>
        <v>0</v>
      </c>
      <c r="O96" s="1108">
        <f t="shared" ca="1" si="8"/>
        <v>0</v>
      </c>
    </row>
    <row r="97" spans="1:16" hidden="1" outlineLevel="1">
      <c r="F97" s="27"/>
    </row>
    <row r="98" spans="1:16" hidden="1" outlineLevel="1">
      <c r="C98" s="731" t="s">
        <v>1798</v>
      </c>
      <c r="F98" s="783">
        <f>F93</f>
        <v>57.469895999999999</v>
      </c>
      <c r="G98" s="783">
        <f t="shared" ref="G98:O98" si="9">G93</f>
        <v>52.595999999999997</v>
      </c>
      <c r="H98" s="783">
        <f t="shared" si="9"/>
        <v>44.180639999999997</v>
      </c>
      <c r="I98" s="783">
        <f t="shared" si="9"/>
        <v>25.246080000000006</v>
      </c>
      <c r="J98" s="783">
        <f t="shared" si="9"/>
        <v>8.4153600000000051</v>
      </c>
      <c r="K98" s="783">
        <f t="shared" si="9"/>
        <v>8.4153600000000051</v>
      </c>
      <c r="L98" s="783">
        <f t="shared" si="9"/>
        <v>0</v>
      </c>
      <c r="M98" s="783">
        <f t="shared" si="9"/>
        <v>0</v>
      </c>
      <c r="N98" s="783">
        <f t="shared" si="9"/>
        <v>0</v>
      </c>
      <c r="O98" s="783">
        <f t="shared" si="9"/>
        <v>0</v>
      </c>
    </row>
    <row r="99" spans="1:16" hidden="1" outlineLevel="1">
      <c r="C99" s="806" t="s">
        <v>767</v>
      </c>
      <c r="F99" s="27">
        <f>F$47*F98</f>
        <v>5.8017584108879987</v>
      </c>
      <c r="G99" s="27">
        <f t="shared" ref="G99:O99" si="10">G$47*G98</f>
        <v>5.2595999999999998</v>
      </c>
      <c r="H99" s="27">
        <f t="shared" si="10"/>
        <v>4.4180640000000002</v>
      </c>
      <c r="I99" s="27">
        <f t="shared" si="10"/>
        <v>2.5246080000000006</v>
      </c>
      <c r="J99" s="27">
        <f t="shared" si="10"/>
        <v>0.84153600000000051</v>
      </c>
      <c r="K99" s="27">
        <f t="shared" si="10"/>
        <v>0.84153600000000051</v>
      </c>
      <c r="L99" s="27">
        <f t="shared" si="10"/>
        <v>0</v>
      </c>
      <c r="M99" s="27">
        <f t="shared" si="10"/>
        <v>0</v>
      </c>
      <c r="N99" s="27">
        <f t="shared" si="10"/>
        <v>0</v>
      </c>
      <c r="O99" s="27">
        <f t="shared" si="10"/>
        <v>0</v>
      </c>
    </row>
    <row r="100" spans="1:16" hidden="1" outlineLevel="1">
      <c r="C100" s="807" t="s">
        <v>766</v>
      </c>
      <c r="F100" s="783">
        <f>F98+F99</f>
        <v>63.271654410887997</v>
      </c>
      <c r="G100" s="783">
        <f t="shared" ref="G100:O100" si="11">G98+G99</f>
        <v>57.855599999999995</v>
      </c>
      <c r="H100" s="783">
        <f t="shared" si="11"/>
        <v>48.598703999999998</v>
      </c>
      <c r="I100" s="783">
        <f t="shared" si="11"/>
        <v>27.770688000000007</v>
      </c>
      <c r="J100" s="783">
        <f t="shared" si="11"/>
        <v>9.2568960000000047</v>
      </c>
      <c r="K100" s="783">
        <f t="shared" si="11"/>
        <v>9.2568960000000047</v>
      </c>
      <c r="L100" s="783">
        <f t="shared" si="11"/>
        <v>0</v>
      </c>
      <c r="M100" s="783">
        <f t="shared" si="11"/>
        <v>0</v>
      </c>
      <c r="N100" s="783">
        <f t="shared" si="11"/>
        <v>0</v>
      </c>
      <c r="O100" s="783">
        <f t="shared" si="11"/>
        <v>0</v>
      </c>
    </row>
    <row r="101" spans="1:16" hidden="1" outlineLevel="1">
      <c r="C101" s="121" t="s">
        <v>768</v>
      </c>
      <c r="F101" s="19">
        <f>F$52</f>
        <v>0.38600000000000001</v>
      </c>
      <c r="G101" s="19">
        <f t="shared" ref="G101:O101" si="12">G$52</f>
        <v>0.36</v>
      </c>
      <c r="H101" s="19">
        <f t="shared" si="12"/>
        <v>0.36</v>
      </c>
      <c r="I101" s="19">
        <f t="shared" si="12"/>
        <v>0.36</v>
      </c>
      <c r="J101" s="19">
        <f t="shared" si="12"/>
        <v>0.36</v>
      </c>
      <c r="K101" s="19">
        <f t="shared" si="12"/>
        <v>0.36</v>
      </c>
      <c r="L101" s="19">
        <f t="shared" si="12"/>
        <v>0.36</v>
      </c>
      <c r="M101" s="19">
        <f t="shared" si="12"/>
        <v>0.36</v>
      </c>
      <c r="N101" s="19">
        <f t="shared" si="12"/>
        <v>0.36</v>
      </c>
      <c r="O101" s="19">
        <f t="shared" si="12"/>
        <v>0.36</v>
      </c>
    </row>
    <row r="102" spans="1:16" hidden="1" outlineLevel="1">
      <c r="C102" s="807" t="s">
        <v>772</v>
      </c>
      <c r="F102" s="783">
        <f>F100/F101</f>
        <v>163.91620313701554</v>
      </c>
      <c r="G102" s="783">
        <f t="shared" ref="G102:O102" si="13">G100/G101</f>
        <v>160.70999999999998</v>
      </c>
      <c r="H102" s="783">
        <f t="shared" si="13"/>
        <v>134.99639999999999</v>
      </c>
      <c r="I102" s="783">
        <f t="shared" si="13"/>
        <v>77.140800000000027</v>
      </c>
      <c r="J102" s="783">
        <f t="shared" si="13"/>
        <v>25.713600000000014</v>
      </c>
      <c r="K102" s="783">
        <f t="shared" si="13"/>
        <v>25.713600000000014</v>
      </c>
      <c r="L102" s="783">
        <f t="shared" si="13"/>
        <v>0</v>
      </c>
      <c r="M102" s="783">
        <f t="shared" si="13"/>
        <v>0</v>
      </c>
      <c r="N102" s="783">
        <f t="shared" si="13"/>
        <v>0</v>
      </c>
      <c r="O102" s="783">
        <f t="shared" si="13"/>
        <v>0</v>
      </c>
    </row>
    <row r="103" spans="1:16" hidden="1" outlineLevel="1">
      <c r="F103" s="783"/>
    </row>
    <row r="105" spans="1:16" ht="22.5" collapsed="1">
      <c r="A105" s="1171"/>
      <c r="B105" s="1231" t="s">
        <v>683</v>
      </c>
      <c r="C105" s="1183"/>
      <c r="D105" s="1183"/>
      <c r="E105" s="1183"/>
      <c r="F105" s="1183"/>
      <c r="G105" s="1183"/>
      <c r="H105" s="1183"/>
      <c r="I105" s="1183"/>
      <c r="J105" s="1183"/>
      <c r="K105" s="1183"/>
      <c r="L105" s="1183"/>
      <c r="M105" s="1183"/>
      <c r="N105" s="1183"/>
      <c r="O105" s="1183"/>
      <c r="P105" s="1185"/>
    </row>
    <row r="106" spans="1:16" hidden="1" outlineLevel="1">
      <c r="B106" s="1172"/>
      <c r="C106" s="1174"/>
      <c r="D106" s="1174"/>
      <c r="E106" s="1174"/>
      <c r="F106" s="1174"/>
      <c r="G106" s="1174"/>
      <c r="H106" s="1174"/>
      <c r="I106" s="1174"/>
      <c r="J106" s="1174"/>
      <c r="K106" s="1174"/>
      <c r="L106" s="1174"/>
      <c r="M106" s="1174"/>
      <c r="N106" s="1174"/>
      <c r="O106" s="1174"/>
      <c r="P106" s="1176"/>
    </row>
    <row r="107" spans="1:16" hidden="1" outlineLevel="1">
      <c r="B107" s="1172"/>
      <c r="C107" s="1186" t="s">
        <v>730</v>
      </c>
      <c r="D107" s="1174"/>
      <c r="E107" s="1175"/>
      <c r="F107" s="1174"/>
      <c r="G107" s="1175"/>
      <c r="H107" s="1174"/>
      <c r="I107" s="1174"/>
      <c r="J107" s="1174"/>
      <c r="K107" s="1174"/>
      <c r="L107" s="1174"/>
      <c r="M107" s="1174"/>
      <c r="N107" s="1174"/>
      <c r="O107" s="1175" t="str">
        <f>Preferences.EnergyUnits</f>
        <v>TWh</v>
      </c>
      <c r="P107" s="1176"/>
    </row>
    <row r="108" spans="1:16" ht="6" hidden="1" customHeight="1" outlineLevel="1">
      <c r="B108" s="1172"/>
      <c r="C108" s="1174"/>
      <c r="D108" s="1174"/>
      <c r="E108" s="1174"/>
      <c r="F108" s="1174"/>
      <c r="G108" s="1174"/>
      <c r="H108" s="1174"/>
      <c r="I108" s="1174"/>
      <c r="J108" s="1174"/>
      <c r="K108" s="1174"/>
      <c r="L108" s="1174"/>
      <c r="M108" s="1174"/>
      <c r="N108" s="1174"/>
      <c r="O108" s="1174"/>
      <c r="P108" s="1176"/>
    </row>
    <row r="109" spans="1:16" ht="15.75" hidden="1" outlineLevel="1">
      <c r="A109" s="3"/>
      <c r="B109" s="1177"/>
      <c r="C109" s="1188" t="s">
        <v>78</v>
      </c>
      <c r="D109" s="1188" t="s">
        <v>418</v>
      </c>
      <c r="E109" s="1188" t="s">
        <v>442</v>
      </c>
      <c r="F109" s="1188" t="s">
        <v>691</v>
      </c>
      <c r="G109" s="1188" t="s">
        <v>692</v>
      </c>
      <c r="H109" s="1189" t="s">
        <v>721</v>
      </c>
      <c r="I109" s="1189" t="s">
        <v>722</v>
      </c>
      <c r="J109" s="1189" t="s">
        <v>723</v>
      </c>
      <c r="K109" s="1189" t="s">
        <v>724</v>
      </c>
      <c r="L109" s="1189" t="s">
        <v>725</v>
      </c>
      <c r="M109" s="1189" t="s">
        <v>726</v>
      </c>
      <c r="N109" s="1189" t="s">
        <v>727</v>
      </c>
      <c r="O109" s="1189" t="s">
        <v>728</v>
      </c>
      <c r="P109" s="1176"/>
    </row>
    <row r="110" spans="1:16" ht="15.75" hidden="1" outlineLevel="1">
      <c r="A110" s="3"/>
      <c r="B110" s="1177"/>
      <c r="C110" s="765" t="s">
        <v>45</v>
      </c>
      <c r="D110" s="765" t="str">
        <f>INDEX(Vectors[Description], MATCH([Vector], Vectors[Code], 0))</f>
        <v>Electricity (delivered to end user)</v>
      </c>
      <c r="E110" s="765"/>
      <c r="F110" s="953">
        <v>0</v>
      </c>
      <c r="G110" s="953">
        <v>0</v>
      </c>
      <c r="H110" s="953">
        <v>0</v>
      </c>
      <c r="I110" s="953">
        <v>0</v>
      </c>
      <c r="J110" s="953">
        <v>0</v>
      </c>
      <c r="K110" s="953">
        <v>0</v>
      </c>
      <c r="L110" s="953">
        <v>0</v>
      </c>
      <c r="M110" s="953">
        <v>0</v>
      </c>
      <c r="N110" s="953">
        <v>0</v>
      </c>
      <c r="O110" s="953">
        <v>0</v>
      </c>
      <c r="P110" s="1176"/>
    </row>
    <row r="111" spans="1:16" ht="15.75" hidden="1" outlineLevel="1">
      <c r="A111" s="3"/>
      <c r="B111" s="1177"/>
      <c r="C111" s="765" t="s">
        <v>46</v>
      </c>
      <c r="D111" s="765" t="str">
        <f>INDEX(Vectors[Description], MATCH([Vector], Vectors[Code], 0))</f>
        <v>Electricity (supplied to grid)</v>
      </c>
      <c r="E111" s="765"/>
      <c r="F111" s="953">
        <f>F$98</f>
        <v>57.469895999999999</v>
      </c>
      <c r="G111" s="953">
        <f t="shared" ref="G111:O111" si="14">G$98</f>
        <v>52.595999999999997</v>
      </c>
      <c r="H111" s="953">
        <f t="shared" si="14"/>
        <v>44.180639999999997</v>
      </c>
      <c r="I111" s="953">
        <f t="shared" si="14"/>
        <v>25.246080000000006</v>
      </c>
      <c r="J111" s="953">
        <f t="shared" si="14"/>
        <v>8.4153600000000051</v>
      </c>
      <c r="K111" s="953">
        <f t="shared" si="14"/>
        <v>8.4153600000000051</v>
      </c>
      <c r="L111" s="953">
        <f t="shared" si="14"/>
        <v>0</v>
      </c>
      <c r="M111" s="953">
        <f t="shared" si="14"/>
        <v>0</v>
      </c>
      <c r="N111" s="953">
        <f t="shared" si="14"/>
        <v>0</v>
      </c>
      <c r="O111" s="953">
        <f t="shared" si="14"/>
        <v>0</v>
      </c>
      <c r="P111" s="1176"/>
    </row>
    <row r="112" spans="1:16" ht="15.75" hidden="1" outlineLevel="1">
      <c r="A112" s="3"/>
      <c r="B112" s="1177"/>
      <c r="C112" s="765" t="s">
        <v>7</v>
      </c>
      <c r="D112" s="765" t="str">
        <f>INDEX(Vectors[Description], MATCH([Vector], Vectors[Code], 0))</f>
        <v>Nuclear fission</v>
      </c>
      <c r="E112" s="765"/>
      <c r="F112" s="953">
        <f>-F$102</f>
        <v>-163.91620313701554</v>
      </c>
      <c r="G112" s="953">
        <f t="shared" ref="G112:O112" si="15">-G$102</f>
        <v>-160.70999999999998</v>
      </c>
      <c r="H112" s="953">
        <f t="shared" si="15"/>
        <v>-134.99639999999999</v>
      </c>
      <c r="I112" s="953">
        <f t="shared" si="15"/>
        <v>-77.140800000000027</v>
      </c>
      <c r="J112" s="953">
        <f t="shared" si="15"/>
        <v>-25.713600000000014</v>
      </c>
      <c r="K112" s="953">
        <f t="shared" si="15"/>
        <v>-25.713600000000014</v>
      </c>
      <c r="L112" s="953">
        <f t="shared" si="15"/>
        <v>0</v>
      </c>
      <c r="M112" s="953">
        <f t="shared" si="15"/>
        <v>0</v>
      </c>
      <c r="N112" s="953">
        <f t="shared" si="15"/>
        <v>0</v>
      </c>
      <c r="O112" s="953">
        <f t="shared" si="15"/>
        <v>0</v>
      </c>
      <c r="P112" s="1176"/>
    </row>
    <row r="113" spans="1:16" ht="15.75" hidden="1" outlineLevel="1">
      <c r="A113" s="3"/>
      <c r="B113" s="1177"/>
      <c r="C113" s="765" t="s">
        <v>34</v>
      </c>
      <c r="D113" s="765" t="str">
        <f>INDEX(Vectors[Description], MATCH([Vector], Vectors[Code], 0))</f>
        <v>Conversion losses</v>
      </c>
      <c r="E113" s="765"/>
      <c r="F113" s="953">
        <f>(F$102-F$100)</f>
        <v>100.64454872612754</v>
      </c>
      <c r="G113" s="953">
        <f t="shared" ref="G113:O113" si="16">(G$102-G$100)</f>
        <v>102.85439999999998</v>
      </c>
      <c r="H113" s="953">
        <f t="shared" si="16"/>
        <v>86.397695999999996</v>
      </c>
      <c r="I113" s="953">
        <f t="shared" si="16"/>
        <v>49.37011200000002</v>
      </c>
      <c r="J113" s="953">
        <f t="shared" si="16"/>
        <v>16.456704000000009</v>
      </c>
      <c r="K113" s="953">
        <f t="shared" si="16"/>
        <v>16.456704000000009</v>
      </c>
      <c r="L113" s="953">
        <f t="shared" si="16"/>
        <v>0</v>
      </c>
      <c r="M113" s="953">
        <f t="shared" si="16"/>
        <v>0</v>
      </c>
      <c r="N113" s="953">
        <f t="shared" si="16"/>
        <v>0</v>
      </c>
      <c r="O113" s="953">
        <f t="shared" si="16"/>
        <v>0</v>
      </c>
      <c r="P113" s="1176"/>
    </row>
    <row r="114" spans="1:16" ht="15.75" hidden="1" outlineLevel="1">
      <c r="A114" s="3"/>
      <c r="B114" s="1177"/>
      <c r="C114" s="765" t="s">
        <v>35</v>
      </c>
      <c r="D114" s="765" t="str">
        <f>INDEX(Vectors[Description], MATCH([Vector], Vectors[Code], 0))</f>
        <v>Distribution losses and own use</v>
      </c>
      <c r="E114" s="765"/>
      <c r="F114" s="953">
        <f>F$99</f>
        <v>5.8017584108879987</v>
      </c>
      <c r="G114" s="953">
        <f t="shared" ref="G114:O114" si="17">G$99</f>
        <v>5.2595999999999998</v>
      </c>
      <c r="H114" s="953">
        <f t="shared" si="17"/>
        <v>4.4180640000000002</v>
      </c>
      <c r="I114" s="953">
        <f t="shared" si="17"/>
        <v>2.5246080000000006</v>
      </c>
      <c r="J114" s="953">
        <f t="shared" si="17"/>
        <v>0.84153600000000051</v>
      </c>
      <c r="K114" s="953">
        <f t="shared" si="17"/>
        <v>0.84153600000000051</v>
      </c>
      <c r="L114" s="953">
        <f t="shared" si="17"/>
        <v>0</v>
      </c>
      <c r="M114" s="953">
        <f t="shared" si="17"/>
        <v>0</v>
      </c>
      <c r="N114" s="953">
        <f t="shared" si="17"/>
        <v>0</v>
      </c>
      <c r="O114" s="953">
        <f t="shared" si="17"/>
        <v>0</v>
      </c>
      <c r="P114" s="1176"/>
    </row>
    <row r="115" spans="1:16" ht="15.75" hidden="1" outlineLevel="1">
      <c r="A115" s="3"/>
      <c r="B115" s="1177"/>
      <c r="C115" s="765" t="s">
        <v>148</v>
      </c>
      <c r="D115" s="765"/>
      <c r="E115" s="765"/>
      <c r="F115" s="953">
        <f>SUBTOTAL(109,[2007])</f>
        <v>0</v>
      </c>
      <c r="G115" s="953">
        <f>SUBTOTAL(109,[2010])</f>
        <v>0</v>
      </c>
      <c r="H115" s="953">
        <f>SUBTOTAL(109,[2015])</f>
        <v>0</v>
      </c>
      <c r="I115" s="953">
        <f>SUBTOTAL(109,[2020])</f>
        <v>0</v>
      </c>
      <c r="J115" s="953">
        <f>SUBTOTAL(109,[2025])</f>
        <v>0</v>
      </c>
      <c r="K115" s="953">
        <f>SUBTOTAL(109,[2030])</f>
        <v>0</v>
      </c>
      <c r="L115" s="953">
        <f>SUBTOTAL(109,[2035])</f>
        <v>0</v>
      </c>
      <c r="M115" s="953">
        <f>SUBTOTAL(109,[2040])</f>
        <v>0</v>
      </c>
      <c r="N115" s="953">
        <f>SUBTOTAL(109,[2045])</f>
        <v>0</v>
      </c>
      <c r="O115" s="953">
        <f>SUBTOTAL(109,[2050])</f>
        <v>0</v>
      </c>
      <c r="P115" s="1176"/>
    </row>
    <row r="116" spans="1:16" ht="15.75" hidden="1" outlineLevel="1">
      <c r="A116" s="3"/>
      <c r="B116" s="1178"/>
      <c r="C116" s="1179"/>
      <c r="D116" s="1179"/>
      <c r="E116" s="1179"/>
      <c r="F116" s="1179"/>
      <c r="G116" s="1179"/>
      <c r="H116" s="1179"/>
      <c r="I116" s="1179"/>
      <c r="J116" s="1179"/>
      <c r="K116" s="1179"/>
      <c r="L116" s="1179"/>
      <c r="M116" s="1179"/>
      <c r="N116" s="1179"/>
      <c r="O116" s="1179"/>
      <c r="P116" s="1181"/>
    </row>
  </sheetData>
  <pageMargins left="0.7" right="0.7" top="0.75" bottom="0.75" header="0.3" footer="0.3"/>
  <pageSetup paperSize="9" orientation="portrait" r:id="rId1"/>
  <ignoredErrors>
    <ignoredError sqref="F46:O46 F51:O51 F56:O56" numberStoredAsText="1"/>
    <ignoredError sqref="F110:F111 F113:F114 F112 F15:O16" calculatedColumn="1"/>
  </ignoredErrors>
  <tableParts count="2">
    <tablePart r:id="rId2"/>
    <tablePart r:id="rId3"/>
  </tableParts>
</worksheet>
</file>

<file path=xl/worksheets/sheet19.xml><?xml version="1.0" encoding="utf-8"?>
<worksheet xmlns="http://schemas.openxmlformats.org/spreadsheetml/2006/main" xmlns:r="http://schemas.openxmlformats.org/officeDocument/2006/relationships">
  <sheetPr codeName="Sheet91">
    <tabColor theme="9"/>
    <outlinePr summaryBelow="0"/>
    <pageSetUpPr autoPageBreaks="0"/>
  </sheetPr>
  <dimension ref="A1:AE78"/>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31" ht="21">
      <c r="A1" s="789" t="s">
        <v>76</v>
      </c>
      <c r="B1" s="789" t="str">
        <f>INDEX(Workstreams[Workstream], MATCH($A1, Workstreams[Code], 0))</f>
        <v>National renewable power generation</v>
      </c>
      <c r="C1" s="789"/>
    </row>
    <row r="2" spans="1:31" s="743" customFormat="1" ht="19.5" customHeight="1">
      <c r="A2" s="10" t="s">
        <v>1730</v>
      </c>
      <c r="B2" s="10" t="str">
        <f>INDEX(Modules[Module], MATCH($A2, Modules[Code], 0))</f>
        <v>Onshore wind</v>
      </c>
      <c r="C2" s="10"/>
    </row>
    <row r="4" spans="1:31" ht="22.5" collapsed="1">
      <c r="A4" s="1171"/>
      <c r="B4" s="1231" t="s">
        <v>1357</v>
      </c>
      <c r="C4" s="1219"/>
      <c r="D4" s="1183"/>
      <c r="E4" s="1184"/>
      <c r="F4" s="1183"/>
      <c r="G4" s="1183"/>
      <c r="H4" s="1183"/>
      <c r="I4" s="1183"/>
      <c r="J4" s="1183"/>
      <c r="K4" s="1183"/>
      <c r="L4" s="1183"/>
      <c r="M4" s="1183"/>
      <c r="N4" s="1183"/>
      <c r="O4" s="1183"/>
      <c r="P4" s="1185"/>
    </row>
    <row r="5" spans="1:31" hidden="1" outlineLevel="1">
      <c r="B5" s="1172"/>
      <c r="C5" s="1173"/>
      <c r="D5" s="1174"/>
      <c r="E5" s="1175"/>
      <c r="F5" s="1174"/>
      <c r="G5" s="1174"/>
      <c r="H5" s="1174"/>
      <c r="I5" s="1174"/>
      <c r="J5" s="1174"/>
      <c r="K5" s="1174"/>
      <c r="L5" s="1174"/>
      <c r="M5" s="1174"/>
      <c r="N5" s="1174"/>
      <c r="O5" s="1174"/>
      <c r="P5" s="1176"/>
    </row>
    <row r="6" spans="1:31" ht="15.75" hidden="1" outlineLevel="1">
      <c r="B6" s="1177"/>
      <c r="C6" s="1174"/>
      <c r="D6" s="922" t="s">
        <v>830</v>
      </c>
      <c r="E6" s="922" t="s">
        <v>1352</v>
      </c>
      <c r="F6" s="1174"/>
      <c r="G6" s="1174"/>
      <c r="H6" s="1174"/>
      <c r="I6" s="1174"/>
      <c r="J6" s="1174"/>
      <c r="K6" s="1174"/>
      <c r="L6" s="1174"/>
      <c r="M6" s="1174"/>
      <c r="N6" s="1174"/>
      <c r="O6" s="1174"/>
      <c r="P6" s="1176"/>
    </row>
    <row r="7" spans="1:31" ht="15.75" hidden="1" outlineLevel="1">
      <c r="B7" s="1177"/>
      <c r="C7" s="1174"/>
      <c r="D7" s="950" t="s">
        <v>1352</v>
      </c>
      <c r="E7" s="950">
        <f>III.a.1.Scenario</f>
        <v>1</v>
      </c>
      <c r="F7" s="1174"/>
      <c r="G7" s="1174"/>
      <c r="H7" s="1174"/>
      <c r="I7" s="1174"/>
      <c r="J7" s="1174"/>
      <c r="K7" s="1174"/>
      <c r="L7" s="1174"/>
      <c r="M7" s="1174"/>
      <c r="N7" s="1174"/>
      <c r="O7" s="1174"/>
      <c r="P7" s="1176"/>
    </row>
    <row r="8" spans="1:31" ht="15.75" hidden="1" outlineLevel="1">
      <c r="B8" s="1178"/>
      <c r="C8" s="1179"/>
      <c r="D8" s="1179"/>
      <c r="E8" s="1179"/>
      <c r="F8" s="1180"/>
      <c r="G8" s="1180"/>
      <c r="H8" s="1180"/>
      <c r="I8" s="1180"/>
      <c r="J8" s="1180"/>
      <c r="K8" s="1180"/>
      <c r="L8" s="1180"/>
      <c r="M8" s="1180"/>
      <c r="N8" s="1180"/>
      <c r="O8" s="1180"/>
      <c r="P8" s="1181"/>
    </row>
    <row r="10" spans="1:31" ht="22.5" collapsed="1">
      <c r="A10" s="1171"/>
      <c r="B10" s="1236" t="s">
        <v>1354</v>
      </c>
      <c r="C10" s="1167"/>
      <c r="D10" s="1167"/>
      <c r="E10" s="1167"/>
      <c r="F10" s="1167"/>
      <c r="G10" s="1167"/>
      <c r="H10" s="1167"/>
      <c r="I10" s="1167"/>
      <c r="J10" s="1167"/>
      <c r="K10" s="1167"/>
      <c r="L10" s="1167"/>
      <c r="M10" s="1167"/>
      <c r="N10" s="1167"/>
      <c r="O10" s="1167"/>
      <c r="P10" s="1168"/>
    </row>
    <row r="11" spans="1:31" hidden="1" outlineLevel="1">
      <c r="B11" s="1157"/>
      <c r="C11" s="864"/>
      <c r="D11" s="864"/>
      <c r="E11" s="864"/>
      <c r="F11" s="864"/>
      <c r="G11" s="864"/>
      <c r="H11" s="864"/>
      <c r="I11" s="864"/>
      <c r="J11" s="864"/>
      <c r="K11" s="864"/>
      <c r="L11" s="864"/>
      <c r="M11" s="864"/>
      <c r="N11" s="864"/>
      <c r="O11" s="864"/>
      <c r="P11" s="1158"/>
      <c r="U11"/>
      <c r="V11"/>
      <c r="W11"/>
      <c r="X11"/>
      <c r="Y11"/>
      <c r="Z11"/>
      <c r="AA11"/>
      <c r="AB11"/>
      <c r="AC11"/>
      <c r="AD11"/>
      <c r="AE11"/>
    </row>
    <row r="12" spans="1:31" hidden="1" outlineLevel="1">
      <c r="B12" s="1157"/>
      <c r="C12" s="866" t="s">
        <v>1587</v>
      </c>
      <c r="D12" s="864"/>
      <c r="E12" s="867"/>
      <c r="F12" s="864"/>
      <c r="G12" s="864"/>
      <c r="H12" s="864"/>
      <c r="I12" s="864"/>
      <c r="J12" s="864"/>
      <c r="K12" s="864"/>
      <c r="L12" s="864"/>
      <c r="M12" s="864"/>
      <c r="N12" s="864"/>
      <c r="O12" s="867" t="str">
        <f>Preferences.PowerUnits &amp; " per annum, for subsequent period; nameplate capacity"</f>
        <v>GW per annum, for subsequent period; nameplate capacity</v>
      </c>
      <c r="P12" s="1158"/>
      <c r="U12"/>
      <c r="V12"/>
      <c r="W12"/>
      <c r="X12"/>
      <c r="Y12"/>
      <c r="Z12"/>
      <c r="AA12"/>
      <c r="AB12"/>
      <c r="AC12"/>
      <c r="AD12"/>
      <c r="AE12"/>
    </row>
    <row r="13" spans="1:31" ht="5.25" hidden="1" customHeight="1" outlineLevel="1">
      <c r="B13" s="1157"/>
      <c r="C13" s="864"/>
      <c r="D13" s="864"/>
      <c r="E13" s="864"/>
      <c r="F13" s="864"/>
      <c r="G13" s="864"/>
      <c r="H13" s="864"/>
      <c r="I13" s="864"/>
      <c r="J13" s="864"/>
      <c r="K13" s="864"/>
      <c r="L13" s="864"/>
      <c r="M13" s="864"/>
      <c r="N13" s="864"/>
      <c r="O13" s="864"/>
      <c r="P13" s="1158"/>
      <c r="U13"/>
      <c r="V13"/>
      <c r="W13"/>
      <c r="X13"/>
      <c r="Y13"/>
      <c r="Z13"/>
      <c r="AA13"/>
      <c r="AB13"/>
      <c r="AC13"/>
      <c r="AD13"/>
      <c r="AE13"/>
    </row>
    <row r="14" spans="1:31" ht="15.75" hidden="1" outlineLevel="1">
      <c r="B14" s="1159"/>
      <c r="C14" s="766" t="s">
        <v>1352</v>
      </c>
      <c r="D14" s="766" t="s">
        <v>79</v>
      </c>
      <c r="E14" s="766" t="s">
        <v>442</v>
      </c>
      <c r="F14" s="923">
        <v>2007</v>
      </c>
      <c r="G14" s="924">
        <v>2010</v>
      </c>
      <c r="H14" s="923">
        <v>2015</v>
      </c>
      <c r="I14" s="923">
        <v>2020</v>
      </c>
      <c r="J14" s="923">
        <v>2025</v>
      </c>
      <c r="K14" s="923">
        <v>2030</v>
      </c>
      <c r="L14" s="923">
        <v>2035</v>
      </c>
      <c r="M14" s="923">
        <v>2040</v>
      </c>
      <c r="N14" s="923">
        <v>2045</v>
      </c>
      <c r="O14" s="923">
        <v>2050</v>
      </c>
      <c r="P14" s="1158"/>
      <c r="U14"/>
      <c r="V14"/>
      <c r="W14"/>
      <c r="X14"/>
      <c r="Y14"/>
      <c r="Z14"/>
      <c r="AA14"/>
      <c r="AB14"/>
      <c r="AC14"/>
      <c r="AD14"/>
      <c r="AE14"/>
    </row>
    <row r="15" spans="1:31" ht="15.75" hidden="1" outlineLevel="1">
      <c r="B15" s="1161"/>
      <c r="C15" s="831">
        <v>1</v>
      </c>
      <c r="D15" s="832"/>
      <c r="E15" s="833"/>
      <c r="F15" s="1272">
        <f>(Unit.GW)*0.613333333333333</f>
        <v>0.61333333333333295</v>
      </c>
      <c r="G15" s="907">
        <f>(Unit.GW)*0.55</f>
        <v>0.55000000000000004</v>
      </c>
      <c r="H15" s="1272">
        <f>(Unit.GW)*0.55</f>
        <v>0.55000000000000004</v>
      </c>
      <c r="I15" s="1272">
        <f>(Unit.GW)*0.55</f>
        <v>0.55000000000000004</v>
      </c>
      <c r="J15" s="1272">
        <v>0</v>
      </c>
      <c r="K15" s="1272">
        <f>(Unit.GW)*0</f>
        <v>0</v>
      </c>
      <c r="L15" s="1272">
        <f>(Unit.GW)*0</f>
        <v>0</v>
      </c>
      <c r="M15" s="1272">
        <f>(Unit.GW)*0</f>
        <v>0</v>
      </c>
      <c r="N15" s="1272">
        <f>(Unit.GW)*0</f>
        <v>0</v>
      </c>
      <c r="O15" s="847"/>
      <c r="P15" s="1162"/>
      <c r="U15"/>
      <c r="V15"/>
      <c r="W15"/>
      <c r="X15"/>
      <c r="Y15"/>
      <c r="Z15"/>
      <c r="AA15"/>
      <c r="AB15"/>
      <c r="AC15"/>
      <c r="AD15"/>
      <c r="AE15"/>
    </row>
    <row r="16" spans="1:31" ht="15.75" hidden="1" outlineLevel="1">
      <c r="B16" s="1159"/>
      <c r="C16" s="831">
        <v>2</v>
      </c>
      <c r="D16" s="832"/>
      <c r="E16" s="832"/>
      <c r="F16" s="1272">
        <f>(Unit.GW)*0.763333333333333</f>
        <v>0.76333333333333298</v>
      </c>
      <c r="G16" s="1772">
        <f t="shared" ref="G16:N16" si="0">(Unit.GW)*1</f>
        <v>1</v>
      </c>
      <c r="H16" s="1771">
        <f t="shared" si="0"/>
        <v>1</v>
      </c>
      <c r="I16" s="1771">
        <f t="shared" si="0"/>
        <v>1</v>
      </c>
      <c r="J16" s="1771">
        <f t="shared" si="0"/>
        <v>1</v>
      </c>
      <c r="K16" s="1771">
        <f t="shared" si="0"/>
        <v>1</v>
      </c>
      <c r="L16" s="1771">
        <f t="shared" si="0"/>
        <v>1</v>
      </c>
      <c r="M16" s="1771">
        <f t="shared" si="0"/>
        <v>1</v>
      </c>
      <c r="N16" s="1771">
        <f t="shared" si="0"/>
        <v>1</v>
      </c>
      <c r="O16" s="1091"/>
      <c r="P16" s="1158"/>
      <c r="U16"/>
      <c r="V16"/>
      <c r="W16"/>
      <c r="X16"/>
      <c r="Y16"/>
      <c r="Z16"/>
      <c r="AA16"/>
      <c r="AB16"/>
      <c r="AC16"/>
      <c r="AD16"/>
      <c r="AE16"/>
    </row>
    <row r="17" spans="1:31" ht="15.75" hidden="1" outlineLevel="1">
      <c r="B17" s="1159"/>
      <c r="C17" s="831">
        <v>3</v>
      </c>
      <c r="D17" s="832"/>
      <c r="E17" s="832"/>
      <c r="F17" s="1272">
        <f>(Unit.GW)*0.763333333333333</f>
        <v>0.76333333333333298</v>
      </c>
      <c r="G17" s="1772">
        <f>(Unit.GW)*1.44</f>
        <v>1.44</v>
      </c>
      <c r="H17" s="1771">
        <f t="shared" ref="H17:N17" si="1">(Unit.GW)*1.6</f>
        <v>1.6</v>
      </c>
      <c r="I17" s="1771">
        <f t="shared" si="1"/>
        <v>1.6</v>
      </c>
      <c r="J17" s="1771">
        <f t="shared" si="1"/>
        <v>1.6</v>
      </c>
      <c r="K17" s="1771">
        <f t="shared" si="1"/>
        <v>1.6</v>
      </c>
      <c r="L17" s="1771">
        <f t="shared" si="1"/>
        <v>1.6</v>
      </c>
      <c r="M17" s="1771">
        <f t="shared" si="1"/>
        <v>1.6</v>
      </c>
      <c r="N17" s="1771">
        <f t="shared" si="1"/>
        <v>1.6</v>
      </c>
      <c r="O17" s="1091"/>
      <c r="P17" s="1158"/>
      <c r="U17"/>
      <c r="V17"/>
      <c r="W17"/>
      <c r="X17"/>
      <c r="Y17"/>
      <c r="Z17"/>
      <c r="AA17"/>
      <c r="AB17"/>
      <c r="AC17"/>
      <c r="AD17"/>
      <c r="AE17"/>
    </row>
    <row r="18" spans="1:31" ht="15.75" hidden="1" outlineLevel="1">
      <c r="B18" s="1159"/>
      <c r="C18" s="769">
        <v>4</v>
      </c>
      <c r="D18" s="770"/>
      <c r="E18" s="770"/>
      <c r="F18" s="2256">
        <f>(Unit.GW)*0.763333333333333</f>
        <v>0.76333333333333298</v>
      </c>
      <c r="G18" s="1774">
        <f>(Unit.GW)*1.52</f>
        <v>1.52</v>
      </c>
      <c r="H18" s="1773">
        <f>(Unit.GW)*2.1</f>
        <v>2.1</v>
      </c>
      <c r="I18" s="1773">
        <f t="shared" ref="I18:N18" si="2">(Unit.GW)*2.5</f>
        <v>2.5</v>
      </c>
      <c r="J18" s="1773">
        <f t="shared" si="2"/>
        <v>2.5</v>
      </c>
      <c r="K18" s="1773">
        <f t="shared" si="2"/>
        <v>2.5</v>
      </c>
      <c r="L18" s="1773">
        <f t="shared" si="2"/>
        <v>2.5</v>
      </c>
      <c r="M18" s="1773">
        <f t="shared" si="2"/>
        <v>2.5</v>
      </c>
      <c r="N18" s="1773">
        <f t="shared" si="2"/>
        <v>2.5</v>
      </c>
      <c r="O18" s="859"/>
      <c r="P18" s="1158"/>
      <c r="U18"/>
      <c r="V18"/>
      <c r="W18"/>
      <c r="X18"/>
      <c r="Y18"/>
      <c r="Z18"/>
      <c r="AA18"/>
      <c r="AB18"/>
      <c r="AC18"/>
      <c r="AD18"/>
      <c r="AE18"/>
    </row>
    <row r="19" spans="1:31" hidden="1" outlineLevel="1">
      <c r="B19" s="1163"/>
      <c r="C19" s="864"/>
      <c r="D19" s="868"/>
      <c r="E19" s="864"/>
      <c r="F19" s="864"/>
      <c r="G19" s="864"/>
      <c r="H19" s="864"/>
      <c r="I19" s="864"/>
      <c r="J19" s="864"/>
      <c r="K19" s="864"/>
      <c r="L19" s="864"/>
      <c r="M19" s="864"/>
      <c r="N19" s="864"/>
      <c r="O19" s="864"/>
      <c r="P19" s="1158"/>
      <c r="U19"/>
      <c r="V19"/>
      <c r="W19"/>
      <c r="X19"/>
      <c r="Y19"/>
      <c r="Z19"/>
      <c r="AA19"/>
      <c r="AB19"/>
      <c r="AC19"/>
      <c r="AD19"/>
      <c r="AE19"/>
    </row>
    <row r="20" spans="1:31" hidden="1" outlineLevel="1">
      <c r="B20" s="1163"/>
      <c r="C20" s="866" t="s">
        <v>1588</v>
      </c>
      <c r="D20" s="864"/>
      <c r="E20" s="867"/>
      <c r="F20" s="864"/>
      <c r="G20" s="864"/>
      <c r="H20" s="864"/>
      <c r="I20" s="864"/>
      <c r="J20" s="864"/>
      <c r="K20" s="864"/>
      <c r="L20" s="864"/>
      <c r="M20" s="864"/>
      <c r="N20" s="864"/>
      <c r="O20" s="867" t="str">
        <f>Preferences.PowerUnits &amp; " per annum, for subsequent period; nameplate capacity"</f>
        <v>GW per annum, for subsequent period; nameplate capacity</v>
      </c>
      <c r="P20" s="1158"/>
      <c r="U20"/>
      <c r="V20"/>
      <c r="W20"/>
      <c r="X20"/>
      <c r="Y20"/>
      <c r="Z20"/>
      <c r="AA20"/>
      <c r="AB20"/>
      <c r="AC20"/>
      <c r="AD20"/>
      <c r="AE20"/>
    </row>
    <row r="21" spans="1:31" ht="5.25" hidden="1" customHeight="1" outlineLevel="1">
      <c r="B21" s="1163"/>
      <c r="C21" s="864"/>
      <c r="D21" s="864"/>
      <c r="E21" s="864"/>
      <c r="F21" s="864"/>
      <c r="G21" s="864"/>
      <c r="H21" s="864"/>
      <c r="I21" s="864"/>
      <c r="J21" s="864"/>
      <c r="K21" s="864"/>
      <c r="L21" s="864"/>
      <c r="M21" s="864"/>
      <c r="N21" s="864"/>
      <c r="O21" s="864"/>
      <c r="P21" s="1158"/>
      <c r="U21"/>
      <c r="V21"/>
      <c r="W21"/>
      <c r="X21"/>
      <c r="Y21"/>
      <c r="Z21"/>
      <c r="AA21"/>
      <c r="AB21"/>
      <c r="AC21"/>
      <c r="AD21"/>
      <c r="AE21"/>
    </row>
    <row r="22" spans="1:31" ht="15.75" hidden="1" outlineLevel="1">
      <c r="B22" s="1159"/>
      <c r="C22" s="766" t="s">
        <v>1352</v>
      </c>
      <c r="D22" s="766" t="s">
        <v>79</v>
      </c>
      <c r="E22" s="766" t="s">
        <v>442</v>
      </c>
      <c r="F22" s="923">
        <v>2007</v>
      </c>
      <c r="G22" s="924">
        <v>2010</v>
      </c>
      <c r="H22" s="923">
        <v>2015</v>
      </c>
      <c r="I22" s="923">
        <v>2020</v>
      </c>
      <c r="J22" s="923">
        <v>2025</v>
      </c>
      <c r="K22" s="923">
        <v>2030</v>
      </c>
      <c r="L22" s="923">
        <v>2035</v>
      </c>
      <c r="M22" s="923">
        <v>2040</v>
      </c>
      <c r="N22" s="923">
        <v>2045</v>
      </c>
      <c r="O22" s="923">
        <v>2050</v>
      </c>
      <c r="P22" s="1158"/>
      <c r="U22"/>
      <c r="V22"/>
      <c r="W22"/>
      <c r="X22"/>
      <c r="Y22"/>
      <c r="Z22"/>
      <c r="AA22"/>
      <c r="AB22"/>
      <c r="AC22"/>
      <c r="AD22"/>
      <c r="AE22"/>
    </row>
    <row r="23" spans="1:31" ht="15.75" hidden="1" outlineLevel="1">
      <c r="B23" s="1159"/>
      <c r="C23" s="831">
        <v>1</v>
      </c>
      <c r="D23" s="832"/>
      <c r="E23" s="833"/>
      <c r="F23" s="1272">
        <f t="shared" ref="F23:H25" si="3">(Unit.GW)*0</f>
        <v>0</v>
      </c>
      <c r="G23" s="907">
        <f t="shared" si="3"/>
        <v>0</v>
      </c>
      <c r="H23" s="1272">
        <f t="shared" si="3"/>
        <v>0</v>
      </c>
      <c r="I23" s="1272">
        <f>(Unit.GW)*-0.232</f>
        <v>-0.23200000000000001</v>
      </c>
      <c r="J23" s="1272">
        <f>(Unit.GW)*-0.546</f>
        <v>-0.54600000000000004</v>
      </c>
      <c r="K23" s="1272">
        <f>(Unit.GW)*-0.55</f>
        <v>-0.55000000000000004</v>
      </c>
      <c r="L23" s="1272">
        <f>(Unit.GW)*-0.55</f>
        <v>-0.55000000000000004</v>
      </c>
      <c r="M23" s="1272">
        <f>(Unit.GW)*-0.55</f>
        <v>-0.55000000000000004</v>
      </c>
      <c r="N23" s="1272">
        <v>0</v>
      </c>
      <c r="O23" s="847"/>
      <c r="P23" s="1158"/>
      <c r="U23"/>
      <c r="V23"/>
      <c r="W23"/>
      <c r="X23"/>
      <c r="Y23"/>
      <c r="Z23"/>
      <c r="AA23"/>
      <c r="AB23"/>
      <c r="AC23"/>
      <c r="AD23"/>
      <c r="AE23"/>
    </row>
    <row r="24" spans="1:31" ht="15.75" hidden="1" outlineLevel="1">
      <c r="B24" s="1159"/>
      <c r="C24" s="831">
        <v>2</v>
      </c>
      <c r="D24" s="832"/>
      <c r="E24" s="832"/>
      <c r="F24" s="1272">
        <f t="shared" si="3"/>
        <v>0</v>
      </c>
      <c r="G24" s="1772">
        <f t="shared" si="3"/>
        <v>0</v>
      </c>
      <c r="H24" s="1771">
        <f t="shared" si="3"/>
        <v>0</v>
      </c>
      <c r="I24" s="1771">
        <f>(Unit.GW)*-0.232</f>
        <v>-0.23200000000000001</v>
      </c>
      <c r="J24" s="1771">
        <f>(Unit.GW)*-0.636</f>
        <v>-0.63600000000000001</v>
      </c>
      <c r="K24" s="1771">
        <f>(Unit.GW)*-1</f>
        <v>-1</v>
      </c>
      <c r="L24" s="1771">
        <f>(Unit.GW)*-1</f>
        <v>-1</v>
      </c>
      <c r="M24" s="1771">
        <f>(Unit.GW)*-1</f>
        <v>-1</v>
      </c>
      <c r="N24" s="1771">
        <f>(Unit.GW)*-1</f>
        <v>-1</v>
      </c>
      <c r="O24" s="1091"/>
      <c r="P24" s="1158"/>
    </row>
    <row r="25" spans="1:31" ht="15.75" hidden="1" outlineLevel="1">
      <c r="B25" s="1159"/>
      <c r="C25" s="831">
        <v>3</v>
      </c>
      <c r="D25" s="832"/>
      <c r="E25" s="832"/>
      <c r="F25" s="1272">
        <f t="shared" si="3"/>
        <v>0</v>
      </c>
      <c r="G25" s="1772">
        <f t="shared" si="3"/>
        <v>0</v>
      </c>
      <c r="H25" s="1771">
        <f t="shared" si="3"/>
        <v>0</v>
      </c>
      <c r="I25" s="1771">
        <f>(Unit.GW)*-0.232</f>
        <v>-0.23200000000000001</v>
      </c>
      <c r="J25" s="1771">
        <f>(Unit.GW)*-0.636</f>
        <v>-0.63600000000000001</v>
      </c>
      <c r="K25" s="1771">
        <f>(Unit.GW)*-1.44</f>
        <v>-1.44</v>
      </c>
      <c r="L25" s="1771">
        <f>(Unit.GW)*-1.6</f>
        <v>-1.6</v>
      </c>
      <c r="M25" s="1771">
        <f>(Unit.GW)*-1.6</f>
        <v>-1.6</v>
      </c>
      <c r="N25" s="1771">
        <f>(Unit.GW)*-1.6</f>
        <v>-1.6</v>
      </c>
      <c r="O25" s="1091"/>
      <c r="P25" s="1158"/>
    </row>
    <row r="26" spans="1:31" ht="15.75" hidden="1" outlineLevel="1">
      <c r="B26" s="1159"/>
      <c r="C26" s="769">
        <v>4</v>
      </c>
      <c r="D26" s="770"/>
      <c r="E26" s="770"/>
      <c r="F26" s="2256">
        <f>(Unit.GW)*0</f>
        <v>0</v>
      </c>
      <c r="G26" s="1774">
        <f>(Unit.GW)*0</f>
        <v>0</v>
      </c>
      <c r="H26" s="1773">
        <f>(Unit.GW)*0</f>
        <v>0</v>
      </c>
      <c r="I26" s="1773">
        <f>(Unit.GW)*-0.232</f>
        <v>-0.23200000000000001</v>
      </c>
      <c r="J26" s="1773">
        <f>(Unit.GW)*-0.636</f>
        <v>-0.63600000000000001</v>
      </c>
      <c r="K26" s="1773">
        <f>(Unit.GW)*-1.52</f>
        <v>-1.52</v>
      </c>
      <c r="L26" s="1773">
        <f>(Unit.GW)*-2.1</f>
        <v>-2.1</v>
      </c>
      <c r="M26" s="1773">
        <f>(Unit.GW)*-2.5</f>
        <v>-2.5</v>
      </c>
      <c r="N26" s="1773">
        <f>(Unit.GW)*-2.5</f>
        <v>-2.5</v>
      </c>
      <c r="O26" s="859"/>
      <c r="P26" s="1158"/>
    </row>
    <row r="27" spans="1:31" hidden="1" outlineLevel="1">
      <c r="B27" s="1163"/>
      <c r="C27" s="831"/>
      <c r="D27" s="832"/>
      <c r="E27" s="832"/>
      <c r="F27" s="911"/>
      <c r="G27" s="912"/>
      <c r="H27" s="912"/>
      <c r="I27" s="912"/>
      <c r="J27" s="912"/>
      <c r="K27" s="912"/>
      <c r="L27" s="912"/>
      <c r="M27" s="912"/>
      <c r="N27" s="912"/>
      <c r="O27" s="912"/>
      <c r="P27" s="1158"/>
    </row>
    <row r="28" spans="1:31" hidden="1" outlineLevel="1">
      <c r="B28" s="1223"/>
      <c r="C28" s="1165"/>
      <c r="D28" s="1224"/>
      <c r="E28" s="1165"/>
      <c r="F28" s="1165"/>
      <c r="G28" s="1165"/>
      <c r="H28" s="1165"/>
      <c r="I28" s="1165"/>
      <c r="J28" s="1165"/>
      <c r="K28" s="1165"/>
      <c r="L28" s="1165"/>
      <c r="M28" s="1165"/>
      <c r="N28" s="1165"/>
      <c r="O28" s="1165"/>
      <c r="P28" s="1166"/>
    </row>
    <row r="30" spans="1:31" s="743" customFormat="1" ht="22.5" collapsed="1">
      <c r="A30" s="1170"/>
      <c r="B30" s="1236" t="s">
        <v>786</v>
      </c>
      <c r="C30" s="1167"/>
      <c r="D30" s="1167"/>
      <c r="E30" s="1167"/>
      <c r="F30" s="1167"/>
      <c r="G30" s="1167"/>
      <c r="H30" s="1167"/>
      <c r="I30" s="1167"/>
      <c r="J30" s="1167"/>
      <c r="K30" s="1167"/>
      <c r="L30" s="1167"/>
      <c r="M30" s="1167"/>
      <c r="N30" s="1167"/>
      <c r="O30" s="1167"/>
      <c r="P30" s="1168"/>
    </row>
    <row r="31" spans="1:31" hidden="1" outlineLevel="1">
      <c r="B31" s="1157"/>
      <c r="C31" s="864"/>
      <c r="D31" s="864"/>
      <c r="E31" s="864"/>
      <c r="F31" s="864"/>
      <c r="G31" s="864"/>
      <c r="H31" s="864"/>
      <c r="I31" s="864"/>
      <c r="J31" s="864"/>
      <c r="K31" s="864"/>
      <c r="L31" s="864"/>
      <c r="M31" s="864"/>
      <c r="N31" s="864"/>
      <c r="O31" s="864"/>
      <c r="P31" s="1158"/>
    </row>
    <row r="32" spans="1:31" hidden="1" outlineLevel="1">
      <c r="B32" s="1157"/>
      <c r="C32" s="866" t="s">
        <v>1586</v>
      </c>
      <c r="D32" s="864"/>
      <c r="E32" s="867"/>
      <c r="F32" s="864"/>
      <c r="G32" s="864"/>
      <c r="H32" s="864"/>
      <c r="I32" s="864"/>
      <c r="J32" s="864"/>
      <c r="K32" s="864"/>
      <c r="L32" s="864"/>
      <c r="M32" s="864"/>
      <c r="N32" s="864"/>
      <c r="O32" s="867" t="str">
        <f>Preferences.PowerUnits</f>
        <v>GW</v>
      </c>
      <c r="P32" s="1158"/>
    </row>
    <row r="33" spans="2:16" ht="6" hidden="1" customHeight="1" outlineLevel="1">
      <c r="B33" s="1157"/>
      <c r="C33" s="864"/>
      <c r="D33" s="864"/>
      <c r="E33" s="864"/>
      <c r="F33" s="864"/>
      <c r="G33" s="864"/>
      <c r="H33" s="864"/>
      <c r="I33" s="864"/>
      <c r="J33" s="864"/>
      <c r="K33" s="864"/>
      <c r="L33" s="864"/>
      <c r="M33" s="864"/>
      <c r="N33" s="864"/>
      <c r="O33" s="864"/>
      <c r="P33" s="1158"/>
    </row>
    <row r="34" spans="2:16" ht="15.75" hidden="1" outlineLevel="1">
      <c r="B34" s="1159"/>
      <c r="C34" s="766" t="s">
        <v>715</v>
      </c>
      <c r="D34" s="766" t="s">
        <v>731</v>
      </c>
      <c r="E34" s="766" t="s">
        <v>442</v>
      </c>
      <c r="F34" s="923">
        <v>2007</v>
      </c>
      <c r="G34" s="924">
        <v>2010</v>
      </c>
      <c r="H34" s="923">
        <v>2015</v>
      </c>
      <c r="I34" s="923">
        <v>2020</v>
      </c>
      <c r="J34" s="923">
        <v>2025</v>
      </c>
      <c r="K34" s="923">
        <v>2030</v>
      </c>
      <c r="L34" s="923">
        <v>2035</v>
      </c>
      <c r="M34" s="923">
        <v>2040</v>
      </c>
      <c r="N34" s="923">
        <v>2045</v>
      </c>
      <c r="O34" s="923">
        <v>2050</v>
      </c>
      <c r="P34" s="1158"/>
    </row>
    <row r="35" spans="2:16" s="743" customFormat="1" ht="15.75" hidden="1" outlineLevel="1">
      <c r="B35" s="1161"/>
      <c r="C35" s="899" t="s">
        <v>8</v>
      </c>
      <c r="D35" s="900" t="s">
        <v>891</v>
      </c>
      <c r="E35" s="900" t="s">
        <v>109</v>
      </c>
      <c r="F35" s="1727">
        <f>2.0834*Unit.GW</f>
        <v>2.0834000000000001</v>
      </c>
      <c r="G35" s="1964"/>
      <c r="H35" s="1727"/>
      <c r="I35" s="1727"/>
      <c r="J35" s="1727"/>
      <c r="K35" s="1727"/>
      <c r="L35" s="1727"/>
      <c r="M35" s="1727"/>
      <c r="N35" s="1727"/>
      <c r="O35" s="1727"/>
      <c r="P35" s="1162"/>
    </row>
    <row r="36" spans="2:16" hidden="1" outlineLevel="1">
      <c r="B36" s="1163"/>
      <c r="C36" s="864"/>
      <c r="D36" s="868"/>
      <c r="E36" s="864"/>
      <c r="F36" s="864"/>
      <c r="G36" s="864"/>
      <c r="H36" s="864"/>
      <c r="I36" s="864"/>
      <c r="J36" s="864"/>
      <c r="K36" s="864"/>
      <c r="L36" s="864"/>
      <c r="M36" s="864"/>
      <c r="N36" s="864"/>
      <c r="O36" s="864"/>
      <c r="P36" s="1158"/>
    </row>
    <row r="37" spans="2:16" hidden="1" outlineLevel="1">
      <c r="B37" s="1157"/>
      <c r="C37" s="866" t="s">
        <v>805</v>
      </c>
      <c r="D37" s="864"/>
      <c r="E37" s="864"/>
      <c r="F37" s="864"/>
      <c r="G37" s="867"/>
      <c r="H37" s="864"/>
      <c r="I37" s="864"/>
      <c r="J37" s="864"/>
      <c r="K37" s="864"/>
      <c r="L37" s="864"/>
      <c r="M37" s="864"/>
      <c r="N37" s="864"/>
      <c r="O37" s="864"/>
      <c r="P37" s="1158"/>
    </row>
    <row r="38" spans="2:16" ht="6" hidden="1" customHeight="1" outlineLevel="1">
      <c r="B38" s="1157"/>
      <c r="C38" s="864"/>
      <c r="D38" s="864"/>
      <c r="E38" s="864"/>
      <c r="F38" s="864"/>
      <c r="G38" s="864"/>
      <c r="H38" s="864"/>
      <c r="I38" s="864"/>
      <c r="J38" s="864"/>
      <c r="K38" s="864"/>
      <c r="L38" s="864"/>
      <c r="M38" s="864"/>
      <c r="N38" s="864"/>
      <c r="O38" s="864"/>
      <c r="P38" s="1158"/>
    </row>
    <row r="39" spans="2:16" ht="15.75" hidden="1" outlineLevel="1">
      <c r="B39" s="1159"/>
      <c r="C39" s="766" t="s">
        <v>715</v>
      </c>
      <c r="D39" s="766" t="s">
        <v>731</v>
      </c>
      <c r="E39" s="766" t="s">
        <v>442</v>
      </c>
      <c r="F39" s="923">
        <v>2007</v>
      </c>
      <c r="G39" s="924">
        <v>2010</v>
      </c>
      <c r="H39" s="923">
        <v>2015</v>
      </c>
      <c r="I39" s="923">
        <v>2020</v>
      </c>
      <c r="J39" s="923">
        <v>2025</v>
      </c>
      <c r="K39" s="923">
        <v>2030</v>
      </c>
      <c r="L39" s="923">
        <v>2035</v>
      </c>
      <c r="M39" s="923">
        <v>2040</v>
      </c>
      <c r="N39" s="923">
        <v>2045</v>
      </c>
      <c r="O39" s="923">
        <v>2050</v>
      </c>
      <c r="P39" s="1158"/>
    </row>
    <row r="40" spans="2:16" ht="15.75" hidden="1" outlineLevel="1">
      <c r="B40" s="1159"/>
      <c r="C40" s="899" t="s">
        <v>8</v>
      </c>
      <c r="D40" s="900" t="s">
        <v>891</v>
      </c>
      <c r="E40" s="900" t="s">
        <v>117</v>
      </c>
      <c r="F40" s="920">
        <v>0.27300000000000002</v>
      </c>
      <c r="G40" s="799">
        <v>0.3</v>
      </c>
      <c r="H40" s="916">
        <v>0.3</v>
      </c>
      <c r="I40" s="916">
        <v>0.3</v>
      </c>
      <c r="J40" s="916">
        <v>0.3</v>
      </c>
      <c r="K40" s="916">
        <v>0.3</v>
      </c>
      <c r="L40" s="916">
        <v>0.3</v>
      </c>
      <c r="M40" s="916">
        <v>0.3</v>
      </c>
      <c r="N40" s="916">
        <v>0.3</v>
      </c>
      <c r="O40" s="916">
        <v>0.3</v>
      </c>
      <c r="P40" s="1158"/>
    </row>
    <row r="41" spans="2:16" hidden="1" outlineLevel="1">
      <c r="B41" s="1157"/>
      <c r="C41" s="864"/>
      <c r="D41" s="864"/>
      <c r="E41" s="864"/>
      <c r="F41" s="864"/>
      <c r="G41" s="864"/>
      <c r="H41" s="864"/>
      <c r="I41" s="864"/>
      <c r="J41" s="864"/>
      <c r="K41" s="864"/>
      <c r="L41" s="864"/>
      <c r="M41" s="864"/>
      <c r="N41" s="864"/>
      <c r="O41" s="864"/>
      <c r="P41" s="1158"/>
    </row>
    <row r="42" spans="2:16" hidden="1" outlineLevel="1">
      <c r="B42" s="1157"/>
      <c r="C42" s="864" t="s">
        <v>442</v>
      </c>
      <c r="D42" s="864"/>
      <c r="E42" s="864"/>
      <c r="F42" s="864"/>
      <c r="G42" s="864"/>
      <c r="H42" s="864"/>
      <c r="I42" s="864"/>
      <c r="J42" s="864"/>
      <c r="K42" s="864"/>
      <c r="L42" s="864"/>
      <c r="M42" s="864"/>
      <c r="N42" s="864"/>
      <c r="O42" s="864"/>
      <c r="P42" s="1158"/>
    </row>
    <row r="43" spans="2:16" hidden="1" outlineLevel="1">
      <c r="B43" s="1163"/>
      <c r="C43" s="1250" t="s">
        <v>109</v>
      </c>
      <c r="D43" s="864" t="s">
        <v>888</v>
      </c>
      <c r="E43" s="864"/>
      <c r="F43" s="864"/>
      <c r="G43" s="864"/>
      <c r="H43" s="864"/>
      <c r="I43" s="864"/>
      <c r="J43" s="864"/>
      <c r="K43" s="864"/>
      <c r="L43" s="864"/>
      <c r="M43" s="864"/>
      <c r="N43" s="864"/>
      <c r="O43" s="864"/>
      <c r="P43" s="1158"/>
    </row>
    <row r="44" spans="2:16" hidden="1" outlineLevel="1">
      <c r="B44" s="1163"/>
      <c r="C44" s="1250"/>
      <c r="D44" s="864" t="s">
        <v>894</v>
      </c>
      <c r="E44" s="864"/>
      <c r="F44" s="864"/>
      <c r="G44" s="864"/>
      <c r="H44" s="864"/>
      <c r="I44" s="864"/>
      <c r="J44" s="864"/>
      <c r="K44" s="864"/>
      <c r="L44" s="864"/>
      <c r="M44" s="864"/>
      <c r="N44" s="864"/>
      <c r="O44" s="864"/>
      <c r="P44" s="1158"/>
    </row>
    <row r="45" spans="2:16" hidden="1" outlineLevel="1">
      <c r="B45" s="1163"/>
      <c r="C45" s="1250"/>
      <c r="D45" s="864"/>
      <c r="E45" s="864"/>
      <c r="F45" s="864"/>
      <c r="G45" s="864"/>
      <c r="H45" s="864"/>
      <c r="I45" s="864"/>
      <c r="J45" s="864"/>
      <c r="K45" s="864"/>
      <c r="L45" s="864"/>
      <c r="M45" s="864"/>
      <c r="N45" s="864"/>
      <c r="O45" s="864"/>
      <c r="P45" s="1158"/>
    </row>
    <row r="46" spans="2:16" s="715" customFormat="1" hidden="1" outlineLevel="1">
      <c r="B46" s="1225"/>
      <c r="C46" s="1226" t="s">
        <v>117</v>
      </c>
      <c r="D46" s="1227" t="s">
        <v>890</v>
      </c>
      <c r="E46" s="1228"/>
      <c r="F46" s="1228"/>
      <c r="G46" s="1228"/>
      <c r="H46" s="1228"/>
      <c r="I46" s="1228"/>
      <c r="J46" s="1228"/>
      <c r="K46" s="1228"/>
      <c r="L46" s="1228"/>
      <c r="M46" s="1228"/>
      <c r="N46" s="1228"/>
      <c r="O46" s="1228"/>
      <c r="P46" s="1229"/>
    </row>
    <row r="47" spans="2:16" s="715" customFormat="1" hidden="1" outlineLevel="1">
      <c r="B47" s="1225"/>
      <c r="C47" s="1251"/>
      <c r="D47" s="1227" t="s">
        <v>895</v>
      </c>
      <c r="E47" s="1228"/>
      <c r="F47" s="1228"/>
      <c r="G47" s="1228"/>
      <c r="H47" s="1228"/>
      <c r="I47" s="1228"/>
      <c r="J47" s="1228"/>
      <c r="K47" s="1228"/>
      <c r="L47" s="1228"/>
      <c r="M47" s="1228"/>
      <c r="N47" s="1228"/>
      <c r="O47" s="1228"/>
      <c r="P47" s="1229"/>
    </row>
    <row r="48" spans="2:16" s="715" customFormat="1" hidden="1" outlineLevel="1">
      <c r="B48" s="1225"/>
      <c r="C48" s="1251"/>
      <c r="D48" s="1227" t="s">
        <v>1585</v>
      </c>
      <c r="E48" s="1228"/>
      <c r="F48" s="1228"/>
      <c r="G48" s="1228"/>
      <c r="H48" s="1228"/>
      <c r="I48" s="1228"/>
      <c r="J48" s="1228"/>
      <c r="K48" s="1228"/>
      <c r="L48" s="1228"/>
      <c r="M48" s="1228"/>
      <c r="N48" s="1228"/>
      <c r="O48" s="1228"/>
      <c r="P48" s="1229"/>
    </row>
    <row r="49" spans="1:16" hidden="1" outlineLevel="1">
      <c r="B49" s="1164"/>
      <c r="C49" s="1165"/>
      <c r="D49" s="1165"/>
      <c r="E49" s="1165"/>
      <c r="F49" s="1165"/>
      <c r="G49" s="1165"/>
      <c r="H49" s="1165"/>
      <c r="I49" s="1165"/>
      <c r="J49" s="1165"/>
      <c r="K49" s="1165"/>
      <c r="L49" s="1165"/>
      <c r="M49" s="1165"/>
      <c r="N49" s="1165"/>
      <c r="O49" s="1165"/>
      <c r="P49" s="1166"/>
    </row>
    <row r="51" spans="1:16" ht="22.5" collapsed="1">
      <c r="A51" s="1171"/>
      <c r="B51" s="1236" t="s">
        <v>817</v>
      </c>
      <c r="C51" s="1167"/>
      <c r="D51" s="1167"/>
      <c r="E51" s="1167"/>
      <c r="F51" s="1167"/>
      <c r="G51" s="1167"/>
      <c r="H51" s="1167"/>
      <c r="I51" s="1167"/>
      <c r="J51" s="1167"/>
      <c r="K51" s="1167"/>
      <c r="L51" s="1167"/>
      <c r="M51" s="1167"/>
      <c r="N51" s="1167"/>
      <c r="O51" s="1167"/>
      <c r="P51" s="1168"/>
    </row>
    <row r="52" spans="1:16" hidden="1" outlineLevel="1">
      <c r="B52" s="1157"/>
      <c r="C52" s="864"/>
      <c r="D52" s="864"/>
      <c r="E52" s="864"/>
      <c r="F52" s="864"/>
      <c r="G52" s="864"/>
      <c r="H52" s="864"/>
      <c r="I52" s="864"/>
      <c r="J52" s="864"/>
      <c r="K52" s="864"/>
      <c r="L52" s="864"/>
      <c r="M52" s="864"/>
      <c r="N52" s="864"/>
      <c r="O52" s="864"/>
      <c r="P52" s="1158"/>
    </row>
    <row r="53" spans="1:16" hidden="1" outlineLevel="1">
      <c r="B53" s="1157"/>
      <c r="C53" s="866" t="s">
        <v>896</v>
      </c>
      <c r="D53" s="864"/>
      <c r="E53" s="867"/>
      <c r="F53" s="864"/>
      <c r="G53" s="864"/>
      <c r="H53" s="864"/>
      <c r="I53" s="864"/>
      <c r="J53" s="864"/>
      <c r="K53" s="864"/>
      <c r="L53" s="864"/>
      <c r="M53" s="864"/>
      <c r="N53" s="864"/>
      <c r="O53" s="867" t="str">
        <f>Preferences.PowerUnits</f>
        <v>GW</v>
      </c>
      <c r="P53" s="1158"/>
    </row>
    <row r="54" spans="1:16" ht="5.25" hidden="1" customHeight="1" outlineLevel="1">
      <c r="B54" s="1157"/>
      <c r="C54" s="864"/>
      <c r="D54" s="864"/>
      <c r="E54" s="864"/>
      <c r="F54" s="864"/>
      <c r="G54" s="864"/>
      <c r="H54" s="864"/>
      <c r="I54" s="864"/>
      <c r="J54" s="864"/>
      <c r="K54" s="864"/>
      <c r="L54" s="864"/>
      <c r="M54" s="864"/>
      <c r="N54" s="864"/>
      <c r="O54" s="864"/>
      <c r="P54" s="1158"/>
    </row>
    <row r="55" spans="1:16" ht="15.75" hidden="1" outlineLevel="1">
      <c r="B55" s="1159"/>
      <c r="C55" s="766" t="s">
        <v>715</v>
      </c>
      <c r="D55" s="766" t="s">
        <v>79</v>
      </c>
      <c r="E55" s="766" t="s">
        <v>442</v>
      </c>
      <c r="F55" s="923">
        <v>2007</v>
      </c>
      <c r="G55" s="924">
        <v>2010</v>
      </c>
      <c r="H55" s="923">
        <v>2015</v>
      </c>
      <c r="I55" s="923">
        <v>2020</v>
      </c>
      <c r="J55" s="923">
        <v>2025</v>
      </c>
      <c r="K55" s="923">
        <v>2030</v>
      </c>
      <c r="L55" s="923">
        <v>2035</v>
      </c>
      <c r="M55" s="923">
        <v>2040</v>
      </c>
      <c r="N55" s="923">
        <v>2045</v>
      </c>
      <c r="O55" s="923">
        <v>2050</v>
      </c>
      <c r="P55" s="1158"/>
    </row>
    <row r="56" spans="1:16" ht="15.75" hidden="1" outlineLevel="1">
      <c r="B56" s="1161"/>
      <c r="C56" s="899" t="s">
        <v>8</v>
      </c>
      <c r="D56" s="900" t="s">
        <v>891</v>
      </c>
      <c r="E56" s="792"/>
      <c r="F56" s="901">
        <f>F$35</f>
        <v>2.0834000000000001</v>
      </c>
      <c r="G56" s="918">
        <f>F56+(G$55-F$55)*(INDEX(F$15:F$18, MATCH($E$7, $C$15:$C$18, 0))+INDEX(F$23:F$26, MATCH($E$7, $C$23:$C$26, 0)))</f>
        <v>3.9233999999999991</v>
      </c>
      <c r="H56" s="901">
        <f t="shared" ref="H56:O56" si="4">G56+(H$55-G$55)*(INDEX(G$15:G$18, MATCH($E$7, $C$15:$C$18, 0))+INDEX(G$23:G$26, MATCH($E$7, $C$23:$C$26, 0)))</f>
        <v>6.6733999999999991</v>
      </c>
      <c r="I56" s="901">
        <f t="shared" si="4"/>
        <v>9.4233999999999991</v>
      </c>
      <c r="J56" s="901">
        <f t="shared" si="4"/>
        <v>11.013399999999999</v>
      </c>
      <c r="K56" s="901">
        <f t="shared" si="4"/>
        <v>8.2833999999999985</v>
      </c>
      <c r="L56" s="901">
        <f t="shared" si="4"/>
        <v>5.5333999999999985</v>
      </c>
      <c r="M56" s="901">
        <f t="shared" si="4"/>
        <v>2.7833999999999985</v>
      </c>
      <c r="N56" s="901">
        <f t="shared" si="4"/>
        <v>3.3399999999998542E-2</v>
      </c>
      <c r="O56" s="901">
        <f t="shared" si="4"/>
        <v>3.3399999999998542E-2</v>
      </c>
      <c r="P56" s="1162"/>
    </row>
    <row r="57" spans="1:16" hidden="1" outlineLevel="1">
      <c r="B57" s="1163"/>
      <c r="C57" s="831"/>
      <c r="D57" s="832"/>
      <c r="E57" s="832"/>
      <c r="F57" s="911"/>
      <c r="G57" s="912"/>
      <c r="H57" s="912"/>
      <c r="I57" s="912"/>
      <c r="J57" s="912"/>
      <c r="K57" s="912"/>
      <c r="L57" s="912"/>
      <c r="M57" s="912"/>
      <c r="N57" s="912"/>
      <c r="O57" s="912"/>
      <c r="P57" s="1158"/>
    </row>
    <row r="58" spans="1:16" hidden="1" outlineLevel="1">
      <c r="B58" s="1223"/>
      <c r="C58" s="1194"/>
      <c r="D58" s="1195"/>
      <c r="E58" s="1195"/>
      <c r="F58" s="1252"/>
      <c r="G58" s="1253"/>
      <c r="H58" s="1253"/>
      <c r="I58" s="1253"/>
      <c r="J58" s="1253"/>
      <c r="K58" s="1253"/>
      <c r="L58" s="1253"/>
      <c r="M58" s="1253"/>
      <c r="N58" s="1253"/>
      <c r="O58" s="1253"/>
      <c r="P58" s="1166"/>
    </row>
    <row r="60" spans="1:16" ht="15.75" collapsed="1">
      <c r="B60" s="809" t="s">
        <v>732</v>
      </c>
    </row>
    <row r="61" spans="1:16" hidden="1" outlineLevel="1">
      <c r="B61" s="731">
        <v>1</v>
      </c>
      <c r="C61" s="121" t="s">
        <v>802</v>
      </c>
    </row>
    <row r="62" spans="1:16" ht="15.75" hidden="1" outlineLevel="1">
      <c r="B62" s="809"/>
    </row>
    <row r="63" spans="1:16" hidden="1" outlineLevel="1">
      <c r="B63" s="121" t="s">
        <v>891</v>
      </c>
      <c r="C63" s="807"/>
    </row>
    <row r="64" spans="1:16" hidden="1" outlineLevel="1">
      <c r="C64" s="731" t="s">
        <v>806</v>
      </c>
      <c r="E64" s="121" t="str">
        <f>Preferences.PowerUnits</f>
        <v>GW</v>
      </c>
      <c r="F64" s="27">
        <f>F$56</f>
        <v>2.0834000000000001</v>
      </c>
      <c r="G64" s="27">
        <f t="shared" ref="G64:O64" si="5">G$56</f>
        <v>3.9233999999999991</v>
      </c>
      <c r="H64" s="27">
        <f t="shared" si="5"/>
        <v>6.6733999999999991</v>
      </c>
      <c r="I64" s="27">
        <f t="shared" si="5"/>
        <v>9.4233999999999991</v>
      </c>
      <c r="J64" s="27">
        <f t="shared" si="5"/>
        <v>11.013399999999999</v>
      </c>
      <c r="K64" s="27">
        <f t="shared" si="5"/>
        <v>8.2833999999999985</v>
      </c>
      <c r="L64" s="27">
        <f t="shared" si="5"/>
        <v>5.5333999999999985</v>
      </c>
      <c r="M64" s="27">
        <f t="shared" si="5"/>
        <v>2.7833999999999985</v>
      </c>
      <c r="N64" s="27">
        <f t="shared" si="5"/>
        <v>3.3399999999998542E-2</v>
      </c>
      <c r="O64" s="27">
        <f t="shared" si="5"/>
        <v>3.3399999999998542E-2</v>
      </c>
    </row>
    <row r="65" spans="1:16" hidden="1" outlineLevel="1">
      <c r="B65" s="121" t="s">
        <v>838</v>
      </c>
      <c r="C65" s="121" t="s">
        <v>805</v>
      </c>
      <c r="F65" s="19">
        <f>F$40</f>
        <v>0.27300000000000002</v>
      </c>
      <c r="G65" s="19">
        <f t="shared" ref="G65:O65" si="6">G$40</f>
        <v>0.3</v>
      </c>
      <c r="H65" s="19">
        <f t="shared" si="6"/>
        <v>0.3</v>
      </c>
      <c r="I65" s="19">
        <f t="shared" si="6"/>
        <v>0.3</v>
      </c>
      <c r="J65" s="19">
        <f t="shared" si="6"/>
        <v>0.3</v>
      </c>
      <c r="K65" s="19">
        <f t="shared" si="6"/>
        <v>0.3</v>
      </c>
      <c r="L65" s="19">
        <f t="shared" si="6"/>
        <v>0.3</v>
      </c>
      <c r="M65" s="19">
        <f t="shared" si="6"/>
        <v>0.3</v>
      </c>
      <c r="N65" s="19">
        <f t="shared" si="6"/>
        <v>0.3</v>
      </c>
      <c r="O65" s="19">
        <f t="shared" si="6"/>
        <v>0.3</v>
      </c>
    </row>
    <row r="66" spans="1:16" hidden="1" outlineLevel="1">
      <c r="B66" s="807" t="s">
        <v>840</v>
      </c>
      <c r="C66" s="731" t="s">
        <v>1275</v>
      </c>
      <c r="F66" s="783">
        <f t="shared" ref="F66:O66" si="7">F64*F65</f>
        <v>0.56876820000000006</v>
      </c>
      <c r="G66" s="783">
        <f t="shared" si="7"/>
        <v>1.1770199999999997</v>
      </c>
      <c r="H66" s="783">
        <f t="shared" si="7"/>
        <v>2.0020199999999995</v>
      </c>
      <c r="I66" s="783">
        <f t="shared" si="7"/>
        <v>2.8270199999999996</v>
      </c>
      <c r="J66" s="783">
        <f t="shared" si="7"/>
        <v>3.3040199999999995</v>
      </c>
      <c r="K66" s="783">
        <f t="shared" si="7"/>
        <v>2.4850199999999996</v>
      </c>
      <c r="L66" s="783">
        <f t="shared" si="7"/>
        <v>1.6600199999999996</v>
      </c>
      <c r="M66" s="783">
        <f t="shared" si="7"/>
        <v>0.83501999999999954</v>
      </c>
      <c r="N66" s="783">
        <f t="shared" si="7"/>
        <v>1.0019999999999562E-2</v>
      </c>
      <c r="O66" s="783">
        <f t="shared" si="7"/>
        <v>1.0019999999999562E-2</v>
      </c>
    </row>
    <row r="67" spans="1:16" hidden="1" outlineLevel="1">
      <c r="C67" s="731" t="s">
        <v>548</v>
      </c>
      <c r="E67" s="121" t="str">
        <f>Preferences.EnergyUnits</f>
        <v>TWh</v>
      </c>
      <c r="F67" s="783">
        <f t="shared" ref="F67:O67" si="8">F66*Preferences.Unit.Power*Unit.year/Preferences.Unit.Energy</f>
        <v>4.9858220412000005</v>
      </c>
      <c r="G67" s="783">
        <f t="shared" si="8"/>
        <v>10.317757319999997</v>
      </c>
      <c r="H67" s="783">
        <f t="shared" si="8"/>
        <v>17.549707319999996</v>
      </c>
      <c r="I67" s="783">
        <f t="shared" si="8"/>
        <v>24.781657320000001</v>
      </c>
      <c r="J67" s="783">
        <f t="shared" si="8"/>
        <v>28.963039319999996</v>
      </c>
      <c r="K67" s="783">
        <f t="shared" si="8"/>
        <v>21.783685319999993</v>
      </c>
      <c r="L67" s="783">
        <f t="shared" si="8"/>
        <v>14.551735319999997</v>
      </c>
      <c r="M67" s="783">
        <f t="shared" si="8"/>
        <v>7.3197853199999958</v>
      </c>
      <c r="N67" s="783">
        <f t="shared" si="8"/>
        <v>8.7835319999996164E-2</v>
      </c>
      <c r="O67" s="783">
        <f t="shared" si="8"/>
        <v>8.7835319999996164E-2</v>
      </c>
    </row>
    <row r="68" spans="1:16" hidden="1" outlineLevel="1">
      <c r="B68" s="731"/>
      <c r="C68" s="731"/>
      <c r="F68" s="783"/>
    </row>
    <row r="70" spans="1:16" ht="22.5" collapsed="1">
      <c r="A70" s="1171"/>
      <c r="B70" s="1231" t="s">
        <v>683</v>
      </c>
      <c r="C70" s="1183"/>
      <c r="D70" s="1183"/>
      <c r="E70" s="1183"/>
      <c r="F70" s="1183"/>
      <c r="G70" s="1183"/>
      <c r="H70" s="1183"/>
      <c r="I70" s="1183"/>
      <c r="J70" s="1183"/>
      <c r="K70" s="1183"/>
      <c r="L70" s="1183"/>
      <c r="M70" s="1183"/>
      <c r="N70" s="1183"/>
      <c r="O70" s="1183"/>
      <c r="P70" s="1185"/>
    </row>
    <row r="71" spans="1:16" hidden="1" outlineLevel="1">
      <c r="B71" s="1172"/>
      <c r="C71" s="1174"/>
      <c r="D71" s="1174"/>
      <c r="E71" s="1174"/>
      <c r="F71" s="1174"/>
      <c r="G71" s="1174"/>
      <c r="H71" s="1174"/>
      <c r="I71" s="1174"/>
      <c r="J71" s="1174"/>
      <c r="K71" s="1174"/>
      <c r="L71" s="1174"/>
      <c r="M71" s="1174"/>
      <c r="N71" s="1174"/>
      <c r="O71" s="1174"/>
      <c r="P71" s="1176"/>
    </row>
    <row r="72" spans="1:16" hidden="1" outlineLevel="1">
      <c r="B72" s="1172"/>
      <c r="C72" s="1186" t="s">
        <v>730</v>
      </c>
      <c r="D72" s="1174"/>
      <c r="E72" s="1175"/>
      <c r="F72" s="1174"/>
      <c r="G72" s="1175"/>
      <c r="H72" s="1174"/>
      <c r="I72" s="1174"/>
      <c r="J72" s="1174"/>
      <c r="K72" s="1174"/>
      <c r="L72" s="1174"/>
      <c r="M72" s="1174"/>
      <c r="N72" s="1174"/>
      <c r="O72" s="1175" t="str">
        <f>Preferences.EnergyUnits</f>
        <v>TWh</v>
      </c>
      <c r="P72" s="1176"/>
    </row>
    <row r="73" spans="1:16" ht="6" hidden="1" customHeight="1" outlineLevel="1">
      <c r="B73" s="1172"/>
      <c r="C73" s="1174"/>
      <c r="D73" s="1174"/>
      <c r="E73" s="1174"/>
      <c r="F73" s="1174"/>
      <c r="G73" s="1174"/>
      <c r="H73" s="1174"/>
      <c r="I73" s="1174"/>
      <c r="J73" s="1174"/>
      <c r="K73" s="1174"/>
      <c r="L73" s="1174"/>
      <c r="M73" s="1174"/>
      <c r="N73" s="1174"/>
      <c r="O73" s="1174"/>
      <c r="P73" s="1176"/>
    </row>
    <row r="74" spans="1:16" ht="15.75" hidden="1" outlineLevel="1">
      <c r="A74" s="3"/>
      <c r="B74" s="1177"/>
      <c r="C74" s="1188" t="s">
        <v>78</v>
      </c>
      <c r="D74" s="1188" t="s">
        <v>418</v>
      </c>
      <c r="E74" s="1188" t="s">
        <v>442</v>
      </c>
      <c r="F74" s="1188" t="s">
        <v>691</v>
      </c>
      <c r="G74" s="1188" t="s">
        <v>692</v>
      </c>
      <c r="H74" s="1189" t="s">
        <v>721</v>
      </c>
      <c r="I74" s="1189" t="s">
        <v>722</v>
      </c>
      <c r="J74" s="1189" t="s">
        <v>723</v>
      </c>
      <c r="K74" s="1189" t="s">
        <v>724</v>
      </c>
      <c r="L74" s="1189" t="s">
        <v>725</v>
      </c>
      <c r="M74" s="1189" t="s">
        <v>726</v>
      </c>
      <c r="N74" s="1189" t="s">
        <v>727</v>
      </c>
      <c r="O74" s="1189" t="s">
        <v>728</v>
      </c>
      <c r="P74" s="1176"/>
    </row>
    <row r="75" spans="1:16" ht="15.75" hidden="1" outlineLevel="1">
      <c r="A75" s="3"/>
      <c r="B75" s="1177"/>
      <c r="C75" s="765" t="s">
        <v>46</v>
      </c>
      <c r="D75" s="765" t="str">
        <f>INDEX(Vectors[Description], MATCH([Vector], Vectors[Code], 0))</f>
        <v>Electricity (supplied to grid)</v>
      </c>
      <c r="E75" s="765"/>
      <c r="F75" s="953">
        <f>F$67</f>
        <v>4.9858220412000005</v>
      </c>
      <c r="G75" s="953">
        <f t="shared" ref="G75:O75" si="9">G$67</f>
        <v>10.317757319999997</v>
      </c>
      <c r="H75" s="953">
        <f t="shared" si="9"/>
        <v>17.549707319999996</v>
      </c>
      <c r="I75" s="953">
        <f t="shared" si="9"/>
        <v>24.781657320000001</v>
      </c>
      <c r="J75" s="953">
        <f t="shared" si="9"/>
        <v>28.963039319999996</v>
      </c>
      <c r="K75" s="953">
        <f t="shared" si="9"/>
        <v>21.783685319999993</v>
      </c>
      <c r="L75" s="953">
        <f t="shared" si="9"/>
        <v>14.551735319999997</v>
      </c>
      <c r="M75" s="953">
        <f t="shared" si="9"/>
        <v>7.3197853199999958</v>
      </c>
      <c r="N75" s="953">
        <f t="shared" si="9"/>
        <v>8.7835319999996164E-2</v>
      </c>
      <c r="O75" s="953">
        <f t="shared" si="9"/>
        <v>8.7835319999996164E-2</v>
      </c>
      <c r="P75" s="1176"/>
    </row>
    <row r="76" spans="1:16" ht="15.75" hidden="1" outlineLevel="1">
      <c r="A76" s="3"/>
      <c r="B76" s="1177"/>
      <c r="C76" s="765" t="s">
        <v>8</v>
      </c>
      <c r="D76" s="765" t="str">
        <f>INDEX(Vectors[Description], MATCH([Vector], Vectors[Code], 0))</f>
        <v>Wind</v>
      </c>
      <c r="E76" s="765"/>
      <c r="F76" s="953">
        <f>-F$67</f>
        <v>-4.9858220412000005</v>
      </c>
      <c r="G76" s="953">
        <f t="shared" ref="G76:O76" si="10">-G$67</f>
        <v>-10.317757319999997</v>
      </c>
      <c r="H76" s="953">
        <f t="shared" si="10"/>
        <v>-17.549707319999996</v>
      </c>
      <c r="I76" s="953">
        <f t="shared" si="10"/>
        <v>-24.781657320000001</v>
      </c>
      <c r="J76" s="953">
        <f t="shared" si="10"/>
        <v>-28.963039319999996</v>
      </c>
      <c r="K76" s="953">
        <f t="shared" si="10"/>
        <v>-21.783685319999993</v>
      </c>
      <c r="L76" s="953">
        <f t="shared" si="10"/>
        <v>-14.551735319999997</v>
      </c>
      <c r="M76" s="953">
        <f t="shared" si="10"/>
        <v>-7.3197853199999958</v>
      </c>
      <c r="N76" s="953">
        <f t="shared" si="10"/>
        <v>-8.7835319999996164E-2</v>
      </c>
      <c r="O76" s="953">
        <f t="shared" si="10"/>
        <v>-8.7835319999996164E-2</v>
      </c>
      <c r="P76" s="1176"/>
    </row>
    <row r="77" spans="1:16" ht="15.75" hidden="1" outlineLevel="1">
      <c r="A77" s="3"/>
      <c r="B77" s="1177"/>
      <c r="C77" s="765" t="s">
        <v>148</v>
      </c>
      <c r="D77" s="765"/>
      <c r="E77" s="765"/>
      <c r="F77" s="1749">
        <f>SUBTOTAL(109,[2007])</f>
        <v>0</v>
      </c>
      <c r="G77" s="1749">
        <f>SUBTOTAL(109,[2010])</f>
        <v>0</v>
      </c>
      <c r="H77" s="1749">
        <f>SUBTOTAL(109,[2015])</f>
        <v>0</v>
      </c>
      <c r="I77" s="1749">
        <f>SUBTOTAL(109,[2020])</f>
        <v>0</v>
      </c>
      <c r="J77" s="1749">
        <f>SUBTOTAL(109,[2025])</f>
        <v>0</v>
      </c>
      <c r="K77" s="1749">
        <f>SUBTOTAL(109,[2030])</f>
        <v>0</v>
      </c>
      <c r="L77" s="1749">
        <f>SUBTOTAL(109,[2035])</f>
        <v>0</v>
      </c>
      <c r="M77" s="1749">
        <f>SUBTOTAL(109,[2040])</f>
        <v>0</v>
      </c>
      <c r="N77" s="1749">
        <f>SUBTOTAL(109,[2045])</f>
        <v>0</v>
      </c>
      <c r="O77" s="1749">
        <f>SUBTOTAL(109,[2050])</f>
        <v>0</v>
      </c>
      <c r="P77" s="1176"/>
    </row>
    <row r="78" spans="1:16" ht="15.75" hidden="1" outlineLevel="1">
      <c r="A78" s="3"/>
      <c r="B78" s="1178"/>
      <c r="C78" s="1179"/>
      <c r="D78" s="1179"/>
      <c r="E78" s="1179"/>
      <c r="F78" s="1179"/>
      <c r="G78" s="1179"/>
      <c r="H78" s="1179"/>
      <c r="I78" s="1179"/>
      <c r="J78" s="1179"/>
      <c r="K78" s="1179"/>
      <c r="L78" s="1179"/>
      <c r="M78" s="1179"/>
      <c r="N78" s="1179"/>
      <c r="O78" s="1179"/>
      <c r="P78" s="1181"/>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sheetPr codeName="Sheet58">
    <tabColor theme="3" tint="-0.499984740745262"/>
  </sheetPr>
  <dimension ref="A2:AF78"/>
  <sheetViews>
    <sheetView showGridLines="0" showRowColHeaders="0" zoomScale="80" zoomScaleNormal="80" workbookViewId="0"/>
  </sheetViews>
  <sheetFormatPr defaultRowHeight="12.75"/>
  <cols>
    <col min="1" max="1" width="6.7109375" customWidth="1"/>
    <col min="2" max="2" width="12.140625" customWidth="1"/>
    <col min="3" max="3" width="2.7109375" customWidth="1"/>
    <col min="13" max="13" width="9.42578125" style="121" customWidth="1"/>
    <col min="15" max="15" width="1.5703125" customWidth="1"/>
    <col min="16" max="16" width="5" customWidth="1"/>
    <col min="17" max="17" width="12.28515625" customWidth="1"/>
    <col min="18" max="18" width="9.140625" customWidth="1"/>
    <col min="19" max="19" width="12.85546875" customWidth="1"/>
    <col min="20" max="20" width="1.5703125" customWidth="1"/>
    <col min="21" max="21" width="2.42578125" customWidth="1"/>
    <col min="22" max="22" width="24.85546875" customWidth="1"/>
    <col min="23" max="23" width="2.42578125" customWidth="1"/>
    <col min="24" max="24" width="1.5703125" customWidth="1"/>
    <col min="25" max="25" width="2.42578125" customWidth="1"/>
    <col min="26" max="26" width="24.85546875" customWidth="1"/>
    <col min="27" max="27" width="2.42578125" customWidth="1"/>
    <col min="28" max="28" width="1.5703125" customWidth="1"/>
    <col min="29" max="29" width="2.42578125" customWidth="1"/>
    <col min="30" max="30" width="24.85546875" customWidth="1"/>
    <col min="31" max="31" width="2.42578125" customWidth="1"/>
    <col min="32" max="32" width="2" customWidth="1"/>
  </cols>
  <sheetData>
    <row r="2" spans="1:32" s="743" customFormat="1" ht="25.5" customHeight="1">
      <c r="B2" s="2618" t="s">
        <v>2589</v>
      </c>
      <c r="C2" s="2523"/>
      <c r="D2" s="2523"/>
      <c r="E2" s="2523"/>
      <c r="F2" s="2523"/>
      <c r="G2" s="2523"/>
      <c r="H2" s="2523"/>
      <c r="I2" s="2523"/>
      <c r="J2" s="2523"/>
      <c r="K2" s="2523"/>
      <c r="L2" s="2523"/>
      <c r="O2" s="2522"/>
      <c r="P2" s="2619" t="s">
        <v>2590</v>
      </c>
      <c r="Q2" s="2522"/>
      <c r="R2" s="2522"/>
      <c r="S2" s="2522"/>
      <c r="T2" s="2522"/>
      <c r="U2" s="2522"/>
      <c r="V2" s="2522"/>
      <c r="W2" s="2522"/>
      <c r="X2" s="2522"/>
      <c r="Y2" s="2522"/>
      <c r="Z2" s="2522"/>
      <c r="AA2" s="2522"/>
      <c r="AB2" s="2522"/>
      <c r="AC2" s="2522"/>
      <c r="AD2" s="2522"/>
      <c r="AE2" s="2522"/>
      <c r="AF2" s="2522"/>
    </row>
    <row r="3" spans="1:32" s="743" customFormat="1">
      <c r="A3" s="121"/>
      <c r="B3" s="2615"/>
      <c r="C3" s="2524"/>
      <c r="D3" s="2524"/>
      <c r="E3" s="2524"/>
      <c r="F3" s="2524"/>
      <c r="G3" s="2524"/>
      <c r="H3" s="2524"/>
      <c r="I3" s="2524"/>
      <c r="J3" s="2524"/>
      <c r="K3" s="2524"/>
      <c r="L3" s="2524"/>
      <c r="M3" s="121"/>
      <c r="O3" s="2522"/>
      <c r="P3" s="2616"/>
      <c r="Q3" s="2522"/>
      <c r="R3" s="2522"/>
      <c r="S3" s="2522"/>
      <c r="T3" s="2522"/>
      <c r="U3" s="2522"/>
      <c r="V3" s="2522"/>
      <c r="W3" s="2522"/>
      <c r="X3" s="2522"/>
      <c r="Y3" s="2522"/>
      <c r="Z3" s="2522"/>
      <c r="AA3" s="2522"/>
      <c r="AB3" s="2522"/>
      <c r="AC3" s="2522"/>
      <c r="AD3" s="2522"/>
      <c r="AE3" s="2522"/>
      <c r="AF3" s="2522"/>
    </row>
    <row r="4" spans="1:32">
      <c r="O4" s="2497"/>
      <c r="P4" s="2379"/>
      <c r="Q4" s="2379"/>
      <c r="R4" s="2379"/>
      <c r="S4" s="2379"/>
      <c r="T4" s="2379"/>
      <c r="U4" s="2379"/>
      <c r="V4" s="2379"/>
      <c r="W4" s="2379"/>
      <c r="X4" s="2379"/>
      <c r="Y4" s="2379"/>
      <c r="Z4" s="2379"/>
      <c r="AA4" s="2379"/>
      <c r="AB4" s="2379"/>
      <c r="AC4" s="2379"/>
      <c r="AD4" s="2379"/>
      <c r="AE4" s="2379"/>
      <c r="AF4" s="2498"/>
    </row>
    <row r="5" spans="1:32" s="121" customFormat="1" ht="15.75">
      <c r="A5"/>
      <c r="B5" s="3" t="s">
        <v>2634</v>
      </c>
      <c r="O5" s="2499"/>
      <c r="P5" s="2508" t="s">
        <v>1356</v>
      </c>
      <c r="Q5" s="2509"/>
      <c r="R5" s="2510" t="s">
        <v>2334</v>
      </c>
      <c r="S5" s="2510" t="s">
        <v>1457</v>
      </c>
      <c r="T5" s="2511"/>
      <c r="U5" s="2510" t="s">
        <v>1825</v>
      </c>
      <c r="V5" s="2512"/>
      <c r="W5" s="2512"/>
      <c r="X5" s="2511"/>
      <c r="Y5" s="2510" t="s">
        <v>902</v>
      </c>
      <c r="Z5" s="2512"/>
      <c r="AA5" s="2512"/>
      <c r="AB5" s="2511"/>
      <c r="AC5" s="2510" t="s">
        <v>1826</v>
      </c>
      <c r="AD5" s="2512"/>
      <c r="AE5" s="2512"/>
      <c r="AF5" s="2504"/>
    </row>
    <row r="6" spans="1:32" ht="16.5" thickBot="1">
      <c r="B6" s="3" t="s">
        <v>2619</v>
      </c>
      <c r="C6" s="121"/>
      <c r="D6" s="121"/>
      <c r="E6" s="121"/>
      <c r="F6" s="121"/>
      <c r="G6" s="121"/>
      <c r="H6" s="121"/>
      <c r="I6" s="121"/>
      <c r="J6" s="121"/>
      <c r="K6" s="121"/>
      <c r="L6" s="121"/>
      <c r="O6" s="2499"/>
      <c r="P6" s="2500"/>
      <c r="Q6" s="2501"/>
      <c r="R6" s="2502"/>
      <c r="S6" s="2502"/>
      <c r="T6" s="1600"/>
      <c r="U6" s="2502"/>
      <c r="V6" s="2503"/>
      <c r="W6" s="2503"/>
      <c r="X6" s="1600"/>
      <c r="Y6" s="2502"/>
      <c r="Z6" s="2503"/>
      <c r="AA6" s="2503"/>
      <c r="AB6" s="1600"/>
      <c r="AC6" s="2502"/>
      <c r="AD6" s="2503"/>
      <c r="AE6" s="2503"/>
      <c r="AF6" s="2504"/>
    </row>
    <row r="7" spans="1:32" ht="15.75">
      <c r="B7" s="3"/>
      <c r="C7" s="121"/>
      <c r="D7" s="121"/>
      <c r="E7" s="121"/>
      <c r="F7" s="121"/>
      <c r="G7" s="121"/>
      <c r="H7" s="121"/>
      <c r="I7" s="121"/>
      <c r="J7" s="121"/>
      <c r="K7" s="121"/>
      <c r="L7" s="121"/>
      <c r="O7" s="2499"/>
      <c r="P7" s="2483"/>
      <c r="Q7" s="2483"/>
      <c r="R7" s="2507"/>
      <c r="S7" s="2507"/>
      <c r="T7" s="2484"/>
      <c r="U7" s="2485"/>
      <c r="V7" s="2485"/>
      <c r="W7" s="2485"/>
      <c r="X7" s="2484"/>
      <c r="Y7" s="2485"/>
      <c r="Z7" s="2485"/>
      <c r="AA7" s="2485"/>
      <c r="AB7" s="2484"/>
      <c r="AC7" s="2485"/>
      <c r="AD7" s="2486"/>
      <c r="AE7" s="2485"/>
      <c r="AF7" s="2504"/>
    </row>
    <row r="8" spans="1:32" ht="15.75" customHeight="1">
      <c r="B8" s="3" t="s">
        <v>2621</v>
      </c>
      <c r="C8" s="121"/>
      <c r="D8" s="121"/>
      <c r="E8" s="121"/>
      <c r="F8" s="121"/>
      <c r="G8" s="121"/>
      <c r="H8" s="121"/>
      <c r="I8" s="121"/>
      <c r="J8" s="121"/>
      <c r="K8" s="121"/>
      <c r="L8" s="121"/>
      <c r="O8" s="2499"/>
      <c r="P8" s="2606" t="s">
        <v>878</v>
      </c>
      <c r="Q8" s="2607" t="s">
        <v>1676</v>
      </c>
      <c r="R8" s="2487"/>
      <c r="S8" s="2480"/>
      <c r="T8" s="1600"/>
      <c r="U8" s="2493"/>
      <c r="V8" s="2514"/>
      <c r="W8" s="2493"/>
      <c r="X8" s="2490"/>
      <c r="Y8" s="2482"/>
      <c r="Z8" s="2482"/>
      <c r="AA8" s="2482"/>
      <c r="AB8" s="2490"/>
      <c r="AC8" s="2482"/>
      <c r="AD8" s="2491"/>
      <c r="AE8" s="2482"/>
      <c r="AF8" s="2504"/>
    </row>
    <row r="9" spans="1:32" ht="15.75" customHeight="1">
      <c r="B9" s="3" t="s">
        <v>2620</v>
      </c>
      <c r="C9" s="121"/>
      <c r="D9" s="121"/>
      <c r="E9" s="121"/>
      <c r="F9" s="121"/>
      <c r="G9" s="121"/>
      <c r="H9" s="121"/>
      <c r="I9" s="121"/>
      <c r="J9" s="121"/>
      <c r="K9" s="121"/>
      <c r="L9" s="121"/>
      <c r="O9" s="2499"/>
      <c r="P9" s="2606" t="s">
        <v>756</v>
      </c>
      <c r="Q9" s="2641" t="s">
        <v>2628</v>
      </c>
      <c r="R9" s="2642"/>
      <c r="S9" s="2513"/>
      <c r="T9" s="1600"/>
      <c r="U9" s="2493"/>
      <c r="V9" s="2647" t="s">
        <v>2627</v>
      </c>
      <c r="W9" s="2493"/>
      <c r="X9" s="2490"/>
      <c r="Y9" s="2482"/>
      <c r="Z9" s="2647" t="s">
        <v>2629</v>
      </c>
      <c r="AA9" s="2482"/>
      <c r="AB9" s="2490"/>
      <c r="AC9" s="2482"/>
      <c r="AD9" s="2647" t="s">
        <v>2630</v>
      </c>
      <c r="AE9" s="2482"/>
      <c r="AF9" s="2504"/>
    </row>
    <row r="10" spans="1:32" ht="15.75">
      <c r="B10" s="3"/>
      <c r="C10" s="121"/>
      <c r="D10" s="121"/>
      <c r="E10" s="121"/>
      <c r="F10" s="121"/>
      <c r="G10" s="121"/>
      <c r="H10" s="121"/>
      <c r="I10" s="121"/>
      <c r="J10" s="121"/>
      <c r="K10" s="121"/>
      <c r="L10" s="121"/>
      <c r="O10" s="2499"/>
      <c r="P10" s="2606" t="s">
        <v>1730</v>
      </c>
      <c r="Q10" s="2643"/>
      <c r="R10" s="2644"/>
      <c r="S10" s="2513"/>
      <c r="T10" s="1600"/>
      <c r="U10" s="2493"/>
      <c r="V10" s="2648"/>
      <c r="W10" s="2493"/>
      <c r="X10" s="2490"/>
      <c r="Y10" s="2482"/>
      <c r="Z10" s="2648"/>
      <c r="AA10" s="2482"/>
      <c r="AB10" s="2490"/>
      <c r="AC10" s="2482"/>
      <c r="AD10" s="2648"/>
      <c r="AE10" s="2492"/>
      <c r="AF10" s="2504"/>
    </row>
    <row r="11" spans="1:32" ht="12.75" customHeight="1">
      <c r="B11" s="2621"/>
      <c r="C11" s="2622"/>
      <c r="D11" s="2622"/>
      <c r="E11" s="2622"/>
      <c r="F11" s="2622"/>
      <c r="G11" s="2622"/>
      <c r="H11" s="2622"/>
      <c r="I11" s="2622"/>
      <c r="J11" s="2622"/>
      <c r="K11" s="2622"/>
      <c r="L11" s="2623"/>
      <c r="O11" s="2499"/>
      <c r="P11" s="2606" t="s">
        <v>1731</v>
      </c>
      <c r="Q11" s="2643"/>
      <c r="R11" s="2644"/>
      <c r="S11" s="2513"/>
      <c r="T11" s="1600"/>
      <c r="U11" s="2493"/>
      <c r="V11" s="2648"/>
      <c r="W11" s="2493"/>
      <c r="X11" s="2490"/>
      <c r="Y11" s="2482"/>
      <c r="Z11" s="2648"/>
      <c r="AA11" s="2482"/>
      <c r="AB11" s="2490"/>
      <c r="AC11" s="2482"/>
      <c r="AD11" s="2648"/>
      <c r="AE11" s="2482"/>
      <c r="AF11" s="2504"/>
    </row>
    <row r="12" spans="1:32" ht="15.75">
      <c r="B12" s="2624" t="s">
        <v>2622</v>
      </c>
      <c r="C12" s="2620"/>
      <c r="D12" s="2620"/>
      <c r="E12" s="2620"/>
      <c r="F12" s="2620"/>
      <c r="G12" s="2620"/>
      <c r="H12" s="2620"/>
      <c r="I12" s="2620"/>
      <c r="J12" s="2620"/>
      <c r="K12" s="2620"/>
      <c r="L12" s="2625"/>
      <c r="O12" s="2499"/>
      <c r="P12" s="2606" t="s">
        <v>803</v>
      </c>
      <c r="Q12" s="2645"/>
      <c r="R12" s="2646"/>
      <c r="S12" s="2480"/>
      <c r="T12" s="1600"/>
      <c r="U12" s="2493"/>
      <c r="V12" s="2649"/>
      <c r="W12" s="2493"/>
      <c r="X12" s="2490"/>
      <c r="Y12" s="2482"/>
      <c r="Z12" s="2649"/>
      <c r="AA12" s="2482"/>
      <c r="AB12" s="2490"/>
      <c r="AC12" s="2482"/>
      <c r="AD12" s="2649"/>
      <c r="AE12" s="2482"/>
      <c r="AF12" s="2504"/>
    </row>
    <row r="13" spans="1:32" ht="15.75">
      <c r="B13" s="2626"/>
      <c r="C13" s="2627"/>
      <c r="D13" s="2627"/>
      <c r="E13" s="2627"/>
      <c r="F13" s="2627"/>
      <c r="G13" s="2627"/>
      <c r="H13" s="2627"/>
      <c r="I13" s="2627"/>
      <c r="J13" s="2627"/>
      <c r="K13" s="2627"/>
      <c r="L13" s="2628"/>
      <c r="O13" s="2499"/>
      <c r="P13" s="2606" t="s">
        <v>808</v>
      </c>
      <c r="Q13" s="2612" t="s">
        <v>69</v>
      </c>
      <c r="R13" s="2605"/>
      <c r="S13" s="2480"/>
      <c r="T13" s="1600"/>
      <c r="U13" s="2493"/>
      <c r="V13" s="2493"/>
      <c r="W13" s="2493"/>
      <c r="X13" s="2490"/>
      <c r="Y13" s="2482"/>
      <c r="Z13" s="2482"/>
      <c r="AA13" s="2482"/>
      <c r="AB13" s="2490"/>
      <c r="AC13" s="2482"/>
      <c r="AD13" s="2481"/>
      <c r="AE13" s="2482"/>
      <c r="AF13" s="2504"/>
    </row>
    <row r="14" spans="1:32">
      <c r="B14" s="121"/>
      <c r="C14" s="121"/>
      <c r="D14" s="121"/>
      <c r="E14" s="121"/>
      <c r="F14" s="121"/>
      <c r="G14" s="121"/>
      <c r="H14" s="121"/>
      <c r="I14" s="121"/>
      <c r="J14" s="121"/>
      <c r="K14" s="121"/>
      <c r="L14" s="121"/>
      <c r="O14" s="2499"/>
      <c r="P14" s="2606" t="s">
        <v>809</v>
      </c>
      <c r="Q14" s="2606" t="s">
        <v>2331</v>
      </c>
      <c r="R14" s="2480"/>
      <c r="S14" s="2480"/>
      <c r="T14" s="1600"/>
      <c r="U14" s="2493"/>
      <c r="V14" s="2640" t="s">
        <v>2594</v>
      </c>
      <c r="W14" s="2493"/>
      <c r="X14" s="2490"/>
      <c r="Y14" s="2482"/>
      <c r="Z14" s="2640" t="s">
        <v>2591</v>
      </c>
      <c r="AA14" s="2482"/>
      <c r="AB14" s="2490"/>
      <c r="AC14" s="2482"/>
      <c r="AD14" s="2640" t="s">
        <v>2592</v>
      </c>
      <c r="AE14" s="2482"/>
      <c r="AF14" s="2504"/>
    </row>
    <row r="15" spans="1:32" ht="13.5" thickBot="1">
      <c r="B15" s="121"/>
      <c r="C15" s="121"/>
      <c r="D15" s="121"/>
      <c r="E15" s="121"/>
      <c r="F15" s="121"/>
      <c r="G15" s="121"/>
      <c r="H15" s="121"/>
      <c r="I15" s="121"/>
      <c r="J15" s="121"/>
      <c r="K15" s="121"/>
      <c r="L15" s="121"/>
      <c r="O15" s="2499"/>
      <c r="P15" s="2607" t="s">
        <v>976</v>
      </c>
      <c r="Q15" s="2607" t="s">
        <v>3</v>
      </c>
      <c r="R15" s="2487"/>
      <c r="S15" s="2487"/>
      <c r="T15" s="1600"/>
      <c r="U15" s="2493"/>
      <c r="V15" s="2640"/>
      <c r="W15" s="2493"/>
      <c r="X15" s="2490"/>
      <c r="Y15" s="2482"/>
      <c r="Z15" s="2650"/>
      <c r="AA15" s="2482"/>
      <c r="AB15" s="2490"/>
      <c r="AC15" s="2482"/>
      <c r="AD15" s="2650"/>
      <c r="AE15" s="2482"/>
      <c r="AF15" s="2504"/>
    </row>
    <row r="16" spans="1:32" ht="23.25">
      <c r="B16" s="2618" t="s">
        <v>2588</v>
      </c>
      <c r="C16" s="2523"/>
      <c r="D16" s="2523"/>
      <c r="E16" s="2523"/>
      <c r="F16" s="2523"/>
      <c r="G16" s="2523"/>
      <c r="H16" s="2523"/>
      <c r="I16" s="2523"/>
      <c r="J16" s="2523"/>
      <c r="K16" s="2523"/>
      <c r="L16" s="2523"/>
      <c r="O16" s="2499"/>
      <c r="P16" s="2608"/>
      <c r="Q16" s="2488"/>
      <c r="R16" s="2489"/>
      <c r="S16" s="2489"/>
      <c r="T16" s="1600"/>
      <c r="U16" s="2493"/>
      <c r="V16" s="2640"/>
      <c r="W16" s="2493"/>
      <c r="X16" s="2490"/>
      <c r="Y16" s="2482"/>
      <c r="Z16" s="2650"/>
      <c r="AA16" s="2482"/>
      <c r="AB16" s="2490"/>
      <c r="AC16" s="2482"/>
      <c r="AD16" s="2650"/>
      <c r="AE16" s="2482"/>
      <c r="AF16" s="2504"/>
    </row>
    <row r="17" spans="2:32">
      <c r="B17" s="2615"/>
      <c r="C17" s="2617"/>
      <c r="D17" s="2524"/>
      <c r="E17" s="2524"/>
      <c r="F17" s="2524"/>
      <c r="G17" s="2524"/>
      <c r="H17" s="2524"/>
      <c r="I17" s="2524"/>
      <c r="J17" s="2524"/>
      <c r="K17" s="2524"/>
      <c r="L17" s="2524"/>
      <c r="O17" s="2499"/>
      <c r="P17" s="2609" t="s">
        <v>829</v>
      </c>
      <c r="Q17" s="2606" t="s">
        <v>1282</v>
      </c>
      <c r="R17" s="2480"/>
      <c r="S17" s="2480"/>
      <c r="T17" s="1600"/>
      <c r="U17" s="2493"/>
      <c r="V17" s="2640"/>
      <c r="W17" s="2493"/>
      <c r="X17" s="2490"/>
      <c r="Y17" s="2482"/>
      <c r="Z17" s="2650"/>
      <c r="AA17" s="2482"/>
      <c r="AB17" s="2490"/>
      <c r="AC17" s="2482"/>
      <c r="AD17" s="2650"/>
      <c r="AE17" s="2482"/>
      <c r="AF17" s="2504"/>
    </row>
    <row r="18" spans="2:32">
      <c r="B18" s="121"/>
      <c r="C18" s="121"/>
      <c r="D18" s="121"/>
      <c r="E18" s="121"/>
      <c r="F18" s="121"/>
      <c r="G18" s="121"/>
      <c r="H18" s="121"/>
      <c r="I18" s="121"/>
      <c r="J18" s="121"/>
      <c r="K18" s="121"/>
      <c r="L18" s="121"/>
      <c r="O18" s="2499"/>
      <c r="P18" s="2610"/>
      <c r="Q18" s="2611" t="s">
        <v>1834</v>
      </c>
      <c r="R18" s="2226"/>
      <c r="S18" s="2226"/>
      <c r="T18" s="1600"/>
      <c r="U18" s="2493"/>
      <c r="V18" s="2640"/>
      <c r="W18" s="2493"/>
      <c r="X18" s="2490"/>
      <c r="Y18" s="2482"/>
      <c r="Z18" s="2650"/>
      <c r="AA18" s="2482"/>
      <c r="AB18" s="2490"/>
      <c r="AC18" s="2482"/>
      <c r="AD18" s="2650"/>
      <c r="AE18" s="2482"/>
      <c r="AF18" s="2504"/>
    </row>
    <row r="19" spans="2:32">
      <c r="B19" s="121"/>
      <c r="C19" s="121"/>
      <c r="D19" s="121"/>
      <c r="E19" s="121"/>
      <c r="F19" s="121"/>
      <c r="G19" s="121"/>
      <c r="H19" s="121"/>
      <c r="I19" s="121"/>
      <c r="J19" s="121"/>
      <c r="K19" s="121"/>
      <c r="L19" s="121"/>
      <c r="O19" s="2499"/>
      <c r="P19" s="2610"/>
      <c r="Q19" s="2611" t="s">
        <v>1277</v>
      </c>
      <c r="R19" s="2226"/>
      <c r="S19" s="2613"/>
      <c r="T19" s="1600"/>
      <c r="U19" s="2493"/>
      <c r="V19" s="2640"/>
      <c r="W19" s="2493"/>
      <c r="X19" s="2494"/>
      <c r="Y19" s="2021"/>
      <c r="Z19" s="2650"/>
      <c r="AA19" s="2021"/>
      <c r="AB19" s="2494"/>
      <c r="AC19" s="2021"/>
      <c r="AD19" s="2650"/>
      <c r="AE19" s="2482"/>
      <c r="AF19" s="2504"/>
    </row>
    <row r="20" spans="2:32" ht="15.75">
      <c r="B20" s="2630" t="s">
        <v>2597</v>
      </c>
      <c r="C20" s="3" t="s">
        <v>2615</v>
      </c>
      <c r="O20" s="2499"/>
      <c r="P20" s="2610"/>
      <c r="Q20" s="2611" t="s">
        <v>1862</v>
      </c>
      <c r="R20" s="2226"/>
      <c r="S20" s="2226"/>
      <c r="T20" s="1600"/>
      <c r="U20" s="2493"/>
      <c r="V20" s="2640"/>
      <c r="W20" s="2493"/>
      <c r="X20" s="2494"/>
      <c r="Y20" s="2021"/>
      <c r="Z20" s="2650"/>
      <c r="AA20" s="2482"/>
      <c r="AB20" s="2494"/>
      <c r="AC20" s="2021"/>
      <c r="AD20" s="2650"/>
      <c r="AE20" s="2482"/>
      <c r="AF20" s="2504"/>
    </row>
    <row r="21" spans="2:32" ht="15.75">
      <c r="B21" s="2631"/>
      <c r="C21" s="3"/>
      <c r="O21" s="2499"/>
      <c r="P21" s="2610"/>
      <c r="Q21" s="2611" t="s">
        <v>1859</v>
      </c>
      <c r="R21" s="2226"/>
      <c r="S21" s="2613"/>
      <c r="T21" s="1600"/>
      <c r="U21" s="2493"/>
      <c r="V21" s="2493"/>
      <c r="W21" s="2493"/>
      <c r="X21" s="2490"/>
      <c r="Y21" s="2482"/>
      <c r="Z21" s="2481"/>
      <c r="AA21" s="2482"/>
      <c r="AB21" s="2490"/>
      <c r="AC21" s="2482"/>
      <c r="AD21" s="2481"/>
      <c r="AE21" s="2482"/>
      <c r="AF21" s="2504"/>
    </row>
    <row r="22" spans="2:32" ht="15.75">
      <c r="B22" s="2630" t="s">
        <v>2598</v>
      </c>
      <c r="C22" s="3" t="s">
        <v>2616</v>
      </c>
      <c r="O22" s="2499"/>
      <c r="P22" s="2609" t="s">
        <v>945</v>
      </c>
      <c r="Q22" s="2606" t="s">
        <v>1326</v>
      </c>
      <c r="R22" s="2480"/>
      <c r="S22" s="1122"/>
      <c r="T22" s="1600"/>
      <c r="U22" s="2493"/>
      <c r="V22" s="2493"/>
      <c r="W22" s="2493"/>
      <c r="X22" s="2490"/>
      <c r="Y22" s="2482"/>
      <c r="Z22" s="2481"/>
      <c r="AA22" s="2482"/>
      <c r="AB22" s="2490"/>
      <c r="AC22" s="2482"/>
      <c r="AD22" s="2481"/>
      <c r="AE22" s="2482"/>
      <c r="AF22" s="2504"/>
    </row>
    <row r="23" spans="2:32" ht="15.75" customHeight="1">
      <c r="B23" s="2630"/>
      <c r="C23" s="3"/>
      <c r="D23" s="121" t="s">
        <v>2595</v>
      </c>
      <c r="E23" s="121"/>
      <c r="F23" s="121"/>
      <c r="G23" s="121"/>
      <c r="H23" s="121"/>
      <c r="I23" s="121"/>
      <c r="J23" s="121"/>
      <c r="K23" s="121"/>
      <c r="L23" s="121"/>
      <c r="O23" s="2499"/>
      <c r="P23" s="2610"/>
      <c r="Q23" s="2611" t="s">
        <v>1842</v>
      </c>
      <c r="R23" s="2226"/>
      <c r="S23" s="2227"/>
      <c r="T23" s="1600"/>
      <c r="U23" s="2493"/>
      <c r="V23" s="2647" t="s">
        <v>2627</v>
      </c>
      <c r="W23" s="2493"/>
      <c r="X23" s="2490"/>
      <c r="Y23" s="2482"/>
      <c r="Z23" s="2647" t="s">
        <v>2631</v>
      </c>
      <c r="AA23" s="2482"/>
      <c r="AB23" s="2490"/>
      <c r="AC23" s="2482"/>
      <c r="AD23" s="2481"/>
      <c r="AE23" s="2482"/>
      <c r="AF23" s="2504"/>
    </row>
    <row r="24" spans="2:32" ht="15.75">
      <c r="B24" s="2630"/>
      <c r="C24" s="3"/>
      <c r="D24" s="121" t="s">
        <v>2596</v>
      </c>
      <c r="E24" s="121"/>
      <c r="F24" s="121"/>
      <c r="G24" s="121"/>
      <c r="H24" s="121"/>
      <c r="I24" s="121"/>
      <c r="J24" s="121"/>
      <c r="K24" s="121"/>
      <c r="L24" s="121"/>
      <c r="O24" s="2499"/>
      <c r="P24" s="2610"/>
      <c r="Q24" s="2611" t="s">
        <v>1863</v>
      </c>
      <c r="R24" s="2226"/>
      <c r="S24" s="2227"/>
      <c r="T24" s="1600"/>
      <c r="U24" s="2493"/>
      <c r="V24" s="2648"/>
      <c r="W24" s="2493"/>
      <c r="X24" s="2490"/>
      <c r="Y24" s="2482"/>
      <c r="Z24" s="2648"/>
      <c r="AA24" s="2482"/>
      <c r="AB24" s="2490"/>
      <c r="AC24" s="2482"/>
      <c r="AD24" s="2482"/>
      <c r="AE24" s="2482"/>
      <c r="AF24" s="2504"/>
    </row>
    <row r="25" spans="2:32" ht="15.75">
      <c r="B25" s="2631"/>
      <c r="C25" s="3"/>
      <c r="O25" s="2499"/>
      <c r="P25" s="2610"/>
      <c r="Q25" s="2611" t="s">
        <v>1864</v>
      </c>
      <c r="R25" s="2226"/>
      <c r="S25" s="2227"/>
      <c r="T25" s="1600"/>
      <c r="U25" s="2493"/>
      <c r="V25" s="2648"/>
      <c r="W25" s="2493"/>
      <c r="X25" s="2490"/>
      <c r="Y25" s="2482"/>
      <c r="Z25" s="2648"/>
      <c r="AA25" s="2482"/>
      <c r="AB25" s="2490"/>
      <c r="AC25" s="2482"/>
      <c r="AD25" s="2482"/>
      <c r="AE25" s="2482"/>
      <c r="AF25" s="2504"/>
    </row>
    <row r="26" spans="2:32" ht="15.75">
      <c r="B26" s="2630" t="s">
        <v>2599</v>
      </c>
      <c r="C26" s="3" t="s">
        <v>2607</v>
      </c>
      <c r="O26" s="2499"/>
      <c r="P26" s="2609" t="s">
        <v>950</v>
      </c>
      <c r="Q26" s="2606" t="s">
        <v>952</v>
      </c>
      <c r="R26" s="2480"/>
      <c r="S26" s="1122"/>
      <c r="T26" s="1600"/>
      <c r="U26" s="2493"/>
      <c r="V26" s="2649"/>
      <c r="W26" s="2493"/>
      <c r="X26" s="2490"/>
      <c r="Y26" s="2482"/>
      <c r="Z26" s="2649"/>
      <c r="AA26" s="2482"/>
      <c r="AB26" s="512"/>
      <c r="AC26" s="2482"/>
      <c r="AD26" s="2491"/>
      <c r="AE26" s="2482"/>
      <c r="AF26" s="2504"/>
    </row>
    <row r="27" spans="2:32" ht="15.75">
      <c r="B27" s="2631"/>
      <c r="C27" s="3"/>
      <c r="O27" s="2499"/>
      <c r="P27" s="2610"/>
      <c r="Q27" s="2611" t="s">
        <v>1664</v>
      </c>
      <c r="R27" s="2226"/>
      <c r="S27" s="2227"/>
      <c r="T27" s="1600"/>
      <c r="U27" s="2493"/>
      <c r="V27" s="2493"/>
      <c r="W27" s="2493"/>
      <c r="X27" s="2490"/>
      <c r="Y27" s="2482"/>
      <c r="Z27" s="2481"/>
      <c r="AA27" s="2482"/>
      <c r="AB27" s="512"/>
      <c r="AC27" s="2482"/>
      <c r="AD27" s="2491"/>
      <c r="AE27" s="2482"/>
      <c r="AF27" s="2504"/>
    </row>
    <row r="28" spans="2:32" ht="15.75">
      <c r="B28" s="2630" t="s">
        <v>2600</v>
      </c>
      <c r="C28" s="3" t="s">
        <v>2626</v>
      </c>
      <c r="O28" s="2499"/>
      <c r="P28" s="2610"/>
      <c r="Q28" s="2611" t="s">
        <v>1640</v>
      </c>
      <c r="R28" s="2226"/>
      <c r="S28" s="2227"/>
      <c r="T28" s="1600"/>
      <c r="U28" s="2482"/>
      <c r="V28" s="2640" t="s">
        <v>2593</v>
      </c>
      <c r="W28" s="2482"/>
      <c r="X28" s="2490"/>
      <c r="Y28" s="2482"/>
      <c r="Z28" s="2481"/>
      <c r="AA28" s="2482"/>
      <c r="AB28" s="512"/>
      <c r="AC28" s="2482"/>
      <c r="AD28" s="2482"/>
      <c r="AE28" s="2482"/>
      <c r="AF28" s="2504"/>
    </row>
    <row r="29" spans="2:32" ht="15.75">
      <c r="B29" s="2631"/>
      <c r="C29" s="3" t="s">
        <v>2632</v>
      </c>
      <c r="D29" s="2629"/>
      <c r="O29" s="2499"/>
      <c r="P29" s="2609" t="s">
        <v>951</v>
      </c>
      <c r="Q29" s="2606" t="s">
        <v>953</v>
      </c>
      <c r="R29" s="2480"/>
      <c r="S29" s="1122"/>
      <c r="T29" s="1600"/>
      <c r="U29" s="2482"/>
      <c r="V29" s="2640"/>
      <c r="W29" s="2482"/>
      <c r="X29" s="2490"/>
      <c r="Y29" s="2482"/>
      <c r="Z29" s="2481"/>
      <c r="AA29" s="2482"/>
      <c r="AB29" s="512"/>
      <c r="AC29" s="2482"/>
      <c r="AD29" s="2482"/>
      <c r="AE29" s="2492"/>
      <c r="AF29" s="2504"/>
    </row>
    <row r="30" spans="2:32" ht="15.75">
      <c r="B30" s="2631"/>
      <c r="C30" s="743"/>
      <c r="D30" s="3" t="s">
        <v>2625</v>
      </c>
      <c r="E30" s="121"/>
      <c r="F30" s="121"/>
      <c r="G30" s="121"/>
      <c r="H30" s="121"/>
      <c r="I30" s="121"/>
      <c r="J30" s="121"/>
      <c r="K30" s="121"/>
      <c r="L30" s="121"/>
      <c r="O30" s="2499"/>
      <c r="P30" s="2610"/>
      <c r="Q30" s="2611" t="s">
        <v>1664</v>
      </c>
      <c r="R30" s="2226"/>
      <c r="S30" s="2227"/>
      <c r="T30" s="1600"/>
      <c r="U30" s="2482"/>
      <c r="V30" s="2640"/>
      <c r="W30" s="2482"/>
      <c r="X30" s="2490"/>
      <c r="Y30" s="2482"/>
      <c r="Z30" s="2481"/>
      <c r="AA30" s="2482"/>
      <c r="AB30" s="512"/>
      <c r="AC30" s="2482"/>
      <c r="AD30" s="2495"/>
      <c r="AE30" s="2493"/>
      <c r="AF30" s="2504"/>
    </row>
    <row r="31" spans="2:32" ht="15.75">
      <c r="B31" s="2631"/>
      <c r="C31" s="743"/>
      <c r="D31" s="3" t="s">
        <v>2683</v>
      </c>
      <c r="E31" s="121"/>
      <c r="F31" s="121"/>
      <c r="G31" s="121"/>
      <c r="H31" s="121"/>
      <c r="I31" s="121"/>
      <c r="J31" s="121"/>
      <c r="K31" s="121"/>
      <c r="L31" s="121"/>
      <c r="O31" s="2499"/>
      <c r="P31" s="2610"/>
      <c r="Q31" s="2611" t="s">
        <v>1640</v>
      </c>
      <c r="R31" s="2226"/>
      <c r="S31" s="2227"/>
      <c r="T31" s="1600"/>
      <c r="U31" s="2482"/>
      <c r="V31" s="2640"/>
      <c r="W31" s="2482"/>
      <c r="X31" s="2490"/>
      <c r="Y31" s="2482"/>
      <c r="Z31" s="2482"/>
      <c r="AA31" s="2492"/>
      <c r="AB31" s="512"/>
      <c r="AC31" s="2482"/>
      <c r="AD31" s="2495"/>
      <c r="AE31" s="2493"/>
      <c r="AF31" s="2504"/>
    </row>
    <row r="32" spans="2:32" ht="15.75">
      <c r="B32" s="2631"/>
      <c r="C32" s="3"/>
      <c r="O32" s="2499"/>
      <c r="P32" s="2609" t="s">
        <v>900</v>
      </c>
      <c r="Q32" s="2606" t="s">
        <v>460</v>
      </c>
      <c r="R32" s="2480"/>
      <c r="S32" s="1122"/>
      <c r="T32" s="1600"/>
      <c r="U32" s="2482"/>
      <c r="V32" s="2640"/>
      <c r="W32" s="2482"/>
      <c r="X32" s="2490"/>
      <c r="Y32" s="2482"/>
      <c r="Z32" s="2482"/>
      <c r="AA32" s="2482"/>
      <c r="AB32" s="512"/>
      <c r="AC32" s="2482"/>
      <c r="AD32" s="2495"/>
      <c r="AE32" s="2493"/>
      <c r="AF32" s="2504"/>
    </row>
    <row r="33" spans="2:32" ht="15.75">
      <c r="B33" s="2630" t="s">
        <v>2617</v>
      </c>
      <c r="C33" s="3" t="s">
        <v>2633</v>
      </c>
      <c r="O33" s="2499"/>
      <c r="P33" s="2609"/>
      <c r="Q33" s="2606"/>
      <c r="R33" s="1122"/>
      <c r="S33" s="1122"/>
      <c r="T33" s="1600"/>
      <c r="U33" s="2482"/>
      <c r="V33" s="2640"/>
      <c r="W33" s="2482"/>
      <c r="X33" s="2490"/>
      <c r="Y33" s="2482"/>
      <c r="Z33" s="2496"/>
      <c r="AA33" s="2482"/>
      <c r="AB33" s="512"/>
      <c r="AC33" s="2482"/>
      <c r="AD33" s="2482"/>
      <c r="AE33" s="2482"/>
      <c r="AF33" s="2504"/>
    </row>
    <row r="34" spans="2:32" ht="15.75">
      <c r="B34" s="2630"/>
      <c r="C34" s="3" t="s">
        <v>2610</v>
      </c>
      <c r="D34" s="121"/>
      <c r="E34" s="121"/>
      <c r="F34" s="121"/>
      <c r="G34" s="121"/>
      <c r="H34" s="121"/>
      <c r="I34" s="121"/>
      <c r="J34" s="121"/>
      <c r="K34" s="121"/>
      <c r="L34" s="121"/>
      <c r="O34" s="2499"/>
      <c r="P34" s="2610"/>
      <c r="Q34" s="2611"/>
      <c r="R34" s="2227"/>
      <c r="S34" s="2227"/>
      <c r="T34" s="1600"/>
      <c r="U34" s="2482"/>
      <c r="V34" s="2640"/>
      <c r="W34" s="2482"/>
      <c r="X34" s="2490"/>
      <c r="Y34" s="2482"/>
      <c r="Z34" s="2482"/>
      <c r="AA34" s="2482"/>
      <c r="AB34" s="512"/>
      <c r="AC34" s="2482"/>
      <c r="AD34" s="2482"/>
      <c r="AE34" s="2482"/>
      <c r="AF34" s="2504"/>
    </row>
    <row r="35" spans="2:32" ht="15.75">
      <c r="B35" s="2630"/>
      <c r="C35" s="3" t="s">
        <v>2608</v>
      </c>
      <c r="D35" s="121"/>
      <c r="E35" s="121"/>
      <c r="F35" s="121"/>
      <c r="G35" s="121"/>
      <c r="H35" s="121"/>
      <c r="I35" s="121"/>
      <c r="J35" s="121"/>
      <c r="K35" s="121"/>
      <c r="L35" s="121"/>
      <c r="O35" s="2499"/>
      <c r="P35" s="2490"/>
      <c r="Q35" s="2490"/>
      <c r="R35" s="1600"/>
      <c r="S35" s="1600"/>
      <c r="T35" s="1600"/>
      <c r="U35" s="2482"/>
      <c r="V35" s="2482"/>
      <c r="W35" s="2482"/>
      <c r="X35" s="2490"/>
      <c r="Y35" s="2482"/>
      <c r="Z35" s="2482"/>
      <c r="AA35" s="2482"/>
      <c r="AB35" s="512"/>
      <c r="AC35" s="2482"/>
      <c r="AD35" s="2482"/>
      <c r="AE35" s="2482"/>
      <c r="AF35" s="2504"/>
    </row>
    <row r="36" spans="2:32" ht="15.75">
      <c r="B36" s="2630"/>
      <c r="C36" s="3" t="s">
        <v>2609</v>
      </c>
      <c r="D36" s="121"/>
      <c r="E36" s="121"/>
      <c r="F36" s="121"/>
      <c r="G36" s="121"/>
      <c r="H36" s="121"/>
      <c r="I36" s="121"/>
      <c r="J36" s="121"/>
      <c r="K36" s="121"/>
      <c r="L36" s="121"/>
      <c r="O36" s="2499"/>
      <c r="P36" s="2490"/>
      <c r="Q36" s="2490"/>
      <c r="R36" s="1600"/>
      <c r="S36" s="1600"/>
      <c r="T36" s="1600"/>
      <c r="U36" s="2482"/>
      <c r="V36" s="2482"/>
      <c r="W36" s="2482"/>
      <c r="X36" s="2490"/>
      <c r="Y36" s="2482"/>
      <c r="Z36" s="2482"/>
      <c r="AA36" s="2482"/>
      <c r="AB36" s="512"/>
      <c r="AC36" s="2482"/>
      <c r="AD36" s="2481"/>
      <c r="AE36" s="2482"/>
      <c r="AF36" s="2504"/>
    </row>
    <row r="37" spans="2:32" ht="15.75">
      <c r="B37" s="2630"/>
      <c r="C37" s="3"/>
      <c r="D37" s="121"/>
      <c r="E37" s="121"/>
      <c r="F37" s="121"/>
      <c r="G37" s="121"/>
      <c r="H37" s="121"/>
      <c r="I37" s="121"/>
      <c r="J37" s="121"/>
      <c r="K37" s="121"/>
      <c r="L37" s="121"/>
      <c r="O37" s="2505"/>
      <c r="P37" s="1553"/>
      <c r="Q37" s="1553"/>
      <c r="R37" s="1553"/>
      <c r="S37" s="1553"/>
      <c r="T37" s="1553"/>
      <c r="U37" s="1553"/>
      <c r="V37" s="1553"/>
      <c r="W37" s="1553"/>
      <c r="X37" s="1553"/>
      <c r="Y37" s="1553"/>
      <c r="Z37" s="1553"/>
      <c r="AA37" s="1553"/>
      <c r="AB37" s="1553"/>
      <c r="AC37" s="1553"/>
      <c r="AD37" s="1553"/>
      <c r="AE37" s="1553"/>
      <c r="AF37" s="2506"/>
    </row>
    <row r="38" spans="2:32" ht="15.75">
      <c r="B38" s="2630"/>
      <c r="C38" s="3"/>
      <c r="D38" s="121"/>
      <c r="E38" s="121"/>
      <c r="F38" s="121"/>
      <c r="G38" s="121"/>
      <c r="H38" s="121"/>
      <c r="I38" s="121"/>
      <c r="J38" s="121"/>
      <c r="K38" s="121"/>
      <c r="L38" s="121"/>
    </row>
    <row r="39" spans="2:32" ht="23.25">
      <c r="B39" s="2618" t="s">
        <v>2614</v>
      </c>
      <c r="C39" s="2614"/>
      <c r="D39" s="1111"/>
      <c r="E39" s="1111"/>
      <c r="F39" s="1111"/>
      <c r="G39" s="1111"/>
      <c r="H39" s="1111"/>
      <c r="I39" s="1111"/>
      <c r="J39" s="1111"/>
      <c r="K39" s="1111"/>
      <c r="L39" s="1111"/>
    </row>
    <row r="40" spans="2:32">
      <c r="B40" s="2615"/>
      <c r="C40" s="2617"/>
      <c r="D40" s="2524"/>
      <c r="E40" s="2524"/>
      <c r="F40" s="2524"/>
      <c r="G40" s="2524"/>
      <c r="H40" s="2524"/>
      <c r="I40" s="2524"/>
      <c r="J40" s="2524"/>
      <c r="K40" s="2524"/>
      <c r="L40" s="2524"/>
    </row>
    <row r="41" spans="2:32" ht="15.75">
      <c r="B41" s="3"/>
      <c r="C41" s="3"/>
    </row>
    <row r="42" spans="2:32" ht="15.75">
      <c r="B42" s="2635" t="s">
        <v>1264</v>
      </c>
      <c r="C42" s="3" t="s">
        <v>2336</v>
      </c>
      <c r="D42" s="3"/>
      <c r="E42" s="3"/>
      <c r="F42" s="3"/>
      <c r="G42" s="3"/>
      <c r="H42" s="3"/>
      <c r="I42" s="3"/>
      <c r="J42" s="3"/>
      <c r="K42" s="3"/>
      <c r="L42" s="3"/>
    </row>
    <row r="43" spans="2:32" ht="15.75">
      <c r="B43" s="3"/>
      <c r="C43" s="3" t="s">
        <v>2337</v>
      </c>
      <c r="D43" s="3"/>
      <c r="E43" s="3"/>
      <c r="F43" s="3"/>
      <c r="G43" s="3"/>
      <c r="H43" s="3"/>
      <c r="I43" s="3"/>
      <c r="J43" s="3"/>
      <c r="K43" s="3"/>
      <c r="L43" s="3"/>
    </row>
    <row r="44" spans="2:32" ht="15.75">
      <c r="B44" s="3"/>
      <c r="C44" s="3"/>
      <c r="D44" s="3"/>
      <c r="E44" s="3"/>
      <c r="F44" s="3"/>
      <c r="G44" s="3"/>
      <c r="H44" s="3"/>
      <c r="I44" s="3"/>
      <c r="J44" s="3"/>
      <c r="K44" s="3"/>
      <c r="L44" s="3"/>
    </row>
    <row r="45" spans="2:32" ht="15.75">
      <c r="B45" s="2635" t="s">
        <v>902</v>
      </c>
      <c r="C45" s="3" t="s">
        <v>2338</v>
      </c>
      <c r="D45" s="3"/>
      <c r="E45" s="3"/>
      <c r="F45" s="3"/>
      <c r="G45" s="3"/>
      <c r="H45" s="3"/>
      <c r="I45" s="3"/>
      <c r="J45" s="3"/>
      <c r="K45" s="3"/>
      <c r="L45" s="3"/>
    </row>
    <row r="46" spans="2:32" ht="15.75">
      <c r="B46" s="2635" t="s">
        <v>2341</v>
      </c>
      <c r="C46" s="3" t="s">
        <v>2688</v>
      </c>
      <c r="D46" s="3"/>
      <c r="E46" s="3"/>
      <c r="F46" s="3"/>
      <c r="G46" s="3"/>
      <c r="H46" s="3"/>
      <c r="I46" s="3"/>
      <c r="J46" s="3"/>
      <c r="K46" s="3"/>
      <c r="L46" s="3"/>
    </row>
    <row r="47" spans="2:32" ht="15.75">
      <c r="B47" s="3"/>
      <c r="C47" s="3"/>
      <c r="D47" s="3"/>
      <c r="E47" s="3"/>
      <c r="F47" s="3"/>
      <c r="G47" s="3"/>
      <c r="H47" s="3"/>
      <c r="I47" s="3"/>
      <c r="J47" s="3"/>
      <c r="K47" s="3"/>
      <c r="L47" s="3"/>
    </row>
    <row r="48" spans="2:32" ht="15.75">
      <c r="B48" s="3"/>
      <c r="C48" s="3" t="s">
        <v>2611</v>
      </c>
      <c r="D48" s="3"/>
      <c r="E48" s="3"/>
      <c r="F48" s="3"/>
      <c r="G48" s="3"/>
      <c r="H48" s="3"/>
      <c r="I48" s="3"/>
      <c r="J48" s="3"/>
      <c r="K48" s="3"/>
      <c r="L48" s="3"/>
    </row>
    <row r="49" spans="2:12" ht="15.75">
      <c r="B49" s="3"/>
      <c r="C49" s="3" t="s">
        <v>2339</v>
      </c>
      <c r="D49" s="3"/>
      <c r="E49" s="3"/>
      <c r="F49" s="3"/>
      <c r="G49" s="3"/>
      <c r="H49" s="3"/>
      <c r="I49" s="3"/>
      <c r="J49" s="3"/>
      <c r="K49" s="3"/>
      <c r="L49" s="3"/>
    </row>
    <row r="50" spans="2:12" ht="15.75">
      <c r="B50" s="3"/>
      <c r="C50" s="3"/>
      <c r="D50" s="3"/>
      <c r="E50" s="3"/>
      <c r="F50" s="3"/>
      <c r="G50" s="3"/>
      <c r="H50" s="3"/>
      <c r="I50" s="3"/>
      <c r="J50" s="3"/>
      <c r="K50" s="3"/>
      <c r="L50" s="3"/>
    </row>
    <row r="51" spans="2:12" ht="15.75">
      <c r="B51" s="3"/>
      <c r="C51" s="3" t="s">
        <v>2340</v>
      </c>
      <c r="D51" s="3"/>
      <c r="E51" s="3"/>
      <c r="F51" s="3"/>
      <c r="G51" s="3"/>
      <c r="H51" s="3"/>
      <c r="I51" s="3"/>
      <c r="J51" s="3"/>
      <c r="K51" s="3"/>
      <c r="L51" s="3"/>
    </row>
    <row r="52" spans="2:12" ht="15.75">
      <c r="B52" s="3"/>
      <c r="C52" s="3"/>
      <c r="D52" s="3"/>
      <c r="E52" s="3"/>
      <c r="F52" s="3"/>
      <c r="G52" s="3"/>
      <c r="H52" s="3"/>
      <c r="I52" s="3"/>
      <c r="J52" s="3"/>
      <c r="K52" s="3"/>
      <c r="L52" s="3"/>
    </row>
    <row r="53" spans="2:12" ht="15.75">
      <c r="B53" s="3"/>
      <c r="C53" s="2636" t="s">
        <v>1874</v>
      </c>
      <c r="D53" s="3"/>
      <c r="E53" s="3"/>
      <c r="F53" s="3"/>
      <c r="G53" s="3"/>
      <c r="H53" s="3"/>
      <c r="I53" s="3"/>
      <c r="J53" s="3"/>
      <c r="K53" s="3"/>
      <c r="L53" s="3"/>
    </row>
    <row r="54" spans="2:12" ht="17.25">
      <c r="B54" s="3"/>
      <c r="C54" s="3"/>
      <c r="D54" s="3" t="s">
        <v>2612</v>
      </c>
      <c r="E54" s="3"/>
      <c r="F54" s="3"/>
      <c r="G54" s="3"/>
      <c r="H54" s="3"/>
      <c r="I54" s="3"/>
      <c r="J54" s="3"/>
      <c r="K54" s="3"/>
      <c r="L54" s="3"/>
    </row>
    <row r="55" spans="2:12" ht="15.75">
      <c r="B55" s="3"/>
      <c r="C55" s="3"/>
      <c r="D55" s="3"/>
      <c r="E55" s="3"/>
      <c r="F55" s="3"/>
      <c r="G55" s="3"/>
      <c r="H55" s="3"/>
      <c r="I55" s="3"/>
      <c r="J55" s="3"/>
      <c r="K55" s="3"/>
      <c r="L55" s="3"/>
    </row>
    <row r="56" spans="2:12" ht="15.75">
      <c r="B56" s="3"/>
      <c r="C56" s="2636" t="s">
        <v>1875</v>
      </c>
      <c r="D56" s="3"/>
      <c r="E56" s="3"/>
      <c r="F56" s="3"/>
      <c r="G56" s="3"/>
      <c r="H56" s="3"/>
      <c r="I56" s="3"/>
      <c r="J56" s="3"/>
      <c r="K56" s="3"/>
      <c r="L56" s="3"/>
    </row>
    <row r="57" spans="2:12" ht="17.25">
      <c r="B57" s="3"/>
      <c r="C57" s="3"/>
      <c r="D57" s="3" t="s">
        <v>2613</v>
      </c>
      <c r="E57" s="3"/>
      <c r="F57" s="3"/>
      <c r="G57" s="3"/>
      <c r="H57" s="3"/>
      <c r="I57" s="3"/>
      <c r="J57" s="3"/>
      <c r="K57" s="3"/>
      <c r="L57" s="3"/>
    </row>
    <row r="58" spans="2:12" ht="15.75">
      <c r="B58" s="3"/>
      <c r="C58" s="3"/>
      <c r="D58" s="3"/>
      <c r="E58" s="3"/>
      <c r="F58" s="3"/>
      <c r="G58" s="3"/>
      <c r="H58" s="3"/>
      <c r="I58" s="3"/>
      <c r="J58" s="3"/>
      <c r="K58" s="3"/>
      <c r="L58" s="3"/>
    </row>
    <row r="59" spans="2:12" ht="15.75">
      <c r="B59" s="2635" t="s">
        <v>2342</v>
      </c>
      <c r="C59" s="3" t="s">
        <v>2344</v>
      </c>
      <c r="D59" s="3"/>
      <c r="E59" s="3"/>
      <c r="F59" s="3"/>
      <c r="G59" s="3"/>
      <c r="H59" s="3"/>
      <c r="I59" s="3"/>
      <c r="J59" s="3"/>
      <c r="K59" s="3"/>
      <c r="L59" s="3"/>
    </row>
    <row r="60" spans="2:12" ht="15.75">
      <c r="B60" s="2635" t="s">
        <v>2343</v>
      </c>
      <c r="C60" s="3" t="s">
        <v>2345</v>
      </c>
      <c r="D60" s="3"/>
      <c r="E60" s="3"/>
      <c r="F60" s="3"/>
      <c r="G60" s="3"/>
      <c r="H60" s="3"/>
      <c r="I60" s="3"/>
      <c r="J60" s="3"/>
      <c r="K60" s="3"/>
      <c r="L60" s="3"/>
    </row>
    <row r="61" spans="2:12" ht="15.75">
      <c r="B61" s="3"/>
      <c r="C61" s="3" t="s">
        <v>2346</v>
      </c>
      <c r="D61" s="3"/>
      <c r="E61" s="3"/>
      <c r="F61" s="3"/>
      <c r="G61" s="3"/>
      <c r="H61" s="3"/>
      <c r="I61" s="3"/>
      <c r="J61" s="3"/>
      <c r="K61" s="3"/>
      <c r="L61" s="3"/>
    </row>
    <row r="62" spans="2:12" ht="15.75">
      <c r="B62" s="3"/>
      <c r="C62" s="3" t="s">
        <v>2347</v>
      </c>
      <c r="D62" s="3"/>
      <c r="E62" s="3"/>
      <c r="F62" s="3"/>
      <c r="G62" s="3"/>
      <c r="H62" s="3"/>
      <c r="I62" s="3"/>
      <c r="J62" s="3"/>
      <c r="K62" s="3"/>
      <c r="L62" s="3"/>
    </row>
    <row r="63" spans="2:12" ht="15.75">
      <c r="B63" s="3"/>
      <c r="C63" s="3" t="s">
        <v>2348</v>
      </c>
      <c r="D63" s="3"/>
      <c r="E63" s="3"/>
      <c r="F63" s="3"/>
      <c r="G63" s="3"/>
      <c r="H63" s="3"/>
      <c r="I63" s="3"/>
      <c r="J63" s="3"/>
      <c r="K63" s="3"/>
      <c r="L63" s="3"/>
    </row>
    <row r="64" spans="2:12" ht="15.75">
      <c r="B64" s="3"/>
      <c r="C64" s="3"/>
      <c r="D64" s="3"/>
      <c r="E64" s="3"/>
      <c r="F64" s="3"/>
      <c r="G64" s="3"/>
      <c r="H64" s="3"/>
      <c r="I64" s="3"/>
      <c r="J64" s="3"/>
      <c r="K64" s="3"/>
      <c r="L64" s="3"/>
    </row>
    <row r="65" spans="2:12" ht="15.75">
      <c r="B65" s="2635" t="s">
        <v>2349</v>
      </c>
      <c r="C65" s="2636" t="s">
        <v>2351</v>
      </c>
      <c r="D65" s="3"/>
      <c r="E65" s="3"/>
      <c r="F65" s="3"/>
      <c r="G65" s="3"/>
      <c r="H65" s="3"/>
      <c r="I65" s="3"/>
      <c r="J65" s="3"/>
      <c r="K65" s="3"/>
      <c r="L65" s="3"/>
    </row>
    <row r="66" spans="2:12" ht="15.75">
      <c r="B66" s="2635" t="s">
        <v>2350</v>
      </c>
      <c r="C66" s="3" t="s">
        <v>2687</v>
      </c>
      <c r="D66" s="3"/>
      <c r="E66" s="3"/>
      <c r="F66" s="3"/>
      <c r="G66" s="3"/>
      <c r="H66" s="3"/>
      <c r="I66" s="3"/>
      <c r="J66" s="3"/>
      <c r="K66" s="3"/>
      <c r="L66" s="3"/>
    </row>
    <row r="67" spans="2:12" ht="15.75">
      <c r="B67" s="3"/>
      <c r="C67" s="3"/>
      <c r="D67" s="3"/>
      <c r="E67" s="3"/>
      <c r="F67" s="3"/>
      <c r="G67" s="3"/>
      <c r="H67" s="3"/>
      <c r="I67" s="3"/>
      <c r="J67" s="3"/>
      <c r="K67" s="3"/>
      <c r="L67" s="3"/>
    </row>
    <row r="68" spans="2:12" ht="15.75">
      <c r="B68" s="3"/>
      <c r="C68" s="2636" t="s">
        <v>1813</v>
      </c>
      <c r="D68" s="3"/>
      <c r="E68" s="3"/>
      <c r="F68" s="3"/>
      <c r="G68" s="3"/>
      <c r="H68" s="3"/>
      <c r="I68" s="3"/>
      <c r="J68" s="3"/>
      <c r="K68" s="3"/>
      <c r="L68" s="3"/>
    </row>
    <row r="69" spans="2:12" ht="15.75">
      <c r="B69" s="3"/>
      <c r="C69" s="3" t="s">
        <v>2684</v>
      </c>
      <c r="D69" s="3"/>
      <c r="E69" s="3"/>
      <c r="F69" s="3"/>
      <c r="G69" s="3"/>
      <c r="H69" s="3"/>
      <c r="I69" s="3"/>
      <c r="J69" s="3"/>
      <c r="K69" s="3"/>
      <c r="L69" s="3"/>
    </row>
    <row r="70" spans="2:12" ht="15.75">
      <c r="B70" s="3"/>
      <c r="C70" s="3" t="s">
        <v>2685</v>
      </c>
      <c r="D70" s="3"/>
      <c r="E70" s="3"/>
      <c r="F70" s="3"/>
      <c r="G70" s="3"/>
      <c r="H70" s="3"/>
      <c r="I70" s="3"/>
      <c r="J70" s="3"/>
      <c r="K70" s="3"/>
      <c r="L70" s="3"/>
    </row>
    <row r="71" spans="2:12" ht="15.75">
      <c r="B71" s="3"/>
      <c r="C71" s="3"/>
      <c r="D71" s="3"/>
      <c r="E71" s="3"/>
      <c r="F71" s="3"/>
      <c r="G71" s="3"/>
      <c r="H71" s="3"/>
      <c r="I71" s="3"/>
      <c r="J71" s="3"/>
      <c r="K71" s="3"/>
      <c r="L71" s="3"/>
    </row>
    <row r="72" spans="2:12" ht="15.75">
      <c r="B72" s="3"/>
      <c r="C72" s="3" t="s">
        <v>2352</v>
      </c>
      <c r="D72" s="3"/>
      <c r="E72" s="3"/>
      <c r="F72" s="3"/>
      <c r="G72" s="3"/>
      <c r="H72" s="3"/>
      <c r="I72" s="3"/>
      <c r="J72" s="3"/>
      <c r="K72" s="3"/>
      <c r="L72" s="3"/>
    </row>
    <row r="73" spans="2:12" ht="15.75">
      <c r="B73" s="3"/>
      <c r="C73" s="3" t="s">
        <v>2686</v>
      </c>
      <c r="D73" s="3"/>
      <c r="E73" s="3"/>
      <c r="F73" s="3"/>
      <c r="G73" s="3"/>
      <c r="H73" s="3"/>
      <c r="I73" s="3"/>
      <c r="J73" s="3"/>
      <c r="K73" s="3"/>
      <c r="L73" s="3"/>
    </row>
    <row r="74" spans="2:12" ht="15.75">
      <c r="B74" s="3"/>
      <c r="C74" s="3" t="s">
        <v>2353</v>
      </c>
      <c r="D74" s="3"/>
      <c r="E74" s="3"/>
      <c r="F74" s="3"/>
      <c r="G74" s="3"/>
      <c r="H74" s="3"/>
      <c r="I74" s="3"/>
      <c r="J74" s="3"/>
      <c r="K74" s="3"/>
      <c r="L74" s="3"/>
    </row>
    <row r="75" spans="2:12" ht="15.75">
      <c r="B75" s="3"/>
      <c r="C75" s="3"/>
      <c r="D75" s="3"/>
      <c r="E75" s="3"/>
      <c r="F75" s="3"/>
      <c r="G75" s="3"/>
      <c r="H75" s="3"/>
      <c r="I75" s="3"/>
      <c r="J75" s="3"/>
      <c r="K75" s="3"/>
      <c r="L75" s="3"/>
    </row>
    <row r="76" spans="2:12" ht="15.75">
      <c r="B76" s="3"/>
      <c r="C76" s="2629" t="s">
        <v>2618</v>
      </c>
      <c r="D76" s="3"/>
      <c r="E76" s="3"/>
      <c r="F76" s="3"/>
      <c r="G76" s="3"/>
      <c r="H76" s="3"/>
      <c r="I76" s="3"/>
      <c r="J76" s="3"/>
      <c r="K76" s="3"/>
      <c r="L76" s="3"/>
    </row>
    <row r="77" spans="2:12" ht="15.75">
      <c r="B77" s="3"/>
      <c r="C77" s="3"/>
      <c r="D77" s="3"/>
      <c r="E77" s="3"/>
      <c r="F77" s="3"/>
      <c r="G77" s="3"/>
      <c r="H77" s="3"/>
      <c r="I77" s="3"/>
      <c r="J77" s="3"/>
      <c r="K77" s="3"/>
      <c r="L77" s="3"/>
    </row>
    <row r="78" spans="2:12" ht="15.75">
      <c r="B78" s="3"/>
      <c r="C78" s="3"/>
      <c r="D78" s="3"/>
      <c r="E78" s="3"/>
      <c r="F78" s="3"/>
      <c r="G78" s="3"/>
      <c r="H78" s="3"/>
      <c r="I78" s="3"/>
      <c r="J78" s="3"/>
      <c r="K78" s="3"/>
      <c r="L78" s="3"/>
    </row>
  </sheetData>
  <mergeCells count="10">
    <mergeCell ref="V28:V34"/>
    <mergeCell ref="Q9:R12"/>
    <mergeCell ref="V9:V12"/>
    <mergeCell ref="Z9:Z12"/>
    <mergeCell ref="AD9:AD12"/>
    <mergeCell ref="Z23:Z26"/>
    <mergeCell ref="V14:V20"/>
    <mergeCell ref="Z14:Z20"/>
    <mergeCell ref="AD14:AD20"/>
    <mergeCell ref="V23:V2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sheetPr codeName="Sheet92">
    <tabColor theme="9"/>
    <outlinePr summaryBelow="0"/>
    <pageSetUpPr autoPageBreaks="0"/>
  </sheetPr>
  <dimension ref="A1:P78"/>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6" ht="21">
      <c r="A1" s="789" t="s">
        <v>76</v>
      </c>
      <c r="B1" s="789" t="str">
        <f>INDEX(Workstreams[Workstream], MATCH($A1, Workstreams[Code], 0))</f>
        <v>National renewable power generation</v>
      </c>
      <c r="C1" s="789"/>
    </row>
    <row r="2" spans="1:16" s="743" customFormat="1" ht="19.5" customHeight="1">
      <c r="A2" s="10" t="s">
        <v>1731</v>
      </c>
      <c r="B2" s="10" t="str">
        <f>INDEX(Modules[Module], MATCH($A2, Modules[Code], 0))</f>
        <v>Offshore wind</v>
      </c>
      <c r="C2" s="10"/>
    </row>
    <row r="4" spans="1:16" ht="22.5" collapsed="1">
      <c r="A4" s="1171"/>
      <c r="B4" s="1231" t="s">
        <v>1357</v>
      </c>
      <c r="C4" s="1219"/>
      <c r="D4" s="1183"/>
      <c r="E4" s="1184"/>
      <c r="F4" s="1183"/>
      <c r="G4" s="1183"/>
      <c r="H4" s="1183"/>
      <c r="I4" s="1183"/>
      <c r="J4" s="1183"/>
      <c r="K4" s="1183"/>
      <c r="L4" s="1183"/>
      <c r="M4" s="1183"/>
      <c r="N4" s="1183"/>
      <c r="O4" s="1183"/>
      <c r="P4" s="1185"/>
    </row>
    <row r="5" spans="1:16" hidden="1" outlineLevel="1">
      <c r="B5" s="1172"/>
      <c r="C5" s="1173"/>
      <c r="D5" s="1174"/>
      <c r="E5" s="1175"/>
      <c r="F5" s="1174"/>
      <c r="G5" s="1174"/>
      <c r="H5" s="1174"/>
      <c r="I5" s="1174"/>
      <c r="J5" s="1174"/>
      <c r="K5" s="1174"/>
      <c r="L5" s="1174"/>
      <c r="M5" s="1174"/>
      <c r="N5" s="1174"/>
      <c r="O5" s="1174"/>
      <c r="P5" s="1176"/>
    </row>
    <row r="6" spans="1:16" ht="15.75" hidden="1" outlineLevel="1">
      <c r="B6" s="1177"/>
      <c r="C6" s="1174"/>
      <c r="D6" s="922" t="s">
        <v>830</v>
      </c>
      <c r="E6" s="922" t="s">
        <v>1352</v>
      </c>
      <c r="F6" s="1174"/>
      <c r="G6" s="1174"/>
      <c r="H6" s="1174"/>
      <c r="I6" s="1174"/>
      <c r="J6" s="1174"/>
      <c r="K6" s="1174"/>
      <c r="L6" s="1174"/>
      <c r="M6" s="1174"/>
      <c r="N6" s="1174"/>
      <c r="O6" s="1174"/>
      <c r="P6" s="1176"/>
    </row>
    <row r="7" spans="1:16" ht="15.75" hidden="1" outlineLevel="1">
      <c r="B7" s="1177"/>
      <c r="C7" s="1174"/>
      <c r="D7" s="950" t="s">
        <v>1352</v>
      </c>
      <c r="E7" s="950">
        <f>III.a.2.Scenario</f>
        <v>1</v>
      </c>
      <c r="F7" s="1174"/>
      <c r="G7" s="1174"/>
      <c r="H7" s="1174"/>
      <c r="I7" s="1174"/>
      <c r="J7" s="1174"/>
      <c r="K7" s="1174"/>
      <c r="L7" s="1174"/>
      <c r="M7" s="1174"/>
      <c r="N7" s="1174"/>
      <c r="O7" s="1174"/>
      <c r="P7" s="1176"/>
    </row>
    <row r="8" spans="1:16" ht="15.75" hidden="1" outlineLevel="1">
      <c r="B8" s="1178"/>
      <c r="C8" s="1179"/>
      <c r="D8" s="1179"/>
      <c r="E8" s="1179"/>
      <c r="F8" s="1180"/>
      <c r="G8" s="1180"/>
      <c r="H8" s="1180"/>
      <c r="I8" s="1180"/>
      <c r="J8" s="1180"/>
      <c r="K8" s="1180"/>
      <c r="L8" s="1180"/>
      <c r="M8" s="1180"/>
      <c r="N8" s="1180"/>
      <c r="O8" s="1180"/>
      <c r="P8" s="1181"/>
    </row>
    <row r="10" spans="1:16" ht="22.5" collapsed="1">
      <c r="A10" s="1171"/>
      <c r="B10" s="1236" t="s">
        <v>1354</v>
      </c>
      <c r="C10" s="1167"/>
      <c r="D10" s="1167"/>
      <c r="E10" s="1167"/>
      <c r="F10" s="1167"/>
      <c r="G10" s="1167"/>
      <c r="H10" s="1167"/>
      <c r="I10" s="1167"/>
      <c r="J10" s="1167"/>
      <c r="K10" s="1167"/>
      <c r="L10" s="1167"/>
      <c r="M10" s="1167"/>
      <c r="N10" s="1167"/>
      <c r="O10" s="1167"/>
      <c r="P10" s="1168"/>
    </row>
    <row r="11" spans="1:16" hidden="1" outlineLevel="1">
      <c r="B11" s="1157"/>
      <c r="C11" s="864"/>
      <c r="D11" s="864"/>
      <c r="E11" s="864"/>
      <c r="F11" s="864"/>
      <c r="G11" s="864"/>
      <c r="H11" s="864"/>
      <c r="I11" s="864"/>
      <c r="J11" s="864"/>
      <c r="K11" s="864"/>
      <c r="L11" s="864"/>
      <c r="M11" s="864"/>
      <c r="N11" s="864"/>
      <c r="O11" s="864"/>
      <c r="P11" s="1158"/>
    </row>
    <row r="12" spans="1:16" hidden="1" outlineLevel="1">
      <c r="B12" s="1163"/>
      <c r="C12" s="866" t="s">
        <v>1589</v>
      </c>
      <c r="D12" s="864"/>
      <c r="E12" s="867"/>
      <c r="F12" s="864"/>
      <c r="G12" s="864"/>
      <c r="H12" s="864"/>
      <c r="I12" s="864"/>
      <c r="J12" s="864"/>
      <c r="K12" s="864"/>
      <c r="L12" s="864"/>
      <c r="M12" s="864"/>
      <c r="N12" s="864"/>
      <c r="O12" s="867" t="str">
        <f>Preferences.PowerUnits &amp; " per annum, for subsequent period; nameplate capacity"</f>
        <v>GW per annum, for subsequent period; nameplate capacity</v>
      </c>
      <c r="P12" s="1158"/>
    </row>
    <row r="13" spans="1:16" ht="5.25" hidden="1" customHeight="1" outlineLevel="1">
      <c r="B13" s="1163"/>
      <c r="C13" s="864"/>
      <c r="D13" s="864"/>
      <c r="E13" s="864"/>
      <c r="F13" s="864"/>
      <c r="G13" s="864"/>
      <c r="H13" s="864"/>
      <c r="I13" s="864"/>
      <c r="J13" s="864"/>
      <c r="K13" s="864"/>
      <c r="L13" s="864"/>
      <c r="M13" s="864"/>
      <c r="N13" s="864"/>
      <c r="O13" s="864"/>
      <c r="P13" s="1158"/>
    </row>
    <row r="14" spans="1:16" ht="15.75" hidden="1" outlineLevel="1">
      <c r="B14" s="1159"/>
      <c r="C14" s="766" t="s">
        <v>1352</v>
      </c>
      <c r="D14" s="766" t="s">
        <v>79</v>
      </c>
      <c r="E14" s="766" t="s">
        <v>442</v>
      </c>
      <c r="F14" s="923">
        <v>2007</v>
      </c>
      <c r="G14" s="924">
        <v>2010</v>
      </c>
      <c r="H14" s="923">
        <v>2015</v>
      </c>
      <c r="I14" s="923">
        <v>2020</v>
      </c>
      <c r="J14" s="923">
        <v>2025</v>
      </c>
      <c r="K14" s="923">
        <v>2030</v>
      </c>
      <c r="L14" s="923">
        <v>2035</v>
      </c>
      <c r="M14" s="923">
        <v>2040</v>
      </c>
      <c r="N14" s="923">
        <v>2045</v>
      </c>
      <c r="O14" s="923">
        <v>2050</v>
      </c>
      <c r="P14" s="1158"/>
    </row>
    <row r="15" spans="1:16" ht="15.75" hidden="1" outlineLevel="1">
      <c r="B15" s="1159"/>
      <c r="C15" s="831">
        <v>1</v>
      </c>
      <c r="D15" s="832"/>
      <c r="E15" s="833"/>
      <c r="F15" s="1272">
        <f>(Unit.GW)*0.316666666666667</f>
        <v>0.31666666666666698</v>
      </c>
      <c r="G15" s="907">
        <f>(Unit.GW)*0.5</f>
        <v>0.5</v>
      </c>
      <c r="H15" s="1272">
        <f>(Unit.GW)*0.5</f>
        <v>0.5</v>
      </c>
      <c r="I15" s="1272">
        <f>(Unit.GW)*0.4</f>
        <v>0.4</v>
      </c>
      <c r="J15" s="1272">
        <f>(Unit.GW)*0</f>
        <v>0</v>
      </c>
      <c r="K15" s="1272">
        <f>(Unit.GW)*0</f>
        <v>0</v>
      </c>
      <c r="L15" s="1272">
        <f>(Unit.GW)*0</f>
        <v>0</v>
      </c>
      <c r="M15" s="1272">
        <f>(Unit.GW)*0</f>
        <v>0</v>
      </c>
      <c r="N15" s="1272">
        <f>(Unit.GW)*0</f>
        <v>0</v>
      </c>
      <c r="O15" s="847"/>
      <c r="P15" s="1158"/>
    </row>
    <row r="16" spans="1:16" ht="15.75" hidden="1" outlineLevel="1">
      <c r="B16" s="1159"/>
      <c r="C16" s="831">
        <v>2</v>
      </c>
      <c r="D16" s="832"/>
      <c r="E16" s="832"/>
      <c r="F16" s="1272">
        <f>(Unit.GW)*0.316666666666667</f>
        <v>0.31666666666666698</v>
      </c>
      <c r="G16" s="1772">
        <f>(Unit.GW)*1.168</f>
        <v>1.1679999999999999</v>
      </c>
      <c r="H16" s="1771">
        <f>(Unit.GW)*1.76</f>
        <v>1.76</v>
      </c>
      <c r="I16" s="1771">
        <f t="shared" ref="I16:N16" si="0">(Unit.GW)*3</f>
        <v>3</v>
      </c>
      <c r="J16" s="1771">
        <f t="shared" si="0"/>
        <v>3</v>
      </c>
      <c r="K16" s="1771">
        <f t="shared" si="0"/>
        <v>3</v>
      </c>
      <c r="L16" s="1771">
        <f t="shared" si="0"/>
        <v>3</v>
      </c>
      <c r="M16" s="1771">
        <f t="shared" si="0"/>
        <v>3</v>
      </c>
      <c r="N16" s="1771">
        <f t="shared" si="0"/>
        <v>3</v>
      </c>
      <c r="O16" s="1091"/>
      <c r="P16" s="1158"/>
    </row>
    <row r="17" spans="1:16" ht="15.75" hidden="1" outlineLevel="1">
      <c r="B17" s="1159"/>
      <c r="C17" s="831">
        <v>3</v>
      </c>
      <c r="D17" s="832"/>
      <c r="E17" s="832"/>
      <c r="F17" s="1272">
        <f>(Unit.GW)*0.316666666666667</f>
        <v>0.31666666666666698</v>
      </c>
      <c r="G17" s="1772">
        <f>(Unit.GW)*1.168</f>
        <v>1.1679999999999999</v>
      </c>
      <c r="H17" s="1771">
        <f>(Unit.GW)*3.48</f>
        <v>3.48</v>
      </c>
      <c r="I17" s="1771">
        <f>(Unit.GW)*4.2</f>
        <v>4.2</v>
      </c>
      <c r="J17" s="1771">
        <f>(Unit.GW)*5</f>
        <v>5</v>
      </c>
      <c r="K17" s="1771">
        <f>(Unit.GW)*5</f>
        <v>5</v>
      </c>
      <c r="L17" s="1771">
        <f>(Unit.GW)*5</f>
        <v>5</v>
      </c>
      <c r="M17" s="1771">
        <f>(Unit.GW)*5</f>
        <v>5</v>
      </c>
      <c r="N17" s="1771">
        <f>(Unit.GW)*5</f>
        <v>5</v>
      </c>
      <c r="O17" s="1091"/>
      <c r="P17" s="1158"/>
    </row>
    <row r="18" spans="1:16" ht="15.75" hidden="1" outlineLevel="1">
      <c r="B18" s="1159"/>
      <c r="C18" s="769">
        <v>4</v>
      </c>
      <c r="D18" s="770"/>
      <c r="E18" s="770"/>
      <c r="F18" s="2256">
        <f>(Unit.GW)*0.316666666666667</f>
        <v>0.31666666666666698</v>
      </c>
      <c r="G18" s="1774">
        <f>(Unit.GW)*1.168</f>
        <v>1.1679999999999999</v>
      </c>
      <c r="H18" s="1773">
        <f>(Unit.GW)*5.6</f>
        <v>5.6</v>
      </c>
      <c r="I18" s="1773">
        <f>(Unit.GW)*6.2</f>
        <v>6.2</v>
      </c>
      <c r="J18" s="1773">
        <f>(Unit.GW)*7</f>
        <v>7</v>
      </c>
      <c r="K18" s="1773">
        <f>(Unit.GW)*7</f>
        <v>7</v>
      </c>
      <c r="L18" s="1773">
        <f>(Unit.GW)*7</f>
        <v>7</v>
      </c>
      <c r="M18" s="1773">
        <f>(Unit.GW)*7</f>
        <v>7</v>
      </c>
      <c r="N18" s="1773">
        <f>(Unit.GW)*7</f>
        <v>7</v>
      </c>
      <c r="O18" s="859"/>
      <c r="P18" s="1158"/>
    </row>
    <row r="19" spans="1:16" hidden="1" outlineLevel="1">
      <c r="B19" s="1163"/>
      <c r="C19" s="864"/>
      <c r="D19" s="868"/>
      <c r="E19" s="864"/>
      <c r="F19" s="864"/>
      <c r="G19" s="864"/>
      <c r="H19" s="864"/>
      <c r="I19" s="864"/>
      <c r="J19" s="864"/>
      <c r="K19" s="864"/>
      <c r="L19" s="864"/>
      <c r="M19" s="864"/>
      <c r="N19" s="864"/>
      <c r="O19" s="864"/>
      <c r="P19" s="1158"/>
    </row>
    <row r="20" spans="1:16" hidden="1" outlineLevel="1">
      <c r="B20" s="1163"/>
      <c r="C20" s="866" t="s">
        <v>1590</v>
      </c>
      <c r="D20" s="864"/>
      <c r="E20" s="867"/>
      <c r="F20" s="864"/>
      <c r="G20" s="864"/>
      <c r="H20" s="864"/>
      <c r="I20" s="864"/>
      <c r="J20" s="864"/>
      <c r="K20" s="864"/>
      <c r="L20" s="864"/>
      <c r="M20" s="864"/>
      <c r="N20" s="864"/>
      <c r="O20" s="867" t="str">
        <f>Preferences.PowerUnits &amp; " per annum, average, for subsequent period; nameplate capacity"</f>
        <v>GW per annum, average, for subsequent period; nameplate capacity</v>
      </c>
      <c r="P20" s="1158"/>
    </row>
    <row r="21" spans="1:16" ht="5.25" hidden="1" customHeight="1" outlineLevel="1">
      <c r="B21" s="1163"/>
      <c r="C21" s="864"/>
      <c r="D21" s="864"/>
      <c r="E21" s="864"/>
      <c r="F21" s="864"/>
      <c r="G21" s="864"/>
      <c r="H21" s="864"/>
      <c r="I21" s="864"/>
      <c r="J21" s="864"/>
      <c r="K21" s="864"/>
      <c r="L21" s="864"/>
      <c r="M21" s="864"/>
      <c r="N21" s="864"/>
      <c r="O21" s="864"/>
      <c r="P21" s="1158"/>
    </row>
    <row r="22" spans="1:16" ht="15.75" hidden="1" outlineLevel="1">
      <c r="B22" s="1159"/>
      <c r="C22" s="766" t="s">
        <v>1352</v>
      </c>
      <c r="D22" s="766" t="s">
        <v>79</v>
      </c>
      <c r="E22" s="766" t="s">
        <v>442</v>
      </c>
      <c r="F22" s="923">
        <v>2007</v>
      </c>
      <c r="G22" s="924">
        <v>2010</v>
      </c>
      <c r="H22" s="923">
        <v>2015</v>
      </c>
      <c r="I22" s="923">
        <v>2020</v>
      </c>
      <c r="J22" s="923">
        <v>2025</v>
      </c>
      <c r="K22" s="923">
        <v>2030</v>
      </c>
      <c r="L22" s="923">
        <v>2035</v>
      </c>
      <c r="M22" s="923">
        <v>2040</v>
      </c>
      <c r="N22" s="923">
        <v>2045</v>
      </c>
      <c r="O22" s="923">
        <v>2050</v>
      </c>
      <c r="P22" s="1158"/>
    </row>
    <row r="23" spans="1:16" ht="15.75" hidden="1" outlineLevel="1">
      <c r="B23" s="1159"/>
      <c r="C23" s="831">
        <v>1</v>
      </c>
      <c r="D23" s="832"/>
      <c r="E23" s="833"/>
      <c r="F23" s="1272">
        <f t="shared" ref="F23:H26" si="1">(Unit.GW)*0</f>
        <v>0</v>
      </c>
      <c r="G23" s="907">
        <f t="shared" si="1"/>
        <v>0</v>
      </c>
      <c r="H23" s="1272">
        <f t="shared" si="1"/>
        <v>0</v>
      </c>
      <c r="I23" s="1272">
        <f>(Unit.GW)*-0.03</f>
        <v>-0.03</v>
      </c>
      <c r="J23" s="1272">
        <f>(Unit.GW)*-0.226</f>
        <v>-0.22600000000000001</v>
      </c>
      <c r="K23" s="1272">
        <f t="shared" ref="K23:N26" si="2">-G15</f>
        <v>-0.5</v>
      </c>
      <c r="L23" s="1272">
        <f t="shared" si="2"/>
        <v>-0.5</v>
      </c>
      <c r="M23" s="1272">
        <f t="shared" si="2"/>
        <v>-0.4</v>
      </c>
      <c r="N23" s="1272">
        <f t="shared" si="2"/>
        <v>0</v>
      </c>
      <c r="O23" s="847"/>
      <c r="P23" s="1158"/>
    </row>
    <row r="24" spans="1:16" ht="15.75" hidden="1" outlineLevel="1">
      <c r="B24" s="1159"/>
      <c r="C24" s="831">
        <v>2</v>
      </c>
      <c r="D24" s="832"/>
      <c r="E24" s="832"/>
      <c r="F24" s="1272">
        <f t="shared" si="1"/>
        <v>0</v>
      </c>
      <c r="G24" s="1772">
        <f t="shared" si="1"/>
        <v>0</v>
      </c>
      <c r="H24" s="1771">
        <f t="shared" si="1"/>
        <v>0</v>
      </c>
      <c r="I24" s="1771">
        <f>(Unit.GW)*-0.03</f>
        <v>-0.03</v>
      </c>
      <c r="J24" s="1771">
        <f>(Unit.GW)*-0.226</f>
        <v>-0.22600000000000001</v>
      </c>
      <c r="K24" s="1771">
        <f t="shared" si="2"/>
        <v>-1.1679999999999999</v>
      </c>
      <c r="L24" s="1771">
        <f t="shared" si="2"/>
        <v>-1.76</v>
      </c>
      <c r="M24" s="1771">
        <f t="shared" si="2"/>
        <v>-3</v>
      </c>
      <c r="N24" s="1771">
        <f t="shared" si="2"/>
        <v>-3</v>
      </c>
      <c r="O24" s="1091"/>
      <c r="P24" s="1158"/>
    </row>
    <row r="25" spans="1:16" ht="15.75" hidden="1" outlineLevel="1">
      <c r="B25" s="1159"/>
      <c r="C25" s="831">
        <v>3</v>
      </c>
      <c r="D25" s="832"/>
      <c r="E25" s="832"/>
      <c r="F25" s="1272">
        <f t="shared" si="1"/>
        <v>0</v>
      </c>
      <c r="G25" s="1772">
        <f t="shared" si="1"/>
        <v>0</v>
      </c>
      <c r="H25" s="1771">
        <f t="shared" si="1"/>
        <v>0</v>
      </c>
      <c r="I25" s="1771">
        <f>(Unit.GW)*-0.03</f>
        <v>-0.03</v>
      </c>
      <c r="J25" s="1771">
        <f>(Unit.GW)*-0.226</f>
        <v>-0.22600000000000001</v>
      </c>
      <c r="K25" s="1771">
        <f t="shared" si="2"/>
        <v>-1.1679999999999999</v>
      </c>
      <c r="L25" s="1771">
        <f t="shared" si="2"/>
        <v>-3.48</v>
      </c>
      <c r="M25" s="1771">
        <f t="shared" si="2"/>
        <v>-4.2</v>
      </c>
      <c r="N25" s="1771">
        <f t="shared" si="2"/>
        <v>-5</v>
      </c>
      <c r="O25" s="1091"/>
      <c r="P25" s="1158"/>
    </row>
    <row r="26" spans="1:16" ht="15.75" hidden="1" outlineLevel="1">
      <c r="B26" s="1159"/>
      <c r="C26" s="769">
        <v>4</v>
      </c>
      <c r="D26" s="770"/>
      <c r="E26" s="770"/>
      <c r="F26" s="2256">
        <f t="shared" si="1"/>
        <v>0</v>
      </c>
      <c r="G26" s="1774">
        <f t="shared" si="1"/>
        <v>0</v>
      </c>
      <c r="H26" s="1773">
        <f t="shared" si="1"/>
        <v>0</v>
      </c>
      <c r="I26" s="1773">
        <f>(Unit.GW)*-0.03</f>
        <v>-0.03</v>
      </c>
      <c r="J26" s="1773">
        <f>(Unit.GW)*-0.226</f>
        <v>-0.22600000000000001</v>
      </c>
      <c r="K26" s="1773">
        <f t="shared" si="2"/>
        <v>-1.1679999999999999</v>
      </c>
      <c r="L26" s="1773">
        <f t="shared" si="2"/>
        <v>-5.6</v>
      </c>
      <c r="M26" s="1773">
        <f t="shared" si="2"/>
        <v>-6.2</v>
      </c>
      <c r="N26" s="1773">
        <f t="shared" si="2"/>
        <v>-7</v>
      </c>
      <c r="O26" s="859"/>
      <c r="P26" s="1158"/>
    </row>
    <row r="27" spans="1:16" hidden="1" outlineLevel="1">
      <c r="B27" s="1163"/>
      <c r="C27" s="864"/>
      <c r="D27" s="868"/>
      <c r="E27" s="864"/>
      <c r="F27" s="864"/>
      <c r="G27" s="864"/>
      <c r="H27" s="864"/>
      <c r="I27" s="864"/>
      <c r="J27" s="864"/>
      <c r="K27" s="864"/>
      <c r="L27" s="864"/>
      <c r="M27" s="864"/>
      <c r="N27" s="864"/>
      <c r="O27" s="864"/>
      <c r="P27" s="1158"/>
    </row>
    <row r="28" spans="1:16" hidden="1" outlineLevel="1">
      <c r="B28" s="1223"/>
      <c r="C28" s="1165"/>
      <c r="D28" s="1224"/>
      <c r="E28" s="1165"/>
      <c r="F28" s="1165"/>
      <c r="G28" s="1165"/>
      <c r="H28" s="1165"/>
      <c r="I28" s="1165"/>
      <c r="J28" s="1165"/>
      <c r="K28" s="1165"/>
      <c r="L28" s="1165"/>
      <c r="M28" s="1165"/>
      <c r="N28" s="1165"/>
      <c r="O28" s="1165"/>
      <c r="P28" s="1166"/>
    </row>
    <row r="30" spans="1:16" s="743" customFormat="1" ht="22.5" collapsed="1">
      <c r="A30" s="1170"/>
      <c r="B30" s="1236" t="s">
        <v>786</v>
      </c>
      <c r="C30" s="1167"/>
      <c r="D30" s="1167"/>
      <c r="E30" s="1167"/>
      <c r="F30" s="1167"/>
      <c r="G30" s="1167"/>
      <c r="H30" s="1167"/>
      <c r="I30" s="1167"/>
      <c r="J30" s="1167"/>
      <c r="K30" s="1167"/>
      <c r="L30" s="1167"/>
      <c r="M30" s="1167"/>
      <c r="N30" s="1167"/>
      <c r="O30" s="1167"/>
      <c r="P30" s="1168"/>
    </row>
    <row r="31" spans="1:16" hidden="1" outlineLevel="1">
      <c r="B31" s="1157"/>
      <c r="C31" s="864"/>
      <c r="D31" s="864"/>
      <c r="E31" s="864"/>
      <c r="F31" s="864"/>
      <c r="G31" s="864"/>
      <c r="H31" s="864"/>
      <c r="I31" s="864"/>
      <c r="J31" s="864"/>
      <c r="K31" s="864"/>
      <c r="L31" s="864"/>
      <c r="M31" s="864"/>
      <c r="N31" s="864"/>
      <c r="O31" s="864"/>
      <c r="P31" s="1158"/>
    </row>
    <row r="32" spans="1:16" hidden="1" outlineLevel="1">
      <c r="B32" s="1157"/>
      <c r="C32" s="866" t="s">
        <v>1586</v>
      </c>
      <c r="D32" s="864"/>
      <c r="E32" s="867"/>
      <c r="F32" s="864"/>
      <c r="G32" s="864"/>
      <c r="H32" s="864"/>
      <c r="I32" s="864"/>
      <c r="J32" s="864"/>
      <c r="K32" s="864"/>
      <c r="L32" s="864"/>
      <c r="M32" s="864"/>
      <c r="N32" s="864"/>
      <c r="O32" s="867" t="str">
        <f>Preferences.PowerUnits</f>
        <v>GW</v>
      </c>
      <c r="P32" s="1158"/>
    </row>
    <row r="33" spans="2:16" ht="6" hidden="1" customHeight="1" outlineLevel="1">
      <c r="B33" s="1157"/>
      <c r="C33" s="864"/>
      <c r="D33" s="864"/>
      <c r="E33" s="864"/>
      <c r="F33" s="864"/>
      <c r="G33" s="864"/>
      <c r="H33" s="864"/>
      <c r="I33" s="864"/>
      <c r="J33" s="864"/>
      <c r="K33" s="864"/>
      <c r="L33" s="864"/>
      <c r="M33" s="864"/>
      <c r="N33" s="864"/>
      <c r="O33" s="864"/>
      <c r="P33" s="1158"/>
    </row>
    <row r="34" spans="2:16" ht="15.75" hidden="1" outlineLevel="1">
      <c r="B34" s="1159"/>
      <c r="C34" s="766" t="s">
        <v>715</v>
      </c>
      <c r="D34" s="766" t="s">
        <v>731</v>
      </c>
      <c r="E34" s="766" t="s">
        <v>442</v>
      </c>
      <c r="F34" s="923">
        <v>2007</v>
      </c>
      <c r="G34" s="924">
        <v>2010</v>
      </c>
      <c r="H34" s="923">
        <v>2015</v>
      </c>
      <c r="I34" s="923">
        <v>2020</v>
      </c>
      <c r="J34" s="923">
        <v>2025</v>
      </c>
      <c r="K34" s="923">
        <v>2030</v>
      </c>
      <c r="L34" s="923">
        <v>2035</v>
      </c>
      <c r="M34" s="923">
        <v>2040</v>
      </c>
      <c r="N34" s="923">
        <v>2045</v>
      </c>
      <c r="O34" s="923">
        <v>2050</v>
      </c>
      <c r="P34" s="1158"/>
    </row>
    <row r="35" spans="2:16" s="743" customFormat="1" ht="15.75" hidden="1" outlineLevel="1">
      <c r="B35" s="1161"/>
      <c r="C35" s="899" t="s">
        <v>8</v>
      </c>
      <c r="D35" s="900" t="s">
        <v>892</v>
      </c>
      <c r="E35" s="900" t="s">
        <v>109</v>
      </c>
      <c r="F35" s="901">
        <f>0.3938*Unit.GW</f>
        <v>0.39379999999999998</v>
      </c>
      <c r="G35" s="918"/>
      <c r="H35" s="901"/>
      <c r="I35" s="901"/>
      <c r="J35" s="901"/>
      <c r="K35" s="901"/>
      <c r="L35" s="901"/>
      <c r="M35" s="901"/>
      <c r="N35" s="901"/>
      <c r="O35" s="901"/>
      <c r="P35" s="1162"/>
    </row>
    <row r="36" spans="2:16" hidden="1" outlineLevel="1">
      <c r="B36" s="1163"/>
      <c r="C36" s="864"/>
      <c r="D36" s="868"/>
      <c r="E36" s="864"/>
      <c r="F36" s="864"/>
      <c r="G36" s="864"/>
      <c r="H36" s="864"/>
      <c r="I36" s="864"/>
      <c r="J36" s="864"/>
      <c r="K36" s="864"/>
      <c r="L36" s="864"/>
      <c r="M36" s="864"/>
      <c r="N36" s="864"/>
      <c r="O36" s="864"/>
      <c r="P36" s="1158"/>
    </row>
    <row r="37" spans="2:16" hidden="1" outlineLevel="1">
      <c r="B37" s="1157"/>
      <c r="C37" s="866" t="s">
        <v>805</v>
      </c>
      <c r="D37" s="864"/>
      <c r="E37" s="864"/>
      <c r="F37" s="864"/>
      <c r="G37" s="867"/>
      <c r="H37" s="864"/>
      <c r="I37" s="864"/>
      <c r="J37" s="864"/>
      <c r="K37" s="864"/>
      <c r="L37" s="864"/>
      <c r="M37" s="864"/>
      <c r="N37" s="864"/>
      <c r="O37" s="864"/>
      <c r="P37" s="1158"/>
    </row>
    <row r="38" spans="2:16" ht="6" hidden="1" customHeight="1" outlineLevel="1">
      <c r="B38" s="1157"/>
      <c r="C38" s="864"/>
      <c r="D38" s="864"/>
      <c r="E38" s="864"/>
      <c r="F38" s="864"/>
      <c r="G38" s="864"/>
      <c r="H38" s="864"/>
      <c r="I38" s="864"/>
      <c r="J38" s="864"/>
      <c r="K38" s="864"/>
      <c r="L38" s="864"/>
      <c r="M38" s="864"/>
      <c r="N38" s="864"/>
      <c r="O38" s="864"/>
      <c r="P38" s="1158"/>
    </row>
    <row r="39" spans="2:16" ht="15.75" hidden="1" outlineLevel="1">
      <c r="B39" s="1159"/>
      <c r="C39" s="766" t="s">
        <v>715</v>
      </c>
      <c r="D39" s="766" t="s">
        <v>731</v>
      </c>
      <c r="E39" s="766" t="s">
        <v>442</v>
      </c>
      <c r="F39" s="923">
        <v>2007</v>
      </c>
      <c r="G39" s="924">
        <v>2010</v>
      </c>
      <c r="H39" s="923">
        <v>2015</v>
      </c>
      <c r="I39" s="923">
        <v>2020</v>
      </c>
      <c r="J39" s="923">
        <v>2025</v>
      </c>
      <c r="K39" s="923">
        <v>2030</v>
      </c>
      <c r="L39" s="923">
        <v>2035</v>
      </c>
      <c r="M39" s="923">
        <v>2040</v>
      </c>
      <c r="N39" s="923">
        <v>2045</v>
      </c>
      <c r="O39" s="923">
        <v>2050</v>
      </c>
      <c r="P39" s="1158"/>
    </row>
    <row r="40" spans="2:16" ht="15.75" hidden="1" outlineLevel="1">
      <c r="B40" s="1159"/>
      <c r="C40" s="899" t="s">
        <v>8</v>
      </c>
      <c r="D40" s="900" t="s">
        <v>892</v>
      </c>
      <c r="E40" s="900"/>
      <c r="F40" s="920">
        <v>0.28299999999999997</v>
      </c>
      <c r="G40" s="917">
        <v>0.35</v>
      </c>
      <c r="H40" s="916">
        <v>0.35</v>
      </c>
      <c r="I40" s="916">
        <v>0.35</v>
      </c>
      <c r="J40" s="916">
        <v>0.35</v>
      </c>
      <c r="K40" s="916">
        <v>0.35</v>
      </c>
      <c r="L40" s="916">
        <v>0.35</v>
      </c>
      <c r="M40" s="916">
        <v>0.35</v>
      </c>
      <c r="N40" s="916">
        <v>0.35</v>
      </c>
      <c r="O40" s="916">
        <v>0.35</v>
      </c>
      <c r="P40" s="1158"/>
    </row>
    <row r="41" spans="2:16" hidden="1" outlineLevel="1">
      <c r="B41" s="1157"/>
      <c r="C41" s="864"/>
      <c r="D41" s="864"/>
      <c r="E41" s="864"/>
      <c r="F41" s="864"/>
      <c r="G41" s="864"/>
      <c r="H41" s="864"/>
      <c r="I41" s="864"/>
      <c r="J41" s="864"/>
      <c r="K41" s="864"/>
      <c r="L41" s="864"/>
      <c r="M41" s="864"/>
      <c r="N41" s="864"/>
      <c r="O41" s="864"/>
      <c r="P41" s="1158"/>
    </row>
    <row r="42" spans="2:16" hidden="1" outlineLevel="1">
      <c r="B42" s="1157"/>
      <c r="C42" s="864" t="s">
        <v>442</v>
      </c>
      <c r="D42" s="864"/>
      <c r="E42" s="864"/>
      <c r="F42" s="864"/>
      <c r="G42" s="864"/>
      <c r="H42" s="864"/>
      <c r="I42" s="864"/>
      <c r="J42" s="864"/>
      <c r="K42" s="864"/>
      <c r="L42" s="864"/>
      <c r="M42" s="864"/>
      <c r="N42" s="864"/>
      <c r="O42" s="864"/>
      <c r="P42" s="1158"/>
    </row>
    <row r="43" spans="2:16" hidden="1" outlineLevel="1">
      <c r="B43" s="1163"/>
      <c r="C43" s="1250" t="s">
        <v>109</v>
      </c>
      <c r="D43" s="864" t="s">
        <v>888</v>
      </c>
      <c r="E43" s="864"/>
      <c r="F43" s="864"/>
      <c r="G43" s="864"/>
      <c r="H43" s="864"/>
      <c r="I43" s="864"/>
      <c r="J43" s="864"/>
      <c r="K43" s="864"/>
      <c r="L43" s="864"/>
      <c r="M43" s="864"/>
      <c r="N43" s="864"/>
      <c r="O43" s="864"/>
      <c r="P43" s="1158"/>
    </row>
    <row r="44" spans="2:16" hidden="1" outlineLevel="1">
      <c r="B44" s="1163"/>
      <c r="C44" s="1250"/>
      <c r="D44" s="864" t="s">
        <v>894</v>
      </c>
      <c r="E44" s="864"/>
      <c r="F44" s="864"/>
      <c r="G44" s="864"/>
      <c r="H44" s="864"/>
      <c r="I44" s="864"/>
      <c r="J44" s="864"/>
      <c r="K44" s="864"/>
      <c r="L44" s="864"/>
      <c r="M44" s="864"/>
      <c r="N44" s="864"/>
      <c r="O44" s="864"/>
      <c r="P44" s="1158"/>
    </row>
    <row r="45" spans="2:16" hidden="1" outlineLevel="1">
      <c r="B45" s="1163"/>
      <c r="C45" s="1250"/>
      <c r="D45" s="864" t="s">
        <v>889</v>
      </c>
      <c r="E45" s="864"/>
      <c r="F45" s="864"/>
      <c r="G45" s="864"/>
      <c r="H45" s="864"/>
      <c r="I45" s="864"/>
      <c r="J45" s="864"/>
      <c r="K45" s="864"/>
      <c r="L45" s="864"/>
      <c r="M45" s="864"/>
      <c r="N45" s="864"/>
      <c r="O45" s="864"/>
      <c r="P45" s="1158"/>
    </row>
    <row r="46" spans="2:16" s="715" customFormat="1" hidden="1" outlineLevel="1">
      <c r="B46" s="1225"/>
      <c r="C46" s="1226" t="s">
        <v>117</v>
      </c>
      <c r="D46" s="1227" t="s">
        <v>890</v>
      </c>
      <c r="E46" s="1228"/>
      <c r="F46" s="1228"/>
      <c r="G46" s="1228"/>
      <c r="H46" s="1228"/>
      <c r="I46" s="1228"/>
      <c r="J46" s="1228"/>
      <c r="K46" s="1228"/>
      <c r="L46" s="1228"/>
      <c r="M46" s="1228"/>
      <c r="N46" s="1228"/>
      <c r="O46" s="1228"/>
      <c r="P46" s="1229"/>
    </row>
    <row r="47" spans="2:16" s="715" customFormat="1" hidden="1" outlineLevel="1">
      <c r="B47" s="1225"/>
      <c r="C47" s="1251"/>
      <c r="D47" s="1227" t="s">
        <v>895</v>
      </c>
      <c r="E47" s="1228"/>
      <c r="F47" s="1228"/>
      <c r="G47" s="1228"/>
      <c r="H47" s="1228"/>
      <c r="I47" s="1228"/>
      <c r="J47" s="1228"/>
      <c r="K47" s="1228"/>
      <c r="L47" s="1228"/>
      <c r="M47" s="1228"/>
      <c r="N47" s="1228"/>
      <c r="O47" s="1228"/>
      <c r="P47" s="1229"/>
    </row>
    <row r="48" spans="2:16" s="715" customFormat="1" hidden="1" outlineLevel="1">
      <c r="B48" s="1225"/>
      <c r="C48" s="1251"/>
      <c r="D48" s="1227" t="s">
        <v>1585</v>
      </c>
      <c r="E48" s="1228"/>
      <c r="F48" s="1228"/>
      <c r="G48" s="1228"/>
      <c r="H48" s="1228"/>
      <c r="I48" s="1228"/>
      <c r="J48" s="1228"/>
      <c r="K48" s="1228"/>
      <c r="L48" s="1228"/>
      <c r="M48" s="1228"/>
      <c r="N48" s="1228"/>
      <c r="O48" s="1228"/>
      <c r="P48" s="1229"/>
    </row>
    <row r="49" spans="1:16" hidden="1" outlineLevel="1">
      <c r="B49" s="1164"/>
      <c r="C49" s="1165"/>
      <c r="D49" s="1165"/>
      <c r="E49" s="1165"/>
      <c r="F49" s="1165"/>
      <c r="G49" s="1165"/>
      <c r="H49" s="1165"/>
      <c r="I49" s="1165"/>
      <c r="J49" s="1165"/>
      <c r="K49" s="1165"/>
      <c r="L49" s="1165"/>
      <c r="M49" s="1165"/>
      <c r="N49" s="1165"/>
      <c r="O49" s="1165"/>
      <c r="P49" s="1166"/>
    </row>
    <row r="51" spans="1:16" ht="22.5" collapsed="1">
      <c r="A51" s="1171"/>
      <c r="B51" s="1236" t="s">
        <v>817</v>
      </c>
      <c r="C51" s="1167"/>
      <c r="D51" s="1167"/>
      <c r="E51" s="1167"/>
      <c r="F51" s="1167"/>
      <c r="G51" s="1167"/>
      <c r="H51" s="1167"/>
      <c r="I51" s="1167"/>
      <c r="J51" s="1167"/>
      <c r="K51" s="1167"/>
      <c r="L51" s="1167"/>
      <c r="M51" s="1167"/>
      <c r="N51" s="1167"/>
      <c r="O51" s="1167"/>
      <c r="P51" s="1168"/>
    </row>
    <row r="52" spans="1:16" hidden="1" outlineLevel="1">
      <c r="B52" s="1157"/>
      <c r="C52" s="864"/>
      <c r="D52" s="864"/>
      <c r="E52" s="864"/>
      <c r="F52" s="864"/>
      <c r="G52" s="864"/>
      <c r="H52" s="864"/>
      <c r="I52" s="864"/>
      <c r="J52" s="864"/>
      <c r="K52" s="864"/>
      <c r="L52" s="864"/>
      <c r="M52" s="864"/>
      <c r="N52" s="864"/>
      <c r="O52" s="864"/>
      <c r="P52" s="1158"/>
    </row>
    <row r="53" spans="1:16" hidden="1" outlineLevel="1">
      <c r="B53" s="1157"/>
      <c r="C53" s="866" t="s">
        <v>896</v>
      </c>
      <c r="D53" s="864"/>
      <c r="E53" s="867"/>
      <c r="F53" s="864"/>
      <c r="G53" s="864"/>
      <c r="H53" s="864"/>
      <c r="I53" s="864"/>
      <c r="J53" s="864"/>
      <c r="K53" s="864"/>
      <c r="L53" s="864"/>
      <c r="M53" s="864"/>
      <c r="N53" s="864"/>
      <c r="O53" s="867" t="str">
        <f>Preferences.PowerUnits</f>
        <v>GW</v>
      </c>
      <c r="P53" s="1158"/>
    </row>
    <row r="54" spans="1:16" ht="5.25" hidden="1" customHeight="1" outlineLevel="1">
      <c r="B54" s="1157"/>
      <c r="C54" s="864"/>
      <c r="D54" s="864"/>
      <c r="E54" s="864"/>
      <c r="F54" s="864"/>
      <c r="G54" s="864"/>
      <c r="H54" s="864"/>
      <c r="I54" s="864"/>
      <c r="J54" s="864"/>
      <c r="K54" s="864"/>
      <c r="L54" s="864"/>
      <c r="M54" s="864"/>
      <c r="N54" s="864"/>
      <c r="O54" s="864"/>
      <c r="P54" s="1158"/>
    </row>
    <row r="55" spans="1:16" ht="15.75" hidden="1" outlineLevel="1">
      <c r="B55" s="1159"/>
      <c r="C55" s="766" t="s">
        <v>715</v>
      </c>
      <c r="D55" s="766" t="s">
        <v>79</v>
      </c>
      <c r="E55" s="766" t="s">
        <v>442</v>
      </c>
      <c r="F55" s="923">
        <v>2007</v>
      </c>
      <c r="G55" s="924">
        <v>2010</v>
      </c>
      <c r="H55" s="923">
        <v>2015</v>
      </c>
      <c r="I55" s="923">
        <v>2020</v>
      </c>
      <c r="J55" s="923">
        <v>2025</v>
      </c>
      <c r="K55" s="923">
        <v>2030</v>
      </c>
      <c r="L55" s="923">
        <v>2035</v>
      </c>
      <c r="M55" s="923">
        <v>2040</v>
      </c>
      <c r="N55" s="923">
        <v>2045</v>
      </c>
      <c r="O55" s="923">
        <v>2050</v>
      </c>
      <c r="P55" s="1158"/>
    </row>
    <row r="56" spans="1:16" ht="15.75" hidden="1" outlineLevel="1">
      <c r="B56" s="1159"/>
      <c r="C56" s="769" t="s">
        <v>8</v>
      </c>
      <c r="D56" s="770" t="s">
        <v>892</v>
      </c>
      <c r="E56" s="770"/>
      <c r="F56" s="782">
        <f>F$35</f>
        <v>0.39379999999999998</v>
      </c>
      <c r="G56" s="858">
        <f t="shared" ref="G56:O56" si="3">F56+(G$55-F$55)*(INDEX(F$15:F$18, MATCH($E$7, $C$15:$C$18, 0))+INDEX(F$23:F$26, MATCH($E$7, $C$23:$C$26, 0)))</f>
        <v>1.343800000000001</v>
      </c>
      <c r="H56" s="859">
        <f t="shared" si="3"/>
        <v>3.8438000000000008</v>
      </c>
      <c r="I56" s="859">
        <f t="shared" si="3"/>
        <v>6.3438000000000008</v>
      </c>
      <c r="J56" s="859">
        <f t="shared" si="3"/>
        <v>8.1938000000000013</v>
      </c>
      <c r="K56" s="859">
        <f t="shared" si="3"/>
        <v>7.0638000000000014</v>
      </c>
      <c r="L56" s="859">
        <f t="shared" si="3"/>
        <v>4.5638000000000014</v>
      </c>
      <c r="M56" s="859">
        <f t="shared" si="3"/>
        <v>2.0638000000000014</v>
      </c>
      <c r="N56" s="859">
        <f t="shared" si="3"/>
        <v>6.3800000000001411E-2</v>
      </c>
      <c r="O56" s="859">
        <f t="shared" si="3"/>
        <v>6.3800000000001411E-2</v>
      </c>
      <c r="P56" s="1158"/>
    </row>
    <row r="57" spans="1:16" hidden="1" outlineLevel="1">
      <c r="B57" s="1163"/>
      <c r="C57" s="831"/>
      <c r="D57" s="832"/>
      <c r="E57" s="832"/>
      <c r="F57" s="911"/>
      <c r="G57" s="912"/>
      <c r="H57" s="912"/>
      <c r="I57" s="912"/>
      <c r="J57" s="912"/>
      <c r="K57" s="912"/>
      <c r="L57" s="912"/>
      <c r="M57" s="912"/>
      <c r="N57" s="912"/>
      <c r="O57" s="912"/>
      <c r="P57" s="1158"/>
    </row>
    <row r="58" spans="1:16" hidden="1" outlineLevel="1">
      <c r="B58" s="1223"/>
      <c r="C58" s="1194"/>
      <c r="D58" s="1195"/>
      <c r="E58" s="1195"/>
      <c r="F58" s="1252"/>
      <c r="G58" s="1253"/>
      <c r="H58" s="1253"/>
      <c r="I58" s="1253"/>
      <c r="J58" s="1253"/>
      <c r="K58" s="1253"/>
      <c r="L58" s="1253"/>
      <c r="M58" s="1253"/>
      <c r="N58" s="1253"/>
      <c r="O58" s="1253"/>
      <c r="P58" s="1166"/>
    </row>
    <row r="60" spans="1:16" ht="15.75" collapsed="1">
      <c r="B60" s="809" t="s">
        <v>732</v>
      </c>
    </row>
    <row r="61" spans="1:16" hidden="1" outlineLevel="1">
      <c r="B61" s="731">
        <v>1</v>
      </c>
      <c r="C61" s="121" t="s">
        <v>802</v>
      </c>
    </row>
    <row r="62" spans="1:16" ht="15.75" hidden="1" outlineLevel="1">
      <c r="B62" s="809"/>
    </row>
    <row r="63" spans="1:16" hidden="1" outlineLevel="1">
      <c r="B63" s="121" t="s">
        <v>892</v>
      </c>
      <c r="C63" s="807"/>
    </row>
    <row r="64" spans="1:16" hidden="1" outlineLevel="1">
      <c r="C64" s="731" t="s">
        <v>806</v>
      </c>
      <c r="E64" s="121" t="str">
        <f>Preferences.PowerUnits</f>
        <v>GW</v>
      </c>
      <c r="F64" s="27">
        <f t="shared" ref="F64:O64" si="4">F$56</f>
        <v>0.39379999999999998</v>
      </c>
      <c r="G64" s="27">
        <f t="shared" si="4"/>
        <v>1.343800000000001</v>
      </c>
      <c r="H64" s="27">
        <f t="shared" si="4"/>
        <v>3.8438000000000008</v>
      </c>
      <c r="I64" s="27">
        <f t="shared" si="4"/>
        <v>6.3438000000000008</v>
      </c>
      <c r="J64" s="27">
        <f t="shared" si="4"/>
        <v>8.1938000000000013</v>
      </c>
      <c r="K64" s="27">
        <f t="shared" si="4"/>
        <v>7.0638000000000014</v>
      </c>
      <c r="L64" s="27">
        <f t="shared" si="4"/>
        <v>4.5638000000000014</v>
      </c>
      <c r="M64" s="27">
        <f t="shared" si="4"/>
        <v>2.0638000000000014</v>
      </c>
      <c r="N64" s="27">
        <f t="shared" si="4"/>
        <v>6.3800000000001411E-2</v>
      </c>
      <c r="O64" s="27">
        <f t="shared" si="4"/>
        <v>6.3800000000001411E-2</v>
      </c>
    </row>
    <row r="65" spans="1:16" hidden="1" outlineLevel="1">
      <c r="B65" s="121" t="s">
        <v>838</v>
      </c>
      <c r="C65" s="121" t="s">
        <v>805</v>
      </c>
      <c r="F65" s="19">
        <f t="shared" ref="F65:O65" si="5">F$40</f>
        <v>0.28299999999999997</v>
      </c>
      <c r="G65" s="19">
        <f t="shared" si="5"/>
        <v>0.35</v>
      </c>
      <c r="H65" s="19">
        <f t="shared" si="5"/>
        <v>0.35</v>
      </c>
      <c r="I65" s="19">
        <f t="shared" si="5"/>
        <v>0.35</v>
      </c>
      <c r="J65" s="19">
        <f t="shared" si="5"/>
        <v>0.35</v>
      </c>
      <c r="K65" s="19">
        <f t="shared" si="5"/>
        <v>0.35</v>
      </c>
      <c r="L65" s="19">
        <f t="shared" si="5"/>
        <v>0.35</v>
      </c>
      <c r="M65" s="19">
        <f t="shared" si="5"/>
        <v>0.35</v>
      </c>
      <c r="N65" s="19">
        <f t="shared" si="5"/>
        <v>0.35</v>
      </c>
      <c r="O65" s="19">
        <f t="shared" si="5"/>
        <v>0.35</v>
      </c>
    </row>
    <row r="66" spans="1:16" hidden="1" outlineLevel="1">
      <c r="B66" s="807" t="s">
        <v>840</v>
      </c>
      <c r="C66" s="731" t="s">
        <v>1275</v>
      </c>
      <c r="F66" s="783">
        <f t="shared" ref="F66:O66" si="6">F64*F65</f>
        <v>0.11144539999999999</v>
      </c>
      <c r="G66" s="783">
        <f t="shared" si="6"/>
        <v>0.4703300000000003</v>
      </c>
      <c r="H66" s="783">
        <f t="shared" si="6"/>
        <v>1.3453300000000001</v>
      </c>
      <c r="I66" s="783">
        <f t="shared" si="6"/>
        <v>2.2203300000000001</v>
      </c>
      <c r="J66" s="783">
        <f t="shared" si="6"/>
        <v>2.8678300000000001</v>
      </c>
      <c r="K66" s="783">
        <f t="shared" si="6"/>
        <v>2.4723300000000004</v>
      </c>
      <c r="L66" s="783">
        <f t="shared" si="6"/>
        <v>1.5973300000000004</v>
      </c>
      <c r="M66" s="783">
        <f t="shared" si="6"/>
        <v>0.72233000000000047</v>
      </c>
      <c r="N66" s="783">
        <f t="shared" si="6"/>
        <v>2.2330000000000492E-2</v>
      </c>
      <c r="O66" s="783">
        <f t="shared" si="6"/>
        <v>2.2330000000000492E-2</v>
      </c>
    </row>
    <row r="67" spans="1:16" hidden="1" outlineLevel="1">
      <c r="C67" s="731" t="s">
        <v>548</v>
      </c>
      <c r="E67" s="121" t="str">
        <f>Preferences.EnergyUnits</f>
        <v>TWh</v>
      </c>
      <c r="F67" s="783">
        <f t="shared" ref="F67:O67" si="7">F66*Preferences.Unit.Power*Unit.year/Preferences.Unit.Energy</f>
        <v>0.97693037639999991</v>
      </c>
      <c r="G67" s="783">
        <f t="shared" si="7"/>
        <v>4.1229127800000027</v>
      </c>
      <c r="H67" s="783">
        <f t="shared" si="7"/>
        <v>11.793162780000001</v>
      </c>
      <c r="I67" s="783">
        <f t="shared" si="7"/>
        <v>19.463412780000002</v>
      </c>
      <c r="J67" s="783">
        <f t="shared" si="7"/>
        <v>25.139397779999999</v>
      </c>
      <c r="K67" s="783">
        <f t="shared" si="7"/>
        <v>21.672444780000003</v>
      </c>
      <c r="L67" s="783">
        <f t="shared" si="7"/>
        <v>14.002194780000004</v>
      </c>
      <c r="M67" s="783">
        <f t="shared" si="7"/>
        <v>6.3319447800000042</v>
      </c>
      <c r="N67" s="783">
        <f t="shared" si="7"/>
        <v>0.19574478000000431</v>
      </c>
      <c r="O67" s="783">
        <f t="shared" si="7"/>
        <v>0.19574478000000431</v>
      </c>
    </row>
    <row r="68" spans="1:16" hidden="1" outlineLevel="1">
      <c r="B68" s="731"/>
      <c r="C68" s="731"/>
      <c r="F68" s="783"/>
    </row>
    <row r="70" spans="1:16" ht="22.5" collapsed="1">
      <c r="A70" s="1171"/>
      <c r="B70" s="1231" t="s">
        <v>683</v>
      </c>
      <c r="C70" s="1183"/>
      <c r="D70" s="1183"/>
      <c r="E70" s="1183"/>
      <c r="F70" s="1183"/>
      <c r="G70" s="1183"/>
      <c r="H70" s="1183"/>
      <c r="I70" s="1183"/>
      <c r="J70" s="1183"/>
      <c r="K70" s="1183"/>
      <c r="L70" s="1183"/>
      <c r="M70" s="1183"/>
      <c r="N70" s="1183"/>
      <c r="O70" s="1183"/>
      <c r="P70" s="1185"/>
    </row>
    <row r="71" spans="1:16" hidden="1" outlineLevel="1">
      <c r="B71" s="1172"/>
      <c r="C71" s="1174"/>
      <c r="D71" s="1174"/>
      <c r="E71" s="1174"/>
      <c r="F71" s="1174"/>
      <c r="G71" s="1174"/>
      <c r="H71" s="1174"/>
      <c r="I71" s="1174"/>
      <c r="J71" s="1174"/>
      <c r="K71" s="1174"/>
      <c r="L71" s="1174"/>
      <c r="M71" s="1174"/>
      <c r="N71" s="1174"/>
      <c r="O71" s="1174"/>
      <c r="P71" s="1176"/>
    </row>
    <row r="72" spans="1:16" hidden="1" outlineLevel="1">
      <c r="B72" s="1172"/>
      <c r="C72" s="1186" t="s">
        <v>730</v>
      </c>
      <c r="D72" s="1174"/>
      <c r="E72" s="1175"/>
      <c r="F72" s="1174"/>
      <c r="G72" s="1175"/>
      <c r="H72" s="1174"/>
      <c r="I72" s="1174"/>
      <c r="J72" s="1174"/>
      <c r="K72" s="1174"/>
      <c r="L72" s="1174"/>
      <c r="M72" s="1174"/>
      <c r="N72" s="1174"/>
      <c r="O72" s="1175" t="str">
        <f>Preferences.EnergyUnits</f>
        <v>TWh</v>
      </c>
      <c r="P72" s="1176"/>
    </row>
    <row r="73" spans="1:16" ht="6" hidden="1" customHeight="1" outlineLevel="1">
      <c r="B73" s="1172"/>
      <c r="C73" s="1174"/>
      <c r="D73" s="1174"/>
      <c r="E73" s="1174"/>
      <c r="F73" s="1174"/>
      <c r="G73" s="1174"/>
      <c r="H73" s="1174"/>
      <c r="I73" s="1174"/>
      <c r="J73" s="1174"/>
      <c r="K73" s="1174"/>
      <c r="L73" s="1174"/>
      <c r="M73" s="1174"/>
      <c r="N73" s="1174"/>
      <c r="O73" s="1174"/>
      <c r="P73" s="1176"/>
    </row>
    <row r="74" spans="1:16" ht="15.75" hidden="1" outlineLevel="1">
      <c r="A74" s="3"/>
      <c r="B74" s="1177"/>
      <c r="C74" s="1188" t="s">
        <v>78</v>
      </c>
      <c r="D74" s="1188" t="s">
        <v>418</v>
      </c>
      <c r="E74" s="1188" t="s">
        <v>442</v>
      </c>
      <c r="F74" s="1188" t="s">
        <v>691</v>
      </c>
      <c r="G74" s="1188" t="s">
        <v>692</v>
      </c>
      <c r="H74" s="1189" t="s">
        <v>721</v>
      </c>
      <c r="I74" s="1189" t="s">
        <v>722</v>
      </c>
      <c r="J74" s="1189" t="s">
        <v>723</v>
      </c>
      <c r="K74" s="1189" t="s">
        <v>724</v>
      </c>
      <c r="L74" s="1189" t="s">
        <v>725</v>
      </c>
      <c r="M74" s="1189" t="s">
        <v>726</v>
      </c>
      <c r="N74" s="1189" t="s">
        <v>727</v>
      </c>
      <c r="O74" s="1189" t="s">
        <v>728</v>
      </c>
      <c r="P74" s="1176"/>
    </row>
    <row r="75" spans="1:16" ht="15.75" hidden="1" outlineLevel="1">
      <c r="A75" s="3"/>
      <c r="B75" s="1177"/>
      <c r="C75" s="765" t="s">
        <v>46</v>
      </c>
      <c r="D75" s="765" t="str">
        <f>INDEX(Vectors[Description], MATCH([Vector], Vectors[Code], 0))</f>
        <v>Electricity (supplied to grid)</v>
      </c>
      <c r="E75" s="765"/>
      <c r="F75" s="953">
        <f>F$67</f>
        <v>0.97693037639999991</v>
      </c>
      <c r="G75" s="953">
        <f t="shared" ref="G75:O75" si="8">G$67</f>
        <v>4.1229127800000027</v>
      </c>
      <c r="H75" s="953">
        <f t="shared" si="8"/>
        <v>11.793162780000001</v>
      </c>
      <c r="I75" s="953">
        <f t="shared" si="8"/>
        <v>19.463412780000002</v>
      </c>
      <c r="J75" s="953">
        <f t="shared" si="8"/>
        <v>25.139397779999999</v>
      </c>
      <c r="K75" s="953">
        <f t="shared" si="8"/>
        <v>21.672444780000003</v>
      </c>
      <c r="L75" s="953">
        <f t="shared" si="8"/>
        <v>14.002194780000004</v>
      </c>
      <c r="M75" s="953">
        <f t="shared" si="8"/>
        <v>6.3319447800000042</v>
      </c>
      <c r="N75" s="953">
        <f t="shared" si="8"/>
        <v>0.19574478000000431</v>
      </c>
      <c r="O75" s="953">
        <f t="shared" si="8"/>
        <v>0.19574478000000431</v>
      </c>
      <c r="P75" s="1176"/>
    </row>
    <row r="76" spans="1:16" ht="15.75" hidden="1" outlineLevel="1">
      <c r="A76" s="3"/>
      <c r="B76" s="1177"/>
      <c r="C76" s="765" t="s">
        <v>8</v>
      </c>
      <c r="D76" s="765" t="str">
        <f>INDEX(Vectors[Description], MATCH([Vector], Vectors[Code], 0))</f>
        <v>Wind</v>
      </c>
      <c r="E76" s="765"/>
      <c r="F76" s="953">
        <f>-F$67</f>
        <v>-0.97693037639999991</v>
      </c>
      <c r="G76" s="953">
        <f t="shared" ref="G76:O76" si="9">-G$67</f>
        <v>-4.1229127800000027</v>
      </c>
      <c r="H76" s="953">
        <f t="shared" si="9"/>
        <v>-11.793162780000001</v>
      </c>
      <c r="I76" s="953">
        <f t="shared" si="9"/>
        <v>-19.463412780000002</v>
      </c>
      <c r="J76" s="953">
        <f t="shared" si="9"/>
        <v>-25.139397779999999</v>
      </c>
      <c r="K76" s="953">
        <f t="shared" si="9"/>
        <v>-21.672444780000003</v>
      </c>
      <c r="L76" s="953">
        <f t="shared" si="9"/>
        <v>-14.002194780000004</v>
      </c>
      <c r="M76" s="953">
        <f t="shared" si="9"/>
        <v>-6.3319447800000042</v>
      </c>
      <c r="N76" s="953">
        <f t="shared" si="9"/>
        <v>-0.19574478000000431</v>
      </c>
      <c r="O76" s="953">
        <f t="shared" si="9"/>
        <v>-0.19574478000000431</v>
      </c>
      <c r="P76" s="1176"/>
    </row>
    <row r="77" spans="1:16" ht="15.75" hidden="1" outlineLevel="1">
      <c r="A77" s="3"/>
      <c r="B77" s="1177"/>
      <c r="C77" s="765" t="s">
        <v>148</v>
      </c>
      <c r="D77" s="765"/>
      <c r="E77" s="765"/>
      <c r="F77" s="1749">
        <f>SUBTOTAL(109,[2007])</f>
        <v>0</v>
      </c>
      <c r="G77" s="1749">
        <f>SUBTOTAL(109,[2010])</f>
        <v>0</v>
      </c>
      <c r="H77" s="1749">
        <f>SUBTOTAL(109,[2015])</f>
        <v>0</v>
      </c>
      <c r="I77" s="1749">
        <f>SUBTOTAL(109,[2020])</f>
        <v>0</v>
      </c>
      <c r="J77" s="1749">
        <f>SUBTOTAL(109,[2025])</f>
        <v>0</v>
      </c>
      <c r="K77" s="1749">
        <f>SUBTOTAL(109,[2030])</f>
        <v>0</v>
      </c>
      <c r="L77" s="1749">
        <f>SUBTOTAL(109,[2035])</f>
        <v>0</v>
      </c>
      <c r="M77" s="1749">
        <f>SUBTOTAL(109,[2040])</f>
        <v>0</v>
      </c>
      <c r="N77" s="1749">
        <f>SUBTOTAL(109,[2045])</f>
        <v>0</v>
      </c>
      <c r="O77" s="1749">
        <f>SUBTOTAL(109,[2050])</f>
        <v>0</v>
      </c>
      <c r="P77" s="1176"/>
    </row>
    <row r="78" spans="1:16" ht="15.75" hidden="1" outlineLevel="1">
      <c r="A78" s="3"/>
      <c r="B78" s="1178"/>
      <c r="C78" s="1179"/>
      <c r="D78" s="1179"/>
      <c r="E78" s="1179"/>
      <c r="F78" s="1179"/>
      <c r="G78" s="1179"/>
      <c r="H78" s="1179"/>
      <c r="I78" s="1179"/>
      <c r="J78" s="1179"/>
      <c r="K78" s="1179"/>
      <c r="L78" s="1179"/>
      <c r="M78" s="1179"/>
      <c r="N78" s="1179"/>
      <c r="O78" s="1179"/>
      <c r="P78" s="1181"/>
    </row>
  </sheetData>
  <pageMargins left="0.7" right="0.7" top="0.75" bottom="0.75" header="0.3" footer="0.3"/>
  <pageSetup paperSize="9" orientation="portrait" r:id="rId1"/>
  <ignoredErrors>
    <ignoredError sqref="F75:O76" calculatedColumn="1"/>
  </ignoredErrors>
  <tableParts count="1">
    <tablePart r:id="rId2"/>
  </tableParts>
</worksheet>
</file>

<file path=xl/worksheets/sheet21.xml><?xml version="1.0" encoding="utf-8"?>
<worksheet xmlns="http://schemas.openxmlformats.org/spreadsheetml/2006/main" xmlns:r="http://schemas.openxmlformats.org/officeDocument/2006/relationships">
  <sheetPr codeName="Sheet101">
    <tabColor theme="9"/>
    <outlinePr summaryBelow="0"/>
    <pageSetUpPr autoPageBreaks="0"/>
  </sheetPr>
  <dimension ref="A1:AE67"/>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31" ht="21">
      <c r="A1" s="789" t="s">
        <v>76</v>
      </c>
      <c r="B1" s="789" t="str">
        <f>INDEX(Workstreams[Workstream], MATCH($A1, Workstreams[Code], 0))</f>
        <v>National renewable power generation</v>
      </c>
      <c r="C1" s="789"/>
    </row>
    <row r="2" spans="1:31" s="743" customFormat="1" ht="19.5" customHeight="1">
      <c r="A2" s="10" t="s">
        <v>803</v>
      </c>
      <c r="B2" s="10" t="str">
        <f>INDEX(Modules[Module], MATCH($A2, Modules[Code], 0))</f>
        <v>Hydroelectric</v>
      </c>
      <c r="C2" s="10"/>
    </row>
    <row r="4" spans="1:31" ht="22.5" collapsed="1">
      <c r="A4" s="1171"/>
      <c r="B4" s="1231" t="s">
        <v>1353</v>
      </c>
      <c r="C4" s="1183"/>
      <c r="D4" s="1183"/>
      <c r="E4" s="1183"/>
      <c r="F4" s="1183"/>
      <c r="G4" s="1183"/>
      <c r="H4" s="1183"/>
      <c r="I4" s="1183"/>
      <c r="J4" s="1183"/>
      <c r="K4" s="1183"/>
      <c r="L4" s="1183"/>
      <c r="M4" s="1183"/>
      <c r="N4" s="1183"/>
      <c r="O4" s="1183"/>
      <c r="P4" s="1185"/>
    </row>
    <row r="5" spans="1:31" hidden="1" outlineLevel="1">
      <c r="B5" s="1172"/>
      <c r="C5" s="1174"/>
      <c r="D5" s="1174"/>
      <c r="E5" s="1174"/>
      <c r="F5" s="1174"/>
      <c r="G5" s="1174"/>
      <c r="H5" s="1174"/>
      <c r="I5" s="1174"/>
      <c r="J5" s="1174"/>
      <c r="K5" s="1174"/>
      <c r="L5" s="1174"/>
      <c r="M5" s="1174"/>
      <c r="N5" s="1174"/>
      <c r="O5" s="1174"/>
      <c r="P5" s="1176"/>
    </row>
    <row r="6" spans="1:31" ht="5.25" hidden="1" customHeight="1" outlineLevel="1">
      <c r="B6" s="1172"/>
      <c r="C6" s="1173"/>
      <c r="D6" s="1174"/>
      <c r="E6" s="1175"/>
      <c r="F6" s="1174"/>
      <c r="G6" s="1174"/>
      <c r="H6" s="1174"/>
      <c r="I6" s="1174"/>
      <c r="J6" s="1174"/>
      <c r="K6" s="1174"/>
      <c r="L6" s="1174"/>
      <c r="M6" s="1174"/>
      <c r="N6" s="1174"/>
      <c r="O6" s="1174"/>
      <c r="P6" s="1176"/>
    </row>
    <row r="7" spans="1:31" ht="15.75" hidden="1" outlineLevel="1">
      <c r="B7" s="1177"/>
      <c r="C7" s="1174"/>
      <c r="D7" s="922" t="s">
        <v>830</v>
      </c>
      <c r="E7" s="922" t="s">
        <v>1352</v>
      </c>
      <c r="F7" s="1174"/>
      <c r="G7" s="1174"/>
      <c r="H7" s="1174"/>
      <c r="I7" s="1174"/>
      <c r="J7" s="1174"/>
      <c r="K7" s="1174"/>
      <c r="L7" s="1174"/>
      <c r="M7" s="1174"/>
      <c r="N7" s="1174"/>
      <c r="O7" s="1174"/>
      <c r="P7" s="1176"/>
    </row>
    <row r="8" spans="1:31" ht="15.75" hidden="1" outlineLevel="1">
      <c r="B8" s="1177"/>
      <c r="C8" s="1174"/>
      <c r="D8" s="950" t="s">
        <v>1355</v>
      </c>
      <c r="E8" s="950">
        <f>III.b.Scenario</f>
        <v>1</v>
      </c>
      <c r="F8" s="1174"/>
      <c r="G8" s="1174"/>
      <c r="H8" s="1174"/>
      <c r="I8" s="1174"/>
      <c r="J8" s="1174"/>
      <c r="K8" s="1174"/>
      <c r="L8" s="1174"/>
      <c r="M8" s="1174"/>
      <c r="N8" s="1174"/>
      <c r="O8" s="1174"/>
      <c r="P8" s="1176"/>
    </row>
    <row r="9" spans="1:31" hidden="1" outlineLevel="1">
      <c r="B9" s="1192"/>
      <c r="C9" s="1180"/>
      <c r="D9" s="1180"/>
      <c r="E9" s="1180"/>
      <c r="F9" s="1180"/>
      <c r="G9" s="1180"/>
      <c r="H9" s="1180"/>
      <c r="I9" s="1180"/>
      <c r="J9" s="1180"/>
      <c r="K9" s="1180"/>
      <c r="L9" s="1180"/>
      <c r="M9" s="1180"/>
      <c r="N9" s="1180"/>
      <c r="O9" s="1180"/>
      <c r="P9" s="1181"/>
    </row>
    <row r="11" spans="1:31" ht="22.5" collapsed="1">
      <c r="A11" s="1171"/>
      <c r="B11" s="1236" t="s">
        <v>1354</v>
      </c>
      <c r="C11" s="1167"/>
      <c r="D11" s="1167"/>
      <c r="E11" s="1167"/>
      <c r="F11" s="1167"/>
      <c r="G11" s="1167"/>
      <c r="H11" s="1167"/>
      <c r="I11" s="1167"/>
      <c r="J11" s="1167"/>
      <c r="K11" s="1167"/>
      <c r="L11" s="1167"/>
      <c r="M11" s="1167"/>
      <c r="N11" s="1167"/>
      <c r="O11" s="1167"/>
      <c r="P11" s="1168"/>
      <c r="S11"/>
      <c r="T11"/>
      <c r="U11"/>
      <c r="V11"/>
      <c r="W11"/>
      <c r="X11"/>
      <c r="Y11"/>
      <c r="Z11"/>
      <c r="AA11"/>
      <c r="AB11"/>
      <c r="AC11"/>
      <c r="AD11"/>
      <c r="AE11"/>
    </row>
    <row r="12" spans="1:31" hidden="1" outlineLevel="1">
      <c r="B12" s="1157"/>
      <c r="C12" s="864"/>
      <c r="D12" s="864"/>
      <c r="E12" s="864"/>
      <c r="F12" s="864"/>
      <c r="G12" s="864"/>
      <c r="H12" s="864"/>
      <c r="I12" s="864"/>
      <c r="J12" s="864"/>
      <c r="K12" s="864"/>
      <c r="L12" s="864"/>
      <c r="M12" s="864"/>
      <c r="N12" s="864"/>
      <c r="O12" s="864"/>
      <c r="P12" s="1158"/>
      <c r="S12"/>
      <c r="T12"/>
      <c r="U12"/>
      <c r="V12"/>
      <c r="W12"/>
      <c r="X12"/>
      <c r="Y12"/>
      <c r="Z12"/>
      <c r="AA12"/>
      <c r="AB12"/>
      <c r="AC12"/>
      <c r="AD12"/>
      <c r="AE12"/>
    </row>
    <row r="13" spans="1:31" hidden="1" outlineLevel="1">
      <c r="B13" s="1157"/>
      <c r="C13" s="866" t="s">
        <v>2081</v>
      </c>
      <c r="D13" s="864"/>
      <c r="E13" s="867"/>
      <c r="F13" s="864"/>
      <c r="G13" s="864"/>
      <c r="H13" s="864"/>
      <c r="I13" s="864"/>
      <c r="J13" s="864"/>
      <c r="K13" s="864"/>
      <c r="L13" s="864"/>
      <c r="M13" s="864"/>
      <c r="N13" s="864"/>
      <c r="O13" s="867" t="str">
        <f>Preferences.PowerUnits</f>
        <v>GW</v>
      </c>
      <c r="P13" s="1158"/>
      <c r="S13"/>
      <c r="T13"/>
      <c r="U13"/>
      <c r="V13"/>
      <c r="W13"/>
      <c r="X13"/>
      <c r="Y13"/>
      <c r="Z13"/>
      <c r="AA13"/>
      <c r="AB13"/>
      <c r="AC13"/>
      <c r="AD13"/>
      <c r="AE13"/>
    </row>
    <row r="14" spans="1:31" ht="5.25" hidden="1" customHeight="1" outlineLevel="1">
      <c r="B14" s="1157"/>
      <c r="C14" s="864"/>
      <c r="D14" s="864"/>
      <c r="E14" s="864"/>
      <c r="F14" s="864"/>
      <c r="G14" s="864"/>
      <c r="H14" s="864"/>
      <c r="I14" s="864"/>
      <c r="J14" s="864"/>
      <c r="K14" s="864"/>
      <c r="L14" s="864"/>
      <c r="M14" s="864"/>
      <c r="N14" s="864"/>
      <c r="O14" s="864"/>
      <c r="P14" s="1158"/>
      <c r="S14"/>
      <c r="T14"/>
      <c r="U14"/>
      <c r="V14"/>
      <c r="W14"/>
      <c r="X14"/>
      <c r="Y14"/>
      <c r="Z14"/>
      <c r="AA14"/>
      <c r="AB14"/>
      <c r="AC14"/>
      <c r="AD14"/>
      <c r="AE14"/>
    </row>
    <row r="15" spans="1:31" ht="15.75" hidden="1" outlineLevel="1">
      <c r="B15" s="1159"/>
      <c r="C15" s="766" t="s">
        <v>1352</v>
      </c>
      <c r="D15" s="766" t="s">
        <v>79</v>
      </c>
      <c r="E15" s="766" t="s">
        <v>442</v>
      </c>
      <c r="F15" s="923">
        <v>2007</v>
      </c>
      <c r="G15" s="924">
        <v>2010</v>
      </c>
      <c r="H15" s="923">
        <v>2015</v>
      </c>
      <c r="I15" s="923">
        <v>2020</v>
      </c>
      <c r="J15" s="923">
        <v>2025</v>
      </c>
      <c r="K15" s="923">
        <v>2030</v>
      </c>
      <c r="L15" s="923">
        <v>2035</v>
      </c>
      <c r="M15" s="923">
        <v>2040</v>
      </c>
      <c r="N15" s="923">
        <v>2045</v>
      </c>
      <c r="O15" s="923">
        <v>2050</v>
      </c>
      <c r="P15" s="1158"/>
      <c r="S15"/>
      <c r="T15"/>
      <c r="U15"/>
      <c r="V15"/>
      <c r="W15"/>
      <c r="X15"/>
      <c r="Y15"/>
      <c r="Z15"/>
      <c r="AA15"/>
      <c r="AB15"/>
      <c r="AC15"/>
      <c r="AD15"/>
      <c r="AE15"/>
    </row>
    <row r="16" spans="1:31" ht="15.75" hidden="1" outlineLevel="1">
      <c r="B16" s="1161"/>
      <c r="C16" s="831">
        <v>1</v>
      </c>
      <c r="D16" s="832"/>
      <c r="E16" s="833"/>
      <c r="F16" s="913">
        <f>1293*Unit.MW</f>
        <v>1.2929999999999999</v>
      </c>
      <c r="G16" s="1717">
        <f t="shared" ref="G16:O16" si="0">(Unit.GW)*1.6</f>
        <v>1.6</v>
      </c>
      <c r="H16" s="913">
        <f t="shared" si="0"/>
        <v>1.6</v>
      </c>
      <c r="I16" s="913">
        <f t="shared" si="0"/>
        <v>1.6</v>
      </c>
      <c r="J16" s="913">
        <f t="shared" si="0"/>
        <v>1.6</v>
      </c>
      <c r="K16" s="913">
        <f t="shared" si="0"/>
        <v>1.6</v>
      </c>
      <c r="L16" s="913">
        <f t="shared" si="0"/>
        <v>1.6</v>
      </c>
      <c r="M16" s="913">
        <f t="shared" si="0"/>
        <v>1.6</v>
      </c>
      <c r="N16" s="913">
        <f t="shared" si="0"/>
        <v>1.6</v>
      </c>
      <c r="O16" s="913">
        <f t="shared" si="0"/>
        <v>1.6</v>
      </c>
      <c r="P16" s="1162"/>
      <c r="R16" s="2293"/>
      <c r="S16"/>
      <c r="T16"/>
      <c r="U16"/>
      <c r="V16"/>
      <c r="W16"/>
      <c r="X16"/>
      <c r="Y16"/>
      <c r="Z16"/>
      <c r="AA16"/>
      <c r="AB16"/>
      <c r="AC16"/>
      <c r="AD16"/>
      <c r="AE16"/>
    </row>
    <row r="17" spans="1:31" ht="15.75" hidden="1" outlineLevel="1">
      <c r="B17" s="1159"/>
      <c r="C17" s="831">
        <v>2</v>
      </c>
      <c r="D17" s="832"/>
      <c r="E17" s="832"/>
      <c r="F17" s="913">
        <f>1293*Unit.MW</f>
        <v>1.2929999999999999</v>
      </c>
      <c r="G17" s="1720">
        <f>(Unit.GW)*1.6</f>
        <v>1.6</v>
      </c>
      <c r="H17" s="1721">
        <f>(Unit.GW)*1.7</f>
        <v>1.7</v>
      </c>
      <c r="I17" s="1721">
        <f>(Unit.GW)*1.8</f>
        <v>1.8</v>
      </c>
      <c r="J17" s="1721">
        <f>(Unit.GW)*1.85</f>
        <v>1.85</v>
      </c>
      <c r="K17" s="1721">
        <f>(Unit.GW)*1.9</f>
        <v>1.9</v>
      </c>
      <c r="L17" s="1721">
        <f>(Unit.GW)*1.95</f>
        <v>1.95</v>
      </c>
      <c r="M17" s="1721">
        <f>(Unit.GW)*2</f>
        <v>2</v>
      </c>
      <c r="N17" s="1721">
        <f>(Unit.GW)*2.05</f>
        <v>2.0499999999999998</v>
      </c>
      <c r="O17" s="1721">
        <f>(Unit.GW)*2.1</f>
        <v>2.1</v>
      </c>
      <c r="P17" s="1158"/>
      <c r="R17" s="2293"/>
      <c r="AA17"/>
      <c r="AB17"/>
      <c r="AC17"/>
      <c r="AD17"/>
      <c r="AE17"/>
    </row>
    <row r="18" spans="1:31" ht="15.75" hidden="1" outlineLevel="1">
      <c r="B18" s="1159"/>
      <c r="C18" s="831">
        <v>3</v>
      </c>
      <c r="D18" s="832"/>
      <c r="E18" s="832"/>
      <c r="F18" s="913">
        <f>1293*Unit.MW</f>
        <v>1.2929999999999999</v>
      </c>
      <c r="G18" s="1720">
        <f>(Unit.GW)*1.6</f>
        <v>1.6</v>
      </c>
      <c r="H18" s="1721">
        <f>(Unit.GW)*1.825</f>
        <v>1.825</v>
      </c>
      <c r="I18" s="1721">
        <f>(Unit.GW)*2.05</f>
        <v>2.0499999999999998</v>
      </c>
      <c r="J18" s="1721">
        <f>(Unit.GW)*2.275</f>
        <v>2.2749999999999999</v>
      </c>
      <c r="K18" s="1721">
        <f>(Unit.GW)*2.5</f>
        <v>2.5</v>
      </c>
      <c r="L18" s="1721">
        <f>(Unit.GW)*2.5</f>
        <v>2.5</v>
      </c>
      <c r="M18" s="1721">
        <f>(Unit.GW)*2.5</f>
        <v>2.5</v>
      </c>
      <c r="N18" s="1721">
        <f>(Unit.GW)*2.5</f>
        <v>2.5</v>
      </c>
      <c r="O18" s="1721">
        <f>(Unit.GW)*2.5</f>
        <v>2.5</v>
      </c>
      <c r="P18" s="1158"/>
      <c r="R18" s="2293"/>
      <c r="AA18"/>
      <c r="AB18"/>
      <c r="AC18"/>
      <c r="AD18"/>
      <c r="AE18"/>
    </row>
    <row r="19" spans="1:31" ht="15.75" hidden="1" outlineLevel="1">
      <c r="B19" s="1159"/>
      <c r="C19" s="769">
        <v>4</v>
      </c>
      <c r="D19" s="770"/>
      <c r="E19" s="770"/>
      <c r="F19" s="1722">
        <f>1293*Unit.MW</f>
        <v>1.2929999999999999</v>
      </c>
      <c r="G19" s="1723">
        <f>(Unit.GW)*1.6</f>
        <v>1.6</v>
      </c>
      <c r="H19" s="1724">
        <f>(Unit.GW)*1.825</f>
        <v>1.825</v>
      </c>
      <c r="I19" s="1724">
        <f>(Unit.GW)*2.1625</f>
        <v>2.1625000000000001</v>
      </c>
      <c r="J19" s="1724">
        <f>(Unit.GW)*2.66875</f>
        <v>2.6687500000000002</v>
      </c>
      <c r="K19" s="1724">
        <f>(Unit.GW)*3.428125</f>
        <v>3.4281250000000001</v>
      </c>
      <c r="L19" s="1724">
        <f>(Unit.GW)*4</f>
        <v>4</v>
      </c>
      <c r="M19" s="1724">
        <f>(Unit.GW)*4</f>
        <v>4</v>
      </c>
      <c r="N19" s="1724">
        <f>(Unit.GW)*4</f>
        <v>4</v>
      </c>
      <c r="O19" s="1724">
        <f>(Unit.GW)*4</f>
        <v>4</v>
      </c>
      <c r="P19" s="1158"/>
      <c r="R19" s="2293"/>
      <c r="AA19"/>
      <c r="AB19"/>
      <c r="AC19"/>
      <c r="AD19"/>
      <c r="AE19"/>
    </row>
    <row r="20" spans="1:31" hidden="1" outlineLevel="1">
      <c r="B20" s="1163"/>
      <c r="C20" s="864"/>
      <c r="D20" s="868"/>
      <c r="E20" s="864"/>
      <c r="F20" s="864"/>
      <c r="G20" s="1529"/>
      <c r="H20" s="1529"/>
      <c r="I20" s="1529"/>
      <c r="J20" s="1529"/>
      <c r="K20" s="1529"/>
      <c r="L20" s="1529"/>
      <c r="M20" s="1529"/>
      <c r="N20" s="1529"/>
      <c r="O20" s="1529"/>
      <c r="P20" s="1158"/>
      <c r="S20"/>
      <c r="T20"/>
      <c r="U20"/>
      <c r="V20"/>
      <c r="W20"/>
      <c r="X20"/>
      <c r="Y20"/>
      <c r="Z20"/>
      <c r="AA20"/>
      <c r="AB20"/>
      <c r="AC20"/>
      <c r="AD20"/>
      <c r="AE20"/>
    </row>
    <row r="21" spans="1:31" hidden="1" outlineLevel="1">
      <c r="B21" s="1551"/>
      <c r="C21" s="864" t="s">
        <v>717</v>
      </c>
      <c r="D21" s="868"/>
      <c r="E21" s="864"/>
      <c r="F21" s="864"/>
      <c r="G21" s="864"/>
      <c r="H21" s="864"/>
      <c r="I21" s="864"/>
      <c r="J21" s="864"/>
      <c r="K21" s="864"/>
      <c r="L21" s="864"/>
      <c r="M21" s="864"/>
      <c r="N21" s="864"/>
      <c r="O21" s="864"/>
      <c r="P21" s="1158"/>
      <c r="S21"/>
      <c r="T21"/>
      <c r="U21"/>
      <c r="V21"/>
      <c r="W21"/>
      <c r="X21"/>
      <c r="Y21"/>
      <c r="Z21"/>
      <c r="AA21"/>
      <c r="AB21"/>
      <c r="AC21"/>
      <c r="AD21"/>
      <c r="AE21"/>
    </row>
    <row r="22" spans="1:31" hidden="1" outlineLevel="1">
      <c r="B22" s="1551"/>
      <c r="C22" s="867" t="s">
        <v>109</v>
      </c>
      <c r="D22" s="868" t="s">
        <v>1260</v>
      </c>
      <c r="E22" s="864"/>
      <c r="F22" s="864"/>
      <c r="G22" s="864"/>
      <c r="H22" s="864"/>
      <c r="I22" s="864"/>
      <c r="J22" s="864"/>
      <c r="K22" s="864"/>
      <c r="L22" s="864"/>
      <c r="M22" s="864"/>
      <c r="N22" s="864"/>
      <c r="O22" s="864"/>
      <c r="P22" s="1158"/>
      <c r="S22"/>
      <c r="T22"/>
      <c r="U22"/>
      <c r="V22"/>
      <c r="W22"/>
      <c r="X22"/>
      <c r="Y22"/>
      <c r="Z22"/>
      <c r="AA22"/>
      <c r="AB22"/>
      <c r="AC22"/>
      <c r="AD22"/>
      <c r="AE22"/>
    </row>
    <row r="23" spans="1:31" hidden="1" outlineLevel="1">
      <c r="B23" s="1551"/>
      <c r="C23" s="867"/>
      <c r="D23" s="868" t="s">
        <v>2082</v>
      </c>
      <c r="E23" s="864"/>
      <c r="F23" s="864"/>
      <c r="G23" s="864"/>
      <c r="H23" s="864"/>
      <c r="I23" s="864"/>
      <c r="J23" s="864"/>
      <c r="K23" s="864"/>
      <c r="L23" s="864"/>
      <c r="M23" s="864"/>
      <c r="N23" s="864"/>
      <c r="O23" s="864"/>
      <c r="P23" s="1158"/>
      <c r="S23"/>
      <c r="T23"/>
      <c r="U23"/>
      <c r="V23"/>
      <c r="W23"/>
      <c r="X23"/>
      <c r="Y23"/>
      <c r="Z23"/>
      <c r="AA23"/>
      <c r="AB23"/>
      <c r="AC23"/>
      <c r="AD23"/>
      <c r="AE23"/>
    </row>
    <row r="24" spans="1:31" hidden="1" outlineLevel="1">
      <c r="B24" s="1551"/>
      <c r="C24" s="867"/>
      <c r="D24" s="868" t="s">
        <v>2083</v>
      </c>
      <c r="E24" s="864"/>
      <c r="F24" s="864"/>
      <c r="G24" s="864"/>
      <c r="H24" s="864"/>
      <c r="I24" s="864"/>
      <c r="J24" s="864"/>
      <c r="K24" s="864"/>
      <c r="L24" s="864"/>
      <c r="M24" s="864"/>
      <c r="N24" s="864"/>
      <c r="O24" s="864"/>
      <c r="P24" s="1158"/>
      <c r="S24"/>
      <c r="T24"/>
      <c r="U24"/>
      <c r="V24"/>
      <c r="W24"/>
      <c r="X24"/>
      <c r="Y24"/>
      <c r="Z24"/>
      <c r="AA24"/>
      <c r="AB24"/>
      <c r="AC24"/>
      <c r="AD24"/>
      <c r="AE24"/>
    </row>
    <row r="25" spans="1:31" hidden="1" outlineLevel="1">
      <c r="B25" s="1551"/>
      <c r="C25" s="867"/>
      <c r="D25" s="868" t="s">
        <v>2084</v>
      </c>
      <c r="E25" s="864"/>
      <c r="F25" s="864"/>
      <c r="G25" s="864"/>
      <c r="H25" s="864"/>
      <c r="I25" s="864"/>
      <c r="J25" s="864"/>
      <c r="K25" s="864"/>
      <c r="L25" s="864"/>
      <c r="M25" s="864"/>
      <c r="N25" s="864"/>
      <c r="O25" s="864"/>
      <c r="P25" s="1158"/>
      <c r="S25"/>
      <c r="T25"/>
      <c r="U25"/>
      <c r="V25"/>
      <c r="W25"/>
      <c r="X25"/>
      <c r="Y25"/>
      <c r="Z25"/>
      <c r="AA25"/>
      <c r="AB25"/>
      <c r="AC25"/>
      <c r="AD25"/>
      <c r="AE25"/>
    </row>
    <row r="26" spans="1:31" hidden="1" outlineLevel="1">
      <c r="B26" s="1551"/>
      <c r="C26" s="864"/>
      <c r="D26" s="868"/>
      <c r="E26" s="864"/>
      <c r="F26" s="864"/>
      <c r="G26" s="864"/>
      <c r="H26" s="864"/>
      <c r="I26" s="864"/>
      <c r="J26" s="864"/>
      <c r="K26" s="864"/>
      <c r="L26" s="864"/>
      <c r="M26" s="864"/>
      <c r="N26" s="864"/>
      <c r="O26" s="1165"/>
      <c r="P26" s="1166"/>
      <c r="S26"/>
      <c r="T26"/>
      <c r="U26"/>
      <c r="V26"/>
      <c r="W26"/>
      <c r="X26"/>
      <c r="Y26"/>
      <c r="Z26"/>
      <c r="AA26"/>
      <c r="AB26"/>
      <c r="AC26"/>
      <c r="AD26"/>
      <c r="AE26"/>
    </row>
    <row r="27" spans="1:31">
      <c r="S27"/>
      <c r="T27"/>
      <c r="U27"/>
      <c r="V27"/>
      <c r="W27"/>
      <c r="X27"/>
      <c r="Y27"/>
      <c r="Z27"/>
      <c r="AA27"/>
      <c r="AB27"/>
      <c r="AC27"/>
      <c r="AD27"/>
      <c r="AE27"/>
    </row>
    <row r="28" spans="1:31" s="743" customFormat="1" ht="22.5" collapsed="1">
      <c r="A28" s="1170"/>
      <c r="B28" s="1236" t="s">
        <v>786</v>
      </c>
      <c r="C28" s="1167"/>
      <c r="D28" s="1167"/>
      <c r="E28" s="1167"/>
      <c r="F28" s="1167"/>
      <c r="G28" s="1167"/>
      <c r="H28" s="1167"/>
      <c r="I28" s="1167"/>
      <c r="J28" s="1167"/>
      <c r="K28" s="1167"/>
      <c r="L28" s="1167"/>
      <c r="M28" s="1167"/>
      <c r="N28" s="1167"/>
      <c r="O28" s="1167"/>
      <c r="P28" s="1168"/>
      <c r="S28"/>
      <c r="T28"/>
      <c r="U28"/>
      <c r="V28"/>
      <c r="W28"/>
      <c r="X28"/>
      <c r="Y28"/>
      <c r="Z28"/>
      <c r="AA28"/>
      <c r="AB28"/>
      <c r="AC28"/>
      <c r="AD28"/>
      <c r="AE28"/>
    </row>
    <row r="29" spans="1:31" hidden="1" outlineLevel="1">
      <c r="B29" s="1157"/>
      <c r="C29" s="864"/>
      <c r="D29" s="864"/>
      <c r="E29" s="864"/>
      <c r="F29" s="864"/>
      <c r="G29" s="864"/>
      <c r="H29" s="864"/>
      <c r="I29" s="864"/>
      <c r="J29" s="864"/>
      <c r="K29" s="864"/>
      <c r="L29" s="864"/>
      <c r="M29" s="864"/>
      <c r="N29" s="864"/>
      <c r="O29" s="864"/>
      <c r="P29" s="1158"/>
      <c r="S29"/>
      <c r="T29"/>
      <c r="U29"/>
      <c r="V29"/>
      <c r="W29"/>
      <c r="X29"/>
      <c r="Y29"/>
      <c r="Z29"/>
      <c r="AA29"/>
      <c r="AB29"/>
      <c r="AC29"/>
      <c r="AD29"/>
      <c r="AE29"/>
    </row>
    <row r="30" spans="1:31" hidden="1" outlineLevel="1">
      <c r="B30" s="1157"/>
      <c r="C30" s="866" t="s">
        <v>2080</v>
      </c>
      <c r="D30" s="864"/>
      <c r="E30" s="864"/>
      <c r="F30" s="864"/>
      <c r="G30" s="867"/>
      <c r="H30" s="864"/>
      <c r="I30" s="864"/>
      <c r="J30" s="864"/>
      <c r="K30" s="864"/>
      <c r="L30" s="864"/>
      <c r="M30" s="864"/>
      <c r="N30" s="864"/>
      <c r="O30" s="864"/>
      <c r="P30" s="1158"/>
      <c r="S30"/>
      <c r="T30"/>
      <c r="U30"/>
      <c r="V30"/>
      <c r="W30"/>
      <c r="X30"/>
      <c r="Y30"/>
      <c r="Z30"/>
      <c r="AA30"/>
      <c r="AB30"/>
      <c r="AC30"/>
      <c r="AD30"/>
      <c r="AE30"/>
    </row>
    <row r="31" spans="1:31" ht="6" hidden="1" customHeight="1" outlineLevel="1">
      <c r="B31" s="1157"/>
      <c r="C31" s="864"/>
      <c r="D31" s="864"/>
      <c r="E31" s="864"/>
      <c r="F31" s="864"/>
      <c r="G31" s="864"/>
      <c r="H31" s="864"/>
      <c r="I31" s="864"/>
      <c r="J31" s="864"/>
      <c r="K31" s="864"/>
      <c r="L31" s="864"/>
      <c r="M31" s="864"/>
      <c r="N31" s="864"/>
      <c r="O31" s="864"/>
      <c r="P31" s="1158"/>
      <c r="S31"/>
      <c r="T31"/>
      <c r="U31"/>
      <c r="V31"/>
      <c r="W31"/>
      <c r="X31"/>
      <c r="Y31"/>
      <c r="Z31"/>
      <c r="AA31"/>
      <c r="AB31"/>
      <c r="AC31"/>
      <c r="AD31"/>
      <c r="AE31"/>
    </row>
    <row r="32" spans="1:31" ht="15.75" hidden="1" outlineLevel="1">
      <c r="B32" s="1159"/>
      <c r="C32" s="766" t="s">
        <v>715</v>
      </c>
      <c r="D32" s="766" t="s">
        <v>731</v>
      </c>
      <c r="E32" s="766" t="s">
        <v>442</v>
      </c>
      <c r="F32" s="923">
        <v>2007</v>
      </c>
      <c r="G32" s="924">
        <v>2010</v>
      </c>
      <c r="H32" s="923">
        <v>2015</v>
      </c>
      <c r="I32" s="923">
        <v>2020</v>
      </c>
      <c r="J32" s="923">
        <v>2025</v>
      </c>
      <c r="K32" s="923">
        <v>2030</v>
      </c>
      <c r="L32" s="923">
        <v>2035</v>
      </c>
      <c r="M32" s="923">
        <v>2040</v>
      </c>
      <c r="N32" s="923">
        <v>2045</v>
      </c>
      <c r="O32" s="923">
        <v>2050</v>
      </c>
      <c r="P32" s="1158"/>
      <c r="S32"/>
      <c r="T32"/>
      <c r="U32"/>
      <c r="V32"/>
      <c r="W32"/>
      <c r="X32"/>
      <c r="Y32"/>
      <c r="Z32"/>
      <c r="AA32"/>
      <c r="AB32"/>
      <c r="AC32"/>
      <c r="AD32"/>
      <c r="AE32"/>
    </row>
    <row r="33" spans="1:31" ht="15.75" hidden="1" outlineLevel="1">
      <c r="B33" s="1159"/>
      <c r="C33" s="791" t="s">
        <v>12</v>
      </c>
      <c r="D33" s="792" t="str">
        <f>INDEX(Vectors[Description], MATCH($C33, Vectors[Code], 0))</f>
        <v>Hydro</v>
      </c>
      <c r="E33" s="792"/>
      <c r="F33" s="1804">
        <v>0.36299999999999999</v>
      </c>
      <c r="G33" s="799">
        <v>0.38</v>
      </c>
      <c r="H33" s="798">
        <v>0.38</v>
      </c>
      <c r="I33" s="798">
        <v>0.38</v>
      </c>
      <c r="J33" s="798">
        <v>0.38</v>
      </c>
      <c r="K33" s="798">
        <v>0.38</v>
      </c>
      <c r="L33" s="798">
        <v>0.38</v>
      </c>
      <c r="M33" s="798">
        <v>0.38</v>
      </c>
      <c r="N33" s="798">
        <v>0.38</v>
      </c>
      <c r="O33" s="798">
        <v>0.38</v>
      </c>
      <c r="P33" s="1158"/>
      <c r="S33"/>
      <c r="T33"/>
      <c r="U33"/>
      <c r="V33"/>
      <c r="W33"/>
      <c r="X33"/>
      <c r="Y33"/>
      <c r="Z33"/>
      <c r="AA33"/>
      <c r="AB33"/>
      <c r="AC33"/>
      <c r="AD33"/>
      <c r="AE33"/>
    </row>
    <row r="34" spans="1:31" hidden="1" outlineLevel="1">
      <c r="B34" s="1157"/>
      <c r="C34" s="864"/>
      <c r="D34" s="864"/>
      <c r="E34" s="864"/>
      <c r="F34" s="864"/>
      <c r="G34" s="864"/>
      <c r="H34" s="864"/>
      <c r="I34" s="864"/>
      <c r="J34" s="864"/>
      <c r="K34" s="864"/>
      <c r="L34" s="864"/>
      <c r="M34" s="864"/>
      <c r="N34" s="864"/>
      <c r="O34" s="864"/>
      <c r="P34" s="1158"/>
      <c r="S34"/>
      <c r="T34"/>
      <c r="U34"/>
      <c r="V34"/>
      <c r="W34"/>
      <c r="X34"/>
      <c r="Y34"/>
      <c r="Z34"/>
      <c r="AA34"/>
      <c r="AB34"/>
      <c r="AC34"/>
      <c r="AD34"/>
      <c r="AE34"/>
    </row>
    <row r="35" spans="1:31" hidden="1" outlineLevel="1">
      <c r="B35" s="864"/>
      <c r="C35" s="864" t="s">
        <v>442</v>
      </c>
      <c r="D35" s="864"/>
      <c r="E35" s="864"/>
      <c r="F35" s="864"/>
      <c r="G35" s="864"/>
      <c r="H35" s="864"/>
      <c r="I35" s="864"/>
      <c r="J35" s="864"/>
      <c r="K35" s="864"/>
      <c r="L35" s="864"/>
      <c r="M35" s="864"/>
      <c r="N35" s="864"/>
      <c r="O35" s="864"/>
      <c r="P35" s="1158"/>
      <c r="S35"/>
      <c r="T35"/>
      <c r="U35"/>
      <c r="V35"/>
      <c r="W35"/>
      <c r="X35"/>
      <c r="Y35"/>
      <c r="Z35"/>
      <c r="AA35"/>
      <c r="AB35"/>
      <c r="AC35"/>
      <c r="AD35"/>
      <c r="AE35"/>
    </row>
    <row r="36" spans="1:31" hidden="1" outlineLevel="1">
      <c r="B36" s="864"/>
      <c r="C36" s="848" t="s">
        <v>109</v>
      </c>
      <c r="D36" s="868" t="s">
        <v>2082</v>
      </c>
      <c r="E36" s="864"/>
      <c r="F36" s="864"/>
      <c r="G36" s="864"/>
      <c r="H36" s="864"/>
      <c r="I36" s="864"/>
      <c r="J36" s="864"/>
      <c r="K36" s="864"/>
      <c r="L36" s="864"/>
      <c r="M36" s="864"/>
      <c r="N36" s="864"/>
      <c r="O36" s="864"/>
      <c r="P36" s="1158"/>
      <c r="S36"/>
      <c r="T36"/>
      <c r="U36"/>
      <c r="V36"/>
      <c r="W36"/>
      <c r="X36"/>
      <c r="Y36"/>
      <c r="Z36"/>
      <c r="AA36"/>
      <c r="AB36"/>
      <c r="AC36"/>
      <c r="AD36"/>
      <c r="AE36"/>
    </row>
    <row r="37" spans="1:31" hidden="1" outlineLevel="1">
      <c r="B37" s="864"/>
      <c r="C37" s="864"/>
      <c r="D37" s="864"/>
      <c r="E37" s="864"/>
      <c r="F37" s="864"/>
      <c r="G37" s="864"/>
      <c r="H37" s="864"/>
      <c r="I37" s="864"/>
      <c r="J37" s="864"/>
      <c r="K37" s="864"/>
      <c r="L37" s="864"/>
      <c r="M37" s="864"/>
      <c r="N37" s="864"/>
      <c r="O37" s="1165"/>
      <c r="P37" s="1166"/>
    </row>
    <row r="39" spans="1:31" ht="22.5" collapsed="1">
      <c r="A39" s="1171"/>
      <c r="B39" s="1236" t="s">
        <v>817</v>
      </c>
      <c r="C39" s="1167"/>
      <c r="D39" s="1167"/>
      <c r="E39" s="1167"/>
      <c r="F39" s="1167"/>
      <c r="G39" s="1167"/>
      <c r="H39" s="1167"/>
      <c r="I39" s="1167"/>
      <c r="J39" s="1167"/>
      <c r="K39" s="1167"/>
      <c r="L39" s="1167"/>
      <c r="M39" s="1167"/>
      <c r="N39" s="1167"/>
      <c r="O39" s="1167"/>
      <c r="P39" s="1168"/>
    </row>
    <row r="40" spans="1:31" hidden="1" outlineLevel="1">
      <c r="B40" s="1157"/>
      <c r="C40" s="864"/>
      <c r="D40" s="864"/>
      <c r="E40" s="864"/>
      <c r="F40" s="864"/>
      <c r="G40" s="864"/>
      <c r="H40" s="864"/>
      <c r="I40" s="864"/>
      <c r="J40" s="864"/>
      <c r="K40" s="864"/>
      <c r="L40" s="864"/>
      <c r="M40" s="864"/>
      <c r="N40" s="864"/>
      <c r="O40" s="864"/>
      <c r="P40" s="1158"/>
    </row>
    <row r="41" spans="1:31" hidden="1" outlineLevel="1">
      <c r="B41" s="1157"/>
      <c r="C41" s="866" t="s">
        <v>764</v>
      </c>
      <c r="D41" s="864"/>
      <c r="E41" s="867"/>
      <c r="F41" s="864"/>
      <c r="G41" s="864"/>
      <c r="H41" s="864"/>
      <c r="I41" s="864"/>
      <c r="J41" s="864"/>
      <c r="K41" s="864"/>
      <c r="L41" s="864"/>
      <c r="M41" s="864"/>
      <c r="N41" s="864"/>
      <c r="O41" s="867" t="str">
        <f>Preferences.PowerUnits</f>
        <v>GW</v>
      </c>
      <c r="P41" s="1158"/>
    </row>
    <row r="42" spans="1:31" ht="5.25" hidden="1" customHeight="1" outlineLevel="1">
      <c r="B42" s="1157"/>
      <c r="C42" s="864"/>
      <c r="D42" s="864"/>
      <c r="E42" s="864"/>
      <c r="F42" s="864"/>
      <c r="G42" s="864"/>
      <c r="H42" s="864"/>
      <c r="I42" s="864"/>
      <c r="J42" s="864"/>
      <c r="K42" s="864"/>
      <c r="L42" s="864"/>
      <c r="M42" s="864"/>
      <c r="N42" s="864"/>
      <c r="O42" s="864"/>
      <c r="P42" s="1158"/>
    </row>
    <row r="43" spans="1:31" ht="15.75" hidden="1" outlineLevel="1">
      <c r="B43" s="1159"/>
      <c r="C43" s="766" t="s">
        <v>715</v>
      </c>
      <c r="D43" s="766" t="s">
        <v>79</v>
      </c>
      <c r="E43" s="766" t="s">
        <v>442</v>
      </c>
      <c r="F43" s="923">
        <v>2007</v>
      </c>
      <c r="G43" s="924">
        <v>2010</v>
      </c>
      <c r="H43" s="923">
        <v>2015</v>
      </c>
      <c r="I43" s="923">
        <v>2020</v>
      </c>
      <c r="J43" s="923">
        <v>2025</v>
      </c>
      <c r="K43" s="923">
        <v>2030</v>
      </c>
      <c r="L43" s="923">
        <v>2035</v>
      </c>
      <c r="M43" s="923">
        <v>2040</v>
      </c>
      <c r="N43" s="923">
        <v>2045</v>
      </c>
      <c r="O43" s="923">
        <v>2050</v>
      </c>
      <c r="P43" s="1158"/>
    </row>
    <row r="44" spans="1:31" ht="15.75" hidden="1" outlineLevel="1">
      <c r="B44" s="1161"/>
      <c r="C44" s="791" t="s">
        <v>12</v>
      </c>
      <c r="D44" s="792" t="str">
        <f>INDEX(Vectors[Description], MATCH($C44, Vectors[Code], 0))</f>
        <v>Hydro</v>
      </c>
      <c r="E44" s="792"/>
      <c r="F44" s="2331">
        <f>INDEX(F$16:F$19, MATCH($E$8, $C$16:$C$19, 0))</f>
        <v>1.2929999999999999</v>
      </c>
      <c r="G44" s="1964">
        <f t="shared" ref="G44:O44" si="1">INDEX(G$16:G$19, MATCH($E$8, $C$16:$C$19, 0))</f>
        <v>1.6</v>
      </c>
      <c r="H44" s="2331">
        <f t="shared" si="1"/>
        <v>1.6</v>
      </c>
      <c r="I44" s="2331">
        <f t="shared" si="1"/>
        <v>1.6</v>
      </c>
      <c r="J44" s="2331">
        <f t="shared" si="1"/>
        <v>1.6</v>
      </c>
      <c r="K44" s="2331">
        <f t="shared" si="1"/>
        <v>1.6</v>
      </c>
      <c r="L44" s="2331">
        <f t="shared" si="1"/>
        <v>1.6</v>
      </c>
      <c r="M44" s="2331">
        <f t="shared" si="1"/>
        <v>1.6</v>
      </c>
      <c r="N44" s="2331">
        <f t="shared" si="1"/>
        <v>1.6</v>
      </c>
      <c r="O44" s="2331">
        <f t="shared" si="1"/>
        <v>1.6</v>
      </c>
      <c r="P44" s="1162"/>
    </row>
    <row r="45" spans="1:31" hidden="1" outlineLevel="1">
      <c r="B45" s="1163"/>
      <c r="C45" s="831"/>
      <c r="D45" s="832"/>
      <c r="E45" s="832"/>
      <c r="F45" s="911"/>
      <c r="G45" s="912"/>
      <c r="H45" s="912"/>
      <c r="I45" s="912"/>
      <c r="J45" s="912"/>
      <c r="K45" s="912"/>
      <c r="L45" s="912"/>
      <c r="M45" s="912"/>
      <c r="N45" s="912"/>
      <c r="O45" s="912"/>
      <c r="P45" s="1158"/>
    </row>
    <row r="46" spans="1:31" hidden="1" outlineLevel="1">
      <c r="B46" s="1223"/>
      <c r="C46" s="1194"/>
      <c r="D46" s="1195"/>
      <c r="E46" s="1195"/>
      <c r="F46" s="1252"/>
      <c r="G46" s="1253"/>
      <c r="H46" s="1253"/>
      <c r="I46" s="1253"/>
      <c r="J46" s="1253"/>
      <c r="K46" s="1253"/>
      <c r="L46" s="1253"/>
      <c r="M46" s="1253"/>
      <c r="N46" s="1253"/>
      <c r="O46" s="1253"/>
      <c r="P46" s="1166"/>
    </row>
    <row r="48" spans="1:31" ht="15.75" collapsed="1">
      <c r="B48" s="809" t="s">
        <v>732</v>
      </c>
    </row>
    <row r="49" spans="1:16" ht="15.75" hidden="1" outlineLevel="1">
      <c r="B49" s="809"/>
    </row>
    <row r="50" spans="1:16" hidden="1" outlineLevel="1">
      <c r="B50" s="731"/>
      <c r="C50" s="121" t="s">
        <v>2085</v>
      </c>
    </row>
    <row r="51" spans="1:16" hidden="1" outlineLevel="1"/>
    <row r="52" spans="1:16" hidden="1" outlineLevel="1">
      <c r="C52" s="731" t="s">
        <v>806</v>
      </c>
      <c r="E52" s="121" t="str">
        <f>Preferences.PowerUnits</f>
        <v>GW</v>
      </c>
      <c r="F52" s="27">
        <f>F$44</f>
        <v>1.2929999999999999</v>
      </c>
      <c r="G52" s="27">
        <f t="shared" ref="G52:O52" si="2">G$44</f>
        <v>1.6</v>
      </c>
      <c r="H52" s="27">
        <f t="shared" si="2"/>
        <v>1.6</v>
      </c>
      <c r="I52" s="27">
        <f t="shared" si="2"/>
        <v>1.6</v>
      </c>
      <c r="J52" s="27">
        <f t="shared" si="2"/>
        <v>1.6</v>
      </c>
      <c r="K52" s="27">
        <f t="shared" si="2"/>
        <v>1.6</v>
      </c>
      <c r="L52" s="27">
        <f t="shared" si="2"/>
        <v>1.6</v>
      </c>
      <c r="M52" s="27">
        <f t="shared" si="2"/>
        <v>1.6</v>
      </c>
      <c r="N52" s="27">
        <f t="shared" si="2"/>
        <v>1.6</v>
      </c>
      <c r="O52" s="27">
        <f t="shared" si="2"/>
        <v>1.6</v>
      </c>
    </row>
    <row r="53" spans="1:16" hidden="1" outlineLevel="1">
      <c r="B53" s="806" t="s">
        <v>838</v>
      </c>
      <c r="C53" s="121" t="s">
        <v>805</v>
      </c>
      <c r="F53" s="19">
        <f>F$33</f>
        <v>0.36299999999999999</v>
      </c>
      <c r="G53" s="19">
        <f t="shared" ref="G53:O53" si="3">G$33</f>
        <v>0.38</v>
      </c>
      <c r="H53" s="19">
        <f t="shared" si="3"/>
        <v>0.38</v>
      </c>
      <c r="I53" s="19">
        <f t="shared" si="3"/>
        <v>0.38</v>
      </c>
      <c r="J53" s="19">
        <f t="shared" si="3"/>
        <v>0.38</v>
      </c>
      <c r="K53" s="19">
        <f t="shared" si="3"/>
        <v>0.38</v>
      </c>
      <c r="L53" s="19">
        <f t="shared" si="3"/>
        <v>0.38</v>
      </c>
      <c r="M53" s="19">
        <f t="shared" si="3"/>
        <v>0.38</v>
      </c>
      <c r="N53" s="19">
        <f t="shared" si="3"/>
        <v>0.38</v>
      </c>
      <c r="O53" s="19">
        <f t="shared" si="3"/>
        <v>0.38</v>
      </c>
    </row>
    <row r="54" spans="1:16" hidden="1" outlineLevel="1">
      <c r="B54" s="807" t="s">
        <v>840</v>
      </c>
      <c r="C54" s="731" t="s">
        <v>1275</v>
      </c>
      <c r="F54" s="783">
        <f>F52*F53</f>
        <v>0.46935899999999997</v>
      </c>
      <c r="G54" s="783">
        <f t="shared" ref="G54:O54" si="4">G52*G53</f>
        <v>0.6080000000000001</v>
      </c>
      <c r="H54" s="783">
        <f t="shared" si="4"/>
        <v>0.6080000000000001</v>
      </c>
      <c r="I54" s="783">
        <f t="shared" si="4"/>
        <v>0.6080000000000001</v>
      </c>
      <c r="J54" s="783">
        <f t="shared" si="4"/>
        <v>0.6080000000000001</v>
      </c>
      <c r="K54" s="783">
        <f t="shared" si="4"/>
        <v>0.6080000000000001</v>
      </c>
      <c r="L54" s="783">
        <f t="shared" si="4"/>
        <v>0.6080000000000001</v>
      </c>
      <c r="M54" s="783">
        <f t="shared" si="4"/>
        <v>0.6080000000000001</v>
      </c>
      <c r="N54" s="783">
        <f t="shared" si="4"/>
        <v>0.6080000000000001</v>
      </c>
      <c r="O54" s="783">
        <f t="shared" si="4"/>
        <v>0.6080000000000001</v>
      </c>
    </row>
    <row r="55" spans="1:16" hidden="1" outlineLevel="1">
      <c r="B55" s="807"/>
      <c r="C55" s="731"/>
      <c r="F55" s="783"/>
      <c r="G55" s="783"/>
      <c r="H55" s="783"/>
      <c r="I55" s="783"/>
      <c r="J55" s="783"/>
      <c r="K55" s="783"/>
      <c r="L55" s="783"/>
      <c r="M55" s="783"/>
      <c r="N55" s="783"/>
      <c r="O55" s="783"/>
    </row>
    <row r="56" spans="1:16" hidden="1" outlineLevel="1">
      <c r="C56" s="731" t="s">
        <v>548</v>
      </c>
      <c r="E56" s="121" t="str">
        <f>Preferences.EnergyUnits</f>
        <v>TWh</v>
      </c>
      <c r="F56" s="783">
        <f t="shared" ref="F56:O56" si="5">F$54*Preferences.Unit.Power*Unit.year/Preferences.Unit.Energy</f>
        <v>4.1144009940000004</v>
      </c>
      <c r="G56" s="783">
        <f t="shared" si="5"/>
        <v>5.3297280000000011</v>
      </c>
      <c r="H56" s="783">
        <f t="shared" si="5"/>
        <v>5.3297280000000011</v>
      </c>
      <c r="I56" s="783">
        <f t="shared" si="5"/>
        <v>5.3297280000000011</v>
      </c>
      <c r="J56" s="783">
        <f t="shared" si="5"/>
        <v>5.3297280000000011</v>
      </c>
      <c r="K56" s="783">
        <f t="shared" si="5"/>
        <v>5.3297280000000011</v>
      </c>
      <c r="L56" s="783">
        <f t="shared" si="5"/>
        <v>5.3297280000000011</v>
      </c>
      <c r="M56" s="783">
        <f t="shared" si="5"/>
        <v>5.3297280000000011</v>
      </c>
      <c r="N56" s="783">
        <f t="shared" si="5"/>
        <v>5.3297280000000011</v>
      </c>
      <c r="O56" s="783">
        <f t="shared" si="5"/>
        <v>5.3297280000000011</v>
      </c>
    </row>
    <row r="57" spans="1:16" hidden="1" outlineLevel="1">
      <c r="C57" s="807"/>
      <c r="F57" s="783"/>
    </row>
    <row r="59" spans="1:16" ht="22.5" collapsed="1">
      <c r="A59" s="1171"/>
      <c r="B59" s="1231" t="s">
        <v>683</v>
      </c>
      <c r="C59" s="1183"/>
      <c r="D59" s="1183"/>
      <c r="E59" s="1183"/>
      <c r="F59" s="1183"/>
      <c r="G59" s="1183"/>
      <c r="H59" s="1183"/>
      <c r="I59" s="1183"/>
      <c r="J59" s="1183"/>
      <c r="K59" s="1183"/>
      <c r="L59" s="1183"/>
      <c r="M59" s="1183"/>
      <c r="N59" s="1183"/>
      <c r="O59" s="1183"/>
      <c r="P59" s="1185"/>
    </row>
    <row r="60" spans="1:16" hidden="1" outlineLevel="1">
      <c r="B60" s="1172"/>
      <c r="C60" s="1174"/>
      <c r="D60" s="1174"/>
      <c r="E60" s="1174"/>
      <c r="F60" s="1174"/>
      <c r="G60" s="1174"/>
      <c r="H60" s="1174"/>
      <c r="I60" s="1174"/>
      <c r="J60" s="1174"/>
      <c r="K60" s="1174"/>
      <c r="L60" s="1174"/>
      <c r="M60" s="1174"/>
      <c r="N60" s="1174"/>
      <c r="O60" s="1174"/>
      <c r="P60" s="1176"/>
    </row>
    <row r="61" spans="1:16" hidden="1" outlineLevel="1">
      <c r="B61" s="1172"/>
      <c r="C61" s="1186" t="s">
        <v>730</v>
      </c>
      <c r="D61" s="1174"/>
      <c r="E61" s="1175"/>
      <c r="F61" s="1174"/>
      <c r="G61" s="1175"/>
      <c r="H61" s="1174"/>
      <c r="I61" s="1174"/>
      <c r="J61" s="1174"/>
      <c r="K61" s="1174"/>
      <c r="L61" s="1174"/>
      <c r="M61" s="1174"/>
      <c r="N61" s="1174"/>
      <c r="O61" s="1175" t="str">
        <f>Preferences.EnergyUnits</f>
        <v>TWh</v>
      </c>
      <c r="P61" s="1176"/>
    </row>
    <row r="62" spans="1:16" ht="6" hidden="1" customHeight="1" outlineLevel="1">
      <c r="B62" s="1172"/>
      <c r="C62" s="1174"/>
      <c r="D62" s="1174"/>
      <c r="E62" s="1174"/>
      <c r="F62" s="1174"/>
      <c r="G62" s="1174"/>
      <c r="H62" s="1174"/>
      <c r="I62" s="1174"/>
      <c r="J62" s="1174"/>
      <c r="K62" s="1174"/>
      <c r="L62" s="1174"/>
      <c r="M62" s="1174"/>
      <c r="N62" s="1174"/>
      <c r="O62" s="1174"/>
      <c r="P62" s="1176"/>
    </row>
    <row r="63" spans="1:16" ht="15.75" hidden="1" outlineLevel="1">
      <c r="A63" s="3"/>
      <c r="B63" s="1177"/>
      <c r="C63" s="1188" t="s">
        <v>78</v>
      </c>
      <c r="D63" s="1188" t="s">
        <v>418</v>
      </c>
      <c r="E63" s="1188" t="s">
        <v>442</v>
      </c>
      <c r="F63" s="1188" t="s">
        <v>691</v>
      </c>
      <c r="G63" s="1188" t="s">
        <v>692</v>
      </c>
      <c r="H63" s="1189" t="s">
        <v>721</v>
      </c>
      <c r="I63" s="1189" t="s">
        <v>722</v>
      </c>
      <c r="J63" s="1189" t="s">
        <v>723</v>
      </c>
      <c r="K63" s="1189" t="s">
        <v>724</v>
      </c>
      <c r="L63" s="1189" t="s">
        <v>725</v>
      </c>
      <c r="M63" s="1189" t="s">
        <v>726</v>
      </c>
      <c r="N63" s="1189" t="s">
        <v>727</v>
      </c>
      <c r="O63" s="1189" t="s">
        <v>728</v>
      </c>
      <c r="P63" s="1176"/>
    </row>
    <row r="64" spans="1:16" ht="15.75" hidden="1" outlineLevel="1">
      <c r="A64" s="3"/>
      <c r="B64" s="1177"/>
      <c r="C64" s="765" t="s">
        <v>46</v>
      </c>
      <c r="D64" s="765" t="str">
        <f>INDEX(Vectors[Description], MATCH([Vector], Vectors[Code], 0))</f>
        <v>Electricity (supplied to grid)</v>
      </c>
      <c r="E64" s="765"/>
      <c r="F64" s="953">
        <f>F$56</f>
        <v>4.1144009940000004</v>
      </c>
      <c r="G64" s="953">
        <f t="shared" ref="G64:O64" si="6">G$56</f>
        <v>5.3297280000000011</v>
      </c>
      <c r="H64" s="953">
        <f t="shared" si="6"/>
        <v>5.3297280000000011</v>
      </c>
      <c r="I64" s="953">
        <f t="shared" si="6"/>
        <v>5.3297280000000011</v>
      </c>
      <c r="J64" s="953">
        <f t="shared" si="6"/>
        <v>5.3297280000000011</v>
      </c>
      <c r="K64" s="953">
        <f t="shared" si="6"/>
        <v>5.3297280000000011</v>
      </c>
      <c r="L64" s="953">
        <f t="shared" si="6"/>
        <v>5.3297280000000011</v>
      </c>
      <c r="M64" s="953">
        <f t="shared" si="6"/>
        <v>5.3297280000000011</v>
      </c>
      <c r="N64" s="953">
        <f t="shared" si="6"/>
        <v>5.3297280000000011</v>
      </c>
      <c r="O64" s="953">
        <f t="shared" si="6"/>
        <v>5.3297280000000011</v>
      </c>
      <c r="P64" s="1176"/>
    </row>
    <row r="65" spans="1:16" ht="15.75" hidden="1" outlineLevel="1">
      <c r="A65" s="3"/>
      <c r="B65" s="1177"/>
      <c r="C65" s="765" t="s">
        <v>12</v>
      </c>
      <c r="D65" s="765" t="str">
        <f>INDEX(Vectors[Description], MATCH([Vector], Vectors[Code], 0))</f>
        <v>Hydro</v>
      </c>
      <c r="E65" s="765"/>
      <c r="F65" s="953">
        <f>-F56</f>
        <v>-4.1144009940000004</v>
      </c>
      <c r="G65" s="953">
        <f t="shared" ref="G65:O65" si="7">-G56</f>
        <v>-5.3297280000000011</v>
      </c>
      <c r="H65" s="953">
        <f t="shared" si="7"/>
        <v>-5.3297280000000011</v>
      </c>
      <c r="I65" s="953">
        <f t="shared" si="7"/>
        <v>-5.3297280000000011</v>
      </c>
      <c r="J65" s="953">
        <f t="shared" si="7"/>
        <v>-5.3297280000000011</v>
      </c>
      <c r="K65" s="953">
        <f t="shared" si="7"/>
        <v>-5.3297280000000011</v>
      </c>
      <c r="L65" s="953">
        <f t="shared" si="7"/>
        <v>-5.3297280000000011</v>
      </c>
      <c r="M65" s="953">
        <f t="shared" si="7"/>
        <v>-5.3297280000000011</v>
      </c>
      <c r="N65" s="953">
        <f t="shared" si="7"/>
        <v>-5.3297280000000011</v>
      </c>
      <c r="O65" s="953">
        <f t="shared" si="7"/>
        <v>-5.3297280000000011</v>
      </c>
      <c r="P65" s="1176"/>
    </row>
    <row r="66" spans="1:16" ht="15.75" hidden="1" outlineLevel="1">
      <c r="A66" s="3"/>
      <c r="B66" s="1177"/>
      <c r="C66" s="765" t="s">
        <v>148</v>
      </c>
      <c r="D66" s="765"/>
      <c r="E66" s="765"/>
      <c r="F66" s="779">
        <f>SUBTOTAL(109,[2007])</f>
        <v>0</v>
      </c>
      <c r="G66" s="765">
        <f>SUBTOTAL(109,[2010])</f>
        <v>0</v>
      </c>
      <c r="H66" s="765">
        <f>SUBTOTAL(109,[2015])</f>
        <v>0</v>
      </c>
      <c r="I66" s="765">
        <f>SUBTOTAL(109,[2020])</f>
        <v>0</v>
      </c>
      <c r="J66" s="765">
        <f>SUBTOTAL(109,[2025])</f>
        <v>0</v>
      </c>
      <c r="K66" s="765">
        <f>SUBTOTAL(109,[2030])</f>
        <v>0</v>
      </c>
      <c r="L66" s="765">
        <f>SUBTOTAL(109,[2035])</f>
        <v>0</v>
      </c>
      <c r="M66" s="765">
        <f>SUBTOTAL(109,[2040])</f>
        <v>0</v>
      </c>
      <c r="N66" s="765">
        <f>SUBTOTAL(109,[2045])</f>
        <v>0</v>
      </c>
      <c r="O66" s="765">
        <f>SUBTOTAL(109,[2050])</f>
        <v>0</v>
      </c>
      <c r="P66" s="1176"/>
    </row>
    <row r="67" spans="1:16" ht="15.75" hidden="1" outlineLevel="1">
      <c r="A67" s="3"/>
      <c r="B67" s="1178"/>
      <c r="C67" s="1179"/>
      <c r="D67" s="1179"/>
      <c r="E67" s="1179"/>
      <c r="F67" s="1179"/>
      <c r="G67" s="1179"/>
      <c r="H67" s="1179"/>
      <c r="I67" s="1179"/>
      <c r="J67" s="1179"/>
      <c r="K67" s="1179"/>
      <c r="L67" s="1179"/>
      <c r="M67" s="1179"/>
      <c r="N67" s="1179"/>
      <c r="O67" s="1179"/>
      <c r="P67" s="1181"/>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sheetPr codeName="Sheet31">
    <tabColor theme="9"/>
    <outlinePr summaryBelow="0"/>
    <pageSetUpPr autoPageBreaks="0"/>
  </sheetPr>
  <dimension ref="A1:XFD106"/>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8" ht="21">
      <c r="A1" s="789" t="s">
        <v>76</v>
      </c>
      <c r="B1" s="789" t="str">
        <f>INDEX(Workstreams[Workstream], MATCH($A1, Workstreams[Code], 0))</f>
        <v>National renewable power generation</v>
      </c>
      <c r="C1" s="789"/>
    </row>
    <row r="2" spans="1:18" s="743" customFormat="1" ht="19.5" customHeight="1">
      <c r="A2" s="10" t="s">
        <v>808</v>
      </c>
      <c r="B2" s="10" t="str">
        <f>INDEX(Modules[Module], MATCH($A2, Modules[Code], 0))</f>
        <v>Wave and Tidal</v>
      </c>
      <c r="C2" s="10"/>
    </row>
    <row r="4" spans="1:18" ht="22.5" collapsed="1">
      <c r="A4" s="1171"/>
      <c r="B4" s="1231" t="s">
        <v>1357</v>
      </c>
      <c r="C4" s="1219"/>
      <c r="D4" s="1183"/>
      <c r="E4" s="1184"/>
      <c r="F4" s="1183"/>
      <c r="G4" s="1183"/>
      <c r="H4" s="1183"/>
      <c r="I4" s="1183"/>
      <c r="J4" s="1183"/>
      <c r="K4" s="1183"/>
      <c r="L4" s="1183"/>
      <c r="M4" s="1183"/>
      <c r="N4" s="1183"/>
      <c r="O4" s="1183"/>
      <c r="P4" s="1185"/>
      <c r="R4" s="731"/>
    </row>
    <row r="5" spans="1:18" hidden="1" outlineLevel="1">
      <c r="B5" s="1172"/>
      <c r="C5" s="1173"/>
      <c r="D5" s="1174"/>
      <c r="E5" s="1175"/>
      <c r="F5" s="1174"/>
      <c r="G5" s="1174"/>
      <c r="H5" s="1174"/>
      <c r="I5" s="1174"/>
      <c r="J5" s="1174"/>
      <c r="K5" s="1174"/>
      <c r="L5" s="1174"/>
      <c r="M5" s="1174"/>
      <c r="N5" s="1174"/>
      <c r="O5" s="1174"/>
      <c r="P5" s="1176"/>
    </row>
    <row r="6" spans="1:18" ht="15.75" hidden="1" outlineLevel="1">
      <c r="B6" s="1177"/>
      <c r="C6" s="1174"/>
      <c r="D6" s="922" t="s">
        <v>830</v>
      </c>
      <c r="E6" s="922" t="s">
        <v>1352</v>
      </c>
      <c r="F6" s="1174"/>
      <c r="G6" s="1174"/>
      <c r="H6" s="1174"/>
      <c r="I6" s="1174"/>
      <c r="J6" s="1174"/>
      <c r="K6" s="1174"/>
      <c r="L6" s="1174"/>
      <c r="M6" s="1174"/>
      <c r="N6" s="1174"/>
      <c r="O6" s="1174"/>
      <c r="P6" s="1176"/>
    </row>
    <row r="7" spans="1:18" ht="15.75" hidden="1" outlineLevel="1">
      <c r="B7" s="1177"/>
      <c r="C7" s="1174"/>
      <c r="D7" s="950" t="s">
        <v>1352</v>
      </c>
      <c r="E7" s="950">
        <f>III.c.Scenario</f>
        <v>1</v>
      </c>
      <c r="F7" s="1174"/>
      <c r="G7" s="1174"/>
      <c r="H7" s="1174"/>
      <c r="I7" s="1174"/>
      <c r="J7" s="1174"/>
      <c r="K7" s="1174"/>
      <c r="L7" s="1174"/>
      <c r="M7" s="1174"/>
      <c r="N7" s="1174"/>
      <c r="O7" s="1174"/>
      <c r="P7" s="1176"/>
    </row>
    <row r="8" spans="1:18" ht="15.75" hidden="1" outlineLevel="1">
      <c r="B8" s="1178"/>
      <c r="C8" s="1179"/>
      <c r="D8" s="1179"/>
      <c r="E8" s="1179"/>
      <c r="F8" s="1180"/>
      <c r="G8" s="1180"/>
      <c r="H8" s="1180"/>
      <c r="I8" s="1180"/>
      <c r="J8" s="1180"/>
      <c r="K8" s="1180"/>
      <c r="L8" s="1180"/>
      <c r="M8" s="1180"/>
      <c r="N8" s="1180"/>
      <c r="O8" s="1180"/>
      <c r="P8" s="1181"/>
    </row>
    <row r="10" spans="1:18" ht="22.5" collapsed="1">
      <c r="A10" s="1171"/>
      <c r="B10" s="1236" t="s">
        <v>1354</v>
      </c>
      <c r="C10" s="1167"/>
      <c r="D10" s="1167"/>
      <c r="E10" s="1167"/>
      <c r="F10" s="1167"/>
      <c r="G10" s="1167"/>
      <c r="H10" s="1167"/>
      <c r="I10" s="1167"/>
      <c r="J10" s="1167"/>
      <c r="K10" s="1167"/>
      <c r="L10" s="1167"/>
      <c r="M10" s="1167"/>
      <c r="N10" s="1167"/>
      <c r="O10" s="1167"/>
      <c r="P10" s="1168"/>
    </row>
    <row r="11" spans="1:18" hidden="1" outlineLevel="1">
      <c r="B11" s="1157"/>
      <c r="C11" s="864"/>
      <c r="D11" s="864"/>
      <c r="E11" s="864"/>
      <c r="F11" s="864"/>
      <c r="G11" s="864"/>
      <c r="H11" s="864"/>
      <c r="I11" s="864"/>
      <c r="J11" s="864"/>
      <c r="K11" s="864"/>
      <c r="L11" s="864"/>
      <c r="M11" s="864"/>
      <c r="N11" s="864"/>
      <c r="O11" s="864"/>
      <c r="P11" s="1158"/>
    </row>
    <row r="12" spans="1:18" hidden="1" outlineLevel="1">
      <c r="B12" s="1157"/>
      <c r="C12" s="866" t="s">
        <v>2453</v>
      </c>
      <c r="D12" s="864"/>
      <c r="E12" s="867"/>
      <c r="F12" s="864"/>
      <c r="G12" s="864"/>
      <c r="H12" s="864"/>
      <c r="I12" s="864"/>
      <c r="J12" s="864"/>
      <c r="K12" s="864"/>
      <c r="L12" s="864"/>
      <c r="M12" s="864"/>
      <c r="N12" s="864"/>
      <c r="O12" s="867" t="str">
        <f>Preferences.PowerUnits</f>
        <v>GW</v>
      </c>
      <c r="P12" s="1158"/>
    </row>
    <row r="13" spans="1:18" ht="5.25" hidden="1" customHeight="1" outlineLevel="1">
      <c r="B13" s="1157"/>
      <c r="C13" s="864"/>
      <c r="D13" s="864"/>
      <c r="E13" s="864"/>
      <c r="F13" s="864"/>
      <c r="G13" s="864"/>
      <c r="H13" s="864"/>
      <c r="I13" s="864"/>
      <c r="J13" s="864"/>
      <c r="K13" s="864"/>
      <c r="L13" s="864"/>
      <c r="M13" s="864"/>
      <c r="N13" s="864"/>
      <c r="O13" s="864"/>
      <c r="P13" s="1158"/>
    </row>
    <row r="14" spans="1:18" ht="15.75" hidden="1" outlineLevel="1">
      <c r="B14" s="1159"/>
      <c r="C14" s="766" t="s">
        <v>1352</v>
      </c>
      <c r="D14" s="766" t="s">
        <v>79</v>
      </c>
      <c r="E14" s="766" t="s">
        <v>442</v>
      </c>
      <c r="F14" s="923">
        <v>2007</v>
      </c>
      <c r="G14" s="924">
        <v>2010</v>
      </c>
      <c r="H14" s="923">
        <v>2015</v>
      </c>
      <c r="I14" s="923">
        <v>2020</v>
      </c>
      <c r="J14" s="923">
        <v>2025</v>
      </c>
      <c r="K14" s="923">
        <v>2030</v>
      </c>
      <c r="L14" s="923">
        <v>2035</v>
      </c>
      <c r="M14" s="923">
        <v>2040</v>
      </c>
      <c r="N14" s="923">
        <v>2045</v>
      </c>
      <c r="O14" s="923">
        <v>2050</v>
      </c>
      <c r="P14" s="1158"/>
    </row>
    <row r="15" spans="1:18" ht="15.75" hidden="1" outlineLevel="1">
      <c r="B15" s="1161"/>
      <c r="C15" s="831">
        <v>1</v>
      </c>
      <c r="D15" s="832"/>
      <c r="E15" s="833"/>
      <c r="F15" s="847">
        <v>0</v>
      </c>
      <c r="G15" s="856">
        <f>(Unit.GW)*0</f>
        <v>0</v>
      </c>
      <c r="H15" s="847">
        <f>(Unit.GW)*0.0015220700152207</f>
        <v>1.5220700152207001E-3</v>
      </c>
      <c r="I15" s="847">
        <f>(Unit.GW)*0.0803314730255369</f>
        <v>8.0331473025536906E-2</v>
      </c>
      <c r="J15" s="847">
        <f>(Unit.GW)*0.200828682563842</f>
        <v>0.20082868256384201</v>
      </c>
      <c r="K15" s="847">
        <f>(Unit.GW)*0.200828682563842</f>
        <v>0.20082868256384201</v>
      </c>
      <c r="L15" s="847">
        <f>(Unit.GW)*0</f>
        <v>0</v>
      </c>
      <c r="M15" s="847">
        <f>(Unit.GW)*0</f>
        <v>0</v>
      </c>
      <c r="N15" s="847">
        <f>(Unit.GW)*0</f>
        <v>0</v>
      </c>
      <c r="O15" s="847">
        <f>(Unit.GW)*0</f>
        <v>0</v>
      </c>
      <c r="P15" s="1162"/>
      <c r="R15"/>
    </row>
    <row r="16" spans="1:18" ht="15.75" hidden="1" outlineLevel="1">
      <c r="B16" s="1159"/>
      <c r="C16" s="831">
        <v>2</v>
      </c>
      <c r="D16" s="832"/>
      <c r="E16" s="832"/>
      <c r="F16" s="847">
        <v>0</v>
      </c>
      <c r="G16" s="857">
        <f>(Unit.GW)*0</f>
        <v>0</v>
      </c>
      <c r="H16" s="1091">
        <f>(Unit.GW)*0.015220700152207</f>
        <v>1.5220700152207001E-2</v>
      </c>
      <c r="I16" s="1091">
        <f>(Unit.GW)*0.0803314730255369</f>
        <v>8.0331473025536906E-2</v>
      </c>
      <c r="J16" s="1091">
        <f>(Unit.GW)*0.200828682563842</f>
        <v>0.20082868256384201</v>
      </c>
      <c r="K16" s="1091">
        <f>(Unit.GW)*0.401657365127685</f>
        <v>0.40165736512768502</v>
      </c>
      <c r="L16" s="1091">
        <f>(Unit.GW)*1.60662946051074</f>
        <v>1.6066294605107401</v>
      </c>
      <c r="M16" s="1091">
        <f>(Unit.GW)*3.61491628614916</f>
        <v>3.6149162861491599</v>
      </c>
      <c r="N16" s="1091">
        <f>(Unit.GW)*7.71182141045155</f>
        <v>7.7118214104515497</v>
      </c>
      <c r="O16" s="1091">
        <f>(Unit.GW)*9.63977676306443</f>
        <v>9.6397767630644307</v>
      </c>
      <c r="P16" s="1158"/>
      <c r="R16"/>
    </row>
    <row r="17" spans="2:27" ht="15.75" hidden="1" outlineLevel="1">
      <c r="B17" s="1159"/>
      <c r="C17" s="831">
        <v>3</v>
      </c>
      <c r="D17" s="832"/>
      <c r="E17" s="832"/>
      <c r="F17" s="847">
        <v>0</v>
      </c>
      <c r="G17" s="857">
        <f>(Unit.GW)*0</f>
        <v>0</v>
      </c>
      <c r="H17" s="1091">
        <f>(Unit.GW)*0.053554315350358</f>
        <v>5.3554315350357998E-2</v>
      </c>
      <c r="I17" s="1091">
        <f>(Unit.GW)*0.107108630700716</f>
        <v>0.107108630700716</v>
      </c>
      <c r="J17" s="1091">
        <f>(Unit.GW)*0.53554315350358</f>
        <v>0.53554315350357995</v>
      </c>
      <c r="K17" s="1091">
        <f>(Unit.GW)*1.07108630700716</f>
        <v>1.0710863070071599</v>
      </c>
      <c r="L17" s="1091">
        <f>(Unit.GW)*3.21325892102148</f>
        <v>3.2132589210214801</v>
      </c>
      <c r="M17" s="1091">
        <f>(Unit.GW)*6.96206099554654</f>
        <v>6.9620609955465396</v>
      </c>
      <c r="N17" s="1091">
        <f>(Unit.GW)*15.4236428209031</f>
        <v>15.423642820903099</v>
      </c>
      <c r="O17" s="1091">
        <f>(Unit.GW)*19.2795535261289</f>
        <v>19.2795535261289</v>
      </c>
      <c r="P17" s="1158"/>
      <c r="R17"/>
      <c r="S17" s="41"/>
      <c r="T17" s="41"/>
      <c r="U17" s="41"/>
      <c r="V17" s="41"/>
      <c r="W17" s="41"/>
      <c r="X17" s="41"/>
      <c r="Y17" s="41"/>
      <c r="Z17" s="41"/>
      <c r="AA17" s="41"/>
    </row>
    <row r="18" spans="2:27" ht="15.75" hidden="1" outlineLevel="1">
      <c r="B18" s="1159"/>
      <c r="C18" s="769">
        <v>4</v>
      </c>
      <c r="D18" s="770"/>
      <c r="E18" s="770"/>
      <c r="F18" s="782">
        <v>0</v>
      </c>
      <c r="G18" s="858">
        <f>(Unit.GW)*0</f>
        <v>0</v>
      </c>
      <c r="H18" s="859">
        <f>(Unit.GW)*0.180111618467783</f>
        <v>0.18011161846778301</v>
      </c>
      <c r="I18" s="859">
        <f>(Unit.GW)*0.780483680027059</f>
        <v>0.78048368002705903</v>
      </c>
      <c r="J18" s="859">
        <f>(Unit.GW)*1.80111618467783</f>
        <v>1.8011161846778301</v>
      </c>
      <c r="K18" s="859">
        <f>(Unit.GW)*3.60223236935566</f>
        <v>3.6022323693556602</v>
      </c>
      <c r="L18" s="859">
        <f>(Unit.GW)*7.20446473871131</f>
        <v>7.2044647387113097</v>
      </c>
      <c r="M18" s="859">
        <f>(Unit.GW)*15.0093015389819</f>
        <v>15.0093015389819</v>
      </c>
      <c r="N18" s="859">
        <f>(Unit.GW)*28.8178589548452</f>
        <v>28.8178589548452</v>
      </c>
      <c r="O18" s="859">
        <f>(Unit.GW)*36.0223236935566</f>
        <v>36.022323693556601</v>
      </c>
      <c r="P18" s="1158"/>
      <c r="R18"/>
      <c r="S18"/>
      <c r="T18"/>
      <c r="U18"/>
      <c r="V18"/>
    </row>
    <row r="19" spans="2:27" hidden="1" outlineLevel="1">
      <c r="B19" s="1163"/>
      <c r="C19" s="831"/>
      <c r="D19" s="832"/>
      <c r="E19" s="832"/>
      <c r="F19" s="911"/>
      <c r="G19" s="912"/>
      <c r="H19" s="912"/>
      <c r="I19" s="912"/>
      <c r="J19" s="912"/>
      <c r="K19" s="912"/>
      <c r="L19" s="912"/>
      <c r="M19" s="912"/>
      <c r="N19" s="912"/>
      <c r="O19" s="912"/>
      <c r="P19" s="1158"/>
    </row>
    <row r="20" spans="2:27" hidden="1" outlineLevel="1">
      <c r="B20" s="1163"/>
      <c r="C20" s="831"/>
      <c r="D20" s="832"/>
      <c r="E20" s="832"/>
      <c r="F20" s="911"/>
      <c r="G20" s="912"/>
      <c r="H20" s="912"/>
      <c r="I20" s="912"/>
      <c r="J20" s="912"/>
      <c r="K20" s="912"/>
      <c r="L20" s="912"/>
      <c r="M20" s="912"/>
      <c r="N20" s="912"/>
      <c r="O20" s="912"/>
      <c r="P20" s="1158"/>
    </row>
    <row r="21" spans="2:27" hidden="1" outlineLevel="1">
      <c r="B21" s="2403"/>
      <c r="C21" s="2099"/>
      <c r="D21" s="2100"/>
      <c r="E21" s="2100"/>
      <c r="F21" s="2432"/>
      <c r="G21" s="2433"/>
      <c r="H21" s="2433"/>
      <c r="I21" s="2433"/>
      <c r="J21" s="2433"/>
      <c r="K21" s="2433"/>
      <c r="L21" s="2433"/>
      <c r="M21" s="2433"/>
      <c r="N21" s="2433"/>
      <c r="O21" s="2433"/>
      <c r="P21" s="1222"/>
      <c r="V21" s="41"/>
    </row>
    <row r="22" spans="2:27" hidden="1" outlineLevel="1">
      <c r="B22" s="1163"/>
      <c r="C22" s="866" t="s">
        <v>2454</v>
      </c>
      <c r="D22" s="864"/>
      <c r="E22" s="867"/>
      <c r="F22" s="864"/>
      <c r="G22" s="864"/>
      <c r="H22" s="864"/>
      <c r="I22" s="864"/>
      <c r="J22" s="864"/>
      <c r="K22" s="864"/>
      <c r="L22" s="864"/>
      <c r="M22" s="864"/>
      <c r="N22" s="864"/>
      <c r="O22" s="867" t="str">
        <f>Preferences.PowerUnits</f>
        <v>GW</v>
      </c>
      <c r="P22" s="1158"/>
      <c r="V22" s="41"/>
    </row>
    <row r="23" spans="2:27" ht="5.25" hidden="1" customHeight="1" outlineLevel="1">
      <c r="B23" s="1163"/>
      <c r="C23" s="864"/>
      <c r="D23" s="864"/>
      <c r="E23" s="864"/>
      <c r="F23" s="864"/>
      <c r="G23" s="864"/>
      <c r="H23" s="864"/>
      <c r="I23" s="864"/>
      <c r="J23" s="864"/>
      <c r="K23" s="864"/>
      <c r="L23" s="864"/>
      <c r="M23" s="864"/>
      <c r="N23" s="864"/>
      <c r="O23" s="864"/>
      <c r="P23" s="1158"/>
    </row>
    <row r="24" spans="2:27" ht="15.75" hidden="1" outlineLevel="1">
      <c r="B24" s="1159"/>
      <c r="C24" s="766" t="s">
        <v>1352</v>
      </c>
      <c r="D24" s="766" t="s">
        <v>79</v>
      </c>
      <c r="E24" s="766" t="s">
        <v>442</v>
      </c>
      <c r="F24" s="923">
        <v>2007</v>
      </c>
      <c r="G24" s="924">
        <v>2010</v>
      </c>
      <c r="H24" s="923">
        <v>2015</v>
      </c>
      <c r="I24" s="923">
        <v>2020</v>
      </c>
      <c r="J24" s="923">
        <v>2025</v>
      </c>
      <c r="K24" s="923">
        <v>2030</v>
      </c>
      <c r="L24" s="923">
        <v>2035</v>
      </c>
      <c r="M24" s="923">
        <v>2040</v>
      </c>
      <c r="N24" s="923">
        <v>2045</v>
      </c>
      <c r="O24" s="923">
        <v>2050</v>
      </c>
      <c r="P24" s="1158"/>
    </row>
    <row r="25" spans="2:27" ht="15.75" hidden="1" outlineLevel="1">
      <c r="B25" s="1159"/>
      <c r="C25" s="831">
        <v>1</v>
      </c>
      <c r="D25" s="832"/>
      <c r="E25" s="833"/>
      <c r="F25" s="847">
        <v>0</v>
      </c>
      <c r="G25" s="856">
        <f>(Unit.GW)*0.00158548959918823</f>
        <v>1.5854895991882301E-3</v>
      </c>
      <c r="H25" s="847">
        <f>(Unit.GW)*0.00634195839675292</f>
        <v>6.3419583967529204E-3</v>
      </c>
      <c r="I25" s="847">
        <f>(Unit.GW)*0.0158548959918823</f>
        <v>1.5854895991882299E-2</v>
      </c>
      <c r="J25" s="847">
        <f>(Unit.GW)*0.0396372399797057</f>
        <v>3.9637239979705703E-2</v>
      </c>
      <c r="K25" s="847">
        <f>(Unit.GW)*0.0396372399797057</f>
        <v>3.9637239979705703E-2</v>
      </c>
      <c r="L25" s="847">
        <f>(Unit.GW)*0</f>
        <v>0</v>
      </c>
      <c r="M25" s="847">
        <f>(Unit.GW)*0</f>
        <v>0</v>
      </c>
      <c r="N25" s="847">
        <f>(Unit.GW)*0</f>
        <v>0</v>
      </c>
      <c r="O25" s="847">
        <f>(Unit.GW)*0</f>
        <v>0</v>
      </c>
      <c r="P25" s="1158"/>
    </row>
    <row r="26" spans="2:27" ht="15.75" hidden="1" outlineLevel="1">
      <c r="B26" s="1159"/>
      <c r="C26" s="831">
        <v>2</v>
      </c>
      <c r="D26" s="832"/>
      <c r="E26" s="832"/>
      <c r="F26" s="847">
        <v>0</v>
      </c>
      <c r="G26" s="857">
        <f>(Unit.GW)*0.00158548959918823</f>
        <v>1.5854895991882301E-3</v>
      </c>
      <c r="H26" s="1091">
        <f>(Unit.GW)*0.00634195839675292</f>
        <v>6.3419583967529204E-3</v>
      </c>
      <c r="I26" s="1091">
        <f>(Unit.GW)*0.0158548959918823</f>
        <v>1.5854895991882299E-2</v>
      </c>
      <c r="J26" s="1091">
        <f>(Unit.GW)*0.0396372399797057</f>
        <v>3.9637239979705703E-2</v>
      </c>
      <c r="K26" s="1091">
        <f>(Unit.GW)*0.0792744799594115</f>
        <v>7.9274479959411503E-2</v>
      </c>
      <c r="L26" s="1091">
        <f>(Unit.GW)*0.317097919837646</f>
        <v>0.31709791983764601</v>
      </c>
      <c r="M26" s="1091">
        <f>(Unit.GW)*0.713470319634703</f>
        <v>0.71347031963470298</v>
      </c>
      <c r="N26" s="1091">
        <f>(Unit.GW)*1.5220700152207</f>
        <v>1.5220700152207001</v>
      </c>
      <c r="O26" s="1091">
        <f>(Unit.GW)*1.90258751902588</f>
        <v>1.9025875190258801</v>
      </c>
      <c r="P26" s="1158"/>
    </row>
    <row r="27" spans="2:27" ht="15.75" hidden="1" outlineLevel="1">
      <c r="B27" s="1159"/>
      <c r="C27" s="831">
        <v>3</v>
      </c>
      <c r="D27" s="832"/>
      <c r="E27" s="832"/>
      <c r="F27" s="847">
        <v>0</v>
      </c>
      <c r="G27" s="857">
        <f>(Unit.GW)*0.00158548959918823</f>
        <v>1.5854895991882301E-3</v>
      </c>
      <c r="H27" s="1091">
        <f>(Unit.GW)*0.0264248266531372</f>
        <v>2.6424826653137199E-2</v>
      </c>
      <c r="I27" s="1091">
        <f>(Unit.GW)*0.0528496533062743</f>
        <v>5.2849653306274301E-2</v>
      </c>
      <c r="J27" s="1091">
        <f>(Unit.GW)*0.264248266531372</f>
        <v>0.26424826653137201</v>
      </c>
      <c r="K27" s="1091">
        <f>(Unit.GW)*0.528496533062743</f>
        <v>0.52849653306274302</v>
      </c>
      <c r="L27" s="1091">
        <f>(Unit.GW)*1.58548959918823</f>
        <v>1.5854895991882301</v>
      </c>
      <c r="M27" s="1091">
        <f>(Unit.GW)*3.43522746490783</f>
        <v>3.4352274649078298</v>
      </c>
      <c r="N27" s="1091">
        <f>(Unit.GW)*7.6103500761035</f>
        <v>7.6103500761034999</v>
      </c>
      <c r="O27" s="1091">
        <f>(Unit.GW)*9.51293759512938</f>
        <v>9.5129375951293795</v>
      </c>
      <c r="P27" s="1158"/>
    </row>
    <row r="28" spans="2:27" ht="15.75" hidden="1" outlineLevel="1">
      <c r="B28" s="1159"/>
      <c r="C28" s="769">
        <v>4</v>
      </c>
      <c r="D28" s="770"/>
      <c r="E28" s="770"/>
      <c r="F28" s="782">
        <v>0</v>
      </c>
      <c r="G28" s="858">
        <f>(Unit.GW)*0.00158548959918823</f>
        <v>1.5854895991882301E-3</v>
      </c>
      <c r="H28" s="859">
        <f>(Unit.GW)*0.1078132927448</f>
        <v>0.1078132927448</v>
      </c>
      <c r="I28" s="859">
        <f>(Unit.GW)*0.467190935227465</f>
        <v>0.46719093522746502</v>
      </c>
      <c r="J28" s="859">
        <f>(Unit.GW)*1.078132927448</f>
        <v>1.078132927448</v>
      </c>
      <c r="K28" s="859">
        <f>(Unit.GW)*2.15626585489599</f>
        <v>2.1562658548959899</v>
      </c>
      <c r="L28" s="859">
        <f>(Unit.GW)*4.31253170979198</f>
        <v>4.3125317097919798</v>
      </c>
      <c r="M28" s="859">
        <f>(Unit.GW)*8.98444106206663</f>
        <v>8.9844410620666295</v>
      </c>
      <c r="N28" s="859">
        <f>(Unit.GW)*17.2501268391679</f>
        <v>17.250126839167901</v>
      </c>
      <c r="O28" s="859">
        <f>(Unit.GW)*21.5626585489599</f>
        <v>21.562658548959899</v>
      </c>
      <c r="P28" s="1158"/>
    </row>
    <row r="29" spans="2:27" hidden="1" outlineLevel="1">
      <c r="B29" s="1163"/>
      <c r="C29" s="864"/>
      <c r="D29" s="868"/>
      <c r="E29" s="864"/>
      <c r="F29" s="864"/>
      <c r="G29" s="864"/>
      <c r="H29" s="864"/>
      <c r="I29" s="864"/>
      <c r="J29" s="864"/>
      <c r="K29" s="864"/>
      <c r="L29" s="864"/>
      <c r="M29" s="864"/>
      <c r="N29" s="864"/>
      <c r="O29" s="864"/>
      <c r="P29" s="1158"/>
    </row>
    <row r="30" spans="2:27" hidden="1" outlineLevel="1">
      <c r="B30" s="1163"/>
      <c r="C30" s="864"/>
      <c r="D30" s="868"/>
      <c r="E30" s="864"/>
      <c r="F30" s="864"/>
      <c r="G30" s="864"/>
      <c r="H30" s="864"/>
      <c r="I30" s="864"/>
      <c r="J30" s="864"/>
      <c r="K30" s="864"/>
      <c r="L30" s="864"/>
      <c r="M30" s="864"/>
      <c r="N30" s="864"/>
      <c r="O30" s="864"/>
      <c r="P30" s="1158"/>
    </row>
    <row r="31" spans="2:27" ht="14.25" hidden="1" customHeight="1" outlineLevel="1">
      <c r="B31" s="2403"/>
      <c r="C31" s="2099"/>
      <c r="D31" s="2100"/>
      <c r="E31" s="2100"/>
      <c r="F31" s="2432"/>
      <c r="G31" s="2433"/>
      <c r="H31" s="2433"/>
      <c r="I31" s="2433"/>
      <c r="J31" s="2433"/>
      <c r="K31" s="2433"/>
      <c r="L31" s="2433"/>
      <c r="M31" s="2433"/>
      <c r="N31" s="2433"/>
      <c r="O31" s="2433"/>
      <c r="P31" s="1222"/>
    </row>
    <row r="32" spans="2:27" hidden="1" outlineLevel="1">
      <c r="B32" s="1157"/>
      <c r="C32" s="866" t="s">
        <v>2458</v>
      </c>
      <c r="D32" s="864"/>
      <c r="E32" s="867"/>
      <c r="F32" s="864"/>
      <c r="G32" s="864"/>
      <c r="H32" s="864"/>
      <c r="I32" s="864"/>
      <c r="J32" s="864"/>
      <c r="K32" s="864"/>
      <c r="L32" s="864"/>
      <c r="M32" s="864"/>
      <c r="N32" s="864"/>
      <c r="O32" s="867" t="str">
        <f>Preferences.PowerUnits</f>
        <v>GW</v>
      </c>
      <c r="P32" s="1158"/>
    </row>
    <row r="33" spans="1:22" ht="5.25" hidden="1" customHeight="1" outlineLevel="1">
      <c r="B33" s="1157"/>
      <c r="C33" s="864"/>
      <c r="D33" s="864"/>
      <c r="E33" s="864"/>
      <c r="F33" s="864"/>
      <c r="G33" s="864"/>
      <c r="H33" s="864"/>
      <c r="I33" s="864"/>
      <c r="J33" s="864"/>
      <c r="K33" s="864"/>
      <c r="L33" s="864"/>
      <c r="M33" s="864"/>
      <c r="N33" s="864"/>
      <c r="O33" s="864"/>
      <c r="P33" s="1158"/>
    </row>
    <row r="34" spans="1:22" ht="15.75" hidden="1" outlineLevel="1">
      <c r="B34" s="1159"/>
      <c r="C34" s="766" t="s">
        <v>1352</v>
      </c>
      <c r="D34" s="766" t="s">
        <v>79</v>
      </c>
      <c r="E34" s="766" t="s">
        <v>442</v>
      </c>
      <c r="F34" s="923">
        <v>2007</v>
      </c>
      <c r="G34" s="924">
        <v>2010</v>
      </c>
      <c r="H34" s="923">
        <v>2015</v>
      </c>
      <c r="I34" s="923">
        <v>2020</v>
      </c>
      <c r="J34" s="923">
        <v>2025</v>
      </c>
      <c r="K34" s="923">
        <v>2030</v>
      </c>
      <c r="L34" s="923">
        <v>2035</v>
      </c>
      <c r="M34" s="923">
        <v>2040</v>
      </c>
      <c r="N34" s="923">
        <v>2045</v>
      </c>
      <c r="O34" s="923">
        <v>2050</v>
      </c>
      <c r="P34" s="1158"/>
    </row>
    <row r="35" spans="1:22" ht="15.75" hidden="1" outlineLevel="1">
      <c r="B35" s="1161"/>
      <c r="C35" s="831">
        <v>1</v>
      </c>
      <c r="D35" s="832"/>
      <c r="E35" s="833"/>
      <c r="F35" s="847">
        <v>0</v>
      </c>
      <c r="G35" s="856">
        <f t="shared" ref="G35:O35" si="0">(Unit.GW)*0</f>
        <v>0</v>
      </c>
      <c r="H35" s="847">
        <f t="shared" si="0"/>
        <v>0</v>
      </c>
      <c r="I35" s="847">
        <f t="shared" si="0"/>
        <v>0</v>
      </c>
      <c r="J35" s="847">
        <f t="shared" si="0"/>
        <v>0</v>
      </c>
      <c r="K35" s="847">
        <f t="shared" si="0"/>
        <v>0</v>
      </c>
      <c r="L35" s="847">
        <f t="shared" si="0"/>
        <v>0</v>
      </c>
      <c r="M35" s="847">
        <f t="shared" si="0"/>
        <v>0</v>
      </c>
      <c r="N35" s="847">
        <f t="shared" si="0"/>
        <v>0</v>
      </c>
      <c r="O35" s="847">
        <f t="shared" si="0"/>
        <v>0</v>
      </c>
      <c r="P35" s="1162"/>
      <c r="V35" s="41"/>
    </row>
    <row r="36" spans="1:22" ht="15.75" hidden="1" outlineLevel="1">
      <c r="B36" s="1159"/>
      <c r="C36" s="831">
        <v>2</v>
      </c>
      <c r="D36" s="832"/>
      <c r="E36" s="832"/>
      <c r="F36" s="847">
        <v>0</v>
      </c>
      <c r="G36" s="857">
        <f t="shared" ref="G36:H38" si="1">(Unit.GW)*0</f>
        <v>0</v>
      </c>
      <c r="H36" s="1091">
        <f t="shared" si="1"/>
        <v>0</v>
      </c>
      <c r="I36" s="1091">
        <f>(Unit.GW)*0.3</f>
        <v>0.3</v>
      </c>
      <c r="J36" s="1091">
        <f>(Unit.GW)*0.3</f>
        <v>0.3</v>
      </c>
      <c r="K36" s="1091">
        <f>(Unit.GW)*0.7</f>
        <v>0.7</v>
      </c>
      <c r="L36" s="1091">
        <f>(Unit.GW)*0.7</f>
        <v>0.7</v>
      </c>
      <c r="M36" s="1091">
        <f>(Unit.GW)*1.725</f>
        <v>1.7250000000000001</v>
      </c>
      <c r="N36" s="1091">
        <f>(Unit.GW)*1.725</f>
        <v>1.7250000000000001</v>
      </c>
      <c r="O36" s="1091">
        <f>(Unit.GW)*1.725</f>
        <v>1.7250000000000001</v>
      </c>
      <c r="P36" s="1158"/>
      <c r="R36" s="2323"/>
      <c r="V36" s="41"/>
    </row>
    <row r="37" spans="1:22" ht="15.75" hidden="1" outlineLevel="1">
      <c r="B37" s="1159"/>
      <c r="C37" s="831">
        <v>3</v>
      </c>
      <c r="D37" s="832"/>
      <c r="E37" s="832"/>
      <c r="F37" s="847">
        <v>0</v>
      </c>
      <c r="G37" s="857">
        <f t="shared" si="1"/>
        <v>0</v>
      </c>
      <c r="H37" s="1091">
        <f t="shared" si="1"/>
        <v>0</v>
      </c>
      <c r="I37" s="1091">
        <f>(Unit.GW)*0.8</f>
        <v>0.8</v>
      </c>
      <c r="J37" s="1091">
        <f>(Unit.GW)*0.8</f>
        <v>0.8</v>
      </c>
      <c r="K37" s="1091">
        <f>(Unit.GW)*4.3</f>
        <v>4.3</v>
      </c>
      <c r="L37" s="1091">
        <f>(Unit.GW)*4.3</f>
        <v>4.3</v>
      </c>
      <c r="M37" s="1091">
        <f>(Unit.GW)*13</f>
        <v>13</v>
      </c>
      <c r="N37" s="1091">
        <f>(Unit.GW)*13</f>
        <v>13</v>
      </c>
      <c r="O37" s="1091">
        <f>(Unit.GW)*13</f>
        <v>13</v>
      </c>
      <c r="P37" s="1158"/>
      <c r="V37" s="41"/>
    </row>
    <row r="38" spans="1:22" ht="15.75" hidden="1" outlineLevel="1">
      <c r="B38" s="1159"/>
      <c r="C38" s="769">
        <v>4</v>
      </c>
      <c r="D38" s="770"/>
      <c r="E38" s="770"/>
      <c r="F38" s="782">
        <v>0</v>
      </c>
      <c r="G38" s="858">
        <f t="shared" si="1"/>
        <v>0</v>
      </c>
      <c r="H38" s="859">
        <f t="shared" si="1"/>
        <v>0</v>
      </c>
      <c r="I38" s="859">
        <f>(Unit.GW)*4.3</f>
        <v>4.3</v>
      </c>
      <c r="J38" s="859">
        <f>(Unit.GW)*13</f>
        <v>13</v>
      </c>
      <c r="K38" s="859">
        <f>(Unit.GW)*13</f>
        <v>13</v>
      </c>
      <c r="L38" s="859">
        <f>(Unit.GW)*14</f>
        <v>14</v>
      </c>
      <c r="M38" s="859">
        <f>(Unit.GW)*16</f>
        <v>16</v>
      </c>
      <c r="N38" s="859">
        <f>(Unit.GW)*19</f>
        <v>19</v>
      </c>
      <c r="O38" s="859">
        <f>(Unit.GW)*20</f>
        <v>20</v>
      </c>
      <c r="P38" s="1158"/>
      <c r="V38" s="41"/>
    </row>
    <row r="39" spans="1:22" hidden="1" outlineLevel="1">
      <c r="B39" s="1163"/>
      <c r="C39" s="831"/>
      <c r="D39" s="832"/>
      <c r="E39" s="832"/>
      <c r="F39" s="911"/>
      <c r="G39" s="912"/>
      <c r="H39" s="912"/>
      <c r="I39" s="912"/>
      <c r="J39" s="912"/>
      <c r="K39" s="912"/>
      <c r="L39" s="912"/>
      <c r="M39" s="912"/>
      <c r="N39" s="912"/>
      <c r="O39" s="912"/>
      <c r="P39" s="1158"/>
      <c r="V39" s="41"/>
    </row>
    <row r="40" spans="1:22" hidden="1" outlineLevel="1">
      <c r="B40" s="1163"/>
      <c r="C40" s="831"/>
      <c r="D40" s="832"/>
      <c r="E40" s="832"/>
      <c r="F40" s="911"/>
      <c r="G40" s="912"/>
      <c r="H40" s="912"/>
      <c r="I40" s="912"/>
      <c r="J40" s="912"/>
      <c r="K40" s="912"/>
      <c r="L40" s="912"/>
      <c r="M40" s="912"/>
      <c r="N40" s="912"/>
      <c r="O40" s="912"/>
      <c r="P40" s="1158"/>
      <c r="V40" s="41"/>
    </row>
    <row r="41" spans="1:22" hidden="1" outlineLevel="1">
      <c r="B41" s="1223"/>
      <c r="C41" s="1165"/>
      <c r="D41" s="1224"/>
      <c r="E41" s="1165"/>
      <c r="F41" s="1165"/>
      <c r="G41" s="1165"/>
      <c r="H41" s="1165"/>
      <c r="I41" s="1165"/>
      <c r="J41" s="1165"/>
      <c r="K41" s="1165"/>
      <c r="L41" s="1165"/>
      <c r="M41" s="1165"/>
      <c r="N41" s="1165"/>
      <c r="O41" s="1165"/>
      <c r="P41" s="1166"/>
    </row>
    <row r="43" spans="1:22" s="743" customFormat="1" ht="22.5" collapsed="1">
      <c r="A43" s="1170"/>
      <c r="B43" s="1236" t="s">
        <v>786</v>
      </c>
      <c r="C43" s="1167"/>
      <c r="D43" s="1167"/>
      <c r="E43" s="1167"/>
      <c r="F43" s="1167"/>
      <c r="G43" s="1167"/>
      <c r="H43" s="1167"/>
      <c r="I43" s="1167"/>
      <c r="J43" s="1167"/>
      <c r="K43" s="1167"/>
      <c r="L43" s="1167"/>
      <c r="M43" s="1167"/>
      <c r="N43" s="1167"/>
      <c r="O43" s="1167"/>
      <c r="P43" s="1168"/>
    </row>
    <row r="44" spans="1:22" hidden="1" outlineLevel="1">
      <c r="B44" s="1157"/>
      <c r="C44" s="864"/>
      <c r="D44" s="864"/>
      <c r="E44" s="864"/>
      <c r="F44" s="864"/>
      <c r="G44" s="864"/>
      <c r="H44" s="864"/>
      <c r="I44" s="864"/>
      <c r="J44" s="864"/>
      <c r="K44" s="864"/>
      <c r="L44" s="864"/>
      <c r="M44" s="864"/>
      <c r="N44" s="864"/>
      <c r="O44" s="864"/>
      <c r="P44" s="1158"/>
    </row>
    <row r="45" spans="1:22" hidden="1" outlineLevel="1">
      <c r="B45" s="1157"/>
      <c r="C45" s="866" t="s">
        <v>2080</v>
      </c>
      <c r="D45" s="864"/>
      <c r="E45" s="864"/>
      <c r="F45" s="864"/>
      <c r="G45" s="867"/>
      <c r="H45" s="864"/>
      <c r="I45" s="864"/>
      <c r="J45" s="864"/>
      <c r="K45" s="864"/>
      <c r="L45" s="864"/>
      <c r="M45" s="864"/>
      <c r="N45" s="864"/>
      <c r="O45" s="864"/>
      <c r="P45" s="1158"/>
    </row>
    <row r="46" spans="1:22" ht="6" hidden="1" customHeight="1" outlineLevel="1">
      <c r="B46" s="1157"/>
      <c r="C46" s="864"/>
      <c r="D46" s="864"/>
      <c r="E46" s="864"/>
      <c r="F46" s="864"/>
      <c r="G46" s="864"/>
      <c r="H46" s="864"/>
      <c r="I46" s="864"/>
      <c r="J46" s="864"/>
      <c r="K46" s="864"/>
      <c r="L46" s="864"/>
      <c r="M46" s="864"/>
      <c r="N46" s="864"/>
      <c r="O46" s="864"/>
      <c r="P46" s="1158"/>
    </row>
    <row r="47" spans="1:22" ht="15.75" hidden="1" outlineLevel="1">
      <c r="B47" s="1159"/>
      <c r="C47" s="766" t="s">
        <v>715</v>
      </c>
      <c r="D47" s="766" t="s">
        <v>731</v>
      </c>
      <c r="E47" s="766" t="s">
        <v>442</v>
      </c>
      <c r="F47" s="923">
        <v>2007</v>
      </c>
      <c r="G47" s="924">
        <v>2010</v>
      </c>
      <c r="H47" s="923">
        <v>2015</v>
      </c>
      <c r="I47" s="923">
        <v>2020</v>
      </c>
      <c r="J47" s="923">
        <v>2025</v>
      </c>
      <c r="K47" s="923">
        <v>2030</v>
      </c>
      <c r="L47" s="923">
        <v>2035</v>
      </c>
      <c r="M47" s="923">
        <v>2040</v>
      </c>
      <c r="N47" s="923">
        <v>2045</v>
      </c>
      <c r="O47" s="923">
        <v>2050</v>
      </c>
      <c r="P47" s="1158"/>
    </row>
    <row r="48" spans="1:22" ht="15.75" hidden="1" outlineLevel="1">
      <c r="B48" s="1159"/>
      <c r="C48" s="1516" t="s">
        <v>10</v>
      </c>
      <c r="D48" s="833" t="s">
        <v>2</v>
      </c>
      <c r="E48" s="833"/>
      <c r="F48" s="1503">
        <v>0.25</v>
      </c>
      <c r="G48" s="915">
        <v>0.25</v>
      </c>
      <c r="H48" s="2344">
        <v>0.25</v>
      </c>
      <c r="I48" s="2344">
        <v>0.25</v>
      </c>
      <c r="J48" s="2344">
        <v>0.25</v>
      </c>
      <c r="K48" s="2344">
        <v>0.25</v>
      </c>
      <c r="L48" s="2344">
        <v>0.25</v>
      </c>
      <c r="M48" s="2344">
        <v>0.25</v>
      </c>
      <c r="N48" s="2344">
        <v>0.25</v>
      </c>
      <c r="O48" s="2344">
        <v>0.25</v>
      </c>
      <c r="P48" s="1158"/>
    </row>
    <row r="49" spans="2:16" ht="15.75" hidden="1" outlineLevel="1">
      <c r="B49" s="1159"/>
      <c r="C49" s="831" t="s">
        <v>9</v>
      </c>
      <c r="D49" s="832" t="s">
        <v>2456</v>
      </c>
      <c r="E49" s="832"/>
      <c r="F49" s="2534">
        <v>0.4</v>
      </c>
      <c r="G49" s="781">
        <v>0.4</v>
      </c>
      <c r="H49" s="865">
        <v>0.4</v>
      </c>
      <c r="I49" s="865">
        <v>0.4</v>
      </c>
      <c r="J49" s="865">
        <v>0.4</v>
      </c>
      <c r="K49" s="865">
        <v>0.4</v>
      </c>
      <c r="L49" s="865">
        <v>0.4</v>
      </c>
      <c r="M49" s="865">
        <v>0.4</v>
      </c>
      <c r="N49" s="865">
        <v>0.4</v>
      </c>
      <c r="O49" s="865">
        <v>0.4</v>
      </c>
      <c r="P49" s="1158"/>
    </row>
    <row r="50" spans="2:16" ht="15.75" hidden="1" outlineLevel="1">
      <c r="B50" s="1159"/>
      <c r="C50" s="899" t="s">
        <v>9</v>
      </c>
      <c r="D50" s="900" t="s">
        <v>2457</v>
      </c>
      <c r="E50" s="900"/>
      <c r="F50" s="2434">
        <v>0.24</v>
      </c>
      <c r="G50" s="917">
        <v>0.24</v>
      </c>
      <c r="H50" s="916">
        <v>0.24</v>
      </c>
      <c r="I50" s="916">
        <v>0.24</v>
      </c>
      <c r="J50" s="916">
        <v>0.24</v>
      </c>
      <c r="K50" s="916">
        <v>0.24</v>
      </c>
      <c r="L50" s="916">
        <v>0.24</v>
      </c>
      <c r="M50" s="916">
        <v>0.24</v>
      </c>
      <c r="N50" s="916">
        <v>0.24</v>
      </c>
      <c r="O50" s="916">
        <v>0.24</v>
      </c>
      <c r="P50" s="1158"/>
    </row>
    <row r="51" spans="2:16" hidden="1" outlineLevel="1">
      <c r="B51" s="1157"/>
      <c r="C51" s="864"/>
      <c r="D51" s="864"/>
      <c r="E51" s="864"/>
      <c r="F51" s="864"/>
      <c r="G51" s="864"/>
      <c r="H51" s="864"/>
      <c r="I51" s="864"/>
      <c r="J51" s="864"/>
      <c r="K51" s="864"/>
      <c r="L51" s="864"/>
      <c r="M51" s="864"/>
      <c r="N51" s="864"/>
      <c r="O51" s="864"/>
      <c r="P51" s="1158"/>
    </row>
    <row r="52" spans="2:16" hidden="1" outlineLevel="1">
      <c r="B52" s="1157"/>
      <c r="C52" s="864" t="s">
        <v>442</v>
      </c>
      <c r="D52" s="864"/>
      <c r="E52" s="864"/>
      <c r="F52" s="864"/>
      <c r="G52" s="864"/>
      <c r="H52" s="864"/>
      <c r="I52" s="864"/>
      <c r="J52" s="864"/>
      <c r="K52" s="864"/>
      <c r="L52" s="864"/>
      <c r="M52" s="864"/>
      <c r="N52" s="864"/>
      <c r="O52" s="864"/>
      <c r="P52" s="1158"/>
    </row>
    <row r="53" spans="2:16" s="715" customFormat="1" hidden="1" outlineLevel="1">
      <c r="B53" s="1225"/>
      <c r="C53" s="1226" t="s">
        <v>109</v>
      </c>
      <c r="D53" s="1227" t="s">
        <v>2455</v>
      </c>
      <c r="E53" s="1228"/>
      <c r="F53" s="1228"/>
      <c r="G53" s="1228"/>
      <c r="H53" s="1228"/>
      <c r="I53" s="1228"/>
      <c r="J53" s="1228"/>
      <c r="K53" s="1228"/>
      <c r="L53" s="1228"/>
      <c r="M53" s="1228"/>
      <c r="N53" s="1228"/>
      <c r="O53" s="1228"/>
      <c r="P53" s="1229"/>
    </row>
    <row r="54" spans="2:16" s="715" customFormat="1" hidden="1" outlineLevel="1">
      <c r="B54" s="1225"/>
      <c r="C54" s="1251"/>
      <c r="D54" s="1227" t="s">
        <v>2459</v>
      </c>
      <c r="E54" s="1228"/>
      <c r="F54" s="1228"/>
      <c r="G54" s="1228"/>
      <c r="H54" s="1228"/>
      <c r="I54" s="1228"/>
      <c r="J54" s="1228"/>
      <c r="K54" s="1228"/>
      <c r="L54" s="1228"/>
      <c r="M54" s="1228"/>
      <c r="N54" s="1228"/>
      <c r="O54" s="1228"/>
      <c r="P54" s="1229"/>
    </row>
    <row r="55" spans="2:16" s="715" customFormat="1" hidden="1" outlineLevel="1">
      <c r="B55" s="1225"/>
      <c r="C55" s="1251"/>
      <c r="D55" s="1227"/>
      <c r="E55" s="1228"/>
      <c r="F55" s="1228"/>
      <c r="G55" s="1228"/>
      <c r="H55" s="1228"/>
      <c r="I55" s="1228"/>
      <c r="J55" s="1228"/>
      <c r="K55" s="1228"/>
      <c r="L55" s="1228"/>
      <c r="M55" s="1228"/>
      <c r="N55" s="1228"/>
      <c r="O55" s="1228"/>
      <c r="P55" s="1229"/>
    </row>
    <row r="56" spans="2:16" s="715" customFormat="1" hidden="1" outlineLevel="1">
      <c r="B56" s="1225"/>
      <c r="C56" s="866" t="s">
        <v>1953</v>
      </c>
      <c r="D56" s="864"/>
      <c r="E56" s="864"/>
      <c r="F56" s="864"/>
      <c r="G56" s="867"/>
      <c r="H56" s="864"/>
      <c r="I56" s="864"/>
      <c r="J56" s="864"/>
      <c r="K56" s="864"/>
      <c r="L56" s="864"/>
      <c r="M56" s="864"/>
      <c r="N56" s="864"/>
      <c r="O56" s="864"/>
      <c r="P56" s="1229"/>
    </row>
    <row r="57" spans="2:16" s="715" customFormat="1" ht="5.25" hidden="1" customHeight="1" outlineLevel="1">
      <c r="B57" s="1225"/>
      <c r="C57" s="864"/>
      <c r="D57" s="864"/>
      <c r="E57" s="864"/>
      <c r="F57" s="864"/>
      <c r="G57" s="864"/>
      <c r="H57" s="864"/>
      <c r="I57" s="864"/>
      <c r="J57" s="864"/>
      <c r="K57" s="864"/>
      <c r="L57" s="864"/>
      <c r="M57" s="864"/>
      <c r="N57" s="864"/>
      <c r="O57" s="864"/>
      <c r="P57" s="1229"/>
    </row>
    <row r="58" spans="2:16" s="715" customFormat="1" ht="15.75" hidden="1" outlineLevel="1">
      <c r="B58" s="1617"/>
      <c r="C58" s="766" t="s">
        <v>715</v>
      </c>
      <c r="D58" s="766" t="s">
        <v>731</v>
      </c>
      <c r="E58" s="766" t="s">
        <v>442</v>
      </c>
      <c r="F58" s="923">
        <v>2007</v>
      </c>
      <c r="G58" s="924">
        <v>2010</v>
      </c>
      <c r="H58" s="923">
        <v>2015</v>
      </c>
      <c r="I58" s="923">
        <v>2020</v>
      </c>
      <c r="J58" s="923">
        <v>2025</v>
      </c>
      <c r="K58" s="923">
        <v>2030</v>
      </c>
      <c r="L58" s="923">
        <v>2035</v>
      </c>
      <c r="M58" s="923">
        <v>2040</v>
      </c>
      <c r="N58" s="923">
        <v>2045</v>
      </c>
      <c r="O58" s="923">
        <v>2050</v>
      </c>
      <c r="P58" s="1229"/>
    </row>
    <row r="59" spans="2:16" s="715" customFormat="1" ht="15.75" hidden="1" outlineLevel="1">
      <c r="B59" s="1617"/>
      <c r="C59" s="1516" t="s">
        <v>10</v>
      </c>
      <c r="D59" s="833" t="s">
        <v>2</v>
      </c>
      <c r="E59" s="833"/>
      <c r="F59" s="2535">
        <v>0.9</v>
      </c>
      <c r="G59" s="915">
        <v>0.9</v>
      </c>
      <c r="H59" s="2344">
        <v>0.9</v>
      </c>
      <c r="I59" s="2344">
        <v>0.9</v>
      </c>
      <c r="J59" s="2344">
        <v>0.9</v>
      </c>
      <c r="K59" s="2344">
        <v>0.9</v>
      </c>
      <c r="L59" s="2344">
        <v>0.9</v>
      </c>
      <c r="M59" s="2344">
        <v>0.9</v>
      </c>
      <c r="N59" s="2344">
        <v>0.9</v>
      </c>
      <c r="O59" s="2344">
        <v>0.9</v>
      </c>
      <c r="P59" s="1229"/>
    </row>
    <row r="60" spans="2:16" s="715" customFormat="1" ht="15.75" hidden="1" outlineLevel="1">
      <c r="B60" s="1617"/>
      <c r="C60" s="831" t="s">
        <v>9</v>
      </c>
      <c r="D60" s="832" t="s">
        <v>2456</v>
      </c>
      <c r="E60" s="832"/>
      <c r="F60" s="1786">
        <v>0.9</v>
      </c>
      <c r="G60" s="781">
        <v>0.9</v>
      </c>
      <c r="H60" s="865">
        <v>0.9</v>
      </c>
      <c r="I60" s="865">
        <v>0.9</v>
      </c>
      <c r="J60" s="865">
        <v>0.9</v>
      </c>
      <c r="K60" s="865">
        <v>0.9</v>
      </c>
      <c r="L60" s="865">
        <v>0.9</v>
      </c>
      <c r="M60" s="865">
        <v>0.9</v>
      </c>
      <c r="N60" s="865">
        <v>0.9</v>
      </c>
      <c r="O60" s="865">
        <v>0.9</v>
      </c>
      <c r="P60" s="1229"/>
    </row>
    <row r="61" spans="2:16" s="715" customFormat="1" ht="15.75" hidden="1" outlineLevel="1">
      <c r="B61" s="1617"/>
      <c r="C61" s="899" t="s">
        <v>9</v>
      </c>
      <c r="D61" s="900" t="s">
        <v>2457</v>
      </c>
      <c r="E61" s="900"/>
      <c r="F61" s="2536">
        <v>0.95</v>
      </c>
      <c r="G61" s="917">
        <v>0.95</v>
      </c>
      <c r="H61" s="916">
        <v>0.95</v>
      </c>
      <c r="I61" s="916">
        <v>0.95</v>
      </c>
      <c r="J61" s="916">
        <v>0.95</v>
      </c>
      <c r="K61" s="916">
        <v>0.95</v>
      </c>
      <c r="L61" s="916">
        <v>0.95</v>
      </c>
      <c r="M61" s="916">
        <v>0.95</v>
      </c>
      <c r="N61" s="916">
        <v>0.95</v>
      </c>
      <c r="O61" s="916">
        <v>0.95</v>
      </c>
      <c r="P61" s="1229"/>
    </row>
    <row r="62" spans="2:16" s="715" customFormat="1" hidden="1" outlineLevel="1">
      <c r="B62" s="1225"/>
      <c r="C62" s="1251"/>
      <c r="D62" s="1227"/>
      <c r="E62" s="1228"/>
      <c r="F62" s="1228"/>
      <c r="G62" s="1228"/>
      <c r="H62" s="1228"/>
      <c r="I62" s="1228"/>
      <c r="J62" s="1228"/>
      <c r="K62" s="1228"/>
      <c r="L62" s="1228"/>
      <c r="M62" s="1228"/>
      <c r="N62" s="1228"/>
      <c r="O62" s="1228"/>
      <c r="P62" s="1229"/>
    </row>
    <row r="63" spans="2:16" hidden="1" outlineLevel="1">
      <c r="B63" s="1164"/>
      <c r="C63" s="1165"/>
      <c r="D63" s="1165"/>
      <c r="E63" s="1165"/>
      <c r="F63" s="1165"/>
      <c r="G63" s="1165"/>
      <c r="H63" s="1165"/>
      <c r="I63" s="1165"/>
      <c r="J63" s="1165"/>
      <c r="K63" s="1165"/>
      <c r="L63" s="1165"/>
      <c r="M63" s="1165"/>
      <c r="N63" s="1165"/>
      <c r="O63" s="1165"/>
      <c r="P63" s="1166"/>
    </row>
    <row r="65" spans="1:16" ht="22.5" collapsed="1">
      <c r="A65" s="1171"/>
      <c r="B65" s="1236" t="s">
        <v>817</v>
      </c>
      <c r="C65" s="1167"/>
      <c r="D65" s="1167"/>
      <c r="E65" s="1167"/>
      <c r="F65" s="1167"/>
      <c r="G65" s="1167"/>
      <c r="H65" s="1167"/>
      <c r="I65" s="1167"/>
      <c r="J65" s="1167"/>
      <c r="K65" s="1167"/>
      <c r="L65" s="1167"/>
      <c r="M65" s="1167"/>
      <c r="N65" s="1167"/>
      <c r="O65" s="1167"/>
      <c r="P65" s="1168"/>
    </row>
    <row r="66" spans="1:16" hidden="1" outlineLevel="1">
      <c r="B66" s="1157"/>
      <c r="C66" s="864"/>
      <c r="D66" s="864"/>
      <c r="E66" s="864"/>
      <c r="F66" s="864"/>
      <c r="G66" s="864"/>
      <c r="H66" s="864"/>
      <c r="I66" s="864"/>
      <c r="J66" s="864"/>
      <c r="K66" s="864"/>
      <c r="L66" s="864"/>
      <c r="M66" s="864"/>
      <c r="N66" s="864"/>
      <c r="O66" s="864"/>
      <c r="P66" s="1158"/>
    </row>
    <row r="67" spans="1:16" hidden="1" outlineLevel="1">
      <c r="B67" s="1223"/>
      <c r="C67" s="1194"/>
      <c r="D67" s="1195"/>
      <c r="E67" s="1195"/>
      <c r="F67" s="1252"/>
      <c r="G67" s="1253"/>
      <c r="H67" s="1253"/>
      <c r="I67" s="1253"/>
      <c r="J67" s="1253"/>
      <c r="K67" s="1253"/>
      <c r="L67" s="1253"/>
      <c r="M67" s="1253"/>
      <c r="N67" s="1253"/>
      <c r="O67" s="1253"/>
      <c r="P67" s="1166"/>
    </row>
    <row r="69" spans="1:16" ht="15.75" collapsed="1">
      <c r="B69" s="809" t="s">
        <v>732</v>
      </c>
    </row>
    <row r="70" spans="1:16" hidden="1" outlineLevel="1">
      <c r="B70" s="731">
        <v>1</v>
      </c>
      <c r="C70" s="121" t="s">
        <v>802</v>
      </c>
    </row>
    <row r="71" spans="1:16" ht="15.75" hidden="1" outlineLevel="1">
      <c r="B71" s="809"/>
    </row>
    <row r="72" spans="1:16" hidden="1" outlineLevel="1">
      <c r="B72" s="121" t="s">
        <v>2460</v>
      </c>
    </row>
    <row r="73" spans="1:16" hidden="1" outlineLevel="1">
      <c r="C73" s="731" t="s">
        <v>806</v>
      </c>
      <c r="E73" s="121" t="str">
        <f>Preferences.PowerUnits</f>
        <v>GW</v>
      </c>
      <c r="F73" s="783">
        <f>INDEX(F$15:F$18, MATCH($E$7, $C$15:$C$18, 0))</f>
        <v>0</v>
      </c>
      <c r="G73" s="783">
        <f t="shared" ref="G73:O73" si="2">INDEX(G$15:G$18, MATCH($E$7, $C$15:$C$18, 0))</f>
        <v>0</v>
      </c>
      <c r="H73" s="783">
        <f t="shared" si="2"/>
        <v>1.5220700152207001E-3</v>
      </c>
      <c r="I73" s="783">
        <f t="shared" si="2"/>
        <v>8.0331473025536906E-2</v>
      </c>
      <c r="J73" s="783">
        <f t="shared" si="2"/>
        <v>0.20082868256384201</v>
      </c>
      <c r="K73" s="783">
        <f t="shared" si="2"/>
        <v>0.20082868256384201</v>
      </c>
      <c r="L73" s="783">
        <f t="shared" si="2"/>
        <v>0</v>
      </c>
      <c r="M73" s="783">
        <f t="shared" si="2"/>
        <v>0</v>
      </c>
      <c r="N73" s="783">
        <f t="shared" si="2"/>
        <v>0</v>
      </c>
      <c r="O73" s="783">
        <f t="shared" si="2"/>
        <v>0</v>
      </c>
    </row>
    <row r="74" spans="1:16" hidden="1" outlineLevel="1">
      <c r="B74" s="246" t="s">
        <v>838</v>
      </c>
      <c r="C74" s="246" t="s">
        <v>773</v>
      </c>
      <c r="E74" s="246"/>
      <c r="F74" s="1757">
        <f>F$48</f>
        <v>0.25</v>
      </c>
      <c r="G74" s="1757">
        <f t="shared" ref="G74:O74" si="3">G$48</f>
        <v>0.25</v>
      </c>
      <c r="H74" s="1757">
        <f t="shared" si="3"/>
        <v>0.25</v>
      </c>
      <c r="I74" s="1757">
        <f t="shared" si="3"/>
        <v>0.25</v>
      </c>
      <c r="J74" s="1757">
        <f t="shared" si="3"/>
        <v>0.25</v>
      </c>
      <c r="K74" s="1757">
        <f t="shared" si="3"/>
        <v>0.25</v>
      </c>
      <c r="L74" s="1757">
        <f t="shared" si="3"/>
        <v>0.25</v>
      </c>
      <c r="M74" s="1757">
        <f t="shared" si="3"/>
        <v>0.25</v>
      </c>
      <c r="N74" s="1757">
        <f t="shared" si="3"/>
        <v>0.25</v>
      </c>
      <c r="O74" s="1757">
        <f t="shared" si="3"/>
        <v>0.25</v>
      </c>
    </row>
    <row r="75" spans="1:16" hidden="1" outlineLevel="1">
      <c r="B75" s="246" t="s">
        <v>838</v>
      </c>
      <c r="C75" s="246" t="s">
        <v>1953</v>
      </c>
      <c r="E75" s="246"/>
      <c r="F75" s="1757">
        <f>F$59</f>
        <v>0.9</v>
      </c>
      <c r="G75" s="1757">
        <f t="shared" ref="G75:O75" si="4">G$59</f>
        <v>0.9</v>
      </c>
      <c r="H75" s="1757">
        <f t="shared" si="4"/>
        <v>0.9</v>
      </c>
      <c r="I75" s="1757">
        <f t="shared" si="4"/>
        <v>0.9</v>
      </c>
      <c r="J75" s="1757">
        <f t="shared" si="4"/>
        <v>0.9</v>
      </c>
      <c r="K75" s="1757">
        <f t="shared" si="4"/>
        <v>0.9</v>
      </c>
      <c r="L75" s="1757">
        <f t="shared" si="4"/>
        <v>0.9</v>
      </c>
      <c r="M75" s="1757">
        <f t="shared" si="4"/>
        <v>0.9</v>
      </c>
      <c r="N75" s="1757">
        <f t="shared" si="4"/>
        <v>0.9</v>
      </c>
      <c r="O75" s="1757">
        <f t="shared" si="4"/>
        <v>0.9</v>
      </c>
    </row>
    <row r="76" spans="1:16" hidden="1" outlineLevel="1">
      <c r="B76" s="807" t="s">
        <v>840</v>
      </c>
      <c r="C76" s="731" t="s">
        <v>2054</v>
      </c>
      <c r="F76" s="27">
        <f>F73*F74*F75</f>
        <v>0</v>
      </c>
      <c r="G76" s="27">
        <f t="shared" ref="G76:O76" si="5">G73*G74*G75</f>
        <v>0</v>
      </c>
      <c r="H76" s="27">
        <f t="shared" si="5"/>
        <v>3.4246575342465754E-4</v>
      </c>
      <c r="I76" s="27">
        <f t="shared" si="5"/>
        <v>1.8074581430745803E-2</v>
      </c>
      <c r="J76" s="27">
        <f t="shared" si="5"/>
        <v>4.5186453576864453E-2</v>
      </c>
      <c r="K76" s="27">
        <f t="shared" si="5"/>
        <v>4.5186453576864453E-2</v>
      </c>
      <c r="L76" s="27">
        <f t="shared" si="5"/>
        <v>0</v>
      </c>
      <c r="M76" s="27">
        <f t="shared" si="5"/>
        <v>0</v>
      </c>
      <c r="N76" s="27">
        <f t="shared" si="5"/>
        <v>0</v>
      </c>
      <c r="O76" s="27">
        <f t="shared" si="5"/>
        <v>0</v>
      </c>
    </row>
    <row r="77" spans="1:16" hidden="1" outlineLevel="1">
      <c r="B77" s="807"/>
      <c r="C77" s="731"/>
    </row>
    <row r="78" spans="1:16" hidden="1" outlineLevel="1">
      <c r="C78" s="731" t="s">
        <v>548</v>
      </c>
      <c r="E78" s="121" t="str">
        <f>Preferences.EnergyUnits</f>
        <v>TWh</v>
      </c>
      <c r="F78" s="783">
        <f t="shared" ref="F78:O78" si="6">F76*Preferences.Unit.Power*Unit.year/Preferences.Unit.Energy</f>
        <v>0</v>
      </c>
      <c r="G78" s="783">
        <f t="shared" si="6"/>
        <v>0</v>
      </c>
      <c r="H78" s="783">
        <f t="shared" si="6"/>
        <v>3.0020547945205484E-3</v>
      </c>
      <c r="I78" s="783">
        <f t="shared" si="6"/>
        <v>0.1584417808219177</v>
      </c>
      <c r="J78" s="783">
        <f t="shared" si="6"/>
        <v>0.39610445205479383</v>
      </c>
      <c r="K78" s="783">
        <f t="shared" si="6"/>
        <v>0.39610445205479383</v>
      </c>
      <c r="L78" s="783">
        <f t="shared" si="6"/>
        <v>0</v>
      </c>
      <c r="M78" s="783">
        <f t="shared" si="6"/>
        <v>0</v>
      </c>
      <c r="N78" s="783">
        <f t="shared" si="6"/>
        <v>0</v>
      </c>
      <c r="O78" s="783">
        <f t="shared" si="6"/>
        <v>0</v>
      </c>
    </row>
    <row r="79" spans="1:16" hidden="1" outlineLevel="1">
      <c r="C79" s="731"/>
      <c r="F79" s="783"/>
      <c r="G79" s="783"/>
      <c r="H79" s="783"/>
      <c r="I79" s="783"/>
      <c r="J79" s="783"/>
      <c r="K79" s="783"/>
      <c r="L79" s="783"/>
      <c r="M79" s="783"/>
      <c r="N79" s="783"/>
      <c r="O79" s="783"/>
    </row>
    <row r="80" spans="1:16" hidden="1" outlineLevel="1">
      <c r="B80" s="121" t="s">
        <v>2461</v>
      </c>
    </row>
    <row r="81" spans="2:16384" hidden="1" outlineLevel="1">
      <c r="C81" s="731" t="s">
        <v>806</v>
      </c>
      <c r="E81" s="121" t="str">
        <f>Preferences.PowerUnits</f>
        <v>GW</v>
      </c>
      <c r="F81" s="783">
        <f>INDEX(F$25:F$28, MATCH($E$7, $C$25:$C$28, 0))</f>
        <v>0</v>
      </c>
      <c r="G81" s="783">
        <f t="shared" ref="G81:O81" si="7">INDEX(G$25:G$28, MATCH($E$7, $C$25:$C$28, 0))</f>
        <v>1.5854895991882301E-3</v>
      </c>
      <c r="H81" s="783">
        <f t="shared" si="7"/>
        <v>6.3419583967529204E-3</v>
      </c>
      <c r="I81" s="783">
        <f t="shared" si="7"/>
        <v>1.5854895991882299E-2</v>
      </c>
      <c r="J81" s="783">
        <f t="shared" si="7"/>
        <v>3.9637239979705703E-2</v>
      </c>
      <c r="K81" s="783">
        <f t="shared" si="7"/>
        <v>3.9637239979705703E-2</v>
      </c>
      <c r="L81" s="783">
        <f t="shared" si="7"/>
        <v>0</v>
      </c>
      <c r="M81" s="783">
        <f t="shared" si="7"/>
        <v>0</v>
      </c>
      <c r="N81" s="783">
        <f t="shared" si="7"/>
        <v>0</v>
      </c>
      <c r="O81" s="783">
        <f t="shared" si="7"/>
        <v>0</v>
      </c>
    </row>
    <row r="82" spans="2:16384" hidden="1" outlineLevel="1">
      <c r="B82" s="246" t="s">
        <v>838</v>
      </c>
      <c r="C82" s="246" t="s">
        <v>773</v>
      </c>
      <c r="E82" s="246"/>
      <c r="F82" s="1757">
        <f>F$49</f>
        <v>0.4</v>
      </c>
      <c r="G82" s="1757">
        <f t="shared" ref="G82:O82" si="8">G$49</f>
        <v>0.4</v>
      </c>
      <c r="H82" s="1757">
        <f t="shared" si="8"/>
        <v>0.4</v>
      </c>
      <c r="I82" s="1757">
        <f t="shared" si="8"/>
        <v>0.4</v>
      </c>
      <c r="J82" s="1757">
        <f t="shared" si="8"/>
        <v>0.4</v>
      </c>
      <c r="K82" s="1757">
        <f t="shared" si="8"/>
        <v>0.4</v>
      </c>
      <c r="L82" s="1757">
        <f t="shared" si="8"/>
        <v>0.4</v>
      </c>
      <c r="M82" s="1757">
        <f t="shared" si="8"/>
        <v>0.4</v>
      </c>
      <c r="N82" s="1757">
        <f t="shared" si="8"/>
        <v>0.4</v>
      </c>
      <c r="O82" s="1757">
        <f t="shared" si="8"/>
        <v>0.4</v>
      </c>
    </row>
    <row r="83" spans="2:16384" hidden="1" outlineLevel="1">
      <c r="B83" s="246" t="s">
        <v>838</v>
      </c>
      <c r="C83" s="246" t="s">
        <v>1953</v>
      </c>
      <c r="E83" s="246"/>
      <c r="F83" s="1757">
        <f>F$60</f>
        <v>0.9</v>
      </c>
      <c r="G83" s="1757">
        <f t="shared" ref="G83:O83" si="9">G$60</f>
        <v>0.9</v>
      </c>
      <c r="H83" s="1757">
        <f t="shared" si="9"/>
        <v>0.9</v>
      </c>
      <c r="I83" s="1757">
        <f t="shared" si="9"/>
        <v>0.9</v>
      </c>
      <c r="J83" s="1757">
        <f t="shared" si="9"/>
        <v>0.9</v>
      </c>
      <c r="K83" s="1757">
        <f t="shared" si="9"/>
        <v>0.9</v>
      </c>
      <c r="L83" s="1757">
        <f t="shared" si="9"/>
        <v>0.9</v>
      </c>
      <c r="M83" s="1757">
        <f t="shared" si="9"/>
        <v>0.9</v>
      </c>
      <c r="N83" s="1757">
        <f t="shared" si="9"/>
        <v>0.9</v>
      </c>
      <c r="O83" s="1757">
        <f t="shared" si="9"/>
        <v>0.9</v>
      </c>
    </row>
    <row r="84" spans="2:16384" hidden="1" outlineLevel="1">
      <c r="B84" s="807" t="s">
        <v>840</v>
      </c>
      <c r="C84" s="731" t="s">
        <v>2054</v>
      </c>
      <c r="F84" s="27">
        <f>F81*F82*F83</f>
        <v>0</v>
      </c>
      <c r="G84" s="27">
        <f t="shared" ref="G84:O84" si="10">G81*G82*G83</f>
        <v>5.7077625570776296E-4</v>
      </c>
      <c r="H84" s="27">
        <f t="shared" si="10"/>
        <v>2.2831050228310518E-3</v>
      </c>
      <c r="I84" s="27">
        <f t="shared" si="10"/>
        <v>5.7077625570776287E-3</v>
      </c>
      <c r="J84" s="27">
        <f t="shared" si="10"/>
        <v>1.4269406392694054E-2</v>
      </c>
      <c r="K84" s="27">
        <f t="shared" si="10"/>
        <v>1.4269406392694054E-2</v>
      </c>
      <c r="L84" s="27">
        <f t="shared" si="10"/>
        <v>0</v>
      </c>
      <c r="M84" s="27">
        <f t="shared" si="10"/>
        <v>0</v>
      </c>
      <c r="N84" s="27">
        <f t="shared" si="10"/>
        <v>0</v>
      </c>
      <c r="O84" s="27">
        <f t="shared" si="10"/>
        <v>0</v>
      </c>
    </row>
    <row r="85" spans="2:16384" hidden="1" outlineLevel="1">
      <c r="C85" s="731"/>
      <c r="F85" s="783"/>
      <c r="G85" s="783"/>
      <c r="H85" s="783"/>
      <c r="I85" s="783"/>
      <c r="J85" s="783"/>
      <c r="K85" s="783"/>
      <c r="L85" s="783"/>
      <c r="M85" s="783"/>
      <c r="N85" s="783"/>
      <c r="O85" s="783"/>
    </row>
    <row r="86" spans="2:16384" hidden="1" outlineLevel="1">
      <c r="C86" s="731" t="s">
        <v>548</v>
      </c>
      <c r="E86" s="121" t="str">
        <f>Preferences.EnergyUnits</f>
        <v>TWh</v>
      </c>
      <c r="F86" s="783">
        <f t="shared" ref="F86:O86" si="11">F84*Preferences.Unit.Power*Unit.year/Preferences.Unit.Energy</f>
        <v>0</v>
      </c>
      <c r="G86" s="783">
        <f t="shared" si="11"/>
        <v>5.0034246575342495E-3</v>
      </c>
      <c r="H86" s="783">
        <f t="shared" si="11"/>
        <v>2.0013698630136998E-2</v>
      </c>
      <c r="I86" s="783">
        <f t="shared" si="11"/>
        <v>5.0034246575342486E-2</v>
      </c>
      <c r="J86" s="783">
        <f t="shared" si="11"/>
        <v>0.12508561643835608</v>
      </c>
      <c r="K86" s="783">
        <f t="shared" si="11"/>
        <v>0.12508561643835608</v>
      </c>
      <c r="L86" s="783">
        <f t="shared" si="11"/>
        <v>0</v>
      </c>
      <c r="M86" s="783">
        <f t="shared" si="11"/>
        <v>0</v>
      </c>
      <c r="N86" s="783">
        <f t="shared" si="11"/>
        <v>0</v>
      </c>
      <c r="O86" s="783">
        <f t="shared" si="11"/>
        <v>0</v>
      </c>
    </row>
    <row r="87" spans="2:16384" hidden="1" outlineLevel="1">
      <c r="B87" s="731"/>
      <c r="C87" s="731"/>
      <c r="F87" s="783"/>
    </row>
    <row r="88" spans="2:16384" hidden="1" outlineLevel="1">
      <c r="B88" s="121" t="s">
        <v>2462</v>
      </c>
    </row>
    <row r="89" spans="2:16384" hidden="1" outlineLevel="1">
      <c r="C89" s="731" t="s">
        <v>806</v>
      </c>
      <c r="E89" s="121" t="str">
        <f>Preferences.PowerUnits</f>
        <v>GW</v>
      </c>
      <c r="F89" s="783">
        <f t="shared" ref="F89:O89" si="12">INDEX(F$35:F$38, MATCH($E$7, $C$35:$C$38, 0))</f>
        <v>0</v>
      </c>
      <c r="G89" s="783">
        <f t="shared" si="12"/>
        <v>0</v>
      </c>
      <c r="H89" s="783">
        <f t="shared" si="12"/>
        <v>0</v>
      </c>
      <c r="I89" s="783">
        <f t="shared" si="12"/>
        <v>0</v>
      </c>
      <c r="J89" s="783">
        <f t="shared" si="12"/>
        <v>0</v>
      </c>
      <c r="K89" s="783">
        <f t="shared" si="12"/>
        <v>0</v>
      </c>
      <c r="L89" s="783">
        <f t="shared" si="12"/>
        <v>0</v>
      </c>
      <c r="M89" s="783">
        <f t="shared" si="12"/>
        <v>0</v>
      </c>
      <c r="N89" s="783">
        <f t="shared" si="12"/>
        <v>0</v>
      </c>
      <c r="O89" s="783">
        <f t="shared" si="12"/>
        <v>0</v>
      </c>
    </row>
    <row r="90" spans="2:16384" s="246" customFormat="1" hidden="1" outlineLevel="1">
      <c r="B90" s="246" t="s">
        <v>838</v>
      </c>
      <c r="C90" s="246" t="s">
        <v>773</v>
      </c>
      <c r="F90" s="1757">
        <f>F$50</f>
        <v>0.24</v>
      </c>
      <c r="G90" s="1757">
        <f t="shared" ref="G90:O90" si="13">G$50</f>
        <v>0.24</v>
      </c>
      <c r="H90" s="1757">
        <f t="shared" si="13"/>
        <v>0.24</v>
      </c>
      <c r="I90" s="1757">
        <f t="shared" si="13"/>
        <v>0.24</v>
      </c>
      <c r="J90" s="1757">
        <f t="shared" si="13"/>
        <v>0.24</v>
      </c>
      <c r="K90" s="1757">
        <f t="shared" si="13"/>
        <v>0.24</v>
      </c>
      <c r="L90" s="1757">
        <f t="shared" si="13"/>
        <v>0.24</v>
      </c>
      <c r="M90" s="1757">
        <f t="shared" si="13"/>
        <v>0.24</v>
      </c>
      <c r="N90" s="1757">
        <f t="shared" si="13"/>
        <v>0.24</v>
      </c>
      <c r="O90" s="1757">
        <f t="shared" si="13"/>
        <v>0.24</v>
      </c>
    </row>
    <row r="91" spans="2:16384" s="246" customFormat="1" hidden="1" outlineLevel="1">
      <c r="B91" s="246" t="s">
        <v>838</v>
      </c>
      <c r="C91" s="246" t="s">
        <v>1953</v>
      </c>
      <c r="F91" s="1757">
        <f>F$61</f>
        <v>0.95</v>
      </c>
      <c r="G91" s="1757">
        <f t="shared" ref="G91:N91" si="14">G$61</f>
        <v>0.95</v>
      </c>
      <c r="H91" s="1757">
        <f t="shared" si="14"/>
        <v>0.95</v>
      </c>
      <c r="I91" s="1757">
        <f t="shared" si="14"/>
        <v>0.95</v>
      </c>
      <c r="J91" s="1757">
        <f t="shared" si="14"/>
        <v>0.95</v>
      </c>
      <c r="K91" s="1757">
        <f t="shared" si="14"/>
        <v>0.95</v>
      </c>
      <c r="L91" s="1757">
        <f t="shared" si="14"/>
        <v>0.95</v>
      </c>
      <c r="M91" s="1757">
        <f t="shared" si="14"/>
        <v>0.95</v>
      </c>
      <c r="N91" s="1757">
        <f t="shared" si="14"/>
        <v>0.95</v>
      </c>
      <c r="O91" s="1757">
        <v>0.95</v>
      </c>
      <c r="P91" s="1757"/>
      <c r="Q91" s="1757"/>
      <c r="R91" s="1757"/>
      <c r="S91" s="1757"/>
      <c r="T91" s="1757"/>
      <c r="U91" s="1757"/>
      <c r="V91" s="1757"/>
      <c r="W91" s="1757"/>
      <c r="X91" s="1757"/>
      <c r="Y91" s="1757"/>
      <c r="Z91" s="1757"/>
      <c r="AA91" s="1757"/>
      <c r="AB91" s="1757"/>
      <c r="AC91" s="1757"/>
      <c r="AD91" s="1757"/>
      <c r="AE91" s="1757"/>
      <c r="AF91" s="1757"/>
      <c r="AG91" s="1757"/>
      <c r="AH91" s="1757"/>
      <c r="AI91" s="1757"/>
      <c r="AJ91" s="1757"/>
      <c r="AK91" s="1757"/>
      <c r="AL91" s="1757"/>
      <c r="AM91" s="1757"/>
      <c r="AN91" s="1757"/>
      <c r="AO91" s="1757"/>
      <c r="AP91" s="1757"/>
      <c r="AQ91" s="1757"/>
      <c r="AR91" s="1757"/>
      <c r="AS91" s="1757"/>
      <c r="AT91" s="1757"/>
      <c r="AU91" s="1757"/>
      <c r="AV91" s="1757"/>
      <c r="AW91" s="1757"/>
      <c r="AX91" s="1757"/>
      <c r="AY91" s="1757"/>
      <c r="AZ91" s="1757"/>
      <c r="BA91" s="1757"/>
      <c r="BB91" s="1757"/>
      <c r="BC91" s="1757"/>
      <c r="BD91" s="1757"/>
      <c r="BE91" s="1757"/>
      <c r="BF91" s="1757"/>
      <c r="BG91" s="1757"/>
      <c r="BH91" s="1757"/>
      <c r="BI91" s="1757"/>
      <c r="BJ91" s="1757"/>
      <c r="BK91" s="1757"/>
      <c r="BL91" s="1757"/>
      <c r="BM91" s="1757"/>
      <c r="BN91" s="1757"/>
      <c r="BO91" s="1757"/>
      <c r="BP91" s="1757"/>
      <c r="BQ91" s="1757"/>
      <c r="BR91" s="1757"/>
      <c r="BS91" s="1757"/>
      <c r="BT91" s="1757"/>
      <c r="BU91" s="1757"/>
      <c r="BV91" s="1757"/>
      <c r="BW91" s="1757"/>
      <c r="BX91" s="1757"/>
      <c r="BY91" s="1757"/>
      <c r="BZ91" s="1757"/>
      <c r="CA91" s="1757"/>
      <c r="CB91" s="1757"/>
      <c r="CC91" s="1757"/>
      <c r="CD91" s="1757"/>
      <c r="CE91" s="1757"/>
      <c r="CF91" s="1757"/>
      <c r="CG91" s="1757"/>
      <c r="CH91" s="1757"/>
      <c r="CI91" s="1757"/>
      <c r="CJ91" s="1757"/>
      <c r="CK91" s="1757"/>
      <c r="CL91" s="1757"/>
      <c r="CM91" s="1757"/>
      <c r="CN91" s="1757"/>
      <c r="CO91" s="1757"/>
      <c r="CP91" s="1757"/>
      <c r="CQ91" s="1757"/>
      <c r="CR91" s="1757"/>
      <c r="CS91" s="1757"/>
      <c r="CT91" s="1757"/>
      <c r="CU91" s="1757"/>
      <c r="CV91" s="1757"/>
      <c r="CW91" s="1757"/>
      <c r="CX91" s="1757"/>
      <c r="CY91" s="1757"/>
      <c r="CZ91" s="1757"/>
      <c r="DA91" s="1757"/>
      <c r="DB91" s="1757"/>
      <c r="DC91" s="1757"/>
      <c r="DD91" s="1757"/>
      <c r="DE91" s="1757"/>
      <c r="DF91" s="1757"/>
      <c r="DG91" s="1757"/>
      <c r="DH91" s="1757"/>
      <c r="DI91" s="1757"/>
      <c r="DJ91" s="1757"/>
      <c r="DK91" s="1757"/>
      <c r="DL91" s="1757"/>
      <c r="DM91" s="1757"/>
      <c r="DN91" s="1757"/>
      <c r="DO91" s="1757"/>
      <c r="DP91" s="1757"/>
      <c r="DQ91" s="1757"/>
      <c r="DR91" s="1757"/>
      <c r="DS91" s="1757"/>
      <c r="DT91" s="1757"/>
      <c r="DU91" s="1757"/>
      <c r="DV91" s="1757"/>
      <c r="DW91" s="1757"/>
      <c r="DX91" s="1757"/>
      <c r="DY91" s="1757"/>
      <c r="DZ91" s="1757"/>
      <c r="EA91" s="1757"/>
      <c r="EB91" s="1757"/>
      <c r="EC91" s="1757"/>
      <c r="ED91" s="1757"/>
      <c r="EE91" s="1757"/>
      <c r="EF91" s="1757"/>
      <c r="EG91" s="1757"/>
      <c r="EH91" s="1757"/>
      <c r="EI91" s="1757"/>
      <c r="EJ91" s="1757"/>
      <c r="EK91" s="1757"/>
      <c r="EL91" s="1757"/>
      <c r="EM91" s="1757"/>
      <c r="EN91" s="1757"/>
      <c r="EO91" s="1757"/>
      <c r="EP91" s="1757"/>
      <c r="EQ91" s="1757"/>
      <c r="ER91" s="1757"/>
      <c r="ES91" s="1757"/>
      <c r="ET91" s="1757"/>
      <c r="EU91" s="1757"/>
      <c r="EV91" s="1757"/>
      <c r="EW91" s="1757"/>
      <c r="EX91" s="1757"/>
      <c r="EY91" s="1757"/>
      <c r="EZ91" s="1757"/>
      <c r="FA91" s="1757"/>
      <c r="FB91" s="1757"/>
      <c r="FC91" s="1757"/>
      <c r="FD91" s="1757"/>
      <c r="FE91" s="1757"/>
      <c r="FF91" s="1757"/>
      <c r="FG91" s="1757"/>
      <c r="FH91" s="1757"/>
      <c r="FI91" s="1757"/>
      <c r="FJ91" s="1757"/>
      <c r="FK91" s="1757"/>
      <c r="FL91" s="1757"/>
      <c r="FM91" s="1757"/>
      <c r="FN91" s="1757"/>
      <c r="FO91" s="1757"/>
      <c r="FP91" s="1757"/>
      <c r="FQ91" s="1757"/>
      <c r="FR91" s="1757"/>
      <c r="FS91" s="1757"/>
      <c r="FT91" s="1757"/>
      <c r="FU91" s="1757"/>
      <c r="FV91" s="1757"/>
      <c r="FW91" s="1757"/>
      <c r="FX91" s="1757"/>
      <c r="FY91" s="1757"/>
      <c r="FZ91" s="1757"/>
      <c r="GA91" s="1757"/>
      <c r="GB91" s="1757"/>
      <c r="GC91" s="1757"/>
      <c r="GD91" s="1757"/>
      <c r="GE91" s="1757"/>
      <c r="GF91" s="1757"/>
      <c r="GG91" s="1757"/>
      <c r="GH91" s="1757"/>
      <c r="GI91" s="1757"/>
      <c r="GJ91" s="1757"/>
      <c r="GK91" s="1757"/>
      <c r="GL91" s="1757"/>
      <c r="GM91" s="1757"/>
      <c r="GN91" s="1757"/>
      <c r="GO91" s="1757"/>
      <c r="GP91" s="1757"/>
      <c r="GQ91" s="1757"/>
      <c r="GR91" s="1757"/>
      <c r="GS91" s="1757"/>
      <c r="GT91" s="1757"/>
      <c r="GU91" s="1757"/>
      <c r="GV91" s="1757"/>
      <c r="GW91" s="1757"/>
      <c r="GX91" s="1757"/>
      <c r="GY91" s="1757"/>
      <c r="GZ91" s="1757"/>
      <c r="HA91" s="1757"/>
      <c r="HB91" s="1757"/>
      <c r="HC91" s="1757"/>
      <c r="HD91" s="1757"/>
      <c r="HE91" s="1757"/>
      <c r="HF91" s="1757"/>
      <c r="HG91" s="1757"/>
      <c r="HH91" s="1757"/>
      <c r="HI91" s="1757"/>
      <c r="HJ91" s="1757"/>
      <c r="HK91" s="1757"/>
      <c r="HL91" s="1757"/>
      <c r="HM91" s="1757"/>
      <c r="HN91" s="1757"/>
      <c r="HO91" s="1757"/>
      <c r="HP91" s="1757"/>
      <c r="HQ91" s="1757"/>
      <c r="HR91" s="1757"/>
      <c r="HS91" s="1757"/>
      <c r="HT91" s="1757"/>
      <c r="HU91" s="1757"/>
      <c r="HV91" s="1757"/>
      <c r="HW91" s="1757"/>
      <c r="HX91" s="1757"/>
      <c r="HY91" s="1757"/>
      <c r="HZ91" s="1757"/>
      <c r="IA91" s="1757"/>
      <c r="IB91" s="1757"/>
      <c r="IC91" s="1757"/>
      <c r="ID91" s="1757"/>
      <c r="IE91" s="1757"/>
      <c r="IF91" s="1757"/>
      <c r="IG91" s="1757"/>
      <c r="IH91" s="1757"/>
      <c r="II91" s="1757"/>
      <c r="IJ91" s="1757"/>
      <c r="IK91" s="1757"/>
      <c r="IL91" s="1757"/>
      <c r="IM91" s="1757"/>
      <c r="IN91" s="1757"/>
      <c r="IO91" s="1757"/>
      <c r="IP91" s="1757"/>
      <c r="IQ91" s="1757"/>
      <c r="IR91" s="1757"/>
      <c r="IS91" s="1757"/>
      <c r="IT91" s="1757"/>
      <c r="IU91" s="1757"/>
      <c r="IV91" s="1757"/>
      <c r="IW91" s="1757"/>
      <c r="IX91" s="1757"/>
      <c r="IY91" s="1757"/>
      <c r="IZ91" s="1757"/>
      <c r="JA91" s="1757"/>
      <c r="JB91" s="1757"/>
      <c r="JC91" s="1757"/>
      <c r="JD91" s="1757"/>
      <c r="JE91" s="1757"/>
      <c r="JF91" s="1757"/>
      <c r="JG91" s="1757"/>
      <c r="JH91" s="1757"/>
      <c r="JI91" s="1757"/>
      <c r="JJ91" s="1757"/>
      <c r="JK91" s="1757"/>
      <c r="JL91" s="1757"/>
      <c r="JM91" s="1757"/>
      <c r="JN91" s="1757"/>
      <c r="JO91" s="1757"/>
      <c r="JP91" s="1757"/>
      <c r="JQ91" s="1757"/>
      <c r="JR91" s="1757"/>
      <c r="JS91" s="1757"/>
      <c r="JT91" s="1757"/>
      <c r="JU91" s="1757"/>
      <c r="JV91" s="1757"/>
      <c r="JW91" s="1757"/>
      <c r="JX91" s="1757"/>
      <c r="JY91" s="1757"/>
      <c r="JZ91" s="1757"/>
      <c r="KA91" s="1757"/>
      <c r="KB91" s="1757"/>
      <c r="KC91" s="1757"/>
      <c r="KD91" s="1757"/>
      <c r="KE91" s="1757"/>
      <c r="KF91" s="1757"/>
      <c r="KG91" s="1757"/>
      <c r="KH91" s="1757"/>
      <c r="KI91" s="1757"/>
      <c r="KJ91" s="1757"/>
      <c r="KK91" s="1757"/>
      <c r="KL91" s="1757"/>
      <c r="KM91" s="1757"/>
      <c r="KN91" s="1757"/>
      <c r="KO91" s="1757"/>
      <c r="KP91" s="1757"/>
      <c r="KQ91" s="1757"/>
      <c r="KR91" s="1757"/>
      <c r="KS91" s="1757"/>
      <c r="KT91" s="1757"/>
      <c r="KU91" s="1757"/>
      <c r="KV91" s="1757"/>
      <c r="KW91" s="1757"/>
      <c r="KX91" s="1757"/>
      <c r="KY91" s="1757"/>
      <c r="KZ91" s="1757"/>
      <c r="LA91" s="1757"/>
      <c r="LB91" s="1757"/>
      <c r="LC91" s="1757"/>
      <c r="LD91" s="1757"/>
      <c r="LE91" s="1757"/>
      <c r="LF91" s="1757"/>
      <c r="LG91" s="1757"/>
      <c r="LH91" s="1757"/>
      <c r="LI91" s="1757"/>
      <c r="LJ91" s="1757"/>
      <c r="LK91" s="1757"/>
      <c r="LL91" s="1757"/>
      <c r="LM91" s="1757"/>
      <c r="LN91" s="1757"/>
      <c r="LO91" s="1757"/>
      <c r="LP91" s="1757"/>
      <c r="LQ91" s="1757"/>
      <c r="LR91" s="1757"/>
      <c r="LS91" s="1757"/>
      <c r="LT91" s="1757"/>
      <c r="LU91" s="1757"/>
      <c r="LV91" s="1757"/>
      <c r="LW91" s="1757"/>
      <c r="LX91" s="1757"/>
      <c r="LY91" s="1757"/>
      <c r="LZ91" s="1757"/>
      <c r="MA91" s="1757"/>
      <c r="MB91" s="1757"/>
      <c r="MC91" s="1757"/>
      <c r="MD91" s="1757"/>
      <c r="ME91" s="1757"/>
      <c r="MF91" s="1757"/>
      <c r="MG91" s="1757"/>
      <c r="MH91" s="1757"/>
      <c r="MI91" s="1757"/>
      <c r="MJ91" s="1757"/>
      <c r="MK91" s="1757"/>
      <c r="ML91" s="1757"/>
      <c r="MM91" s="1757"/>
      <c r="MN91" s="1757"/>
      <c r="MO91" s="1757"/>
      <c r="MP91" s="1757"/>
      <c r="MQ91" s="1757"/>
      <c r="MR91" s="1757"/>
      <c r="MS91" s="1757"/>
      <c r="MT91" s="1757"/>
      <c r="MU91" s="1757"/>
      <c r="MV91" s="1757"/>
      <c r="MW91" s="1757"/>
      <c r="MX91" s="1757"/>
      <c r="MY91" s="1757"/>
      <c r="MZ91" s="1757"/>
      <c r="NA91" s="1757"/>
      <c r="NB91" s="1757"/>
      <c r="NC91" s="1757"/>
      <c r="ND91" s="1757"/>
      <c r="NE91" s="1757"/>
      <c r="NF91" s="1757"/>
      <c r="NG91" s="1757"/>
      <c r="NH91" s="1757"/>
      <c r="NI91" s="1757"/>
      <c r="NJ91" s="1757"/>
      <c r="NK91" s="1757"/>
      <c r="NL91" s="1757"/>
      <c r="NM91" s="1757"/>
      <c r="NN91" s="1757"/>
      <c r="NO91" s="1757"/>
      <c r="NP91" s="1757"/>
      <c r="NQ91" s="1757"/>
      <c r="NR91" s="1757"/>
      <c r="NS91" s="1757"/>
      <c r="NT91" s="1757"/>
      <c r="NU91" s="1757"/>
      <c r="NV91" s="1757"/>
      <c r="NW91" s="1757"/>
      <c r="NX91" s="1757"/>
      <c r="NY91" s="1757"/>
      <c r="NZ91" s="1757"/>
      <c r="OA91" s="1757"/>
      <c r="OB91" s="1757"/>
      <c r="OC91" s="1757"/>
      <c r="OD91" s="1757"/>
      <c r="OE91" s="1757"/>
      <c r="OF91" s="1757"/>
      <c r="OG91" s="1757"/>
      <c r="OH91" s="1757"/>
      <c r="OI91" s="1757"/>
      <c r="OJ91" s="1757"/>
      <c r="OK91" s="1757"/>
      <c r="OL91" s="1757"/>
      <c r="OM91" s="1757"/>
      <c r="ON91" s="1757"/>
      <c r="OO91" s="1757"/>
      <c r="OP91" s="1757"/>
      <c r="OQ91" s="1757"/>
      <c r="OR91" s="1757"/>
      <c r="OS91" s="1757"/>
      <c r="OT91" s="1757"/>
      <c r="OU91" s="1757"/>
      <c r="OV91" s="1757"/>
      <c r="OW91" s="1757"/>
      <c r="OX91" s="1757"/>
      <c r="OY91" s="1757"/>
      <c r="OZ91" s="1757"/>
      <c r="PA91" s="1757"/>
      <c r="PB91" s="1757"/>
      <c r="PC91" s="1757"/>
      <c r="PD91" s="1757"/>
      <c r="PE91" s="1757"/>
      <c r="PF91" s="1757"/>
      <c r="PG91" s="1757"/>
      <c r="PH91" s="1757"/>
      <c r="PI91" s="1757"/>
      <c r="PJ91" s="1757"/>
      <c r="PK91" s="1757"/>
      <c r="PL91" s="1757"/>
      <c r="PM91" s="1757"/>
      <c r="PN91" s="1757"/>
      <c r="PO91" s="1757"/>
      <c r="PP91" s="1757"/>
      <c r="PQ91" s="1757"/>
      <c r="PR91" s="1757"/>
      <c r="PS91" s="1757"/>
      <c r="PT91" s="1757"/>
      <c r="PU91" s="1757"/>
      <c r="PV91" s="1757"/>
      <c r="PW91" s="1757"/>
      <c r="PX91" s="1757"/>
      <c r="PY91" s="1757"/>
      <c r="PZ91" s="1757"/>
      <c r="QA91" s="1757"/>
      <c r="QB91" s="1757"/>
      <c r="QC91" s="1757"/>
      <c r="QD91" s="1757"/>
      <c r="QE91" s="1757"/>
      <c r="QF91" s="1757"/>
      <c r="QG91" s="1757"/>
      <c r="QH91" s="1757"/>
      <c r="QI91" s="1757"/>
      <c r="QJ91" s="1757"/>
      <c r="QK91" s="1757"/>
      <c r="QL91" s="1757"/>
      <c r="QM91" s="1757"/>
      <c r="QN91" s="1757"/>
      <c r="QO91" s="1757"/>
      <c r="QP91" s="1757"/>
      <c r="QQ91" s="1757"/>
      <c r="QR91" s="1757"/>
      <c r="QS91" s="1757"/>
      <c r="QT91" s="1757"/>
      <c r="QU91" s="1757"/>
      <c r="QV91" s="1757"/>
      <c r="QW91" s="1757"/>
      <c r="QX91" s="1757"/>
      <c r="QY91" s="1757"/>
      <c r="QZ91" s="1757"/>
      <c r="RA91" s="1757"/>
      <c r="RB91" s="1757"/>
      <c r="RC91" s="1757"/>
      <c r="RD91" s="1757"/>
      <c r="RE91" s="1757"/>
      <c r="RF91" s="1757"/>
      <c r="RG91" s="1757"/>
      <c r="RH91" s="1757"/>
      <c r="RI91" s="1757"/>
      <c r="RJ91" s="1757"/>
      <c r="RK91" s="1757"/>
      <c r="RL91" s="1757"/>
      <c r="RM91" s="1757"/>
      <c r="RN91" s="1757"/>
      <c r="RO91" s="1757"/>
      <c r="RP91" s="1757"/>
      <c r="RQ91" s="1757"/>
      <c r="RR91" s="1757"/>
      <c r="RS91" s="1757"/>
      <c r="RT91" s="1757"/>
      <c r="RU91" s="1757"/>
      <c r="RV91" s="1757"/>
      <c r="RW91" s="1757"/>
      <c r="RX91" s="1757"/>
      <c r="RY91" s="1757"/>
      <c r="RZ91" s="1757"/>
      <c r="SA91" s="1757"/>
      <c r="SB91" s="1757"/>
      <c r="SC91" s="1757"/>
      <c r="SD91" s="1757"/>
      <c r="SE91" s="1757"/>
      <c r="SF91" s="1757"/>
      <c r="SG91" s="1757"/>
      <c r="SH91" s="1757"/>
      <c r="SI91" s="1757"/>
      <c r="SJ91" s="1757"/>
      <c r="SK91" s="1757"/>
      <c r="SL91" s="1757"/>
      <c r="SM91" s="1757"/>
      <c r="SN91" s="1757"/>
      <c r="SO91" s="1757"/>
      <c r="SP91" s="1757"/>
      <c r="SQ91" s="1757"/>
      <c r="SR91" s="1757"/>
      <c r="SS91" s="1757"/>
      <c r="ST91" s="1757"/>
      <c r="SU91" s="1757"/>
      <c r="SV91" s="1757"/>
      <c r="SW91" s="1757"/>
      <c r="SX91" s="1757"/>
      <c r="SY91" s="1757"/>
      <c r="SZ91" s="1757"/>
      <c r="TA91" s="1757"/>
      <c r="TB91" s="1757"/>
      <c r="TC91" s="1757"/>
      <c r="TD91" s="1757"/>
      <c r="TE91" s="1757"/>
      <c r="TF91" s="1757"/>
      <c r="TG91" s="1757"/>
      <c r="TH91" s="1757"/>
      <c r="TI91" s="1757"/>
      <c r="TJ91" s="1757"/>
      <c r="TK91" s="1757"/>
      <c r="TL91" s="1757"/>
      <c r="TM91" s="1757"/>
      <c r="TN91" s="1757"/>
      <c r="TO91" s="1757"/>
      <c r="TP91" s="1757"/>
      <c r="TQ91" s="1757"/>
      <c r="TR91" s="1757"/>
      <c r="TS91" s="1757"/>
      <c r="TT91" s="1757"/>
      <c r="TU91" s="1757"/>
      <c r="TV91" s="1757"/>
      <c r="TW91" s="1757"/>
      <c r="TX91" s="1757"/>
      <c r="TY91" s="1757"/>
      <c r="TZ91" s="1757"/>
      <c r="UA91" s="1757"/>
      <c r="UB91" s="1757"/>
      <c r="UC91" s="1757"/>
      <c r="UD91" s="1757"/>
      <c r="UE91" s="1757"/>
      <c r="UF91" s="1757"/>
      <c r="UG91" s="1757"/>
      <c r="UH91" s="1757"/>
      <c r="UI91" s="1757"/>
      <c r="UJ91" s="1757"/>
      <c r="UK91" s="1757"/>
      <c r="UL91" s="1757"/>
      <c r="UM91" s="1757"/>
      <c r="UN91" s="1757"/>
      <c r="UO91" s="1757"/>
      <c r="UP91" s="1757"/>
      <c r="UQ91" s="1757"/>
      <c r="UR91" s="1757"/>
      <c r="US91" s="1757"/>
      <c r="UT91" s="1757"/>
      <c r="UU91" s="1757"/>
      <c r="UV91" s="1757"/>
      <c r="UW91" s="1757"/>
      <c r="UX91" s="1757"/>
      <c r="UY91" s="1757"/>
      <c r="UZ91" s="1757"/>
      <c r="VA91" s="1757"/>
      <c r="VB91" s="1757"/>
      <c r="VC91" s="1757"/>
      <c r="VD91" s="1757"/>
      <c r="VE91" s="1757"/>
      <c r="VF91" s="1757"/>
      <c r="VG91" s="1757"/>
      <c r="VH91" s="1757"/>
      <c r="VI91" s="1757"/>
      <c r="VJ91" s="1757"/>
      <c r="VK91" s="1757"/>
      <c r="VL91" s="1757"/>
      <c r="VM91" s="1757"/>
      <c r="VN91" s="1757"/>
      <c r="VO91" s="1757"/>
      <c r="VP91" s="1757"/>
      <c r="VQ91" s="1757"/>
      <c r="VR91" s="1757"/>
      <c r="VS91" s="1757"/>
      <c r="VT91" s="1757"/>
      <c r="VU91" s="1757"/>
      <c r="VV91" s="1757"/>
      <c r="VW91" s="1757"/>
      <c r="VX91" s="1757"/>
      <c r="VY91" s="1757"/>
      <c r="VZ91" s="1757"/>
      <c r="WA91" s="1757"/>
      <c r="WB91" s="1757"/>
      <c r="WC91" s="1757"/>
      <c r="WD91" s="1757"/>
      <c r="WE91" s="1757"/>
      <c r="WF91" s="1757"/>
      <c r="WG91" s="1757"/>
      <c r="WH91" s="1757"/>
      <c r="WI91" s="1757"/>
      <c r="WJ91" s="1757"/>
      <c r="WK91" s="1757"/>
      <c r="WL91" s="1757"/>
      <c r="WM91" s="1757"/>
      <c r="WN91" s="1757"/>
      <c r="WO91" s="1757"/>
      <c r="WP91" s="1757"/>
      <c r="WQ91" s="1757"/>
      <c r="WR91" s="1757"/>
      <c r="WS91" s="1757"/>
      <c r="WT91" s="1757"/>
      <c r="WU91" s="1757"/>
      <c r="WV91" s="1757"/>
      <c r="WW91" s="1757"/>
      <c r="WX91" s="1757"/>
      <c r="WY91" s="1757"/>
      <c r="WZ91" s="1757"/>
      <c r="XA91" s="1757"/>
      <c r="XB91" s="1757"/>
      <c r="XC91" s="1757"/>
      <c r="XD91" s="1757"/>
      <c r="XE91" s="1757"/>
      <c r="XF91" s="1757"/>
      <c r="XG91" s="1757"/>
      <c r="XH91" s="1757"/>
      <c r="XI91" s="1757"/>
      <c r="XJ91" s="1757"/>
      <c r="XK91" s="1757"/>
      <c r="XL91" s="1757"/>
      <c r="XM91" s="1757"/>
      <c r="XN91" s="1757"/>
      <c r="XO91" s="1757"/>
      <c r="XP91" s="1757"/>
      <c r="XQ91" s="1757"/>
      <c r="XR91" s="1757"/>
      <c r="XS91" s="1757"/>
      <c r="XT91" s="1757"/>
      <c r="XU91" s="1757"/>
      <c r="XV91" s="1757"/>
      <c r="XW91" s="1757"/>
      <c r="XX91" s="1757"/>
      <c r="XY91" s="1757"/>
      <c r="XZ91" s="1757"/>
      <c r="YA91" s="1757"/>
      <c r="YB91" s="1757"/>
      <c r="YC91" s="1757"/>
      <c r="YD91" s="1757"/>
      <c r="YE91" s="1757"/>
      <c r="YF91" s="1757"/>
      <c r="YG91" s="1757"/>
      <c r="YH91" s="1757"/>
      <c r="YI91" s="1757"/>
      <c r="YJ91" s="1757"/>
      <c r="YK91" s="1757"/>
      <c r="YL91" s="1757"/>
      <c r="YM91" s="1757"/>
      <c r="YN91" s="1757"/>
      <c r="YO91" s="1757"/>
      <c r="YP91" s="1757"/>
      <c r="YQ91" s="1757"/>
      <c r="YR91" s="1757"/>
      <c r="YS91" s="1757"/>
      <c r="YT91" s="1757"/>
      <c r="YU91" s="1757"/>
      <c r="YV91" s="1757"/>
      <c r="YW91" s="1757"/>
      <c r="YX91" s="1757"/>
      <c r="YY91" s="1757"/>
      <c r="YZ91" s="1757"/>
      <c r="ZA91" s="1757"/>
      <c r="ZB91" s="1757"/>
      <c r="ZC91" s="1757"/>
      <c r="ZD91" s="1757"/>
      <c r="ZE91" s="1757"/>
      <c r="ZF91" s="1757"/>
      <c r="ZG91" s="1757"/>
      <c r="ZH91" s="1757"/>
      <c r="ZI91" s="1757"/>
      <c r="ZJ91" s="1757"/>
      <c r="ZK91" s="1757"/>
      <c r="ZL91" s="1757"/>
      <c r="ZM91" s="1757"/>
      <c r="ZN91" s="1757"/>
      <c r="ZO91" s="1757"/>
      <c r="ZP91" s="1757"/>
      <c r="ZQ91" s="1757"/>
      <c r="ZR91" s="1757"/>
      <c r="ZS91" s="1757"/>
      <c r="ZT91" s="1757"/>
      <c r="ZU91" s="1757"/>
      <c r="ZV91" s="1757"/>
      <c r="ZW91" s="1757"/>
      <c r="ZX91" s="1757"/>
      <c r="ZY91" s="1757"/>
      <c r="ZZ91" s="1757"/>
      <c r="AAA91" s="1757"/>
      <c r="AAB91" s="1757"/>
      <c r="AAC91" s="1757"/>
      <c r="AAD91" s="1757"/>
      <c r="AAE91" s="1757"/>
      <c r="AAF91" s="1757"/>
      <c r="AAG91" s="1757"/>
      <c r="AAH91" s="1757"/>
      <c r="AAI91" s="1757"/>
      <c r="AAJ91" s="1757"/>
      <c r="AAK91" s="1757"/>
      <c r="AAL91" s="1757"/>
      <c r="AAM91" s="1757"/>
      <c r="AAN91" s="1757"/>
      <c r="AAO91" s="1757"/>
      <c r="AAP91" s="1757"/>
      <c r="AAQ91" s="1757"/>
      <c r="AAR91" s="1757"/>
      <c r="AAS91" s="1757"/>
      <c r="AAT91" s="1757"/>
      <c r="AAU91" s="1757"/>
      <c r="AAV91" s="1757"/>
      <c r="AAW91" s="1757"/>
      <c r="AAX91" s="1757"/>
      <c r="AAY91" s="1757"/>
      <c r="AAZ91" s="1757"/>
      <c r="ABA91" s="1757"/>
      <c r="ABB91" s="1757"/>
      <c r="ABC91" s="1757"/>
      <c r="ABD91" s="1757"/>
      <c r="ABE91" s="1757"/>
      <c r="ABF91" s="1757"/>
      <c r="ABG91" s="1757"/>
      <c r="ABH91" s="1757"/>
      <c r="ABI91" s="1757"/>
      <c r="ABJ91" s="1757"/>
      <c r="ABK91" s="1757"/>
      <c r="ABL91" s="1757"/>
      <c r="ABM91" s="1757"/>
      <c r="ABN91" s="1757"/>
      <c r="ABO91" s="1757"/>
      <c r="ABP91" s="1757"/>
      <c r="ABQ91" s="1757"/>
      <c r="ABR91" s="1757"/>
      <c r="ABS91" s="1757"/>
      <c r="ABT91" s="1757"/>
      <c r="ABU91" s="1757"/>
      <c r="ABV91" s="1757"/>
      <c r="ABW91" s="1757"/>
      <c r="ABX91" s="1757"/>
      <c r="ABY91" s="1757"/>
      <c r="ABZ91" s="1757"/>
      <c r="ACA91" s="1757"/>
      <c r="ACB91" s="1757"/>
      <c r="ACC91" s="1757"/>
      <c r="ACD91" s="1757"/>
      <c r="ACE91" s="1757"/>
      <c r="ACF91" s="1757"/>
      <c r="ACG91" s="1757"/>
      <c r="ACH91" s="1757"/>
      <c r="ACI91" s="1757"/>
      <c r="ACJ91" s="1757"/>
      <c r="ACK91" s="1757"/>
      <c r="ACL91" s="1757"/>
      <c r="ACM91" s="1757"/>
      <c r="ACN91" s="1757"/>
      <c r="ACO91" s="1757"/>
      <c r="ACP91" s="1757"/>
      <c r="ACQ91" s="1757"/>
      <c r="ACR91" s="1757"/>
      <c r="ACS91" s="1757"/>
      <c r="ACT91" s="1757"/>
      <c r="ACU91" s="1757"/>
      <c r="ACV91" s="1757"/>
      <c r="ACW91" s="1757"/>
      <c r="ACX91" s="1757"/>
      <c r="ACY91" s="1757"/>
      <c r="ACZ91" s="1757"/>
      <c r="ADA91" s="1757"/>
      <c r="ADB91" s="1757"/>
      <c r="ADC91" s="1757"/>
      <c r="ADD91" s="1757"/>
      <c r="ADE91" s="1757"/>
      <c r="ADF91" s="1757"/>
      <c r="ADG91" s="1757"/>
      <c r="ADH91" s="1757"/>
      <c r="ADI91" s="1757"/>
      <c r="ADJ91" s="1757"/>
      <c r="ADK91" s="1757"/>
      <c r="ADL91" s="1757"/>
      <c r="ADM91" s="1757"/>
      <c r="ADN91" s="1757"/>
      <c r="ADO91" s="1757"/>
      <c r="ADP91" s="1757"/>
      <c r="ADQ91" s="1757"/>
      <c r="ADR91" s="1757"/>
      <c r="ADS91" s="1757"/>
      <c r="ADT91" s="1757"/>
      <c r="ADU91" s="1757"/>
      <c r="ADV91" s="1757"/>
      <c r="ADW91" s="1757"/>
      <c r="ADX91" s="1757"/>
      <c r="ADY91" s="1757"/>
      <c r="ADZ91" s="1757"/>
      <c r="AEA91" s="1757"/>
      <c r="AEB91" s="1757"/>
      <c r="AEC91" s="1757"/>
      <c r="AED91" s="1757"/>
      <c r="AEE91" s="1757"/>
      <c r="AEF91" s="1757"/>
      <c r="AEG91" s="1757"/>
      <c r="AEH91" s="1757"/>
      <c r="AEI91" s="1757"/>
      <c r="AEJ91" s="1757"/>
      <c r="AEK91" s="1757"/>
      <c r="AEL91" s="1757"/>
      <c r="AEM91" s="1757"/>
      <c r="AEN91" s="1757"/>
      <c r="AEO91" s="1757"/>
      <c r="AEP91" s="1757"/>
      <c r="AEQ91" s="1757"/>
      <c r="AER91" s="1757"/>
      <c r="AES91" s="1757"/>
      <c r="AET91" s="1757"/>
      <c r="AEU91" s="1757"/>
      <c r="AEV91" s="1757"/>
      <c r="AEW91" s="1757"/>
      <c r="AEX91" s="1757"/>
      <c r="AEY91" s="1757"/>
      <c r="AEZ91" s="1757"/>
      <c r="AFA91" s="1757"/>
      <c r="AFB91" s="1757"/>
      <c r="AFC91" s="1757"/>
      <c r="AFD91" s="1757"/>
      <c r="AFE91" s="1757"/>
      <c r="AFF91" s="1757"/>
      <c r="AFG91" s="1757"/>
      <c r="AFH91" s="1757"/>
      <c r="AFI91" s="1757"/>
      <c r="AFJ91" s="1757"/>
      <c r="AFK91" s="1757"/>
      <c r="AFL91" s="1757"/>
      <c r="AFM91" s="1757"/>
      <c r="AFN91" s="1757"/>
      <c r="AFO91" s="1757"/>
      <c r="AFP91" s="1757"/>
      <c r="AFQ91" s="1757"/>
      <c r="AFR91" s="1757"/>
      <c r="AFS91" s="1757"/>
      <c r="AFT91" s="1757"/>
      <c r="AFU91" s="1757"/>
      <c r="AFV91" s="1757"/>
      <c r="AFW91" s="1757"/>
      <c r="AFX91" s="1757"/>
      <c r="AFY91" s="1757"/>
      <c r="AFZ91" s="1757"/>
      <c r="AGA91" s="1757"/>
      <c r="AGB91" s="1757"/>
      <c r="AGC91" s="1757"/>
      <c r="AGD91" s="1757"/>
      <c r="AGE91" s="1757"/>
      <c r="AGF91" s="1757"/>
      <c r="AGG91" s="1757"/>
      <c r="AGH91" s="1757"/>
      <c r="AGI91" s="1757"/>
      <c r="AGJ91" s="1757"/>
      <c r="AGK91" s="1757"/>
      <c r="AGL91" s="1757"/>
      <c r="AGM91" s="1757"/>
      <c r="AGN91" s="1757"/>
      <c r="AGO91" s="1757"/>
      <c r="AGP91" s="1757"/>
      <c r="AGQ91" s="1757"/>
      <c r="AGR91" s="1757"/>
      <c r="AGS91" s="1757"/>
      <c r="AGT91" s="1757"/>
      <c r="AGU91" s="1757"/>
      <c r="AGV91" s="1757"/>
      <c r="AGW91" s="1757"/>
      <c r="AGX91" s="1757"/>
      <c r="AGY91" s="1757"/>
      <c r="AGZ91" s="1757"/>
      <c r="AHA91" s="1757"/>
      <c r="AHB91" s="1757"/>
      <c r="AHC91" s="1757"/>
      <c r="AHD91" s="1757"/>
      <c r="AHE91" s="1757"/>
      <c r="AHF91" s="1757"/>
      <c r="AHG91" s="1757"/>
      <c r="AHH91" s="1757"/>
      <c r="AHI91" s="1757"/>
      <c r="AHJ91" s="1757"/>
      <c r="AHK91" s="1757"/>
      <c r="AHL91" s="1757"/>
      <c r="AHM91" s="1757"/>
      <c r="AHN91" s="1757"/>
      <c r="AHO91" s="1757"/>
      <c r="AHP91" s="1757"/>
      <c r="AHQ91" s="1757"/>
      <c r="AHR91" s="1757"/>
      <c r="AHS91" s="1757"/>
      <c r="AHT91" s="1757"/>
      <c r="AHU91" s="1757"/>
      <c r="AHV91" s="1757"/>
      <c r="AHW91" s="1757"/>
      <c r="AHX91" s="1757"/>
      <c r="AHY91" s="1757"/>
      <c r="AHZ91" s="1757"/>
      <c r="AIA91" s="1757"/>
      <c r="AIB91" s="1757"/>
      <c r="AIC91" s="1757"/>
      <c r="AID91" s="1757"/>
      <c r="AIE91" s="1757"/>
      <c r="AIF91" s="1757"/>
      <c r="AIG91" s="1757"/>
      <c r="AIH91" s="1757"/>
      <c r="AII91" s="1757"/>
      <c r="AIJ91" s="1757"/>
      <c r="AIK91" s="1757"/>
      <c r="AIL91" s="1757"/>
      <c r="AIM91" s="1757"/>
      <c r="AIN91" s="1757"/>
      <c r="AIO91" s="1757"/>
      <c r="AIP91" s="1757"/>
      <c r="AIQ91" s="1757"/>
      <c r="AIR91" s="1757"/>
      <c r="AIS91" s="1757"/>
      <c r="AIT91" s="1757"/>
      <c r="AIU91" s="1757"/>
      <c r="AIV91" s="1757"/>
      <c r="AIW91" s="1757"/>
      <c r="AIX91" s="1757"/>
      <c r="AIY91" s="1757"/>
      <c r="AIZ91" s="1757"/>
      <c r="AJA91" s="1757"/>
      <c r="AJB91" s="1757"/>
      <c r="AJC91" s="1757"/>
      <c r="AJD91" s="1757"/>
      <c r="AJE91" s="1757"/>
      <c r="AJF91" s="1757"/>
      <c r="AJG91" s="1757"/>
      <c r="AJH91" s="1757"/>
      <c r="AJI91" s="1757"/>
      <c r="AJJ91" s="1757"/>
      <c r="AJK91" s="1757"/>
      <c r="AJL91" s="1757"/>
      <c r="AJM91" s="1757"/>
      <c r="AJN91" s="1757"/>
      <c r="AJO91" s="1757"/>
      <c r="AJP91" s="1757"/>
      <c r="AJQ91" s="1757"/>
      <c r="AJR91" s="1757"/>
      <c r="AJS91" s="1757"/>
      <c r="AJT91" s="1757"/>
      <c r="AJU91" s="1757"/>
      <c r="AJV91" s="1757"/>
      <c r="AJW91" s="1757"/>
      <c r="AJX91" s="1757"/>
      <c r="AJY91" s="1757"/>
      <c r="AJZ91" s="1757"/>
      <c r="AKA91" s="1757"/>
      <c r="AKB91" s="1757"/>
      <c r="AKC91" s="1757"/>
      <c r="AKD91" s="1757"/>
      <c r="AKE91" s="1757"/>
      <c r="AKF91" s="1757"/>
      <c r="AKG91" s="1757"/>
      <c r="AKH91" s="1757"/>
      <c r="AKI91" s="1757"/>
      <c r="AKJ91" s="1757"/>
      <c r="AKK91" s="1757"/>
      <c r="AKL91" s="1757"/>
      <c r="AKM91" s="1757"/>
      <c r="AKN91" s="1757"/>
      <c r="AKO91" s="1757"/>
      <c r="AKP91" s="1757"/>
      <c r="AKQ91" s="1757"/>
      <c r="AKR91" s="1757"/>
      <c r="AKS91" s="1757"/>
      <c r="AKT91" s="1757"/>
      <c r="AKU91" s="1757"/>
      <c r="AKV91" s="1757"/>
      <c r="AKW91" s="1757"/>
      <c r="AKX91" s="1757"/>
      <c r="AKY91" s="1757"/>
      <c r="AKZ91" s="1757"/>
      <c r="ALA91" s="1757"/>
      <c r="ALB91" s="1757"/>
      <c r="ALC91" s="1757"/>
      <c r="ALD91" s="1757"/>
      <c r="ALE91" s="1757"/>
      <c r="ALF91" s="1757"/>
      <c r="ALG91" s="1757"/>
      <c r="ALH91" s="1757"/>
      <c r="ALI91" s="1757"/>
      <c r="ALJ91" s="1757"/>
      <c r="ALK91" s="1757"/>
      <c r="ALL91" s="1757"/>
      <c r="ALM91" s="1757"/>
      <c r="ALN91" s="1757"/>
      <c r="ALO91" s="1757"/>
      <c r="ALP91" s="1757"/>
      <c r="ALQ91" s="1757"/>
      <c r="ALR91" s="1757"/>
      <c r="ALS91" s="1757"/>
      <c r="ALT91" s="1757"/>
      <c r="ALU91" s="1757"/>
      <c r="ALV91" s="1757"/>
      <c r="ALW91" s="1757"/>
      <c r="ALX91" s="1757"/>
      <c r="ALY91" s="1757"/>
      <c r="ALZ91" s="1757"/>
      <c r="AMA91" s="1757"/>
      <c r="AMB91" s="1757"/>
      <c r="AMC91" s="1757"/>
      <c r="AMD91" s="1757"/>
      <c r="AME91" s="1757"/>
      <c r="AMF91" s="1757"/>
      <c r="AMG91" s="1757"/>
      <c r="AMH91" s="1757"/>
      <c r="AMI91" s="1757"/>
      <c r="AMJ91" s="1757"/>
      <c r="AMK91" s="1757"/>
      <c r="AML91" s="1757"/>
      <c r="AMM91" s="1757"/>
      <c r="AMN91" s="1757"/>
      <c r="AMO91" s="1757"/>
      <c r="AMP91" s="1757"/>
      <c r="AMQ91" s="1757"/>
      <c r="AMR91" s="1757"/>
      <c r="AMS91" s="1757"/>
      <c r="AMT91" s="1757"/>
      <c r="AMU91" s="1757"/>
      <c r="AMV91" s="1757"/>
      <c r="AMW91" s="1757"/>
      <c r="AMX91" s="1757"/>
      <c r="AMY91" s="1757"/>
      <c r="AMZ91" s="1757"/>
      <c r="ANA91" s="1757"/>
      <c r="ANB91" s="1757"/>
      <c r="ANC91" s="1757"/>
      <c r="AND91" s="1757"/>
      <c r="ANE91" s="1757"/>
      <c r="ANF91" s="1757"/>
      <c r="ANG91" s="1757"/>
      <c r="ANH91" s="1757"/>
      <c r="ANI91" s="1757"/>
      <c r="ANJ91" s="1757"/>
      <c r="ANK91" s="1757"/>
      <c r="ANL91" s="1757"/>
      <c r="ANM91" s="1757"/>
      <c r="ANN91" s="1757"/>
      <c r="ANO91" s="1757"/>
      <c r="ANP91" s="1757"/>
      <c r="ANQ91" s="1757"/>
      <c r="ANR91" s="1757"/>
      <c r="ANS91" s="1757"/>
      <c r="ANT91" s="1757"/>
      <c r="ANU91" s="1757"/>
      <c r="ANV91" s="1757"/>
      <c r="ANW91" s="1757"/>
      <c r="ANX91" s="1757"/>
      <c r="ANY91" s="1757"/>
      <c r="ANZ91" s="1757"/>
      <c r="AOA91" s="1757"/>
      <c r="AOB91" s="1757"/>
      <c r="AOC91" s="1757"/>
      <c r="AOD91" s="1757"/>
      <c r="AOE91" s="1757"/>
      <c r="AOF91" s="1757"/>
      <c r="AOG91" s="1757"/>
      <c r="AOH91" s="1757"/>
      <c r="AOI91" s="1757"/>
      <c r="AOJ91" s="1757"/>
      <c r="AOK91" s="1757"/>
      <c r="AOL91" s="1757"/>
      <c r="AOM91" s="1757"/>
      <c r="AON91" s="1757"/>
      <c r="AOO91" s="1757"/>
      <c r="AOP91" s="1757"/>
      <c r="AOQ91" s="1757"/>
      <c r="AOR91" s="1757"/>
      <c r="AOS91" s="1757"/>
      <c r="AOT91" s="1757"/>
      <c r="AOU91" s="1757"/>
      <c r="AOV91" s="1757"/>
      <c r="AOW91" s="1757"/>
      <c r="AOX91" s="1757"/>
      <c r="AOY91" s="1757"/>
      <c r="AOZ91" s="1757"/>
      <c r="APA91" s="1757"/>
      <c r="APB91" s="1757"/>
      <c r="APC91" s="1757"/>
      <c r="APD91" s="1757"/>
      <c r="APE91" s="1757"/>
      <c r="APF91" s="1757"/>
      <c r="APG91" s="1757"/>
      <c r="APH91" s="1757"/>
      <c r="API91" s="1757"/>
      <c r="APJ91" s="1757"/>
      <c r="APK91" s="1757"/>
      <c r="APL91" s="1757"/>
      <c r="APM91" s="1757"/>
      <c r="APN91" s="1757"/>
      <c r="APO91" s="1757"/>
      <c r="APP91" s="1757"/>
      <c r="APQ91" s="1757"/>
      <c r="APR91" s="1757"/>
      <c r="APS91" s="1757"/>
      <c r="APT91" s="1757"/>
      <c r="APU91" s="1757"/>
      <c r="APV91" s="1757"/>
      <c r="APW91" s="1757"/>
      <c r="APX91" s="1757"/>
      <c r="APY91" s="1757"/>
      <c r="APZ91" s="1757"/>
      <c r="AQA91" s="1757"/>
      <c r="AQB91" s="1757"/>
      <c r="AQC91" s="1757"/>
      <c r="AQD91" s="1757"/>
      <c r="AQE91" s="1757"/>
      <c r="AQF91" s="1757"/>
      <c r="AQG91" s="1757"/>
      <c r="AQH91" s="1757"/>
      <c r="AQI91" s="1757"/>
      <c r="AQJ91" s="1757"/>
      <c r="AQK91" s="1757"/>
      <c r="AQL91" s="1757"/>
      <c r="AQM91" s="1757"/>
      <c r="AQN91" s="1757"/>
      <c r="AQO91" s="1757"/>
      <c r="AQP91" s="1757"/>
      <c r="AQQ91" s="1757"/>
      <c r="AQR91" s="1757"/>
      <c r="AQS91" s="1757"/>
      <c r="AQT91" s="1757"/>
      <c r="AQU91" s="1757"/>
      <c r="AQV91" s="1757"/>
      <c r="AQW91" s="1757"/>
      <c r="AQX91" s="1757"/>
      <c r="AQY91" s="1757"/>
      <c r="AQZ91" s="1757"/>
      <c r="ARA91" s="1757"/>
      <c r="ARB91" s="1757"/>
      <c r="ARC91" s="1757"/>
      <c r="ARD91" s="1757"/>
      <c r="ARE91" s="1757"/>
      <c r="ARF91" s="1757"/>
      <c r="ARG91" s="1757"/>
      <c r="ARH91" s="1757"/>
      <c r="ARI91" s="1757"/>
      <c r="ARJ91" s="1757"/>
      <c r="ARK91" s="1757"/>
      <c r="ARL91" s="1757"/>
      <c r="ARM91" s="1757"/>
      <c r="ARN91" s="1757"/>
      <c r="ARO91" s="1757"/>
      <c r="ARP91" s="1757"/>
      <c r="ARQ91" s="1757"/>
      <c r="ARR91" s="1757"/>
      <c r="ARS91" s="1757"/>
      <c r="ART91" s="1757"/>
      <c r="ARU91" s="1757"/>
      <c r="ARV91" s="1757"/>
      <c r="ARW91" s="1757"/>
      <c r="ARX91" s="1757"/>
      <c r="ARY91" s="1757"/>
      <c r="ARZ91" s="1757"/>
      <c r="ASA91" s="1757"/>
      <c r="ASB91" s="1757"/>
      <c r="ASC91" s="1757"/>
      <c r="ASD91" s="1757"/>
      <c r="ASE91" s="1757"/>
      <c r="ASF91" s="1757"/>
      <c r="ASG91" s="1757"/>
      <c r="ASH91" s="1757"/>
      <c r="ASI91" s="1757"/>
      <c r="ASJ91" s="1757"/>
      <c r="ASK91" s="1757"/>
      <c r="ASL91" s="1757"/>
      <c r="ASM91" s="1757"/>
      <c r="ASN91" s="1757"/>
      <c r="ASO91" s="1757"/>
      <c r="ASP91" s="1757"/>
      <c r="ASQ91" s="1757"/>
      <c r="ASR91" s="1757"/>
      <c r="ASS91" s="1757"/>
      <c r="AST91" s="1757"/>
      <c r="ASU91" s="1757"/>
      <c r="ASV91" s="1757"/>
      <c r="ASW91" s="1757"/>
      <c r="ASX91" s="1757"/>
      <c r="ASY91" s="1757"/>
      <c r="ASZ91" s="1757"/>
      <c r="ATA91" s="1757"/>
      <c r="ATB91" s="1757"/>
      <c r="ATC91" s="1757"/>
      <c r="ATD91" s="1757"/>
      <c r="ATE91" s="1757"/>
      <c r="ATF91" s="1757"/>
      <c r="ATG91" s="1757"/>
      <c r="ATH91" s="1757"/>
      <c r="ATI91" s="1757"/>
      <c r="ATJ91" s="1757"/>
      <c r="ATK91" s="1757"/>
      <c r="ATL91" s="1757"/>
      <c r="ATM91" s="1757"/>
      <c r="ATN91" s="1757"/>
      <c r="ATO91" s="1757"/>
      <c r="ATP91" s="1757"/>
      <c r="ATQ91" s="1757"/>
      <c r="ATR91" s="1757"/>
      <c r="ATS91" s="1757"/>
      <c r="ATT91" s="1757"/>
      <c r="ATU91" s="1757"/>
      <c r="ATV91" s="1757"/>
      <c r="ATW91" s="1757"/>
      <c r="ATX91" s="1757"/>
      <c r="ATY91" s="1757"/>
      <c r="ATZ91" s="1757"/>
      <c r="AUA91" s="1757"/>
      <c r="AUB91" s="1757"/>
      <c r="AUC91" s="1757"/>
      <c r="AUD91" s="1757"/>
      <c r="AUE91" s="1757"/>
      <c r="AUF91" s="1757"/>
      <c r="AUG91" s="1757"/>
      <c r="AUH91" s="1757"/>
      <c r="AUI91" s="1757"/>
      <c r="AUJ91" s="1757"/>
      <c r="AUK91" s="1757"/>
      <c r="AUL91" s="1757"/>
      <c r="AUM91" s="1757"/>
      <c r="AUN91" s="1757"/>
      <c r="AUO91" s="1757"/>
      <c r="AUP91" s="1757"/>
      <c r="AUQ91" s="1757"/>
      <c r="AUR91" s="1757"/>
      <c r="AUS91" s="1757"/>
      <c r="AUT91" s="1757"/>
      <c r="AUU91" s="1757"/>
      <c r="AUV91" s="1757"/>
      <c r="AUW91" s="1757"/>
      <c r="AUX91" s="1757"/>
      <c r="AUY91" s="1757"/>
      <c r="AUZ91" s="1757"/>
      <c r="AVA91" s="1757"/>
      <c r="AVB91" s="1757"/>
      <c r="AVC91" s="1757"/>
      <c r="AVD91" s="1757"/>
      <c r="AVE91" s="1757"/>
      <c r="AVF91" s="1757"/>
      <c r="AVG91" s="1757"/>
      <c r="AVH91" s="1757"/>
      <c r="AVI91" s="1757"/>
      <c r="AVJ91" s="1757"/>
      <c r="AVK91" s="1757"/>
      <c r="AVL91" s="1757"/>
      <c r="AVM91" s="1757"/>
      <c r="AVN91" s="1757"/>
      <c r="AVO91" s="1757"/>
      <c r="AVP91" s="1757"/>
      <c r="AVQ91" s="1757"/>
      <c r="AVR91" s="1757"/>
      <c r="AVS91" s="1757"/>
      <c r="AVT91" s="1757"/>
      <c r="AVU91" s="1757"/>
      <c r="AVV91" s="1757"/>
      <c r="AVW91" s="1757"/>
      <c r="AVX91" s="1757"/>
      <c r="AVY91" s="1757"/>
      <c r="AVZ91" s="1757"/>
      <c r="AWA91" s="1757"/>
      <c r="AWB91" s="1757"/>
      <c r="AWC91" s="1757"/>
      <c r="AWD91" s="1757"/>
      <c r="AWE91" s="1757"/>
      <c r="AWF91" s="1757"/>
      <c r="AWG91" s="1757"/>
      <c r="AWH91" s="1757"/>
      <c r="AWI91" s="1757"/>
      <c r="AWJ91" s="1757"/>
      <c r="AWK91" s="1757"/>
      <c r="AWL91" s="1757"/>
      <c r="AWM91" s="1757"/>
      <c r="AWN91" s="1757"/>
      <c r="AWO91" s="1757"/>
      <c r="AWP91" s="1757"/>
      <c r="AWQ91" s="1757"/>
      <c r="AWR91" s="1757"/>
      <c r="AWS91" s="1757"/>
      <c r="AWT91" s="1757"/>
      <c r="AWU91" s="1757"/>
      <c r="AWV91" s="1757"/>
      <c r="AWW91" s="1757"/>
      <c r="AWX91" s="1757"/>
      <c r="AWY91" s="1757"/>
      <c r="AWZ91" s="1757"/>
      <c r="AXA91" s="1757"/>
      <c r="AXB91" s="1757"/>
      <c r="AXC91" s="1757"/>
      <c r="AXD91" s="1757"/>
      <c r="AXE91" s="1757"/>
      <c r="AXF91" s="1757"/>
      <c r="AXG91" s="1757"/>
      <c r="AXH91" s="1757"/>
      <c r="AXI91" s="1757"/>
      <c r="AXJ91" s="1757"/>
      <c r="AXK91" s="1757"/>
      <c r="AXL91" s="1757"/>
      <c r="AXM91" s="1757"/>
      <c r="AXN91" s="1757"/>
      <c r="AXO91" s="1757"/>
      <c r="AXP91" s="1757"/>
      <c r="AXQ91" s="1757"/>
      <c r="AXR91" s="1757"/>
      <c r="AXS91" s="1757"/>
      <c r="AXT91" s="1757"/>
      <c r="AXU91" s="1757"/>
      <c r="AXV91" s="1757"/>
      <c r="AXW91" s="1757"/>
      <c r="AXX91" s="1757"/>
      <c r="AXY91" s="1757"/>
      <c r="AXZ91" s="1757"/>
      <c r="AYA91" s="1757"/>
      <c r="AYB91" s="1757"/>
      <c r="AYC91" s="1757"/>
      <c r="AYD91" s="1757"/>
      <c r="AYE91" s="1757"/>
      <c r="AYF91" s="1757"/>
      <c r="AYG91" s="1757"/>
      <c r="AYH91" s="1757"/>
      <c r="AYI91" s="1757"/>
      <c r="AYJ91" s="1757"/>
      <c r="AYK91" s="1757"/>
      <c r="AYL91" s="1757"/>
      <c r="AYM91" s="1757"/>
      <c r="AYN91" s="1757"/>
      <c r="AYO91" s="1757"/>
      <c r="AYP91" s="1757"/>
      <c r="AYQ91" s="1757"/>
      <c r="AYR91" s="1757"/>
      <c r="AYS91" s="1757"/>
      <c r="AYT91" s="1757"/>
      <c r="AYU91" s="1757"/>
      <c r="AYV91" s="1757"/>
      <c r="AYW91" s="1757"/>
      <c r="AYX91" s="1757"/>
      <c r="AYY91" s="1757"/>
      <c r="AYZ91" s="1757"/>
      <c r="AZA91" s="1757"/>
      <c r="AZB91" s="1757"/>
      <c r="AZC91" s="1757"/>
      <c r="AZD91" s="1757"/>
      <c r="AZE91" s="1757"/>
      <c r="AZF91" s="1757"/>
      <c r="AZG91" s="1757"/>
      <c r="AZH91" s="1757"/>
      <c r="AZI91" s="1757"/>
      <c r="AZJ91" s="1757"/>
      <c r="AZK91" s="1757"/>
      <c r="AZL91" s="1757"/>
      <c r="AZM91" s="1757"/>
      <c r="AZN91" s="1757"/>
      <c r="AZO91" s="1757"/>
      <c r="AZP91" s="1757"/>
      <c r="AZQ91" s="1757"/>
      <c r="AZR91" s="1757"/>
      <c r="AZS91" s="1757"/>
      <c r="AZT91" s="1757"/>
      <c r="AZU91" s="1757"/>
      <c r="AZV91" s="1757"/>
      <c r="AZW91" s="1757"/>
      <c r="AZX91" s="1757"/>
      <c r="AZY91" s="1757"/>
      <c r="AZZ91" s="1757"/>
      <c r="BAA91" s="1757"/>
      <c r="BAB91" s="1757"/>
      <c r="BAC91" s="1757"/>
      <c r="BAD91" s="1757"/>
      <c r="BAE91" s="1757"/>
      <c r="BAF91" s="1757"/>
      <c r="BAG91" s="1757"/>
      <c r="BAH91" s="1757"/>
      <c r="BAI91" s="1757"/>
      <c r="BAJ91" s="1757"/>
      <c r="BAK91" s="1757"/>
      <c r="BAL91" s="1757"/>
      <c r="BAM91" s="1757"/>
      <c r="BAN91" s="1757"/>
      <c r="BAO91" s="1757"/>
      <c r="BAP91" s="1757"/>
      <c r="BAQ91" s="1757"/>
      <c r="BAR91" s="1757"/>
      <c r="BAS91" s="1757"/>
      <c r="BAT91" s="1757"/>
      <c r="BAU91" s="1757"/>
      <c r="BAV91" s="1757"/>
      <c r="BAW91" s="1757"/>
      <c r="BAX91" s="1757"/>
      <c r="BAY91" s="1757"/>
      <c r="BAZ91" s="1757"/>
      <c r="BBA91" s="1757"/>
      <c r="BBB91" s="1757"/>
      <c r="BBC91" s="1757"/>
      <c r="BBD91" s="1757"/>
      <c r="BBE91" s="1757"/>
      <c r="BBF91" s="1757"/>
      <c r="BBG91" s="1757"/>
      <c r="BBH91" s="1757"/>
      <c r="BBI91" s="1757"/>
      <c r="BBJ91" s="1757"/>
      <c r="BBK91" s="1757"/>
      <c r="BBL91" s="1757"/>
      <c r="BBM91" s="1757"/>
      <c r="BBN91" s="1757"/>
      <c r="BBO91" s="1757"/>
      <c r="BBP91" s="1757"/>
      <c r="BBQ91" s="1757"/>
      <c r="BBR91" s="1757"/>
      <c r="BBS91" s="1757"/>
      <c r="BBT91" s="1757"/>
      <c r="BBU91" s="1757"/>
      <c r="BBV91" s="1757"/>
      <c r="BBW91" s="1757"/>
      <c r="BBX91" s="1757"/>
      <c r="BBY91" s="1757"/>
      <c r="BBZ91" s="1757"/>
      <c r="BCA91" s="1757"/>
      <c r="BCB91" s="1757"/>
      <c r="BCC91" s="1757"/>
      <c r="BCD91" s="1757"/>
      <c r="BCE91" s="1757"/>
      <c r="BCF91" s="1757"/>
      <c r="BCG91" s="1757"/>
      <c r="BCH91" s="1757"/>
      <c r="BCI91" s="1757"/>
      <c r="BCJ91" s="1757"/>
      <c r="BCK91" s="1757"/>
      <c r="BCL91" s="1757"/>
      <c r="BCM91" s="1757"/>
      <c r="BCN91" s="1757"/>
      <c r="BCO91" s="1757"/>
      <c r="BCP91" s="1757"/>
      <c r="BCQ91" s="1757"/>
      <c r="BCR91" s="1757"/>
      <c r="BCS91" s="1757"/>
      <c r="BCT91" s="1757"/>
      <c r="BCU91" s="1757"/>
      <c r="BCV91" s="1757"/>
      <c r="BCW91" s="1757"/>
      <c r="BCX91" s="1757"/>
      <c r="BCY91" s="1757"/>
      <c r="BCZ91" s="1757"/>
      <c r="BDA91" s="1757"/>
      <c r="BDB91" s="1757"/>
      <c r="BDC91" s="1757"/>
      <c r="BDD91" s="1757"/>
      <c r="BDE91" s="1757"/>
      <c r="BDF91" s="1757"/>
      <c r="BDG91" s="1757"/>
      <c r="BDH91" s="1757"/>
      <c r="BDI91" s="1757"/>
      <c r="BDJ91" s="1757"/>
      <c r="BDK91" s="1757"/>
      <c r="BDL91" s="1757"/>
      <c r="BDM91" s="1757"/>
      <c r="BDN91" s="1757"/>
      <c r="BDO91" s="1757"/>
      <c r="BDP91" s="1757"/>
      <c r="BDQ91" s="1757"/>
      <c r="BDR91" s="1757"/>
      <c r="BDS91" s="1757"/>
      <c r="BDT91" s="1757"/>
      <c r="BDU91" s="1757"/>
      <c r="BDV91" s="1757"/>
      <c r="BDW91" s="1757"/>
      <c r="BDX91" s="1757"/>
      <c r="BDY91" s="1757"/>
      <c r="BDZ91" s="1757"/>
      <c r="BEA91" s="1757"/>
      <c r="BEB91" s="1757"/>
      <c r="BEC91" s="1757"/>
      <c r="BED91" s="1757"/>
      <c r="BEE91" s="1757"/>
      <c r="BEF91" s="1757"/>
      <c r="BEG91" s="1757"/>
      <c r="BEH91" s="1757"/>
      <c r="BEI91" s="1757"/>
      <c r="BEJ91" s="1757"/>
      <c r="BEK91" s="1757"/>
      <c r="BEL91" s="1757"/>
      <c r="BEM91" s="1757"/>
      <c r="BEN91" s="1757"/>
      <c r="BEO91" s="1757"/>
      <c r="BEP91" s="1757"/>
      <c r="BEQ91" s="1757"/>
      <c r="BER91" s="1757"/>
      <c r="BES91" s="1757"/>
      <c r="BET91" s="1757"/>
      <c r="BEU91" s="1757"/>
      <c r="BEV91" s="1757"/>
      <c r="BEW91" s="1757"/>
      <c r="BEX91" s="1757"/>
      <c r="BEY91" s="1757"/>
      <c r="BEZ91" s="1757"/>
      <c r="BFA91" s="1757"/>
      <c r="BFB91" s="1757"/>
      <c r="BFC91" s="1757"/>
      <c r="BFD91" s="1757"/>
      <c r="BFE91" s="1757"/>
      <c r="BFF91" s="1757"/>
      <c r="BFG91" s="1757"/>
      <c r="BFH91" s="1757"/>
      <c r="BFI91" s="1757"/>
      <c r="BFJ91" s="1757"/>
      <c r="BFK91" s="1757"/>
      <c r="BFL91" s="1757"/>
      <c r="BFM91" s="1757"/>
      <c r="BFN91" s="1757"/>
      <c r="BFO91" s="1757"/>
      <c r="BFP91" s="1757"/>
      <c r="BFQ91" s="1757"/>
      <c r="BFR91" s="1757"/>
      <c r="BFS91" s="1757"/>
      <c r="BFT91" s="1757"/>
      <c r="BFU91" s="1757"/>
      <c r="BFV91" s="1757"/>
      <c r="BFW91" s="1757"/>
      <c r="BFX91" s="1757"/>
      <c r="BFY91" s="1757"/>
      <c r="BFZ91" s="1757"/>
      <c r="BGA91" s="1757"/>
      <c r="BGB91" s="1757"/>
      <c r="BGC91" s="1757"/>
      <c r="BGD91" s="1757"/>
      <c r="BGE91" s="1757"/>
      <c r="BGF91" s="1757"/>
      <c r="BGG91" s="1757"/>
      <c r="BGH91" s="1757"/>
      <c r="BGI91" s="1757"/>
      <c r="BGJ91" s="1757"/>
      <c r="BGK91" s="1757"/>
      <c r="BGL91" s="1757"/>
      <c r="BGM91" s="1757"/>
      <c r="BGN91" s="1757"/>
      <c r="BGO91" s="1757"/>
      <c r="BGP91" s="1757"/>
      <c r="BGQ91" s="1757"/>
      <c r="BGR91" s="1757"/>
      <c r="BGS91" s="1757"/>
      <c r="BGT91" s="1757"/>
      <c r="BGU91" s="1757"/>
      <c r="BGV91" s="1757"/>
      <c r="BGW91" s="1757"/>
      <c r="BGX91" s="1757"/>
      <c r="BGY91" s="1757"/>
      <c r="BGZ91" s="1757"/>
      <c r="BHA91" s="1757"/>
      <c r="BHB91" s="1757"/>
      <c r="BHC91" s="1757"/>
      <c r="BHD91" s="1757"/>
      <c r="BHE91" s="1757"/>
      <c r="BHF91" s="1757"/>
      <c r="BHG91" s="1757"/>
      <c r="BHH91" s="1757"/>
      <c r="BHI91" s="1757"/>
      <c r="BHJ91" s="1757"/>
      <c r="BHK91" s="1757"/>
      <c r="BHL91" s="1757"/>
      <c r="BHM91" s="1757"/>
      <c r="BHN91" s="1757"/>
      <c r="BHO91" s="1757"/>
      <c r="BHP91" s="1757"/>
      <c r="BHQ91" s="1757"/>
      <c r="BHR91" s="1757"/>
      <c r="BHS91" s="1757"/>
      <c r="BHT91" s="1757"/>
      <c r="BHU91" s="1757"/>
      <c r="BHV91" s="1757"/>
      <c r="BHW91" s="1757"/>
      <c r="BHX91" s="1757"/>
      <c r="BHY91" s="1757"/>
      <c r="BHZ91" s="1757"/>
      <c r="BIA91" s="1757"/>
      <c r="BIB91" s="1757"/>
      <c r="BIC91" s="1757"/>
      <c r="BID91" s="1757"/>
      <c r="BIE91" s="1757"/>
      <c r="BIF91" s="1757"/>
      <c r="BIG91" s="1757"/>
      <c r="BIH91" s="1757"/>
      <c r="BII91" s="1757"/>
      <c r="BIJ91" s="1757"/>
      <c r="BIK91" s="1757"/>
      <c r="BIL91" s="1757"/>
      <c r="BIM91" s="1757"/>
      <c r="BIN91" s="1757"/>
      <c r="BIO91" s="1757"/>
      <c r="BIP91" s="1757"/>
      <c r="BIQ91" s="1757"/>
      <c r="BIR91" s="1757"/>
      <c r="BIS91" s="1757"/>
      <c r="BIT91" s="1757"/>
      <c r="BIU91" s="1757"/>
      <c r="BIV91" s="1757"/>
      <c r="BIW91" s="1757"/>
      <c r="BIX91" s="1757"/>
      <c r="BIY91" s="1757"/>
      <c r="BIZ91" s="1757"/>
      <c r="BJA91" s="1757"/>
      <c r="BJB91" s="1757"/>
      <c r="BJC91" s="1757"/>
      <c r="BJD91" s="1757"/>
      <c r="BJE91" s="1757"/>
      <c r="BJF91" s="1757"/>
      <c r="BJG91" s="1757"/>
      <c r="BJH91" s="1757"/>
      <c r="BJI91" s="1757"/>
      <c r="BJJ91" s="1757"/>
      <c r="BJK91" s="1757"/>
      <c r="BJL91" s="1757"/>
      <c r="BJM91" s="1757"/>
      <c r="BJN91" s="1757"/>
      <c r="BJO91" s="1757"/>
      <c r="BJP91" s="1757"/>
      <c r="BJQ91" s="1757"/>
      <c r="BJR91" s="1757"/>
      <c r="BJS91" s="1757"/>
      <c r="BJT91" s="1757"/>
      <c r="BJU91" s="1757"/>
      <c r="BJV91" s="1757"/>
      <c r="BJW91" s="1757"/>
      <c r="BJX91" s="1757"/>
      <c r="BJY91" s="1757"/>
      <c r="BJZ91" s="1757"/>
      <c r="BKA91" s="1757"/>
      <c r="BKB91" s="1757"/>
      <c r="BKC91" s="1757"/>
      <c r="BKD91" s="1757"/>
      <c r="BKE91" s="1757"/>
      <c r="BKF91" s="1757"/>
      <c r="BKG91" s="1757"/>
      <c r="BKH91" s="1757"/>
      <c r="BKI91" s="1757"/>
      <c r="BKJ91" s="1757"/>
      <c r="BKK91" s="1757"/>
      <c r="BKL91" s="1757"/>
      <c r="BKM91" s="1757"/>
      <c r="BKN91" s="1757"/>
      <c r="BKO91" s="1757"/>
      <c r="BKP91" s="1757"/>
      <c r="BKQ91" s="1757"/>
      <c r="BKR91" s="1757"/>
      <c r="BKS91" s="1757"/>
      <c r="BKT91" s="1757"/>
      <c r="BKU91" s="1757"/>
      <c r="BKV91" s="1757"/>
      <c r="BKW91" s="1757"/>
      <c r="BKX91" s="1757"/>
      <c r="BKY91" s="1757"/>
      <c r="BKZ91" s="1757"/>
      <c r="BLA91" s="1757"/>
      <c r="BLB91" s="1757"/>
      <c r="BLC91" s="1757"/>
      <c r="BLD91" s="1757"/>
      <c r="BLE91" s="1757"/>
      <c r="BLF91" s="1757"/>
      <c r="BLG91" s="1757"/>
      <c r="BLH91" s="1757"/>
      <c r="BLI91" s="1757"/>
      <c r="BLJ91" s="1757"/>
      <c r="BLK91" s="1757"/>
      <c r="BLL91" s="1757"/>
      <c r="BLM91" s="1757"/>
      <c r="BLN91" s="1757"/>
      <c r="BLO91" s="1757"/>
      <c r="BLP91" s="1757"/>
      <c r="BLQ91" s="1757"/>
      <c r="BLR91" s="1757"/>
      <c r="BLS91" s="1757"/>
      <c r="BLT91" s="1757"/>
      <c r="BLU91" s="1757"/>
      <c r="BLV91" s="1757"/>
      <c r="BLW91" s="1757"/>
      <c r="BLX91" s="1757"/>
      <c r="BLY91" s="1757"/>
      <c r="BLZ91" s="1757"/>
      <c r="BMA91" s="1757"/>
      <c r="BMB91" s="1757"/>
      <c r="BMC91" s="1757"/>
      <c r="BMD91" s="1757"/>
      <c r="BME91" s="1757"/>
      <c r="BMF91" s="1757"/>
      <c r="BMG91" s="1757"/>
      <c r="BMH91" s="1757"/>
      <c r="BMI91" s="1757"/>
      <c r="BMJ91" s="1757"/>
      <c r="BMK91" s="1757"/>
      <c r="BML91" s="1757"/>
      <c r="BMM91" s="1757"/>
      <c r="BMN91" s="1757"/>
      <c r="BMO91" s="1757"/>
      <c r="BMP91" s="1757"/>
      <c r="BMQ91" s="1757"/>
      <c r="BMR91" s="1757"/>
      <c r="BMS91" s="1757"/>
      <c r="BMT91" s="1757"/>
      <c r="BMU91" s="1757"/>
      <c r="BMV91" s="1757"/>
      <c r="BMW91" s="1757"/>
      <c r="BMX91" s="1757"/>
      <c r="BMY91" s="1757"/>
      <c r="BMZ91" s="1757"/>
      <c r="BNA91" s="1757"/>
      <c r="BNB91" s="1757"/>
      <c r="BNC91" s="1757"/>
      <c r="BND91" s="1757"/>
      <c r="BNE91" s="1757"/>
      <c r="BNF91" s="1757"/>
      <c r="BNG91" s="1757"/>
      <c r="BNH91" s="1757"/>
      <c r="BNI91" s="1757"/>
      <c r="BNJ91" s="1757"/>
      <c r="BNK91" s="1757"/>
      <c r="BNL91" s="1757"/>
      <c r="BNM91" s="1757"/>
      <c r="BNN91" s="1757"/>
      <c r="BNO91" s="1757"/>
      <c r="BNP91" s="1757"/>
      <c r="BNQ91" s="1757"/>
      <c r="BNR91" s="1757"/>
      <c r="BNS91" s="1757"/>
      <c r="BNT91" s="1757"/>
      <c r="BNU91" s="1757"/>
      <c r="BNV91" s="1757"/>
      <c r="BNW91" s="1757"/>
      <c r="BNX91" s="1757"/>
      <c r="BNY91" s="1757"/>
      <c r="BNZ91" s="1757"/>
      <c r="BOA91" s="1757"/>
      <c r="BOB91" s="1757"/>
      <c r="BOC91" s="1757"/>
      <c r="BOD91" s="1757"/>
      <c r="BOE91" s="1757"/>
      <c r="BOF91" s="1757"/>
      <c r="BOG91" s="1757"/>
      <c r="BOH91" s="1757"/>
      <c r="BOI91" s="1757"/>
      <c r="BOJ91" s="1757"/>
      <c r="BOK91" s="1757"/>
      <c r="BOL91" s="1757"/>
      <c r="BOM91" s="1757"/>
      <c r="BON91" s="1757"/>
      <c r="BOO91" s="1757"/>
      <c r="BOP91" s="1757"/>
      <c r="BOQ91" s="1757"/>
      <c r="BOR91" s="1757"/>
      <c r="BOS91" s="1757"/>
      <c r="BOT91" s="1757"/>
      <c r="BOU91" s="1757"/>
      <c r="BOV91" s="1757"/>
      <c r="BOW91" s="1757"/>
      <c r="BOX91" s="1757"/>
      <c r="BOY91" s="1757"/>
      <c r="BOZ91" s="1757"/>
      <c r="BPA91" s="1757"/>
      <c r="BPB91" s="1757"/>
      <c r="BPC91" s="1757"/>
      <c r="BPD91" s="1757"/>
      <c r="BPE91" s="1757"/>
      <c r="BPF91" s="1757"/>
      <c r="BPG91" s="1757"/>
      <c r="BPH91" s="1757"/>
      <c r="BPI91" s="1757"/>
      <c r="BPJ91" s="1757"/>
      <c r="BPK91" s="1757"/>
      <c r="BPL91" s="1757"/>
      <c r="BPM91" s="1757"/>
      <c r="BPN91" s="1757"/>
      <c r="BPO91" s="1757"/>
      <c r="BPP91" s="1757"/>
      <c r="BPQ91" s="1757"/>
      <c r="BPR91" s="1757"/>
      <c r="BPS91" s="1757"/>
      <c r="BPT91" s="1757"/>
      <c r="BPU91" s="1757"/>
      <c r="BPV91" s="1757"/>
      <c r="BPW91" s="1757"/>
      <c r="BPX91" s="1757"/>
      <c r="BPY91" s="1757"/>
      <c r="BPZ91" s="1757"/>
      <c r="BQA91" s="1757"/>
      <c r="BQB91" s="1757"/>
      <c r="BQC91" s="1757"/>
      <c r="BQD91" s="1757"/>
      <c r="BQE91" s="1757"/>
      <c r="BQF91" s="1757"/>
      <c r="BQG91" s="1757"/>
      <c r="BQH91" s="1757"/>
      <c r="BQI91" s="1757"/>
      <c r="BQJ91" s="1757"/>
      <c r="BQK91" s="1757"/>
      <c r="BQL91" s="1757"/>
      <c r="BQM91" s="1757"/>
      <c r="BQN91" s="1757"/>
      <c r="BQO91" s="1757"/>
      <c r="BQP91" s="1757"/>
      <c r="BQQ91" s="1757"/>
      <c r="BQR91" s="1757"/>
      <c r="BQS91" s="1757"/>
      <c r="BQT91" s="1757"/>
      <c r="BQU91" s="1757"/>
      <c r="BQV91" s="1757"/>
      <c r="BQW91" s="1757"/>
      <c r="BQX91" s="1757"/>
      <c r="BQY91" s="1757"/>
      <c r="BQZ91" s="1757"/>
      <c r="BRA91" s="1757"/>
      <c r="BRB91" s="1757"/>
      <c r="BRC91" s="1757"/>
      <c r="BRD91" s="1757"/>
      <c r="BRE91" s="1757"/>
      <c r="BRF91" s="1757"/>
      <c r="BRG91" s="1757"/>
      <c r="BRH91" s="1757"/>
      <c r="BRI91" s="1757"/>
      <c r="BRJ91" s="1757"/>
      <c r="BRK91" s="1757"/>
      <c r="BRL91" s="1757"/>
      <c r="BRM91" s="1757"/>
      <c r="BRN91" s="1757"/>
      <c r="BRO91" s="1757"/>
      <c r="BRP91" s="1757"/>
      <c r="BRQ91" s="1757"/>
      <c r="BRR91" s="1757"/>
      <c r="BRS91" s="1757"/>
      <c r="BRT91" s="1757"/>
      <c r="BRU91" s="1757"/>
      <c r="BRV91" s="1757"/>
      <c r="BRW91" s="1757"/>
      <c r="BRX91" s="1757"/>
      <c r="BRY91" s="1757"/>
      <c r="BRZ91" s="1757"/>
      <c r="BSA91" s="1757"/>
      <c r="BSB91" s="1757"/>
      <c r="BSC91" s="1757"/>
      <c r="BSD91" s="1757"/>
      <c r="BSE91" s="1757"/>
      <c r="BSF91" s="1757"/>
      <c r="BSG91" s="1757"/>
      <c r="BSH91" s="1757"/>
      <c r="BSI91" s="1757"/>
      <c r="BSJ91" s="1757"/>
      <c r="BSK91" s="1757"/>
      <c r="BSL91" s="1757"/>
      <c r="BSM91" s="1757"/>
      <c r="BSN91" s="1757"/>
      <c r="BSO91" s="1757"/>
      <c r="BSP91" s="1757"/>
      <c r="BSQ91" s="1757"/>
      <c r="BSR91" s="1757"/>
      <c r="BSS91" s="1757"/>
      <c r="BST91" s="1757"/>
      <c r="BSU91" s="1757"/>
      <c r="BSV91" s="1757"/>
      <c r="BSW91" s="1757"/>
      <c r="BSX91" s="1757"/>
      <c r="BSY91" s="1757"/>
      <c r="BSZ91" s="1757"/>
      <c r="BTA91" s="1757"/>
      <c r="BTB91" s="1757"/>
      <c r="BTC91" s="1757"/>
      <c r="BTD91" s="1757"/>
      <c r="BTE91" s="1757"/>
      <c r="BTF91" s="1757"/>
      <c r="BTG91" s="1757"/>
      <c r="BTH91" s="1757"/>
      <c r="BTI91" s="1757"/>
      <c r="BTJ91" s="1757"/>
      <c r="BTK91" s="1757"/>
      <c r="BTL91" s="1757"/>
      <c r="BTM91" s="1757"/>
      <c r="BTN91" s="1757"/>
      <c r="BTO91" s="1757"/>
      <c r="BTP91" s="1757"/>
      <c r="BTQ91" s="1757"/>
      <c r="BTR91" s="1757"/>
      <c r="BTS91" s="1757"/>
      <c r="BTT91" s="1757"/>
      <c r="BTU91" s="1757"/>
      <c r="BTV91" s="1757"/>
      <c r="BTW91" s="1757"/>
      <c r="BTX91" s="1757"/>
      <c r="BTY91" s="1757"/>
      <c r="BTZ91" s="1757"/>
      <c r="BUA91" s="1757"/>
      <c r="BUB91" s="1757"/>
      <c r="BUC91" s="1757"/>
      <c r="BUD91" s="1757"/>
      <c r="BUE91" s="1757"/>
      <c r="BUF91" s="1757"/>
      <c r="BUG91" s="1757"/>
      <c r="BUH91" s="1757"/>
      <c r="BUI91" s="1757"/>
      <c r="BUJ91" s="1757"/>
      <c r="BUK91" s="1757"/>
      <c r="BUL91" s="1757"/>
      <c r="BUM91" s="1757"/>
      <c r="BUN91" s="1757"/>
      <c r="BUO91" s="1757"/>
      <c r="BUP91" s="1757"/>
      <c r="BUQ91" s="1757"/>
      <c r="BUR91" s="1757"/>
      <c r="BUS91" s="1757"/>
      <c r="BUT91" s="1757"/>
      <c r="BUU91" s="1757"/>
      <c r="BUV91" s="1757"/>
      <c r="BUW91" s="1757"/>
      <c r="BUX91" s="1757"/>
      <c r="BUY91" s="1757"/>
      <c r="BUZ91" s="1757"/>
      <c r="BVA91" s="1757"/>
      <c r="BVB91" s="1757"/>
      <c r="BVC91" s="1757"/>
      <c r="BVD91" s="1757"/>
      <c r="BVE91" s="1757"/>
      <c r="BVF91" s="1757"/>
      <c r="BVG91" s="1757"/>
      <c r="BVH91" s="1757"/>
      <c r="BVI91" s="1757"/>
      <c r="BVJ91" s="1757"/>
      <c r="BVK91" s="1757"/>
      <c r="BVL91" s="1757"/>
      <c r="BVM91" s="1757"/>
      <c r="BVN91" s="1757"/>
      <c r="BVO91" s="1757"/>
      <c r="BVP91" s="1757"/>
      <c r="BVQ91" s="1757"/>
      <c r="BVR91" s="1757"/>
      <c r="BVS91" s="1757"/>
      <c r="BVT91" s="1757"/>
      <c r="BVU91" s="1757"/>
      <c r="BVV91" s="1757"/>
      <c r="BVW91" s="1757"/>
      <c r="BVX91" s="1757"/>
      <c r="BVY91" s="1757"/>
      <c r="BVZ91" s="1757"/>
      <c r="BWA91" s="1757"/>
      <c r="BWB91" s="1757"/>
      <c r="BWC91" s="1757"/>
      <c r="BWD91" s="1757"/>
      <c r="BWE91" s="1757"/>
      <c r="BWF91" s="1757"/>
      <c r="BWG91" s="1757"/>
      <c r="BWH91" s="1757"/>
      <c r="BWI91" s="1757"/>
      <c r="BWJ91" s="1757"/>
      <c r="BWK91" s="1757"/>
      <c r="BWL91" s="1757"/>
      <c r="BWM91" s="1757"/>
      <c r="BWN91" s="1757"/>
      <c r="BWO91" s="1757"/>
      <c r="BWP91" s="1757"/>
      <c r="BWQ91" s="1757"/>
      <c r="BWR91" s="1757"/>
      <c r="BWS91" s="1757"/>
      <c r="BWT91" s="1757"/>
      <c r="BWU91" s="1757"/>
      <c r="BWV91" s="1757"/>
      <c r="BWW91" s="1757"/>
      <c r="BWX91" s="1757"/>
      <c r="BWY91" s="1757"/>
      <c r="BWZ91" s="1757"/>
      <c r="BXA91" s="1757"/>
      <c r="BXB91" s="1757"/>
      <c r="BXC91" s="1757"/>
      <c r="BXD91" s="1757"/>
      <c r="BXE91" s="1757"/>
      <c r="BXF91" s="1757"/>
      <c r="BXG91" s="1757"/>
      <c r="BXH91" s="1757"/>
      <c r="BXI91" s="1757"/>
      <c r="BXJ91" s="1757"/>
      <c r="BXK91" s="1757"/>
      <c r="BXL91" s="1757"/>
      <c r="BXM91" s="1757"/>
      <c r="BXN91" s="1757"/>
      <c r="BXO91" s="1757"/>
      <c r="BXP91" s="1757"/>
      <c r="BXQ91" s="1757"/>
      <c r="BXR91" s="1757"/>
      <c r="BXS91" s="1757"/>
      <c r="BXT91" s="1757"/>
      <c r="BXU91" s="1757"/>
      <c r="BXV91" s="1757"/>
      <c r="BXW91" s="1757"/>
      <c r="BXX91" s="1757"/>
      <c r="BXY91" s="1757"/>
      <c r="BXZ91" s="1757"/>
      <c r="BYA91" s="1757"/>
      <c r="BYB91" s="1757"/>
      <c r="BYC91" s="1757"/>
      <c r="BYD91" s="1757"/>
      <c r="BYE91" s="1757"/>
      <c r="BYF91" s="1757"/>
      <c r="BYG91" s="1757"/>
      <c r="BYH91" s="1757"/>
      <c r="BYI91" s="1757"/>
      <c r="BYJ91" s="1757"/>
      <c r="BYK91" s="1757"/>
      <c r="BYL91" s="1757"/>
      <c r="BYM91" s="1757"/>
      <c r="BYN91" s="1757"/>
      <c r="BYO91" s="1757"/>
      <c r="BYP91" s="1757"/>
      <c r="BYQ91" s="1757"/>
      <c r="BYR91" s="1757"/>
      <c r="BYS91" s="1757"/>
      <c r="BYT91" s="1757"/>
      <c r="BYU91" s="1757"/>
      <c r="BYV91" s="1757"/>
      <c r="BYW91" s="1757"/>
      <c r="BYX91" s="1757"/>
      <c r="BYY91" s="1757"/>
      <c r="BYZ91" s="1757"/>
      <c r="BZA91" s="1757"/>
      <c r="BZB91" s="1757"/>
      <c r="BZC91" s="1757"/>
      <c r="BZD91" s="1757"/>
      <c r="BZE91" s="1757"/>
      <c r="BZF91" s="1757"/>
      <c r="BZG91" s="1757"/>
      <c r="BZH91" s="1757"/>
      <c r="BZI91" s="1757"/>
      <c r="BZJ91" s="1757"/>
      <c r="BZK91" s="1757"/>
      <c r="BZL91" s="1757"/>
      <c r="BZM91" s="1757"/>
      <c r="BZN91" s="1757"/>
      <c r="BZO91" s="1757"/>
      <c r="BZP91" s="1757"/>
      <c r="BZQ91" s="1757"/>
      <c r="BZR91" s="1757"/>
      <c r="BZS91" s="1757"/>
      <c r="BZT91" s="1757"/>
      <c r="BZU91" s="1757"/>
      <c r="BZV91" s="1757"/>
      <c r="BZW91" s="1757"/>
      <c r="BZX91" s="1757"/>
      <c r="BZY91" s="1757"/>
      <c r="BZZ91" s="1757"/>
      <c r="CAA91" s="1757"/>
      <c r="CAB91" s="1757"/>
      <c r="CAC91" s="1757"/>
      <c r="CAD91" s="1757"/>
      <c r="CAE91" s="1757"/>
      <c r="CAF91" s="1757"/>
      <c r="CAG91" s="1757"/>
      <c r="CAH91" s="1757"/>
      <c r="CAI91" s="1757"/>
      <c r="CAJ91" s="1757"/>
      <c r="CAK91" s="1757"/>
      <c r="CAL91" s="1757"/>
      <c r="CAM91" s="1757"/>
      <c r="CAN91" s="1757"/>
      <c r="CAO91" s="1757"/>
      <c r="CAP91" s="1757"/>
      <c r="CAQ91" s="1757"/>
      <c r="CAR91" s="1757"/>
      <c r="CAS91" s="1757"/>
      <c r="CAT91" s="1757"/>
      <c r="CAU91" s="1757"/>
      <c r="CAV91" s="1757"/>
      <c r="CAW91" s="1757"/>
      <c r="CAX91" s="1757"/>
      <c r="CAY91" s="1757"/>
      <c r="CAZ91" s="1757"/>
      <c r="CBA91" s="1757"/>
      <c r="CBB91" s="1757"/>
      <c r="CBC91" s="1757"/>
      <c r="CBD91" s="1757"/>
      <c r="CBE91" s="1757"/>
      <c r="CBF91" s="1757"/>
      <c r="CBG91" s="1757"/>
      <c r="CBH91" s="1757"/>
      <c r="CBI91" s="1757"/>
      <c r="CBJ91" s="1757"/>
      <c r="CBK91" s="1757"/>
      <c r="CBL91" s="1757"/>
      <c r="CBM91" s="1757"/>
      <c r="CBN91" s="1757"/>
      <c r="CBO91" s="1757"/>
      <c r="CBP91" s="1757"/>
      <c r="CBQ91" s="1757"/>
      <c r="CBR91" s="1757"/>
      <c r="CBS91" s="1757"/>
      <c r="CBT91" s="1757"/>
      <c r="CBU91" s="1757"/>
      <c r="CBV91" s="1757"/>
      <c r="CBW91" s="1757"/>
      <c r="CBX91" s="1757"/>
      <c r="CBY91" s="1757"/>
      <c r="CBZ91" s="1757"/>
      <c r="CCA91" s="1757"/>
      <c r="CCB91" s="1757"/>
      <c r="CCC91" s="1757"/>
      <c r="CCD91" s="1757"/>
      <c r="CCE91" s="1757"/>
      <c r="CCF91" s="1757"/>
      <c r="CCG91" s="1757"/>
      <c r="CCH91" s="1757"/>
      <c r="CCI91" s="1757"/>
      <c r="CCJ91" s="1757"/>
      <c r="CCK91" s="1757"/>
      <c r="CCL91" s="1757"/>
      <c r="CCM91" s="1757"/>
      <c r="CCN91" s="1757"/>
      <c r="CCO91" s="1757"/>
      <c r="CCP91" s="1757"/>
      <c r="CCQ91" s="1757"/>
      <c r="CCR91" s="1757"/>
      <c r="CCS91" s="1757"/>
      <c r="CCT91" s="1757"/>
      <c r="CCU91" s="1757"/>
      <c r="CCV91" s="1757"/>
      <c r="CCW91" s="1757"/>
      <c r="CCX91" s="1757"/>
      <c r="CCY91" s="1757"/>
      <c r="CCZ91" s="1757"/>
      <c r="CDA91" s="1757"/>
      <c r="CDB91" s="1757"/>
      <c r="CDC91" s="1757"/>
      <c r="CDD91" s="1757"/>
      <c r="CDE91" s="1757"/>
      <c r="CDF91" s="1757"/>
      <c r="CDG91" s="1757"/>
      <c r="CDH91" s="1757"/>
      <c r="CDI91" s="1757"/>
      <c r="CDJ91" s="1757"/>
      <c r="CDK91" s="1757"/>
      <c r="CDL91" s="1757"/>
      <c r="CDM91" s="1757"/>
      <c r="CDN91" s="1757"/>
      <c r="CDO91" s="1757"/>
      <c r="CDP91" s="1757"/>
      <c r="CDQ91" s="1757"/>
      <c r="CDR91" s="1757"/>
      <c r="CDS91" s="1757"/>
      <c r="CDT91" s="1757"/>
      <c r="CDU91" s="1757"/>
      <c r="CDV91" s="1757"/>
      <c r="CDW91" s="1757"/>
      <c r="CDX91" s="1757"/>
      <c r="CDY91" s="1757"/>
      <c r="CDZ91" s="1757"/>
      <c r="CEA91" s="1757"/>
      <c r="CEB91" s="1757"/>
      <c r="CEC91" s="1757"/>
      <c r="CED91" s="1757"/>
      <c r="CEE91" s="1757"/>
      <c r="CEF91" s="1757"/>
      <c r="CEG91" s="1757"/>
      <c r="CEH91" s="1757"/>
      <c r="CEI91" s="1757"/>
      <c r="CEJ91" s="1757"/>
      <c r="CEK91" s="1757"/>
      <c r="CEL91" s="1757"/>
      <c r="CEM91" s="1757"/>
      <c r="CEN91" s="1757"/>
      <c r="CEO91" s="1757"/>
      <c r="CEP91" s="1757"/>
      <c r="CEQ91" s="1757"/>
      <c r="CER91" s="1757"/>
      <c r="CES91" s="1757"/>
      <c r="CET91" s="1757"/>
      <c r="CEU91" s="1757"/>
      <c r="CEV91" s="1757"/>
      <c r="CEW91" s="1757"/>
      <c r="CEX91" s="1757"/>
      <c r="CEY91" s="1757"/>
      <c r="CEZ91" s="1757"/>
      <c r="CFA91" s="1757"/>
      <c r="CFB91" s="1757"/>
      <c r="CFC91" s="1757"/>
      <c r="CFD91" s="1757"/>
      <c r="CFE91" s="1757"/>
      <c r="CFF91" s="1757"/>
      <c r="CFG91" s="1757"/>
      <c r="CFH91" s="1757"/>
      <c r="CFI91" s="1757"/>
      <c r="CFJ91" s="1757"/>
      <c r="CFK91" s="1757"/>
      <c r="CFL91" s="1757"/>
      <c r="CFM91" s="1757"/>
      <c r="CFN91" s="1757"/>
      <c r="CFO91" s="1757"/>
      <c r="CFP91" s="1757"/>
      <c r="CFQ91" s="1757"/>
      <c r="CFR91" s="1757"/>
      <c r="CFS91" s="1757"/>
      <c r="CFT91" s="1757"/>
      <c r="CFU91" s="1757"/>
      <c r="CFV91" s="1757"/>
      <c r="CFW91" s="1757"/>
      <c r="CFX91" s="1757"/>
      <c r="CFY91" s="1757"/>
      <c r="CFZ91" s="1757"/>
      <c r="CGA91" s="1757"/>
      <c r="CGB91" s="1757"/>
      <c r="CGC91" s="1757"/>
      <c r="CGD91" s="1757"/>
      <c r="CGE91" s="1757"/>
      <c r="CGF91" s="1757"/>
      <c r="CGG91" s="1757"/>
      <c r="CGH91" s="1757"/>
      <c r="CGI91" s="1757"/>
      <c r="CGJ91" s="1757"/>
      <c r="CGK91" s="1757"/>
      <c r="CGL91" s="1757"/>
      <c r="CGM91" s="1757"/>
      <c r="CGN91" s="1757"/>
      <c r="CGO91" s="1757"/>
      <c r="CGP91" s="1757"/>
      <c r="CGQ91" s="1757"/>
      <c r="CGR91" s="1757"/>
      <c r="CGS91" s="1757"/>
      <c r="CGT91" s="1757"/>
      <c r="CGU91" s="1757"/>
      <c r="CGV91" s="1757"/>
      <c r="CGW91" s="1757"/>
      <c r="CGX91" s="1757"/>
      <c r="CGY91" s="1757"/>
      <c r="CGZ91" s="1757"/>
      <c r="CHA91" s="1757"/>
      <c r="CHB91" s="1757"/>
      <c r="CHC91" s="1757"/>
      <c r="CHD91" s="1757"/>
      <c r="CHE91" s="1757"/>
      <c r="CHF91" s="1757"/>
      <c r="CHG91" s="1757"/>
      <c r="CHH91" s="1757"/>
      <c r="CHI91" s="1757"/>
      <c r="CHJ91" s="1757"/>
      <c r="CHK91" s="1757"/>
      <c r="CHL91" s="1757"/>
      <c r="CHM91" s="1757"/>
      <c r="CHN91" s="1757"/>
      <c r="CHO91" s="1757"/>
      <c r="CHP91" s="1757"/>
      <c r="CHQ91" s="1757"/>
      <c r="CHR91" s="1757"/>
      <c r="CHS91" s="1757"/>
      <c r="CHT91" s="1757"/>
      <c r="CHU91" s="1757"/>
      <c r="CHV91" s="1757"/>
      <c r="CHW91" s="1757"/>
      <c r="CHX91" s="1757"/>
      <c r="CHY91" s="1757"/>
      <c r="CHZ91" s="1757"/>
      <c r="CIA91" s="1757"/>
      <c r="CIB91" s="1757"/>
      <c r="CIC91" s="1757"/>
      <c r="CID91" s="1757"/>
      <c r="CIE91" s="1757"/>
      <c r="CIF91" s="1757"/>
      <c r="CIG91" s="1757"/>
      <c r="CIH91" s="1757"/>
      <c r="CII91" s="1757"/>
      <c r="CIJ91" s="1757"/>
      <c r="CIK91" s="1757"/>
      <c r="CIL91" s="1757"/>
      <c r="CIM91" s="1757"/>
      <c r="CIN91" s="1757"/>
      <c r="CIO91" s="1757"/>
      <c r="CIP91" s="1757"/>
      <c r="CIQ91" s="1757"/>
      <c r="CIR91" s="1757"/>
      <c r="CIS91" s="1757"/>
      <c r="CIT91" s="1757"/>
      <c r="CIU91" s="1757"/>
      <c r="CIV91" s="1757"/>
      <c r="CIW91" s="1757"/>
      <c r="CIX91" s="1757"/>
      <c r="CIY91" s="1757"/>
      <c r="CIZ91" s="1757"/>
      <c r="CJA91" s="1757"/>
      <c r="CJB91" s="1757"/>
      <c r="CJC91" s="1757"/>
      <c r="CJD91" s="1757"/>
      <c r="CJE91" s="1757"/>
      <c r="CJF91" s="1757"/>
      <c r="CJG91" s="1757"/>
      <c r="CJH91" s="1757"/>
      <c r="CJI91" s="1757"/>
      <c r="CJJ91" s="1757"/>
      <c r="CJK91" s="1757"/>
      <c r="CJL91" s="1757"/>
      <c r="CJM91" s="1757"/>
      <c r="CJN91" s="1757"/>
      <c r="CJO91" s="1757"/>
      <c r="CJP91" s="1757"/>
      <c r="CJQ91" s="1757"/>
      <c r="CJR91" s="1757"/>
      <c r="CJS91" s="1757"/>
      <c r="CJT91" s="1757"/>
      <c r="CJU91" s="1757"/>
      <c r="CJV91" s="1757"/>
      <c r="CJW91" s="1757"/>
      <c r="CJX91" s="1757"/>
      <c r="CJY91" s="1757"/>
      <c r="CJZ91" s="1757"/>
      <c r="CKA91" s="1757"/>
      <c r="CKB91" s="1757"/>
      <c r="CKC91" s="1757"/>
      <c r="CKD91" s="1757"/>
      <c r="CKE91" s="1757"/>
      <c r="CKF91" s="1757"/>
      <c r="CKG91" s="1757"/>
      <c r="CKH91" s="1757"/>
      <c r="CKI91" s="1757"/>
      <c r="CKJ91" s="1757"/>
      <c r="CKK91" s="1757"/>
      <c r="CKL91" s="1757"/>
      <c r="CKM91" s="1757"/>
      <c r="CKN91" s="1757"/>
      <c r="CKO91" s="1757"/>
      <c r="CKP91" s="1757"/>
      <c r="CKQ91" s="1757"/>
      <c r="CKR91" s="1757"/>
      <c r="CKS91" s="1757"/>
      <c r="CKT91" s="1757"/>
      <c r="CKU91" s="1757"/>
      <c r="CKV91" s="1757"/>
      <c r="CKW91" s="1757"/>
      <c r="CKX91" s="1757"/>
      <c r="CKY91" s="1757"/>
      <c r="CKZ91" s="1757"/>
      <c r="CLA91" s="1757"/>
      <c r="CLB91" s="1757"/>
      <c r="CLC91" s="1757"/>
      <c r="CLD91" s="1757"/>
      <c r="CLE91" s="1757"/>
      <c r="CLF91" s="1757"/>
      <c r="CLG91" s="1757"/>
      <c r="CLH91" s="1757"/>
      <c r="CLI91" s="1757"/>
      <c r="CLJ91" s="1757"/>
      <c r="CLK91" s="1757"/>
      <c r="CLL91" s="1757"/>
      <c r="CLM91" s="1757"/>
      <c r="CLN91" s="1757"/>
      <c r="CLO91" s="1757"/>
      <c r="CLP91" s="1757"/>
      <c r="CLQ91" s="1757"/>
      <c r="CLR91" s="1757"/>
      <c r="CLS91" s="1757"/>
      <c r="CLT91" s="1757"/>
      <c r="CLU91" s="1757"/>
      <c r="CLV91" s="1757"/>
      <c r="CLW91" s="1757"/>
      <c r="CLX91" s="1757"/>
      <c r="CLY91" s="1757"/>
      <c r="CLZ91" s="1757"/>
      <c r="CMA91" s="1757"/>
      <c r="CMB91" s="1757"/>
      <c r="CMC91" s="1757"/>
      <c r="CMD91" s="1757"/>
      <c r="CME91" s="1757"/>
      <c r="CMF91" s="1757"/>
      <c r="CMG91" s="1757"/>
      <c r="CMH91" s="1757"/>
      <c r="CMI91" s="1757"/>
      <c r="CMJ91" s="1757"/>
      <c r="CMK91" s="1757"/>
      <c r="CML91" s="1757"/>
      <c r="CMM91" s="1757"/>
      <c r="CMN91" s="1757"/>
      <c r="CMO91" s="1757"/>
      <c r="CMP91" s="1757"/>
      <c r="CMQ91" s="1757"/>
      <c r="CMR91" s="1757"/>
      <c r="CMS91" s="1757"/>
      <c r="CMT91" s="1757"/>
      <c r="CMU91" s="1757"/>
      <c r="CMV91" s="1757"/>
      <c r="CMW91" s="1757"/>
      <c r="CMX91" s="1757"/>
      <c r="CMY91" s="1757"/>
      <c r="CMZ91" s="1757"/>
      <c r="CNA91" s="1757"/>
      <c r="CNB91" s="1757"/>
      <c r="CNC91" s="1757"/>
      <c r="CND91" s="1757"/>
      <c r="CNE91" s="1757"/>
      <c r="CNF91" s="1757"/>
      <c r="CNG91" s="1757"/>
      <c r="CNH91" s="1757"/>
      <c r="CNI91" s="1757"/>
      <c r="CNJ91" s="1757"/>
      <c r="CNK91" s="1757"/>
      <c r="CNL91" s="1757"/>
      <c r="CNM91" s="1757"/>
      <c r="CNN91" s="1757"/>
      <c r="CNO91" s="1757"/>
      <c r="CNP91" s="1757"/>
      <c r="CNQ91" s="1757"/>
      <c r="CNR91" s="1757"/>
      <c r="CNS91" s="1757"/>
      <c r="CNT91" s="1757"/>
      <c r="CNU91" s="1757"/>
      <c r="CNV91" s="1757"/>
      <c r="CNW91" s="1757"/>
      <c r="CNX91" s="1757"/>
      <c r="CNY91" s="1757"/>
      <c r="CNZ91" s="1757"/>
      <c r="COA91" s="1757"/>
      <c r="COB91" s="1757"/>
      <c r="COC91" s="1757"/>
      <c r="COD91" s="1757"/>
      <c r="COE91" s="1757"/>
      <c r="COF91" s="1757"/>
      <c r="COG91" s="1757"/>
      <c r="COH91" s="1757"/>
      <c r="COI91" s="1757"/>
      <c r="COJ91" s="1757"/>
      <c r="COK91" s="1757"/>
      <c r="COL91" s="1757"/>
      <c r="COM91" s="1757"/>
      <c r="CON91" s="1757"/>
      <c r="COO91" s="1757"/>
      <c r="COP91" s="1757"/>
      <c r="COQ91" s="1757"/>
      <c r="COR91" s="1757"/>
      <c r="COS91" s="1757"/>
      <c r="COT91" s="1757"/>
      <c r="COU91" s="1757"/>
      <c r="COV91" s="1757"/>
      <c r="COW91" s="1757"/>
      <c r="COX91" s="1757"/>
      <c r="COY91" s="1757"/>
      <c r="COZ91" s="1757"/>
      <c r="CPA91" s="1757"/>
      <c r="CPB91" s="1757"/>
      <c r="CPC91" s="1757"/>
      <c r="CPD91" s="1757"/>
      <c r="CPE91" s="1757"/>
      <c r="CPF91" s="1757"/>
      <c r="CPG91" s="1757"/>
      <c r="CPH91" s="1757"/>
      <c r="CPI91" s="1757"/>
      <c r="CPJ91" s="1757"/>
      <c r="CPK91" s="1757"/>
      <c r="CPL91" s="1757"/>
      <c r="CPM91" s="1757"/>
      <c r="CPN91" s="1757"/>
      <c r="CPO91" s="1757"/>
      <c r="CPP91" s="1757"/>
      <c r="CPQ91" s="1757"/>
      <c r="CPR91" s="1757"/>
      <c r="CPS91" s="1757"/>
      <c r="CPT91" s="1757"/>
      <c r="CPU91" s="1757"/>
      <c r="CPV91" s="1757"/>
      <c r="CPW91" s="1757"/>
      <c r="CPX91" s="1757"/>
      <c r="CPY91" s="1757"/>
      <c r="CPZ91" s="1757"/>
      <c r="CQA91" s="1757"/>
      <c r="CQB91" s="1757"/>
      <c r="CQC91" s="1757"/>
      <c r="CQD91" s="1757"/>
      <c r="CQE91" s="1757"/>
      <c r="CQF91" s="1757"/>
      <c r="CQG91" s="1757"/>
      <c r="CQH91" s="1757"/>
      <c r="CQI91" s="1757"/>
      <c r="CQJ91" s="1757"/>
      <c r="CQK91" s="1757"/>
      <c r="CQL91" s="1757"/>
      <c r="CQM91" s="1757"/>
      <c r="CQN91" s="1757"/>
      <c r="CQO91" s="1757"/>
      <c r="CQP91" s="1757"/>
      <c r="CQQ91" s="1757"/>
      <c r="CQR91" s="1757"/>
      <c r="CQS91" s="1757"/>
      <c r="CQT91" s="1757"/>
      <c r="CQU91" s="1757"/>
      <c r="CQV91" s="1757"/>
      <c r="CQW91" s="1757"/>
      <c r="CQX91" s="1757"/>
      <c r="CQY91" s="1757"/>
      <c r="CQZ91" s="1757"/>
      <c r="CRA91" s="1757"/>
      <c r="CRB91" s="1757"/>
      <c r="CRC91" s="1757"/>
      <c r="CRD91" s="1757"/>
      <c r="CRE91" s="1757"/>
      <c r="CRF91" s="1757"/>
      <c r="CRG91" s="1757"/>
      <c r="CRH91" s="1757"/>
      <c r="CRI91" s="1757"/>
      <c r="CRJ91" s="1757"/>
      <c r="CRK91" s="1757"/>
      <c r="CRL91" s="1757"/>
      <c r="CRM91" s="1757"/>
      <c r="CRN91" s="1757"/>
      <c r="CRO91" s="1757"/>
      <c r="CRP91" s="1757"/>
      <c r="CRQ91" s="1757"/>
      <c r="CRR91" s="1757"/>
      <c r="CRS91" s="1757"/>
      <c r="CRT91" s="1757"/>
      <c r="CRU91" s="1757"/>
      <c r="CRV91" s="1757"/>
      <c r="CRW91" s="1757"/>
      <c r="CRX91" s="1757"/>
      <c r="CRY91" s="1757"/>
      <c r="CRZ91" s="1757"/>
      <c r="CSA91" s="1757"/>
      <c r="CSB91" s="1757"/>
      <c r="CSC91" s="1757"/>
      <c r="CSD91" s="1757"/>
      <c r="CSE91" s="1757"/>
      <c r="CSF91" s="1757"/>
      <c r="CSG91" s="1757"/>
      <c r="CSH91" s="1757"/>
      <c r="CSI91" s="1757"/>
      <c r="CSJ91" s="1757"/>
      <c r="CSK91" s="1757"/>
      <c r="CSL91" s="1757"/>
      <c r="CSM91" s="1757"/>
      <c r="CSN91" s="1757"/>
      <c r="CSO91" s="1757"/>
      <c r="CSP91" s="1757"/>
      <c r="CSQ91" s="1757"/>
      <c r="CSR91" s="1757"/>
      <c r="CSS91" s="1757"/>
      <c r="CST91" s="1757"/>
      <c r="CSU91" s="1757"/>
      <c r="CSV91" s="1757"/>
      <c r="CSW91" s="1757"/>
      <c r="CSX91" s="1757"/>
      <c r="CSY91" s="1757"/>
      <c r="CSZ91" s="1757"/>
      <c r="CTA91" s="1757"/>
      <c r="CTB91" s="1757"/>
      <c r="CTC91" s="1757"/>
      <c r="CTD91" s="1757"/>
      <c r="CTE91" s="1757"/>
      <c r="CTF91" s="1757"/>
      <c r="CTG91" s="1757"/>
      <c r="CTH91" s="1757"/>
      <c r="CTI91" s="1757"/>
      <c r="CTJ91" s="1757"/>
      <c r="CTK91" s="1757"/>
      <c r="CTL91" s="1757"/>
      <c r="CTM91" s="1757"/>
      <c r="CTN91" s="1757"/>
      <c r="CTO91" s="1757"/>
      <c r="CTP91" s="1757"/>
      <c r="CTQ91" s="1757"/>
      <c r="CTR91" s="1757"/>
      <c r="CTS91" s="1757"/>
      <c r="CTT91" s="1757"/>
      <c r="CTU91" s="1757"/>
      <c r="CTV91" s="1757"/>
      <c r="CTW91" s="1757"/>
      <c r="CTX91" s="1757"/>
      <c r="CTY91" s="1757"/>
      <c r="CTZ91" s="1757"/>
      <c r="CUA91" s="1757"/>
      <c r="CUB91" s="1757"/>
      <c r="CUC91" s="1757"/>
      <c r="CUD91" s="1757"/>
      <c r="CUE91" s="1757"/>
      <c r="CUF91" s="1757"/>
      <c r="CUG91" s="1757"/>
      <c r="CUH91" s="1757"/>
      <c r="CUI91" s="1757"/>
      <c r="CUJ91" s="1757"/>
      <c r="CUK91" s="1757"/>
      <c r="CUL91" s="1757"/>
      <c r="CUM91" s="1757"/>
      <c r="CUN91" s="1757"/>
      <c r="CUO91" s="1757"/>
      <c r="CUP91" s="1757"/>
      <c r="CUQ91" s="1757"/>
      <c r="CUR91" s="1757"/>
      <c r="CUS91" s="1757"/>
      <c r="CUT91" s="1757"/>
      <c r="CUU91" s="1757"/>
      <c r="CUV91" s="1757"/>
      <c r="CUW91" s="1757"/>
      <c r="CUX91" s="1757"/>
      <c r="CUY91" s="1757"/>
      <c r="CUZ91" s="1757"/>
      <c r="CVA91" s="1757"/>
      <c r="CVB91" s="1757"/>
      <c r="CVC91" s="1757"/>
      <c r="CVD91" s="1757"/>
      <c r="CVE91" s="1757"/>
      <c r="CVF91" s="1757"/>
      <c r="CVG91" s="1757"/>
      <c r="CVH91" s="1757"/>
      <c r="CVI91" s="1757"/>
      <c r="CVJ91" s="1757"/>
      <c r="CVK91" s="1757"/>
      <c r="CVL91" s="1757"/>
      <c r="CVM91" s="1757"/>
      <c r="CVN91" s="1757"/>
      <c r="CVO91" s="1757"/>
      <c r="CVP91" s="1757"/>
      <c r="CVQ91" s="1757"/>
      <c r="CVR91" s="1757"/>
      <c r="CVS91" s="1757"/>
      <c r="CVT91" s="1757"/>
      <c r="CVU91" s="1757"/>
      <c r="CVV91" s="1757"/>
      <c r="CVW91" s="1757"/>
      <c r="CVX91" s="1757"/>
      <c r="CVY91" s="1757"/>
      <c r="CVZ91" s="1757"/>
      <c r="CWA91" s="1757"/>
      <c r="CWB91" s="1757"/>
      <c r="CWC91" s="1757"/>
      <c r="CWD91" s="1757"/>
      <c r="CWE91" s="1757"/>
      <c r="CWF91" s="1757"/>
      <c r="CWG91" s="1757"/>
      <c r="CWH91" s="1757"/>
      <c r="CWI91" s="1757"/>
      <c r="CWJ91" s="1757"/>
      <c r="CWK91" s="1757"/>
      <c r="CWL91" s="1757"/>
      <c r="CWM91" s="1757"/>
      <c r="CWN91" s="1757"/>
      <c r="CWO91" s="1757"/>
      <c r="CWP91" s="1757"/>
      <c r="CWQ91" s="1757"/>
      <c r="CWR91" s="1757"/>
      <c r="CWS91" s="1757"/>
      <c r="CWT91" s="1757"/>
      <c r="CWU91" s="1757"/>
      <c r="CWV91" s="1757"/>
      <c r="CWW91" s="1757"/>
      <c r="CWX91" s="1757"/>
      <c r="CWY91" s="1757"/>
      <c r="CWZ91" s="1757"/>
      <c r="CXA91" s="1757"/>
      <c r="CXB91" s="1757"/>
      <c r="CXC91" s="1757"/>
      <c r="CXD91" s="1757"/>
      <c r="CXE91" s="1757"/>
      <c r="CXF91" s="1757"/>
      <c r="CXG91" s="1757"/>
      <c r="CXH91" s="1757"/>
      <c r="CXI91" s="1757"/>
      <c r="CXJ91" s="1757"/>
      <c r="CXK91" s="1757"/>
      <c r="CXL91" s="1757"/>
      <c r="CXM91" s="1757"/>
      <c r="CXN91" s="1757"/>
      <c r="CXO91" s="1757"/>
      <c r="CXP91" s="1757"/>
      <c r="CXQ91" s="1757"/>
      <c r="CXR91" s="1757"/>
      <c r="CXS91" s="1757"/>
      <c r="CXT91" s="1757"/>
      <c r="CXU91" s="1757"/>
      <c r="CXV91" s="1757"/>
      <c r="CXW91" s="1757"/>
      <c r="CXX91" s="1757"/>
      <c r="CXY91" s="1757"/>
      <c r="CXZ91" s="1757"/>
      <c r="CYA91" s="1757"/>
      <c r="CYB91" s="1757"/>
      <c r="CYC91" s="1757"/>
      <c r="CYD91" s="1757"/>
      <c r="CYE91" s="1757"/>
      <c r="CYF91" s="1757"/>
      <c r="CYG91" s="1757"/>
      <c r="CYH91" s="1757"/>
      <c r="CYI91" s="1757"/>
      <c r="CYJ91" s="1757"/>
      <c r="CYK91" s="1757"/>
      <c r="CYL91" s="1757"/>
      <c r="CYM91" s="1757"/>
      <c r="CYN91" s="1757"/>
      <c r="CYO91" s="1757"/>
      <c r="CYP91" s="1757"/>
      <c r="CYQ91" s="1757"/>
      <c r="CYR91" s="1757"/>
      <c r="CYS91" s="1757"/>
      <c r="CYT91" s="1757"/>
      <c r="CYU91" s="1757"/>
      <c r="CYV91" s="1757"/>
      <c r="CYW91" s="1757"/>
      <c r="CYX91" s="1757"/>
      <c r="CYY91" s="1757"/>
      <c r="CYZ91" s="1757"/>
      <c r="CZA91" s="1757"/>
      <c r="CZB91" s="1757"/>
      <c r="CZC91" s="1757"/>
      <c r="CZD91" s="1757"/>
      <c r="CZE91" s="1757"/>
      <c r="CZF91" s="1757"/>
      <c r="CZG91" s="1757"/>
      <c r="CZH91" s="1757"/>
      <c r="CZI91" s="1757"/>
      <c r="CZJ91" s="1757"/>
      <c r="CZK91" s="1757"/>
      <c r="CZL91" s="1757"/>
      <c r="CZM91" s="1757"/>
      <c r="CZN91" s="1757"/>
      <c r="CZO91" s="1757"/>
      <c r="CZP91" s="1757"/>
      <c r="CZQ91" s="1757"/>
      <c r="CZR91" s="1757"/>
      <c r="CZS91" s="1757"/>
      <c r="CZT91" s="1757"/>
      <c r="CZU91" s="1757"/>
      <c r="CZV91" s="1757"/>
      <c r="CZW91" s="1757"/>
      <c r="CZX91" s="1757"/>
      <c r="CZY91" s="1757"/>
      <c r="CZZ91" s="1757"/>
      <c r="DAA91" s="1757"/>
      <c r="DAB91" s="1757"/>
      <c r="DAC91" s="1757"/>
      <c r="DAD91" s="1757"/>
      <c r="DAE91" s="1757"/>
      <c r="DAF91" s="1757"/>
      <c r="DAG91" s="1757"/>
      <c r="DAH91" s="1757"/>
      <c r="DAI91" s="1757"/>
      <c r="DAJ91" s="1757"/>
      <c r="DAK91" s="1757"/>
      <c r="DAL91" s="1757"/>
      <c r="DAM91" s="1757"/>
      <c r="DAN91" s="1757"/>
      <c r="DAO91" s="1757"/>
      <c r="DAP91" s="1757"/>
      <c r="DAQ91" s="1757"/>
      <c r="DAR91" s="1757"/>
      <c r="DAS91" s="1757"/>
      <c r="DAT91" s="1757"/>
      <c r="DAU91" s="1757"/>
      <c r="DAV91" s="1757"/>
      <c r="DAW91" s="1757"/>
      <c r="DAX91" s="1757"/>
      <c r="DAY91" s="1757"/>
      <c r="DAZ91" s="1757"/>
      <c r="DBA91" s="1757"/>
      <c r="DBB91" s="1757"/>
      <c r="DBC91" s="1757"/>
      <c r="DBD91" s="1757"/>
      <c r="DBE91" s="1757"/>
      <c r="DBF91" s="1757"/>
      <c r="DBG91" s="1757"/>
      <c r="DBH91" s="1757"/>
      <c r="DBI91" s="1757"/>
      <c r="DBJ91" s="1757"/>
      <c r="DBK91" s="1757"/>
      <c r="DBL91" s="1757"/>
      <c r="DBM91" s="1757"/>
      <c r="DBN91" s="1757"/>
      <c r="DBO91" s="1757"/>
      <c r="DBP91" s="1757"/>
      <c r="DBQ91" s="1757"/>
      <c r="DBR91" s="1757"/>
      <c r="DBS91" s="1757"/>
      <c r="DBT91" s="1757"/>
      <c r="DBU91" s="1757"/>
      <c r="DBV91" s="1757"/>
      <c r="DBW91" s="1757"/>
      <c r="DBX91" s="1757"/>
      <c r="DBY91" s="1757"/>
      <c r="DBZ91" s="1757"/>
      <c r="DCA91" s="1757"/>
      <c r="DCB91" s="1757"/>
      <c r="DCC91" s="1757"/>
      <c r="DCD91" s="1757"/>
      <c r="DCE91" s="1757"/>
      <c r="DCF91" s="1757"/>
      <c r="DCG91" s="1757"/>
      <c r="DCH91" s="1757"/>
      <c r="DCI91" s="1757"/>
      <c r="DCJ91" s="1757"/>
      <c r="DCK91" s="1757"/>
      <c r="DCL91" s="1757"/>
      <c r="DCM91" s="1757"/>
      <c r="DCN91" s="1757"/>
      <c r="DCO91" s="1757"/>
      <c r="DCP91" s="1757"/>
      <c r="DCQ91" s="1757"/>
      <c r="DCR91" s="1757"/>
      <c r="DCS91" s="1757"/>
      <c r="DCT91" s="1757"/>
      <c r="DCU91" s="1757"/>
      <c r="DCV91" s="1757"/>
      <c r="DCW91" s="1757"/>
      <c r="DCX91" s="1757"/>
      <c r="DCY91" s="1757"/>
      <c r="DCZ91" s="1757"/>
      <c r="DDA91" s="1757"/>
      <c r="DDB91" s="1757"/>
      <c r="DDC91" s="1757"/>
      <c r="DDD91" s="1757"/>
      <c r="DDE91" s="1757"/>
      <c r="DDF91" s="1757"/>
      <c r="DDG91" s="1757"/>
      <c r="DDH91" s="1757"/>
      <c r="DDI91" s="1757"/>
      <c r="DDJ91" s="1757"/>
      <c r="DDK91" s="1757"/>
      <c r="DDL91" s="1757"/>
      <c r="DDM91" s="1757"/>
      <c r="DDN91" s="1757"/>
      <c r="DDO91" s="1757"/>
      <c r="DDP91" s="1757"/>
      <c r="DDQ91" s="1757"/>
      <c r="DDR91" s="1757"/>
      <c r="DDS91" s="1757"/>
      <c r="DDT91" s="1757"/>
      <c r="DDU91" s="1757"/>
      <c r="DDV91" s="1757"/>
      <c r="DDW91" s="1757"/>
      <c r="DDX91" s="1757"/>
      <c r="DDY91" s="1757"/>
      <c r="DDZ91" s="1757"/>
      <c r="DEA91" s="1757"/>
      <c r="DEB91" s="1757"/>
      <c r="DEC91" s="1757"/>
      <c r="DED91" s="1757"/>
      <c r="DEE91" s="1757"/>
      <c r="DEF91" s="1757"/>
      <c r="DEG91" s="1757"/>
      <c r="DEH91" s="1757"/>
      <c r="DEI91" s="1757"/>
      <c r="DEJ91" s="1757"/>
      <c r="DEK91" s="1757"/>
      <c r="DEL91" s="1757"/>
      <c r="DEM91" s="1757"/>
      <c r="DEN91" s="1757"/>
      <c r="DEO91" s="1757"/>
      <c r="DEP91" s="1757"/>
      <c r="DEQ91" s="1757"/>
      <c r="DER91" s="1757"/>
      <c r="DES91" s="1757"/>
      <c r="DET91" s="1757"/>
      <c r="DEU91" s="1757"/>
      <c r="DEV91" s="1757"/>
      <c r="DEW91" s="1757"/>
      <c r="DEX91" s="1757"/>
      <c r="DEY91" s="1757"/>
      <c r="DEZ91" s="1757"/>
      <c r="DFA91" s="1757"/>
      <c r="DFB91" s="1757"/>
      <c r="DFC91" s="1757"/>
      <c r="DFD91" s="1757"/>
      <c r="DFE91" s="1757"/>
      <c r="DFF91" s="1757"/>
      <c r="DFG91" s="1757"/>
      <c r="DFH91" s="1757"/>
      <c r="DFI91" s="1757"/>
      <c r="DFJ91" s="1757"/>
      <c r="DFK91" s="1757"/>
      <c r="DFL91" s="1757"/>
      <c r="DFM91" s="1757"/>
      <c r="DFN91" s="1757"/>
      <c r="DFO91" s="1757"/>
      <c r="DFP91" s="1757"/>
      <c r="DFQ91" s="1757"/>
      <c r="DFR91" s="1757"/>
      <c r="DFS91" s="1757"/>
      <c r="DFT91" s="1757"/>
      <c r="DFU91" s="1757"/>
      <c r="DFV91" s="1757"/>
      <c r="DFW91" s="1757"/>
      <c r="DFX91" s="1757"/>
      <c r="DFY91" s="1757"/>
      <c r="DFZ91" s="1757"/>
      <c r="DGA91" s="1757"/>
      <c r="DGB91" s="1757"/>
      <c r="DGC91" s="1757"/>
      <c r="DGD91" s="1757"/>
      <c r="DGE91" s="1757"/>
      <c r="DGF91" s="1757"/>
      <c r="DGG91" s="1757"/>
      <c r="DGH91" s="1757"/>
      <c r="DGI91" s="1757"/>
      <c r="DGJ91" s="1757"/>
      <c r="DGK91" s="1757"/>
      <c r="DGL91" s="1757"/>
      <c r="DGM91" s="1757"/>
      <c r="DGN91" s="1757"/>
      <c r="DGO91" s="1757"/>
      <c r="DGP91" s="1757"/>
      <c r="DGQ91" s="1757"/>
      <c r="DGR91" s="1757"/>
      <c r="DGS91" s="1757"/>
      <c r="DGT91" s="1757"/>
      <c r="DGU91" s="1757"/>
      <c r="DGV91" s="1757"/>
      <c r="DGW91" s="1757"/>
      <c r="DGX91" s="1757"/>
      <c r="DGY91" s="1757"/>
      <c r="DGZ91" s="1757"/>
      <c r="DHA91" s="1757"/>
      <c r="DHB91" s="1757"/>
      <c r="DHC91" s="1757"/>
      <c r="DHD91" s="1757"/>
      <c r="DHE91" s="1757"/>
      <c r="DHF91" s="1757"/>
      <c r="DHG91" s="1757"/>
      <c r="DHH91" s="1757"/>
      <c r="DHI91" s="1757"/>
      <c r="DHJ91" s="1757"/>
      <c r="DHK91" s="1757"/>
      <c r="DHL91" s="1757"/>
      <c r="DHM91" s="1757"/>
      <c r="DHN91" s="1757"/>
      <c r="DHO91" s="1757"/>
      <c r="DHP91" s="1757"/>
      <c r="DHQ91" s="1757"/>
      <c r="DHR91" s="1757"/>
      <c r="DHS91" s="1757"/>
      <c r="DHT91" s="1757"/>
      <c r="DHU91" s="1757"/>
      <c r="DHV91" s="1757"/>
      <c r="DHW91" s="1757"/>
      <c r="DHX91" s="1757"/>
      <c r="DHY91" s="1757"/>
      <c r="DHZ91" s="1757"/>
      <c r="DIA91" s="1757"/>
      <c r="DIB91" s="1757"/>
      <c r="DIC91" s="1757"/>
      <c r="DID91" s="1757"/>
      <c r="DIE91" s="1757"/>
      <c r="DIF91" s="1757"/>
      <c r="DIG91" s="1757"/>
      <c r="DIH91" s="1757"/>
      <c r="DII91" s="1757"/>
      <c r="DIJ91" s="1757"/>
      <c r="DIK91" s="1757"/>
      <c r="DIL91" s="1757"/>
      <c r="DIM91" s="1757"/>
      <c r="DIN91" s="1757"/>
      <c r="DIO91" s="1757"/>
      <c r="DIP91" s="1757"/>
      <c r="DIQ91" s="1757"/>
      <c r="DIR91" s="1757"/>
      <c r="DIS91" s="1757"/>
      <c r="DIT91" s="1757"/>
      <c r="DIU91" s="1757"/>
      <c r="DIV91" s="1757"/>
      <c r="DIW91" s="1757"/>
      <c r="DIX91" s="1757"/>
      <c r="DIY91" s="1757"/>
      <c r="DIZ91" s="1757"/>
      <c r="DJA91" s="1757"/>
      <c r="DJB91" s="1757"/>
      <c r="DJC91" s="1757"/>
      <c r="DJD91" s="1757"/>
      <c r="DJE91" s="1757"/>
      <c r="DJF91" s="1757"/>
      <c r="DJG91" s="1757"/>
      <c r="DJH91" s="1757"/>
      <c r="DJI91" s="1757"/>
      <c r="DJJ91" s="1757"/>
      <c r="DJK91" s="1757"/>
      <c r="DJL91" s="1757"/>
      <c r="DJM91" s="1757"/>
      <c r="DJN91" s="1757"/>
      <c r="DJO91" s="1757"/>
      <c r="DJP91" s="1757"/>
      <c r="DJQ91" s="1757"/>
      <c r="DJR91" s="1757"/>
      <c r="DJS91" s="1757"/>
      <c r="DJT91" s="1757"/>
      <c r="DJU91" s="1757"/>
      <c r="DJV91" s="1757"/>
      <c r="DJW91" s="1757"/>
      <c r="DJX91" s="1757"/>
      <c r="DJY91" s="1757"/>
      <c r="DJZ91" s="1757"/>
      <c r="DKA91" s="1757"/>
      <c r="DKB91" s="1757"/>
      <c r="DKC91" s="1757"/>
      <c r="DKD91" s="1757"/>
      <c r="DKE91" s="1757"/>
      <c r="DKF91" s="1757"/>
      <c r="DKG91" s="1757"/>
      <c r="DKH91" s="1757"/>
      <c r="DKI91" s="1757"/>
      <c r="DKJ91" s="1757"/>
      <c r="DKK91" s="1757"/>
      <c r="DKL91" s="1757"/>
      <c r="DKM91" s="1757"/>
      <c r="DKN91" s="1757"/>
      <c r="DKO91" s="1757"/>
      <c r="DKP91" s="1757"/>
      <c r="DKQ91" s="1757"/>
      <c r="DKR91" s="1757"/>
      <c r="DKS91" s="1757"/>
      <c r="DKT91" s="1757"/>
      <c r="DKU91" s="1757"/>
      <c r="DKV91" s="1757"/>
      <c r="DKW91" s="1757"/>
      <c r="DKX91" s="1757"/>
      <c r="DKY91" s="1757"/>
      <c r="DKZ91" s="1757"/>
      <c r="DLA91" s="1757"/>
      <c r="DLB91" s="1757"/>
      <c r="DLC91" s="1757"/>
      <c r="DLD91" s="1757"/>
      <c r="DLE91" s="1757"/>
      <c r="DLF91" s="1757"/>
      <c r="DLG91" s="1757"/>
      <c r="DLH91" s="1757"/>
      <c r="DLI91" s="1757"/>
      <c r="DLJ91" s="1757"/>
      <c r="DLK91" s="1757"/>
      <c r="DLL91" s="1757"/>
      <c r="DLM91" s="1757"/>
      <c r="DLN91" s="1757"/>
      <c r="DLO91" s="1757"/>
      <c r="DLP91" s="1757"/>
      <c r="DLQ91" s="1757"/>
      <c r="DLR91" s="1757"/>
      <c r="DLS91" s="1757"/>
      <c r="DLT91" s="1757"/>
      <c r="DLU91" s="1757"/>
      <c r="DLV91" s="1757"/>
      <c r="DLW91" s="1757"/>
      <c r="DLX91" s="1757"/>
      <c r="DLY91" s="1757"/>
      <c r="DLZ91" s="1757"/>
      <c r="DMA91" s="1757"/>
      <c r="DMB91" s="1757"/>
      <c r="DMC91" s="1757"/>
      <c r="DMD91" s="1757"/>
      <c r="DME91" s="1757"/>
      <c r="DMF91" s="1757"/>
      <c r="DMG91" s="1757"/>
      <c r="DMH91" s="1757"/>
      <c r="DMI91" s="1757"/>
      <c r="DMJ91" s="1757"/>
      <c r="DMK91" s="1757"/>
      <c r="DML91" s="1757"/>
      <c r="DMM91" s="1757"/>
      <c r="DMN91" s="1757"/>
      <c r="DMO91" s="1757"/>
      <c r="DMP91" s="1757"/>
      <c r="DMQ91" s="1757"/>
      <c r="DMR91" s="1757"/>
      <c r="DMS91" s="1757"/>
      <c r="DMT91" s="1757"/>
      <c r="DMU91" s="1757"/>
      <c r="DMV91" s="1757"/>
      <c r="DMW91" s="1757"/>
      <c r="DMX91" s="1757"/>
      <c r="DMY91" s="1757"/>
      <c r="DMZ91" s="1757"/>
      <c r="DNA91" s="1757"/>
      <c r="DNB91" s="1757"/>
      <c r="DNC91" s="1757"/>
      <c r="DND91" s="1757"/>
      <c r="DNE91" s="1757"/>
      <c r="DNF91" s="1757"/>
      <c r="DNG91" s="1757"/>
      <c r="DNH91" s="1757"/>
      <c r="DNI91" s="1757"/>
      <c r="DNJ91" s="1757"/>
      <c r="DNK91" s="1757"/>
      <c r="DNL91" s="1757"/>
      <c r="DNM91" s="1757"/>
      <c r="DNN91" s="1757"/>
      <c r="DNO91" s="1757"/>
      <c r="DNP91" s="1757"/>
      <c r="DNQ91" s="1757"/>
      <c r="DNR91" s="1757"/>
      <c r="DNS91" s="1757"/>
      <c r="DNT91" s="1757"/>
      <c r="DNU91" s="1757"/>
      <c r="DNV91" s="1757"/>
      <c r="DNW91" s="1757"/>
      <c r="DNX91" s="1757"/>
      <c r="DNY91" s="1757"/>
      <c r="DNZ91" s="1757"/>
      <c r="DOA91" s="1757"/>
      <c r="DOB91" s="1757"/>
      <c r="DOC91" s="1757"/>
      <c r="DOD91" s="1757"/>
      <c r="DOE91" s="1757"/>
      <c r="DOF91" s="1757"/>
      <c r="DOG91" s="1757"/>
      <c r="DOH91" s="1757"/>
      <c r="DOI91" s="1757"/>
      <c r="DOJ91" s="1757"/>
      <c r="DOK91" s="1757"/>
      <c r="DOL91" s="1757"/>
      <c r="DOM91" s="1757"/>
      <c r="DON91" s="1757"/>
      <c r="DOO91" s="1757"/>
      <c r="DOP91" s="1757"/>
      <c r="DOQ91" s="1757"/>
      <c r="DOR91" s="1757"/>
      <c r="DOS91" s="1757"/>
      <c r="DOT91" s="1757"/>
      <c r="DOU91" s="1757"/>
      <c r="DOV91" s="1757"/>
      <c r="DOW91" s="1757"/>
      <c r="DOX91" s="1757"/>
      <c r="DOY91" s="1757"/>
      <c r="DOZ91" s="1757"/>
      <c r="DPA91" s="1757"/>
      <c r="DPB91" s="1757"/>
      <c r="DPC91" s="1757"/>
      <c r="DPD91" s="1757"/>
      <c r="DPE91" s="1757"/>
      <c r="DPF91" s="1757"/>
      <c r="DPG91" s="1757"/>
      <c r="DPH91" s="1757"/>
      <c r="DPI91" s="1757"/>
      <c r="DPJ91" s="1757"/>
      <c r="DPK91" s="1757"/>
      <c r="DPL91" s="1757"/>
      <c r="DPM91" s="1757"/>
      <c r="DPN91" s="1757"/>
      <c r="DPO91" s="1757"/>
      <c r="DPP91" s="1757"/>
      <c r="DPQ91" s="1757"/>
      <c r="DPR91" s="1757"/>
      <c r="DPS91" s="1757"/>
      <c r="DPT91" s="1757"/>
      <c r="DPU91" s="1757"/>
      <c r="DPV91" s="1757"/>
      <c r="DPW91" s="1757"/>
      <c r="DPX91" s="1757"/>
      <c r="DPY91" s="1757"/>
      <c r="DPZ91" s="1757"/>
      <c r="DQA91" s="1757"/>
      <c r="DQB91" s="1757"/>
      <c r="DQC91" s="1757"/>
      <c r="DQD91" s="1757"/>
      <c r="DQE91" s="1757"/>
      <c r="DQF91" s="1757"/>
      <c r="DQG91" s="1757"/>
      <c r="DQH91" s="1757"/>
      <c r="DQI91" s="1757"/>
      <c r="DQJ91" s="1757"/>
      <c r="DQK91" s="1757"/>
      <c r="DQL91" s="1757"/>
      <c r="DQM91" s="1757"/>
      <c r="DQN91" s="1757"/>
      <c r="DQO91" s="1757"/>
      <c r="DQP91" s="1757"/>
      <c r="DQQ91" s="1757"/>
      <c r="DQR91" s="1757"/>
      <c r="DQS91" s="1757"/>
      <c r="DQT91" s="1757"/>
      <c r="DQU91" s="1757"/>
      <c r="DQV91" s="1757"/>
      <c r="DQW91" s="1757"/>
      <c r="DQX91" s="1757"/>
      <c r="DQY91" s="1757"/>
      <c r="DQZ91" s="1757"/>
      <c r="DRA91" s="1757"/>
      <c r="DRB91" s="1757"/>
      <c r="DRC91" s="1757"/>
      <c r="DRD91" s="1757"/>
      <c r="DRE91" s="1757"/>
      <c r="DRF91" s="1757"/>
      <c r="DRG91" s="1757"/>
      <c r="DRH91" s="1757"/>
      <c r="DRI91" s="1757"/>
      <c r="DRJ91" s="1757"/>
      <c r="DRK91" s="1757"/>
      <c r="DRL91" s="1757"/>
      <c r="DRM91" s="1757"/>
      <c r="DRN91" s="1757"/>
      <c r="DRO91" s="1757"/>
      <c r="DRP91" s="1757"/>
      <c r="DRQ91" s="1757"/>
      <c r="DRR91" s="1757"/>
      <c r="DRS91" s="1757"/>
      <c r="DRT91" s="1757"/>
      <c r="DRU91" s="1757"/>
      <c r="DRV91" s="1757"/>
      <c r="DRW91" s="1757"/>
      <c r="DRX91" s="1757"/>
      <c r="DRY91" s="1757"/>
      <c r="DRZ91" s="1757"/>
      <c r="DSA91" s="1757"/>
      <c r="DSB91" s="1757"/>
      <c r="DSC91" s="1757"/>
      <c r="DSD91" s="1757"/>
      <c r="DSE91" s="1757"/>
      <c r="DSF91" s="1757"/>
      <c r="DSG91" s="1757"/>
      <c r="DSH91" s="1757"/>
      <c r="DSI91" s="1757"/>
      <c r="DSJ91" s="1757"/>
      <c r="DSK91" s="1757"/>
      <c r="DSL91" s="1757"/>
      <c r="DSM91" s="1757"/>
      <c r="DSN91" s="1757"/>
      <c r="DSO91" s="1757"/>
      <c r="DSP91" s="1757"/>
      <c r="DSQ91" s="1757"/>
      <c r="DSR91" s="1757"/>
      <c r="DSS91" s="1757"/>
      <c r="DST91" s="1757"/>
      <c r="DSU91" s="1757"/>
      <c r="DSV91" s="1757"/>
      <c r="DSW91" s="1757"/>
      <c r="DSX91" s="1757"/>
      <c r="DSY91" s="1757"/>
      <c r="DSZ91" s="1757"/>
      <c r="DTA91" s="1757"/>
      <c r="DTB91" s="1757"/>
      <c r="DTC91" s="1757"/>
      <c r="DTD91" s="1757"/>
      <c r="DTE91" s="1757"/>
      <c r="DTF91" s="1757"/>
      <c r="DTG91" s="1757"/>
      <c r="DTH91" s="1757"/>
      <c r="DTI91" s="1757"/>
      <c r="DTJ91" s="1757"/>
      <c r="DTK91" s="1757"/>
      <c r="DTL91" s="1757"/>
      <c r="DTM91" s="1757"/>
      <c r="DTN91" s="1757"/>
      <c r="DTO91" s="1757"/>
      <c r="DTP91" s="1757"/>
      <c r="DTQ91" s="1757"/>
      <c r="DTR91" s="1757"/>
      <c r="DTS91" s="1757"/>
      <c r="DTT91" s="1757"/>
      <c r="DTU91" s="1757"/>
      <c r="DTV91" s="1757"/>
      <c r="DTW91" s="1757"/>
      <c r="DTX91" s="1757"/>
      <c r="DTY91" s="1757"/>
      <c r="DTZ91" s="1757"/>
      <c r="DUA91" s="1757"/>
      <c r="DUB91" s="1757"/>
      <c r="DUC91" s="1757"/>
      <c r="DUD91" s="1757"/>
      <c r="DUE91" s="1757"/>
      <c r="DUF91" s="1757"/>
      <c r="DUG91" s="1757"/>
      <c r="DUH91" s="1757"/>
      <c r="DUI91" s="1757"/>
      <c r="DUJ91" s="1757"/>
      <c r="DUK91" s="1757"/>
      <c r="DUL91" s="1757"/>
      <c r="DUM91" s="1757"/>
      <c r="DUN91" s="1757"/>
      <c r="DUO91" s="1757"/>
      <c r="DUP91" s="1757"/>
      <c r="DUQ91" s="1757"/>
      <c r="DUR91" s="1757"/>
      <c r="DUS91" s="1757"/>
      <c r="DUT91" s="1757"/>
      <c r="DUU91" s="1757"/>
      <c r="DUV91" s="1757"/>
      <c r="DUW91" s="1757"/>
      <c r="DUX91" s="1757"/>
      <c r="DUY91" s="1757"/>
      <c r="DUZ91" s="1757"/>
      <c r="DVA91" s="1757"/>
      <c r="DVB91" s="1757"/>
      <c r="DVC91" s="1757"/>
      <c r="DVD91" s="1757"/>
      <c r="DVE91" s="1757"/>
      <c r="DVF91" s="1757"/>
      <c r="DVG91" s="1757"/>
      <c r="DVH91" s="1757"/>
      <c r="DVI91" s="1757"/>
      <c r="DVJ91" s="1757"/>
      <c r="DVK91" s="1757"/>
      <c r="DVL91" s="1757"/>
      <c r="DVM91" s="1757"/>
      <c r="DVN91" s="1757"/>
      <c r="DVO91" s="1757"/>
      <c r="DVP91" s="1757"/>
      <c r="DVQ91" s="1757"/>
      <c r="DVR91" s="1757"/>
      <c r="DVS91" s="1757"/>
      <c r="DVT91" s="1757"/>
      <c r="DVU91" s="1757"/>
      <c r="DVV91" s="1757"/>
      <c r="DVW91" s="1757"/>
      <c r="DVX91" s="1757"/>
      <c r="DVY91" s="1757"/>
      <c r="DVZ91" s="1757"/>
      <c r="DWA91" s="1757"/>
      <c r="DWB91" s="1757"/>
      <c r="DWC91" s="1757"/>
      <c r="DWD91" s="1757"/>
      <c r="DWE91" s="1757"/>
      <c r="DWF91" s="1757"/>
      <c r="DWG91" s="1757"/>
      <c r="DWH91" s="1757"/>
      <c r="DWI91" s="1757"/>
      <c r="DWJ91" s="1757"/>
      <c r="DWK91" s="1757"/>
      <c r="DWL91" s="1757"/>
      <c r="DWM91" s="1757"/>
      <c r="DWN91" s="1757"/>
      <c r="DWO91" s="1757"/>
      <c r="DWP91" s="1757"/>
      <c r="DWQ91" s="1757"/>
      <c r="DWR91" s="1757"/>
      <c r="DWS91" s="1757"/>
      <c r="DWT91" s="1757"/>
      <c r="DWU91" s="1757"/>
      <c r="DWV91" s="1757"/>
      <c r="DWW91" s="1757"/>
      <c r="DWX91" s="1757"/>
      <c r="DWY91" s="1757"/>
      <c r="DWZ91" s="1757"/>
      <c r="DXA91" s="1757"/>
      <c r="DXB91" s="1757"/>
      <c r="DXC91" s="1757"/>
      <c r="DXD91" s="1757"/>
      <c r="DXE91" s="1757"/>
      <c r="DXF91" s="1757"/>
      <c r="DXG91" s="1757"/>
      <c r="DXH91" s="1757"/>
      <c r="DXI91" s="1757"/>
      <c r="DXJ91" s="1757"/>
      <c r="DXK91" s="1757"/>
      <c r="DXL91" s="1757"/>
      <c r="DXM91" s="1757"/>
      <c r="DXN91" s="1757"/>
      <c r="DXO91" s="1757"/>
      <c r="DXP91" s="1757"/>
      <c r="DXQ91" s="1757"/>
      <c r="DXR91" s="1757"/>
      <c r="DXS91" s="1757"/>
      <c r="DXT91" s="1757"/>
      <c r="DXU91" s="1757"/>
      <c r="DXV91" s="1757"/>
      <c r="DXW91" s="1757"/>
      <c r="DXX91" s="1757"/>
      <c r="DXY91" s="1757"/>
      <c r="DXZ91" s="1757"/>
      <c r="DYA91" s="1757"/>
      <c r="DYB91" s="1757"/>
      <c r="DYC91" s="1757"/>
      <c r="DYD91" s="1757"/>
      <c r="DYE91" s="1757"/>
      <c r="DYF91" s="1757"/>
      <c r="DYG91" s="1757"/>
      <c r="DYH91" s="1757"/>
      <c r="DYI91" s="1757"/>
      <c r="DYJ91" s="1757"/>
      <c r="DYK91" s="1757"/>
      <c r="DYL91" s="1757"/>
      <c r="DYM91" s="1757"/>
      <c r="DYN91" s="1757"/>
      <c r="DYO91" s="1757"/>
      <c r="DYP91" s="1757"/>
      <c r="DYQ91" s="1757"/>
      <c r="DYR91" s="1757"/>
      <c r="DYS91" s="1757"/>
      <c r="DYT91" s="1757"/>
      <c r="DYU91" s="1757"/>
      <c r="DYV91" s="1757"/>
      <c r="DYW91" s="1757"/>
      <c r="DYX91" s="1757"/>
      <c r="DYY91" s="1757"/>
      <c r="DYZ91" s="1757"/>
      <c r="DZA91" s="1757"/>
      <c r="DZB91" s="1757"/>
      <c r="DZC91" s="1757"/>
      <c r="DZD91" s="1757"/>
      <c r="DZE91" s="1757"/>
      <c r="DZF91" s="1757"/>
      <c r="DZG91" s="1757"/>
      <c r="DZH91" s="1757"/>
      <c r="DZI91" s="1757"/>
      <c r="DZJ91" s="1757"/>
      <c r="DZK91" s="1757"/>
      <c r="DZL91" s="1757"/>
      <c r="DZM91" s="1757"/>
      <c r="DZN91" s="1757"/>
      <c r="DZO91" s="1757"/>
      <c r="DZP91" s="1757"/>
      <c r="DZQ91" s="1757"/>
      <c r="DZR91" s="1757"/>
      <c r="DZS91" s="1757"/>
      <c r="DZT91" s="1757"/>
      <c r="DZU91" s="1757"/>
      <c r="DZV91" s="1757"/>
      <c r="DZW91" s="1757"/>
      <c r="DZX91" s="1757"/>
      <c r="DZY91" s="1757"/>
      <c r="DZZ91" s="1757"/>
      <c r="EAA91" s="1757"/>
      <c r="EAB91" s="1757"/>
      <c r="EAC91" s="1757"/>
      <c r="EAD91" s="1757"/>
      <c r="EAE91" s="1757"/>
      <c r="EAF91" s="1757"/>
      <c r="EAG91" s="1757"/>
      <c r="EAH91" s="1757"/>
      <c r="EAI91" s="1757"/>
      <c r="EAJ91" s="1757"/>
      <c r="EAK91" s="1757"/>
      <c r="EAL91" s="1757"/>
      <c r="EAM91" s="1757"/>
      <c r="EAN91" s="1757"/>
      <c r="EAO91" s="1757"/>
      <c r="EAP91" s="1757"/>
      <c r="EAQ91" s="1757"/>
      <c r="EAR91" s="1757"/>
      <c r="EAS91" s="1757"/>
      <c r="EAT91" s="1757"/>
      <c r="EAU91" s="1757"/>
      <c r="EAV91" s="1757"/>
      <c r="EAW91" s="1757"/>
      <c r="EAX91" s="1757"/>
      <c r="EAY91" s="1757"/>
      <c r="EAZ91" s="1757"/>
      <c r="EBA91" s="1757"/>
      <c r="EBB91" s="1757"/>
      <c r="EBC91" s="1757"/>
      <c r="EBD91" s="1757"/>
      <c r="EBE91" s="1757"/>
      <c r="EBF91" s="1757"/>
      <c r="EBG91" s="1757"/>
      <c r="EBH91" s="1757"/>
      <c r="EBI91" s="1757"/>
      <c r="EBJ91" s="1757"/>
      <c r="EBK91" s="1757"/>
      <c r="EBL91" s="1757"/>
      <c r="EBM91" s="1757"/>
      <c r="EBN91" s="1757"/>
      <c r="EBO91" s="1757"/>
      <c r="EBP91" s="1757"/>
      <c r="EBQ91" s="1757"/>
      <c r="EBR91" s="1757"/>
      <c r="EBS91" s="1757"/>
      <c r="EBT91" s="1757"/>
      <c r="EBU91" s="1757"/>
      <c r="EBV91" s="1757"/>
      <c r="EBW91" s="1757"/>
      <c r="EBX91" s="1757"/>
      <c r="EBY91" s="1757"/>
      <c r="EBZ91" s="1757"/>
      <c r="ECA91" s="1757"/>
      <c r="ECB91" s="1757"/>
      <c r="ECC91" s="1757"/>
      <c r="ECD91" s="1757"/>
      <c r="ECE91" s="1757"/>
      <c r="ECF91" s="1757"/>
      <c r="ECG91" s="1757"/>
      <c r="ECH91" s="1757"/>
      <c r="ECI91" s="1757"/>
      <c r="ECJ91" s="1757"/>
      <c r="ECK91" s="1757"/>
      <c r="ECL91" s="1757"/>
      <c r="ECM91" s="1757"/>
      <c r="ECN91" s="1757"/>
      <c r="ECO91" s="1757"/>
      <c r="ECP91" s="1757"/>
      <c r="ECQ91" s="1757"/>
      <c r="ECR91" s="1757"/>
      <c r="ECS91" s="1757"/>
      <c r="ECT91" s="1757"/>
      <c r="ECU91" s="1757"/>
      <c r="ECV91" s="1757"/>
      <c r="ECW91" s="1757"/>
      <c r="ECX91" s="1757"/>
      <c r="ECY91" s="1757"/>
      <c r="ECZ91" s="1757"/>
      <c r="EDA91" s="1757"/>
      <c r="EDB91" s="1757"/>
      <c r="EDC91" s="1757"/>
      <c r="EDD91" s="1757"/>
      <c r="EDE91" s="1757"/>
      <c r="EDF91" s="1757"/>
      <c r="EDG91" s="1757"/>
      <c r="EDH91" s="1757"/>
      <c r="EDI91" s="1757"/>
      <c r="EDJ91" s="1757"/>
      <c r="EDK91" s="1757"/>
      <c r="EDL91" s="1757"/>
      <c r="EDM91" s="1757"/>
      <c r="EDN91" s="1757"/>
      <c r="EDO91" s="1757"/>
      <c r="EDP91" s="1757"/>
      <c r="EDQ91" s="1757"/>
      <c r="EDR91" s="1757"/>
      <c r="EDS91" s="1757"/>
      <c r="EDT91" s="1757"/>
      <c r="EDU91" s="1757"/>
      <c r="EDV91" s="1757"/>
      <c r="EDW91" s="1757"/>
      <c r="EDX91" s="1757"/>
      <c r="EDY91" s="1757"/>
      <c r="EDZ91" s="1757"/>
      <c r="EEA91" s="1757"/>
      <c r="EEB91" s="1757"/>
      <c r="EEC91" s="1757"/>
      <c r="EED91" s="1757"/>
      <c r="EEE91" s="1757"/>
      <c r="EEF91" s="1757"/>
      <c r="EEG91" s="1757"/>
      <c r="EEH91" s="1757"/>
      <c r="EEI91" s="1757"/>
      <c r="EEJ91" s="1757"/>
      <c r="EEK91" s="1757"/>
      <c r="EEL91" s="1757"/>
      <c r="EEM91" s="1757"/>
      <c r="EEN91" s="1757"/>
      <c r="EEO91" s="1757"/>
      <c r="EEP91" s="1757"/>
      <c r="EEQ91" s="1757"/>
      <c r="EER91" s="1757"/>
      <c r="EES91" s="1757"/>
      <c r="EET91" s="1757"/>
      <c r="EEU91" s="1757"/>
      <c r="EEV91" s="1757"/>
      <c r="EEW91" s="1757"/>
      <c r="EEX91" s="1757"/>
      <c r="EEY91" s="1757"/>
      <c r="EEZ91" s="1757"/>
      <c r="EFA91" s="1757"/>
      <c r="EFB91" s="1757"/>
      <c r="EFC91" s="1757"/>
      <c r="EFD91" s="1757"/>
      <c r="EFE91" s="1757"/>
      <c r="EFF91" s="1757"/>
      <c r="EFG91" s="1757"/>
      <c r="EFH91" s="1757"/>
      <c r="EFI91" s="1757"/>
      <c r="EFJ91" s="1757"/>
      <c r="EFK91" s="1757"/>
      <c r="EFL91" s="1757"/>
      <c r="EFM91" s="1757"/>
      <c r="EFN91" s="1757"/>
      <c r="EFO91" s="1757"/>
      <c r="EFP91" s="1757"/>
      <c r="EFQ91" s="1757"/>
      <c r="EFR91" s="1757"/>
      <c r="EFS91" s="1757"/>
      <c r="EFT91" s="1757"/>
      <c r="EFU91" s="1757"/>
      <c r="EFV91" s="1757"/>
      <c r="EFW91" s="1757"/>
      <c r="EFX91" s="1757"/>
      <c r="EFY91" s="1757"/>
      <c r="EFZ91" s="1757"/>
      <c r="EGA91" s="1757"/>
      <c r="EGB91" s="1757"/>
      <c r="EGC91" s="1757"/>
      <c r="EGD91" s="1757"/>
      <c r="EGE91" s="1757"/>
      <c r="EGF91" s="1757"/>
      <c r="EGG91" s="1757"/>
      <c r="EGH91" s="1757"/>
      <c r="EGI91" s="1757"/>
      <c r="EGJ91" s="1757"/>
      <c r="EGK91" s="1757"/>
      <c r="EGL91" s="1757"/>
      <c r="EGM91" s="1757"/>
      <c r="EGN91" s="1757"/>
      <c r="EGO91" s="1757"/>
      <c r="EGP91" s="1757"/>
      <c r="EGQ91" s="1757"/>
      <c r="EGR91" s="1757"/>
      <c r="EGS91" s="1757"/>
      <c r="EGT91" s="1757"/>
      <c r="EGU91" s="1757"/>
      <c r="EGV91" s="1757"/>
      <c r="EGW91" s="1757"/>
      <c r="EGX91" s="1757"/>
      <c r="EGY91" s="1757"/>
      <c r="EGZ91" s="1757"/>
      <c r="EHA91" s="1757"/>
      <c r="EHB91" s="1757"/>
      <c r="EHC91" s="1757"/>
      <c r="EHD91" s="1757"/>
      <c r="EHE91" s="1757"/>
      <c r="EHF91" s="1757"/>
      <c r="EHG91" s="1757"/>
      <c r="EHH91" s="1757"/>
      <c r="EHI91" s="1757"/>
      <c r="EHJ91" s="1757"/>
      <c r="EHK91" s="1757"/>
      <c r="EHL91" s="1757"/>
      <c r="EHM91" s="1757"/>
      <c r="EHN91" s="1757"/>
      <c r="EHO91" s="1757"/>
      <c r="EHP91" s="1757"/>
      <c r="EHQ91" s="1757"/>
      <c r="EHR91" s="1757"/>
      <c r="EHS91" s="1757"/>
      <c r="EHT91" s="1757"/>
      <c r="EHU91" s="1757"/>
      <c r="EHV91" s="1757"/>
      <c r="EHW91" s="1757"/>
      <c r="EHX91" s="1757"/>
      <c r="EHY91" s="1757"/>
      <c r="EHZ91" s="1757"/>
      <c r="EIA91" s="1757"/>
      <c r="EIB91" s="1757"/>
      <c r="EIC91" s="1757"/>
      <c r="EID91" s="1757"/>
      <c r="EIE91" s="1757"/>
      <c r="EIF91" s="1757"/>
      <c r="EIG91" s="1757"/>
      <c r="EIH91" s="1757"/>
      <c r="EII91" s="1757"/>
      <c r="EIJ91" s="1757"/>
      <c r="EIK91" s="1757"/>
      <c r="EIL91" s="1757"/>
      <c r="EIM91" s="1757"/>
      <c r="EIN91" s="1757"/>
      <c r="EIO91" s="1757"/>
      <c r="EIP91" s="1757"/>
      <c r="EIQ91" s="1757"/>
      <c r="EIR91" s="1757"/>
      <c r="EIS91" s="1757"/>
      <c r="EIT91" s="1757"/>
      <c r="EIU91" s="1757"/>
      <c r="EIV91" s="1757"/>
      <c r="EIW91" s="1757"/>
      <c r="EIX91" s="1757"/>
      <c r="EIY91" s="1757"/>
      <c r="EIZ91" s="1757"/>
      <c r="EJA91" s="1757"/>
      <c r="EJB91" s="1757"/>
      <c r="EJC91" s="1757"/>
      <c r="EJD91" s="1757"/>
      <c r="EJE91" s="1757"/>
      <c r="EJF91" s="1757"/>
      <c r="EJG91" s="1757"/>
      <c r="EJH91" s="1757"/>
      <c r="EJI91" s="1757"/>
      <c r="EJJ91" s="1757"/>
      <c r="EJK91" s="1757"/>
      <c r="EJL91" s="1757"/>
      <c r="EJM91" s="1757"/>
      <c r="EJN91" s="1757"/>
      <c r="EJO91" s="1757"/>
      <c r="EJP91" s="1757"/>
      <c r="EJQ91" s="1757"/>
      <c r="EJR91" s="1757"/>
      <c r="EJS91" s="1757"/>
      <c r="EJT91" s="1757"/>
      <c r="EJU91" s="1757"/>
      <c r="EJV91" s="1757"/>
      <c r="EJW91" s="1757"/>
      <c r="EJX91" s="1757"/>
      <c r="EJY91" s="1757"/>
      <c r="EJZ91" s="1757"/>
      <c r="EKA91" s="1757"/>
      <c r="EKB91" s="1757"/>
      <c r="EKC91" s="1757"/>
      <c r="EKD91" s="1757"/>
      <c r="EKE91" s="1757"/>
      <c r="EKF91" s="1757"/>
      <c r="EKG91" s="1757"/>
      <c r="EKH91" s="1757"/>
      <c r="EKI91" s="1757"/>
      <c r="EKJ91" s="1757"/>
      <c r="EKK91" s="1757"/>
      <c r="EKL91" s="1757"/>
      <c r="EKM91" s="1757"/>
      <c r="EKN91" s="1757"/>
      <c r="EKO91" s="1757"/>
      <c r="EKP91" s="1757"/>
      <c r="EKQ91" s="1757"/>
      <c r="EKR91" s="1757"/>
      <c r="EKS91" s="1757"/>
      <c r="EKT91" s="1757"/>
      <c r="EKU91" s="1757"/>
      <c r="EKV91" s="1757"/>
      <c r="EKW91" s="1757"/>
      <c r="EKX91" s="1757"/>
      <c r="EKY91" s="1757"/>
      <c r="EKZ91" s="1757"/>
      <c r="ELA91" s="1757"/>
      <c r="ELB91" s="1757"/>
      <c r="ELC91" s="1757"/>
      <c r="ELD91" s="1757"/>
      <c r="ELE91" s="1757"/>
      <c r="ELF91" s="1757"/>
      <c r="ELG91" s="1757"/>
      <c r="ELH91" s="1757"/>
      <c r="ELI91" s="1757"/>
      <c r="ELJ91" s="1757"/>
      <c r="ELK91" s="1757"/>
      <c r="ELL91" s="1757"/>
      <c r="ELM91" s="1757"/>
      <c r="ELN91" s="1757"/>
      <c r="ELO91" s="1757"/>
      <c r="ELP91" s="1757"/>
      <c r="ELQ91" s="1757"/>
      <c r="ELR91" s="1757"/>
      <c r="ELS91" s="1757"/>
      <c r="ELT91" s="1757"/>
      <c r="ELU91" s="1757"/>
      <c r="ELV91" s="1757"/>
      <c r="ELW91" s="1757"/>
      <c r="ELX91" s="1757"/>
      <c r="ELY91" s="1757"/>
      <c r="ELZ91" s="1757"/>
      <c r="EMA91" s="1757"/>
      <c r="EMB91" s="1757"/>
      <c r="EMC91" s="1757"/>
      <c r="EMD91" s="1757"/>
      <c r="EME91" s="1757"/>
      <c r="EMF91" s="1757"/>
      <c r="EMG91" s="1757"/>
      <c r="EMH91" s="1757"/>
      <c r="EMI91" s="1757"/>
      <c r="EMJ91" s="1757"/>
      <c r="EMK91" s="1757"/>
      <c r="EML91" s="1757"/>
      <c r="EMM91" s="1757"/>
      <c r="EMN91" s="1757"/>
      <c r="EMO91" s="1757"/>
      <c r="EMP91" s="1757"/>
      <c r="EMQ91" s="1757"/>
      <c r="EMR91" s="1757"/>
      <c r="EMS91" s="1757"/>
      <c r="EMT91" s="1757"/>
      <c r="EMU91" s="1757"/>
      <c r="EMV91" s="1757"/>
      <c r="EMW91" s="1757"/>
      <c r="EMX91" s="1757"/>
      <c r="EMY91" s="1757"/>
      <c r="EMZ91" s="1757"/>
      <c r="ENA91" s="1757"/>
      <c r="ENB91" s="1757"/>
      <c r="ENC91" s="1757"/>
      <c r="END91" s="1757"/>
      <c r="ENE91" s="1757"/>
      <c r="ENF91" s="1757"/>
      <c r="ENG91" s="1757"/>
      <c r="ENH91" s="1757"/>
      <c r="ENI91" s="1757"/>
      <c r="ENJ91" s="1757"/>
      <c r="ENK91" s="1757"/>
      <c r="ENL91" s="1757"/>
      <c r="ENM91" s="1757"/>
      <c r="ENN91" s="1757"/>
      <c r="ENO91" s="1757"/>
      <c r="ENP91" s="1757"/>
      <c r="ENQ91" s="1757"/>
      <c r="ENR91" s="1757"/>
      <c r="ENS91" s="1757"/>
      <c r="ENT91" s="1757"/>
      <c r="ENU91" s="1757"/>
      <c r="ENV91" s="1757"/>
      <c r="ENW91" s="1757"/>
      <c r="ENX91" s="1757"/>
      <c r="ENY91" s="1757"/>
      <c r="ENZ91" s="1757"/>
      <c r="EOA91" s="1757"/>
      <c r="EOB91" s="1757"/>
      <c r="EOC91" s="1757"/>
      <c r="EOD91" s="1757"/>
      <c r="EOE91" s="1757"/>
      <c r="EOF91" s="1757"/>
      <c r="EOG91" s="1757"/>
      <c r="EOH91" s="1757"/>
      <c r="EOI91" s="1757"/>
      <c r="EOJ91" s="1757"/>
      <c r="EOK91" s="1757"/>
      <c r="EOL91" s="1757"/>
      <c r="EOM91" s="1757"/>
      <c r="EON91" s="1757"/>
      <c r="EOO91" s="1757"/>
      <c r="EOP91" s="1757"/>
      <c r="EOQ91" s="1757"/>
      <c r="EOR91" s="1757"/>
      <c r="EOS91" s="1757"/>
      <c r="EOT91" s="1757"/>
      <c r="EOU91" s="1757"/>
      <c r="EOV91" s="1757"/>
      <c r="EOW91" s="1757"/>
      <c r="EOX91" s="1757"/>
      <c r="EOY91" s="1757"/>
      <c r="EOZ91" s="1757"/>
      <c r="EPA91" s="1757"/>
      <c r="EPB91" s="1757"/>
      <c r="EPC91" s="1757"/>
      <c r="EPD91" s="1757"/>
      <c r="EPE91" s="1757"/>
      <c r="EPF91" s="1757"/>
      <c r="EPG91" s="1757"/>
      <c r="EPH91" s="1757"/>
      <c r="EPI91" s="1757"/>
      <c r="EPJ91" s="1757"/>
      <c r="EPK91" s="1757"/>
      <c r="EPL91" s="1757"/>
      <c r="EPM91" s="1757"/>
      <c r="EPN91" s="1757"/>
      <c r="EPO91" s="1757"/>
      <c r="EPP91" s="1757"/>
      <c r="EPQ91" s="1757"/>
      <c r="EPR91" s="1757"/>
      <c r="EPS91" s="1757"/>
      <c r="EPT91" s="1757"/>
      <c r="EPU91" s="1757"/>
      <c r="EPV91" s="1757"/>
      <c r="EPW91" s="1757"/>
      <c r="EPX91" s="1757"/>
      <c r="EPY91" s="1757"/>
      <c r="EPZ91" s="1757"/>
      <c r="EQA91" s="1757"/>
      <c r="EQB91" s="1757"/>
      <c r="EQC91" s="1757"/>
      <c r="EQD91" s="1757"/>
      <c r="EQE91" s="1757"/>
      <c r="EQF91" s="1757"/>
      <c r="EQG91" s="1757"/>
      <c r="EQH91" s="1757"/>
      <c r="EQI91" s="1757"/>
      <c r="EQJ91" s="1757"/>
      <c r="EQK91" s="1757"/>
      <c r="EQL91" s="1757"/>
      <c r="EQM91" s="1757"/>
      <c r="EQN91" s="1757"/>
      <c r="EQO91" s="1757"/>
      <c r="EQP91" s="1757"/>
      <c r="EQQ91" s="1757"/>
      <c r="EQR91" s="1757"/>
      <c r="EQS91" s="1757"/>
      <c r="EQT91" s="1757"/>
      <c r="EQU91" s="1757"/>
      <c r="EQV91" s="1757"/>
      <c r="EQW91" s="1757"/>
      <c r="EQX91" s="1757"/>
      <c r="EQY91" s="1757"/>
      <c r="EQZ91" s="1757"/>
      <c r="ERA91" s="1757"/>
      <c r="ERB91" s="1757"/>
      <c r="ERC91" s="1757"/>
      <c r="ERD91" s="1757"/>
      <c r="ERE91" s="1757"/>
      <c r="ERF91" s="1757"/>
      <c r="ERG91" s="1757"/>
      <c r="ERH91" s="1757"/>
      <c r="ERI91" s="1757"/>
      <c r="ERJ91" s="1757"/>
      <c r="ERK91" s="1757"/>
      <c r="ERL91" s="1757"/>
      <c r="ERM91" s="1757"/>
      <c r="ERN91" s="1757"/>
      <c r="ERO91" s="1757"/>
      <c r="ERP91" s="1757"/>
      <c r="ERQ91" s="1757"/>
      <c r="ERR91" s="1757"/>
      <c r="ERS91" s="1757"/>
      <c r="ERT91" s="1757"/>
      <c r="ERU91" s="1757"/>
      <c r="ERV91" s="1757"/>
      <c r="ERW91" s="1757"/>
      <c r="ERX91" s="1757"/>
      <c r="ERY91" s="1757"/>
      <c r="ERZ91" s="1757"/>
      <c r="ESA91" s="1757"/>
      <c r="ESB91" s="1757"/>
      <c r="ESC91" s="1757"/>
      <c r="ESD91" s="1757"/>
      <c r="ESE91" s="1757"/>
      <c r="ESF91" s="1757"/>
      <c r="ESG91" s="1757"/>
      <c r="ESH91" s="1757"/>
      <c r="ESI91" s="1757"/>
      <c r="ESJ91" s="1757"/>
      <c r="ESK91" s="1757"/>
      <c r="ESL91" s="1757"/>
      <c r="ESM91" s="1757"/>
      <c r="ESN91" s="1757"/>
      <c r="ESO91" s="1757"/>
      <c r="ESP91" s="1757"/>
      <c r="ESQ91" s="1757"/>
      <c r="ESR91" s="1757"/>
      <c r="ESS91" s="1757"/>
      <c r="EST91" s="1757"/>
      <c r="ESU91" s="1757"/>
      <c r="ESV91" s="1757"/>
      <c r="ESW91" s="1757"/>
      <c r="ESX91" s="1757"/>
      <c r="ESY91" s="1757"/>
      <c r="ESZ91" s="1757"/>
      <c r="ETA91" s="1757"/>
      <c r="ETB91" s="1757"/>
      <c r="ETC91" s="1757"/>
      <c r="ETD91" s="1757"/>
      <c r="ETE91" s="1757"/>
      <c r="ETF91" s="1757"/>
      <c r="ETG91" s="1757"/>
      <c r="ETH91" s="1757"/>
      <c r="ETI91" s="1757"/>
      <c r="ETJ91" s="1757"/>
      <c r="ETK91" s="1757"/>
      <c r="ETL91" s="1757"/>
      <c r="ETM91" s="1757"/>
      <c r="ETN91" s="1757"/>
      <c r="ETO91" s="1757"/>
      <c r="ETP91" s="1757"/>
      <c r="ETQ91" s="1757"/>
      <c r="ETR91" s="1757"/>
      <c r="ETS91" s="1757"/>
      <c r="ETT91" s="1757"/>
      <c r="ETU91" s="1757"/>
      <c r="ETV91" s="1757"/>
      <c r="ETW91" s="1757"/>
      <c r="ETX91" s="1757"/>
      <c r="ETY91" s="1757"/>
      <c r="ETZ91" s="1757"/>
      <c r="EUA91" s="1757"/>
      <c r="EUB91" s="1757"/>
      <c r="EUC91" s="1757"/>
      <c r="EUD91" s="1757"/>
      <c r="EUE91" s="1757"/>
      <c r="EUF91" s="1757"/>
      <c r="EUG91" s="1757"/>
      <c r="EUH91" s="1757"/>
      <c r="EUI91" s="1757"/>
      <c r="EUJ91" s="1757"/>
      <c r="EUK91" s="1757"/>
      <c r="EUL91" s="1757"/>
      <c r="EUM91" s="1757"/>
      <c r="EUN91" s="1757"/>
      <c r="EUO91" s="1757"/>
      <c r="EUP91" s="1757"/>
      <c r="EUQ91" s="1757"/>
      <c r="EUR91" s="1757"/>
      <c r="EUS91" s="1757"/>
      <c r="EUT91" s="1757"/>
      <c r="EUU91" s="1757"/>
      <c r="EUV91" s="1757"/>
      <c r="EUW91" s="1757"/>
      <c r="EUX91" s="1757"/>
      <c r="EUY91" s="1757"/>
      <c r="EUZ91" s="1757"/>
      <c r="EVA91" s="1757"/>
      <c r="EVB91" s="1757"/>
      <c r="EVC91" s="1757"/>
      <c r="EVD91" s="1757"/>
      <c r="EVE91" s="1757"/>
      <c r="EVF91" s="1757"/>
      <c r="EVG91" s="1757"/>
      <c r="EVH91" s="1757"/>
      <c r="EVI91" s="1757"/>
      <c r="EVJ91" s="1757"/>
      <c r="EVK91" s="1757"/>
      <c r="EVL91" s="1757"/>
      <c r="EVM91" s="1757"/>
      <c r="EVN91" s="1757"/>
      <c r="EVO91" s="1757"/>
      <c r="EVP91" s="1757"/>
      <c r="EVQ91" s="1757"/>
      <c r="EVR91" s="1757"/>
      <c r="EVS91" s="1757"/>
      <c r="EVT91" s="1757"/>
      <c r="EVU91" s="1757"/>
      <c r="EVV91" s="1757"/>
      <c r="EVW91" s="1757"/>
      <c r="EVX91" s="1757"/>
      <c r="EVY91" s="1757"/>
      <c r="EVZ91" s="1757"/>
      <c r="EWA91" s="1757"/>
      <c r="EWB91" s="1757"/>
      <c r="EWC91" s="1757"/>
      <c r="EWD91" s="1757"/>
      <c r="EWE91" s="1757"/>
      <c r="EWF91" s="1757"/>
      <c r="EWG91" s="1757"/>
      <c r="EWH91" s="1757"/>
      <c r="EWI91" s="1757"/>
      <c r="EWJ91" s="1757"/>
      <c r="EWK91" s="1757"/>
      <c r="EWL91" s="1757"/>
      <c r="EWM91" s="1757"/>
      <c r="EWN91" s="1757"/>
      <c r="EWO91" s="1757"/>
      <c r="EWP91" s="1757"/>
      <c r="EWQ91" s="1757"/>
      <c r="EWR91" s="1757"/>
      <c r="EWS91" s="1757"/>
      <c r="EWT91" s="1757"/>
      <c r="EWU91" s="1757"/>
      <c r="EWV91" s="1757"/>
      <c r="EWW91" s="1757"/>
      <c r="EWX91" s="1757"/>
      <c r="EWY91" s="1757"/>
      <c r="EWZ91" s="1757"/>
      <c r="EXA91" s="1757"/>
      <c r="EXB91" s="1757"/>
      <c r="EXC91" s="1757"/>
      <c r="EXD91" s="1757"/>
      <c r="EXE91" s="1757"/>
      <c r="EXF91" s="1757"/>
      <c r="EXG91" s="1757"/>
      <c r="EXH91" s="1757"/>
      <c r="EXI91" s="1757"/>
      <c r="EXJ91" s="1757"/>
      <c r="EXK91" s="1757"/>
      <c r="EXL91" s="1757"/>
      <c r="EXM91" s="1757"/>
      <c r="EXN91" s="1757"/>
      <c r="EXO91" s="1757"/>
      <c r="EXP91" s="1757"/>
      <c r="EXQ91" s="1757"/>
      <c r="EXR91" s="1757"/>
      <c r="EXS91" s="1757"/>
      <c r="EXT91" s="1757"/>
      <c r="EXU91" s="1757"/>
      <c r="EXV91" s="1757"/>
      <c r="EXW91" s="1757"/>
      <c r="EXX91" s="1757"/>
      <c r="EXY91" s="1757"/>
      <c r="EXZ91" s="1757"/>
      <c r="EYA91" s="1757"/>
      <c r="EYB91" s="1757"/>
      <c r="EYC91" s="1757"/>
      <c r="EYD91" s="1757"/>
      <c r="EYE91" s="1757"/>
      <c r="EYF91" s="1757"/>
      <c r="EYG91" s="1757"/>
      <c r="EYH91" s="1757"/>
      <c r="EYI91" s="1757"/>
      <c r="EYJ91" s="1757"/>
      <c r="EYK91" s="1757"/>
      <c r="EYL91" s="1757"/>
      <c r="EYM91" s="1757"/>
      <c r="EYN91" s="1757"/>
      <c r="EYO91" s="1757"/>
      <c r="EYP91" s="1757"/>
      <c r="EYQ91" s="1757"/>
      <c r="EYR91" s="1757"/>
      <c r="EYS91" s="1757"/>
      <c r="EYT91" s="1757"/>
      <c r="EYU91" s="1757"/>
      <c r="EYV91" s="1757"/>
      <c r="EYW91" s="1757"/>
      <c r="EYX91" s="1757"/>
      <c r="EYY91" s="1757"/>
      <c r="EYZ91" s="1757"/>
      <c r="EZA91" s="1757"/>
      <c r="EZB91" s="1757"/>
      <c r="EZC91" s="1757"/>
      <c r="EZD91" s="1757"/>
      <c r="EZE91" s="1757"/>
      <c r="EZF91" s="1757"/>
      <c r="EZG91" s="1757"/>
      <c r="EZH91" s="1757"/>
      <c r="EZI91" s="1757"/>
      <c r="EZJ91" s="1757"/>
      <c r="EZK91" s="1757"/>
      <c r="EZL91" s="1757"/>
      <c r="EZM91" s="1757"/>
      <c r="EZN91" s="1757"/>
      <c r="EZO91" s="1757"/>
      <c r="EZP91" s="1757"/>
      <c r="EZQ91" s="1757"/>
      <c r="EZR91" s="1757"/>
      <c r="EZS91" s="1757"/>
      <c r="EZT91" s="1757"/>
      <c r="EZU91" s="1757"/>
      <c r="EZV91" s="1757"/>
      <c r="EZW91" s="1757"/>
      <c r="EZX91" s="1757"/>
      <c r="EZY91" s="1757"/>
      <c r="EZZ91" s="1757"/>
      <c r="FAA91" s="1757"/>
      <c r="FAB91" s="1757"/>
      <c r="FAC91" s="1757"/>
      <c r="FAD91" s="1757"/>
      <c r="FAE91" s="1757"/>
      <c r="FAF91" s="1757"/>
      <c r="FAG91" s="1757"/>
      <c r="FAH91" s="1757"/>
      <c r="FAI91" s="1757"/>
      <c r="FAJ91" s="1757"/>
      <c r="FAK91" s="1757"/>
      <c r="FAL91" s="1757"/>
      <c r="FAM91" s="1757"/>
      <c r="FAN91" s="1757"/>
      <c r="FAO91" s="1757"/>
      <c r="FAP91" s="1757"/>
      <c r="FAQ91" s="1757"/>
      <c r="FAR91" s="1757"/>
      <c r="FAS91" s="1757"/>
      <c r="FAT91" s="1757"/>
      <c r="FAU91" s="1757"/>
      <c r="FAV91" s="1757"/>
      <c r="FAW91" s="1757"/>
      <c r="FAX91" s="1757"/>
      <c r="FAY91" s="1757"/>
      <c r="FAZ91" s="1757"/>
      <c r="FBA91" s="1757"/>
      <c r="FBB91" s="1757"/>
      <c r="FBC91" s="1757"/>
      <c r="FBD91" s="1757"/>
      <c r="FBE91" s="1757"/>
      <c r="FBF91" s="1757"/>
      <c r="FBG91" s="1757"/>
      <c r="FBH91" s="1757"/>
      <c r="FBI91" s="1757"/>
      <c r="FBJ91" s="1757"/>
      <c r="FBK91" s="1757"/>
      <c r="FBL91" s="1757"/>
      <c r="FBM91" s="1757"/>
      <c r="FBN91" s="1757"/>
      <c r="FBO91" s="1757"/>
      <c r="FBP91" s="1757"/>
      <c r="FBQ91" s="1757"/>
      <c r="FBR91" s="1757"/>
      <c r="FBS91" s="1757"/>
      <c r="FBT91" s="1757"/>
      <c r="FBU91" s="1757"/>
      <c r="FBV91" s="1757"/>
      <c r="FBW91" s="1757"/>
      <c r="FBX91" s="1757"/>
      <c r="FBY91" s="1757"/>
      <c r="FBZ91" s="1757"/>
      <c r="FCA91" s="1757"/>
      <c r="FCB91" s="1757"/>
      <c r="FCC91" s="1757"/>
      <c r="FCD91" s="1757"/>
      <c r="FCE91" s="1757"/>
      <c r="FCF91" s="1757"/>
      <c r="FCG91" s="1757"/>
      <c r="FCH91" s="1757"/>
      <c r="FCI91" s="1757"/>
      <c r="FCJ91" s="1757"/>
      <c r="FCK91" s="1757"/>
      <c r="FCL91" s="1757"/>
      <c r="FCM91" s="1757"/>
      <c r="FCN91" s="1757"/>
      <c r="FCO91" s="1757"/>
      <c r="FCP91" s="1757"/>
      <c r="FCQ91" s="1757"/>
      <c r="FCR91" s="1757"/>
      <c r="FCS91" s="1757"/>
      <c r="FCT91" s="1757"/>
      <c r="FCU91" s="1757"/>
      <c r="FCV91" s="1757"/>
      <c r="FCW91" s="1757"/>
      <c r="FCX91" s="1757"/>
      <c r="FCY91" s="1757"/>
      <c r="FCZ91" s="1757"/>
      <c r="FDA91" s="1757"/>
      <c r="FDB91" s="1757"/>
      <c r="FDC91" s="1757"/>
      <c r="FDD91" s="1757"/>
      <c r="FDE91" s="1757"/>
      <c r="FDF91" s="1757"/>
      <c r="FDG91" s="1757"/>
      <c r="FDH91" s="1757"/>
      <c r="FDI91" s="1757"/>
      <c r="FDJ91" s="1757"/>
      <c r="FDK91" s="1757"/>
      <c r="FDL91" s="1757"/>
      <c r="FDM91" s="1757"/>
      <c r="FDN91" s="1757"/>
      <c r="FDO91" s="1757"/>
      <c r="FDP91" s="1757"/>
      <c r="FDQ91" s="1757"/>
      <c r="FDR91" s="1757"/>
      <c r="FDS91" s="1757"/>
      <c r="FDT91" s="1757"/>
      <c r="FDU91" s="1757"/>
      <c r="FDV91" s="1757"/>
      <c r="FDW91" s="1757"/>
      <c r="FDX91" s="1757"/>
      <c r="FDY91" s="1757"/>
      <c r="FDZ91" s="1757"/>
      <c r="FEA91" s="1757"/>
      <c r="FEB91" s="1757"/>
      <c r="FEC91" s="1757"/>
      <c r="FED91" s="1757"/>
      <c r="FEE91" s="1757"/>
      <c r="FEF91" s="1757"/>
      <c r="FEG91" s="1757"/>
      <c r="FEH91" s="1757"/>
      <c r="FEI91" s="1757"/>
      <c r="FEJ91" s="1757"/>
      <c r="FEK91" s="1757"/>
      <c r="FEL91" s="1757"/>
      <c r="FEM91" s="1757"/>
      <c r="FEN91" s="1757"/>
      <c r="FEO91" s="1757"/>
      <c r="FEP91" s="1757"/>
      <c r="FEQ91" s="1757"/>
      <c r="FER91" s="1757"/>
      <c r="FES91" s="1757"/>
      <c r="FET91" s="1757"/>
      <c r="FEU91" s="1757"/>
      <c r="FEV91" s="1757"/>
      <c r="FEW91" s="1757"/>
      <c r="FEX91" s="1757"/>
      <c r="FEY91" s="1757"/>
      <c r="FEZ91" s="1757"/>
      <c r="FFA91" s="1757"/>
      <c r="FFB91" s="1757"/>
      <c r="FFC91" s="1757"/>
      <c r="FFD91" s="1757"/>
      <c r="FFE91" s="1757"/>
      <c r="FFF91" s="1757"/>
      <c r="FFG91" s="1757"/>
      <c r="FFH91" s="1757"/>
      <c r="FFI91" s="1757"/>
      <c r="FFJ91" s="1757"/>
      <c r="FFK91" s="1757"/>
      <c r="FFL91" s="1757"/>
      <c r="FFM91" s="1757"/>
      <c r="FFN91" s="1757"/>
      <c r="FFO91" s="1757"/>
      <c r="FFP91" s="1757"/>
      <c r="FFQ91" s="1757"/>
      <c r="FFR91" s="1757"/>
      <c r="FFS91" s="1757"/>
      <c r="FFT91" s="1757"/>
      <c r="FFU91" s="1757"/>
      <c r="FFV91" s="1757"/>
      <c r="FFW91" s="1757"/>
      <c r="FFX91" s="1757"/>
      <c r="FFY91" s="1757"/>
      <c r="FFZ91" s="1757"/>
      <c r="FGA91" s="1757"/>
      <c r="FGB91" s="1757"/>
      <c r="FGC91" s="1757"/>
      <c r="FGD91" s="1757"/>
      <c r="FGE91" s="1757"/>
      <c r="FGF91" s="1757"/>
      <c r="FGG91" s="1757"/>
      <c r="FGH91" s="1757"/>
      <c r="FGI91" s="1757"/>
      <c r="FGJ91" s="1757"/>
      <c r="FGK91" s="1757"/>
      <c r="FGL91" s="1757"/>
      <c r="FGM91" s="1757"/>
      <c r="FGN91" s="1757"/>
      <c r="FGO91" s="1757"/>
      <c r="FGP91" s="1757"/>
      <c r="FGQ91" s="1757"/>
      <c r="FGR91" s="1757"/>
      <c r="FGS91" s="1757"/>
      <c r="FGT91" s="1757"/>
      <c r="FGU91" s="1757"/>
      <c r="FGV91" s="1757"/>
      <c r="FGW91" s="1757"/>
      <c r="FGX91" s="1757"/>
      <c r="FGY91" s="1757"/>
      <c r="FGZ91" s="1757"/>
      <c r="FHA91" s="1757"/>
      <c r="FHB91" s="1757"/>
      <c r="FHC91" s="1757"/>
      <c r="FHD91" s="1757"/>
      <c r="FHE91" s="1757"/>
      <c r="FHF91" s="1757"/>
      <c r="FHG91" s="1757"/>
      <c r="FHH91" s="1757"/>
      <c r="FHI91" s="1757"/>
      <c r="FHJ91" s="1757"/>
      <c r="FHK91" s="1757"/>
      <c r="FHL91" s="1757"/>
      <c r="FHM91" s="1757"/>
      <c r="FHN91" s="1757"/>
      <c r="FHO91" s="1757"/>
      <c r="FHP91" s="1757"/>
      <c r="FHQ91" s="1757"/>
      <c r="FHR91" s="1757"/>
      <c r="FHS91" s="1757"/>
      <c r="FHT91" s="1757"/>
      <c r="FHU91" s="1757"/>
      <c r="FHV91" s="1757"/>
      <c r="FHW91" s="1757"/>
      <c r="FHX91" s="1757"/>
      <c r="FHY91" s="1757"/>
      <c r="FHZ91" s="1757"/>
      <c r="FIA91" s="1757"/>
      <c r="FIB91" s="1757"/>
      <c r="FIC91" s="1757"/>
      <c r="FID91" s="1757"/>
      <c r="FIE91" s="1757"/>
      <c r="FIF91" s="1757"/>
      <c r="FIG91" s="1757"/>
      <c r="FIH91" s="1757"/>
      <c r="FII91" s="1757"/>
      <c r="FIJ91" s="1757"/>
      <c r="FIK91" s="1757"/>
      <c r="FIL91" s="1757"/>
      <c r="FIM91" s="1757"/>
      <c r="FIN91" s="1757"/>
      <c r="FIO91" s="1757"/>
      <c r="FIP91" s="1757"/>
      <c r="FIQ91" s="1757"/>
      <c r="FIR91" s="1757"/>
      <c r="FIS91" s="1757"/>
      <c r="FIT91" s="1757"/>
      <c r="FIU91" s="1757"/>
      <c r="FIV91" s="1757"/>
      <c r="FIW91" s="1757"/>
      <c r="FIX91" s="1757"/>
      <c r="FIY91" s="1757"/>
      <c r="FIZ91" s="1757"/>
      <c r="FJA91" s="1757"/>
      <c r="FJB91" s="1757"/>
      <c r="FJC91" s="1757"/>
      <c r="FJD91" s="1757"/>
      <c r="FJE91" s="1757"/>
      <c r="FJF91" s="1757"/>
      <c r="FJG91" s="1757"/>
      <c r="FJH91" s="1757"/>
      <c r="FJI91" s="1757"/>
      <c r="FJJ91" s="1757"/>
      <c r="FJK91" s="1757"/>
      <c r="FJL91" s="1757"/>
      <c r="FJM91" s="1757"/>
      <c r="FJN91" s="1757"/>
      <c r="FJO91" s="1757"/>
      <c r="FJP91" s="1757"/>
      <c r="FJQ91" s="1757"/>
      <c r="FJR91" s="1757"/>
      <c r="FJS91" s="1757"/>
      <c r="FJT91" s="1757"/>
      <c r="FJU91" s="1757"/>
      <c r="FJV91" s="1757"/>
      <c r="FJW91" s="1757"/>
      <c r="FJX91" s="1757"/>
      <c r="FJY91" s="1757"/>
      <c r="FJZ91" s="1757"/>
      <c r="FKA91" s="1757"/>
      <c r="FKB91" s="1757"/>
      <c r="FKC91" s="1757"/>
      <c r="FKD91" s="1757"/>
      <c r="FKE91" s="1757"/>
      <c r="FKF91" s="1757"/>
      <c r="FKG91" s="1757"/>
      <c r="FKH91" s="1757"/>
      <c r="FKI91" s="1757"/>
      <c r="FKJ91" s="1757"/>
      <c r="FKK91" s="1757"/>
      <c r="FKL91" s="1757"/>
      <c r="FKM91" s="1757"/>
      <c r="FKN91" s="1757"/>
      <c r="FKO91" s="1757"/>
      <c r="FKP91" s="1757"/>
      <c r="FKQ91" s="1757"/>
      <c r="FKR91" s="1757"/>
      <c r="FKS91" s="1757"/>
      <c r="FKT91" s="1757"/>
      <c r="FKU91" s="1757"/>
      <c r="FKV91" s="1757"/>
      <c r="FKW91" s="1757"/>
      <c r="FKX91" s="1757"/>
      <c r="FKY91" s="1757"/>
      <c r="FKZ91" s="1757"/>
      <c r="FLA91" s="1757"/>
      <c r="FLB91" s="1757"/>
      <c r="FLC91" s="1757"/>
      <c r="FLD91" s="1757"/>
      <c r="FLE91" s="1757"/>
      <c r="FLF91" s="1757"/>
      <c r="FLG91" s="1757"/>
      <c r="FLH91" s="1757"/>
      <c r="FLI91" s="1757"/>
      <c r="FLJ91" s="1757"/>
      <c r="FLK91" s="1757"/>
      <c r="FLL91" s="1757"/>
      <c r="FLM91" s="1757"/>
      <c r="FLN91" s="1757"/>
      <c r="FLO91" s="1757"/>
      <c r="FLP91" s="1757"/>
      <c r="FLQ91" s="1757"/>
      <c r="FLR91" s="1757"/>
      <c r="FLS91" s="1757"/>
      <c r="FLT91" s="1757"/>
      <c r="FLU91" s="1757"/>
      <c r="FLV91" s="1757"/>
      <c r="FLW91" s="1757"/>
      <c r="FLX91" s="1757"/>
      <c r="FLY91" s="1757"/>
      <c r="FLZ91" s="1757"/>
      <c r="FMA91" s="1757"/>
      <c r="FMB91" s="1757"/>
      <c r="FMC91" s="1757"/>
      <c r="FMD91" s="1757"/>
      <c r="FME91" s="1757"/>
      <c r="FMF91" s="1757"/>
      <c r="FMG91" s="1757"/>
      <c r="FMH91" s="1757"/>
      <c r="FMI91" s="1757"/>
      <c r="FMJ91" s="1757"/>
      <c r="FMK91" s="1757"/>
      <c r="FML91" s="1757"/>
      <c r="FMM91" s="1757"/>
      <c r="FMN91" s="1757"/>
      <c r="FMO91" s="1757"/>
      <c r="FMP91" s="1757"/>
      <c r="FMQ91" s="1757"/>
      <c r="FMR91" s="1757"/>
      <c r="FMS91" s="1757"/>
      <c r="FMT91" s="1757"/>
      <c r="FMU91" s="1757"/>
      <c r="FMV91" s="1757"/>
      <c r="FMW91" s="1757"/>
      <c r="FMX91" s="1757"/>
      <c r="FMY91" s="1757"/>
      <c r="FMZ91" s="1757"/>
      <c r="FNA91" s="1757"/>
      <c r="FNB91" s="1757"/>
      <c r="FNC91" s="1757"/>
      <c r="FND91" s="1757"/>
      <c r="FNE91" s="1757"/>
      <c r="FNF91" s="1757"/>
      <c r="FNG91" s="1757"/>
      <c r="FNH91" s="1757"/>
      <c r="FNI91" s="1757"/>
      <c r="FNJ91" s="1757"/>
      <c r="FNK91" s="1757"/>
      <c r="FNL91" s="1757"/>
      <c r="FNM91" s="1757"/>
      <c r="FNN91" s="1757"/>
      <c r="FNO91" s="1757"/>
      <c r="FNP91" s="1757"/>
      <c r="FNQ91" s="1757"/>
      <c r="FNR91" s="1757"/>
      <c r="FNS91" s="1757"/>
      <c r="FNT91" s="1757"/>
      <c r="FNU91" s="1757"/>
      <c r="FNV91" s="1757"/>
      <c r="FNW91" s="1757"/>
      <c r="FNX91" s="1757"/>
      <c r="FNY91" s="1757"/>
      <c r="FNZ91" s="1757"/>
      <c r="FOA91" s="1757"/>
      <c r="FOB91" s="1757"/>
      <c r="FOC91" s="1757"/>
      <c r="FOD91" s="1757"/>
      <c r="FOE91" s="1757"/>
      <c r="FOF91" s="1757"/>
      <c r="FOG91" s="1757"/>
      <c r="FOH91" s="1757"/>
      <c r="FOI91" s="1757"/>
      <c r="FOJ91" s="1757"/>
      <c r="FOK91" s="1757"/>
      <c r="FOL91" s="1757"/>
      <c r="FOM91" s="1757"/>
      <c r="FON91" s="1757"/>
      <c r="FOO91" s="1757"/>
      <c r="FOP91" s="1757"/>
      <c r="FOQ91" s="1757"/>
      <c r="FOR91" s="1757"/>
      <c r="FOS91" s="1757"/>
      <c r="FOT91" s="1757"/>
      <c r="FOU91" s="1757"/>
      <c r="FOV91" s="1757"/>
      <c r="FOW91" s="1757"/>
      <c r="FOX91" s="1757"/>
      <c r="FOY91" s="1757"/>
      <c r="FOZ91" s="1757"/>
      <c r="FPA91" s="1757"/>
      <c r="FPB91" s="1757"/>
      <c r="FPC91" s="1757"/>
      <c r="FPD91" s="1757"/>
      <c r="FPE91" s="1757"/>
      <c r="FPF91" s="1757"/>
      <c r="FPG91" s="1757"/>
      <c r="FPH91" s="1757"/>
      <c r="FPI91" s="1757"/>
      <c r="FPJ91" s="1757"/>
      <c r="FPK91" s="1757"/>
      <c r="FPL91" s="1757"/>
      <c r="FPM91" s="1757"/>
      <c r="FPN91" s="1757"/>
      <c r="FPO91" s="1757"/>
      <c r="FPP91" s="1757"/>
      <c r="FPQ91" s="1757"/>
      <c r="FPR91" s="1757"/>
      <c r="FPS91" s="1757"/>
      <c r="FPT91" s="1757"/>
      <c r="FPU91" s="1757"/>
      <c r="FPV91" s="1757"/>
      <c r="FPW91" s="1757"/>
      <c r="FPX91" s="1757"/>
      <c r="FPY91" s="1757"/>
      <c r="FPZ91" s="1757"/>
      <c r="FQA91" s="1757"/>
      <c r="FQB91" s="1757"/>
      <c r="FQC91" s="1757"/>
      <c r="FQD91" s="1757"/>
      <c r="FQE91" s="1757"/>
      <c r="FQF91" s="1757"/>
      <c r="FQG91" s="1757"/>
      <c r="FQH91" s="1757"/>
      <c r="FQI91" s="1757"/>
      <c r="FQJ91" s="1757"/>
      <c r="FQK91" s="1757"/>
      <c r="FQL91" s="1757"/>
      <c r="FQM91" s="1757"/>
      <c r="FQN91" s="1757"/>
      <c r="FQO91" s="1757"/>
      <c r="FQP91" s="1757"/>
      <c r="FQQ91" s="1757"/>
      <c r="FQR91" s="1757"/>
      <c r="FQS91" s="1757"/>
      <c r="FQT91" s="1757"/>
      <c r="FQU91" s="1757"/>
      <c r="FQV91" s="1757"/>
      <c r="FQW91" s="1757"/>
      <c r="FQX91" s="1757"/>
      <c r="FQY91" s="1757"/>
      <c r="FQZ91" s="1757"/>
      <c r="FRA91" s="1757"/>
      <c r="FRB91" s="1757"/>
      <c r="FRC91" s="1757"/>
      <c r="FRD91" s="1757"/>
      <c r="FRE91" s="1757"/>
      <c r="FRF91" s="1757"/>
      <c r="FRG91" s="1757"/>
      <c r="FRH91" s="1757"/>
      <c r="FRI91" s="1757"/>
      <c r="FRJ91" s="1757"/>
      <c r="FRK91" s="1757"/>
      <c r="FRL91" s="1757"/>
      <c r="FRM91" s="1757"/>
      <c r="FRN91" s="1757"/>
      <c r="FRO91" s="1757"/>
      <c r="FRP91" s="1757"/>
      <c r="FRQ91" s="1757"/>
      <c r="FRR91" s="1757"/>
      <c r="FRS91" s="1757"/>
      <c r="FRT91" s="1757"/>
      <c r="FRU91" s="1757"/>
      <c r="FRV91" s="1757"/>
      <c r="FRW91" s="1757"/>
      <c r="FRX91" s="1757"/>
      <c r="FRY91" s="1757"/>
      <c r="FRZ91" s="1757"/>
      <c r="FSA91" s="1757"/>
      <c r="FSB91" s="1757"/>
      <c r="FSC91" s="1757"/>
      <c r="FSD91" s="1757"/>
      <c r="FSE91" s="1757"/>
      <c r="FSF91" s="1757"/>
      <c r="FSG91" s="1757"/>
      <c r="FSH91" s="1757"/>
      <c r="FSI91" s="1757"/>
      <c r="FSJ91" s="1757"/>
      <c r="FSK91" s="1757"/>
      <c r="FSL91" s="1757"/>
      <c r="FSM91" s="1757"/>
      <c r="FSN91" s="1757"/>
      <c r="FSO91" s="1757"/>
      <c r="FSP91" s="1757"/>
      <c r="FSQ91" s="1757"/>
      <c r="FSR91" s="1757"/>
      <c r="FSS91" s="1757"/>
      <c r="FST91" s="1757"/>
      <c r="FSU91" s="1757"/>
      <c r="FSV91" s="1757"/>
      <c r="FSW91" s="1757"/>
      <c r="FSX91" s="1757"/>
      <c r="FSY91" s="1757"/>
      <c r="FSZ91" s="1757"/>
      <c r="FTA91" s="1757"/>
      <c r="FTB91" s="1757"/>
      <c r="FTC91" s="1757"/>
      <c r="FTD91" s="1757"/>
      <c r="FTE91" s="1757"/>
      <c r="FTF91" s="1757"/>
      <c r="FTG91" s="1757"/>
      <c r="FTH91" s="1757"/>
      <c r="FTI91" s="1757"/>
      <c r="FTJ91" s="1757"/>
      <c r="FTK91" s="1757"/>
      <c r="FTL91" s="1757"/>
      <c r="FTM91" s="1757"/>
      <c r="FTN91" s="1757"/>
      <c r="FTO91" s="1757"/>
      <c r="FTP91" s="1757"/>
      <c r="FTQ91" s="1757"/>
      <c r="FTR91" s="1757"/>
      <c r="FTS91" s="1757"/>
      <c r="FTT91" s="1757"/>
      <c r="FTU91" s="1757"/>
      <c r="FTV91" s="1757"/>
      <c r="FTW91" s="1757"/>
      <c r="FTX91" s="1757"/>
      <c r="FTY91" s="1757"/>
      <c r="FTZ91" s="1757"/>
      <c r="FUA91" s="1757"/>
      <c r="FUB91" s="1757"/>
      <c r="FUC91" s="1757"/>
      <c r="FUD91" s="1757"/>
      <c r="FUE91" s="1757"/>
      <c r="FUF91" s="1757"/>
      <c r="FUG91" s="1757"/>
      <c r="FUH91" s="1757"/>
      <c r="FUI91" s="1757"/>
      <c r="FUJ91" s="1757"/>
      <c r="FUK91" s="1757"/>
      <c r="FUL91" s="1757"/>
      <c r="FUM91" s="1757"/>
      <c r="FUN91" s="1757"/>
      <c r="FUO91" s="1757"/>
      <c r="FUP91" s="1757"/>
      <c r="FUQ91" s="1757"/>
      <c r="FUR91" s="1757"/>
      <c r="FUS91" s="1757"/>
      <c r="FUT91" s="1757"/>
      <c r="FUU91" s="1757"/>
      <c r="FUV91" s="1757"/>
      <c r="FUW91" s="1757"/>
      <c r="FUX91" s="1757"/>
      <c r="FUY91" s="1757"/>
      <c r="FUZ91" s="1757"/>
      <c r="FVA91" s="1757"/>
      <c r="FVB91" s="1757"/>
      <c r="FVC91" s="1757"/>
      <c r="FVD91" s="1757"/>
      <c r="FVE91" s="1757"/>
      <c r="FVF91" s="1757"/>
      <c r="FVG91" s="1757"/>
      <c r="FVH91" s="1757"/>
      <c r="FVI91" s="1757"/>
      <c r="FVJ91" s="1757"/>
      <c r="FVK91" s="1757"/>
      <c r="FVL91" s="1757"/>
      <c r="FVM91" s="1757"/>
      <c r="FVN91" s="1757"/>
      <c r="FVO91" s="1757"/>
      <c r="FVP91" s="1757"/>
      <c r="FVQ91" s="1757"/>
      <c r="FVR91" s="1757"/>
      <c r="FVS91" s="1757"/>
      <c r="FVT91" s="1757"/>
      <c r="FVU91" s="1757"/>
      <c r="FVV91" s="1757"/>
      <c r="FVW91" s="1757"/>
      <c r="FVX91" s="1757"/>
      <c r="FVY91" s="1757"/>
      <c r="FVZ91" s="1757"/>
      <c r="FWA91" s="1757"/>
      <c r="FWB91" s="1757"/>
      <c r="FWC91" s="1757"/>
      <c r="FWD91" s="1757"/>
      <c r="FWE91" s="1757"/>
      <c r="FWF91" s="1757"/>
      <c r="FWG91" s="1757"/>
      <c r="FWH91" s="1757"/>
      <c r="FWI91" s="1757"/>
      <c r="FWJ91" s="1757"/>
      <c r="FWK91" s="1757"/>
      <c r="FWL91" s="1757"/>
      <c r="FWM91" s="1757"/>
      <c r="FWN91" s="1757"/>
      <c r="FWO91" s="1757"/>
      <c r="FWP91" s="1757"/>
      <c r="FWQ91" s="1757"/>
      <c r="FWR91" s="1757"/>
      <c r="FWS91" s="1757"/>
      <c r="FWT91" s="1757"/>
      <c r="FWU91" s="1757"/>
      <c r="FWV91" s="1757"/>
      <c r="FWW91" s="1757"/>
      <c r="FWX91" s="1757"/>
      <c r="FWY91" s="1757"/>
      <c r="FWZ91" s="1757"/>
      <c r="FXA91" s="1757"/>
      <c r="FXB91" s="1757"/>
      <c r="FXC91" s="1757"/>
      <c r="FXD91" s="1757"/>
      <c r="FXE91" s="1757"/>
      <c r="FXF91" s="1757"/>
      <c r="FXG91" s="1757"/>
      <c r="FXH91" s="1757"/>
      <c r="FXI91" s="1757"/>
      <c r="FXJ91" s="1757"/>
      <c r="FXK91" s="1757"/>
      <c r="FXL91" s="1757"/>
      <c r="FXM91" s="1757"/>
      <c r="FXN91" s="1757"/>
      <c r="FXO91" s="1757"/>
      <c r="FXP91" s="1757"/>
      <c r="FXQ91" s="1757"/>
      <c r="FXR91" s="1757"/>
      <c r="FXS91" s="1757"/>
      <c r="FXT91" s="1757"/>
      <c r="FXU91" s="1757"/>
      <c r="FXV91" s="1757"/>
      <c r="FXW91" s="1757"/>
      <c r="FXX91" s="1757"/>
      <c r="FXY91" s="1757"/>
      <c r="FXZ91" s="1757"/>
      <c r="FYA91" s="1757"/>
      <c r="FYB91" s="1757"/>
      <c r="FYC91" s="1757"/>
      <c r="FYD91" s="1757"/>
      <c r="FYE91" s="1757"/>
      <c r="FYF91" s="1757"/>
      <c r="FYG91" s="1757"/>
      <c r="FYH91" s="1757"/>
      <c r="FYI91" s="1757"/>
      <c r="FYJ91" s="1757"/>
      <c r="FYK91" s="1757"/>
      <c r="FYL91" s="1757"/>
      <c r="FYM91" s="1757"/>
      <c r="FYN91" s="1757"/>
      <c r="FYO91" s="1757"/>
      <c r="FYP91" s="1757"/>
      <c r="FYQ91" s="1757"/>
      <c r="FYR91" s="1757"/>
      <c r="FYS91" s="1757"/>
      <c r="FYT91" s="1757"/>
      <c r="FYU91" s="1757"/>
      <c r="FYV91" s="1757"/>
      <c r="FYW91" s="1757"/>
      <c r="FYX91" s="1757"/>
      <c r="FYY91" s="1757"/>
      <c r="FYZ91" s="1757"/>
      <c r="FZA91" s="1757"/>
      <c r="FZB91" s="1757"/>
      <c r="FZC91" s="1757"/>
      <c r="FZD91" s="1757"/>
      <c r="FZE91" s="1757"/>
      <c r="FZF91" s="1757"/>
      <c r="FZG91" s="1757"/>
      <c r="FZH91" s="1757"/>
      <c r="FZI91" s="1757"/>
      <c r="FZJ91" s="1757"/>
      <c r="FZK91" s="1757"/>
      <c r="FZL91" s="1757"/>
      <c r="FZM91" s="1757"/>
      <c r="FZN91" s="1757"/>
      <c r="FZO91" s="1757"/>
      <c r="FZP91" s="1757"/>
      <c r="FZQ91" s="1757"/>
      <c r="FZR91" s="1757"/>
      <c r="FZS91" s="1757"/>
      <c r="FZT91" s="1757"/>
      <c r="FZU91" s="1757"/>
      <c r="FZV91" s="1757"/>
      <c r="FZW91" s="1757"/>
      <c r="FZX91" s="1757"/>
      <c r="FZY91" s="1757"/>
      <c r="FZZ91" s="1757"/>
      <c r="GAA91" s="1757"/>
      <c r="GAB91" s="1757"/>
      <c r="GAC91" s="1757"/>
      <c r="GAD91" s="1757"/>
      <c r="GAE91" s="1757"/>
      <c r="GAF91" s="1757"/>
      <c r="GAG91" s="1757"/>
      <c r="GAH91" s="1757"/>
      <c r="GAI91" s="1757"/>
      <c r="GAJ91" s="1757"/>
      <c r="GAK91" s="1757"/>
      <c r="GAL91" s="1757"/>
      <c r="GAM91" s="1757"/>
      <c r="GAN91" s="1757"/>
      <c r="GAO91" s="1757"/>
      <c r="GAP91" s="1757"/>
      <c r="GAQ91" s="1757"/>
      <c r="GAR91" s="1757"/>
      <c r="GAS91" s="1757"/>
      <c r="GAT91" s="1757"/>
      <c r="GAU91" s="1757"/>
      <c r="GAV91" s="1757"/>
      <c r="GAW91" s="1757"/>
      <c r="GAX91" s="1757"/>
      <c r="GAY91" s="1757"/>
      <c r="GAZ91" s="1757"/>
      <c r="GBA91" s="1757"/>
      <c r="GBB91" s="1757"/>
      <c r="GBC91" s="1757"/>
      <c r="GBD91" s="1757"/>
      <c r="GBE91" s="1757"/>
      <c r="GBF91" s="1757"/>
      <c r="GBG91" s="1757"/>
      <c r="GBH91" s="1757"/>
      <c r="GBI91" s="1757"/>
      <c r="GBJ91" s="1757"/>
      <c r="GBK91" s="1757"/>
      <c r="GBL91" s="1757"/>
      <c r="GBM91" s="1757"/>
      <c r="GBN91" s="1757"/>
      <c r="GBO91" s="1757"/>
      <c r="GBP91" s="1757"/>
      <c r="GBQ91" s="1757"/>
      <c r="GBR91" s="1757"/>
      <c r="GBS91" s="1757"/>
      <c r="GBT91" s="1757"/>
      <c r="GBU91" s="1757"/>
      <c r="GBV91" s="1757"/>
      <c r="GBW91" s="1757"/>
      <c r="GBX91" s="1757"/>
      <c r="GBY91" s="1757"/>
      <c r="GBZ91" s="1757"/>
      <c r="GCA91" s="1757"/>
      <c r="GCB91" s="1757"/>
      <c r="GCC91" s="1757"/>
      <c r="GCD91" s="1757"/>
      <c r="GCE91" s="1757"/>
      <c r="GCF91" s="1757"/>
      <c r="GCG91" s="1757"/>
      <c r="GCH91" s="1757"/>
      <c r="GCI91" s="1757"/>
      <c r="GCJ91" s="1757"/>
      <c r="GCK91" s="1757"/>
      <c r="GCL91" s="1757"/>
      <c r="GCM91" s="1757"/>
      <c r="GCN91" s="1757"/>
      <c r="GCO91" s="1757"/>
      <c r="GCP91" s="1757"/>
      <c r="GCQ91" s="1757"/>
      <c r="GCR91" s="1757"/>
      <c r="GCS91" s="1757"/>
      <c r="GCT91" s="1757"/>
      <c r="GCU91" s="1757"/>
      <c r="GCV91" s="1757"/>
      <c r="GCW91" s="1757"/>
      <c r="GCX91" s="1757"/>
      <c r="GCY91" s="1757"/>
      <c r="GCZ91" s="1757"/>
      <c r="GDA91" s="1757"/>
      <c r="GDB91" s="1757"/>
      <c r="GDC91" s="1757"/>
      <c r="GDD91" s="1757"/>
      <c r="GDE91" s="1757"/>
      <c r="GDF91" s="1757"/>
      <c r="GDG91" s="1757"/>
      <c r="GDH91" s="1757"/>
      <c r="GDI91" s="1757"/>
      <c r="GDJ91" s="1757"/>
      <c r="GDK91" s="1757"/>
      <c r="GDL91" s="1757"/>
      <c r="GDM91" s="1757"/>
      <c r="GDN91" s="1757"/>
      <c r="GDO91" s="1757"/>
      <c r="GDP91" s="1757"/>
      <c r="GDQ91" s="1757"/>
      <c r="GDR91" s="1757"/>
      <c r="GDS91" s="1757"/>
      <c r="GDT91" s="1757"/>
      <c r="GDU91" s="1757"/>
      <c r="GDV91" s="1757"/>
      <c r="GDW91" s="1757"/>
      <c r="GDX91" s="1757"/>
      <c r="GDY91" s="1757"/>
      <c r="GDZ91" s="1757"/>
      <c r="GEA91" s="1757"/>
      <c r="GEB91" s="1757"/>
      <c r="GEC91" s="1757"/>
      <c r="GED91" s="1757"/>
      <c r="GEE91" s="1757"/>
      <c r="GEF91" s="1757"/>
      <c r="GEG91" s="1757"/>
      <c r="GEH91" s="1757"/>
      <c r="GEI91" s="1757"/>
      <c r="GEJ91" s="1757"/>
      <c r="GEK91" s="1757"/>
      <c r="GEL91" s="1757"/>
      <c r="GEM91" s="1757"/>
      <c r="GEN91" s="1757"/>
      <c r="GEO91" s="1757"/>
      <c r="GEP91" s="1757"/>
      <c r="GEQ91" s="1757"/>
      <c r="GER91" s="1757"/>
      <c r="GES91" s="1757"/>
      <c r="GET91" s="1757"/>
      <c r="GEU91" s="1757"/>
      <c r="GEV91" s="1757"/>
      <c r="GEW91" s="1757"/>
      <c r="GEX91" s="1757"/>
      <c r="GEY91" s="1757"/>
      <c r="GEZ91" s="1757"/>
      <c r="GFA91" s="1757"/>
      <c r="GFB91" s="1757"/>
      <c r="GFC91" s="1757"/>
      <c r="GFD91" s="1757"/>
      <c r="GFE91" s="1757"/>
      <c r="GFF91" s="1757"/>
      <c r="GFG91" s="1757"/>
      <c r="GFH91" s="1757"/>
      <c r="GFI91" s="1757"/>
      <c r="GFJ91" s="1757"/>
      <c r="GFK91" s="1757"/>
      <c r="GFL91" s="1757"/>
      <c r="GFM91" s="1757"/>
      <c r="GFN91" s="1757"/>
      <c r="GFO91" s="1757"/>
      <c r="GFP91" s="1757"/>
      <c r="GFQ91" s="1757"/>
      <c r="GFR91" s="1757"/>
      <c r="GFS91" s="1757"/>
      <c r="GFT91" s="1757"/>
      <c r="GFU91" s="1757"/>
      <c r="GFV91" s="1757"/>
      <c r="GFW91" s="1757"/>
      <c r="GFX91" s="1757"/>
      <c r="GFY91" s="1757"/>
      <c r="GFZ91" s="1757"/>
      <c r="GGA91" s="1757"/>
      <c r="GGB91" s="1757"/>
      <c r="GGC91" s="1757"/>
      <c r="GGD91" s="1757"/>
      <c r="GGE91" s="1757"/>
      <c r="GGF91" s="1757"/>
      <c r="GGG91" s="1757"/>
      <c r="GGH91" s="1757"/>
      <c r="GGI91" s="1757"/>
      <c r="GGJ91" s="1757"/>
      <c r="GGK91" s="1757"/>
      <c r="GGL91" s="1757"/>
      <c r="GGM91" s="1757"/>
      <c r="GGN91" s="1757"/>
      <c r="GGO91" s="1757"/>
      <c r="GGP91" s="1757"/>
      <c r="GGQ91" s="1757"/>
      <c r="GGR91" s="1757"/>
      <c r="GGS91" s="1757"/>
      <c r="GGT91" s="1757"/>
      <c r="GGU91" s="1757"/>
      <c r="GGV91" s="1757"/>
      <c r="GGW91" s="1757"/>
      <c r="GGX91" s="1757"/>
      <c r="GGY91" s="1757"/>
      <c r="GGZ91" s="1757"/>
      <c r="GHA91" s="1757"/>
      <c r="GHB91" s="1757"/>
      <c r="GHC91" s="1757"/>
      <c r="GHD91" s="1757"/>
      <c r="GHE91" s="1757"/>
      <c r="GHF91" s="1757"/>
      <c r="GHG91" s="1757"/>
      <c r="GHH91" s="1757"/>
      <c r="GHI91" s="1757"/>
      <c r="GHJ91" s="1757"/>
      <c r="GHK91" s="1757"/>
      <c r="GHL91" s="1757"/>
      <c r="GHM91" s="1757"/>
      <c r="GHN91" s="1757"/>
      <c r="GHO91" s="1757"/>
      <c r="GHP91" s="1757"/>
      <c r="GHQ91" s="1757"/>
      <c r="GHR91" s="1757"/>
      <c r="GHS91" s="1757"/>
      <c r="GHT91" s="1757"/>
      <c r="GHU91" s="1757"/>
      <c r="GHV91" s="1757"/>
      <c r="GHW91" s="1757"/>
      <c r="GHX91" s="1757"/>
      <c r="GHY91" s="1757"/>
      <c r="GHZ91" s="1757"/>
      <c r="GIA91" s="1757"/>
      <c r="GIB91" s="1757"/>
      <c r="GIC91" s="1757"/>
      <c r="GID91" s="1757"/>
      <c r="GIE91" s="1757"/>
      <c r="GIF91" s="1757"/>
      <c r="GIG91" s="1757"/>
      <c r="GIH91" s="1757"/>
      <c r="GII91" s="1757"/>
      <c r="GIJ91" s="1757"/>
      <c r="GIK91" s="1757"/>
      <c r="GIL91" s="1757"/>
      <c r="GIM91" s="1757"/>
      <c r="GIN91" s="1757"/>
      <c r="GIO91" s="1757"/>
      <c r="GIP91" s="1757"/>
      <c r="GIQ91" s="1757"/>
      <c r="GIR91" s="1757"/>
      <c r="GIS91" s="1757"/>
      <c r="GIT91" s="1757"/>
      <c r="GIU91" s="1757"/>
      <c r="GIV91" s="1757"/>
      <c r="GIW91" s="1757"/>
      <c r="GIX91" s="1757"/>
      <c r="GIY91" s="1757"/>
      <c r="GIZ91" s="1757"/>
      <c r="GJA91" s="1757"/>
      <c r="GJB91" s="1757"/>
      <c r="GJC91" s="1757"/>
      <c r="GJD91" s="1757"/>
      <c r="GJE91" s="1757"/>
      <c r="GJF91" s="1757"/>
      <c r="GJG91" s="1757"/>
      <c r="GJH91" s="1757"/>
      <c r="GJI91" s="1757"/>
      <c r="GJJ91" s="1757"/>
      <c r="GJK91" s="1757"/>
      <c r="GJL91" s="1757"/>
      <c r="GJM91" s="1757"/>
      <c r="GJN91" s="1757"/>
      <c r="GJO91" s="1757"/>
      <c r="GJP91" s="1757"/>
      <c r="GJQ91" s="1757"/>
      <c r="GJR91" s="1757"/>
      <c r="GJS91" s="1757"/>
      <c r="GJT91" s="1757"/>
      <c r="GJU91" s="1757"/>
      <c r="GJV91" s="1757"/>
      <c r="GJW91" s="1757"/>
      <c r="GJX91" s="1757"/>
      <c r="GJY91" s="1757"/>
      <c r="GJZ91" s="1757"/>
      <c r="GKA91" s="1757"/>
      <c r="GKB91" s="1757"/>
      <c r="GKC91" s="1757"/>
      <c r="GKD91" s="1757"/>
      <c r="GKE91" s="1757"/>
      <c r="GKF91" s="1757"/>
      <c r="GKG91" s="1757"/>
      <c r="GKH91" s="1757"/>
      <c r="GKI91" s="1757"/>
      <c r="GKJ91" s="1757"/>
      <c r="GKK91" s="1757"/>
      <c r="GKL91" s="1757"/>
      <c r="GKM91" s="1757"/>
      <c r="GKN91" s="1757"/>
      <c r="GKO91" s="1757"/>
      <c r="GKP91" s="1757"/>
      <c r="GKQ91" s="1757"/>
      <c r="GKR91" s="1757"/>
      <c r="GKS91" s="1757"/>
      <c r="GKT91" s="1757"/>
      <c r="GKU91" s="1757"/>
      <c r="GKV91" s="1757"/>
      <c r="GKW91" s="1757"/>
      <c r="GKX91" s="1757"/>
      <c r="GKY91" s="1757"/>
      <c r="GKZ91" s="1757"/>
      <c r="GLA91" s="1757"/>
      <c r="GLB91" s="1757"/>
      <c r="GLC91" s="1757"/>
      <c r="GLD91" s="1757"/>
      <c r="GLE91" s="1757"/>
      <c r="GLF91" s="1757"/>
      <c r="GLG91" s="1757"/>
      <c r="GLH91" s="1757"/>
      <c r="GLI91" s="1757"/>
      <c r="GLJ91" s="1757"/>
      <c r="GLK91" s="1757"/>
      <c r="GLL91" s="1757"/>
      <c r="GLM91" s="1757"/>
      <c r="GLN91" s="1757"/>
      <c r="GLO91" s="1757"/>
      <c r="GLP91" s="1757"/>
      <c r="GLQ91" s="1757"/>
      <c r="GLR91" s="1757"/>
      <c r="GLS91" s="1757"/>
      <c r="GLT91" s="1757"/>
      <c r="GLU91" s="1757"/>
      <c r="GLV91" s="1757"/>
      <c r="GLW91" s="1757"/>
      <c r="GLX91" s="1757"/>
      <c r="GLY91" s="1757"/>
      <c r="GLZ91" s="1757"/>
      <c r="GMA91" s="1757"/>
      <c r="GMB91" s="1757"/>
      <c r="GMC91" s="1757"/>
      <c r="GMD91" s="1757"/>
      <c r="GME91" s="1757"/>
      <c r="GMF91" s="1757"/>
      <c r="GMG91" s="1757"/>
      <c r="GMH91" s="1757"/>
      <c r="GMI91" s="1757"/>
      <c r="GMJ91" s="1757"/>
      <c r="GMK91" s="1757"/>
      <c r="GML91" s="1757"/>
      <c r="GMM91" s="1757"/>
      <c r="GMN91" s="1757"/>
      <c r="GMO91" s="1757"/>
      <c r="GMP91" s="1757"/>
      <c r="GMQ91" s="1757"/>
      <c r="GMR91" s="1757"/>
      <c r="GMS91" s="1757"/>
      <c r="GMT91" s="1757"/>
      <c r="GMU91" s="1757"/>
      <c r="GMV91" s="1757"/>
      <c r="GMW91" s="1757"/>
      <c r="GMX91" s="1757"/>
      <c r="GMY91" s="1757"/>
      <c r="GMZ91" s="1757"/>
      <c r="GNA91" s="1757"/>
      <c r="GNB91" s="1757"/>
      <c r="GNC91" s="1757"/>
      <c r="GND91" s="1757"/>
      <c r="GNE91" s="1757"/>
      <c r="GNF91" s="1757"/>
      <c r="GNG91" s="1757"/>
      <c r="GNH91" s="1757"/>
      <c r="GNI91" s="1757"/>
      <c r="GNJ91" s="1757"/>
      <c r="GNK91" s="1757"/>
      <c r="GNL91" s="1757"/>
      <c r="GNM91" s="1757"/>
      <c r="GNN91" s="1757"/>
      <c r="GNO91" s="1757"/>
      <c r="GNP91" s="1757"/>
      <c r="GNQ91" s="1757"/>
      <c r="GNR91" s="1757"/>
      <c r="GNS91" s="1757"/>
      <c r="GNT91" s="1757"/>
      <c r="GNU91" s="1757"/>
      <c r="GNV91" s="1757"/>
      <c r="GNW91" s="1757"/>
      <c r="GNX91" s="1757"/>
      <c r="GNY91" s="1757"/>
      <c r="GNZ91" s="1757"/>
      <c r="GOA91" s="1757"/>
      <c r="GOB91" s="1757"/>
      <c r="GOC91" s="1757"/>
      <c r="GOD91" s="1757"/>
      <c r="GOE91" s="1757"/>
      <c r="GOF91" s="1757"/>
      <c r="GOG91" s="1757"/>
      <c r="GOH91" s="1757"/>
      <c r="GOI91" s="1757"/>
      <c r="GOJ91" s="1757"/>
      <c r="GOK91" s="1757"/>
      <c r="GOL91" s="1757"/>
      <c r="GOM91" s="1757"/>
      <c r="GON91" s="1757"/>
      <c r="GOO91" s="1757"/>
      <c r="GOP91" s="1757"/>
      <c r="GOQ91" s="1757"/>
      <c r="GOR91" s="1757"/>
      <c r="GOS91" s="1757"/>
      <c r="GOT91" s="1757"/>
      <c r="GOU91" s="1757"/>
      <c r="GOV91" s="1757"/>
      <c r="GOW91" s="1757"/>
      <c r="GOX91" s="1757"/>
      <c r="GOY91" s="1757"/>
      <c r="GOZ91" s="1757"/>
      <c r="GPA91" s="1757"/>
      <c r="GPB91" s="1757"/>
      <c r="GPC91" s="1757"/>
      <c r="GPD91" s="1757"/>
      <c r="GPE91" s="1757"/>
      <c r="GPF91" s="1757"/>
      <c r="GPG91" s="1757"/>
      <c r="GPH91" s="1757"/>
      <c r="GPI91" s="1757"/>
      <c r="GPJ91" s="1757"/>
      <c r="GPK91" s="1757"/>
      <c r="GPL91" s="1757"/>
      <c r="GPM91" s="1757"/>
      <c r="GPN91" s="1757"/>
      <c r="GPO91" s="1757"/>
      <c r="GPP91" s="1757"/>
      <c r="GPQ91" s="1757"/>
      <c r="GPR91" s="1757"/>
      <c r="GPS91" s="1757"/>
      <c r="GPT91" s="1757"/>
      <c r="GPU91" s="1757"/>
      <c r="GPV91" s="1757"/>
      <c r="GPW91" s="1757"/>
      <c r="GPX91" s="1757"/>
      <c r="GPY91" s="1757"/>
      <c r="GPZ91" s="1757"/>
      <c r="GQA91" s="1757"/>
      <c r="GQB91" s="1757"/>
      <c r="GQC91" s="1757"/>
      <c r="GQD91" s="1757"/>
      <c r="GQE91" s="1757"/>
      <c r="GQF91" s="1757"/>
      <c r="GQG91" s="1757"/>
      <c r="GQH91" s="1757"/>
      <c r="GQI91" s="1757"/>
      <c r="GQJ91" s="1757"/>
      <c r="GQK91" s="1757"/>
      <c r="GQL91" s="1757"/>
      <c r="GQM91" s="1757"/>
      <c r="GQN91" s="1757"/>
      <c r="GQO91" s="1757"/>
      <c r="GQP91" s="1757"/>
      <c r="GQQ91" s="1757"/>
      <c r="GQR91" s="1757"/>
      <c r="GQS91" s="1757"/>
      <c r="GQT91" s="1757"/>
      <c r="GQU91" s="1757"/>
      <c r="GQV91" s="1757"/>
      <c r="GQW91" s="1757"/>
      <c r="GQX91" s="1757"/>
      <c r="GQY91" s="1757"/>
      <c r="GQZ91" s="1757"/>
      <c r="GRA91" s="1757"/>
      <c r="GRB91" s="1757"/>
      <c r="GRC91" s="1757"/>
      <c r="GRD91" s="1757"/>
      <c r="GRE91" s="1757"/>
      <c r="GRF91" s="1757"/>
      <c r="GRG91" s="1757"/>
      <c r="GRH91" s="1757"/>
      <c r="GRI91" s="1757"/>
      <c r="GRJ91" s="1757"/>
      <c r="GRK91" s="1757"/>
      <c r="GRL91" s="1757"/>
      <c r="GRM91" s="1757"/>
      <c r="GRN91" s="1757"/>
      <c r="GRO91" s="1757"/>
      <c r="GRP91" s="1757"/>
      <c r="GRQ91" s="1757"/>
      <c r="GRR91" s="1757"/>
      <c r="GRS91" s="1757"/>
      <c r="GRT91" s="1757"/>
      <c r="GRU91" s="1757"/>
      <c r="GRV91" s="1757"/>
      <c r="GRW91" s="1757"/>
      <c r="GRX91" s="1757"/>
      <c r="GRY91" s="1757"/>
      <c r="GRZ91" s="1757"/>
      <c r="GSA91" s="1757"/>
      <c r="GSB91" s="1757"/>
      <c r="GSC91" s="1757"/>
      <c r="GSD91" s="1757"/>
      <c r="GSE91" s="1757"/>
      <c r="GSF91" s="1757"/>
      <c r="GSG91" s="1757"/>
      <c r="GSH91" s="1757"/>
      <c r="GSI91" s="1757"/>
      <c r="GSJ91" s="1757"/>
      <c r="GSK91" s="1757"/>
      <c r="GSL91" s="1757"/>
      <c r="GSM91" s="1757"/>
      <c r="GSN91" s="1757"/>
      <c r="GSO91" s="1757"/>
      <c r="GSP91" s="1757"/>
      <c r="GSQ91" s="1757"/>
      <c r="GSR91" s="1757"/>
      <c r="GSS91" s="1757"/>
      <c r="GST91" s="1757"/>
      <c r="GSU91" s="1757"/>
      <c r="GSV91" s="1757"/>
      <c r="GSW91" s="1757"/>
      <c r="GSX91" s="1757"/>
      <c r="GSY91" s="1757"/>
      <c r="GSZ91" s="1757"/>
      <c r="GTA91" s="1757"/>
      <c r="GTB91" s="1757"/>
      <c r="GTC91" s="1757"/>
      <c r="GTD91" s="1757"/>
      <c r="GTE91" s="1757"/>
      <c r="GTF91" s="1757"/>
      <c r="GTG91" s="1757"/>
      <c r="GTH91" s="1757"/>
      <c r="GTI91" s="1757"/>
      <c r="GTJ91" s="1757"/>
      <c r="GTK91" s="1757"/>
      <c r="GTL91" s="1757"/>
      <c r="GTM91" s="1757"/>
      <c r="GTN91" s="1757"/>
      <c r="GTO91" s="1757"/>
      <c r="GTP91" s="1757"/>
      <c r="GTQ91" s="1757"/>
      <c r="GTR91" s="1757"/>
      <c r="GTS91" s="1757"/>
      <c r="GTT91" s="1757"/>
      <c r="GTU91" s="1757"/>
      <c r="GTV91" s="1757"/>
      <c r="GTW91" s="1757"/>
      <c r="GTX91" s="1757"/>
      <c r="GTY91" s="1757"/>
      <c r="GTZ91" s="1757"/>
      <c r="GUA91" s="1757"/>
      <c r="GUB91" s="1757"/>
      <c r="GUC91" s="1757"/>
      <c r="GUD91" s="1757"/>
      <c r="GUE91" s="1757"/>
      <c r="GUF91" s="1757"/>
      <c r="GUG91" s="1757"/>
      <c r="GUH91" s="1757"/>
      <c r="GUI91" s="1757"/>
      <c r="GUJ91" s="1757"/>
      <c r="GUK91" s="1757"/>
      <c r="GUL91" s="1757"/>
      <c r="GUM91" s="1757"/>
      <c r="GUN91" s="1757"/>
      <c r="GUO91" s="1757"/>
      <c r="GUP91" s="1757"/>
      <c r="GUQ91" s="1757"/>
      <c r="GUR91" s="1757"/>
      <c r="GUS91" s="1757"/>
      <c r="GUT91" s="1757"/>
      <c r="GUU91" s="1757"/>
      <c r="GUV91" s="1757"/>
      <c r="GUW91" s="1757"/>
      <c r="GUX91" s="1757"/>
      <c r="GUY91" s="1757"/>
      <c r="GUZ91" s="1757"/>
      <c r="GVA91" s="1757"/>
      <c r="GVB91" s="1757"/>
      <c r="GVC91" s="1757"/>
      <c r="GVD91" s="1757"/>
      <c r="GVE91" s="1757"/>
      <c r="GVF91" s="1757"/>
      <c r="GVG91" s="1757"/>
      <c r="GVH91" s="1757"/>
      <c r="GVI91" s="1757"/>
      <c r="GVJ91" s="1757"/>
      <c r="GVK91" s="1757"/>
      <c r="GVL91" s="1757"/>
      <c r="GVM91" s="1757"/>
      <c r="GVN91" s="1757"/>
      <c r="GVO91" s="1757"/>
      <c r="GVP91" s="1757"/>
      <c r="GVQ91" s="1757"/>
      <c r="GVR91" s="1757"/>
      <c r="GVS91" s="1757"/>
      <c r="GVT91" s="1757"/>
      <c r="GVU91" s="1757"/>
      <c r="GVV91" s="1757"/>
      <c r="GVW91" s="1757"/>
      <c r="GVX91" s="1757"/>
      <c r="GVY91" s="1757"/>
      <c r="GVZ91" s="1757"/>
      <c r="GWA91" s="1757"/>
      <c r="GWB91" s="1757"/>
      <c r="GWC91" s="1757"/>
      <c r="GWD91" s="1757"/>
      <c r="GWE91" s="1757"/>
      <c r="GWF91" s="1757"/>
      <c r="GWG91" s="1757"/>
      <c r="GWH91" s="1757"/>
      <c r="GWI91" s="1757"/>
      <c r="GWJ91" s="1757"/>
      <c r="GWK91" s="1757"/>
      <c r="GWL91" s="1757"/>
      <c r="GWM91" s="1757"/>
      <c r="GWN91" s="1757"/>
      <c r="GWO91" s="1757"/>
      <c r="GWP91" s="1757"/>
      <c r="GWQ91" s="1757"/>
      <c r="GWR91" s="1757"/>
      <c r="GWS91" s="1757"/>
      <c r="GWT91" s="1757"/>
      <c r="GWU91" s="1757"/>
      <c r="GWV91" s="1757"/>
      <c r="GWW91" s="1757"/>
      <c r="GWX91" s="1757"/>
      <c r="GWY91" s="1757"/>
      <c r="GWZ91" s="1757"/>
      <c r="GXA91" s="1757"/>
      <c r="GXB91" s="1757"/>
      <c r="GXC91" s="1757"/>
      <c r="GXD91" s="1757"/>
      <c r="GXE91" s="1757"/>
      <c r="GXF91" s="1757"/>
      <c r="GXG91" s="1757"/>
      <c r="GXH91" s="1757"/>
      <c r="GXI91" s="1757"/>
      <c r="GXJ91" s="1757"/>
      <c r="GXK91" s="1757"/>
      <c r="GXL91" s="1757"/>
      <c r="GXM91" s="1757"/>
      <c r="GXN91" s="1757"/>
      <c r="GXO91" s="1757"/>
      <c r="GXP91" s="1757"/>
      <c r="GXQ91" s="1757"/>
      <c r="GXR91" s="1757"/>
      <c r="GXS91" s="1757"/>
      <c r="GXT91" s="1757"/>
      <c r="GXU91" s="1757"/>
      <c r="GXV91" s="1757"/>
      <c r="GXW91" s="1757"/>
      <c r="GXX91" s="1757"/>
      <c r="GXY91" s="1757"/>
      <c r="GXZ91" s="1757"/>
      <c r="GYA91" s="1757"/>
      <c r="GYB91" s="1757"/>
      <c r="GYC91" s="1757"/>
      <c r="GYD91" s="1757"/>
      <c r="GYE91" s="1757"/>
      <c r="GYF91" s="1757"/>
      <c r="GYG91" s="1757"/>
      <c r="GYH91" s="1757"/>
      <c r="GYI91" s="1757"/>
      <c r="GYJ91" s="1757"/>
      <c r="GYK91" s="1757"/>
      <c r="GYL91" s="1757"/>
      <c r="GYM91" s="1757"/>
      <c r="GYN91" s="1757"/>
      <c r="GYO91" s="1757"/>
      <c r="GYP91" s="1757"/>
      <c r="GYQ91" s="1757"/>
      <c r="GYR91" s="1757"/>
      <c r="GYS91" s="1757"/>
      <c r="GYT91" s="1757"/>
      <c r="GYU91" s="1757"/>
      <c r="GYV91" s="1757"/>
      <c r="GYW91" s="1757"/>
      <c r="GYX91" s="1757"/>
      <c r="GYY91" s="1757"/>
      <c r="GYZ91" s="1757"/>
      <c r="GZA91" s="1757"/>
      <c r="GZB91" s="1757"/>
      <c r="GZC91" s="1757"/>
      <c r="GZD91" s="1757"/>
      <c r="GZE91" s="1757"/>
      <c r="GZF91" s="1757"/>
      <c r="GZG91" s="1757"/>
      <c r="GZH91" s="1757"/>
      <c r="GZI91" s="1757"/>
      <c r="GZJ91" s="1757"/>
      <c r="GZK91" s="1757"/>
      <c r="GZL91" s="1757"/>
      <c r="GZM91" s="1757"/>
      <c r="GZN91" s="1757"/>
      <c r="GZO91" s="1757"/>
      <c r="GZP91" s="1757"/>
      <c r="GZQ91" s="1757"/>
      <c r="GZR91" s="1757"/>
      <c r="GZS91" s="1757"/>
      <c r="GZT91" s="1757"/>
      <c r="GZU91" s="1757"/>
      <c r="GZV91" s="1757"/>
      <c r="GZW91" s="1757"/>
      <c r="GZX91" s="1757"/>
      <c r="GZY91" s="1757"/>
      <c r="GZZ91" s="1757"/>
      <c r="HAA91" s="1757"/>
      <c r="HAB91" s="1757"/>
      <c r="HAC91" s="1757"/>
      <c r="HAD91" s="1757"/>
      <c r="HAE91" s="1757"/>
      <c r="HAF91" s="1757"/>
      <c r="HAG91" s="1757"/>
      <c r="HAH91" s="1757"/>
      <c r="HAI91" s="1757"/>
      <c r="HAJ91" s="1757"/>
      <c r="HAK91" s="1757"/>
      <c r="HAL91" s="1757"/>
      <c r="HAM91" s="1757"/>
      <c r="HAN91" s="1757"/>
      <c r="HAO91" s="1757"/>
      <c r="HAP91" s="1757"/>
      <c r="HAQ91" s="1757"/>
      <c r="HAR91" s="1757"/>
      <c r="HAS91" s="1757"/>
      <c r="HAT91" s="1757"/>
      <c r="HAU91" s="1757"/>
      <c r="HAV91" s="1757"/>
      <c r="HAW91" s="1757"/>
      <c r="HAX91" s="1757"/>
      <c r="HAY91" s="1757"/>
      <c r="HAZ91" s="1757"/>
      <c r="HBA91" s="1757"/>
      <c r="HBB91" s="1757"/>
      <c r="HBC91" s="1757"/>
      <c r="HBD91" s="1757"/>
      <c r="HBE91" s="1757"/>
      <c r="HBF91" s="1757"/>
      <c r="HBG91" s="1757"/>
      <c r="HBH91" s="1757"/>
      <c r="HBI91" s="1757"/>
      <c r="HBJ91" s="1757"/>
      <c r="HBK91" s="1757"/>
      <c r="HBL91" s="1757"/>
      <c r="HBM91" s="1757"/>
      <c r="HBN91" s="1757"/>
      <c r="HBO91" s="1757"/>
      <c r="HBP91" s="1757"/>
      <c r="HBQ91" s="1757"/>
      <c r="HBR91" s="1757"/>
      <c r="HBS91" s="1757"/>
      <c r="HBT91" s="1757"/>
      <c r="HBU91" s="1757"/>
      <c r="HBV91" s="1757"/>
      <c r="HBW91" s="1757"/>
      <c r="HBX91" s="1757"/>
      <c r="HBY91" s="1757"/>
      <c r="HBZ91" s="1757"/>
      <c r="HCA91" s="1757"/>
      <c r="HCB91" s="1757"/>
      <c r="HCC91" s="1757"/>
      <c r="HCD91" s="1757"/>
      <c r="HCE91" s="1757"/>
      <c r="HCF91" s="1757"/>
      <c r="HCG91" s="1757"/>
      <c r="HCH91" s="1757"/>
      <c r="HCI91" s="1757"/>
      <c r="HCJ91" s="1757"/>
      <c r="HCK91" s="1757"/>
      <c r="HCL91" s="1757"/>
      <c r="HCM91" s="1757"/>
      <c r="HCN91" s="1757"/>
      <c r="HCO91" s="1757"/>
      <c r="HCP91" s="1757"/>
      <c r="HCQ91" s="1757"/>
      <c r="HCR91" s="1757"/>
      <c r="HCS91" s="1757"/>
      <c r="HCT91" s="1757"/>
      <c r="HCU91" s="1757"/>
      <c r="HCV91" s="1757"/>
      <c r="HCW91" s="1757"/>
      <c r="HCX91" s="1757"/>
      <c r="HCY91" s="1757"/>
      <c r="HCZ91" s="1757"/>
      <c r="HDA91" s="1757"/>
      <c r="HDB91" s="1757"/>
      <c r="HDC91" s="1757"/>
      <c r="HDD91" s="1757"/>
      <c r="HDE91" s="1757"/>
      <c r="HDF91" s="1757"/>
      <c r="HDG91" s="1757"/>
      <c r="HDH91" s="1757"/>
      <c r="HDI91" s="1757"/>
      <c r="HDJ91" s="1757"/>
      <c r="HDK91" s="1757"/>
      <c r="HDL91" s="1757"/>
      <c r="HDM91" s="1757"/>
      <c r="HDN91" s="1757"/>
      <c r="HDO91" s="1757"/>
      <c r="HDP91" s="1757"/>
      <c r="HDQ91" s="1757"/>
      <c r="HDR91" s="1757"/>
      <c r="HDS91" s="1757"/>
      <c r="HDT91" s="1757"/>
      <c r="HDU91" s="1757"/>
      <c r="HDV91" s="1757"/>
      <c r="HDW91" s="1757"/>
      <c r="HDX91" s="1757"/>
      <c r="HDY91" s="1757"/>
      <c r="HDZ91" s="1757"/>
      <c r="HEA91" s="1757"/>
      <c r="HEB91" s="1757"/>
      <c r="HEC91" s="1757"/>
      <c r="HED91" s="1757"/>
      <c r="HEE91" s="1757"/>
      <c r="HEF91" s="1757"/>
      <c r="HEG91" s="1757"/>
      <c r="HEH91" s="1757"/>
      <c r="HEI91" s="1757"/>
      <c r="HEJ91" s="1757"/>
      <c r="HEK91" s="1757"/>
      <c r="HEL91" s="1757"/>
      <c r="HEM91" s="1757"/>
      <c r="HEN91" s="1757"/>
      <c r="HEO91" s="1757"/>
      <c r="HEP91" s="1757"/>
      <c r="HEQ91" s="1757"/>
      <c r="HER91" s="1757"/>
      <c r="HES91" s="1757"/>
      <c r="HET91" s="1757"/>
      <c r="HEU91" s="1757"/>
      <c r="HEV91" s="1757"/>
      <c r="HEW91" s="1757"/>
      <c r="HEX91" s="1757"/>
      <c r="HEY91" s="1757"/>
      <c r="HEZ91" s="1757"/>
      <c r="HFA91" s="1757"/>
      <c r="HFB91" s="1757"/>
      <c r="HFC91" s="1757"/>
      <c r="HFD91" s="1757"/>
      <c r="HFE91" s="1757"/>
      <c r="HFF91" s="1757"/>
      <c r="HFG91" s="1757"/>
      <c r="HFH91" s="1757"/>
      <c r="HFI91" s="1757"/>
      <c r="HFJ91" s="1757"/>
      <c r="HFK91" s="1757"/>
      <c r="HFL91" s="1757"/>
      <c r="HFM91" s="1757"/>
      <c r="HFN91" s="1757"/>
      <c r="HFO91" s="1757"/>
      <c r="HFP91" s="1757"/>
      <c r="HFQ91" s="1757"/>
      <c r="HFR91" s="1757"/>
      <c r="HFS91" s="1757"/>
      <c r="HFT91" s="1757"/>
      <c r="HFU91" s="1757"/>
      <c r="HFV91" s="1757"/>
      <c r="HFW91" s="1757"/>
      <c r="HFX91" s="1757"/>
      <c r="HFY91" s="1757"/>
      <c r="HFZ91" s="1757"/>
      <c r="HGA91" s="1757"/>
      <c r="HGB91" s="1757"/>
      <c r="HGC91" s="1757"/>
      <c r="HGD91" s="1757"/>
      <c r="HGE91" s="1757"/>
      <c r="HGF91" s="1757"/>
      <c r="HGG91" s="1757"/>
      <c r="HGH91" s="1757"/>
      <c r="HGI91" s="1757"/>
      <c r="HGJ91" s="1757"/>
      <c r="HGK91" s="1757"/>
      <c r="HGL91" s="1757"/>
      <c r="HGM91" s="1757"/>
      <c r="HGN91" s="1757"/>
      <c r="HGO91" s="1757"/>
      <c r="HGP91" s="1757"/>
      <c r="HGQ91" s="1757"/>
      <c r="HGR91" s="1757"/>
      <c r="HGS91" s="1757"/>
      <c r="HGT91" s="1757"/>
      <c r="HGU91" s="1757"/>
      <c r="HGV91" s="1757"/>
      <c r="HGW91" s="1757"/>
      <c r="HGX91" s="1757"/>
      <c r="HGY91" s="1757"/>
      <c r="HGZ91" s="1757"/>
      <c r="HHA91" s="1757"/>
      <c r="HHB91" s="1757"/>
      <c r="HHC91" s="1757"/>
      <c r="HHD91" s="1757"/>
      <c r="HHE91" s="1757"/>
      <c r="HHF91" s="1757"/>
      <c r="HHG91" s="1757"/>
      <c r="HHH91" s="1757"/>
      <c r="HHI91" s="1757"/>
      <c r="HHJ91" s="1757"/>
      <c r="HHK91" s="1757"/>
      <c r="HHL91" s="1757"/>
      <c r="HHM91" s="1757"/>
      <c r="HHN91" s="1757"/>
      <c r="HHO91" s="1757"/>
      <c r="HHP91" s="1757"/>
      <c r="HHQ91" s="1757"/>
      <c r="HHR91" s="1757"/>
      <c r="HHS91" s="1757"/>
      <c r="HHT91" s="1757"/>
      <c r="HHU91" s="1757"/>
      <c r="HHV91" s="1757"/>
      <c r="HHW91" s="1757"/>
      <c r="HHX91" s="1757"/>
      <c r="HHY91" s="1757"/>
      <c r="HHZ91" s="1757"/>
      <c r="HIA91" s="1757"/>
      <c r="HIB91" s="1757"/>
      <c r="HIC91" s="1757"/>
      <c r="HID91" s="1757"/>
      <c r="HIE91" s="1757"/>
      <c r="HIF91" s="1757"/>
      <c r="HIG91" s="1757"/>
      <c r="HIH91" s="1757"/>
      <c r="HII91" s="1757"/>
      <c r="HIJ91" s="1757"/>
      <c r="HIK91" s="1757"/>
      <c r="HIL91" s="1757"/>
      <c r="HIM91" s="1757"/>
      <c r="HIN91" s="1757"/>
      <c r="HIO91" s="1757"/>
      <c r="HIP91" s="1757"/>
      <c r="HIQ91" s="1757"/>
      <c r="HIR91" s="1757"/>
      <c r="HIS91" s="1757"/>
      <c r="HIT91" s="1757"/>
      <c r="HIU91" s="1757"/>
      <c r="HIV91" s="1757"/>
      <c r="HIW91" s="1757"/>
      <c r="HIX91" s="1757"/>
      <c r="HIY91" s="1757"/>
      <c r="HIZ91" s="1757"/>
      <c r="HJA91" s="1757"/>
      <c r="HJB91" s="1757"/>
      <c r="HJC91" s="1757"/>
      <c r="HJD91" s="1757"/>
      <c r="HJE91" s="1757"/>
      <c r="HJF91" s="1757"/>
      <c r="HJG91" s="1757"/>
      <c r="HJH91" s="1757"/>
      <c r="HJI91" s="1757"/>
      <c r="HJJ91" s="1757"/>
      <c r="HJK91" s="1757"/>
      <c r="HJL91" s="1757"/>
      <c r="HJM91" s="1757"/>
      <c r="HJN91" s="1757"/>
      <c r="HJO91" s="1757"/>
      <c r="HJP91" s="1757"/>
      <c r="HJQ91" s="1757"/>
      <c r="HJR91" s="1757"/>
      <c r="HJS91" s="1757"/>
      <c r="HJT91" s="1757"/>
      <c r="HJU91" s="1757"/>
      <c r="HJV91" s="1757"/>
      <c r="HJW91" s="1757"/>
      <c r="HJX91" s="1757"/>
      <c r="HJY91" s="1757"/>
      <c r="HJZ91" s="1757"/>
      <c r="HKA91" s="1757"/>
      <c r="HKB91" s="1757"/>
      <c r="HKC91" s="1757"/>
      <c r="HKD91" s="1757"/>
      <c r="HKE91" s="1757"/>
      <c r="HKF91" s="1757"/>
      <c r="HKG91" s="1757"/>
      <c r="HKH91" s="1757"/>
      <c r="HKI91" s="1757"/>
      <c r="HKJ91" s="1757"/>
      <c r="HKK91" s="1757"/>
      <c r="HKL91" s="1757"/>
      <c r="HKM91" s="1757"/>
      <c r="HKN91" s="1757"/>
      <c r="HKO91" s="1757"/>
      <c r="HKP91" s="1757"/>
      <c r="HKQ91" s="1757"/>
      <c r="HKR91" s="1757"/>
      <c r="HKS91" s="1757"/>
      <c r="HKT91" s="1757"/>
      <c r="HKU91" s="1757"/>
      <c r="HKV91" s="1757"/>
      <c r="HKW91" s="1757"/>
      <c r="HKX91" s="1757"/>
      <c r="HKY91" s="1757"/>
      <c r="HKZ91" s="1757"/>
      <c r="HLA91" s="1757"/>
      <c r="HLB91" s="1757"/>
      <c r="HLC91" s="1757"/>
      <c r="HLD91" s="1757"/>
      <c r="HLE91" s="1757"/>
      <c r="HLF91" s="1757"/>
      <c r="HLG91" s="1757"/>
      <c r="HLH91" s="1757"/>
      <c r="HLI91" s="1757"/>
      <c r="HLJ91" s="1757"/>
      <c r="HLK91" s="1757"/>
      <c r="HLL91" s="1757"/>
      <c r="HLM91" s="1757"/>
      <c r="HLN91" s="1757"/>
      <c r="HLO91" s="1757"/>
      <c r="HLP91" s="1757"/>
      <c r="HLQ91" s="1757"/>
      <c r="HLR91" s="1757"/>
      <c r="HLS91" s="1757"/>
      <c r="HLT91" s="1757"/>
      <c r="HLU91" s="1757"/>
      <c r="HLV91" s="1757"/>
      <c r="HLW91" s="1757"/>
      <c r="HLX91" s="1757"/>
      <c r="HLY91" s="1757"/>
      <c r="HLZ91" s="1757"/>
      <c r="HMA91" s="1757"/>
      <c r="HMB91" s="1757"/>
      <c r="HMC91" s="1757"/>
      <c r="HMD91" s="1757"/>
      <c r="HME91" s="1757"/>
      <c r="HMF91" s="1757"/>
      <c r="HMG91" s="1757"/>
      <c r="HMH91" s="1757"/>
      <c r="HMI91" s="1757"/>
      <c r="HMJ91" s="1757"/>
      <c r="HMK91" s="1757"/>
      <c r="HML91" s="1757"/>
      <c r="HMM91" s="1757"/>
      <c r="HMN91" s="1757"/>
      <c r="HMO91" s="1757"/>
      <c r="HMP91" s="1757"/>
      <c r="HMQ91" s="1757"/>
      <c r="HMR91" s="1757"/>
      <c r="HMS91" s="1757"/>
      <c r="HMT91" s="1757"/>
      <c r="HMU91" s="1757"/>
      <c r="HMV91" s="1757"/>
      <c r="HMW91" s="1757"/>
      <c r="HMX91" s="1757"/>
      <c r="HMY91" s="1757"/>
      <c r="HMZ91" s="1757"/>
      <c r="HNA91" s="1757"/>
      <c r="HNB91" s="1757"/>
      <c r="HNC91" s="1757"/>
      <c r="HND91" s="1757"/>
      <c r="HNE91" s="1757"/>
      <c r="HNF91" s="1757"/>
      <c r="HNG91" s="1757"/>
      <c r="HNH91" s="1757"/>
      <c r="HNI91" s="1757"/>
      <c r="HNJ91" s="1757"/>
      <c r="HNK91" s="1757"/>
      <c r="HNL91" s="1757"/>
      <c r="HNM91" s="1757"/>
      <c r="HNN91" s="1757"/>
      <c r="HNO91" s="1757"/>
      <c r="HNP91" s="1757"/>
      <c r="HNQ91" s="1757"/>
      <c r="HNR91" s="1757"/>
      <c r="HNS91" s="1757"/>
      <c r="HNT91" s="1757"/>
      <c r="HNU91" s="1757"/>
      <c r="HNV91" s="1757"/>
      <c r="HNW91" s="1757"/>
      <c r="HNX91" s="1757"/>
      <c r="HNY91" s="1757"/>
      <c r="HNZ91" s="1757"/>
      <c r="HOA91" s="1757"/>
      <c r="HOB91" s="1757"/>
      <c r="HOC91" s="1757"/>
      <c r="HOD91" s="1757"/>
      <c r="HOE91" s="1757"/>
      <c r="HOF91" s="1757"/>
      <c r="HOG91" s="1757"/>
      <c r="HOH91" s="1757"/>
      <c r="HOI91" s="1757"/>
      <c r="HOJ91" s="1757"/>
      <c r="HOK91" s="1757"/>
      <c r="HOL91" s="1757"/>
      <c r="HOM91" s="1757"/>
      <c r="HON91" s="1757"/>
      <c r="HOO91" s="1757"/>
      <c r="HOP91" s="1757"/>
      <c r="HOQ91" s="1757"/>
      <c r="HOR91" s="1757"/>
      <c r="HOS91" s="1757"/>
      <c r="HOT91" s="1757"/>
      <c r="HOU91" s="1757"/>
      <c r="HOV91" s="1757"/>
      <c r="HOW91" s="1757"/>
      <c r="HOX91" s="1757"/>
      <c r="HOY91" s="1757"/>
      <c r="HOZ91" s="1757"/>
      <c r="HPA91" s="1757"/>
      <c r="HPB91" s="1757"/>
      <c r="HPC91" s="1757"/>
      <c r="HPD91" s="1757"/>
      <c r="HPE91" s="1757"/>
      <c r="HPF91" s="1757"/>
      <c r="HPG91" s="1757"/>
      <c r="HPH91" s="1757"/>
      <c r="HPI91" s="1757"/>
      <c r="HPJ91" s="1757"/>
      <c r="HPK91" s="1757"/>
      <c r="HPL91" s="1757"/>
      <c r="HPM91" s="1757"/>
      <c r="HPN91" s="1757"/>
      <c r="HPO91" s="1757"/>
      <c r="HPP91" s="1757"/>
      <c r="HPQ91" s="1757"/>
      <c r="HPR91" s="1757"/>
      <c r="HPS91" s="1757"/>
      <c r="HPT91" s="1757"/>
      <c r="HPU91" s="1757"/>
      <c r="HPV91" s="1757"/>
      <c r="HPW91" s="1757"/>
      <c r="HPX91" s="1757"/>
      <c r="HPY91" s="1757"/>
      <c r="HPZ91" s="1757"/>
      <c r="HQA91" s="1757"/>
      <c r="HQB91" s="1757"/>
      <c r="HQC91" s="1757"/>
      <c r="HQD91" s="1757"/>
      <c r="HQE91" s="1757"/>
      <c r="HQF91" s="1757"/>
      <c r="HQG91" s="1757"/>
      <c r="HQH91" s="1757"/>
      <c r="HQI91" s="1757"/>
      <c r="HQJ91" s="1757"/>
      <c r="HQK91" s="1757"/>
      <c r="HQL91" s="1757"/>
      <c r="HQM91" s="1757"/>
      <c r="HQN91" s="1757"/>
      <c r="HQO91" s="1757"/>
      <c r="HQP91" s="1757"/>
      <c r="HQQ91" s="1757"/>
      <c r="HQR91" s="1757"/>
      <c r="HQS91" s="1757"/>
      <c r="HQT91" s="1757"/>
      <c r="HQU91" s="1757"/>
      <c r="HQV91" s="1757"/>
      <c r="HQW91" s="1757"/>
      <c r="HQX91" s="1757"/>
      <c r="HQY91" s="1757"/>
      <c r="HQZ91" s="1757"/>
      <c r="HRA91" s="1757"/>
      <c r="HRB91" s="1757"/>
      <c r="HRC91" s="1757"/>
      <c r="HRD91" s="1757"/>
      <c r="HRE91" s="1757"/>
      <c r="HRF91" s="1757"/>
      <c r="HRG91" s="1757"/>
      <c r="HRH91" s="1757"/>
      <c r="HRI91" s="1757"/>
      <c r="HRJ91" s="1757"/>
      <c r="HRK91" s="1757"/>
      <c r="HRL91" s="1757"/>
      <c r="HRM91" s="1757"/>
      <c r="HRN91" s="1757"/>
      <c r="HRO91" s="1757"/>
      <c r="HRP91" s="1757"/>
      <c r="HRQ91" s="1757"/>
      <c r="HRR91" s="1757"/>
      <c r="HRS91" s="1757"/>
      <c r="HRT91" s="1757"/>
      <c r="HRU91" s="1757"/>
      <c r="HRV91" s="1757"/>
      <c r="HRW91" s="1757"/>
      <c r="HRX91" s="1757"/>
      <c r="HRY91" s="1757"/>
      <c r="HRZ91" s="1757"/>
      <c r="HSA91" s="1757"/>
      <c r="HSB91" s="1757"/>
      <c r="HSC91" s="1757"/>
      <c r="HSD91" s="1757"/>
      <c r="HSE91" s="1757"/>
      <c r="HSF91" s="1757"/>
      <c r="HSG91" s="1757"/>
      <c r="HSH91" s="1757"/>
      <c r="HSI91" s="1757"/>
      <c r="HSJ91" s="1757"/>
      <c r="HSK91" s="1757"/>
      <c r="HSL91" s="1757"/>
      <c r="HSM91" s="1757"/>
      <c r="HSN91" s="1757"/>
      <c r="HSO91" s="1757"/>
      <c r="HSP91" s="1757"/>
      <c r="HSQ91" s="1757"/>
      <c r="HSR91" s="1757"/>
      <c r="HSS91" s="1757"/>
      <c r="HST91" s="1757"/>
      <c r="HSU91" s="1757"/>
      <c r="HSV91" s="1757"/>
      <c r="HSW91" s="1757"/>
      <c r="HSX91" s="1757"/>
      <c r="HSY91" s="1757"/>
      <c r="HSZ91" s="1757"/>
      <c r="HTA91" s="1757"/>
      <c r="HTB91" s="1757"/>
      <c r="HTC91" s="1757"/>
      <c r="HTD91" s="1757"/>
      <c r="HTE91" s="1757"/>
      <c r="HTF91" s="1757"/>
      <c r="HTG91" s="1757"/>
      <c r="HTH91" s="1757"/>
      <c r="HTI91" s="1757"/>
      <c r="HTJ91" s="1757"/>
      <c r="HTK91" s="1757"/>
      <c r="HTL91" s="1757"/>
      <c r="HTM91" s="1757"/>
      <c r="HTN91" s="1757"/>
      <c r="HTO91" s="1757"/>
      <c r="HTP91" s="1757"/>
      <c r="HTQ91" s="1757"/>
      <c r="HTR91" s="1757"/>
      <c r="HTS91" s="1757"/>
      <c r="HTT91" s="1757"/>
      <c r="HTU91" s="1757"/>
      <c r="HTV91" s="1757"/>
      <c r="HTW91" s="1757"/>
      <c r="HTX91" s="1757"/>
      <c r="HTY91" s="1757"/>
      <c r="HTZ91" s="1757"/>
      <c r="HUA91" s="1757"/>
      <c r="HUB91" s="1757"/>
      <c r="HUC91" s="1757"/>
      <c r="HUD91" s="1757"/>
      <c r="HUE91" s="1757"/>
      <c r="HUF91" s="1757"/>
      <c r="HUG91" s="1757"/>
      <c r="HUH91" s="1757"/>
      <c r="HUI91" s="1757"/>
      <c r="HUJ91" s="1757"/>
      <c r="HUK91" s="1757"/>
      <c r="HUL91" s="1757"/>
      <c r="HUM91" s="1757"/>
      <c r="HUN91" s="1757"/>
      <c r="HUO91" s="1757"/>
      <c r="HUP91" s="1757"/>
      <c r="HUQ91" s="1757"/>
      <c r="HUR91" s="1757"/>
      <c r="HUS91" s="1757"/>
      <c r="HUT91" s="1757"/>
      <c r="HUU91" s="1757"/>
      <c r="HUV91" s="1757"/>
      <c r="HUW91" s="1757"/>
      <c r="HUX91" s="1757"/>
      <c r="HUY91" s="1757"/>
      <c r="HUZ91" s="1757"/>
      <c r="HVA91" s="1757"/>
      <c r="HVB91" s="1757"/>
      <c r="HVC91" s="1757"/>
      <c r="HVD91" s="1757"/>
      <c r="HVE91" s="1757"/>
      <c r="HVF91" s="1757"/>
      <c r="HVG91" s="1757"/>
      <c r="HVH91" s="1757"/>
      <c r="HVI91" s="1757"/>
      <c r="HVJ91" s="1757"/>
      <c r="HVK91" s="1757"/>
      <c r="HVL91" s="1757"/>
      <c r="HVM91" s="1757"/>
      <c r="HVN91" s="1757"/>
      <c r="HVO91" s="1757"/>
      <c r="HVP91" s="1757"/>
      <c r="HVQ91" s="1757"/>
      <c r="HVR91" s="1757"/>
      <c r="HVS91" s="1757"/>
      <c r="HVT91" s="1757"/>
      <c r="HVU91" s="1757"/>
      <c r="HVV91" s="1757"/>
      <c r="HVW91" s="1757"/>
      <c r="HVX91" s="1757"/>
      <c r="HVY91" s="1757"/>
      <c r="HVZ91" s="1757"/>
      <c r="HWA91" s="1757"/>
      <c r="HWB91" s="1757"/>
      <c r="HWC91" s="1757"/>
      <c r="HWD91" s="1757"/>
      <c r="HWE91" s="1757"/>
      <c r="HWF91" s="1757"/>
      <c r="HWG91" s="1757"/>
      <c r="HWH91" s="1757"/>
      <c r="HWI91" s="1757"/>
      <c r="HWJ91" s="1757"/>
      <c r="HWK91" s="1757"/>
      <c r="HWL91" s="1757"/>
      <c r="HWM91" s="1757"/>
      <c r="HWN91" s="1757"/>
      <c r="HWO91" s="1757"/>
      <c r="HWP91" s="1757"/>
      <c r="HWQ91" s="1757"/>
      <c r="HWR91" s="1757"/>
      <c r="HWS91" s="1757"/>
      <c r="HWT91" s="1757"/>
      <c r="HWU91" s="1757"/>
      <c r="HWV91" s="1757"/>
      <c r="HWW91" s="1757"/>
      <c r="HWX91" s="1757"/>
      <c r="HWY91" s="1757"/>
      <c r="HWZ91" s="1757"/>
      <c r="HXA91" s="1757"/>
      <c r="HXB91" s="1757"/>
      <c r="HXC91" s="1757"/>
      <c r="HXD91" s="1757"/>
      <c r="HXE91" s="1757"/>
      <c r="HXF91" s="1757"/>
      <c r="HXG91" s="1757"/>
      <c r="HXH91" s="1757"/>
      <c r="HXI91" s="1757"/>
      <c r="HXJ91" s="1757"/>
      <c r="HXK91" s="1757"/>
      <c r="HXL91" s="1757"/>
      <c r="HXM91" s="1757"/>
      <c r="HXN91" s="1757"/>
      <c r="HXO91" s="1757"/>
      <c r="HXP91" s="1757"/>
      <c r="HXQ91" s="1757"/>
      <c r="HXR91" s="1757"/>
      <c r="HXS91" s="1757"/>
      <c r="HXT91" s="1757"/>
      <c r="HXU91" s="1757"/>
      <c r="HXV91" s="1757"/>
      <c r="HXW91" s="1757"/>
      <c r="HXX91" s="1757"/>
      <c r="HXY91" s="1757"/>
      <c r="HXZ91" s="1757"/>
      <c r="HYA91" s="1757"/>
      <c r="HYB91" s="1757"/>
      <c r="HYC91" s="1757"/>
      <c r="HYD91" s="1757"/>
      <c r="HYE91" s="1757"/>
      <c r="HYF91" s="1757"/>
      <c r="HYG91" s="1757"/>
      <c r="HYH91" s="1757"/>
      <c r="HYI91" s="1757"/>
      <c r="HYJ91" s="1757"/>
      <c r="HYK91" s="1757"/>
      <c r="HYL91" s="1757"/>
      <c r="HYM91" s="1757"/>
      <c r="HYN91" s="1757"/>
      <c r="HYO91" s="1757"/>
      <c r="HYP91" s="1757"/>
      <c r="HYQ91" s="1757"/>
      <c r="HYR91" s="1757"/>
      <c r="HYS91" s="1757"/>
      <c r="HYT91" s="1757"/>
      <c r="HYU91" s="1757"/>
      <c r="HYV91" s="1757"/>
      <c r="HYW91" s="1757"/>
      <c r="HYX91" s="1757"/>
      <c r="HYY91" s="1757"/>
      <c r="HYZ91" s="1757"/>
      <c r="HZA91" s="1757"/>
      <c r="HZB91" s="1757"/>
      <c r="HZC91" s="1757"/>
      <c r="HZD91" s="1757"/>
      <c r="HZE91" s="1757"/>
      <c r="HZF91" s="1757"/>
      <c r="HZG91" s="1757"/>
      <c r="HZH91" s="1757"/>
      <c r="HZI91" s="1757"/>
      <c r="HZJ91" s="1757"/>
      <c r="HZK91" s="1757"/>
      <c r="HZL91" s="1757"/>
      <c r="HZM91" s="1757"/>
      <c r="HZN91" s="1757"/>
      <c r="HZO91" s="1757"/>
      <c r="HZP91" s="1757"/>
      <c r="HZQ91" s="1757"/>
      <c r="HZR91" s="1757"/>
      <c r="HZS91" s="1757"/>
      <c r="HZT91" s="1757"/>
      <c r="HZU91" s="1757"/>
      <c r="HZV91" s="1757"/>
      <c r="HZW91" s="1757"/>
      <c r="HZX91" s="1757"/>
      <c r="HZY91" s="1757"/>
      <c r="HZZ91" s="1757"/>
      <c r="IAA91" s="1757"/>
      <c r="IAB91" s="1757"/>
      <c r="IAC91" s="1757"/>
      <c r="IAD91" s="1757"/>
      <c r="IAE91" s="1757"/>
      <c r="IAF91" s="1757"/>
      <c r="IAG91" s="1757"/>
      <c r="IAH91" s="1757"/>
      <c r="IAI91" s="1757"/>
      <c r="IAJ91" s="1757"/>
      <c r="IAK91" s="1757"/>
      <c r="IAL91" s="1757"/>
      <c r="IAM91" s="1757"/>
      <c r="IAN91" s="1757"/>
      <c r="IAO91" s="1757"/>
      <c r="IAP91" s="1757"/>
      <c r="IAQ91" s="1757"/>
      <c r="IAR91" s="1757"/>
      <c r="IAS91" s="1757"/>
      <c r="IAT91" s="1757"/>
      <c r="IAU91" s="1757"/>
      <c r="IAV91" s="1757"/>
      <c r="IAW91" s="1757"/>
      <c r="IAX91" s="1757"/>
      <c r="IAY91" s="1757"/>
      <c r="IAZ91" s="1757"/>
      <c r="IBA91" s="1757"/>
      <c r="IBB91" s="1757"/>
      <c r="IBC91" s="1757"/>
      <c r="IBD91" s="1757"/>
      <c r="IBE91" s="1757"/>
      <c r="IBF91" s="1757"/>
      <c r="IBG91" s="1757"/>
      <c r="IBH91" s="1757"/>
      <c r="IBI91" s="1757"/>
      <c r="IBJ91" s="1757"/>
      <c r="IBK91" s="1757"/>
      <c r="IBL91" s="1757"/>
      <c r="IBM91" s="1757"/>
      <c r="IBN91" s="1757"/>
      <c r="IBO91" s="1757"/>
      <c r="IBP91" s="1757"/>
      <c r="IBQ91" s="1757"/>
      <c r="IBR91" s="1757"/>
      <c r="IBS91" s="1757"/>
      <c r="IBT91" s="1757"/>
      <c r="IBU91" s="1757"/>
      <c r="IBV91" s="1757"/>
      <c r="IBW91" s="1757"/>
      <c r="IBX91" s="1757"/>
      <c r="IBY91" s="1757"/>
      <c r="IBZ91" s="1757"/>
      <c r="ICA91" s="1757"/>
      <c r="ICB91" s="1757"/>
      <c r="ICC91" s="1757"/>
      <c r="ICD91" s="1757"/>
      <c r="ICE91" s="1757"/>
      <c r="ICF91" s="1757"/>
      <c r="ICG91" s="1757"/>
      <c r="ICH91" s="1757"/>
      <c r="ICI91" s="1757"/>
      <c r="ICJ91" s="1757"/>
      <c r="ICK91" s="1757"/>
      <c r="ICL91" s="1757"/>
      <c r="ICM91" s="1757"/>
      <c r="ICN91" s="1757"/>
      <c r="ICO91" s="1757"/>
      <c r="ICP91" s="1757"/>
      <c r="ICQ91" s="1757"/>
      <c r="ICR91" s="1757"/>
      <c r="ICS91" s="1757"/>
      <c r="ICT91" s="1757"/>
      <c r="ICU91" s="1757"/>
      <c r="ICV91" s="1757"/>
      <c r="ICW91" s="1757"/>
      <c r="ICX91" s="1757"/>
      <c r="ICY91" s="1757"/>
      <c r="ICZ91" s="1757"/>
      <c r="IDA91" s="1757"/>
      <c r="IDB91" s="1757"/>
      <c r="IDC91" s="1757"/>
      <c r="IDD91" s="1757"/>
      <c r="IDE91" s="1757"/>
      <c r="IDF91" s="1757"/>
      <c r="IDG91" s="1757"/>
      <c r="IDH91" s="1757"/>
      <c r="IDI91" s="1757"/>
      <c r="IDJ91" s="1757"/>
      <c r="IDK91" s="1757"/>
      <c r="IDL91" s="1757"/>
      <c r="IDM91" s="1757"/>
      <c r="IDN91" s="1757"/>
      <c r="IDO91" s="1757"/>
      <c r="IDP91" s="1757"/>
      <c r="IDQ91" s="1757"/>
      <c r="IDR91" s="1757"/>
      <c r="IDS91" s="1757"/>
      <c r="IDT91" s="1757"/>
      <c r="IDU91" s="1757"/>
      <c r="IDV91" s="1757"/>
      <c r="IDW91" s="1757"/>
      <c r="IDX91" s="1757"/>
      <c r="IDY91" s="1757"/>
      <c r="IDZ91" s="1757"/>
      <c r="IEA91" s="1757"/>
      <c r="IEB91" s="1757"/>
      <c r="IEC91" s="1757"/>
      <c r="IED91" s="1757"/>
      <c r="IEE91" s="1757"/>
      <c r="IEF91" s="1757"/>
      <c r="IEG91" s="1757"/>
      <c r="IEH91" s="1757"/>
      <c r="IEI91" s="1757"/>
      <c r="IEJ91" s="1757"/>
      <c r="IEK91" s="1757"/>
      <c r="IEL91" s="1757"/>
      <c r="IEM91" s="1757"/>
      <c r="IEN91" s="1757"/>
      <c r="IEO91" s="1757"/>
      <c r="IEP91" s="1757"/>
      <c r="IEQ91" s="1757"/>
      <c r="IER91" s="1757"/>
      <c r="IES91" s="1757"/>
      <c r="IET91" s="1757"/>
      <c r="IEU91" s="1757"/>
      <c r="IEV91" s="1757"/>
      <c r="IEW91" s="1757"/>
      <c r="IEX91" s="1757"/>
      <c r="IEY91" s="1757"/>
      <c r="IEZ91" s="1757"/>
      <c r="IFA91" s="1757"/>
      <c r="IFB91" s="1757"/>
      <c r="IFC91" s="1757"/>
      <c r="IFD91" s="1757"/>
      <c r="IFE91" s="1757"/>
      <c r="IFF91" s="1757"/>
      <c r="IFG91" s="1757"/>
      <c r="IFH91" s="1757"/>
      <c r="IFI91" s="1757"/>
      <c r="IFJ91" s="1757"/>
      <c r="IFK91" s="1757"/>
      <c r="IFL91" s="1757"/>
      <c r="IFM91" s="1757"/>
      <c r="IFN91" s="1757"/>
      <c r="IFO91" s="1757"/>
      <c r="IFP91" s="1757"/>
      <c r="IFQ91" s="1757"/>
      <c r="IFR91" s="1757"/>
      <c r="IFS91" s="1757"/>
      <c r="IFT91" s="1757"/>
      <c r="IFU91" s="1757"/>
      <c r="IFV91" s="1757"/>
      <c r="IFW91" s="1757"/>
      <c r="IFX91" s="1757"/>
      <c r="IFY91" s="1757"/>
      <c r="IFZ91" s="1757"/>
      <c r="IGA91" s="1757"/>
      <c r="IGB91" s="1757"/>
      <c r="IGC91" s="1757"/>
      <c r="IGD91" s="1757"/>
      <c r="IGE91" s="1757"/>
      <c r="IGF91" s="1757"/>
      <c r="IGG91" s="1757"/>
      <c r="IGH91" s="1757"/>
      <c r="IGI91" s="1757"/>
      <c r="IGJ91" s="1757"/>
      <c r="IGK91" s="1757"/>
      <c r="IGL91" s="1757"/>
      <c r="IGM91" s="1757"/>
      <c r="IGN91" s="1757"/>
      <c r="IGO91" s="1757"/>
      <c r="IGP91" s="1757"/>
      <c r="IGQ91" s="1757"/>
      <c r="IGR91" s="1757"/>
      <c r="IGS91" s="1757"/>
      <c r="IGT91" s="1757"/>
      <c r="IGU91" s="1757"/>
      <c r="IGV91" s="1757"/>
      <c r="IGW91" s="1757"/>
      <c r="IGX91" s="1757"/>
      <c r="IGY91" s="1757"/>
      <c r="IGZ91" s="1757"/>
      <c r="IHA91" s="1757"/>
      <c r="IHB91" s="1757"/>
      <c r="IHC91" s="1757"/>
      <c r="IHD91" s="1757"/>
      <c r="IHE91" s="1757"/>
      <c r="IHF91" s="1757"/>
      <c r="IHG91" s="1757"/>
      <c r="IHH91" s="1757"/>
      <c r="IHI91" s="1757"/>
      <c r="IHJ91" s="1757"/>
      <c r="IHK91" s="1757"/>
      <c r="IHL91" s="1757"/>
      <c r="IHM91" s="1757"/>
      <c r="IHN91" s="1757"/>
      <c r="IHO91" s="1757"/>
      <c r="IHP91" s="1757"/>
      <c r="IHQ91" s="1757"/>
      <c r="IHR91" s="1757"/>
      <c r="IHS91" s="1757"/>
      <c r="IHT91" s="1757"/>
      <c r="IHU91" s="1757"/>
      <c r="IHV91" s="1757"/>
      <c r="IHW91" s="1757"/>
      <c r="IHX91" s="1757"/>
      <c r="IHY91" s="1757"/>
      <c r="IHZ91" s="1757"/>
      <c r="IIA91" s="1757"/>
      <c r="IIB91" s="1757"/>
      <c r="IIC91" s="1757"/>
      <c r="IID91" s="1757"/>
      <c r="IIE91" s="1757"/>
      <c r="IIF91" s="1757"/>
      <c r="IIG91" s="1757"/>
      <c r="IIH91" s="1757"/>
      <c r="III91" s="1757"/>
      <c r="IIJ91" s="1757"/>
      <c r="IIK91" s="1757"/>
      <c r="IIL91" s="1757"/>
      <c r="IIM91" s="1757"/>
      <c r="IIN91" s="1757"/>
      <c r="IIO91" s="1757"/>
      <c r="IIP91" s="1757"/>
      <c r="IIQ91" s="1757"/>
      <c r="IIR91" s="1757"/>
      <c r="IIS91" s="1757"/>
      <c r="IIT91" s="1757"/>
      <c r="IIU91" s="1757"/>
      <c r="IIV91" s="1757"/>
      <c r="IIW91" s="1757"/>
      <c r="IIX91" s="1757"/>
      <c r="IIY91" s="1757"/>
      <c r="IIZ91" s="1757"/>
      <c r="IJA91" s="1757"/>
      <c r="IJB91" s="1757"/>
      <c r="IJC91" s="1757"/>
      <c r="IJD91" s="1757"/>
      <c r="IJE91" s="1757"/>
      <c r="IJF91" s="1757"/>
      <c r="IJG91" s="1757"/>
      <c r="IJH91" s="1757"/>
      <c r="IJI91" s="1757"/>
      <c r="IJJ91" s="1757"/>
      <c r="IJK91" s="1757"/>
      <c r="IJL91" s="1757"/>
      <c r="IJM91" s="1757"/>
      <c r="IJN91" s="1757"/>
      <c r="IJO91" s="1757"/>
      <c r="IJP91" s="1757"/>
      <c r="IJQ91" s="1757"/>
      <c r="IJR91" s="1757"/>
      <c r="IJS91" s="1757"/>
      <c r="IJT91" s="1757"/>
      <c r="IJU91" s="1757"/>
      <c r="IJV91" s="1757"/>
      <c r="IJW91" s="1757"/>
      <c r="IJX91" s="1757"/>
      <c r="IJY91" s="1757"/>
      <c r="IJZ91" s="1757"/>
      <c r="IKA91" s="1757"/>
      <c r="IKB91" s="1757"/>
      <c r="IKC91" s="1757"/>
      <c r="IKD91" s="1757"/>
      <c r="IKE91" s="1757"/>
      <c r="IKF91" s="1757"/>
      <c r="IKG91" s="1757"/>
      <c r="IKH91" s="1757"/>
      <c r="IKI91" s="1757"/>
      <c r="IKJ91" s="1757"/>
      <c r="IKK91" s="1757"/>
      <c r="IKL91" s="1757"/>
      <c r="IKM91" s="1757"/>
      <c r="IKN91" s="1757"/>
      <c r="IKO91" s="1757"/>
      <c r="IKP91" s="1757"/>
      <c r="IKQ91" s="1757"/>
      <c r="IKR91" s="1757"/>
      <c r="IKS91" s="1757"/>
      <c r="IKT91" s="1757"/>
      <c r="IKU91" s="1757"/>
      <c r="IKV91" s="1757"/>
      <c r="IKW91" s="1757"/>
      <c r="IKX91" s="1757"/>
      <c r="IKY91" s="1757"/>
      <c r="IKZ91" s="1757"/>
      <c r="ILA91" s="1757"/>
      <c r="ILB91" s="1757"/>
      <c r="ILC91" s="1757"/>
      <c r="ILD91" s="1757"/>
      <c r="ILE91" s="1757"/>
      <c r="ILF91" s="1757"/>
      <c r="ILG91" s="1757"/>
      <c r="ILH91" s="1757"/>
      <c r="ILI91" s="1757"/>
      <c r="ILJ91" s="1757"/>
      <c r="ILK91" s="1757"/>
      <c r="ILL91" s="1757"/>
      <c r="ILM91" s="1757"/>
      <c r="ILN91" s="1757"/>
      <c r="ILO91" s="1757"/>
      <c r="ILP91" s="1757"/>
      <c r="ILQ91" s="1757"/>
      <c r="ILR91" s="1757"/>
      <c r="ILS91" s="1757"/>
      <c r="ILT91" s="1757"/>
      <c r="ILU91" s="1757"/>
      <c r="ILV91" s="1757"/>
      <c r="ILW91" s="1757"/>
      <c r="ILX91" s="1757"/>
      <c r="ILY91" s="1757"/>
      <c r="ILZ91" s="1757"/>
      <c r="IMA91" s="1757"/>
      <c r="IMB91" s="1757"/>
      <c r="IMC91" s="1757"/>
      <c r="IMD91" s="1757"/>
      <c r="IME91" s="1757"/>
      <c r="IMF91" s="1757"/>
      <c r="IMG91" s="1757"/>
      <c r="IMH91" s="1757"/>
      <c r="IMI91" s="1757"/>
      <c r="IMJ91" s="1757"/>
      <c r="IMK91" s="1757"/>
      <c r="IML91" s="1757"/>
      <c r="IMM91" s="1757"/>
      <c r="IMN91" s="1757"/>
      <c r="IMO91" s="1757"/>
      <c r="IMP91" s="1757"/>
      <c r="IMQ91" s="1757"/>
      <c r="IMR91" s="1757"/>
      <c r="IMS91" s="1757"/>
      <c r="IMT91" s="1757"/>
      <c r="IMU91" s="1757"/>
      <c r="IMV91" s="1757"/>
      <c r="IMW91" s="1757"/>
      <c r="IMX91" s="1757"/>
      <c r="IMY91" s="1757"/>
      <c r="IMZ91" s="1757"/>
      <c r="INA91" s="1757"/>
      <c r="INB91" s="1757"/>
      <c r="INC91" s="1757"/>
      <c r="IND91" s="1757"/>
      <c r="INE91" s="1757"/>
      <c r="INF91" s="1757"/>
      <c r="ING91" s="1757"/>
      <c r="INH91" s="1757"/>
      <c r="INI91" s="1757"/>
      <c r="INJ91" s="1757"/>
      <c r="INK91" s="1757"/>
      <c r="INL91" s="1757"/>
      <c r="INM91" s="1757"/>
      <c r="INN91" s="1757"/>
      <c r="INO91" s="1757"/>
      <c r="INP91" s="1757"/>
      <c r="INQ91" s="1757"/>
      <c r="INR91" s="1757"/>
      <c r="INS91" s="1757"/>
      <c r="INT91" s="1757"/>
      <c r="INU91" s="1757"/>
      <c r="INV91" s="1757"/>
      <c r="INW91" s="1757"/>
      <c r="INX91" s="1757"/>
      <c r="INY91" s="1757"/>
      <c r="INZ91" s="1757"/>
      <c r="IOA91" s="1757"/>
      <c r="IOB91" s="1757"/>
      <c r="IOC91" s="1757"/>
      <c r="IOD91" s="1757"/>
      <c r="IOE91" s="1757"/>
      <c r="IOF91" s="1757"/>
      <c r="IOG91" s="1757"/>
      <c r="IOH91" s="1757"/>
      <c r="IOI91" s="1757"/>
      <c r="IOJ91" s="1757"/>
      <c r="IOK91" s="1757"/>
      <c r="IOL91" s="1757"/>
      <c r="IOM91" s="1757"/>
      <c r="ION91" s="1757"/>
      <c r="IOO91" s="1757"/>
      <c r="IOP91" s="1757"/>
      <c r="IOQ91" s="1757"/>
      <c r="IOR91" s="1757"/>
      <c r="IOS91" s="1757"/>
      <c r="IOT91" s="1757"/>
      <c r="IOU91" s="1757"/>
      <c r="IOV91" s="1757"/>
      <c r="IOW91" s="1757"/>
      <c r="IOX91" s="1757"/>
      <c r="IOY91" s="1757"/>
      <c r="IOZ91" s="1757"/>
      <c r="IPA91" s="1757"/>
      <c r="IPB91" s="1757"/>
      <c r="IPC91" s="1757"/>
      <c r="IPD91" s="1757"/>
      <c r="IPE91" s="1757"/>
      <c r="IPF91" s="1757"/>
      <c r="IPG91" s="1757"/>
      <c r="IPH91" s="1757"/>
      <c r="IPI91" s="1757"/>
      <c r="IPJ91" s="1757"/>
      <c r="IPK91" s="1757"/>
      <c r="IPL91" s="1757"/>
      <c r="IPM91" s="1757"/>
      <c r="IPN91" s="1757"/>
      <c r="IPO91" s="1757"/>
      <c r="IPP91" s="1757"/>
      <c r="IPQ91" s="1757"/>
      <c r="IPR91" s="1757"/>
      <c r="IPS91" s="1757"/>
      <c r="IPT91" s="1757"/>
      <c r="IPU91" s="1757"/>
      <c r="IPV91" s="1757"/>
      <c r="IPW91" s="1757"/>
      <c r="IPX91" s="1757"/>
      <c r="IPY91" s="1757"/>
      <c r="IPZ91" s="1757"/>
      <c r="IQA91" s="1757"/>
      <c r="IQB91" s="1757"/>
      <c r="IQC91" s="1757"/>
      <c r="IQD91" s="1757"/>
      <c r="IQE91" s="1757"/>
      <c r="IQF91" s="1757"/>
      <c r="IQG91" s="1757"/>
      <c r="IQH91" s="1757"/>
      <c r="IQI91" s="1757"/>
      <c r="IQJ91" s="1757"/>
      <c r="IQK91" s="1757"/>
      <c r="IQL91" s="1757"/>
      <c r="IQM91" s="1757"/>
      <c r="IQN91" s="1757"/>
      <c r="IQO91" s="1757"/>
      <c r="IQP91" s="1757"/>
      <c r="IQQ91" s="1757"/>
      <c r="IQR91" s="1757"/>
      <c r="IQS91" s="1757"/>
      <c r="IQT91" s="1757"/>
      <c r="IQU91" s="1757"/>
      <c r="IQV91" s="1757"/>
      <c r="IQW91" s="1757"/>
      <c r="IQX91" s="1757"/>
      <c r="IQY91" s="1757"/>
      <c r="IQZ91" s="1757"/>
      <c r="IRA91" s="1757"/>
      <c r="IRB91" s="1757"/>
      <c r="IRC91" s="1757"/>
      <c r="IRD91" s="1757"/>
      <c r="IRE91" s="1757"/>
      <c r="IRF91" s="1757"/>
      <c r="IRG91" s="1757"/>
      <c r="IRH91" s="1757"/>
      <c r="IRI91" s="1757"/>
      <c r="IRJ91" s="1757"/>
      <c r="IRK91" s="1757"/>
      <c r="IRL91" s="1757"/>
      <c r="IRM91" s="1757"/>
      <c r="IRN91" s="1757"/>
      <c r="IRO91" s="1757"/>
      <c r="IRP91" s="1757"/>
      <c r="IRQ91" s="1757"/>
      <c r="IRR91" s="1757"/>
      <c r="IRS91" s="1757"/>
      <c r="IRT91" s="1757"/>
      <c r="IRU91" s="1757"/>
      <c r="IRV91" s="1757"/>
      <c r="IRW91" s="1757"/>
      <c r="IRX91" s="1757"/>
      <c r="IRY91" s="1757"/>
      <c r="IRZ91" s="1757"/>
      <c r="ISA91" s="1757"/>
      <c r="ISB91" s="1757"/>
      <c r="ISC91" s="1757"/>
      <c r="ISD91" s="1757"/>
      <c r="ISE91" s="1757"/>
      <c r="ISF91" s="1757"/>
      <c r="ISG91" s="1757"/>
      <c r="ISH91" s="1757"/>
      <c r="ISI91" s="1757"/>
      <c r="ISJ91" s="1757"/>
      <c r="ISK91" s="1757"/>
      <c r="ISL91" s="1757"/>
      <c r="ISM91" s="1757"/>
      <c r="ISN91" s="1757"/>
      <c r="ISO91" s="1757"/>
      <c r="ISP91" s="1757"/>
      <c r="ISQ91" s="1757"/>
      <c r="ISR91" s="1757"/>
      <c r="ISS91" s="1757"/>
      <c r="IST91" s="1757"/>
      <c r="ISU91" s="1757"/>
      <c r="ISV91" s="1757"/>
      <c r="ISW91" s="1757"/>
      <c r="ISX91" s="1757"/>
      <c r="ISY91" s="1757"/>
      <c r="ISZ91" s="1757"/>
      <c r="ITA91" s="1757"/>
      <c r="ITB91" s="1757"/>
      <c r="ITC91" s="1757"/>
      <c r="ITD91" s="1757"/>
      <c r="ITE91" s="1757"/>
      <c r="ITF91" s="1757"/>
      <c r="ITG91" s="1757"/>
      <c r="ITH91" s="1757"/>
      <c r="ITI91" s="1757"/>
      <c r="ITJ91" s="1757"/>
      <c r="ITK91" s="1757"/>
      <c r="ITL91" s="1757"/>
      <c r="ITM91" s="1757"/>
      <c r="ITN91" s="1757"/>
      <c r="ITO91" s="1757"/>
      <c r="ITP91" s="1757"/>
      <c r="ITQ91" s="1757"/>
      <c r="ITR91" s="1757"/>
      <c r="ITS91" s="1757"/>
      <c r="ITT91" s="1757"/>
      <c r="ITU91" s="1757"/>
      <c r="ITV91" s="1757"/>
      <c r="ITW91" s="1757"/>
      <c r="ITX91" s="1757"/>
      <c r="ITY91" s="1757"/>
      <c r="ITZ91" s="1757"/>
      <c r="IUA91" s="1757"/>
      <c r="IUB91" s="1757"/>
      <c r="IUC91" s="1757"/>
      <c r="IUD91" s="1757"/>
      <c r="IUE91" s="1757"/>
      <c r="IUF91" s="1757"/>
      <c r="IUG91" s="1757"/>
      <c r="IUH91" s="1757"/>
      <c r="IUI91" s="1757"/>
      <c r="IUJ91" s="1757"/>
      <c r="IUK91" s="1757"/>
      <c r="IUL91" s="1757"/>
      <c r="IUM91" s="1757"/>
      <c r="IUN91" s="1757"/>
      <c r="IUO91" s="1757"/>
      <c r="IUP91" s="1757"/>
      <c r="IUQ91" s="1757"/>
      <c r="IUR91" s="1757"/>
      <c r="IUS91" s="1757"/>
      <c r="IUT91" s="1757"/>
      <c r="IUU91" s="1757"/>
      <c r="IUV91" s="1757"/>
      <c r="IUW91" s="1757"/>
      <c r="IUX91" s="1757"/>
      <c r="IUY91" s="1757"/>
      <c r="IUZ91" s="1757"/>
      <c r="IVA91" s="1757"/>
      <c r="IVB91" s="1757"/>
      <c r="IVC91" s="1757"/>
      <c r="IVD91" s="1757"/>
      <c r="IVE91" s="1757"/>
      <c r="IVF91" s="1757"/>
      <c r="IVG91" s="1757"/>
      <c r="IVH91" s="1757"/>
      <c r="IVI91" s="1757"/>
      <c r="IVJ91" s="1757"/>
      <c r="IVK91" s="1757"/>
      <c r="IVL91" s="1757"/>
      <c r="IVM91" s="1757"/>
      <c r="IVN91" s="1757"/>
      <c r="IVO91" s="1757"/>
      <c r="IVP91" s="1757"/>
      <c r="IVQ91" s="1757"/>
      <c r="IVR91" s="1757"/>
      <c r="IVS91" s="1757"/>
      <c r="IVT91" s="1757"/>
      <c r="IVU91" s="1757"/>
      <c r="IVV91" s="1757"/>
      <c r="IVW91" s="1757"/>
      <c r="IVX91" s="1757"/>
      <c r="IVY91" s="1757"/>
      <c r="IVZ91" s="1757"/>
      <c r="IWA91" s="1757"/>
      <c r="IWB91" s="1757"/>
      <c r="IWC91" s="1757"/>
      <c r="IWD91" s="1757"/>
      <c r="IWE91" s="1757"/>
      <c r="IWF91" s="1757"/>
      <c r="IWG91" s="1757"/>
      <c r="IWH91" s="1757"/>
      <c r="IWI91" s="1757"/>
      <c r="IWJ91" s="1757"/>
      <c r="IWK91" s="1757"/>
      <c r="IWL91" s="1757"/>
      <c r="IWM91" s="1757"/>
      <c r="IWN91" s="1757"/>
      <c r="IWO91" s="1757"/>
      <c r="IWP91" s="1757"/>
      <c r="IWQ91" s="1757"/>
      <c r="IWR91" s="1757"/>
      <c r="IWS91" s="1757"/>
      <c r="IWT91" s="1757"/>
      <c r="IWU91" s="1757"/>
      <c r="IWV91" s="1757"/>
      <c r="IWW91" s="1757"/>
      <c r="IWX91" s="1757"/>
      <c r="IWY91" s="1757"/>
      <c r="IWZ91" s="1757"/>
      <c r="IXA91" s="1757"/>
      <c r="IXB91" s="1757"/>
      <c r="IXC91" s="1757"/>
      <c r="IXD91" s="1757"/>
      <c r="IXE91" s="1757"/>
      <c r="IXF91" s="1757"/>
      <c r="IXG91" s="1757"/>
      <c r="IXH91" s="1757"/>
      <c r="IXI91" s="1757"/>
      <c r="IXJ91" s="1757"/>
      <c r="IXK91" s="1757"/>
      <c r="IXL91" s="1757"/>
      <c r="IXM91" s="1757"/>
      <c r="IXN91" s="1757"/>
      <c r="IXO91" s="1757"/>
      <c r="IXP91" s="1757"/>
      <c r="IXQ91" s="1757"/>
      <c r="IXR91" s="1757"/>
      <c r="IXS91" s="1757"/>
      <c r="IXT91" s="1757"/>
      <c r="IXU91" s="1757"/>
      <c r="IXV91" s="1757"/>
      <c r="IXW91" s="1757"/>
      <c r="IXX91" s="1757"/>
      <c r="IXY91" s="1757"/>
      <c r="IXZ91" s="1757"/>
      <c r="IYA91" s="1757"/>
      <c r="IYB91" s="1757"/>
      <c r="IYC91" s="1757"/>
      <c r="IYD91" s="1757"/>
      <c r="IYE91" s="1757"/>
      <c r="IYF91" s="1757"/>
      <c r="IYG91" s="1757"/>
      <c r="IYH91" s="1757"/>
      <c r="IYI91" s="1757"/>
      <c r="IYJ91" s="1757"/>
      <c r="IYK91" s="1757"/>
      <c r="IYL91" s="1757"/>
      <c r="IYM91" s="1757"/>
      <c r="IYN91" s="1757"/>
      <c r="IYO91" s="1757"/>
      <c r="IYP91" s="1757"/>
      <c r="IYQ91" s="1757"/>
      <c r="IYR91" s="1757"/>
      <c r="IYS91" s="1757"/>
      <c r="IYT91" s="1757"/>
      <c r="IYU91" s="1757"/>
      <c r="IYV91" s="1757"/>
      <c r="IYW91" s="1757"/>
      <c r="IYX91" s="1757"/>
      <c r="IYY91" s="1757"/>
      <c r="IYZ91" s="1757"/>
      <c r="IZA91" s="1757"/>
      <c r="IZB91" s="1757"/>
      <c r="IZC91" s="1757"/>
      <c r="IZD91" s="1757"/>
      <c r="IZE91" s="1757"/>
      <c r="IZF91" s="1757"/>
      <c r="IZG91" s="1757"/>
      <c r="IZH91" s="1757"/>
      <c r="IZI91" s="1757"/>
      <c r="IZJ91" s="1757"/>
      <c r="IZK91" s="1757"/>
      <c r="IZL91" s="1757"/>
      <c r="IZM91" s="1757"/>
      <c r="IZN91" s="1757"/>
      <c r="IZO91" s="1757"/>
      <c r="IZP91" s="1757"/>
      <c r="IZQ91" s="1757"/>
      <c r="IZR91" s="1757"/>
      <c r="IZS91" s="1757"/>
      <c r="IZT91" s="1757"/>
      <c r="IZU91" s="1757"/>
      <c r="IZV91" s="1757"/>
      <c r="IZW91" s="1757"/>
      <c r="IZX91" s="1757"/>
      <c r="IZY91" s="1757"/>
      <c r="IZZ91" s="1757"/>
      <c r="JAA91" s="1757"/>
      <c r="JAB91" s="1757"/>
      <c r="JAC91" s="1757"/>
      <c r="JAD91" s="1757"/>
      <c r="JAE91" s="1757"/>
      <c r="JAF91" s="1757"/>
      <c r="JAG91" s="1757"/>
      <c r="JAH91" s="1757"/>
      <c r="JAI91" s="1757"/>
      <c r="JAJ91" s="1757"/>
      <c r="JAK91" s="1757"/>
      <c r="JAL91" s="1757"/>
      <c r="JAM91" s="1757"/>
      <c r="JAN91" s="1757"/>
      <c r="JAO91" s="1757"/>
      <c r="JAP91" s="1757"/>
      <c r="JAQ91" s="1757"/>
      <c r="JAR91" s="1757"/>
      <c r="JAS91" s="1757"/>
      <c r="JAT91" s="1757"/>
      <c r="JAU91" s="1757"/>
      <c r="JAV91" s="1757"/>
      <c r="JAW91" s="1757"/>
      <c r="JAX91" s="1757"/>
      <c r="JAY91" s="1757"/>
      <c r="JAZ91" s="1757"/>
      <c r="JBA91" s="1757"/>
      <c r="JBB91" s="1757"/>
      <c r="JBC91" s="1757"/>
      <c r="JBD91" s="1757"/>
      <c r="JBE91" s="1757"/>
      <c r="JBF91" s="1757"/>
      <c r="JBG91" s="1757"/>
      <c r="JBH91" s="1757"/>
      <c r="JBI91" s="1757"/>
      <c r="JBJ91" s="1757"/>
      <c r="JBK91" s="1757"/>
      <c r="JBL91" s="1757"/>
      <c r="JBM91" s="1757"/>
      <c r="JBN91" s="1757"/>
      <c r="JBO91" s="1757"/>
      <c r="JBP91" s="1757"/>
      <c r="JBQ91" s="1757"/>
      <c r="JBR91" s="1757"/>
      <c r="JBS91" s="1757"/>
      <c r="JBT91" s="1757"/>
      <c r="JBU91" s="1757"/>
      <c r="JBV91" s="1757"/>
      <c r="JBW91" s="1757"/>
      <c r="JBX91" s="1757"/>
      <c r="JBY91" s="1757"/>
      <c r="JBZ91" s="1757"/>
      <c r="JCA91" s="1757"/>
      <c r="JCB91" s="1757"/>
      <c r="JCC91" s="1757"/>
      <c r="JCD91" s="1757"/>
      <c r="JCE91" s="1757"/>
      <c r="JCF91" s="1757"/>
      <c r="JCG91" s="1757"/>
      <c r="JCH91" s="1757"/>
      <c r="JCI91" s="1757"/>
      <c r="JCJ91" s="1757"/>
      <c r="JCK91" s="1757"/>
      <c r="JCL91" s="1757"/>
      <c r="JCM91" s="1757"/>
      <c r="JCN91" s="1757"/>
      <c r="JCO91" s="1757"/>
      <c r="JCP91" s="1757"/>
      <c r="JCQ91" s="1757"/>
      <c r="JCR91" s="1757"/>
      <c r="JCS91" s="1757"/>
      <c r="JCT91" s="1757"/>
      <c r="JCU91" s="1757"/>
      <c r="JCV91" s="1757"/>
      <c r="JCW91" s="1757"/>
      <c r="JCX91" s="1757"/>
      <c r="JCY91" s="1757"/>
      <c r="JCZ91" s="1757"/>
      <c r="JDA91" s="1757"/>
      <c r="JDB91" s="1757"/>
      <c r="JDC91" s="1757"/>
      <c r="JDD91" s="1757"/>
      <c r="JDE91" s="1757"/>
      <c r="JDF91" s="1757"/>
      <c r="JDG91" s="1757"/>
      <c r="JDH91" s="1757"/>
      <c r="JDI91" s="1757"/>
      <c r="JDJ91" s="1757"/>
      <c r="JDK91" s="1757"/>
      <c r="JDL91" s="1757"/>
      <c r="JDM91" s="1757"/>
      <c r="JDN91" s="1757"/>
      <c r="JDO91" s="1757"/>
      <c r="JDP91" s="1757"/>
      <c r="JDQ91" s="1757"/>
      <c r="JDR91" s="1757"/>
      <c r="JDS91" s="1757"/>
      <c r="JDT91" s="1757"/>
      <c r="JDU91" s="1757"/>
      <c r="JDV91" s="1757"/>
      <c r="JDW91" s="1757"/>
      <c r="JDX91" s="1757"/>
      <c r="JDY91" s="1757"/>
      <c r="JDZ91" s="1757"/>
      <c r="JEA91" s="1757"/>
      <c r="JEB91" s="1757"/>
      <c r="JEC91" s="1757"/>
      <c r="JED91" s="1757"/>
      <c r="JEE91" s="1757"/>
      <c r="JEF91" s="1757"/>
      <c r="JEG91" s="1757"/>
      <c r="JEH91" s="1757"/>
      <c r="JEI91" s="1757"/>
      <c r="JEJ91" s="1757"/>
      <c r="JEK91" s="1757"/>
      <c r="JEL91" s="1757"/>
      <c r="JEM91" s="1757"/>
      <c r="JEN91" s="1757"/>
      <c r="JEO91" s="1757"/>
      <c r="JEP91" s="1757"/>
      <c r="JEQ91" s="1757"/>
      <c r="JER91" s="1757"/>
      <c r="JES91" s="1757"/>
      <c r="JET91" s="1757"/>
      <c r="JEU91" s="1757"/>
      <c r="JEV91" s="1757"/>
      <c r="JEW91" s="1757"/>
      <c r="JEX91" s="1757"/>
      <c r="JEY91" s="1757"/>
      <c r="JEZ91" s="1757"/>
      <c r="JFA91" s="1757"/>
      <c r="JFB91" s="1757"/>
      <c r="JFC91" s="1757"/>
      <c r="JFD91" s="1757"/>
      <c r="JFE91" s="1757"/>
      <c r="JFF91" s="1757"/>
      <c r="JFG91" s="1757"/>
      <c r="JFH91" s="1757"/>
      <c r="JFI91" s="1757"/>
      <c r="JFJ91" s="1757"/>
      <c r="JFK91" s="1757"/>
      <c r="JFL91" s="1757"/>
      <c r="JFM91" s="1757"/>
      <c r="JFN91" s="1757"/>
      <c r="JFO91" s="1757"/>
      <c r="JFP91" s="1757"/>
      <c r="JFQ91" s="1757"/>
      <c r="JFR91" s="1757"/>
      <c r="JFS91" s="1757"/>
      <c r="JFT91" s="1757"/>
      <c r="JFU91" s="1757"/>
      <c r="JFV91" s="1757"/>
      <c r="JFW91" s="1757"/>
      <c r="JFX91" s="1757"/>
      <c r="JFY91" s="1757"/>
      <c r="JFZ91" s="1757"/>
      <c r="JGA91" s="1757"/>
      <c r="JGB91" s="1757"/>
      <c r="JGC91" s="1757"/>
      <c r="JGD91" s="1757"/>
      <c r="JGE91" s="1757"/>
      <c r="JGF91" s="1757"/>
      <c r="JGG91" s="1757"/>
      <c r="JGH91" s="1757"/>
      <c r="JGI91" s="1757"/>
      <c r="JGJ91" s="1757"/>
      <c r="JGK91" s="1757"/>
      <c r="JGL91" s="1757"/>
      <c r="JGM91" s="1757"/>
      <c r="JGN91" s="1757"/>
      <c r="JGO91" s="1757"/>
      <c r="JGP91" s="1757"/>
      <c r="JGQ91" s="1757"/>
      <c r="JGR91" s="1757"/>
      <c r="JGS91" s="1757"/>
      <c r="JGT91" s="1757"/>
      <c r="JGU91" s="1757"/>
      <c r="JGV91" s="1757"/>
      <c r="JGW91" s="1757"/>
      <c r="JGX91" s="1757"/>
      <c r="JGY91" s="1757"/>
      <c r="JGZ91" s="1757"/>
      <c r="JHA91" s="1757"/>
      <c r="JHB91" s="1757"/>
      <c r="JHC91" s="1757"/>
      <c r="JHD91" s="1757"/>
      <c r="JHE91" s="1757"/>
      <c r="JHF91" s="1757"/>
      <c r="JHG91" s="1757"/>
      <c r="JHH91" s="1757"/>
      <c r="JHI91" s="1757"/>
      <c r="JHJ91" s="1757"/>
      <c r="JHK91" s="1757"/>
      <c r="JHL91" s="1757"/>
      <c r="JHM91" s="1757"/>
      <c r="JHN91" s="1757"/>
      <c r="JHO91" s="1757"/>
      <c r="JHP91" s="1757"/>
      <c r="JHQ91" s="1757"/>
      <c r="JHR91" s="1757"/>
      <c r="JHS91" s="1757"/>
      <c r="JHT91" s="1757"/>
      <c r="JHU91" s="1757"/>
      <c r="JHV91" s="1757"/>
      <c r="JHW91" s="1757"/>
      <c r="JHX91" s="1757"/>
      <c r="JHY91" s="1757"/>
      <c r="JHZ91" s="1757"/>
      <c r="JIA91" s="1757"/>
      <c r="JIB91" s="1757"/>
      <c r="JIC91" s="1757"/>
      <c r="JID91" s="1757"/>
      <c r="JIE91" s="1757"/>
      <c r="JIF91" s="1757"/>
      <c r="JIG91" s="1757"/>
      <c r="JIH91" s="1757"/>
      <c r="JII91" s="1757"/>
      <c r="JIJ91" s="1757"/>
      <c r="JIK91" s="1757"/>
      <c r="JIL91" s="1757"/>
      <c r="JIM91" s="1757"/>
      <c r="JIN91" s="1757"/>
      <c r="JIO91" s="1757"/>
      <c r="JIP91" s="1757"/>
      <c r="JIQ91" s="1757"/>
      <c r="JIR91" s="1757"/>
      <c r="JIS91" s="1757"/>
      <c r="JIT91" s="1757"/>
      <c r="JIU91" s="1757"/>
      <c r="JIV91" s="1757"/>
      <c r="JIW91" s="1757"/>
      <c r="JIX91" s="1757"/>
      <c r="JIY91" s="1757"/>
      <c r="JIZ91" s="1757"/>
      <c r="JJA91" s="1757"/>
      <c r="JJB91" s="1757"/>
      <c r="JJC91" s="1757"/>
      <c r="JJD91" s="1757"/>
      <c r="JJE91" s="1757"/>
      <c r="JJF91" s="1757"/>
      <c r="JJG91" s="1757"/>
      <c r="JJH91" s="1757"/>
      <c r="JJI91" s="1757"/>
      <c r="JJJ91" s="1757"/>
      <c r="JJK91" s="1757"/>
      <c r="JJL91" s="1757"/>
      <c r="JJM91" s="1757"/>
      <c r="JJN91" s="1757"/>
      <c r="JJO91" s="1757"/>
      <c r="JJP91" s="1757"/>
      <c r="JJQ91" s="1757"/>
      <c r="JJR91" s="1757"/>
      <c r="JJS91" s="1757"/>
      <c r="JJT91" s="1757"/>
      <c r="JJU91" s="1757"/>
      <c r="JJV91" s="1757"/>
      <c r="JJW91" s="1757"/>
      <c r="JJX91" s="1757"/>
      <c r="JJY91" s="1757"/>
      <c r="JJZ91" s="1757"/>
      <c r="JKA91" s="1757"/>
      <c r="JKB91" s="1757"/>
      <c r="JKC91" s="1757"/>
      <c r="JKD91" s="1757"/>
      <c r="JKE91" s="1757"/>
      <c r="JKF91" s="1757"/>
      <c r="JKG91" s="1757"/>
      <c r="JKH91" s="1757"/>
      <c r="JKI91" s="1757"/>
      <c r="JKJ91" s="1757"/>
      <c r="JKK91" s="1757"/>
      <c r="JKL91" s="1757"/>
      <c r="JKM91" s="1757"/>
      <c r="JKN91" s="1757"/>
      <c r="JKO91" s="1757"/>
      <c r="JKP91" s="1757"/>
      <c r="JKQ91" s="1757"/>
      <c r="JKR91" s="1757"/>
      <c r="JKS91" s="1757"/>
      <c r="JKT91" s="1757"/>
      <c r="JKU91" s="1757"/>
      <c r="JKV91" s="1757"/>
      <c r="JKW91" s="1757"/>
      <c r="JKX91" s="1757"/>
      <c r="JKY91" s="1757"/>
      <c r="JKZ91" s="1757"/>
      <c r="JLA91" s="1757"/>
      <c r="JLB91" s="1757"/>
      <c r="JLC91" s="1757"/>
      <c r="JLD91" s="1757"/>
      <c r="JLE91" s="1757"/>
      <c r="JLF91" s="1757"/>
      <c r="JLG91" s="1757"/>
      <c r="JLH91" s="1757"/>
      <c r="JLI91" s="1757"/>
      <c r="JLJ91" s="1757"/>
      <c r="JLK91" s="1757"/>
      <c r="JLL91" s="1757"/>
      <c r="JLM91" s="1757"/>
      <c r="JLN91" s="1757"/>
      <c r="JLO91" s="1757"/>
      <c r="JLP91" s="1757"/>
      <c r="JLQ91" s="1757"/>
      <c r="JLR91" s="1757"/>
      <c r="JLS91" s="1757"/>
      <c r="JLT91" s="1757"/>
      <c r="JLU91" s="1757"/>
      <c r="JLV91" s="1757"/>
      <c r="JLW91" s="1757"/>
      <c r="JLX91" s="1757"/>
      <c r="JLY91" s="1757"/>
      <c r="JLZ91" s="1757"/>
      <c r="JMA91" s="1757"/>
      <c r="JMB91" s="1757"/>
      <c r="JMC91" s="1757"/>
      <c r="JMD91" s="1757"/>
      <c r="JME91" s="1757"/>
      <c r="JMF91" s="1757"/>
      <c r="JMG91" s="1757"/>
      <c r="JMH91" s="1757"/>
      <c r="JMI91" s="1757"/>
      <c r="JMJ91" s="1757"/>
      <c r="JMK91" s="1757"/>
      <c r="JML91" s="1757"/>
      <c r="JMM91" s="1757"/>
      <c r="JMN91" s="1757"/>
      <c r="JMO91" s="1757"/>
      <c r="JMP91" s="1757"/>
      <c r="JMQ91" s="1757"/>
      <c r="JMR91" s="1757"/>
      <c r="JMS91" s="1757"/>
      <c r="JMT91" s="1757"/>
      <c r="JMU91" s="1757"/>
      <c r="JMV91" s="1757"/>
      <c r="JMW91" s="1757"/>
      <c r="JMX91" s="1757"/>
      <c r="JMY91" s="1757"/>
      <c r="JMZ91" s="1757"/>
      <c r="JNA91" s="1757"/>
      <c r="JNB91" s="1757"/>
      <c r="JNC91" s="1757"/>
      <c r="JND91" s="1757"/>
      <c r="JNE91" s="1757"/>
      <c r="JNF91" s="1757"/>
      <c r="JNG91" s="1757"/>
      <c r="JNH91" s="1757"/>
      <c r="JNI91" s="1757"/>
      <c r="JNJ91" s="1757"/>
      <c r="JNK91" s="1757"/>
      <c r="JNL91" s="1757"/>
      <c r="JNM91" s="1757"/>
      <c r="JNN91" s="1757"/>
      <c r="JNO91" s="1757"/>
      <c r="JNP91" s="1757"/>
      <c r="JNQ91" s="1757"/>
      <c r="JNR91" s="1757"/>
      <c r="JNS91" s="1757"/>
      <c r="JNT91" s="1757"/>
      <c r="JNU91" s="1757"/>
      <c r="JNV91" s="1757"/>
      <c r="JNW91" s="1757"/>
      <c r="JNX91" s="1757"/>
      <c r="JNY91" s="1757"/>
      <c r="JNZ91" s="1757"/>
      <c r="JOA91" s="1757"/>
      <c r="JOB91" s="1757"/>
      <c r="JOC91" s="1757"/>
      <c r="JOD91" s="1757"/>
      <c r="JOE91" s="1757"/>
      <c r="JOF91" s="1757"/>
      <c r="JOG91" s="1757"/>
      <c r="JOH91" s="1757"/>
      <c r="JOI91" s="1757"/>
      <c r="JOJ91" s="1757"/>
      <c r="JOK91" s="1757"/>
      <c r="JOL91" s="1757"/>
      <c r="JOM91" s="1757"/>
      <c r="JON91" s="1757"/>
      <c r="JOO91" s="1757"/>
      <c r="JOP91" s="1757"/>
      <c r="JOQ91" s="1757"/>
      <c r="JOR91" s="1757"/>
      <c r="JOS91" s="1757"/>
      <c r="JOT91" s="1757"/>
      <c r="JOU91" s="1757"/>
      <c r="JOV91" s="1757"/>
      <c r="JOW91" s="1757"/>
      <c r="JOX91" s="1757"/>
      <c r="JOY91" s="1757"/>
      <c r="JOZ91" s="1757"/>
      <c r="JPA91" s="1757"/>
      <c r="JPB91" s="1757"/>
      <c r="JPC91" s="1757"/>
      <c r="JPD91" s="1757"/>
      <c r="JPE91" s="1757"/>
      <c r="JPF91" s="1757"/>
      <c r="JPG91" s="1757"/>
      <c r="JPH91" s="1757"/>
      <c r="JPI91" s="1757"/>
      <c r="JPJ91" s="1757"/>
      <c r="JPK91" s="1757"/>
      <c r="JPL91" s="1757"/>
      <c r="JPM91" s="1757"/>
      <c r="JPN91" s="1757"/>
      <c r="JPO91" s="1757"/>
      <c r="JPP91" s="1757"/>
      <c r="JPQ91" s="1757"/>
      <c r="JPR91" s="1757"/>
      <c r="JPS91" s="1757"/>
      <c r="JPT91" s="1757"/>
      <c r="JPU91" s="1757"/>
      <c r="JPV91" s="1757"/>
      <c r="JPW91" s="1757"/>
      <c r="JPX91" s="1757"/>
      <c r="JPY91" s="1757"/>
      <c r="JPZ91" s="1757"/>
      <c r="JQA91" s="1757"/>
      <c r="JQB91" s="1757"/>
      <c r="JQC91" s="1757"/>
      <c r="JQD91" s="1757"/>
      <c r="JQE91" s="1757"/>
      <c r="JQF91" s="1757"/>
      <c r="JQG91" s="1757"/>
      <c r="JQH91" s="1757"/>
      <c r="JQI91" s="1757"/>
      <c r="JQJ91" s="1757"/>
      <c r="JQK91" s="1757"/>
      <c r="JQL91" s="1757"/>
      <c r="JQM91" s="1757"/>
      <c r="JQN91" s="1757"/>
      <c r="JQO91" s="1757"/>
      <c r="JQP91" s="1757"/>
      <c r="JQQ91" s="1757"/>
      <c r="JQR91" s="1757"/>
      <c r="JQS91" s="1757"/>
      <c r="JQT91" s="1757"/>
      <c r="JQU91" s="1757"/>
      <c r="JQV91" s="1757"/>
      <c r="JQW91" s="1757"/>
      <c r="JQX91" s="1757"/>
      <c r="JQY91" s="1757"/>
      <c r="JQZ91" s="1757"/>
      <c r="JRA91" s="1757"/>
      <c r="JRB91" s="1757"/>
      <c r="JRC91" s="1757"/>
      <c r="JRD91" s="1757"/>
      <c r="JRE91" s="1757"/>
      <c r="JRF91" s="1757"/>
      <c r="JRG91" s="1757"/>
      <c r="JRH91" s="1757"/>
      <c r="JRI91" s="1757"/>
      <c r="JRJ91" s="1757"/>
      <c r="JRK91" s="1757"/>
      <c r="JRL91" s="1757"/>
      <c r="JRM91" s="1757"/>
      <c r="JRN91" s="1757"/>
      <c r="JRO91" s="1757"/>
      <c r="JRP91" s="1757"/>
      <c r="JRQ91" s="1757"/>
      <c r="JRR91" s="1757"/>
      <c r="JRS91" s="1757"/>
      <c r="JRT91" s="1757"/>
      <c r="JRU91" s="1757"/>
      <c r="JRV91" s="1757"/>
      <c r="JRW91" s="1757"/>
      <c r="JRX91" s="1757"/>
      <c r="JRY91" s="1757"/>
      <c r="JRZ91" s="1757"/>
      <c r="JSA91" s="1757"/>
      <c r="JSB91" s="1757"/>
      <c r="JSC91" s="1757"/>
      <c r="JSD91" s="1757"/>
      <c r="JSE91" s="1757"/>
      <c r="JSF91" s="1757"/>
      <c r="JSG91" s="1757"/>
      <c r="JSH91" s="1757"/>
      <c r="JSI91" s="1757"/>
      <c r="JSJ91" s="1757"/>
      <c r="JSK91" s="1757"/>
      <c r="JSL91" s="1757"/>
      <c r="JSM91" s="1757"/>
      <c r="JSN91" s="1757"/>
      <c r="JSO91" s="1757"/>
      <c r="JSP91" s="1757"/>
      <c r="JSQ91" s="1757"/>
      <c r="JSR91" s="1757"/>
      <c r="JSS91" s="1757"/>
      <c r="JST91" s="1757"/>
      <c r="JSU91" s="1757"/>
      <c r="JSV91" s="1757"/>
      <c r="JSW91" s="1757"/>
      <c r="JSX91" s="1757"/>
      <c r="JSY91" s="1757"/>
      <c r="JSZ91" s="1757"/>
      <c r="JTA91" s="1757"/>
      <c r="JTB91" s="1757"/>
      <c r="JTC91" s="1757"/>
      <c r="JTD91" s="1757"/>
      <c r="JTE91" s="1757"/>
      <c r="JTF91" s="1757"/>
      <c r="JTG91" s="1757"/>
      <c r="JTH91" s="1757"/>
      <c r="JTI91" s="1757"/>
      <c r="JTJ91" s="1757"/>
      <c r="JTK91" s="1757"/>
      <c r="JTL91" s="1757"/>
      <c r="JTM91" s="1757"/>
      <c r="JTN91" s="1757"/>
      <c r="JTO91" s="1757"/>
      <c r="JTP91" s="1757"/>
      <c r="JTQ91" s="1757"/>
      <c r="JTR91" s="1757"/>
      <c r="JTS91" s="1757"/>
      <c r="JTT91" s="1757"/>
      <c r="JTU91" s="1757"/>
      <c r="JTV91" s="1757"/>
      <c r="JTW91" s="1757"/>
      <c r="JTX91" s="1757"/>
      <c r="JTY91" s="1757"/>
      <c r="JTZ91" s="1757"/>
      <c r="JUA91" s="1757"/>
      <c r="JUB91" s="1757"/>
      <c r="JUC91" s="1757"/>
      <c r="JUD91" s="1757"/>
      <c r="JUE91" s="1757"/>
      <c r="JUF91" s="1757"/>
      <c r="JUG91" s="1757"/>
      <c r="JUH91" s="1757"/>
      <c r="JUI91" s="1757"/>
      <c r="JUJ91" s="1757"/>
      <c r="JUK91" s="1757"/>
      <c r="JUL91" s="1757"/>
      <c r="JUM91" s="1757"/>
      <c r="JUN91" s="1757"/>
      <c r="JUO91" s="1757"/>
      <c r="JUP91" s="1757"/>
      <c r="JUQ91" s="1757"/>
      <c r="JUR91" s="1757"/>
      <c r="JUS91" s="1757"/>
      <c r="JUT91" s="1757"/>
      <c r="JUU91" s="1757"/>
      <c r="JUV91" s="1757"/>
      <c r="JUW91" s="1757"/>
      <c r="JUX91" s="1757"/>
      <c r="JUY91" s="1757"/>
      <c r="JUZ91" s="1757"/>
      <c r="JVA91" s="1757"/>
      <c r="JVB91" s="1757"/>
      <c r="JVC91" s="1757"/>
      <c r="JVD91" s="1757"/>
      <c r="JVE91" s="1757"/>
      <c r="JVF91" s="1757"/>
      <c r="JVG91" s="1757"/>
      <c r="JVH91" s="1757"/>
      <c r="JVI91" s="1757"/>
      <c r="JVJ91" s="1757"/>
      <c r="JVK91" s="1757"/>
      <c r="JVL91" s="1757"/>
      <c r="JVM91" s="1757"/>
      <c r="JVN91" s="1757"/>
      <c r="JVO91" s="1757"/>
      <c r="JVP91" s="1757"/>
      <c r="JVQ91" s="1757"/>
      <c r="JVR91" s="1757"/>
      <c r="JVS91" s="1757"/>
      <c r="JVT91" s="1757"/>
      <c r="JVU91" s="1757"/>
      <c r="JVV91" s="1757"/>
      <c r="JVW91" s="1757"/>
      <c r="JVX91" s="1757"/>
      <c r="JVY91" s="1757"/>
      <c r="JVZ91" s="1757"/>
      <c r="JWA91" s="1757"/>
      <c r="JWB91" s="1757"/>
      <c r="JWC91" s="1757"/>
      <c r="JWD91" s="1757"/>
      <c r="JWE91" s="1757"/>
      <c r="JWF91" s="1757"/>
      <c r="JWG91" s="1757"/>
      <c r="JWH91" s="1757"/>
      <c r="JWI91" s="1757"/>
      <c r="JWJ91" s="1757"/>
      <c r="JWK91" s="1757"/>
      <c r="JWL91" s="1757"/>
      <c r="JWM91" s="1757"/>
      <c r="JWN91" s="1757"/>
      <c r="JWO91" s="1757"/>
      <c r="JWP91" s="1757"/>
      <c r="JWQ91" s="1757"/>
      <c r="JWR91" s="1757"/>
      <c r="JWS91" s="1757"/>
      <c r="JWT91" s="1757"/>
      <c r="JWU91" s="1757"/>
      <c r="JWV91" s="1757"/>
      <c r="JWW91" s="1757"/>
      <c r="JWX91" s="1757"/>
      <c r="JWY91" s="1757"/>
      <c r="JWZ91" s="1757"/>
      <c r="JXA91" s="1757"/>
      <c r="JXB91" s="1757"/>
      <c r="JXC91" s="1757"/>
      <c r="JXD91" s="1757"/>
      <c r="JXE91" s="1757"/>
      <c r="JXF91" s="1757"/>
      <c r="JXG91" s="1757"/>
      <c r="JXH91" s="1757"/>
      <c r="JXI91" s="1757"/>
      <c r="JXJ91" s="1757"/>
      <c r="JXK91" s="1757"/>
      <c r="JXL91" s="1757"/>
      <c r="JXM91" s="1757"/>
      <c r="JXN91" s="1757"/>
      <c r="JXO91" s="1757"/>
      <c r="JXP91" s="1757"/>
      <c r="JXQ91" s="1757"/>
      <c r="JXR91" s="1757"/>
      <c r="JXS91" s="1757"/>
      <c r="JXT91" s="1757"/>
      <c r="JXU91" s="1757"/>
      <c r="JXV91" s="1757"/>
      <c r="JXW91" s="1757"/>
      <c r="JXX91" s="1757"/>
      <c r="JXY91" s="1757"/>
      <c r="JXZ91" s="1757"/>
      <c r="JYA91" s="1757"/>
      <c r="JYB91" s="1757"/>
      <c r="JYC91" s="1757"/>
      <c r="JYD91" s="1757"/>
      <c r="JYE91" s="1757"/>
      <c r="JYF91" s="1757"/>
      <c r="JYG91" s="1757"/>
      <c r="JYH91" s="1757"/>
      <c r="JYI91" s="1757"/>
      <c r="JYJ91" s="1757"/>
      <c r="JYK91" s="1757"/>
      <c r="JYL91" s="1757"/>
      <c r="JYM91" s="1757"/>
      <c r="JYN91" s="1757"/>
      <c r="JYO91" s="1757"/>
      <c r="JYP91" s="1757"/>
      <c r="JYQ91" s="1757"/>
      <c r="JYR91" s="1757"/>
      <c r="JYS91" s="1757"/>
      <c r="JYT91" s="1757"/>
      <c r="JYU91" s="1757"/>
      <c r="JYV91" s="1757"/>
      <c r="JYW91" s="1757"/>
      <c r="JYX91" s="1757"/>
      <c r="JYY91" s="1757"/>
      <c r="JYZ91" s="1757"/>
      <c r="JZA91" s="1757"/>
      <c r="JZB91" s="1757"/>
      <c r="JZC91" s="1757"/>
      <c r="JZD91" s="1757"/>
      <c r="JZE91" s="1757"/>
      <c r="JZF91" s="1757"/>
      <c r="JZG91" s="1757"/>
      <c r="JZH91" s="1757"/>
      <c r="JZI91" s="1757"/>
      <c r="JZJ91" s="1757"/>
      <c r="JZK91" s="1757"/>
      <c r="JZL91" s="1757"/>
      <c r="JZM91" s="1757"/>
      <c r="JZN91" s="1757"/>
      <c r="JZO91" s="1757"/>
      <c r="JZP91" s="1757"/>
      <c r="JZQ91" s="1757"/>
      <c r="JZR91" s="1757"/>
      <c r="JZS91" s="1757"/>
      <c r="JZT91" s="1757"/>
      <c r="JZU91" s="1757"/>
      <c r="JZV91" s="1757"/>
      <c r="JZW91" s="1757"/>
      <c r="JZX91" s="1757"/>
      <c r="JZY91" s="1757"/>
      <c r="JZZ91" s="1757"/>
      <c r="KAA91" s="1757"/>
      <c r="KAB91" s="1757"/>
      <c r="KAC91" s="1757"/>
      <c r="KAD91" s="1757"/>
      <c r="KAE91" s="1757"/>
      <c r="KAF91" s="1757"/>
      <c r="KAG91" s="1757"/>
      <c r="KAH91" s="1757"/>
      <c r="KAI91" s="1757"/>
      <c r="KAJ91" s="1757"/>
      <c r="KAK91" s="1757"/>
      <c r="KAL91" s="1757"/>
      <c r="KAM91" s="1757"/>
      <c r="KAN91" s="1757"/>
      <c r="KAO91" s="1757"/>
      <c r="KAP91" s="1757"/>
      <c r="KAQ91" s="1757"/>
      <c r="KAR91" s="1757"/>
      <c r="KAS91" s="1757"/>
      <c r="KAT91" s="1757"/>
      <c r="KAU91" s="1757"/>
      <c r="KAV91" s="1757"/>
      <c r="KAW91" s="1757"/>
      <c r="KAX91" s="1757"/>
      <c r="KAY91" s="1757"/>
      <c r="KAZ91" s="1757"/>
      <c r="KBA91" s="1757"/>
      <c r="KBB91" s="1757"/>
      <c r="KBC91" s="1757"/>
      <c r="KBD91" s="1757"/>
      <c r="KBE91" s="1757"/>
      <c r="KBF91" s="1757"/>
      <c r="KBG91" s="1757"/>
      <c r="KBH91" s="1757"/>
      <c r="KBI91" s="1757"/>
      <c r="KBJ91" s="1757"/>
      <c r="KBK91" s="1757"/>
      <c r="KBL91" s="1757"/>
      <c r="KBM91" s="1757"/>
      <c r="KBN91" s="1757"/>
      <c r="KBO91" s="1757"/>
      <c r="KBP91" s="1757"/>
      <c r="KBQ91" s="1757"/>
      <c r="KBR91" s="1757"/>
      <c r="KBS91" s="1757"/>
      <c r="KBT91" s="1757"/>
      <c r="KBU91" s="1757"/>
      <c r="KBV91" s="1757"/>
      <c r="KBW91" s="1757"/>
      <c r="KBX91" s="1757"/>
      <c r="KBY91" s="1757"/>
      <c r="KBZ91" s="1757"/>
      <c r="KCA91" s="1757"/>
      <c r="KCB91" s="1757"/>
      <c r="KCC91" s="1757"/>
      <c r="KCD91" s="1757"/>
      <c r="KCE91" s="1757"/>
      <c r="KCF91" s="1757"/>
      <c r="KCG91" s="1757"/>
      <c r="KCH91" s="1757"/>
      <c r="KCI91" s="1757"/>
      <c r="KCJ91" s="1757"/>
      <c r="KCK91" s="1757"/>
      <c r="KCL91" s="1757"/>
      <c r="KCM91" s="1757"/>
      <c r="KCN91" s="1757"/>
      <c r="KCO91" s="1757"/>
      <c r="KCP91" s="1757"/>
      <c r="KCQ91" s="1757"/>
      <c r="KCR91" s="1757"/>
      <c r="KCS91" s="1757"/>
      <c r="KCT91" s="1757"/>
      <c r="KCU91" s="1757"/>
      <c r="KCV91" s="1757"/>
      <c r="KCW91" s="1757"/>
      <c r="KCX91" s="1757"/>
      <c r="KCY91" s="1757"/>
      <c r="KCZ91" s="1757"/>
      <c r="KDA91" s="1757"/>
      <c r="KDB91" s="1757"/>
      <c r="KDC91" s="1757"/>
      <c r="KDD91" s="1757"/>
      <c r="KDE91" s="1757"/>
      <c r="KDF91" s="1757"/>
      <c r="KDG91" s="1757"/>
      <c r="KDH91" s="1757"/>
      <c r="KDI91" s="1757"/>
      <c r="KDJ91" s="1757"/>
      <c r="KDK91" s="1757"/>
      <c r="KDL91" s="1757"/>
      <c r="KDM91" s="1757"/>
      <c r="KDN91" s="1757"/>
      <c r="KDO91" s="1757"/>
      <c r="KDP91" s="1757"/>
      <c r="KDQ91" s="1757"/>
      <c r="KDR91" s="1757"/>
      <c r="KDS91" s="1757"/>
      <c r="KDT91" s="1757"/>
      <c r="KDU91" s="1757"/>
      <c r="KDV91" s="1757"/>
      <c r="KDW91" s="1757"/>
      <c r="KDX91" s="1757"/>
      <c r="KDY91" s="1757"/>
      <c r="KDZ91" s="1757"/>
      <c r="KEA91" s="1757"/>
      <c r="KEB91" s="1757"/>
      <c r="KEC91" s="1757"/>
      <c r="KED91" s="1757"/>
      <c r="KEE91" s="1757"/>
      <c r="KEF91" s="1757"/>
      <c r="KEG91" s="1757"/>
      <c r="KEH91" s="1757"/>
      <c r="KEI91" s="1757"/>
      <c r="KEJ91" s="1757"/>
      <c r="KEK91" s="1757"/>
      <c r="KEL91" s="1757"/>
      <c r="KEM91" s="1757"/>
      <c r="KEN91" s="1757"/>
      <c r="KEO91" s="1757"/>
      <c r="KEP91" s="1757"/>
      <c r="KEQ91" s="1757"/>
      <c r="KER91" s="1757"/>
      <c r="KES91" s="1757"/>
      <c r="KET91" s="1757"/>
      <c r="KEU91" s="1757"/>
      <c r="KEV91" s="1757"/>
      <c r="KEW91" s="1757"/>
      <c r="KEX91" s="1757"/>
      <c r="KEY91" s="1757"/>
      <c r="KEZ91" s="1757"/>
      <c r="KFA91" s="1757"/>
      <c r="KFB91" s="1757"/>
      <c r="KFC91" s="1757"/>
      <c r="KFD91" s="1757"/>
      <c r="KFE91" s="1757"/>
      <c r="KFF91" s="1757"/>
      <c r="KFG91" s="1757"/>
      <c r="KFH91" s="1757"/>
      <c r="KFI91" s="1757"/>
      <c r="KFJ91" s="1757"/>
      <c r="KFK91" s="1757"/>
      <c r="KFL91" s="1757"/>
      <c r="KFM91" s="1757"/>
      <c r="KFN91" s="1757"/>
      <c r="KFO91" s="1757"/>
      <c r="KFP91" s="1757"/>
      <c r="KFQ91" s="1757"/>
      <c r="KFR91" s="1757"/>
      <c r="KFS91" s="1757"/>
      <c r="KFT91" s="1757"/>
      <c r="KFU91" s="1757"/>
      <c r="KFV91" s="1757"/>
      <c r="KFW91" s="1757"/>
      <c r="KFX91" s="1757"/>
      <c r="KFY91" s="1757"/>
      <c r="KFZ91" s="1757"/>
      <c r="KGA91" s="1757"/>
      <c r="KGB91" s="1757"/>
      <c r="KGC91" s="1757"/>
      <c r="KGD91" s="1757"/>
      <c r="KGE91" s="1757"/>
      <c r="KGF91" s="1757"/>
      <c r="KGG91" s="1757"/>
      <c r="KGH91" s="1757"/>
      <c r="KGI91" s="1757"/>
      <c r="KGJ91" s="1757"/>
      <c r="KGK91" s="1757"/>
      <c r="KGL91" s="1757"/>
      <c r="KGM91" s="1757"/>
      <c r="KGN91" s="1757"/>
      <c r="KGO91" s="1757"/>
      <c r="KGP91" s="1757"/>
      <c r="KGQ91" s="1757"/>
      <c r="KGR91" s="1757"/>
      <c r="KGS91" s="1757"/>
      <c r="KGT91" s="1757"/>
      <c r="KGU91" s="1757"/>
      <c r="KGV91" s="1757"/>
      <c r="KGW91" s="1757"/>
      <c r="KGX91" s="1757"/>
      <c r="KGY91" s="1757"/>
      <c r="KGZ91" s="1757"/>
      <c r="KHA91" s="1757"/>
      <c r="KHB91" s="1757"/>
      <c r="KHC91" s="1757"/>
      <c r="KHD91" s="1757"/>
      <c r="KHE91" s="1757"/>
      <c r="KHF91" s="1757"/>
      <c r="KHG91" s="1757"/>
      <c r="KHH91" s="1757"/>
      <c r="KHI91" s="1757"/>
      <c r="KHJ91" s="1757"/>
      <c r="KHK91" s="1757"/>
      <c r="KHL91" s="1757"/>
      <c r="KHM91" s="1757"/>
      <c r="KHN91" s="1757"/>
      <c r="KHO91" s="1757"/>
      <c r="KHP91" s="1757"/>
      <c r="KHQ91" s="1757"/>
      <c r="KHR91" s="1757"/>
      <c r="KHS91" s="1757"/>
      <c r="KHT91" s="1757"/>
      <c r="KHU91" s="1757"/>
      <c r="KHV91" s="1757"/>
      <c r="KHW91" s="1757"/>
      <c r="KHX91" s="1757"/>
      <c r="KHY91" s="1757"/>
      <c r="KHZ91" s="1757"/>
      <c r="KIA91" s="1757"/>
      <c r="KIB91" s="1757"/>
      <c r="KIC91" s="1757"/>
      <c r="KID91" s="1757"/>
      <c r="KIE91" s="1757"/>
      <c r="KIF91" s="1757"/>
      <c r="KIG91" s="1757"/>
      <c r="KIH91" s="1757"/>
      <c r="KII91" s="1757"/>
      <c r="KIJ91" s="1757"/>
      <c r="KIK91" s="1757"/>
      <c r="KIL91" s="1757"/>
      <c r="KIM91" s="1757"/>
      <c r="KIN91" s="1757"/>
      <c r="KIO91" s="1757"/>
      <c r="KIP91" s="1757"/>
      <c r="KIQ91" s="1757"/>
      <c r="KIR91" s="1757"/>
      <c r="KIS91" s="1757"/>
      <c r="KIT91" s="1757"/>
      <c r="KIU91" s="1757"/>
      <c r="KIV91" s="1757"/>
      <c r="KIW91" s="1757"/>
      <c r="KIX91" s="1757"/>
      <c r="KIY91" s="1757"/>
      <c r="KIZ91" s="1757"/>
      <c r="KJA91" s="1757"/>
      <c r="KJB91" s="1757"/>
      <c r="KJC91" s="1757"/>
      <c r="KJD91" s="1757"/>
      <c r="KJE91" s="1757"/>
      <c r="KJF91" s="1757"/>
      <c r="KJG91" s="1757"/>
      <c r="KJH91" s="1757"/>
      <c r="KJI91" s="1757"/>
      <c r="KJJ91" s="1757"/>
      <c r="KJK91" s="1757"/>
      <c r="KJL91" s="1757"/>
      <c r="KJM91" s="1757"/>
      <c r="KJN91" s="1757"/>
      <c r="KJO91" s="1757"/>
      <c r="KJP91" s="1757"/>
      <c r="KJQ91" s="1757"/>
      <c r="KJR91" s="1757"/>
      <c r="KJS91" s="1757"/>
      <c r="KJT91" s="1757"/>
      <c r="KJU91" s="1757"/>
      <c r="KJV91" s="1757"/>
      <c r="KJW91" s="1757"/>
      <c r="KJX91" s="1757"/>
      <c r="KJY91" s="1757"/>
      <c r="KJZ91" s="1757"/>
      <c r="KKA91" s="1757"/>
      <c r="KKB91" s="1757"/>
      <c r="KKC91" s="1757"/>
      <c r="KKD91" s="1757"/>
      <c r="KKE91" s="1757"/>
      <c r="KKF91" s="1757"/>
      <c r="KKG91" s="1757"/>
      <c r="KKH91" s="1757"/>
      <c r="KKI91" s="1757"/>
      <c r="KKJ91" s="1757"/>
      <c r="KKK91" s="1757"/>
      <c r="KKL91" s="1757"/>
      <c r="KKM91" s="1757"/>
      <c r="KKN91" s="1757"/>
      <c r="KKO91" s="1757"/>
      <c r="KKP91" s="1757"/>
      <c r="KKQ91" s="1757"/>
      <c r="KKR91" s="1757"/>
      <c r="KKS91" s="1757"/>
      <c r="KKT91" s="1757"/>
      <c r="KKU91" s="1757"/>
      <c r="KKV91" s="1757"/>
      <c r="KKW91" s="1757"/>
      <c r="KKX91" s="1757"/>
      <c r="KKY91" s="1757"/>
      <c r="KKZ91" s="1757"/>
      <c r="KLA91" s="1757"/>
      <c r="KLB91" s="1757"/>
      <c r="KLC91" s="1757"/>
      <c r="KLD91" s="1757"/>
      <c r="KLE91" s="1757"/>
      <c r="KLF91" s="1757"/>
      <c r="KLG91" s="1757"/>
      <c r="KLH91" s="1757"/>
      <c r="KLI91" s="1757"/>
      <c r="KLJ91" s="1757"/>
      <c r="KLK91" s="1757"/>
      <c r="KLL91" s="1757"/>
      <c r="KLM91" s="1757"/>
      <c r="KLN91" s="1757"/>
      <c r="KLO91" s="1757"/>
      <c r="KLP91" s="1757"/>
      <c r="KLQ91" s="1757"/>
      <c r="KLR91" s="1757"/>
      <c r="KLS91" s="1757"/>
      <c r="KLT91" s="1757"/>
      <c r="KLU91" s="1757"/>
      <c r="KLV91" s="1757"/>
      <c r="KLW91" s="1757"/>
      <c r="KLX91" s="1757"/>
      <c r="KLY91" s="1757"/>
      <c r="KLZ91" s="1757"/>
      <c r="KMA91" s="1757"/>
      <c r="KMB91" s="1757"/>
      <c r="KMC91" s="1757"/>
      <c r="KMD91" s="1757"/>
      <c r="KME91" s="1757"/>
      <c r="KMF91" s="1757"/>
      <c r="KMG91" s="1757"/>
      <c r="KMH91" s="1757"/>
      <c r="KMI91" s="1757"/>
      <c r="KMJ91" s="1757"/>
      <c r="KMK91" s="1757"/>
      <c r="KML91" s="1757"/>
      <c r="KMM91" s="1757"/>
      <c r="KMN91" s="1757"/>
      <c r="KMO91" s="1757"/>
      <c r="KMP91" s="1757"/>
      <c r="KMQ91" s="1757"/>
      <c r="KMR91" s="1757"/>
      <c r="KMS91" s="1757"/>
      <c r="KMT91" s="1757"/>
      <c r="KMU91" s="1757"/>
      <c r="KMV91" s="1757"/>
      <c r="KMW91" s="1757"/>
      <c r="KMX91" s="1757"/>
      <c r="KMY91" s="1757"/>
      <c r="KMZ91" s="1757"/>
      <c r="KNA91" s="1757"/>
      <c r="KNB91" s="1757"/>
      <c r="KNC91" s="1757"/>
      <c r="KND91" s="1757"/>
      <c r="KNE91" s="1757"/>
      <c r="KNF91" s="1757"/>
      <c r="KNG91" s="1757"/>
      <c r="KNH91" s="1757"/>
      <c r="KNI91" s="1757"/>
      <c r="KNJ91" s="1757"/>
      <c r="KNK91" s="1757"/>
      <c r="KNL91" s="1757"/>
      <c r="KNM91" s="1757"/>
      <c r="KNN91" s="1757"/>
      <c r="KNO91" s="1757"/>
      <c r="KNP91" s="1757"/>
      <c r="KNQ91" s="1757"/>
      <c r="KNR91" s="1757"/>
      <c r="KNS91" s="1757"/>
      <c r="KNT91" s="1757"/>
      <c r="KNU91" s="1757"/>
      <c r="KNV91" s="1757"/>
      <c r="KNW91" s="1757"/>
      <c r="KNX91" s="1757"/>
      <c r="KNY91" s="1757"/>
      <c r="KNZ91" s="1757"/>
      <c r="KOA91" s="1757"/>
      <c r="KOB91" s="1757"/>
      <c r="KOC91" s="1757"/>
      <c r="KOD91" s="1757"/>
      <c r="KOE91" s="1757"/>
      <c r="KOF91" s="1757"/>
      <c r="KOG91" s="1757"/>
      <c r="KOH91" s="1757"/>
      <c r="KOI91" s="1757"/>
      <c r="KOJ91" s="1757"/>
      <c r="KOK91" s="1757"/>
      <c r="KOL91" s="1757"/>
      <c r="KOM91" s="1757"/>
      <c r="KON91" s="1757"/>
      <c r="KOO91" s="1757"/>
      <c r="KOP91" s="1757"/>
      <c r="KOQ91" s="1757"/>
      <c r="KOR91" s="1757"/>
      <c r="KOS91" s="1757"/>
      <c r="KOT91" s="1757"/>
      <c r="KOU91" s="1757"/>
      <c r="KOV91" s="1757"/>
      <c r="KOW91" s="1757"/>
      <c r="KOX91" s="1757"/>
      <c r="KOY91" s="1757"/>
      <c r="KOZ91" s="1757"/>
      <c r="KPA91" s="1757"/>
      <c r="KPB91" s="1757"/>
      <c r="KPC91" s="1757"/>
      <c r="KPD91" s="1757"/>
      <c r="KPE91" s="1757"/>
      <c r="KPF91" s="1757"/>
      <c r="KPG91" s="1757"/>
      <c r="KPH91" s="1757"/>
      <c r="KPI91" s="1757"/>
      <c r="KPJ91" s="1757"/>
      <c r="KPK91" s="1757"/>
      <c r="KPL91" s="1757"/>
      <c r="KPM91" s="1757"/>
      <c r="KPN91" s="1757"/>
      <c r="KPO91" s="1757"/>
      <c r="KPP91" s="1757"/>
      <c r="KPQ91" s="1757"/>
      <c r="KPR91" s="1757"/>
      <c r="KPS91" s="1757"/>
      <c r="KPT91" s="1757"/>
      <c r="KPU91" s="1757"/>
      <c r="KPV91" s="1757"/>
      <c r="KPW91" s="1757"/>
      <c r="KPX91" s="1757"/>
      <c r="KPY91" s="1757"/>
      <c r="KPZ91" s="1757"/>
      <c r="KQA91" s="1757"/>
      <c r="KQB91" s="1757"/>
      <c r="KQC91" s="1757"/>
      <c r="KQD91" s="1757"/>
      <c r="KQE91" s="1757"/>
      <c r="KQF91" s="1757"/>
      <c r="KQG91" s="1757"/>
      <c r="KQH91" s="1757"/>
      <c r="KQI91" s="1757"/>
      <c r="KQJ91" s="1757"/>
      <c r="KQK91" s="1757"/>
      <c r="KQL91" s="1757"/>
      <c r="KQM91" s="1757"/>
      <c r="KQN91" s="1757"/>
      <c r="KQO91" s="1757"/>
      <c r="KQP91" s="1757"/>
      <c r="KQQ91" s="1757"/>
      <c r="KQR91" s="1757"/>
      <c r="KQS91" s="1757"/>
      <c r="KQT91" s="1757"/>
      <c r="KQU91" s="1757"/>
      <c r="KQV91" s="1757"/>
      <c r="KQW91" s="1757"/>
      <c r="KQX91" s="1757"/>
      <c r="KQY91" s="1757"/>
      <c r="KQZ91" s="1757"/>
      <c r="KRA91" s="1757"/>
      <c r="KRB91" s="1757"/>
      <c r="KRC91" s="1757"/>
      <c r="KRD91" s="1757"/>
      <c r="KRE91" s="1757"/>
      <c r="KRF91" s="1757"/>
      <c r="KRG91" s="1757"/>
      <c r="KRH91" s="1757"/>
      <c r="KRI91" s="1757"/>
      <c r="KRJ91" s="1757"/>
      <c r="KRK91" s="1757"/>
      <c r="KRL91" s="1757"/>
      <c r="KRM91" s="1757"/>
      <c r="KRN91" s="1757"/>
      <c r="KRO91" s="1757"/>
      <c r="KRP91" s="1757"/>
      <c r="KRQ91" s="1757"/>
      <c r="KRR91" s="1757"/>
      <c r="KRS91" s="1757"/>
      <c r="KRT91" s="1757"/>
      <c r="KRU91" s="1757"/>
      <c r="KRV91" s="1757"/>
      <c r="KRW91" s="1757"/>
      <c r="KRX91" s="1757"/>
      <c r="KRY91" s="1757"/>
      <c r="KRZ91" s="1757"/>
      <c r="KSA91" s="1757"/>
      <c r="KSB91" s="1757"/>
      <c r="KSC91" s="1757"/>
      <c r="KSD91" s="1757"/>
      <c r="KSE91" s="1757"/>
      <c r="KSF91" s="1757"/>
      <c r="KSG91" s="1757"/>
      <c r="KSH91" s="1757"/>
      <c r="KSI91" s="1757"/>
      <c r="KSJ91" s="1757"/>
      <c r="KSK91" s="1757"/>
      <c r="KSL91" s="1757"/>
      <c r="KSM91" s="1757"/>
      <c r="KSN91" s="1757"/>
      <c r="KSO91" s="1757"/>
      <c r="KSP91" s="1757"/>
      <c r="KSQ91" s="1757"/>
      <c r="KSR91" s="1757"/>
      <c r="KSS91" s="1757"/>
      <c r="KST91" s="1757"/>
      <c r="KSU91" s="1757"/>
      <c r="KSV91" s="1757"/>
      <c r="KSW91" s="1757"/>
      <c r="KSX91" s="1757"/>
      <c r="KSY91" s="1757"/>
      <c r="KSZ91" s="1757"/>
      <c r="KTA91" s="1757"/>
      <c r="KTB91" s="1757"/>
      <c r="KTC91" s="1757"/>
      <c r="KTD91" s="1757"/>
      <c r="KTE91" s="1757"/>
      <c r="KTF91" s="1757"/>
      <c r="KTG91" s="1757"/>
      <c r="KTH91" s="1757"/>
      <c r="KTI91" s="1757"/>
      <c r="KTJ91" s="1757"/>
      <c r="KTK91" s="1757"/>
      <c r="KTL91" s="1757"/>
      <c r="KTM91" s="1757"/>
      <c r="KTN91" s="1757"/>
      <c r="KTO91" s="1757"/>
      <c r="KTP91" s="1757"/>
      <c r="KTQ91" s="1757"/>
      <c r="KTR91" s="1757"/>
      <c r="KTS91" s="1757"/>
      <c r="KTT91" s="1757"/>
      <c r="KTU91" s="1757"/>
      <c r="KTV91" s="1757"/>
      <c r="KTW91" s="1757"/>
      <c r="KTX91" s="1757"/>
      <c r="KTY91" s="1757"/>
      <c r="KTZ91" s="1757"/>
      <c r="KUA91" s="1757"/>
      <c r="KUB91" s="1757"/>
      <c r="KUC91" s="1757"/>
      <c r="KUD91" s="1757"/>
      <c r="KUE91" s="1757"/>
      <c r="KUF91" s="1757"/>
      <c r="KUG91" s="1757"/>
      <c r="KUH91" s="1757"/>
      <c r="KUI91" s="1757"/>
      <c r="KUJ91" s="1757"/>
      <c r="KUK91" s="1757"/>
      <c r="KUL91" s="1757"/>
      <c r="KUM91" s="1757"/>
      <c r="KUN91" s="1757"/>
      <c r="KUO91" s="1757"/>
      <c r="KUP91" s="1757"/>
      <c r="KUQ91" s="1757"/>
      <c r="KUR91" s="1757"/>
      <c r="KUS91" s="1757"/>
      <c r="KUT91" s="1757"/>
      <c r="KUU91" s="1757"/>
      <c r="KUV91" s="1757"/>
      <c r="KUW91" s="1757"/>
      <c r="KUX91" s="1757"/>
      <c r="KUY91" s="1757"/>
      <c r="KUZ91" s="1757"/>
      <c r="KVA91" s="1757"/>
      <c r="KVB91" s="1757"/>
      <c r="KVC91" s="1757"/>
      <c r="KVD91" s="1757"/>
      <c r="KVE91" s="1757"/>
      <c r="KVF91" s="1757"/>
      <c r="KVG91" s="1757"/>
      <c r="KVH91" s="1757"/>
      <c r="KVI91" s="1757"/>
      <c r="KVJ91" s="1757"/>
      <c r="KVK91" s="1757"/>
      <c r="KVL91" s="1757"/>
      <c r="KVM91" s="1757"/>
      <c r="KVN91" s="1757"/>
      <c r="KVO91" s="1757"/>
      <c r="KVP91" s="1757"/>
      <c r="KVQ91" s="1757"/>
      <c r="KVR91" s="1757"/>
      <c r="KVS91" s="1757"/>
      <c r="KVT91" s="1757"/>
      <c r="KVU91" s="1757"/>
      <c r="KVV91" s="1757"/>
      <c r="KVW91" s="1757"/>
      <c r="KVX91" s="1757"/>
      <c r="KVY91" s="1757"/>
      <c r="KVZ91" s="1757"/>
      <c r="KWA91" s="1757"/>
      <c r="KWB91" s="1757"/>
      <c r="KWC91" s="1757"/>
      <c r="KWD91" s="1757"/>
      <c r="KWE91" s="1757"/>
      <c r="KWF91" s="1757"/>
      <c r="KWG91" s="1757"/>
      <c r="KWH91" s="1757"/>
      <c r="KWI91" s="1757"/>
      <c r="KWJ91" s="1757"/>
      <c r="KWK91" s="1757"/>
      <c r="KWL91" s="1757"/>
      <c r="KWM91" s="1757"/>
      <c r="KWN91" s="1757"/>
      <c r="KWO91" s="1757"/>
      <c r="KWP91" s="1757"/>
      <c r="KWQ91" s="1757"/>
      <c r="KWR91" s="1757"/>
      <c r="KWS91" s="1757"/>
      <c r="KWT91" s="1757"/>
      <c r="KWU91" s="1757"/>
      <c r="KWV91" s="1757"/>
      <c r="KWW91" s="1757"/>
      <c r="KWX91" s="1757"/>
      <c r="KWY91" s="1757"/>
      <c r="KWZ91" s="1757"/>
      <c r="KXA91" s="1757"/>
      <c r="KXB91" s="1757"/>
      <c r="KXC91" s="1757"/>
      <c r="KXD91" s="1757"/>
      <c r="KXE91" s="1757"/>
      <c r="KXF91" s="1757"/>
      <c r="KXG91" s="1757"/>
      <c r="KXH91" s="1757"/>
      <c r="KXI91" s="1757"/>
      <c r="KXJ91" s="1757"/>
      <c r="KXK91" s="1757"/>
      <c r="KXL91" s="1757"/>
      <c r="KXM91" s="1757"/>
      <c r="KXN91" s="1757"/>
      <c r="KXO91" s="1757"/>
      <c r="KXP91" s="1757"/>
      <c r="KXQ91" s="1757"/>
      <c r="KXR91" s="1757"/>
      <c r="KXS91" s="1757"/>
      <c r="KXT91" s="1757"/>
      <c r="KXU91" s="1757"/>
      <c r="KXV91" s="1757"/>
      <c r="KXW91" s="1757"/>
      <c r="KXX91" s="1757"/>
      <c r="KXY91" s="1757"/>
      <c r="KXZ91" s="1757"/>
      <c r="KYA91" s="1757"/>
      <c r="KYB91" s="1757"/>
      <c r="KYC91" s="1757"/>
      <c r="KYD91" s="1757"/>
      <c r="KYE91" s="1757"/>
      <c r="KYF91" s="1757"/>
      <c r="KYG91" s="1757"/>
      <c r="KYH91" s="1757"/>
      <c r="KYI91" s="1757"/>
      <c r="KYJ91" s="1757"/>
      <c r="KYK91" s="1757"/>
      <c r="KYL91" s="1757"/>
      <c r="KYM91" s="1757"/>
      <c r="KYN91" s="1757"/>
      <c r="KYO91" s="1757"/>
      <c r="KYP91" s="1757"/>
      <c r="KYQ91" s="1757"/>
      <c r="KYR91" s="1757"/>
      <c r="KYS91" s="1757"/>
      <c r="KYT91" s="1757"/>
      <c r="KYU91" s="1757"/>
      <c r="KYV91" s="1757"/>
      <c r="KYW91" s="1757"/>
      <c r="KYX91" s="1757"/>
      <c r="KYY91" s="1757"/>
      <c r="KYZ91" s="1757"/>
      <c r="KZA91" s="1757"/>
      <c r="KZB91" s="1757"/>
      <c r="KZC91" s="1757"/>
      <c r="KZD91" s="1757"/>
      <c r="KZE91" s="1757"/>
      <c r="KZF91" s="1757"/>
      <c r="KZG91" s="1757"/>
      <c r="KZH91" s="1757"/>
      <c r="KZI91" s="1757"/>
      <c r="KZJ91" s="1757"/>
      <c r="KZK91" s="1757"/>
      <c r="KZL91" s="1757"/>
      <c r="KZM91" s="1757"/>
      <c r="KZN91" s="1757"/>
      <c r="KZO91" s="1757"/>
      <c r="KZP91" s="1757"/>
      <c r="KZQ91" s="1757"/>
      <c r="KZR91" s="1757"/>
      <c r="KZS91" s="1757"/>
      <c r="KZT91" s="1757"/>
      <c r="KZU91" s="1757"/>
      <c r="KZV91" s="1757"/>
      <c r="KZW91" s="1757"/>
      <c r="KZX91" s="1757"/>
      <c r="KZY91" s="1757"/>
      <c r="KZZ91" s="1757"/>
      <c r="LAA91" s="1757"/>
      <c r="LAB91" s="1757"/>
      <c r="LAC91" s="1757"/>
      <c r="LAD91" s="1757"/>
      <c r="LAE91" s="1757"/>
      <c r="LAF91" s="1757"/>
      <c r="LAG91" s="1757"/>
      <c r="LAH91" s="1757"/>
      <c r="LAI91" s="1757"/>
      <c r="LAJ91" s="1757"/>
      <c r="LAK91" s="1757"/>
      <c r="LAL91" s="1757"/>
      <c r="LAM91" s="1757"/>
      <c r="LAN91" s="1757"/>
      <c r="LAO91" s="1757"/>
      <c r="LAP91" s="1757"/>
      <c r="LAQ91" s="1757"/>
      <c r="LAR91" s="1757"/>
      <c r="LAS91" s="1757"/>
      <c r="LAT91" s="1757"/>
      <c r="LAU91" s="1757"/>
      <c r="LAV91" s="1757"/>
      <c r="LAW91" s="1757"/>
      <c r="LAX91" s="1757"/>
      <c r="LAY91" s="1757"/>
      <c r="LAZ91" s="1757"/>
      <c r="LBA91" s="1757"/>
      <c r="LBB91" s="1757"/>
      <c r="LBC91" s="1757"/>
      <c r="LBD91" s="1757"/>
      <c r="LBE91" s="1757"/>
      <c r="LBF91" s="1757"/>
      <c r="LBG91" s="1757"/>
      <c r="LBH91" s="1757"/>
      <c r="LBI91" s="1757"/>
      <c r="LBJ91" s="1757"/>
      <c r="LBK91" s="1757"/>
      <c r="LBL91" s="1757"/>
      <c r="LBM91" s="1757"/>
      <c r="LBN91" s="1757"/>
      <c r="LBO91" s="1757"/>
      <c r="LBP91" s="1757"/>
      <c r="LBQ91" s="1757"/>
      <c r="LBR91" s="1757"/>
      <c r="LBS91" s="1757"/>
      <c r="LBT91" s="1757"/>
      <c r="LBU91" s="1757"/>
      <c r="LBV91" s="1757"/>
      <c r="LBW91" s="1757"/>
      <c r="LBX91" s="1757"/>
      <c r="LBY91" s="1757"/>
      <c r="LBZ91" s="1757"/>
      <c r="LCA91" s="1757"/>
      <c r="LCB91" s="1757"/>
      <c r="LCC91" s="1757"/>
      <c r="LCD91" s="1757"/>
      <c r="LCE91" s="1757"/>
      <c r="LCF91" s="1757"/>
      <c r="LCG91" s="1757"/>
      <c r="LCH91" s="1757"/>
      <c r="LCI91" s="1757"/>
      <c r="LCJ91" s="1757"/>
      <c r="LCK91" s="1757"/>
      <c r="LCL91" s="1757"/>
      <c r="LCM91" s="1757"/>
      <c r="LCN91" s="1757"/>
      <c r="LCO91" s="1757"/>
      <c r="LCP91" s="1757"/>
      <c r="LCQ91" s="1757"/>
      <c r="LCR91" s="1757"/>
      <c r="LCS91" s="1757"/>
      <c r="LCT91" s="1757"/>
      <c r="LCU91" s="1757"/>
      <c r="LCV91" s="1757"/>
      <c r="LCW91" s="1757"/>
      <c r="LCX91" s="1757"/>
      <c r="LCY91" s="1757"/>
      <c r="LCZ91" s="1757"/>
      <c r="LDA91" s="1757"/>
      <c r="LDB91" s="1757"/>
      <c r="LDC91" s="1757"/>
      <c r="LDD91" s="1757"/>
      <c r="LDE91" s="1757"/>
      <c r="LDF91" s="1757"/>
      <c r="LDG91" s="1757"/>
      <c r="LDH91" s="1757"/>
      <c r="LDI91" s="1757"/>
      <c r="LDJ91" s="1757"/>
      <c r="LDK91" s="1757"/>
      <c r="LDL91" s="1757"/>
      <c r="LDM91" s="1757"/>
      <c r="LDN91" s="1757"/>
      <c r="LDO91" s="1757"/>
      <c r="LDP91" s="1757"/>
      <c r="LDQ91" s="1757"/>
      <c r="LDR91" s="1757"/>
      <c r="LDS91" s="1757"/>
      <c r="LDT91" s="1757"/>
      <c r="LDU91" s="1757"/>
      <c r="LDV91" s="1757"/>
      <c r="LDW91" s="1757"/>
      <c r="LDX91" s="1757"/>
      <c r="LDY91" s="1757"/>
      <c r="LDZ91" s="1757"/>
      <c r="LEA91" s="1757"/>
      <c r="LEB91" s="1757"/>
      <c r="LEC91" s="1757"/>
      <c r="LED91" s="1757"/>
      <c r="LEE91" s="1757"/>
      <c r="LEF91" s="1757"/>
      <c r="LEG91" s="1757"/>
      <c r="LEH91" s="1757"/>
      <c r="LEI91" s="1757"/>
      <c r="LEJ91" s="1757"/>
      <c r="LEK91" s="1757"/>
      <c r="LEL91" s="1757"/>
      <c r="LEM91" s="1757"/>
      <c r="LEN91" s="1757"/>
      <c r="LEO91" s="1757"/>
      <c r="LEP91" s="1757"/>
      <c r="LEQ91" s="1757"/>
      <c r="LER91" s="1757"/>
      <c r="LES91" s="1757"/>
      <c r="LET91" s="1757"/>
      <c r="LEU91" s="1757"/>
      <c r="LEV91" s="1757"/>
      <c r="LEW91" s="1757"/>
      <c r="LEX91" s="1757"/>
      <c r="LEY91" s="1757"/>
      <c r="LEZ91" s="1757"/>
      <c r="LFA91" s="1757"/>
      <c r="LFB91" s="1757"/>
      <c r="LFC91" s="1757"/>
      <c r="LFD91" s="1757"/>
      <c r="LFE91" s="1757"/>
      <c r="LFF91" s="1757"/>
      <c r="LFG91" s="1757"/>
      <c r="LFH91" s="1757"/>
      <c r="LFI91" s="1757"/>
      <c r="LFJ91" s="1757"/>
      <c r="LFK91" s="1757"/>
      <c r="LFL91" s="1757"/>
      <c r="LFM91" s="1757"/>
      <c r="LFN91" s="1757"/>
      <c r="LFO91" s="1757"/>
      <c r="LFP91" s="1757"/>
      <c r="LFQ91" s="1757"/>
      <c r="LFR91" s="1757"/>
      <c r="LFS91" s="1757"/>
      <c r="LFT91" s="1757"/>
      <c r="LFU91" s="1757"/>
      <c r="LFV91" s="1757"/>
      <c r="LFW91" s="1757"/>
      <c r="LFX91" s="1757"/>
      <c r="LFY91" s="1757"/>
      <c r="LFZ91" s="1757"/>
      <c r="LGA91" s="1757"/>
      <c r="LGB91" s="1757"/>
      <c r="LGC91" s="1757"/>
      <c r="LGD91" s="1757"/>
      <c r="LGE91" s="1757"/>
      <c r="LGF91" s="1757"/>
      <c r="LGG91" s="1757"/>
      <c r="LGH91" s="1757"/>
      <c r="LGI91" s="1757"/>
      <c r="LGJ91" s="1757"/>
      <c r="LGK91" s="1757"/>
      <c r="LGL91" s="1757"/>
      <c r="LGM91" s="1757"/>
      <c r="LGN91" s="1757"/>
      <c r="LGO91" s="1757"/>
      <c r="LGP91" s="1757"/>
      <c r="LGQ91" s="1757"/>
      <c r="LGR91" s="1757"/>
      <c r="LGS91" s="1757"/>
      <c r="LGT91" s="1757"/>
      <c r="LGU91" s="1757"/>
      <c r="LGV91" s="1757"/>
      <c r="LGW91" s="1757"/>
      <c r="LGX91" s="1757"/>
      <c r="LGY91" s="1757"/>
      <c r="LGZ91" s="1757"/>
      <c r="LHA91" s="1757"/>
      <c r="LHB91" s="1757"/>
      <c r="LHC91" s="1757"/>
      <c r="LHD91" s="1757"/>
      <c r="LHE91" s="1757"/>
      <c r="LHF91" s="1757"/>
      <c r="LHG91" s="1757"/>
      <c r="LHH91" s="1757"/>
      <c r="LHI91" s="1757"/>
      <c r="LHJ91" s="1757"/>
      <c r="LHK91" s="1757"/>
      <c r="LHL91" s="1757"/>
      <c r="LHM91" s="1757"/>
      <c r="LHN91" s="1757"/>
      <c r="LHO91" s="1757"/>
      <c r="LHP91" s="1757"/>
      <c r="LHQ91" s="1757"/>
      <c r="LHR91" s="1757"/>
      <c r="LHS91" s="1757"/>
      <c r="LHT91" s="1757"/>
      <c r="LHU91" s="1757"/>
      <c r="LHV91" s="1757"/>
      <c r="LHW91" s="1757"/>
      <c r="LHX91" s="1757"/>
      <c r="LHY91" s="1757"/>
      <c r="LHZ91" s="1757"/>
      <c r="LIA91" s="1757"/>
      <c r="LIB91" s="1757"/>
      <c r="LIC91" s="1757"/>
      <c r="LID91" s="1757"/>
      <c r="LIE91" s="1757"/>
      <c r="LIF91" s="1757"/>
      <c r="LIG91" s="1757"/>
      <c r="LIH91" s="1757"/>
      <c r="LII91" s="1757"/>
      <c r="LIJ91" s="1757"/>
      <c r="LIK91" s="1757"/>
      <c r="LIL91" s="1757"/>
      <c r="LIM91" s="1757"/>
      <c r="LIN91" s="1757"/>
      <c r="LIO91" s="1757"/>
      <c r="LIP91" s="1757"/>
      <c r="LIQ91" s="1757"/>
      <c r="LIR91" s="1757"/>
      <c r="LIS91" s="1757"/>
      <c r="LIT91" s="1757"/>
      <c r="LIU91" s="1757"/>
      <c r="LIV91" s="1757"/>
      <c r="LIW91" s="1757"/>
      <c r="LIX91" s="1757"/>
      <c r="LIY91" s="1757"/>
      <c r="LIZ91" s="1757"/>
      <c r="LJA91" s="1757"/>
      <c r="LJB91" s="1757"/>
      <c r="LJC91" s="1757"/>
      <c r="LJD91" s="1757"/>
      <c r="LJE91" s="1757"/>
      <c r="LJF91" s="1757"/>
      <c r="LJG91" s="1757"/>
      <c r="LJH91" s="1757"/>
      <c r="LJI91" s="1757"/>
      <c r="LJJ91" s="1757"/>
      <c r="LJK91" s="1757"/>
      <c r="LJL91" s="1757"/>
      <c r="LJM91" s="1757"/>
      <c r="LJN91" s="1757"/>
      <c r="LJO91" s="1757"/>
      <c r="LJP91" s="1757"/>
      <c r="LJQ91" s="1757"/>
      <c r="LJR91" s="1757"/>
      <c r="LJS91" s="1757"/>
      <c r="LJT91" s="1757"/>
      <c r="LJU91" s="1757"/>
      <c r="LJV91" s="1757"/>
      <c r="LJW91" s="1757"/>
      <c r="LJX91" s="1757"/>
      <c r="LJY91" s="1757"/>
      <c r="LJZ91" s="1757"/>
      <c r="LKA91" s="1757"/>
      <c r="LKB91" s="1757"/>
      <c r="LKC91" s="1757"/>
      <c r="LKD91" s="1757"/>
      <c r="LKE91" s="1757"/>
      <c r="LKF91" s="1757"/>
      <c r="LKG91" s="1757"/>
      <c r="LKH91" s="1757"/>
      <c r="LKI91" s="1757"/>
      <c r="LKJ91" s="1757"/>
      <c r="LKK91" s="1757"/>
      <c r="LKL91" s="1757"/>
      <c r="LKM91" s="1757"/>
      <c r="LKN91" s="1757"/>
      <c r="LKO91" s="1757"/>
      <c r="LKP91" s="1757"/>
      <c r="LKQ91" s="1757"/>
      <c r="LKR91" s="1757"/>
      <c r="LKS91" s="1757"/>
      <c r="LKT91" s="1757"/>
      <c r="LKU91" s="1757"/>
      <c r="LKV91" s="1757"/>
      <c r="LKW91" s="1757"/>
      <c r="LKX91" s="1757"/>
      <c r="LKY91" s="1757"/>
      <c r="LKZ91" s="1757"/>
      <c r="LLA91" s="1757"/>
      <c r="LLB91" s="1757"/>
      <c r="LLC91" s="1757"/>
      <c r="LLD91" s="1757"/>
      <c r="LLE91" s="1757"/>
      <c r="LLF91" s="1757"/>
      <c r="LLG91" s="1757"/>
      <c r="LLH91" s="1757"/>
      <c r="LLI91" s="1757"/>
      <c r="LLJ91" s="1757"/>
      <c r="LLK91" s="1757"/>
      <c r="LLL91" s="1757"/>
      <c r="LLM91" s="1757"/>
      <c r="LLN91" s="1757"/>
      <c r="LLO91" s="1757"/>
      <c r="LLP91" s="1757"/>
      <c r="LLQ91" s="1757"/>
      <c r="LLR91" s="1757"/>
      <c r="LLS91" s="1757"/>
      <c r="LLT91" s="1757"/>
      <c r="LLU91" s="1757"/>
      <c r="LLV91" s="1757"/>
      <c r="LLW91" s="1757"/>
      <c r="LLX91" s="1757"/>
      <c r="LLY91" s="1757"/>
      <c r="LLZ91" s="1757"/>
      <c r="LMA91" s="1757"/>
      <c r="LMB91" s="1757"/>
      <c r="LMC91" s="1757"/>
      <c r="LMD91" s="1757"/>
      <c r="LME91" s="1757"/>
      <c r="LMF91" s="1757"/>
      <c r="LMG91" s="1757"/>
      <c r="LMH91" s="1757"/>
      <c r="LMI91" s="1757"/>
      <c r="LMJ91" s="1757"/>
      <c r="LMK91" s="1757"/>
      <c r="LML91" s="1757"/>
      <c r="LMM91" s="1757"/>
      <c r="LMN91" s="1757"/>
      <c r="LMO91" s="1757"/>
      <c r="LMP91" s="1757"/>
      <c r="LMQ91" s="1757"/>
      <c r="LMR91" s="1757"/>
      <c r="LMS91" s="1757"/>
      <c r="LMT91" s="1757"/>
      <c r="LMU91" s="1757"/>
      <c r="LMV91" s="1757"/>
      <c r="LMW91" s="1757"/>
      <c r="LMX91" s="1757"/>
      <c r="LMY91" s="1757"/>
      <c r="LMZ91" s="1757"/>
      <c r="LNA91" s="1757"/>
      <c r="LNB91" s="1757"/>
      <c r="LNC91" s="1757"/>
      <c r="LND91" s="1757"/>
      <c r="LNE91" s="1757"/>
      <c r="LNF91" s="1757"/>
      <c r="LNG91" s="1757"/>
      <c r="LNH91" s="1757"/>
      <c r="LNI91" s="1757"/>
      <c r="LNJ91" s="1757"/>
      <c r="LNK91" s="1757"/>
      <c r="LNL91" s="1757"/>
      <c r="LNM91" s="1757"/>
      <c r="LNN91" s="1757"/>
      <c r="LNO91" s="1757"/>
      <c r="LNP91" s="1757"/>
      <c r="LNQ91" s="1757"/>
      <c r="LNR91" s="1757"/>
      <c r="LNS91" s="1757"/>
      <c r="LNT91" s="1757"/>
      <c r="LNU91" s="1757"/>
      <c r="LNV91" s="1757"/>
      <c r="LNW91" s="1757"/>
      <c r="LNX91" s="1757"/>
      <c r="LNY91" s="1757"/>
      <c r="LNZ91" s="1757"/>
      <c r="LOA91" s="1757"/>
      <c r="LOB91" s="1757"/>
      <c r="LOC91" s="1757"/>
      <c r="LOD91" s="1757"/>
      <c r="LOE91" s="1757"/>
      <c r="LOF91" s="1757"/>
      <c r="LOG91" s="1757"/>
      <c r="LOH91" s="1757"/>
      <c r="LOI91" s="1757"/>
      <c r="LOJ91" s="1757"/>
      <c r="LOK91" s="1757"/>
      <c r="LOL91" s="1757"/>
      <c r="LOM91" s="1757"/>
      <c r="LON91" s="1757"/>
      <c r="LOO91" s="1757"/>
      <c r="LOP91" s="1757"/>
      <c r="LOQ91" s="1757"/>
      <c r="LOR91" s="1757"/>
      <c r="LOS91" s="1757"/>
      <c r="LOT91" s="1757"/>
      <c r="LOU91" s="1757"/>
      <c r="LOV91" s="1757"/>
      <c r="LOW91" s="1757"/>
      <c r="LOX91" s="1757"/>
      <c r="LOY91" s="1757"/>
      <c r="LOZ91" s="1757"/>
      <c r="LPA91" s="1757"/>
      <c r="LPB91" s="1757"/>
      <c r="LPC91" s="1757"/>
      <c r="LPD91" s="1757"/>
      <c r="LPE91" s="1757"/>
      <c r="LPF91" s="1757"/>
      <c r="LPG91" s="1757"/>
      <c r="LPH91" s="1757"/>
      <c r="LPI91" s="1757"/>
      <c r="LPJ91" s="1757"/>
      <c r="LPK91" s="1757"/>
      <c r="LPL91" s="1757"/>
      <c r="LPM91" s="1757"/>
      <c r="LPN91" s="1757"/>
      <c r="LPO91" s="1757"/>
      <c r="LPP91" s="1757"/>
      <c r="LPQ91" s="1757"/>
      <c r="LPR91" s="1757"/>
      <c r="LPS91" s="1757"/>
      <c r="LPT91" s="1757"/>
      <c r="LPU91" s="1757"/>
      <c r="LPV91" s="1757"/>
      <c r="LPW91" s="1757"/>
      <c r="LPX91" s="1757"/>
      <c r="LPY91" s="1757"/>
      <c r="LPZ91" s="1757"/>
      <c r="LQA91" s="1757"/>
      <c r="LQB91" s="1757"/>
      <c r="LQC91" s="1757"/>
      <c r="LQD91" s="1757"/>
      <c r="LQE91" s="1757"/>
      <c r="LQF91" s="1757"/>
      <c r="LQG91" s="1757"/>
      <c r="LQH91" s="1757"/>
      <c r="LQI91" s="1757"/>
      <c r="LQJ91" s="1757"/>
      <c r="LQK91" s="1757"/>
      <c r="LQL91" s="1757"/>
      <c r="LQM91" s="1757"/>
      <c r="LQN91" s="1757"/>
      <c r="LQO91" s="1757"/>
      <c r="LQP91" s="1757"/>
      <c r="LQQ91" s="1757"/>
      <c r="LQR91" s="1757"/>
      <c r="LQS91" s="1757"/>
      <c r="LQT91" s="1757"/>
      <c r="LQU91" s="1757"/>
      <c r="LQV91" s="1757"/>
      <c r="LQW91" s="1757"/>
      <c r="LQX91" s="1757"/>
      <c r="LQY91" s="1757"/>
      <c r="LQZ91" s="1757"/>
      <c r="LRA91" s="1757"/>
      <c r="LRB91" s="1757"/>
      <c r="LRC91" s="1757"/>
      <c r="LRD91" s="1757"/>
      <c r="LRE91" s="1757"/>
      <c r="LRF91" s="1757"/>
      <c r="LRG91" s="1757"/>
      <c r="LRH91" s="1757"/>
      <c r="LRI91" s="1757"/>
      <c r="LRJ91" s="1757"/>
      <c r="LRK91" s="1757"/>
      <c r="LRL91" s="1757"/>
      <c r="LRM91" s="1757"/>
      <c r="LRN91" s="1757"/>
      <c r="LRO91" s="1757"/>
      <c r="LRP91" s="1757"/>
      <c r="LRQ91" s="1757"/>
      <c r="LRR91" s="1757"/>
      <c r="LRS91" s="1757"/>
      <c r="LRT91" s="1757"/>
      <c r="LRU91" s="1757"/>
      <c r="LRV91" s="1757"/>
      <c r="LRW91" s="1757"/>
      <c r="LRX91" s="1757"/>
      <c r="LRY91" s="1757"/>
      <c r="LRZ91" s="1757"/>
      <c r="LSA91" s="1757"/>
      <c r="LSB91" s="1757"/>
      <c r="LSC91" s="1757"/>
      <c r="LSD91" s="1757"/>
      <c r="LSE91" s="1757"/>
      <c r="LSF91" s="1757"/>
      <c r="LSG91" s="1757"/>
      <c r="LSH91" s="1757"/>
      <c r="LSI91" s="1757"/>
      <c r="LSJ91" s="1757"/>
      <c r="LSK91" s="1757"/>
      <c r="LSL91" s="1757"/>
      <c r="LSM91" s="1757"/>
      <c r="LSN91" s="1757"/>
      <c r="LSO91" s="1757"/>
      <c r="LSP91" s="1757"/>
      <c r="LSQ91" s="1757"/>
      <c r="LSR91" s="1757"/>
      <c r="LSS91" s="1757"/>
      <c r="LST91" s="1757"/>
      <c r="LSU91" s="1757"/>
      <c r="LSV91" s="1757"/>
      <c r="LSW91" s="1757"/>
      <c r="LSX91" s="1757"/>
      <c r="LSY91" s="1757"/>
      <c r="LSZ91" s="1757"/>
      <c r="LTA91" s="1757"/>
      <c r="LTB91" s="1757"/>
      <c r="LTC91" s="1757"/>
      <c r="LTD91" s="1757"/>
      <c r="LTE91" s="1757"/>
      <c r="LTF91" s="1757"/>
      <c r="LTG91" s="1757"/>
      <c r="LTH91" s="1757"/>
      <c r="LTI91" s="1757"/>
      <c r="LTJ91" s="1757"/>
      <c r="LTK91" s="1757"/>
      <c r="LTL91" s="1757"/>
      <c r="LTM91" s="1757"/>
      <c r="LTN91" s="1757"/>
      <c r="LTO91" s="1757"/>
      <c r="LTP91" s="1757"/>
      <c r="LTQ91" s="1757"/>
      <c r="LTR91" s="1757"/>
      <c r="LTS91" s="1757"/>
      <c r="LTT91" s="1757"/>
      <c r="LTU91" s="1757"/>
      <c r="LTV91" s="1757"/>
      <c r="LTW91" s="1757"/>
      <c r="LTX91" s="1757"/>
      <c r="LTY91" s="1757"/>
      <c r="LTZ91" s="1757"/>
      <c r="LUA91" s="1757"/>
      <c r="LUB91" s="1757"/>
      <c r="LUC91" s="1757"/>
      <c r="LUD91" s="1757"/>
      <c r="LUE91" s="1757"/>
      <c r="LUF91" s="1757"/>
      <c r="LUG91" s="1757"/>
      <c r="LUH91" s="1757"/>
      <c r="LUI91" s="1757"/>
      <c r="LUJ91" s="1757"/>
      <c r="LUK91" s="1757"/>
      <c r="LUL91" s="1757"/>
      <c r="LUM91" s="1757"/>
      <c r="LUN91" s="1757"/>
      <c r="LUO91" s="1757"/>
      <c r="LUP91" s="1757"/>
      <c r="LUQ91" s="1757"/>
      <c r="LUR91" s="1757"/>
      <c r="LUS91" s="1757"/>
      <c r="LUT91" s="1757"/>
      <c r="LUU91" s="1757"/>
      <c r="LUV91" s="1757"/>
      <c r="LUW91" s="1757"/>
      <c r="LUX91" s="1757"/>
      <c r="LUY91" s="1757"/>
      <c r="LUZ91" s="1757"/>
      <c r="LVA91" s="1757"/>
      <c r="LVB91" s="1757"/>
      <c r="LVC91" s="1757"/>
      <c r="LVD91" s="1757"/>
      <c r="LVE91" s="1757"/>
      <c r="LVF91" s="1757"/>
      <c r="LVG91" s="1757"/>
      <c r="LVH91" s="1757"/>
      <c r="LVI91" s="1757"/>
      <c r="LVJ91" s="1757"/>
      <c r="LVK91" s="1757"/>
      <c r="LVL91" s="1757"/>
      <c r="LVM91" s="1757"/>
      <c r="LVN91" s="1757"/>
      <c r="LVO91" s="1757"/>
      <c r="LVP91" s="1757"/>
      <c r="LVQ91" s="1757"/>
      <c r="LVR91" s="1757"/>
      <c r="LVS91" s="1757"/>
      <c r="LVT91" s="1757"/>
      <c r="LVU91" s="1757"/>
      <c r="LVV91" s="1757"/>
      <c r="LVW91" s="1757"/>
      <c r="LVX91" s="1757"/>
      <c r="LVY91" s="1757"/>
      <c r="LVZ91" s="1757"/>
      <c r="LWA91" s="1757"/>
      <c r="LWB91" s="1757"/>
      <c r="LWC91" s="1757"/>
      <c r="LWD91" s="1757"/>
      <c r="LWE91" s="1757"/>
      <c r="LWF91" s="1757"/>
      <c r="LWG91" s="1757"/>
      <c r="LWH91" s="1757"/>
      <c r="LWI91" s="1757"/>
      <c r="LWJ91" s="1757"/>
      <c r="LWK91" s="1757"/>
      <c r="LWL91" s="1757"/>
      <c r="LWM91" s="1757"/>
      <c r="LWN91" s="1757"/>
      <c r="LWO91" s="1757"/>
      <c r="LWP91" s="1757"/>
      <c r="LWQ91" s="1757"/>
      <c r="LWR91" s="1757"/>
      <c r="LWS91" s="1757"/>
      <c r="LWT91" s="1757"/>
      <c r="LWU91" s="1757"/>
      <c r="LWV91" s="1757"/>
      <c r="LWW91" s="1757"/>
      <c r="LWX91" s="1757"/>
      <c r="LWY91" s="1757"/>
      <c r="LWZ91" s="1757"/>
      <c r="LXA91" s="1757"/>
      <c r="LXB91" s="1757"/>
      <c r="LXC91" s="1757"/>
      <c r="LXD91" s="1757"/>
      <c r="LXE91" s="1757"/>
      <c r="LXF91" s="1757"/>
      <c r="LXG91" s="1757"/>
      <c r="LXH91" s="1757"/>
      <c r="LXI91" s="1757"/>
      <c r="LXJ91" s="1757"/>
      <c r="LXK91" s="1757"/>
      <c r="LXL91" s="1757"/>
      <c r="LXM91" s="1757"/>
      <c r="LXN91" s="1757"/>
      <c r="LXO91" s="1757"/>
      <c r="LXP91" s="1757"/>
      <c r="LXQ91" s="1757"/>
      <c r="LXR91" s="1757"/>
      <c r="LXS91" s="1757"/>
      <c r="LXT91" s="1757"/>
      <c r="LXU91" s="1757"/>
      <c r="LXV91" s="1757"/>
      <c r="LXW91" s="1757"/>
      <c r="LXX91" s="1757"/>
      <c r="LXY91" s="1757"/>
      <c r="LXZ91" s="1757"/>
      <c r="LYA91" s="1757"/>
      <c r="LYB91" s="1757"/>
      <c r="LYC91" s="1757"/>
      <c r="LYD91" s="1757"/>
      <c r="LYE91" s="1757"/>
      <c r="LYF91" s="1757"/>
      <c r="LYG91" s="1757"/>
      <c r="LYH91" s="1757"/>
      <c r="LYI91" s="1757"/>
      <c r="LYJ91" s="1757"/>
      <c r="LYK91" s="1757"/>
      <c r="LYL91" s="1757"/>
      <c r="LYM91" s="1757"/>
      <c r="LYN91" s="1757"/>
      <c r="LYO91" s="1757"/>
      <c r="LYP91" s="1757"/>
      <c r="LYQ91" s="1757"/>
      <c r="LYR91" s="1757"/>
      <c r="LYS91" s="1757"/>
      <c r="LYT91" s="1757"/>
      <c r="LYU91" s="1757"/>
      <c r="LYV91" s="1757"/>
      <c r="LYW91" s="1757"/>
      <c r="LYX91" s="1757"/>
      <c r="LYY91" s="1757"/>
      <c r="LYZ91" s="1757"/>
      <c r="LZA91" s="1757"/>
      <c r="LZB91" s="1757"/>
      <c r="LZC91" s="1757"/>
      <c r="LZD91" s="1757"/>
      <c r="LZE91" s="1757"/>
      <c r="LZF91" s="1757"/>
      <c r="LZG91" s="1757"/>
      <c r="LZH91" s="1757"/>
      <c r="LZI91" s="1757"/>
      <c r="LZJ91" s="1757"/>
      <c r="LZK91" s="1757"/>
      <c r="LZL91" s="1757"/>
      <c r="LZM91" s="1757"/>
      <c r="LZN91" s="1757"/>
      <c r="LZO91" s="1757"/>
      <c r="LZP91" s="1757"/>
      <c r="LZQ91" s="1757"/>
      <c r="LZR91" s="1757"/>
      <c r="LZS91" s="1757"/>
      <c r="LZT91" s="1757"/>
      <c r="LZU91" s="1757"/>
      <c r="LZV91" s="1757"/>
      <c r="LZW91" s="1757"/>
      <c r="LZX91" s="1757"/>
      <c r="LZY91" s="1757"/>
      <c r="LZZ91" s="1757"/>
      <c r="MAA91" s="1757"/>
      <c r="MAB91" s="1757"/>
      <c r="MAC91" s="1757"/>
      <c r="MAD91" s="1757"/>
      <c r="MAE91" s="1757"/>
      <c r="MAF91" s="1757"/>
      <c r="MAG91" s="1757"/>
      <c r="MAH91" s="1757"/>
      <c r="MAI91" s="1757"/>
      <c r="MAJ91" s="1757"/>
      <c r="MAK91" s="1757"/>
      <c r="MAL91" s="1757"/>
      <c r="MAM91" s="1757"/>
      <c r="MAN91" s="1757"/>
      <c r="MAO91" s="1757"/>
      <c r="MAP91" s="1757"/>
      <c r="MAQ91" s="1757"/>
      <c r="MAR91" s="1757"/>
      <c r="MAS91" s="1757"/>
      <c r="MAT91" s="1757"/>
      <c r="MAU91" s="1757"/>
      <c r="MAV91" s="1757"/>
      <c r="MAW91" s="1757"/>
      <c r="MAX91" s="1757"/>
      <c r="MAY91" s="1757"/>
      <c r="MAZ91" s="1757"/>
      <c r="MBA91" s="1757"/>
      <c r="MBB91" s="1757"/>
      <c r="MBC91" s="1757"/>
      <c r="MBD91" s="1757"/>
      <c r="MBE91" s="1757"/>
      <c r="MBF91" s="1757"/>
      <c r="MBG91" s="1757"/>
      <c r="MBH91" s="1757"/>
      <c r="MBI91" s="1757"/>
      <c r="MBJ91" s="1757"/>
      <c r="MBK91" s="1757"/>
      <c r="MBL91" s="1757"/>
      <c r="MBM91" s="1757"/>
      <c r="MBN91" s="1757"/>
      <c r="MBO91" s="1757"/>
      <c r="MBP91" s="1757"/>
      <c r="MBQ91" s="1757"/>
      <c r="MBR91" s="1757"/>
      <c r="MBS91" s="1757"/>
      <c r="MBT91" s="1757"/>
      <c r="MBU91" s="1757"/>
      <c r="MBV91" s="1757"/>
      <c r="MBW91" s="1757"/>
      <c r="MBX91" s="1757"/>
      <c r="MBY91" s="1757"/>
      <c r="MBZ91" s="1757"/>
      <c r="MCA91" s="1757"/>
      <c r="MCB91" s="1757"/>
      <c r="MCC91" s="1757"/>
      <c r="MCD91" s="1757"/>
      <c r="MCE91" s="1757"/>
      <c r="MCF91" s="1757"/>
      <c r="MCG91" s="1757"/>
      <c r="MCH91" s="1757"/>
      <c r="MCI91" s="1757"/>
      <c r="MCJ91" s="1757"/>
      <c r="MCK91" s="1757"/>
      <c r="MCL91" s="1757"/>
      <c r="MCM91" s="1757"/>
      <c r="MCN91" s="1757"/>
      <c r="MCO91" s="1757"/>
      <c r="MCP91" s="1757"/>
      <c r="MCQ91" s="1757"/>
      <c r="MCR91" s="1757"/>
      <c r="MCS91" s="1757"/>
      <c r="MCT91" s="1757"/>
      <c r="MCU91" s="1757"/>
      <c r="MCV91" s="1757"/>
      <c r="MCW91" s="1757"/>
      <c r="MCX91" s="1757"/>
      <c r="MCY91" s="1757"/>
      <c r="MCZ91" s="1757"/>
      <c r="MDA91" s="1757"/>
      <c r="MDB91" s="1757"/>
      <c r="MDC91" s="1757"/>
      <c r="MDD91" s="1757"/>
      <c r="MDE91" s="1757"/>
      <c r="MDF91" s="1757"/>
      <c r="MDG91" s="1757"/>
      <c r="MDH91" s="1757"/>
      <c r="MDI91" s="1757"/>
      <c r="MDJ91" s="1757"/>
      <c r="MDK91" s="1757"/>
      <c r="MDL91" s="1757"/>
      <c r="MDM91" s="1757"/>
      <c r="MDN91" s="1757"/>
      <c r="MDO91" s="1757"/>
      <c r="MDP91" s="1757"/>
      <c r="MDQ91" s="1757"/>
      <c r="MDR91" s="1757"/>
      <c r="MDS91" s="1757"/>
      <c r="MDT91" s="1757"/>
      <c r="MDU91" s="1757"/>
      <c r="MDV91" s="1757"/>
      <c r="MDW91" s="1757"/>
      <c r="MDX91" s="1757"/>
      <c r="MDY91" s="1757"/>
      <c r="MDZ91" s="1757"/>
      <c r="MEA91" s="1757"/>
      <c r="MEB91" s="1757"/>
      <c r="MEC91" s="1757"/>
      <c r="MED91" s="1757"/>
      <c r="MEE91" s="1757"/>
      <c r="MEF91" s="1757"/>
      <c r="MEG91" s="1757"/>
      <c r="MEH91" s="1757"/>
      <c r="MEI91" s="1757"/>
      <c r="MEJ91" s="1757"/>
      <c r="MEK91" s="1757"/>
      <c r="MEL91" s="1757"/>
      <c r="MEM91" s="1757"/>
      <c r="MEN91" s="1757"/>
      <c r="MEO91" s="1757"/>
      <c r="MEP91" s="1757"/>
      <c r="MEQ91" s="1757"/>
      <c r="MER91" s="1757"/>
      <c r="MES91" s="1757"/>
      <c r="MET91" s="1757"/>
      <c r="MEU91" s="1757"/>
      <c r="MEV91" s="1757"/>
      <c r="MEW91" s="1757"/>
      <c r="MEX91" s="1757"/>
      <c r="MEY91" s="1757"/>
      <c r="MEZ91" s="1757"/>
      <c r="MFA91" s="1757"/>
      <c r="MFB91" s="1757"/>
      <c r="MFC91" s="1757"/>
      <c r="MFD91" s="1757"/>
      <c r="MFE91" s="1757"/>
      <c r="MFF91" s="1757"/>
      <c r="MFG91" s="1757"/>
      <c r="MFH91" s="1757"/>
      <c r="MFI91" s="1757"/>
      <c r="MFJ91" s="1757"/>
      <c r="MFK91" s="1757"/>
      <c r="MFL91" s="1757"/>
      <c r="MFM91" s="1757"/>
      <c r="MFN91" s="1757"/>
      <c r="MFO91" s="1757"/>
      <c r="MFP91" s="1757"/>
      <c r="MFQ91" s="1757"/>
      <c r="MFR91" s="1757"/>
      <c r="MFS91" s="1757"/>
      <c r="MFT91" s="1757"/>
      <c r="MFU91" s="1757"/>
      <c r="MFV91" s="1757"/>
      <c r="MFW91" s="1757"/>
      <c r="MFX91" s="1757"/>
      <c r="MFY91" s="1757"/>
      <c r="MFZ91" s="1757"/>
      <c r="MGA91" s="1757"/>
      <c r="MGB91" s="1757"/>
      <c r="MGC91" s="1757"/>
      <c r="MGD91" s="1757"/>
      <c r="MGE91" s="1757"/>
      <c r="MGF91" s="1757"/>
      <c r="MGG91" s="1757"/>
      <c r="MGH91" s="1757"/>
      <c r="MGI91" s="1757"/>
      <c r="MGJ91" s="1757"/>
      <c r="MGK91" s="1757"/>
      <c r="MGL91" s="1757"/>
      <c r="MGM91" s="1757"/>
      <c r="MGN91" s="1757"/>
      <c r="MGO91" s="1757"/>
      <c r="MGP91" s="1757"/>
      <c r="MGQ91" s="1757"/>
      <c r="MGR91" s="1757"/>
      <c r="MGS91" s="1757"/>
      <c r="MGT91" s="1757"/>
      <c r="MGU91" s="1757"/>
      <c r="MGV91" s="1757"/>
      <c r="MGW91" s="1757"/>
      <c r="MGX91" s="1757"/>
      <c r="MGY91" s="1757"/>
      <c r="MGZ91" s="1757"/>
      <c r="MHA91" s="1757"/>
      <c r="MHB91" s="1757"/>
      <c r="MHC91" s="1757"/>
      <c r="MHD91" s="1757"/>
      <c r="MHE91" s="1757"/>
      <c r="MHF91" s="1757"/>
      <c r="MHG91" s="1757"/>
      <c r="MHH91" s="1757"/>
      <c r="MHI91" s="1757"/>
      <c r="MHJ91" s="1757"/>
      <c r="MHK91" s="1757"/>
      <c r="MHL91" s="1757"/>
      <c r="MHM91" s="1757"/>
      <c r="MHN91" s="1757"/>
      <c r="MHO91" s="1757"/>
      <c r="MHP91" s="1757"/>
      <c r="MHQ91" s="1757"/>
      <c r="MHR91" s="1757"/>
      <c r="MHS91" s="1757"/>
      <c r="MHT91" s="1757"/>
      <c r="MHU91" s="1757"/>
      <c r="MHV91" s="1757"/>
      <c r="MHW91" s="1757"/>
      <c r="MHX91" s="1757"/>
      <c r="MHY91" s="1757"/>
      <c r="MHZ91" s="1757"/>
      <c r="MIA91" s="1757"/>
      <c r="MIB91" s="1757"/>
      <c r="MIC91" s="1757"/>
      <c r="MID91" s="1757"/>
      <c r="MIE91" s="1757"/>
      <c r="MIF91" s="1757"/>
      <c r="MIG91" s="1757"/>
      <c r="MIH91" s="1757"/>
      <c r="MII91" s="1757"/>
      <c r="MIJ91" s="1757"/>
      <c r="MIK91" s="1757"/>
      <c r="MIL91" s="1757"/>
      <c r="MIM91" s="1757"/>
      <c r="MIN91" s="1757"/>
      <c r="MIO91" s="1757"/>
      <c r="MIP91" s="1757"/>
      <c r="MIQ91" s="1757"/>
      <c r="MIR91" s="1757"/>
      <c r="MIS91" s="1757"/>
      <c r="MIT91" s="1757"/>
      <c r="MIU91" s="1757"/>
      <c r="MIV91" s="1757"/>
      <c r="MIW91" s="1757"/>
      <c r="MIX91" s="1757"/>
      <c r="MIY91" s="1757"/>
      <c r="MIZ91" s="1757"/>
      <c r="MJA91" s="1757"/>
      <c r="MJB91" s="1757"/>
      <c r="MJC91" s="1757"/>
      <c r="MJD91" s="1757"/>
      <c r="MJE91" s="1757"/>
      <c r="MJF91" s="1757"/>
      <c r="MJG91" s="1757"/>
      <c r="MJH91" s="1757"/>
      <c r="MJI91" s="1757"/>
      <c r="MJJ91" s="1757"/>
      <c r="MJK91" s="1757"/>
      <c r="MJL91" s="1757"/>
      <c r="MJM91" s="1757"/>
      <c r="MJN91" s="1757"/>
      <c r="MJO91" s="1757"/>
      <c r="MJP91" s="1757"/>
      <c r="MJQ91" s="1757"/>
      <c r="MJR91" s="1757"/>
      <c r="MJS91" s="1757"/>
      <c r="MJT91" s="1757"/>
      <c r="MJU91" s="1757"/>
      <c r="MJV91" s="1757"/>
      <c r="MJW91" s="1757"/>
      <c r="MJX91" s="1757"/>
      <c r="MJY91" s="1757"/>
      <c r="MJZ91" s="1757"/>
      <c r="MKA91" s="1757"/>
      <c r="MKB91" s="1757"/>
      <c r="MKC91" s="1757"/>
      <c r="MKD91" s="1757"/>
      <c r="MKE91" s="1757"/>
      <c r="MKF91" s="1757"/>
      <c r="MKG91" s="1757"/>
      <c r="MKH91" s="1757"/>
      <c r="MKI91" s="1757"/>
      <c r="MKJ91" s="1757"/>
      <c r="MKK91" s="1757"/>
      <c r="MKL91" s="1757"/>
      <c r="MKM91" s="1757"/>
      <c r="MKN91" s="1757"/>
      <c r="MKO91" s="1757"/>
      <c r="MKP91" s="1757"/>
      <c r="MKQ91" s="1757"/>
      <c r="MKR91" s="1757"/>
      <c r="MKS91" s="1757"/>
      <c r="MKT91" s="1757"/>
      <c r="MKU91" s="1757"/>
      <c r="MKV91" s="1757"/>
      <c r="MKW91" s="1757"/>
      <c r="MKX91" s="1757"/>
      <c r="MKY91" s="1757"/>
      <c r="MKZ91" s="1757"/>
      <c r="MLA91" s="1757"/>
      <c r="MLB91" s="1757"/>
      <c r="MLC91" s="1757"/>
      <c r="MLD91" s="1757"/>
      <c r="MLE91" s="1757"/>
      <c r="MLF91" s="1757"/>
      <c r="MLG91" s="1757"/>
      <c r="MLH91" s="1757"/>
      <c r="MLI91" s="1757"/>
      <c r="MLJ91" s="1757"/>
      <c r="MLK91" s="1757"/>
      <c r="MLL91" s="1757"/>
      <c r="MLM91" s="1757"/>
      <c r="MLN91" s="1757"/>
      <c r="MLO91" s="1757"/>
      <c r="MLP91" s="1757"/>
      <c r="MLQ91" s="1757"/>
      <c r="MLR91" s="1757"/>
      <c r="MLS91" s="1757"/>
      <c r="MLT91" s="1757"/>
      <c r="MLU91" s="1757"/>
      <c r="MLV91" s="1757"/>
      <c r="MLW91" s="1757"/>
      <c r="MLX91" s="1757"/>
      <c r="MLY91" s="1757"/>
      <c r="MLZ91" s="1757"/>
      <c r="MMA91" s="1757"/>
      <c r="MMB91" s="1757"/>
      <c r="MMC91" s="1757"/>
      <c r="MMD91" s="1757"/>
      <c r="MME91" s="1757"/>
      <c r="MMF91" s="1757"/>
      <c r="MMG91" s="1757"/>
      <c r="MMH91" s="1757"/>
      <c r="MMI91" s="1757"/>
      <c r="MMJ91" s="1757"/>
      <c r="MMK91" s="1757"/>
      <c r="MML91" s="1757"/>
      <c r="MMM91" s="1757"/>
      <c r="MMN91" s="1757"/>
      <c r="MMO91" s="1757"/>
      <c r="MMP91" s="1757"/>
      <c r="MMQ91" s="1757"/>
      <c r="MMR91" s="1757"/>
      <c r="MMS91" s="1757"/>
      <c r="MMT91" s="1757"/>
      <c r="MMU91" s="1757"/>
      <c r="MMV91" s="1757"/>
      <c r="MMW91" s="1757"/>
      <c r="MMX91" s="1757"/>
      <c r="MMY91" s="1757"/>
      <c r="MMZ91" s="1757"/>
      <c r="MNA91" s="1757"/>
      <c r="MNB91" s="1757"/>
      <c r="MNC91" s="1757"/>
      <c r="MND91" s="1757"/>
      <c r="MNE91" s="1757"/>
      <c r="MNF91" s="1757"/>
      <c r="MNG91" s="1757"/>
      <c r="MNH91" s="1757"/>
      <c r="MNI91" s="1757"/>
      <c r="MNJ91" s="1757"/>
      <c r="MNK91" s="1757"/>
      <c r="MNL91" s="1757"/>
      <c r="MNM91" s="1757"/>
      <c r="MNN91" s="1757"/>
      <c r="MNO91" s="1757"/>
      <c r="MNP91" s="1757"/>
      <c r="MNQ91" s="1757"/>
      <c r="MNR91" s="1757"/>
      <c r="MNS91" s="1757"/>
      <c r="MNT91" s="1757"/>
      <c r="MNU91" s="1757"/>
      <c r="MNV91" s="1757"/>
      <c r="MNW91" s="1757"/>
      <c r="MNX91" s="1757"/>
      <c r="MNY91" s="1757"/>
      <c r="MNZ91" s="1757"/>
      <c r="MOA91" s="1757"/>
      <c r="MOB91" s="1757"/>
      <c r="MOC91" s="1757"/>
      <c r="MOD91" s="1757"/>
      <c r="MOE91" s="1757"/>
      <c r="MOF91" s="1757"/>
      <c r="MOG91" s="1757"/>
      <c r="MOH91" s="1757"/>
      <c r="MOI91" s="1757"/>
      <c r="MOJ91" s="1757"/>
      <c r="MOK91" s="1757"/>
      <c r="MOL91" s="1757"/>
      <c r="MOM91" s="1757"/>
      <c r="MON91" s="1757"/>
      <c r="MOO91" s="1757"/>
      <c r="MOP91" s="1757"/>
      <c r="MOQ91" s="1757"/>
      <c r="MOR91" s="1757"/>
      <c r="MOS91" s="1757"/>
      <c r="MOT91" s="1757"/>
      <c r="MOU91" s="1757"/>
      <c r="MOV91" s="1757"/>
      <c r="MOW91" s="1757"/>
      <c r="MOX91" s="1757"/>
      <c r="MOY91" s="1757"/>
      <c r="MOZ91" s="1757"/>
      <c r="MPA91" s="1757"/>
      <c r="MPB91" s="1757"/>
      <c r="MPC91" s="1757"/>
      <c r="MPD91" s="1757"/>
      <c r="MPE91" s="1757"/>
      <c r="MPF91" s="1757"/>
      <c r="MPG91" s="1757"/>
      <c r="MPH91" s="1757"/>
      <c r="MPI91" s="1757"/>
      <c r="MPJ91" s="1757"/>
      <c r="MPK91" s="1757"/>
      <c r="MPL91" s="1757"/>
      <c r="MPM91" s="1757"/>
      <c r="MPN91" s="1757"/>
      <c r="MPO91" s="1757"/>
      <c r="MPP91" s="1757"/>
      <c r="MPQ91" s="1757"/>
      <c r="MPR91" s="1757"/>
      <c r="MPS91" s="1757"/>
      <c r="MPT91" s="1757"/>
      <c r="MPU91" s="1757"/>
      <c r="MPV91" s="1757"/>
      <c r="MPW91" s="1757"/>
      <c r="MPX91" s="1757"/>
      <c r="MPY91" s="1757"/>
      <c r="MPZ91" s="1757"/>
      <c r="MQA91" s="1757"/>
      <c r="MQB91" s="1757"/>
      <c r="MQC91" s="1757"/>
      <c r="MQD91" s="1757"/>
      <c r="MQE91" s="1757"/>
      <c r="MQF91" s="1757"/>
      <c r="MQG91" s="1757"/>
      <c r="MQH91" s="1757"/>
      <c r="MQI91" s="1757"/>
      <c r="MQJ91" s="1757"/>
      <c r="MQK91" s="1757"/>
      <c r="MQL91" s="1757"/>
      <c r="MQM91" s="1757"/>
      <c r="MQN91" s="1757"/>
      <c r="MQO91" s="1757"/>
      <c r="MQP91" s="1757"/>
      <c r="MQQ91" s="1757"/>
      <c r="MQR91" s="1757"/>
      <c r="MQS91" s="1757"/>
      <c r="MQT91" s="1757"/>
      <c r="MQU91" s="1757"/>
      <c r="MQV91" s="1757"/>
      <c r="MQW91" s="1757"/>
      <c r="MQX91" s="1757"/>
      <c r="MQY91" s="1757"/>
      <c r="MQZ91" s="1757"/>
      <c r="MRA91" s="1757"/>
      <c r="MRB91" s="1757"/>
      <c r="MRC91" s="1757"/>
      <c r="MRD91" s="1757"/>
      <c r="MRE91" s="1757"/>
      <c r="MRF91" s="1757"/>
      <c r="MRG91" s="1757"/>
      <c r="MRH91" s="1757"/>
      <c r="MRI91" s="1757"/>
      <c r="MRJ91" s="1757"/>
      <c r="MRK91" s="1757"/>
      <c r="MRL91" s="1757"/>
      <c r="MRM91" s="1757"/>
      <c r="MRN91" s="1757"/>
      <c r="MRO91" s="1757"/>
      <c r="MRP91" s="1757"/>
      <c r="MRQ91" s="1757"/>
      <c r="MRR91" s="1757"/>
      <c r="MRS91" s="1757"/>
      <c r="MRT91" s="1757"/>
      <c r="MRU91" s="1757"/>
      <c r="MRV91" s="1757"/>
      <c r="MRW91" s="1757"/>
      <c r="MRX91" s="1757"/>
      <c r="MRY91" s="1757"/>
      <c r="MRZ91" s="1757"/>
      <c r="MSA91" s="1757"/>
      <c r="MSB91" s="1757"/>
      <c r="MSC91" s="1757"/>
      <c r="MSD91" s="1757"/>
      <c r="MSE91" s="1757"/>
      <c r="MSF91" s="1757"/>
      <c r="MSG91" s="1757"/>
      <c r="MSH91" s="1757"/>
      <c r="MSI91" s="1757"/>
      <c r="MSJ91" s="1757"/>
      <c r="MSK91" s="1757"/>
      <c r="MSL91" s="1757"/>
      <c r="MSM91" s="1757"/>
      <c r="MSN91" s="1757"/>
      <c r="MSO91" s="1757"/>
      <c r="MSP91" s="1757"/>
      <c r="MSQ91" s="1757"/>
      <c r="MSR91" s="1757"/>
      <c r="MSS91" s="1757"/>
      <c r="MST91" s="1757"/>
      <c r="MSU91" s="1757"/>
      <c r="MSV91" s="1757"/>
      <c r="MSW91" s="1757"/>
      <c r="MSX91" s="1757"/>
      <c r="MSY91" s="1757"/>
      <c r="MSZ91" s="1757"/>
      <c r="MTA91" s="1757"/>
      <c r="MTB91" s="1757"/>
      <c r="MTC91" s="1757"/>
      <c r="MTD91" s="1757"/>
      <c r="MTE91" s="1757"/>
      <c r="MTF91" s="1757"/>
      <c r="MTG91" s="1757"/>
      <c r="MTH91" s="1757"/>
      <c r="MTI91" s="1757"/>
      <c r="MTJ91" s="1757"/>
      <c r="MTK91" s="1757"/>
      <c r="MTL91" s="1757"/>
      <c r="MTM91" s="1757"/>
      <c r="MTN91" s="1757"/>
      <c r="MTO91" s="1757"/>
      <c r="MTP91" s="1757"/>
      <c r="MTQ91" s="1757"/>
      <c r="MTR91" s="1757"/>
      <c r="MTS91" s="1757"/>
      <c r="MTT91" s="1757"/>
      <c r="MTU91" s="1757"/>
      <c r="MTV91" s="1757"/>
      <c r="MTW91" s="1757"/>
      <c r="MTX91" s="1757"/>
      <c r="MTY91" s="1757"/>
      <c r="MTZ91" s="1757"/>
      <c r="MUA91" s="1757"/>
      <c r="MUB91" s="1757"/>
      <c r="MUC91" s="1757"/>
      <c r="MUD91" s="1757"/>
      <c r="MUE91" s="1757"/>
      <c r="MUF91" s="1757"/>
      <c r="MUG91" s="1757"/>
      <c r="MUH91" s="1757"/>
      <c r="MUI91" s="1757"/>
      <c r="MUJ91" s="1757"/>
      <c r="MUK91" s="1757"/>
      <c r="MUL91" s="1757"/>
      <c r="MUM91" s="1757"/>
      <c r="MUN91" s="1757"/>
      <c r="MUO91" s="1757"/>
      <c r="MUP91" s="1757"/>
      <c r="MUQ91" s="1757"/>
      <c r="MUR91" s="1757"/>
      <c r="MUS91" s="1757"/>
      <c r="MUT91" s="1757"/>
      <c r="MUU91" s="1757"/>
      <c r="MUV91" s="1757"/>
      <c r="MUW91" s="1757"/>
      <c r="MUX91" s="1757"/>
      <c r="MUY91" s="1757"/>
      <c r="MUZ91" s="1757"/>
      <c r="MVA91" s="1757"/>
      <c r="MVB91" s="1757"/>
      <c r="MVC91" s="1757"/>
      <c r="MVD91" s="1757"/>
      <c r="MVE91" s="1757"/>
      <c r="MVF91" s="1757"/>
      <c r="MVG91" s="1757"/>
      <c r="MVH91" s="1757"/>
      <c r="MVI91" s="1757"/>
      <c r="MVJ91" s="1757"/>
      <c r="MVK91" s="1757"/>
      <c r="MVL91" s="1757"/>
      <c r="MVM91" s="1757"/>
      <c r="MVN91" s="1757"/>
      <c r="MVO91" s="1757"/>
      <c r="MVP91" s="1757"/>
      <c r="MVQ91" s="1757"/>
      <c r="MVR91" s="1757"/>
      <c r="MVS91" s="1757"/>
      <c r="MVT91" s="1757"/>
      <c r="MVU91" s="1757"/>
      <c r="MVV91" s="1757"/>
      <c r="MVW91" s="1757"/>
      <c r="MVX91" s="1757"/>
      <c r="MVY91" s="1757"/>
      <c r="MVZ91" s="1757"/>
      <c r="MWA91" s="1757"/>
      <c r="MWB91" s="1757"/>
      <c r="MWC91" s="1757"/>
      <c r="MWD91" s="1757"/>
      <c r="MWE91" s="1757"/>
      <c r="MWF91" s="1757"/>
      <c r="MWG91" s="1757"/>
      <c r="MWH91" s="1757"/>
      <c r="MWI91" s="1757"/>
      <c r="MWJ91" s="1757"/>
      <c r="MWK91" s="1757"/>
      <c r="MWL91" s="1757"/>
      <c r="MWM91" s="1757"/>
      <c r="MWN91" s="1757"/>
      <c r="MWO91" s="1757"/>
      <c r="MWP91" s="1757"/>
      <c r="MWQ91" s="1757"/>
      <c r="MWR91" s="1757"/>
      <c r="MWS91" s="1757"/>
      <c r="MWT91" s="1757"/>
      <c r="MWU91" s="1757"/>
      <c r="MWV91" s="1757"/>
      <c r="MWW91" s="1757"/>
      <c r="MWX91" s="1757"/>
      <c r="MWY91" s="1757"/>
      <c r="MWZ91" s="1757"/>
      <c r="MXA91" s="1757"/>
      <c r="MXB91" s="1757"/>
      <c r="MXC91" s="1757"/>
      <c r="MXD91" s="1757"/>
      <c r="MXE91" s="1757"/>
      <c r="MXF91" s="1757"/>
      <c r="MXG91" s="1757"/>
      <c r="MXH91" s="1757"/>
      <c r="MXI91" s="1757"/>
      <c r="MXJ91" s="1757"/>
      <c r="MXK91" s="1757"/>
      <c r="MXL91" s="1757"/>
      <c r="MXM91" s="1757"/>
      <c r="MXN91" s="1757"/>
      <c r="MXO91" s="1757"/>
      <c r="MXP91" s="1757"/>
      <c r="MXQ91" s="1757"/>
      <c r="MXR91" s="1757"/>
      <c r="MXS91" s="1757"/>
      <c r="MXT91" s="1757"/>
      <c r="MXU91" s="1757"/>
      <c r="MXV91" s="1757"/>
      <c r="MXW91" s="1757"/>
      <c r="MXX91" s="1757"/>
      <c r="MXY91" s="1757"/>
      <c r="MXZ91" s="1757"/>
      <c r="MYA91" s="1757"/>
      <c r="MYB91" s="1757"/>
      <c r="MYC91" s="1757"/>
      <c r="MYD91" s="1757"/>
      <c r="MYE91" s="1757"/>
      <c r="MYF91" s="1757"/>
      <c r="MYG91" s="1757"/>
      <c r="MYH91" s="1757"/>
      <c r="MYI91" s="1757"/>
      <c r="MYJ91" s="1757"/>
      <c r="MYK91" s="1757"/>
      <c r="MYL91" s="1757"/>
      <c r="MYM91" s="1757"/>
      <c r="MYN91" s="1757"/>
      <c r="MYO91" s="1757"/>
      <c r="MYP91" s="1757"/>
      <c r="MYQ91" s="1757"/>
      <c r="MYR91" s="1757"/>
      <c r="MYS91" s="1757"/>
      <c r="MYT91" s="1757"/>
      <c r="MYU91" s="1757"/>
      <c r="MYV91" s="1757"/>
      <c r="MYW91" s="1757"/>
      <c r="MYX91" s="1757"/>
      <c r="MYY91" s="1757"/>
      <c r="MYZ91" s="1757"/>
      <c r="MZA91" s="1757"/>
      <c r="MZB91" s="1757"/>
      <c r="MZC91" s="1757"/>
      <c r="MZD91" s="1757"/>
      <c r="MZE91" s="1757"/>
      <c r="MZF91" s="1757"/>
      <c r="MZG91" s="1757"/>
      <c r="MZH91" s="1757"/>
      <c r="MZI91" s="1757"/>
      <c r="MZJ91" s="1757"/>
      <c r="MZK91" s="1757"/>
      <c r="MZL91" s="1757"/>
      <c r="MZM91" s="1757"/>
      <c r="MZN91" s="1757"/>
      <c r="MZO91" s="1757"/>
      <c r="MZP91" s="1757"/>
      <c r="MZQ91" s="1757"/>
      <c r="MZR91" s="1757"/>
      <c r="MZS91" s="1757"/>
      <c r="MZT91" s="1757"/>
      <c r="MZU91" s="1757"/>
      <c r="MZV91" s="1757"/>
      <c r="MZW91" s="1757"/>
      <c r="MZX91" s="1757"/>
      <c r="MZY91" s="1757"/>
      <c r="MZZ91" s="1757"/>
      <c r="NAA91" s="1757"/>
      <c r="NAB91" s="1757"/>
      <c r="NAC91" s="1757"/>
      <c r="NAD91" s="1757"/>
      <c r="NAE91" s="1757"/>
      <c r="NAF91" s="1757"/>
      <c r="NAG91" s="1757"/>
      <c r="NAH91" s="1757"/>
      <c r="NAI91" s="1757"/>
      <c r="NAJ91" s="1757"/>
      <c r="NAK91" s="1757"/>
      <c r="NAL91" s="1757"/>
      <c r="NAM91" s="1757"/>
      <c r="NAN91" s="1757"/>
      <c r="NAO91" s="1757"/>
      <c r="NAP91" s="1757"/>
      <c r="NAQ91" s="1757"/>
      <c r="NAR91" s="1757"/>
      <c r="NAS91" s="1757"/>
      <c r="NAT91" s="1757"/>
      <c r="NAU91" s="1757"/>
      <c r="NAV91" s="1757"/>
      <c r="NAW91" s="1757"/>
      <c r="NAX91" s="1757"/>
      <c r="NAY91" s="1757"/>
      <c r="NAZ91" s="1757"/>
      <c r="NBA91" s="1757"/>
      <c r="NBB91" s="1757"/>
      <c r="NBC91" s="1757"/>
      <c r="NBD91" s="1757"/>
      <c r="NBE91" s="1757"/>
      <c r="NBF91" s="1757"/>
      <c r="NBG91" s="1757"/>
      <c r="NBH91" s="1757"/>
      <c r="NBI91" s="1757"/>
      <c r="NBJ91" s="1757"/>
      <c r="NBK91" s="1757"/>
      <c r="NBL91" s="1757"/>
      <c r="NBM91" s="1757"/>
      <c r="NBN91" s="1757"/>
      <c r="NBO91" s="1757"/>
      <c r="NBP91" s="1757"/>
      <c r="NBQ91" s="1757"/>
      <c r="NBR91" s="1757"/>
      <c r="NBS91" s="1757"/>
      <c r="NBT91" s="1757"/>
      <c r="NBU91" s="1757"/>
      <c r="NBV91" s="1757"/>
      <c r="NBW91" s="1757"/>
      <c r="NBX91" s="1757"/>
      <c r="NBY91" s="1757"/>
      <c r="NBZ91" s="1757"/>
      <c r="NCA91" s="1757"/>
      <c r="NCB91" s="1757"/>
      <c r="NCC91" s="1757"/>
      <c r="NCD91" s="1757"/>
      <c r="NCE91" s="1757"/>
      <c r="NCF91" s="1757"/>
      <c r="NCG91" s="1757"/>
      <c r="NCH91" s="1757"/>
      <c r="NCI91" s="1757"/>
      <c r="NCJ91" s="1757"/>
      <c r="NCK91" s="1757"/>
      <c r="NCL91" s="1757"/>
      <c r="NCM91" s="1757"/>
      <c r="NCN91" s="1757"/>
      <c r="NCO91" s="1757"/>
      <c r="NCP91" s="1757"/>
      <c r="NCQ91" s="1757"/>
      <c r="NCR91" s="1757"/>
      <c r="NCS91" s="1757"/>
      <c r="NCT91" s="1757"/>
      <c r="NCU91" s="1757"/>
      <c r="NCV91" s="1757"/>
      <c r="NCW91" s="1757"/>
      <c r="NCX91" s="1757"/>
      <c r="NCY91" s="1757"/>
      <c r="NCZ91" s="1757"/>
      <c r="NDA91" s="1757"/>
      <c r="NDB91" s="1757"/>
      <c r="NDC91" s="1757"/>
      <c r="NDD91" s="1757"/>
      <c r="NDE91" s="1757"/>
      <c r="NDF91" s="1757"/>
      <c r="NDG91" s="1757"/>
      <c r="NDH91" s="1757"/>
      <c r="NDI91" s="1757"/>
      <c r="NDJ91" s="1757"/>
      <c r="NDK91" s="1757"/>
      <c r="NDL91" s="1757"/>
      <c r="NDM91" s="1757"/>
      <c r="NDN91" s="1757"/>
      <c r="NDO91" s="1757"/>
      <c r="NDP91" s="1757"/>
      <c r="NDQ91" s="1757"/>
      <c r="NDR91" s="1757"/>
      <c r="NDS91" s="1757"/>
      <c r="NDT91" s="1757"/>
      <c r="NDU91" s="1757"/>
      <c r="NDV91" s="1757"/>
      <c r="NDW91" s="1757"/>
      <c r="NDX91" s="1757"/>
      <c r="NDY91" s="1757"/>
      <c r="NDZ91" s="1757"/>
      <c r="NEA91" s="1757"/>
      <c r="NEB91" s="1757"/>
      <c r="NEC91" s="1757"/>
      <c r="NED91" s="1757"/>
      <c r="NEE91" s="1757"/>
      <c r="NEF91" s="1757"/>
      <c r="NEG91" s="1757"/>
      <c r="NEH91" s="1757"/>
      <c r="NEI91" s="1757"/>
      <c r="NEJ91" s="1757"/>
      <c r="NEK91" s="1757"/>
      <c r="NEL91" s="1757"/>
      <c r="NEM91" s="1757"/>
      <c r="NEN91" s="1757"/>
      <c r="NEO91" s="1757"/>
      <c r="NEP91" s="1757"/>
      <c r="NEQ91" s="1757"/>
      <c r="NER91" s="1757"/>
      <c r="NES91" s="1757"/>
      <c r="NET91" s="1757"/>
      <c r="NEU91" s="1757"/>
      <c r="NEV91" s="1757"/>
      <c r="NEW91" s="1757"/>
      <c r="NEX91" s="1757"/>
      <c r="NEY91" s="1757"/>
      <c r="NEZ91" s="1757"/>
      <c r="NFA91" s="1757"/>
      <c r="NFB91" s="1757"/>
      <c r="NFC91" s="1757"/>
      <c r="NFD91" s="1757"/>
      <c r="NFE91" s="1757"/>
      <c r="NFF91" s="1757"/>
      <c r="NFG91" s="1757"/>
      <c r="NFH91" s="1757"/>
      <c r="NFI91" s="1757"/>
      <c r="NFJ91" s="1757"/>
      <c r="NFK91" s="1757"/>
      <c r="NFL91" s="1757"/>
      <c r="NFM91" s="1757"/>
      <c r="NFN91" s="1757"/>
      <c r="NFO91" s="1757"/>
      <c r="NFP91" s="1757"/>
      <c r="NFQ91" s="1757"/>
      <c r="NFR91" s="1757"/>
      <c r="NFS91" s="1757"/>
      <c r="NFT91" s="1757"/>
      <c r="NFU91" s="1757"/>
      <c r="NFV91" s="1757"/>
      <c r="NFW91" s="1757"/>
      <c r="NFX91" s="1757"/>
      <c r="NFY91" s="1757"/>
      <c r="NFZ91" s="1757"/>
      <c r="NGA91" s="1757"/>
      <c r="NGB91" s="1757"/>
      <c r="NGC91" s="1757"/>
      <c r="NGD91" s="1757"/>
      <c r="NGE91" s="1757"/>
      <c r="NGF91" s="1757"/>
      <c r="NGG91" s="1757"/>
      <c r="NGH91" s="1757"/>
      <c r="NGI91" s="1757"/>
      <c r="NGJ91" s="1757"/>
      <c r="NGK91" s="1757"/>
      <c r="NGL91" s="1757"/>
      <c r="NGM91" s="1757"/>
      <c r="NGN91" s="1757"/>
      <c r="NGO91" s="1757"/>
      <c r="NGP91" s="1757"/>
      <c r="NGQ91" s="1757"/>
      <c r="NGR91" s="1757"/>
      <c r="NGS91" s="1757"/>
      <c r="NGT91" s="1757"/>
      <c r="NGU91" s="1757"/>
      <c r="NGV91" s="1757"/>
      <c r="NGW91" s="1757"/>
      <c r="NGX91" s="1757"/>
      <c r="NGY91" s="1757"/>
      <c r="NGZ91" s="1757"/>
      <c r="NHA91" s="1757"/>
      <c r="NHB91" s="1757"/>
      <c r="NHC91" s="1757"/>
      <c r="NHD91" s="1757"/>
      <c r="NHE91" s="1757"/>
      <c r="NHF91" s="1757"/>
      <c r="NHG91" s="1757"/>
      <c r="NHH91" s="1757"/>
      <c r="NHI91" s="1757"/>
      <c r="NHJ91" s="1757"/>
      <c r="NHK91" s="1757"/>
      <c r="NHL91" s="1757"/>
      <c r="NHM91" s="1757"/>
      <c r="NHN91" s="1757"/>
      <c r="NHO91" s="1757"/>
      <c r="NHP91" s="1757"/>
      <c r="NHQ91" s="1757"/>
      <c r="NHR91" s="1757"/>
      <c r="NHS91" s="1757"/>
      <c r="NHT91" s="1757"/>
      <c r="NHU91" s="1757"/>
      <c r="NHV91" s="1757"/>
      <c r="NHW91" s="1757"/>
      <c r="NHX91" s="1757"/>
      <c r="NHY91" s="1757"/>
      <c r="NHZ91" s="1757"/>
      <c r="NIA91" s="1757"/>
      <c r="NIB91" s="1757"/>
      <c r="NIC91" s="1757"/>
      <c r="NID91" s="1757"/>
      <c r="NIE91" s="1757"/>
      <c r="NIF91" s="1757"/>
      <c r="NIG91" s="1757"/>
      <c r="NIH91" s="1757"/>
      <c r="NII91" s="1757"/>
      <c r="NIJ91" s="1757"/>
      <c r="NIK91" s="1757"/>
      <c r="NIL91" s="1757"/>
      <c r="NIM91" s="1757"/>
      <c r="NIN91" s="1757"/>
      <c r="NIO91" s="1757"/>
      <c r="NIP91" s="1757"/>
      <c r="NIQ91" s="1757"/>
      <c r="NIR91" s="1757"/>
      <c r="NIS91" s="1757"/>
      <c r="NIT91" s="1757"/>
      <c r="NIU91" s="1757"/>
      <c r="NIV91" s="1757"/>
      <c r="NIW91" s="1757"/>
      <c r="NIX91" s="1757"/>
      <c r="NIY91" s="1757"/>
      <c r="NIZ91" s="1757"/>
      <c r="NJA91" s="1757"/>
      <c r="NJB91" s="1757"/>
      <c r="NJC91" s="1757"/>
      <c r="NJD91" s="1757"/>
      <c r="NJE91" s="1757"/>
      <c r="NJF91" s="1757"/>
      <c r="NJG91" s="1757"/>
      <c r="NJH91" s="1757"/>
      <c r="NJI91" s="1757"/>
      <c r="NJJ91" s="1757"/>
      <c r="NJK91" s="1757"/>
      <c r="NJL91" s="1757"/>
      <c r="NJM91" s="1757"/>
      <c r="NJN91" s="1757"/>
      <c r="NJO91" s="1757"/>
      <c r="NJP91" s="1757"/>
      <c r="NJQ91" s="1757"/>
      <c r="NJR91" s="1757"/>
      <c r="NJS91" s="1757"/>
      <c r="NJT91" s="1757"/>
      <c r="NJU91" s="1757"/>
      <c r="NJV91" s="1757"/>
      <c r="NJW91" s="1757"/>
      <c r="NJX91" s="1757"/>
      <c r="NJY91" s="1757"/>
      <c r="NJZ91" s="1757"/>
      <c r="NKA91" s="1757"/>
      <c r="NKB91" s="1757"/>
      <c r="NKC91" s="1757"/>
      <c r="NKD91" s="1757"/>
      <c r="NKE91" s="1757"/>
      <c r="NKF91" s="1757"/>
      <c r="NKG91" s="1757"/>
      <c r="NKH91" s="1757"/>
      <c r="NKI91" s="1757"/>
      <c r="NKJ91" s="1757"/>
      <c r="NKK91" s="1757"/>
      <c r="NKL91" s="1757"/>
      <c r="NKM91" s="1757"/>
      <c r="NKN91" s="1757"/>
      <c r="NKO91" s="1757"/>
      <c r="NKP91" s="1757"/>
      <c r="NKQ91" s="1757"/>
      <c r="NKR91" s="1757"/>
      <c r="NKS91" s="1757"/>
      <c r="NKT91" s="1757"/>
      <c r="NKU91" s="1757"/>
      <c r="NKV91" s="1757"/>
      <c r="NKW91" s="1757"/>
      <c r="NKX91" s="1757"/>
      <c r="NKY91" s="1757"/>
      <c r="NKZ91" s="1757"/>
      <c r="NLA91" s="1757"/>
      <c r="NLB91" s="1757"/>
      <c r="NLC91" s="1757"/>
      <c r="NLD91" s="1757"/>
      <c r="NLE91" s="1757"/>
      <c r="NLF91" s="1757"/>
      <c r="NLG91" s="1757"/>
      <c r="NLH91" s="1757"/>
      <c r="NLI91" s="1757"/>
      <c r="NLJ91" s="1757"/>
      <c r="NLK91" s="1757"/>
      <c r="NLL91" s="1757"/>
      <c r="NLM91" s="1757"/>
      <c r="NLN91" s="1757"/>
      <c r="NLO91" s="1757"/>
      <c r="NLP91" s="1757"/>
      <c r="NLQ91" s="1757"/>
      <c r="NLR91" s="1757"/>
      <c r="NLS91" s="1757"/>
      <c r="NLT91" s="1757"/>
      <c r="NLU91" s="1757"/>
      <c r="NLV91" s="1757"/>
      <c r="NLW91" s="1757"/>
      <c r="NLX91" s="1757"/>
      <c r="NLY91" s="1757"/>
      <c r="NLZ91" s="1757"/>
      <c r="NMA91" s="1757"/>
      <c r="NMB91" s="1757"/>
      <c r="NMC91" s="1757"/>
      <c r="NMD91" s="1757"/>
      <c r="NME91" s="1757"/>
      <c r="NMF91" s="1757"/>
      <c r="NMG91" s="1757"/>
      <c r="NMH91" s="1757"/>
      <c r="NMI91" s="1757"/>
      <c r="NMJ91" s="1757"/>
      <c r="NMK91" s="1757"/>
      <c r="NML91" s="1757"/>
      <c r="NMM91" s="1757"/>
      <c r="NMN91" s="1757"/>
      <c r="NMO91" s="1757"/>
      <c r="NMP91" s="1757"/>
      <c r="NMQ91" s="1757"/>
      <c r="NMR91" s="1757"/>
      <c r="NMS91" s="1757"/>
      <c r="NMT91" s="1757"/>
      <c r="NMU91" s="1757"/>
      <c r="NMV91" s="1757"/>
      <c r="NMW91" s="1757"/>
      <c r="NMX91" s="1757"/>
      <c r="NMY91" s="1757"/>
      <c r="NMZ91" s="1757"/>
      <c r="NNA91" s="1757"/>
      <c r="NNB91" s="1757"/>
      <c r="NNC91" s="1757"/>
      <c r="NND91" s="1757"/>
      <c r="NNE91" s="1757"/>
      <c r="NNF91" s="1757"/>
      <c r="NNG91" s="1757"/>
      <c r="NNH91" s="1757"/>
      <c r="NNI91" s="1757"/>
      <c r="NNJ91" s="1757"/>
      <c r="NNK91" s="1757"/>
      <c r="NNL91" s="1757"/>
      <c r="NNM91" s="1757"/>
      <c r="NNN91" s="1757"/>
      <c r="NNO91" s="1757"/>
      <c r="NNP91" s="1757"/>
      <c r="NNQ91" s="1757"/>
      <c r="NNR91" s="1757"/>
      <c r="NNS91" s="1757"/>
      <c r="NNT91" s="1757"/>
      <c r="NNU91" s="1757"/>
      <c r="NNV91" s="1757"/>
      <c r="NNW91" s="1757"/>
      <c r="NNX91" s="1757"/>
      <c r="NNY91" s="1757"/>
      <c r="NNZ91" s="1757"/>
      <c r="NOA91" s="1757"/>
      <c r="NOB91" s="1757"/>
      <c r="NOC91" s="1757"/>
      <c r="NOD91" s="1757"/>
      <c r="NOE91" s="1757"/>
      <c r="NOF91" s="1757"/>
      <c r="NOG91" s="1757"/>
      <c r="NOH91" s="1757"/>
      <c r="NOI91" s="1757"/>
      <c r="NOJ91" s="1757"/>
      <c r="NOK91" s="1757"/>
      <c r="NOL91" s="1757"/>
      <c r="NOM91" s="1757"/>
      <c r="NON91" s="1757"/>
      <c r="NOO91" s="1757"/>
      <c r="NOP91" s="1757"/>
      <c r="NOQ91" s="1757"/>
      <c r="NOR91" s="1757"/>
      <c r="NOS91" s="1757"/>
      <c r="NOT91" s="1757"/>
      <c r="NOU91" s="1757"/>
      <c r="NOV91" s="1757"/>
      <c r="NOW91" s="1757"/>
      <c r="NOX91" s="1757"/>
      <c r="NOY91" s="1757"/>
      <c r="NOZ91" s="1757"/>
      <c r="NPA91" s="1757"/>
      <c r="NPB91" s="1757"/>
      <c r="NPC91" s="1757"/>
      <c r="NPD91" s="1757"/>
      <c r="NPE91" s="1757"/>
      <c r="NPF91" s="1757"/>
      <c r="NPG91" s="1757"/>
      <c r="NPH91" s="1757"/>
      <c r="NPI91" s="1757"/>
      <c r="NPJ91" s="1757"/>
      <c r="NPK91" s="1757"/>
      <c r="NPL91" s="1757"/>
      <c r="NPM91" s="1757"/>
      <c r="NPN91" s="1757"/>
      <c r="NPO91" s="1757"/>
      <c r="NPP91" s="1757"/>
      <c r="NPQ91" s="1757"/>
      <c r="NPR91" s="1757"/>
      <c r="NPS91" s="1757"/>
      <c r="NPT91" s="1757"/>
      <c r="NPU91" s="1757"/>
      <c r="NPV91" s="1757"/>
      <c r="NPW91" s="1757"/>
      <c r="NPX91" s="1757"/>
      <c r="NPY91" s="1757"/>
      <c r="NPZ91" s="1757"/>
      <c r="NQA91" s="1757"/>
      <c r="NQB91" s="1757"/>
      <c r="NQC91" s="1757"/>
      <c r="NQD91" s="1757"/>
      <c r="NQE91" s="1757"/>
      <c r="NQF91" s="1757"/>
      <c r="NQG91" s="1757"/>
      <c r="NQH91" s="1757"/>
      <c r="NQI91" s="1757"/>
      <c r="NQJ91" s="1757"/>
      <c r="NQK91" s="1757"/>
      <c r="NQL91" s="1757"/>
      <c r="NQM91" s="1757"/>
      <c r="NQN91" s="1757"/>
      <c r="NQO91" s="1757"/>
      <c r="NQP91" s="1757"/>
      <c r="NQQ91" s="1757"/>
      <c r="NQR91" s="1757"/>
      <c r="NQS91" s="1757"/>
      <c r="NQT91" s="1757"/>
      <c r="NQU91" s="1757"/>
      <c r="NQV91" s="1757"/>
      <c r="NQW91" s="1757"/>
      <c r="NQX91" s="1757"/>
      <c r="NQY91" s="1757"/>
      <c r="NQZ91" s="1757"/>
      <c r="NRA91" s="1757"/>
      <c r="NRB91" s="1757"/>
      <c r="NRC91" s="1757"/>
      <c r="NRD91" s="1757"/>
      <c r="NRE91" s="1757"/>
      <c r="NRF91" s="1757"/>
      <c r="NRG91" s="1757"/>
      <c r="NRH91" s="1757"/>
      <c r="NRI91" s="1757"/>
      <c r="NRJ91" s="1757"/>
      <c r="NRK91" s="1757"/>
      <c r="NRL91" s="1757"/>
      <c r="NRM91" s="1757"/>
      <c r="NRN91" s="1757"/>
      <c r="NRO91" s="1757"/>
      <c r="NRP91" s="1757"/>
      <c r="NRQ91" s="1757"/>
      <c r="NRR91" s="1757"/>
      <c r="NRS91" s="1757"/>
      <c r="NRT91" s="1757"/>
      <c r="NRU91" s="1757"/>
      <c r="NRV91" s="1757"/>
      <c r="NRW91" s="1757"/>
      <c r="NRX91" s="1757"/>
      <c r="NRY91" s="1757"/>
      <c r="NRZ91" s="1757"/>
      <c r="NSA91" s="1757"/>
      <c r="NSB91" s="1757"/>
      <c r="NSC91" s="1757"/>
      <c r="NSD91" s="1757"/>
      <c r="NSE91" s="1757"/>
      <c r="NSF91" s="1757"/>
      <c r="NSG91" s="1757"/>
      <c r="NSH91" s="1757"/>
      <c r="NSI91" s="1757"/>
      <c r="NSJ91" s="1757"/>
      <c r="NSK91" s="1757"/>
      <c r="NSL91" s="1757"/>
      <c r="NSM91" s="1757"/>
      <c r="NSN91" s="1757"/>
      <c r="NSO91" s="1757"/>
      <c r="NSP91" s="1757"/>
      <c r="NSQ91" s="1757"/>
      <c r="NSR91" s="1757"/>
      <c r="NSS91" s="1757"/>
      <c r="NST91" s="1757"/>
      <c r="NSU91" s="1757"/>
      <c r="NSV91" s="1757"/>
      <c r="NSW91" s="1757"/>
      <c r="NSX91" s="1757"/>
      <c r="NSY91" s="1757"/>
      <c r="NSZ91" s="1757"/>
      <c r="NTA91" s="1757"/>
      <c r="NTB91" s="1757"/>
      <c r="NTC91" s="1757"/>
      <c r="NTD91" s="1757"/>
      <c r="NTE91" s="1757"/>
      <c r="NTF91" s="1757"/>
      <c r="NTG91" s="1757"/>
      <c r="NTH91" s="1757"/>
      <c r="NTI91" s="1757"/>
      <c r="NTJ91" s="1757"/>
      <c r="NTK91" s="1757"/>
      <c r="NTL91" s="1757"/>
      <c r="NTM91" s="1757"/>
      <c r="NTN91" s="1757"/>
      <c r="NTO91" s="1757"/>
      <c r="NTP91" s="1757"/>
      <c r="NTQ91" s="1757"/>
      <c r="NTR91" s="1757"/>
      <c r="NTS91" s="1757"/>
      <c r="NTT91" s="1757"/>
      <c r="NTU91" s="1757"/>
      <c r="NTV91" s="1757"/>
      <c r="NTW91" s="1757"/>
      <c r="NTX91" s="1757"/>
      <c r="NTY91" s="1757"/>
      <c r="NTZ91" s="1757"/>
      <c r="NUA91" s="1757"/>
      <c r="NUB91" s="1757"/>
      <c r="NUC91" s="1757"/>
      <c r="NUD91" s="1757"/>
      <c r="NUE91" s="1757"/>
      <c r="NUF91" s="1757"/>
      <c r="NUG91" s="1757"/>
      <c r="NUH91" s="1757"/>
      <c r="NUI91" s="1757"/>
      <c r="NUJ91" s="1757"/>
      <c r="NUK91" s="1757"/>
      <c r="NUL91" s="1757"/>
      <c r="NUM91" s="1757"/>
      <c r="NUN91" s="1757"/>
      <c r="NUO91" s="1757"/>
      <c r="NUP91" s="1757"/>
      <c r="NUQ91" s="1757"/>
      <c r="NUR91" s="1757"/>
      <c r="NUS91" s="1757"/>
      <c r="NUT91" s="1757"/>
      <c r="NUU91" s="1757"/>
      <c r="NUV91" s="1757"/>
      <c r="NUW91" s="1757"/>
      <c r="NUX91" s="1757"/>
      <c r="NUY91" s="1757"/>
      <c r="NUZ91" s="1757"/>
      <c r="NVA91" s="1757"/>
      <c r="NVB91" s="1757"/>
      <c r="NVC91" s="1757"/>
      <c r="NVD91" s="1757"/>
      <c r="NVE91" s="1757"/>
      <c r="NVF91" s="1757"/>
      <c r="NVG91" s="1757"/>
      <c r="NVH91" s="1757"/>
      <c r="NVI91" s="1757"/>
      <c r="NVJ91" s="1757"/>
      <c r="NVK91" s="1757"/>
      <c r="NVL91" s="1757"/>
      <c r="NVM91" s="1757"/>
      <c r="NVN91" s="1757"/>
      <c r="NVO91" s="1757"/>
      <c r="NVP91" s="1757"/>
      <c r="NVQ91" s="1757"/>
      <c r="NVR91" s="1757"/>
      <c r="NVS91" s="1757"/>
      <c r="NVT91" s="1757"/>
      <c r="NVU91" s="1757"/>
      <c r="NVV91" s="1757"/>
      <c r="NVW91" s="1757"/>
      <c r="NVX91" s="1757"/>
      <c r="NVY91" s="1757"/>
      <c r="NVZ91" s="1757"/>
      <c r="NWA91" s="1757"/>
      <c r="NWB91" s="1757"/>
      <c r="NWC91" s="1757"/>
      <c r="NWD91" s="1757"/>
      <c r="NWE91" s="1757"/>
      <c r="NWF91" s="1757"/>
      <c r="NWG91" s="1757"/>
      <c r="NWH91" s="1757"/>
      <c r="NWI91" s="1757"/>
      <c r="NWJ91" s="1757"/>
      <c r="NWK91" s="1757"/>
      <c r="NWL91" s="1757"/>
      <c r="NWM91" s="1757"/>
      <c r="NWN91" s="1757"/>
      <c r="NWO91" s="1757"/>
      <c r="NWP91" s="1757"/>
      <c r="NWQ91" s="1757"/>
      <c r="NWR91" s="1757"/>
      <c r="NWS91" s="1757"/>
      <c r="NWT91" s="1757"/>
      <c r="NWU91" s="1757"/>
      <c r="NWV91" s="1757"/>
      <c r="NWW91" s="1757"/>
      <c r="NWX91" s="1757"/>
      <c r="NWY91" s="1757"/>
      <c r="NWZ91" s="1757"/>
      <c r="NXA91" s="1757"/>
      <c r="NXB91" s="1757"/>
      <c r="NXC91" s="1757"/>
      <c r="NXD91" s="1757"/>
      <c r="NXE91" s="1757"/>
      <c r="NXF91" s="1757"/>
      <c r="NXG91" s="1757"/>
      <c r="NXH91" s="1757"/>
      <c r="NXI91" s="1757"/>
      <c r="NXJ91" s="1757"/>
      <c r="NXK91" s="1757"/>
      <c r="NXL91" s="1757"/>
      <c r="NXM91" s="1757"/>
      <c r="NXN91" s="1757"/>
      <c r="NXO91" s="1757"/>
      <c r="NXP91" s="1757"/>
      <c r="NXQ91" s="1757"/>
      <c r="NXR91" s="1757"/>
      <c r="NXS91" s="1757"/>
      <c r="NXT91" s="1757"/>
      <c r="NXU91" s="1757"/>
      <c r="NXV91" s="1757"/>
      <c r="NXW91" s="1757"/>
      <c r="NXX91" s="1757"/>
      <c r="NXY91" s="1757"/>
      <c r="NXZ91" s="1757"/>
      <c r="NYA91" s="1757"/>
      <c r="NYB91" s="1757"/>
      <c r="NYC91" s="1757"/>
      <c r="NYD91" s="1757"/>
      <c r="NYE91" s="1757"/>
      <c r="NYF91" s="1757"/>
      <c r="NYG91" s="1757"/>
      <c r="NYH91" s="1757"/>
      <c r="NYI91" s="1757"/>
      <c r="NYJ91" s="1757"/>
      <c r="NYK91" s="1757"/>
      <c r="NYL91" s="1757"/>
      <c r="NYM91" s="1757"/>
      <c r="NYN91" s="1757"/>
      <c r="NYO91" s="1757"/>
      <c r="NYP91" s="1757"/>
      <c r="NYQ91" s="1757"/>
      <c r="NYR91" s="1757"/>
      <c r="NYS91" s="1757"/>
      <c r="NYT91" s="1757"/>
      <c r="NYU91" s="1757"/>
      <c r="NYV91" s="1757"/>
      <c r="NYW91" s="1757"/>
      <c r="NYX91" s="1757"/>
      <c r="NYY91" s="1757"/>
      <c r="NYZ91" s="1757"/>
      <c r="NZA91" s="1757"/>
      <c r="NZB91" s="1757"/>
      <c r="NZC91" s="1757"/>
      <c r="NZD91" s="1757"/>
      <c r="NZE91" s="1757"/>
      <c r="NZF91" s="1757"/>
      <c r="NZG91" s="1757"/>
      <c r="NZH91" s="1757"/>
      <c r="NZI91" s="1757"/>
      <c r="NZJ91" s="1757"/>
      <c r="NZK91" s="1757"/>
      <c r="NZL91" s="1757"/>
      <c r="NZM91" s="1757"/>
      <c r="NZN91" s="1757"/>
      <c r="NZO91" s="1757"/>
      <c r="NZP91" s="1757"/>
      <c r="NZQ91" s="1757"/>
      <c r="NZR91" s="1757"/>
      <c r="NZS91" s="1757"/>
      <c r="NZT91" s="1757"/>
      <c r="NZU91" s="1757"/>
      <c r="NZV91" s="1757"/>
      <c r="NZW91" s="1757"/>
      <c r="NZX91" s="1757"/>
      <c r="NZY91" s="1757"/>
      <c r="NZZ91" s="1757"/>
      <c r="OAA91" s="1757"/>
      <c r="OAB91" s="1757"/>
      <c r="OAC91" s="1757"/>
      <c r="OAD91" s="1757"/>
      <c r="OAE91" s="1757"/>
      <c r="OAF91" s="1757"/>
      <c r="OAG91" s="1757"/>
      <c r="OAH91" s="1757"/>
      <c r="OAI91" s="1757"/>
      <c r="OAJ91" s="1757"/>
      <c r="OAK91" s="1757"/>
      <c r="OAL91" s="1757"/>
      <c r="OAM91" s="1757"/>
      <c r="OAN91" s="1757"/>
      <c r="OAO91" s="1757"/>
      <c r="OAP91" s="1757"/>
      <c r="OAQ91" s="1757"/>
      <c r="OAR91" s="1757"/>
      <c r="OAS91" s="1757"/>
      <c r="OAT91" s="1757"/>
      <c r="OAU91" s="1757"/>
      <c r="OAV91" s="1757"/>
      <c r="OAW91" s="1757"/>
      <c r="OAX91" s="1757"/>
      <c r="OAY91" s="1757"/>
      <c r="OAZ91" s="1757"/>
      <c r="OBA91" s="1757"/>
      <c r="OBB91" s="1757"/>
      <c r="OBC91" s="1757"/>
      <c r="OBD91" s="1757"/>
      <c r="OBE91" s="1757"/>
      <c r="OBF91" s="1757"/>
      <c r="OBG91" s="1757"/>
      <c r="OBH91" s="1757"/>
      <c r="OBI91" s="1757"/>
      <c r="OBJ91" s="1757"/>
      <c r="OBK91" s="1757"/>
      <c r="OBL91" s="1757"/>
      <c r="OBM91" s="1757"/>
      <c r="OBN91" s="1757"/>
      <c r="OBO91" s="1757"/>
      <c r="OBP91" s="1757"/>
      <c r="OBQ91" s="1757"/>
      <c r="OBR91" s="1757"/>
      <c r="OBS91" s="1757"/>
      <c r="OBT91" s="1757"/>
      <c r="OBU91" s="1757"/>
      <c r="OBV91" s="1757"/>
      <c r="OBW91" s="1757"/>
      <c r="OBX91" s="1757"/>
      <c r="OBY91" s="1757"/>
      <c r="OBZ91" s="1757"/>
      <c r="OCA91" s="1757"/>
      <c r="OCB91" s="1757"/>
      <c r="OCC91" s="1757"/>
      <c r="OCD91" s="1757"/>
      <c r="OCE91" s="1757"/>
      <c r="OCF91" s="1757"/>
      <c r="OCG91" s="1757"/>
      <c r="OCH91" s="1757"/>
      <c r="OCI91" s="1757"/>
      <c r="OCJ91" s="1757"/>
      <c r="OCK91" s="1757"/>
      <c r="OCL91" s="1757"/>
      <c r="OCM91" s="1757"/>
      <c r="OCN91" s="1757"/>
      <c r="OCO91" s="1757"/>
      <c r="OCP91" s="1757"/>
      <c r="OCQ91" s="1757"/>
      <c r="OCR91" s="1757"/>
      <c r="OCS91" s="1757"/>
      <c r="OCT91" s="1757"/>
      <c r="OCU91" s="1757"/>
      <c r="OCV91" s="1757"/>
      <c r="OCW91" s="1757"/>
      <c r="OCX91" s="1757"/>
      <c r="OCY91" s="1757"/>
      <c r="OCZ91" s="1757"/>
      <c r="ODA91" s="1757"/>
      <c r="ODB91" s="1757"/>
      <c r="ODC91" s="1757"/>
      <c r="ODD91" s="1757"/>
      <c r="ODE91" s="1757"/>
      <c r="ODF91" s="1757"/>
      <c r="ODG91" s="1757"/>
      <c r="ODH91" s="1757"/>
      <c r="ODI91" s="1757"/>
      <c r="ODJ91" s="1757"/>
      <c r="ODK91" s="1757"/>
      <c r="ODL91" s="1757"/>
      <c r="ODM91" s="1757"/>
      <c r="ODN91" s="1757"/>
      <c r="ODO91" s="1757"/>
      <c r="ODP91" s="1757"/>
      <c r="ODQ91" s="1757"/>
      <c r="ODR91" s="1757"/>
      <c r="ODS91" s="1757"/>
      <c r="ODT91" s="1757"/>
      <c r="ODU91" s="1757"/>
      <c r="ODV91" s="1757"/>
      <c r="ODW91" s="1757"/>
      <c r="ODX91" s="1757"/>
      <c r="ODY91" s="1757"/>
      <c r="ODZ91" s="1757"/>
      <c r="OEA91" s="1757"/>
      <c r="OEB91" s="1757"/>
      <c r="OEC91" s="1757"/>
      <c r="OED91" s="1757"/>
      <c r="OEE91" s="1757"/>
      <c r="OEF91" s="1757"/>
      <c r="OEG91" s="1757"/>
      <c r="OEH91" s="1757"/>
      <c r="OEI91" s="1757"/>
      <c r="OEJ91" s="1757"/>
      <c r="OEK91" s="1757"/>
      <c r="OEL91" s="1757"/>
      <c r="OEM91" s="1757"/>
      <c r="OEN91" s="1757"/>
      <c r="OEO91" s="1757"/>
      <c r="OEP91" s="1757"/>
      <c r="OEQ91" s="1757"/>
      <c r="OER91" s="1757"/>
      <c r="OES91" s="1757"/>
      <c r="OET91" s="1757"/>
      <c r="OEU91" s="1757"/>
      <c r="OEV91" s="1757"/>
      <c r="OEW91" s="1757"/>
      <c r="OEX91" s="1757"/>
      <c r="OEY91" s="1757"/>
      <c r="OEZ91" s="1757"/>
      <c r="OFA91" s="1757"/>
      <c r="OFB91" s="1757"/>
      <c r="OFC91" s="1757"/>
      <c r="OFD91" s="1757"/>
      <c r="OFE91" s="1757"/>
      <c r="OFF91" s="1757"/>
      <c r="OFG91" s="1757"/>
      <c r="OFH91" s="1757"/>
      <c r="OFI91" s="1757"/>
      <c r="OFJ91" s="1757"/>
      <c r="OFK91" s="1757"/>
      <c r="OFL91" s="1757"/>
      <c r="OFM91" s="1757"/>
      <c r="OFN91" s="1757"/>
      <c r="OFO91" s="1757"/>
      <c r="OFP91" s="1757"/>
      <c r="OFQ91" s="1757"/>
      <c r="OFR91" s="1757"/>
      <c r="OFS91" s="1757"/>
      <c r="OFT91" s="1757"/>
      <c r="OFU91" s="1757"/>
      <c r="OFV91" s="1757"/>
      <c r="OFW91" s="1757"/>
      <c r="OFX91" s="1757"/>
      <c r="OFY91" s="1757"/>
      <c r="OFZ91" s="1757"/>
      <c r="OGA91" s="1757"/>
      <c r="OGB91" s="1757"/>
      <c r="OGC91" s="1757"/>
      <c r="OGD91" s="1757"/>
      <c r="OGE91" s="1757"/>
      <c r="OGF91" s="1757"/>
      <c r="OGG91" s="1757"/>
      <c r="OGH91" s="1757"/>
      <c r="OGI91" s="1757"/>
      <c r="OGJ91" s="1757"/>
      <c r="OGK91" s="1757"/>
      <c r="OGL91" s="1757"/>
      <c r="OGM91" s="1757"/>
      <c r="OGN91" s="1757"/>
      <c r="OGO91" s="1757"/>
      <c r="OGP91" s="1757"/>
      <c r="OGQ91" s="1757"/>
      <c r="OGR91" s="1757"/>
      <c r="OGS91" s="1757"/>
      <c r="OGT91" s="1757"/>
      <c r="OGU91" s="1757"/>
      <c r="OGV91" s="1757"/>
      <c r="OGW91" s="1757"/>
      <c r="OGX91" s="1757"/>
      <c r="OGY91" s="1757"/>
      <c r="OGZ91" s="1757"/>
      <c r="OHA91" s="1757"/>
      <c r="OHB91" s="1757"/>
      <c r="OHC91" s="1757"/>
      <c r="OHD91" s="1757"/>
      <c r="OHE91" s="1757"/>
      <c r="OHF91" s="1757"/>
      <c r="OHG91" s="1757"/>
      <c r="OHH91" s="1757"/>
      <c r="OHI91" s="1757"/>
      <c r="OHJ91" s="1757"/>
      <c r="OHK91" s="1757"/>
      <c r="OHL91" s="1757"/>
      <c r="OHM91" s="1757"/>
      <c r="OHN91" s="1757"/>
      <c r="OHO91" s="1757"/>
      <c r="OHP91" s="1757"/>
      <c r="OHQ91" s="1757"/>
      <c r="OHR91" s="1757"/>
      <c r="OHS91" s="1757"/>
      <c r="OHT91" s="1757"/>
      <c r="OHU91" s="1757"/>
      <c r="OHV91" s="1757"/>
      <c r="OHW91" s="1757"/>
      <c r="OHX91" s="1757"/>
      <c r="OHY91" s="1757"/>
      <c r="OHZ91" s="1757"/>
      <c r="OIA91" s="1757"/>
      <c r="OIB91" s="1757"/>
      <c r="OIC91" s="1757"/>
      <c r="OID91" s="1757"/>
      <c r="OIE91" s="1757"/>
      <c r="OIF91" s="1757"/>
      <c r="OIG91" s="1757"/>
      <c r="OIH91" s="1757"/>
      <c r="OII91" s="1757"/>
      <c r="OIJ91" s="1757"/>
      <c r="OIK91" s="1757"/>
      <c r="OIL91" s="1757"/>
      <c r="OIM91" s="1757"/>
      <c r="OIN91" s="1757"/>
      <c r="OIO91" s="1757"/>
      <c r="OIP91" s="1757"/>
      <c r="OIQ91" s="1757"/>
      <c r="OIR91" s="1757"/>
      <c r="OIS91" s="1757"/>
      <c r="OIT91" s="1757"/>
      <c r="OIU91" s="1757"/>
      <c r="OIV91" s="1757"/>
      <c r="OIW91" s="1757"/>
      <c r="OIX91" s="1757"/>
      <c r="OIY91" s="1757"/>
      <c r="OIZ91" s="1757"/>
      <c r="OJA91" s="1757"/>
      <c r="OJB91" s="1757"/>
      <c r="OJC91" s="1757"/>
      <c r="OJD91" s="1757"/>
      <c r="OJE91" s="1757"/>
      <c r="OJF91" s="1757"/>
      <c r="OJG91" s="1757"/>
      <c r="OJH91" s="1757"/>
      <c r="OJI91" s="1757"/>
      <c r="OJJ91" s="1757"/>
      <c r="OJK91" s="1757"/>
      <c r="OJL91" s="1757"/>
      <c r="OJM91" s="1757"/>
      <c r="OJN91" s="1757"/>
      <c r="OJO91" s="1757"/>
      <c r="OJP91" s="1757"/>
      <c r="OJQ91" s="1757"/>
      <c r="OJR91" s="1757"/>
      <c r="OJS91" s="1757"/>
      <c r="OJT91" s="1757"/>
      <c r="OJU91" s="1757"/>
      <c r="OJV91" s="1757"/>
      <c r="OJW91" s="1757"/>
      <c r="OJX91" s="1757"/>
      <c r="OJY91" s="1757"/>
      <c r="OJZ91" s="1757"/>
      <c r="OKA91" s="1757"/>
      <c r="OKB91" s="1757"/>
      <c r="OKC91" s="1757"/>
      <c r="OKD91" s="1757"/>
      <c r="OKE91" s="1757"/>
      <c r="OKF91" s="1757"/>
      <c r="OKG91" s="1757"/>
      <c r="OKH91" s="1757"/>
      <c r="OKI91" s="1757"/>
      <c r="OKJ91" s="1757"/>
      <c r="OKK91" s="1757"/>
      <c r="OKL91" s="1757"/>
      <c r="OKM91" s="1757"/>
      <c r="OKN91" s="1757"/>
      <c r="OKO91" s="1757"/>
      <c r="OKP91" s="1757"/>
      <c r="OKQ91" s="1757"/>
      <c r="OKR91" s="1757"/>
      <c r="OKS91" s="1757"/>
      <c r="OKT91" s="1757"/>
      <c r="OKU91" s="1757"/>
      <c r="OKV91" s="1757"/>
      <c r="OKW91" s="1757"/>
      <c r="OKX91" s="1757"/>
      <c r="OKY91" s="1757"/>
      <c r="OKZ91" s="1757"/>
      <c r="OLA91" s="1757"/>
      <c r="OLB91" s="1757"/>
      <c r="OLC91" s="1757"/>
      <c r="OLD91" s="1757"/>
      <c r="OLE91" s="1757"/>
      <c r="OLF91" s="1757"/>
      <c r="OLG91" s="1757"/>
      <c r="OLH91" s="1757"/>
      <c r="OLI91" s="1757"/>
      <c r="OLJ91" s="1757"/>
      <c r="OLK91" s="1757"/>
      <c r="OLL91" s="1757"/>
      <c r="OLM91" s="1757"/>
      <c r="OLN91" s="1757"/>
      <c r="OLO91" s="1757"/>
      <c r="OLP91" s="1757"/>
      <c r="OLQ91" s="1757"/>
      <c r="OLR91" s="1757"/>
      <c r="OLS91" s="1757"/>
      <c r="OLT91" s="1757"/>
      <c r="OLU91" s="1757"/>
      <c r="OLV91" s="1757"/>
      <c r="OLW91" s="1757"/>
      <c r="OLX91" s="1757"/>
      <c r="OLY91" s="1757"/>
      <c r="OLZ91" s="1757"/>
      <c r="OMA91" s="1757"/>
      <c r="OMB91" s="1757"/>
      <c r="OMC91" s="1757"/>
      <c r="OMD91" s="1757"/>
      <c r="OME91" s="1757"/>
      <c r="OMF91" s="1757"/>
      <c r="OMG91" s="1757"/>
      <c r="OMH91" s="1757"/>
      <c r="OMI91" s="1757"/>
      <c r="OMJ91" s="1757"/>
      <c r="OMK91" s="1757"/>
      <c r="OML91" s="1757"/>
      <c r="OMM91" s="1757"/>
      <c r="OMN91" s="1757"/>
      <c r="OMO91" s="1757"/>
      <c r="OMP91" s="1757"/>
      <c r="OMQ91" s="1757"/>
      <c r="OMR91" s="1757"/>
      <c r="OMS91" s="1757"/>
      <c r="OMT91" s="1757"/>
      <c r="OMU91" s="1757"/>
      <c r="OMV91" s="1757"/>
      <c r="OMW91" s="1757"/>
      <c r="OMX91" s="1757"/>
      <c r="OMY91" s="1757"/>
      <c r="OMZ91" s="1757"/>
      <c r="ONA91" s="1757"/>
      <c r="ONB91" s="1757"/>
      <c r="ONC91" s="1757"/>
      <c r="OND91" s="1757"/>
      <c r="ONE91" s="1757"/>
      <c r="ONF91" s="1757"/>
      <c r="ONG91" s="1757"/>
      <c r="ONH91" s="1757"/>
      <c r="ONI91" s="1757"/>
      <c r="ONJ91" s="1757"/>
      <c r="ONK91" s="1757"/>
      <c r="ONL91" s="1757"/>
      <c r="ONM91" s="1757"/>
      <c r="ONN91" s="1757"/>
      <c r="ONO91" s="1757"/>
      <c r="ONP91" s="1757"/>
      <c r="ONQ91" s="1757"/>
      <c r="ONR91" s="1757"/>
      <c r="ONS91" s="1757"/>
      <c r="ONT91" s="1757"/>
      <c r="ONU91" s="1757"/>
      <c r="ONV91" s="1757"/>
      <c r="ONW91" s="1757"/>
      <c r="ONX91" s="1757"/>
      <c r="ONY91" s="1757"/>
      <c r="ONZ91" s="1757"/>
      <c r="OOA91" s="1757"/>
      <c r="OOB91" s="1757"/>
      <c r="OOC91" s="1757"/>
      <c r="OOD91" s="1757"/>
      <c r="OOE91" s="1757"/>
      <c r="OOF91" s="1757"/>
      <c r="OOG91" s="1757"/>
      <c r="OOH91" s="1757"/>
      <c r="OOI91" s="1757"/>
      <c r="OOJ91" s="1757"/>
      <c r="OOK91" s="1757"/>
      <c r="OOL91" s="1757"/>
      <c r="OOM91" s="1757"/>
      <c r="OON91" s="1757"/>
      <c r="OOO91" s="1757"/>
      <c r="OOP91" s="1757"/>
      <c r="OOQ91" s="1757"/>
      <c r="OOR91" s="1757"/>
      <c r="OOS91" s="1757"/>
      <c r="OOT91" s="1757"/>
      <c r="OOU91" s="1757"/>
      <c r="OOV91" s="1757"/>
      <c r="OOW91" s="1757"/>
      <c r="OOX91" s="1757"/>
      <c r="OOY91" s="1757"/>
      <c r="OOZ91" s="1757"/>
      <c r="OPA91" s="1757"/>
      <c r="OPB91" s="1757"/>
      <c r="OPC91" s="1757"/>
      <c r="OPD91" s="1757"/>
      <c r="OPE91" s="1757"/>
      <c r="OPF91" s="1757"/>
      <c r="OPG91" s="1757"/>
      <c r="OPH91" s="1757"/>
      <c r="OPI91" s="1757"/>
      <c r="OPJ91" s="1757"/>
      <c r="OPK91" s="1757"/>
      <c r="OPL91" s="1757"/>
      <c r="OPM91" s="1757"/>
      <c r="OPN91" s="1757"/>
      <c r="OPO91" s="1757"/>
      <c r="OPP91" s="1757"/>
      <c r="OPQ91" s="1757"/>
      <c r="OPR91" s="1757"/>
      <c r="OPS91" s="1757"/>
      <c r="OPT91" s="1757"/>
      <c r="OPU91" s="1757"/>
      <c r="OPV91" s="1757"/>
      <c r="OPW91" s="1757"/>
      <c r="OPX91" s="1757"/>
      <c r="OPY91" s="1757"/>
      <c r="OPZ91" s="1757"/>
      <c r="OQA91" s="1757"/>
      <c r="OQB91" s="1757"/>
      <c r="OQC91" s="1757"/>
      <c r="OQD91" s="1757"/>
      <c r="OQE91" s="1757"/>
      <c r="OQF91" s="1757"/>
      <c r="OQG91" s="1757"/>
      <c r="OQH91" s="1757"/>
      <c r="OQI91" s="1757"/>
      <c r="OQJ91" s="1757"/>
      <c r="OQK91" s="1757"/>
      <c r="OQL91" s="1757"/>
      <c r="OQM91" s="1757"/>
      <c r="OQN91" s="1757"/>
      <c r="OQO91" s="1757"/>
      <c r="OQP91" s="1757"/>
      <c r="OQQ91" s="1757"/>
      <c r="OQR91" s="1757"/>
      <c r="OQS91" s="1757"/>
      <c r="OQT91" s="1757"/>
      <c r="OQU91" s="1757"/>
      <c r="OQV91" s="1757"/>
      <c r="OQW91" s="1757"/>
      <c r="OQX91" s="1757"/>
      <c r="OQY91" s="1757"/>
      <c r="OQZ91" s="1757"/>
      <c r="ORA91" s="1757"/>
      <c r="ORB91" s="1757"/>
      <c r="ORC91" s="1757"/>
      <c r="ORD91" s="1757"/>
      <c r="ORE91" s="1757"/>
      <c r="ORF91" s="1757"/>
      <c r="ORG91" s="1757"/>
      <c r="ORH91" s="1757"/>
      <c r="ORI91" s="1757"/>
      <c r="ORJ91" s="1757"/>
      <c r="ORK91" s="1757"/>
      <c r="ORL91" s="1757"/>
      <c r="ORM91" s="1757"/>
      <c r="ORN91" s="1757"/>
      <c r="ORO91" s="1757"/>
      <c r="ORP91" s="1757"/>
      <c r="ORQ91" s="1757"/>
      <c r="ORR91" s="1757"/>
      <c r="ORS91" s="1757"/>
      <c r="ORT91" s="1757"/>
      <c r="ORU91" s="1757"/>
      <c r="ORV91" s="1757"/>
      <c r="ORW91" s="1757"/>
      <c r="ORX91" s="1757"/>
      <c r="ORY91" s="1757"/>
      <c r="ORZ91" s="1757"/>
      <c r="OSA91" s="1757"/>
      <c r="OSB91" s="1757"/>
      <c r="OSC91" s="1757"/>
      <c r="OSD91" s="1757"/>
      <c r="OSE91" s="1757"/>
      <c r="OSF91" s="1757"/>
      <c r="OSG91" s="1757"/>
      <c r="OSH91" s="1757"/>
      <c r="OSI91" s="1757"/>
      <c r="OSJ91" s="1757"/>
      <c r="OSK91" s="1757"/>
      <c r="OSL91" s="1757"/>
      <c r="OSM91" s="1757"/>
      <c r="OSN91" s="1757"/>
      <c r="OSO91" s="1757"/>
      <c r="OSP91" s="1757"/>
      <c r="OSQ91" s="1757"/>
      <c r="OSR91" s="1757"/>
      <c r="OSS91" s="1757"/>
      <c r="OST91" s="1757"/>
      <c r="OSU91" s="1757"/>
      <c r="OSV91" s="1757"/>
      <c r="OSW91" s="1757"/>
      <c r="OSX91" s="1757"/>
      <c r="OSY91" s="1757"/>
      <c r="OSZ91" s="1757"/>
      <c r="OTA91" s="1757"/>
      <c r="OTB91" s="1757"/>
      <c r="OTC91" s="1757"/>
      <c r="OTD91" s="1757"/>
      <c r="OTE91" s="1757"/>
      <c r="OTF91" s="1757"/>
      <c r="OTG91" s="1757"/>
      <c r="OTH91" s="1757"/>
      <c r="OTI91" s="1757"/>
      <c r="OTJ91" s="1757"/>
      <c r="OTK91" s="1757"/>
      <c r="OTL91" s="1757"/>
      <c r="OTM91" s="1757"/>
      <c r="OTN91" s="1757"/>
      <c r="OTO91" s="1757"/>
      <c r="OTP91" s="1757"/>
      <c r="OTQ91" s="1757"/>
      <c r="OTR91" s="1757"/>
      <c r="OTS91" s="1757"/>
      <c r="OTT91" s="1757"/>
      <c r="OTU91" s="1757"/>
      <c r="OTV91" s="1757"/>
      <c r="OTW91" s="1757"/>
      <c r="OTX91" s="1757"/>
      <c r="OTY91" s="1757"/>
      <c r="OTZ91" s="1757"/>
      <c r="OUA91" s="1757"/>
      <c r="OUB91" s="1757"/>
      <c r="OUC91" s="1757"/>
      <c r="OUD91" s="1757"/>
      <c r="OUE91" s="1757"/>
      <c r="OUF91" s="1757"/>
      <c r="OUG91" s="1757"/>
      <c r="OUH91" s="1757"/>
      <c r="OUI91" s="1757"/>
      <c r="OUJ91" s="1757"/>
      <c r="OUK91" s="1757"/>
      <c r="OUL91" s="1757"/>
      <c r="OUM91" s="1757"/>
      <c r="OUN91" s="1757"/>
      <c r="OUO91" s="1757"/>
      <c r="OUP91" s="1757"/>
      <c r="OUQ91" s="1757"/>
      <c r="OUR91" s="1757"/>
      <c r="OUS91" s="1757"/>
      <c r="OUT91" s="1757"/>
      <c r="OUU91" s="1757"/>
      <c r="OUV91" s="1757"/>
      <c r="OUW91" s="1757"/>
      <c r="OUX91" s="1757"/>
      <c r="OUY91" s="1757"/>
      <c r="OUZ91" s="1757"/>
      <c r="OVA91" s="1757"/>
      <c r="OVB91" s="1757"/>
      <c r="OVC91" s="1757"/>
      <c r="OVD91" s="1757"/>
      <c r="OVE91" s="1757"/>
      <c r="OVF91" s="1757"/>
      <c r="OVG91" s="1757"/>
      <c r="OVH91" s="1757"/>
      <c r="OVI91" s="1757"/>
      <c r="OVJ91" s="1757"/>
      <c r="OVK91" s="1757"/>
      <c r="OVL91" s="1757"/>
      <c r="OVM91" s="1757"/>
      <c r="OVN91" s="1757"/>
      <c r="OVO91" s="1757"/>
      <c r="OVP91" s="1757"/>
      <c r="OVQ91" s="1757"/>
      <c r="OVR91" s="1757"/>
      <c r="OVS91" s="1757"/>
      <c r="OVT91" s="1757"/>
      <c r="OVU91" s="1757"/>
      <c r="OVV91" s="1757"/>
      <c r="OVW91" s="1757"/>
      <c r="OVX91" s="1757"/>
      <c r="OVY91" s="1757"/>
      <c r="OVZ91" s="1757"/>
      <c r="OWA91" s="1757"/>
      <c r="OWB91" s="1757"/>
      <c r="OWC91" s="1757"/>
      <c r="OWD91" s="1757"/>
      <c r="OWE91" s="1757"/>
      <c r="OWF91" s="1757"/>
      <c r="OWG91" s="1757"/>
      <c r="OWH91" s="1757"/>
      <c r="OWI91" s="1757"/>
      <c r="OWJ91" s="1757"/>
      <c r="OWK91" s="1757"/>
      <c r="OWL91" s="1757"/>
      <c r="OWM91" s="1757"/>
      <c r="OWN91" s="1757"/>
      <c r="OWO91" s="1757"/>
      <c r="OWP91" s="1757"/>
      <c r="OWQ91" s="1757"/>
      <c r="OWR91" s="1757"/>
      <c r="OWS91" s="1757"/>
      <c r="OWT91" s="1757"/>
      <c r="OWU91" s="1757"/>
      <c r="OWV91" s="1757"/>
      <c r="OWW91" s="1757"/>
      <c r="OWX91" s="1757"/>
      <c r="OWY91" s="1757"/>
      <c r="OWZ91" s="1757"/>
      <c r="OXA91" s="1757"/>
      <c r="OXB91" s="1757"/>
      <c r="OXC91" s="1757"/>
      <c r="OXD91" s="1757"/>
      <c r="OXE91" s="1757"/>
      <c r="OXF91" s="1757"/>
      <c r="OXG91" s="1757"/>
      <c r="OXH91" s="1757"/>
      <c r="OXI91" s="1757"/>
      <c r="OXJ91" s="1757"/>
      <c r="OXK91" s="1757"/>
      <c r="OXL91" s="1757"/>
      <c r="OXM91" s="1757"/>
      <c r="OXN91" s="1757"/>
      <c r="OXO91" s="1757"/>
      <c r="OXP91" s="1757"/>
      <c r="OXQ91" s="1757"/>
      <c r="OXR91" s="1757"/>
      <c r="OXS91" s="1757"/>
      <c r="OXT91" s="1757"/>
      <c r="OXU91" s="1757"/>
      <c r="OXV91" s="1757"/>
      <c r="OXW91" s="1757"/>
      <c r="OXX91" s="1757"/>
      <c r="OXY91" s="1757"/>
      <c r="OXZ91" s="1757"/>
      <c r="OYA91" s="1757"/>
      <c r="OYB91" s="1757"/>
      <c r="OYC91" s="1757"/>
      <c r="OYD91" s="1757"/>
      <c r="OYE91" s="1757"/>
      <c r="OYF91" s="1757"/>
      <c r="OYG91" s="1757"/>
      <c r="OYH91" s="1757"/>
      <c r="OYI91" s="1757"/>
      <c r="OYJ91" s="1757"/>
      <c r="OYK91" s="1757"/>
      <c r="OYL91" s="1757"/>
      <c r="OYM91" s="1757"/>
      <c r="OYN91" s="1757"/>
      <c r="OYO91" s="1757"/>
      <c r="OYP91" s="1757"/>
      <c r="OYQ91" s="1757"/>
      <c r="OYR91" s="1757"/>
      <c r="OYS91" s="1757"/>
      <c r="OYT91" s="1757"/>
      <c r="OYU91" s="1757"/>
      <c r="OYV91" s="1757"/>
      <c r="OYW91" s="1757"/>
      <c r="OYX91" s="1757"/>
      <c r="OYY91" s="1757"/>
      <c r="OYZ91" s="1757"/>
      <c r="OZA91" s="1757"/>
      <c r="OZB91" s="1757"/>
      <c r="OZC91" s="1757"/>
      <c r="OZD91" s="1757"/>
      <c r="OZE91" s="1757"/>
      <c r="OZF91" s="1757"/>
      <c r="OZG91" s="1757"/>
      <c r="OZH91" s="1757"/>
      <c r="OZI91" s="1757"/>
      <c r="OZJ91" s="1757"/>
      <c r="OZK91" s="1757"/>
      <c r="OZL91" s="1757"/>
      <c r="OZM91" s="1757"/>
      <c r="OZN91" s="1757"/>
      <c r="OZO91" s="1757"/>
      <c r="OZP91" s="1757"/>
      <c r="OZQ91" s="1757"/>
      <c r="OZR91" s="1757"/>
      <c r="OZS91" s="1757"/>
      <c r="OZT91" s="1757"/>
      <c r="OZU91" s="1757"/>
      <c r="OZV91" s="1757"/>
      <c r="OZW91" s="1757"/>
      <c r="OZX91" s="1757"/>
      <c r="OZY91" s="1757"/>
      <c r="OZZ91" s="1757"/>
      <c r="PAA91" s="1757"/>
      <c r="PAB91" s="1757"/>
      <c r="PAC91" s="1757"/>
      <c r="PAD91" s="1757"/>
      <c r="PAE91" s="1757"/>
      <c r="PAF91" s="1757"/>
      <c r="PAG91" s="1757"/>
      <c r="PAH91" s="1757"/>
      <c r="PAI91" s="1757"/>
      <c r="PAJ91" s="1757"/>
      <c r="PAK91" s="1757"/>
      <c r="PAL91" s="1757"/>
      <c r="PAM91" s="1757"/>
      <c r="PAN91" s="1757"/>
      <c r="PAO91" s="1757"/>
      <c r="PAP91" s="1757"/>
      <c r="PAQ91" s="1757"/>
      <c r="PAR91" s="1757"/>
      <c r="PAS91" s="1757"/>
      <c r="PAT91" s="1757"/>
      <c r="PAU91" s="1757"/>
      <c r="PAV91" s="1757"/>
      <c r="PAW91" s="1757"/>
      <c r="PAX91" s="1757"/>
      <c r="PAY91" s="1757"/>
      <c r="PAZ91" s="1757"/>
      <c r="PBA91" s="1757"/>
      <c r="PBB91" s="1757"/>
      <c r="PBC91" s="1757"/>
      <c r="PBD91" s="1757"/>
      <c r="PBE91" s="1757"/>
      <c r="PBF91" s="1757"/>
      <c r="PBG91" s="1757"/>
      <c r="PBH91" s="1757"/>
      <c r="PBI91" s="1757"/>
      <c r="PBJ91" s="1757"/>
      <c r="PBK91" s="1757"/>
      <c r="PBL91" s="1757"/>
      <c r="PBM91" s="1757"/>
      <c r="PBN91" s="1757"/>
      <c r="PBO91" s="1757"/>
      <c r="PBP91" s="1757"/>
      <c r="PBQ91" s="1757"/>
      <c r="PBR91" s="1757"/>
      <c r="PBS91" s="1757"/>
      <c r="PBT91" s="1757"/>
      <c r="PBU91" s="1757"/>
      <c r="PBV91" s="1757"/>
      <c r="PBW91" s="1757"/>
      <c r="PBX91" s="1757"/>
      <c r="PBY91" s="1757"/>
      <c r="PBZ91" s="1757"/>
      <c r="PCA91" s="1757"/>
      <c r="PCB91" s="1757"/>
      <c r="PCC91" s="1757"/>
      <c r="PCD91" s="1757"/>
      <c r="PCE91" s="1757"/>
      <c r="PCF91" s="1757"/>
      <c r="PCG91" s="1757"/>
      <c r="PCH91" s="1757"/>
      <c r="PCI91" s="1757"/>
      <c r="PCJ91" s="1757"/>
      <c r="PCK91" s="1757"/>
      <c r="PCL91" s="1757"/>
      <c r="PCM91" s="1757"/>
      <c r="PCN91" s="1757"/>
      <c r="PCO91" s="1757"/>
      <c r="PCP91" s="1757"/>
      <c r="PCQ91" s="1757"/>
      <c r="PCR91" s="1757"/>
      <c r="PCS91" s="1757"/>
      <c r="PCT91" s="1757"/>
      <c r="PCU91" s="1757"/>
      <c r="PCV91" s="1757"/>
      <c r="PCW91" s="1757"/>
      <c r="PCX91" s="1757"/>
      <c r="PCY91" s="1757"/>
      <c r="PCZ91" s="1757"/>
      <c r="PDA91" s="1757"/>
      <c r="PDB91" s="1757"/>
      <c r="PDC91" s="1757"/>
      <c r="PDD91" s="1757"/>
      <c r="PDE91" s="1757"/>
      <c r="PDF91" s="1757"/>
      <c r="PDG91" s="1757"/>
      <c r="PDH91" s="1757"/>
      <c r="PDI91" s="1757"/>
      <c r="PDJ91" s="1757"/>
      <c r="PDK91" s="1757"/>
      <c r="PDL91" s="1757"/>
      <c r="PDM91" s="1757"/>
      <c r="PDN91" s="1757"/>
      <c r="PDO91" s="1757"/>
      <c r="PDP91" s="1757"/>
      <c r="PDQ91" s="1757"/>
      <c r="PDR91" s="1757"/>
      <c r="PDS91" s="1757"/>
      <c r="PDT91" s="1757"/>
      <c r="PDU91" s="1757"/>
      <c r="PDV91" s="1757"/>
      <c r="PDW91" s="1757"/>
      <c r="PDX91" s="1757"/>
      <c r="PDY91" s="1757"/>
      <c r="PDZ91" s="1757"/>
      <c r="PEA91" s="1757"/>
      <c r="PEB91" s="1757"/>
      <c r="PEC91" s="1757"/>
      <c r="PED91" s="1757"/>
      <c r="PEE91" s="1757"/>
      <c r="PEF91" s="1757"/>
      <c r="PEG91" s="1757"/>
      <c r="PEH91" s="1757"/>
      <c r="PEI91" s="1757"/>
      <c r="PEJ91" s="1757"/>
      <c r="PEK91" s="1757"/>
      <c r="PEL91" s="1757"/>
      <c r="PEM91" s="1757"/>
      <c r="PEN91" s="1757"/>
      <c r="PEO91" s="1757"/>
      <c r="PEP91" s="1757"/>
      <c r="PEQ91" s="1757"/>
      <c r="PER91" s="1757"/>
      <c r="PES91" s="1757"/>
      <c r="PET91" s="1757"/>
      <c r="PEU91" s="1757"/>
      <c r="PEV91" s="1757"/>
      <c r="PEW91" s="1757"/>
      <c r="PEX91" s="1757"/>
      <c r="PEY91" s="1757"/>
      <c r="PEZ91" s="1757"/>
      <c r="PFA91" s="1757"/>
      <c r="PFB91" s="1757"/>
      <c r="PFC91" s="1757"/>
      <c r="PFD91" s="1757"/>
      <c r="PFE91" s="1757"/>
      <c r="PFF91" s="1757"/>
      <c r="PFG91" s="1757"/>
      <c r="PFH91" s="1757"/>
      <c r="PFI91" s="1757"/>
      <c r="PFJ91" s="1757"/>
      <c r="PFK91" s="1757"/>
      <c r="PFL91" s="1757"/>
      <c r="PFM91" s="1757"/>
      <c r="PFN91" s="1757"/>
      <c r="PFO91" s="1757"/>
      <c r="PFP91" s="1757"/>
      <c r="PFQ91" s="1757"/>
      <c r="PFR91" s="1757"/>
      <c r="PFS91" s="1757"/>
      <c r="PFT91" s="1757"/>
      <c r="PFU91" s="1757"/>
      <c r="PFV91" s="1757"/>
      <c r="PFW91" s="1757"/>
      <c r="PFX91" s="1757"/>
      <c r="PFY91" s="1757"/>
      <c r="PFZ91" s="1757"/>
      <c r="PGA91" s="1757"/>
      <c r="PGB91" s="1757"/>
      <c r="PGC91" s="1757"/>
      <c r="PGD91" s="1757"/>
      <c r="PGE91" s="1757"/>
      <c r="PGF91" s="1757"/>
      <c r="PGG91" s="1757"/>
      <c r="PGH91" s="1757"/>
      <c r="PGI91" s="1757"/>
      <c r="PGJ91" s="1757"/>
      <c r="PGK91" s="1757"/>
      <c r="PGL91" s="1757"/>
      <c r="PGM91" s="1757"/>
      <c r="PGN91" s="1757"/>
      <c r="PGO91" s="1757"/>
      <c r="PGP91" s="1757"/>
      <c r="PGQ91" s="1757"/>
      <c r="PGR91" s="1757"/>
      <c r="PGS91" s="1757"/>
      <c r="PGT91" s="1757"/>
      <c r="PGU91" s="1757"/>
      <c r="PGV91" s="1757"/>
      <c r="PGW91" s="1757"/>
      <c r="PGX91" s="1757"/>
      <c r="PGY91" s="1757"/>
      <c r="PGZ91" s="1757"/>
      <c r="PHA91" s="1757"/>
      <c r="PHB91" s="1757"/>
      <c r="PHC91" s="1757"/>
      <c r="PHD91" s="1757"/>
      <c r="PHE91" s="1757"/>
      <c r="PHF91" s="1757"/>
      <c r="PHG91" s="1757"/>
      <c r="PHH91" s="1757"/>
      <c r="PHI91" s="1757"/>
      <c r="PHJ91" s="1757"/>
      <c r="PHK91" s="1757"/>
      <c r="PHL91" s="1757"/>
      <c r="PHM91" s="1757"/>
      <c r="PHN91" s="1757"/>
      <c r="PHO91" s="1757"/>
      <c r="PHP91" s="1757"/>
      <c r="PHQ91" s="1757"/>
      <c r="PHR91" s="1757"/>
      <c r="PHS91" s="1757"/>
      <c r="PHT91" s="1757"/>
      <c r="PHU91" s="1757"/>
      <c r="PHV91" s="1757"/>
      <c r="PHW91" s="1757"/>
      <c r="PHX91" s="1757"/>
      <c r="PHY91" s="1757"/>
      <c r="PHZ91" s="1757"/>
      <c r="PIA91" s="1757"/>
      <c r="PIB91" s="1757"/>
      <c r="PIC91" s="1757"/>
      <c r="PID91" s="1757"/>
      <c r="PIE91" s="1757"/>
      <c r="PIF91" s="1757"/>
      <c r="PIG91" s="1757"/>
      <c r="PIH91" s="1757"/>
      <c r="PII91" s="1757"/>
      <c r="PIJ91" s="1757"/>
      <c r="PIK91" s="1757"/>
      <c r="PIL91" s="1757"/>
      <c r="PIM91" s="1757"/>
      <c r="PIN91" s="1757"/>
      <c r="PIO91" s="1757"/>
      <c r="PIP91" s="1757"/>
      <c r="PIQ91" s="1757"/>
      <c r="PIR91" s="1757"/>
      <c r="PIS91" s="1757"/>
      <c r="PIT91" s="1757"/>
      <c r="PIU91" s="1757"/>
      <c r="PIV91" s="1757"/>
      <c r="PIW91" s="1757"/>
      <c r="PIX91" s="1757"/>
      <c r="PIY91" s="1757"/>
      <c r="PIZ91" s="1757"/>
      <c r="PJA91" s="1757"/>
      <c r="PJB91" s="1757"/>
      <c r="PJC91" s="1757"/>
      <c r="PJD91" s="1757"/>
      <c r="PJE91" s="1757"/>
      <c r="PJF91" s="1757"/>
      <c r="PJG91" s="1757"/>
      <c r="PJH91" s="1757"/>
      <c r="PJI91" s="1757"/>
      <c r="PJJ91" s="1757"/>
      <c r="PJK91" s="1757"/>
      <c r="PJL91" s="1757"/>
      <c r="PJM91" s="1757"/>
      <c r="PJN91" s="1757"/>
      <c r="PJO91" s="1757"/>
      <c r="PJP91" s="1757"/>
      <c r="PJQ91" s="1757"/>
      <c r="PJR91" s="1757"/>
      <c r="PJS91" s="1757"/>
      <c r="PJT91" s="1757"/>
      <c r="PJU91" s="1757"/>
      <c r="PJV91" s="1757"/>
      <c r="PJW91" s="1757"/>
      <c r="PJX91" s="1757"/>
      <c r="PJY91" s="1757"/>
      <c r="PJZ91" s="1757"/>
      <c r="PKA91" s="1757"/>
      <c r="PKB91" s="1757"/>
      <c r="PKC91" s="1757"/>
      <c r="PKD91" s="1757"/>
      <c r="PKE91" s="1757"/>
      <c r="PKF91" s="1757"/>
      <c r="PKG91" s="1757"/>
      <c r="PKH91" s="1757"/>
      <c r="PKI91" s="1757"/>
      <c r="PKJ91" s="1757"/>
      <c r="PKK91" s="1757"/>
      <c r="PKL91" s="1757"/>
      <c r="PKM91" s="1757"/>
      <c r="PKN91" s="1757"/>
      <c r="PKO91" s="1757"/>
      <c r="PKP91" s="1757"/>
      <c r="PKQ91" s="1757"/>
      <c r="PKR91" s="1757"/>
      <c r="PKS91" s="1757"/>
      <c r="PKT91" s="1757"/>
      <c r="PKU91" s="1757"/>
      <c r="PKV91" s="1757"/>
      <c r="PKW91" s="1757"/>
      <c r="PKX91" s="1757"/>
      <c r="PKY91" s="1757"/>
      <c r="PKZ91" s="1757"/>
      <c r="PLA91" s="1757"/>
      <c r="PLB91" s="1757"/>
      <c r="PLC91" s="1757"/>
      <c r="PLD91" s="1757"/>
      <c r="PLE91" s="1757"/>
      <c r="PLF91" s="1757"/>
      <c r="PLG91" s="1757"/>
      <c r="PLH91" s="1757"/>
      <c r="PLI91" s="1757"/>
      <c r="PLJ91" s="1757"/>
      <c r="PLK91" s="1757"/>
      <c r="PLL91" s="1757"/>
      <c r="PLM91" s="1757"/>
      <c r="PLN91" s="1757"/>
      <c r="PLO91" s="1757"/>
      <c r="PLP91" s="1757"/>
      <c r="PLQ91" s="1757"/>
      <c r="PLR91" s="1757"/>
      <c r="PLS91" s="1757"/>
      <c r="PLT91" s="1757"/>
      <c r="PLU91" s="1757"/>
      <c r="PLV91" s="1757"/>
      <c r="PLW91" s="1757"/>
      <c r="PLX91" s="1757"/>
      <c r="PLY91" s="1757"/>
      <c r="PLZ91" s="1757"/>
      <c r="PMA91" s="1757"/>
      <c r="PMB91" s="1757"/>
      <c r="PMC91" s="1757"/>
      <c r="PMD91" s="1757"/>
      <c r="PME91" s="1757"/>
      <c r="PMF91" s="1757"/>
      <c r="PMG91" s="1757"/>
      <c r="PMH91" s="1757"/>
      <c r="PMI91" s="1757"/>
      <c r="PMJ91" s="1757"/>
      <c r="PMK91" s="1757"/>
      <c r="PML91" s="1757"/>
      <c r="PMM91" s="1757"/>
      <c r="PMN91" s="1757"/>
      <c r="PMO91" s="1757"/>
      <c r="PMP91" s="1757"/>
      <c r="PMQ91" s="1757"/>
      <c r="PMR91" s="1757"/>
      <c r="PMS91" s="1757"/>
      <c r="PMT91" s="1757"/>
      <c r="PMU91" s="1757"/>
      <c r="PMV91" s="1757"/>
      <c r="PMW91" s="1757"/>
      <c r="PMX91" s="1757"/>
      <c r="PMY91" s="1757"/>
      <c r="PMZ91" s="1757"/>
      <c r="PNA91" s="1757"/>
      <c r="PNB91" s="1757"/>
      <c r="PNC91" s="1757"/>
      <c r="PND91" s="1757"/>
      <c r="PNE91" s="1757"/>
      <c r="PNF91" s="1757"/>
      <c r="PNG91" s="1757"/>
      <c r="PNH91" s="1757"/>
      <c r="PNI91" s="1757"/>
      <c r="PNJ91" s="1757"/>
      <c r="PNK91" s="1757"/>
      <c r="PNL91" s="1757"/>
      <c r="PNM91" s="1757"/>
      <c r="PNN91" s="1757"/>
      <c r="PNO91" s="1757"/>
      <c r="PNP91" s="1757"/>
      <c r="PNQ91" s="1757"/>
      <c r="PNR91" s="1757"/>
      <c r="PNS91" s="1757"/>
      <c r="PNT91" s="1757"/>
      <c r="PNU91" s="1757"/>
      <c r="PNV91" s="1757"/>
      <c r="PNW91" s="1757"/>
      <c r="PNX91" s="1757"/>
      <c r="PNY91" s="1757"/>
      <c r="PNZ91" s="1757"/>
      <c r="POA91" s="1757"/>
      <c r="POB91" s="1757"/>
      <c r="POC91" s="1757"/>
      <c r="POD91" s="1757"/>
      <c r="POE91" s="1757"/>
      <c r="POF91" s="1757"/>
      <c r="POG91" s="1757"/>
      <c r="POH91" s="1757"/>
      <c r="POI91" s="1757"/>
      <c r="POJ91" s="1757"/>
      <c r="POK91" s="1757"/>
      <c r="POL91" s="1757"/>
      <c r="POM91" s="1757"/>
      <c r="PON91" s="1757"/>
      <c r="POO91" s="1757"/>
      <c r="POP91" s="1757"/>
      <c r="POQ91" s="1757"/>
      <c r="POR91" s="1757"/>
      <c r="POS91" s="1757"/>
      <c r="POT91" s="1757"/>
      <c r="POU91" s="1757"/>
      <c r="POV91" s="1757"/>
      <c r="POW91" s="1757"/>
      <c r="POX91" s="1757"/>
      <c r="POY91" s="1757"/>
      <c r="POZ91" s="1757"/>
      <c r="PPA91" s="1757"/>
      <c r="PPB91" s="1757"/>
      <c r="PPC91" s="1757"/>
      <c r="PPD91" s="1757"/>
      <c r="PPE91" s="1757"/>
      <c r="PPF91" s="1757"/>
      <c r="PPG91" s="1757"/>
      <c r="PPH91" s="1757"/>
      <c r="PPI91" s="1757"/>
      <c r="PPJ91" s="1757"/>
      <c r="PPK91" s="1757"/>
      <c r="PPL91" s="1757"/>
      <c r="PPM91" s="1757"/>
      <c r="PPN91" s="1757"/>
      <c r="PPO91" s="1757"/>
      <c r="PPP91" s="1757"/>
      <c r="PPQ91" s="1757"/>
      <c r="PPR91" s="1757"/>
      <c r="PPS91" s="1757"/>
      <c r="PPT91" s="1757"/>
      <c r="PPU91" s="1757"/>
      <c r="PPV91" s="1757"/>
      <c r="PPW91" s="1757"/>
      <c r="PPX91" s="1757"/>
      <c r="PPY91" s="1757"/>
      <c r="PPZ91" s="1757"/>
      <c r="PQA91" s="1757"/>
      <c r="PQB91" s="1757"/>
      <c r="PQC91" s="1757"/>
      <c r="PQD91" s="1757"/>
      <c r="PQE91" s="1757"/>
      <c r="PQF91" s="1757"/>
      <c r="PQG91" s="1757"/>
      <c r="PQH91" s="1757"/>
      <c r="PQI91" s="1757"/>
      <c r="PQJ91" s="1757"/>
      <c r="PQK91" s="1757"/>
      <c r="PQL91" s="1757"/>
      <c r="PQM91" s="1757"/>
      <c r="PQN91" s="1757"/>
      <c r="PQO91" s="1757"/>
      <c r="PQP91" s="1757"/>
      <c r="PQQ91" s="1757"/>
      <c r="PQR91" s="1757"/>
      <c r="PQS91" s="1757"/>
      <c r="PQT91" s="1757"/>
      <c r="PQU91" s="1757"/>
      <c r="PQV91" s="1757"/>
      <c r="PQW91" s="1757"/>
      <c r="PQX91" s="1757"/>
      <c r="PQY91" s="1757"/>
      <c r="PQZ91" s="1757"/>
      <c r="PRA91" s="1757"/>
      <c r="PRB91" s="1757"/>
      <c r="PRC91" s="1757"/>
      <c r="PRD91" s="1757"/>
      <c r="PRE91" s="1757"/>
      <c r="PRF91" s="1757"/>
      <c r="PRG91" s="1757"/>
      <c r="PRH91" s="1757"/>
      <c r="PRI91" s="1757"/>
      <c r="PRJ91" s="1757"/>
      <c r="PRK91" s="1757"/>
      <c r="PRL91" s="1757"/>
      <c r="PRM91" s="1757"/>
      <c r="PRN91" s="1757"/>
      <c r="PRO91" s="1757"/>
      <c r="PRP91" s="1757"/>
      <c r="PRQ91" s="1757"/>
      <c r="PRR91" s="1757"/>
      <c r="PRS91" s="1757"/>
      <c r="PRT91" s="1757"/>
      <c r="PRU91" s="1757"/>
      <c r="PRV91" s="1757"/>
      <c r="PRW91" s="1757"/>
      <c r="PRX91" s="1757"/>
      <c r="PRY91" s="1757"/>
      <c r="PRZ91" s="1757"/>
      <c r="PSA91" s="1757"/>
      <c r="PSB91" s="1757"/>
      <c r="PSC91" s="1757"/>
      <c r="PSD91" s="1757"/>
      <c r="PSE91" s="1757"/>
      <c r="PSF91" s="1757"/>
      <c r="PSG91" s="1757"/>
      <c r="PSH91" s="1757"/>
      <c r="PSI91" s="1757"/>
      <c r="PSJ91" s="1757"/>
      <c r="PSK91" s="1757"/>
      <c r="PSL91" s="1757"/>
      <c r="PSM91" s="1757"/>
      <c r="PSN91" s="1757"/>
      <c r="PSO91" s="1757"/>
      <c r="PSP91" s="1757"/>
      <c r="PSQ91" s="1757"/>
      <c r="PSR91" s="1757"/>
      <c r="PSS91" s="1757"/>
      <c r="PST91" s="1757"/>
      <c r="PSU91" s="1757"/>
      <c r="PSV91" s="1757"/>
      <c r="PSW91" s="1757"/>
      <c r="PSX91" s="1757"/>
      <c r="PSY91" s="1757"/>
      <c r="PSZ91" s="1757"/>
      <c r="PTA91" s="1757"/>
      <c r="PTB91" s="1757"/>
      <c r="PTC91" s="1757"/>
      <c r="PTD91" s="1757"/>
      <c r="PTE91" s="1757"/>
      <c r="PTF91" s="1757"/>
      <c r="PTG91" s="1757"/>
      <c r="PTH91" s="1757"/>
      <c r="PTI91" s="1757"/>
      <c r="PTJ91" s="1757"/>
      <c r="PTK91" s="1757"/>
      <c r="PTL91" s="1757"/>
      <c r="PTM91" s="1757"/>
      <c r="PTN91" s="1757"/>
      <c r="PTO91" s="1757"/>
      <c r="PTP91" s="1757"/>
      <c r="PTQ91" s="1757"/>
      <c r="PTR91" s="1757"/>
      <c r="PTS91" s="1757"/>
      <c r="PTT91" s="1757"/>
      <c r="PTU91" s="1757"/>
      <c r="PTV91" s="1757"/>
      <c r="PTW91" s="1757"/>
      <c r="PTX91" s="1757"/>
      <c r="PTY91" s="1757"/>
      <c r="PTZ91" s="1757"/>
      <c r="PUA91" s="1757"/>
      <c r="PUB91" s="1757"/>
      <c r="PUC91" s="1757"/>
      <c r="PUD91" s="1757"/>
      <c r="PUE91" s="1757"/>
      <c r="PUF91" s="1757"/>
      <c r="PUG91" s="1757"/>
      <c r="PUH91" s="1757"/>
      <c r="PUI91" s="1757"/>
      <c r="PUJ91" s="1757"/>
      <c r="PUK91" s="1757"/>
      <c r="PUL91" s="1757"/>
      <c r="PUM91" s="1757"/>
      <c r="PUN91" s="1757"/>
      <c r="PUO91" s="1757"/>
      <c r="PUP91" s="1757"/>
      <c r="PUQ91" s="1757"/>
      <c r="PUR91" s="1757"/>
      <c r="PUS91" s="1757"/>
      <c r="PUT91" s="1757"/>
      <c r="PUU91" s="1757"/>
      <c r="PUV91" s="1757"/>
      <c r="PUW91" s="1757"/>
      <c r="PUX91" s="1757"/>
      <c r="PUY91" s="1757"/>
      <c r="PUZ91" s="1757"/>
      <c r="PVA91" s="1757"/>
      <c r="PVB91" s="1757"/>
      <c r="PVC91" s="1757"/>
      <c r="PVD91" s="1757"/>
      <c r="PVE91" s="1757"/>
      <c r="PVF91" s="1757"/>
      <c r="PVG91" s="1757"/>
      <c r="PVH91" s="1757"/>
      <c r="PVI91" s="1757"/>
      <c r="PVJ91" s="1757"/>
      <c r="PVK91" s="1757"/>
      <c r="PVL91" s="1757"/>
      <c r="PVM91" s="1757"/>
      <c r="PVN91" s="1757"/>
      <c r="PVO91" s="1757"/>
      <c r="PVP91" s="1757"/>
      <c r="PVQ91" s="1757"/>
      <c r="PVR91" s="1757"/>
      <c r="PVS91" s="1757"/>
      <c r="PVT91" s="1757"/>
      <c r="PVU91" s="1757"/>
      <c r="PVV91" s="1757"/>
      <c r="PVW91" s="1757"/>
      <c r="PVX91" s="1757"/>
      <c r="PVY91" s="1757"/>
      <c r="PVZ91" s="1757"/>
      <c r="PWA91" s="1757"/>
      <c r="PWB91" s="1757"/>
      <c r="PWC91" s="1757"/>
      <c r="PWD91" s="1757"/>
      <c r="PWE91" s="1757"/>
      <c r="PWF91" s="1757"/>
      <c r="PWG91" s="1757"/>
      <c r="PWH91" s="1757"/>
      <c r="PWI91" s="1757"/>
      <c r="PWJ91" s="1757"/>
      <c r="PWK91" s="1757"/>
      <c r="PWL91" s="1757"/>
      <c r="PWM91" s="1757"/>
      <c r="PWN91" s="1757"/>
      <c r="PWO91" s="1757"/>
      <c r="PWP91" s="1757"/>
      <c r="PWQ91" s="1757"/>
      <c r="PWR91" s="1757"/>
      <c r="PWS91" s="1757"/>
      <c r="PWT91" s="1757"/>
      <c r="PWU91" s="1757"/>
      <c r="PWV91" s="1757"/>
      <c r="PWW91" s="1757"/>
      <c r="PWX91" s="1757"/>
      <c r="PWY91" s="1757"/>
      <c r="PWZ91" s="1757"/>
      <c r="PXA91" s="1757"/>
      <c r="PXB91" s="1757"/>
      <c r="PXC91" s="1757"/>
      <c r="PXD91" s="1757"/>
      <c r="PXE91" s="1757"/>
      <c r="PXF91" s="1757"/>
      <c r="PXG91" s="1757"/>
      <c r="PXH91" s="1757"/>
      <c r="PXI91" s="1757"/>
      <c r="PXJ91" s="1757"/>
      <c r="PXK91" s="1757"/>
      <c r="PXL91" s="1757"/>
      <c r="PXM91" s="1757"/>
      <c r="PXN91" s="1757"/>
      <c r="PXO91" s="1757"/>
      <c r="PXP91" s="1757"/>
      <c r="PXQ91" s="1757"/>
      <c r="PXR91" s="1757"/>
      <c r="PXS91" s="1757"/>
      <c r="PXT91" s="1757"/>
      <c r="PXU91" s="1757"/>
      <c r="PXV91" s="1757"/>
      <c r="PXW91" s="1757"/>
      <c r="PXX91" s="1757"/>
      <c r="PXY91" s="1757"/>
      <c r="PXZ91" s="1757"/>
      <c r="PYA91" s="1757"/>
      <c r="PYB91" s="1757"/>
      <c r="PYC91" s="1757"/>
      <c r="PYD91" s="1757"/>
      <c r="PYE91" s="1757"/>
      <c r="PYF91" s="1757"/>
      <c r="PYG91" s="1757"/>
      <c r="PYH91" s="1757"/>
      <c r="PYI91" s="1757"/>
      <c r="PYJ91" s="1757"/>
      <c r="PYK91" s="1757"/>
      <c r="PYL91" s="1757"/>
      <c r="PYM91" s="1757"/>
      <c r="PYN91" s="1757"/>
      <c r="PYO91" s="1757"/>
      <c r="PYP91" s="1757"/>
      <c r="PYQ91" s="1757"/>
      <c r="PYR91" s="1757"/>
      <c r="PYS91" s="1757"/>
      <c r="PYT91" s="1757"/>
      <c r="PYU91" s="1757"/>
      <c r="PYV91" s="1757"/>
      <c r="PYW91" s="1757"/>
      <c r="PYX91" s="1757"/>
      <c r="PYY91" s="1757"/>
      <c r="PYZ91" s="1757"/>
      <c r="PZA91" s="1757"/>
      <c r="PZB91" s="1757"/>
      <c r="PZC91" s="1757"/>
      <c r="PZD91" s="1757"/>
      <c r="PZE91" s="1757"/>
      <c r="PZF91" s="1757"/>
      <c r="PZG91" s="1757"/>
      <c r="PZH91" s="1757"/>
      <c r="PZI91" s="1757"/>
      <c r="PZJ91" s="1757"/>
      <c r="PZK91" s="1757"/>
      <c r="PZL91" s="1757"/>
      <c r="PZM91" s="1757"/>
      <c r="PZN91" s="1757"/>
      <c r="PZO91" s="1757"/>
      <c r="PZP91" s="1757"/>
      <c r="PZQ91" s="1757"/>
      <c r="PZR91" s="1757"/>
      <c r="PZS91" s="1757"/>
      <c r="PZT91" s="1757"/>
      <c r="PZU91" s="1757"/>
      <c r="PZV91" s="1757"/>
      <c r="PZW91" s="1757"/>
      <c r="PZX91" s="1757"/>
      <c r="PZY91" s="1757"/>
      <c r="PZZ91" s="1757"/>
      <c r="QAA91" s="1757"/>
      <c r="QAB91" s="1757"/>
      <c r="QAC91" s="1757"/>
      <c r="QAD91" s="1757"/>
      <c r="QAE91" s="1757"/>
      <c r="QAF91" s="1757"/>
      <c r="QAG91" s="1757"/>
      <c r="QAH91" s="1757"/>
      <c r="QAI91" s="1757"/>
      <c r="QAJ91" s="1757"/>
      <c r="QAK91" s="1757"/>
      <c r="QAL91" s="1757"/>
      <c r="QAM91" s="1757"/>
      <c r="QAN91" s="1757"/>
      <c r="QAO91" s="1757"/>
      <c r="QAP91" s="1757"/>
      <c r="QAQ91" s="1757"/>
      <c r="QAR91" s="1757"/>
      <c r="QAS91" s="1757"/>
      <c r="QAT91" s="1757"/>
      <c r="QAU91" s="1757"/>
      <c r="QAV91" s="1757"/>
      <c r="QAW91" s="1757"/>
      <c r="QAX91" s="1757"/>
      <c r="QAY91" s="1757"/>
      <c r="QAZ91" s="1757"/>
      <c r="QBA91" s="1757"/>
      <c r="QBB91" s="1757"/>
      <c r="QBC91" s="1757"/>
      <c r="QBD91" s="1757"/>
      <c r="QBE91" s="1757"/>
      <c r="QBF91" s="1757"/>
      <c r="QBG91" s="1757"/>
      <c r="QBH91" s="1757"/>
      <c r="QBI91" s="1757"/>
      <c r="QBJ91" s="1757"/>
      <c r="QBK91" s="1757"/>
      <c r="QBL91" s="1757"/>
      <c r="QBM91" s="1757"/>
      <c r="QBN91" s="1757"/>
      <c r="QBO91" s="1757"/>
      <c r="QBP91" s="1757"/>
      <c r="QBQ91" s="1757"/>
      <c r="QBR91" s="1757"/>
      <c r="QBS91" s="1757"/>
      <c r="QBT91" s="1757"/>
      <c r="QBU91" s="1757"/>
      <c r="QBV91" s="1757"/>
      <c r="QBW91" s="1757"/>
      <c r="QBX91" s="1757"/>
      <c r="QBY91" s="1757"/>
      <c r="QBZ91" s="1757"/>
      <c r="QCA91" s="1757"/>
      <c r="QCB91" s="1757"/>
      <c r="QCC91" s="1757"/>
      <c r="QCD91" s="1757"/>
      <c r="QCE91" s="1757"/>
      <c r="QCF91" s="1757"/>
      <c r="QCG91" s="1757"/>
      <c r="QCH91" s="1757"/>
      <c r="QCI91" s="1757"/>
      <c r="QCJ91" s="1757"/>
      <c r="QCK91" s="1757"/>
      <c r="QCL91" s="1757"/>
      <c r="QCM91" s="1757"/>
      <c r="QCN91" s="1757"/>
      <c r="QCO91" s="1757"/>
      <c r="QCP91" s="1757"/>
      <c r="QCQ91" s="1757"/>
      <c r="QCR91" s="1757"/>
      <c r="QCS91" s="1757"/>
      <c r="QCT91" s="1757"/>
      <c r="QCU91" s="1757"/>
      <c r="QCV91" s="1757"/>
      <c r="QCW91" s="1757"/>
      <c r="QCX91" s="1757"/>
      <c r="QCY91" s="1757"/>
      <c r="QCZ91" s="1757"/>
      <c r="QDA91" s="1757"/>
      <c r="QDB91" s="1757"/>
      <c r="QDC91" s="1757"/>
      <c r="QDD91" s="1757"/>
      <c r="QDE91" s="1757"/>
      <c r="QDF91" s="1757"/>
      <c r="QDG91" s="1757"/>
      <c r="QDH91" s="1757"/>
      <c r="QDI91" s="1757"/>
      <c r="QDJ91" s="1757"/>
      <c r="QDK91" s="1757"/>
      <c r="QDL91" s="1757"/>
      <c r="QDM91" s="1757"/>
      <c r="QDN91" s="1757"/>
      <c r="QDO91" s="1757"/>
      <c r="QDP91" s="1757"/>
      <c r="QDQ91" s="1757"/>
      <c r="QDR91" s="1757"/>
      <c r="QDS91" s="1757"/>
      <c r="QDT91" s="1757"/>
      <c r="QDU91" s="1757"/>
      <c r="QDV91" s="1757"/>
      <c r="QDW91" s="1757"/>
      <c r="QDX91" s="1757"/>
      <c r="QDY91" s="1757"/>
      <c r="QDZ91" s="1757"/>
      <c r="QEA91" s="1757"/>
      <c r="QEB91" s="1757"/>
      <c r="QEC91" s="1757"/>
      <c r="QED91" s="1757"/>
      <c r="QEE91" s="1757"/>
      <c r="QEF91" s="1757"/>
      <c r="QEG91" s="1757"/>
      <c r="QEH91" s="1757"/>
      <c r="QEI91" s="1757"/>
      <c r="QEJ91" s="1757"/>
      <c r="QEK91" s="1757"/>
      <c r="QEL91" s="1757"/>
      <c r="QEM91" s="1757"/>
      <c r="QEN91" s="1757"/>
      <c r="QEO91" s="1757"/>
      <c r="QEP91" s="1757"/>
      <c r="QEQ91" s="1757"/>
      <c r="QER91" s="1757"/>
      <c r="QES91" s="1757"/>
      <c r="QET91" s="1757"/>
      <c r="QEU91" s="1757"/>
      <c r="QEV91" s="1757"/>
      <c r="QEW91" s="1757"/>
      <c r="QEX91" s="1757"/>
      <c r="QEY91" s="1757"/>
      <c r="QEZ91" s="1757"/>
      <c r="QFA91" s="1757"/>
      <c r="QFB91" s="1757"/>
      <c r="QFC91" s="1757"/>
      <c r="QFD91" s="1757"/>
      <c r="QFE91" s="1757"/>
      <c r="QFF91" s="1757"/>
      <c r="QFG91" s="1757"/>
      <c r="QFH91" s="1757"/>
      <c r="QFI91" s="1757"/>
      <c r="QFJ91" s="1757"/>
      <c r="QFK91" s="1757"/>
      <c r="QFL91" s="1757"/>
      <c r="QFM91" s="1757"/>
      <c r="QFN91" s="1757"/>
      <c r="QFO91" s="1757"/>
      <c r="QFP91" s="1757"/>
      <c r="QFQ91" s="1757"/>
      <c r="QFR91" s="1757"/>
      <c r="QFS91" s="1757"/>
      <c r="QFT91" s="1757"/>
      <c r="QFU91" s="1757"/>
      <c r="QFV91" s="1757"/>
      <c r="QFW91" s="1757"/>
      <c r="QFX91" s="1757"/>
      <c r="QFY91" s="1757"/>
      <c r="QFZ91" s="1757"/>
      <c r="QGA91" s="1757"/>
      <c r="QGB91" s="1757"/>
      <c r="QGC91" s="1757"/>
      <c r="QGD91" s="1757"/>
      <c r="QGE91" s="1757"/>
      <c r="QGF91" s="1757"/>
      <c r="QGG91" s="1757"/>
      <c r="QGH91" s="1757"/>
      <c r="QGI91" s="1757"/>
      <c r="QGJ91" s="1757"/>
      <c r="QGK91" s="1757"/>
      <c r="QGL91" s="1757"/>
      <c r="QGM91" s="1757"/>
      <c r="QGN91" s="1757"/>
      <c r="QGO91" s="1757"/>
      <c r="QGP91" s="1757"/>
      <c r="QGQ91" s="1757"/>
      <c r="QGR91" s="1757"/>
      <c r="QGS91" s="1757"/>
      <c r="QGT91" s="1757"/>
      <c r="QGU91" s="1757"/>
      <c r="QGV91" s="1757"/>
      <c r="QGW91" s="1757"/>
      <c r="QGX91" s="1757"/>
      <c r="QGY91" s="1757"/>
      <c r="QGZ91" s="1757"/>
      <c r="QHA91" s="1757"/>
      <c r="QHB91" s="1757"/>
      <c r="QHC91" s="1757"/>
      <c r="QHD91" s="1757"/>
      <c r="QHE91" s="1757"/>
      <c r="QHF91" s="1757"/>
      <c r="QHG91" s="1757"/>
      <c r="QHH91" s="1757"/>
      <c r="QHI91" s="1757"/>
      <c r="QHJ91" s="1757"/>
      <c r="QHK91" s="1757"/>
      <c r="QHL91" s="1757"/>
      <c r="QHM91" s="1757"/>
      <c r="QHN91" s="1757"/>
      <c r="QHO91" s="1757"/>
      <c r="QHP91" s="1757"/>
      <c r="QHQ91" s="1757"/>
      <c r="QHR91" s="1757"/>
      <c r="QHS91" s="1757"/>
      <c r="QHT91" s="1757"/>
      <c r="QHU91" s="1757"/>
      <c r="QHV91" s="1757"/>
      <c r="QHW91" s="1757"/>
      <c r="QHX91" s="1757"/>
      <c r="QHY91" s="1757"/>
      <c r="QHZ91" s="1757"/>
      <c r="QIA91" s="1757"/>
      <c r="QIB91" s="1757"/>
      <c r="QIC91" s="1757"/>
      <c r="QID91" s="1757"/>
      <c r="QIE91" s="1757"/>
      <c r="QIF91" s="1757"/>
      <c r="QIG91" s="1757"/>
      <c r="QIH91" s="1757"/>
      <c r="QII91" s="1757"/>
      <c r="QIJ91" s="1757"/>
      <c r="QIK91" s="1757"/>
      <c r="QIL91" s="1757"/>
      <c r="QIM91" s="1757"/>
      <c r="QIN91" s="1757"/>
      <c r="QIO91" s="1757"/>
      <c r="QIP91" s="1757"/>
      <c r="QIQ91" s="1757"/>
      <c r="QIR91" s="1757"/>
      <c r="QIS91" s="1757"/>
      <c r="QIT91" s="1757"/>
      <c r="QIU91" s="1757"/>
      <c r="QIV91" s="1757"/>
      <c r="QIW91" s="1757"/>
      <c r="QIX91" s="1757"/>
      <c r="QIY91" s="1757"/>
      <c r="QIZ91" s="1757"/>
      <c r="QJA91" s="1757"/>
      <c r="QJB91" s="1757"/>
      <c r="QJC91" s="1757"/>
      <c r="QJD91" s="1757"/>
      <c r="QJE91" s="1757"/>
      <c r="QJF91" s="1757"/>
      <c r="QJG91" s="1757"/>
      <c r="QJH91" s="1757"/>
      <c r="QJI91" s="1757"/>
      <c r="QJJ91" s="1757"/>
      <c r="QJK91" s="1757"/>
      <c r="QJL91" s="1757"/>
      <c r="QJM91" s="1757"/>
      <c r="QJN91" s="1757"/>
      <c r="QJO91" s="1757"/>
      <c r="QJP91" s="1757"/>
      <c r="QJQ91" s="1757"/>
      <c r="QJR91" s="1757"/>
      <c r="QJS91" s="1757"/>
      <c r="QJT91" s="1757"/>
      <c r="QJU91" s="1757"/>
      <c r="QJV91" s="1757"/>
      <c r="QJW91" s="1757"/>
      <c r="QJX91" s="1757"/>
      <c r="QJY91" s="1757"/>
      <c r="QJZ91" s="1757"/>
      <c r="QKA91" s="1757"/>
      <c r="QKB91" s="1757"/>
      <c r="QKC91" s="1757"/>
      <c r="QKD91" s="1757"/>
      <c r="QKE91" s="1757"/>
      <c r="QKF91" s="1757"/>
      <c r="QKG91" s="1757"/>
      <c r="QKH91" s="1757"/>
      <c r="QKI91" s="1757"/>
      <c r="QKJ91" s="1757"/>
      <c r="QKK91" s="1757"/>
      <c r="QKL91" s="1757"/>
      <c r="QKM91" s="1757"/>
      <c r="QKN91" s="1757"/>
      <c r="QKO91" s="1757"/>
      <c r="QKP91" s="1757"/>
      <c r="QKQ91" s="1757"/>
      <c r="QKR91" s="1757"/>
      <c r="QKS91" s="1757"/>
      <c r="QKT91" s="1757"/>
      <c r="QKU91" s="1757"/>
      <c r="QKV91" s="1757"/>
      <c r="QKW91" s="1757"/>
      <c r="QKX91" s="1757"/>
      <c r="QKY91" s="1757"/>
      <c r="QKZ91" s="1757"/>
      <c r="QLA91" s="1757"/>
      <c r="QLB91" s="1757"/>
      <c r="QLC91" s="1757"/>
      <c r="QLD91" s="1757"/>
      <c r="QLE91" s="1757"/>
      <c r="QLF91" s="1757"/>
      <c r="QLG91" s="1757"/>
      <c r="QLH91" s="1757"/>
      <c r="QLI91" s="1757"/>
      <c r="QLJ91" s="1757"/>
      <c r="QLK91" s="1757"/>
      <c r="QLL91" s="1757"/>
      <c r="QLM91" s="1757"/>
      <c r="QLN91" s="1757"/>
      <c r="QLO91" s="1757"/>
      <c r="QLP91" s="1757"/>
      <c r="QLQ91" s="1757"/>
      <c r="QLR91" s="1757"/>
      <c r="QLS91" s="1757"/>
      <c r="QLT91" s="1757"/>
      <c r="QLU91" s="1757"/>
      <c r="QLV91" s="1757"/>
      <c r="QLW91" s="1757"/>
      <c r="QLX91" s="1757"/>
      <c r="QLY91" s="1757"/>
      <c r="QLZ91" s="1757"/>
      <c r="QMA91" s="1757"/>
      <c r="QMB91" s="1757"/>
      <c r="QMC91" s="1757"/>
      <c r="QMD91" s="1757"/>
      <c r="QME91" s="1757"/>
      <c r="QMF91" s="1757"/>
      <c r="QMG91" s="1757"/>
      <c r="QMH91" s="1757"/>
      <c r="QMI91" s="1757"/>
      <c r="QMJ91" s="1757"/>
      <c r="QMK91" s="1757"/>
      <c r="QML91" s="1757"/>
      <c r="QMM91" s="1757"/>
      <c r="QMN91" s="1757"/>
      <c r="QMO91" s="1757"/>
      <c r="QMP91" s="1757"/>
      <c r="QMQ91" s="1757"/>
      <c r="QMR91" s="1757"/>
      <c r="QMS91" s="1757"/>
      <c r="QMT91" s="1757"/>
      <c r="QMU91" s="1757"/>
      <c r="QMV91" s="1757"/>
      <c r="QMW91" s="1757"/>
      <c r="QMX91" s="1757"/>
      <c r="QMY91" s="1757"/>
      <c r="QMZ91" s="1757"/>
      <c r="QNA91" s="1757"/>
      <c r="QNB91" s="1757"/>
      <c r="QNC91" s="1757"/>
      <c r="QND91" s="1757"/>
      <c r="QNE91" s="1757"/>
      <c r="QNF91" s="1757"/>
      <c r="QNG91" s="1757"/>
      <c r="QNH91" s="1757"/>
      <c r="QNI91" s="1757"/>
      <c r="QNJ91" s="1757"/>
      <c r="QNK91" s="1757"/>
      <c r="QNL91" s="1757"/>
      <c r="QNM91" s="1757"/>
      <c r="QNN91" s="1757"/>
      <c r="QNO91" s="1757"/>
      <c r="QNP91" s="1757"/>
      <c r="QNQ91" s="1757"/>
      <c r="QNR91" s="1757"/>
      <c r="QNS91" s="1757"/>
      <c r="QNT91" s="1757"/>
      <c r="QNU91" s="1757"/>
      <c r="QNV91" s="1757"/>
      <c r="QNW91" s="1757"/>
      <c r="QNX91" s="1757"/>
      <c r="QNY91" s="1757"/>
      <c r="QNZ91" s="1757"/>
      <c r="QOA91" s="1757"/>
      <c r="QOB91" s="1757"/>
      <c r="QOC91" s="1757"/>
      <c r="QOD91" s="1757"/>
      <c r="QOE91" s="1757"/>
      <c r="QOF91" s="1757"/>
      <c r="QOG91" s="1757"/>
      <c r="QOH91" s="1757"/>
      <c r="QOI91" s="1757"/>
      <c r="QOJ91" s="1757"/>
      <c r="QOK91" s="1757"/>
      <c r="QOL91" s="1757"/>
      <c r="QOM91" s="1757"/>
      <c r="QON91" s="1757"/>
      <c r="QOO91" s="1757"/>
      <c r="QOP91" s="1757"/>
      <c r="QOQ91" s="1757"/>
      <c r="QOR91" s="1757"/>
      <c r="QOS91" s="1757"/>
      <c r="QOT91" s="1757"/>
      <c r="QOU91" s="1757"/>
      <c r="QOV91" s="1757"/>
      <c r="QOW91" s="1757"/>
      <c r="QOX91" s="1757"/>
      <c r="QOY91" s="1757"/>
      <c r="QOZ91" s="1757"/>
      <c r="QPA91" s="1757"/>
      <c r="QPB91" s="1757"/>
      <c r="QPC91" s="1757"/>
      <c r="QPD91" s="1757"/>
      <c r="QPE91" s="1757"/>
      <c r="QPF91" s="1757"/>
      <c r="QPG91" s="1757"/>
      <c r="QPH91" s="1757"/>
      <c r="QPI91" s="1757"/>
      <c r="QPJ91" s="1757"/>
      <c r="QPK91" s="1757"/>
      <c r="QPL91" s="1757"/>
      <c r="QPM91" s="1757"/>
      <c r="QPN91" s="1757"/>
      <c r="QPO91" s="1757"/>
      <c r="QPP91" s="1757"/>
      <c r="QPQ91" s="1757"/>
      <c r="QPR91" s="1757"/>
      <c r="QPS91" s="1757"/>
      <c r="QPT91" s="1757"/>
      <c r="QPU91" s="1757"/>
      <c r="QPV91" s="1757"/>
      <c r="QPW91" s="1757"/>
      <c r="QPX91" s="1757"/>
      <c r="QPY91" s="1757"/>
      <c r="QPZ91" s="1757"/>
      <c r="QQA91" s="1757"/>
      <c r="QQB91" s="1757"/>
      <c r="QQC91" s="1757"/>
      <c r="QQD91" s="1757"/>
      <c r="QQE91" s="1757"/>
      <c r="QQF91" s="1757"/>
      <c r="QQG91" s="1757"/>
      <c r="QQH91" s="1757"/>
      <c r="QQI91" s="1757"/>
      <c r="QQJ91" s="1757"/>
      <c r="QQK91" s="1757"/>
      <c r="QQL91" s="1757"/>
      <c r="QQM91" s="1757"/>
      <c r="QQN91" s="1757"/>
      <c r="QQO91" s="1757"/>
      <c r="QQP91" s="1757"/>
      <c r="QQQ91" s="1757"/>
      <c r="QQR91" s="1757"/>
      <c r="QQS91" s="1757"/>
      <c r="QQT91" s="1757"/>
      <c r="QQU91" s="1757"/>
      <c r="QQV91" s="1757"/>
      <c r="QQW91" s="1757"/>
      <c r="QQX91" s="1757"/>
      <c r="QQY91" s="1757"/>
      <c r="QQZ91" s="1757"/>
      <c r="QRA91" s="1757"/>
      <c r="QRB91" s="1757"/>
      <c r="QRC91" s="1757"/>
      <c r="QRD91" s="1757"/>
      <c r="QRE91" s="1757"/>
      <c r="QRF91" s="1757"/>
      <c r="QRG91" s="1757"/>
      <c r="QRH91" s="1757"/>
      <c r="QRI91" s="1757"/>
      <c r="QRJ91" s="1757"/>
      <c r="QRK91" s="1757"/>
      <c r="QRL91" s="1757"/>
      <c r="QRM91" s="1757"/>
      <c r="QRN91" s="1757"/>
      <c r="QRO91" s="1757"/>
      <c r="QRP91" s="1757"/>
      <c r="QRQ91" s="1757"/>
      <c r="QRR91" s="1757"/>
      <c r="QRS91" s="1757"/>
      <c r="QRT91" s="1757"/>
      <c r="QRU91" s="1757"/>
      <c r="QRV91" s="1757"/>
      <c r="QRW91" s="1757"/>
      <c r="QRX91" s="1757"/>
      <c r="QRY91" s="1757"/>
      <c r="QRZ91" s="1757"/>
      <c r="QSA91" s="1757"/>
      <c r="QSB91" s="1757"/>
      <c r="QSC91" s="1757"/>
      <c r="QSD91" s="1757"/>
      <c r="QSE91" s="1757"/>
      <c r="QSF91" s="1757"/>
      <c r="QSG91" s="1757"/>
      <c r="QSH91" s="1757"/>
      <c r="QSI91" s="1757"/>
      <c r="QSJ91" s="1757"/>
      <c r="QSK91" s="1757"/>
      <c r="QSL91" s="1757"/>
      <c r="QSM91" s="1757"/>
      <c r="QSN91" s="1757"/>
      <c r="QSO91" s="1757"/>
      <c r="QSP91" s="1757"/>
      <c r="QSQ91" s="1757"/>
      <c r="QSR91" s="1757"/>
      <c r="QSS91" s="1757"/>
      <c r="QST91" s="1757"/>
      <c r="QSU91" s="1757"/>
      <c r="QSV91" s="1757"/>
      <c r="QSW91" s="1757"/>
      <c r="QSX91" s="1757"/>
      <c r="QSY91" s="1757"/>
      <c r="QSZ91" s="1757"/>
      <c r="QTA91" s="1757"/>
      <c r="QTB91" s="1757"/>
      <c r="QTC91" s="1757"/>
      <c r="QTD91" s="1757"/>
      <c r="QTE91" s="1757"/>
      <c r="QTF91" s="1757"/>
      <c r="QTG91" s="1757"/>
      <c r="QTH91" s="1757"/>
      <c r="QTI91" s="1757"/>
      <c r="QTJ91" s="1757"/>
      <c r="QTK91" s="1757"/>
      <c r="QTL91" s="1757"/>
      <c r="QTM91" s="1757"/>
      <c r="QTN91" s="1757"/>
      <c r="QTO91" s="1757"/>
      <c r="QTP91" s="1757"/>
      <c r="QTQ91" s="1757"/>
      <c r="QTR91" s="1757"/>
      <c r="QTS91" s="1757"/>
      <c r="QTT91" s="1757"/>
      <c r="QTU91" s="1757"/>
      <c r="QTV91" s="1757"/>
      <c r="QTW91" s="1757"/>
      <c r="QTX91" s="1757"/>
      <c r="QTY91" s="1757"/>
      <c r="QTZ91" s="1757"/>
      <c r="QUA91" s="1757"/>
      <c r="QUB91" s="1757"/>
      <c r="QUC91" s="1757"/>
      <c r="QUD91" s="1757"/>
      <c r="QUE91" s="1757"/>
      <c r="QUF91" s="1757"/>
      <c r="QUG91" s="1757"/>
      <c r="QUH91" s="1757"/>
      <c r="QUI91" s="1757"/>
      <c r="QUJ91" s="1757"/>
      <c r="QUK91" s="1757"/>
      <c r="QUL91" s="1757"/>
      <c r="QUM91" s="1757"/>
      <c r="QUN91" s="1757"/>
      <c r="QUO91" s="1757"/>
      <c r="QUP91" s="1757"/>
      <c r="QUQ91" s="1757"/>
      <c r="QUR91" s="1757"/>
      <c r="QUS91" s="1757"/>
      <c r="QUT91" s="1757"/>
      <c r="QUU91" s="1757"/>
      <c r="QUV91" s="1757"/>
      <c r="QUW91" s="1757"/>
      <c r="QUX91" s="1757"/>
      <c r="QUY91" s="1757"/>
      <c r="QUZ91" s="1757"/>
      <c r="QVA91" s="1757"/>
      <c r="QVB91" s="1757"/>
      <c r="QVC91" s="1757"/>
      <c r="QVD91" s="1757"/>
      <c r="QVE91" s="1757"/>
      <c r="QVF91" s="1757"/>
      <c r="QVG91" s="1757"/>
      <c r="QVH91" s="1757"/>
      <c r="QVI91" s="1757"/>
      <c r="QVJ91" s="1757"/>
      <c r="QVK91" s="1757"/>
      <c r="QVL91" s="1757"/>
      <c r="QVM91" s="1757"/>
      <c r="QVN91" s="1757"/>
      <c r="QVO91" s="1757"/>
      <c r="QVP91" s="1757"/>
      <c r="QVQ91" s="1757"/>
      <c r="QVR91" s="1757"/>
      <c r="QVS91" s="1757"/>
      <c r="QVT91" s="1757"/>
      <c r="QVU91" s="1757"/>
      <c r="QVV91" s="1757"/>
      <c r="QVW91" s="1757"/>
      <c r="QVX91" s="1757"/>
      <c r="QVY91" s="1757"/>
      <c r="QVZ91" s="1757"/>
      <c r="QWA91" s="1757"/>
      <c r="QWB91" s="1757"/>
      <c r="QWC91" s="1757"/>
      <c r="QWD91" s="1757"/>
      <c r="QWE91" s="1757"/>
      <c r="QWF91" s="1757"/>
      <c r="QWG91" s="1757"/>
      <c r="QWH91" s="1757"/>
      <c r="QWI91" s="1757"/>
      <c r="QWJ91" s="1757"/>
      <c r="QWK91" s="1757"/>
      <c r="QWL91" s="1757"/>
      <c r="QWM91" s="1757"/>
      <c r="QWN91" s="1757"/>
      <c r="QWO91" s="1757"/>
      <c r="QWP91" s="1757"/>
      <c r="QWQ91" s="1757"/>
      <c r="QWR91" s="1757"/>
      <c r="QWS91" s="1757"/>
      <c r="QWT91" s="1757"/>
      <c r="QWU91" s="1757"/>
      <c r="QWV91" s="1757"/>
      <c r="QWW91" s="1757"/>
      <c r="QWX91" s="1757"/>
      <c r="QWY91" s="1757"/>
      <c r="QWZ91" s="1757"/>
      <c r="QXA91" s="1757"/>
      <c r="QXB91" s="1757"/>
      <c r="QXC91" s="1757"/>
      <c r="QXD91" s="1757"/>
      <c r="QXE91" s="1757"/>
      <c r="QXF91" s="1757"/>
      <c r="QXG91" s="1757"/>
      <c r="QXH91" s="1757"/>
      <c r="QXI91" s="1757"/>
      <c r="QXJ91" s="1757"/>
      <c r="QXK91" s="1757"/>
      <c r="QXL91" s="1757"/>
      <c r="QXM91" s="1757"/>
      <c r="QXN91" s="1757"/>
      <c r="QXO91" s="1757"/>
      <c r="QXP91" s="1757"/>
      <c r="QXQ91" s="1757"/>
      <c r="QXR91" s="1757"/>
      <c r="QXS91" s="1757"/>
      <c r="QXT91" s="1757"/>
      <c r="QXU91" s="1757"/>
      <c r="QXV91" s="1757"/>
      <c r="QXW91" s="1757"/>
      <c r="QXX91" s="1757"/>
      <c r="QXY91" s="1757"/>
      <c r="QXZ91" s="1757"/>
      <c r="QYA91" s="1757"/>
      <c r="QYB91" s="1757"/>
      <c r="QYC91" s="1757"/>
      <c r="QYD91" s="1757"/>
      <c r="QYE91" s="1757"/>
      <c r="QYF91" s="1757"/>
      <c r="QYG91" s="1757"/>
      <c r="QYH91" s="1757"/>
      <c r="QYI91" s="1757"/>
      <c r="QYJ91" s="1757"/>
      <c r="QYK91" s="1757"/>
      <c r="QYL91" s="1757"/>
      <c r="QYM91" s="1757"/>
      <c r="QYN91" s="1757"/>
      <c r="QYO91" s="1757"/>
      <c r="QYP91" s="1757"/>
      <c r="QYQ91" s="1757"/>
      <c r="QYR91" s="1757"/>
      <c r="QYS91" s="1757"/>
      <c r="QYT91" s="1757"/>
      <c r="QYU91" s="1757"/>
      <c r="QYV91" s="1757"/>
      <c r="QYW91" s="1757"/>
      <c r="QYX91" s="1757"/>
      <c r="QYY91" s="1757"/>
      <c r="QYZ91" s="1757"/>
      <c r="QZA91" s="1757"/>
      <c r="QZB91" s="1757"/>
      <c r="QZC91" s="1757"/>
      <c r="QZD91" s="1757"/>
      <c r="QZE91" s="1757"/>
      <c r="QZF91" s="1757"/>
      <c r="QZG91" s="1757"/>
      <c r="QZH91" s="1757"/>
      <c r="QZI91" s="1757"/>
      <c r="QZJ91" s="1757"/>
      <c r="QZK91" s="1757"/>
      <c r="QZL91" s="1757"/>
      <c r="QZM91" s="1757"/>
      <c r="QZN91" s="1757"/>
      <c r="QZO91" s="1757"/>
      <c r="QZP91" s="1757"/>
      <c r="QZQ91" s="1757"/>
      <c r="QZR91" s="1757"/>
      <c r="QZS91" s="1757"/>
      <c r="QZT91" s="1757"/>
      <c r="QZU91" s="1757"/>
      <c r="QZV91" s="1757"/>
      <c r="QZW91" s="1757"/>
      <c r="QZX91" s="1757"/>
      <c r="QZY91" s="1757"/>
      <c r="QZZ91" s="1757"/>
      <c r="RAA91" s="1757"/>
      <c r="RAB91" s="1757"/>
      <c r="RAC91" s="1757"/>
      <c r="RAD91" s="1757"/>
      <c r="RAE91" s="1757"/>
      <c r="RAF91" s="1757"/>
      <c r="RAG91" s="1757"/>
      <c r="RAH91" s="1757"/>
      <c r="RAI91" s="1757"/>
      <c r="RAJ91" s="1757"/>
      <c r="RAK91" s="1757"/>
      <c r="RAL91" s="1757"/>
      <c r="RAM91" s="1757"/>
      <c r="RAN91" s="1757"/>
      <c r="RAO91" s="1757"/>
      <c r="RAP91" s="1757"/>
      <c r="RAQ91" s="1757"/>
      <c r="RAR91" s="1757"/>
      <c r="RAS91" s="1757"/>
      <c r="RAT91" s="1757"/>
      <c r="RAU91" s="1757"/>
      <c r="RAV91" s="1757"/>
      <c r="RAW91" s="1757"/>
      <c r="RAX91" s="1757"/>
      <c r="RAY91" s="1757"/>
      <c r="RAZ91" s="1757"/>
      <c r="RBA91" s="1757"/>
      <c r="RBB91" s="1757"/>
      <c r="RBC91" s="1757"/>
      <c r="RBD91" s="1757"/>
      <c r="RBE91" s="1757"/>
      <c r="RBF91" s="1757"/>
      <c r="RBG91" s="1757"/>
      <c r="RBH91" s="1757"/>
      <c r="RBI91" s="1757"/>
      <c r="RBJ91" s="1757"/>
      <c r="RBK91" s="1757"/>
      <c r="RBL91" s="1757"/>
      <c r="RBM91" s="1757"/>
      <c r="RBN91" s="1757"/>
      <c r="RBO91" s="1757"/>
      <c r="RBP91" s="1757"/>
      <c r="RBQ91" s="1757"/>
      <c r="RBR91" s="1757"/>
      <c r="RBS91" s="1757"/>
      <c r="RBT91" s="1757"/>
      <c r="RBU91" s="1757"/>
      <c r="RBV91" s="1757"/>
      <c r="RBW91" s="1757"/>
      <c r="RBX91" s="1757"/>
      <c r="RBY91" s="1757"/>
      <c r="RBZ91" s="1757"/>
      <c r="RCA91" s="1757"/>
      <c r="RCB91" s="1757"/>
      <c r="RCC91" s="1757"/>
      <c r="RCD91" s="1757"/>
      <c r="RCE91" s="1757"/>
      <c r="RCF91" s="1757"/>
      <c r="RCG91" s="1757"/>
      <c r="RCH91" s="1757"/>
      <c r="RCI91" s="1757"/>
      <c r="RCJ91" s="1757"/>
      <c r="RCK91" s="1757"/>
      <c r="RCL91" s="1757"/>
      <c r="RCM91" s="1757"/>
      <c r="RCN91" s="1757"/>
      <c r="RCO91" s="1757"/>
      <c r="RCP91" s="1757"/>
      <c r="RCQ91" s="1757"/>
      <c r="RCR91" s="1757"/>
      <c r="RCS91" s="1757"/>
      <c r="RCT91" s="1757"/>
      <c r="RCU91" s="1757"/>
      <c r="RCV91" s="1757"/>
      <c r="RCW91" s="1757"/>
      <c r="RCX91" s="1757"/>
      <c r="RCY91" s="1757"/>
      <c r="RCZ91" s="1757"/>
      <c r="RDA91" s="1757"/>
      <c r="RDB91" s="1757"/>
      <c r="RDC91" s="1757"/>
      <c r="RDD91" s="1757"/>
      <c r="RDE91" s="1757"/>
      <c r="RDF91" s="1757"/>
      <c r="RDG91" s="1757"/>
      <c r="RDH91" s="1757"/>
      <c r="RDI91" s="1757"/>
      <c r="RDJ91" s="1757"/>
      <c r="RDK91" s="1757"/>
      <c r="RDL91" s="1757"/>
      <c r="RDM91" s="1757"/>
      <c r="RDN91" s="1757"/>
      <c r="RDO91" s="1757"/>
      <c r="RDP91" s="1757"/>
      <c r="RDQ91" s="1757"/>
      <c r="RDR91" s="1757"/>
      <c r="RDS91" s="1757"/>
      <c r="RDT91" s="1757"/>
      <c r="RDU91" s="1757"/>
      <c r="RDV91" s="1757"/>
      <c r="RDW91" s="1757"/>
      <c r="RDX91" s="1757"/>
      <c r="RDY91" s="1757"/>
      <c r="RDZ91" s="1757"/>
      <c r="REA91" s="1757"/>
      <c r="REB91" s="1757"/>
      <c r="REC91" s="1757"/>
      <c r="RED91" s="1757"/>
      <c r="REE91" s="1757"/>
      <c r="REF91" s="1757"/>
      <c r="REG91" s="1757"/>
      <c r="REH91" s="1757"/>
      <c r="REI91" s="1757"/>
      <c r="REJ91" s="1757"/>
      <c r="REK91" s="1757"/>
      <c r="REL91" s="1757"/>
      <c r="REM91" s="1757"/>
      <c r="REN91" s="1757"/>
      <c r="REO91" s="1757"/>
      <c r="REP91" s="1757"/>
      <c r="REQ91" s="1757"/>
      <c r="RER91" s="1757"/>
      <c r="RES91" s="1757"/>
      <c r="RET91" s="1757"/>
      <c r="REU91" s="1757"/>
      <c r="REV91" s="1757"/>
      <c r="REW91" s="1757"/>
      <c r="REX91" s="1757"/>
      <c r="REY91" s="1757"/>
      <c r="REZ91" s="1757"/>
      <c r="RFA91" s="1757"/>
      <c r="RFB91" s="1757"/>
      <c r="RFC91" s="1757"/>
      <c r="RFD91" s="1757"/>
      <c r="RFE91" s="1757"/>
      <c r="RFF91" s="1757"/>
      <c r="RFG91" s="1757"/>
      <c r="RFH91" s="1757"/>
      <c r="RFI91" s="1757"/>
      <c r="RFJ91" s="1757"/>
      <c r="RFK91" s="1757"/>
      <c r="RFL91" s="1757"/>
      <c r="RFM91" s="1757"/>
      <c r="RFN91" s="1757"/>
      <c r="RFO91" s="1757"/>
      <c r="RFP91" s="1757"/>
      <c r="RFQ91" s="1757"/>
      <c r="RFR91" s="1757"/>
      <c r="RFS91" s="1757"/>
      <c r="RFT91" s="1757"/>
      <c r="RFU91" s="1757"/>
      <c r="RFV91" s="1757"/>
      <c r="RFW91" s="1757"/>
      <c r="RFX91" s="1757"/>
      <c r="RFY91" s="1757"/>
      <c r="RFZ91" s="1757"/>
      <c r="RGA91" s="1757"/>
      <c r="RGB91" s="1757"/>
      <c r="RGC91" s="1757"/>
      <c r="RGD91" s="1757"/>
      <c r="RGE91" s="1757"/>
      <c r="RGF91" s="1757"/>
      <c r="RGG91" s="1757"/>
      <c r="RGH91" s="1757"/>
      <c r="RGI91" s="1757"/>
      <c r="RGJ91" s="1757"/>
      <c r="RGK91" s="1757"/>
      <c r="RGL91" s="1757"/>
      <c r="RGM91" s="1757"/>
      <c r="RGN91" s="1757"/>
      <c r="RGO91" s="1757"/>
      <c r="RGP91" s="1757"/>
      <c r="RGQ91" s="1757"/>
      <c r="RGR91" s="1757"/>
      <c r="RGS91" s="1757"/>
      <c r="RGT91" s="1757"/>
      <c r="RGU91" s="1757"/>
      <c r="RGV91" s="1757"/>
      <c r="RGW91" s="1757"/>
      <c r="RGX91" s="1757"/>
      <c r="RGY91" s="1757"/>
      <c r="RGZ91" s="1757"/>
      <c r="RHA91" s="1757"/>
      <c r="RHB91" s="1757"/>
      <c r="RHC91" s="1757"/>
      <c r="RHD91" s="1757"/>
      <c r="RHE91" s="1757"/>
      <c r="RHF91" s="1757"/>
      <c r="RHG91" s="1757"/>
      <c r="RHH91" s="1757"/>
      <c r="RHI91" s="1757"/>
      <c r="RHJ91" s="1757"/>
      <c r="RHK91" s="1757"/>
      <c r="RHL91" s="1757"/>
      <c r="RHM91" s="1757"/>
      <c r="RHN91" s="1757"/>
      <c r="RHO91" s="1757"/>
      <c r="RHP91" s="1757"/>
      <c r="RHQ91" s="1757"/>
      <c r="RHR91" s="1757"/>
      <c r="RHS91" s="1757"/>
      <c r="RHT91" s="1757"/>
      <c r="RHU91" s="1757"/>
      <c r="RHV91" s="1757"/>
      <c r="RHW91" s="1757"/>
      <c r="RHX91" s="1757"/>
      <c r="RHY91" s="1757"/>
      <c r="RHZ91" s="1757"/>
      <c r="RIA91" s="1757"/>
      <c r="RIB91" s="1757"/>
      <c r="RIC91" s="1757"/>
      <c r="RID91" s="1757"/>
      <c r="RIE91" s="1757"/>
      <c r="RIF91" s="1757"/>
      <c r="RIG91" s="1757"/>
      <c r="RIH91" s="1757"/>
      <c r="RII91" s="1757"/>
      <c r="RIJ91" s="1757"/>
      <c r="RIK91" s="1757"/>
      <c r="RIL91" s="1757"/>
      <c r="RIM91" s="1757"/>
      <c r="RIN91" s="1757"/>
      <c r="RIO91" s="1757"/>
      <c r="RIP91" s="1757"/>
      <c r="RIQ91" s="1757"/>
      <c r="RIR91" s="1757"/>
      <c r="RIS91" s="1757"/>
      <c r="RIT91" s="1757"/>
      <c r="RIU91" s="1757"/>
      <c r="RIV91" s="1757"/>
      <c r="RIW91" s="1757"/>
      <c r="RIX91" s="1757"/>
      <c r="RIY91" s="1757"/>
      <c r="RIZ91" s="1757"/>
      <c r="RJA91" s="1757"/>
      <c r="RJB91" s="1757"/>
      <c r="RJC91" s="1757"/>
      <c r="RJD91" s="1757"/>
      <c r="RJE91" s="1757"/>
      <c r="RJF91" s="1757"/>
      <c r="RJG91" s="1757"/>
      <c r="RJH91" s="1757"/>
      <c r="RJI91" s="1757"/>
      <c r="RJJ91" s="1757"/>
      <c r="RJK91" s="1757"/>
      <c r="RJL91" s="1757"/>
      <c r="RJM91" s="1757"/>
      <c r="RJN91" s="1757"/>
      <c r="RJO91" s="1757"/>
      <c r="RJP91" s="1757"/>
      <c r="RJQ91" s="1757"/>
      <c r="RJR91" s="1757"/>
      <c r="RJS91" s="1757"/>
      <c r="RJT91" s="1757"/>
      <c r="RJU91" s="1757"/>
      <c r="RJV91" s="1757"/>
      <c r="RJW91" s="1757"/>
      <c r="RJX91" s="1757"/>
      <c r="RJY91" s="1757"/>
      <c r="RJZ91" s="1757"/>
      <c r="RKA91" s="1757"/>
      <c r="RKB91" s="1757"/>
      <c r="RKC91" s="1757"/>
      <c r="RKD91" s="1757"/>
      <c r="RKE91" s="1757"/>
      <c r="RKF91" s="1757"/>
      <c r="RKG91" s="1757"/>
      <c r="RKH91" s="1757"/>
      <c r="RKI91" s="1757"/>
      <c r="RKJ91" s="1757"/>
      <c r="RKK91" s="1757"/>
      <c r="RKL91" s="1757"/>
      <c r="RKM91" s="1757"/>
      <c r="RKN91" s="1757"/>
      <c r="RKO91" s="1757"/>
      <c r="RKP91" s="1757"/>
      <c r="RKQ91" s="1757"/>
      <c r="RKR91" s="1757"/>
      <c r="RKS91" s="1757"/>
      <c r="RKT91" s="1757"/>
      <c r="RKU91" s="1757"/>
      <c r="RKV91" s="1757"/>
      <c r="RKW91" s="1757"/>
      <c r="RKX91" s="1757"/>
      <c r="RKY91" s="1757"/>
      <c r="RKZ91" s="1757"/>
      <c r="RLA91" s="1757"/>
      <c r="RLB91" s="1757"/>
      <c r="RLC91" s="1757"/>
      <c r="RLD91" s="1757"/>
      <c r="RLE91" s="1757"/>
      <c r="RLF91" s="1757"/>
      <c r="RLG91" s="1757"/>
      <c r="RLH91" s="1757"/>
      <c r="RLI91" s="1757"/>
      <c r="RLJ91" s="1757"/>
      <c r="RLK91" s="1757"/>
      <c r="RLL91" s="1757"/>
      <c r="RLM91" s="1757"/>
      <c r="RLN91" s="1757"/>
      <c r="RLO91" s="1757"/>
      <c r="RLP91" s="1757"/>
      <c r="RLQ91" s="1757"/>
      <c r="RLR91" s="1757"/>
      <c r="RLS91" s="1757"/>
      <c r="RLT91" s="1757"/>
      <c r="RLU91" s="1757"/>
      <c r="RLV91" s="1757"/>
      <c r="RLW91" s="1757"/>
      <c r="RLX91" s="1757"/>
      <c r="RLY91" s="1757"/>
      <c r="RLZ91" s="1757"/>
      <c r="RMA91" s="1757"/>
      <c r="RMB91" s="1757"/>
      <c r="RMC91" s="1757"/>
      <c r="RMD91" s="1757"/>
      <c r="RME91" s="1757"/>
      <c r="RMF91" s="1757"/>
      <c r="RMG91" s="1757"/>
      <c r="RMH91" s="1757"/>
      <c r="RMI91" s="1757"/>
      <c r="RMJ91" s="1757"/>
      <c r="RMK91" s="1757"/>
      <c r="RML91" s="1757"/>
      <c r="RMM91" s="1757"/>
      <c r="RMN91" s="1757"/>
      <c r="RMO91" s="1757"/>
      <c r="RMP91" s="1757"/>
      <c r="RMQ91" s="1757"/>
      <c r="RMR91" s="1757"/>
      <c r="RMS91" s="1757"/>
      <c r="RMT91" s="1757"/>
      <c r="RMU91" s="1757"/>
      <c r="RMV91" s="1757"/>
      <c r="RMW91" s="1757"/>
      <c r="RMX91" s="1757"/>
      <c r="RMY91" s="1757"/>
      <c r="RMZ91" s="1757"/>
      <c r="RNA91" s="1757"/>
      <c r="RNB91" s="1757"/>
      <c r="RNC91" s="1757"/>
      <c r="RND91" s="1757"/>
      <c r="RNE91" s="1757"/>
      <c r="RNF91" s="1757"/>
      <c r="RNG91" s="1757"/>
      <c r="RNH91" s="1757"/>
      <c r="RNI91" s="1757"/>
      <c r="RNJ91" s="1757"/>
      <c r="RNK91" s="1757"/>
      <c r="RNL91" s="1757"/>
      <c r="RNM91" s="1757"/>
      <c r="RNN91" s="1757"/>
      <c r="RNO91" s="1757"/>
      <c r="RNP91" s="1757"/>
      <c r="RNQ91" s="1757"/>
      <c r="RNR91" s="1757"/>
      <c r="RNS91" s="1757"/>
      <c r="RNT91" s="1757"/>
      <c r="RNU91" s="1757"/>
      <c r="RNV91" s="1757"/>
      <c r="RNW91" s="1757"/>
      <c r="RNX91" s="1757"/>
      <c r="RNY91" s="1757"/>
      <c r="RNZ91" s="1757"/>
      <c r="ROA91" s="1757"/>
      <c r="ROB91" s="1757"/>
      <c r="ROC91" s="1757"/>
      <c r="ROD91" s="1757"/>
      <c r="ROE91" s="1757"/>
      <c r="ROF91" s="1757"/>
      <c r="ROG91" s="1757"/>
      <c r="ROH91" s="1757"/>
      <c r="ROI91" s="1757"/>
      <c r="ROJ91" s="1757"/>
      <c r="ROK91" s="1757"/>
      <c r="ROL91" s="1757"/>
      <c r="ROM91" s="1757"/>
      <c r="RON91" s="1757"/>
      <c r="ROO91" s="1757"/>
      <c r="ROP91" s="1757"/>
      <c r="ROQ91" s="1757"/>
      <c r="ROR91" s="1757"/>
      <c r="ROS91" s="1757"/>
      <c r="ROT91" s="1757"/>
      <c r="ROU91" s="1757"/>
      <c r="ROV91" s="1757"/>
      <c r="ROW91" s="1757"/>
      <c r="ROX91" s="1757"/>
      <c r="ROY91" s="1757"/>
      <c r="ROZ91" s="1757"/>
      <c r="RPA91" s="1757"/>
      <c r="RPB91" s="1757"/>
      <c r="RPC91" s="1757"/>
      <c r="RPD91" s="1757"/>
      <c r="RPE91" s="1757"/>
      <c r="RPF91" s="1757"/>
      <c r="RPG91" s="1757"/>
      <c r="RPH91" s="1757"/>
      <c r="RPI91" s="1757"/>
      <c r="RPJ91" s="1757"/>
      <c r="RPK91" s="1757"/>
      <c r="RPL91" s="1757"/>
      <c r="RPM91" s="1757"/>
      <c r="RPN91" s="1757"/>
      <c r="RPO91" s="1757"/>
      <c r="RPP91" s="1757"/>
      <c r="RPQ91" s="1757"/>
      <c r="RPR91" s="1757"/>
      <c r="RPS91" s="1757"/>
      <c r="RPT91" s="1757"/>
      <c r="RPU91" s="1757"/>
      <c r="RPV91" s="1757"/>
      <c r="RPW91" s="1757"/>
      <c r="RPX91" s="1757"/>
      <c r="RPY91" s="1757"/>
      <c r="RPZ91" s="1757"/>
      <c r="RQA91" s="1757"/>
      <c r="RQB91" s="1757"/>
      <c r="RQC91" s="1757"/>
      <c r="RQD91" s="1757"/>
      <c r="RQE91" s="1757"/>
      <c r="RQF91" s="1757"/>
      <c r="RQG91" s="1757"/>
      <c r="RQH91" s="1757"/>
      <c r="RQI91" s="1757"/>
      <c r="RQJ91" s="1757"/>
      <c r="RQK91" s="1757"/>
      <c r="RQL91" s="1757"/>
      <c r="RQM91" s="1757"/>
      <c r="RQN91" s="1757"/>
      <c r="RQO91" s="1757"/>
      <c r="RQP91" s="1757"/>
      <c r="RQQ91" s="1757"/>
      <c r="RQR91" s="1757"/>
      <c r="RQS91" s="1757"/>
      <c r="RQT91" s="1757"/>
      <c r="RQU91" s="1757"/>
      <c r="RQV91" s="1757"/>
      <c r="RQW91" s="1757"/>
      <c r="RQX91" s="1757"/>
      <c r="RQY91" s="1757"/>
      <c r="RQZ91" s="1757"/>
      <c r="RRA91" s="1757"/>
      <c r="RRB91" s="1757"/>
      <c r="RRC91" s="1757"/>
      <c r="RRD91" s="1757"/>
      <c r="RRE91" s="1757"/>
      <c r="RRF91" s="1757"/>
      <c r="RRG91" s="1757"/>
      <c r="RRH91" s="1757"/>
      <c r="RRI91" s="1757"/>
      <c r="RRJ91" s="1757"/>
      <c r="RRK91" s="1757"/>
      <c r="RRL91" s="1757"/>
      <c r="RRM91" s="1757"/>
      <c r="RRN91" s="1757"/>
      <c r="RRO91" s="1757"/>
      <c r="RRP91" s="1757"/>
      <c r="RRQ91" s="1757"/>
      <c r="RRR91" s="1757"/>
      <c r="RRS91" s="1757"/>
      <c r="RRT91" s="1757"/>
      <c r="RRU91" s="1757"/>
      <c r="RRV91" s="1757"/>
      <c r="RRW91" s="1757"/>
      <c r="RRX91" s="1757"/>
      <c r="RRY91" s="1757"/>
      <c r="RRZ91" s="1757"/>
      <c r="RSA91" s="1757"/>
      <c r="RSB91" s="1757"/>
      <c r="RSC91" s="1757"/>
      <c r="RSD91" s="1757"/>
      <c r="RSE91" s="1757"/>
      <c r="RSF91" s="1757"/>
      <c r="RSG91" s="1757"/>
      <c r="RSH91" s="1757"/>
      <c r="RSI91" s="1757"/>
      <c r="RSJ91" s="1757"/>
      <c r="RSK91" s="1757"/>
      <c r="RSL91" s="1757"/>
      <c r="RSM91" s="1757"/>
      <c r="RSN91" s="1757"/>
      <c r="RSO91" s="1757"/>
      <c r="RSP91" s="1757"/>
      <c r="RSQ91" s="1757"/>
      <c r="RSR91" s="1757"/>
      <c r="RSS91" s="1757"/>
      <c r="RST91" s="1757"/>
      <c r="RSU91" s="1757"/>
      <c r="RSV91" s="1757"/>
      <c r="RSW91" s="1757"/>
      <c r="RSX91" s="1757"/>
      <c r="RSY91" s="1757"/>
      <c r="RSZ91" s="1757"/>
      <c r="RTA91" s="1757"/>
      <c r="RTB91" s="1757"/>
      <c r="RTC91" s="1757"/>
      <c r="RTD91" s="1757"/>
      <c r="RTE91" s="1757"/>
      <c r="RTF91" s="1757"/>
      <c r="RTG91" s="1757"/>
      <c r="RTH91" s="1757"/>
      <c r="RTI91" s="1757"/>
      <c r="RTJ91" s="1757"/>
      <c r="RTK91" s="1757"/>
      <c r="RTL91" s="1757"/>
      <c r="RTM91" s="1757"/>
      <c r="RTN91" s="1757"/>
      <c r="RTO91" s="1757"/>
      <c r="RTP91" s="1757"/>
      <c r="RTQ91" s="1757"/>
      <c r="RTR91" s="1757"/>
      <c r="RTS91" s="1757"/>
      <c r="RTT91" s="1757"/>
      <c r="RTU91" s="1757"/>
      <c r="RTV91" s="1757"/>
      <c r="RTW91" s="1757"/>
      <c r="RTX91" s="1757"/>
      <c r="RTY91" s="1757"/>
      <c r="RTZ91" s="1757"/>
      <c r="RUA91" s="1757"/>
      <c r="RUB91" s="1757"/>
      <c r="RUC91" s="1757"/>
      <c r="RUD91" s="1757"/>
      <c r="RUE91" s="1757"/>
      <c r="RUF91" s="1757"/>
      <c r="RUG91" s="1757"/>
      <c r="RUH91" s="1757"/>
      <c r="RUI91" s="1757"/>
      <c r="RUJ91" s="1757"/>
      <c r="RUK91" s="1757"/>
      <c r="RUL91" s="1757"/>
      <c r="RUM91" s="1757"/>
      <c r="RUN91" s="1757"/>
      <c r="RUO91" s="1757"/>
      <c r="RUP91" s="1757"/>
      <c r="RUQ91" s="1757"/>
      <c r="RUR91" s="1757"/>
      <c r="RUS91" s="1757"/>
      <c r="RUT91" s="1757"/>
      <c r="RUU91" s="1757"/>
      <c r="RUV91" s="1757"/>
      <c r="RUW91" s="1757"/>
      <c r="RUX91" s="1757"/>
      <c r="RUY91" s="1757"/>
      <c r="RUZ91" s="1757"/>
      <c r="RVA91" s="1757"/>
      <c r="RVB91" s="1757"/>
      <c r="RVC91" s="1757"/>
      <c r="RVD91" s="1757"/>
      <c r="RVE91" s="1757"/>
      <c r="RVF91" s="1757"/>
      <c r="RVG91" s="1757"/>
      <c r="RVH91" s="1757"/>
      <c r="RVI91" s="1757"/>
      <c r="RVJ91" s="1757"/>
      <c r="RVK91" s="1757"/>
      <c r="RVL91" s="1757"/>
      <c r="RVM91" s="1757"/>
      <c r="RVN91" s="1757"/>
      <c r="RVO91" s="1757"/>
      <c r="RVP91" s="1757"/>
      <c r="RVQ91" s="1757"/>
      <c r="RVR91" s="1757"/>
      <c r="RVS91" s="1757"/>
      <c r="RVT91" s="1757"/>
      <c r="RVU91" s="1757"/>
      <c r="RVV91" s="1757"/>
      <c r="RVW91" s="1757"/>
      <c r="RVX91" s="1757"/>
      <c r="RVY91" s="1757"/>
      <c r="RVZ91" s="1757"/>
      <c r="RWA91" s="1757"/>
      <c r="RWB91" s="1757"/>
      <c r="RWC91" s="1757"/>
      <c r="RWD91" s="1757"/>
      <c r="RWE91" s="1757"/>
      <c r="RWF91" s="1757"/>
      <c r="RWG91" s="1757"/>
      <c r="RWH91" s="1757"/>
      <c r="RWI91" s="1757"/>
      <c r="RWJ91" s="1757"/>
      <c r="RWK91" s="1757"/>
      <c r="RWL91" s="1757"/>
      <c r="RWM91" s="1757"/>
      <c r="RWN91" s="1757"/>
      <c r="RWO91" s="1757"/>
      <c r="RWP91" s="1757"/>
      <c r="RWQ91" s="1757"/>
      <c r="RWR91" s="1757"/>
      <c r="RWS91" s="1757"/>
      <c r="RWT91" s="1757"/>
      <c r="RWU91" s="1757"/>
      <c r="RWV91" s="1757"/>
      <c r="RWW91" s="1757"/>
      <c r="RWX91" s="1757"/>
      <c r="RWY91" s="1757"/>
      <c r="RWZ91" s="1757"/>
      <c r="RXA91" s="1757"/>
      <c r="RXB91" s="1757"/>
      <c r="RXC91" s="1757"/>
      <c r="RXD91" s="1757"/>
      <c r="RXE91" s="1757"/>
      <c r="RXF91" s="1757"/>
      <c r="RXG91" s="1757"/>
      <c r="RXH91" s="1757"/>
      <c r="RXI91" s="1757"/>
      <c r="RXJ91" s="1757"/>
      <c r="RXK91" s="1757"/>
      <c r="RXL91" s="1757"/>
      <c r="RXM91" s="1757"/>
      <c r="RXN91" s="1757"/>
      <c r="RXO91" s="1757"/>
      <c r="RXP91" s="1757"/>
      <c r="RXQ91" s="1757"/>
      <c r="RXR91" s="1757"/>
      <c r="RXS91" s="1757"/>
      <c r="RXT91" s="1757"/>
      <c r="RXU91" s="1757"/>
      <c r="RXV91" s="1757"/>
      <c r="RXW91" s="1757"/>
      <c r="RXX91" s="1757"/>
      <c r="RXY91" s="1757"/>
      <c r="RXZ91" s="1757"/>
      <c r="RYA91" s="1757"/>
      <c r="RYB91" s="1757"/>
      <c r="RYC91" s="1757"/>
      <c r="RYD91" s="1757"/>
      <c r="RYE91" s="1757"/>
      <c r="RYF91" s="1757"/>
      <c r="RYG91" s="1757"/>
      <c r="RYH91" s="1757"/>
      <c r="RYI91" s="1757"/>
      <c r="RYJ91" s="1757"/>
      <c r="RYK91" s="1757"/>
      <c r="RYL91" s="1757"/>
      <c r="RYM91" s="1757"/>
      <c r="RYN91" s="1757"/>
      <c r="RYO91" s="1757"/>
      <c r="RYP91" s="1757"/>
      <c r="RYQ91" s="1757"/>
      <c r="RYR91" s="1757"/>
      <c r="RYS91" s="1757"/>
      <c r="RYT91" s="1757"/>
      <c r="RYU91" s="1757"/>
      <c r="RYV91" s="1757"/>
      <c r="RYW91" s="1757"/>
      <c r="RYX91" s="1757"/>
      <c r="RYY91" s="1757"/>
      <c r="RYZ91" s="1757"/>
      <c r="RZA91" s="1757"/>
      <c r="RZB91" s="1757"/>
      <c r="RZC91" s="1757"/>
      <c r="RZD91" s="1757"/>
      <c r="RZE91" s="1757"/>
      <c r="RZF91" s="1757"/>
      <c r="RZG91" s="1757"/>
      <c r="RZH91" s="1757"/>
      <c r="RZI91" s="1757"/>
      <c r="RZJ91" s="1757"/>
      <c r="RZK91" s="1757"/>
      <c r="RZL91" s="1757"/>
      <c r="RZM91" s="1757"/>
      <c r="RZN91" s="1757"/>
      <c r="RZO91" s="1757"/>
      <c r="RZP91" s="1757"/>
      <c r="RZQ91" s="1757"/>
      <c r="RZR91" s="1757"/>
      <c r="RZS91" s="1757"/>
      <c r="RZT91" s="1757"/>
      <c r="RZU91" s="1757"/>
      <c r="RZV91" s="1757"/>
      <c r="RZW91" s="1757"/>
      <c r="RZX91" s="1757"/>
      <c r="RZY91" s="1757"/>
      <c r="RZZ91" s="1757"/>
      <c r="SAA91" s="1757"/>
      <c r="SAB91" s="1757"/>
      <c r="SAC91" s="1757"/>
      <c r="SAD91" s="1757"/>
      <c r="SAE91" s="1757"/>
      <c r="SAF91" s="1757"/>
      <c r="SAG91" s="1757"/>
      <c r="SAH91" s="1757"/>
      <c r="SAI91" s="1757"/>
      <c r="SAJ91" s="1757"/>
      <c r="SAK91" s="1757"/>
      <c r="SAL91" s="1757"/>
      <c r="SAM91" s="1757"/>
      <c r="SAN91" s="1757"/>
      <c r="SAO91" s="1757"/>
      <c r="SAP91" s="1757"/>
      <c r="SAQ91" s="1757"/>
      <c r="SAR91" s="1757"/>
      <c r="SAS91" s="1757"/>
      <c r="SAT91" s="1757"/>
      <c r="SAU91" s="1757"/>
      <c r="SAV91" s="1757"/>
      <c r="SAW91" s="1757"/>
      <c r="SAX91" s="1757"/>
      <c r="SAY91" s="1757"/>
      <c r="SAZ91" s="1757"/>
      <c r="SBA91" s="1757"/>
      <c r="SBB91" s="1757"/>
      <c r="SBC91" s="1757"/>
      <c r="SBD91" s="1757"/>
      <c r="SBE91" s="1757"/>
      <c r="SBF91" s="1757"/>
      <c r="SBG91" s="1757"/>
      <c r="SBH91" s="1757"/>
      <c r="SBI91" s="1757"/>
      <c r="SBJ91" s="1757"/>
      <c r="SBK91" s="1757"/>
      <c r="SBL91" s="1757"/>
      <c r="SBM91" s="1757"/>
      <c r="SBN91" s="1757"/>
      <c r="SBO91" s="1757"/>
      <c r="SBP91" s="1757"/>
      <c r="SBQ91" s="1757"/>
      <c r="SBR91" s="1757"/>
      <c r="SBS91" s="1757"/>
      <c r="SBT91" s="1757"/>
      <c r="SBU91" s="1757"/>
      <c r="SBV91" s="1757"/>
      <c r="SBW91" s="1757"/>
      <c r="SBX91" s="1757"/>
      <c r="SBY91" s="1757"/>
      <c r="SBZ91" s="1757"/>
      <c r="SCA91" s="1757"/>
      <c r="SCB91" s="1757"/>
      <c r="SCC91" s="1757"/>
      <c r="SCD91" s="1757"/>
      <c r="SCE91" s="1757"/>
      <c r="SCF91" s="1757"/>
      <c r="SCG91" s="1757"/>
      <c r="SCH91" s="1757"/>
      <c r="SCI91" s="1757"/>
      <c r="SCJ91" s="1757"/>
      <c r="SCK91" s="1757"/>
      <c r="SCL91" s="1757"/>
      <c r="SCM91" s="1757"/>
      <c r="SCN91" s="1757"/>
      <c r="SCO91" s="1757"/>
      <c r="SCP91" s="1757"/>
      <c r="SCQ91" s="1757"/>
      <c r="SCR91" s="1757"/>
      <c r="SCS91" s="1757"/>
      <c r="SCT91" s="1757"/>
      <c r="SCU91" s="1757"/>
      <c r="SCV91" s="1757"/>
      <c r="SCW91" s="1757"/>
      <c r="SCX91" s="1757"/>
      <c r="SCY91" s="1757"/>
      <c r="SCZ91" s="1757"/>
      <c r="SDA91" s="1757"/>
      <c r="SDB91" s="1757"/>
      <c r="SDC91" s="1757"/>
      <c r="SDD91" s="1757"/>
      <c r="SDE91" s="1757"/>
      <c r="SDF91" s="1757"/>
      <c r="SDG91" s="1757"/>
      <c r="SDH91" s="1757"/>
      <c r="SDI91" s="1757"/>
      <c r="SDJ91" s="1757"/>
      <c r="SDK91" s="1757"/>
      <c r="SDL91" s="1757"/>
      <c r="SDM91" s="1757"/>
      <c r="SDN91" s="1757"/>
      <c r="SDO91" s="1757"/>
      <c r="SDP91" s="1757"/>
      <c r="SDQ91" s="1757"/>
      <c r="SDR91" s="1757"/>
      <c r="SDS91" s="1757"/>
      <c r="SDT91" s="1757"/>
      <c r="SDU91" s="1757"/>
      <c r="SDV91" s="1757"/>
      <c r="SDW91" s="1757"/>
      <c r="SDX91" s="1757"/>
      <c r="SDY91" s="1757"/>
      <c r="SDZ91" s="1757"/>
      <c r="SEA91" s="1757"/>
      <c r="SEB91" s="1757"/>
      <c r="SEC91" s="1757"/>
      <c r="SED91" s="1757"/>
      <c r="SEE91" s="1757"/>
      <c r="SEF91" s="1757"/>
      <c r="SEG91" s="1757"/>
      <c r="SEH91" s="1757"/>
      <c r="SEI91" s="1757"/>
      <c r="SEJ91" s="1757"/>
      <c r="SEK91" s="1757"/>
      <c r="SEL91" s="1757"/>
      <c r="SEM91" s="1757"/>
      <c r="SEN91" s="1757"/>
      <c r="SEO91" s="1757"/>
      <c r="SEP91" s="1757"/>
      <c r="SEQ91" s="1757"/>
      <c r="SER91" s="1757"/>
      <c r="SES91" s="1757"/>
      <c r="SET91" s="1757"/>
      <c r="SEU91" s="1757"/>
      <c r="SEV91" s="1757"/>
      <c r="SEW91" s="1757"/>
      <c r="SEX91" s="1757"/>
      <c r="SEY91" s="1757"/>
      <c r="SEZ91" s="1757"/>
      <c r="SFA91" s="1757"/>
      <c r="SFB91" s="1757"/>
      <c r="SFC91" s="1757"/>
      <c r="SFD91" s="1757"/>
      <c r="SFE91" s="1757"/>
      <c r="SFF91" s="1757"/>
      <c r="SFG91" s="1757"/>
      <c r="SFH91" s="1757"/>
      <c r="SFI91" s="1757"/>
      <c r="SFJ91" s="1757"/>
      <c r="SFK91" s="1757"/>
      <c r="SFL91" s="1757"/>
      <c r="SFM91" s="1757"/>
      <c r="SFN91" s="1757"/>
      <c r="SFO91" s="1757"/>
      <c r="SFP91" s="1757"/>
      <c r="SFQ91" s="1757"/>
      <c r="SFR91" s="1757"/>
      <c r="SFS91" s="1757"/>
      <c r="SFT91" s="1757"/>
      <c r="SFU91" s="1757"/>
      <c r="SFV91" s="1757"/>
      <c r="SFW91" s="1757"/>
      <c r="SFX91" s="1757"/>
      <c r="SFY91" s="1757"/>
      <c r="SFZ91" s="1757"/>
      <c r="SGA91" s="1757"/>
      <c r="SGB91" s="1757"/>
      <c r="SGC91" s="1757"/>
      <c r="SGD91" s="1757"/>
      <c r="SGE91" s="1757"/>
      <c r="SGF91" s="1757"/>
      <c r="SGG91" s="1757"/>
      <c r="SGH91" s="1757"/>
      <c r="SGI91" s="1757"/>
      <c r="SGJ91" s="1757"/>
      <c r="SGK91" s="1757"/>
      <c r="SGL91" s="1757"/>
      <c r="SGM91" s="1757"/>
      <c r="SGN91" s="1757"/>
      <c r="SGO91" s="1757"/>
      <c r="SGP91" s="1757"/>
      <c r="SGQ91" s="1757"/>
      <c r="SGR91" s="1757"/>
      <c r="SGS91" s="1757"/>
      <c r="SGT91" s="1757"/>
      <c r="SGU91" s="1757"/>
      <c r="SGV91" s="1757"/>
      <c r="SGW91" s="1757"/>
      <c r="SGX91" s="1757"/>
      <c r="SGY91" s="1757"/>
      <c r="SGZ91" s="1757"/>
      <c r="SHA91" s="1757"/>
      <c r="SHB91" s="1757"/>
      <c r="SHC91" s="1757"/>
      <c r="SHD91" s="1757"/>
      <c r="SHE91" s="1757"/>
      <c r="SHF91" s="1757"/>
      <c r="SHG91" s="1757"/>
      <c r="SHH91" s="1757"/>
      <c r="SHI91" s="1757"/>
      <c r="SHJ91" s="1757"/>
      <c r="SHK91" s="1757"/>
      <c r="SHL91" s="1757"/>
      <c r="SHM91" s="1757"/>
      <c r="SHN91" s="1757"/>
      <c r="SHO91" s="1757"/>
      <c r="SHP91" s="1757"/>
      <c r="SHQ91" s="1757"/>
      <c r="SHR91" s="1757"/>
      <c r="SHS91" s="1757"/>
      <c r="SHT91" s="1757"/>
      <c r="SHU91" s="1757"/>
      <c r="SHV91" s="1757"/>
      <c r="SHW91" s="1757"/>
      <c r="SHX91" s="1757"/>
      <c r="SHY91" s="1757"/>
      <c r="SHZ91" s="1757"/>
      <c r="SIA91" s="1757"/>
      <c r="SIB91" s="1757"/>
      <c r="SIC91" s="1757"/>
      <c r="SID91" s="1757"/>
      <c r="SIE91" s="1757"/>
      <c r="SIF91" s="1757"/>
      <c r="SIG91" s="1757"/>
      <c r="SIH91" s="1757"/>
      <c r="SII91" s="1757"/>
      <c r="SIJ91" s="1757"/>
      <c r="SIK91" s="1757"/>
      <c r="SIL91" s="1757"/>
      <c r="SIM91" s="1757"/>
      <c r="SIN91" s="1757"/>
      <c r="SIO91" s="1757"/>
      <c r="SIP91" s="1757"/>
      <c r="SIQ91" s="1757"/>
      <c r="SIR91" s="1757"/>
      <c r="SIS91" s="1757"/>
      <c r="SIT91" s="1757"/>
      <c r="SIU91" s="1757"/>
      <c r="SIV91" s="1757"/>
      <c r="SIW91" s="1757"/>
      <c r="SIX91" s="1757"/>
      <c r="SIY91" s="1757"/>
      <c r="SIZ91" s="1757"/>
      <c r="SJA91" s="1757"/>
      <c r="SJB91" s="1757"/>
      <c r="SJC91" s="1757"/>
      <c r="SJD91" s="1757"/>
      <c r="SJE91" s="1757"/>
      <c r="SJF91" s="1757"/>
      <c r="SJG91" s="1757"/>
      <c r="SJH91" s="1757"/>
      <c r="SJI91" s="1757"/>
      <c r="SJJ91" s="1757"/>
      <c r="SJK91" s="1757"/>
      <c r="SJL91" s="1757"/>
      <c r="SJM91" s="1757"/>
      <c r="SJN91" s="1757"/>
      <c r="SJO91" s="1757"/>
      <c r="SJP91" s="1757"/>
      <c r="SJQ91" s="1757"/>
      <c r="SJR91" s="1757"/>
      <c r="SJS91" s="1757"/>
      <c r="SJT91" s="1757"/>
      <c r="SJU91" s="1757"/>
      <c r="SJV91" s="1757"/>
      <c r="SJW91" s="1757"/>
      <c r="SJX91" s="1757"/>
      <c r="SJY91" s="1757"/>
      <c r="SJZ91" s="1757"/>
      <c r="SKA91" s="1757"/>
      <c r="SKB91" s="1757"/>
      <c r="SKC91" s="1757"/>
      <c r="SKD91" s="1757"/>
      <c r="SKE91" s="1757"/>
      <c r="SKF91" s="1757"/>
      <c r="SKG91" s="1757"/>
      <c r="SKH91" s="1757"/>
      <c r="SKI91" s="1757"/>
      <c r="SKJ91" s="1757"/>
      <c r="SKK91" s="1757"/>
      <c r="SKL91" s="1757"/>
      <c r="SKM91" s="1757"/>
      <c r="SKN91" s="1757"/>
      <c r="SKO91" s="1757"/>
      <c r="SKP91" s="1757"/>
      <c r="SKQ91" s="1757"/>
      <c r="SKR91" s="1757"/>
      <c r="SKS91" s="1757"/>
      <c r="SKT91" s="1757"/>
      <c r="SKU91" s="1757"/>
      <c r="SKV91" s="1757"/>
      <c r="SKW91" s="1757"/>
      <c r="SKX91" s="1757"/>
      <c r="SKY91" s="1757"/>
      <c r="SKZ91" s="1757"/>
      <c r="SLA91" s="1757"/>
      <c r="SLB91" s="1757"/>
      <c r="SLC91" s="1757"/>
      <c r="SLD91" s="1757"/>
      <c r="SLE91" s="1757"/>
      <c r="SLF91" s="1757"/>
      <c r="SLG91" s="1757"/>
      <c r="SLH91" s="1757"/>
      <c r="SLI91" s="1757"/>
      <c r="SLJ91" s="1757"/>
      <c r="SLK91" s="1757"/>
      <c r="SLL91" s="1757"/>
      <c r="SLM91" s="1757"/>
      <c r="SLN91" s="1757"/>
      <c r="SLO91" s="1757"/>
      <c r="SLP91" s="1757"/>
      <c r="SLQ91" s="1757"/>
      <c r="SLR91" s="1757"/>
      <c r="SLS91" s="1757"/>
      <c r="SLT91" s="1757"/>
      <c r="SLU91" s="1757"/>
      <c r="SLV91" s="1757"/>
      <c r="SLW91" s="1757"/>
      <c r="SLX91" s="1757"/>
      <c r="SLY91" s="1757"/>
      <c r="SLZ91" s="1757"/>
      <c r="SMA91" s="1757"/>
      <c r="SMB91" s="1757"/>
      <c r="SMC91" s="1757"/>
      <c r="SMD91" s="1757"/>
      <c r="SME91" s="1757"/>
      <c r="SMF91" s="1757"/>
      <c r="SMG91" s="1757"/>
      <c r="SMH91" s="1757"/>
      <c r="SMI91" s="1757"/>
      <c r="SMJ91" s="1757"/>
      <c r="SMK91" s="1757"/>
      <c r="SML91" s="1757"/>
      <c r="SMM91" s="1757"/>
      <c r="SMN91" s="1757"/>
      <c r="SMO91" s="1757"/>
      <c r="SMP91" s="1757"/>
      <c r="SMQ91" s="1757"/>
      <c r="SMR91" s="1757"/>
      <c r="SMS91" s="1757"/>
      <c r="SMT91" s="1757"/>
      <c r="SMU91" s="1757"/>
      <c r="SMV91" s="1757"/>
      <c r="SMW91" s="1757"/>
      <c r="SMX91" s="1757"/>
      <c r="SMY91" s="1757"/>
      <c r="SMZ91" s="1757"/>
      <c r="SNA91" s="1757"/>
      <c r="SNB91" s="1757"/>
      <c r="SNC91" s="1757"/>
      <c r="SND91" s="1757"/>
      <c r="SNE91" s="1757"/>
      <c r="SNF91" s="1757"/>
      <c r="SNG91" s="1757"/>
      <c r="SNH91" s="1757"/>
      <c r="SNI91" s="1757"/>
      <c r="SNJ91" s="1757"/>
      <c r="SNK91" s="1757"/>
      <c r="SNL91" s="1757"/>
      <c r="SNM91" s="1757"/>
      <c r="SNN91" s="1757"/>
      <c r="SNO91" s="1757"/>
      <c r="SNP91" s="1757"/>
      <c r="SNQ91" s="1757"/>
      <c r="SNR91" s="1757"/>
      <c r="SNS91" s="1757"/>
      <c r="SNT91" s="1757"/>
      <c r="SNU91" s="1757"/>
      <c r="SNV91" s="1757"/>
      <c r="SNW91" s="1757"/>
      <c r="SNX91" s="1757"/>
      <c r="SNY91" s="1757"/>
      <c r="SNZ91" s="1757"/>
      <c r="SOA91" s="1757"/>
      <c r="SOB91" s="1757"/>
      <c r="SOC91" s="1757"/>
      <c r="SOD91" s="1757"/>
      <c r="SOE91" s="1757"/>
      <c r="SOF91" s="1757"/>
      <c r="SOG91" s="1757"/>
      <c r="SOH91" s="1757"/>
      <c r="SOI91" s="1757"/>
      <c r="SOJ91" s="1757"/>
      <c r="SOK91" s="1757"/>
      <c r="SOL91" s="1757"/>
      <c r="SOM91" s="1757"/>
      <c r="SON91" s="1757"/>
      <c r="SOO91" s="1757"/>
      <c r="SOP91" s="1757"/>
      <c r="SOQ91" s="1757"/>
      <c r="SOR91" s="1757"/>
      <c r="SOS91" s="1757"/>
      <c r="SOT91" s="1757"/>
      <c r="SOU91" s="1757"/>
      <c r="SOV91" s="1757"/>
      <c r="SOW91" s="1757"/>
      <c r="SOX91" s="1757"/>
      <c r="SOY91" s="1757"/>
      <c r="SOZ91" s="1757"/>
      <c r="SPA91" s="1757"/>
      <c r="SPB91" s="1757"/>
      <c r="SPC91" s="1757"/>
      <c r="SPD91" s="1757"/>
      <c r="SPE91" s="1757"/>
      <c r="SPF91" s="1757"/>
      <c r="SPG91" s="1757"/>
      <c r="SPH91" s="1757"/>
      <c r="SPI91" s="1757"/>
      <c r="SPJ91" s="1757"/>
      <c r="SPK91" s="1757"/>
      <c r="SPL91" s="1757"/>
      <c r="SPM91" s="1757"/>
      <c r="SPN91" s="1757"/>
      <c r="SPO91" s="1757"/>
      <c r="SPP91" s="1757"/>
      <c r="SPQ91" s="1757"/>
      <c r="SPR91" s="1757"/>
      <c r="SPS91" s="1757"/>
      <c r="SPT91" s="1757"/>
      <c r="SPU91" s="1757"/>
      <c r="SPV91" s="1757"/>
      <c r="SPW91" s="1757"/>
      <c r="SPX91" s="1757"/>
      <c r="SPY91" s="1757"/>
      <c r="SPZ91" s="1757"/>
      <c r="SQA91" s="1757"/>
      <c r="SQB91" s="1757"/>
      <c r="SQC91" s="1757"/>
      <c r="SQD91" s="1757"/>
      <c r="SQE91" s="1757"/>
      <c r="SQF91" s="1757"/>
      <c r="SQG91" s="1757"/>
      <c r="SQH91" s="1757"/>
      <c r="SQI91" s="1757"/>
      <c r="SQJ91" s="1757"/>
      <c r="SQK91" s="1757"/>
      <c r="SQL91" s="1757"/>
      <c r="SQM91" s="1757"/>
      <c r="SQN91" s="1757"/>
      <c r="SQO91" s="1757"/>
      <c r="SQP91" s="1757"/>
      <c r="SQQ91" s="1757"/>
      <c r="SQR91" s="1757"/>
      <c r="SQS91" s="1757"/>
      <c r="SQT91" s="1757"/>
      <c r="SQU91" s="1757"/>
      <c r="SQV91" s="1757"/>
      <c r="SQW91" s="1757"/>
      <c r="SQX91" s="1757"/>
      <c r="SQY91" s="1757"/>
      <c r="SQZ91" s="1757"/>
      <c r="SRA91" s="1757"/>
      <c r="SRB91" s="1757"/>
      <c r="SRC91" s="1757"/>
      <c r="SRD91" s="1757"/>
      <c r="SRE91" s="1757"/>
      <c r="SRF91" s="1757"/>
      <c r="SRG91" s="1757"/>
      <c r="SRH91" s="1757"/>
      <c r="SRI91" s="1757"/>
      <c r="SRJ91" s="1757"/>
      <c r="SRK91" s="1757"/>
      <c r="SRL91" s="1757"/>
      <c r="SRM91" s="1757"/>
      <c r="SRN91" s="1757"/>
      <c r="SRO91" s="1757"/>
      <c r="SRP91" s="1757"/>
      <c r="SRQ91" s="1757"/>
      <c r="SRR91" s="1757"/>
      <c r="SRS91" s="1757"/>
      <c r="SRT91" s="1757"/>
      <c r="SRU91" s="1757"/>
      <c r="SRV91" s="1757"/>
      <c r="SRW91" s="1757"/>
      <c r="SRX91" s="1757"/>
      <c r="SRY91" s="1757"/>
      <c r="SRZ91" s="1757"/>
      <c r="SSA91" s="1757"/>
      <c r="SSB91" s="1757"/>
      <c r="SSC91" s="1757"/>
      <c r="SSD91" s="1757"/>
      <c r="SSE91" s="1757"/>
      <c r="SSF91" s="1757"/>
      <c r="SSG91" s="1757"/>
      <c r="SSH91" s="1757"/>
      <c r="SSI91" s="1757"/>
      <c r="SSJ91" s="1757"/>
      <c r="SSK91" s="1757"/>
      <c r="SSL91" s="1757"/>
      <c r="SSM91" s="1757"/>
      <c r="SSN91" s="1757"/>
      <c r="SSO91" s="1757"/>
      <c r="SSP91" s="1757"/>
      <c r="SSQ91" s="1757"/>
      <c r="SSR91" s="1757"/>
      <c r="SSS91" s="1757"/>
      <c r="SST91" s="1757"/>
      <c r="SSU91" s="1757"/>
      <c r="SSV91" s="1757"/>
      <c r="SSW91" s="1757"/>
      <c r="SSX91" s="1757"/>
      <c r="SSY91" s="1757"/>
      <c r="SSZ91" s="1757"/>
      <c r="STA91" s="1757"/>
      <c r="STB91" s="1757"/>
      <c r="STC91" s="1757"/>
      <c r="STD91" s="1757"/>
      <c r="STE91" s="1757"/>
      <c r="STF91" s="1757"/>
      <c r="STG91" s="1757"/>
      <c r="STH91" s="1757"/>
      <c r="STI91" s="1757"/>
      <c r="STJ91" s="1757"/>
      <c r="STK91" s="1757"/>
      <c r="STL91" s="1757"/>
      <c r="STM91" s="1757"/>
      <c r="STN91" s="1757"/>
      <c r="STO91" s="1757"/>
      <c r="STP91" s="1757"/>
      <c r="STQ91" s="1757"/>
      <c r="STR91" s="1757"/>
      <c r="STS91" s="1757"/>
      <c r="STT91" s="1757"/>
      <c r="STU91" s="1757"/>
      <c r="STV91" s="1757"/>
      <c r="STW91" s="1757"/>
      <c r="STX91" s="1757"/>
      <c r="STY91" s="1757"/>
      <c r="STZ91" s="1757"/>
      <c r="SUA91" s="1757"/>
      <c r="SUB91" s="1757"/>
      <c r="SUC91" s="1757"/>
      <c r="SUD91" s="1757"/>
      <c r="SUE91" s="1757"/>
      <c r="SUF91" s="1757"/>
      <c r="SUG91" s="1757"/>
      <c r="SUH91" s="1757"/>
      <c r="SUI91" s="1757"/>
      <c r="SUJ91" s="1757"/>
      <c r="SUK91" s="1757"/>
      <c r="SUL91" s="1757"/>
      <c r="SUM91" s="1757"/>
      <c r="SUN91" s="1757"/>
      <c r="SUO91" s="1757"/>
      <c r="SUP91" s="1757"/>
      <c r="SUQ91" s="1757"/>
      <c r="SUR91" s="1757"/>
      <c r="SUS91" s="1757"/>
      <c r="SUT91" s="1757"/>
      <c r="SUU91" s="1757"/>
      <c r="SUV91" s="1757"/>
      <c r="SUW91" s="1757"/>
      <c r="SUX91" s="1757"/>
      <c r="SUY91" s="1757"/>
      <c r="SUZ91" s="1757"/>
      <c r="SVA91" s="1757"/>
      <c r="SVB91" s="1757"/>
      <c r="SVC91" s="1757"/>
      <c r="SVD91" s="1757"/>
      <c r="SVE91" s="1757"/>
      <c r="SVF91" s="1757"/>
      <c r="SVG91" s="1757"/>
      <c r="SVH91" s="1757"/>
      <c r="SVI91" s="1757"/>
      <c r="SVJ91" s="1757"/>
      <c r="SVK91" s="1757"/>
      <c r="SVL91" s="1757"/>
      <c r="SVM91" s="1757"/>
      <c r="SVN91" s="1757"/>
      <c r="SVO91" s="1757"/>
      <c r="SVP91" s="1757"/>
      <c r="SVQ91" s="1757"/>
      <c r="SVR91" s="1757"/>
      <c r="SVS91" s="1757"/>
      <c r="SVT91" s="1757"/>
      <c r="SVU91" s="1757"/>
      <c r="SVV91" s="1757"/>
      <c r="SVW91" s="1757"/>
      <c r="SVX91" s="1757"/>
      <c r="SVY91" s="1757"/>
      <c r="SVZ91" s="1757"/>
      <c r="SWA91" s="1757"/>
      <c r="SWB91" s="1757"/>
      <c r="SWC91" s="1757"/>
      <c r="SWD91" s="1757"/>
      <c r="SWE91" s="1757"/>
      <c r="SWF91" s="1757"/>
      <c r="SWG91" s="1757"/>
      <c r="SWH91" s="1757"/>
      <c r="SWI91" s="1757"/>
      <c r="SWJ91" s="1757"/>
      <c r="SWK91" s="1757"/>
      <c r="SWL91" s="1757"/>
      <c r="SWM91" s="1757"/>
      <c r="SWN91" s="1757"/>
      <c r="SWO91" s="1757"/>
      <c r="SWP91" s="1757"/>
      <c r="SWQ91" s="1757"/>
      <c r="SWR91" s="1757"/>
      <c r="SWS91" s="1757"/>
      <c r="SWT91" s="1757"/>
      <c r="SWU91" s="1757"/>
      <c r="SWV91" s="1757"/>
      <c r="SWW91" s="1757"/>
      <c r="SWX91" s="1757"/>
      <c r="SWY91" s="1757"/>
      <c r="SWZ91" s="1757"/>
      <c r="SXA91" s="1757"/>
      <c r="SXB91" s="1757"/>
      <c r="SXC91" s="1757"/>
      <c r="SXD91" s="1757"/>
      <c r="SXE91" s="1757"/>
      <c r="SXF91" s="1757"/>
      <c r="SXG91" s="1757"/>
      <c r="SXH91" s="1757"/>
      <c r="SXI91" s="1757"/>
      <c r="SXJ91" s="1757"/>
      <c r="SXK91" s="1757"/>
      <c r="SXL91" s="1757"/>
      <c r="SXM91" s="1757"/>
      <c r="SXN91" s="1757"/>
      <c r="SXO91" s="1757"/>
      <c r="SXP91" s="1757"/>
      <c r="SXQ91" s="1757"/>
      <c r="SXR91" s="1757"/>
      <c r="SXS91" s="1757"/>
      <c r="SXT91" s="1757"/>
      <c r="SXU91" s="1757"/>
      <c r="SXV91" s="1757"/>
      <c r="SXW91" s="1757"/>
      <c r="SXX91" s="1757"/>
      <c r="SXY91" s="1757"/>
      <c r="SXZ91" s="1757"/>
      <c r="SYA91" s="1757"/>
      <c r="SYB91" s="1757"/>
      <c r="SYC91" s="1757"/>
      <c r="SYD91" s="1757"/>
      <c r="SYE91" s="1757"/>
      <c r="SYF91" s="1757"/>
      <c r="SYG91" s="1757"/>
      <c r="SYH91" s="1757"/>
      <c r="SYI91" s="1757"/>
      <c r="SYJ91" s="1757"/>
      <c r="SYK91" s="1757"/>
      <c r="SYL91" s="1757"/>
      <c r="SYM91" s="1757"/>
      <c r="SYN91" s="1757"/>
      <c r="SYO91" s="1757"/>
      <c r="SYP91" s="1757"/>
      <c r="SYQ91" s="1757"/>
      <c r="SYR91" s="1757"/>
      <c r="SYS91" s="1757"/>
      <c r="SYT91" s="1757"/>
      <c r="SYU91" s="1757"/>
      <c r="SYV91" s="1757"/>
      <c r="SYW91" s="1757"/>
      <c r="SYX91" s="1757"/>
      <c r="SYY91" s="1757"/>
      <c r="SYZ91" s="1757"/>
      <c r="SZA91" s="1757"/>
      <c r="SZB91" s="1757"/>
      <c r="SZC91" s="1757"/>
      <c r="SZD91" s="1757"/>
      <c r="SZE91" s="1757"/>
      <c r="SZF91" s="1757"/>
      <c r="SZG91" s="1757"/>
      <c r="SZH91" s="1757"/>
      <c r="SZI91" s="1757"/>
      <c r="SZJ91" s="1757"/>
      <c r="SZK91" s="1757"/>
      <c r="SZL91" s="1757"/>
      <c r="SZM91" s="1757"/>
      <c r="SZN91" s="1757"/>
      <c r="SZO91" s="1757"/>
      <c r="SZP91" s="1757"/>
      <c r="SZQ91" s="1757"/>
      <c r="SZR91" s="1757"/>
      <c r="SZS91" s="1757"/>
      <c r="SZT91" s="1757"/>
      <c r="SZU91" s="1757"/>
      <c r="SZV91" s="1757"/>
      <c r="SZW91" s="1757"/>
      <c r="SZX91" s="1757"/>
      <c r="SZY91" s="1757"/>
      <c r="SZZ91" s="1757"/>
      <c r="TAA91" s="1757"/>
      <c r="TAB91" s="1757"/>
      <c r="TAC91" s="1757"/>
      <c r="TAD91" s="1757"/>
      <c r="TAE91" s="1757"/>
      <c r="TAF91" s="1757"/>
      <c r="TAG91" s="1757"/>
      <c r="TAH91" s="1757"/>
      <c r="TAI91" s="1757"/>
      <c r="TAJ91" s="1757"/>
      <c r="TAK91" s="1757"/>
      <c r="TAL91" s="1757"/>
      <c r="TAM91" s="1757"/>
      <c r="TAN91" s="1757"/>
      <c r="TAO91" s="1757"/>
      <c r="TAP91" s="1757"/>
      <c r="TAQ91" s="1757"/>
      <c r="TAR91" s="1757"/>
      <c r="TAS91" s="1757"/>
      <c r="TAT91" s="1757"/>
      <c r="TAU91" s="1757"/>
      <c r="TAV91" s="1757"/>
      <c r="TAW91" s="1757"/>
      <c r="TAX91" s="1757"/>
      <c r="TAY91" s="1757"/>
      <c r="TAZ91" s="1757"/>
      <c r="TBA91" s="1757"/>
      <c r="TBB91" s="1757"/>
      <c r="TBC91" s="1757"/>
      <c r="TBD91" s="1757"/>
      <c r="TBE91" s="1757"/>
      <c r="TBF91" s="1757"/>
      <c r="TBG91" s="1757"/>
      <c r="TBH91" s="1757"/>
      <c r="TBI91" s="1757"/>
      <c r="TBJ91" s="1757"/>
      <c r="TBK91" s="1757"/>
      <c r="TBL91" s="1757"/>
      <c r="TBM91" s="1757"/>
      <c r="TBN91" s="1757"/>
      <c r="TBO91" s="1757"/>
      <c r="TBP91" s="1757"/>
      <c r="TBQ91" s="1757"/>
      <c r="TBR91" s="1757"/>
      <c r="TBS91" s="1757"/>
      <c r="TBT91" s="1757"/>
      <c r="TBU91" s="1757"/>
      <c r="TBV91" s="1757"/>
      <c r="TBW91" s="1757"/>
      <c r="TBX91" s="1757"/>
      <c r="TBY91" s="1757"/>
      <c r="TBZ91" s="1757"/>
      <c r="TCA91" s="1757"/>
      <c r="TCB91" s="1757"/>
      <c r="TCC91" s="1757"/>
      <c r="TCD91" s="1757"/>
      <c r="TCE91" s="1757"/>
      <c r="TCF91" s="1757"/>
      <c r="TCG91" s="1757"/>
      <c r="TCH91" s="1757"/>
      <c r="TCI91" s="1757"/>
      <c r="TCJ91" s="1757"/>
      <c r="TCK91" s="1757"/>
      <c r="TCL91" s="1757"/>
      <c r="TCM91" s="1757"/>
      <c r="TCN91" s="1757"/>
      <c r="TCO91" s="1757"/>
      <c r="TCP91" s="1757"/>
      <c r="TCQ91" s="1757"/>
      <c r="TCR91" s="1757"/>
      <c r="TCS91" s="1757"/>
      <c r="TCT91" s="1757"/>
      <c r="TCU91" s="1757"/>
      <c r="TCV91" s="1757"/>
      <c r="TCW91" s="1757"/>
      <c r="TCX91" s="1757"/>
      <c r="TCY91" s="1757"/>
      <c r="TCZ91" s="1757"/>
      <c r="TDA91" s="1757"/>
      <c r="TDB91" s="1757"/>
      <c r="TDC91" s="1757"/>
      <c r="TDD91" s="1757"/>
      <c r="TDE91" s="1757"/>
      <c r="TDF91" s="1757"/>
      <c r="TDG91" s="1757"/>
      <c r="TDH91" s="1757"/>
      <c r="TDI91" s="1757"/>
      <c r="TDJ91" s="1757"/>
      <c r="TDK91" s="1757"/>
      <c r="TDL91" s="1757"/>
      <c r="TDM91" s="1757"/>
      <c r="TDN91" s="1757"/>
      <c r="TDO91" s="1757"/>
      <c r="TDP91" s="1757"/>
      <c r="TDQ91" s="1757"/>
      <c r="TDR91" s="1757"/>
      <c r="TDS91" s="1757"/>
      <c r="TDT91" s="1757"/>
      <c r="TDU91" s="1757"/>
      <c r="TDV91" s="1757"/>
      <c r="TDW91" s="1757"/>
      <c r="TDX91" s="1757"/>
      <c r="TDY91" s="1757"/>
      <c r="TDZ91" s="1757"/>
      <c r="TEA91" s="1757"/>
      <c r="TEB91" s="1757"/>
      <c r="TEC91" s="1757"/>
      <c r="TED91" s="1757"/>
      <c r="TEE91" s="1757"/>
      <c r="TEF91" s="1757"/>
      <c r="TEG91" s="1757"/>
      <c r="TEH91" s="1757"/>
      <c r="TEI91" s="1757"/>
      <c r="TEJ91" s="1757"/>
      <c r="TEK91" s="1757"/>
      <c r="TEL91" s="1757"/>
      <c r="TEM91" s="1757"/>
      <c r="TEN91" s="1757"/>
      <c r="TEO91" s="1757"/>
      <c r="TEP91" s="1757"/>
      <c r="TEQ91" s="1757"/>
      <c r="TER91" s="1757"/>
      <c r="TES91" s="1757"/>
      <c r="TET91" s="1757"/>
      <c r="TEU91" s="1757"/>
      <c r="TEV91" s="1757"/>
      <c r="TEW91" s="1757"/>
      <c r="TEX91" s="1757"/>
      <c r="TEY91" s="1757"/>
      <c r="TEZ91" s="1757"/>
      <c r="TFA91" s="1757"/>
      <c r="TFB91" s="1757"/>
      <c r="TFC91" s="1757"/>
      <c r="TFD91" s="1757"/>
      <c r="TFE91" s="1757"/>
      <c r="TFF91" s="1757"/>
      <c r="TFG91" s="1757"/>
      <c r="TFH91" s="1757"/>
      <c r="TFI91" s="1757"/>
      <c r="TFJ91" s="1757"/>
      <c r="TFK91" s="1757"/>
      <c r="TFL91" s="1757"/>
      <c r="TFM91" s="1757"/>
      <c r="TFN91" s="1757"/>
      <c r="TFO91" s="1757"/>
      <c r="TFP91" s="1757"/>
      <c r="TFQ91" s="1757"/>
      <c r="TFR91" s="1757"/>
      <c r="TFS91" s="1757"/>
      <c r="TFT91" s="1757"/>
      <c r="TFU91" s="1757"/>
      <c r="TFV91" s="1757"/>
      <c r="TFW91" s="1757"/>
      <c r="TFX91" s="1757"/>
      <c r="TFY91" s="1757"/>
      <c r="TFZ91" s="1757"/>
      <c r="TGA91" s="1757"/>
      <c r="TGB91" s="1757"/>
      <c r="TGC91" s="1757"/>
      <c r="TGD91" s="1757"/>
      <c r="TGE91" s="1757"/>
      <c r="TGF91" s="1757"/>
      <c r="TGG91" s="1757"/>
      <c r="TGH91" s="1757"/>
      <c r="TGI91" s="1757"/>
      <c r="TGJ91" s="1757"/>
      <c r="TGK91" s="1757"/>
      <c r="TGL91" s="1757"/>
      <c r="TGM91" s="1757"/>
      <c r="TGN91" s="1757"/>
      <c r="TGO91" s="1757"/>
      <c r="TGP91" s="1757"/>
      <c r="TGQ91" s="1757"/>
      <c r="TGR91" s="1757"/>
      <c r="TGS91" s="1757"/>
      <c r="TGT91" s="1757"/>
      <c r="TGU91" s="1757"/>
      <c r="TGV91" s="1757"/>
      <c r="TGW91" s="1757"/>
      <c r="TGX91" s="1757"/>
      <c r="TGY91" s="1757"/>
      <c r="TGZ91" s="1757"/>
      <c r="THA91" s="1757"/>
      <c r="THB91" s="1757"/>
      <c r="THC91" s="1757"/>
      <c r="THD91" s="1757"/>
      <c r="THE91" s="1757"/>
      <c r="THF91" s="1757"/>
      <c r="THG91" s="1757"/>
      <c r="THH91" s="1757"/>
      <c r="THI91" s="1757"/>
      <c r="THJ91" s="1757"/>
      <c r="THK91" s="1757"/>
      <c r="THL91" s="1757"/>
      <c r="THM91" s="1757"/>
      <c r="THN91" s="1757"/>
      <c r="THO91" s="1757"/>
      <c r="THP91" s="1757"/>
      <c r="THQ91" s="1757"/>
      <c r="THR91" s="1757"/>
      <c r="THS91" s="1757"/>
      <c r="THT91" s="1757"/>
      <c r="THU91" s="1757"/>
      <c r="THV91" s="1757"/>
      <c r="THW91" s="1757"/>
      <c r="THX91" s="1757"/>
      <c r="THY91" s="1757"/>
      <c r="THZ91" s="1757"/>
      <c r="TIA91" s="1757"/>
      <c r="TIB91" s="1757"/>
      <c r="TIC91" s="1757"/>
      <c r="TID91" s="1757"/>
      <c r="TIE91" s="1757"/>
      <c r="TIF91" s="1757"/>
      <c r="TIG91" s="1757"/>
      <c r="TIH91" s="1757"/>
      <c r="TII91" s="1757"/>
      <c r="TIJ91" s="1757"/>
      <c r="TIK91" s="1757"/>
      <c r="TIL91" s="1757"/>
      <c r="TIM91" s="1757"/>
      <c r="TIN91" s="1757"/>
      <c r="TIO91" s="1757"/>
      <c r="TIP91" s="1757"/>
      <c r="TIQ91" s="1757"/>
      <c r="TIR91" s="1757"/>
      <c r="TIS91" s="1757"/>
      <c r="TIT91" s="1757"/>
      <c r="TIU91" s="1757"/>
      <c r="TIV91" s="1757"/>
      <c r="TIW91" s="1757"/>
      <c r="TIX91" s="1757"/>
      <c r="TIY91" s="1757"/>
      <c r="TIZ91" s="1757"/>
      <c r="TJA91" s="1757"/>
      <c r="TJB91" s="1757"/>
      <c r="TJC91" s="1757"/>
      <c r="TJD91" s="1757"/>
      <c r="TJE91" s="1757"/>
      <c r="TJF91" s="1757"/>
      <c r="TJG91" s="1757"/>
      <c r="TJH91" s="1757"/>
      <c r="TJI91" s="1757"/>
      <c r="TJJ91" s="1757"/>
      <c r="TJK91" s="1757"/>
      <c r="TJL91" s="1757"/>
      <c r="TJM91" s="1757"/>
      <c r="TJN91" s="1757"/>
      <c r="TJO91" s="1757"/>
      <c r="TJP91" s="1757"/>
      <c r="TJQ91" s="1757"/>
      <c r="TJR91" s="1757"/>
      <c r="TJS91" s="1757"/>
      <c r="TJT91" s="1757"/>
      <c r="TJU91" s="1757"/>
      <c r="TJV91" s="1757"/>
      <c r="TJW91" s="1757"/>
      <c r="TJX91" s="1757"/>
      <c r="TJY91" s="1757"/>
      <c r="TJZ91" s="1757"/>
      <c r="TKA91" s="1757"/>
      <c r="TKB91" s="1757"/>
      <c r="TKC91" s="1757"/>
      <c r="TKD91" s="1757"/>
      <c r="TKE91" s="1757"/>
      <c r="TKF91" s="1757"/>
      <c r="TKG91" s="1757"/>
      <c r="TKH91" s="1757"/>
      <c r="TKI91" s="1757"/>
      <c r="TKJ91" s="1757"/>
      <c r="TKK91" s="1757"/>
      <c r="TKL91" s="1757"/>
      <c r="TKM91" s="1757"/>
      <c r="TKN91" s="1757"/>
      <c r="TKO91" s="1757"/>
      <c r="TKP91" s="1757"/>
      <c r="TKQ91" s="1757"/>
      <c r="TKR91" s="1757"/>
      <c r="TKS91" s="1757"/>
      <c r="TKT91" s="1757"/>
      <c r="TKU91" s="1757"/>
      <c r="TKV91" s="1757"/>
      <c r="TKW91" s="1757"/>
      <c r="TKX91" s="1757"/>
      <c r="TKY91" s="1757"/>
      <c r="TKZ91" s="1757"/>
      <c r="TLA91" s="1757"/>
      <c r="TLB91" s="1757"/>
      <c r="TLC91" s="1757"/>
      <c r="TLD91" s="1757"/>
      <c r="TLE91" s="1757"/>
      <c r="TLF91" s="1757"/>
      <c r="TLG91" s="1757"/>
      <c r="TLH91" s="1757"/>
      <c r="TLI91" s="1757"/>
      <c r="TLJ91" s="1757"/>
      <c r="TLK91" s="1757"/>
      <c r="TLL91" s="1757"/>
      <c r="TLM91" s="1757"/>
      <c r="TLN91" s="1757"/>
      <c r="TLO91" s="1757"/>
      <c r="TLP91" s="1757"/>
      <c r="TLQ91" s="1757"/>
      <c r="TLR91" s="1757"/>
      <c r="TLS91" s="1757"/>
      <c r="TLT91" s="1757"/>
      <c r="TLU91" s="1757"/>
      <c r="TLV91" s="1757"/>
      <c r="TLW91" s="1757"/>
      <c r="TLX91" s="1757"/>
      <c r="TLY91" s="1757"/>
      <c r="TLZ91" s="1757"/>
      <c r="TMA91" s="1757"/>
      <c r="TMB91" s="1757"/>
      <c r="TMC91" s="1757"/>
      <c r="TMD91" s="1757"/>
      <c r="TME91" s="1757"/>
      <c r="TMF91" s="1757"/>
      <c r="TMG91" s="1757"/>
      <c r="TMH91" s="1757"/>
      <c r="TMI91" s="1757"/>
      <c r="TMJ91" s="1757"/>
      <c r="TMK91" s="1757"/>
      <c r="TML91" s="1757"/>
      <c r="TMM91" s="1757"/>
      <c r="TMN91" s="1757"/>
      <c r="TMO91" s="1757"/>
      <c r="TMP91" s="1757"/>
      <c r="TMQ91" s="1757"/>
      <c r="TMR91" s="1757"/>
      <c r="TMS91" s="1757"/>
      <c r="TMT91" s="1757"/>
      <c r="TMU91" s="1757"/>
      <c r="TMV91" s="1757"/>
      <c r="TMW91" s="1757"/>
      <c r="TMX91" s="1757"/>
      <c r="TMY91" s="1757"/>
      <c r="TMZ91" s="1757"/>
      <c r="TNA91" s="1757"/>
      <c r="TNB91" s="1757"/>
      <c r="TNC91" s="1757"/>
      <c r="TND91" s="1757"/>
      <c r="TNE91" s="1757"/>
      <c r="TNF91" s="1757"/>
      <c r="TNG91" s="1757"/>
      <c r="TNH91" s="1757"/>
      <c r="TNI91" s="1757"/>
      <c r="TNJ91" s="1757"/>
      <c r="TNK91" s="1757"/>
      <c r="TNL91" s="1757"/>
      <c r="TNM91" s="1757"/>
      <c r="TNN91" s="1757"/>
      <c r="TNO91" s="1757"/>
      <c r="TNP91" s="1757"/>
      <c r="TNQ91" s="1757"/>
      <c r="TNR91" s="1757"/>
      <c r="TNS91" s="1757"/>
      <c r="TNT91" s="1757"/>
      <c r="TNU91" s="1757"/>
      <c r="TNV91" s="1757"/>
      <c r="TNW91" s="1757"/>
      <c r="TNX91" s="1757"/>
      <c r="TNY91" s="1757"/>
      <c r="TNZ91" s="1757"/>
      <c r="TOA91" s="1757"/>
      <c r="TOB91" s="1757"/>
      <c r="TOC91" s="1757"/>
      <c r="TOD91" s="1757"/>
      <c r="TOE91" s="1757"/>
      <c r="TOF91" s="1757"/>
      <c r="TOG91" s="1757"/>
      <c r="TOH91" s="1757"/>
      <c r="TOI91" s="1757"/>
      <c r="TOJ91" s="1757"/>
      <c r="TOK91" s="1757"/>
      <c r="TOL91" s="1757"/>
      <c r="TOM91" s="1757"/>
      <c r="TON91" s="1757"/>
      <c r="TOO91" s="1757"/>
      <c r="TOP91" s="1757"/>
      <c r="TOQ91" s="1757"/>
      <c r="TOR91" s="1757"/>
      <c r="TOS91" s="1757"/>
      <c r="TOT91" s="1757"/>
      <c r="TOU91" s="1757"/>
      <c r="TOV91" s="1757"/>
      <c r="TOW91" s="1757"/>
      <c r="TOX91" s="1757"/>
      <c r="TOY91" s="1757"/>
      <c r="TOZ91" s="1757"/>
      <c r="TPA91" s="1757"/>
      <c r="TPB91" s="1757"/>
      <c r="TPC91" s="1757"/>
      <c r="TPD91" s="1757"/>
      <c r="TPE91" s="1757"/>
      <c r="TPF91" s="1757"/>
      <c r="TPG91" s="1757"/>
      <c r="TPH91" s="1757"/>
      <c r="TPI91" s="1757"/>
      <c r="TPJ91" s="1757"/>
      <c r="TPK91" s="1757"/>
      <c r="TPL91" s="1757"/>
      <c r="TPM91" s="1757"/>
      <c r="TPN91" s="1757"/>
      <c r="TPO91" s="1757"/>
      <c r="TPP91" s="1757"/>
      <c r="TPQ91" s="1757"/>
      <c r="TPR91" s="1757"/>
      <c r="TPS91" s="1757"/>
      <c r="TPT91" s="1757"/>
      <c r="TPU91" s="1757"/>
      <c r="TPV91" s="1757"/>
      <c r="TPW91" s="1757"/>
      <c r="TPX91" s="1757"/>
      <c r="TPY91" s="1757"/>
      <c r="TPZ91" s="1757"/>
      <c r="TQA91" s="1757"/>
      <c r="TQB91" s="1757"/>
      <c r="TQC91" s="1757"/>
      <c r="TQD91" s="1757"/>
      <c r="TQE91" s="1757"/>
      <c r="TQF91" s="1757"/>
      <c r="TQG91" s="1757"/>
      <c r="TQH91" s="1757"/>
      <c r="TQI91" s="1757"/>
      <c r="TQJ91" s="1757"/>
      <c r="TQK91" s="1757"/>
      <c r="TQL91" s="1757"/>
      <c r="TQM91" s="1757"/>
      <c r="TQN91" s="1757"/>
      <c r="TQO91" s="1757"/>
      <c r="TQP91" s="1757"/>
      <c r="TQQ91" s="1757"/>
      <c r="TQR91" s="1757"/>
      <c r="TQS91" s="1757"/>
      <c r="TQT91" s="1757"/>
      <c r="TQU91" s="1757"/>
      <c r="TQV91" s="1757"/>
      <c r="TQW91" s="1757"/>
      <c r="TQX91" s="1757"/>
      <c r="TQY91" s="1757"/>
      <c r="TQZ91" s="1757"/>
      <c r="TRA91" s="1757"/>
      <c r="TRB91" s="1757"/>
      <c r="TRC91" s="1757"/>
      <c r="TRD91" s="1757"/>
      <c r="TRE91" s="1757"/>
      <c r="TRF91" s="1757"/>
      <c r="TRG91" s="1757"/>
      <c r="TRH91" s="1757"/>
      <c r="TRI91" s="1757"/>
      <c r="TRJ91" s="1757"/>
      <c r="TRK91" s="1757"/>
      <c r="TRL91" s="1757"/>
      <c r="TRM91" s="1757"/>
      <c r="TRN91" s="1757"/>
      <c r="TRO91" s="1757"/>
      <c r="TRP91" s="1757"/>
      <c r="TRQ91" s="1757"/>
      <c r="TRR91" s="1757"/>
      <c r="TRS91" s="1757"/>
      <c r="TRT91" s="1757"/>
      <c r="TRU91" s="1757"/>
      <c r="TRV91" s="1757"/>
      <c r="TRW91" s="1757"/>
      <c r="TRX91" s="1757"/>
      <c r="TRY91" s="1757"/>
      <c r="TRZ91" s="1757"/>
      <c r="TSA91" s="1757"/>
      <c r="TSB91" s="1757"/>
      <c r="TSC91" s="1757"/>
      <c r="TSD91" s="1757"/>
      <c r="TSE91" s="1757"/>
      <c r="TSF91" s="1757"/>
      <c r="TSG91" s="1757"/>
      <c r="TSH91" s="1757"/>
      <c r="TSI91" s="1757"/>
      <c r="TSJ91" s="1757"/>
      <c r="TSK91" s="1757"/>
      <c r="TSL91" s="1757"/>
      <c r="TSM91" s="1757"/>
      <c r="TSN91" s="1757"/>
      <c r="TSO91" s="1757"/>
      <c r="TSP91" s="1757"/>
      <c r="TSQ91" s="1757"/>
      <c r="TSR91" s="1757"/>
      <c r="TSS91" s="1757"/>
      <c r="TST91" s="1757"/>
      <c r="TSU91" s="1757"/>
      <c r="TSV91" s="1757"/>
      <c r="TSW91" s="1757"/>
      <c r="TSX91" s="1757"/>
      <c r="TSY91" s="1757"/>
      <c r="TSZ91" s="1757"/>
      <c r="TTA91" s="1757"/>
      <c r="TTB91" s="1757"/>
      <c r="TTC91" s="1757"/>
      <c r="TTD91" s="1757"/>
      <c r="TTE91" s="1757"/>
      <c r="TTF91" s="1757"/>
      <c r="TTG91" s="1757"/>
      <c r="TTH91" s="1757"/>
      <c r="TTI91" s="1757"/>
      <c r="TTJ91" s="1757"/>
      <c r="TTK91" s="1757"/>
      <c r="TTL91" s="1757"/>
      <c r="TTM91" s="1757"/>
      <c r="TTN91" s="1757"/>
      <c r="TTO91" s="1757"/>
      <c r="TTP91" s="1757"/>
      <c r="TTQ91" s="1757"/>
      <c r="TTR91" s="1757"/>
      <c r="TTS91" s="1757"/>
      <c r="TTT91" s="1757"/>
      <c r="TTU91" s="1757"/>
      <c r="TTV91" s="1757"/>
      <c r="TTW91" s="1757"/>
      <c r="TTX91" s="1757"/>
      <c r="TTY91" s="1757"/>
      <c r="TTZ91" s="1757"/>
      <c r="TUA91" s="1757"/>
      <c r="TUB91" s="1757"/>
      <c r="TUC91" s="1757"/>
      <c r="TUD91" s="1757"/>
      <c r="TUE91" s="1757"/>
      <c r="TUF91" s="1757"/>
      <c r="TUG91" s="1757"/>
      <c r="TUH91" s="1757"/>
      <c r="TUI91" s="1757"/>
      <c r="TUJ91" s="1757"/>
      <c r="TUK91" s="1757"/>
      <c r="TUL91" s="1757"/>
      <c r="TUM91" s="1757"/>
      <c r="TUN91" s="1757"/>
      <c r="TUO91" s="1757"/>
      <c r="TUP91" s="1757"/>
      <c r="TUQ91" s="1757"/>
      <c r="TUR91" s="1757"/>
      <c r="TUS91" s="1757"/>
      <c r="TUT91" s="1757"/>
      <c r="TUU91" s="1757"/>
      <c r="TUV91" s="1757"/>
      <c r="TUW91" s="1757"/>
      <c r="TUX91" s="1757"/>
      <c r="TUY91" s="1757"/>
      <c r="TUZ91" s="1757"/>
      <c r="TVA91" s="1757"/>
      <c r="TVB91" s="1757"/>
      <c r="TVC91" s="1757"/>
      <c r="TVD91" s="1757"/>
      <c r="TVE91" s="1757"/>
      <c r="TVF91" s="1757"/>
      <c r="TVG91" s="1757"/>
      <c r="TVH91" s="1757"/>
      <c r="TVI91" s="1757"/>
      <c r="TVJ91" s="1757"/>
      <c r="TVK91" s="1757"/>
      <c r="TVL91" s="1757"/>
      <c r="TVM91" s="1757"/>
      <c r="TVN91" s="1757"/>
      <c r="TVO91" s="1757"/>
      <c r="TVP91" s="1757"/>
      <c r="TVQ91" s="1757"/>
      <c r="TVR91" s="1757"/>
      <c r="TVS91" s="1757"/>
      <c r="TVT91" s="1757"/>
      <c r="TVU91" s="1757"/>
      <c r="TVV91" s="1757"/>
      <c r="TVW91" s="1757"/>
      <c r="TVX91" s="1757"/>
      <c r="TVY91" s="1757"/>
      <c r="TVZ91" s="1757"/>
      <c r="TWA91" s="1757"/>
      <c r="TWB91" s="1757"/>
      <c r="TWC91" s="1757"/>
      <c r="TWD91" s="1757"/>
      <c r="TWE91" s="1757"/>
      <c r="TWF91" s="1757"/>
      <c r="TWG91" s="1757"/>
      <c r="TWH91" s="1757"/>
      <c r="TWI91" s="1757"/>
      <c r="TWJ91" s="1757"/>
      <c r="TWK91" s="1757"/>
      <c r="TWL91" s="1757"/>
      <c r="TWM91" s="1757"/>
      <c r="TWN91" s="1757"/>
      <c r="TWO91" s="1757"/>
      <c r="TWP91" s="1757"/>
      <c r="TWQ91" s="1757"/>
      <c r="TWR91" s="1757"/>
      <c r="TWS91" s="1757"/>
      <c r="TWT91" s="1757"/>
      <c r="TWU91" s="1757"/>
      <c r="TWV91" s="1757"/>
      <c r="TWW91" s="1757"/>
      <c r="TWX91" s="1757"/>
      <c r="TWY91" s="1757"/>
      <c r="TWZ91" s="1757"/>
      <c r="TXA91" s="1757"/>
      <c r="TXB91" s="1757"/>
      <c r="TXC91" s="1757"/>
      <c r="TXD91" s="1757"/>
      <c r="TXE91" s="1757"/>
      <c r="TXF91" s="1757"/>
      <c r="TXG91" s="1757"/>
      <c r="TXH91" s="1757"/>
      <c r="TXI91" s="1757"/>
      <c r="TXJ91" s="1757"/>
      <c r="TXK91" s="1757"/>
      <c r="TXL91" s="1757"/>
      <c r="TXM91" s="1757"/>
      <c r="TXN91" s="1757"/>
      <c r="TXO91" s="1757"/>
      <c r="TXP91" s="1757"/>
      <c r="TXQ91" s="1757"/>
      <c r="TXR91" s="1757"/>
      <c r="TXS91" s="1757"/>
      <c r="TXT91" s="1757"/>
      <c r="TXU91" s="1757"/>
      <c r="TXV91" s="1757"/>
      <c r="TXW91" s="1757"/>
      <c r="TXX91" s="1757"/>
      <c r="TXY91" s="1757"/>
      <c r="TXZ91" s="1757"/>
      <c r="TYA91" s="1757"/>
      <c r="TYB91" s="1757"/>
      <c r="TYC91" s="1757"/>
      <c r="TYD91" s="1757"/>
      <c r="TYE91" s="1757"/>
      <c r="TYF91" s="1757"/>
      <c r="TYG91" s="1757"/>
      <c r="TYH91" s="1757"/>
      <c r="TYI91" s="1757"/>
      <c r="TYJ91" s="1757"/>
      <c r="TYK91" s="1757"/>
      <c r="TYL91" s="1757"/>
      <c r="TYM91" s="1757"/>
      <c r="TYN91" s="1757"/>
      <c r="TYO91" s="1757"/>
      <c r="TYP91" s="1757"/>
      <c r="TYQ91" s="1757"/>
      <c r="TYR91" s="1757"/>
      <c r="TYS91" s="1757"/>
      <c r="TYT91" s="1757"/>
      <c r="TYU91" s="1757"/>
      <c r="TYV91" s="1757"/>
      <c r="TYW91" s="1757"/>
      <c r="TYX91" s="1757"/>
      <c r="TYY91" s="1757"/>
      <c r="TYZ91" s="1757"/>
      <c r="TZA91" s="1757"/>
      <c r="TZB91" s="1757"/>
      <c r="TZC91" s="1757"/>
      <c r="TZD91" s="1757"/>
      <c r="TZE91" s="1757"/>
      <c r="TZF91" s="1757"/>
      <c r="TZG91" s="1757"/>
      <c r="TZH91" s="1757"/>
      <c r="TZI91" s="1757"/>
      <c r="TZJ91" s="1757"/>
      <c r="TZK91" s="1757"/>
      <c r="TZL91" s="1757"/>
      <c r="TZM91" s="1757"/>
      <c r="TZN91" s="1757"/>
      <c r="TZO91" s="1757"/>
      <c r="TZP91" s="1757"/>
      <c r="TZQ91" s="1757"/>
      <c r="TZR91" s="1757"/>
      <c r="TZS91" s="1757"/>
      <c r="TZT91" s="1757"/>
      <c r="TZU91" s="1757"/>
      <c r="TZV91" s="1757"/>
      <c r="TZW91" s="1757"/>
      <c r="TZX91" s="1757"/>
      <c r="TZY91" s="1757"/>
      <c r="TZZ91" s="1757"/>
      <c r="UAA91" s="1757"/>
      <c r="UAB91" s="1757"/>
      <c r="UAC91" s="1757"/>
      <c r="UAD91" s="1757"/>
      <c r="UAE91" s="1757"/>
      <c r="UAF91" s="1757"/>
      <c r="UAG91" s="1757"/>
      <c r="UAH91" s="1757"/>
      <c r="UAI91" s="1757"/>
      <c r="UAJ91" s="1757"/>
      <c r="UAK91" s="1757"/>
      <c r="UAL91" s="1757"/>
      <c r="UAM91" s="1757"/>
      <c r="UAN91" s="1757"/>
      <c r="UAO91" s="1757"/>
      <c r="UAP91" s="1757"/>
      <c r="UAQ91" s="1757"/>
      <c r="UAR91" s="1757"/>
      <c r="UAS91" s="1757"/>
      <c r="UAT91" s="1757"/>
      <c r="UAU91" s="1757"/>
      <c r="UAV91" s="1757"/>
      <c r="UAW91" s="1757"/>
      <c r="UAX91" s="1757"/>
      <c r="UAY91" s="1757"/>
      <c r="UAZ91" s="1757"/>
      <c r="UBA91" s="1757"/>
      <c r="UBB91" s="1757"/>
      <c r="UBC91" s="1757"/>
      <c r="UBD91" s="1757"/>
      <c r="UBE91" s="1757"/>
      <c r="UBF91" s="1757"/>
      <c r="UBG91" s="1757"/>
      <c r="UBH91" s="1757"/>
      <c r="UBI91" s="1757"/>
      <c r="UBJ91" s="1757"/>
      <c r="UBK91" s="1757"/>
      <c r="UBL91" s="1757"/>
      <c r="UBM91" s="1757"/>
      <c r="UBN91" s="1757"/>
      <c r="UBO91" s="1757"/>
      <c r="UBP91" s="1757"/>
      <c r="UBQ91" s="1757"/>
      <c r="UBR91" s="1757"/>
      <c r="UBS91" s="1757"/>
      <c r="UBT91" s="1757"/>
      <c r="UBU91" s="1757"/>
      <c r="UBV91" s="1757"/>
      <c r="UBW91" s="1757"/>
      <c r="UBX91" s="1757"/>
      <c r="UBY91" s="1757"/>
      <c r="UBZ91" s="1757"/>
      <c r="UCA91" s="1757"/>
      <c r="UCB91" s="1757"/>
      <c r="UCC91" s="1757"/>
      <c r="UCD91" s="1757"/>
      <c r="UCE91" s="1757"/>
      <c r="UCF91" s="1757"/>
      <c r="UCG91" s="1757"/>
      <c r="UCH91" s="1757"/>
      <c r="UCI91" s="1757"/>
      <c r="UCJ91" s="1757"/>
      <c r="UCK91" s="1757"/>
      <c r="UCL91" s="1757"/>
      <c r="UCM91" s="1757"/>
      <c r="UCN91" s="1757"/>
      <c r="UCO91" s="1757"/>
      <c r="UCP91" s="1757"/>
      <c r="UCQ91" s="1757"/>
      <c r="UCR91" s="1757"/>
      <c r="UCS91" s="1757"/>
      <c r="UCT91" s="1757"/>
      <c r="UCU91" s="1757"/>
      <c r="UCV91" s="1757"/>
      <c r="UCW91" s="1757"/>
      <c r="UCX91" s="1757"/>
      <c r="UCY91" s="1757"/>
      <c r="UCZ91" s="1757"/>
      <c r="UDA91" s="1757"/>
      <c r="UDB91" s="1757"/>
      <c r="UDC91" s="1757"/>
      <c r="UDD91" s="1757"/>
      <c r="UDE91" s="1757"/>
      <c r="UDF91" s="1757"/>
      <c r="UDG91" s="1757"/>
      <c r="UDH91" s="1757"/>
      <c r="UDI91" s="1757"/>
      <c r="UDJ91" s="1757"/>
      <c r="UDK91" s="1757"/>
      <c r="UDL91" s="1757"/>
      <c r="UDM91" s="1757"/>
      <c r="UDN91" s="1757"/>
      <c r="UDO91" s="1757"/>
      <c r="UDP91" s="1757"/>
      <c r="UDQ91" s="1757"/>
      <c r="UDR91" s="1757"/>
      <c r="UDS91" s="1757"/>
      <c r="UDT91" s="1757"/>
      <c r="UDU91" s="1757"/>
      <c r="UDV91" s="1757"/>
      <c r="UDW91" s="1757"/>
      <c r="UDX91" s="1757"/>
      <c r="UDY91" s="1757"/>
      <c r="UDZ91" s="1757"/>
      <c r="UEA91" s="1757"/>
      <c r="UEB91" s="1757"/>
      <c r="UEC91" s="1757"/>
      <c r="UED91" s="1757"/>
      <c r="UEE91" s="1757"/>
      <c r="UEF91" s="1757"/>
      <c r="UEG91" s="1757"/>
      <c r="UEH91" s="1757"/>
      <c r="UEI91" s="1757"/>
      <c r="UEJ91" s="1757"/>
      <c r="UEK91" s="1757"/>
      <c r="UEL91" s="1757"/>
      <c r="UEM91" s="1757"/>
      <c r="UEN91" s="1757"/>
      <c r="UEO91" s="1757"/>
      <c r="UEP91" s="1757"/>
      <c r="UEQ91" s="1757"/>
      <c r="UER91" s="1757"/>
      <c r="UES91" s="1757"/>
      <c r="UET91" s="1757"/>
      <c r="UEU91" s="1757"/>
      <c r="UEV91" s="1757"/>
      <c r="UEW91" s="1757"/>
      <c r="UEX91" s="1757"/>
      <c r="UEY91" s="1757"/>
      <c r="UEZ91" s="1757"/>
      <c r="UFA91" s="1757"/>
      <c r="UFB91" s="1757"/>
      <c r="UFC91" s="1757"/>
      <c r="UFD91" s="1757"/>
      <c r="UFE91" s="1757"/>
      <c r="UFF91" s="1757"/>
      <c r="UFG91" s="1757"/>
      <c r="UFH91" s="1757"/>
      <c r="UFI91" s="1757"/>
      <c r="UFJ91" s="1757"/>
      <c r="UFK91" s="1757"/>
      <c r="UFL91" s="1757"/>
      <c r="UFM91" s="1757"/>
      <c r="UFN91" s="1757"/>
      <c r="UFO91" s="1757"/>
      <c r="UFP91" s="1757"/>
      <c r="UFQ91" s="1757"/>
      <c r="UFR91" s="1757"/>
      <c r="UFS91" s="1757"/>
      <c r="UFT91" s="1757"/>
      <c r="UFU91" s="1757"/>
      <c r="UFV91" s="1757"/>
      <c r="UFW91" s="1757"/>
      <c r="UFX91" s="1757"/>
      <c r="UFY91" s="1757"/>
      <c r="UFZ91" s="1757"/>
      <c r="UGA91" s="1757"/>
      <c r="UGB91" s="1757"/>
      <c r="UGC91" s="1757"/>
      <c r="UGD91" s="1757"/>
      <c r="UGE91" s="1757"/>
      <c r="UGF91" s="1757"/>
      <c r="UGG91" s="1757"/>
      <c r="UGH91" s="1757"/>
      <c r="UGI91" s="1757"/>
      <c r="UGJ91" s="1757"/>
      <c r="UGK91" s="1757"/>
      <c r="UGL91" s="1757"/>
      <c r="UGM91" s="1757"/>
      <c r="UGN91" s="1757"/>
      <c r="UGO91" s="1757"/>
      <c r="UGP91" s="1757"/>
      <c r="UGQ91" s="1757"/>
      <c r="UGR91" s="1757"/>
      <c r="UGS91" s="1757"/>
      <c r="UGT91" s="1757"/>
      <c r="UGU91" s="1757"/>
      <c r="UGV91" s="1757"/>
      <c r="UGW91" s="1757"/>
      <c r="UGX91" s="1757"/>
      <c r="UGY91" s="1757"/>
      <c r="UGZ91" s="1757"/>
      <c r="UHA91" s="1757"/>
      <c r="UHB91" s="1757"/>
      <c r="UHC91" s="1757"/>
      <c r="UHD91" s="1757"/>
      <c r="UHE91" s="1757"/>
      <c r="UHF91" s="1757"/>
      <c r="UHG91" s="1757"/>
      <c r="UHH91" s="1757"/>
      <c r="UHI91" s="1757"/>
      <c r="UHJ91" s="1757"/>
      <c r="UHK91" s="1757"/>
      <c r="UHL91" s="1757"/>
      <c r="UHM91" s="1757"/>
      <c r="UHN91" s="1757"/>
      <c r="UHO91" s="1757"/>
      <c r="UHP91" s="1757"/>
      <c r="UHQ91" s="1757"/>
      <c r="UHR91" s="1757"/>
      <c r="UHS91" s="1757"/>
      <c r="UHT91" s="1757"/>
      <c r="UHU91" s="1757"/>
      <c r="UHV91" s="1757"/>
      <c r="UHW91" s="1757"/>
      <c r="UHX91" s="1757"/>
      <c r="UHY91" s="1757"/>
      <c r="UHZ91" s="1757"/>
      <c r="UIA91" s="1757"/>
      <c r="UIB91" s="1757"/>
      <c r="UIC91" s="1757"/>
      <c r="UID91" s="1757"/>
      <c r="UIE91" s="1757"/>
      <c r="UIF91" s="1757"/>
      <c r="UIG91" s="1757"/>
      <c r="UIH91" s="1757"/>
      <c r="UII91" s="1757"/>
      <c r="UIJ91" s="1757"/>
      <c r="UIK91" s="1757"/>
      <c r="UIL91" s="1757"/>
      <c r="UIM91" s="1757"/>
      <c r="UIN91" s="1757"/>
      <c r="UIO91" s="1757"/>
      <c r="UIP91" s="1757"/>
      <c r="UIQ91" s="1757"/>
      <c r="UIR91" s="1757"/>
      <c r="UIS91" s="1757"/>
      <c r="UIT91" s="1757"/>
      <c r="UIU91" s="1757"/>
      <c r="UIV91" s="1757"/>
      <c r="UIW91" s="1757"/>
      <c r="UIX91" s="1757"/>
      <c r="UIY91" s="1757"/>
      <c r="UIZ91" s="1757"/>
      <c r="UJA91" s="1757"/>
      <c r="UJB91" s="1757"/>
      <c r="UJC91" s="1757"/>
      <c r="UJD91" s="1757"/>
      <c r="UJE91" s="1757"/>
      <c r="UJF91" s="1757"/>
      <c r="UJG91" s="1757"/>
      <c r="UJH91" s="1757"/>
      <c r="UJI91" s="1757"/>
      <c r="UJJ91" s="1757"/>
      <c r="UJK91" s="1757"/>
      <c r="UJL91" s="1757"/>
      <c r="UJM91" s="1757"/>
      <c r="UJN91" s="1757"/>
      <c r="UJO91" s="1757"/>
      <c r="UJP91" s="1757"/>
      <c r="UJQ91" s="1757"/>
      <c r="UJR91" s="1757"/>
      <c r="UJS91" s="1757"/>
      <c r="UJT91" s="1757"/>
      <c r="UJU91" s="1757"/>
      <c r="UJV91" s="1757"/>
      <c r="UJW91" s="1757"/>
      <c r="UJX91" s="1757"/>
      <c r="UJY91" s="1757"/>
      <c r="UJZ91" s="1757"/>
      <c r="UKA91" s="1757"/>
      <c r="UKB91" s="1757"/>
      <c r="UKC91" s="1757"/>
      <c r="UKD91" s="1757"/>
      <c r="UKE91" s="1757"/>
      <c r="UKF91" s="1757"/>
      <c r="UKG91" s="1757"/>
      <c r="UKH91" s="1757"/>
      <c r="UKI91" s="1757"/>
      <c r="UKJ91" s="1757"/>
      <c r="UKK91" s="1757"/>
      <c r="UKL91" s="1757"/>
      <c r="UKM91" s="1757"/>
      <c r="UKN91" s="1757"/>
      <c r="UKO91" s="1757"/>
      <c r="UKP91" s="1757"/>
      <c r="UKQ91" s="1757"/>
      <c r="UKR91" s="1757"/>
      <c r="UKS91" s="1757"/>
      <c r="UKT91" s="1757"/>
      <c r="UKU91" s="1757"/>
      <c r="UKV91" s="1757"/>
      <c r="UKW91" s="1757"/>
      <c r="UKX91" s="1757"/>
      <c r="UKY91" s="1757"/>
      <c r="UKZ91" s="1757"/>
      <c r="ULA91" s="1757"/>
      <c r="ULB91" s="1757"/>
      <c r="ULC91" s="1757"/>
      <c r="ULD91" s="1757"/>
      <c r="ULE91" s="1757"/>
      <c r="ULF91" s="1757"/>
      <c r="ULG91" s="1757"/>
      <c r="ULH91" s="1757"/>
      <c r="ULI91" s="1757"/>
      <c r="ULJ91" s="1757"/>
      <c r="ULK91" s="1757"/>
      <c r="ULL91" s="1757"/>
      <c r="ULM91" s="1757"/>
      <c r="ULN91" s="1757"/>
      <c r="ULO91" s="1757"/>
      <c r="ULP91" s="1757"/>
      <c r="ULQ91" s="1757"/>
      <c r="ULR91" s="1757"/>
      <c r="ULS91" s="1757"/>
      <c r="ULT91" s="1757"/>
      <c r="ULU91" s="1757"/>
      <c r="ULV91" s="1757"/>
      <c r="ULW91" s="1757"/>
      <c r="ULX91" s="1757"/>
      <c r="ULY91" s="1757"/>
      <c r="ULZ91" s="1757"/>
      <c r="UMA91" s="1757"/>
      <c r="UMB91" s="1757"/>
      <c r="UMC91" s="1757"/>
      <c r="UMD91" s="1757"/>
      <c r="UME91" s="1757"/>
      <c r="UMF91" s="1757"/>
      <c r="UMG91" s="1757"/>
      <c r="UMH91" s="1757"/>
      <c r="UMI91" s="1757"/>
      <c r="UMJ91" s="1757"/>
      <c r="UMK91" s="1757"/>
      <c r="UML91" s="1757"/>
      <c r="UMM91" s="1757"/>
      <c r="UMN91" s="1757"/>
      <c r="UMO91" s="1757"/>
      <c r="UMP91" s="1757"/>
      <c r="UMQ91" s="1757"/>
      <c r="UMR91" s="1757"/>
      <c r="UMS91" s="1757"/>
      <c r="UMT91" s="1757"/>
      <c r="UMU91" s="1757"/>
      <c r="UMV91" s="1757"/>
      <c r="UMW91" s="1757"/>
      <c r="UMX91" s="1757"/>
      <c r="UMY91" s="1757"/>
      <c r="UMZ91" s="1757"/>
      <c r="UNA91" s="1757"/>
      <c r="UNB91" s="1757"/>
      <c r="UNC91" s="1757"/>
      <c r="UND91" s="1757"/>
      <c r="UNE91" s="1757"/>
      <c r="UNF91" s="1757"/>
      <c r="UNG91" s="1757"/>
      <c r="UNH91" s="1757"/>
      <c r="UNI91" s="1757"/>
      <c r="UNJ91" s="1757"/>
      <c r="UNK91" s="1757"/>
      <c r="UNL91" s="1757"/>
      <c r="UNM91" s="1757"/>
      <c r="UNN91" s="1757"/>
      <c r="UNO91" s="1757"/>
      <c r="UNP91" s="1757"/>
      <c r="UNQ91" s="1757"/>
      <c r="UNR91" s="1757"/>
      <c r="UNS91" s="1757"/>
      <c r="UNT91" s="1757"/>
      <c r="UNU91" s="1757"/>
      <c r="UNV91" s="1757"/>
      <c r="UNW91" s="1757"/>
      <c r="UNX91" s="1757"/>
      <c r="UNY91" s="1757"/>
      <c r="UNZ91" s="1757"/>
      <c r="UOA91" s="1757"/>
      <c r="UOB91" s="1757"/>
      <c r="UOC91" s="1757"/>
      <c r="UOD91" s="1757"/>
      <c r="UOE91" s="1757"/>
      <c r="UOF91" s="1757"/>
      <c r="UOG91" s="1757"/>
      <c r="UOH91" s="1757"/>
      <c r="UOI91" s="1757"/>
      <c r="UOJ91" s="1757"/>
      <c r="UOK91" s="1757"/>
      <c r="UOL91" s="1757"/>
      <c r="UOM91" s="1757"/>
      <c r="UON91" s="1757"/>
      <c r="UOO91" s="1757"/>
      <c r="UOP91" s="1757"/>
      <c r="UOQ91" s="1757"/>
      <c r="UOR91" s="1757"/>
      <c r="UOS91" s="1757"/>
      <c r="UOT91" s="1757"/>
      <c r="UOU91" s="1757"/>
      <c r="UOV91" s="1757"/>
      <c r="UOW91" s="1757"/>
      <c r="UOX91" s="1757"/>
      <c r="UOY91" s="1757"/>
      <c r="UOZ91" s="1757"/>
      <c r="UPA91" s="1757"/>
      <c r="UPB91" s="1757"/>
      <c r="UPC91" s="1757"/>
      <c r="UPD91" s="1757"/>
      <c r="UPE91" s="1757"/>
      <c r="UPF91" s="1757"/>
      <c r="UPG91" s="1757"/>
      <c r="UPH91" s="1757"/>
      <c r="UPI91" s="1757"/>
      <c r="UPJ91" s="1757"/>
      <c r="UPK91" s="1757"/>
      <c r="UPL91" s="1757"/>
      <c r="UPM91" s="1757"/>
      <c r="UPN91" s="1757"/>
      <c r="UPO91" s="1757"/>
      <c r="UPP91" s="1757"/>
      <c r="UPQ91" s="1757"/>
      <c r="UPR91" s="1757"/>
      <c r="UPS91" s="1757"/>
      <c r="UPT91" s="1757"/>
      <c r="UPU91" s="1757"/>
      <c r="UPV91" s="1757"/>
      <c r="UPW91" s="1757"/>
      <c r="UPX91" s="1757"/>
      <c r="UPY91" s="1757"/>
      <c r="UPZ91" s="1757"/>
      <c r="UQA91" s="1757"/>
      <c r="UQB91" s="1757"/>
      <c r="UQC91" s="1757"/>
      <c r="UQD91" s="1757"/>
      <c r="UQE91" s="1757"/>
      <c r="UQF91" s="1757"/>
      <c r="UQG91" s="1757"/>
      <c r="UQH91" s="1757"/>
      <c r="UQI91" s="1757"/>
      <c r="UQJ91" s="1757"/>
      <c r="UQK91" s="1757"/>
      <c r="UQL91" s="1757"/>
      <c r="UQM91" s="1757"/>
      <c r="UQN91" s="1757"/>
      <c r="UQO91" s="1757"/>
      <c r="UQP91" s="1757"/>
      <c r="UQQ91" s="1757"/>
      <c r="UQR91" s="1757"/>
      <c r="UQS91" s="1757"/>
      <c r="UQT91" s="1757"/>
      <c r="UQU91" s="1757"/>
      <c r="UQV91" s="1757"/>
      <c r="UQW91" s="1757"/>
      <c r="UQX91" s="1757"/>
      <c r="UQY91" s="1757"/>
      <c r="UQZ91" s="1757"/>
      <c r="URA91" s="1757"/>
      <c r="URB91" s="1757"/>
      <c r="URC91" s="1757"/>
      <c r="URD91" s="1757"/>
      <c r="URE91" s="1757"/>
      <c r="URF91" s="1757"/>
      <c r="URG91" s="1757"/>
      <c r="URH91" s="1757"/>
      <c r="URI91" s="1757"/>
      <c r="URJ91" s="1757"/>
      <c r="URK91" s="1757"/>
      <c r="URL91" s="1757"/>
      <c r="URM91" s="1757"/>
      <c r="URN91" s="1757"/>
      <c r="URO91" s="1757"/>
      <c r="URP91" s="1757"/>
      <c r="URQ91" s="1757"/>
      <c r="URR91" s="1757"/>
      <c r="URS91" s="1757"/>
      <c r="URT91" s="1757"/>
      <c r="URU91" s="1757"/>
      <c r="URV91" s="1757"/>
      <c r="URW91" s="1757"/>
      <c r="URX91" s="1757"/>
      <c r="URY91" s="1757"/>
      <c r="URZ91" s="1757"/>
      <c r="USA91" s="1757"/>
      <c r="USB91" s="1757"/>
      <c r="USC91" s="1757"/>
      <c r="USD91" s="1757"/>
      <c r="USE91" s="1757"/>
      <c r="USF91" s="1757"/>
      <c r="USG91" s="1757"/>
      <c r="USH91" s="1757"/>
      <c r="USI91" s="1757"/>
      <c r="USJ91" s="1757"/>
      <c r="USK91" s="1757"/>
      <c r="USL91" s="1757"/>
      <c r="USM91" s="1757"/>
      <c r="USN91" s="1757"/>
      <c r="USO91" s="1757"/>
      <c r="USP91" s="1757"/>
      <c r="USQ91" s="1757"/>
      <c r="USR91" s="1757"/>
      <c r="USS91" s="1757"/>
      <c r="UST91" s="1757"/>
      <c r="USU91" s="1757"/>
      <c r="USV91" s="1757"/>
      <c r="USW91" s="1757"/>
      <c r="USX91" s="1757"/>
      <c r="USY91" s="1757"/>
      <c r="USZ91" s="1757"/>
      <c r="UTA91" s="1757"/>
      <c r="UTB91" s="1757"/>
      <c r="UTC91" s="1757"/>
      <c r="UTD91" s="1757"/>
      <c r="UTE91" s="1757"/>
      <c r="UTF91" s="1757"/>
      <c r="UTG91" s="1757"/>
      <c r="UTH91" s="1757"/>
      <c r="UTI91" s="1757"/>
      <c r="UTJ91" s="1757"/>
      <c r="UTK91" s="1757"/>
      <c r="UTL91" s="1757"/>
      <c r="UTM91" s="1757"/>
      <c r="UTN91" s="1757"/>
      <c r="UTO91" s="1757"/>
      <c r="UTP91" s="1757"/>
      <c r="UTQ91" s="1757"/>
      <c r="UTR91" s="1757"/>
      <c r="UTS91" s="1757"/>
      <c r="UTT91" s="1757"/>
      <c r="UTU91" s="1757"/>
      <c r="UTV91" s="1757"/>
      <c r="UTW91" s="1757"/>
      <c r="UTX91" s="1757"/>
      <c r="UTY91" s="1757"/>
      <c r="UTZ91" s="1757"/>
      <c r="UUA91" s="1757"/>
      <c r="UUB91" s="1757"/>
      <c r="UUC91" s="1757"/>
      <c r="UUD91" s="1757"/>
      <c r="UUE91" s="1757"/>
      <c r="UUF91" s="1757"/>
      <c r="UUG91" s="1757"/>
      <c r="UUH91" s="1757"/>
      <c r="UUI91" s="1757"/>
      <c r="UUJ91" s="1757"/>
      <c r="UUK91" s="1757"/>
      <c r="UUL91" s="1757"/>
      <c r="UUM91" s="1757"/>
      <c r="UUN91" s="1757"/>
      <c r="UUO91" s="1757"/>
      <c r="UUP91" s="1757"/>
      <c r="UUQ91" s="1757"/>
      <c r="UUR91" s="1757"/>
      <c r="UUS91" s="1757"/>
      <c r="UUT91" s="1757"/>
      <c r="UUU91" s="1757"/>
      <c r="UUV91" s="1757"/>
      <c r="UUW91" s="1757"/>
      <c r="UUX91" s="1757"/>
      <c r="UUY91" s="1757"/>
      <c r="UUZ91" s="1757"/>
      <c r="UVA91" s="1757"/>
      <c r="UVB91" s="1757"/>
      <c r="UVC91" s="1757"/>
      <c r="UVD91" s="1757"/>
      <c r="UVE91" s="1757"/>
      <c r="UVF91" s="1757"/>
      <c r="UVG91" s="1757"/>
      <c r="UVH91" s="1757"/>
      <c r="UVI91" s="1757"/>
      <c r="UVJ91" s="1757"/>
      <c r="UVK91" s="1757"/>
      <c r="UVL91" s="1757"/>
      <c r="UVM91" s="1757"/>
      <c r="UVN91" s="1757"/>
      <c r="UVO91" s="1757"/>
      <c r="UVP91" s="1757"/>
      <c r="UVQ91" s="1757"/>
      <c r="UVR91" s="1757"/>
      <c r="UVS91" s="1757"/>
      <c r="UVT91" s="1757"/>
      <c r="UVU91" s="1757"/>
      <c r="UVV91" s="1757"/>
      <c r="UVW91" s="1757"/>
      <c r="UVX91" s="1757"/>
      <c r="UVY91" s="1757"/>
      <c r="UVZ91" s="1757"/>
      <c r="UWA91" s="1757"/>
      <c r="UWB91" s="1757"/>
      <c r="UWC91" s="1757"/>
      <c r="UWD91" s="1757"/>
      <c r="UWE91" s="1757"/>
      <c r="UWF91" s="1757"/>
      <c r="UWG91" s="1757"/>
      <c r="UWH91" s="1757"/>
      <c r="UWI91" s="1757"/>
      <c r="UWJ91" s="1757"/>
      <c r="UWK91" s="1757"/>
      <c r="UWL91" s="1757"/>
      <c r="UWM91" s="1757"/>
      <c r="UWN91" s="1757"/>
      <c r="UWO91" s="1757"/>
      <c r="UWP91" s="1757"/>
      <c r="UWQ91" s="1757"/>
      <c r="UWR91" s="1757"/>
      <c r="UWS91" s="1757"/>
      <c r="UWT91" s="1757"/>
      <c r="UWU91" s="1757"/>
      <c r="UWV91" s="1757"/>
      <c r="UWW91" s="1757"/>
      <c r="UWX91" s="1757"/>
      <c r="UWY91" s="1757"/>
      <c r="UWZ91" s="1757"/>
      <c r="UXA91" s="1757"/>
      <c r="UXB91" s="1757"/>
      <c r="UXC91" s="1757"/>
      <c r="UXD91" s="1757"/>
      <c r="UXE91" s="1757"/>
      <c r="UXF91" s="1757"/>
      <c r="UXG91" s="1757"/>
      <c r="UXH91" s="1757"/>
      <c r="UXI91" s="1757"/>
      <c r="UXJ91" s="1757"/>
      <c r="UXK91" s="1757"/>
      <c r="UXL91" s="1757"/>
      <c r="UXM91" s="1757"/>
      <c r="UXN91" s="1757"/>
      <c r="UXO91" s="1757"/>
      <c r="UXP91" s="1757"/>
      <c r="UXQ91" s="1757"/>
      <c r="UXR91" s="1757"/>
      <c r="UXS91" s="1757"/>
      <c r="UXT91" s="1757"/>
      <c r="UXU91" s="1757"/>
      <c r="UXV91" s="1757"/>
      <c r="UXW91" s="1757"/>
      <c r="UXX91" s="1757"/>
      <c r="UXY91" s="1757"/>
      <c r="UXZ91" s="1757"/>
      <c r="UYA91" s="1757"/>
      <c r="UYB91" s="1757"/>
      <c r="UYC91" s="1757"/>
      <c r="UYD91" s="1757"/>
      <c r="UYE91" s="1757"/>
      <c r="UYF91" s="1757"/>
      <c r="UYG91" s="1757"/>
      <c r="UYH91" s="1757"/>
      <c r="UYI91" s="1757"/>
      <c r="UYJ91" s="1757"/>
      <c r="UYK91" s="1757"/>
      <c r="UYL91" s="1757"/>
      <c r="UYM91" s="1757"/>
      <c r="UYN91" s="1757"/>
      <c r="UYO91" s="1757"/>
      <c r="UYP91" s="1757"/>
      <c r="UYQ91" s="1757"/>
      <c r="UYR91" s="1757"/>
      <c r="UYS91" s="1757"/>
      <c r="UYT91" s="1757"/>
      <c r="UYU91" s="1757"/>
      <c r="UYV91" s="1757"/>
      <c r="UYW91" s="1757"/>
      <c r="UYX91" s="1757"/>
      <c r="UYY91" s="1757"/>
      <c r="UYZ91" s="1757"/>
      <c r="UZA91" s="1757"/>
      <c r="UZB91" s="1757"/>
      <c r="UZC91" s="1757"/>
      <c r="UZD91" s="1757"/>
      <c r="UZE91" s="1757"/>
      <c r="UZF91" s="1757"/>
      <c r="UZG91" s="1757"/>
      <c r="UZH91" s="1757"/>
      <c r="UZI91" s="1757"/>
      <c r="UZJ91" s="1757"/>
      <c r="UZK91" s="1757"/>
      <c r="UZL91" s="1757"/>
      <c r="UZM91" s="1757"/>
      <c r="UZN91" s="1757"/>
      <c r="UZO91" s="1757"/>
      <c r="UZP91" s="1757"/>
      <c r="UZQ91" s="1757"/>
      <c r="UZR91" s="1757"/>
      <c r="UZS91" s="1757"/>
      <c r="UZT91" s="1757"/>
      <c r="UZU91" s="1757"/>
      <c r="UZV91" s="1757"/>
      <c r="UZW91" s="1757"/>
      <c r="UZX91" s="1757"/>
      <c r="UZY91" s="1757"/>
      <c r="UZZ91" s="1757"/>
      <c r="VAA91" s="1757"/>
      <c r="VAB91" s="1757"/>
      <c r="VAC91" s="1757"/>
      <c r="VAD91" s="1757"/>
      <c r="VAE91" s="1757"/>
      <c r="VAF91" s="1757"/>
      <c r="VAG91" s="1757"/>
      <c r="VAH91" s="1757"/>
      <c r="VAI91" s="1757"/>
      <c r="VAJ91" s="1757"/>
      <c r="VAK91" s="1757"/>
      <c r="VAL91" s="1757"/>
      <c r="VAM91" s="1757"/>
      <c r="VAN91" s="1757"/>
      <c r="VAO91" s="1757"/>
      <c r="VAP91" s="1757"/>
      <c r="VAQ91" s="1757"/>
      <c r="VAR91" s="1757"/>
      <c r="VAS91" s="1757"/>
      <c r="VAT91" s="1757"/>
      <c r="VAU91" s="1757"/>
      <c r="VAV91" s="1757"/>
      <c r="VAW91" s="1757"/>
      <c r="VAX91" s="1757"/>
      <c r="VAY91" s="1757"/>
      <c r="VAZ91" s="1757"/>
      <c r="VBA91" s="1757"/>
      <c r="VBB91" s="1757"/>
      <c r="VBC91" s="1757"/>
      <c r="VBD91" s="1757"/>
      <c r="VBE91" s="1757"/>
      <c r="VBF91" s="1757"/>
      <c r="VBG91" s="1757"/>
      <c r="VBH91" s="1757"/>
      <c r="VBI91" s="1757"/>
      <c r="VBJ91" s="1757"/>
      <c r="VBK91" s="1757"/>
      <c r="VBL91" s="1757"/>
      <c r="VBM91" s="1757"/>
      <c r="VBN91" s="1757"/>
      <c r="VBO91" s="1757"/>
      <c r="VBP91" s="1757"/>
      <c r="VBQ91" s="1757"/>
      <c r="VBR91" s="1757"/>
      <c r="VBS91" s="1757"/>
      <c r="VBT91" s="1757"/>
      <c r="VBU91" s="1757"/>
      <c r="VBV91" s="1757"/>
      <c r="VBW91" s="1757"/>
      <c r="VBX91" s="1757"/>
      <c r="VBY91" s="1757"/>
      <c r="VBZ91" s="1757"/>
      <c r="VCA91" s="1757"/>
      <c r="VCB91" s="1757"/>
      <c r="VCC91" s="1757"/>
      <c r="VCD91" s="1757"/>
      <c r="VCE91" s="1757"/>
      <c r="VCF91" s="1757"/>
      <c r="VCG91" s="1757"/>
      <c r="VCH91" s="1757"/>
      <c r="VCI91" s="1757"/>
      <c r="VCJ91" s="1757"/>
      <c r="VCK91" s="1757"/>
      <c r="VCL91" s="1757"/>
      <c r="VCM91" s="1757"/>
      <c r="VCN91" s="1757"/>
      <c r="VCO91" s="1757"/>
      <c r="VCP91" s="1757"/>
      <c r="VCQ91" s="1757"/>
      <c r="VCR91" s="1757"/>
      <c r="VCS91" s="1757"/>
      <c r="VCT91" s="1757"/>
      <c r="VCU91" s="1757"/>
      <c r="VCV91" s="1757"/>
      <c r="VCW91" s="1757"/>
      <c r="VCX91" s="1757"/>
      <c r="VCY91" s="1757"/>
      <c r="VCZ91" s="1757"/>
      <c r="VDA91" s="1757"/>
      <c r="VDB91" s="1757"/>
      <c r="VDC91" s="1757"/>
      <c r="VDD91" s="1757"/>
      <c r="VDE91" s="1757"/>
      <c r="VDF91" s="1757"/>
      <c r="VDG91" s="1757"/>
      <c r="VDH91" s="1757"/>
      <c r="VDI91" s="1757"/>
      <c r="VDJ91" s="1757"/>
      <c r="VDK91" s="1757"/>
      <c r="VDL91" s="1757"/>
      <c r="VDM91" s="1757"/>
      <c r="VDN91" s="1757"/>
      <c r="VDO91" s="1757"/>
      <c r="VDP91" s="1757"/>
      <c r="VDQ91" s="1757"/>
      <c r="VDR91" s="1757"/>
      <c r="VDS91" s="1757"/>
      <c r="VDT91" s="1757"/>
      <c r="VDU91" s="1757"/>
      <c r="VDV91" s="1757"/>
      <c r="VDW91" s="1757"/>
      <c r="VDX91" s="1757"/>
      <c r="VDY91" s="1757"/>
      <c r="VDZ91" s="1757"/>
      <c r="VEA91" s="1757"/>
      <c r="VEB91" s="1757"/>
      <c r="VEC91" s="1757"/>
      <c r="VED91" s="1757"/>
      <c r="VEE91" s="1757"/>
      <c r="VEF91" s="1757"/>
      <c r="VEG91" s="1757"/>
      <c r="VEH91" s="1757"/>
      <c r="VEI91" s="1757"/>
      <c r="VEJ91" s="1757"/>
      <c r="VEK91" s="1757"/>
      <c r="VEL91" s="1757"/>
      <c r="VEM91" s="1757"/>
      <c r="VEN91" s="1757"/>
      <c r="VEO91" s="1757"/>
      <c r="VEP91" s="1757"/>
      <c r="VEQ91" s="1757"/>
      <c r="VER91" s="1757"/>
      <c r="VES91" s="1757"/>
      <c r="VET91" s="1757"/>
      <c r="VEU91" s="1757"/>
      <c r="VEV91" s="1757"/>
      <c r="VEW91" s="1757"/>
      <c r="VEX91" s="1757"/>
      <c r="VEY91" s="1757"/>
      <c r="VEZ91" s="1757"/>
      <c r="VFA91" s="1757"/>
      <c r="VFB91" s="1757"/>
      <c r="VFC91" s="1757"/>
      <c r="VFD91" s="1757"/>
      <c r="VFE91" s="1757"/>
      <c r="VFF91" s="1757"/>
      <c r="VFG91" s="1757"/>
      <c r="VFH91" s="1757"/>
      <c r="VFI91" s="1757"/>
      <c r="VFJ91" s="1757"/>
      <c r="VFK91" s="1757"/>
      <c r="VFL91" s="1757"/>
      <c r="VFM91" s="1757"/>
      <c r="VFN91" s="1757"/>
      <c r="VFO91" s="1757"/>
      <c r="VFP91" s="1757"/>
      <c r="VFQ91" s="1757"/>
      <c r="VFR91" s="1757"/>
      <c r="VFS91" s="1757"/>
      <c r="VFT91" s="1757"/>
      <c r="VFU91" s="1757"/>
      <c r="VFV91" s="1757"/>
      <c r="VFW91" s="1757"/>
      <c r="VFX91" s="1757"/>
      <c r="VFY91" s="1757"/>
      <c r="VFZ91" s="1757"/>
      <c r="VGA91" s="1757"/>
      <c r="VGB91" s="1757"/>
      <c r="VGC91" s="1757"/>
      <c r="VGD91" s="1757"/>
      <c r="VGE91" s="1757"/>
      <c r="VGF91" s="1757"/>
      <c r="VGG91" s="1757"/>
      <c r="VGH91" s="1757"/>
      <c r="VGI91" s="1757"/>
      <c r="VGJ91" s="1757"/>
      <c r="VGK91" s="1757"/>
      <c r="VGL91" s="1757"/>
      <c r="VGM91" s="1757"/>
      <c r="VGN91" s="1757"/>
      <c r="VGO91" s="1757"/>
      <c r="VGP91" s="1757"/>
      <c r="VGQ91" s="1757"/>
      <c r="VGR91" s="1757"/>
      <c r="VGS91" s="1757"/>
      <c r="VGT91" s="1757"/>
      <c r="VGU91" s="1757"/>
      <c r="VGV91" s="1757"/>
      <c r="VGW91" s="1757"/>
      <c r="VGX91" s="1757"/>
      <c r="VGY91" s="1757"/>
      <c r="VGZ91" s="1757"/>
      <c r="VHA91" s="1757"/>
      <c r="VHB91" s="1757"/>
      <c r="VHC91" s="1757"/>
      <c r="VHD91" s="1757"/>
      <c r="VHE91" s="1757"/>
      <c r="VHF91" s="1757"/>
      <c r="VHG91" s="1757"/>
      <c r="VHH91" s="1757"/>
      <c r="VHI91" s="1757"/>
      <c r="VHJ91" s="1757"/>
      <c r="VHK91" s="1757"/>
      <c r="VHL91" s="1757"/>
      <c r="VHM91" s="1757"/>
      <c r="VHN91" s="1757"/>
      <c r="VHO91" s="1757"/>
      <c r="VHP91" s="1757"/>
      <c r="VHQ91" s="1757"/>
      <c r="VHR91" s="1757"/>
      <c r="VHS91" s="1757"/>
      <c r="VHT91" s="1757"/>
      <c r="VHU91" s="1757"/>
      <c r="VHV91" s="1757"/>
      <c r="VHW91" s="1757"/>
      <c r="VHX91" s="1757"/>
      <c r="VHY91" s="1757"/>
      <c r="VHZ91" s="1757"/>
      <c r="VIA91" s="1757"/>
      <c r="VIB91" s="1757"/>
      <c r="VIC91" s="1757"/>
      <c r="VID91" s="1757"/>
      <c r="VIE91" s="1757"/>
      <c r="VIF91" s="1757"/>
      <c r="VIG91" s="1757"/>
      <c r="VIH91" s="1757"/>
      <c r="VII91" s="1757"/>
      <c r="VIJ91" s="1757"/>
      <c r="VIK91" s="1757"/>
      <c r="VIL91" s="1757"/>
      <c r="VIM91" s="1757"/>
      <c r="VIN91" s="1757"/>
      <c r="VIO91" s="1757"/>
      <c r="VIP91" s="1757"/>
      <c r="VIQ91" s="1757"/>
      <c r="VIR91" s="1757"/>
      <c r="VIS91" s="1757"/>
      <c r="VIT91" s="1757"/>
      <c r="VIU91" s="1757"/>
      <c r="VIV91" s="1757"/>
      <c r="VIW91" s="1757"/>
      <c r="VIX91" s="1757"/>
      <c r="VIY91" s="1757"/>
      <c r="VIZ91" s="1757"/>
      <c r="VJA91" s="1757"/>
      <c r="VJB91" s="1757"/>
      <c r="VJC91" s="1757"/>
      <c r="VJD91" s="1757"/>
      <c r="VJE91" s="1757"/>
      <c r="VJF91" s="1757"/>
      <c r="VJG91" s="1757"/>
      <c r="VJH91" s="1757"/>
      <c r="VJI91" s="1757"/>
      <c r="VJJ91" s="1757"/>
      <c r="VJK91" s="1757"/>
      <c r="VJL91" s="1757"/>
      <c r="VJM91" s="1757"/>
      <c r="VJN91" s="1757"/>
      <c r="VJO91" s="1757"/>
      <c r="VJP91" s="1757"/>
      <c r="VJQ91" s="1757"/>
      <c r="VJR91" s="1757"/>
      <c r="VJS91" s="1757"/>
      <c r="VJT91" s="1757"/>
      <c r="VJU91" s="1757"/>
      <c r="VJV91" s="1757"/>
      <c r="VJW91" s="1757"/>
      <c r="VJX91" s="1757"/>
      <c r="VJY91" s="1757"/>
      <c r="VJZ91" s="1757"/>
      <c r="VKA91" s="1757"/>
      <c r="VKB91" s="1757"/>
      <c r="VKC91" s="1757"/>
      <c r="VKD91" s="1757"/>
      <c r="VKE91" s="1757"/>
      <c r="VKF91" s="1757"/>
      <c r="VKG91" s="1757"/>
      <c r="VKH91" s="1757"/>
      <c r="VKI91" s="1757"/>
      <c r="VKJ91" s="1757"/>
      <c r="VKK91" s="1757"/>
      <c r="VKL91" s="1757"/>
      <c r="VKM91" s="1757"/>
      <c r="VKN91" s="1757"/>
      <c r="VKO91" s="1757"/>
      <c r="VKP91" s="1757"/>
      <c r="VKQ91" s="1757"/>
      <c r="VKR91" s="1757"/>
      <c r="VKS91" s="1757"/>
      <c r="VKT91" s="1757"/>
      <c r="VKU91" s="1757"/>
      <c r="VKV91" s="1757"/>
      <c r="VKW91" s="1757"/>
      <c r="VKX91" s="1757"/>
      <c r="VKY91" s="1757"/>
      <c r="VKZ91" s="1757"/>
      <c r="VLA91" s="1757"/>
      <c r="VLB91" s="1757"/>
      <c r="VLC91" s="1757"/>
      <c r="VLD91" s="1757"/>
      <c r="VLE91" s="1757"/>
      <c r="VLF91" s="1757"/>
      <c r="VLG91" s="1757"/>
      <c r="VLH91" s="1757"/>
      <c r="VLI91" s="1757"/>
      <c r="VLJ91" s="1757"/>
      <c r="VLK91" s="1757"/>
      <c r="VLL91" s="1757"/>
      <c r="VLM91" s="1757"/>
      <c r="VLN91" s="1757"/>
      <c r="VLO91" s="1757"/>
      <c r="VLP91" s="1757"/>
      <c r="VLQ91" s="1757"/>
      <c r="VLR91" s="1757"/>
      <c r="VLS91" s="1757"/>
      <c r="VLT91" s="1757"/>
      <c r="VLU91" s="1757"/>
      <c r="VLV91" s="1757"/>
      <c r="VLW91" s="1757"/>
      <c r="VLX91" s="1757"/>
      <c r="VLY91" s="1757"/>
      <c r="VLZ91" s="1757"/>
      <c r="VMA91" s="1757"/>
      <c r="VMB91" s="1757"/>
      <c r="VMC91" s="1757"/>
      <c r="VMD91" s="1757"/>
      <c r="VME91" s="1757"/>
      <c r="VMF91" s="1757"/>
      <c r="VMG91" s="1757"/>
      <c r="VMH91" s="1757"/>
      <c r="VMI91" s="1757"/>
      <c r="VMJ91" s="1757"/>
      <c r="VMK91" s="1757"/>
      <c r="VML91" s="1757"/>
      <c r="VMM91" s="1757"/>
      <c r="VMN91" s="1757"/>
      <c r="VMO91" s="1757"/>
      <c r="VMP91" s="1757"/>
      <c r="VMQ91" s="1757"/>
      <c r="VMR91" s="1757"/>
      <c r="VMS91" s="1757"/>
      <c r="VMT91" s="1757"/>
      <c r="VMU91" s="1757"/>
      <c r="VMV91" s="1757"/>
      <c r="VMW91" s="1757"/>
      <c r="VMX91" s="1757"/>
      <c r="VMY91" s="1757"/>
      <c r="VMZ91" s="1757"/>
      <c r="VNA91" s="1757"/>
      <c r="VNB91" s="1757"/>
      <c r="VNC91" s="1757"/>
      <c r="VND91" s="1757"/>
      <c r="VNE91" s="1757"/>
      <c r="VNF91" s="1757"/>
      <c r="VNG91" s="1757"/>
      <c r="VNH91" s="1757"/>
      <c r="VNI91" s="1757"/>
      <c r="VNJ91" s="1757"/>
      <c r="VNK91" s="1757"/>
      <c r="VNL91" s="1757"/>
      <c r="VNM91" s="1757"/>
      <c r="VNN91" s="1757"/>
      <c r="VNO91" s="1757"/>
      <c r="VNP91" s="1757"/>
      <c r="VNQ91" s="1757"/>
      <c r="VNR91" s="1757"/>
      <c r="VNS91" s="1757"/>
      <c r="VNT91" s="1757"/>
      <c r="VNU91" s="1757"/>
      <c r="VNV91" s="1757"/>
      <c r="VNW91" s="1757"/>
      <c r="VNX91" s="1757"/>
      <c r="VNY91" s="1757"/>
      <c r="VNZ91" s="1757"/>
      <c r="VOA91" s="1757"/>
      <c r="VOB91" s="1757"/>
      <c r="VOC91" s="1757"/>
      <c r="VOD91" s="1757"/>
      <c r="VOE91" s="1757"/>
      <c r="VOF91" s="1757"/>
      <c r="VOG91" s="1757"/>
      <c r="VOH91" s="1757"/>
      <c r="VOI91" s="1757"/>
      <c r="VOJ91" s="1757"/>
      <c r="VOK91" s="1757"/>
      <c r="VOL91" s="1757"/>
      <c r="VOM91" s="1757"/>
      <c r="VON91" s="1757"/>
      <c r="VOO91" s="1757"/>
      <c r="VOP91" s="1757"/>
      <c r="VOQ91" s="1757"/>
      <c r="VOR91" s="1757"/>
      <c r="VOS91" s="1757"/>
      <c r="VOT91" s="1757"/>
      <c r="VOU91" s="1757"/>
      <c r="VOV91" s="1757"/>
      <c r="VOW91" s="1757"/>
      <c r="VOX91" s="1757"/>
      <c r="VOY91" s="1757"/>
      <c r="VOZ91" s="1757"/>
      <c r="VPA91" s="1757"/>
      <c r="VPB91" s="1757"/>
      <c r="VPC91" s="1757"/>
      <c r="VPD91" s="1757"/>
      <c r="VPE91" s="1757"/>
      <c r="VPF91" s="1757"/>
      <c r="VPG91" s="1757"/>
      <c r="VPH91" s="1757"/>
      <c r="VPI91" s="1757"/>
      <c r="VPJ91" s="1757"/>
      <c r="VPK91" s="1757"/>
      <c r="VPL91" s="1757"/>
      <c r="VPM91" s="1757"/>
      <c r="VPN91" s="1757"/>
      <c r="VPO91" s="1757"/>
      <c r="VPP91" s="1757"/>
      <c r="VPQ91" s="1757"/>
      <c r="VPR91" s="1757"/>
      <c r="VPS91" s="1757"/>
      <c r="VPT91" s="1757"/>
      <c r="VPU91" s="1757"/>
      <c r="VPV91" s="1757"/>
      <c r="VPW91" s="1757"/>
      <c r="VPX91" s="1757"/>
      <c r="VPY91" s="1757"/>
      <c r="VPZ91" s="1757"/>
      <c r="VQA91" s="1757"/>
      <c r="VQB91" s="1757"/>
      <c r="VQC91" s="1757"/>
      <c r="VQD91" s="1757"/>
      <c r="VQE91" s="1757"/>
      <c r="VQF91" s="1757"/>
      <c r="VQG91" s="1757"/>
      <c r="VQH91" s="1757"/>
      <c r="VQI91" s="1757"/>
      <c r="VQJ91" s="1757"/>
      <c r="VQK91" s="1757"/>
      <c r="VQL91" s="1757"/>
      <c r="VQM91" s="1757"/>
      <c r="VQN91" s="1757"/>
      <c r="VQO91" s="1757"/>
      <c r="VQP91" s="1757"/>
      <c r="VQQ91" s="1757"/>
      <c r="VQR91" s="1757"/>
      <c r="VQS91" s="1757"/>
      <c r="VQT91" s="1757"/>
      <c r="VQU91" s="1757"/>
      <c r="VQV91" s="1757"/>
      <c r="VQW91" s="1757"/>
      <c r="VQX91" s="1757"/>
      <c r="VQY91" s="1757"/>
      <c r="VQZ91" s="1757"/>
      <c r="VRA91" s="1757"/>
      <c r="VRB91" s="1757"/>
      <c r="VRC91" s="1757"/>
      <c r="VRD91" s="1757"/>
      <c r="VRE91" s="1757"/>
      <c r="VRF91" s="1757"/>
      <c r="VRG91" s="1757"/>
      <c r="VRH91" s="1757"/>
      <c r="VRI91" s="1757"/>
      <c r="VRJ91" s="1757"/>
      <c r="VRK91" s="1757"/>
      <c r="VRL91" s="1757"/>
      <c r="VRM91" s="1757"/>
      <c r="VRN91" s="1757"/>
      <c r="VRO91" s="1757"/>
      <c r="VRP91" s="1757"/>
      <c r="VRQ91" s="1757"/>
      <c r="VRR91" s="1757"/>
      <c r="VRS91" s="1757"/>
      <c r="VRT91" s="1757"/>
      <c r="VRU91" s="1757"/>
      <c r="VRV91" s="1757"/>
      <c r="VRW91" s="1757"/>
      <c r="VRX91" s="1757"/>
      <c r="VRY91" s="1757"/>
      <c r="VRZ91" s="1757"/>
      <c r="VSA91" s="1757"/>
      <c r="VSB91" s="1757"/>
      <c r="VSC91" s="1757"/>
      <c r="VSD91" s="1757"/>
      <c r="VSE91" s="1757"/>
      <c r="VSF91" s="1757"/>
      <c r="VSG91" s="1757"/>
      <c r="VSH91" s="1757"/>
      <c r="VSI91" s="1757"/>
      <c r="VSJ91" s="1757"/>
      <c r="VSK91" s="1757"/>
      <c r="VSL91" s="1757"/>
      <c r="VSM91" s="1757"/>
      <c r="VSN91" s="1757"/>
      <c r="VSO91" s="1757"/>
      <c r="VSP91" s="1757"/>
      <c r="VSQ91" s="1757"/>
      <c r="VSR91" s="1757"/>
      <c r="VSS91" s="1757"/>
      <c r="VST91" s="1757"/>
      <c r="VSU91" s="1757"/>
      <c r="VSV91" s="1757"/>
      <c r="VSW91" s="1757"/>
      <c r="VSX91" s="1757"/>
      <c r="VSY91" s="1757"/>
      <c r="VSZ91" s="1757"/>
      <c r="VTA91" s="1757"/>
      <c r="VTB91" s="1757"/>
      <c r="VTC91" s="1757"/>
      <c r="VTD91" s="1757"/>
      <c r="VTE91" s="1757"/>
      <c r="VTF91" s="1757"/>
      <c r="VTG91" s="1757"/>
      <c r="VTH91" s="1757"/>
      <c r="VTI91" s="1757"/>
      <c r="VTJ91" s="1757"/>
      <c r="VTK91" s="1757"/>
      <c r="VTL91" s="1757"/>
      <c r="VTM91" s="1757"/>
      <c r="VTN91" s="1757"/>
      <c r="VTO91" s="1757"/>
      <c r="VTP91" s="1757"/>
      <c r="VTQ91" s="1757"/>
      <c r="VTR91" s="1757"/>
      <c r="VTS91" s="1757"/>
      <c r="VTT91" s="1757"/>
      <c r="VTU91" s="1757"/>
      <c r="VTV91" s="1757"/>
      <c r="VTW91" s="1757"/>
      <c r="VTX91" s="1757"/>
      <c r="VTY91" s="1757"/>
      <c r="VTZ91" s="1757"/>
      <c r="VUA91" s="1757"/>
      <c r="VUB91" s="1757"/>
      <c r="VUC91" s="1757"/>
      <c r="VUD91" s="1757"/>
      <c r="VUE91" s="1757"/>
      <c r="VUF91" s="1757"/>
      <c r="VUG91" s="1757"/>
      <c r="VUH91" s="1757"/>
      <c r="VUI91" s="1757"/>
      <c r="VUJ91" s="1757"/>
      <c r="VUK91" s="1757"/>
      <c r="VUL91" s="1757"/>
      <c r="VUM91" s="1757"/>
      <c r="VUN91" s="1757"/>
      <c r="VUO91" s="1757"/>
      <c r="VUP91" s="1757"/>
      <c r="VUQ91" s="1757"/>
      <c r="VUR91" s="1757"/>
      <c r="VUS91" s="1757"/>
      <c r="VUT91" s="1757"/>
      <c r="VUU91" s="1757"/>
      <c r="VUV91" s="1757"/>
      <c r="VUW91" s="1757"/>
      <c r="VUX91" s="1757"/>
      <c r="VUY91" s="1757"/>
      <c r="VUZ91" s="1757"/>
      <c r="VVA91" s="1757"/>
      <c r="VVB91" s="1757"/>
      <c r="VVC91" s="1757"/>
      <c r="VVD91" s="1757"/>
      <c r="VVE91" s="1757"/>
      <c r="VVF91" s="1757"/>
      <c r="VVG91" s="1757"/>
      <c r="VVH91" s="1757"/>
      <c r="VVI91" s="1757"/>
      <c r="VVJ91" s="1757"/>
      <c r="VVK91" s="1757"/>
      <c r="VVL91" s="1757"/>
      <c r="VVM91" s="1757"/>
      <c r="VVN91" s="1757"/>
      <c r="VVO91" s="1757"/>
      <c r="VVP91" s="1757"/>
      <c r="VVQ91" s="1757"/>
      <c r="VVR91" s="1757"/>
      <c r="VVS91" s="1757"/>
      <c r="VVT91" s="1757"/>
      <c r="VVU91" s="1757"/>
      <c r="VVV91" s="1757"/>
      <c r="VVW91" s="1757"/>
      <c r="VVX91" s="1757"/>
      <c r="VVY91" s="1757"/>
      <c r="VVZ91" s="1757"/>
      <c r="VWA91" s="1757"/>
      <c r="VWB91" s="1757"/>
      <c r="VWC91" s="1757"/>
      <c r="VWD91" s="1757"/>
      <c r="VWE91" s="1757"/>
      <c r="VWF91" s="1757"/>
      <c r="VWG91" s="1757"/>
      <c r="VWH91" s="1757"/>
      <c r="VWI91" s="1757"/>
      <c r="VWJ91" s="1757"/>
      <c r="VWK91" s="1757"/>
      <c r="VWL91" s="1757"/>
      <c r="VWM91" s="1757"/>
      <c r="VWN91" s="1757"/>
      <c r="VWO91" s="1757"/>
      <c r="VWP91" s="1757"/>
      <c r="VWQ91" s="1757"/>
      <c r="VWR91" s="1757"/>
      <c r="VWS91" s="1757"/>
      <c r="VWT91" s="1757"/>
      <c r="VWU91" s="1757"/>
      <c r="VWV91" s="1757"/>
      <c r="VWW91" s="1757"/>
      <c r="VWX91" s="1757"/>
      <c r="VWY91" s="1757"/>
      <c r="VWZ91" s="1757"/>
      <c r="VXA91" s="1757"/>
      <c r="VXB91" s="1757"/>
      <c r="VXC91" s="1757"/>
      <c r="VXD91" s="1757"/>
      <c r="VXE91" s="1757"/>
      <c r="VXF91" s="1757"/>
      <c r="VXG91" s="1757"/>
      <c r="VXH91" s="1757"/>
      <c r="VXI91" s="1757"/>
      <c r="VXJ91" s="1757"/>
      <c r="VXK91" s="1757"/>
      <c r="VXL91" s="1757"/>
      <c r="VXM91" s="1757"/>
      <c r="VXN91" s="1757"/>
      <c r="VXO91" s="1757"/>
      <c r="VXP91" s="1757"/>
      <c r="VXQ91" s="1757"/>
      <c r="VXR91" s="1757"/>
      <c r="VXS91" s="1757"/>
      <c r="VXT91" s="1757"/>
      <c r="VXU91" s="1757"/>
      <c r="VXV91" s="1757"/>
      <c r="VXW91" s="1757"/>
      <c r="VXX91" s="1757"/>
      <c r="VXY91" s="1757"/>
      <c r="VXZ91" s="1757"/>
      <c r="VYA91" s="1757"/>
      <c r="VYB91" s="1757"/>
      <c r="VYC91" s="1757"/>
      <c r="VYD91" s="1757"/>
      <c r="VYE91" s="1757"/>
      <c r="VYF91" s="1757"/>
      <c r="VYG91" s="1757"/>
      <c r="VYH91" s="1757"/>
      <c r="VYI91" s="1757"/>
      <c r="VYJ91" s="1757"/>
      <c r="VYK91" s="1757"/>
      <c r="VYL91" s="1757"/>
      <c r="VYM91" s="1757"/>
      <c r="VYN91" s="1757"/>
      <c r="VYO91" s="1757"/>
      <c r="VYP91" s="1757"/>
      <c r="VYQ91" s="1757"/>
      <c r="VYR91" s="1757"/>
      <c r="VYS91" s="1757"/>
      <c r="VYT91" s="1757"/>
      <c r="VYU91" s="1757"/>
      <c r="VYV91" s="1757"/>
      <c r="VYW91" s="1757"/>
      <c r="VYX91" s="1757"/>
      <c r="VYY91" s="1757"/>
      <c r="VYZ91" s="1757"/>
      <c r="VZA91" s="1757"/>
      <c r="VZB91" s="1757"/>
      <c r="VZC91" s="1757"/>
      <c r="VZD91" s="1757"/>
      <c r="VZE91" s="1757"/>
      <c r="VZF91" s="1757"/>
      <c r="VZG91" s="1757"/>
      <c r="VZH91" s="1757"/>
      <c r="VZI91" s="1757"/>
      <c r="VZJ91" s="1757"/>
      <c r="VZK91" s="1757"/>
      <c r="VZL91" s="1757"/>
      <c r="VZM91" s="1757"/>
      <c r="VZN91" s="1757"/>
      <c r="VZO91" s="1757"/>
      <c r="VZP91" s="1757"/>
      <c r="VZQ91" s="1757"/>
      <c r="VZR91" s="1757"/>
      <c r="VZS91" s="1757"/>
      <c r="VZT91" s="1757"/>
      <c r="VZU91" s="1757"/>
      <c r="VZV91" s="1757"/>
      <c r="VZW91" s="1757"/>
      <c r="VZX91" s="1757"/>
      <c r="VZY91" s="1757"/>
      <c r="VZZ91" s="1757"/>
      <c r="WAA91" s="1757"/>
      <c r="WAB91" s="1757"/>
      <c r="WAC91" s="1757"/>
      <c r="WAD91" s="1757"/>
      <c r="WAE91" s="1757"/>
      <c r="WAF91" s="1757"/>
      <c r="WAG91" s="1757"/>
      <c r="WAH91" s="1757"/>
      <c r="WAI91" s="1757"/>
      <c r="WAJ91" s="1757"/>
      <c r="WAK91" s="1757"/>
      <c r="WAL91" s="1757"/>
      <c r="WAM91" s="1757"/>
      <c r="WAN91" s="1757"/>
      <c r="WAO91" s="1757"/>
      <c r="WAP91" s="1757"/>
      <c r="WAQ91" s="1757"/>
      <c r="WAR91" s="1757"/>
      <c r="WAS91" s="1757"/>
      <c r="WAT91" s="1757"/>
      <c r="WAU91" s="1757"/>
      <c r="WAV91" s="1757"/>
      <c r="WAW91" s="1757"/>
      <c r="WAX91" s="1757"/>
      <c r="WAY91" s="1757"/>
      <c r="WAZ91" s="1757"/>
      <c r="WBA91" s="1757"/>
      <c r="WBB91" s="1757"/>
      <c r="WBC91" s="1757"/>
      <c r="WBD91" s="1757"/>
      <c r="WBE91" s="1757"/>
      <c r="WBF91" s="1757"/>
      <c r="WBG91" s="1757"/>
      <c r="WBH91" s="1757"/>
      <c r="WBI91" s="1757"/>
      <c r="WBJ91" s="1757"/>
      <c r="WBK91" s="1757"/>
      <c r="WBL91" s="1757"/>
      <c r="WBM91" s="1757"/>
      <c r="WBN91" s="1757"/>
      <c r="WBO91" s="1757"/>
      <c r="WBP91" s="1757"/>
      <c r="WBQ91" s="1757"/>
      <c r="WBR91" s="1757"/>
      <c r="WBS91" s="1757"/>
      <c r="WBT91" s="1757"/>
      <c r="WBU91" s="1757"/>
      <c r="WBV91" s="1757"/>
      <c r="WBW91" s="1757"/>
      <c r="WBX91" s="1757"/>
      <c r="WBY91" s="1757"/>
      <c r="WBZ91" s="1757"/>
      <c r="WCA91" s="1757"/>
      <c r="WCB91" s="1757"/>
      <c r="WCC91" s="1757"/>
      <c r="WCD91" s="1757"/>
      <c r="WCE91" s="1757"/>
      <c r="WCF91" s="1757"/>
      <c r="WCG91" s="1757"/>
      <c r="WCH91" s="1757"/>
      <c r="WCI91" s="1757"/>
      <c r="WCJ91" s="1757"/>
      <c r="WCK91" s="1757"/>
      <c r="WCL91" s="1757"/>
      <c r="WCM91" s="1757"/>
      <c r="WCN91" s="1757"/>
      <c r="WCO91" s="1757"/>
      <c r="WCP91" s="1757"/>
      <c r="WCQ91" s="1757"/>
      <c r="WCR91" s="1757"/>
      <c r="WCS91" s="1757"/>
      <c r="WCT91" s="1757"/>
      <c r="WCU91" s="1757"/>
      <c r="WCV91" s="1757"/>
      <c r="WCW91" s="1757"/>
      <c r="WCX91" s="1757"/>
      <c r="WCY91" s="1757"/>
      <c r="WCZ91" s="1757"/>
      <c r="WDA91" s="1757"/>
      <c r="WDB91" s="1757"/>
      <c r="WDC91" s="1757"/>
      <c r="WDD91" s="1757"/>
      <c r="WDE91" s="1757"/>
      <c r="WDF91" s="1757"/>
      <c r="WDG91" s="1757"/>
      <c r="WDH91" s="1757"/>
      <c r="WDI91" s="1757"/>
      <c r="WDJ91" s="1757"/>
      <c r="WDK91" s="1757"/>
      <c r="WDL91" s="1757"/>
      <c r="WDM91" s="1757"/>
      <c r="WDN91" s="1757"/>
      <c r="WDO91" s="1757"/>
      <c r="WDP91" s="1757"/>
      <c r="WDQ91" s="1757"/>
      <c r="WDR91" s="1757"/>
      <c r="WDS91" s="1757"/>
      <c r="WDT91" s="1757"/>
      <c r="WDU91" s="1757"/>
      <c r="WDV91" s="1757"/>
      <c r="WDW91" s="1757"/>
      <c r="WDX91" s="1757"/>
      <c r="WDY91" s="1757"/>
      <c r="WDZ91" s="1757"/>
      <c r="WEA91" s="1757"/>
      <c r="WEB91" s="1757"/>
      <c r="WEC91" s="1757"/>
      <c r="WED91" s="1757"/>
      <c r="WEE91" s="1757"/>
      <c r="WEF91" s="1757"/>
      <c r="WEG91" s="1757"/>
      <c r="WEH91" s="1757"/>
      <c r="WEI91" s="1757"/>
      <c r="WEJ91" s="1757"/>
      <c r="WEK91" s="1757"/>
      <c r="WEL91" s="1757"/>
      <c r="WEM91" s="1757"/>
      <c r="WEN91" s="1757"/>
      <c r="WEO91" s="1757"/>
      <c r="WEP91" s="1757"/>
      <c r="WEQ91" s="1757"/>
      <c r="WER91" s="1757"/>
      <c r="WES91" s="1757"/>
      <c r="WET91" s="1757"/>
      <c r="WEU91" s="1757"/>
      <c r="WEV91" s="1757"/>
      <c r="WEW91" s="1757"/>
      <c r="WEX91" s="1757"/>
      <c r="WEY91" s="1757"/>
      <c r="WEZ91" s="1757"/>
      <c r="WFA91" s="1757"/>
      <c r="WFB91" s="1757"/>
      <c r="WFC91" s="1757"/>
      <c r="WFD91" s="1757"/>
      <c r="WFE91" s="1757"/>
      <c r="WFF91" s="1757"/>
      <c r="WFG91" s="1757"/>
      <c r="WFH91" s="1757"/>
      <c r="WFI91" s="1757"/>
      <c r="WFJ91" s="1757"/>
      <c r="WFK91" s="1757"/>
      <c r="WFL91" s="1757"/>
      <c r="WFM91" s="1757"/>
      <c r="WFN91" s="1757"/>
      <c r="WFO91" s="1757"/>
      <c r="WFP91" s="1757"/>
      <c r="WFQ91" s="1757"/>
      <c r="WFR91" s="1757"/>
      <c r="WFS91" s="1757"/>
      <c r="WFT91" s="1757"/>
      <c r="WFU91" s="1757"/>
      <c r="WFV91" s="1757"/>
      <c r="WFW91" s="1757"/>
      <c r="WFX91" s="1757"/>
      <c r="WFY91" s="1757"/>
      <c r="WFZ91" s="1757"/>
      <c r="WGA91" s="1757"/>
      <c r="WGB91" s="1757"/>
      <c r="WGC91" s="1757"/>
      <c r="WGD91" s="1757"/>
      <c r="WGE91" s="1757"/>
      <c r="WGF91" s="1757"/>
      <c r="WGG91" s="1757"/>
      <c r="WGH91" s="1757"/>
      <c r="WGI91" s="1757"/>
      <c r="WGJ91" s="1757"/>
      <c r="WGK91" s="1757"/>
      <c r="WGL91" s="1757"/>
      <c r="WGM91" s="1757"/>
      <c r="WGN91" s="1757"/>
      <c r="WGO91" s="1757"/>
      <c r="WGP91" s="1757"/>
      <c r="WGQ91" s="1757"/>
      <c r="WGR91" s="1757"/>
      <c r="WGS91" s="1757"/>
      <c r="WGT91" s="1757"/>
      <c r="WGU91" s="1757"/>
      <c r="WGV91" s="1757"/>
      <c r="WGW91" s="1757"/>
      <c r="WGX91" s="1757"/>
      <c r="WGY91" s="1757"/>
      <c r="WGZ91" s="1757"/>
      <c r="WHA91" s="1757"/>
      <c r="WHB91" s="1757"/>
      <c r="WHC91" s="1757"/>
      <c r="WHD91" s="1757"/>
      <c r="WHE91" s="1757"/>
      <c r="WHF91" s="1757"/>
      <c r="WHG91" s="1757"/>
      <c r="WHH91" s="1757"/>
      <c r="WHI91" s="1757"/>
      <c r="WHJ91" s="1757"/>
      <c r="WHK91" s="1757"/>
      <c r="WHL91" s="1757"/>
      <c r="WHM91" s="1757"/>
      <c r="WHN91" s="1757"/>
      <c r="WHO91" s="1757"/>
      <c r="WHP91" s="1757"/>
      <c r="WHQ91" s="1757"/>
      <c r="WHR91" s="1757"/>
      <c r="WHS91" s="1757"/>
      <c r="WHT91" s="1757"/>
      <c r="WHU91" s="1757"/>
      <c r="WHV91" s="1757"/>
      <c r="WHW91" s="1757"/>
      <c r="WHX91" s="1757"/>
      <c r="WHY91" s="1757"/>
      <c r="WHZ91" s="1757"/>
      <c r="WIA91" s="1757"/>
      <c r="WIB91" s="1757"/>
      <c r="WIC91" s="1757"/>
      <c r="WID91" s="1757"/>
      <c r="WIE91" s="1757"/>
      <c r="WIF91" s="1757"/>
      <c r="WIG91" s="1757"/>
      <c r="WIH91" s="1757"/>
      <c r="WII91" s="1757"/>
      <c r="WIJ91" s="1757"/>
      <c r="WIK91" s="1757"/>
      <c r="WIL91" s="1757"/>
      <c r="WIM91" s="1757"/>
      <c r="WIN91" s="1757"/>
      <c r="WIO91" s="1757"/>
      <c r="WIP91" s="1757"/>
      <c r="WIQ91" s="1757"/>
      <c r="WIR91" s="1757"/>
      <c r="WIS91" s="1757"/>
      <c r="WIT91" s="1757"/>
      <c r="WIU91" s="1757"/>
      <c r="WIV91" s="1757"/>
      <c r="WIW91" s="1757"/>
      <c r="WIX91" s="1757"/>
      <c r="WIY91" s="1757"/>
      <c r="WIZ91" s="1757"/>
      <c r="WJA91" s="1757"/>
      <c r="WJB91" s="1757"/>
      <c r="WJC91" s="1757"/>
      <c r="WJD91" s="1757"/>
      <c r="WJE91" s="1757"/>
      <c r="WJF91" s="1757"/>
      <c r="WJG91" s="1757"/>
      <c r="WJH91" s="1757"/>
      <c r="WJI91" s="1757"/>
      <c r="WJJ91" s="1757"/>
      <c r="WJK91" s="1757"/>
      <c r="WJL91" s="1757"/>
      <c r="WJM91" s="1757"/>
      <c r="WJN91" s="1757"/>
      <c r="WJO91" s="1757"/>
      <c r="WJP91" s="1757"/>
      <c r="WJQ91" s="1757"/>
      <c r="WJR91" s="1757"/>
      <c r="WJS91" s="1757"/>
      <c r="WJT91" s="1757"/>
      <c r="WJU91" s="1757"/>
      <c r="WJV91" s="1757"/>
      <c r="WJW91" s="1757"/>
      <c r="WJX91" s="1757"/>
      <c r="WJY91" s="1757"/>
      <c r="WJZ91" s="1757"/>
      <c r="WKA91" s="1757"/>
      <c r="WKB91" s="1757"/>
      <c r="WKC91" s="1757"/>
      <c r="WKD91" s="1757"/>
      <c r="WKE91" s="1757"/>
      <c r="WKF91" s="1757"/>
      <c r="WKG91" s="1757"/>
      <c r="WKH91" s="1757"/>
      <c r="WKI91" s="1757"/>
      <c r="WKJ91" s="1757"/>
      <c r="WKK91" s="1757"/>
      <c r="WKL91" s="1757"/>
      <c r="WKM91" s="1757"/>
      <c r="WKN91" s="1757"/>
      <c r="WKO91" s="1757"/>
      <c r="WKP91" s="1757"/>
      <c r="WKQ91" s="1757"/>
      <c r="WKR91" s="1757"/>
      <c r="WKS91" s="1757"/>
      <c r="WKT91" s="1757"/>
      <c r="WKU91" s="1757"/>
      <c r="WKV91" s="1757"/>
      <c r="WKW91" s="1757"/>
      <c r="WKX91" s="1757"/>
      <c r="WKY91" s="1757"/>
      <c r="WKZ91" s="1757"/>
      <c r="WLA91" s="1757"/>
      <c r="WLB91" s="1757"/>
      <c r="WLC91" s="1757"/>
      <c r="WLD91" s="1757"/>
      <c r="WLE91" s="1757"/>
      <c r="WLF91" s="1757"/>
      <c r="WLG91" s="1757"/>
      <c r="WLH91" s="1757"/>
      <c r="WLI91" s="1757"/>
      <c r="WLJ91" s="1757"/>
      <c r="WLK91" s="1757"/>
      <c r="WLL91" s="1757"/>
      <c r="WLM91" s="1757"/>
      <c r="WLN91" s="1757"/>
      <c r="WLO91" s="1757"/>
      <c r="WLP91" s="1757"/>
      <c r="WLQ91" s="1757"/>
      <c r="WLR91" s="1757"/>
      <c r="WLS91" s="1757"/>
      <c r="WLT91" s="1757"/>
      <c r="WLU91" s="1757"/>
      <c r="WLV91" s="1757"/>
      <c r="WLW91" s="1757"/>
      <c r="WLX91" s="1757"/>
      <c r="WLY91" s="1757"/>
      <c r="WLZ91" s="1757"/>
      <c r="WMA91" s="1757"/>
      <c r="WMB91" s="1757"/>
      <c r="WMC91" s="1757"/>
      <c r="WMD91" s="1757"/>
      <c r="WME91" s="1757"/>
      <c r="WMF91" s="1757"/>
      <c r="WMG91" s="1757"/>
      <c r="WMH91" s="1757"/>
      <c r="WMI91" s="1757"/>
      <c r="WMJ91" s="1757"/>
      <c r="WMK91" s="1757"/>
      <c r="WML91" s="1757"/>
      <c r="WMM91" s="1757"/>
      <c r="WMN91" s="1757"/>
      <c r="WMO91" s="1757"/>
      <c r="WMP91" s="1757"/>
      <c r="WMQ91" s="1757"/>
      <c r="WMR91" s="1757"/>
      <c r="WMS91" s="1757"/>
      <c r="WMT91" s="1757"/>
      <c r="WMU91" s="1757"/>
      <c r="WMV91" s="1757"/>
      <c r="WMW91" s="1757"/>
      <c r="WMX91" s="1757"/>
      <c r="WMY91" s="1757"/>
      <c r="WMZ91" s="1757"/>
      <c r="WNA91" s="1757"/>
      <c r="WNB91" s="1757"/>
      <c r="WNC91" s="1757"/>
      <c r="WND91" s="1757"/>
      <c r="WNE91" s="1757"/>
      <c r="WNF91" s="1757"/>
      <c r="WNG91" s="1757"/>
      <c r="WNH91" s="1757"/>
      <c r="WNI91" s="1757"/>
      <c r="WNJ91" s="1757"/>
      <c r="WNK91" s="1757"/>
      <c r="WNL91" s="1757"/>
      <c r="WNM91" s="1757"/>
      <c r="WNN91" s="1757"/>
      <c r="WNO91" s="1757"/>
      <c r="WNP91" s="1757"/>
      <c r="WNQ91" s="1757"/>
      <c r="WNR91" s="1757"/>
      <c r="WNS91" s="1757"/>
      <c r="WNT91" s="1757"/>
      <c r="WNU91" s="1757"/>
      <c r="WNV91" s="1757"/>
      <c r="WNW91" s="1757"/>
      <c r="WNX91" s="1757"/>
      <c r="WNY91" s="1757"/>
      <c r="WNZ91" s="1757"/>
      <c r="WOA91" s="1757"/>
      <c r="WOB91" s="1757"/>
      <c r="WOC91" s="1757"/>
      <c r="WOD91" s="1757"/>
      <c r="WOE91" s="1757"/>
      <c r="WOF91" s="1757"/>
      <c r="WOG91" s="1757"/>
      <c r="WOH91" s="1757"/>
      <c r="WOI91" s="1757"/>
      <c r="WOJ91" s="1757"/>
      <c r="WOK91" s="1757"/>
      <c r="WOL91" s="1757"/>
      <c r="WOM91" s="1757"/>
      <c r="WON91" s="1757"/>
      <c r="WOO91" s="1757"/>
      <c r="WOP91" s="1757"/>
      <c r="WOQ91" s="1757"/>
      <c r="WOR91" s="1757"/>
      <c r="WOS91" s="1757"/>
      <c r="WOT91" s="1757"/>
      <c r="WOU91" s="1757"/>
      <c r="WOV91" s="1757"/>
      <c r="WOW91" s="1757"/>
      <c r="WOX91" s="1757"/>
      <c r="WOY91" s="1757"/>
      <c r="WOZ91" s="1757"/>
      <c r="WPA91" s="1757"/>
      <c r="WPB91" s="1757"/>
      <c r="WPC91" s="1757"/>
      <c r="WPD91" s="1757"/>
      <c r="WPE91" s="1757"/>
      <c r="WPF91" s="1757"/>
      <c r="WPG91" s="1757"/>
      <c r="WPH91" s="1757"/>
      <c r="WPI91" s="1757"/>
      <c r="WPJ91" s="1757"/>
      <c r="WPK91" s="1757"/>
      <c r="WPL91" s="1757"/>
      <c r="WPM91" s="1757"/>
      <c r="WPN91" s="1757"/>
      <c r="WPO91" s="1757"/>
      <c r="WPP91" s="1757"/>
      <c r="WPQ91" s="1757"/>
      <c r="WPR91" s="1757"/>
      <c r="WPS91" s="1757"/>
      <c r="WPT91" s="1757"/>
      <c r="WPU91" s="1757"/>
      <c r="WPV91" s="1757"/>
      <c r="WPW91" s="1757"/>
      <c r="WPX91" s="1757"/>
      <c r="WPY91" s="1757"/>
      <c r="WPZ91" s="1757"/>
      <c r="WQA91" s="1757"/>
      <c r="WQB91" s="1757"/>
      <c r="WQC91" s="1757"/>
      <c r="WQD91" s="1757"/>
      <c r="WQE91" s="1757"/>
      <c r="WQF91" s="1757"/>
      <c r="WQG91" s="1757"/>
      <c r="WQH91" s="1757"/>
      <c r="WQI91" s="1757"/>
      <c r="WQJ91" s="1757"/>
      <c r="WQK91" s="1757"/>
      <c r="WQL91" s="1757"/>
      <c r="WQM91" s="1757"/>
      <c r="WQN91" s="1757"/>
      <c r="WQO91" s="1757"/>
      <c r="WQP91" s="1757"/>
      <c r="WQQ91" s="1757"/>
      <c r="WQR91" s="1757"/>
      <c r="WQS91" s="1757"/>
      <c r="WQT91" s="1757"/>
      <c r="WQU91" s="1757"/>
      <c r="WQV91" s="1757"/>
      <c r="WQW91" s="1757"/>
      <c r="WQX91" s="1757"/>
      <c r="WQY91" s="1757"/>
      <c r="WQZ91" s="1757"/>
      <c r="WRA91" s="1757"/>
      <c r="WRB91" s="1757"/>
      <c r="WRC91" s="1757"/>
      <c r="WRD91" s="1757"/>
      <c r="WRE91" s="1757"/>
      <c r="WRF91" s="1757"/>
      <c r="WRG91" s="1757"/>
      <c r="WRH91" s="1757"/>
      <c r="WRI91" s="1757"/>
      <c r="WRJ91" s="1757"/>
      <c r="WRK91" s="1757"/>
      <c r="WRL91" s="1757"/>
      <c r="WRM91" s="1757"/>
      <c r="WRN91" s="1757"/>
      <c r="WRO91" s="1757"/>
      <c r="WRP91" s="1757"/>
      <c r="WRQ91" s="1757"/>
      <c r="WRR91" s="1757"/>
      <c r="WRS91" s="1757"/>
      <c r="WRT91" s="1757"/>
      <c r="WRU91" s="1757"/>
      <c r="WRV91" s="1757"/>
      <c r="WRW91" s="1757"/>
      <c r="WRX91" s="1757"/>
      <c r="WRY91" s="1757"/>
      <c r="WRZ91" s="1757"/>
      <c r="WSA91" s="1757"/>
      <c r="WSB91" s="1757"/>
      <c r="WSC91" s="1757"/>
      <c r="WSD91" s="1757"/>
      <c r="WSE91" s="1757"/>
      <c r="WSF91" s="1757"/>
      <c r="WSG91" s="1757"/>
      <c r="WSH91" s="1757"/>
      <c r="WSI91" s="1757"/>
      <c r="WSJ91" s="1757"/>
      <c r="WSK91" s="1757"/>
      <c r="WSL91" s="1757"/>
      <c r="WSM91" s="1757"/>
      <c r="WSN91" s="1757"/>
      <c r="WSO91" s="1757"/>
      <c r="WSP91" s="1757"/>
      <c r="WSQ91" s="1757"/>
      <c r="WSR91" s="1757"/>
      <c r="WSS91" s="1757"/>
      <c r="WST91" s="1757"/>
      <c r="WSU91" s="1757"/>
      <c r="WSV91" s="1757"/>
      <c r="WSW91" s="1757"/>
      <c r="WSX91" s="1757"/>
      <c r="WSY91" s="1757"/>
      <c r="WSZ91" s="1757"/>
      <c r="WTA91" s="1757"/>
      <c r="WTB91" s="1757"/>
      <c r="WTC91" s="1757"/>
      <c r="WTD91" s="1757"/>
      <c r="WTE91" s="1757"/>
      <c r="WTF91" s="1757"/>
      <c r="WTG91" s="1757"/>
      <c r="WTH91" s="1757"/>
      <c r="WTI91" s="1757"/>
      <c r="WTJ91" s="1757"/>
      <c r="WTK91" s="1757"/>
      <c r="WTL91" s="1757"/>
      <c r="WTM91" s="1757"/>
      <c r="WTN91" s="1757"/>
      <c r="WTO91" s="1757"/>
      <c r="WTP91" s="1757"/>
      <c r="WTQ91" s="1757"/>
      <c r="WTR91" s="1757"/>
      <c r="WTS91" s="1757"/>
      <c r="WTT91" s="1757"/>
      <c r="WTU91" s="1757"/>
      <c r="WTV91" s="1757"/>
      <c r="WTW91" s="1757"/>
      <c r="WTX91" s="1757"/>
      <c r="WTY91" s="1757"/>
      <c r="WTZ91" s="1757"/>
      <c r="WUA91" s="1757"/>
      <c r="WUB91" s="1757"/>
      <c r="WUC91" s="1757"/>
      <c r="WUD91" s="1757"/>
      <c r="WUE91" s="1757"/>
      <c r="WUF91" s="1757"/>
      <c r="WUG91" s="1757"/>
      <c r="WUH91" s="1757"/>
      <c r="WUI91" s="1757"/>
      <c r="WUJ91" s="1757"/>
      <c r="WUK91" s="1757"/>
      <c r="WUL91" s="1757"/>
      <c r="WUM91" s="1757"/>
      <c r="WUN91" s="1757"/>
      <c r="WUO91" s="1757"/>
      <c r="WUP91" s="1757"/>
      <c r="WUQ91" s="1757"/>
      <c r="WUR91" s="1757"/>
      <c r="WUS91" s="1757"/>
      <c r="WUT91" s="1757"/>
      <c r="WUU91" s="1757"/>
      <c r="WUV91" s="1757"/>
      <c r="WUW91" s="1757"/>
      <c r="WUX91" s="1757"/>
      <c r="WUY91" s="1757"/>
      <c r="WUZ91" s="1757"/>
      <c r="WVA91" s="1757"/>
      <c r="WVB91" s="1757"/>
      <c r="WVC91" s="1757"/>
      <c r="WVD91" s="1757"/>
      <c r="WVE91" s="1757"/>
      <c r="WVF91" s="1757"/>
      <c r="WVG91" s="1757"/>
      <c r="WVH91" s="1757"/>
      <c r="WVI91" s="1757"/>
      <c r="WVJ91" s="1757"/>
      <c r="WVK91" s="1757"/>
      <c r="WVL91" s="1757"/>
      <c r="WVM91" s="1757"/>
      <c r="WVN91" s="1757"/>
      <c r="WVO91" s="1757"/>
      <c r="WVP91" s="1757"/>
      <c r="WVQ91" s="1757"/>
      <c r="WVR91" s="1757"/>
      <c r="WVS91" s="1757"/>
      <c r="WVT91" s="1757"/>
      <c r="WVU91" s="1757"/>
      <c r="WVV91" s="1757"/>
      <c r="WVW91" s="1757"/>
      <c r="WVX91" s="1757"/>
      <c r="WVY91" s="1757"/>
      <c r="WVZ91" s="1757"/>
      <c r="WWA91" s="1757"/>
      <c r="WWB91" s="1757"/>
      <c r="WWC91" s="1757"/>
      <c r="WWD91" s="1757"/>
      <c r="WWE91" s="1757"/>
      <c r="WWF91" s="1757"/>
      <c r="WWG91" s="1757"/>
      <c r="WWH91" s="1757"/>
      <c r="WWI91" s="1757"/>
      <c r="WWJ91" s="1757"/>
      <c r="WWK91" s="1757"/>
      <c r="WWL91" s="1757"/>
      <c r="WWM91" s="1757"/>
      <c r="WWN91" s="1757"/>
      <c r="WWO91" s="1757"/>
      <c r="WWP91" s="1757"/>
      <c r="WWQ91" s="1757"/>
      <c r="WWR91" s="1757"/>
      <c r="WWS91" s="1757"/>
      <c r="WWT91" s="1757"/>
      <c r="WWU91" s="1757"/>
      <c r="WWV91" s="1757"/>
      <c r="WWW91" s="1757"/>
      <c r="WWX91" s="1757"/>
      <c r="WWY91" s="1757"/>
      <c r="WWZ91" s="1757"/>
      <c r="WXA91" s="1757"/>
      <c r="WXB91" s="1757"/>
      <c r="WXC91" s="1757"/>
      <c r="WXD91" s="1757"/>
      <c r="WXE91" s="1757"/>
      <c r="WXF91" s="1757"/>
      <c r="WXG91" s="1757"/>
      <c r="WXH91" s="1757"/>
      <c r="WXI91" s="1757"/>
      <c r="WXJ91" s="1757"/>
      <c r="WXK91" s="1757"/>
      <c r="WXL91" s="1757"/>
      <c r="WXM91" s="1757"/>
      <c r="WXN91" s="1757"/>
      <c r="WXO91" s="1757"/>
      <c r="WXP91" s="1757"/>
      <c r="WXQ91" s="1757"/>
      <c r="WXR91" s="1757"/>
      <c r="WXS91" s="1757"/>
      <c r="WXT91" s="1757"/>
      <c r="WXU91" s="1757"/>
      <c r="WXV91" s="1757"/>
      <c r="WXW91" s="1757"/>
      <c r="WXX91" s="1757"/>
      <c r="WXY91" s="1757"/>
      <c r="WXZ91" s="1757"/>
      <c r="WYA91" s="1757"/>
      <c r="WYB91" s="1757"/>
      <c r="WYC91" s="1757"/>
      <c r="WYD91" s="1757"/>
      <c r="WYE91" s="1757"/>
      <c r="WYF91" s="1757"/>
      <c r="WYG91" s="1757"/>
      <c r="WYH91" s="1757"/>
      <c r="WYI91" s="1757"/>
      <c r="WYJ91" s="1757"/>
      <c r="WYK91" s="1757"/>
      <c r="WYL91" s="1757"/>
      <c r="WYM91" s="1757"/>
      <c r="WYN91" s="1757"/>
      <c r="WYO91" s="1757"/>
      <c r="WYP91" s="1757"/>
      <c r="WYQ91" s="1757"/>
      <c r="WYR91" s="1757"/>
      <c r="WYS91" s="1757"/>
      <c r="WYT91" s="1757"/>
      <c r="WYU91" s="1757"/>
      <c r="WYV91" s="1757"/>
      <c r="WYW91" s="1757"/>
      <c r="WYX91" s="1757"/>
      <c r="WYY91" s="1757"/>
      <c r="WYZ91" s="1757"/>
      <c r="WZA91" s="1757"/>
      <c r="WZB91" s="1757"/>
      <c r="WZC91" s="1757"/>
      <c r="WZD91" s="1757"/>
      <c r="WZE91" s="1757"/>
      <c r="WZF91" s="1757"/>
      <c r="WZG91" s="1757"/>
      <c r="WZH91" s="1757"/>
      <c r="WZI91" s="1757"/>
      <c r="WZJ91" s="1757"/>
      <c r="WZK91" s="1757"/>
      <c r="WZL91" s="1757"/>
      <c r="WZM91" s="1757"/>
      <c r="WZN91" s="1757"/>
      <c r="WZO91" s="1757"/>
      <c r="WZP91" s="1757"/>
      <c r="WZQ91" s="1757"/>
      <c r="WZR91" s="1757"/>
      <c r="WZS91" s="1757"/>
      <c r="WZT91" s="1757"/>
      <c r="WZU91" s="1757"/>
      <c r="WZV91" s="1757"/>
      <c r="WZW91" s="1757"/>
      <c r="WZX91" s="1757"/>
      <c r="WZY91" s="1757"/>
      <c r="WZZ91" s="1757"/>
      <c r="XAA91" s="1757"/>
      <c r="XAB91" s="1757"/>
      <c r="XAC91" s="1757"/>
      <c r="XAD91" s="1757"/>
      <c r="XAE91" s="1757"/>
      <c r="XAF91" s="1757"/>
      <c r="XAG91" s="1757"/>
      <c r="XAH91" s="1757"/>
      <c r="XAI91" s="1757"/>
      <c r="XAJ91" s="1757"/>
      <c r="XAK91" s="1757"/>
      <c r="XAL91" s="1757"/>
      <c r="XAM91" s="1757"/>
      <c r="XAN91" s="1757"/>
      <c r="XAO91" s="1757"/>
      <c r="XAP91" s="1757"/>
      <c r="XAQ91" s="1757"/>
      <c r="XAR91" s="1757"/>
      <c r="XAS91" s="1757"/>
      <c r="XAT91" s="1757"/>
      <c r="XAU91" s="1757"/>
      <c r="XAV91" s="1757"/>
      <c r="XAW91" s="1757"/>
      <c r="XAX91" s="1757"/>
      <c r="XAY91" s="1757"/>
      <c r="XAZ91" s="1757"/>
      <c r="XBA91" s="1757"/>
      <c r="XBB91" s="1757"/>
      <c r="XBC91" s="1757"/>
      <c r="XBD91" s="1757"/>
      <c r="XBE91" s="1757"/>
      <c r="XBF91" s="1757"/>
      <c r="XBG91" s="1757"/>
      <c r="XBH91" s="1757"/>
      <c r="XBI91" s="1757"/>
      <c r="XBJ91" s="1757"/>
      <c r="XBK91" s="1757"/>
      <c r="XBL91" s="1757"/>
      <c r="XBM91" s="1757"/>
      <c r="XBN91" s="1757"/>
      <c r="XBO91" s="1757"/>
      <c r="XBP91" s="1757"/>
      <c r="XBQ91" s="1757"/>
      <c r="XBR91" s="1757"/>
      <c r="XBS91" s="1757"/>
      <c r="XBT91" s="1757"/>
      <c r="XBU91" s="1757"/>
      <c r="XBV91" s="1757"/>
      <c r="XBW91" s="1757"/>
      <c r="XBX91" s="1757"/>
      <c r="XBY91" s="1757"/>
      <c r="XBZ91" s="1757"/>
      <c r="XCA91" s="1757"/>
      <c r="XCB91" s="1757"/>
      <c r="XCC91" s="1757"/>
      <c r="XCD91" s="1757"/>
      <c r="XCE91" s="1757"/>
      <c r="XCF91" s="1757"/>
      <c r="XCG91" s="1757"/>
      <c r="XCH91" s="1757"/>
      <c r="XCI91" s="1757"/>
      <c r="XCJ91" s="1757"/>
      <c r="XCK91" s="1757"/>
      <c r="XCL91" s="1757"/>
      <c r="XCM91" s="1757"/>
      <c r="XCN91" s="1757"/>
      <c r="XCO91" s="1757"/>
      <c r="XCP91" s="1757"/>
      <c r="XCQ91" s="1757"/>
      <c r="XCR91" s="1757"/>
      <c r="XCS91" s="1757"/>
      <c r="XCT91" s="1757"/>
      <c r="XCU91" s="1757"/>
      <c r="XCV91" s="1757"/>
      <c r="XCW91" s="1757"/>
      <c r="XCX91" s="1757"/>
      <c r="XCY91" s="1757"/>
      <c r="XCZ91" s="1757"/>
      <c r="XDA91" s="1757"/>
      <c r="XDB91" s="1757"/>
      <c r="XDC91" s="1757"/>
      <c r="XDD91" s="1757"/>
      <c r="XDE91" s="1757"/>
      <c r="XDF91" s="1757"/>
      <c r="XDG91" s="1757"/>
      <c r="XDH91" s="1757"/>
      <c r="XDI91" s="1757"/>
      <c r="XDJ91" s="1757"/>
      <c r="XDK91" s="1757"/>
      <c r="XDL91" s="1757"/>
      <c r="XDM91" s="1757"/>
      <c r="XDN91" s="1757"/>
      <c r="XDO91" s="1757"/>
      <c r="XDP91" s="1757"/>
      <c r="XDQ91" s="1757"/>
      <c r="XDR91" s="1757"/>
      <c r="XDS91" s="1757"/>
      <c r="XDT91" s="1757"/>
      <c r="XDU91" s="1757"/>
      <c r="XDV91" s="1757"/>
      <c r="XDW91" s="1757"/>
      <c r="XDX91" s="1757"/>
      <c r="XDY91" s="1757"/>
      <c r="XDZ91" s="1757"/>
      <c r="XEA91" s="1757"/>
      <c r="XEB91" s="1757"/>
      <c r="XEC91" s="1757"/>
      <c r="XED91" s="1757"/>
      <c r="XEE91" s="1757"/>
      <c r="XEF91" s="1757"/>
      <c r="XEG91" s="1757"/>
      <c r="XEH91" s="1757"/>
      <c r="XEI91" s="1757"/>
      <c r="XEJ91" s="1757"/>
      <c r="XEK91" s="1757"/>
      <c r="XEL91" s="1757"/>
      <c r="XEM91" s="1757"/>
      <c r="XEN91" s="1757"/>
      <c r="XEO91" s="1757"/>
      <c r="XEP91" s="1757"/>
      <c r="XEQ91" s="1757"/>
      <c r="XER91" s="1757"/>
      <c r="XES91" s="1757"/>
      <c r="XET91" s="1757"/>
      <c r="XEU91" s="1757"/>
      <c r="XEV91" s="1757"/>
      <c r="XEW91" s="1757"/>
      <c r="XEX91" s="1757"/>
      <c r="XEY91" s="1757"/>
      <c r="XEZ91" s="1757"/>
      <c r="XFA91" s="1757"/>
      <c r="XFB91" s="1757"/>
      <c r="XFC91" s="1757"/>
      <c r="XFD91" s="1757"/>
    </row>
    <row r="92" spans="2:16384" hidden="1" outlineLevel="1">
      <c r="B92" s="807" t="s">
        <v>840</v>
      </c>
      <c r="C92" s="731" t="s">
        <v>1275</v>
      </c>
      <c r="F92" s="783">
        <f>F89*F90*F91</f>
        <v>0</v>
      </c>
      <c r="G92" s="783">
        <f t="shared" ref="G92:O92" si="15">G89*G90*G91</f>
        <v>0</v>
      </c>
      <c r="H92" s="783">
        <f t="shared" si="15"/>
        <v>0</v>
      </c>
      <c r="I92" s="783">
        <f t="shared" si="15"/>
        <v>0</v>
      </c>
      <c r="J92" s="783">
        <f t="shared" si="15"/>
        <v>0</v>
      </c>
      <c r="K92" s="783">
        <f t="shared" si="15"/>
        <v>0</v>
      </c>
      <c r="L92" s="783">
        <f t="shared" si="15"/>
        <v>0</v>
      </c>
      <c r="M92" s="783">
        <f t="shared" si="15"/>
        <v>0</v>
      </c>
      <c r="N92" s="783">
        <f t="shared" si="15"/>
        <v>0</v>
      </c>
      <c r="O92" s="783">
        <f t="shared" si="15"/>
        <v>0</v>
      </c>
    </row>
    <row r="93" spans="2:16384" ht="5.25" hidden="1" customHeight="1" outlineLevel="1">
      <c r="B93" s="807"/>
      <c r="C93" s="731"/>
      <c r="F93" s="783"/>
      <c r="G93" s="783"/>
      <c r="H93" s="783"/>
      <c r="I93" s="783"/>
      <c r="J93" s="783"/>
      <c r="K93" s="783"/>
      <c r="L93" s="783"/>
      <c r="M93" s="783"/>
      <c r="N93" s="783"/>
      <c r="O93" s="783"/>
    </row>
    <row r="94" spans="2:16384" hidden="1" outlineLevel="1">
      <c r="C94" s="731" t="s">
        <v>548</v>
      </c>
      <c r="E94" s="121" t="str">
        <f>Preferences.EnergyUnits</f>
        <v>TWh</v>
      </c>
      <c r="F94" s="783">
        <f t="shared" ref="F94:O94" si="16">F92*Preferences.Unit.Power*Unit.year/Preferences.Unit.Energy</f>
        <v>0</v>
      </c>
      <c r="G94" s="783">
        <f t="shared" si="16"/>
        <v>0</v>
      </c>
      <c r="H94" s="783">
        <f t="shared" si="16"/>
        <v>0</v>
      </c>
      <c r="I94" s="783">
        <f t="shared" si="16"/>
        <v>0</v>
      </c>
      <c r="J94" s="783">
        <f t="shared" si="16"/>
        <v>0</v>
      </c>
      <c r="K94" s="783">
        <f t="shared" si="16"/>
        <v>0</v>
      </c>
      <c r="L94" s="783">
        <f t="shared" si="16"/>
        <v>0</v>
      </c>
      <c r="M94" s="783">
        <f t="shared" si="16"/>
        <v>0</v>
      </c>
      <c r="N94" s="783">
        <f t="shared" si="16"/>
        <v>0</v>
      </c>
      <c r="O94" s="783">
        <f t="shared" si="16"/>
        <v>0</v>
      </c>
    </row>
    <row r="95" spans="2:16384" hidden="1" outlineLevel="1">
      <c r="C95" s="731"/>
      <c r="F95" s="783"/>
      <c r="G95" s="783"/>
      <c r="H95" s="783"/>
      <c r="I95" s="783"/>
      <c r="J95" s="783"/>
      <c r="K95" s="783"/>
      <c r="L95" s="783"/>
      <c r="M95" s="783"/>
      <c r="N95" s="783"/>
      <c r="O95" s="783"/>
    </row>
    <row r="97" spans="1:16" ht="22.5" collapsed="1">
      <c r="A97" s="1171"/>
      <c r="B97" s="1231" t="s">
        <v>683</v>
      </c>
      <c r="C97" s="1183"/>
      <c r="D97" s="1183"/>
      <c r="E97" s="1183"/>
      <c r="F97" s="1183"/>
      <c r="G97" s="1183"/>
      <c r="H97" s="1183"/>
      <c r="I97" s="1183"/>
      <c r="J97" s="1183"/>
      <c r="K97" s="1183"/>
      <c r="L97" s="1183"/>
      <c r="M97" s="1183"/>
      <c r="N97" s="1183"/>
      <c r="O97" s="1183"/>
      <c r="P97" s="1185"/>
    </row>
    <row r="98" spans="1:16" hidden="1" outlineLevel="1">
      <c r="B98" s="1172"/>
      <c r="C98" s="1174"/>
      <c r="D98" s="1174"/>
      <c r="E98" s="1174"/>
      <c r="F98" s="1174"/>
      <c r="G98" s="1174"/>
      <c r="H98" s="1174"/>
      <c r="I98" s="1174"/>
      <c r="J98" s="1174"/>
      <c r="K98" s="1174"/>
      <c r="L98" s="1174"/>
      <c r="M98" s="1174"/>
      <c r="N98" s="1174"/>
      <c r="O98" s="1174"/>
      <c r="P98" s="1176"/>
    </row>
    <row r="99" spans="1:16" hidden="1" outlineLevel="1">
      <c r="B99" s="1172"/>
      <c r="C99" s="1186" t="s">
        <v>730</v>
      </c>
      <c r="D99" s="1174"/>
      <c r="E99" s="1175"/>
      <c r="F99" s="1174"/>
      <c r="G99" s="1175"/>
      <c r="H99" s="1174"/>
      <c r="I99" s="1174"/>
      <c r="J99" s="1174"/>
      <c r="K99" s="1174"/>
      <c r="L99" s="1174"/>
      <c r="M99" s="1174"/>
      <c r="N99" s="1174"/>
      <c r="O99" s="1175" t="str">
        <f>Preferences.EnergyUnits</f>
        <v>TWh</v>
      </c>
      <c r="P99" s="1176"/>
    </row>
    <row r="100" spans="1:16" ht="6" hidden="1" customHeight="1" outlineLevel="1">
      <c r="B100" s="1172"/>
      <c r="C100" s="1174"/>
      <c r="D100" s="1174"/>
      <c r="E100" s="1174"/>
      <c r="F100" s="1174"/>
      <c r="G100" s="1174"/>
      <c r="H100" s="1174"/>
      <c r="I100" s="1174"/>
      <c r="J100" s="1174"/>
      <c r="K100" s="1174"/>
      <c r="L100" s="1174"/>
      <c r="M100" s="1174"/>
      <c r="N100" s="1174"/>
      <c r="O100" s="1174"/>
      <c r="P100" s="1176"/>
    </row>
    <row r="101" spans="1:16" ht="15.75" hidden="1" outlineLevel="1">
      <c r="A101" s="3"/>
      <c r="B101" s="1177"/>
      <c r="C101" s="1188" t="s">
        <v>78</v>
      </c>
      <c r="D101" s="1188" t="s">
        <v>418</v>
      </c>
      <c r="E101" s="1188" t="s">
        <v>442</v>
      </c>
      <c r="F101" s="1188" t="s">
        <v>691</v>
      </c>
      <c r="G101" s="1188" t="s">
        <v>692</v>
      </c>
      <c r="H101" s="1189" t="s">
        <v>721</v>
      </c>
      <c r="I101" s="1189" t="s">
        <v>722</v>
      </c>
      <c r="J101" s="1189" t="s">
        <v>723</v>
      </c>
      <c r="K101" s="1189" t="s">
        <v>724</v>
      </c>
      <c r="L101" s="1189" t="s">
        <v>725</v>
      </c>
      <c r="M101" s="1189" t="s">
        <v>726</v>
      </c>
      <c r="N101" s="1189" t="s">
        <v>727</v>
      </c>
      <c r="O101" s="1189" t="s">
        <v>728</v>
      </c>
      <c r="P101" s="1176"/>
    </row>
    <row r="102" spans="1:16" ht="15.75" hidden="1" outlineLevel="1">
      <c r="A102" s="3"/>
      <c r="B102" s="1177"/>
      <c r="C102" s="765" t="s">
        <v>46</v>
      </c>
      <c r="D102" s="765" t="str">
        <f>INDEX(Vectors[Description], MATCH([Vector], Vectors[Code], 0))</f>
        <v>Electricity (supplied to grid)</v>
      </c>
      <c r="E102" s="765"/>
      <c r="F102" s="953">
        <f>F78+F94+F86</f>
        <v>0</v>
      </c>
      <c r="G102" s="953">
        <f>G78+G94+G86</f>
        <v>5.0034246575342495E-3</v>
      </c>
      <c r="H102" s="953">
        <f t="shared" ref="H102:O102" si="17">H78+H94+H86</f>
        <v>2.3015753424657545E-2</v>
      </c>
      <c r="I102" s="953">
        <f t="shared" si="17"/>
        <v>0.20847602739726018</v>
      </c>
      <c r="J102" s="953">
        <f t="shared" si="17"/>
        <v>0.52119006849314986</v>
      </c>
      <c r="K102" s="953">
        <f t="shared" si="17"/>
        <v>0.52119006849314986</v>
      </c>
      <c r="L102" s="953">
        <f t="shared" si="17"/>
        <v>0</v>
      </c>
      <c r="M102" s="953">
        <f t="shared" si="17"/>
        <v>0</v>
      </c>
      <c r="N102" s="953">
        <f t="shared" si="17"/>
        <v>0</v>
      </c>
      <c r="O102" s="953">
        <f t="shared" si="17"/>
        <v>0</v>
      </c>
      <c r="P102" s="1176"/>
    </row>
    <row r="103" spans="1:16" ht="15.75" hidden="1" outlineLevel="1">
      <c r="A103" s="3"/>
      <c r="B103" s="1177"/>
      <c r="C103" s="765" t="s">
        <v>10</v>
      </c>
      <c r="D103" s="765" t="str">
        <f>INDEX(Vectors[Description], MATCH([Vector], Vectors[Code], 0))</f>
        <v>Wave</v>
      </c>
      <c r="E103" s="765"/>
      <c r="F103" s="953">
        <f>-F78</f>
        <v>0</v>
      </c>
      <c r="G103" s="953">
        <f t="shared" ref="G103:O103" si="18">-G78</f>
        <v>0</v>
      </c>
      <c r="H103" s="953">
        <f t="shared" si="18"/>
        <v>-3.0020547945205484E-3</v>
      </c>
      <c r="I103" s="953">
        <f t="shared" si="18"/>
        <v>-0.1584417808219177</v>
      </c>
      <c r="J103" s="953">
        <f t="shared" si="18"/>
        <v>-0.39610445205479383</v>
      </c>
      <c r="K103" s="953">
        <f t="shared" si="18"/>
        <v>-0.39610445205479383</v>
      </c>
      <c r="L103" s="953">
        <f t="shared" si="18"/>
        <v>0</v>
      </c>
      <c r="M103" s="953">
        <f t="shared" si="18"/>
        <v>0</v>
      </c>
      <c r="N103" s="953">
        <f t="shared" si="18"/>
        <v>0</v>
      </c>
      <c r="O103" s="953">
        <f t="shared" si="18"/>
        <v>0</v>
      </c>
      <c r="P103" s="1176"/>
    </row>
    <row r="104" spans="1:16" ht="15.75" hidden="1" outlineLevel="1">
      <c r="A104" s="3"/>
      <c r="B104" s="1177"/>
      <c r="C104" s="765" t="s">
        <v>9</v>
      </c>
      <c r="D104" s="765" t="str">
        <f>INDEX(Vectors[Description], MATCH([Vector], Vectors[Code], 0))</f>
        <v>Tidal</v>
      </c>
      <c r="E104" s="765"/>
      <c r="F104" s="953">
        <f>-(F94+F86)</f>
        <v>0</v>
      </c>
      <c r="G104" s="953">
        <f t="shared" ref="G104:O104" si="19">-(G94+G86)</f>
        <v>-5.0034246575342495E-3</v>
      </c>
      <c r="H104" s="953">
        <f t="shared" si="19"/>
        <v>-2.0013698630136998E-2</v>
      </c>
      <c r="I104" s="953">
        <f t="shared" si="19"/>
        <v>-5.0034246575342486E-2</v>
      </c>
      <c r="J104" s="953">
        <f t="shared" si="19"/>
        <v>-0.12508561643835608</v>
      </c>
      <c r="K104" s="953">
        <f t="shared" si="19"/>
        <v>-0.12508561643835608</v>
      </c>
      <c r="L104" s="953">
        <f t="shared" si="19"/>
        <v>0</v>
      </c>
      <c r="M104" s="953">
        <f t="shared" si="19"/>
        <v>0</v>
      </c>
      <c r="N104" s="953">
        <f t="shared" si="19"/>
        <v>0</v>
      </c>
      <c r="O104" s="953">
        <f t="shared" si="19"/>
        <v>0</v>
      </c>
      <c r="P104" s="1176"/>
    </row>
    <row r="105" spans="1:16" ht="15.75" hidden="1" outlineLevel="1">
      <c r="A105" s="3"/>
      <c r="B105" s="1177"/>
      <c r="C105" s="765" t="s">
        <v>148</v>
      </c>
      <c r="D105" s="765"/>
      <c r="E105" s="765"/>
      <c r="F105" s="1459">
        <f>SUBTOTAL(109,[2007])</f>
        <v>0</v>
      </c>
      <c r="G105" s="1459">
        <f>SUBTOTAL(109,[2010])</f>
        <v>0</v>
      </c>
      <c r="H105" s="1459">
        <f>SUBTOTAL(109,[2015])</f>
        <v>0</v>
      </c>
      <c r="I105" s="1459">
        <f>SUBTOTAL(109,[2020])</f>
        <v>0</v>
      </c>
      <c r="J105" s="1459">
        <f>SUBTOTAL(109,[2025])</f>
        <v>0</v>
      </c>
      <c r="K105" s="1459">
        <f>SUBTOTAL(109,[2030])</f>
        <v>0</v>
      </c>
      <c r="L105" s="1459">
        <f>SUBTOTAL(109,[2035])</f>
        <v>0</v>
      </c>
      <c r="M105" s="1459">
        <f>SUBTOTAL(109,[2040])</f>
        <v>0</v>
      </c>
      <c r="N105" s="1459">
        <f>SUBTOTAL(109,[2045])</f>
        <v>0</v>
      </c>
      <c r="O105" s="1459">
        <f>SUBTOTAL(109,[2050])</f>
        <v>0</v>
      </c>
      <c r="P105" s="1176"/>
    </row>
    <row r="106" spans="1:16" ht="15.75" hidden="1" outlineLevel="1">
      <c r="A106" s="3"/>
      <c r="B106" s="1178"/>
      <c r="C106" s="1179"/>
      <c r="D106" s="1179"/>
      <c r="E106" s="1179"/>
      <c r="F106" s="1179"/>
      <c r="G106" s="1179"/>
      <c r="H106" s="1179"/>
      <c r="I106" s="1179"/>
      <c r="J106" s="1179"/>
      <c r="K106" s="1179"/>
      <c r="L106" s="1179"/>
      <c r="M106" s="1179"/>
      <c r="N106" s="1179"/>
      <c r="O106" s="1179"/>
      <c r="P106" s="1181"/>
    </row>
  </sheetData>
  <pageMargins left="0.7" right="0.7" top="0.75" bottom="0.75" header="0.3" footer="0.3"/>
  <pageSetup paperSize="9" orientation="portrait" r:id="rId1"/>
  <ignoredErrors>
    <ignoredError sqref="F103" calculatedColumn="1"/>
  </ignoredErrors>
  <tableParts count="1">
    <tablePart r:id="rId2"/>
  </tableParts>
</worksheet>
</file>

<file path=xl/worksheets/sheet23.xml><?xml version="1.0" encoding="utf-8"?>
<worksheet xmlns="http://schemas.openxmlformats.org/spreadsheetml/2006/main" xmlns:r="http://schemas.openxmlformats.org/officeDocument/2006/relationships">
  <sheetPr codeName="Sheet102">
    <tabColor theme="9"/>
    <outlinePr summaryBelow="0"/>
    <pageSetUpPr autoPageBreaks="0"/>
  </sheetPr>
  <dimension ref="A1:P62"/>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6" ht="21">
      <c r="A1" s="789" t="s">
        <v>76</v>
      </c>
      <c r="B1" s="789" t="str">
        <f>INDEX(Workstreams[Workstream], MATCH($A1, Workstreams[Code], 0))</f>
        <v>National renewable power generation</v>
      </c>
      <c r="C1" s="789"/>
    </row>
    <row r="2" spans="1:16" s="743" customFormat="1" ht="19.5" customHeight="1">
      <c r="A2" s="10" t="s">
        <v>809</v>
      </c>
      <c r="B2" s="10" t="str">
        <f>INDEX(Modules[Module], MATCH($A2, Modules[Code], 0))</f>
        <v>Geothermal</v>
      </c>
      <c r="C2" s="10"/>
    </row>
    <row r="4" spans="1:16" ht="22.5" collapsed="1">
      <c r="A4" s="1171"/>
      <c r="B4" s="1231" t="s">
        <v>1353</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t="5.25" hidden="1" customHeight="1" outlineLevel="1">
      <c r="B6" s="1172"/>
      <c r="C6" s="1173"/>
      <c r="D6" s="1174"/>
      <c r="E6" s="1175"/>
      <c r="F6" s="1174"/>
      <c r="G6" s="1174"/>
      <c r="H6" s="1174"/>
      <c r="I6" s="1174"/>
      <c r="J6" s="1174"/>
      <c r="K6" s="1174"/>
      <c r="L6" s="1174"/>
      <c r="M6" s="1174"/>
      <c r="N6" s="1174"/>
      <c r="O6" s="1174"/>
      <c r="P6" s="1176"/>
    </row>
    <row r="7" spans="1:16" ht="15.75" hidden="1" outlineLevel="1">
      <c r="B7" s="1177"/>
      <c r="C7" s="1174"/>
      <c r="D7" s="922" t="s">
        <v>830</v>
      </c>
      <c r="E7" s="922" t="s">
        <v>1352</v>
      </c>
      <c r="F7" s="1174"/>
      <c r="G7" s="1174"/>
      <c r="H7" s="1174"/>
      <c r="I7" s="1174"/>
      <c r="J7" s="1174"/>
      <c r="K7" s="1174"/>
      <c r="L7" s="1174"/>
      <c r="M7" s="1174"/>
      <c r="N7" s="1174"/>
      <c r="O7" s="1174"/>
      <c r="P7" s="1176"/>
    </row>
    <row r="8" spans="1:16" ht="15.75" hidden="1" outlineLevel="1">
      <c r="B8" s="1177"/>
      <c r="C8" s="1174"/>
      <c r="D8" s="950" t="s">
        <v>1355</v>
      </c>
      <c r="E8" s="950">
        <f>III.d.Scenario</f>
        <v>1</v>
      </c>
      <c r="F8" s="1174"/>
      <c r="G8" s="1174"/>
      <c r="H8" s="1174"/>
      <c r="I8" s="1174"/>
      <c r="J8" s="1174"/>
      <c r="K8" s="1174"/>
      <c r="L8" s="1174"/>
      <c r="M8" s="1174"/>
      <c r="N8" s="1174"/>
      <c r="O8" s="1174"/>
      <c r="P8" s="1176"/>
    </row>
    <row r="9" spans="1:16" hidden="1" outlineLevel="1">
      <c r="B9" s="1192"/>
      <c r="C9" s="1180"/>
      <c r="D9" s="1180"/>
      <c r="E9" s="1180"/>
      <c r="F9" s="1180"/>
      <c r="G9" s="1180"/>
      <c r="H9" s="1180"/>
      <c r="I9" s="1180"/>
      <c r="J9" s="1180"/>
      <c r="K9" s="1180"/>
      <c r="L9" s="1180"/>
      <c r="M9" s="1180"/>
      <c r="N9" s="1180"/>
      <c r="O9" s="1180"/>
      <c r="P9" s="1181"/>
    </row>
    <row r="11" spans="1:16" ht="22.5" collapsed="1">
      <c r="A11" s="1171"/>
      <c r="B11" s="1236" t="s">
        <v>1354</v>
      </c>
      <c r="C11" s="1167"/>
      <c r="D11" s="1167"/>
      <c r="E11" s="1167"/>
      <c r="F11" s="1167"/>
      <c r="G11" s="1167"/>
      <c r="H11" s="1167"/>
      <c r="I11" s="1167"/>
      <c r="J11" s="1167"/>
      <c r="K11" s="1167"/>
      <c r="L11" s="1167"/>
      <c r="M11" s="1167"/>
      <c r="N11" s="1167"/>
      <c r="O11" s="1167"/>
      <c r="P11" s="1168"/>
    </row>
    <row r="12" spans="1:16" hidden="1" outlineLevel="1">
      <c r="B12" s="1157"/>
      <c r="C12" s="864"/>
      <c r="D12" s="864"/>
      <c r="E12" s="864"/>
      <c r="F12" s="864"/>
      <c r="G12" s="864"/>
      <c r="H12" s="864"/>
      <c r="I12" s="864"/>
      <c r="J12" s="864"/>
      <c r="K12" s="864"/>
      <c r="L12" s="864"/>
      <c r="M12" s="864"/>
      <c r="N12" s="864"/>
      <c r="O12" s="864"/>
      <c r="P12" s="1158"/>
    </row>
    <row r="13" spans="1:16" hidden="1" outlineLevel="1">
      <c r="B13" s="1157"/>
      <c r="C13" s="866" t="s">
        <v>2086</v>
      </c>
      <c r="D13" s="864"/>
      <c r="E13" s="867"/>
      <c r="F13" s="864"/>
      <c r="G13" s="864"/>
      <c r="H13" s="864"/>
      <c r="I13" s="864"/>
      <c r="J13" s="864"/>
      <c r="K13" s="864"/>
      <c r="L13" s="864"/>
      <c r="M13" s="864"/>
      <c r="N13" s="864"/>
      <c r="O13" s="867" t="str">
        <f>Preferences.PowerUnits</f>
        <v>GW</v>
      </c>
      <c r="P13" s="1158"/>
    </row>
    <row r="14" spans="1:16" ht="5.25" hidden="1" customHeight="1" outlineLevel="1">
      <c r="B14" s="1157"/>
      <c r="C14" s="864"/>
      <c r="D14" s="864"/>
      <c r="E14" s="864"/>
      <c r="F14" s="864"/>
      <c r="G14" s="864"/>
      <c r="H14" s="864"/>
      <c r="I14" s="864"/>
      <c r="J14" s="864"/>
      <c r="K14" s="864"/>
      <c r="L14" s="864"/>
      <c r="M14" s="864"/>
      <c r="N14" s="864"/>
      <c r="O14" s="864"/>
      <c r="P14" s="1158"/>
    </row>
    <row r="15" spans="1:16" ht="15.75" hidden="1" outlineLevel="1">
      <c r="B15" s="1159"/>
      <c r="C15" s="766" t="s">
        <v>1352</v>
      </c>
      <c r="D15" s="766" t="s">
        <v>79</v>
      </c>
      <c r="E15" s="766" t="s">
        <v>442</v>
      </c>
      <c r="F15" s="923">
        <v>2007</v>
      </c>
      <c r="G15" s="924">
        <v>2010</v>
      </c>
      <c r="H15" s="923">
        <v>2015</v>
      </c>
      <c r="I15" s="923">
        <v>2020</v>
      </c>
      <c r="J15" s="923">
        <v>2025</v>
      </c>
      <c r="K15" s="923">
        <v>2030</v>
      </c>
      <c r="L15" s="923">
        <v>2035</v>
      </c>
      <c r="M15" s="923">
        <v>2040</v>
      </c>
      <c r="N15" s="923">
        <v>2045</v>
      </c>
      <c r="O15" s="923">
        <v>2050</v>
      </c>
      <c r="P15" s="1158"/>
    </row>
    <row r="16" spans="1:16" ht="15.75" hidden="1" outlineLevel="1">
      <c r="B16" s="1161"/>
      <c r="C16" s="831">
        <v>1</v>
      </c>
      <c r="D16" s="832"/>
      <c r="E16" s="833"/>
      <c r="F16" s="913">
        <v>0</v>
      </c>
      <c r="G16" s="1717">
        <v>0</v>
      </c>
      <c r="H16" s="913">
        <v>0</v>
      </c>
      <c r="I16" s="913">
        <v>0</v>
      </c>
      <c r="J16" s="913">
        <v>0</v>
      </c>
      <c r="K16" s="913">
        <v>0</v>
      </c>
      <c r="L16" s="913">
        <v>0</v>
      </c>
      <c r="M16" s="913">
        <v>0</v>
      </c>
      <c r="N16" s="913">
        <v>0</v>
      </c>
      <c r="O16" s="913">
        <v>0</v>
      </c>
      <c r="P16" s="1162"/>
    </row>
    <row r="17" spans="1:16" ht="15.75" hidden="1" outlineLevel="1">
      <c r="B17" s="1159"/>
      <c r="C17" s="831">
        <v>2</v>
      </c>
      <c r="D17" s="832"/>
      <c r="E17" s="832"/>
      <c r="F17" s="913">
        <v>0</v>
      </c>
      <c r="G17" s="1720">
        <f>(Unit.GW)*0</f>
        <v>0</v>
      </c>
      <c r="H17" s="1721">
        <f>(Unit.GW)*0.013</f>
        <v>1.2999999999999999E-2</v>
      </c>
      <c r="I17" s="1721">
        <f>(Unit.GW)*0.052</f>
        <v>5.1999999999999998E-2</v>
      </c>
      <c r="J17" s="1721">
        <f>(Unit.GW)*0.208</f>
        <v>0.20799999999999999</v>
      </c>
      <c r="K17" s="1721">
        <f>(Unit.GW)*0.832</f>
        <v>0.83199999999999996</v>
      </c>
      <c r="L17" s="1721">
        <f>(Unit.GW)*1</f>
        <v>1</v>
      </c>
      <c r="M17" s="1721">
        <f>(Unit.GW)*1</f>
        <v>1</v>
      </c>
      <c r="N17" s="1721">
        <f>(Unit.GW)*1</f>
        <v>1</v>
      </c>
      <c r="O17" s="1721">
        <f>(Unit.GW)*1</f>
        <v>1</v>
      </c>
      <c r="P17" s="1158"/>
    </row>
    <row r="18" spans="1:16" ht="15.75" hidden="1" outlineLevel="1">
      <c r="B18" s="1159"/>
      <c r="C18" s="831">
        <v>3</v>
      </c>
      <c r="D18" s="832"/>
      <c r="E18" s="832"/>
      <c r="F18" s="913">
        <v>0</v>
      </c>
      <c r="G18" s="1720">
        <f>(Unit.GW)*0</f>
        <v>0</v>
      </c>
      <c r="H18" s="1721">
        <f>(Unit.GW)*0.013</f>
        <v>1.2999999999999999E-2</v>
      </c>
      <c r="I18" s="1721">
        <f>(Unit.GW)*0.104</f>
        <v>0.104</v>
      </c>
      <c r="J18" s="1721">
        <f>(Unit.GW)*0.832</f>
        <v>0.83199999999999996</v>
      </c>
      <c r="K18" s="1721">
        <f>(Unit.GW)*3</f>
        <v>3</v>
      </c>
      <c r="L18" s="1721">
        <f>(Unit.GW)*3</f>
        <v>3</v>
      </c>
      <c r="M18" s="1721">
        <f>(Unit.GW)*3</f>
        <v>3</v>
      </c>
      <c r="N18" s="1721">
        <f>(Unit.GW)*3</f>
        <v>3</v>
      </c>
      <c r="O18" s="1721">
        <f>(Unit.GW)*3</f>
        <v>3</v>
      </c>
      <c r="P18" s="1158"/>
    </row>
    <row r="19" spans="1:16" ht="15.75" hidden="1" outlineLevel="1">
      <c r="B19" s="1159"/>
      <c r="C19" s="769">
        <v>4</v>
      </c>
      <c r="D19" s="770"/>
      <c r="E19" s="770"/>
      <c r="F19" s="1722">
        <v>0</v>
      </c>
      <c r="G19" s="1723">
        <f>(Unit.GW)*0</f>
        <v>0</v>
      </c>
      <c r="H19" s="1724">
        <f>(Unit.GW)*0.013</f>
        <v>1.2999999999999999E-2</v>
      </c>
      <c r="I19" s="1724">
        <f>(Unit.GW)*0.156</f>
        <v>0.156</v>
      </c>
      <c r="J19" s="1724">
        <f>(Unit.GW)*1.872</f>
        <v>1.8720000000000001</v>
      </c>
      <c r="K19" s="1724">
        <f>(Unit.GW)*5</f>
        <v>5</v>
      </c>
      <c r="L19" s="1724">
        <f>(Unit.GW)*5</f>
        <v>5</v>
      </c>
      <c r="M19" s="1724">
        <f>(Unit.GW)*5</f>
        <v>5</v>
      </c>
      <c r="N19" s="1724">
        <f>(Unit.GW)*5</f>
        <v>5</v>
      </c>
      <c r="O19" s="1724">
        <f>(Unit.GW)*5</f>
        <v>5</v>
      </c>
      <c r="P19" s="1158"/>
    </row>
    <row r="20" spans="1:16" hidden="1" outlineLevel="1">
      <c r="B20" s="1163"/>
      <c r="C20" s="864"/>
      <c r="D20" s="868"/>
      <c r="E20" s="864"/>
      <c r="F20" s="864"/>
      <c r="G20" s="1529"/>
      <c r="H20" s="1529"/>
      <c r="I20" s="1529"/>
      <c r="J20" s="1529"/>
      <c r="K20" s="1529"/>
      <c r="L20" s="1529"/>
      <c r="M20" s="1529"/>
      <c r="N20" s="1529"/>
      <c r="O20" s="1529"/>
      <c r="P20" s="1158"/>
    </row>
    <row r="21" spans="1:16" hidden="1" outlineLevel="1">
      <c r="B21" s="1551"/>
      <c r="C21" s="864" t="s">
        <v>717</v>
      </c>
      <c r="D21" s="868"/>
      <c r="E21" s="864"/>
      <c r="F21" s="864"/>
      <c r="G21" s="864"/>
      <c r="H21" s="864"/>
      <c r="I21" s="864"/>
      <c r="J21" s="864"/>
      <c r="K21" s="864"/>
      <c r="L21" s="864"/>
      <c r="M21" s="864"/>
      <c r="N21" s="864"/>
      <c r="O21" s="864"/>
      <c r="P21" s="864"/>
    </row>
    <row r="22" spans="1:16" hidden="1" outlineLevel="1">
      <c r="B22" s="1551"/>
      <c r="C22" s="867" t="s">
        <v>109</v>
      </c>
      <c r="D22" s="868" t="s">
        <v>1260</v>
      </c>
      <c r="E22" s="864"/>
      <c r="F22" s="864"/>
      <c r="G22" s="864"/>
      <c r="H22" s="864"/>
      <c r="I22" s="864"/>
      <c r="J22" s="864"/>
      <c r="K22" s="864"/>
      <c r="L22" s="864"/>
      <c r="M22" s="864"/>
      <c r="N22" s="864"/>
      <c r="O22" s="864"/>
      <c r="P22" s="864"/>
    </row>
    <row r="23" spans="1:16" hidden="1" outlineLevel="1">
      <c r="B23" s="1551"/>
      <c r="C23" s="864"/>
      <c r="D23" s="868"/>
      <c r="E23" s="864"/>
      <c r="F23" s="864"/>
      <c r="G23" s="864"/>
      <c r="H23" s="864"/>
      <c r="I23" s="864"/>
      <c r="J23" s="864"/>
      <c r="K23" s="864"/>
      <c r="L23" s="864"/>
      <c r="M23" s="864"/>
      <c r="N23" s="864"/>
      <c r="O23" s="864"/>
      <c r="P23" s="864"/>
    </row>
    <row r="25" spans="1:16" s="743" customFormat="1" ht="22.5" collapsed="1">
      <c r="A25" s="1170"/>
      <c r="B25" s="1236" t="s">
        <v>786</v>
      </c>
      <c r="C25" s="1167"/>
      <c r="D25" s="1167"/>
      <c r="E25" s="1167"/>
      <c r="F25" s="1167"/>
      <c r="G25" s="1167"/>
      <c r="H25" s="1167"/>
      <c r="I25" s="1167"/>
      <c r="J25" s="1167"/>
      <c r="K25" s="1167"/>
      <c r="L25" s="1167"/>
      <c r="M25" s="1167"/>
      <c r="N25" s="1167"/>
      <c r="O25" s="1167"/>
      <c r="P25" s="1168"/>
    </row>
    <row r="26" spans="1:16" hidden="1" outlineLevel="1">
      <c r="B26" s="1157"/>
      <c r="C26" s="864"/>
      <c r="D26" s="864"/>
      <c r="E26" s="864"/>
      <c r="F26" s="864"/>
      <c r="G26" s="864"/>
      <c r="H26" s="864"/>
      <c r="I26" s="864"/>
      <c r="J26" s="864"/>
      <c r="K26" s="864"/>
      <c r="L26" s="864"/>
      <c r="M26" s="864"/>
      <c r="N26" s="864"/>
      <c r="O26" s="864"/>
      <c r="P26" s="1158"/>
    </row>
    <row r="27" spans="1:16" hidden="1" outlineLevel="1">
      <c r="B27" s="1157"/>
      <c r="C27" s="866" t="s">
        <v>2080</v>
      </c>
      <c r="D27" s="864"/>
      <c r="E27" s="864"/>
      <c r="F27" s="864"/>
      <c r="G27" s="867"/>
      <c r="H27" s="864"/>
      <c r="I27" s="864"/>
      <c r="J27" s="864"/>
      <c r="K27" s="864"/>
      <c r="L27" s="864"/>
      <c r="M27" s="864"/>
      <c r="N27" s="864"/>
      <c r="O27" s="864"/>
      <c r="P27" s="1158"/>
    </row>
    <row r="28" spans="1:16" ht="6" hidden="1" customHeight="1" outlineLevel="1">
      <c r="B28" s="1157"/>
      <c r="C28" s="864"/>
      <c r="D28" s="864"/>
      <c r="E28" s="864"/>
      <c r="F28" s="864"/>
      <c r="G28" s="864"/>
      <c r="H28" s="864"/>
      <c r="I28" s="864"/>
      <c r="J28" s="864"/>
      <c r="K28" s="864"/>
      <c r="L28" s="864"/>
      <c r="M28" s="864"/>
      <c r="N28" s="864"/>
      <c r="O28" s="864"/>
      <c r="P28" s="1158"/>
    </row>
    <row r="29" spans="1:16" ht="15.75" hidden="1" outlineLevel="1">
      <c r="B29" s="1159"/>
      <c r="C29" s="766" t="s">
        <v>715</v>
      </c>
      <c r="D29" s="766" t="s">
        <v>731</v>
      </c>
      <c r="E29" s="766" t="s">
        <v>442</v>
      </c>
      <c r="F29" s="923">
        <v>2007</v>
      </c>
      <c r="G29" s="924">
        <v>2010</v>
      </c>
      <c r="H29" s="923">
        <v>2015</v>
      </c>
      <c r="I29" s="923">
        <v>2020</v>
      </c>
      <c r="J29" s="923">
        <v>2025</v>
      </c>
      <c r="K29" s="923">
        <v>2030</v>
      </c>
      <c r="L29" s="923">
        <v>2035</v>
      </c>
      <c r="M29" s="923">
        <v>2040</v>
      </c>
      <c r="N29" s="923">
        <v>2045</v>
      </c>
      <c r="O29" s="923">
        <v>2050</v>
      </c>
      <c r="P29" s="1158"/>
    </row>
    <row r="30" spans="1:16" ht="15.75" hidden="1" outlineLevel="1">
      <c r="B30" s="1159"/>
      <c r="C30" s="791" t="s">
        <v>11</v>
      </c>
      <c r="D30" s="792" t="str">
        <f>INDEX(Vectors[Description], MATCH($C30, Vectors[Code], 0))</f>
        <v>Geothermal</v>
      </c>
      <c r="E30" s="792"/>
      <c r="F30" s="1804">
        <v>0.8</v>
      </c>
      <c r="G30" s="799">
        <v>0.8</v>
      </c>
      <c r="H30" s="798">
        <v>0.8</v>
      </c>
      <c r="I30" s="798">
        <v>0.8</v>
      </c>
      <c r="J30" s="798">
        <v>0.8</v>
      </c>
      <c r="K30" s="798">
        <v>0.8</v>
      </c>
      <c r="L30" s="798">
        <v>0.8</v>
      </c>
      <c r="M30" s="798">
        <v>0.8</v>
      </c>
      <c r="N30" s="798">
        <v>0.8</v>
      </c>
      <c r="O30" s="798">
        <v>0.8</v>
      </c>
      <c r="P30" s="1158"/>
    </row>
    <row r="31" spans="1:16" hidden="1" outlineLevel="1">
      <c r="B31" s="1157"/>
      <c r="C31" s="864"/>
      <c r="D31" s="864"/>
      <c r="E31" s="864"/>
      <c r="F31" s="864"/>
      <c r="G31" s="864"/>
      <c r="H31" s="864"/>
      <c r="I31" s="864"/>
      <c r="J31" s="864"/>
      <c r="K31" s="864"/>
      <c r="L31" s="864"/>
      <c r="M31" s="864"/>
      <c r="N31" s="864"/>
      <c r="O31" s="864"/>
      <c r="P31" s="1158"/>
    </row>
    <row r="32" spans="1:16" hidden="1" outlineLevel="1">
      <c r="B32" s="864"/>
      <c r="C32" s="864"/>
      <c r="D32" s="864"/>
      <c r="E32" s="864"/>
      <c r="F32" s="864"/>
      <c r="G32" s="864"/>
      <c r="H32" s="864"/>
      <c r="I32" s="864"/>
      <c r="J32" s="864"/>
      <c r="K32" s="864"/>
      <c r="L32" s="864"/>
      <c r="M32" s="864"/>
      <c r="N32" s="864"/>
      <c r="O32" s="864"/>
      <c r="P32" s="864"/>
    </row>
    <row r="34" spans="1:16" ht="22.5" collapsed="1">
      <c r="A34" s="1171"/>
      <c r="B34" s="1236" t="s">
        <v>817</v>
      </c>
      <c r="C34" s="1167"/>
      <c r="D34" s="1167"/>
      <c r="E34" s="1167"/>
      <c r="F34" s="1167"/>
      <c r="G34" s="1167"/>
      <c r="H34" s="1167"/>
      <c r="I34" s="1167"/>
      <c r="J34" s="1167"/>
      <c r="K34" s="1167"/>
      <c r="L34" s="1167"/>
      <c r="M34" s="1167"/>
      <c r="N34" s="1167"/>
      <c r="O34" s="1167"/>
      <c r="P34" s="1168"/>
    </row>
    <row r="35" spans="1:16" hidden="1" outlineLevel="1">
      <c r="B35" s="1157"/>
      <c r="C35" s="864"/>
      <c r="D35" s="864"/>
      <c r="E35" s="864"/>
      <c r="F35" s="864"/>
      <c r="G35" s="864"/>
      <c r="H35" s="864"/>
      <c r="I35" s="864"/>
      <c r="J35" s="864"/>
      <c r="K35" s="864"/>
      <c r="L35" s="864"/>
      <c r="M35" s="864"/>
      <c r="N35" s="864"/>
      <c r="O35" s="864"/>
      <c r="P35" s="1158"/>
    </row>
    <row r="36" spans="1:16" hidden="1" outlineLevel="1">
      <c r="B36" s="1157"/>
      <c r="C36" s="866" t="s">
        <v>764</v>
      </c>
      <c r="D36" s="864"/>
      <c r="E36" s="867"/>
      <c r="F36" s="864"/>
      <c r="G36" s="864"/>
      <c r="H36" s="864"/>
      <c r="I36" s="864"/>
      <c r="J36" s="864"/>
      <c r="K36" s="864"/>
      <c r="L36" s="864"/>
      <c r="M36" s="864"/>
      <c r="N36" s="864"/>
      <c r="O36" s="867" t="str">
        <f>Preferences.PowerUnits</f>
        <v>GW</v>
      </c>
      <c r="P36" s="1158"/>
    </row>
    <row r="37" spans="1:16" ht="5.25" hidden="1" customHeight="1" outlineLevel="1">
      <c r="B37" s="1157"/>
      <c r="C37" s="864"/>
      <c r="D37" s="864"/>
      <c r="E37" s="864"/>
      <c r="F37" s="864"/>
      <c r="G37" s="864"/>
      <c r="H37" s="864"/>
      <c r="I37" s="864"/>
      <c r="J37" s="864"/>
      <c r="K37" s="864"/>
      <c r="L37" s="864"/>
      <c r="M37" s="864"/>
      <c r="N37" s="864"/>
      <c r="O37" s="864"/>
      <c r="P37" s="1158"/>
    </row>
    <row r="38" spans="1:16" ht="15.75" hidden="1" outlineLevel="1">
      <c r="B38" s="1159"/>
      <c r="C38" s="766" t="s">
        <v>715</v>
      </c>
      <c r="D38" s="766" t="s">
        <v>79</v>
      </c>
      <c r="E38" s="766" t="s">
        <v>442</v>
      </c>
      <c r="F38" s="923">
        <v>2007</v>
      </c>
      <c r="G38" s="924">
        <v>2010</v>
      </c>
      <c r="H38" s="923">
        <v>2015</v>
      </c>
      <c r="I38" s="923">
        <v>2020</v>
      </c>
      <c r="J38" s="923">
        <v>2025</v>
      </c>
      <c r="K38" s="923">
        <v>2030</v>
      </c>
      <c r="L38" s="923">
        <v>2035</v>
      </c>
      <c r="M38" s="923">
        <v>2040</v>
      </c>
      <c r="N38" s="923">
        <v>2045</v>
      </c>
      <c r="O38" s="923">
        <v>2050</v>
      </c>
      <c r="P38" s="1158"/>
    </row>
    <row r="39" spans="1:16" ht="15.75" hidden="1" outlineLevel="1">
      <c r="B39" s="1161"/>
      <c r="C39" s="791" t="s">
        <v>11</v>
      </c>
      <c r="D39" s="792" t="str">
        <f>INDEX(Vectors[Description], MATCH($C39, Vectors[Code], 0))</f>
        <v>Geothermal</v>
      </c>
      <c r="E39" s="792"/>
      <c r="F39" s="2331">
        <f>INDEX(F$16:F$19, MATCH($E$8, $C$16:$C$19, 0))</f>
        <v>0</v>
      </c>
      <c r="G39" s="1964">
        <f t="shared" ref="G39:O39" si="0">INDEX(G$16:G$19, MATCH($E$8, $C$16:$C$19, 0))</f>
        <v>0</v>
      </c>
      <c r="H39" s="2331">
        <f t="shared" si="0"/>
        <v>0</v>
      </c>
      <c r="I39" s="2331">
        <f t="shared" si="0"/>
        <v>0</v>
      </c>
      <c r="J39" s="2331">
        <f t="shared" si="0"/>
        <v>0</v>
      </c>
      <c r="K39" s="2331">
        <f t="shared" si="0"/>
        <v>0</v>
      </c>
      <c r="L39" s="2331">
        <f t="shared" si="0"/>
        <v>0</v>
      </c>
      <c r="M39" s="2331">
        <f t="shared" si="0"/>
        <v>0</v>
      </c>
      <c r="N39" s="2331">
        <f t="shared" si="0"/>
        <v>0</v>
      </c>
      <c r="O39" s="2331">
        <f t="shared" si="0"/>
        <v>0</v>
      </c>
      <c r="P39" s="1162"/>
    </row>
    <row r="40" spans="1:16" hidden="1" outlineLevel="1">
      <c r="B40" s="1163"/>
      <c r="C40" s="831"/>
      <c r="D40" s="832"/>
      <c r="E40" s="832"/>
      <c r="F40" s="911"/>
      <c r="G40" s="912"/>
      <c r="H40" s="912"/>
      <c r="I40" s="912"/>
      <c r="J40" s="912"/>
      <c r="K40" s="912"/>
      <c r="L40" s="912"/>
      <c r="M40" s="912"/>
      <c r="N40" s="912"/>
      <c r="O40" s="912"/>
      <c r="P40" s="1158"/>
    </row>
    <row r="41" spans="1:16" hidden="1" outlineLevel="1">
      <c r="B41" s="1223"/>
      <c r="C41" s="1194"/>
      <c r="D41" s="1195"/>
      <c r="E41" s="1195"/>
      <c r="F41" s="1252"/>
      <c r="G41" s="1253"/>
      <c r="H41" s="1253"/>
      <c r="I41" s="1253"/>
      <c r="J41" s="1253"/>
      <c r="K41" s="1253"/>
      <c r="L41" s="1253"/>
      <c r="M41" s="1253"/>
      <c r="N41" s="1253"/>
      <c r="O41" s="1253"/>
      <c r="P41" s="1166"/>
    </row>
    <row r="43" spans="1:16" ht="15.75" collapsed="1">
      <c r="B43" s="809" t="s">
        <v>732</v>
      </c>
    </row>
    <row r="44" spans="1:16" ht="15.75" hidden="1" outlineLevel="1">
      <c r="B44" s="809"/>
    </row>
    <row r="45" spans="1:16" hidden="1" outlineLevel="1">
      <c r="B45" s="731"/>
      <c r="C45" s="121" t="s">
        <v>2087</v>
      </c>
    </row>
    <row r="46" spans="1:16" hidden="1" outlineLevel="1"/>
    <row r="47" spans="1:16" hidden="1" outlineLevel="1">
      <c r="C47" s="731" t="s">
        <v>806</v>
      </c>
      <c r="E47" s="121" t="str">
        <f>Preferences.PowerUnits</f>
        <v>GW</v>
      </c>
      <c r="F47" s="27">
        <f>F$39</f>
        <v>0</v>
      </c>
      <c r="G47" s="27">
        <f t="shared" ref="G47:O47" si="1">G$39</f>
        <v>0</v>
      </c>
      <c r="H47" s="27">
        <f t="shared" si="1"/>
        <v>0</v>
      </c>
      <c r="I47" s="27">
        <f t="shared" si="1"/>
        <v>0</v>
      </c>
      <c r="J47" s="27">
        <f t="shared" si="1"/>
        <v>0</v>
      </c>
      <c r="K47" s="27">
        <f t="shared" si="1"/>
        <v>0</v>
      </c>
      <c r="L47" s="27">
        <f t="shared" si="1"/>
        <v>0</v>
      </c>
      <c r="M47" s="27">
        <f t="shared" si="1"/>
        <v>0</v>
      </c>
      <c r="N47" s="27">
        <f t="shared" si="1"/>
        <v>0</v>
      </c>
      <c r="O47" s="27">
        <f t="shared" si="1"/>
        <v>0</v>
      </c>
    </row>
    <row r="48" spans="1:16" hidden="1" outlineLevel="1">
      <c r="B48" s="806" t="s">
        <v>838</v>
      </c>
      <c r="C48" s="121" t="s">
        <v>805</v>
      </c>
      <c r="F48" s="19">
        <f>F$30</f>
        <v>0.8</v>
      </c>
      <c r="G48" s="19">
        <f t="shared" ref="G48:O48" si="2">G$30</f>
        <v>0.8</v>
      </c>
      <c r="H48" s="19">
        <f t="shared" si="2"/>
        <v>0.8</v>
      </c>
      <c r="I48" s="19">
        <f t="shared" si="2"/>
        <v>0.8</v>
      </c>
      <c r="J48" s="19">
        <f t="shared" si="2"/>
        <v>0.8</v>
      </c>
      <c r="K48" s="19">
        <f t="shared" si="2"/>
        <v>0.8</v>
      </c>
      <c r="L48" s="19">
        <f t="shared" si="2"/>
        <v>0.8</v>
      </c>
      <c r="M48" s="19">
        <f t="shared" si="2"/>
        <v>0.8</v>
      </c>
      <c r="N48" s="19">
        <f t="shared" si="2"/>
        <v>0.8</v>
      </c>
      <c r="O48" s="19">
        <f t="shared" si="2"/>
        <v>0.8</v>
      </c>
    </row>
    <row r="49" spans="1:16" hidden="1" outlineLevel="1">
      <c r="B49" s="807" t="s">
        <v>840</v>
      </c>
      <c r="C49" s="731" t="s">
        <v>1275</v>
      </c>
      <c r="F49" s="783">
        <f>F47*F48</f>
        <v>0</v>
      </c>
      <c r="G49" s="783">
        <f t="shared" ref="G49:O49" si="3">G47*G48</f>
        <v>0</v>
      </c>
      <c r="H49" s="783">
        <f t="shared" si="3"/>
        <v>0</v>
      </c>
      <c r="I49" s="783">
        <f t="shared" si="3"/>
        <v>0</v>
      </c>
      <c r="J49" s="783">
        <f t="shared" si="3"/>
        <v>0</v>
      </c>
      <c r="K49" s="783">
        <f t="shared" si="3"/>
        <v>0</v>
      </c>
      <c r="L49" s="783">
        <f t="shared" si="3"/>
        <v>0</v>
      </c>
      <c r="M49" s="783">
        <f t="shared" si="3"/>
        <v>0</v>
      </c>
      <c r="N49" s="783">
        <f t="shared" si="3"/>
        <v>0</v>
      </c>
      <c r="O49" s="783">
        <f t="shared" si="3"/>
        <v>0</v>
      </c>
    </row>
    <row r="50" spans="1:16" hidden="1" outlineLevel="1">
      <c r="B50" s="807"/>
      <c r="C50" s="731"/>
      <c r="F50" s="783"/>
      <c r="G50" s="783"/>
      <c r="H50" s="783"/>
      <c r="I50" s="783"/>
      <c r="J50" s="783"/>
      <c r="K50" s="783"/>
      <c r="L50" s="783"/>
      <c r="M50" s="783"/>
      <c r="N50" s="783"/>
      <c r="O50" s="783"/>
    </row>
    <row r="51" spans="1:16" hidden="1" outlineLevel="1">
      <c r="C51" s="731" t="s">
        <v>548</v>
      </c>
      <c r="E51" s="121" t="str">
        <f>Preferences.EnergyUnits</f>
        <v>TWh</v>
      </c>
      <c r="F51" s="783">
        <f t="shared" ref="F51:O51" si="4">F$49*Preferences.Unit.Power*Unit.year/Preferences.Unit.Energy</f>
        <v>0</v>
      </c>
      <c r="G51" s="783">
        <f t="shared" si="4"/>
        <v>0</v>
      </c>
      <c r="H51" s="783">
        <f t="shared" si="4"/>
        <v>0</v>
      </c>
      <c r="I51" s="783">
        <f t="shared" si="4"/>
        <v>0</v>
      </c>
      <c r="J51" s="783">
        <f t="shared" si="4"/>
        <v>0</v>
      </c>
      <c r="K51" s="783">
        <f t="shared" si="4"/>
        <v>0</v>
      </c>
      <c r="L51" s="783">
        <f t="shared" si="4"/>
        <v>0</v>
      </c>
      <c r="M51" s="783">
        <f t="shared" si="4"/>
        <v>0</v>
      </c>
      <c r="N51" s="783">
        <f t="shared" si="4"/>
        <v>0</v>
      </c>
      <c r="O51" s="783">
        <f t="shared" si="4"/>
        <v>0</v>
      </c>
    </row>
    <row r="52" spans="1:16" hidden="1" outlineLevel="1">
      <c r="C52" s="807"/>
      <c r="F52" s="783"/>
    </row>
    <row r="54" spans="1:16" ht="22.5" collapsed="1">
      <c r="A54" s="1171"/>
      <c r="B54" s="1231" t="s">
        <v>683</v>
      </c>
      <c r="C54" s="1183"/>
      <c r="D54" s="1183"/>
      <c r="E54" s="1183"/>
      <c r="F54" s="1183"/>
      <c r="G54" s="1183"/>
      <c r="H54" s="1183"/>
      <c r="I54" s="1183"/>
      <c r="J54" s="1183"/>
      <c r="K54" s="1183"/>
      <c r="L54" s="1183"/>
      <c r="M54" s="1183"/>
      <c r="N54" s="1183"/>
      <c r="O54" s="1183"/>
      <c r="P54" s="1185"/>
    </row>
    <row r="55" spans="1:16" hidden="1" outlineLevel="1">
      <c r="B55" s="1172"/>
      <c r="C55" s="1174"/>
      <c r="D55" s="1174"/>
      <c r="E55" s="1174"/>
      <c r="F55" s="1174"/>
      <c r="G55" s="1174"/>
      <c r="H55" s="1174"/>
      <c r="I55" s="1174"/>
      <c r="J55" s="1174"/>
      <c r="K55" s="1174"/>
      <c r="L55" s="1174"/>
      <c r="M55" s="1174"/>
      <c r="N55" s="1174"/>
      <c r="O55" s="1174"/>
      <c r="P55" s="1176"/>
    </row>
    <row r="56" spans="1:16" hidden="1" outlineLevel="1">
      <c r="B56" s="1172"/>
      <c r="C56" s="1186" t="s">
        <v>730</v>
      </c>
      <c r="D56" s="1174"/>
      <c r="E56" s="1175"/>
      <c r="F56" s="1174"/>
      <c r="G56" s="1175"/>
      <c r="H56" s="1174"/>
      <c r="I56" s="1174"/>
      <c r="J56" s="1174"/>
      <c r="K56" s="1174"/>
      <c r="L56" s="1174"/>
      <c r="M56" s="1174"/>
      <c r="N56" s="1174"/>
      <c r="O56" s="1175" t="str">
        <f>Preferences.EnergyUnits</f>
        <v>TWh</v>
      </c>
      <c r="P56" s="1176"/>
    </row>
    <row r="57" spans="1:16" ht="6" hidden="1" customHeight="1" outlineLevel="1">
      <c r="B57" s="1172"/>
      <c r="C57" s="1174"/>
      <c r="D57" s="1174"/>
      <c r="E57" s="1174"/>
      <c r="F57" s="1174"/>
      <c r="G57" s="1174"/>
      <c r="H57" s="1174"/>
      <c r="I57" s="1174"/>
      <c r="J57" s="1174"/>
      <c r="K57" s="1174"/>
      <c r="L57" s="1174"/>
      <c r="M57" s="1174"/>
      <c r="N57" s="1174"/>
      <c r="O57" s="1174"/>
      <c r="P57" s="1176"/>
    </row>
    <row r="58" spans="1:16" ht="15.75" hidden="1" outlineLevel="1">
      <c r="A58" s="3"/>
      <c r="B58" s="1177"/>
      <c r="C58" s="1188" t="s">
        <v>78</v>
      </c>
      <c r="D58" s="1188" t="s">
        <v>418</v>
      </c>
      <c r="E58" s="1188" t="s">
        <v>442</v>
      </c>
      <c r="F58" s="1188" t="s">
        <v>691</v>
      </c>
      <c r="G58" s="1188" t="s">
        <v>692</v>
      </c>
      <c r="H58" s="1189" t="s">
        <v>721</v>
      </c>
      <c r="I58" s="1189" t="s">
        <v>722</v>
      </c>
      <c r="J58" s="1189" t="s">
        <v>723</v>
      </c>
      <c r="K58" s="1189" t="s">
        <v>724</v>
      </c>
      <c r="L58" s="1189" t="s">
        <v>725</v>
      </c>
      <c r="M58" s="1189" t="s">
        <v>726</v>
      </c>
      <c r="N58" s="1189" t="s">
        <v>727</v>
      </c>
      <c r="O58" s="1189" t="s">
        <v>728</v>
      </c>
      <c r="P58" s="1176"/>
    </row>
    <row r="59" spans="1:16" ht="15.75" hidden="1" outlineLevel="1">
      <c r="A59" s="3"/>
      <c r="B59" s="1177"/>
      <c r="C59" s="765" t="s">
        <v>46</v>
      </c>
      <c r="D59" s="765" t="str">
        <f>INDEX(Vectors[Description], MATCH([Vector], Vectors[Code], 0))</f>
        <v>Electricity (supplied to grid)</v>
      </c>
      <c r="E59" s="765"/>
      <c r="F59" s="953">
        <f>F$51</f>
        <v>0</v>
      </c>
      <c r="G59" s="953">
        <f t="shared" ref="G59:O59" si="5">G$51</f>
        <v>0</v>
      </c>
      <c r="H59" s="953">
        <f t="shared" si="5"/>
        <v>0</v>
      </c>
      <c r="I59" s="953">
        <f t="shared" si="5"/>
        <v>0</v>
      </c>
      <c r="J59" s="953">
        <f t="shared" si="5"/>
        <v>0</v>
      </c>
      <c r="K59" s="953">
        <f t="shared" si="5"/>
        <v>0</v>
      </c>
      <c r="L59" s="953">
        <f t="shared" si="5"/>
        <v>0</v>
      </c>
      <c r="M59" s="953">
        <f t="shared" si="5"/>
        <v>0</v>
      </c>
      <c r="N59" s="953">
        <f t="shared" si="5"/>
        <v>0</v>
      </c>
      <c r="O59" s="953">
        <f t="shared" si="5"/>
        <v>0</v>
      </c>
      <c r="P59" s="1176"/>
    </row>
    <row r="60" spans="1:16" ht="15.75" hidden="1" outlineLevel="1">
      <c r="A60" s="3"/>
      <c r="B60" s="1177"/>
      <c r="C60" s="765" t="s">
        <v>11</v>
      </c>
      <c r="D60" s="765" t="str">
        <f>INDEX(Vectors[Description], MATCH([Vector], Vectors[Code], 0))</f>
        <v>Geothermal</v>
      </c>
      <c r="E60" s="765"/>
      <c r="F60" s="953">
        <f>-F51</f>
        <v>0</v>
      </c>
      <c r="G60" s="953">
        <f t="shared" ref="G60:O60" si="6">-G51</f>
        <v>0</v>
      </c>
      <c r="H60" s="953">
        <f t="shared" si="6"/>
        <v>0</v>
      </c>
      <c r="I60" s="953">
        <f t="shared" si="6"/>
        <v>0</v>
      </c>
      <c r="J60" s="953">
        <f t="shared" si="6"/>
        <v>0</v>
      </c>
      <c r="K60" s="953">
        <f t="shared" si="6"/>
        <v>0</v>
      </c>
      <c r="L60" s="953">
        <f t="shared" si="6"/>
        <v>0</v>
      </c>
      <c r="M60" s="953">
        <f t="shared" si="6"/>
        <v>0</v>
      </c>
      <c r="N60" s="953">
        <f t="shared" si="6"/>
        <v>0</v>
      </c>
      <c r="O60" s="953">
        <f t="shared" si="6"/>
        <v>0</v>
      </c>
      <c r="P60" s="1176"/>
    </row>
    <row r="61" spans="1:16" ht="15.75" hidden="1" outlineLevel="1">
      <c r="A61" s="3"/>
      <c r="B61" s="1177"/>
      <c r="C61" s="765" t="s">
        <v>148</v>
      </c>
      <c r="D61" s="765"/>
      <c r="E61" s="765"/>
      <c r="F61" s="779">
        <f>SUBTOTAL(109,[2007])</f>
        <v>0</v>
      </c>
      <c r="G61" s="765">
        <f>SUBTOTAL(109,[2010])</f>
        <v>0</v>
      </c>
      <c r="H61" s="765">
        <f>SUBTOTAL(109,[2015])</f>
        <v>0</v>
      </c>
      <c r="I61" s="765">
        <f>SUBTOTAL(109,[2020])</f>
        <v>0</v>
      </c>
      <c r="J61" s="765">
        <f>SUBTOTAL(109,[2025])</f>
        <v>0</v>
      </c>
      <c r="K61" s="765">
        <f>SUBTOTAL(109,[2030])</f>
        <v>0</v>
      </c>
      <c r="L61" s="765">
        <f>SUBTOTAL(109,[2035])</f>
        <v>0</v>
      </c>
      <c r="M61" s="765">
        <f>SUBTOTAL(109,[2040])</f>
        <v>0</v>
      </c>
      <c r="N61" s="765">
        <f>SUBTOTAL(109,[2045])</f>
        <v>0</v>
      </c>
      <c r="O61" s="765">
        <f>SUBTOTAL(109,[2050])</f>
        <v>0</v>
      </c>
      <c r="P61" s="1176"/>
    </row>
    <row r="62" spans="1:16" ht="15.75" hidden="1" outlineLevel="1">
      <c r="A62" s="3"/>
      <c r="B62" s="1178"/>
      <c r="C62" s="1179"/>
      <c r="D62" s="1179"/>
      <c r="E62" s="1179"/>
      <c r="F62" s="1179"/>
      <c r="G62" s="1179"/>
      <c r="H62" s="1179"/>
      <c r="I62" s="1179"/>
      <c r="J62" s="1179"/>
      <c r="K62" s="1179"/>
      <c r="L62" s="1179"/>
      <c r="M62" s="1179"/>
      <c r="N62" s="1179"/>
      <c r="O62" s="1179"/>
      <c r="P62" s="1181"/>
    </row>
  </sheetData>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sheetPr codeName="Sheet46">
    <tabColor theme="9"/>
    <outlinePr summaryBelow="0"/>
    <pageSetUpPr autoPageBreaks="0"/>
  </sheetPr>
  <dimension ref="A1:P74"/>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8" width="10.140625" style="121" bestFit="1" customWidth="1"/>
    <col min="9" max="10" width="11.5703125" style="121" bestFit="1" customWidth="1"/>
    <col min="11" max="13" width="12.7109375" style="121" bestFit="1" customWidth="1"/>
    <col min="14" max="15" width="13.7109375" style="121" bestFit="1" customWidth="1"/>
    <col min="16" max="16" width="2" style="121" customWidth="1"/>
    <col min="17" max="17" width="9.140625" style="121"/>
    <col min="18" max="18" width="10.85546875" style="121" bestFit="1" customWidth="1"/>
    <col min="19" max="16384" width="9.140625" style="121"/>
  </cols>
  <sheetData>
    <row r="1" spans="1:16" ht="21">
      <c r="A1" s="789" t="s">
        <v>77</v>
      </c>
      <c r="B1" s="789" t="str">
        <f>INDEX(Workstreams[Workstream], MATCH($A1, Workstreams[Code], 0))</f>
        <v>Distributed renewable power generation</v>
      </c>
      <c r="C1" s="789"/>
    </row>
    <row r="2" spans="1:16" s="743" customFormat="1" ht="19.5" customHeight="1">
      <c r="A2" s="10" t="s">
        <v>976</v>
      </c>
      <c r="B2" s="10" t="str">
        <f>INDEX(Modules[Module], MATCH($A2, Modules[Code], 0))</f>
        <v>Distributed solar PV</v>
      </c>
      <c r="C2" s="10"/>
    </row>
    <row r="4" spans="1:16" ht="22.5" collapsed="1">
      <c r="A4" s="1171"/>
      <c r="B4" s="1231" t="s">
        <v>1353</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t="5.25" hidden="1" customHeight="1" outlineLevel="1">
      <c r="B6" s="1172"/>
      <c r="C6" s="1173"/>
      <c r="D6" s="1174"/>
      <c r="E6" s="1175"/>
      <c r="F6" s="1174"/>
      <c r="G6" s="1174"/>
      <c r="H6" s="1174"/>
      <c r="I6" s="1174"/>
      <c r="J6" s="1174"/>
      <c r="K6" s="1174"/>
      <c r="L6" s="1174"/>
      <c r="M6" s="1174"/>
      <c r="N6" s="1174"/>
      <c r="O6" s="1174"/>
      <c r="P6" s="1176"/>
    </row>
    <row r="7" spans="1:16" ht="15.75" hidden="1" outlineLevel="1">
      <c r="B7" s="1177"/>
      <c r="C7" s="1174"/>
      <c r="D7" s="922" t="s">
        <v>830</v>
      </c>
      <c r="E7" s="922" t="s">
        <v>1352</v>
      </c>
      <c r="F7" s="1174"/>
      <c r="G7" s="1174"/>
      <c r="H7" s="1174"/>
      <c r="I7" s="1174"/>
      <c r="J7" s="1174"/>
      <c r="K7" s="1174"/>
      <c r="L7" s="1174"/>
      <c r="M7" s="1174"/>
      <c r="N7" s="1174"/>
      <c r="O7" s="1174"/>
      <c r="P7" s="1176"/>
    </row>
    <row r="8" spans="1:16" ht="15.75" hidden="1" outlineLevel="1">
      <c r="B8" s="1177"/>
      <c r="C8" s="1174"/>
      <c r="D8" s="950" t="s">
        <v>1355</v>
      </c>
      <c r="E8" s="950">
        <f>IV.a.Scenario</f>
        <v>1</v>
      </c>
      <c r="F8" s="1174"/>
      <c r="G8" s="1174"/>
      <c r="H8" s="1174"/>
      <c r="I8" s="1174"/>
      <c r="J8" s="1174"/>
      <c r="K8" s="1174"/>
      <c r="L8" s="1174"/>
      <c r="M8" s="1174"/>
      <c r="N8" s="1174"/>
      <c r="O8" s="1174"/>
      <c r="P8" s="1176"/>
    </row>
    <row r="9" spans="1:16" hidden="1" outlineLevel="1">
      <c r="B9" s="1192"/>
      <c r="C9" s="1180"/>
      <c r="D9" s="1180"/>
      <c r="E9" s="1180"/>
      <c r="F9" s="1180"/>
      <c r="G9" s="1180"/>
      <c r="H9" s="1180"/>
      <c r="I9" s="1180"/>
      <c r="J9" s="1180"/>
      <c r="K9" s="1180"/>
      <c r="L9" s="1180"/>
      <c r="M9" s="1180"/>
      <c r="N9" s="1180"/>
      <c r="O9" s="1180"/>
      <c r="P9" s="1181"/>
    </row>
    <row r="11" spans="1:16" ht="22.5" collapsed="1">
      <c r="A11" s="1171"/>
      <c r="B11" s="1236" t="s">
        <v>1354</v>
      </c>
      <c r="C11" s="1167"/>
      <c r="D11" s="1167"/>
      <c r="E11" s="1167"/>
      <c r="F11" s="1167"/>
      <c r="G11" s="1167"/>
      <c r="H11" s="1167"/>
      <c r="I11" s="1167"/>
      <c r="J11" s="1167"/>
      <c r="K11" s="1167"/>
      <c r="L11" s="1167"/>
      <c r="M11" s="1167"/>
      <c r="N11" s="1167"/>
      <c r="O11" s="1167"/>
      <c r="P11" s="1168"/>
    </row>
    <row r="12" spans="1:16" hidden="1" outlineLevel="1">
      <c r="B12" s="1157"/>
      <c r="C12" s="864"/>
      <c r="D12" s="864"/>
      <c r="E12" s="864"/>
      <c r="F12" s="864"/>
      <c r="G12" s="864"/>
      <c r="H12" s="864"/>
      <c r="I12" s="864"/>
      <c r="J12" s="864"/>
      <c r="K12" s="864"/>
      <c r="L12" s="864"/>
      <c r="M12" s="864"/>
      <c r="N12" s="864"/>
      <c r="O12" s="864"/>
      <c r="P12" s="1158"/>
    </row>
    <row r="13" spans="1:16" hidden="1" outlineLevel="1">
      <c r="B13" s="1157"/>
      <c r="C13" s="866" t="s">
        <v>2277</v>
      </c>
      <c r="D13" s="864"/>
      <c r="E13" s="867"/>
      <c r="F13" s="864"/>
      <c r="G13" s="864"/>
      <c r="H13" s="864"/>
      <c r="I13" s="864"/>
      <c r="J13" s="864"/>
      <c r="K13" s="864"/>
      <c r="L13" s="864"/>
      <c r="M13" s="864"/>
      <c r="N13" s="864"/>
      <c r="O13" s="867" t="str">
        <f>Preferences.PowerUnits</f>
        <v>GW</v>
      </c>
      <c r="P13" s="1158"/>
    </row>
    <row r="14" spans="1:16" ht="5.25" hidden="1" customHeight="1" outlineLevel="1">
      <c r="B14" s="1157"/>
      <c r="C14" s="864"/>
      <c r="D14" s="864"/>
      <c r="E14" s="864"/>
      <c r="F14" s="864"/>
      <c r="G14" s="864"/>
      <c r="H14" s="864"/>
      <c r="I14" s="864"/>
      <c r="J14" s="864"/>
      <c r="K14" s="864"/>
      <c r="L14" s="864"/>
      <c r="M14" s="864"/>
      <c r="N14" s="864"/>
      <c r="O14" s="864"/>
      <c r="P14" s="1158"/>
    </row>
    <row r="15" spans="1:16" ht="15.75" hidden="1" outlineLevel="1">
      <c r="B15" s="1159"/>
      <c r="C15" s="766" t="s">
        <v>1352</v>
      </c>
      <c r="D15" s="766" t="s">
        <v>79</v>
      </c>
      <c r="E15" s="766" t="s">
        <v>442</v>
      </c>
      <c r="F15" s="923">
        <v>2007</v>
      </c>
      <c r="G15" s="924">
        <v>2010</v>
      </c>
      <c r="H15" s="923">
        <v>2015</v>
      </c>
      <c r="I15" s="923">
        <v>2020</v>
      </c>
      <c r="J15" s="923">
        <v>2025</v>
      </c>
      <c r="K15" s="923">
        <v>2030</v>
      </c>
      <c r="L15" s="923">
        <v>2035</v>
      </c>
      <c r="M15" s="923">
        <v>2040</v>
      </c>
      <c r="N15" s="923">
        <v>2045</v>
      </c>
      <c r="O15" s="923">
        <v>2050</v>
      </c>
      <c r="P15" s="1158"/>
    </row>
    <row r="16" spans="1:16" ht="15.75" hidden="1" outlineLevel="1">
      <c r="B16" s="1161"/>
      <c r="C16" s="831">
        <v>1</v>
      </c>
      <c r="D16" s="832"/>
      <c r="E16" s="833"/>
      <c r="F16" s="913">
        <f>0.02*Unit.GW</f>
        <v>0.02</v>
      </c>
      <c r="G16" s="1717">
        <f>0.033*Unit.GW</f>
        <v>3.3000000000000002E-2</v>
      </c>
      <c r="H16" s="913">
        <f>0.016*Unit.GW</f>
        <v>1.6E-2</v>
      </c>
      <c r="I16" s="913">
        <v>0</v>
      </c>
      <c r="J16" s="913">
        <v>0</v>
      </c>
      <c r="K16" s="913">
        <v>0</v>
      </c>
      <c r="L16" s="913">
        <v>0</v>
      </c>
      <c r="M16" s="913">
        <v>0</v>
      </c>
      <c r="N16" s="913">
        <v>0</v>
      </c>
      <c r="O16" s="913">
        <v>0</v>
      </c>
      <c r="P16" s="1162"/>
    </row>
    <row r="17" spans="1:16" ht="15.75" hidden="1" outlineLevel="1">
      <c r="B17" s="1159"/>
      <c r="C17" s="831">
        <v>2</v>
      </c>
      <c r="D17" s="832"/>
      <c r="E17" s="832"/>
      <c r="F17" s="913">
        <f>(Unit.GW)*0.02</f>
        <v>0.02</v>
      </c>
      <c r="G17" s="1720">
        <f>(Unit.GW)*0.04812208</f>
        <v>4.8122079999999998E-2</v>
      </c>
      <c r="H17" s="1721">
        <f>(Unit.GW)*0.207906650909</f>
        <v>0.20790665090900001</v>
      </c>
      <c r="I17" s="1721">
        <f>(Unit.GW)*0.898239965774483</f>
        <v>0.89823996577448295</v>
      </c>
      <c r="J17" s="1721">
        <f>(Unit.GW)*2.28206289133007</f>
        <v>2.28206289133007</v>
      </c>
      <c r="K17" s="1721">
        <f>(Unit.GW)*5.79779484148812</f>
        <v>5.7977948414881197</v>
      </c>
      <c r="L17" s="1721">
        <f>(Unit.GW)*10.8246133579908</f>
        <v>10.824613357990801</v>
      </c>
      <c r="M17" s="1721">
        <f>(Unit.GW)*20.2097965784382</f>
        <v>20.209796578438201</v>
      </c>
      <c r="N17" s="1721">
        <f>(Unit.GW)*37.7321447181613</f>
        <v>37.732144718161301</v>
      </c>
      <c r="O17" s="1721">
        <f>(Unit.GW)*70.4467627621362</f>
        <v>70.446762762136203</v>
      </c>
      <c r="P17" s="1158"/>
    </row>
    <row r="18" spans="1:16" ht="15.75" hidden="1" outlineLevel="1">
      <c r="B18" s="1159"/>
      <c r="C18" s="831">
        <v>3</v>
      </c>
      <c r="D18" s="832"/>
      <c r="E18" s="832"/>
      <c r="F18" s="913">
        <f>(Unit.GW)*0.0199597905478588</f>
        <v>1.9959790547858802E-2</v>
      </c>
      <c r="G18" s="1720">
        <f>(Unit.GW)*0.0608499164589661</f>
        <v>6.0849916458966098E-2</v>
      </c>
      <c r="H18" s="1721">
        <f>(Unit.GW)*0.390031782227315</f>
        <v>0.39003178222731499</v>
      </c>
      <c r="I18" s="1721">
        <f>(Unit.GW)*2.5</f>
        <v>2.5</v>
      </c>
      <c r="J18" s="1721">
        <f>(Unit.GW)*6.35148450938281</f>
        <v>6.3514845093828098</v>
      </c>
      <c r="K18" s="1721">
        <f>(Unit.GW)*16.1365421891719</f>
        <v>16.136542189171902</v>
      </c>
      <c r="L18" s="1721">
        <f>(Unit.GW)*25.1141050187203</f>
        <v>25.114105018720299</v>
      </c>
      <c r="M18" s="1721">
        <f>(Unit.GW)*39.0863335835693</f>
        <v>39.086333583569299</v>
      </c>
      <c r="N18" s="1721">
        <f>(Unit.GW)*60.8320094173079</f>
        <v>60.832009417307901</v>
      </c>
      <c r="O18" s="1721">
        <f>(Unit.GW)*94.6758887434516</f>
        <v>94.675888743451594</v>
      </c>
      <c r="P18" s="1158"/>
    </row>
    <row r="19" spans="1:16" ht="15.75" hidden="1" outlineLevel="1">
      <c r="B19" s="1159"/>
      <c r="C19" s="769">
        <v>4</v>
      </c>
      <c r="D19" s="770"/>
      <c r="E19" s="770"/>
      <c r="F19" s="1722">
        <f>(Unit.GW)*0.0180085487164181</f>
        <v>1.8008548716418101E-2</v>
      </c>
      <c r="G19" s="1723">
        <f>(Unit.GW)*0.0965145657770533</f>
        <v>9.6514565777053293E-2</v>
      </c>
      <c r="H19" s="1724">
        <f>(Unit.GW)*1.58410186231927</f>
        <v>1.58410186231927</v>
      </c>
      <c r="I19" s="1724">
        <f>(Unit.GW)*26</f>
        <v>26</v>
      </c>
      <c r="J19" s="1724">
        <f>(Unit.GW)*105.373530302408</f>
        <v>105.373530302408</v>
      </c>
      <c r="K19" s="1724">
        <f>(Unit.GW)*149.05450745547</f>
        <v>149.05450745547</v>
      </c>
      <c r="L19" s="1724">
        <f>(Unit.GW)*161.203630911659</f>
        <v>161.20363091165899</v>
      </c>
      <c r="M19" s="1724">
        <f>(Unit.GW)*164.012992568036</f>
        <v>164.012992568036</v>
      </c>
      <c r="N19" s="1724">
        <f>(Unit.GW)*164.635504556198</f>
        <v>164.63550455619799</v>
      </c>
      <c r="O19" s="1724">
        <f>(Unit.GW)*164.77214623702</f>
        <v>164.77214623702</v>
      </c>
      <c r="P19" s="1158"/>
    </row>
    <row r="20" spans="1:16" hidden="1" outlineLevel="1">
      <c r="B20" s="1163"/>
      <c r="C20" s="864"/>
      <c r="D20" s="868"/>
      <c r="E20" s="864"/>
      <c r="F20" s="864"/>
      <c r="G20" s="1529"/>
      <c r="H20" s="1529"/>
      <c r="I20" s="1529"/>
      <c r="J20" s="1529"/>
      <c r="K20" s="1529"/>
      <c r="L20" s="1529"/>
      <c r="M20" s="1529"/>
      <c r="N20" s="1529"/>
      <c r="O20" s="1529"/>
      <c r="P20" s="1158"/>
    </row>
    <row r="21" spans="1:16" hidden="1" outlineLevel="1">
      <c r="B21" s="1163"/>
      <c r="C21" s="864" t="s">
        <v>717</v>
      </c>
      <c r="D21" s="868"/>
      <c r="E21" s="864"/>
      <c r="F21" s="864"/>
      <c r="G21" s="864"/>
      <c r="H21" s="864"/>
      <c r="I21" s="864"/>
      <c r="J21" s="864"/>
      <c r="K21" s="864"/>
      <c r="L21" s="864"/>
      <c r="M21" s="864"/>
      <c r="N21" s="864"/>
      <c r="O21" s="864"/>
      <c r="P21" s="1158"/>
    </row>
    <row r="22" spans="1:16" hidden="1" outlineLevel="1">
      <c r="B22" s="1163"/>
      <c r="C22" s="867" t="s">
        <v>109</v>
      </c>
      <c r="D22" s="868" t="s">
        <v>1260</v>
      </c>
      <c r="E22" s="864"/>
      <c r="F22" s="864"/>
      <c r="G22" s="864"/>
      <c r="H22" s="864"/>
      <c r="I22" s="864"/>
      <c r="J22" s="864"/>
      <c r="K22" s="864"/>
      <c r="L22" s="864"/>
      <c r="M22" s="864"/>
      <c r="N22" s="864"/>
      <c r="O22" s="864"/>
      <c r="P22" s="1158"/>
    </row>
    <row r="23" spans="1:16" hidden="1" outlineLevel="1">
      <c r="B23" s="1223"/>
      <c r="C23" s="1165"/>
      <c r="D23" s="1224"/>
      <c r="E23" s="1165"/>
      <c r="F23" s="1165"/>
      <c r="G23" s="1165"/>
      <c r="H23" s="1165"/>
      <c r="I23" s="1165"/>
      <c r="J23" s="1165"/>
      <c r="K23" s="1165"/>
      <c r="L23" s="1165"/>
      <c r="M23" s="1165"/>
      <c r="N23" s="1165"/>
      <c r="O23" s="1165"/>
      <c r="P23" s="1166"/>
    </row>
    <row r="25" spans="1:16" s="743" customFormat="1" ht="22.5" collapsed="1">
      <c r="A25" s="1170"/>
      <c r="B25" s="1236" t="s">
        <v>786</v>
      </c>
      <c r="C25" s="1167"/>
      <c r="D25" s="1167"/>
      <c r="E25" s="1167"/>
      <c r="F25" s="1167"/>
      <c r="G25" s="1167"/>
      <c r="H25" s="1167"/>
      <c r="I25" s="1167"/>
      <c r="J25" s="1167"/>
      <c r="K25" s="1167"/>
      <c r="L25" s="1167"/>
      <c r="M25" s="1167"/>
      <c r="N25" s="1167"/>
      <c r="O25" s="1167"/>
      <c r="P25" s="1168"/>
    </row>
    <row r="26" spans="1:16" hidden="1" outlineLevel="1">
      <c r="B26" s="1157"/>
      <c r="C26" s="864"/>
      <c r="D26" s="864"/>
      <c r="E26" s="864"/>
      <c r="F26" s="864"/>
      <c r="G26" s="864"/>
      <c r="H26" s="864"/>
      <c r="I26" s="864"/>
      <c r="J26" s="864"/>
      <c r="K26" s="864"/>
      <c r="L26" s="864"/>
      <c r="M26" s="864"/>
      <c r="N26" s="864"/>
      <c r="O26" s="864"/>
      <c r="P26" s="1158"/>
    </row>
    <row r="27" spans="1:16" hidden="1" outlineLevel="1">
      <c r="B27" s="1157"/>
      <c r="C27" s="866" t="s">
        <v>805</v>
      </c>
      <c r="D27" s="864"/>
      <c r="E27" s="864"/>
      <c r="F27" s="864"/>
      <c r="G27" s="867"/>
      <c r="H27" s="864"/>
      <c r="I27" s="864"/>
      <c r="J27" s="864"/>
      <c r="K27" s="864"/>
      <c r="L27" s="864"/>
      <c r="M27" s="864"/>
      <c r="N27" s="864"/>
      <c r="O27" s="864"/>
      <c r="P27" s="1158"/>
    </row>
    <row r="28" spans="1:16" ht="6" hidden="1" customHeight="1" outlineLevel="1">
      <c r="B28" s="1157"/>
      <c r="C28" s="864"/>
      <c r="D28" s="864"/>
      <c r="E28" s="864"/>
      <c r="F28" s="864"/>
      <c r="G28" s="864"/>
      <c r="H28" s="864"/>
      <c r="I28" s="864"/>
      <c r="J28" s="864"/>
      <c r="K28" s="864"/>
      <c r="L28" s="864"/>
      <c r="M28" s="864"/>
      <c r="N28" s="864"/>
      <c r="O28" s="864"/>
      <c r="P28" s="1158"/>
    </row>
    <row r="29" spans="1:16" ht="15.75" hidden="1" outlineLevel="1">
      <c r="B29" s="1159"/>
      <c r="C29" s="766" t="s">
        <v>715</v>
      </c>
      <c r="D29" s="766" t="s">
        <v>731</v>
      </c>
      <c r="E29" s="766" t="s">
        <v>442</v>
      </c>
      <c r="F29" s="923">
        <v>2007</v>
      </c>
      <c r="G29" s="924">
        <v>2010</v>
      </c>
      <c r="H29" s="923">
        <v>2015</v>
      </c>
      <c r="I29" s="923">
        <v>2020</v>
      </c>
      <c r="J29" s="923">
        <v>2025</v>
      </c>
      <c r="K29" s="923">
        <v>2030</v>
      </c>
      <c r="L29" s="923">
        <v>2035</v>
      </c>
      <c r="M29" s="923">
        <v>2040</v>
      </c>
      <c r="N29" s="923">
        <v>2045</v>
      </c>
      <c r="O29" s="923">
        <v>2050</v>
      </c>
      <c r="P29" s="1158"/>
    </row>
    <row r="30" spans="1:16" ht="15.75" hidden="1" outlineLevel="1">
      <c r="B30" s="1159"/>
      <c r="C30" s="791" t="s">
        <v>33</v>
      </c>
      <c r="D30" s="792" t="str">
        <f>INDEX(Vectors[Description], MATCH($C30, Vectors[Code], 0))</f>
        <v>Solar</v>
      </c>
      <c r="E30" s="792"/>
      <c r="F30" s="1804">
        <v>9.7000000000000003E-2</v>
      </c>
      <c r="G30" s="799">
        <v>9.7000000000000003E-2</v>
      </c>
      <c r="H30" s="798">
        <v>9.7000000000000003E-2</v>
      </c>
      <c r="I30" s="798">
        <v>9.7000000000000003E-2</v>
      </c>
      <c r="J30" s="798">
        <v>9.7000000000000003E-2</v>
      </c>
      <c r="K30" s="798">
        <v>9.7000000000000003E-2</v>
      </c>
      <c r="L30" s="798">
        <v>9.7000000000000003E-2</v>
      </c>
      <c r="M30" s="798">
        <v>9.7000000000000003E-2</v>
      </c>
      <c r="N30" s="798">
        <v>9.7000000000000003E-2</v>
      </c>
      <c r="O30" s="798">
        <v>9.7000000000000003E-2</v>
      </c>
      <c r="P30" s="1158"/>
    </row>
    <row r="31" spans="1:16" hidden="1" outlineLevel="1">
      <c r="B31" s="1157"/>
      <c r="C31" s="864"/>
      <c r="D31" s="864"/>
      <c r="E31" s="864"/>
      <c r="F31" s="864"/>
      <c r="G31" s="864"/>
      <c r="H31" s="864"/>
      <c r="I31" s="864"/>
      <c r="J31" s="864"/>
      <c r="K31" s="864"/>
      <c r="L31" s="864"/>
      <c r="M31" s="864"/>
      <c r="N31" s="864"/>
      <c r="O31" s="864"/>
      <c r="P31" s="1158"/>
    </row>
    <row r="32" spans="1:16" hidden="1" outlineLevel="1">
      <c r="B32" s="1157"/>
      <c r="C32" s="866" t="s">
        <v>2071</v>
      </c>
      <c r="D32" s="864"/>
      <c r="E32" s="867"/>
      <c r="F32" s="864"/>
      <c r="G32" s="864"/>
      <c r="H32" s="864"/>
      <c r="I32" s="864"/>
      <c r="J32" s="864"/>
      <c r="K32" s="864"/>
      <c r="L32" s="864"/>
      <c r="M32" s="864"/>
      <c r="N32" s="864"/>
      <c r="O32" s="867" t="s">
        <v>844</v>
      </c>
      <c r="P32" s="1158"/>
    </row>
    <row r="33" spans="1:16" ht="6" hidden="1" customHeight="1" outlineLevel="1">
      <c r="B33" s="1157"/>
      <c r="C33" s="864"/>
      <c r="D33" s="864"/>
      <c r="E33" s="864"/>
      <c r="F33" s="864"/>
      <c r="G33" s="864"/>
      <c r="H33" s="864"/>
      <c r="I33" s="864"/>
      <c r="J33" s="864"/>
      <c r="K33" s="864"/>
      <c r="L33" s="864"/>
      <c r="M33" s="864"/>
      <c r="N33" s="864"/>
      <c r="O33" s="864"/>
      <c r="P33" s="1158"/>
    </row>
    <row r="34" spans="1:16" ht="15.75" hidden="1" outlineLevel="1">
      <c r="B34" s="1159"/>
      <c r="C34" s="766" t="s">
        <v>715</v>
      </c>
      <c r="D34" s="766" t="s">
        <v>731</v>
      </c>
      <c r="E34" s="766" t="s">
        <v>442</v>
      </c>
      <c r="F34" s="923">
        <v>2007</v>
      </c>
      <c r="G34" s="924">
        <v>2010</v>
      </c>
      <c r="H34" s="923">
        <v>2015</v>
      </c>
      <c r="I34" s="923">
        <v>2020</v>
      </c>
      <c r="J34" s="923">
        <v>2025</v>
      </c>
      <c r="K34" s="923">
        <v>2030</v>
      </c>
      <c r="L34" s="923">
        <v>2035</v>
      </c>
      <c r="M34" s="923">
        <v>2040</v>
      </c>
      <c r="N34" s="923">
        <v>2045</v>
      </c>
      <c r="O34" s="923">
        <v>2050</v>
      </c>
      <c r="P34" s="1158"/>
    </row>
    <row r="35" spans="1:16" s="743" customFormat="1" ht="15.75" hidden="1" outlineLevel="1">
      <c r="B35" s="1161"/>
      <c r="C35" s="791" t="s">
        <v>33</v>
      </c>
      <c r="D35" s="792" t="str">
        <f>INDEX(Vectors[Description], MATCH($C35, Vectors[Code], 0))</f>
        <v>Solar</v>
      </c>
      <c r="E35" s="792"/>
      <c r="F35" s="1543">
        <v>0.2</v>
      </c>
      <c r="G35" s="798">
        <v>0.2</v>
      </c>
      <c r="H35" s="798">
        <v>0.2</v>
      </c>
      <c r="I35" s="798">
        <v>0.2</v>
      </c>
      <c r="J35" s="798">
        <v>0.2</v>
      </c>
      <c r="K35" s="798">
        <v>0.2</v>
      </c>
      <c r="L35" s="798">
        <v>0.2</v>
      </c>
      <c r="M35" s="798">
        <v>0.2</v>
      </c>
      <c r="N35" s="798">
        <v>0.2</v>
      </c>
      <c r="O35" s="798">
        <v>0.2</v>
      </c>
      <c r="P35" s="1162"/>
    </row>
    <row r="36" spans="1:16" hidden="1" outlineLevel="1">
      <c r="B36" s="1163"/>
      <c r="C36" s="864"/>
      <c r="D36" s="868"/>
      <c r="E36" s="864"/>
      <c r="F36" s="864"/>
      <c r="G36" s="864"/>
      <c r="H36" s="864"/>
      <c r="I36" s="864"/>
      <c r="J36" s="864"/>
      <c r="K36" s="864"/>
      <c r="L36" s="864"/>
      <c r="M36" s="864"/>
      <c r="N36" s="864"/>
      <c r="O36" s="864"/>
      <c r="P36" s="1158"/>
    </row>
    <row r="38" spans="1:16" ht="22.5" collapsed="1">
      <c r="A38" s="1171"/>
      <c r="B38" s="1236" t="s">
        <v>817</v>
      </c>
      <c r="C38" s="1167"/>
      <c r="D38" s="1167"/>
      <c r="E38" s="1167"/>
      <c r="F38" s="1167"/>
      <c r="G38" s="1167"/>
      <c r="H38" s="1167"/>
      <c r="I38" s="1167"/>
      <c r="J38" s="1167"/>
      <c r="K38" s="1167"/>
      <c r="L38" s="1167"/>
      <c r="M38" s="1167"/>
      <c r="N38" s="1167"/>
      <c r="O38" s="1167"/>
      <c r="P38" s="1168"/>
    </row>
    <row r="39" spans="1:16" hidden="1" outlineLevel="1">
      <c r="B39" s="1157"/>
      <c r="C39" s="864"/>
      <c r="D39" s="864"/>
      <c r="E39" s="864"/>
      <c r="F39" s="864"/>
      <c r="G39" s="864"/>
      <c r="H39" s="864"/>
      <c r="I39" s="864"/>
      <c r="J39" s="864"/>
      <c r="K39" s="864"/>
      <c r="L39" s="864"/>
      <c r="M39" s="864"/>
      <c r="N39" s="864"/>
      <c r="O39" s="864"/>
      <c r="P39" s="1158"/>
    </row>
    <row r="40" spans="1:16" hidden="1" outlineLevel="1">
      <c r="B40" s="1157"/>
      <c r="C40" s="866" t="s">
        <v>764</v>
      </c>
      <c r="D40" s="864"/>
      <c r="E40" s="867"/>
      <c r="F40" s="864"/>
      <c r="G40" s="864"/>
      <c r="H40" s="864"/>
      <c r="I40" s="864"/>
      <c r="J40" s="864"/>
      <c r="K40" s="864"/>
      <c r="L40" s="864"/>
      <c r="M40" s="864"/>
      <c r="N40" s="864"/>
      <c r="O40" s="867" t="str">
        <f>Preferences.PowerUnits</f>
        <v>GW</v>
      </c>
      <c r="P40" s="1158"/>
    </row>
    <row r="41" spans="1:16" ht="5.25" hidden="1" customHeight="1" outlineLevel="1">
      <c r="B41" s="1157"/>
      <c r="C41" s="864"/>
      <c r="D41" s="864"/>
      <c r="E41" s="864"/>
      <c r="F41" s="864"/>
      <c r="G41" s="864"/>
      <c r="H41" s="864"/>
      <c r="I41" s="864"/>
      <c r="J41" s="864"/>
      <c r="K41" s="864"/>
      <c r="L41" s="864"/>
      <c r="M41" s="864"/>
      <c r="N41" s="864"/>
      <c r="O41" s="864"/>
      <c r="P41" s="1158"/>
    </row>
    <row r="42" spans="1:16" ht="15.75" hidden="1" outlineLevel="1">
      <c r="B42" s="1159"/>
      <c r="C42" s="766" t="s">
        <v>715</v>
      </c>
      <c r="D42" s="766" t="s">
        <v>79</v>
      </c>
      <c r="E42" s="766" t="s">
        <v>442</v>
      </c>
      <c r="F42" s="923">
        <v>2007</v>
      </c>
      <c r="G42" s="924">
        <v>2010</v>
      </c>
      <c r="H42" s="923">
        <v>2015</v>
      </c>
      <c r="I42" s="923">
        <v>2020</v>
      </c>
      <c r="J42" s="923">
        <v>2025</v>
      </c>
      <c r="K42" s="923">
        <v>2030</v>
      </c>
      <c r="L42" s="923">
        <v>2035</v>
      </c>
      <c r="M42" s="923">
        <v>2040</v>
      </c>
      <c r="N42" s="923">
        <v>2045</v>
      </c>
      <c r="O42" s="923">
        <v>2050</v>
      </c>
      <c r="P42" s="1158"/>
    </row>
    <row r="43" spans="1:16" ht="15.75" hidden="1" outlineLevel="1">
      <c r="B43" s="1161"/>
      <c r="C43" s="791" t="s">
        <v>33</v>
      </c>
      <c r="D43" s="792" t="str">
        <f>INDEX(Vectors[Description], MATCH($C43, Vectors[Code], 0))</f>
        <v>Solar</v>
      </c>
      <c r="E43" s="792"/>
      <c r="F43" s="2331">
        <f>INDEX(F$16:F$19, MATCH($E$8, $C$16:$C$19, 0))</f>
        <v>0.02</v>
      </c>
      <c r="G43" s="1964">
        <f t="shared" ref="G43:O43" si="0">INDEX(G$16:G$19, MATCH($E$8, $C$16:$C$19, 0))</f>
        <v>3.3000000000000002E-2</v>
      </c>
      <c r="H43" s="2331">
        <f t="shared" si="0"/>
        <v>1.6E-2</v>
      </c>
      <c r="I43" s="2331">
        <f t="shared" si="0"/>
        <v>0</v>
      </c>
      <c r="J43" s="2331">
        <f t="shared" si="0"/>
        <v>0</v>
      </c>
      <c r="K43" s="2331">
        <f t="shared" si="0"/>
        <v>0</v>
      </c>
      <c r="L43" s="2331">
        <f t="shared" si="0"/>
        <v>0</v>
      </c>
      <c r="M43" s="2331">
        <f t="shared" si="0"/>
        <v>0</v>
      </c>
      <c r="N43" s="2331">
        <f t="shared" si="0"/>
        <v>0</v>
      </c>
      <c r="O43" s="2331">
        <f t="shared" si="0"/>
        <v>0</v>
      </c>
      <c r="P43" s="1162"/>
    </row>
    <row r="44" spans="1:16" hidden="1" outlineLevel="1">
      <c r="B44" s="1163"/>
      <c r="C44" s="831"/>
      <c r="D44" s="832"/>
      <c r="E44" s="832"/>
      <c r="F44" s="911"/>
      <c r="G44" s="912"/>
      <c r="H44" s="912"/>
      <c r="I44" s="912"/>
      <c r="J44" s="912"/>
      <c r="K44" s="912"/>
      <c r="L44" s="912"/>
      <c r="M44" s="912"/>
      <c r="N44" s="912"/>
      <c r="O44" s="912"/>
      <c r="P44" s="1158"/>
    </row>
    <row r="45" spans="1:16" hidden="1" outlineLevel="1">
      <c r="B45" s="1223"/>
      <c r="C45" s="1194"/>
      <c r="D45" s="1195"/>
      <c r="E45" s="1195"/>
      <c r="F45" s="1252"/>
      <c r="G45" s="1253"/>
      <c r="H45" s="1253"/>
      <c r="I45" s="1253"/>
      <c r="J45" s="1253"/>
      <c r="K45" s="1253"/>
      <c r="L45" s="1253"/>
      <c r="M45" s="1253"/>
      <c r="N45" s="1253"/>
      <c r="O45" s="1253"/>
      <c r="P45" s="1166"/>
    </row>
    <row r="48" spans="1:16" ht="15.75" collapsed="1">
      <c r="B48" s="809" t="s">
        <v>732</v>
      </c>
    </row>
    <row r="49" spans="2:15" hidden="1" outlineLevel="1">
      <c r="B49" s="731">
        <v>1</v>
      </c>
      <c r="C49" s="121" t="s">
        <v>802</v>
      </c>
    </row>
    <row r="50" spans="2:15" hidden="1" outlineLevel="1">
      <c r="F50" s="121">
        <v>2007</v>
      </c>
      <c r="G50" s="121">
        <v>2010</v>
      </c>
      <c r="H50" s="121">
        <v>2015</v>
      </c>
      <c r="I50" s="121">
        <v>2020</v>
      </c>
      <c r="J50" s="121">
        <v>2025</v>
      </c>
      <c r="K50" s="121">
        <v>2030</v>
      </c>
      <c r="L50" s="121">
        <v>2035</v>
      </c>
      <c r="M50" s="121">
        <v>2040</v>
      </c>
      <c r="N50" s="121">
        <v>2045</v>
      </c>
      <c r="O50" s="121">
        <v>2050</v>
      </c>
    </row>
    <row r="51" spans="2:15" hidden="1" outlineLevel="1">
      <c r="B51" s="121" t="s">
        <v>2072</v>
      </c>
    </row>
    <row r="52" spans="2:15" hidden="1" outlineLevel="1">
      <c r="C52" s="731" t="s">
        <v>806</v>
      </c>
      <c r="E52" s="20" t="str">
        <f>Preferences.PowerUnits</f>
        <v>GW</v>
      </c>
      <c r="F52" s="27">
        <f>F$43</f>
        <v>0.02</v>
      </c>
      <c r="G52" s="27">
        <f t="shared" ref="G52:O52" si="1">G$43</f>
        <v>3.3000000000000002E-2</v>
      </c>
      <c r="H52" s="27">
        <f t="shared" si="1"/>
        <v>1.6E-2</v>
      </c>
      <c r="I52" s="27">
        <f t="shared" si="1"/>
        <v>0</v>
      </c>
      <c r="J52" s="27">
        <f t="shared" si="1"/>
        <v>0</v>
      </c>
      <c r="K52" s="27">
        <f t="shared" si="1"/>
        <v>0</v>
      </c>
      <c r="L52" s="27">
        <f t="shared" si="1"/>
        <v>0</v>
      </c>
      <c r="M52" s="27">
        <f t="shared" si="1"/>
        <v>0</v>
      </c>
      <c r="N52" s="27">
        <f t="shared" si="1"/>
        <v>0</v>
      </c>
      <c r="O52" s="27">
        <f t="shared" si="1"/>
        <v>0</v>
      </c>
    </row>
    <row r="53" spans="2:15" hidden="1" outlineLevel="1">
      <c r="B53" s="121" t="s">
        <v>838</v>
      </c>
      <c r="C53" s="121" t="s">
        <v>805</v>
      </c>
      <c r="E53" s="20"/>
      <c r="F53" s="19">
        <f>F$30</f>
        <v>9.7000000000000003E-2</v>
      </c>
      <c r="G53" s="19">
        <f t="shared" ref="G53:O53" si="2">G$30</f>
        <v>9.7000000000000003E-2</v>
      </c>
      <c r="H53" s="19">
        <f t="shared" si="2"/>
        <v>9.7000000000000003E-2</v>
      </c>
      <c r="I53" s="19">
        <f t="shared" si="2"/>
        <v>9.7000000000000003E-2</v>
      </c>
      <c r="J53" s="19">
        <f t="shared" si="2"/>
        <v>9.7000000000000003E-2</v>
      </c>
      <c r="K53" s="19">
        <f t="shared" si="2"/>
        <v>9.7000000000000003E-2</v>
      </c>
      <c r="L53" s="19">
        <f t="shared" si="2"/>
        <v>9.7000000000000003E-2</v>
      </c>
      <c r="M53" s="19">
        <f t="shared" si="2"/>
        <v>9.7000000000000003E-2</v>
      </c>
      <c r="N53" s="19">
        <f t="shared" si="2"/>
        <v>9.7000000000000003E-2</v>
      </c>
      <c r="O53" s="19">
        <f t="shared" si="2"/>
        <v>9.7000000000000003E-2</v>
      </c>
    </row>
    <row r="54" spans="2:15" hidden="1" outlineLevel="1">
      <c r="B54" s="807" t="s">
        <v>840</v>
      </c>
      <c r="C54" s="731" t="s">
        <v>1275</v>
      </c>
      <c r="E54" s="20"/>
      <c r="F54" s="783">
        <f t="shared" ref="F54:O54" si="3">F52*F53</f>
        <v>1.9400000000000001E-3</v>
      </c>
      <c r="G54" s="783">
        <f t="shared" si="3"/>
        <v>3.2010000000000003E-3</v>
      </c>
      <c r="H54" s="783">
        <f t="shared" si="3"/>
        <v>1.552E-3</v>
      </c>
      <c r="I54" s="783">
        <f t="shared" si="3"/>
        <v>0</v>
      </c>
      <c r="J54" s="783">
        <f t="shared" si="3"/>
        <v>0</v>
      </c>
      <c r="K54" s="783">
        <f t="shared" si="3"/>
        <v>0</v>
      </c>
      <c r="L54" s="783">
        <f t="shared" si="3"/>
        <v>0</v>
      </c>
      <c r="M54" s="783">
        <f t="shared" si="3"/>
        <v>0</v>
      </c>
      <c r="N54" s="783">
        <f t="shared" si="3"/>
        <v>0</v>
      </c>
      <c r="O54" s="783">
        <f t="shared" si="3"/>
        <v>0</v>
      </c>
    </row>
    <row r="55" spans="2:15" hidden="1" outlineLevel="1">
      <c r="C55" s="731" t="s">
        <v>548</v>
      </c>
      <c r="E55" s="20" t="str">
        <f>Preferences.EnergyUnits</f>
        <v>TWh</v>
      </c>
      <c r="F55" s="783">
        <f t="shared" ref="F55:N55" si="4">F54*Preferences.Unit.Power*Unit.year/Preferences.Unit.Energy</f>
        <v>1.700604E-2</v>
      </c>
      <c r="G55" s="783">
        <f t="shared" si="4"/>
        <v>2.8059966000000006E-2</v>
      </c>
      <c r="H55" s="783">
        <f t="shared" si="4"/>
        <v>1.3604831999999999E-2</v>
      </c>
      <c r="I55" s="783">
        <f t="shared" si="4"/>
        <v>0</v>
      </c>
      <c r="J55" s="783">
        <f t="shared" si="4"/>
        <v>0</v>
      </c>
      <c r="K55" s="783">
        <f t="shared" si="4"/>
        <v>0</v>
      </c>
      <c r="L55" s="783">
        <f t="shared" si="4"/>
        <v>0</v>
      </c>
      <c r="M55" s="783">
        <f t="shared" si="4"/>
        <v>0</v>
      </c>
      <c r="N55" s="783">
        <f t="shared" si="4"/>
        <v>0</v>
      </c>
      <c r="O55" s="783">
        <f>O54*Preferences.Unit.Power*Unit.year/Preferences.Unit.Energy</f>
        <v>0</v>
      </c>
    </row>
    <row r="56" spans="2:15" hidden="1" outlineLevel="1">
      <c r="E56" s="20"/>
    </row>
    <row r="57" spans="2:15" hidden="1" outlineLevel="1">
      <c r="B57" s="246" t="s">
        <v>2073</v>
      </c>
      <c r="E57" s="20"/>
    </row>
    <row r="58" spans="2:15" hidden="1" outlineLevel="1">
      <c r="B58" s="246"/>
      <c r="C58" s="731" t="s">
        <v>2075</v>
      </c>
      <c r="E58" s="862" t="str">
        <f>Preferences.PowerUnits</f>
        <v>GW</v>
      </c>
      <c r="F58" s="783">
        <f>F54/F$35</f>
        <v>9.7000000000000003E-3</v>
      </c>
      <c r="G58" s="783">
        <f t="shared" ref="G58:O58" si="5">G54/G$35</f>
        <v>1.6005000000000002E-2</v>
      </c>
      <c r="H58" s="783">
        <f t="shared" si="5"/>
        <v>7.7599999999999995E-3</v>
      </c>
      <c r="I58" s="783">
        <f t="shared" si="5"/>
        <v>0</v>
      </c>
      <c r="J58" s="783">
        <f t="shared" si="5"/>
        <v>0</v>
      </c>
      <c r="K58" s="783">
        <f t="shared" si="5"/>
        <v>0</v>
      </c>
      <c r="L58" s="783">
        <f t="shared" si="5"/>
        <v>0</v>
      </c>
      <c r="M58" s="783">
        <f t="shared" si="5"/>
        <v>0</v>
      </c>
      <c r="N58" s="783">
        <f t="shared" si="5"/>
        <v>0</v>
      </c>
      <c r="O58" s="783">
        <f t="shared" si="5"/>
        <v>0</v>
      </c>
    </row>
    <row r="59" spans="2:15" hidden="1" outlineLevel="1">
      <c r="B59" s="2332" t="s">
        <v>2074</v>
      </c>
      <c r="C59" s="121" t="s">
        <v>2076</v>
      </c>
      <c r="E59" s="20" t="str">
        <f>Preferences.PowerUnits &amp; " / m2"</f>
        <v>GW / m2</v>
      </c>
      <c r="F59" s="2333">
        <f t="shared" ref="F59:O59" si="6">Global.UKIncidentSolarEnergy_SouthFacing*Unit.W</f>
        <v>1.1000000000000001E-7</v>
      </c>
      <c r="G59" s="2333">
        <f t="shared" si="6"/>
        <v>1.1000000000000001E-7</v>
      </c>
      <c r="H59" s="2333">
        <f t="shared" si="6"/>
        <v>1.1000000000000001E-7</v>
      </c>
      <c r="I59" s="2333">
        <f t="shared" si="6"/>
        <v>1.1000000000000001E-7</v>
      </c>
      <c r="J59" s="2333">
        <f t="shared" si="6"/>
        <v>1.1000000000000001E-7</v>
      </c>
      <c r="K59" s="2333">
        <f t="shared" si="6"/>
        <v>1.1000000000000001E-7</v>
      </c>
      <c r="L59" s="2333">
        <f t="shared" si="6"/>
        <v>1.1000000000000001E-7</v>
      </c>
      <c r="M59" s="2333">
        <f t="shared" si="6"/>
        <v>1.1000000000000001E-7</v>
      </c>
      <c r="N59" s="2333">
        <f t="shared" si="6"/>
        <v>1.1000000000000001E-7</v>
      </c>
      <c r="O59" s="2333">
        <f t="shared" si="6"/>
        <v>1.1000000000000001E-7</v>
      </c>
    </row>
    <row r="60" spans="2:15" ht="15" hidden="1" outlineLevel="1">
      <c r="B60" s="121" t="s">
        <v>840</v>
      </c>
      <c r="C60" s="731" t="s">
        <v>2079</v>
      </c>
      <c r="E60" s="20" t="s">
        <v>1261</v>
      </c>
      <c r="F60" s="1554">
        <f>F58/F59</f>
        <v>88181.818181818177</v>
      </c>
      <c r="G60" s="1554">
        <f t="shared" ref="G60:O60" si="7">G58/G59</f>
        <v>145500</v>
      </c>
      <c r="H60" s="1554">
        <f t="shared" si="7"/>
        <v>70545.454545454544</v>
      </c>
      <c r="I60" s="1554">
        <f t="shared" si="7"/>
        <v>0</v>
      </c>
      <c r="J60" s="1554">
        <f t="shared" si="7"/>
        <v>0</v>
      </c>
      <c r="K60" s="1554">
        <f t="shared" si="7"/>
        <v>0</v>
      </c>
      <c r="L60" s="1554">
        <f t="shared" si="7"/>
        <v>0</v>
      </c>
      <c r="M60" s="1554">
        <f t="shared" si="7"/>
        <v>0</v>
      </c>
      <c r="N60" s="1554">
        <f t="shared" si="7"/>
        <v>0</v>
      </c>
      <c r="O60" s="1554">
        <f t="shared" si="7"/>
        <v>0</v>
      </c>
    </row>
    <row r="61" spans="2:15" hidden="1" outlineLevel="1">
      <c r="C61" s="731"/>
      <c r="E61" s="20"/>
      <c r="F61" s="1554"/>
      <c r="G61" s="1554"/>
      <c r="H61" s="1554"/>
      <c r="I61" s="1554"/>
      <c r="J61" s="1554"/>
      <c r="K61" s="1554"/>
      <c r="L61" s="1554"/>
      <c r="M61" s="1554"/>
      <c r="N61" s="1554"/>
      <c r="O61" s="1554"/>
    </row>
    <row r="62" spans="2:15" ht="15" hidden="1" outlineLevel="1">
      <c r="C62" s="246" t="s">
        <v>2077</v>
      </c>
      <c r="E62" s="1555" t="s">
        <v>1276</v>
      </c>
      <c r="F62" s="1108">
        <f>F60/INDEX(Global.Assumptions[Households], MATCH(F$50, Global.Assumptions[Year], 0))</f>
        <v>3.3860604617748681E-3</v>
      </c>
      <c r="G62" s="1108">
        <f>G60/INDEX(Global.Assumptions[Households], MATCH(G$50, Global.Assumptions[Year], 0))</f>
        <v>5.4054254868598009E-3</v>
      </c>
      <c r="H62" s="1108">
        <f>H60/INDEX(Global.Assumptions[Households], MATCH(H$50, Global.Assumptions[Year], 0))</f>
        <v>2.4779744474851431E-3</v>
      </c>
      <c r="I62" s="1108">
        <f>I60/INDEX(Global.Assumptions[Households], MATCH(I$50, Global.Assumptions[Year], 0))</f>
        <v>0</v>
      </c>
      <c r="J62" s="1108">
        <f>J60/INDEX(Global.Assumptions[Households], MATCH(J$50, Global.Assumptions[Year], 0))</f>
        <v>0</v>
      </c>
      <c r="K62" s="1108">
        <f>K60/INDEX(Global.Assumptions[Households], MATCH(K$50, Global.Assumptions[Year], 0))</f>
        <v>0</v>
      </c>
      <c r="L62" s="1108">
        <f>L60/INDEX(Global.Assumptions[Households], MATCH(L$50, Global.Assumptions[Year], 0))</f>
        <v>0</v>
      </c>
      <c r="M62" s="1108">
        <f>M60/INDEX(Global.Assumptions[Households], MATCH(M$50, Global.Assumptions[Year], 0))</f>
        <v>0</v>
      </c>
      <c r="N62" s="1108">
        <f>N60/INDEX(Global.Assumptions[Households], MATCH(N$50, Global.Assumptions[Year], 0))</f>
        <v>0</v>
      </c>
      <c r="O62" s="1108">
        <f>O60/INDEX(Global.Assumptions[Households], MATCH(O$50, Global.Assumptions[Year], 0))</f>
        <v>0</v>
      </c>
    </row>
    <row r="63" spans="2:15" ht="15" hidden="1" outlineLevel="1">
      <c r="C63" s="246" t="s">
        <v>2078</v>
      </c>
      <c r="E63" s="1555" t="s">
        <v>1276</v>
      </c>
      <c r="F63" s="1108">
        <f>F60/INDEX(Global.Assumptions[Population], MATCH(F$50, Global.Assumptions[Year], 0))</f>
        <v>1.4462437174129234E-3</v>
      </c>
      <c r="G63" s="1108">
        <f>G60/INDEX(Global.Assumptions[Population], MATCH(G$50, Global.Assumptions[Year], 0))</f>
        <v>2.3383860632962055E-3</v>
      </c>
      <c r="H63" s="1108">
        <f>H60/INDEX(Global.Assumptions[Population], MATCH(H$50, Global.Assumptions[Year], 0))</f>
        <v>1.0963770283264659E-3</v>
      </c>
      <c r="I63" s="1108">
        <f>I60/INDEX(Global.Assumptions[Population], MATCH(I$50, Global.Assumptions[Year], 0))</f>
        <v>0</v>
      </c>
      <c r="J63" s="1108">
        <f>J60/INDEX(Global.Assumptions[Population], MATCH(J$50, Global.Assumptions[Year], 0))</f>
        <v>0</v>
      </c>
      <c r="K63" s="1108">
        <f>K60/INDEX(Global.Assumptions[Population], MATCH(K$50, Global.Assumptions[Year], 0))</f>
        <v>0</v>
      </c>
      <c r="L63" s="1108">
        <f>L60/INDEX(Global.Assumptions[Population], MATCH(L$50, Global.Assumptions[Year], 0))</f>
        <v>0</v>
      </c>
      <c r="M63" s="1108">
        <f>M60/INDEX(Global.Assumptions[Population], MATCH(M$50, Global.Assumptions[Year], 0))</f>
        <v>0</v>
      </c>
      <c r="N63" s="1108">
        <f>N60/INDEX(Global.Assumptions[Population], MATCH(N$50, Global.Assumptions[Year], 0))</f>
        <v>0</v>
      </c>
      <c r="O63" s="1108">
        <f>O60/INDEX(Global.Assumptions[Population], MATCH(O$50, Global.Assumptions[Year], 0))</f>
        <v>0</v>
      </c>
    </row>
    <row r="64" spans="2:15" hidden="1" outlineLevel="1">
      <c r="C64" s="246"/>
      <c r="E64" s="1555"/>
      <c r="F64" s="1108"/>
      <c r="G64" s="1108"/>
      <c r="H64" s="1108"/>
      <c r="I64" s="1108"/>
      <c r="J64" s="1108"/>
      <c r="K64" s="1108"/>
      <c r="L64" s="1108"/>
      <c r="M64" s="1108"/>
      <c r="N64" s="1108"/>
      <c r="O64" s="1108"/>
    </row>
    <row r="66" spans="1:16" ht="22.5" collapsed="1">
      <c r="A66" s="1171"/>
      <c r="B66" s="1231" t="s">
        <v>683</v>
      </c>
      <c r="C66" s="1183"/>
      <c r="D66" s="1183"/>
      <c r="E66" s="1183"/>
      <c r="F66" s="1183"/>
      <c r="G66" s="1183"/>
      <c r="H66" s="1183"/>
      <c r="I66" s="1183"/>
      <c r="J66" s="1183"/>
      <c r="K66" s="1183"/>
      <c r="L66" s="1183"/>
      <c r="M66" s="1183"/>
      <c r="N66" s="1183"/>
      <c r="O66" s="1183"/>
      <c r="P66" s="1185"/>
    </row>
    <row r="67" spans="1:16" hidden="1" outlineLevel="1">
      <c r="B67" s="1172"/>
      <c r="C67" s="1174"/>
      <c r="D67" s="1174"/>
      <c r="E67" s="1174"/>
      <c r="F67" s="1174"/>
      <c r="G67" s="1174"/>
      <c r="H67" s="1174"/>
      <c r="I67" s="1174"/>
      <c r="J67" s="1174"/>
      <c r="K67" s="1174"/>
      <c r="L67" s="1174"/>
      <c r="M67" s="1174"/>
      <c r="N67" s="1174"/>
      <c r="O67" s="1174"/>
      <c r="P67" s="1176"/>
    </row>
    <row r="68" spans="1:16" hidden="1" outlineLevel="1">
      <c r="B68" s="1172"/>
      <c r="C68" s="1186" t="s">
        <v>730</v>
      </c>
      <c r="D68" s="1174"/>
      <c r="E68" s="1175"/>
      <c r="F68" s="1174"/>
      <c r="G68" s="1175"/>
      <c r="H68" s="1174"/>
      <c r="I68" s="1174"/>
      <c r="J68" s="1174"/>
      <c r="K68" s="1174"/>
      <c r="L68" s="1174"/>
      <c r="M68" s="1174"/>
      <c r="N68" s="1174"/>
      <c r="O68" s="1175" t="str">
        <f>Preferences.EnergyUnits</f>
        <v>TWh</v>
      </c>
      <c r="P68" s="1176"/>
    </row>
    <row r="69" spans="1:16" ht="6" hidden="1" customHeight="1" outlineLevel="1">
      <c r="B69" s="1172"/>
      <c r="C69" s="1174"/>
      <c r="D69" s="1174"/>
      <c r="E69" s="1174"/>
      <c r="F69" s="1174"/>
      <c r="G69" s="1174"/>
      <c r="H69" s="1174"/>
      <c r="I69" s="1174"/>
      <c r="J69" s="1174"/>
      <c r="K69" s="1174"/>
      <c r="L69" s="1174"/>
      <c r="M69" s="1174"/>
      <c r="N69" s="1174"/>
      <c r="O69" s="1174"/>
      <c r="P69" s="1176"/>
    </row>
    <row r="70" spans="1:16" ht="15.75" hidden="1" outlineLevel="1">
      <c r="A70" s="3"/>
      <c r="B70" s="1177"/>
      <c r="C70" s="1188" t="s">
        <v>78</v>
      </c>
      <c r="D70" s="1188" t="s">
        <v>418</v>
      </c>
      <c r="E70" s="1188" t="s">
        <v>442</v>
      </c>
      <c r="F70" s="1188" t="s">
        <v>691</v>
      </c>
      <c r="G70" s="1188" t="s">
        <v>692</v>
      </c>
      <c r="H70" s="1189" t="s">
        <v>721</v>
      </c>
      <c r="I70" s="1189" t="s">
        <v>722</v>
      </c>
      <c r="J70" s="1189" t="s">
        <v>723</v>
      </c>
      <c r="K70" s="1189" t="s">
        <v>724</v>
      </c>
      <c r="L70" s="1189" t="s">
        <v>725</v>
      </c>
      <c r="M70" s="1189" t="s">
        <v>726</v>
      </c>
      <c r="N70" s="1189" t="s">
        <v>727</v>
      </c>
      <c r="O70" s="1189" t="s">
        <v>728</v>
      </c>
      <c r="P70" s="1176"/>
    </row>
    <row r="71" spans="1:16" ht="15.75" hidden="1" outlineLevel="1">
      <c r="A71" s="3"/>
      <c r="B71" s="1177"/>
      <c r="C71" s="765" t="s">
        <v>46</v>
      </c>
      <c r="D71" s="765" t="str">
        <f>INDEX(Vectors[Description], MATCH([Vector], Vectors[Code], 0))</f>
        <v>Electricity (supplied to grid)</v>
      </c>
      <c r="E71" s="765"/>
      <c r="F71" s="953">
        <f>F$55</f>
        <v>1.700604E-2</v>
      </c>
      <c r="G71" s="953">
        <f t="shared" ref="G71:O71" si="8">G$55</f>
        <v>2.8059966000000006E-2</v>
      </c>
      <c r="H71" s="953">
        <f t="shared" si="8"/>
        <v>1.3604831999999999E-2</v>
      </c>
      <c r="I71" s="953">
        <f t="shared" si="8"/>
        <v>0</v>
      </c>
      <c r="J71" s="953">
        <f t="shared" si="8"/>
        <v>0</v>
      </c>
      <c r="K71" s="953">
        <f t="shared" si="8"/>
        <v>0</v>
      </c>
      <c r="L71" s="953">
        <f t="shared" si="8"/>
        <v>0</v>
      </c>
      <c r="M71" s="953">
        <f t="shared" si="8"/>
        <v>0</v>
      </c>
      <c r="N71" s="953">
        <f t="shared" si="8"/>
        <v>0</v>
      </c>
      <c r="O71" s="953">
        <f t="shared" si="8"/>
        <v>0</v>
      </c>
      <c r="P71" s="1176"/>
    </row>
    <row r="72" spans="1:16" ht="15.75" hidden="1" outlineLevel="1">
      <c r="A72" s="3"/>
      <c r="B72" s="1177"/>
      <c r="C72" s="765" t="s">
        <v>33</v>
      </c>
      <c r="D72" s="765" t="str">
        <f>INDEX(Vectors[Description], MATCH([Vector], Vectors[Code], 0))</f>
        <v>Solar</v>
      </c>
      <c r="E72" s="765"/>
      <c r="F72" s="953">
        <f>-F$55</f>
        <v>-1.700604E-2</v>
      </c>
      <c r="G72" s="953">
        <f t="shared" ref="G72:O72" si="9">-G$55</f>
        <v>-2.8059966000000006E-2</v>
      </c>
      <c r="H72" s="953">
        <f t="shared" si="9"/>
        <v>-1.3604831999999999E-2</v>
      </c>
      <c r="I72" s="953">
        <f t="shared" si="9"/>
        <v>0</v>
      </c>
      <c r="J72" s="953">
        <f t="shared" si="9"/>
        <v>0</v>
      </c>
      <c r="K72" s="953">
        <f t="shared" si="9"/>
        <v>0</v>
      </c>
      <c r="L72" s="953">
        <f t="shared" si="9"/>
        <v>0</v>
      </c>
      <c r="M72" s="953">
        <f t="shared" si="9"/>
        <v>0</v>
      </c>
      <c r="N72" s="953">
        <f t="shared" si="9"/>
        <v>0</v>
      </c>
      <c r="O72" s="953">
        <f t="shared" si="9"/>
        <v>0</v>
      </c>
      <c r="P72" s="1176"/>
    </row>
    <row r="73" spans="1:16" ht="15.75" hidden="1" outlineLevel="1">
      <c r="A73" s="3"/>
      <c r="B73" s="1177"/>
      <c r="C73" s="765" t="s">
        <v>148</v>
      </c>
      <c r="D73" s="765"/>
      <c r="E73" s="765"/>
      <c r="F73" s="779">
        <f>SUBTOTAL(109,[2007])</f>
        <v>0</v>
      </c>
      <c r="G73" s="765">
        <f>SUBTOTAL(109,[2010])</f>
        <v>0</v>
      </c>
      <c r="H73" s="765">
        <f>SUBTOTAL(109,[2015])</f>
        <v>0</v>
      </c>
      <c r="I73" s="765">
        <f>SUBTOTAL(109,[2020])</f>
        <v>0</v>
      </c>
      <c r="J73" s="765">
        <f>SUBTOTAL(109,[2025])</f>
        <v>0</v>
      </c>
      <c r="K73" s="765">
        <f>SUBTOTAL(109,[2030])</f>
        <v>0</v>
      </c>
      <c r="L73" s="765">
        <f>SUBTOTAL(109,[2035])</f>
        <v>0</v>
      </c>
      <c r="M73" s="765">
        <f>SUBTOTAL(109,[2040])</f>
        <v>0</v>
      </c>
      <c r="N73" s="765">
        <f>SUBTOTAL(109,[2045])</f>
        <v>0</v>
      </c>
      <c r="O73" s="765">
        <f>SUBTOTAL(109,[2050])</f>
        <v>0</v>
      </c>
      <c r="P73" s="1176"/>
    </row>
    <row r="74" spans="1:16" ht="15.75" hidden="1" outlineLevel="1">
      <c r="A74" s="3"/>
      <c r="B74" s="1178"/>
      <c r="C74" s="1179"/>
      <c r="D74" s="1179"/>
      <c r="E74" s="1179"/>
      <c r="F74" s="1179"/>
      <c r="G74" s="1179"/>
      <c r="H74" s="1179"/>
      <c r="I74" s="1179"/>
      <c r="J74" s="1179"/>
      <c r="K74" s="1179"/>
      <c r="L74" s="1179"/>
      <c r="M74" s="1179"/>
      <c r="N74" s="1179"/>
      <c r="O74" s="1179"/>
      <c r="P74" s="1181"/>
    </row>
  </sheetData>
  <pageMargins left="0.7" right="0.7" top="0.75" bottom="0.75" header="0.3" footer="0.3"/>
  <pageSetup paperSize="9" orientation="portrait" r:id="rId1"/>
  <ignoredErrors>
    <ignoredError sqref="F71:F72" calculatedColumn="1"/>
  </ignoredErrors>
  <tableParts count="1">
    <tablePart r:id="rId2"/>
  </tableParts>
</worksheet>
</file>

<file path=xl/worksheets/sheet25.xml><?xml version="1.0" encoding="utf-8"?>
<worksheet xmlns="http://schemas.openxmlformats.org/spreadsheetml/2006/main" xmlns:r="http://schemas.openxmlformats.org/officeDocument/2006/relationships">
  <sheetPr codeName="Sheet47">
    <tabColor theme="9"/>
    <outlinePr summaryBelow="0"/>
    <pageSetUpPr autoPageBreaks="0"/>
  </sheetPr>
  <dimension ref="A1:P66"/>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6" ht="21">
      <c r="A1" s="789" t="s">
        <v>77</v>
      </c>
      <c r="B1" s="789" t="str">
        <f>INDEX(Workstreams[Workstream], MATCH($A1, Workstreams[Code], 0))</f>
        <v>Distributed renewable power generation</v>
      </c>
      <c r="C1" s="789"/>
    </row>
    <row r="2" spans="1:16" s="743" customFormat="1" ht="19.5" customHeight="1">
      <c r="A2" s="10" t="s">
        <v>1329</v>
      </c>
      <c r="B2" s="10" t="str">
        <f>INDEX(Modules[Module], MATCH($A2, Modules[Code], 0))</f>
        <v>Distributed solar thermal</v>
      </c>
      <c r="C2" s="10"/>
    </row>
    <row r="4" spans="1:16" ht="22.5" collapsed="1">
      <c r="A4" s="1171"/>
      <c r="B4" s="1231" t="s">
        <v>1353</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t="5.25" hidden="1" customHeight="1" outlineLevel="1">
      <c r="B6" s="1172"/>
      <c r="C6" s="1173"/>
      <c r="D6" s="1174"/>
      <c r="E6" s="1175"/>
      <c r="F6" s="1174"/>
      <c r="G6" s="1174"/>
      <c r="H6" s="1174"/>
      <c r="I6" s="1174"/>
      <c r="J6" s="1174"/>
      <c r="K6" s="1174"/>
      <c r="L6" s="1174"/>
      <c r="M6" s="1174"/>
      <c r="N6" s="1174"/>
      <c r="O6" s="1174"/>
      <c r="P6" s="1176"/>
    </row>
    <row r="7" spans="1:16" ht="15.75" hidden="1" outlineLevel="1">
      <c r="B7" s="1177"/>
      <c r="C7" s="1174"/>
      <c r="D7" s="922" t="s">
        <v>830</v>
      </c>
      <c r="E7" s="922" t="s">
        <v>1352</v>
      </c>
      <c r="F7" s="1174"/>
      <c r="G7" s="1174"/>
      <c r="H7" s="1174"/>
      <c r="I7" s="1174"/>
      <c r="J7" s="1174"/>
      <c r="K7" s="1174"/>
      <c r="L7" s="1174"/>
      <c r="M7" s="1174"/>
      <c r="N7" s="1174"/>
      <c r="O7" s="1174"/>
      <c r="P7" s="1176"/>
    </row>
    <row r="8" spans="1:16" ht="15.75" hidden="1" outlineLevel="1">
      <c r="B8" s="1177"/>
      <c r="C8" s="1174"/>
      <c r="D8" s="950" t="s">
        <v>1355</v>
      </c>
      <c r="E8" s="950">
        <f>IV.b.Scenario</f>
        <v>1</v>
      </c>
      <c r="F8" s="1174"/>
      <c r="G8" s="1174"/>
      <c r="H8" s="1174"/>
      <c r="I8" s="1174"/>
      <c r="J8" s="1174"/>
      <c r="K8" s="1174"/>
      <c r="L8" s="1174"/>
      <c r="M8" s="1174"/>
      <c r="N8" s="1174"/>
      <c r="O8" s="1174"/>
      <c r="P8" s="1176"/>
    </row>
    <row r="9" spans="1:16" hidden="1" outlineLevel="1">
      <c r="B9" s="1192"/>
      <c r="C9" s="1180"/>
      <c r="D9" s="1180"/>
      <c r="E9" s="1180"/>
      <c r="F9" s="1180"/>
      <c r="G9" s="1180"/>
      <c r="H9" s="1180"/>
      <c r="I9" s="1180"/>
      <c r="J9" s="1180"/>
      <c r="K9" s="1180"/>
      <c r="L9" s="1180"/>
      <c r="M9" s="1180"/>
      <c r="N9" s="1180"/>
      <c r="O9" s="1180"/>
      <c r="P9" s="1181"/>
    </row>
    <row r="11" spans="1:16" ht="22.5" collapsed="1">
      <c r="A11" s="1171"/>
      <c r="B11" s="1236" t="s">
        <v>1354</v>
      </c>
      <c r="C11" s="1167"/>
      <c r="D11" s="1167"/>
      <c r="E11" s="1167"/>
      <c r="F11" s="1167"/>
      <c r="G11" s="1167"/>
      <c r="H11" s="1167"/>
      <c r="I11" s="1167"/>
      <c r="J11" s="1167"/>
      <c r="K11" s="1167"/>
      <c r="L11" s="1167"/>
      <c r="M11" s="1167"/>
      <c r="N11" s="1167"/>
      <c r="O11" s="1167"/>
      <c r="P11" s="1168"/>
    </row>
    <row r="12" spans="1:16" hidden="1" outlineLevel="1">
      <c r="B12" s="1157"/>
      <c r="C12" s="864"/>
      <c r="D12" s="864"/>
      <c r="E12" s="864"/>
      <c r="F12" s="864"/>
      <c r="G12" s="864"/>
      <c r="H12" s="864"/>
      <c r="I12" s="864"/>
      <c r="J12" s="864"/>
      <c r="K12" s="864"/>
      <c r="L12" s="864"/>
      <c r="M12" s="864"/>
      <c r="N12" s="864"/>
      <c r="O12" s="864"/>
      <c r="P12" s="1158"/>
    </row>
    <row r="13" spans="1:16" ht="15" hidden="1" outlineLevel="1">
      <c r="B13" s="1157"/>
      <c r="C13" s="866" t="s">
        <v>1623</v>
      </c>
      <c r="D13" s="864"/>
      <c r="E13" s="867"/>
      <c r="F13" s="864"/>
      <c r="G13" s="864"/>
      <c r="H13" s="864"/>
      <c r="I13" s="864"/>
      <c r="J13" s="864"/>
      <c r="K13" s="864"/>
      <c r="L13" s="864"/>
      <c r="M13" s="864"/>
      <c r="N13" s="864"/>
      <c r="O13" s="867" t="s">
        <v>1621</v>
      </c>
      <c r="P13" s="1158"/>
    </row>
    <row r="14" spans="1:16" ht="5.25" hidden="1" customHeight="1" outlineLevel="1">
      <c r="B14" s="1157"/>
      <c r="C14" s="864"/>
      <c r="D14" s="864"/>
      <c r="E14" s="864"/>
      <c r="F14" s="864"/>
      <c r="G14" s="864"/>
      <c r="H14" s="864"/>
      <c r="I14" s="864"/>
      <c r="J14" s="864"/>
      <c r="K14" s="864"/>
      <c r="L14" s="864"/>
      <c r="M14" s="864"/>
      <c r="N14" s="864"/>
      <c r="O14" s="864"/>
      <c r="P14" s="1158"/>
    </row>
    <row r="15" spans="1:16" ht="15.75" hidden="1" outlineLevel="1">
      <c r="B15" s="1159"/>
      <c r="C15" s="766" t="s">
        <v>1352</v>
      </c>
      <c r="D15" s="766" t="s">
        <v>79</v>
      </c>
      <c r="E15" s="766" t="s">
        <v>442</v>
      </c>
      <c r="F15" s="923">
        <v>2007</v>
      </c>
      <c r="G15" s="924">
        <v>2010</v>
      </c>
      <c r="H15" s="923">
        <v>2015</v>
      </c>
      <c r="I15" s="923">
        <v>2020</v>
      </c>
      <c r="J15" s="923">
        <v>2025</v>
      </c>
      <c r="K15" s="923">
        <v>2030</v>
      </c>
      <c r="L15" s="923">
        <v>2035</v>
      </c>
      <c r="M15" s="923">
        <v>2040</v>
      </c>
      <c r="N15" s="923">
        <v>2045</v>
      </c>
      <c r="O15" s="923">
        <v>2050</v>
      </c>
      <c r="P15" s="1158"/>
    </row>
    <row r="16" spans="1:16" ht="15.75" hidden="1" outlineLevel="1">
      <c r="B16" s="1161"/>
      <c r="C16" s="831">
        <v>1</v>
      </c>
      <c r="D16" s="832"/>
      <c r="E16" s="833"/>
      <c r="F16" s="847">
        <v>0</v>
      </c>
      <c r="G16" s="1805">
        <f>$F16+($O16-$F16)/($O$15-$F$15)*(G$15-$F$15)</f>
        <v>0</v>
      </c>
      <c r="H16" s="1806">
        <f t="shared" ref="H16:N19" si="0">$F16+($O16-$F16)/($O$15-$F$15)*(H$15-$F$15)</f>
        <v>0</v>
      </c>
      <c r="I16" s="1806">
        <f t="shared" si="0"/>
        <v>0</v>
      </c>
      <c r="J16" s="1806">
        <f t="shared" si="0"/>
        <v>0</v>
      </c>
      <c r="K16" s="1806">
        <f t="shared" si="0"/>
        <v>0</v>
      </c>
      <c r="L16" s="1806">
        <f t="shared" si="0"/>
        <v>0</v>
      </c>
      <c r="M16" s="1806">
        <f t="shared" si="0"/>
        <v>0</v>
      </c>
      <c r="N16" s="1806">
        <f t="shared" si="0"/>
        <v>0</v>
      </c>
      <c r="O16" s="847">
        <v>0</v>
      </c>
      <c r="P16" s="1162"/>
    </row>
    <row r="17" spans="1:16" ht="15.75" hidden="1" outlineLevel="1">
      <c r="B17" s="1159"/>
      <c r="C17" s="831">
        <v>2</v>
      </c>
      <c r="D17" s="832"/>
      <c r="E17" s="832"/>
      <c r="F17" s="847">
        <v>0</v>
      </c>
      <c r="G17" s="1807">
        <f>$F17+($O17-$F17)/($O$15-$F$15)*(G$15-$F$15)</f>
        <v>6.9767441860465115E-2</v>
      </c>
      <c r="H17" s="1808">
        <f t="shared" si="0"/>
        <v>0.18604651162790697</v>
      </c>
      <c r="I17" s="1808">
        <f t="shared" si="0"/>
        <v>0.30232558139534882</v>
      </c>
      <c r="J17" s="1808">
        <f t="shared" si="0"/>
        <v>0.41860465116279066</v>
      </c>
      <c r="K17" s="1808">
        <f t="shared" si="0"/>
        <v>0.53488372093023251</v>
      </c>
      <c r="L17" s="1808">
        <f t="shared" si="0"/>
        <v>0.65116279069767447</v>
      </c>
      <c r="M17" s="1808">
        <f t="shared" si="0"/>
        <v>0.76744186046511631</v>
      </c>
      <c r="N17" s="1808">
        <f t="shared" si="0"/>
        <v>0.88372093023255816</v>
      </c>
      <c r="O17" s="1091">
        <v>1</v>
      </c>
      <c r="P17" s="1158"/>
    </row>
    <row r="18" spans="1:16" ht="15.75" hidden="1" outlineLevel="1">
      <c r="B18" s="1159"/>
      <c r="C18" s="831">
        <v>3</v>
      </c>
      <c r="D18" s="832"/>
      <c r="E18" s="832"/>
      <c r="F18" s="847">
        <v>0</v>
      </c>
      <c r="G18" s="1807">
        <f>$F18+($O18-$F18)/($O$15-$F$15)*(G$15-$F$15)</f>
        <v>0.20930232558139533</v>
      </c>
      <c r="H18" s="1808">
        <f t="shared" si="0"/>
        <v>0.55813953488372092</v>
      </c>
      <c r="I18" s="1808">
        <f t="shared" si="0"/>
        <v>0.90697674418604646</v>
      </c>
      <c r="J18" s="1808">
        <f t="shared" si="0"/>
        <v>1.2558139534883721</v>
      </c>
      <c r="K18" s="1808">
        <f t="shared" si="0"/>
        <v>1.6046511627906976</v>
      </c>
      <c r="L18" s="1808">
        <f t="shared" si="0"/>
        <v>1.9534883720930232</v>
      </c>
      <c r="M18" s="1808">
        <f t="shared" si="0"/>
        <v>2.3023255813953489</v>
      </c>
      <c r="N18" s="1808">
        <f t="shared" si="0"/>
        <v>2.6511627906976742</v>
      </c>
      <c r="O18" s="1091">
        <v>3</v>
      </c>
      <c r="P18" s="1158"/>
    </row>
    <row r="19" spans="1:16" ht="15.75" hidden="1" outlineLevel="1">
      <c r="B19" s="1159"/>
      <c r="C19" s="769">
        <v>4</v>
      </c>
      <c r="D19" s="770"/>
      <c r="E19" s="770"/>
      <c r="F19" s="782">
        <v>0</v>
      </c>
      <c r="G19" s="1809">
        <f>$F19+($O19-$F19)/($O$15-$F$15)*(G$15-$F$15)</f>
        <v>0.41860465116279066</v>
      </c>
      <c r="H19" s="1810">
        <f t="shared" si="0"/>
        <v>1.1162790697674418</v>
      </c>
      <c r="I19" s="1810">
        <f t="shared" si="0"/>
        <v>1.8139534883720929</v>
      </c>
      <c r="J19" s="1810">
        <f t="shared" si="0"/>
        <v>2.5116279069767442</v>
      </c>
      <c r="K19" s="1810">
        <f t="shared" si="0"/>
        <v>3.2093023255813953</v>
      </c>
      <c r="L19" s="1810">
        <f t="shared" si="0"/>
        <v>3.9069767441860463</v>
      </c>
      <c r="M19" s="1810">
        <f t="shared" si="0"/>
        <v>4.6046511627906979</v>
      </c>
      <c r="N19" s="1810">
        <f t="shared" si="0"/>
        <v>5.3023255813953485</v>
      </c>
      <c r="O19" s="859">
        <v>6</v>
      </c>
      <c r="P19" s="1158"/>
    </row>
    <row r="20" spans="1:16" hidden="1" outlineLevel="1">
      <c r="B20" s="1163"/>
      <c r="C20" s="864"/>
      <c r="D20" s="868"/>
      <c r="E20" s="864"/>
      <c r="F20" s="864"/>
      <c r="G20" s="864"/>
      <c r="H20" s="864"/>
      <c r="I20" s="864"/>
      <c r="J20" s="864"/>
      <c r="K20" s="864"/>
      <c r="L20" s="864"/>
      <c r="M20" s="864"/>
      <c r="N20" s="864"/>
      <c r="O20" s="864"/>
      <c r="P20" s="1158"/>
    </row>
    <row r="21" spans="1:16" hidden="1" outlineLevel="1">
      <c r="B21" s="1551"/>
      <c r="C21" s="864" t="s">
        <v>717</v>
      </c>
      <c r="D21" s="868"/>
      <c r="E21" s="864"/>
      <c r="F21" s="864"/>
      <c r="G21" s="864"/>
      <c r="H21" s="864"/>
      <c r="I21" s="864"/>
      <c r="J21" s="864"/>
      <c r="K21" s="864"/>
      <c r="L21" s="864"/>
      <c r="M21" s="864"/>
      <c r="N21" s="864"/>
      <c r="O21" s="864"/>
      <c r="P21" s="864"/>
    </row>
    <row r="22" spans="1:16" hidden="1" outlineLevel="1">
      <c r="B22" s="1551"/>
      <c r="C22" s="867" t="s">
        <v>109</v>
      </c>
      <c r="D22" s="868" t="s">
        <v>1260</v>
      </c>
      <c r="E22" s="864"/>
      <c r="F22" s="864"/>
      <c r="G22" s="864"/>
      <c r="H22" s="864"/>
      <c r="I22" s="864"/>
      <c r="J22" s="864"/>
      <c r="K22" s="864"/>
      <c r="L22" s="864"/>
      <c r="M22" s="864"/>
      <c r="N22" s="864"/>
      <c r="O22" s="864"/>
      <c r="P22" s="864"/>
    </row>
    <row r="23" spans="1:16" ht="15" hidden="1" outlineLevel="1">
      <c r="B23" s="1551"/>
      <c r="C23" s="867"/>
      <c r="D23" s="868" t="s">
        <v>2278</v>
      </c>
      <c r="E23" s="864"/>
      <c r="F23" s="864"/>
      <c r="G23" s="864"/>
      <c r="H23" s="864"/>
      <c r="I23" s="864"/>
      <c r="J23" s="864"/>
      <c r="K23" s="864"/>
      <c r="L23" s="864"/>
      <c r="M23" s="864"/>
      <c r="N23" s="864"/>
      <c r="O23" s="864"/>
      <c r="P23" s="864"/>
    </row>
    <row r="24" spans="1:16" hidden="1" outlineLevel="1">
      <c r="B24" s="1551"/>
      <c r="C24" s="864"/>
      <c r="D24" s="868"/>
      <c r="E24" s="864"/>
      <c r="F24" s="864"/>
      <c r="G24" s="864"/>
      <c r="H24" s="864"/>
      <c r="I24" s="864"/>
      <c r="J24" s="864"/>
      <c r="K24" s="864"/>
      <c r="L24" s="864"/>
      <c r="M24" s="864"/>
      <c r="N24" s="864"/>
      <c r="O24" s="864"/>
      <c r="P24" s="864"/>
    </row>
    <row r="26" spans="1:16" s="743" customFormat="1" ht="22.5" collapsed="1">
      <c r="A26" s="1170"/>
      <c r="B26" s="1236" t="s">
        <v>786</v>
      </c>
      <c r="C26" s="1167"/>
      <c r="D26" s="1167"/>
      <c r="E26" s="1167"/>
      <c r="F26" s="1167"/>
      <c r="G26" s="1167"/>
      <c r="H26" s="1167"/>
      <c r="I26" s="1167"/>
      <c r="J26" s="1167"/>
      <c r="K26" s="1167"/>
      <c r="L26" s="1167"/>
      <c r="M26" s="1167"/>
      <c r="N26" s="1167"/>
      <c r="O26" s="1167"/>
      <c r="P26" s="1168"/>
    </row>
    <row r="27" spans="1:16" hidden="1" outlineLevel="1">
      <c r="B27" s="1157"/>
      <c r="C27" s="864"/>
      <c r="D27" s="864"/>
      <c r="E27" s="864"/>
      <c r="F27" s="864"/>
      <c r="G27" s="864"/>
      <c r="H27" s="864"/>
      <c r="I27" s="864"/>
      <c r="J27" s="864"/>
      <c r="K27" s="864"/>
      <c r="L27" s="864"/>
      <c r="M27" s="864"/>
      <c r="N27" s="864"/>
      <c r="O27" s="864"/>
      <c r="P27" s="1158"/>
    </row>
    <row r="28" spans="1:16" hidden="1" outlineLevel="1">
      <c r="B28" s="1157"/>
      <c r="C28" s="866" t="s">
        <v>1270</v>
      </c>
      <c r="D28" s="864"/>
      <c r="E28" s="867"/>
      <c r="F28" s="864"/>
      <c r="G28" s="864"/>
      <c r="H28" s="864"/>
      <c r="I28" s="864"/>
      <c r="J28" s="864"/>
      <c r="K28" s="864"/>
      <c r="L28" s="864"/>
      <c r="M28" s="864"/>
      <c r="N28" s="864"/>
      <c r="O28" s="867" t="s">
        <v>844</v>
      </c>
      <c r="P28" s="1158"/>
    </row>
    <row r="29" spans="1:16" ht="6" hidden="1" customHeight="1" outlineLevel="1">
      <c r="B29" s="1157"/>
      <c r="C29" s="864"/>
      <c r="D29" s="864"/>
      <c r="E29" s="864"/>
      <c r="F29" s="864"/>
      <c r="G29" s="864"/>
      <c r="H29" s="864"/>
      <c r="I29" s="864"/>
      <c r="J29" s="864"/>
      <c r="K29" s="864"/>
      <c r="L29" s="864"/>
      <c r="M29" s="864"/>
      <c r="N29" s="864"/>
      <c r="O29" s="864"/>
      <c r="P29" s="1158"/>
    </row>
    <row r="30" spans="1:16" ht="15.75" hidden="1" outlineLevel="1">
      <c r="B30" s="1159"/>
      <c r="C30" s="766" t="s">
        <v>715</v>
      </c>
      <c r="D30" s="766" t="s">
        <v>731</v>
      </c>
      <c r="E30" s="766" t="s">
        <v>442</v>
      </c>
      <c r="F30" s="923">
        <v>2007</v>
      </c>
      <c r="G30" s="924">
        <v>2010</v>
      </c>
      <c r="H30" s="923">
        <v>2015</v>
      </c>
      <c r="I30" s="923">
        <v>2020</v>
      </c>
      <c r="J30" s="923">
        <v>2025</v>
      </c>
      <c r="K30" s="923">
        <v>2030</v>
      </c>
      <c r="L30" s="923">
        <v>2035</v>
      </c>
      <c r="M30" s="923">
        <v>2040</v>
      </c>
      <c r="N30" s="923">
        <v>2045</v>
      </c>
      <c r="O30" s="923">
        <v>2050</v>
      </c>
      <c r="P30" s="1158"/>
    </row>
    <row r="31" spans="1:16" s="743" customFormat="1" ht="15.75" hidden="1" outlineLevel="1">
      <c r="B31" s="1161"/>
      <c r="C31" s="791" t="s">
        <v>33</v>
      </c>
      <c r="D31" s="792" t="str">
        <f>INDEX(Vectors[Description], MATCH($C31, Vectors[Code], 0))</f>
        <v>Solar</v>
      </c>
      <c r="E31" s="792"/>
      <c r="F31" s="1543">
        <v>0.5</v>
      </c>
      <c r="G31" s="2475">
        <f>$F31+($O31-$F31)/($O$30-$F$30)*(G$30-$F$30)</f>
        <v>0.5</v>
      </c>
      <c r="H31" s="2475">
        <f t="shared" ref="H31:N31" si="1">$F31+($O31-$F31)/($O$30-$F$30)*(H$30-$F$30)</f>
        <v>0.5</v>
      </c>
      <c r="I31" s="2475">
        <f t="shared" si="1"/>
        <v>0.5</v>
      </c>
      <c r="J31" s="2475">
        <f t="shared" si="1"/>
        <v>0.5</v>
      </c>
      <c r="K31" s="2475">
        <f t="shared" si="1"/>
        <v>0.5</v>
      </c>
      <c r="L31" s="2475">
        <f t="shared" si="1"/>
        <v>0.5</v>
      </c>
      <c r="M31" s="2475">
        <f t="shared" si="1"/>
        <v>0.5</v>
      </c>
      <c r="N31" s="2475">
        <f t="shared" si="1"/>
        <v>0.5</v>
      </c>
      <c r="O31" s="798">
        <v>0.5</v>
      </c>
      <c r="P31" s="1162"/>
    </row>
    <row r="32" spans="1:16" hidden="1" outlineLevel="1">
      <c r="B32" s="1163"/>
      <c r="C32" s="864"/>
      <c r="D32" s="868"/>
      <c r="E32" s="864"/>
      <c r="F32" s="864"/>
      <c r="G32" s="864"/>
      <c r="H32" s="864"/>
      <c r="I32" s="864"/>
      <c r="J32" s="864"/>
      <c r="K32" s="864"/>
      <c r="L32" s="864"/>
      <c r="M32" s="864"/>
      <c r="N32" s="864"/>
      <c r="O32" s="864"/>
      <c r="P32" s="1158"/>
    </row>
    <row r="33" spans="2:16" hidden="1" outlineLevel="1">
      <c r="B33" s="1551"/>
      <c r="C33" s="866" t="s">
        <v>2320</v>
      </c>
      <c r="D33" s="864"/>
      <c r="E33" s="867"/>
      <c r="F33" s="864"/>
      <c r="G33" s="864"/>
      <c r="H33" s="864"/>
      <c r="I33" s="864"/>
      <c r="J33" s="864"/>
      <c r="K33" s="864"/>
      <c r="L33" s="864"/>
      <c r="M33" s="864"/>
      <c r="N33" s="864"/>
      <c r="O33" s="867" t="s">
        <v>2321</v>
      </c>
      <c r="P33" s="864"/>
    </row>
    <row r="34" spans="2:16" ht="5.25" hidden="1" customHeight="1" outlineLevel="1">
      <c r="B34" s="1551"/>
      <c r="C34" s="864"/>
      <c r="D34" s="864"/>
      <c r="E34" s="864"/>
      <c r="F34" s="864"/>
      <c r="G34" s="864"/>
      <c r="H34" s="864"/>
      <c r="I34" s="864"/>
      <c r="J34" s="864"/>
      <c r="K34" s="864"/>
      <c r="L34" s="864"/>
      <c r="M34" s="864"/>
      <c r="N34" s="864"/>
      <c r="O34" s="864"/>
      <c r="P34" s="864"/>
    </row>
    <row r="35" spans="2:16" ht="15.75" hidden="1" outlineLevel="1">
      <c r="B35" s="2327"/>
      <c r="C35" s="766" t="s">
        <v>715</v>
      </c>
      <c r="D35" s="766" t="s">
        <v>731</v>
      </c>
      <c r="E35" s="766" t="s">
        <v>442</v>
      </c>
      <c r="F35" s="923">
        <v>2007</v>
      </c>
      <c r="G35" s="924">
        <v>2010</v>
      </c>
      <c r="H35" s="923">
        <v>2015</v>
      </c>
      <c r="I35" s="923">
        <v>2020</v>
      </c>
      <c r="J35" s="923">
        <v>2025</v>
      </c>
      <c r="K35" s="923">
        <v>2030</v>
      </c>
      <c r="L35" s="923">
        <v>2035</v>
      </c>
      <c r="M35" s="923">
        <v>2040</v>
      </c>
      <c r="N35" s="923">
        <v>2045</v>
      </c>
      <c r="O35" s="923">
        <v>2050</v>
      </c>
      <c r="P35" s="864"/>
    </row>
    <row r="36" spans="2:16" ht="15.75" hidden="1" outlineLevel="1">
      <c r="B36" s="2327"/>
      <c r="C36" s="791" t="s">
        <v>45</v>
      </c>
      <c r="D36" s="792" t="str">
        <f>INDEX(Vectors[Description], MATCH($C36, Vectors[Code], 0))</f>
        <v>Electricity (delivered to end user)</v>
      </c>
      <c r="E36" s="792"/>
      <c r="F36" s="1543">
        <f>1/14</f>
        <v>7.1428571428571425E-2</v>
      </c>
      <c r="G36" s="2475">
        <f>$F36+($O36-$F36)/($O$30-$F$30)*(G$30-$F$30)</f>
        <v>7.1428571428571425E-2</v>
      </c>
      <c r="H36" s="2475">
        <f t="shared" ref="H36:N36" si="2">$F36+($O36-$F36)/($O$30-$F$30)*(H$30-$F$30)</f>
        <v>7.1428571428571425E-2</v>
      </c>
      <c r="I36" s="2475">
        <f t="shared" si="2"/>
        <v>7.1428571428571425E-2</v>
      </c>
      <c r="J36" s="2475">
        <f t="shared" si="2"/>
        <v>7.1428571428571425E-2</v>
      </c>
      <c r="K36" s="2475">
        <f t="shared" si="2"/>
        <v>7.1428571428571425E-2</v>
      </c>
      <c r="L36" s="2475">
        <f t="shared" si="2"/>
        <v>7.1428571428571425E-2</v>
      </c>
      <c r="M36" s="2475">
        <f t="shared" si="2"/>
        <v>7.1428571428571425E-2</v>
      </c>
      <c r="N36" s="2475">
        <f t="shared" si="2"/>
        <v>7.1428571428571425E-2</v>
      </c>
      <c r="O36" s="798">
        <v>7.1428571428571425E-2</v>
      </c>
      <c r="P36" s="864"/>
    </row>
    <row r="37" spans="2:16" hidden="1" outlineLevel="1">
      <c r="B37" s="1551"/>
      <c r="C37" s="864"/>
      <c r="D37" s="868"/>
      <c r="E37" s="864"/>
      <c r="F37" s="864"/>
      <c r="G37" s="864"/>
      <c r="H37" s="864"/>
      <c r="I37" s="864"/>
      <c r="J37" s="864"/>
      <c r="K37" s="864"/>
      <c r="L37" s="864"/>
      <c r="M37" s="864"/>
      <c r="N37" s="864"/>
      <c r="O37" s="864"/>
      <c r="P37" s="864"/>
    </row>
    <row r="38" spans="2:16" hidden="1" outlineLevel="1">
      <c r="B38" s="1551"/>
      <c r="C38" s="864"/>
      <c r="D38" s="868"/>
      <c r="E38" s="864"/>
      <c r="F38" s="864"/>
      <c r="G38" s="864"/>
      <c r="H38" s="864"/>
      <c r="I38" s="864"/>
      <c r="J38" s="864"/>
      <c r="K38" s="864"/>
      <c r="L38" s="864"/>
      <c r="M38" s="864"/>
      <c r="N38" s="864"/>
      <c r="O38" s="864"/>
      <c r="P38" s="864"/>
    </row>
    <row r="40" spans="2:16" ht="15.75" collapsed="1">
      <c r="B40" s="809" t="s">
        <v>732</v>
      </c>
    </row>
    <row r="41" spans="2:16" hidden="1" outlineLevel="1">
      <c r="B41" s="731">
        <v>1</v>
      </c>
      <c r="C41" s="121" t="s">
        <v>802</v>
      </c>
    </row>
    <row r="42" spans="2:16" hidden="1" outlineLevel="1">
      <c r="F42" s="121">
        <v>2007</v>
      </c>
      <c r="G42" s="121">
        <v>2010</v>
      </c>
      <c r="H42" s="121">
        <v>2015</v>
      </c>
      <c r="I42" s="121">
        <v>2020</v>
      </c>
      <c r="J42" s="121">
        <v>2025</v>
      </c>
      <c r="K42" s="121">
        <v>2030</v>
      </c>
      <c r="L42" s="121">
        <v>2035</v>
      </c>
      <c r="M42" s="121">
        <v>2040</v>
      </c>
      <c r="N42" s="121">
        <v>2045</v>
      </c>
      <c r="O42" s="121">
        <v>2050</v>
      </c>
    </row>
    <row r="43" spans="2:16" ht="15" hidden="1" outlineLevel="1">
      <c r="C43" s="731" t="s">
        <v>1622</v>
      </c>
      <c r="E43" s="20" t="s">
        <v>1261</v>
      </c>
      <c r="F43" s="1554">
        <f>INDEX(F$16:F$19, MATCH($E$8, $C$16:$C$19, 0))</f>
        <v>0</v>
      </c>
      <c r="G43" s="1554">
        <f t="shared" ref="G43:O43" si="3">INDEX(G$16:G$19, MATCH($E$8, $C$16:$C$19, 0))</f>
        <v>0</v>
      </c>
      <c r="H43" s="1554">
        <f t="shared" si="3"/>
        <v>0</v>
      </c>
      <c r="I43" s="1554">
        <f t="shared" si="3"/>
        <v>0</v>
      </c>
      <c r="J43" s="1554">
        <f t="shared" si="3"/>
        <v>0</v>
      </c>
      <c r="K43" s="1554">
        <f t="shared" si="3"/>
        <v>0</v>
      </c>
      <c r="L43" s="1554">
        <f t="shared" si="3"/>
        <v>0</v>
      </c>
      <c r="M43" s="1554">
        <f t="shared" si="3"/>
        <v>0</v>
      </c>
      <c r="N43" s="1554">
        <f t="shared" si="3"/>
        <v>0</v>
      </c>
      <c r="O43" s="1554">
        <f t="shared" si="3"/>
        <v>0</v>
      </c>
    </row>
    <row r="44" spans="2:16" hidden="1" outlineLevel="1">
      <c r="B44" s="121" t="s">
        <v>838</v>
      </c>
      <c r="C44" s="121" t="s">
        <v>856</v>
      </c>
      <c r="E44" s="20"/>
      <c r="F44" s="1554">
        <f>INDEX(Global.Assumptions[Households], MATCH(F$42, Global.Assumptions[Year], 0))</f>
        <v>26042600</v>
      </c>
      <c r="G44" s="1554">
        <f>INDEX(Global.Assumptions[Households], MATCH(G$42, Global.Assumptions[Year], 0))</f>
        <v>26917400</v>
      </c>
      <c r="H44" s="1554">
        <f>INDEX(Global.Assumptions[Households], MATCH(H$42, Global.Assumptions[Year], 0))</f>
        <v>28469000</v>
      </c>
      <c r="I44" s="1554">
        <f>INDEX(Global.Assumptions[Households], MATCH(I$42, Global.Assumptions[Year], 0))</f>
        <v>30004800</v>
      </c>
      <c r="J44" s="1554">
        <f>INDEX(Global.Assumptions[Households], MATCH(J$42, Global.Assumptions[Year], 0))</f>
        <v>31434800</v>
      </c>
      <c r="K44" s="1554">
        <f>INDEX(Global.Assumptions[Households], MATCH(K$42, Global.Assumptions[Year], 0))</f>
        <v>32744800</v>
      </c>
      <c r="L44" s="1554">
        <f>INDEX(Global.Assumptions[Households], MATCH(L$42, Global.Assumptions[Year], 0))</f>
        <v>34415113.888514474</v>
      </c>
      <c r="M44" s="1554">
        <f>INDEX(Global.Assumptions[Households], MATCH(M$42, Global.Assumptions[Year], 0))</f>
        <v>36170630.572164804</v>
      </c>
      <c r="N44" s="1554">
        <f>INDEX(Global.Assumptions[Households], MATCH(N$42, Global.Assumptions[Year], 0))</f>
        <v>38015696.24979952</v>
      </c>
      <c r="O44" s="1554">
        <f>INDEX(Global.Assumptions[Households], MATCH(O$42, Global.Assumptions[Year], 0))</f>
        <v>39954878.82008817</v>
      </c>
    </row>
    <row r="45" spans="2:16" ht="15" hidden="1" outlineLevel="1">
      <c r="B45" s="121" t="s">
        <v>840</v>
      </c>
      <c r="C45" s="731" t="s">
        <v>1271</v>
      </c>
      <c r="E45" s="20" t="s">
        <v>1261</v>
      </c>
      <c r="F45" s="1554">
        <f>F43*F44</f>
        <v>0</v>
      </c>
      <c r="G45" s="1554">
        <f t="shared" ref="G45:O45" si="4">G43*G44</f>
        <v>0</v>
      </c>
      <c r="H45" s="1554">
        <f t="shared" si="4"/>
        <v>0</v>
      </c>
      <c r="I45" s="1554">
        <f t="shared" si="4"/>
        <v>0</v>
      </c>
      <c r="J45" s="1554">
        <f t="shared" si="4"/>
        <v>0</v>
      </c>
      <c r="K45" s="1554">
        <f t="shared" si="4"/>
        <v>0</v>
      </c>
      <c r="L45" s="1554">
        <f t="shared" si="4"/>
        <v>0</v>
      </c>
      <c r="M45" s="1554">
        <f t="shared" si="4"/>
        <v>0</v>
      </c>
      <c r="N45" s="1554">
        <f t="shared" si="4"/>
        <v>0</v>
      </c>
      <c r="O45" s="1554">
        <f t="shared" si="4"/>
        <v>0</v>
      </c>
    </row>
    <row r="46" spans="2:16" ht="15" hidden="1" outlineLevel="1">
      <c r="C46" s="246" t="s">
        <v>1619</v>
      </c>
      <c r="E46" s="1555" t="s">
        <v>1276</v>
      </c>
      <c r="F46" s="1108">
        <f>F45/INDEX(Global.Assumptions[Population], MATCH(F$42, Global.Assumptions[Year], 0))</f>
        <v>0</v>
      </c>
      <c r="G46" s="1108">
        <f>G45/INDEX(Global.Assumptions[Population], MATCH(G$42, Global.Assumptions[Year], 0))</f>
        <v>0</v>
      </c>
      <c r="H46" s="1108">
        <f>H45/INDEX(Global.Assumptions[Population], MATCH(H$42, Global.Assumptions[Year], 0))</f>
        <v>0</v>
      </c>
      <c r="I46" s="1108">
        <f>I45/INDEX(Global.Assumptions[Population], MATCH(I$42, Global.Assumptions[Year], 0))</f>
        <v>0</v>
      </c>
      <c r="J46" s="1108">
        <f>J45/INDEX(Global.Assumptions[Population], MATCH(J$42, Global.Assumptions[Year], 0))</f>
        <v>0</v>
      </c>
      <c r="K46" s="1108">
        <f>K45/INDEX(Global.Assumptions[Population], MATCH(K$42, Global.Assumptions[Year], 0))</f>
        <v>0</v>
      </c>
      <c r="L46" s="1108">
        <f>L45/INDEX(Global.Assumptions[Population], MATCH(L$42, Global.Assumptions[Year], 0))</f>
        <v>0</v>
      </c>
      <c r="M46" s="1108">
        <f>M45/INDEX(Global.Assumptions[Population], MATCH(M$42, Global.Assumptions[Year], 0))</f>
        <v>0</v>
      </c>
      <c r="N46" s="1108">
        <f>N45/INDEX(Global.Assumptions[Population], MATCH(N$42, Global.Assumptions[Year], 0))</f>
        <v>0</v>
      </c>
      <c r="O46" s="1108">
        <f>O45/INDEX(Global.Assumptions[Population], MATCH(O$42, Global.Assumptions[Year], 0))</f>
        <v>0</v>
      </c>
    </row>
    <row r="47" spans="2:16" ht="15" hidden="1" outlineLevel="1">
      <c r="B47" s="121" t="s">
        <v>838</v>
      </c>
      <c r="C47" s="121" t="s">
        <v>1272</v>
      </c>
      <c r="E47" s="20" t="s">
        <v>1266</v>
      </c>
      <c r="F47" s="27">
        <f t="shared" ref="F47:O47" si="5">Global.UKIncidentSolarEnergy_SouthFacing</f>
        <v>110</v>
      </c>
      <c r="G47" s="27">
        <f t="shared" si="5"/>
        <v>110</v>
      </c>
      <c r="H47" s="27">
        <f t="shared" si="5"/>
        <v>110</v>
      </c>
      <c r="I47" s="27">
        <f t="shared" si="5"/>
        <v>110</v>
      </c>
      <c r="J47" s="27">
        <f t="shared" si="5"/>
        <v>110</v>
      </c>
      <c r="K47" s="27">
        <f t="shared" si="5"/>
        <v>110</v>
      </c>
      <c r="L47" s="27">
        <f t="shared" si="5"/>
        <v>110</v>
      </c>
      <c r="M47" s="27">
        <f t="shared" si="5"/>
        <v>110</v>
      </c>
      <c r="N47" s="27">
        <f t="shared" si="5"/>
        <v>110</v>
      </c>
      <c r="O47" s="27">
        <f t="shared" si="5"/>
        <v>110</v>
      </c>
    </row>
    <row r="48" spans="2:16" hidden="1" outlineLevel="1">
      <c r="B48" s="121" t="s">
        <v>840</v>
      </c>
      <c r="C48" s="731" t="s">
        <v>1273</v>
      </c>
      <c r="E48" s="20" t="str">
        <f>Preferences.EnergyUnits &amp; " / year"</f>
        <v>TWh / year</v>
      </c>
      <c r="F48" s="783">
        <f t="shared" ref="F48:O48" si="6">F$45*F$47*Unit.year*Unit.J</f>
        <v>0</v>
      </c>
      <c r="G48" s="783">
        <f t="shared" si="6"/>
        <v>0</v>
      </c>
      <c r="H48" s="783">
        <f t="shared" si="6"/>
        <v>0</v>
      </c>
      <c r="I48" s="783">
        <f t="shared" si="6"/>
        <v>0</v>
      </c>
      <c r="J48" s="783">
        <f t="shared" si="6"/>
        <v>0</v>
      </c>
      <c r="K48" s="783">
        <f t="shared" si="6"/>
        <v>0</v>
      </c>
      <c r="L48" s="783">
        <f t="shared" si="6"/>
        <v>0</v>
      </c>
      <c r="M48" s="783">
        <f t="shared" si="6"/>
        <v>0</v>
      </c>
      <c r="N48" s="783">
        <f t="shared" si="6"/>
        <v>0</v>
      </c>
      <c r="O48" s="783">
        <f t="shared" si="6"/>
        <v>0</v>
      </c>
    </row>
    <row r="49" spans="1:16" hidden="1" outlineLevel="1">
      <c r="B49" s="121" t="s">
        <v>838</v>
      </c>
      <c r="C49" s="121" t="s">
        <v>1274</v>
      </c>
      <c r="E49" s="20"/>
      <c r="F49" s="1547">
        <f>F$31</f>
        <v>0.5</v>
      </c>
      <c r="G49" s="1547">
        <f t="shared" ref="G49:O49" si="7">G$31</f>
        <v>0.5</v>
      </c>
      <c r="H49" s="1547">
        <f t="shared" si="7"/>
        <v>0.5</v>
      </c>
      <c r="I49" s="1547">
        <f t="shared" si="7"/>
        <v>0.5</v>
      </c>
      <c r="J49" s="1547">
        <f t="shared" si="7"/>
        <v>0.5</v>
      </c>
      <c r="K49" s="1547">
        <f t="shared" si="7"/>
        <v>0.5</v>
      </c>
      <c r="L49" s="1547">
        <f t="shared" si="7"/>
        <v>0.5</v>
      </c>
      <c r="M49" s="1547">
        <f t="shared" si="7"/>
        <v>0.5</v>
      </c>
      <c r="N49" s="1547">
        <f t="shared" si="7"/>
        <v>0.5</v>
      </c>
      <c r="O49" s="1547">
        <f t="shared" si="7"/>
        <v>0.5</v>
      </c>
    </row>
    <row r="50" spans="1:16" hidden="1" outlineLevel="1">
      <c r="B50" s="121" t="s">
        <v>840</v>
      </c>
      <c r="C50" s="731" t="s">
        <v>161</v>
      </c>
      <c r="E50" s="862" t="str">
        <f>Preferences.EnergyUnits &amp; " / year"</f>
        <v>TWh / year</v>
      </c>
      <c r="F50" s="783">
        <f>F$48*F$49</f>
        <v>0</v>
      </c>
      <c r="G50" s="783">
        <f t="shared" ref="G50:O50" si="8">G$48*G$49</f>
        <v>0</v>
      </c>
      <c r="H50" s="783">
        <f t="shared" si="8"/>
        <v>0</v>
      </c>
      <c r="I50" s="783">
        <f t="shared" si="8"/>
        <v>0</v>
      </c>
      <c r="J50" s="783">
        <f t="shared" si="8"/>
        <v>0</v>
      </c>
      <c r="K50" s="783">
        <f t="shared" si="8"/>
        <v>0</v>
      </c>
      <c r="L50" s="783">
        <f t="shared" si="8"/>
        <v>0</v>
      </c>
      <c r="M50" s="783">
        <f t="shared" si="8"/>
        <v>0</v>
      </c>
      <c r="N50" s="783">
        <f t="shared" si="8"/>
        <v>0</v>
      </c>
      <c r="O50" s="783">
        <f t="shared" si="8"/>
        <v>0</v>
      </c>
    </row>
    <row r="51" spans="1:16" hidden="1" outlineLevel="1">
      <c r="C51" s="731"/>
      <c r="E51" s="20"/>
      <c r="F51" s="783"/>
      <c r="G51" s="783"/>
      <c r="H51" s="783"/>
      <c r="I51" s="783"/>
      <c r="J51" s="783"/>
      <c r="K51" s="783"/>
      <c r="L51" s="783"/>
      <c r="M51" s="783"/>
      <c r="N51" s="783"/>
      <c r="O51" s="783"/>
    </row>
    <row r="52" spans="1:16" hidden="1" outlineLevel="1">
      <c r="B52" s="121" t="s">
        <v>838</v>
      </c>
      <c r="C52" s="121" t="s">
        <v>2322</v>
      </c>
      <c r="E52" s="20"/>
      <c r="F52" s="1547">
        <f>$F36</f>
        <v>7.1428571428571425E-2</v>
      </c>
      <c r="G52" s="1547">
        <f t="shared" ref="G52:O52" si="9">$F36</f>
        <v>7.1428571428571425E-2</v>
      </c>
      <c r="H52" s="1547">
        <f t="shared" si="9"/>
        <v>7.1428571428571425E-2</v>
      </c>
      <c r="I52" s="1547">
        <f t="shared" si="9"/>
        <v>7.1428571428571425E-2</v>
      </c>
      <c r="J52" s="1547">
        <f t="shared" si="9"/>
        <v>7.1428571428571425E-2</v>
      </c>
      <c r="K52" s="1547">
        <f t="shared" si="9"/>
        <v>7.1428571428571425E-2</v>
      </c>
      <c r="L52" s="1547">
        <f t="shared" si="9"/>
        <v>7.1428571428571425E-2</v>
      </c>
      <c r="M52" s="1547">
        <f t="shared" si="9"/>
        <v>7.1428571428571425E-2</v>
      </c>
      <c r="N52" s="1547">
        <f t="shared" si="9"/>
        <v>7.1428571428571425E-2</v>
      </c>
      <c r="O52" s="1547">
        <f t="shared" si="9"/>
        <v>7.1428571428571425E-2</v>
      </c>
    </row>
    <row r="53" spans="1:16" hidden="1" outlineLevel="1">
      <c r="B53" s="121" t="s">
        <v>840</v>
      </c>
      <c r="C53" s="731" t="s">
        <v>1158</v>
      </c>
      <c r="E53" s="862" t="str">
        <f>Preferences.EnergyUnits &amp; " / year"</f>
        <v>TWh / year</v>
      </c>
      <c r="F53" s="783">
        <f>F$50*F52</f>
        <v>0</v>
      </c>
      <c r="G53" s="783">
        <f t="shared" ref="G53:O53" si="10">G$50*G52</f>
        <v>0</v>
      </c>
      <c r="H53" s="783">
        <f t="shared" si="10"/>
        <v>0</v>
      </c>
      <c r="I53" s="783">
        <f t="shared" si="10"/>
        <v>0</v>
      </c>
      <c r="J53" s="783">
        <f t="shared" si="10"/>
        <v>0</v>
      </c>
      <c r="K53" s="783">
        <f t="shared" si="10"/>
        <v>0</v>
      </c>
      <c r="L53" s="783">
        <f t="shared" si="10"/>
        <v>0</v>
      </c>
      <c r="M53" s="783">
        <f t="shared" si="10"/>
        <v>0</v>
      </c>
      <c r="N53" s="783">
        <f t="shared" si="10"/>
        <v>0</v>
      </c>
      <c r="O53" s="783">
        <f t="shared" si="10"/>
        <v>0</v>
      </c>
    </row>
    <row r="54" spans="1:16" hidden="1" outlineLevel="1">
      <c r="C54" s="807"/>
      <c r="F54" s="783"/>
    </row>
    <row r="56" spans="1:16" ht="22.5" collapsed="1">
      <c r="A56" s="1171"/>
      <c r="B56" s="1231" t="s">
        <v>683</v>
      </c>
      <c r="C56" s="1183"/>
      <c r="D56" s="1183"/>
      <c r="E56" s="1183"/>
      <c r="F56" s="1183"/>
      <c r="G56" s="1183"/>
      <c r="H56" s="1183"/>
      <c r="I56" s="1183"/>
      <c r="J56" s="1183"/>
      <c r="K56" s="1183"/>
      <c r="L56" s="1183"/>
      <c r="M56" s="1183"/>
      <c r="N56" s="1183"/>
      <c r="O56" s="1183"/>
      <c r="P56" s="1185"/>
    </row>
    <row r="57" spans="1:16" hidden="1" outlineLevel="1">
      <c r="B57" s="1172"/>
      <c r="C57" s="1174"/>
      <c r="D57" s="1174"/>
      <c r="E57" s="1174"/>
      <c r="F57" s="1174"/>
      <c r="G57" s="1174"/>
      <c r="H57" s="1174"/>
      <c r="I57" s="1174"/>
      <c r="J57" s="1174"/>
      <c r="K57" s="1174"/>
      <c r="L57" s="1174"/>
      <c r="M57" s="1174"/>
      <c r="N57" s="1174"/>
      <c r="O57" s="1174"/>
      <c r="P57" s="1176"/>
    </row>
    <row r="58" spans="1:16" hidden="1" outlineLevel="1">
      <c r="B58" s="1172"/>
      <c r="C58" s="1186" t="s">
        <v>730</v>
      </c>
      <c r="D58" s="1174"/>
      <c r="E58" s="1175"/>
      <c r="F58" s="1174"/>
      <c r="G58" s="1175"/>
      <c r="H58" s="1174"/>
      <c r="I58" s="1174"/>
      <c r="J58" s="1174"/>
      <c r="K58" s="1174"/>
      <c r="L58" s="1174"/>
      <c r="M58" s="1174"/>
      <c r="N58" s="1174"/>
      <c r="O58" s="1175" t="str">
        <f>Preferences.EnergyUnits</f>
        <v>TWh</v>
      </c>
      <c r="P58" s="1176"/>
    </row>
    <row r="59" spans="1:16" ht="6" hidden="1" customHeight="1" outlineLevel="1">
      <c r="B59" s="1172"/>
      <c r="C59" s="1174"/>
      <c r="D59" s="1174"/>
      <c r="E59" s="1174"/>
      <c r="F59" s="1174"/>
      <c r="G59" s="1174"/>
      <c r="H59" s="1174"/>
      <c r="I59" s="1174"/>
      <c r="J59" s="1174"/>
      <c r="K59" s="1174"/>
      <c r="L59" s="1174"/>
      <c r="M59" s="1174"/>
      <c r="N59" s="1174"/>
      <c r="O59" s="1174"/>
      <c r="P59" s="1176"/>
    </row>
    <row r="60" spans="1:16" ht="15.75" hidden="1" outlineLevel="1">
      <c r="A60" s="3"/>
      <c r="B60" s="1177"/>
      <c r="C60" s="1188" t="s">
        <v>78</v>
      </c>
      <c r="D60" s="1188" t="s">
        <v>418</v>
      </c>
      <c r="E60" s="1188" t="s">
        <v>442</v>
      </c>
      <c r="F60" s="1188" t="s">
        <v>691</v>
      </c>
      <c r="G60" s="1188" t="s">
        <v>692</v>
      </c>
      <c r="H60" s="1189" t="s">
        <v>721</v>
      </c>
      <c r="I60" s="1189" t="s">
        <v>722</v>
      </c>
      <c r="J60" s="1189" t="s">
        <v>723</v>
      </c>
      <c r="K60" s="1189" t="s">
        <v>724</v>
      </c>
      <c r="L60" s="1189" t="s">
        <v>725</v>
      </c>
      <c r="M60" s="1189" t="s">
        <v>726</v>
      </c>
      <c r="N60" s="1189" t="s">
        <v>727</v>
      </c>
      <c r="O60" s="1189" t="s">
        <v>728</v>
      </c>
      <c r="P60" s="1176"/>
    </row>
    <row r="61" spans="1:16" ht="15.75" hidden="1" outlineLevel="1">
      <c r="A61" s="3"/>
      <c r="B61" s="1177"/>
      <c r="C61" s="765" t="s">
        <v>1331</v>
      </c>
      <c r="D61" s="765" t="str">
        <f>INDEX(Vectors[Description], MATCH([Vector], Vectors[Code], 0))</f>
        <v>Domestic solar thermal</v>
      </c>
      <c r="E61" s="765"/>
      <c r="F61" s="953">
        <f>F$50</f>
        <v>0</v>
      </c>
      <c r="G61" s="953">
        <f t="shared" ref="G61:O61" si="11">G$50</f>
        <v>0</v>
      </c>
      <c r="H61" s="953">
        <f t="shared" si="11"/>
        <v>0</v>
      </c>
      <c r="I61" s="953">
        <f t="shared" si="11"/>
        <v>0</v>
      </c>
      <c r="J61" s="953">
        <f t="shared" si="11"/>
        <v>0</v>
      </c>
      <c r="K61" s="953">
        <f t="shared" si="11"/>
        <v>0</v>
      </c>
      <c r="L61" s="953">
        <f t="shared" si="11"/>
        <v>0</v>
      </c>
      <c r="M61" s="953">
        <f t="shared" si="11"/>
        <v>0</v>
      </c>
      <c r="N61" s="953">
        <f t="shared" si="11"/>
        <v>0</v>
      </c>
      <c r="O61" s="953">
        <f t="shared" si="11"/>
        <v>0</v>
      </c>
      <c r="P61" s="1176"/>
    </row>
    <row r="62" spans="1:16" ht="15.75" hidden="1" outlineLevel="1">
      <c r="A62" s="3"/>
      <c r="B62" s="1177"/>
      <c r="C62" s="765" t="s">
        <v>33</v>
      </c>
      <c r="D62" s="765" t="str">
        <f>INDEX(Vectors[Description], MATCH([Vector], Vectors[Code], 0))</f>
        <v>Solar</v>
      </c>
      <c r="E62" s="765"/>
      <c r="F62" s="953">
        <f>-F$50</f>
        <v>0</v>
      </c>
      <c r="G62" s="953">
        <f t="shared" ref="G62:O62" si="12">-G$50</f>
        <v>0</v>
      </c>
      <c r="H62" s="953">
        <f t="shared" si="12"/>
        <v>0</v>
      </c>
      <c r="I62" s="953">
        <f t="shared" si="12"/>
        <v>0</v>
      </c>
      <c r="J62" s="953">
        <f t="shared" si="12"/>
        <v>0</v>
      </c>
      <c r="K62" s="953">
        <f t="shared" si="12"/>
        <v>0</v>
      </c>
      <c r="L62" s="953">
        <f t="shared" si="12"/>
        <v>0</v>
      </c>
      <c r="M62" s="953">
        <f t="shared" si="12"/>
        <v>0</v>
      </c>
      <c r="N62" s="953">
        <f t="shared" si="12"/>
        <v>0</v>
      </c>
      <c r="O62" s="953">
        <f t="shared" si="12"/>
        <v>0</v>
      </c>
      <c r="P62" s="1176"/>
    </row>
    <row r="63" spans="1:16" ht="15.75" hidden="1" outlineLevel="1">
      <c r="A63" s="3"/>
      <c r="B63" s="1177"/>
      <c r="C63" s="765" t="s">
        <v>45</v>
      </c>
      <c r="D63" s="765" t="str">
        <f>INDEX(Vectors[Description], MATCH([Vector], Vectors[Code], 0))</f>
        <v>Electricity (delivered to end user)</v>
      </c>
      <c r="E63" s="765"/>
      <c r="F63" s="953">
        <f>-F$53</f>
        <v>0</v>
      </c>
      <c r="G63" s="953">
        <f t="shared" ref="G63:O63" si="13">-G$53</f>
        <v>0</v>
      </c>
      <c r="H63" s="953">
        <f t="shared" si="13"/>
        <v>0</v>
      </c>
      <c r="I63" s="953">
        <f t="shared" si="13"/>
        <v>0</v>
      </c>
      <c r="J63" s="953">
        <f t="shared" si="13"/>
        <v>0</v>
      </c>
      <c r="K63" s="953">
        <f t="shared" si="13"/>
        <v>0</v>
      </c>
      <c r="L63" s="953">
        <f t="shared" si="13"/>
        <v>0</v>
      </c>
      <c r="M63" s="953">
        <f t="shared" si="13"/>
        <v>0</v>
      </c>
      <c r="N63" s="953">
        <f t="shared" si="13"/>
        <v>0</v>
      </c>
      <c r="O63" s="953">
        <f t="shared" si="13"/>
        <v>0</v>
      </c>
      <c r="P63" s="1176"/>
    </row>
    <row r="64" spans="1:16" ht="15.75" hidden="1" outlineLevel="1">
      <c r="A64" s="3"/>
      <c r="B64" s="1177"/>
      <c r="C64" s="765" t="s">
        <v>57</v>
      </c>
      <c r="D64" s="765" t="str">
        <f>INDEX(Vectors[Description], MATCH([Vector], Vectors[Code], 0))</f>
        <v>Lighting &amp; appliances</v>
      </c>
      <c r="E64" s="765"/>
      <c r="F64" s="953">
        <f>F$53</f>
        <v>0</v>
      </c>
      <c r="G64" s="953">
        <f t="shared" ref="G64:O64" si="14">G$53</f>
        <v>0</v>
      </c>
      <c r="H64" s="953">
        <f t="shared" si="14"/>
        <v>0</v>
      </c>
      <c r="I64" s="953">
        <f t="shared" si="14"/>
        <v>0</v>
      </c>
      <c r="J64" s="953">
        <f t="shared" si="14"/>
        <v>0</v>
      </c>
      <c r="K64" s="953">
        <f t="shared" si="14"/>
        <v>0</v>
      </c>
      <c r="L64" s="953">
        <f t="shared" si="14"/>
        <v>0</v>
      </c>
      <c r="M64" s="953">
        <f t="shared" si="14"/>
        <v>0</v>
      </c>
      <c r="N64" s="953">
        <f t="shared" si="14"/>
        <v>0</v>
      </c>
      <c r="O64" s="953">
        <f t="shared" si="14"/>
        <v>0</v>
      </c>
      <c r="P64" s="1176"/>
    </row>
    <row r="65" spans="1:16" ht="15.75" hidden="1" outlineLevel="1">
      <c r="A65" s="3"/>
      <c r="B65" s="1177"/>
      <c r="C65" s="765" t="s">
        <v>148</v>
      </c>
      <c r="D65" s="765"/>
      <c r="E65" s="765"/>
      <c r="F65" s="779">
        <f>SUBTOTAL(109,[2007])</f>
        <v>0</v>
      </c>
      <c r="G65" s="765">
        <f>SUBTOTAL(109,[2010])</f>
        <v>0</v>
      </c>
      <c r="H65" s="765">
        <f>SUBTOTAL(109,[2015])</f>
        <v>0</v>
      </c>
      <c r="I65" s="765">
        <f>SUBTOTAL(109,[2020])</f>
        <v>0</v>
      </c>
      <c r="J65" s="765">
        <f>SUBTOTAL(109,[2025])</f>
        <v>0</v>
      </c>
      <c r="K65" s="765">
        <f>SUBTOTAL(109,[2030])</f>
        <v>0</v>
      </c>
      <c r="L65" s="765">
        <f>SUBTOTAL(109,[2035])</f>
        <v>0</v>
      </c>
      <c r="M65" s="765">
        <f>SUBTOTAL(109,[2040])</f>
        <v>0</v>
      </c>
      <c r="N65" s="765">
        <f>SUBTOTAL(109,[2045])</f>
        <v>0</v>
      </c>
      <c r="O65" s="765">
        <f>SUBTOTAL(109,[2050])</f>
        <v>0</v>
      </c>
      <c r="P65" s="1176"/>
    </row>
    <row r="66" spans="1:16" ht="15.75" hidden="1" outlineLevel="1">
      <c r="A66" s="3"/>
      <c r="B66" s="1178"/>
      <c r="C66" s="1179"/>
      <c r="D66" s="1179"/>
      <c r="E66" s="1179"/>
      <c r="F66" s="1179"/>
      <c r="G66" s="1179"/>
      <c r="H66" s="1179"/>
      <c r="I66" s="1179"/>
      <c r="J66" s="1179"/>
      <c r="K66" s="1179"/>
      <c r="L66" s="1179"/>
      <c r="M66" s="1179"/>
      <c r="N66" s="1179"/>
      <c r="O66" s="1179"/>
      <c r="P66" s="1181"/>
    </row>
  </sheetData>
  <pageMargins left="0.7" right="0.7" top="0.75" bottom="0.75" header="0.3" footer="0.3"/>
  <pageSetup paperSize="9" orientation="portrait" r:id="rId1"/>
  <ignoredErrors>
    <ignoredError sqref="F61:F62 F63:F64" calculatedColumn="1"/>
  </ignoredErrors>
  <tableParts count="1">
    <tablePart r:id="rId2"/>
  </tableParts>
</worksheet>
</file>

<file path=xl/worksheets/sheet26.xml><?xml version="1.0" encoding="utf-8"?>
<worksheet xmlns="http://schemas.openxmlformats.org/spreadsheetml/2006/main" xmlns:r="http://schemas.openxmlformats.org/officeDocument/2006/relationships">
  <sheetPr codeName="Sheet48">
    <tabColor theme="9"/>
    <outlinePr summaryBelow="0"/>
    <pageSetUpPr autoPageBreaks="0"/>
  </sheetPr>
  <dimension ref="A1:P63"/>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6" ht="21">
      <c r="A1" s="789" t="s">
        <v>77</v>
      </c>
      <c r="B1" s="789" t="str">
        <f>INDEX(Workstreams[Workstream], MATCH($A1, Workstreams[Code], 0))</f>
        <v>Distributed renewable power generation</v>
      </c>
      <c r="C1" s="789"/>
    </row>
    <row r="2" spans="1:16" s="743" customFormat="1" ht="19.5" customHeight="1">
      <c r="A2" s="10" t="s">
        <v>1597</v>
      </c>
      <c r="B2" s="10" t="str">
        <f>INDEX(Modules[Module], MATCH($A2, Modules[Code], 0))</f>
        <v>Micro wind</v>
      </c>
      <c r="C2" s="10"/>
    </row>
    <row r="4" spans="1:16" ht="22.5" collapsed="1">
      <c r="A4" s="1171"/>
      <c r="B4" s="1231" t="s">
        <v>1353</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t="5.25" hidden="1" customHeight="1" outlineLevel="1">
      <c r="B6" s="1172"/>
      <c r="C6" s="1173"/>
      <c r="D6" s="1174"/>
      <c r="E6" s="1175"/>
      <c r="F6" s="1174"/>
      <c r="G6" s="1174"/>
      <c r="H6" s="1174"/>
      <c r="I6" s="1174"/>
      <c r="J6" s="1174"/>
      <c r="K6" s="1174"/>
      <c r="L6" s="1174"/>
      <c r="M6" s="1174"/>
      <c r="N6" s="1174"/>
      <c r="O6" s="1174"/>
      <c r="P6" s="1176"/>
    </row>
    <row r="7" spans="1:16" ht="15.75" hidden="1" outlineLevel="1">
      <c r="B7" s="1177"/>
      <c r="C7" s="1174"/>
      <c r="D7" s="922" t="s">
        <v>830</v>
      </c>
      <c r="E7" s="922" t="s">
        <v>1352</v>
      </c>
      <c r="F7" s="1174"/>
      <c r="G7" s="1174"/>
      <c r="H7" s="1174"/>
      <c r="I7" s="1174"/>
      <c r="J7" s="1174"/>
      <c r="K7" s="1174"/>
      <c r="L7" s="1174"/>
      <c r="M7" s="1174"/>
      <c r="N7" s="1174"/>
      <c r="O7" s="1174"/>
      <c r="P7" s="1176"/>
    </row>
    <row r="8" spans="1:16" ht="15.75" hidden="1" outlineLevel="1">
      <c r="B8" s="1177"/>
      <c r="C8" s="1174"/>
      <c r="D8" s="950" t="s">
        <v>1355</v>
      </c>
      <c r="E8" s="950">
        <f>IV.c.Scenario</f>
        <v>1</v>
      </c>
      <c r="F8" s="1174"/>
      <c r="G8" s="1174"/>
      <c r="H8" s="1174"/>
      <c r="I8" s="1174"/>
      <c r="J8" s="1174"/>
      <c r="K8" s="1174"/>
      <c r="L8" s="1174"/>
      <c r="M8" s="1174"/>
      <c r="N8" s="1174"/>
      <c r="O8" s="1174"/>
      <c r="P8" s="1176"/>
    </row>
    <row r="9" spans="1:16" hidden="1" outlineLevel="1">
      <c r="B9" s="1192"/>
      <c r="C9" s="1180"/>
      <c r="D9" s="1180"/>
      <c r="E9" s="1180"/>
      <c r="F9" s="1180"/>
      <c r="G9" s="1180"/>
      <c r="H9" s="1180"/>
      <c r="I9" s="1180"/>
      <c r="J9" s="1180"/>
      <c r="K9" s="1180"/>
      <c r="L9" s="1180"/>
      <c r="M9" s="1180"/>
      <c r="N9" s="1180"/>
      <c r="O9" s="1180"/>
      <c r="P9" s="1181"/>
    </row>
    <row r="11" spans="1:16" ht="22.5" collapsed="1">
      <c r="A11" s="1171"/>
      <c r="B11" s="1236" t="s">
        <v>1354</v>
      </c>
      <c r="C11" s="1167"/>
      <c r="D11" s="1167"/>
      <c r="E11" s="1167"/>
      <c r="F11" s="1167"/>
      <c r="G11" s="1167"/>
      <c r="H11" s="1167"/>
      <c r="I11" s="1167"/>
      <c r="J11" s="1167"/>
      <c r="K11" s="1167"/>
      <c r="L11" s="1167"/>
      <c r="M11" s="1167"/>
      <c r="N11" s="1167"/>
      <c r="O11" s="1167"/>
      <c r="P11" s="1168"/>
    </row>
    <row r="12" spans="1:16" hidden="1" outlineLevel="1">
      <c r="B12" s="1157"/>
      <c r="C12" s="864"/>
      <c r="D12" s="864"/>
      <c r="E12" s="864"/>
      <c r="F12" s="864"/>
      <c r="G12" s="864"/>
      <c r="H12" s="864"/>
      <c r="I12" s="864"/>
      <c r="J12" s="864"/>
      <c r="K12" s="864"/>
      <c r="L12" s="864"/>
      <c r="M12" s="864"/>
      <c r="N12" s="864"/>
      <c r="O12" s="864"/>
      <c r="P12" s="1158"/>
    </row>
    <row r="13" spans="1:16" hidden="1" outlineLevel="1">
      <c r="B13" s="1157"/>
      <c r="C13" s="866" t="s">
        <v>2069</v>
      </c>
      <c r="D13" s="864"/>
      <c r="E13" s="867"/>
      <c r="F13" s="864"/>
      <c r="G13" s="864"/>
      <c r="H13" s="864"/>
      <c r="I13" s="864"/>
      <c r="J13" s="864"/>
      <c r="K13" s="864"/>
      <c r="L13" s="864"/>
      <c r="M13" s="864"/>
      <c r="N13" s="864"/>
      <c r="O13" s="867" t="str">
        <f>Preferences.PowerUnits</f>
        <v>GW</v>
      </c>
      <c r="P13" s="1158"/>
    </row>
    <row r="14" spans="1:16" ht="5.25" hidden="1" customHeight="1" outlineLevel="1">
      <c r="B14" s="1157"/>
      <c r="C14" s="864"/>
      <c r="D14" s="864"/>
      <c r="E14" s="864"/>
      <c r="F14" s="864"/>
      <c r="G14" s="864"/>
      <c r="H14" s="864"/>
      <c r="I14" s="864"/>
      <c r="J14" s="864"/>
      <c r="K14" s="864"/>
      <c r="L14" s="864"/>
      <c r="M14" s="864"/>
      <c r="N14" s="864"/>
      <c r="O14" s="864"/>
      <c r="P14" s="1158"/>
    </row>
    <row r="15" spans="1:16" ht="15.75" hidden="1" outlineLevel="1">
      <c r="B15" s="1159"/>
      <c r="C15" s="766" t="s">
        <v>1352</v>
      </c>
      <c r="D15" s="766" t="s">
        <v>79</v>
      </c>
      <c r="E15" s="766" t="s">
        <v>442</v>
      </c>
      <c r="F15" s="923">
        <v>2007</v>
      </c>
      <c r="G15" s="924">
        <v>2010</v>
      </c>
      <c r="H15" s="923">
        <v>2015</v>
      </c>
      <c r="I15" s="923">
        <v>2020</v>
      </c>
      <c r="J15" s="923">
        <v>2025</v>
      </c>
      <c r="K15" s="923">
        <v>2030</v>
      </c>
      <c r="L15" s="923">
        <v>2035</v>
      </c>
      <c r="M15" s="923">
        <v>2040</v>
      </c>
      <c r="N15" s="923">
        <v>2045</v>
      </c>
      <c r="O15" s="923">
        <v>2050</v>
      </c>
      <c r="P15" s="1158"/>
    </row>
    <row r="16" spans="1:16" ht="15.75" hidden="1" outlineLevel="1">
      <c r="B16" s="1161"/>
      <c r="C16" s="831">
        <v>1</v>
      </c>
      <c r="D16" s="832"/>
      <c r="E16" s="833"/>
      <c r="F16" s="847">
        <v>0</v>
      </c>
      <c r="G16" s="1833">
        <f t="shared" ref="G16:O16" si="0">(Unit.GW)*0</f>
        <v>0</v>
      </c>
      <c r="H16" s="540">
        <f t="shared" si="0"/>
        <v>0</v>
      </c>
      <c r="I16" s="540">
        <f t="shared" si="0"/>
        <v>0</v>
      </c>
      <c r="J16" s="540">
        <f t="shared" si="0"/>
        <v>0</v>
      </c>
      <c r="K16" s="540">
        <f t="shared" si="0"/>
        <v>0</v>
      </c>
      <c r="L16" s="540">
        <f t="shared" si="0"/>
        <v>0</v>
      </c>
      <c r="M16" s="540">
        <f t="shared" si="0"/>
        <v>0</v>
      </c>
      <c r="N16" s="540">
        <f t="shared" si="0"/>
        <v>0</v>
      </c>
      <c r="O16" s="540">
        <f t="shared" si="0"/>
        <v>0</v>
      </c>
      <c r="P16" s="1162"/>
    </row>
    <row r="17" spans="1:16" ht="15.75" hidden="1" outlineLevel="1">
      <c r="B17" s="1159"/>
      <c r="C17" s="831">
        <v>2</v>
      </c>
      <c r="D17" s="832"/>
      <c r="E17" s="832"/>
      <c r="F17" s="847">
        <v>0</v>
      </c>
      <c r="G17" s="1834">
        <f>(Unit.GW)*0.025</f>
        <v>2.5000000000000001E-2</v>
      </c>
      <c r="H17" s="1835">
        <f>(Unit.GW)*0.2814697265625</f>
        <v>0.28146972656250002</v>
      </c>
      <c r="I17" s="1835">
        <f t="shared" ref="I17:O17" si="1">(Unit.GW)*0.635</f>
        <v>0.63500000000000001</v>
      </c>
      <c r="J17" s="1835">
        <f t="shared" si="1"/>
        <v>0.63500000000000001</v>
      </c>
      <c r="K17" s="1835">
        <f t="shared" si="1"/>
        <v>0.63500000000000001</v>
      </c>
      <c r="L17" s="1835">
        <f t="shared" si="1"/>
        <v>0.63500000000000001</v>
      </c>
      <c r="M17" s="1835">
        <f t="shared" si="1"/>
        <v>0.63500000000000001</v>
      </c>
      <c r="N17" s="1835">
        <f t="shared" si="1"/>
        <v>0.63500000000000001</v>
      </c>
      <c r="O17" s="1835">
        <f t="shared" si="1"/>
        <v>0.63500000000000001</v>
      </c>
      <c r="P17" s="1158"/>
    </row>
    <row r="18" spans="1:16" ht="15.75" hidden="1" outlineLevel="1">
      <c r="B18" s="1159"/>
      <c r="C18" s="831">
        <v>3</v>
      </c>
      <c r="D18" s="832"/>
      <c r="E18" s="832"/>
      <c r="F18" s="847">
        <v>0</v>
      </c>
      <c r="G18" s="1834">
        <f>(Unit.GW)*0.05</f>
        <v>0.05</v>
      </c>
      <c r="H18" s="1835">
        <f>(Unit.GW)*1.0390625</f>
        <v>1.0390625</v>
      </c>
      <c r="I18" s="1835">
        <f t="shared" ref="I18:O18" si="2">(Unit.GW)*1.65</f>
        <v>1.65</v>
      </c>
      <c r="J18" s="1835">
        <f t="shared" si="2"/>
        <v>1.65</v>
      </c>
      <c r="K18" s="1835">
        <f t="shared" si="2"/>
        <v>1.65</v>
      </c>
      <c r="L18" s="1835">
        <f t="shared" si="2"/>
        <v>1.65</v>
      </c>
      <c r="M18" s="1835">
        <f t="shared" si="2"/>
        <v>1.65</v>
      </c>
      <c r="N18" s="1835">
        <f t="shared" si="2"/>
        <v>1.65</v>
      </c>
      <c r="O18" s="1835">
        <f t="shared" si="2"/>
        <v>1.65</v>
      </c>
      <c r="P18" s="1158"/>
    </row>
    <row r="19" spans="1:16" ht="15.75" hidden="1" outlineLevel="1">
      <c r="B19" s="1159"/>
      <c r="C19" s="769">
        <v>4</v>
      </c>
      <c r="D19" s="770"/>
      <c r="E19" s="770"/>
      <c r="F19" s="782">
        <v>0</v>
      </c>
      <c r="G19" s="1836">
        <f>(Unit.GW)*0.05</f>
        <v>0.05</v>
      </c>
      <c r="H19" s="1837">
        <f>(Unit.GW)*1.0390625</f>
        <v>1.0390625</v>
      </c>
      <c r="I19" s="1837">
        <f t="shared" ref="I19:O19" si="3">(Unit.GW)*4.1</f>
        <v>4.0999999999999996</v>
      </c>
      <c r="J19" s="1837">
        <f t="shared" si="3"/>
        <v>4.0999999999999996</v>
      </c>
      <c r="K19" s="1837">
        <f t="shared" si="3"/>
        <v>4.0999999999999996</v>
      </c>
      <c r="L19" s="1837">
        <f t="shared" si="3"/>
        <v>4.0999999999999996</v>
      </c>
      <c r="M19" s="1837">
        <f t="shared" si="3"/>
        <v>4.0999999999999996</v>
      </c>
      <c r="N19" s="1837">
        <f t="shared" si="3"/>
        <v>4.0999999999999996</v>
      </c>
      <c r="O19" s="1837">
        <f t="shared" si="3"/>
        <v>4.0999999999999996</v>
      </c>
      <c r="P19" s="1158"/>
    </row>
    <row r="20" spans="1:16" hidden="1" outlineLevel="1">
      <c r="B20" s="1163"/>
      <c r="C20" s="864"/>
      <c r="D20" s="868"/>
      <c r="E20" s="864"/>
      <c r="F20" s="864"/>
      <c r="G20" s="864"/>
      <c r="H20" s="864"/>
      <c r="I20" s="864"/>
      <c r="J20" s="864"/>
      <c r="K20" s="864"/>
      <c r="L20" s="864"/>
      <c r="M20" s="864"/>
      <c r="N20" s="864"/>
      <c r="O20" s="864"/>
      <c r="P20" s="1158"/>
    </row>
    <row r="21" spans="1:16" hidden="1" outlineLevel="1">
      <c r="B21" s="1551"/>
      <c r="C21" s="864" t="s">
        <v>717</v>
      </c>
      <c r="D21" s="868"/>
      <c r="E21" s="864"/>
      <c r="F21" s="864"/>
      <c r="G21" s="864"/>
      <c r="H21" s="864"/>
      <c r="I21" s="864"/>
      <c r="J21" s="864"/>
      <c r="K21" s="864"/>
      <c r="L21" s="864"/>
      <c r="M21" s="864"/>
      <c r="N21" s="864"/>
      <c r="O21" s="864"/>
      <c r="P21" s="864"/>
    </row>
    <row r="22" spans="1:16" hidden="1" outlineLevel="1">
      <c r="B22" s="1551"/>
      <c r="C22" s="867" t="s">
        <v>109</v>
      </c>
      <c r="D22" s="868" t="s">
        <v>1260</v>
      </c>
      <c r="E22" s="864"/>
      <c r="F22" s="864"/>
      <c r="G22" s="864"/>
      <c r="H22" s="864"/>
      <c r="I22" s="864"/>
      <c r="J22" s="864"/>
      <c r="K22" s="864"/>
      <c r="L22" s="864"/>
      <c r="M22" s="864"/>
      <c r="N22" s="864"/>
      <c r="O22" s="864"/>
      <c r="P22" s="864"/>
    </row>
    <row r="23" spans="1:16" hidden="1" outlineLevel="1">
      <c r="B23" s="1551"/>
      <c r="C23" s="864"/>
      <c r="D23" s="868"/>
      <c r="E23" s="864"/>
      <c r="F23" s="864"/>
      <c r="G23" s="864"/>
      <c r="H23" s="864"/>
      <c r="I23" s="864"/>
      <c r="J23" s="864"/>
      <c r="K23" s="864"/>
      <c r="L23" s="864"/>
      <c r="M23" s="864"/>
      <c r="N23" s="864"/>
      <c r="O23" s="864"/>
      <c r="P23" s="864"/>
    </row>
    <row r="25" spans="1:16" s="743" customFormat="1" ht="22.5" collapsed="1">
      <c r="A25" s="1170"/>
      <c r="B25" s="1236" t="s">
        <v>786</v>
      </c>
      <c r="C25" s="1167"/>
      <c r="D25" s="1167"/>
      <c r="E25" s="1167"/>
      <c r="F25" s="1167"/>
      <c r="G25" s="1167"/>
      <c r="H25" s="1167"/>
      <c r="I25" s="1167"/>
      <c r="J25" s="1167"/>
      <c r="K25" s="1167"/>
      <c r="L25" s="1167"/>
      <c r="M25" s="1167"/>
      <c r="N25" s="1167"/>
      <c r="O25" s="1167"/>
      <c r="P25" s="1168"/>
    </row>
    <row r="26" spans="1:16" hidden="1" outlineLevel="1">
      <c r="B26" s="1157"/>
      <c r="C26" s="864"/>
      <c r="D26" s="864"/>
      <c r="E26" s="864"/>
      <c r="F26" s="864"/>
      <c r="G26" s="864"/>
      <c r="H26" s="864"/>
      <c r="I26" s="864"/>
      <c r="J26" s="864"/>
      <c r="K26" s="864"/>
      <c r="L26" s="864"/>
      <c r="M26" s="864"/>
      <c r="N26" s="864"/>
      <c r="O26" s="864"/>
      <c r="P26" s="1158"/>
    </row>
    <row r="27" spans="1:16" hidden="1" outlineLevel="1">
      <c r="B27" s="1157"/>
      <c r="C27" s="866" t="s">
        <v>805</v>
      </c>
      <c r="D27" s="864"/>
      <c r="E27" s="864"/>
      <c r="F27" s="864"/>
      <c r="G27" s="867"/>
      <c r="H27" s="864"/>
      <c r="I27" s="864"/>
      <c r="J27" s="864"/>
      <c r="K27" s="864"/>
      <c r="L27" s="864"/>
      <c r="M27" s="864"/>
      <c r="N27" s="864"/>
      <c r="O27" s="864"/>
      <c r="P27" s="1158"/>
    </row>
    <row r="28" spans="1:16" ht="6" hidden="1" customHeight="1" outlineLevel="1">
      <c r="B28" s="1157"/>
      <c r="C28" s="864"/>
      <c r="D28" s="864"/>
      <c r="E28" s="864"/>
      <c r="F28" s="864"/>
      <c r="G28" s="864"/>
      <c r="H28" s="864"/>
      <c r="I28" s="864"/>
      <c r="J28" s="864"/>
      <c r="K28" s="864"/>
      <c r="L28" s="864"/>
      <c r="M28" s="864"/>
      <c r="N28" s="864"/>
      <c r="O28" s="864"/>
      <c r="P28" s="1158"/>
    </row>
    <row r="29" spans="1:16" ht="15.75" hidden="1" outlineLevel="1">
      <c r="B29" s="1159"/>
      <c r="C29" s="766" t="s">
        <v>715</v>
      </c>
      <c r="D29" s="766" t="s">
        <v>731</v>
      </c>
      <c r="E29" s="766" t="s">
        <v>442</v>
      </c>
      <c r="F29" s="923">
        <v>2007</v>
      </c>
      <c r="G29" s="924">
        <v>2010</v>
      </c>
      <c r="H29" s="923">
        <v>2015</v>
      </c>
      <c r="I29" s="923">
        <v>2020</v>
      </c>
      <c r="J29" s="923">
        <v>2025</v>
      </c>
      <c r="K29" s="923">
        <v>2030</v>
      </c>
      <c r="L29" s="923">
        <v>2035</v>
      </c>
      <c r="M29" s="923">
        <v>2040</v>
      </c>
      <c r="N29" s="923">
        <v>2045</v>
      </c>
      <c r="O29" s="923">
        <v>2050</v>
      </c>
      <c r="P29" s="1158"/>
    </row>
    <row r="30" spans="1:16" ht="15.75" hidden="1" outlineLevel="1">
      <c r="B30" s="1159"/>
      <c r="C30" s="791" t="s">
        <v>8</v>
      </c>
      <c r="D30" s="792" t="str">
        <f>INDEX(Vectors[Description], MATCH($C30, Vectors[Code], 0))</f>
        <v>Wind</v>
      </c>
      <c r="E30" s="792" t="s">
        <v>109</v>
      </c>
      <c r="F30" s="1804">
        <v>0.24</v>
      </c>
      <c r="G30" s="799">
        <v>0.24</v>
      </c>
      <c r="H30" s="798">
        <v>0.24</v>
      </c>
      <c r="I30" s="798">
        <v>0.24</v>
      </c>
      <c r="J30" s="798">
        <v>0.24</v>
      </c>
      <c r="K30" s="798">
        <v>0.24</v>
      </c>
      <c r="L30" s="798">
        <v>0.24</v>
      </c>
      <c r="M30" s="798">
        <v>0.24</v>
      </c>
      <c r="N30" s="798">
        <v>0.24</v>
      </c>
      <c r="O30" s="798">
        <v>0.24</v>
      </c>
      <c r="P30" s="1158"/>
    </row>
    <row r="31" spans="1:16" hidden="1" outlineLevel="1">
      <c r="B31" s="1157"/>
      <c r="C31" s="864"/>
      <c r="D31" s="864"/>
      <c r="E31" s="864"/>
      <c r="F31" s="864"/>
      <c r="G31" s="864"/>
      <c r="H31" s="864"/>
      <c r="I31" s="864"/>
      <c r="J31" s="864"/>
      <c r="K31" s="864"/>
      <c r="L31" s="864"/>
      <c r="M31" s="864"/>
      <c r="N31" s="864"/>
      <c r="O31" s="864"/>
      <c r="P31" s="1158"/>
    </row>
    <row r="32" spans="1:16" hidden="1" outlineLevel="1">
      <c r="B32" s="1157"/>
      <c r="C32" s="864" t="s">
        <v>442</v>
      </c>
      <c r="D32" s="864"/>
      <c r="E32" s="864"/>
      <c r="F32" s="864"/>
      <c r="G32" s="864"/>
      <c r="H32" s="864"/>
      <c r="I32" s="864"/>
      <c r="J32" s="864"/>
      <c r="K32" s="864"/>
      <c r="L32" s="864"/>
      <c r="M32" s="864"/>
      <c r="N32" s="864"/>
      <c r="O32" s="864"/>
      <c r="P32" s="1158"/>
    </row>
    <row r="33" spans="1:16" s="715" customFormat="1" hidden="1" outlineLevel="1">
      <c r="B33" s="1225"/>
      <c r="C33" s="1226" t="s">
        <v>109</v>
      </c>
      <c r="D33" s="1227" t="s">
        <v>890</v>
      </c>
      <c r="E33" s="1228"/>
      <c r="F33" s="1228"/>
      <c r="G33" s="1228"/>
      <c r="H33" s="1228"/>
      <c r="I33" s="1228"/>
      <c r="J33" s="1228"/>
      <c r="K33" s="1228"/>
      <c r="L33" s="1228"/>
      <c r="M33" s="1228"/>
      <c r="N33" s="1228"/>
      <c r="O33" s="1228"/>
      <c r="P33" s="1229"/>
    </row>
    <row r="34" spans="1:16" hidden="1" outlineLevel="1">
      <c r="B34" s="1163"/>
      <c r="C34" s="864"/>
      <c r="D34" s="868"/>
      <c r="E34" s="864"/>
      <c r="F34" s="864"/>
      <c r="G34" s="864"/>
      <c r="H34" s="864"/>
      <c r="I34" s="864"/>
      <c r="J34" s="864"/>
      <c r="K34" s="864"/>
      <c r="L34" s="864"/>
      <c r="M34" s="864"/>
      <c r="N34" s="864"/>
      <c r="O34" s="864"/>
      <c r="P34" s="1158"/>
    </row>
    <row r="36" spans="1:16" ht="22.5" collapsed="1">
      <c r="A36" s="1171"/>
      <c r="B36" s="1236" t="s">
        <v>817</v>
      </c>
      <c r="C36" s="1167"/>
      <c r="D36" s="1167"/>
      <c r="E36" s="1167"/>
      <c r="F36" s="1167"/>
      <c r="G36" s="1167"/>
      <c r="H36" s="1167"/>
      <c r="I36" s="1167"/>
      <c r="J36" s="1167"/>
      <c r="K36" s="1167"/>
      <c r="L36" s="1167"/>
      <c r="M36" s="1167"/>
      <c r="N36" s="1167"/>
      <c r="O36" s="1167"/>
      <c r="P36" s="1168"/>
    </row>
    <row r="37" spans="1:16" hidden="1" outlineLevel="1">
      <c r="B37" s="1157"/>
      <c r="C37" s="864"/>
      <c r="D37" s="864"/>
      <c r="E37" s="864"/>
      <c r="F37" s="864"/>
      <c r="G37" s="864"/>
      <c r="H37" s="864"/>
      <c r="I37" s="864"/>
      <c r="J37" s="864"/>
      <c r="K37" s="864"/>
      <c r="L37" s="864"/>
      <c r="M37" s="864"/>
      <c r="N37" s="864"/>
      <c r="O37" s="864"/>
      <c r="P37" s="1158"/>
    </row>
    <row r="38" spans="1:16" hidden="1" outlineLevel="1">
      <c r="B38" s="1157"/>
      <c r="C38" s="866" t="s">
        <v>896</v>
      </c>
      <c r="D38" s="864"/>
      <c r="E38" s="867"/>
      <c r="F38" s="864"/>
      <c r="G38" s="864"/>
      <c r="H38" s="864"/>
      <c r="I38" s="864"/>
      <c r="J38" s="864"/>
      <c r="K38" s="864"/>
      <c r="L38" s="864"/>
      <c r="M38" s="864"/>
      <c r="N38" s="864"/>
      <c r="O38" s="867" t="str">
        <f>Preferences.PowerUnits</f>
        <v>GW</v>
      </c>
      <c r="P38" s="1158"/>
    </row>
    <row r="39" spans="1:16" ht="5.25" hidden="1" customHeight="1" outlineLevel="1">
      <c r="B39" s="1157"/>
      <c r="C39" s="864"/>
      <c r="D39" s="864"/>
      <c r="E39" s="864"/>
      <c r="F39" s="864"/>
      <c r="G39" s="864"/>
      <c r="H39" s="864"/>
      <c r="I39" s="864"/>
      <c r="J39" s="864"/>
      <c r="K39" s="864"/>
      <c r="L39" s="864"/>
      <c r="M39" s="864"/>
      <c r="N39" s="864"/>
      <c r="O39" s="864"/>
      <c r="P39" s="1158"/>
    </row>
    <row r="40" spans="1:16" ht="15.75" hidden="1" outlineLevel="1">
      <c r="B40" s="1159"/>
      <c r="C40" s="766" t="s">
        <v>715</v>
      </c>
      <c r="D40" s="766" t="s">
        <v>79</v>
      </c>
      <c r="E40" s="766" t="s">
        <v>442</v>
      </c>
      <c r="F40" s="923">
        <v>2007</v>
      </c>
      <c r="G40" s="924">
        <v>2010</v>
      </c>
      <c r="H40" s="923">
        <v>2015</v>
      </c>
      <c r="I40" s="923">
        <v>2020</v>
      </c>
      <c r="J40" s="923">
        <v>2025</v>
      </c>
      <c r="K40" s="923">
        <v>2030</v>
      </c>
      <c r="L40" s="923">
        <v>2035</v>
      </c>
      <c r="M40" s="923">
        <v>2040</v>
      </c>
      <c r="N40" s="923">
        <v>2045</v>
      </c>
      <c r="O40" s="923">
        <v>2050</v>
      </c>
      <c r="P40" s="1158"/>
    </row>
    <row r="41" spans="1:16" ht="15.75" hidden="1" outlineLevel="1">
      <c r="B41" s="1161"/>
      <c r="C41" s="791" t="s">
        <v>8</v>
      </c>
      <c r="D41" s="792" t="str">
        <f>INDEX(Vectors[Description], MATCH($C41, Vectors[Code], 0))</f>
        <v>Wind</v>
      </c>
      <c r="E41" s="792"/>
      <c r="F41" s="793">
        <f>INDEX(F$16:F$19, MATCH($E$8, $C$16:$C$19, 0))</f>
        <v>0</v>
      </c>
      <c r="G41" s="910">
        <f t="shared" ref="G41:O41" si="4">INDEX(G$16:G$19, MATCH($E$8, $C$16:$C$19, 0))</f>
        <v>0</v>
      </c>
      <c r="H41" s="793">
        <f t="shared" si="4"/>
        <v>0</v>
      </c>
      <c r="I41" s="793">
        <f t="shared" si="4"/>
        <v>0</v>
      </c>
      <c r="J41" s="793">
        <f t="shared" si="4"/>
        <v>0</v>
      </c>
      <c r="K41" s="793">
        <f t="shared" si="4"/>
        <v>0</v>
      </c>
      <c r="L41" s="793">
        <f t="shared" si="4"/>
        <v>0</v>
      </c>
      <c r="M41" s="793">
        <f t="shared" si="4"/>
        <v>0</v>
      </c>
      <c r="N41" s="793">
        <f t="shared" si="4"/>
        <v>0</v>
      </c>
      <c r="O41" s="793">
        <f t="shared" si="4"/>
        <v>0</v>
      </c>
      <c r="P41" s="1162"/>
    </row>
    <row r="42" spans="1:16" hidden="1" outlineLevel="1">
      <c r="B42" s="1163"/>
      <c r="C42" s="831"/>
      <c r="D42" s="832"/>
      <c r="E42" s="832"/>
      <c r="F42" s="911"/>
      <c r="G42" s="912"/>
      <c r="H42" s="912"/>
      <c r="I42" s="912"/>
      <c r="J42" s="912"/>
      <c r="K42" s="912"/>
      <c r="L42" s="912"/>
      <c r="M42" s="912"/>
      <c r="N42" s="912"/>
      <c r="O42" s="912"/>
      <c r="P42" s="1158"/>
    </row>
    <row r="43" spans="1:16" hidden="1" outlineLevel="1">
      <c r="B43" s="1223"/>
      <c r="C43" s="1194"/>
      <c r="D43" s="1195"/>
      <c r="E43" s="1195"/>
      <c r="F43" s="1252"/>
      <c r="G43" s="1253"/>
      <c r="H43" s="1253"/>
      <c r="I43" s="1253"/>
      <c r="J43" s="1253"/>
      <c r="K43" s="1253"/>
      <c r="L43" s="1253"/>
      <c r="M43" s="1253"/>
      <c r="N43" s="1253"/>
      <c r="O43" s="1253"/>
      <c r="P43" s="1166"/>
    </row>
    <row r="45" spans="1:16" ht="15.75" collapsed="1">
      <c r="B45" s="809" t="s">
        <v>732</v>
      </c>
    </row>
    <row r="46" spans="1:16" hidden="1" outlineLevel="1">
      <c r="B46" s="731"/>
    </row>
    <row r="47" spans="1:16" hidden="1" outlineLevel="1">
      <c r="F47" s="121">
        <v>2007</v>
      </c>
      <c r="G47" s="121">
        <v>2010</v>
      </c>
      <c r="H47" s="121">
        <v>2015</v>
      </c>
      <c r="I47" s="121">
        <v>2020</v>
      </c>
      <c r="J47" s="121">
        <v>2025</v>
      </c>
      <c r="K47" s="121">
        <v>2030</v>
      </c>
      <c r="L47" s="121">
        <v>2035</v>
      </c>
      <c r="M47" s="121">
        <v>2040</v>
      </c>
      <c r="N47" s="121">
        <v>2045</v>
      </c>
      <c r="O47" s="121">
        <v>2050</v>
      </c>
    </row>
    <row r="48" spans="1:16" hidden="1" outlineLevel="1">
      <c r="B48" s="121" t="s">
        <v>2070</v>
      </c>
    </row>
    <row r="49" spans="1:16" hidden="1" outlineLevel="1">
      <c r="C49" s="731" t="s">
        <v>806</v>
      </c>
      <c r="E49" s="121" t="str">
        <f>Preferences.PowerUnits</f>
        <v>GW</v>
      </c>
      <c r="F49" s="27">
        <f>F$41</f>
        <v>0</v>
      </c>
      <c r="G49" s="27">
        <f t="shared" ref="G49:O49" si="5">G$41</f>
        <v>0</v>
      </c>
      <c r="H49" s="27">
        <f t="shared" si="5"/>
        <v>0</v>
      </c>
      <c r="I49" s="27">
        <f t="shared" si="5"/>
        <v>0</v>
      </c>
      <c r="J49" s="27">
        <f t="shared" si="5"/>
        <v>0</v>
      </c>
      <c r="K49" s="27">
        <f t="shared" si="5"/>
        <v>0</v>
      </c>
      <c r="L49" s="27">
        <f t="shared" si="5"/>
        <v>0</v>
      </c>
      <c r="M49" s="27">
        <f t="shared" si="5"/>
        <v>0</v>
      </c>
      <c r="N49" s="27">
        <f t="shared" si="5"/>
        <v>0</v>
      </c>
      <c r="O49" s="27">
        <f t="shared" si="5"/>
        <v>0</v>
      </c>
    </row>
    <row r="50" spans="1:16" hidden="1" outlineLevel="1">
      <c r="B50" s="121" t="s">
        <v>838</v>
      </c>
      <c r="C50" s="121" t="s">
        <v>805</v>
      </c>
      <c r="F50" s="19">
        <f>F$30</f>
        <v>0.24</v>
      </c>
      <c r="G50" s="19">
        <f t="shared" ref="G50:O50" si="6">G$30</f>
        <v>0.24</v>
      </c>
      <c r="H50" s="19">
        <f t="shared" si="6"/>
        <v>0.24</v>
      </c>
      <c r="I50" s="19">
        <f t="shared" si="6"/>
        <v>0.24</v>
      </c>
      <c r="J50" s="19">
        <f t="shared" si="6"/>
        <v>0.24</v>
      </c>
      <c r="K50" s="19">
        <f t="shared" si="6"/>
        <v>0.24</v>
      </c>
      <c r="L50" s="19">
        <f t="shared" si="6"/>
        <v>0.24</v>
      </c>
      <c r="M50" s="19">
        <f t="shared" si="6"/>
        <v>0.24</v>
      </c>
      <c r="N50" s="19">
        <f t="shared" si="6"/>
        <v>0.24</v>
      </c>
      <c r="O50" s="19">
        <f t="shared" si="6"/>
        <v>0.24</v>
      </c>
    </row>
    <row r="51" spans="1:16" hidden="1" outlineLevel="1">
      <c r="B51" s="807" t="s">
        <v>840</v>
      </c>
      <c r="C51" s="731" t="s">
        <v>1275</v>
      </c>
      <c r="F51" s="783">
        <f t="shared" ref="F51:O51" si="7">F49*F50</f>
        <v>0</v>
      </c>
      <c r="G51" s="783">
        <f t="shared" si="7"/>
        <v>0</v>
      </c>
      <c r="H51" s="783">
        <f t="shared" si="7"/>
        <v>0</v>
      </c>
      <c r="I51" s="783">
        <f t="shared" si="7"/>
        <v>0</v>
      </c>
      <c r="J51" s="783">
        <f t="shared" si="7"/>
        <v>0</v>
      </c>
      <c r="K51" s="783">
        <f t="shared" si="7"/>
        <v>0</v>
      </c>
      <c r="L51" s="783">
        <f t="shared" si="7"/>
        <v>0</v>
      </c>
      <c r="M51" s="783">
        <f t="shared" si="7"/>
        <v>0</v>
      </c>
      <c r="N51" s="783">
        <f t="shared" si="7"/>
        <v>0</v>
      </c>
      <c r="O51" s="783">
        <f t="shared" si="7"/>
        <v>0</v>
      </c>
    </row>
    <row r="52" spans="1:16" hidden="1" outlineLevel="1">
      <c r="C52" s="731" t="s">
        <v>548</v>
      </c>
      <c r="E52" s="121" t="str">
        <f>Preferences.EnergyUnits</f>
        <v>TWh</v>
      </c>
      <c r="F52" s="783">
        <f t="shared" ref="F52:O52" si="8">F51*Preferences.Unit.Power*Unit.year/Preferences.Unit.Energy</f>
        <v>0</v>
      </c>
      <c r="G52" s="783">
        <f t="shared" si="8"/>
        <v>0</v>
      </c>
      <c r="H52" s="783">
        <f t="shared" si="8"/>
        <v>0</v>
      </c>
      <c r="I52" s="783">
        <f t="shared" si="8"/>
        <v>0</v>
      </c>
      <c r="J52" s="783">
        <f t="shared" si="8"/>
        <v>0</v>
      </c>
      <c r="K52" s="783">
        <f t="shared" si="8"/>
        <v>0</v>
      </c>
      <c r="L52" s="783">
        <f t="shared" si="8"/>
        <v>0</v>
      </c>
      <c r="M52" s="783">
        <f t="shared" si="8"/>
        <v>0</v>
      </c>
      <c r="N52" s="783">
        <f t="shared" si="8"/>
        <v>0</v>
      </c>
      <c r="O52" s="783">
        <f t="shared" si="8"/>
        <v>0</v>
      </c>
    </row>
    <row r="53" spans="1:16" hidden="1" outlineLevel="1">
      <c r="C53" s="807"/>
      <c r="F53" s="783"/>
    </row>
    <row r="55" spans="1:16" ht="22.5" collapsed="1">
      <c r="A55" s="1171"/>
      <c r="B55" s="1231" t="s">
        <v>683</v>
      </c>
      <c r="C55" s="1183"/>
      <c r="D55" s="1183"/>
      <c r="E55" s="1183"/>
      <c r="F55" s="1183"/>
      <c r="G55" s="1183"/>
      <c r="H55" s="1183"/>
      <c r="I55" s="1183"/>
      <c r="J55" s="1183"/>
      <c r="K55" s="1183"/>
      <c r="L55" s="1183"/>
      <c r="M55" s="1183"/>
      <c r="N55" s="1183"/>
      <c r="O55" s="1183"/>
      <c r="P55" s="1185"/>
    </row>
    <row r="56" spans="1:16" hidden="1" outlineLevel="1">
      <c r="B56" s="1172"/>
      <c r="C56" s="1174"/>
      <c r="D56" s="1174"/>
      <c r="E56" s="1174"/>
      <c r="F56" s="1174"/>
      <c r="G56" s="1174"/>
      <c r="H56" s="1174"/>
      <c r="I56" s="1174"/>
      <c r="J56" s="1174"/>
      <c r="K56" s="1174"/>
      <c r="L56" s="1174"/>
      <c r="M56" s="1174"/>
      <c r="N56" s="1174"/>
      <c r="O56" s="1174"/>
      <c r="P56" s="1176"/>
    </row>
    <row r="57" spans="1:16" hidden="1" outlineLevel="1">
      <c r="B57" s="1172"/>
      <c r="C57" s="1186" t="s">
        <v>730</v>
      </c>
      <c r="D57" s="1174"/>
      <c r="E57" s="1175"/>
      <c r="F57" s="1174"/>
      <c r="G57" s="1175"/>
      <c r="H57" s="1174"/>
      <c r="I57" s="1174"/>
      <c r="J57" s="1174"/>
      <c r="K57" s="1174"/>
      <c r="L57" s="1174"/>
      <c r="M57" s="1174"/>
      <c r="N57" s="1174"/>
      <c r="O57" s="1175" t="str">
        <f>Preferences.EnergyUnits</f>
        <v>TWh</v>
      </c>
      <c r="P57" s="1176"/>
    </row>
    <row r="58" spans="1:16" ht="6" hidden="1" customHeight="1" outlineLevel="1">
      <c r="B58" s="1172"/>
      <c r="C58" s="1174"/>
      <c r="D58" s="1174"/>
      <c r="E58" s="1174"/>
      <c r="F58" s="1174"/>
      <c r="G58" s="1174"/>
      <c r="H58" s="1174"/>
      <c r="I58" s="1174"/>
      <c r="J58" s="1174"/>
      <c r="K58" s="1174"/>
      <c r="L58" s="1174"/>
      <c r="M58" s="1174"/>
      <c r="N58" s="1174"/>
      <c r="O58" s="1174"/>
      <c r="P58" s="1176"/>
    </row>
    <row r="59" spans="1:16" ht="15.75" hidden="1" outlineLevel="1">
      <c r="A59" s="3"/>
      <c r="B59" s="1177"/>
      <c r="C59" s="1188" t="s">
        <v>78</v>
      </c>
      <c r="D59" s="1188" t="s">
        <v>418</v>
      </c>
      <c r="E59" s="1188" t="s">
        <v>442</v>
      </c>
      <c r="F59" s="1188" t="s">
        <v>691</v>
      </c>
      <c r="G59" s="1188" t="s">
        <v>692</v>
      </c>
      <c r="H59" s="1189" t="s">
        <v>721</v>
      </c>
      <c r="I59" s="1189" t="s">
        <v>722</v>
      </c>
      <c r="J59" s="1189" t="s">
        <v>723</v>
      </c>
      <c r="K59" s="1189" t="s">
        <v>724</v>
      </c>
      <c r="L59" s="1189" t="s">
        <v>725</v>
      </c>
      <c r="M59" s="1189" t="s">
        <v>726</v>
      </c>
      <c r="N59" s="1189" t="s">
        <v>727</v>
      </c>
      <c r="O59" s="1189" t="s">
        <v>728</v>
      </c>
      <c r="P59" s="1176"/>
    </row>
    <row r="60" spans="1:16" ht="15.75" hidden="1" outlineLevel="1">
      <c r="A60" s="3"/>
      <c r="B60" s="1177"/>
      <c r="C60" s="765" t="s">
        <v>46</v>
      </c>
      <c r="D60" s="765" t="str">
        <f>INDEX(Vectors[Description], MATCH([Vector], Vectors[Code], 0))</f>
        <v>Electricity (supplied to grid)</v>
      </c>
      <c r="E60" s="765"/>
      <c r="F60" s="953">
        <f>F52</f>
        <v>0</v>
      </c>
      <c r="G60" s="953">
        <f t="shared" ref="G60:O60" si="9">G52</f>
        <v>0</v>
      </c>
      <c r="H60" s="953">
        <f t="shared" si="9"/>
        <v>0</v>
      </c>
      <c r="I60" s="953">
        <f t="shared" si="9"/>
        <v>0</v>
      </c>
      <c r="J60" s="953">
        <f t="shared" si="9"/>
        <v>0</v>
      </c>
      <c r="K60" s="953">
        <f t="shared" si="9"/>
        <v>0</v>
      </c>
      <c r="L60" s="953">
        <f t="shared" si="9"/>
        <v>0</v>
      </c>
      <c r="M60" s="953">
        <f t="shared" si="9"/>
        <v>0</v>
      </c>
      <c r="N60" s="953">
        <f t="shared" si="9"/>
        <v>0</v>
      </c>
      <c r="O60" s="953">
        <f t="shared" si="9"/>
        <v>0</v>
      </c>
      <c r="P60" s="1176"/>
    </row>
    <row r="61" spans="1:16" ht="15.75" hidden="1" outlineLevel="1">
      <c r="A61" s="3"/>
      <c r="B61" s="1177"/>
      <c r="C61" s="765" t="s">
        <v>8</v>
      </c>
      <c r="D61" s="765" t="str">
        <f>INDEX(Vectors[Description], MATCH([Vector], Vectors[Code], 0))</f>
        <v>Wind</v>
      </c>
      <c r="E61" s="765"/>
      <c r="F61" s="953">
        <f>-F52</f>
        <v>0</v>
      </c>
      <c r="G61" s="953">
        <f t="shared" ref="G61:O61" si="10">-G52</f>
        <v>0</v>
      </c>
      <c r="H61" s="953">
        <f t="shared" si="10"/>
        <v>0</v>
      </c>
      <c r="I61" s="953">
        <f t="shared" si="10"/>
        <v>0</v>
      </c>
      <c r="J61" s="953">
        <f t="shared" si="10"/>
        <v>0</v>
      </c>
      <c r="K61" s="953">
        <f t="shared" si="10"/>
        <v>0</v>
      </c>
      <c r="L61" s="953">
        <f t="shared" si="10"/>
        <v>0</v>
      </c>
      <c r="M61" s="953">
        <f t="shared" si="10"/>
        <v>0</v>
      </c>
      <c r="N61" s="953">
        <f t="shared" si="10"/>
        <v>0</v>
      </c>
      <c r="O61" s="953">
        <f t="shared" si="10"/>
        <v>0</v>
      </c>
      <c r="P61" s="1176"/>
    </row>
    <row r="62" spans="1:16" ht="15.75" hidden="1" outlineLevel="1">
      <c r="A62" s="3"/>
      <c r="B62" s="1177"/>
      <c r="C62" s="765" t="s">
        <v>148</v>
      </c>
      <c r="D62" s="765"/>
      <c r="E62" s="765"/>
      <c r="F62" s="1459">
        <f>SUBTOTAL(109,[2007])</f>
        <v>0</v>
      </c>
      <c r="G62" s="1459">
        <f>SUBTOTAL(109,[2010])</f>
        <v>0</v>
      </c>
      <c r="H62" s="1459">
        <f>SUBTOTAL(109,[2015])</f>
        <v>0</v>
      </c>
      <c r="I62" s="1459">
        <f>SUBTOTAL(109,[2020])</f>
        <v>0</v>
      </c>
      <c r="J62" s="1459">
        <f>SUBTOTAL(109,[2025])</f>
        <v>0</v>
      </c>
      <c r="K62" s="1459">
        <f>SUBTOTAL(109,[2030])</f>
        <v>0</v>
      </c>
      <c r="L62" s="1459">
        <f>SUBTOTAL(109,[2035])</f>
        <v>0</v>
      </c>
      <c r="M62" s="1459">
        <f>SUBTOTAL(109,[2040])</f>
        <v>0</v>
      </c>
      <c r="N62" s="1459">
        <f>SUBTOTAL(109,[2045])</f>
        <v>0</v>
      </c>
      <c r="O62" s="1459">
        <f>SUBTOTAL(109,[2050])</f>
        <v>0</v>
      </c>
      <c r="P62" s="1176"/>
    </row>
    <row r="63" spans="1:16" ht="15.75" hidden="1" outlineLevel="1">
      <c r="A63" s="3"/>
      <c r="B63" s="1178"/>
      <c r="C63" s="1179"/>
      <c r="D63" s="1179"/>
      <c r="E63" s="1179"/>
      <c r="F63" s="1179"/>
      <c r="G63" s="1179"/>
      <c r="H63" s="1179"/>
      <c r="I63" s="1179"/>
      <c r="J63" s="1179"/>
      <c r="K63" s="1179"/>
      <c r="L63" s="1179"/>
      <c r="M63" s="1179"/>
      <c r="N63" s="1179"/>
      <c r="O63" s="1179"/>
      <c r="P63" s="1181"/>
    </row>
  </sheetData>
  <pageMargins left="0.7" right="0.7" top="0.75" bottom="0.75" header="0.3" footer="0.3"/>
  <pageSetup paperSize="9" orientation="portrait" r:id="rId1"/>
  <ignoredErrors>
    <ignoredError sqref="F60:F61" calculatedColumn="1"/>
  </ignoredErrors>
  <tableParts count="1">
    <tablePart r:id="rId2"/>
  </tableParts>
</worksheet>
</file>

<file path=xl/worksheets/sheet27.xml><?xml version="1.0" encoding="utf-8"?>
<worksheet xmlns="http://schemas.openxmlformats.org/spreadsheetml/2006/main" xmlns:r="http://schemas.openxmlformats.org/officeDocument/2006/relationships">
  <sheetPr codeName="Sheet50">
    <tabColor theme="9"/>
    <outlinePr summaryBelow="0"/>
    <pageSetUpPr autoPageBreaks="0"/>
  </sheetPr>
  <dimension ref="A1:R207"/>
  <sheetViews>
    <sheetView showGridLines="0" zoomScale="80" zoomScaleNormal="80" workbookViewId="0">
      <pane ySplit="2" topLeftCell="A3" activePane="bottomLeft" state="frozen"/>
      <selection pane="bottomLeft"/>
    </sheetView>
  </sheetViews>
  <sheetFormatPr defaultRowHeight="12.75" outlineLevelRow="2"/>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6" ht="21">
      <c r="A1" s="789" t="s">
        <v>671</v>
      </c>
      <c r="B1" s="789" t="str">
        <f>INDEX(Workstreams[Workstream], MATCH($A1, Workstreams[Code], 0))</f>
        <v>Bioenergy</v>
      </c>
      <c r="C1" s="789"/>
    </row>
    <row r="2" spans="1:16" s="743" customFormat="1" ht="19.5" customHeight="1">
      <c r="A2" s="10" t="s">
        <v>963</v>
      </c>
      <c r="B2" s="10" t="str">
        <f>INDEX(Modules[Module], MATCH($A2, Modules[Code], 0))</f>
        <v>Biomatter to fuel conversion</v>
      </c>
      <c r="C2" s="10"/>
    </row>
    <row r="4" spans="1:16" ht="22.5" collapsed="1">
      <c r="A4" s="1171"/>
      <c r="B4" s="1231" t="s">
        <v>1357</v>
      </c>
      <c r="C4" s="1182"/>
      <c r="D4" s="1183"/>
      <c r="E4" s="1184"/>
      <c r="F4" s="1183"/>
      <c r="G4" s="1183"/>
      <c r="H4" s="1183"/>
      <c r="I4" s="1183"/>
      <c r="J4" s="1183"/>
      <c r="K4" s="1183"/>
      <c r="L4" s="1183"/>
      <c r="M4" s="1183"/>
      <c r="N4" s="1183"/>
      <c r="O4" s="1183"/>
      <c r="P4" s="1185"/>
    </row>
    <row r="5" spans="1:16" hidden="1" outlineLevel="1">
      <c r="B5" s="1172"/>
      <c r="C5" s="1173"/>
      <c r="D5" s="1174"/>
      <c r="E5" s="1175"/>
      <c r="F5" s="1174"/>
      <c r="G5" s="1174"/>
      <c r="H5" s="1174"/>
      <c r="I5" s="1174"/>
      <c r="J5" s="1174"/>
      <c r="K5" s="1174"/>
      <c r="L5" s="1174"/>
      <c r="M5" s="1174"/>
      <c r="N5" s="1174"/>
      <c r="O5" s="1174"/>
      <c r="P5" s="1176"/>
    </row>
    <row r="6" spans="1:16" ht="15.75" hidden="1" outlineLevel="1">
      <c r="B6" s="1177"/>
      <c r="C6" s="1174"/>
      <c r="D6" s="922" t="s">
        <v>830</v>
      </c>
      <c r="E6" s="922" t="s">
        <v>1352</v>
      </c>
      <c r="F6" s="1174"/>
      <c r="G6" s="1174"/>
      <c r="H6" s="1174"/>
      <c r="I6" s="1174"/>
      <c r="J6" s="1174"/>
      <c r="K6" s="1174"/>
      <c r="L6" s="1174"/>
      <c r="M6" s="1174"/>
      <c r="N6" s="1174"/>
      <c r="O6" s="1174"/>
      <c r="P6" s="1176"/>
    </row>
    <row r="7" spans="1:16" ht="15.75" hidden="1" outlineLevel="1">
      <c r="B7" s="1177"/>
      <c r="C7" s="1174"/>
      <c r="D7" s="950" t="s">
        <v>1457</v>
      </c>
      <c r="E7" s="950">
        <f>V.a.Scenario</f>
        <v>1</v>
      </c>
      <c r="F7" s="1174"/>
      <c r="G7" s="1174"/>
      <c r="H7" s="1174"/>
      <c r="I7" s="1174"/>
      <c r="J7" s="1174"/>
      <c r="K7" s="1174"/>
      <c r="L7" s="1174"/>
      <c r="M7" s="1174"/>
      <c r="N7" s="1174"/>
      <c r="O7" s="1174"/>
      <c r="P7" s="1176"/>
    </row>
    <row r="8" spans="1:16" ht="15.75" hidden="1" outlineLevel="1">
      <c r="B8" s="1178"/>
      <c r="C8" s="1179"/>
      <c r="D8" s="1179"/>
      <c r="E8" s="1179"/>
      <c r="F8" s="1180"/>
      <c r="G8" s="1180"/>
      <c r="H8" s="1180"/>
      <c r="I8" s="1180"/>
      <c r="J8" s="1180"/>
      <c r="K8" s="1180"/>
      <c r="L8" s="1180"/>
      <c r="M8" s="1180"/>
      <c r="N8" s="1180"/>
      <c r="O8" s="1180"/>
      <c r="P8" s="1181"/>
    </row>
    <row r="10" spans="1:16" ht="22.5" collapsed="1">
      <c r="A10" s="1171"/>
      <c r="B10" s="1231" t="s">
        <v>682</v>
      </c>
      <c r="C10" s="1183"/>
      <c r="D10" s="1183"/>
      <c r="E10" s="1183"/>
      <c r="F10" s="1183"/>
      <c r="G10" s="1183"/>
      <c r="H10" s="1183"/>
      <c r="I10" s="1183"/>
      <c r="J10" s="1183"/>
      <c r="K10" s="1183"/>
      <c r="L10" s="1183"/>
      <c r="M10" s="1183"/>
      <c r="N10" s="1183"/>
      <c r="O10" s="1183"/>
      <c r="P10" s="1185"/>
    </row>
    <row r="11" spans="1:16" hidden="1" outlineLevel="1">
      <c r="B11" s="1232"/>
      <c r="C11" s="1174"/>
      <c r="D11" s="1174"/>
      <c r="E11" s="1174"/>
      <c r="F11" s="1174"/>
      <c r="G11" s="1174"/>
      <c r="H11" s="1174"/>
      <c r="I11" s="1174"/>
      <c r="J11" s="1174"/>
      <c r="K11" s="1174"/>
      <c r="L11" s="1174"/>
      <c r="M11" s="1174"/>
      <c r="N11" s="1174"/>
      <c r="O11" s="1174"/>
      <c r="P11" s="1176"/>
    </row>
    <row r="12" spans="1:16" hidden="1" outlineLevel="1">
      <c r="B12" s="1232"/>
      <c r="C12" s="1186" t="s">
        <v>1535</v>
      </c>
      <c r="D12" s="1174"/>
      <c r="E12" s="1175"/>
      <c r="F12" s="1174"/>
      <c r="G12" s="1174"/>
      <c r="H12" s="1174"/>
      <c r="I12" s="1174"/>
      <c r="J12" s="1174"/>
      <c r="K12" s="1174"/>
      <c r="L12" s="1174"/>
      <c r="M12" s="1174"/>
      <c r="N12" s="1174"/>
      <c r="O12" s="1175" t="str">
        <f>Preferences.EnergyUnits</f>
        <v>TWh</v>
      </c>
      <c r="P12" s="1176"/>
    </row>
    <row r="13" spans="1:16" ht="6" hidden="1" customHeight="1" outlineLevel="1">
      <c r="B13" s="1232"/>
      <c r="C13" s="1173"/>
      <c r="D13" s="1174"/>
      <c r="E13" s="1175"/>
      <c r="F13" s="1174"/>
      <c r="G13" s="1174"/>
      <c r="H13" s="1174"/>
      <c r="I13" s="1174"/>
      <c r="J13" s="1174"/>
      <c r="K13" s="1174"/>
      <c r="L13" s="1174"/>
      <c r="M13" s="1174"/>
      <c r="N13" s="1174"/>
      <c r="O13" s="1174"/>
      <c r="P13" s="1176"/>
    </row>
    <row r="14" spans="1:16" s="743" customFormat="1" ht="15.75" hidden="1" outlineLevel="1">
      <c r="A14" s="753"/>
      <c r="B14" s="1233"/>
      <c r="C14" s="1188" t="s">
        <v>78</v>
      </c>
      <c r="D14" s="1188" t="s">
        <v>418</v>
      </c>
      <c r="E14" s="1188" t="s">
        <v>442</v>
      </c>
      <c r="F14" s="1188" t="s">
        <v>691</v>
      </c>
      <c r="G14" s="1188" t="s">
        <v>692</v>
      </c>
      <c r="H14" s="1189" t="s">
        <v>721</v>
      </c>
      <c r="I14" s="1189" t="s">
        <v>722</v>
      </c>
      <c r="J14" s="1189" t="s">
        <v>723</v>
      </c>
      <c r="K14" s="1189" t="s">
        <v>724</v>
      </c>
      <c r="L14" s="1189" t="s">
        <v>725</v>
      </c>
      <c r="M14" s="1189" t="s">
        <v>726</v>
      </c>
      <c r="N14" s="1189" t="s">
        <v>727</v>
      </c>
      <c r="O14" s="1189" t="s">
        <v>728</v>
      </c>
      <c r="P14" s="1190"/>
    </row>
    <row r="15" spans="1:16" s="743" customFormat="1" ht="15.75" hidden="1" outlineLevel="1">
      <c r="A15" s="753"/>
      <c r="B15" s="1233"/>
      <c r="C15" s="1188" t="s">
        <v>755</v>
      </c>
      <c r="D15" s="1188" t="str">
        <f>INDEX(Vectors[Description], MATCH([Vector], Vectors[Code], 0))</f>
        <v>Dry biomatter and waste</v>
      </c>
      <c r="E15" s="1188"/>
      <c r="F15" s="1266">
        <f ca="1">INDEX(INDIRECT("'"&amp;V.a.Inputs[#Headers]&amp;"'!Year.Matrix"), MATCH("Subtotal."&amp;$A$2, INDIRECT("'"&amp;V.a.Inputs[#Headers]&amp;"'!Year.Modules"), 0), MATCH([Vector], INDIRECT("'"&amp;V.a.Inputs[#Headers]&amp;"'!Year.Vectors"), 0))</f>
        <v>12.81861433503159</v>
      </c>
      <c r="G15" s="1266">
        <f ca="1">INDEX(INDIRECT("'"&amp;V.a.Inputs[#Headers]&amp;"'!Year.Matrix"), MATCH("Subtotal."&amp;$A$2, INDIRECT("'"&amp;V.a.Inputs[#Headers]&amp;"'!Year.Modules"), 0), MATCH([Vector], INDIRECT("'"&amp;V.a.Inputs[#Headers]&amp;"'!Year.Vectors"), 0))</f>
        <v>16.317601806219525</v>
      </c>
      <c r="H15" s="1266">
        <f ca="1">INDEX(INDIRECT("'"&amp;V.a.Inputs[#Headers]&amp;"'!Year.Matrix"), MATCH("Subtotal."&amp;$A$2, INDIRECT("'"&amp;V.a.Inputs[#Headers]&amp;"'!Year.Modules"), 0), MATCH([Vector], INDIRECT("'"&amp;V.a.Inputs[#Headers]&amp;"'!Year.Vectors"), 0))</f>
        <v>26.061321425348929</v>
      </c>
      <c r="I15" s="1266">
        <f ca="1">INDEX(INDIRECT("'"&amp;V.a.Inputs[#Headers]&amp;"'!Year.Matrix"), MATCH("Subtotal."&amp;$A$2, INDIRECT("'"&amp;V.a.Inputs[#Headers]&amp;"'!Year.Modules"), 0), MATCH([Vector], INDIRECT("'"&amp;V.a.Inputs[#Headers]&amp;"'!Year.Vectors"), 0))</f>
        <v>34.047733245079975</v>
      </c>
      <c r="J15" s="1266">
        <f ca="1">INDEX(INDIRECT("'"&amp;V.a.Inputs[#Headers]&amp;"'!Year.Matrix"), MATCH("Subtotal."&amp;$A$2, INDIRECT("'"&amp;V.a.Inputs[#Headers]&amp;"'!Year.Modules"), 0), MATCH([Vector], INDIRECT("'"&amp;V.a.Inputs[#Headers]&amp;"'!Year.Vectors"), 0))</f>
        <v>39.960920373732954</v>
      </c>
      <c r="K15" s="1266">
        <f ca="1">INDEX(INDIRECT("'"&amp;V.a.Inputs[#Headers]&amp;"'!Year.Matrix"), MATCH("Subtotal."&amp;$A$2, INDIRECT("'"&amp;V.a.Inputs[#Headers]&amp;"'!Year.Modules"), 0), MATCH([Vector], INDIRECT("'"&amp;V.a.Inputs[#Headers]&amp;"'!Year.Vectors"), 0))</f>
        <v>46.590464281644856</v>
      </c>
      <c r="L15" s="1266">
        <f ca="1">INDEX(INDIRECT("'"&amp;V.a.Inputs[#Headers]&amp;"'!Year.Matrix"), MATCH("Subtotal."&amp;$A$2, INDIRECT("'"&amp;V.a.Inputs[#Headers]&amp;"'!Year.Modules"), 0), MATCH([Vector], INDIRECT("'"&amp;V.a.Inputs[#Headers]&amp;"'!Year.Vectors"), 0))</f>
        <v>54.094544573868873</v>
      </c>
      <c r="M15" s="1266">
        <f ca="1">INDEX(INDIRECT("'"&amp;V.a.Inputs[#Headers]&amp;"'!Year.Matrix"), MATCH("Subtotal."&amp;$A$2, INDIRECT("'"&amp;V.a.Inputs[#Headers]&amp;"'!Year.Modules"), 0), MATCH([Vector], INDIRECT("'"&amp;V.a.Inputs[#Headers]&amp;"'!Year.Vectors"), 0))</f>
        <v>63.156559579101412</v>
      </c>
      <c r="N15" s="1266">
        <f ca="1">INDEX(INDIRECT("'"&amp;V.a.Inputs[#Headers]&amp;"'!Year.Matrix"), MATCH("Subtotal."&amp;$A$2, INDIRECT("'"&amp;V.a.Inputs[#Headers]&amp;"'!Year.Modules"), 0), MATCH([Vector], INDIRECT("'"&amp;V.a.Inputs[#Headers]&amp;"'!Year.Vectors"), 0))</f>
        <v>69.271632407751852</v>
      </c>
      <c r="O15" s="1266">
        <f ca="1">INDEX(INDIRECT("'"&amp;V.a.Inputs[#Headers]&amp;"'!Year.Matrix"), MATCH("Subtotal."&amp;$A$2, INDIRECT("'"&amp;V.a.Inputs[#Headers]&amp;"'!Year.Modules"), 0), MATCH([Vector], INDIRECT("'"&amp;V.a.Inputs[#Headers]&amp;"'!Year.Vectors"), 0))</f>
        <v>76.013557509974802</v>
      </c>
      <c r="P15" s="1190"/>
    </row>
    <row r="16" spans="1:16" s="743" customFormat="1" ht="15.75" hidden="1" outlineLevel="1">
      <c r="A16" s="753"/>
      <c r="B16" s="1233"/>
      <c r="C16" s="765" t="s">
        <v>929</v>
      </c>
      <c r="D16" s="765" t="str">
        <f>INDEX(Vectors[Description], MATCH([Vector], Vectors[Code], 0))</f>
        <v>Wet biomatter and waste</v>
      </c>
      <c r="E16" s="765"/>
      <c r="F16" s="1266">
        <f ca="1">INDEX(INDIRECT("'"&amp;V.a.Inputs[#Headers]&amp;"'!Year.Matrix"), MATCH("Subtotal."&amp;$A$2, INDIRECT("'"&amp;V.a.Inputs[#Headers]&amp;"'!Year.Modules"), 0), MATCH([Vector], INDIRECT("'"&amp;V.a.Inputs[#Headers]&amp;"'!Year.Vectors"), 0))</f>
        <v>4.9610477000000008</v>
      </c>
      <c r="G16" s="1266">
        <f ca="1">INDEX(INDIRECT("'"&amp;V.a.Inputs[#Headers]&amp;"'!Year.Matrix"), MATCH("Subtotal."&amp;$A$2, INDIRECT("'"&amp;V.a.Inputs[#Headers]&amp;"'!Year.Modules"), 0), MATCH([Vector], INDIRECT("'"&amp;V.a.Inputs[#Headers]&amp;"'!Year.Vectors"), 0))</f>
        <v>8.9604444924216153</v>
      </c>
      <c r="H16" s="1266">
        <f ca="1">INDEX(INDIRECT("'"&amp;V.a.Inputs[#Headers]&amp;"'!Year.Matrix"), MATCH("Subtotal."&amp;$A$2, INDIRECT("'"&amp;V.a.Inputs[#Headers]&amp;"'!Year.Modules"), 0), MATCH([Vector], INDIRECT("'"&amp;V.a.Inputs[#Headers]&amp;"'!Year.Vectors"), 0))</f>
        <v>14.087208334163787</v>
      </c>
      <c r="I16" s="1266">
        <f ca="1">INDEX(INDIRECT("'"&amp;V.a.Inputs[#Headers]&amp;"'!Year.Matrix"), MATCH("Subtotal."&amp;$A$2, INDIRECT("'"&amp;V.a.Inputs[#Headers]&amp;"'!Year.Modules"), 0), MATCH([Vector], INDIRECT("'"&amp;V.a.Inputs[#Headers]&amp;"'!Year.Vectors"), 0))</f>
        <v>33.327159505884616</v>
      </c>
      <c r="J16" s="1266">
        <f ca="1">INDEX(INDIRECT("'"&amp;V.a.Inputs[#Headers]&amp;"'!Year.Matrix"), MATCH("Subtotal."&amp;$A$2, INDIRECT("'"&amp;V.a.Inputs[#Headers]&amp;"'!Year.Modules"), 0), MATCH([Vector], INDIRECT("'"&amp;V.a.Inputs[#Headers]&amp;"'!Year.Vectors"), 0))</f>
        <v>43.247452274254698</v>
      </c>
      <c r="K16" s="1266">
        <f ca="1">INDEX(INDIRECT("'"&amp;V.a.Inputs[#Headers]&amp;"'!Year.Matrix"), MATCH("Subtotal."&amp;$A$2, INDIRECT("'"&amp;V.a.Inputs[#Headers]&amp;"'!Year.Modules"), 0), MATCH([Vector], INDIRECT("'"&amp;V.a.Inputs[#Headers]&amp;"'!Year.Vectors"), 0))</f>
        <v>44.318418705558379</v>
      </c>
      <c r="L16" s="1266">
        <f ca="1">INDEX(INDIRECT("'"&amp;V.a.Inputs[#Headers]&amp;"'!Year.Matrix"), MATCH("Subtotal."&amp;$A$2, INDIRECT("'"&amp;V.a.Inputs[#Headers]&amp;"'!Year.Modules"), 0), MATCH([Vector], INDIRECT("'"&amp;V.a.Inputs[#Headers]&amp;"'!Year.Vectors"), 0))</f>
        <v>45.412460545409857</v>
      </c>
      <c r="M16" s="1266">
        <f ca="1">INDEX(INDIRECT("'"&amp;V.a.Inputs[#Headers]&amp;"'!Year.Matrix"), MATCH("Subtotal."&amp;$A$2, INDIRECT("'"&amp;V.a.Inputs[#Headers]&amp;"'!Year.Modules"), 0), MATCH([Vector], INDIRECT("'"&amp;V.a.Inputs[#Headers]&amp;"'!Year.Vectors"), 0))</f>
        <v>46.537817057146697</v>
      </c>
      <c r="N16" s="1266">
        <f ca="1">INDEX(INDIRECT("'"&amp;V.a.Inputs[#Headers]&amp;"'!Year.Matrix"), MATCH("Subtotal."&amp;$A$2, INDIRECT("'"&amp;V.a.Inputs[#Headers]&amp;"'!Year.Modules"), 0), MATCH([Vector], INDIRECT("'"&amp;V.a.Inputs[#Headers]&amp;"'!Year.Vectors"), 0))</f>
        <v>47.700051615122234</v>
      </c>
      <c r="O16" s="1266">
        <f ca="1">INDEX(INDIRECT("'"&amp;V.a.Inputs[#Headers]&amp;"'!Year.Matrix"), MATCH("Subtotal."&amp;$A$2, INDIRECT("'"&amp;V.a.Inputs[#Headers]&amp;"'!Year.Modules"), 0), MATCH([Vector], INDIRECT("'"&amp;V.a.Inputs[#Headers]&amp;"'!Year.Vectors"), 0))</f>
        <v>48.901286054879833</v>
      </c>
      <c r="P16" s="1190"/>
    </row>
    <row r="17" spans="1:18" s="743" customFormat="1" ht="15.75" hidden="1" outlineLevel="1">
      <c r="A17" s="753"/>
      <c r="B17" s="1233"/>
      <c r="C17" s="765" t="s">
        <v>2294</v>
      </c>
      <c r="D17" s="765" t="str">
        <f>INDEX(Vectors[Description], MATCH([Vector], Vectors[Code], 0))</f>
        <v>Gaseous waste</v>
      </c>
      <c r="E17" s="765"/>
      <c r="F17" s="1266">
        <f ca="1">INDEX(INDIRECT("'"&amp;V.a.Inputs[#Headers]&amp;"'!Year.Matrix"), MATCH("Subtotal."&amp;$A$2, INDIRECT("'"&amp;V.a.Inputs[#Headers]&amp;"'!Year.Modules"), 0), MATCH([Vector], INDIRECT("'"&amp;V.a.Inputs[#Headers]&amp;"'!Year.Vectors"), 0))</f>
        <v>18.283196551267896</v>
      </c>
      <c r="G17" s="1266">
        <f ca="1">INDEX(INDIRECT("'"&amp;V.a.Inputs[#Headers]&amp;"'!Year.Matrix"), MATCH("Subtotal."&amp;$A$2, INDIRECT("'"&amp;V.a.Inputs[#Headers]&amp;"'!Year.Modules"), 0), MATCH([Vector], INDIRECT("'"&amp;V.a.Inputs[#Headers]&amp;"'!Year.Vectors"), 0))</f>
        <v>18.397138633862209</v>
      </c>
      <c r="H17" s="1266">
        <f ca="1">INDEX(INDIRECT("'"&amp;V.a.Inputs[#Headers]&amp;"'!Year.Matrix"), MATCH("Subtotal."&amp;$A$2, INDIRECT("'"&amp;V.a.Inputs[#Headers]&amp;"'!Year.Modules"), 0), MATCH([Vector], INDIRECT("'"&amp;V.a.Inputs[#Headers]&amp;"'!Year.Vectors"), 0))</f>
        <v>18.090473221244544</v>
      </c>
      <c r="I17" s="1266">
        <f ca="1">INDEX(INDIRECT("'"&amp;V.a.Inputs[#Headers]&amp;"'!Year.Matrix"), MATCH("Subtotal."&amp;$A$2, INDIRECT("'"&amp;V.a.Inputs[#Headers]&amp;"'!Year.Modules"), 0), MATCH([Vector], INDIRECT("'"&amp;V.a.Inputs[#Headers]&amp;"'!Year.Vectors"), 0))</f>
        <v>17.426885093820637</v>
      </c>
      <c r="J17" s="1266">
        <f ca="1">INDEX(INDIRECT("'"&amp;V.a.Inputs[#Headers]&amp;"'!Year.Matrix"), MATCH("Subtotal."&amp;$A$2, INDIRECT("'"&amp;V.a.Inputs[#Headers]&amp;"'!Year.Modules"), 0), MATCH([Vector], INDIRECT("'"&amp;V.a.Inputs[#Headers]&amp;"'!Year.Vectors"), 0))</f>
        <v>16.987273382270043</v>
      </c>
      <c r="K17" s="1266">
        <f ca="1">INDEX(INDIRECT("'"&amp;V.a.Inputs[#Headers]&amp;"'!Year.Matrix"), MATCH("Subtotal."&amp;$A$2, INDIRECT("'"&amp;V.a.Inputs[#Headers]&amp;"'!Year.Modules"), 0), MATCH([Vector], INDIRECT("'"&amp;V.a.Inputs[#Headers]&amp;"'!Year.Vectors"), 0))</f>
        <v>16.949513130720788</v>
      </c>
      <c r="L17" s="1266">
        <f ca="1">INDEX(INDIRECT("'"&amp;V.a.Inputs[#Headers]&amp;"'!Year.Matrix"), MATCH("Subtotal."&amp;$A$2, INDIRECT("'"&amp;V.a.Inputs[#Headers]&amp;"'!Year.Modules"), 0), MATCH([Vector], INDIRECT("'"&amp;V.a.Inputs[#Headers]&amp;"'!Year.Vectors"), 0))</f>
        <v>17.17420033669308</v>
      </c>
      <c r="M17" s="1266">
        <f ca="1">INDEX(INDIRECT("'"&amp;V.a.Inputs[#Headers]&amp;"'!Year.Matrix"), MATCH("Subtotal."&amp;$A$2, INDIRECT("'"&amp;V.a.Inputs[#Headers]&amp;"'!Year.Modules"), 0), MATCH([Vector], INDIRECT("'"&amp;V.a.Inputs[#Headers]&amp;"'!Year.Vectors"), 0))</f>
        <v>17.575536884393671</v>
      </c>
      <c r="N17" s="1266">
        <f ca="1">INDEX(INDIRECT("'"&amp;V.a.Inputs[#Headers]&amp;"'!Year.Matrix"), MATCH("Subtotal."&amp;$A$2, INDIRECT("'"&amp;V.a.Inputs[#Headers]&amp;"'!Year.Modules"), 0), MATCH([Vector], INDIRECT("'"&amp;V.a.Inputs[#Headers]&amp;"'!Year.Vectors"), 0))</f>
        <v>18.128502892916249</v>
      </c>
      <c r="O17" s="1266">
        <f ca="1">INDEX(INDIRECT("'"&amp;V.a.Inputs[#Headers]&amp;"'!Year.Matrix"), MATCH("Subtotal."&amp;$A$2, INDIRECT("'"&amp;V.a.Inputs[#Headers]&amp;"'!Year.Modules"), 0), MATCH([Vector], INDIRECT("'"&amp;V.a.Inputs[#Headers]&amp;"'!Year.Vectors"), 0))</f>
        <v>18.806405883014129</v>
      </c>
      <c r="P17" s="1190"/>
    </row>
    <row r="18" spans="1:18" s="743" customFormat="1" ht="15.75" hidden="1" outlineLevel="1">
      <c r="A18" s="753"/>
      <c r="B18" s="1233"/>
      <c r="C18" s="1188" t="s">
        <v>1801</v>
      </c>
      <c r="D18" s="1188" t="str">
        <f>INDEX(Vectors[Description], MATCH([Vector], Vectors[Code], 0))</f>
        <v>Energy crops (second generation)</v>
      </c>
      <c r="E18" s="1188"/>
      <c r="F18" s="1266">
        <f ca="1">INDEX(INDIRECT("'"&amp;V.a.Inputs[#Headers]&amp;"'!Year.Matrix"), MATCH("Subtotal."&amp;$A$2, INDIRECT("'"&amp;V.a.Inputs[#Headers]&amp;"'!Year.Modules"), 0), MATCH([Vector], INDIRECT("'"&amp;V.a.Inputs[#Headers]&amp;"'!Year.Vectors"), 0))</f>
        <v>0.82222222222222219</v>
      </c>
      <c r="G18" s="1266">
        <f ca="1">INDEX(INDIRECT("'"&amp;V.a.Inputs[#Headers]&amp;"'!Year.Matrix"), MATCH("Subtotal."&amp;$A$2, INDIRECT("'"&amp;V.a.Inputs[#Headers]&amp;"'!Year.Modules"), 0), MATCH([Vector], INDIRECT("'"&amp;V.a.Inputs[#Headers]&amp;"'!Year.Vectors"), 0))</f>
        <v>1.6469469103055956</v>
      </c>
      <c r="H18" s="1266">
        <f ca="1">INDEX(INDIRECT("'"&amp;V.a.Inputs[#Headers]&amp;"'!Year.Matrix"), MATCH("Subtotal."&amp;$A$2, INDIRECT("'"&amp;V.a.Inputs[#Headers]&amp;"'!Year.Modules"), 0), MATCH([Vector], INDIRECT("'"&amp;V.a.Inputs[#Headers]&amp;"'!Year.Vectors"), 0))</f>
        <v>7.7206352827919442</v>
      </c>
      <c r="I18" s="1266">
        <f ca="1">INDEX(INDIRECT("'"&amp;V.a.Inputs[#Headers]&amp;"'!Year.Matrix"), MATCH("Subtotal."&amp;$A$2, INDIRECT("'"&amp;V.a.Inputs[#Headers]&amp;"'!Year.Modules"), 0), MATCH([Vector], INDIRECT("'"&amp;V.a.Inputs[#Headers]&amp;"'!Year.Vectors"), 0))</f>
        <v>14.367659141861198</v>
      </c>
      <c r="J18" s="1266">
        <f ca="1">INDEX(INDIRECT("'"&amp;V.a.Inputs[#Headers]&amp;"'!Year.Matrix"), MATCH("Subtotal."&amp;$A$2, INDIRECT("'"&amp;V.a.Inputs[#Headers]&amp;"'!Year.Modules"), 0), MATCH([Vector], INDIRECT("'"&amp;V.a.Inputs[#Headers]&amp;"'!Year.Vectors"), 0))</f>
        <v>21.62911347575881</v>
      </c>
      <c r="K18" s="1266">
        <f ca="1">INDEX(INDIRECT("'"&amp;V.a.Inputs[#Headers]&amp;"'!Year.Matrix"), MATCH("Subtotal."&amp;$A$2, INDIRECT("'"&amp;V.a.Inputs[#Headers]&amp;"'!Year.Modules"), 0), MATCH([Vector], INDIRECT("'"&amp;V.a.Inputs[#Headers]&amp;"'!Year.Vectors"), 0))</f>
        <v>29.548733569197832</v>
      </c>
      <c r="L18" s="1266">
        <f ca="1">INDEX(INDIRECT("'"&amp;V.a.Inputs[#Headers]&amp;"'!Year.Matrix"), MATCH("Subtotal."&amp;$A$2, INDIRECT("'"&amp;V.a.Inputs[#Headers]&amp;"'!Year.Modules"), 0), MATCH([Vector], INDIRECT("'"&amp;V.a.Inputs[#Headers]&amp;"'!Year.Vectors"), 0))</f>
        <v>41.568038881692388</v>
      </c>
      <c r="M18" s="1266">
        <f ca="1">INDEX(INDIRECT("'"&amp;V.a.Inputs[#Headers]&amp;"'!Year.Matrix"), MATCH("Subtotal."&amp;$A$2, INDIRECT("'"&amp;V.a.Inputs[#Headers]&amp;"'!Year.Modules"), 0), MATCH([Vector], INDIRECT("'"&amp;V.a.Inputs[#Headers]&amp;"'!Year.Vectors"), 0))</f>
        <v>54.687907950087279</v>
      </c>
      <c r="N18" s="1266">
        <f ca="1">INDEX(INDIRECT("'"&amp;V.a.Inputs[#Headers]&amp;"'!Year.Matrix"), MATCH("Subtotal."&amp;$A$2, INDIRECT("'"&amp;V.a.Inputs[#Headers]&amp;"'!Year.Modules"), 0), MATCH([Vector], INDIRECT("'"&amp;V.a.Inputs[#Headers]&amp;"'!Year.Vectors"), 0))</f>
        <v>68.987497373024652</v>
      </c>
      <c r="O18" s="1266">
        <f ca="1">INDEX(INDIRECT("'"&amp;V.a.Inputs[#Headers]&amp;"'!Year.Matrix"), MATCH("Subtotal."&amp;$A$2, INDIRECT("'"&amp;V.a.Inputs[#Headers]&amp;"'!Year.Modules"), 0), MATCH([Vector], INDIRECT("'"&amp;V.a.Inputs[#Headers]&amp;"'!Year.Vectors"), 0))</f>
        <v>84.551105543007012</v>
      </c>
      <c r="P18" s="1190"/>
    </row>
    <row r="19" spans="1:18" s="743" customFormat="1" ht="15.75" hidden="1" outlineLevel="1">
      <c r="A19" s="753"/>
      <c r="B19" s="1233"/>
      <c r="C19" s="1188" t="s">
        <v>2291</v>
      </c>
      <c r="D19" s="1188" t="str">
        <f>INDEX(Vectors[Description], MATCH([Vector], Vectors[Code], 0))</f>
        <v>Energy crops (first generation)</v>
      </c>
      <c r="E19" s="1188"/>
      <c r="F19" s="1266">
        <f ca="1">INDEX(INDIRECT("'"&amp;V.a.Inputs[#Headers]&amp;"'!Year.Matrix"), MATCH("Subtotal."&amp;$A$2, INDIRECT("'"&amp;V.a.Inputs[#Headers]&amp;"'!Year.Modules"), 0), MATCH([Vector], INDIRECT("'"&amp;V.a.Inputs[#Headers]&amp;"'!Year.Vectors"), 0))</f>
        <v>4.0593000000000004</v>
      </c>
      <c r="G19" s="1266">
        <f ca="1">INDEX(INDIRECT("'"&amp;V.a.Inputs[#Headers]&amp;"'!Year.Matrix"), MATCH("Subtotal."&amp;$A$2, INDIRECT("'"&amp;V.a.Inputs[#Headers]&amp;"'!Year.Modules"), 0), MATCH([Vector], INDIRECT("'"&amp;V.a.Inputs[#Headers]&amp;"'!Year.Vectors"), 0))</f>
        <v>1.1980448469689404</v>
      </c>
      <c r="H19" s="1266">
        <f ca="1">INDEX(INDIRECT("'"&amp;V.a.Inputs[#Headers]&amp;"'!Year.Matrix"), MATCH("Subtotal."&amp;$A$2, INDIRECT("'"&amp;V.a.Inputs[#Headers]&amp;"'!Year.Modules"), 0), MATCH([Vector], INDIRECT("'"&amp;V.a.Inputs[#Headers]&amp;"'!Year.Vectors"), 0))</f>
        <v>1.252228408041016</v>
      </c>
      <c r="I19" s="1266">
        <f ca="1">INDEX(INDIRECT("'"&amp;V.a.Inputs[#Headers]&amp;"'!Year.Matrix"), MATCH("Subtotal."&amp;$A$2, INDIRECT("'"&amp;V.a.Inputs[#Headers]&amp;"'!Year.Modules"), 0), MATCH([Vector], INDIRECT("'"&amp;V.a.Inputs[#Headers]&amp;"'!Year.Vectors"), 0))</f>
        <v>1.3088625103410589</v>
      </c>
      <c r="J19" s="1266">
        <f ca="1">INDEX(INDIRECT("'"&amp;V.a.Inputs[#Headers]&amp;"'!Year.Matrix"), MATCH("Subtotal."&amp;$A$2, INDIRECT("'"&amp;V.a.Inputs[#Headers]&amp;"'!Year.Modules"), 0), MATCH([Vector], INDIRECT("'"&amp;V.a.Inputs[#Headers]&amp;"'!Year.Vectors"), 0))</f>
        <v>1.3680579836519617</v>
      </c>
      <c r="K19" s="1266">
        <f ca="1">INDEX(INDIRECT("'"&amp;V.a.Inputs[#Headers]&amp;"'!Year.Matrix"), MATCH("Subtotal."&amp;$A$2, INDIRECT("'"&amp;V.a.Inputs[#Headers]&amp;"'!Year.Modules"), 0), MATCH([Vector], INDIRECT("'"&amp;V.a.Inputs[#Headers]&amp;"'!Year.Vectors"), 0))</f>
        <v>1.4299306702169821</v>
      </c>
      <c r="L19" s="1266">
        <f ca="1">INDEX(INDIRECT("'"&amp;V.a.Inputs[#Headers]&amp;"'!Year.Matrix"), MATCH("Subtotal."&amp;$A$2, INDIRECT("'"&amp;V.a.Inputs[#Headers]&amp;"'!Year.Modules"), 0), MATCH([Vector], INDIRECT("'"&amp;V.a.Inputs[#Headers]&amp;"'!Year.Vectors"), 0))</f>
        <v>1.4946016514365559</v>
      </c>
      <c r="M19" s="1266">
        <f ca="1">INDEX(INDIRECT("'"&amp;V.a.Inputs[#Headers]&amp;"'!Year.Matrix"), MATCH("Subtotal."&amp;$A$2, INDIRECT("'"&amp;V.a.Inputs[#Headers]&amp;"'!Year.Modules"), 0), MATCH([Vector], INDIRECT("'"&amp;V.a.Inputs[#Headers]&amp;"'!Year.Vectors"), 0))</f>
        <v>1.5621974848178559</v>
      </c>
      <c r="N19" s="1266">
        <f ca="1">INDEX(INDIRECT("'"&amp;V.a.Inputs[#Headers]&amp;"'!Year.Matrix"), MATCH("Subtotal."&amp;$A$2, INDIRECT("'"&amp;V.a.Inputs[#Headers]&amp;"'!Year.Modules"), 0), MATCH([Vector], INDIRECT("'"&amp;V.a.Inputs[#Headers]&amp;"'!Year.Vectors"), 0))</f>
        <v>1.6328504516407798</v>
      </c>
      <c r="O19" s="1266">
        <f ca="1">INDEX(INDIRECT("'"&amp;V.a.Inputs[#Headers]&amp;"'!Year.Matrix"), MATCH("Subtotal."&amp;$A$2, INDIRECT("'"&amp;V.a.Inputs[#Headers]&amp;"'!Year.Modules"), 0), MATCH([Vector], INDIRECT("'"&amp;V.a.Inputs[#Headers]&amp;"'!Year.Vectors"), 0))</f>
        <v>1.7066988158250447</v>
      </c>
      <c r="P19" s="1191"/>
    </row>
    <row r="20" spans="1:18" s="743" customFormat="1" ht="15.75" hidden="1" outlineLevel="1">
      <c r="A20" s="753"/>
      <c r="B20" s="1233"/>
      <c r="C20" s="765"/>
      <c r="D20" s="765"/>
      <c r="E20" s="765"/>
      <c r="F20" s="953"/>
      <c r="G20" s="953"/>
      <c r="H20" s="953"/>
      <c r="I20" s="953"/>
      <c r="J20" s="953"/>
      <c r="K20" s="953"/>
      <c r="L20" s="953"/>
      <c r="M20" s="953"/>
      <c r="N20" s="953"/>
      <c r="O20" s="953"/>
      <c r="P20" s="1191"/>
    </row>
    <row r="21" spans="1:18" s="743" customFormat="1" ht="15.75" hidden="1" outlineLevel="1">
      <c r="A21" s="753"/>
      <c r="B21" s="1831"/>
      <c r="C21" s="1186" t="s">
        <v>1224</v>
      </c>
      <c r="D21" s="1174"/>
      <c r="E21" s="1175"/>
      <c r="F21" s="1174"/>
      <c r="G21" s="1174"/>
      <c r="H21" s="1174"/>
      <c r="I21" s="1174"/>
      <c r="J21" s="1174"/>
      <c r="K21" s="1174"/>
      <c r="L21" s="1174"/>
      <c r="M21" s="1174"/>
      <c r="N21" s="1174"/>
      <c r="O21" s="1175" t="str">
        <f>Preferences.EnergyUnits</f>
        <v>TWh</v>
      </c>
      <c r="P21" s="765"/>
    </row>
    <row r="22" spans="1:18" s="743" customFormat="1" ht="5.25" hidden="1" customHeight="1" outlineLevel="1">
      <c r="A22" s="753"/>
      <c r="B22" s="1831"/>
      <c r="C22" s="1173"/>
      <c r="D22" s="1174"/>
      <c r="E22" s="1175"/>
      <c r="F22" s="1174"/>
      <c r="G22" s="1174"/>
      <c r="H22" s="1174"/>
      <c r="I22" s="1174"/>
      <c r="J22" s="1174"/>
      <c r="K22" s="1174"/>
      <c r="L22" s="1174"/>
      <c r="M22" s="1174"/>
      <c r="N22" s="1174"/>
      <c r="O22" s="1174"/>
      <c r="P22" s="765"/>
    </row>
    <row r="23" spans="1:18" s="743" customFormat="1" ht="15.75" hidden="1" outlineLevel="1">
      <c r="A23" s="753"/>
      <c r="B23" s="1831"/>
      <c r="C23" s="1188" t="s">
        <v>78</v>
      </c>
      <c r="D23" s="1188" t="s">
        <v>418</v>
      </c>
      <c r="E23" s="1188" t="s">
        <v>442</v>
      </c>
      <c r="F23" s="1188" t="s">
        <v>691</v>
      </c>
      <c r="G23" s="1188" t="s">
        <v>692</v>
      </c>
      <c r="H23" s="1189" t="s">
        <v>721</v>
      </c>
      <c r="I23" s="1189" t="s">
        <v>722</v>
      </c>
      <c r="J23" s="1189" t="s">
        <v>723</v>
      </c>
      <c r="K23" s="1189" t="s">
        <v>724</v>
      </c>
      <c r="L23" s="1189" t="s">
        <v>725</v>
      </c>
      <c r="M23" s="1189" t="s">
        <v>726</v>
      </c>
      <c r="N23" s="1189" t="s">
        <v>727</v>
      </c>
      <c r="O23" s="1189" t="s">
        <v>728</v>
      </c>
      <c r="P23" s="765"/>
    </row>
    <row r="24" spans="1:18" s="743" customFormat="1" ht="15.75" hidden="1" outlineLevel="1">
      <c r="A24" s="753"/>
      <c r="B24" s="1831"/>
      <c r="C24" s="1188" t="s">
        <v>47</v>
      </c>
      <c r="D24" s="1188" t="str">
        <f>INDEX(Vectors[Description], MATCH([Vector], Vectors[Code], 0))</f>
        <v>Solid hydrocarbons</v>
      </c>
      <c r="E24" s="1188"/>
      <c r="F24" s="1266">
        <f ca="1">INDEX(INDIRECT("'"&amp;V.a.Inputs2[#Headers]&amp;"'!Year.Matrix"), MATCH("Subtotal."&amp;$A$2, INDIRECT("'"&amp;V.a.Inputs2[#Headers]&amp;"'!Year.Modules"), 0), MATCH([Vector], INDIRECT("'"&amp;V.a.Inputs2[#Headers]&amp;"'!Year.Vectors"), 0))</f>
        <v>-442.86489976108777</v>
      </c>
      <c r="G24" s="1266">
        <f ca="1">INDEX(INDIRECT("'"&amp;V.a.Inputs2[#Headers]&amp;"'!Year.Matrix"), MATCH("Subtotal."&amp;$A$2, INDIRECT("'"&amp;V.a.Inputs2[#Headers]&amp;"'!Year.Modules"), 0), MATCH([Vector], INDIRECT("'"&amp;V.a.Inputs2[#Headers]&amp;"'!Year.Vectors"), 0))</f>
        <v>-432.07263090598673</v>
      </c>
      <c r="H24" s="1266">
        <f ca="1">INDEX(INDIRECT("'"&amp;V.a.Inputs2[#Headers]&amp;"'!Year.Matrix"), MATCH("Subtotal."&amp;$A$2, INDIRECT("'"&amp;V.a.Inputs2[#Headers]&amp;"'!Year.Modules"), 0), MATCH([Vector], INDIRECT("'"&amp;V.a.Inputs2[#Headers]&amp;"'!Year.Vectors"), 0))</f>
        <v>-321.89513270266332</v>
      </c>
      <c r="I24" s="1266">
        <f ca="1">INDEX(INDIRECT("'"&amp;V.a.Inputs2[#Headers]&amp;"'!Year.Matrix"), MATCH("Subtotal."&amp;$A$2, INDIRECT("'"&amp;V.a.Inputs2[#Headers]&amp;"'!Year.Modules"), 0), MATCH([Vector], INDIRECT("'"&amp;V.a.Inputs2[#Headers]&amp;"'!Year.Vectors"), 0))</f>
        <v>-228.97302656673963</v>
      </c>
      <c r="J24" s="1266">
        <f ca="1">INDEX(INDIRECT("'"&amp;V.a.Inputs2[#Headers]&amp;"'!Year.Matrix"), MATCH("Subtotal."&amp;$A$2, INDIRECT("'"&amp;V.a.Inputs2[#Headers]&amp;"'!Year.Modules"), 0), MATCH([Vector], INDIRECT("'"&amp;V.a.Inputs2[#Headers]&amp;"'!Year.Vectors"), 0))</f>
        <v>-113.67650623310831</v>
      </c>
      <c r="K24" s="1266">
        <f ca="1">INDEX(INDIRECT("'"&amp;V.a.Inputs2[#Headers]&amp;"'!Year.Matrix"), MATCH("Subtotal."&amp;$A$2, INDIRECT("'"&amp;V.a.Inputs2[#Headers]&amp;"'!Year.Modules"), 0), MATCH([Vector], INDIRECT("'"&amp;V.a.Inputs2[#Headers]&amp;"'!Year.Vectors"), 0))</f>
        <v>-113.11419496727213</v>
      </c>
      <c r="L24" s="1266">
        <f ca="1">INDEX(INDIRECT("'"&amp;V.a.Inputs2[#Headers]&amp;"'!Year.Matrix"), MATCH("Subtotal."&amp;$A$2, INDIRECT("'"&amp;V.a.Inputs2[#Headers]&amp;"'!Year.Modules"), 0), MATCH([Vector], INDIRECT("'"&amp;V.a.Inputs2[#Headers]&amp;"'!Year.Vectors"), 0))</f>
        <v>-112.77604091444439</v>
      </c>
      <c r="M24" s="1266">
        <f ca="1">INDEX(INDIRECT("'"&amp;V.a.Inputs2[#Headers]&amp;"'!Year.Matrix"), MATCH("Subtotal."&amp;$A$2, INDIRECT("'"&amp;V.a.Inputs2[#Headers]&amp;"'!Year.Modules"), 0), MATCH([Vector], INDIRECT("'"&amp;V.a.Inputs2[#Headers]&amp;"'!Year.Vectors"), 0))</f>
        <v>-112.77464095777066</v>
      </c>
      <c r="N24" s="1266">
        <f ca="1">INDEX(INDIRECT("'"&amp;V.a.Inputs2[#Headers]&amp;"'!Year.Matrix"), MATCH("Subtotal."&amp;$A$2, INDIRECT("'"&amp;V.a.Inputs2[#Headers]&amp;"'!Year.Modules"), 0), MATCH([Vector], INDIRECT("'"&amp;V.a.Inputs2[#Headers]&amp;"'!Year.Vectors"), 0))</f>
        <v>-113.05377816931107</v>
      </c>
      <c r="O24" s="1266">
        <f ca="1">INDEX(INDIRECT("'"&amp;V.a.Inputs2[#Headers]&amp;"'!Year.Matrix"), MATCH("Subtotal."&amp;$A$2, INDIRECT("'"&amp;V.a.Inputs2[#Headers]&amp;"'!Year.Modules"), 0), MATCH([Vector], INDIRECT("'"&amp;V.a.Inputs2[#Headers]&amp;"'!Year.Vectors"), 0))</f>
        <v>-113.56994645370648</v>
      </c>
      <c r="P24" s="765"/>
    </row>
    <row r="25" spans="1:18" s="743" customFormat="1" ht="15.75" hidden="1" outlineLevel="1">
      <c r="A25" s="753"/>
      <c r="B25" s="1831"/>
      <c r="C25" s="1188" t="s">
        <v>49</v>
      </c>
      <c r="D25" s="1188" t="str">
        <f>INDEX(Vectors[Description], MATCH([Vector], Vectors[Code], 0))</f>
        <v>Liquid hydrocarbons</v>
      </c>
      <c r="E25" s="1188"/>
      <c r="F25" s="1266">
        <f ca="1">INDEX(INDIRECT("'"&amp;V.a.Inputs2[#Headers]&amp;"'!Year.Matrix"), MATCH("Subtotal."&amp;$A$2, INDIRECT("'"&amp;V.a.Inputs2[#Headers]&amp;"'!Year.Modules"), 0), MATCH([Vector], INDIRECT("'"&amp;V.a.Inputs2[#Headers]&amp;"'!Year.Vectors"), 0))</f>
        <v>-880.010639206463</v>
      </c>
      <c r="G25" s="1266">
        <f ca="1">INDEX(INDIRECT("'"&amp;V.a.Inputs2[#Headers]&amp;"'!Year.Matrix"), MATCH("Subtotal."&amp;$A$2, INDIRECT("'"&amp;V.a.Inputs2[#Headers]&amp;"'!Year.Modules"), 0), MATCH([Vector], INDIRECT("'"&amp;V.a.Inputs2[#Headers]&amp;"'!Year.Vectors"), 0))</f>
        <v>-880.94415447446522</v>
      </c>
      <c r="H25" s="1266">
        <f ca="1">INDEX(INDIRECT("'"&amp;V.a.Inputs2[#Headers]&amp;"'!Year.Matrix"), MATCH("Subtotal."&amp;$A$2, INDIRECT("'"&amp;V.a.Inputs2[#Headers]&amp;"'!Year.Modules"), 0), MATCH([Vector], INDIRECT("'"&amp;V.a.Inputs2[#Headers]&amp;"'!Year.Vectors"), 0))</f>
        <v>-866.55691625228883</v>
      </c>
      <c r="I25" s="1266">
        <f ca="1">INDEX(INDIRECT("'"&amp;V.a.Inputs2[#Headers]&amp;"'!Year.Matrix"), MATCH("Subtotal."&amp;$A$2, INDIRECT("'"&amp;V.a.Inputs2[#Headers]&amp;"'!Year.Modules"), 0), MATCH([Vector], INDIRECT("'"&amp;V.a.Inputs2[#Headers]&amp;"'!Year.Vectors"), 0))</f>
        <v>-864.82119458491093</v>
      </c>
      <c r="J25" s="1266">
        <f ca="1">INDEX(INDIRECT("'"&amp;V.a.Inputs2[#Headers]&amp;"'!Year.Matrix"), MATCH("Subtotal."&amp;$A$2, INDIRECT("'"&amp;V.a.Inputs2[#Headers]&amp;"'!Year.Modules"), 0), MATCH([Vector], INDIRECT("'"&amp;V.a.Inputs2[#Headers]&amp;"'!Year.Vectors"), 0))</f>
        <v>-841.11067355416787</v>
      </c>
      <c r="K25" s="1266">
        <f ca="1">INDEX(INDIRECT("'"&amp;V.a.Inputs2[#Headers]&amp;"'!Year.Matrix"), MATCH("Subtotal."&amp;$A$2, INDIRECT("'"&amp;V.a.Inputs2[#Headers]&amp;"'!Year.Modules"), 0), MATCH([Vector], INDIRECT("'"&amp;V.a.Inputs2[#Headers]&amp;"'!Year.Vectors"), 0))</f>
        <v>-816.14496810350909</v>
      </c>
      <c r="L25" s="1266">
        <f ca="1">INDEX(INDIRECT("'"&amp;V.a.Inputs2[#Headers]&amp;"'!Year.Matrix"), MATCH("Subtotal."&amp;$A$2, INDIRECT("'"&amp;V.a.Inputs2[#Headers]&amp;"'!Year.Modules"), 0), MATCH([Vector], INDIRECT("'"&amp;V.a.Inputs2[#Headers]&amp;"'!Year.Vectors"), 0))</f>
        <v>-822.03472350219511</v>
      </c>
      <c r="M25" s="1266">
        <f ca="1">INDEX(INDIRECT("'"&amp;V.a.Inputs2[#Headers]&amp;"'!Year.Matrix"), MATCH("Subtotal."&amp;$A$2, INDIRECT("'"&amp;V.a.Inputs2[#Headers]&amp;"'!Year.Modules"), 0), MATCH([Vector], INDIRECT("'"&amp;V.a.Inputs2[#Headers]&amp;"'!Year.Vectors"), 0))</f>
        <v>-824.38351448402466</v>
      </c>
      <c r="N25" s="1266">
        <f ca="1">INDEX(INDIRECT("'"&amp;V.a.Inputs2[#Headers]&amp;"'!Year.Matrix"), MATCH("Subtotal."&amp;$A$2, INDIRECT("'"&amp;V.a.Inputs2[#Headers]&amp;"'!Year.Modules"), 0), MATCH([Vector], INDIRECT("'"&amp;V.a.Inputs2[#Headers]&amp;"'!Year.Vectors"), 0))</f>
        <v>-831.13393591517035</v>
      </c>
      <c r="O25" s="1266">
        <f ca="1">INDEX(INDIRECT("'"&amp;V.a.Inputs2[#Headers]&amp;"'!Year.Matrix"), MATCH("Subtotal."&amp;$A$2, INDIRECT("'"&amp;V.a.Inputs2[#Headers]&amp;"'!Year.Modules"), 0), MATCH([Vector], INDIRECT("'"&amp;V.a.Inputs2[#Headers]&amp;"'!Year.Vectors"), 0))</f>
        <v>-840.69209868202199</v>
      </c>
      <c r="P25" s="765"/>
    </row>
    <row r="26" spans="1:18" s="743" customFormat="1" ht="15.75" hidden="1" outlineLevel="1">
      <c r="A26" s="753"/>
      <c r="B26" s="1831"/>
      <c r="C26" s="765" t="s">
        <v>50</v>
      </c>
      <c r="D26" s="765" t="str">
        <f>INDEX(Vectors[Description], MATCH([Vector], Vectors[Code], 0))</f>
        <v>Gaseous hydrocarbons</v>
      </c>
      <c r="E26" s="765"/>
      <c r="F26" s="1266">
        <f ca="1">INDEX(INDIRECT("'"&amp;V.a.Inputs2[#Headers]&amp;"'!Year.Matrix"), MATCH("Subtotal."&amp;$A$2, INDIRECT("'"&amp;V.a.Inputs2[#Headers]&amp;"'!Year.Modules"), 0), MATCH([Vector], INDIRECT("'"&amp;V.a.Inputs2[#Headers]&amp;"'!Year.Vectors"), 0))</f>
        <v>-1018.9565773566303</v>
      </c>
      <c r="G26" s="1266">
        <f ca="1">INDEX(INDIRECT("'"&amp;V.a.Inputs2[#Headers]&amp;"'!Year.Matrix"), MATCH("Subtotal."&amp;$A$2, INDIRECT("'"&amp;V.a.Inputs2[#Headers]&amp;"'!Year.Modules"), 0), MATCH([Vector], INDIRECT("'"&amp;V.a.Inputs2[#Headers]&amp;"'!Year.Vectors"), 0))</f>
        <v>-1052.5131730578337</v>
      </c>
      <c r="H26" s="1266">
        <f ca="1">INDEX(INDIRECT("'"&amp;V.a.Inputs2[#Headers]&amp;"'!Year.Matrix"), MATCH("Subtotal."&amp;$A$2, INDIRECT("'"&amp;V.a.Inputs2[#Headers]&amp;"'!Year.Modules"), 0), MATCH([Vector], INDIRECT("'"&amp;V.a.Inputs2[#Headers]&amp;"'!Year.Vectors"), 0))</f>
        <v>-1163.4023029925334</v>
      </c>
      <c r="I26" s="1266">
        <f ca="1">INDEX(INDIRECT("'"&amp;V.a.Inputs2[#Headers]&amp;"'!Year.Matrix"), MATCH("Subtotal."&amp;$A$2, INDIRECT("'"&amp;V.a.Inputs2[#Headers]&amp;"'!Year.Modules"), 0), MATCH([Vector], INDIRECT("'"&amp;V.a.Inputs2[#Headers]&amp;"'!Year.Vectors"), 0))</f>
        <v>-1278.0210256499968</v>
      </c>
      <c r="J26" s="1266">
        <f ca="1">INDEX(INDIRECT("'"&amp;V.a.Inputs2[#Headers]&amp;"'!Year.Matrix"), MATCH("Subtotal."&amp;$A$2, INDIRECT("'"&amp;V.a.Inputs2[#Headers]&amp;"'!Year.Modules"), 0), MATCH([Vector], INDIRECT("'"&amp;V.a.Inputs2[#Headers]&amp;"'!Year.Vectors"), 0))</f>
        <v>-1414.8163788955292</v>
      </c>
      <c r="K26" s="1266">
        <f ca="1">INDEX(INDIRECT("'"&amp;V.a.Inputs2[#Headers]&amp;"'!Year.Matrix"), MATCH("Subtotal."&amp;$A$2, INDIRECT("'"&amp;V.a.Inputs2[#Headers]&amp;"'!Year.Modules"), 0), MATCH([Vector], INDIRECT("'"&amp;V.a.Inputs2[#Headers]&amp;"'!Year.Vectors"), 0))</f>
        <v>-1487.4018427806232</v>
      </c>
      <c r="L26" s="1266">
        <f ca="1">INDEX(INDIRECT("'"&amp;V.a.Inputs2[#Headers]&amp;"'!Year.Matrix"), MATCH("Subtotal."&amp;$A$2, INDIRECT("'"&amp;V.a.Inputs2[#Headers]&amp;"'!Year.Modules"), 0), MATCH([Vector], INDIRECT("'"&amp;V.a.Inputs2[#Headers]&amp;"'!Year.Vectors"), 0))</f>
        <v>-1581.4937216745529</v>
      </c>
      <c r="M26" s="1266">
        <f ca="1">INDEX(INDIRECT("'"&amp;V.a.Inputs2[#Headers]&amp;"'!Year.Matrix"), MATCH("Subtotal."&amp;$A$2, INDIRECT("'"&amp;V.a.Inputs2[#Headers]&amp;"'!Year.Modules"), 0), MATCH([Vector], INDIRECT("'"&amp;V.a.Inputs2[#Headers]&amp;"'!Year.Vectors"), 0))</f>
        <v>-1664.06456345385</v>
      </c>
      <c r="N26" s="1266">
        <f ca="1">INDEX(INDIRECT("'"&amp;V.a.Inputs2[#Headers]&amp;"'!Year.Matrix"), MATCH("Subtotal."&amp;$A$2, INDIRECT("'"&amp;V.a.Inputs2[#Headers]&amp;"'!Year.Modules"), 0), MATCH([Vector], INDIRECT("'"&amp;V.a.Inputs2[#Headers]&amp;"'!Year.Vectors"), 0))</f>
        <v>-1749.5868368881916</v>
      </c>
      <c r="O26" s="1266">
        <f ca="1">INDEX(INDIRECT("'"&amp;V.a.Inputs2[#Headers]&amp;"'!Year.Matrix"), MATCH("Subtotal."&amp;$A$2, INDIRECT("'"&amp;V.a.Inputs2[#Headers]&amp;"'!Year.Modules"), 0), MATCH([Vector], INDIRECT("'"&amp;V.a.Inputs2[#Headers]&amp;"'!Year.Vectors"), 0))</f>
        <v>-1814.9857467028719</v>
      </c>
      <c r="P26" s="765"/>
    </row>
    <row r="27" spans="1:18" s="743" customFormat="1" ht="15.75" hidden="1" outlineLevel="1">
      <c r="A27" s="753"/>
      <c r="B27" s="1831"/>
      <c r="C27" s="765"/>
      <c r="D27" s="765"/>
      <c r="E27" s="765"/>
      <c r="F27" s="953"/>
      <c r="G27" s="953"/>
      <c r="H27" s="953"/>
      <c r="I27" s="953"/>
      <c r="J27" s="953"/>
      <c r="K27" s="953"/>
      <c r="L27" s="953"/>
      <c r="M27" s="953"/>
      <c r="N27" s="953"/>
      <c r="O27" s="953"/>
      <c r="P27" s="765"/>
    </row>
    <row r="28" spans="1:18" s="743" customFormat="1" ht="15.75" hidden="1" outlineLevel="1">
      <c r="A28" s="753"/>
      <c r="B28" s="1831"/>
      <c r="C28" s="765"/>
      <c r="D28" s="765"/>
      <c r="E28" s="765"/>
      <c r="F28" s="953"/>
      <c r="G28" s="953"/>
      <c r="H28" s="953"/>
      <c r="I28" s="953"/>
      <c r="J28" s="953"/>
      <c r="K28" s="953"/>
      <c r="L28" s="953"/>
      <c r="M28" s="953"/>
      <c r="N28" s="953"/>
      <c r="O28" s="953"/>
      <c r="P28" s="765"/>
    </row>
    <row r="29" spans="1:18">
      <c r="B29" s="1235"/>
    </row>
    <row r="30" spans="1:18" ht="22.5" collapsed="1">
      <c r="A30" s="1171"/>
      <c r="B30" s="1236" t="s">
        <v>1354</v>
      </c>
      <c r="C30" s="1167"/>
      <c r="D30" s="1167"/>
      <c r="E30" s="1167"/>
      <c r="F30" s="1167"/>
      <c r="G30" s="1167"/>
      <c r="H30" s="1167"/>
      <c r="I30" s="1167"/>
      <c r="J30" s="1167"/>
      <c r="K30" s="1167"/>
      <c r="L30" s="1167"/>
      <c r="M30" s="1167"/>
      <c r="N30" s="1167"/>
      <c r="O30" s="1167"/>
      <c r="P30" s="1168"/>
      <c r="R30" s="834"/>
    </row>
    <row r="31" spans="1:18" hidden="1" outlineLevel="1">
      <c r="B31" s="1237"/>
      <c r="C31" s="1221"/>
      <c r="D31" s="1221"/>
      <c r="E31" s="1221"/>
      <c r="F31" s="1221"/>
      <c r="G31" s="1221"/>
      <c r="H31" s="1221"/>
      <c r="I31" s="1221"/>
      <c r="J31" s="1221"/>
      <c r="K31" s="1221"/>
      <c r="L31" s="1221"/>
      <c r="M31" s="1221"/>
      <c r="N31" s="1221"/>
      <c r="O31" s="1221"/>
      <c r="P31" s="1222"/>
    </row>
    <row r="32" spans="1:18" hidden="1" outlineLevel="1">
      <c r="B32" s="1241"/>
      <c r="C32" s="866" t="s">
        <v>1536</v>
      </c>
      <c r="D32" s="868"/>
      <c r="E32" s="864"/>
      <c r="F32" s="866" t="s">
        <v>1457</v>
      </c>
      <c r="G32" s="864"/>
      <c r="H32" s="864"/>
      <c r="I32" s="864"/>
      <c r="J32" s="864"/>
      <c r="K32" s="866"/>
      <c r="L32" s="864"/>
      <c r="M32" s="864"/>
      <c r="N32" s="864"/>
      <c r="O32" s="864"/>
      <c r="P32" s="1158"/>
    </row>
    <row r="33" spans="2:16" ht="5.25" hidden="1" customHeight="1" outlineLevel="1">
      <c r="B33" s="1241"/>
      <c r="C33" s="864"/>
      <c r="D33" s="868"/>
      <c r="E33" s="864"/>
      <c r="F33" s="864"/>
      <c r="G33" s="864"/>
      <c r="H33" s="864"/>
      <c r="I33" s="864"/>
      <c r="J33" s="864"/>
      <c r="K33" s="864"/>
      <c r="L33" s="864"/>
      <c r="M33" s="864"/>
      <c r="N33" s="864"/>
      <c r="O33" s="864"/>
      <c r="P33" s="1158"/>
    </row>
    <row r="34" spans="2:16" ht="15.75" hidden="1" outlineLevel="1">
      <c r="B34" s="1239"/>
      <c r="C34" s="766" t="s">
        <v>1459</v>
      </c>
      <c r="D34" s="766" t="s">
        <v>1803</v>
      </c>
      <c r="E34" s="766" t="s">
        <v>1804</v>
      </c>
      <c r="F34" s="1701">
        <v>1</v>
      </c>
      <c r="G34" s="1701">
        <v>2</v>
      </c>
      <c r="H34" s="1701">
        <v>3</v>
      </c>
      <c r="I34" s="1701">
        <v>4</v>
      </c>
      <c r="J34" s="864"/>
      <c r="K34" s="864"/>
      <c r="L34" s="864"/>
      <c r="M34" s="864"/>
      <c r="N34" s="864"/>
      <c r="O34" s="864"/>
      <c r="P34" s="1158"/>
    </row>
    <row r="35" spans="2:16" ht="15.75" hidden="1" outlineLevel="1">
      <c r="B35" s="1239"/>
      <c r="C35" s="2035" t="s">
        <v>755</v>
      </c>
      <c r="D35" s="833" t="str">
        <f>INDEX(Vectors[Description], MATCH($C35, Vectors[Code], 0))</f>
        <v>Dry biomatter and waste</v>
      </c>
      <c r="E35" s="833" t="s">
        <v>1455</v>
      </c>
      <c r="F35" s="2036">
        <v>1</v>
      </c>
      <c r="G35" s="2036">
        <v>1</v>
      </c>
      <c r="H35" s="2036">
        <v>0</v>
      </c>
      <c r="I35" s="2036">
        <v>0</v>
      </c>
      <c r="J35" s="864"/>
      <c r="K35" s="864"/>
      <c r="L35" s="864"/>
      <c r="M35" s="864"/>
      <c r="N35" s="864"/>
      <c r="O35" s="864"/>
      <c r="P35" s="1158"/>
    </row>
    <row r="36" spans="2:16" ht="15.75" hidden="1" outlineLevel="1">
      <c r="B36" s="1239"/>
      <c r="C36" s="946" t="s">
        <v>755</v>
      </c>
      <c r="D36" s="832" t="str">
        <f>INDEX(Vectors[Description], MATCH($C36, Vectors[Code], 0))</f>
        <v>Dry biomatter and waste</v>
      </c>
      <c r="E36" s="832" t="s">
        <v>230</v>
      </c>
      <c r="F36" s="1529">
        <v>0</v>
      </c>
      <c r="G36" s="1529">
        <v>0</v>
      </c>
      <c r="H36" s="1529">
        <v>1</v>
      </c>
      <c r="I36" s="1529">
        <v>0</v>
      </c>
      <c r="J36" s="864"/>
      <c r="K36" s="864"/>
      <c r="L36" s="864"/>
      <c r="M36" s="864"/>
      <c r="N36" s="864"/>
      <c r="O36" s="864"/>
      <c r="P36" s="1158"/>
    </row>
    <row r="37" spans="2:16" ht="15.75" hidden="1" outlineLevel="1">
      <c r="B37" s="1239"/>
      <c r="C37" s="2037" t="s">
        <v>755</v>
      </c>
      <c r="D37" s="1650" t="str">
        <f>INDEX(Vectors[Description], MATCH($C37, Vectors[Code], 0))</f>
        <v>Dry biomatter and waste</v>
      </c>
      <c r="E37" s="1650" t="s">
        <v>14</v>
      </c>
      <c r="F37" s="2038">
        <v>0</v>
      </c>
      <c r="G37" s="2038">
        <v>0</v>
      </c>
      <c r="H37" s="2038">
        <v>0</v>
      </c>
      <c r="I37" s="2038">
        <v>1</v>
      </c>
      <c r="J37" s="864"/>
      <c r="K37" s="864"/>
      <c r="L37" s="864"/>
      <c r="M37" s="864"/>
      <c r="N37" s="864"/>
      <c r="O37" s="864"/>
      <c r="P37" s="1158"/>
    </row>
    <row r="38" spans="2:16" ht="15.75" hidden="1" outlineLevel="1">
      <c r="B38" s="1239"/>
      <c r="C38" s="2035" t="s">
        <v>929</v>
      </c>
      <c r="D38" s="833" t="str">
        <f>INDEX(Vectors[Description], MATCH($C38, Vectors[Code], 0))</f>
        <v>Wet biomatter and waste</v>
      </c>
      <c r="E38" s="833" t="s">
        <v>1455</v>
      </c>
      <c r="F38" s="2036">
        <v>0</v>
      </c>
      <c r="G38" s="2036">
        <v>0</v>
      </c>
      <c r="H38" s="2036">
        <v>0</v>
      </c>
      <c r="I38" s="2036">
        <v>0</v>
      </c>
      <c r="J38" s="864"/>
      <c r="K38" s="864"/>
      <c r="L38" s="864"/>
      <c r="M38" s="864"/>
      <c r="N38" s="864"/>
      <c r="O38" s="864"/>
      <c r="P38" s="1158"/>
    </row>
    <row r="39" spans="2:16" ht="15.75" hidden="1" outlineLevel="1">
      <c r="B39" s="1239"/>
      <c r="C39" s="946" t="s">
        <v>929</v>
      </c>
      <c r="D39" s="832" t="str">
        <f>INDEX(Vectors[Description], MATCH($C39, Vectors[Code], 0))</f>
        <v>Wet biomatter and waste</v>
      </c>
      <c r="E39" s="832" t="s">
        <v>230</v>
      </c>
      <c r="F39" s="1529">
        <v>0</v>
      </c>
      <c r="G39" s="1529">
        <v>0</v>
      </c>
      <c r="H39" s="1529">
        <v>1</v>
      </c>
      <c r="I39" s="1529">
        <v>0</v>
      </c>
      <c r="J39" s="864"/>
      <c r="K39" s="864"/>
      <c r="L39" s="864"/>
      <c r="M39" s="864"/>
      <c r="N39" s="864"/>
      <c r="O39" s="864"/>
      <c r="P39" s="1158"/>
    </row>
    <row r="40" spans="2:16" ht="15.75" hidden="1" outlineLevel="1">
      <c r="B40" s="1239"/>
      <c r="C40" s="2037" t="s">
        <v>929</v>
      </c>
      <c r="D40" s="1650" t="str">
        <f>INDEX(Vectors[Description], MATCH($C40, Vectors[Code], 0))</f>
        <v>Wet biomatter and waste</v>
      </c>
      <c r="E40" s="1650" t="s">
        <v>14</v>
      </c>
      <c r="F40" s="2038">
        <v>1</v>
      </c>
      <c r="G40" s="2038">
        <v>1</v>
      </c>
      <c r="H40" s="2038">
        <v>0</v>
      </c>
      <c r="I40" s="2038">
        <v>1</v>
      </c>
      <c r="J40" s="864"/>
      <c r="K40" s="864"/>
      <c r="L40" s="864"/>
      <c r="M40" s="864"/>
      <c r="N40" s="864"/>
      <c r="O40" s="864"/>
      <c r="P40" s="1158"/>
    </row>
    <row r="41" spans="2:16" ht="15.75" hidden="1" outlineLevel="1">
      <c r="B41" s="1239"/>
      <c r="C41" s="946" t="s">
        <v>1801</v>
      </c>
      <c r="D41" s="832" t="str">
        <f>INDEX(Vectors[Description], MATCH($C41, Vectors[Code], 0))</f>
        <v>Energy crops (second generation)</v>
      </c>
      <c r="E41" s="832" t="s">
        <v>1455</v>
      </c>
      <c r="F41" s="1529">
        <v>0</v>
      </c>
      <c r="G41" s="1529">
        <v>1</v>
      </c>
      <c r="H41" s="1529">
        <v>0</v>
      </c>
      <c r="I41" s="1529">
        <v>0</v>
      </c>
      <c r="J41" s="864"/>
      <c r="K41" s="864"/>
      <c r="L41" s="864"/>
      <c r="M41" s="864"/>
      <c r="N41" s="864"/>
      <c r="O41" s="864"/>
      <c r="P41" s="1158"/>
    </row>
    <row r="42" spans="2:16" ht="15.75" hidden="1" outlineLevel="1">
      <c r="B42" s="1239"/>
      <c r="C42" s="946" t="s">
        <v>1801</v>
      </c>
      <c r="D42" s="832" t="str">
        <f>INDEX(Vectors[Description], MATCH($C42, Vectors[Code], 0))</f>
        <v>Energy crops (second generation)</v>
      </c>
      <c r="E42" s="832" t="s">
        <v>230</v>
      </c>
      <c r="F42" s="1529">
        <v>1</v>
      </c>
      <c r="G42" s="1529">
        <v>0</v>
      </c>
      <c r="H42" s="1529">
        <v>1</v>
      </c>
      <c r="I42" s="1529">
        <v>0</v>
      </c>
      <c r="J42" s="864"/>
      <c r="K42" s="864"/>
      <c r="L42" s="864"/>
      <c r="M42" s="864"/>
      <c r="N42" s="864"/>
      <c r="O42" s="864"/>
      <c r="P42" s="1158"/>
    </row>
    <row r="43" spans="2:16" ht="15.75" hidden="1" outlineLevel="1">
      <c r="B43" s="1239"/>
      <c r="C43" s="2037" t="s">
        <v>1801</v>
      </c>
      <c r="D43" s="1650" t="str">
        <f>INDEX(Vectors[Description], MATCH($C43, Vectors[Code], 0))</f>
        <v>Energy crops (second generation)</v>
      </c>
      <c r="E43" s="1650" t="s">
        <v>14</v>
      </c>
      <c r="F43" s="2038">
        <v>0</v>
      </c>
      <c r="G43" s="2038">
        <v>0</v>
      </c>
      <c r="H43" s="2038">
        <v>0</v>
      </c>
      <c r="I43" s="2038">
        <v>1</v>
      </c>
      <c r="J43" s="864"/>
      <c r="K43" s="864"/>
      <c r="L43" s="864"/>
      <c r="M43" s="864"/>
      <c r="N43" s="864"/>
      <c r="O43" s="864"/>
      <c r="P43" s="1158"/>
    </row>
    <row r="44" spans="2:16" ht="15.75" hidden="1" outlineLevel="1">
      <c r="B44" s="1239"/>
      <c r="C44" s="946" t="s">
        <v>2291</v>
      </c>
      <c r="D44" s="832" t="str">
        <f>INDEX(Vectors[Description], MATCH($C44, Vectors[Code], 0))</f>
        <v>Energy crops (first generation)</v>
      </c>
      <c r="E44" s="832" t="s">
        <v>1455</v>
      </c>
      <c r="F44" s="1529">
        <v>0</v>
      </c>
      <c r="G44" s="1529">
        <v>0</v>
      </c>
      <c r="H44" s="1529">
        <v>0</v>
      </c>
      <c r="I44" s="1529">
        <v>0</v>
      </c>
      <c r="J44" s="864"/>
      <c r="K44" s="864"/>
      <c r="L44" s="864"/>
      <c r="M44" s="864"/>
      <c r="N44" s="864"/>
      <c r="O44" s="864"/>
      <c r="P44" s="1158"/>
    </row>
    <row r="45" spans="2:16" ht="15.75" hidden="1" outlineLevel="1">
      <c r="B45" s="1239"/>
      <c r="C45" s="946" t="s">
        <v>2291</v>
      </c>
      <c r="D45" s="832" t="str">
        <f>INDEX(Vectors[Description], MATCH($C45, Vectors[Code], 0))</f>
        <v>Energy crops (first generation)</v>
      </c>
      <c r="E45" s="832" t="s">
        <v>230</v>
      </c>
      <c r="F45" s="1529">
        <v>1</v>
      </c>
      <c r="G45" s="1529">
        <v>1</v>
      </c>
      <c r="H45" s="1529">
        <v>1</v>
      </c>
      <c r="I45" s="1529">
        <v>1</v>
      </c>
      <c r="J45" s="864"/>
      <c r="K45" s="864"/>
      <c r="L45" s="864"/>
      <c r="M45" s="864"/>
      <c r="N45" s="864"/>
      <c r="O45" s="864"/>
      <c r="P45" s="1158"/>
    </row>
    <row r="46" spans="2:16" ht="15.75" hidden="1" outlineLevel="1">
      <c r="B46" s="1239"/>
      <c r="C46" s="2037" t="s">
        <v>2291</v>
      </c>
      <c r="D46" s="1650" t="str">
        <f>INDEX(Vectors[Description], MATCH($C46, Vectors[Code], 0))</f>
        <v>Energy crops (first generation)</v>
      </c>
      <c r="E46" s="1650" t="s">
        <v>14</v>
      </c>
      <c r="F46" s="2038">
        <v>0</v>
      </c>
      <c r="G46" s="2038">
        <v>0</v>
      </c>
      <c r="H46" s="2038">
        <v>0</v>
      </c>
      <c r="I46" s="2038">
        <v>0</v>
      </c>
      <c r="J46" s="864"/>
      <c r="K46" s="864"/>
      <c r="L46" s="864"/>
      <c r="M46" s="864"/>
      <c r="N46" s="864"/>
      <c r="O46" s="864"/>
      <c r="P46" s="1158"/>
    </row>
    <row r="47" spans="2:16" ht="15.75" hidden="1" outlineLevel="1">
      <c r="B47" s="1239"/>
      <c r="C47" s="946" t="s">
        <v>2294</v>
      </c>
      <c r="D47" s="832" t="str">
        <f>INDEX(Vectors[Description], MATCH($C47, Vectors[Code], 0))</f>
        <v>Gaseous waste</v>
      </c>
      <c r="E47" s="832" t="s">
        <v>1455</v>
      </c>
      <c r="F47" s="1529">
        <v>0</v>
      </c>
      <c r="G47" s="1529">
        <v>0</v>
      </c>
      <c r="H47" s="1529">
        <v>0</v>
      </c>
      <c r="I47" s="1529">
        <v>0</v>
      </c>
      <c r="J47" s="864"/>
      <c r="K47" s="864"/>
      <c r="L47" s="864"/>
      <c r="M47" s="864"/>
      <c r="N47" s="864"/>
      <c r="O47" s="864"/>
      <c r="P47" s="1158"/>
    </row>
    <row r="48" spans="2:16" ht="15.75" hidden="1" outlineLevel="1">
      <c r="B48" s="1239"/>
      <c r="C48" s="946" t="s">
        <v>2294</v>
      </c>
      <c r="D48" s="832" t="str">
        <f>INDEX(Vectors[Description], MATCH($C48, Vectors[Code], 0))</f>
        <v>Gaseous waste</v>
      </c>
      <c r="E48" s="832" t="s">
        <v>230</v>
      </c>
      <c r="F48" s="1529">
        <v>0</v>
      </c>
      <c r="G48" s="1529">
        <v>0</v>
      </c>
      <c r="H48" s="1529">
        <v>0</v>
      </c>
      <c r="I48" s="1529">
        <v>0</v>
      </c>
      <c r="J48" s="864"/>
      <c r="K48" s="864"/>
      <c r="L48" s="864"/>
      <c r="M48" s="864"/>
      <c r="N48" s="864"/>
      <c r="O48" s="864"/>
      <c r="P48" s="1158"/>
    </row>
    <row r="49" spans="1:16" ht="15.75" hidden="1" outlineLevel="1">
      <c r="B49" s="1239"/>
      <c r="C49" s="2443" t="s">
        <v>2294</v>
      </c>
      <c r="D49" s="900" t="str">
        <f>INDEX(Vectors[Description], MATCH($C49, Vectors[Code], 0))</f>
        <v>Gaseous waste</v>
      </c>
      <c r="E49" s="900" t="s">
        <v>14</v>
      </c>
      <c r="F49" s="1532">
        <v>1</v>
      </c>
      <c r="G49" s="1532">
        <v>1</v>
      </c>
      <c r="H49" s="1532">
        <v>1</v>
      </c>
      <c r="I49" s="1532">
        <v>1</v>
      </c>
      <c r="J49" s="864"/>
      <c r="K49" s="864"/>
      <c r="L49" s="864"/>
      <c r="M49" s="864"/>
      <c r="N49" s="864"/>
      <c r="O49" s="864"/>
      <c r="P49" s="1158"/>
    </row>
    <row r="50" spans="1:16" ht="15.75" hidden="1" outlineLevel="1">
      <c r="B50" s="1239"/>
      <c r="C50" s="946"/>
      <c r="D50" s="832"/>
      <c r="E50" s="832"/>
      <c r="F50" s="1529"/>
      <c r="G50" s="1529"/>
      <c r="H50" s="1529"/>
      <c r="I50" s="1529"/>
      <c r="J50" s="864"/>
      <c r="K50" s="864"/>
      <c r="L50" s="864"/>
      <c r="M50" s="864"/>
      <c r="N50" s="864"/>
      <c r="O50" s="864"/>
      <c r="P50" s="1158"/>
    </row>
    <row r="51" spans="1:16" ht="15.75" hidden="1" outlineLevel="1">
      <c r="B51" s="1239"/>
      <c r="C51" s="946"/>
      <c r="D51" s="832"/>
      <c r="E51" s="832"/>
      <c r="F51" s="865"/>
      <c r="G51" s="865"/>
      <c r="H51" s="865"/>
      <c r="I51" s="865"/>
      <c r="J51" s="864"/>
      <c r="K51" s="864"/>
      <c r="L51" s="864"/>
      <c r="M51" s="864"/>
      <c r="N51" s="864"/>
      <c r="O51" s="864"/>
      <c r="P51" s="1158"/>
    </row>
    <row r="52" spans="1:16" ht="15.75" hidden="1" outlineLevel="1">
      <c r="B52" s="1239"/>
      <c r="C52" s="831"/>
      <c r="D52" s="832"/>
      <c r="E52" s="832"/>
      <c r="F52" s="832"/>
      <c r="G52" s="832"/>
      <c r="H52" s="832"/>
      <c r="I52" s="832"/>
      <c r="J52" s="864"/>
      <c r="K52" s="864"/>
      <c r="L52" s="864"/>
      <c r="M52" s="864"/>
      <c r="N52" s="864"/>
      <c r="O52" s="864"/>
      <c r="P52" s="1158"/>
    </row>
    <row r="53" spans="1:16" hidden="1" outlineLevel="1">
      <c r="B53" s="1241"/>
      <c r="C53" s="831" t="s">
        <v>717</v>
      </c>
      <c r="D53" s="832"/>
      <c r="E53" s="832"/>
      <c r="F53" s="847"/>
      <c r="G53" s="1091"/>
      <c r="H53" s="1091"/>
      <c r="I53" s="1091"/>
      <c r="J53" s="1091"/>
      <c r="K53" s="1091"/>
      <c r="L53" s="1091"/>
      <c r="M53" s="1091"/>
      <c r="N53" s="1091"/>
      <c r="O53" s="1091"/>
      <c r="P53" s="1158"/>
    </row>
    <row r="54" spans="1:16" hidden="1" outlineLevel="1">
      <c r="B54" s="1241"/>
      <c r="C54" s="831"/>
      <c r="D54" s="832" t="s">
        <v>2580</v>
      </c>
      <c r="E54" s="832"/>
      <c r="F54" s="847"/>
      <c r="G54" s="1091"/>
      <c r="H54" s="1091"/>
      <c r="I54" s="1091"/>
      <c r="J54" s="1091"/>
      <c r="K54" s="1091"/>
      <c r="L54" s="1091"/>
      <c r="M54" s="1091"/>
      <c r="N54" s="1091"/>
      <c r="O54" s="1091"/>
      <c r="P54" s="1158"/>
    </row>
    <row r="55" spans="1:16" hidden="1" outlineLevel="1">
      <c r="B55" s="1241"/>
      <c r="C55" s="831"/>
      <c r="D55" s="832" t="s">
        <v>2297</v>
      </c>
      <c r="E55" s="832"/>
      <c r="F55" s="847"/>
      <c r="G55" s="1091"/>
      <c r="H55" s="1091"/>
      <c r="I55" s="1091"/>
      <c r="J55" s="1091"/>
      <c r="K55" s="1091"/>
      <c r="L55" s="1091"/>
      <c r="M55" s="1091"/>
      <c r="N55" s="1091"/>
      <c r="O55" s="1091"/>
      <c r="P55" s="1158"/>
    </row>
    <row r="56" spans="1:16" hidden="1" outlineLevel="1">
      <c r="B56" s="1241"/>
      <c r="C56" s="831"/>
      <c r="D56" s="832" t="s">
        <v>1717</v>
      </c>
      <c r="E56" s="832"/>
      <c r="F56" s="847"/>
      <c r="G56" s="1091"/>
      <c r="H56" s="1091"/>
      <c r="I56" s="1091"/>
      <c r="J56" s="1091"/>
      <c r="K56" s="1091"/>
      <c r="L56" s="1091"/>
      <c r="M56" s="1091"/>
      <c r="N56" s="1091"/>
      <c r="O56" s="1091"/>
      <c r="P56" s="1158"/>
    </row>
    <row r="57" spans="1:16" hidden="1" outlineLevel="1">
      <c r="B57" s="1241"/>
      <c r="C57" s="946"/>
      <c r="D57" s="1230"/>
      <c r="E57" s="832"/>
      <c r="F57" s="847"/>
      <c r="G57" s="1091"/>
      <c r="H57" s="1091"/>
      <c r="I57" s="1091"/>
      <c r="J57" s="1091"/>
      <c r="K57" s="1091"/>
      <c r="L57" s="1091"/>
      <c r="M57" s="1091"/>
      <c r="N57" s="1091"/>
      <c r="O57" s="1091"/>
      <c r="P57" s="1158"/>
    </row>
    <row r="58" spans="1:16">
      <c r="B58" s="1235"/>
    </row>
    <row r="59" spans="1:16" s="743" customFormat="1" ht="22.5" collapsed="1">
      <c r="A59" s="1170"/>
      <c r="B59" s="1236" t="s">
        <v>786</v>
      </c>
      <c r="C59" s="1167"/>
      <c r="D59" s="1167"/>
      <c r="E59" s="1167"/>
      <c r="F59" s="1167"/>
      <c r="G59" s="1167"/>
      <c r="H59" s="1167"/>
      <c r="I59" s="1167"/>
      <c r="J59" s="1167"/>
      <c r="K59" s="1167"/>
      <c r="L59" s="1167"/>
      <c r="M59" s="1167"/>
      <c r="N59" s="1167"/>
      <c r="O59" s="1167"/>
      <c r="P59" s="1168"/>
    </row>
    <row r="60" spans="1:16" hidden="1" outlineLevel="1">
      <c r="B60" s="1238"/>
      <c r="C60" s="864"/>
      <c r="D60" s="864"/>
      <c r="E60" s="864"/>
      <c r="F60" s="864"/>
      <c r="G60" s="864"/>
      <c r="H60" s="864"/>
      <c r="I60" s="864"/>
      <c r="J60" s="864"/>
      <c r="K60" s="864"/>
      <c r="L60" s="864"/>
      <c r="M60" s="864"/>
      <c r="N60" s="864"/>
      <c r="O60" s="864"/>
      <c r="P60" s="1158"/>
    </row>
    <row r="61" spans="1:16" hidden="1" outlineLevel="1">
      <c r="B61" s="1238"/>
      <c r="C61" s="866" t="s">
        <v>1540</v>
      </c>
      <c r="D61" s="864"/>
      <c r="E61" s="864"/>
      <c r="F61" s="864"/>
      <c r="G61" s="864"/>
      <c r="H61" s="867"/>
      <c r="I61" s="864"/>
      <c r="J61" s="864"/>
      <c r="K61" s="848" t="s">
        <v>1538</v>
      </c>
      <c r="L61" s="864"/>
      <c r="M61" s="864"/>
      <c r="N61" s="864"/>
      <c r="O61" s="864"/>
      <c r="P61" s="1158"/>
    </row>
    <row r="62" spans="1:16" ht="5.25" hidden="1" customHeight="1" outlineLevel="1">
      <c r="B62" s="1238"/>
      <c r="C62" s="864"/>
      <c r="D62" s="864"/>
      <c r="E62" s="864"/>
      <c r="F62" s="864"/>
      <c r="G62" s="864"/>
      <c r="H62" s="864"/>
      <c r="I62" s="864"/>
      <c r="J62" s="864"/>
      <c r="K62" s="864"/>
      <c r="L62" s="864"/>
      <c r="M62" s="864"/>
      <c r="N62" s="864"/>
      <c r="O62" s="864"/>
      <c r="P62" s="1158"/>
    </row>
    <row r="63" spans="1:16" ht="42" hidden="1" outlineLevel="1">
      <c r="B63" s="1238"/>
      <c r="C63" s="2444"/>
      <c r="D63" s="2444"/>
      <c r="E63" s="2444"/>
      <c r="F63" s="2448"/>
      <c r="G63" s="2449" t="str">
        <f>INDEX(Vectors[Description], MATCH(G$64, Vectors[Code], 0))</f>
        <v>Wet biomatter and waste</v>
      </c>
      <c r="H63" s="2450" t="str">
        <f>INDEX(Vectors[Description], MATCH(H$64, Vectors[Code], 0))</f>
        <v>Dry biomatter and waste</v>
      </c>
      <c r="I63" s="2450" t="str">
        <f>INDEX(Vectors[Description], MATCH(I$64, Vectors[Code], 0))</f>
        <v>Energy crops (second generation)</v>
      </c>
      <c r="J63" s="2450" t="str">
        <f>INDEX(Vectors[Description], MATCH(J$64, Vectors[Code], 0))</f>
        <v>Energy crops (first generation)</v>
      </c>
      <c r="K63" s="2450" t="str">
        <f>INDEX(Vectors[Description], MATCH(K$64, Vectors[Code], 0))</f>
        <v>Gaseous waste</v>
      </c>
      <c r="L63" s="864"/>
      <c r="M63" s="864"/>
      <c r="N63" s="864"/>
      <c r="O63" s="864"/>
      <c r="P63" s="1158"/>
    </row>
    <row r="64" spans="1:16" ht="15.75" hidden="1" outlineLevel="1">
      <c r="B64" s="1239"/>
      <c r="C64" s="872" t="s">
        <v>715</v>
      </c>
      <c r="D64" s="872" t="s">
        <v>79</v>
      </c>
      <c r="E64" s="872" t="s">
        <v>442</v>
      </c>
      <c r="F64" s="2445" t="s">
        <v>1537</v>
      </c>
      <c r="G64" s="2446" t="s">
        <v>929</v>
      </c>
      <c r="H64" s="2447" t="s">
        <v>755</v>
      </c>
      <c r="I64" s="2447" t="s">
        <v>1801</v>
      </c>
      <c r="J64" s="2447" t="s">
        <v>2291</v>
      </c>
      <c r="K64" s="2447" t="s">
        <v>2294</v>
      </c>
      <c r="L64" s="1706"/>
      <c r="M64" s="1706"/>
      <c r="N64" s="1706"/>
      <c r="O64" s="1706"/>
      <c r="P64" s="1158"/>
    </row>
    <row r="65" spans="1:16" ht="15.75" hidden="1" outlineLevel="1">
      <c r="B65" s="1239"/>
      <c r="C65" s="889" t="s">
        <v>47</v>
      </c>
      <c r="D65" s="889" t="str">
        <f>INDEX(Vectors[Description], MATCH($C65, Vectors[Code], 0))</f>
        <v>Solid hydrocarbons</v>
      </c>
      <c r="E65" s="1750" t="s">
        <v>439</v>
      </c>
      <c r="F65" s="1751"/>
      <c r="G65" s="1753"/>
      <c r="H65" s="776">
        <v>0.9</v>
      </c>
      <c r="I65" s="1696">
        <f>H65</f>
        <v>0.9</v>
      </c>
      <c r="J65" s="1696"/>
      <c r="K65" s="1696"/>
      <c r="L65" s="776"/>
      <c r="M65" s="776"/>
      <c r="N65" s="776"/>
      <c r="O65" s="776"/>
      <c r="P65" s="1158"/>
    </row>
    <row r="66" spans="1:16" ht="15.75" hidden="1" outlineLevel="1">
      <c r="B66" s="1239"/>
      <c r="C66" s="775" t="s">
        <v>49</v>
      </c>
      <c r="D66" s="775" t="str">
        <f>INDEX(Vectors[Description], MATCH($C66, Vectors[Code], 0))</f>
        <v>Liquid hydrocarbons</v>
      </c>
      <c r="E66" s="774"/>
      <c r="F66" s="1754"/>
      <c r="G66" s="1694">
        <v>0.44</v>
      </c>
      <c r="H66" s="776">
        <v>0.64</v>
      </c>
      <c r="I66" s="776">
        <f>H66</f>
        <v>0.64</v>
      </c>
      <c r="J66" s="776">
        <v>0.31</v>
      </c>
      <c r="K66" s="776"/>
      <c r="L66" s="776"/>
      <c r="M66" s="776"/>
      <c r="N66" s="776"/>
      <c r="O66" s="776"/>
      <c r="P66" s="1158"/>
    </row>
    <row r="67" spans="1:16" ht="15.75" hidden="1" outlineLevel="1">
      <c r="B67" s="1239"/>
      <c r="C67" s="886" t="s">
        <v>50</v>
      </c>
      <c r="D67" s="886" t="str">
        <f>INDEX(Vectors[Description], MATCH($C67, Vectors[Code], 0))</f>
        <v>Gaseous hydrocarbons</v>
      </c>
      <c r="E67" s="887" t="s">
        <v>1446</v>
      </c>
      <c r="F67" s="1755"/>
      <c r="G67" s="1752">
        <v>0.8</v>
      </c>
      <c r="H67" s="1695">
        <v>0.58499999999999996</v>
      </c>
      <c r="I67" s="1695">
        <f>H67</f>
        <v>0.58499999999999996</v>
      </c>
      <c r="J67" s="1695"/>
      <c r="K67" s="1695">
        <v>1</v>
      </c>
      <c r="L67" s="776"/>
      <c r="M67" s="776"/>
      <c r="N67" s="776"/>
      <c r="O67" s="776"/>
      <c r="P67" s="1158"/>
    </row>
    <row r="68" spans="1:16" ht="15.75" hidden="1" outlineLevel="1">
      <c r="B68" s="1239"/>
      <c r="C68" s="775"/>
      <c r="D68" s="775"/>
      <c r="E68" s="774"/>
      <c r="F68" s="776"/>
      <c r="G68" s="1694"/>
      <c r="H68" s="776"/>
      <c r="I68" s="776"/>
      <c r="J68" s="776"/>
      <c r="K68" s="776"/>
      <c r="L68" s="776"/>
      <c r="M68" s="776"/>
      <c r="N68" s="776"/>
      <c r="O68" s="776"/>
      <c r="P68" s="1158"/>
    </row>
    <row r="69" spans="1:16" ht="15.75" hidden="1" outlineLevel="1">
      <c r="B69" s="1239"/>
      <c r="C69" s="774" t="s">
        <v>2298</v>
      </c>
      <c r="D69" s="775"/>
      <c r="E69" s="774"/>
      <c r="F69" s="776"/>
      <c r="G69" s="1694"/>
      <c r="H69" s="776"/>
      <c r="I69" s="776"/>
      <c r="J69" s="776"/>
      <c r="K69" s="776"/>
      <c r="L69" s="776"/>
      <c r="M69" s="776"/>
      <c r="N69" s="776"/>
      <c r="O69" s="776"/>
      <c r="P69" s="1158"/>
    </row>
    <row r="70" spans="1:16" ht="5.25" hidden="1" customHeight="1" outlineLevel="1">
      <c r="B70" s="1239"/>
      <c r="C70" s="775"/>
      <c r="D70" s="775"/>
      <c r="E70" s="774"/>
      <c r="F70" s="776"/>
      <c r="G70" s="1694"/>
      <c r="H70" s="776"/>
      <c r="I70" s="776"/>
      <c r="J70" s="776"/>
      <c r="K70" s="776"/>
      <c r="L70" s="776"/>
      <c r="M70" s="776"/>
      <c r="N70" s="776"/>
      <c r="O70" s="776"/>
      <c r="P70" s="1158"/>
    </row>
    <row r="71" spans="1:16" ht="15.75" hidden="1" outlineLevel="1">
      <c r="B71" s="1239"/>
      <c r="C71" s="766" t="s">
        <v>715</v>
      </c>
      <c r="D71" s="766" t="s">
        <v>79</v>
      </c>
      <c r="E71" s="766" t="s">
        <v>442</v>
      </c>
      <c r="F71" s="1541"/>
      <c r="G71" s="1700" t="s">
        <v>2291</v>
      </c>
      <c r="H71" s="776"/>
      <c r="I71" s="776"/>
      <c r="J71" s="776"/>
      <c r="K71" s="776"/>
      <c r="L71" s="776"/>
      <c r="M71" s="776"/>
      <c r="N71" s="776"/>
      <c r="O71" s="776"/>
      <c r="P71" s="1158"/>
    </row>
    <row r="72" spans="1:16" ht="15.75" hidden="1" outlineLevel="1">
      <c r="B72" s="1239"/>
      <c r="C72" s="2439" t="s">
        <v>49</v>
      </c>
      <c r="D72" s="2439" t="str">
        <f>INDEX(Vectors[Description], MATCH($C72, Vectors[Code], 0))</f>
        <v>Liquid hydrocarbons</v>
      </c>
      <c r="E72" s="2440"/>
      <c r="F72" s="2441"/>
      <c r="G72" s="2442">
        <v>0.31</v>
      </c>
      <c r="H72" s="776"/>
      <c r="I72" s="776"/>
      <c r="J72" s="776"/>
      <c r="K72" s="776"/>
      <c r="L72" s="776"/>
      <c r="M72" s="776"/>
      <c r="N72" s="776"/>
      <c r="O72" s="776"/>
      <c r="P72" s="1158"/>
    </row>
    <row r="73" spans="1:16" ht="15.75" hidden="1" outlineLevel="1">
      <c r="B73" s="1239"/>
      <c r="C73" s="775"/>
      <c r="D73" s="775"/>
      <c r="E73" s="774"/>
      <c r="F73" s="776"/>
      <c r="G73" s="1694"/>
      <c r="H73" s="776"/>
      <c r="I73" s="776"/>
      <c r="J73" s="776"/>
      <c r="K73" s="776"/>
      <c r="L73" s="776"/>
      <c r="M73" s="776"/>
      <c r="N73" s="776"/>
      <c r="O73" s="776"/>
      <c r="P73" s="1158"/>
    </row>
    <row r="74" spans="1:16" hidden="1" outlineLevel="1">
      <c r="B74" s="1241"/>
      <c r="C74" s="864" t="s">
        <v>717</v>
      </c>
      <c r="D74" s="868"/>
      <c r="E74" s="864"/>
      <c r="F74" s="864"/>
      <c r="G74" s="864"/>
      <c r="H74" s="864"/>
      <c r="I74" s="864"/>
      <c r="J74" s="864"/>
      <c r="K74" s="864"/>
      <c r="L74" s="864"/>
      <c r="M74" s="864"/>
      <c r="N74" s="864"/>
      <c r="O74" s="864"/>
      <c r="P74" s="1158"/>
    </row>
    <row r="75" spans="1:16" s="715" customFormat="1" hidden="1" outlineLevel="1">
      <c r="B75" s="1244"/>
      <c r="C75" s="1226" t="s">
        <v>109</v>
      </c>
      <c r="D75" s="1227" t="s">
        <v>1539</v>
      </c>
      <c r="E75" s="1228"/>
      <c r="F75" s="1228"/>
      <c r="G75" s="1228"/>
      <c r="H75" s="1228"/>
      <c r="I75" s="1228"/>
      <c r="J75" s="1228"/>
      <c r="K75" s="1228"/>
      <c r="L75" s="1228"/>
      <c r="M75" s="1228"/>
      <c r="N75" s="1228"/>
      <c r="O75" s="1228"/>
      <c r="P75" s="1229"/>
    </row>
    <row r="76" spans="1:16" s="715" customFormat="1" hidden="1" outlineLevel="1">
      <c r="B76" s="1244"/>
      <c r="C76" s="1226" t="s">
        <v>439</v>
      </c>
      <c r="D76" s="1230" t="s">
        <v>1541</v>
      </c>
      <c r="E76" s="1228"/>
      <c r="F76" s="1228"/>
      <c r="G76" s="1228"/>
      <c r="H76" s="1228"/>
      <c r="I76" s="1228"/>
      <c r="J76" s="1228"/>
      <c r="K76" s="1228"/>
      <c r="L76" s="1228"/>
      <c r="M76" s="1228"/>
      <c r="N76" s="1228"/>
      <c r="O76" s="1228"/>
      <c r="P76" s="1229"/>
    </row>
    <row r="77" spans="1:16" s="715" customFormat="1" hidden="1" outlineLevel="1">
      <c r="B77" s="1244"/>
      <c r="C77" s="946" t="s">
        <v>1446</v>
      </c>
      <c r="D77" s="1230" t="s">
        <v>1542</v>
      </c>
      <c r="E77" s="1228"/>
      <c r="F77" s="1228"/>
      <c r="G77" s="1228"/>
      <c r="H77" s="1228"/>
      <c r="I77" s="1228"/>
      <c r="J77" s="1228"/>
      <c r="K77" s="1228"/>
      <c r="L77" s="1228"/>
      <c r="M77" s="1228"/>
      <c r="N77" s="1228"/>
      <c r="O77" s="1228"/>
      <c r="P77" s="1229"/>
    </row>
    <row r="78" spans="1:16" hidden="1" outlineLevel="1">
      <c r="B78" s="1245"/>
      <c r="C78" s="1165"/>
      <c r="D78" s="1165"/>
      <c r="E78" s="1165"/>
      <c r="F78" s="1165"/>
      <c r="G78" s="1165"/>
      <c r="H78" s="1165"/>
      <c r="I78" s="1165"/>
      <c r="J78" s="1165"/>
      <c r="K78" s="1165"/>
      <c r="L78" s="1165"/>
      <c r="M78" s="1165"/>
      <c r="N78" s="1165"/>
      <c r="O78" s="1165"/>
      <c r="P78" s="1166"/>
    </row>
    <row r="79" spans="1:16">
      <c r="B79" s="1235"/>
    </row>
    <row r="80" spans="1:16" ht="22.5" collapsed="1">
      <c r="A80" s="1171"/>
      <c r="B80" s="1236" t="s">
        <v>817</v>
      </c>
      <c r="C80" s="1167"/>
      <c r="D80" s="1167"/>
      <c r="E80" s="1167"/>
      <c r="F80" s="1167"/>
      <c r="G80" s="1167"/>
      <c r="H80" s="1167"/>
      <c r="I80" s="1167"/>
      <c r="J80" s="1167"/>
      <c r="K80" s="1167"/>
      <c r="L80" s="1167"/>
      <c r="M80" s="1167"/>
      <c r="N80" s="1167"/>
      <c r="O80" s="1167"/>
      <c r="P80" s="1168"/>
    </row>
    <row r="81" spans="1:16" hidden="1" outlineLevel="1">
      <c r="B81" s="1237"/>
      <c r="C81" s="1221"/>
      <c r="D81" s="1221"/>
      <c r="E81" s="1221"/>
      <c r="F81" s="1221"/>
      <c r="G81" s="1221"/>
      <c r="H81" s="1221"/>
      <c r="I81" s="1221"/>
      <c r="J81" s="1221"/>
      <c r="K81" s="1221"/>
      <c r="L81" s="1221"/>
      <c r="M81" s="1221"/>
      <c r="N81" s="1221"/>
      <c r="O81" s="1221"/>
      <c r="P81" s="1222"/>
    </row>
    <row r="82" spans="1:16" s="40" customFormat="1" ht="15.75" hidden="1" outlineLevel="1">
      <c r="B82" s="1756"/>
      <c r="C82" s="831"/>
      <c r="D82" s="832"/>
      <c r="E82" s="832"/>
      <c r="F82" s="847"/>
      <c r="G82" s="847"/>
      <c r="H82" s="847"/>
      <c r="I82" s="847"/>
      <c r="J82" s="847"/>
      <c r="K82" s="847"/>
      <c r="L82" s="847"/>
      <c r="M82" s="847"/>
      <c r="N82" s="847"/>
      <c r="O82" s="847"/>
      <c r="P82" s="832"/>
    </row>
    <row r="83" spans="1:16" hidden="1" outlineLevel="1">
      <c r="B83" s="1241"/>
      <c r="C83" s="864"/>
      <c r="D83" s="868"/>
      <c r="E83" s="864"/>
      <c r="F83" s="864"/>
      <c r="G83" s="864"/>
      <c r="H83" s="864"/>
      <c r="I83" s="864"/>
      <c r="J83" s="864"/>
      <c r="K83" s="864"/>
      <c r="L83" s="864"/>
      <c r="M83" s="864"/>
      <c r="N83" s="864"/>
      <c r="O83" s="864"/>
      <c r="P83" s="1158"/>
    </row>
    <row r="84" spans="1:16">
      <c r="B84" s="1235"/>
    </row>
    <row r="85" spans="1:16" ht="22.5" collapsed="1">
      <c r="A85" s="1171"/>
      <c r="B85" s="1246" t="s">
        <v>732</v>
      </c>
    </row>
    <row r="86" spans="1:16" hidden="1" outlineLevel="1">
      <c r="B86" s="731">
        <v>1</v>
      </c>
      <c r="C86" s="121" t="s">
        <v>1543</v>
      </c>
    </row>
    <row r="87" spans="1:16" hidden="1" outlineLevel="1">
      <c r="B87" s="731">
        <v>2</v>
      </c>
      <c r="C87" s="121" t="s">
        <v>1544</v>
      </c>
    </row>
    <row r="88" spans="1:16" hidden="1" outlineLevel="1">
      <c r="B88" s="731">
        <v>3</v>
      </c>
      <c r="C88" s="121" t="s">
        <v>1805</v>
      </c>
    </row>
    <row r="89" spans="1:16" hidden="1" outlineLevel="1">
      <c r="B89" s="731">
        <v>4</v>
      </c>
      <c r="C89" s="121" t="s">
        <v>2299</v>
      </c>
    </row>
    <row r="90" spans="1:16" hidden="1" outlineLevel="1">
      <c r="B90" s="731">
        <v>5</v>
      </c>
      <c r="C90" s="121" t="s">
        <v>1667</v>
      </c>
    </row>
    <row r="91" spans="1:16" hidden="1" outlineLevel="1">
      <c r="B91" s="731">
        <v>6</v>
      </c>
      <c r="C91" s="121" t="s">
        <v>1546</v>
      </c>
    </row>
    <row r="92" spans="1:16" hidden="1" outlineLevel="1">
      <c r="F92" s="731">
        <v>2007</v>
      </c>
      <c r="G92" s="731">
        <v>2010</v>
      </c>
      <c r="H92" s="731">
        <v>2015</v>
      </c>
      <c r="I92" s="731">
        <v>2020</v>
      </c>
      <c r="J92" s="731">
        <v>2025</v>
      </c>
      <c r="K92" s="731">
        <v>2030</v>
      </c>
      <c r="L92" s="731">
        <v>2035</v>
      </c>
      <c r="M92" s="731">
        <v>2040</v>
      </c>
      <c r="N92" s="731">
        <v>2045</v>
      </c>
      <c r="O92" s="731">
        <v>2050</v>
      </c>
    </row>
    <row r="93" spans="1:16" hidden="1" outlineLevel="1">
      <c r="F93" s="731"/>
      <c r="G93" s="731"/>
      <c r="H93" s="731"/>
      <c r="I93" s="731"/>
      <c r="J93" s="731"/>
      <c r="K93" s="731"/>
      <c r="L93" s="731"/>
      <c r="M93" s="731"/>
      <c r="N93" s="731"/>
      <c r="O93" s="731"/>
    </row>
    <row r="94" spans="1:16" hidden="1" outlineLevel="1">
      <c r="B94" s="731">
        <v>1</v>
      </c>
      <c r="C94" s="731" t="s">
        <v>1668</v>
      </c>
    </row>
    <row r="95" spans="1:16" hidden="1" outlineLevel="2">
      <c r="C95" s="731" t="s">
        <v>755</v>
      </c>
      <c r="D95" s="834" t="str">
        <f>INDEX(Vectors[Description], MATCH($C95, Vectors[Code], 0))</f>
        <v>Dry biomatter and waste</v>
      </c>
      <c r="E95" s="862" t="str">
        <f>Preferences.EnergyUnits</f>
        <v>TWh</v>
      </c>
      <c r="F95" s="783">
        <f t="shared" ref="F95:O95" ca="1" si="0">F$15</f>
        <v>12.81861433503159</v>
      </c>
      <c r="G95" s="783">
        <f t="shared" ca="1" si="0"/>
        <v>16.317601806219525</v>
      </c>
      <c r="H95" s="783">
        <f t="shared" ca="1" si="0"/>
        <v>26.061321425348929</v>
      </c>
      <c r="I95" s="783">
        <f t="shared" ca="1" si="0"/>
        <v>34.047733245079975</v>
      </c>
      <c r="J95" s="783">
        <f t="shared" ca="1" si="0"/>
        <v>39.960920373732954</v>
      </c>
      <c r="K95" s="783">
        <f t="shared" ca="1" si="0"/>
        <v>46.590464281644856</v>
      </c>
      <c r="L95" s="783">
        <f t="shared" ca="1" si="0"/>
        <v>54.094544573868873</v>
      </c>
      <c r="M95" s="783">
        <f t="shared" ca="1" si="0"/>
        <v>63.156559579101412</v>
      </c>
      <c r="N95" s="783">
        <f t="shared" ca="1" si="0"/>
        <v>69.271632407751852</v>
      </c>
      <c r="O95" s="783">
        <f t="shared" ca="1" si="0"/>
        <v>76.013557509974802</v>
      </c>
    </row>
    <row r="96" spans="1:16" s="246" customFormat="1" hidden="1" outlineLevel="2">
      <c r="B96" s="1555" t="s">
        <v>838</v>
      </c>
      <c r="C96" s="246" t="s">
        <v>1806</v>
      </c>
      <c r="D96" s="246" t="s">
        <v>1455</v>
      </c>
      <c r="E96" s="1555"/>
      <c r="F96" s="1757">
        <f>SUMIFS(INDEX($F$35:$I$49, , MATCH($E$7, $F$34:$I$34, 0)), $C$35:$C$49, $C$95, $E$35:$E$49, D96 )</f>
        <v>1</v>
      </c>
      <c r="G96" s="1757"/>
      <c r="H96" s="1757"/>
      <c r="I96" s="1757"/>
      <c r="J96" s="1757"/>
      <c r="K96" s="1757"/>
      <c r="L96" s="1757"/>
      <c r="M96" s="1757"/>
      <c r="N96" s="1757"/>
      <c r="O96" s="1757"/>
    </row>
    <row r="97" spans="2:15" s="246" customFormat="1" hidden="1" outlineLevel="2">
      <c r="B97" s="1555" t="s">
        <v>838</v>
      </c>
      <c r="C97" s="246" t="s">
        <v>1545</v>
      </c>
      <c r="E97" s="1555"/>
      <c r="F97" s="1757">
        <f>INDEX($H$65:$H$67, MATCH($C98, $C$65:$C$67, 0))</f>
        <v>0.9</v>
      </c>
      <c r="G97" s="1757"/>
      <c r="H97" s="1757"/>
      <c r="I97" s="1757"/>
      <c r="J97" s="1757"/>
      <c r="K97" s="1757"/>
      <c r="L97" s="1757"/>
      <c r="M97" s="1757"/>
      <c r="N97" s="1757"/>
      <c r="O97" s="1757"/>
    </row>
    <row r="98" spans="2:15" hidden="1" outlineLevel="2">
      <c r="B98" s="894" t="s">
        <v>840</v>
      </c>
      <c r="C98" s="24" t="s">
        <v>47</v>
      </c>
      <c r="D98" s="24" t="str">
        <f>INDEX(Vectors[Description], MATCH($C98, Vectors[Code], 0))</f>
        <v>Solid hydrocarbons</v>
      </c>
      <c r="E98" s="1566" t="str">
        <f>Preferences.EnergyUnits</f>
        <v>TWh</v>
      </c>
      <c r="F98" s="2039">
        <f t="shared" ref="F98:O98" ca="1" si="1">F$95*$F96*$F97</f>
        <v>11.536752901528432</v>
      </c>
      <c r="G98" s="2039">
        <f t="shared" ca="1" si="1"/>
        <v>14.685841625597572</v>
      </c>
      <c r="H98" s="2039">
        <f t="shared" ca="1" si="1"/>
        <v>23.455189282814036</v>
      </c>
      <c r="I98" s="2039">
        <f t="shared" ca="1" si="1"/>
        <v>30.642959920571979</v>
      </c>
      <c r="J98" s="2039">
        <f t="shared" ca="1" si="1"/>
        <v>35.964828336359659</v>
      </c>
      <c r="K98" s="2039">
        <f t="shared" ca="1" si="1"/>
        <v>41.931417853480369</v>
      </c>
      <c r="L98" s="2039">
        <f t="shared" ca="1" si="1"/>
        <v>48.685090116481987</v>
      </c>
      <c r="M98" s="2039">
        <f t="shared" ca="1" si="1"/>
        <v>56.840903621191273</v>
      </c>
      <c r="N98" s="2039">
        <f t="shared" ca="1" si="1"/>
        <v>62.344469166976666</v>
      </c>
      <c r="O98" s="2039">
        <f t="shared" ca="1" si="1"/>
        <v>68.412201758977318</v>
      </c>
    </row>
    <row r="99" spans="2:15" hidden="1" outlineLevel="2">
      <c r="C99" s="807"/>
      <c r="E99" s="20"/>
      <c r="F99" s="783"/>
      <c r="G99" s="783"/>
      <c r="H99" s="783"/>
      <c r="I99" s="783"/>
      <c r="J99" s="783"/>
      <c r="K99" s="783"/>
      <c r="L99" s="783"/>
      <c r="M99" s="783"/>
      <c r="N99" s="783"/>
      <c r="O99" s="783"/>
    </row>
    <row r="100" spans="2:15" s="246" customFormat="1" hidden="1" outlineLevel="2">
      <c r="B100" s="1555" t="s">
        <v>838</v>
      </c>
      <c r="C100" s="246" t="s">
        <v>1806</v>
      </c>
      <c r="D100" s="246" t="s">
        <v>230</v>
      </c>
      <c r="E100" s="1555"/>
      <c r="F100" s="1757">
        <f>SUMIFS(INDEX($F$35:$I$49, , MATCH($E$7, $F$34:$I$34, 0)), $C$35:$C$49, $C$95, $E$35:$E$49, D100 )</f>
        <v>0</v>
      </c>
      <c r="G100" s="1757"/>
      <c r="H100" s="1757"/>
      <c r="I100" s="1757"/>
      <c r="J100" s="1757"/>
      <c r="K100" s="1757"/>
      <c r="L100" s="1757"/>
      <c r="M100" s="1757"/>
      <c r="N100" s="1757"/>
      <c r="O100" s="1757"/>
    </row>
    <row r="101" spans="2:15" s="246" customFormat="1" hidden="1" outlineLevel="2">
      <c r="B101" s="1555" t="s">
        <v>838</v>
      </c>
      <c r="C101" s="246" t="s">
        <v>1545</v>
      </c>
      <c r="E101" s="1555"/>
      <c r="F101" s="1757">
        <f>INDEX($H$65:$H$67, MATCH($C102, $C$65:$C$67, 0))</f>
        <v>0.64</v>
      </c>
      <c r="G101" s="1757"/>
      <c r="H101" s="1757"/>
      <c r="I101" s="1757"/>
      <c r="J101" s="1757"/>
      <c r="K101" s="1757"/>
      <c r="L101" s="1757"/>
      <c r="M101" s="1757"/>
      <c r="N101" s="1757"/>
      <c r="O101" s="1757"/>
    </row>
    <row r="102" spans="2:15" hidden="1" outlineLevel="2">
      <c r="B102" s="894" t="s">
        <v>840</v>
      </c>
      <c r="C102" s="24" t="s">
        <v>49</v>
      </c>
      <c r="D102" s="24" t="str">
        <f>INDEX(Vectors[Description], MATCH($C102, Vectors[Code], 0))</f>
        <v>Liquid hydrocarbons</v>
      </c>
      <c r="E102" s="1566" t="str">
        <f>Preferences.EnergyUnits</f>
        <v>TWh</v>
      </c>
      <c r="F102" s="2039">
        <f t="shared" ref="F102:O102" ca="1" si="2">F$95*$F100*$F101</f>
        <v>0</v>
      </c>
      <c r="G102" s="2039">
        <f t="shared" ca="1" si="2"/>
        <v>0</v>
      </c>
      <c r="H102" s="2039">
        <f t="shared" ca="1" si="2"/>
        <v>0</v>
      </c>
      <c r="I102" s="2039">
        <f t="shared" ca="1" si="2"/>
        <v>0</v>
      </c>
      <c r="J102" s="2039">
        <f t="shared" ca="1" si="2"/>
        <v>0</v>
      </c>
      <c r="K102" s="2039">
        <f t="shared" ca="1" si="2"/>
        <v>0</v>
      </c>
      <c r="L102" s="2039">
        <f t="shared" ca="1" si="2"/>
        <v>0</v>
      </c>
      <c r="M102" s="2039">
        <f t="shared" ca="1" si="2"/>
        <v>0</v>
      </c>
      <c r="N102" s="2039">
        <f t="shared" ca="1" si="2"/>
        <v>0</v>
      </c>
      <c r="O102" s="2039">
        <f t="shared" ca="1" si="2"/>
        <v>0</v>
      </c>
    </row>
    <row r="103" spans="2:15" hidden="1" outlineLevel="2">
      <c r="C103" s="731"/>
      <c r="E103" s="20"/>
      <c r="F103" s="783"/>
      <c r="G103" s="783"/>
      <c r="H103" s="783"/>
      <c r="I103" s="783"/>
      <c r="J103" s="783"/>
      <c r="K103" s="783"/>
      <c r="L103" s="783"/>
      <c r="M103" s="783"/>
      <c r="N103" s="783"/>
      <c r="O103" s="783"/>
    </row>
    <row r="104" spans="2:15" s="246" customFormat="1" hidden="1" outlineLevel="2">
      <c r="B104" s="1555" t="s">
        <v>838</v>
      </c>
      <c r="C104" s="246" t="s">
        <v>1806</v>
      </c>
      <c r="D104" s="246" t="s">
        <v>14</v>
      </c>
      <c r="E104" s="1555"/>
      <c r="F104" s="1757">
        <f>SUMIFS(INDEX($F$35:$I$49, , MATCH($E$7, $F$34:$I$34, 0)), $C$35:$C$49, $C$95, $E$35:$E$49, D104 )</f>
        <v>0</v>
      </c>
      <c r="G104" s="1757"/>
      <c r="H104" s="1757"/>
      <c r="I104" s="1757"/>
      <c r="J104" s="1757"/>
      <c r="K104" s="1757"/>
      <c r="L104" s="1757"/>
      <c r="M104" s="1757"/>
      <c r="N104" s="1757"/>
      <c r="O104" s="1757"/>
    </row>
    <row r="105" spans="2:15" s="246" customFormat="1" hidden="1" outlineLevel="2">
      <c r="B105" s="1555" t="s">
        <v>838</v>
      </c>
      <c r="C105" s="246" t="s">
        <v>1545</v>
      </c>
      <c r="E105" s="1555"/>
      <c r="F105" s="1757">
        <f>INDEX($H$65:$H$67, MATCH($C106, $C$65:$C$67, 0))</f>
        <v>0.58499999999999996</v>
      </c>
      <c r="G105" s="1757"/>
      <c r="H105" s="1757"/>
      <c r="I105" s="1757"/>
      <c r="J105" s="1757"/>
      <c r="K105" s="1757"/>
      <c r="L105" s="1757"/>
      <c r="M105" s="1757"/>
      <c r="N105" s="1757"/>
      <c r="O105" s="1757"/>
    </row>
    <row r="106" spans="2:15" hidden="1" outlineLevel="2">
      <c r="B106" s="894" t="s">
        <v>840</v>
      </c>
      <c r="C106" s="24" t="s">
        <v>50</v>
      </c>
      <c r="D106" s="24" t="str">
        <f>INDEX(Vectors[Description], MATCH($C106, Vectors[Code], 0))</f>
        <v>Gaseous hydrocarbons</v>
      </c>
      <c r="E106" s="1566" t="str">
        <f>Preferences.EnergyUnits</f>
        <v>TWh</v>
      </c>
      <c r="F106" s="2039">
        <f t="shared" ref="F106:O106" ca="1" si="3">F$95*$F104*$F105</f>
        <v>0</v>
      </c>
      <c r="G106" s="2039">
        <f t="shared" ca="1" si="3"/>
        <v>0</v>
      </c>
      <c r="H106" s="2039">
        <f t="shared" ca="1" si="3"/>
        <v>0</v>
      </c>
      <c r="I106" s="2039">
        <f t="shared" ca="1" si="3"/>
        <v>0</v>
      </c>
      <c r="J106" s="2039">
        <f t="shared" ca="1" si="3"/>
        <v>0</v>
      </c>
      <c r="K106" s="2039">
        <f t="shared" ca="1" si="3"/>
        <v>0</v>
      </c>
      <c r="L106" s="2039">
        <f t="shared" ca="1" si="3"/>
        <v>0</v>
      </c>
      <c r="M106" s="2039">
        <f t="shared" ca="1" si="3"/>
        <v>0</v>
      </c>
      <c r="N106" s="2039">
        <f t="shared" ca="1" si="3"/>
        <v>0</v>
      </c>
      <c r="O106" s="2039">
        <f t="shared" ca="1" si="3"/>
        <v>0</v>
      </c>
    </row>
    <row r="107" spans="2:15" hidden="1" outlineLevel="2">
      <c r="C107" s="731"/>
      <c r="E107" s="20"/>
      <c r="F107" s="783"/>
      <c r="G107" s="783"/>
      <c r="H107" s="783"/>
      <c r="I107" s="783"/>
      <c r="J107" s="783"/>
      <c r="K107" s="783"/>
      <c r="L107" s="783"/>
      <c r="M107" s="783"/>
      <c r="N107" s="783"/>
      <c r="O107" s="783"/>
    </row>
    <row r="108" spans="2:15" hidden="1" outlineLevel="1">
      <c r="B108" s="731">
        <v>2</v>
      </c>
      <c r="C108" s="731" t="s">
        <v>1669</v>
      </c>
    </row>
    <row r="109" spans="2:15" hidden="1" outlineLevel="2">
      <c r="C109" s="731" t="s">
        <v>929</v>
      </c>
      <c r="D109" s="834" t="str">
        <f>INDEX(Vectors[Description], MATCH($C109, Vectors[Code], 0))</f>
        <v>Wet biomatter and waste</v>
      </c>
      <c r="E109" s="862" t="str">
        <f>Preferences.EnergyUnits</f>
        <v>TWh</v>
      </c>
      <c r="F109" s="783">
        <f t="shared" ref="F109:O109" ca="1" si="4">F$16</f>
        <v>4.9610477000000008</v>
      </c>
      <c r="G109" s="783">
        <f t="shared" ca="1" si="4"/>
        <v>8.9604444924216153</v>
      </c>
      <c r="H109" s="783">
        <f t="shared" ca="1" si="4"/>
        <v>14.087208334163787</v>
      </c>
      <c r="I109" s="783">
        <f t="shared" ca="1" si="4"/>
        <v>33.327159505884616</v>
      </c>
      <c r="J109" s="783">
        <f t="shared" ca="1" si="4"/>
        <v>43.247452274254698</v>
      </c>
      <c r="K109" s="783">
        <f t="shared" ca="1" si="4"/>
        <v>44.318418705558379</v>
      </c>
      <c r="L109" s="783">
        <f t="shared" ca="1" si="4"/>
        <v>45.412460545409857</v>
      </c>
      <c r="M109" s="783">
        <f t="shared" ca="1" si="4"/>
        <v>46.537817057146697</v>
      </c>
      <c r="N109" s="783">
        <f t="shared" ca="1" si="4"/>
        <v>47.700051615122234</v>
      </c>
      <c r="O109" s="783">
        <f t="shared" ca="1" si="4"/>
        <v>48.901286054879833</v>
      </c>
    </row>
    <row r="110" spans="2:15" hidden="1" outlineLevel="2">
      <c r="B110" s="1555" t="s">
        <v>838</v>
      </c>
      <c r="C110" s="246" t="s">
        <v>1806</v>
      </c>
      <c r="D110" s="246" t="s">
        <v>1455</v>
      </c>
      <c r="E110" s="1555"/>
      <c r="F110" s="1757">
        <f>SUMIFS(INDEX($F$35:$I$49, , MATCH($E$7, $F$34:$I$34, 0)), $C$35:$C$49, $C$109, $E$35:$E$49, D110 )</f>
        <v>0</v>
      </c>
      <c r="G110" s="1757"/>
      <c r="H110" s="1757"/>
      <c r="I110" s="1757"/>
      <c r="J110" s="1757"/>
      <c r="K110" s="1757"/>
      <c r="L110" s="1757"/>
      <c r="M110" s="1757"/>
      <c r="N110" s="1757"/>
      <c r="O110" s="1757"/>
    </row>
    <row r="111" spans="2:15" hidden="1" outlineLevel="2">
      <c r="B111" s="1555" t="s">
        <v>838</v>
      </c>
      <c r="C111" s="246" t="s">
        <v>1545</v>
      </c>
      <c r="D111" s="246"/>
      <c r="E111" s="1555"/>
      <c r="F111" s="1757">
        <f>INDEX($G$65:$G$67, MATCH($C112, $C$65:$C$67, 0))</f>
        <v>0</v>
      </c>
      <c r="G111" s="1757"/>
      <c r="H111" s="1757"/>
      <c r="I111" s="1757"/>
      <c r="J111" s="1757"/>
      <c r="K111" s="1757"/>
      <c r="L111" s="1757"/>
      <c r="M111" s="1757"/>
      <c r="N111" s="1757"/>
      <c r="O111" s="1757"/>
    </row>
    <row r="112" spans="2:15" hidden="1" outlineLevel="2">
      <c r="B112" s="894" t="s">
        <v>840</v>
      </c>
      <c r="C112" s="24" t="s">
        <v>47</v>
      </c>
      <c r="D112" s="24" t="str">
        <f>INDEX(Vectors[Description], MATCH($C112, Vectors[Code], 0))</f>
        <v>Solid hydrocarbons</v>
      </c>
      <c r="E112" s="1566" t="str">
        <f>Preferences.EnergyUnits</f>
        <v>TWh</v>
      </c>
      <c r="F112" s="2039">
        <f t="shared" ref="F112:O112" ca="1" si="5">F$109*$F110*$F111</f>
        <v>0</v>
      </c>
      <c r="G112" s="2039">
        <f t="shared" ca="1" si="5"/>
        <v>0</v>
      </c>
      <c r="H112" s="2039">
        <f t="shared" ca="1" si="5"/>
        <v>0</v>
      </c>
      <c r="I112" s="2039">
        <f t="shared" ca="1" si="5"/>
        <v>0</v>
      </c>
      <c r="J112" s="2039">
        <f t="shared" ca="1" si="5"/>
        <v>0</v>
      </c>
      <c r="K112" s="2039">
        <f t="shared" ca="1" si="5"/>
        <v>0</v>
      </c>
      <c r="L112" s="2039">
        <f t="shared" ca="1" si="5"/>
        <v>0</v>
      </c>
      <c r="M112" s="2039">
        <f t="shared" ca="1" si="5"/>
        <v>0</v>
      </c>
      <c r="N112" s="2039">
        <f t="shared" ca="1" si="5"/>
        <v>0</v>
      </c>
      <c r="O112" s="2039">
        <f t="shared" ca="1" si="5"/>
        <v>0</v>
      </c>
    </row>
    <row r="113" spans="2:15" hidden="1" outlineLevel="2">
      <c r="C113" s="807"/>
      <c r="E113" s="20"/>
      <c r="F113" s="783"/>
      <c r="G113" s="783"/>
      <c r="H113" s="783"/>
      <c r="I113" s="783"/>
      <c r="J113" s="783"/>
      <c r="K113" s="783"/>
      <c r="L113" s="783"/>
      <c r="M113" s="783"/>
      <c r="N113" s="783"/>
      <c r="O113" s="783"/>
    </row>
    <row r="114" spans="2:15" hidden="1" outlineLevel="2">
      <c r="B114" s="1555" t="s">
        <v>838</v>
      </c>
      <c r="C114" s="246" t="s">
        <v>1806</v>
      </c>
      <c r="D114" s="246" t="s">
        <v>230</v>
      </c>
      <c r="E114" s="1555"/>
      <c r="F114" s="1757">
        <f>SUMIFS(INDEX($F$35:$I$49, , MATCH($E$7, $F$34:$I$34, 0)), $C$35:$C$49, $C$109, $E$35:$E$49, D114 )</f>
        <v>0</v>
      </c>
      <c r="G114" s="1757"/>
      <c r="H114" s="1757"/>
      <c r="I114" s="1757"/>
      <c r="J114" s="1757"/>
      <c r="K114" s="1757"/>
      <c r="L114" s="1757"/>
      <c r="M114" s="1757"/>
      <c r="N114" s="1757"/>
      <c r="O114" s="1757"/>
    </row>
    <row r="115" spans="2:15" hidden="1" outlineLevel="2">
      <c r="B115" s="1555" t="s">
        <v>838</v>
      </c>
      <c r="C115" s="246" t="s">
        <v>1545</v>
      </c>
      <c r="D115" s="246"/>
      <c r="E115" s="1555"/>
      <c r="F115" s="1757">
        <f>INDEX($G$65:$G$67, MATCH($C116, $C$65:$C$67, 0))</f>
        <v>0.44</v>
      </c>
      <c r="G115" s="1757"/>
      <c r="H115" s="1757"/>
      <c r="I115" s="1757"/>
      <c r="J115" s="1757"/>
      <c r="K115" s="1757"/>
      <c r="L115" s="1757"/>
      <c r="M115" s="1757"/>
      <c r="N115" s="1757"/>
      <c r="O115" s="1757"/>
    </row>
    <row r="116" spans="2:15" hidden="1" outlineLevel="2">
      <c r="B116" s="894" t="s">
        <v>840</v>
      </c>
      <c r="C116" s="24" t="s">
        <v>49</v>
      </c>
      <c r="D116" s="24" t="str">
        <f>INDEX(Vectors[Description], MATCH($C116, Vectors[Code], 0))</f>
        <v>Liquid hydrocarbons</v>
      </c>
      <c r="E116" s="1566" t="str">
        <f>Preferences.EnergyUnits</f>
        <v>TWh</v>
      </c>
      <c r="F116" s="2039">
        <f t="shared" ref="F116:O116" ca="1" si="6">F$109*$F114*$F115</f>
        <v>0</v>
      </c>
      <c r="G116" s="2039">
        <f t="shared" ca="1" si="6"/>
        <v>0</v>
      </c>
      <c r="H116" s="2039">
        <f t="shared" ca="1" si="6"/>
        <v>0</v>
      </c>
      <c r="I116" s="2039">
        <f t="shared" ca="1" si="6"/>
        <v>0</v>
      </c>
      <c r="J116" s="2039">
        <f t="shared" ca="1" si="6"/>
        <v>0</v>
      </c>
      <c r="K116" s="2039">
        <f t="shared" ca="1" si="6"/>
        <v>0</v>
      </c>
      <c r="L116" s="2039">
        <f t="shared" ca="1" si="6"/>
        <v>0</v>
      </c>
      <c r="M116" s="2039">
        <f t="shared" ca="1" si="6"/>
        <v>0</v>
      </c>
      <c r="N116" s="2039">
        <f t="shared" ca="1" si="6"/>
        <v>0</v>
      </c>
      <c r="O116" s="2039">
        <f t="shared" ca="1" si="6"/>
        <v>0</v>
      </c>
    </row>
    <row r="117" spans="2:15" hidden="1" outlineLevel="2">
      <c r="C117" s="731"/>
      <c r="E117" s="20"/>
      <c r="F117" s="783"/>
      <c r="G117" s="783"/>
      <c r="H117" s="783"/>
      <c r="I117" s="783"/>
      <c r="J117" s="783"/>
      <c r="K117" s="783"/>
      <c r="L117" s="783"/>
      <c r="M117" s="783"/>
      <c r="N117" s="783"/>
      <c r="O117" s="783"/>
    </row>
    <row r="118" spans="2:15" hidden="1" outlineLevel="2">
      <c r="B118" s="1555" t="s">
        <v>838</v>
      </c>
      <c r="C118" s="246" t="s">
        <v>1806</v>
      </c>
      <c r="D118" s="246" t="s">
        <v>14</v>
      </c>
      <c r="E118" s="1555"/>
      <c r="F118" s="1757">
        <f>SUMIFS(INDEX($F$35:$I$49, , MATCH($E$7, $F$34:$I$34, 0)), $C$35:$C$49, $C$109, $E$35:$E$49, D118 )</f>
        <v>1</v>
      </c>
      <c r="G118" s="1757"/>
      <c r="H118" s="1757"/>
      <c r="I118" s="1757"/>
      <c r="J118" s="1757"/>
      <c r="K118" s="1757"/>
      <c r="L118" s="1757"/>
      <c r="M118" s="1757"/>
      <c r="N118" s="1757"/>
      <c r="O118" s="1757"/>
    </row>
    <row r="119" spans="2:15" hidden="1" outlineLevel="2">
      <c r="B119" s="1555" t="s">
        <v>838</v>
      </c>
      <c r="C119" s="246" t="s">
        <v>1545</v>
      </c>
      <c r="D119" s="246"/>
      <c r="E119" s="1555"/>
      <c r="F119" s="1757">
        <f>INDEX($G$65:$G$67, MATCH($C120, $C$65:$C$67, 0))</f>
        <v>0.8</v>
      </c>
      <c r="G119" s="1757"/>
      <c r="H119" s="1757"/>
      <c r="I119" s="1757"/>
      <c r="J119" s="1757"/>
      <c r="K119" s="1757"/>
      <c r="L119" s="1757"/>
      <c r="M119" s="1757"/>
      <c r="N119" s="1757"/>
      <c r="O119" s="1757"/>
    </row>
    <row r="120" spans="2:15" hidden="1" outlineLevel="2">
      <c r="B120" s="807" t="s">
        <v>840</v>
      </c>
      <c r="C120" s="24" t="s">
        <v>50</v>
      </c>
      <c r="D120" s="24" t="str">
        <f>INDEX(Vectors[Description], MATCH($C120, Vectors[Code], 0))</f>
        <v>Gaseous hydrocarbons</v>
      </c>
      <c r="E120" s="1566" t="str">
        <f>Preferences.EnergyUnits</f>
        <v>TWh</v>
      </c>
      <c r="F120" s="2039">
        <f t="shared" ref="F120:O120" ca="1" si="7">F$109*$F118*$F119</f>
        <v>3.9688381600000007</v>
      </c>
      <c r="G120" s="2039">
        <f t="shared" ca="1" si="7"/>
        <v>7.1683555939372923</v>
      </c>
      <c r="H120" s="2039">
        <f t="shared" ca="1" si="7"/>
        <v>11.26976666733103</v>
      </c>
      <c r="I120" s="2039">
        <f t="shared" ca="1" si="7"/>
        <v>26.661727604707693</v>
      </c>
      <c r="J120" s="2039">
        <f t="shared" ca="1" si="7"/>
        <v>34.597961819403757</v>
      </c>
      <c r="K120" s="2039">
        <f t="shared" ca="1" si="7"/>
        <v>35.454734964446708</v>
      </c>
      <c r="L120" s="2039">
        <f t="shared" ca="1" si="7"/>
        <v>36.329968436327889</v>
      </c>
      <c r="M120" s="2039">
        <f t="shared" ca="1" si="7"/>
        <v>37.230253645717362</v>
      </c>
      <c r="N120" s="2039">
        <f t="shared" ca="1" si="7"/>
        <v>38.160041292097787</v>
      </c>
      <c r="O120" s="2039">
        <f t="shared" ca="1" si="7"/>
        <v>39.121028843903872</v>
      </c>
    </row>
    <row r="121" spans="2:15" hidden="1" outlineLevel="2">
      <c r="C121" s="806"/>
      <c r="F121" s="27"/>
      <c r="G121" s="27"/>
      <c r="H121" s="27"/>
      <c r="I121" s="27"/>
      <c r="J121" s="27"/>
      <c r="K121" s="27"/>
      <c r="L121" s="27"/>
      <c r="M121" s="27"/>
      <c r="N121" s="27"/>
      <c r="O121" s="27"/>
    </row>
    <row r="122" spans="2:15" hidden="1" outlineLevel="1">
      <c r="B122" s="731">
        <v>3</v>
      </c>
      <c r="C122" s="731" t="s">
        <v>1807</v>
      </c>
    </row>
    <row r="123" spans="2:15" hidden="1" outlineLevel="2">
      <c r="C123" s="731" t="s">
        <v>1801</v>
      </c>
      <c r="D123" s="834" t="str">
        <f>INDEX(Vectors[Description], MATCH($C123, Vectors[Code], 0))</f>
        <v>Energy crops (second generation)</v>
      </c>
      <c r="E123" s="862" t="str">
        <f>Preferences.EnergyUnits</f>
        <v>TWh</v>
      </c>
      <c r="F123" s="783">
        <f ca="1">F$18</f>
        <v>0.82222222222222219</v>
      </c>
      <c r="G123" s="783">
        <f ca="1">G$18</f>
        <v>1.6469469103055956</v>
      </c>
      <c r="H123" s="783">
        <f t="shared" ref="H123:O123" ca="1" si="8">H$18</f>
        <v>7.7206352827919442</v>
      </c>
      <c r="I123" s="783">
        <f t="shared" ca="1" si="8"/>
        <v>14.367659141861198</v>
      </c>
      <c r="J123" s="783">
        <f t="shared" ca="1" si="8"/>
        <v>21.62911347575881</v>
      </c>
      <c r="K123" s="783">
        <f t="shared" ca="1" si="8"/>
        <v>29.548733569197832</v>
      </c>
      <c r="L123" s="783">
        <f t="shared" ca="1" si="8"/>
        <v>41.568038881692388</v>
      </c>
      <c r="M123" s="783">
        <f t="shared" ca="1" si="8"/>
        <v>54.687907950087279</v>
      </c>
      <c r="N123" s="783">
        <f t="shared" ca="1" si="8"/>
        <v>68.987497373024652</v>
      </c>
      <c r="O123" s="783">
        <f t="shared" ca="1" si="8"/>
        <v>84.551105543007012</v>
      </c>
    </row>
    <row r="124" spans="2:15" hidden="1" outlineLevel="2">
      <c r="B124" s="1555" t="s">
        <v>838</v>
      </c>
      <c r="C124" s="246" t="s">
        <v>1806</v>
      </c>
      <c r="D124" s="246" t="s">
        <v>1455</v>
      </c>
      <c r="E124" s="1555"/>
      <c r="F124" s="1757">
        <f>SUMIFS(INDEX($F$35:$I$49, , MATCH($E$7, $F$34:$I$34, 0)), $C$35:$C$49, $C$123, $E$35:$E$49, D124 )</f>
        <v>0</v>
      </c>
      <c r="G124" s="1757"/>
      <c r="H124" s="1757"/>
      <c r="I124" s="1757"/>
      <c r="J124" s="1757"/>
      <c r="K124" s="1757"/>
      <c r="L124" s="1757"/>
      <c r="M124" s="1757"/>
      <c r="N124" s="1757"/>
      <c r="O124" s="1757"/>
    </row>
    <row r="125" spans="2:15" hidden="1" outlineLevel="2">
      <c r="B125" s="1555" t="s">
        <v>838</v>
      </c>
      <c r="C125" s="246" t="s">
        <v>1545</v>
      </c>
      <c r="D125" s="246"/>
      <c r="E125" s="1555"/>
      <c r="F125" s="1757">
        <f>INDEX($I$65:$I$67, MATCH($C126, $C$65:$C$67, 0))</f>
        <v>0.9</v>
      </c>
      <c r="G125" s="1757"/>
      <c r="H125" s="1757"/>
      <c r="I125" s="1757"/>
      <c r="J125" s="1757"/>
      <c r="K125" s="1757"/>
      <c r="L125" s="1757"/>
      <c r="M125" s="1757"/>
      <c r="N125" s="1757"/>
      <c r="O125" s="1757"/>
    </row>
    <row r="126" spans="2:15" hidden="1" outlineLevel="2">
      <c r="B126" s="894" t="s">
        <v>840</v>
      </c>
      <c r="C126" s="24" t="s">
        <v>47</v>
      </c>
      <c r="D126" s="24" t="str">
        <f>INDEX(Vectors[Description], MATCH($C126, Vectors[Code], 0))</f>
        <v>Solid hydrocarbons</v>
      </c>
      <c r="E126" s="1566" t="str">
        <f>Preferences.EnergyUnits</f>
        <v>TWh</v>
      </c>
      <c r="F126" s="2039">
        <f ca="1">F$123*$F124*$F125</f>
        <v>0</v>
      </c>
      <c r="G126" s="2039">
        <f t="shared" ref="G126:O126" ca="1" si="9">G$123*$F124*$F125</f>
        <v>0</v>
      </c>
      <c r="H126" s="2039">
        <f t="shared" ca="1" si="9"/>
        <v>0</v>
      </c>
      <c r="I126" s="2039">
        <f t="shared" ca="1" si="9"/>
        <v>0</v>
      </c>
      <c r="J126" s="2039">
        <f t="shared" ca="1" si="9"/>
        <v>0</v>
      </c>
      <c r="K126" s="2039">
        <f t="shared" ca="1" si="9"/>
        <v>0</v>
      </c>
      <c r="L126" s="2039">
        <f t="shared" ca="1" si="9"/>
        <v>0</v>
      </c>
      <c r="M126" s="2039">
        <f t="shared" ca="1" si="9"/>
        <v>0</v>
      </c>
      <c r="N126" s="2039">
        <f t="shared" ca="1" si="9"/>
        <v>0</v>
      </c>
      <c r="O126" s="2039">
        <f t="shared" ca="1" si="9"/>
        <v>0</v>
      </c>
    </row>
    <row r="127" spans="2:15" hidden="1" outlineLevel="2">
      <c r="C127" s="807"/>
      <c r="E127" s="20"/>
      <c r="F127" s="783"/>
      <c r="G127" s="783"/>
      <c r="H127" s="783"/>
      <c r="I127" s="783"/>
      <c r="J127" s="783"/>
      <c r="K127" s="783"/>
      <c r="L127" s="783"/>
      <c r="M127" s="783"/>
      <c r="N127" s="783"/>
      <c r="O127" s="783"/>
    </row>
    <row r="128" spans="2:15" hidden="1" outlineLevel="2">
      <c r="B128" s="1555" t="s">
        <v>838</v>
      </c>
      <c r="C128" s="246" t="s">
        <v>1806</v>
      </c>
      <c r="D128" s="246" t="s">
        <v>230</v>
      </c>
      <c r="E128" s="1555"/>
      <c r="F128" s="1757">
        <f>SUMIFS(INDEX($F$35:$I$49, , MATCH($E$7, $F$34:$I$34, 0)), $C$35:$C$49, $C$123, $E$35:$E$49, D128 )</f>
        <v>1</v>
      </c>
      <c r="G128" s="1757"/>
      <c r="H128" s="1757"/>
      <c r="I128" s="1757"/>
      <c r="J128" s="1757"/>
      <c r="K128" s="1757"/>
      <c r="L128" s="1757"/>
      <c r="M128" s="1757"/>
      <c r="N128" s="1757"/>
      <c r="O128" s="1757"/>
    </row>
    <row r="129" spans="2:15" hidden="1" outlineLevel="2">
      <c r="B129" s="1555" t="s">
        <v>838</v>
      </c>
      <c r="C129" s="246" t="s">
        <v>1545</v>
      </c>
      <c r="D129" s="246"/>
      <c r="E129" s="1555"/>
      <c r="F129" s="1757">
        <f>INDEX($I$65:$I$67, MATCH($C130, $C$65:$C$67, 0))</f>
        <v>0.64</v>
      </c>
      <c r="G129" s="1757"/>
      <c r="H129" s="1757"/>
      <c r="I129" s="1757"/>
      <c r="J129" s="1757"/>
      <c r="K129" s="1757"/>
      <c r="L129" s="1757"/>
      <c r="M129" s="1757"/>
      <c r="N129" s="1757"/>
      <c r="O129" s="1757"/>
    </row>
    <row r="130" spans="2:15" hidden="1" outlineLevel="2">
      <c r="B130" s="894" t="s">
        <v>840</v>
      </c>
      <c r="C130" s="24" t="s">
        <v>49</v>
      </c>
      <c r="D130" s="24" t="str">
        <f>INDEX(Vectors[Description], MATCH($C130, Vectors[Code], 0))</f>
        <v>Liquid hydrocarbons</v>
      </c>
      <c r="E130" s="1566" t="str">
        <f>Preferences.EnergyUnits</f>
        <v>TWh</v>
      </c>
      <c r="F130" s="2039">
        <f ca="1">F$123*$F128*$F129</f>
        <v>0.52622222222222226</v>
      </c>
      <c r="G130" s="2039">
        <f t="shared" ref="G130:O130" ca="1" si="10">G$123*$F128*$F129</f>
        <v>1.0540460225955812</v>
      </c>
      <c r="H130" s="2039">
        <f t="shared" ca="1" si="10"/>
        <v>4.9412065809868446</v>
      </c>
      <c r="I130" s="2039">
        <f t="shared" ca="1" si="10"/>
        <v>9.1953018507911661</v>
      </c>
      <c r="J130" s="2039">
        <f t="shared" ca="1" si="10"/>
        <v>13.842632624485638</v>
      </c>
      <c r="K130" s="2039">
        <f t="shared" ca="1" si="10"/>
        <v>18.911189484286613</v>
      </c>
      <c r="L130" s="2039">
        <f t="shared" ca="1" si="10"/>
        <v>26.603544884283128</v>
      </c>
      <c r="M130" s="2039">
        <f t="shared" ca="1" si="10"/>
        <v>35.000261088055858</v>
      </c>
      <c r="N130" s="2039">
        <f t="shared" ca="1" si="10"/>
        <v>44.151998318735778</v>
      </c>
      <c r="O130" s="2039">
        <f t="shared" ca="1" si="10"/>
        <v>54.112707547524487</v>
      </c>
    </row>
    <row r="131" spans="2:15" hidden="1" outlineLevel="2">
      <c r="C131" s="731"/>
      <c r="E131" s="20"/>
      <c r="F131" s="783"/>
      <c r="G131" s="783"/>
      <c r="H131" s="783"/>
      <c r="I131" s="783"/>
      <c r="J131" s="783"/>
      <c r="K131" s="783"/>
      <c r="L131" s="783"/>
      <c r="M131" s="783"/>
      <c r="N131" s="783"/>
      <c r="O131" s="783"/>
    </row>
    <row r="132" spans="2:15" hidden="1" outlineLevel="2">
      <c r="B132" s="1555" t="s">
        <v>838</v>
      </c>
      <c r="C132" s="246" t="s">
        <v>1806</v>
      </c>
      <c r="D132" s="246" t="s">
        <v>14</v>
      </c>
      <c r="E132" s="1555"/>
      <c r="F132" s="1757">
        <f>SUMIFS(INDEX($F$35:$I$49, , MATCH($E$7, $F$34:$I$34, 0)), $C$35:$C$49, $C$123, $E$35:$E$49, D132 )</f>
        <v>0</v>
      </c>
      <c r="G132" s="1757"/>
      <c r="H132" s="1757"/>
      <c r="I132" s="1757"/>
      <c r="J132" s="1757"/>
      <c r="K132" s="1757"/>
      <c r="L132" s="1757"/>
      <c r="M132" s="1757"/>
      <c r="N132" s="1757"/>
      <c r="O132" s="1757"/>
    </row>
    <row r="133" spans="2:15" hidden="1" outlineLevel="2">
      <c r="B133" s="1555" t="s">
        <v>838</v>
      </c>
      <c r="C133" s="246" t="s">
        <v>1545</v>
      </c>
      <c r="D133" s="246"/>
      <c r="E133" s="1555"/>
      <c r="F133" s="1757">
        <f>INDEX($I$65:$I$67, MATCH($C134, $C$65:$C$67, 0))</f>
        <v>0.58499999999999996</v>
      </c>
      <c r="G133" s="1757"/>
      <c r="H133" s="1757"/>
      <c r="I133" s="1757"/>
      <c r="J133" s="1757"/>
      <c r="K133" s="1757"/>
      <c r="L133" s="1757"/>
      <c r="M133" s="1757"/>
      <c r="N133" s="1757"/>
      <c r="O133" s="1757"/>
    </row>
    <row r="134" spans="2:15" hidden="1" outlineLevel="2">
      <c r="B134" s="894" t="s">
        <v>840</v>
      </c>
      <c r="C134" s="24" t="s">
        <v>50</v>
      </c>
      <c r="D134" s="24" t="str">
        <f>INDEX(Vectors[Description], MATCH($C134, Vectors[Code], 0))</f>
        <v>Gaseous hydrocarbons</v>
      </c>
      <c r="E134" s="1566" t="str">
        <f>Preferences.EnergyUnits</f>
        <v>TWh</v>
      </c>
      <c r="F134" s="2039">
        <f ca="1">F$123*$F132*$F133</f>
        <v>0</v>
      </c>
      <c r="G134" s="2039">
        <f t="shared" ref="G134:O134" ca="1" si="11">G$123*$F132*$F133</f>
        <v>0</v>
      </c>
      <c r="H134" s="2039">
        <f t="shared" ca="1" si="11"/>
        <v>0</v>
      </c>
      <c r="I134" s="2039">
        <f t="shared" ca="1" si="11"/>
        <v>0</v>
      </c>
      <c r="J134" s="2039">
        <f t="shared" ca="1" si="11"/>
        <v>0</v>
      </c>
      <c r="K134" s="2039">
        <f t="shared" ca="1" si="11"/>
        <v>0</v>
      </c>
      <c r="L134" s="2039">
        <f t="shared" ca="1" si="11"/>
        <v>0</v>
      </c>
      <c r="M134" s="2039">
        <f t="shared" ca="1" si="11"/>
        <v>0</v>
      </c>
      <c r="N134" s="2039">
        <f t="shared" ca="1" si="11"/>
        <v>0</v>
      </c>
      <c r="O134" s="2039">
        <f t="shared" ca="1" si="11"/>
        <v>0</v>
      </c>
    </row>
    <row r="135" spans="2:15" hidden="1" outlineLevel="2">
      <c r="B135" s="894"/>
      <c r="C135" s="24"/>
      <c r="D135" s="24"/>
      <c r="E135" s="1566"/>
      <c r="F135" s="2040"/>
      <c r="G135" s="2040"/>
      <c r="H135" s="2040"/>
      <c r="I135" s="2040"/>
      <c r="J135" s="2040"/>
      <c r="K135" s="2040"/>
      <c r="L135" s="2040"/>
      <c r="M135" s="2040"/>
      <c r="N135" s="2040"/>
      <c r="O135" s="2040"/>
    </row>
    <row r="136" spans="2:15" hidden="1" outlineLevel="2">
      <c r="C136" s="731" t="s">
        <v>2291</v>
      </c>
      <c r="D136" s="834" t="str">
        <f>INDEX(Vectors[Description], MATCH($C136, Vectors[Code], 0))</f>
        <v>Energy crops (first generation)</v>
      </c>
      <c r="E136" s="862" t="str">
        <f>Preferences.EnergyUnits</f>
        <v>TWh</v>
      </c>
      <c r="F136" s="783">
        <f ca="1">F$19</f>
        <v>4.0593000000000004</v>
      </c>
      <c r="G136" s="783">
        <f t="shared" ref="G136:O136" ca="1" si="12">G$19</f>
        <v>1.1980448469689404</v>
      </c>
      <c r="H136" s="783">
        <f t="shared" ca="1" si="12"/>
        <v>1.252228408041016</v>
      </c>
      <c r="I136" s="783">
        <f t="shared" ca="1" si="12"/>
        <v>1.3088625103410589</v>
      </c>
      <c r="J136" s="783">
        <f t="shared" ca="1" si="12"/>
        <v>1.3680579836519617</v>
      </c>
      <c r="K136" s="783">
        <f t="shared" ca="1" si="12"/>
        <v>1.4299306702169821</v>
      </c>
      <c r="L136" s="783">
        <f t="shared" ca="1" si="12"/>
        <v>1.4946016514365559</v>
      </c>
      <c r="M136" s="783">
        <f t="shared" ca="1" si="12"/>
        <v>1.5621974848178559</v>
      </c>
      <c r="N136" s="783">
        <f t="shared" ca="1" si="12"/>
        <v>1.6328504516407798</v>
      </c>
      <c r="O136" s="783">
        <f t="shared" ca="1" si="12"/>
        <v>1.7066988158250447</v>
      </c>
    </row>
    <row r="137" spans="2:15" hidden="1" outlineLevel="2">
      <c r="B137" s="1555" t="s">
        <v>838</v>
      </c>
      <c r="C137" s="246" t="s">
        <v>1806</v>
      </c>
      <c r="D137" s="246" t="s">
        <v>1455</v>
      </c>
      <c r="E137" s="1555"/>
      <c r="F137" s="1757">
        <f>SUMIFS(INDEX($F$35:$I$49, , MATCH($E$7, $F$34:$I$34, 0)), $C$35:$C$49, $C$136, $E$35:$E$49, D137 )</f>
        <v>0</v>
      </c>
      <c r="G137" s="1757"/>
      <c r="H137" s="1757"/>
      <c r="I137" s="1757"/>
      <c r="J137" s="1757"/>
      <c r="K137" s="1757"/>
      <c r="L137" s="1757"/>
      <c r="M137" s="1757"/>
      <c r="N137" s="1757"/>
      <c r="O137" s="1757"/>
    </row>
    <row r="138" spans="2:15" hidden="1" outlineLevel="2">
      <c r="B138" s="1555" t="s">
        <v>838</v>
      </c>
      <c r="C138" s="246" t="s">
        <v>1545</v>
      </c>
      <c r="D138" s="246"/>
      <c r="E138" s="1555"/>
      <c r="F138" s="1757">
        <f>INDEX($J$65:$J$67, MATCH($C139, $C$65:$C$67, 0))</f>
        <v>0</v>
      </c>
      <c r="G138" s="1757"/>
      <c r="H138" s="1757"/>
      <c r="I138" s="1757"/>
      <c r="J138" s="1757"/>
      <c r="K138" s="1757"/>
      <c r="L138" s="1757"/>
      <c r="M138" s="1757"/>
      <c r="N138" s="1757"/>
      <c r="O138" s="1757"/>
    </row>
    <row r="139" spans="2:15" hidden="1" outlineLevel="2">
      <c r="B139" s="894" t="s">
        <v>840</v>
      </c>
      <c r="C139" s="24" t="s">
        <v>47</v>
      </c>
      <c r="D139" s="24" t="str">
        <f>INDEX(Vectors[Description], MATCH($C139, Vectors[Code], 0))</f>
        <v>Solid hydrocarbons</v>
      </c>
      <c r="E139" s="1566" t="str">
        <f>Preferences.EnergyUnits</f>
        <v>TWh</v>
      </c>
      <c r="F139" s="2039">
        <f ca="1">F$136*$F137*$F138</f>
        <v>0</v>
      </c>
      <c r="G139" s="2039">
        <f t="shared" ref="G139:O139" ca="1" si="13">G$136*$F137*$F138</f>
        <v>0</v>
      </c>
      <c r="H139" s="2039">
        <f t="shared" ca="1" si="13"/>
        <v>0</v>
      </c>
      <c r="I139" s="2039">
        <f t="shared" ca="1" si="13"/>
        <v>0</v>
      </c>
      <c r="J139" s="2039">
        <f t="shared" ca="1" si="13"/>
        <v>0</v>
      </c>
      <c r="K139" s="2039">
        <f t="shared" ca="1" si="13"/>
        <v>0</v>
      </c>
      <c r="L139" s="2039">
        <f t="shared" ca="1" si="13"/>
        <v>0</v>
      </c>
      <c r="M139" s="2039">
        <f t="shared" ca="1" si="13"/>
        <v>0</v>
      </c>
      <c r="N139" s="2039">
        <f t="shared" ca="1" si="13"/>
        <v>0</v>
      </c>
      <c r="O139" s="2039">
        <f t="shared" ca="1" si="13"/>
        <v>0</v>
      </c>
    </row>
    <row r="140" spans="2:15" hidden="1" outlineLevel="2">
      <c r="C140" s="807"/>
      <c r="E140" s="20"/>
      <c r="F140" s="783"/>
      <c r="G140" s="783"/>
      <c r="H140" s="783"/>
      <c r="I140" s="783"/>
      <c r="J140" s="783"/>
      <c r="K140" s="783"/>
      <c r="L140" s="783"/>
      <c r="M140" s="783"/>
      <c r="N140" s="783"/>
      <c r="O140" s="783"/>
    </row>
    <row r="141" spans="2:15" hidden="1" outlineLevel="2">
      <c r="B141" s="1555" t="s">
        <v>838</v>
      </c>
      <c r="C141" s="246" t="s">
        <v>1806</v>
      </c>
      <c r="D141" s="246" t="s">
        <v>230</v>
      </c>
      <c r="E141" s="1555"/>
      <c r="F141" s="1757">
        <f>SUMIFS(INDEX($F$35:$I$49, , MATCH($E$7, $F$34:$I$34, 0)), $C$35:$C$49, $C$136, $E$35:$E$49, D141 )</f>
        <v>1</v>
      </c>
      <c r="G141" s="1757"/>
      <c r="H141" s="1757"/>
      <c r="I141" s="1757"/>
      <c r="J141" s="1757"/>
      <c r="K141" s="1757"/>
      <c r="L141" s="1757"/>
      <c r="M141" s="1757"/>
      <c r="N141" s="1757"/>
      <c r="O141" s="1757"/>
    </row>
    <row r="142" spans="2:15" hidden="1" outlineLevel="2">
      <c r="B142" s="1555" t="s">
        <v>838</v>
      </c>
      <c r="C142" s="246" t="s">
        <v>1545</v>
      </c>
      <c r="D142" s="246"/>
      <c r="E142" s="1555"/>
      <c r="F142" s="1757">
        <f>INDEX($J$65:$J$67, MATCH($C143, $C$65:$C$67, 0))</f>
        <v>0.31</v>
      </c>
      <c r="G142" s="1757"/>
      <c r="H142" s="1757"/>
      <c r="I142" s="1757"/>
      <c r="J142" s="1757"/>
      <c r="K142" s="1757"/>
      <c r="L142" s="1757"/>
      <c r="M142" s="1757"/>
      <c r="N142" s="1757"/>
      <c r="O142" s="1757"/>
    </row>
    <row r="143" spans="2:15" hidden="1" outlineLevel="2">
      <c r="B143" s="894" t="s">
        <v>840</v>
      </c>
      <c r="C143" s="24" t="s">
        <v>49</v>
      </c>
      <c r="D143" s="24" t="str">
        <f>INDEX(Vectors[Description], MATCH($C143, Vectors[Code], 0))</f>
        <v>Liquid hydrocarbons</v>
      </c>
      <c r="E143" s="1566" t="str">
        <f>Preferences.EnergyUnits</f>
        <v>TWh</v>
      </c>
      <c r="F143" s="2039">
        <f t="shared" ref="F143:O143" ca="1" si="14">F$136*$F141*$F142</f>
        <v>1.258383</v>
      </c>
      <c r="G143" s="2039">
        <f t="shared" ca="1" si="14"/>
        <v>0.37139390256037152</v>
      </c>
      <c r="H143" s="2039">
        <f t="shared" ca="1" si="14"/>
        <v>0.38819080649271498</v>
      </c>
      <c r="I143" s="2039">
        <f t="shared" ca="1" si="14"/>
        <v>0.40574737820572826</v>
      </c>
      <c r="J143" s="2039">
        <f t="shared" ca="1" si="14"/>
        <v>0.42409797493210816</v>
      </c>
      <c r="K143" s="2039">
        <f t="shared" ca="1" si="14"/>
        <v>0.44327850776726446</v>
      </c>
      <c r="L143" s="2039">
        <f t="shared" ca="1" si="14"/>
        <v>0.46332651194533231</v>
      </c>
      <c r="M143" s="2039">
        <f t="shared" ca="1" si="14"/>
        <v>0.48428122029353532</v>
      </c>
      <c r="N143" s="2039">
        <f t="shared" ca="1" si="14"/>
        <v>0.50618364000864169</v>
      </c>
      <c r="O143" s="2039">
        <f t="shared" ca="1" si="14"/>
        <v>0.5290766329057639</v>
      </c>
    </row>
    <row r="144" spans="2:15" hidden="1" outlineLevel="2">
      <c r="C144" s="731"/>
      <c r="E144" s="20"/>
      <c r="F144" s="783"/>
      <c r="G144" s="783"/>
      <c r="H144" s="783"/>
      <c r="I144" s="783"/>
      <c r="J144" s="783"/>
      <c r="K144" s="783"/>
      <c r="L144" s="783"/>
      <c r="M144" s="783"/>
      <c r="N144" s="783"/>
      <c r="O144" s="783"/>
    </row>
    <row r="145" spans="2:15" hidden="1" outlineLevel="2">
      <c r="B145" s="1555" t="s">
        <v>838</v>
      </c>
      <c r="C145" s="246" t="s">
        <v>1806</v>
      </c>
      <c r="D145" s="246" t="s">
        <v>14</v>
      </c>
      <c r="E145" s="1555"/>
      <c r="F145" s="1757">
        <f>SUMIFS(INDEX($F$35:$I$49, , MATCH($E$7, $F$34:$I$34, 0)), $C$35:$C$49, $C$136, $E$35:$E$49, D145 )</f>
        <v>0</v>
      </c>
      <c r="G145" s="1757"/>
      <c r="H145" s="1757"/>
      <c r="I145" s="1757"/>
      <c r="J145" s="1757"/>
      <c r="K145" s="1757"/>
      <c r="L145" s="1757"/>
      <c r="M145" s="1757"/>
      <c r="N145" s="1757"/>
      <c r="O145" s="1757"/>
    </row>
    <row r="146" spans="2:15" hidden="1" outlineLevel="2">
      <c r="B146" s="1555" t="s">
        <v>838</v>
      </c>
      <c r="C146" s="246" t="s">
        <v>1545</v>
      </c>
      <c r="D146" s="246"/>
      <c r="E146" s="1555"/>
      <c r="F146" s="1757">
        <f>INDEX($J$65:$J$67, MATCH($C147, $C$65:$C$67, 0))</f>
        <v>0</v>
      </c>
      <c r="G146" s="1757"/>
      <c r="H146" s="1757"/>
      <c r="I146" s="1757"/>
      <c r="J146" s="1757"/>
      <c r="K146" s="1757"/>
      <c r="L146" s="1757"/>
      <c r="M146" s="1757"/>
      <c r="N146" s="1757"/>
      <c r="O146" s="1757"/>
    </row>
    <row r="147" spans="2:15" hidden="1" outlineLevel="2">
      <c r="B147" s="894" t="s">
        <v>840</v>
      </c>
      <c r="C147" s="24" t="s">
        <v>50</v>
      </c>
      <c r="D147" s="24" t="str">
        <f>INDEX(Vectors[Description], MATCH($C147, Vectors[Code], 0))</f>
        <v>Gaseous hydrocarbons</v>
      </c>
      <c r="E147" s="1566" t="str">
        <f>Preferences.EnergyUnits</f>
        <v>TWh</v>
      </c>
      <c r="F147" s="2039">
        <f t="shared" ref="F147:O147" ca="1" si="15">F$136*$F145*$F146</f>
        <v>0</v>
      </c>
      <c r="G147" s="2039">
        <f t="shared" ca="1" si="15"/>
        <v>0</v>
      </c>
      <c r="H147" s="2039">
        <f t="shared" ca="1" si="15"/>
        <v>0</v>
      </c>
      <c r="I147" s="2039">
        <f t="shared" ca="1" si="15"/>
        <v>0</v>
      </c>
      <c r="J147" s="2039">
        <f t="shared" ca="1" si="15"/>
        <v>0</v>
      </c>
      <c r="K147" s="2039">
        <f t="shared" ca="1" si="15"/>
        <v>0</v>
      </c>
      <c r="L147" s="2039">
        <f t="shared" ca="1" si="15"/>
        <v>0</v>
      </c>
      <c r="M147" s="2039">
        <f t="shared" ca="1" si="15"/>
        <v>0</v>
      </c>
      <c r="N147" s="2039">
        <f t="shared" ca="1" si="15"/>
        <v>0</v>
      </c>
      <c r="O147" s="2039">
        <f t="shared" ca="1" si="15"/>
        <v>0</v>
      </c>
    </row>
    <row r="148" spans="2:15" hidden="1" outlineLevel="2">
      <c r="C148" s="731"/>
      <c r="D148" s="834"/>
      <c r="E148" s="862"/>
      <c r="F148" s="783"/>
      <c r="G148" s="783"/>
      <c r="H148" s="783"/>
      <c r="I148" s="783"/>
      <c r="J148" s="783"/>
      <c r="K148" s="783"/>
      <c r="L148" s="783"/>
      <c r="M148" s="783"/>
      <c r="N148" s="783"/>
      <c r="O148" s="783"/>
    </row>
    <row r="149" spans="2:15" hidden="1" outlineLevel="1">
      <c r="B149" s="731">
        <v>4</v>
      </c>
      <c r="C149" s="731" t="s">
        <v>2300</v>
      </c>
    </row>
    <row r="150" spans="2:15" hidden="1" outlineLevel="2">
      <c r="C150" s="731" t="s">
        <v>2294</v>
      </c>
      <c r="D150" s="834" t="str">
        <f>INDEX(Vectors[Description], MATCH($C150, Vectors[Code], 0))</f>
        <v>Gaseous waste</v>
      </c>
      <c r="E150" s="862" t="str">
        <f>Preferences.EnergyUnits</f>
        <v>TWh</v>
      </c>
      <c r="F150" s="783">
        <f ca="1">F$17</f>
        <v>18.283196551267896</v>
      </c>
      <c r="G150" s="783">
        <f t="shared" ref="G150:O150" ca="1" si="16">G$17</f>
        <v>18.397138633862209</v>
      </c>
      <c r="H150" s="783">
        <f t="shared" ca="1" si="16"/>
        <v>18.090473221244544</v>
      </c>
      <c r="I150" s="783">
        <f t="shared" ca="1" si="16"/>
        <v>17.426885093820637</v>
      </c>
      <c r="J150" s="783">
        <f t="shared" ca="1" si="16"/>
        <v>16.987273382270043</v>
      </c>
      <c r="K150" s="783">
        <f t="shared" ca="1" si="16"/>
        <v>16.949513130720788</v>
      </c>
      <c r="L150" s="783">
        <f t="shared" ca="1" si="16"/>
        <v>17.17420033669308</v>
      </c>
      <c r="M150" s="783">
        <f t="shared" ca="1" si="16"/>
        <v>17.575536884393671</v>
      </c>
      <c r="N150" s="783">
        <f t="shared" ca="1" si="16"/>
        <v>18.128502892916249</v>
      </c>
      <c r="O150" s="783">
        <f t="shared" ca="1" si="16"/>
        <v>18.806405883014129</v>
      </c>
    </row>
    <row r="151" spans="2:15" hidden="1" outlineLevel="2">
      <c r="B151" s="1555" t="s">
        <v>838</v>
      </c>
      <c r="C151" s="246" t="s">
        <v>1806</v>
      </c>
      <c r="D151" s="246" t="s">
        <v>1455</v>
      </c>
      <c r="E151" s="1555"/>
      <c r="F151" s="1757">
        <f>SUMIFS(INDEX($F$35:$I$49, , MATCH($E$7, $F$34:$I$34, 0)), $C$35:$C$49, $C$150, $E$35:$E$49, D151 )</f>
        <v>0</v>
      </c>
      <c r="G151" s="1757"/>
      <c r="H151" s="1757"/>
      <c r="I151" s="1757"/>
      <c r="J151" s="1757"/>
      <c r="K151" s="1757"/>
      <c r="L151" s="1757"/>
      <c r="M151" s="1757"/>
      <c r="N151" s="1757"/>
      <c r="O151" s="1757"/>
    </row>
    <row r="152" spans="2:15" hidden="1" outlineLevel="2">
      <c r="B152" s="1555" t="s">
        <v>838</v>
      </c>
      <c r="C152" s="246" t="s">
        <v>1545</v>
      </c>
      <c r="D152" s="246"/>
      <c r="E152" s="1555"/>
      <c r="F152" s="1757">
        <f>INDEX($K$65:$K$67, MATCH($C153, $C$65:$C$67, 0))</f>
        <v>0</v>
      </c>
      <c r="G152" s="1757"/>
      <c r="H152" s="1757"/>
      <c r="I152" s="1757"/>
      <c r="J152" s="1757"/>
      <c r="K152" s="1757"/>
      <c r="L152" s="1757"/>
      <c r="M152" s="1757"/>
      <c r="N152" s="1757"/>
      <c r="O152" s="1757"/>
    </row>
    <row r="153" spans="2:15" hidden="1" outlineLevel="2">
      <c r="B153" s="894" t="s">
        <v>840</v>
      </c>
      <c r="C153" s="24" t="s">
        <v>47</v>
      </c>
      <c r="D153" s="24" t="str">
        <f>INDEX(Vectors[Description], MATCH($C153, Vectors[Code], 0))</f>
        <v>Solid hydrocarbons</v>
      </c>
      <c r="E153" s="1566" t="str">
        <f>Preferences.EnergyUnits</f>
        <v>TWh</v>
      </c>
      <c r="F153" s="2039">
        <f ca="1">F$150*$F151*$F152</f>
        <v>0</v>
      </c>
      <c r="G153" s="2039">
        <f t="shared" ref="G153:O153" ca="1" si="17">G$150*$F151*$F152</f>
        <v>0</v>
      </c>
      <c r="H153" s="2039">
        <f t="shared" ca="1" si="17"/>
        <v>0</v>
      </c>
      <c r="I153" s="2039">
        <f t="shared" ca="1" si="17"/>
        <v>0</v>
      </c>
      <c r="J153" s="2039">
        <f t="shared" ca="1" si="17"/>
        <v>0</v>
      </c>
      <c r="K153" s="2039">
        <f t="shared" ca="1" si="17"/>
        <v>0</v>
      </c>
      <c r="L153" s="2039">
        <f t="shared" ca="1" si="17"/>
        <v>0</v>
      </c>
      <c r="M153" s="2039">
        <f t="shared" ca="1" si="17"/>
        <v>0</v>
      </c>
      <c r="N153" s="2039">
        <f t="shared" ca="1" si="17"/>
        <v>0</v>
      </c>
      <c r="O153" s="2039">
        <f t="shared" ca="1" si="17"/>
        <v>0</v>
      </c>
    </row>
    <row r="154" spans="2:15" hidden="1" outlineLevel="2">
      <c r="C154" s="807"/>
      <c r="E154" s="20"/>
      <c r="F154" s="783"/>
      <c r="G154" s="783"/>
      <c r="H154" s="783"/>
      <c r="I154" s="783"/>
      <c r="J154" s="783"/>
      <c r="K154" s="783"/>
      <c r="L154" s="783"/>
      <c r="M154" s="783"/>
      <c r="N154" s="783"/>
      <c r="O154" s="783"/>
    </row>
    <row r="155" spans="2:15" hidden="1" outlineLevel="2">
      <c r="B155" s="1555" t="s">
        <v>838</v>
      </c>
      <c r="C155" s="246" t="s">
        <v>1806</v>
      </c>
      <c r="D155" s="246" t="s">
        <v>230</v>
      </c>
      <c r="E155" s="1555"/>
      <c r="F155" s="1757">
        <f>SUMIFS(INDEX($F$35:$I$49, , MATCH($E$7, $F$34:$I$34, 0)), $C$35:$C$49, $C$150, $E$35:$E$49, D155 )</f>
        <v>0</v>
      </c>
      <c r="G155" s="1757"/>
      <c r="H155" s="1757"/>
      <c r="I155" s="1757"/>
      <c r="J155" s="1757"/>
      <c r="K155" s="1757"/>
      <c r="L155" s="1757"/>
      <c r="M155" s="1757"/>
      <c r="N155" s="1757"/>
      <c r="O155" s="1757"/>
    </row>
    <row r="156" spans="2:15" hidden="1" outlineLevel="2">
      <c r="B156" s="1555" t="s">
        <v>838</v>
      </c>
      <c r="C156" s="246" t="s">
        <v>1545</v>
      </c>
      <c r="D156" s="246"/>
      <c r="E156" s="1555"/>
      <c r="F156" s="1757">
        <f>INDEX($K$65:$K$67, MATCH($C157, $C$65:$C$67, 0))</f>
        <v>0</v>
      </c>
      <c r="G156" s="1757"/>
      <c r="H156" s="1757"/>
      <c r="I156" s="1757"/>
      <c r="J156" s="1757"/>
      <c r="K156" s="1757"/>
      <c r="L156" s="1757"/>
      <c r="M156" s="1757"/>
      <c r="N156" s="1757"/>
      <c r="O156" s="1757"/>
    </row>
    <row r="157" spans="2:15" hidden="1" outlineLevel="2">
      <c r="B157" s="894" t="s">
        <v>840</v>
      </c>
      <c r="C157" s="24" t="s">
        <v>49</v>
      </c>
      <c r="D157" s="24" t="str">
        <f>INDEX(Vectors[Description], MATCH($C157, Vectors[Code], 0))</f>
        <v>Liquid hydrocarbons</v>
      </c>
      <c r="E157" s="1566" t="str">
        <f>Preferences.EnergyUnits</f>
        <v>TWh</v>
      </c>
      <c r="F157" s="2039">
        <f ca="1">F$150*$F155*$F156</f>
        <v>0</v>
      </c>
      <c r="G157" s="2039">
        <f t="shared" ref="G157:O157" ca="1" si="18">G$150*$F155*$F156</f>
        <v>0</v>
      </c>
      <c r="H157" s="2039">
        <f t="shared" ca="1" si="18"/>
        <v>0</v>
      </c>
      <c r="I157" s="2039">
        <f t="shared" ca="1" si="18"/>
        <v>0</v>
      </c>
      <c r="J157" s="2039">
        <f t="shared" ca="1" si="18"/>
        <v>0</v>
      </c>
      <c r="K157" s="2039">
        <f t="shared" ca="1" si="18"/>
        <v>0</v>
      </c>
      <c r="L157" s="2039">
        <f t="shared" ca="1" si="18"/>
        <v>0</v>
      </c>
      <c r="M157" s="2039">
        <f t="shared" ca="1" si="18"/>
        <v>0</v>
      </c>
      <c r="N157" s="2039">
        <f t="shared" ca="1" si="18"/>
        <v>0</v>
      </c>
      <c r="O157" s="2039">
        <f t="shared" ca="1" si="18"/>
        <v>0</v>
      </c>
    </row>
    <row r="158" spans="2:15" hidden="1" outlineLevel="2">
      <c r="C158" s="731"/>
      <c r="E158" s="20"/>
      <c r="F158" s="783"/>
      <c r="G158" s="783"/>
      <c r="H158" s="783"/>
      <c r="I158" s="783"/>
      <c r="J158" s="783"/>
      <c r="K158" s="783"/>
      <c r="L158" s="783"/>
      <c r="M158" s="783"/>
      <c r="N158" s="783"/>
      <c r="O158" s="783"/>
    </row>
    <row r="159" spans="2:15" hidden="1" outlineLevel="2">
      <c r="B159" s="1555" t="s">
        <v>838</v>
      </c>
      <c r="C159" s="246" t="s">
        <v>1806</v>
      </c>
      <c r="D159" s="246" t="s">
        <v>14</v>
      </c>
      <c r="E159" s="1555"/>
      <c r="F159" s="1757">
        <f>SUMIFS(INDEX($F$35:$I$49, , MATCH($E$7, $F$34:$I$34, 0)), $C$35:$C$49, $C$150, $E$35:$E$49, D159 )</f>
        <v>1</v>
      </c>
      <c r="G159" s="1757"/>
      <c r="H159" s="1757"/>
      <c r="I159" s="1757"/>
      <c r="J159" s="1757"/>
      <c r="K159" s="1757"/>
      <c r="L159" s="1757"/>
      <c r="M159" s="1757"/>
      <c r="N159" s="1757"/>
      <c r="O159" s="1757"/>
    </row>
    <row r="160" spans="2:15" hidden="1" outlineLevel="2">
      <c r="B160" s="1555" t="s">
        <v>838</v>
      </c>
      <c r="C160" s="246" t="s">
        <v>1545</v>
      </c>
      <c r="D160" s="246"/>
      <c r="E160" s="1555"/>
      <c r="F160" s="1757">
        <f>INDEX($K$65:$K$67, MATCH($C161, $C$65:$C$67, 0))</f>
        <v>1</v>
      </c>
      <c r="G160" s="1757"/>
      <c r="H160" s="1757"/>
      <c r="I160" s="1757"/>
      <c r="J160" s="1757"/>
      <c r="K160" s="1757"/>
      <c r="L160" s="1757"/>
      <c r="M160" s="1757"/>
      <c r="N160" s="1757"/>
      <c r="O160" s="1757"/>
    </row>
    <row r="161" spans="2:15" hidden="1" outlineLevel="2">
      <c r="B161" s="894" t="s">
        <v>840</v>
      </c>
      <c r="C161" s="24" t="s">
        <v>50</v>
      </c>
      <c r="D161" s="24" t="str">
        <f>INDEX(Vectors[Description], MATCH($C161, Vectors[Code], 0))</f>
        <v>Gaseous hydrocarbons</v>
      </c>
      <c r="E161" s="1566" t="str">
        <f>Preferences.EnergyUnits</f>
        <v>TWh</v>
      </c>
      <c r="F161" s="2039">
        <f ca="1">F$150*$F159*$F160</f>
        <v>18.283196551267896</v>
      </c>
      <c r="G161" s="2039">
        <f t="shared" ref="G161:O161" ca="1" si="19">G$150*$F159*$F160</f>
        <v>18.397138633862209</v>
      </c>
      <c r="H161" s="2039">
        <f t="shared" ca="1" si="19"/>
        <v>18.090473221244544</v>
      </c>
      <c r="I161" s="2039">
        <f t="shared" ca="1" si="19"/>
        <v>17.426885093820637</v>
      </c>
      <c r="J161" s="2039">
        <f t="shared" ca="1" si="19"/>
        <v>16.987273382270043</v>
      </c>
      <c r="K161" s="2039">
        <f t="shared" ca="1" si="19"/>
        <v>16.949513130720788</v>
      </c>
      <c r="L161" s="2039">
        <f t="shared" ca="1" si="19"/>
        <v>17.17420033669308</v>
      </c>
      <c r="M161" s="2039">
        <f t="shared" ca="1" si="19"/>
        <v>17.575536884393671</v>
      </c>
      <c r="N161" s="2039">
        <f t="shared" ca="1" si="19"/>
        <v>18.128502892916249</v>
      </c>
      <c r="O161" s="2039">
        <f t="shared" ca="1" si="19"/>
        <v>18.806405883014129</v>
      </c>
    </row>
    <row r="162" spans="2:15" hidden="1" outlineLevel="2">
      <c r="C162" s="731"/>
      <c r="D162" s="834"/>
      <c r="E162" s="862"/>
      <c r="F162" s="783"/>
      <c r="G162" s="783"/>
      <c r="H162" s="783"/>
      <c r="I162" s="783"/>
      <c r="J162" s="783"/>
      <c r="K162" s="783"/>
      <c r="L162" s="783"/>
      <c r="M162" s="783"/>
      <c r="N162" s="783"/>
      <c r="O162" s="783"/>
    </row>
    <row r="163" spans="2:15" hidden="1" outlineLevel="2">
      <c r="C163" s="731"/>
      <c r="D163" s="834"/>
      <c r="E163" s="862"/>
      <c r="F163" s="783"/>
      <c r="G163" s="783"/>
      <c r="H163" s="783"/>
      <c r="I163" s="783"/>
      <c r="J163" s="783"/>
      <c r="K163" s="783"/>
      <c r="L163" s="783"/>
      <c r="M163" s="783"/>
      <c r="N163" s="783"/>
      <c r="O163" s="783"/>
    </row>
    <row r="164" spans="2:15" hidden="1" outlineLevel="1">
      <c r="B164" s="731">
        <v>5</v>
      </c>
      <c r="C164" s="731" t="s">
        <v>1670</v>
      </c>
      <c r="F164" s="27"/>
      <c r="G164" s="27"/>
      <c r="H164" s="27"/>
      <c r="I164" s="27"/>
      <c r="J164" s="27"/>
      <c r="K164" s="27"/>
      <c r="L164" s="27"/>
      <c r="M164" s="27"/>
      <c r="N164" s="27"/>
      <c r="O164" s="27"/>
    </row>
    <row r="165" spans="2:15" hidden="1" outlineLevel="2">
      <c r="C165" s="806"/>
      <c r="F165" s="27"/>
      <c r="G165" s="27"/>
      <c r="H165" s="27"/>
      <c r="I165" s="27"/>
      <c r="J165" s="27"/>
      <c r="K165" s="27"/>
      <c r="L165" s="27"/>
      <c r="M165" s="27"/>
      <c r="N165" s="27"/>
      <c r="O165" s="27"/>
    </row>
    <row r="166" spans="2:15" hidden="1" outlineLevel="2">
      <c r="C166" s="731" t="s">
        <v>1671</v>
      </c>
      <c r="F166" s="27"/>
      <c r="G166" s="27"/>
      <c r="H166" s="27"/>
      <c r="I166" s="27"/>
      <c r="J166" s="27"/>
      <c r="K166" s="27"/>
      <c r="L166" s="27"/>
      <c r="M166" s="27"/>
      <c r="N166" s="27"/>
      <c r="O166" s="27"/>
    </row>
    <row r="167" spans="2:15" hidden="1" outlineLevel="2">
      <c r="B167" s="20" t="s">
        <v>47</v>
      </c>
      <c r="C167" s="24" t="str">
        <f>INDEX(Vectors[Description], MATCH($B167, Vectors[Code], 0))</f>
        <v>Solid hydrocarbons</v>
      </c>
      <c r="E167" s="1566" t="str">
        <f>Preferences.EnergyUnits</f>
        <v>TWh</v>
      </c>
      <c r="F167" s="27">
        <f ca="1">F98+F112+F126+F139+F153</f>
        <v>11.536752901528432</v>
      </c>
      <c r="G167" s="27">
        <f t="shared" ref="G167:O167" ca="1" si="20">G98+G112+G126+G139+G153</f>
        <v>14.685841625597572</v>
      </c>
      <c r="H167" s="27">
        <f t="shared" ca="1" si="20"/>
        <v>23.455189282814036</v>
      </c>
      <c r="I167" s="27">
        <f t="shared" ca="1" si="20"/>
        <v>30.642959920571979</v>
      </c>
      <c r="J167" s="27">
        <f t="shared" ca="1" si="20"/>
        <v>35.964828336359659</v>
      </c>
      <c r="K167" s="27">
        <f t="shared" ca="1" si="20"/>
        <v>41.931417853480369</v>
      </c>
      <c r="L167" s="27">
        <f t="shared" ca="1" si="20"/>
        <v>48.685090116481987</v>
      </c>
      <c r="M167" s="27">
        <f t="shared" ca="1" si="20"/>
        <v>56.840903621191273</v>
      </c>
      <c r="N167" s="27">
        <f t="shared" ca="1" si="20"/>
        <v>62.344469166976666</v>
      </c>
      <c r="O167" s="27">
        <f t="shared" ca="1" si="20"/>
        <v>68.412201758977318</v>
      </c>
    </row>
    <row r="168" spans="2:15" hidden="1" outlineLevel="2">
      <c r="B168" s="20" t="s">
        <v>49</v>
      </c>
      <c r="C168" s="24" t="str">
        <f>INDEX(Vectors[Description], MATCH($B168, Vectors[Code], 0))</f>
        <v>Liquid hydrocarbons</v>
      </c>
      <c r="E168" s="1566" t="str">
        <f>Preferences.EnergyUnits</f>
        <v>TWh</v>
      </c>
      <c r="F168" s="27">
        <f ca="1">F102+F116+F130+F143+F155</f>
        <v>1.7846052222222224</v>
      </c>
      <c r="G168" s="27">
        <f t="shared" ref="G168:O168" ca="1" si="21">G102+G116+G130+G143+G155</f>
        <v>1.4254399251559526</v>
      </c>
      <c r="H168" s="27">
        <f t="shared" ca="1" si="21"/>
        <v>5.3293973874795597</v>
      </c>
      <c r="I168" s="27">
        <f t="shared" ca="1" si="21"/>
        <v>9.6010492289968941</v>
      </c>
      <c r="J168" s="27">
        <f t="shared" ca="1" si="21"/>
        <v>14.266730599417746</v>
      </c>
      <c r="K168" s="27">
        <f t="shared" ca="1" si="21"/>
        <v>19.354467992053877</v>
      </c>
      <c r="L168" s="27">
        <f t="shared" ca="1" si="21"/>
        <v>27.066871396228461</v>
      </c>
      <c r="M168" s="27">
        <f t="shared" ca="1" si="21"/>
        <v>35.48454230834939</v>
      </c>
      <c r="N168" s="27">
        <f t="shared" ca="1" si="21"/>
        <v>44.658181958744422</v>
      </c>
      <c r="O168" s="27">
        <f t="shared" ca="1" si="21"/>
        <v>54.64178418043025</v>
      </c>
    </row>
    <row r="169" spans="2:15" hidden="1" outlineLevel="2">
      <c r="B169" s="20" t="s">
        <v>50</v>
      </c>
      <c r="C169" s="24" t="str">
        <f>INDEX(Vectors[Description], MATCH($B169, Vectors[Code], 0))</f>
        <v>Gaseous hydrocarbons</v>
      </c>
      <c r="E169" s="1566" t="str">
        <f>Preferences.EnergyUnits</f>
        <v>TWh</v>
      </c>
      <c r="F169" s="27">
        <f ca="1">F106+F120+F134+F147+F161</f>
        <v>22.252034711267896</v>
      </c>
      <c r="G169" s="27">
        <f t="shared" ref="G169:O169" ca="1" si="22">G106+G120+G134+G147+G161</f>
        <v>25.565494227799501</v>
      </c>
      <c r="H169" s="27">
        <f t="shared" ca="1" si="22"/>
        <v>29.360239888575574</v>
      </c>
      <c r="I169" s="27">
        <f t="shared" ca="1" si="22"/>
        <v>44.08861269852833</v>
      </c>
      <c r="J169" s="27">
        <f t="shared" ca="1" si="22"/>
        <v>51.585235201673797</v>
      </c>
      <c r="K169" s="27">
        <f t="shared" ca="1" si="22"/>
        <v>52.404248095167496</v>
      </c>
      <c r="L169" s="27">
        <f t="shared" ca="1" si="22"/>
        <v>53.504168773020965</v>
      </c>
      <c r="M169" s="27">
        <f t="shared" ca="1" si="22"/>
        <v>54.805790530111032</v>
      </c>
      <c r="N169" s="27">
        <f t="shared" ca="1" si="22"/>
        <v>56.288544185014032</v>
      </c>
      <c r="O169" s="27">
        <f t="shared" ca="1" si="22"/>
        <v>57.927434726918001</v>
      </c>
    </row>
    <row r="170" spans="2:15" hidden="1" outlineLevel="2">
      <c r="C170" s="806"/>
      <c r="F170" s="27"/>
      <c r="G170" s="27"/>
      <c r="H170" s="27"/>
      <c r="I170" s="27"/>
      <c r="J170" s="27"/>
      <c r="K170" s="27"/>
      <c r="L170" s="27"/>
      <c r="M170" s="27"/>
      <c r="N170" s="27"/>
      <c r="O170" s="27"/>
    </row>
    <row r="171" spans="2:15" hidden="1" outlineLevel="2">
      <c r="C171" s="731" t="s">
        <v>1673</v>
      </c>
      <c r="F171" s="27"/>
      <c r="G171" s="27"/>
      <c r="H171" s="27"/>
      <c r="I171" s="27"/>
      <c r="J171" s="27"/>
      <c r="K171" s="27"/>
      <c r="L171" s="27"/>
      <c r="M171" s="27"/>
      <c r="N171" s="27"/>
      <c r="O171" s="27"/>
    </row>
    <row r="172" spans="2:15" hidden="1" outlineLevel="2">
      <c r="B172" s="20" t="s">
        <v>47</v>
      </c>
      <c r="C172" s="24" t="str">
        <f>INDEX(Vectors[Description], MATCH($B172, Vectors[Code], 0))</f>
        <v>Solid hydrocarbons</v>
      </c>
      <c r="E172" s="1566" t="str">
        <f>Preferences.EnergyUnits</f>
        <v>TWh</v>
      </c>
      <c r="F172" s="27">
        <f t="shared" ref="F172:O172" ca="1" si="23">MAX(MIN(F167, -F24),0)</f>
        <v>11.536752901528432</v>
      </c>
      <c r="G172" s="27">
        <f t="shared" ca="1" si="23"/>
        <v>14.685841625597572</v>
      </c>
      <c r="H172" s="27">
        <f t="shared" ca="1" si="23"/>
        <v>23.455189282814036</v>
      </c>
      <c r="I172" s="27">
        <f t="shared" ca="1" si="23"/>
        <v>30.642959920571979</v>
      </c>
      <c r="J172" s="27">
        <f t="shared" ca="1" si="23"/>
        <v>35.964828336359659</v>
      </c>
      <c r="K172" s="27">
        <f t="shared" ca="1" si="23"/>
        <v>41.931417853480369</v>
      </c>
      <c r="L172" s="27">
        <f t="shared" ca="1" si="23"/>
        <v>48.685090116481987</v>
      </c>
      <c r="M172" s="27">
        <f t="shared" ca="1" si="23"/>
        <v>56.840903621191273</v>
      </c>
      <c r="N172" s="27">
        <f t="shared" ca="1" si="23"/>
        <v>62.344469166976666</v>
      </c>
      <c r="O172" s="27">
        <f t="shared" ca="1" si="23"/>
        <v>68.412201758977318</v>
      </c>
    </row>
    <row r="173" spans="2:15" hidden="1" outlineLevel="2">
      <c r="B173" s="20" t="s">
        <v>49</v>
      </c>
      <c r="C173" s="24" t="str">
        <f>INDEX(Vectors[Description], MATCH($B173, Vectors[Code], 0))</f>
        <v>Liquid hydrocarbons</v>
      </c>
      <c r="E173" s="1566" t="str">
        <f>Preferences.EnergyUnits</f>
        <v>TWh</v>
      </c>
      <c r="F173" s="27">
        <f t="shared" ref="F173:O173" ca="1" si="24">MAX(MIN(F168, -F25),0)</f>
        <v>1.7846052222222224</v>
      </c>
      <c r="G173" s="27">
        <f t="shared" ca="1" si="24"/>
        <v>1.4254399251559526</v>
      </c>
      <c r="H173" s="27">
        <f t="shared" ca="1" si="24"/>
        <v>5.3293973874795597</v>
      </c>
      <c r="I173" s="27">
        <f t="shared" ca="1" si="24"/>
        <v>9.6010492289968941</v>
      </c>
      <c r="J173" s="27">
        <f t="shared" ca="1" si="24"/>
        <v>14.266730599417746</v>
      </c>
      <c r="K173" s="27">
        <f t="shared" ca="1" si="24"/>
        <v>19.354467992053877</v>
      </c>
      <c r="L173" s="27">
        <f t="shared" ca="1" si="24"/>
        <v>27.066871396228461</v>
      </c>
      <c r="M173" s="27">
        <f t="shared" ca="1" si="24"/>
        <v>35.48454230834939</v>
      </c>
      <c r="N173" s="27">
        <f t="shared" ca="1" si="24"/>
        <v>44.658181958744422</v>
      </c>
      <c r="O173" s="27">
        <f t="shared" ca="1" si="24"/>
        <v>54.64178418043025</v>
      </c>
    </row>
    <row r="174" spans="2:15" hidden="1" outlineLevel="2">
      <c r="B174" s="20" t="s">
        <v>50</v>
      </c>
      <c r="C174" s="24" t="str">
        <f>INDEX(Vectors[Description], MATCH($B174, Vectors[Code], 0))</f>
        <v>Gaseous hydrocarbons</v>
      </c>
      <c r="E174" s="1566" t="str">
        <f>Preferences.EnergyUnits</f>
        <v>TWh</v>
      </c>
      <c r="F174" s="27">
        <f t="shared" ref="F174:O174" ca="1" si="25">MAX(MIN(F169, -F26),0)</f>
        <v>22.252034711267896</v>
      </c>
      <c r="G174" s="27">
        <f t="shared" ca="1" si="25"/>
        <v>25.565494227799501</v>
      </c>
      <c r="H174" s="27">
        <f t="shared" ca="1" si="25"/>
        <v>29.360239888575574</v>
      </c>
      <c r="I174" s="27">
        <f t="shared" ca="1" si="25"/>
        <v>44.08861269852833</v>
      </c>
      <c r="J174" s="27">
        <f t="shared" ca="1" si="25"/>
        <v>51.585235201673797</v>
      </c>
      <c r="K174" s="27">
        <f t="shared" ca="1" si="25"/>
        <v>52.404248095167496</v>
      </c>
      <c r="L174" s="27">
        <f t="shared" ca="1" si="25"/>
        <v>53.504168773020965</v>
      </c>
      <c r="M174" s="27">
        <f t="shared" ca="1" si="25"/>
        <v>54.805790530111032</v>
      </c>
      <c r="N174" s="27">
        <f t="shared" ca="1" si="25"/>
        <v>56.288544185014032</v>
      </c>
      <c r="O174" s="27">
        <f t="shared" ca="1" si="25"/>
        <v>57.927434726918001</v>
      </c>
    </row>
    <row r="175" spans="2:15" hidden="1" outlineLevel="2">
      <c r="C175" s="806"/>
      <c r="F175" s="27"/>
      <c r="G175" s="27"/>
      <c r="H175" s="27"/>
      <c r="I175" s="27"/>
      <c r="J175" s="27"/>
      <c r="K175" s="27"/>
      <c r="L175" s="27"/>
      <c r="M175" s="27"/>
      <c r="N175" s="27"/>
      <c r="O175" s="27"/>
    </row>
    <row r="176" spans="2:15" hidden="1" outlineLevel="2">
      <c r="C176" s="806"/>
      <c r="F176" s="27"/>
      <c r="G176" s="27"/>
      <c r="H176" s="27"/>
      <c r="I176" s="27"/>
      <c r="J176" s="27"/>
      <c r="K176" s="27"/>
      <c r="L176" s="27"/>
      <c r="M176" s="27"/>
      <c r="N176" s="27"/>
      <c r="O176" s="27"/>
    </row>
    <row r="177" spans="1:16" ht="14.25" hidden="1" outlineLevel="1">
      <c r="B177" s="731">
        <v>6</v>
      </c>
      <c r="C177" s="731" t="s">
        <v>1674</v>
      </c>
      <c r="F177" s="783"/>
      <c r="G177" s="783"/>
      <c r="H177" s="783"/>
      <c r="I177" s="783"/>
      <c r="J177" s="783"/>
      <c r="K177" s="783"/>
      <c r="L177" s="783"/>
      <c r="M177" s="783"/>
      <c r="N177" s="783"/>
      <c r="O177" s="783"/>
    </row>
    <row r="178" spans="1:16" hidden="1" outlineLevel="2">
      <c r="B178" s="731"/>
      <c r="C178" s="731"/>
      <c r="F178" s="783"/>
      <c r="G178" s="783"/>
      <c r="H178" s="783"/>
      <c r="I178" s="783"/>
      <c r="J178" s="783"/>
      <c r="K178" s="783"/>
      <c r="L178" s="783"/>
      <c r="M178" s="783"/>
      <c r="N178" s="783"/>
      <c r="O178" s="783"/>
    </row>
    <row r="179" spans="1:16" ht="14.25" hidden="1" outlineLevel="2">
      <c r="B179" s="1566"/>
      <c r="C179" s="121" t="s">
        <v>1675</v>
      </c>
      <c r="E179" s="121" t="s">
        <v>1076</v>
      </c>
      <c r="F179" s="840">
        <f t="array" aca="1" ref="F179" ca="1">SUM(F$172:F$174*SUMIFS(EF[CO2], EF[Vector], $B$172:$B$174))</f>
        <v>8.0938455860996044</v>
      </c>
      <c r="G179" s="840">
        <f t="array" aca="1" ref="G179" ca="1">SUM(G$172:G$174*SUMIFS(EF[CO2], EF[Vector], $B$172:$B$174))</f>
        <v>9.5836501398881477</v>
      </c>
      <c r="H179" s="840">
        <f t="array" aca="1" ref="H179" ca="1">SUM(H$172:H$174*SUMIFS(EF[CO2], EF[Vector], $B$172:$B$174))</f>
        <v>13.958831785474516</v>
      </c>
      <c r="I179" s="840">
        <f t="array" aca="1" ref="I179" ca="1">SUM(I$172:I$174*SUMIFS(EF[CO2], EF[Vector], $B$172:$B$174))</f>
        <v>19.950598699314604</v>
      </c>
      <c r="J179" s="840">
        <f t="array" aca="1" ref="J179" ca="1">SUM(J$172:J$174*SUMIFS(EF[CO2], EF[Vector], $B$172:$B$174))</f>
        <v>24.135533054561186</v>
      </c>
      <c r="K179" s="840">
        <f t="array" aca="1" ref="K179" ca="1">SUM(K$172:K$174*SUMIFS(EF[CO2], EF[Vector], $B$172:$B$174))</f>
        <v>27.395875346396238</v>
      </c>
      <c r="L179" s="840">
        <f t="array" aca="1" ref="L179" ca="1">SUM(L$172:L$174*SUMIFS(EF[CO2], EF[Vector], $B$172:$B$174))</f>
        <v>31.606492659169419</v>
      </c>
      <c r="M179" s="840">
        <f t="array" aca="1" ref="M179" ca="1">SUM(M$172:M$174*SUMIFS(EF[CO2], EF[Vector], $B$172:$B$174))</f>
        <v>36.46239934995468</v>
      </c>
      <c r="N179" s="840">
        <f t="array" aca="1" ref="N179" ca="1">SUM(N$172:N$174*SUMIFS(EF[CO2], EF[Vector], $B$172:$B$174))</f>
        <v>40.723734123157499</v>
      </c>
      <c r="O179" s="840">
        <f t="array" aca="1" ref="O179" ca="1">SUM(O$172:O$174*SUMIFS(EF[CO2], EF[Vector], $B$172:$B$174))</f>
        <v>45.390052176625488</v>
      </c>
    </row>
    <row r="180" spans="1:16" hidden="1" outlineLevel="2">
      <c r="B180" s="1566"/>
      <c r="C180" s="24"/>
      <c r="F180" s="823"/>
      <c r="G180" s="823"/>
      <c r="H180" s="823"/>
      <c r="I180" s="823"/>
      <c r="J180" s="823"/>
      <c r="K180" s="823"/>
      <c r="L180" s="823"/>
      <c r="M180" s="823"/>
      <c r="N180" s="823"/>
      <c r="O180" s="823"/>
    </row>
    <row r="182" spans="1:16" ht="22.5" collapsed="1">
      <c r="A182" s="1171"/>
      <c r="B182" s="1231" t="s">
        <v>683</v>
      </c>
      <c r="C182" s="1183"/>
      <c r="D182" s="1183"/>
      <c r="E182" s="1183"/>
      <c r="F182" s="1183"/>
      <c r="G182" s="1183"/>
      <c r="H182" s="1183"/>
      <c r="I182" s="1183"/>
      <c r="J182" s="1183"/>
      <c r="K182" s="1183"/>
      <c r="L182" s="1183"/>
      <c r="M182" s="1183"/>
      <c r="N182" s="1183"/>
      <c r="O182" s="1183"/>
      <c r="P182" s="1185"/>
    </row>
    <row r="183" spans="1:16" hidden="1" outlineLevel="1">
      <c r="B183" s="1172"/>
      <c r="C183" s="1174"/>
      <c r="D183" s="1174"/>
      <c r="E183" s="1174"/>
      <c r="F183" s="1174"/>
      <c r="G183" s="1174"/>
      <c r="H183" s="1174"/>
      <c r="I183" s="1174"/>
      <c r="J183" s="1174"/>
      <c r="K183" s="1174"/>
      <c r="L183" s="1174"/>
      <c r="M183" s="1174"/>
      <c r="N183" s="1174"/>
      <c r="O183" s="1174"/>
      <c r="P183" s="1176"/>
    </row>
    <row r="184" spans="1:16" hidden="1" outlineLevel="1">
      <c r="B184" s="1172"/>
      <c r="C184" s="1186" t="s">
        <v>730</v>
      </c>
      <c r="D184" s="1174"/>
      <c r="E184" s="1175" t="str">
        <f>Preferences.EnergyUnits</f>
        <v>TWh</v>
      </c>
      <c r="F184" s="1174"/>
      <c r="G184" s="1175"/>
      <c r="H184" s="1174"/>
      <c r="I184" s="1174"/>
      <c r="J184" s="1174"/>
      <c r="K184" s="1174"/>
      <c r="L184" s="1174"/>
      <c r="M184" s="1174"/>
      <c r="N184" s="1174"/>
      <c r="O184" s="1174"/>
      <c r="P184" s="1176"/>
    </row>
    <row r="185" spans="1:16" ht="6" hidden="1" customHeight="1" outlineLevel="1">
      <c r="B185" s="1172"/>
      <c r="C185" s="1174"/>
      <c r="D185" s="1174"/>
      <c r="E185" s="1174"/>
      <c r="F185" s="1174"/>
      <c r="G185" s="1174"/>
      <c r="H185" s="1174"/>
      <c r="I185" s="1174"/>
      <c r="J185" s="1174"/>
      <c r="K185" s="1174"/>
      <c r="L185" s="1174"/>
      <c r="M185" s="1174"/>
      <c r="N185" s="1174"/>
      <c r="O185" s="1174"/>
      <c r="P185" s="1176"/>
    </row>
    <row r="186" spans="1:16" ht="15.75" hidden="1" outlineLevel="1">
      <c r="A186" s="3"/>
      <c r="B186" s="1177"/>
      <c r="C186" s="1188" t="s">
        <v>78</v>
      </c>
      <c r="D186" s="1188" t="s">
        <v>418</v>
      </c>
      <c r="E186" s="1188" t="s">
        <v>442</v>
      </c>
      <c r="F186" s="1188" t="s">
        <v>691</v>
      </c>
      <c r="G186" s="1188" t="s">
        <v>692</v>
      </c>
      <c r="H186" s="1189" t="s">
        <v>721</v>
      </c>
      <c r="I186" s="1189" t="s">
        <v>722</v>
      </c>
      <c r="J186" s="1189" t="s">
        <v>723</v>
      </c>
      <c r="K186" s="1189" t="s">
        <v>724</v>
      </c>
      <c r="L186" s="1189" t="s">
        <v>725</v>
      </c>
      <c r="M186" s="1189" t="s">
        <v>726</v>
      </c>
      <c r="N186" s="1189" t="s">
        <v>727</v>
      </c>
      <c r="O186" s="1189" t="s">
        <v>728</v>
      </c>
      <c r="P186" s="1176"/>
    </row>
    <row r="187" spans="1:16" ht="15.75" hidden="1" outlineLevel="1">
      <c r="A187" s="3"/>
      <c r="B187" s="1177"/>
      <c r="C187" s="765" t="s">
        <v>47</v>
      </c>
      <c r="D187" s="765" t="str">
        <f>INDEX(Vectors[Description], MATCH([Vector], Vectors[Code], 0))</f>
        <v>Solid hydrocarbons</v>
      </c>
      <c r="E187" s="765"/>
      <c r="F187" s="953">
        <f ca="1">F172</f>
        <v>11.536752901528432</v>
      </c>
      <c r="G187" s="953">
        <f t="shared" ref="G187:O187" ca="1" si="26">G172</f>
        <v>14.685841625597572</v>
      </c>
      <c r="H187" s="953">
        <f t="shared" ca="1" si="26"/>
        <v>23.455189282814036</v>
      </c>
      <c r="I187" s="953">
        <f t="shared" ca="1" si="26"/>
        <v>30.642959920571979</v>
      </c>
      <c r="J187" s="953">
        <f t="shared" ca="1" si="26"/>
        <v>35.964828336359659</v>
      </c>
      <c r="K187" s="953">
        <f t="shared" ca="1" si="26"/>
        <v>41.931417853480369</v>
      </c>
      <c r="L187" s="953">
        <f t="shared" ca="1" si="26"/>
        <v>48.685090116481987</v>
      </c>
      <c r="M187" s="953">
        <f t="shared" ca="1" si="26"/>
        <v>56.840903621191273</v>
      </c>
      <c r="N187" s="953">
        <f t="shared" ca="1" si="26"/>
        <v>62.344469166976666</v>
      </c>
      <c r="O187" s="953">
        <f t="shared" ca="1" si="26"/>
        <v>68.412201758977318</v>
      </c>
      <c r="P187" s="1176"/>
    </row>
    <row r="188" spans="1:16" ht="15.75" hidden="1" outlineLevel="1">
      <c r="A188" s="3"/>
      <c r="B188" s="1177"/>
      <c r="C188" s="765" t="s">
        <v>49</v>
      </c>
      <c r="D188" s="765" t="str">
        <f>INDEX(Vectors[Description], MATCH([Vector], Vectors[Code], 0))</f>
        <v>Liquid hydrocarbons</v>
      </c>
      <c r="E188" s="765"/>
      <c r="F188" s="953">
        <f ca="1">F173</f>
        <v>1.7846052222222224</v>
      </c>
      <c r="G188" s="953">
        <f t="shared" ref="G188:O188" ca="1" si="27">G173</f>
        <v>1.4254399251559526</v>
      </c>
      <c r="H188" s="953">
        <f t="shared" ca="1" si="27"/>
        <v>5.3293973874795597</v>
      </c>
      <c r="I188" s="953">
        <f t="shared" ca="1" si="27"/>
        <v>9.6010492289968941</v>
      </c>
      <c r="J188" s="953">
        <f t="shared" ca="1" si="27"/>
        <v>14.266730599417746</v>
      </c>
      <c r="K188" s="953">
        <f t="shared" ca="1" si="27"/>
        <v>19.354467992053877</v>
      </c>
      <c r="L188" s="953">
        <f t="shared" ca="1" si="27"/>
        <v>27.066871396228461</v>
      </c>
      <c r="M188" s="953">
        <f t="shared" ca="1" si="27"/>
        <v>35.48454230834939</v>
      </c>
      <c r="N188" s="953">
        <f t="shared" ca="1" si="27"/>
        <v>44.658181958744422</v>
      </c>
      <c r="O188" s="953">
        <f t="shared" ca="1" si="27"/>
        <v>54.64178418043025</v>
      </c>
      <c r="P188" s="1176"/>
    </row>
    <row r="189" spans="1:16" ht="15.75" hidden="1" outlineLevel="1">
      <c r="A189" s="3"/>
      <c r="B189" s="1177"/>
      <c r="C189" s="765" t="s">
        <v>50</v>
      </c>
      <c r="D189" s="765" t="str">
        <f>INDEX(Vectors[Description], MATCH([Vector], Vectors[Code], 0))</f>
        <v>Gaseous hydrocarbons</v>
      </c>
      <c r="E189" s="765"/>
      <c r="F189" s="953">
        <f ca="1">F174</f>
        <v>22.252034711267896</v>
      </c>
      <c r="G189" s="953">
        <f t="shared" ref="G189:O189" ca="1" si="28">G174</f>
        <v>25.565494227799501</v>
      </c>
      <c r="H189" s="953">
        <f t="shared" ca="1" si="28"/>
        <v>29.360239888575574</v>
      </c>
      <c r="I189" s="953">
        <f t="shared" ca="1" si="28"/>
        <v>44.08861269852833</v>
      </c>
      <c r="J189" s="953">
        <f t="shared" ca="1" si="28"/>
        <v>51.585235201673797</v>
      </c>
      <c r="K189" s="953">
        <f t="shared" ca="1" si="28"/>
        <v>52.404248095167496</v>
      </c>
      <c r="L189" s="953">
        <f t="shared" ca="1" si="28"/>
        <v>53.504168773020965</v>
      </c>
      <c r="M189" s="953">
        <f t="shared" ca="1" si="28"/>
        <v>54.805790530111032</v>
      </c>
      <c r="N189" s="953">
        <f t="shared" ca="1" si="28"/>
        <v>56.288544185014032</v>
      </c>
      <c r="O189" s="953">
        <f t="shared" ca="1" si="28"/>
        <v>57.927434726918001</v>
      </c>
      <c r="P189" s="1176"/>
    </row>
    <row r="190" spans="1:16" ht="15.75" hidden="1" outlineLevel="1">
      <c r="A190" s="3"/>
      <c r="B190" s="1177"/>
      <c r="C190" s="765" t="s">
        <v>755</v>
      </c>
      <c r="D190" s="765" t="str">
        <f>INDEX(Vectors[Description], MATCH([Vector], Vectors[Code], 0))</f>
        <v>Dry biomatter and waste</v>
      </c>
      <c r="E190" s="765"/>
      <c r="F190" s="953">
        <f ca="1">-F$15</f>
        <v>-12.81861433503159</v>
      </c>
      <c r="G190" s="953">
        <f t="shared" ref="G190:O190" ca="1" si="29">-G$15</f>
        <v>-16.317601806219525</v>
      </c>
      <c r="H190" s="953">
        <f t="shared" ca="1" si="29"/>
        <v>-26.061321425348929</v>
      </c>
      <c r="I190" s="953">
        <f t="shared" ca="1" si="29"/>
        <v>-34.047733245079975</v>
      </c>
      <c r="J190" s="953">
        <f t="shared" ca="1" si="29"/>
        <v>-39.960920373732954</v>
      </c>
      <c r="K190" s="953">
        <f t="shared" ca="1" si="29"/>
        <v>-46.590464281644856</v>
      </c>
      <c r="L190" s="953">
        <f t="shared" ca="1" si="29"/>
        <v>-54.094544573868873</v>
      </c>
      <c r="M190" s="953">
        <f t="shared" ca="1" si="29"/>
        <v>-63.156559579101412</v>
      </c>
      <c r="N190" s="953">
        <f t="shared" ca="1" si="29"/>
        <v>-69.271632407751852</v>
      </c>
      <c r="O190" s="953">
        <f t="shared" ca="1" si="29"/>
        <v>-76.013557509974802</v>
      </c>
      <c r="P190" s="1176"/>
    </row>
    <row r="191" spans="1:16" ht="15.75" hidden="1" outlineLevel="1">
      <c r="A191" s="3"/>
      <c r="B191" s="1177"/>
      <c r="C191" s="765" t="s">
        <v>929</v>
      </c>
      <c r="D191" s="765" t="str">
        <f>INDEX(Vectors[Description], MATCH([Vector], Vectors[Code], 0))</f>
        <v>Wet biomatter and waste</v>
      </c>
      <c r="E191" s="765"/>
      <c r="F191" s="953">
        <f t="shared" ref="F191:O191" ca="1" si="30">-F$16</f>
        <v>-4.9610477000000008</v>
      </c>
      <c r="G191" s="953">
        <f t="shared" ca="1" si="30"/>
        <v>-8.9604444924216153</v>
      </c>
      <c r="H191" s="953">
        <f t="shared" ca="1" si="30"/>
        <v>-14.087208334163787</v>
      </c>
      <c r="I191" s="953">
        <f t="shared" ca="1" si="30"/>
        <v>-33.327159505884616</v>
      </c>
      <c r="J191" s="953">
        <f t="shared" ca="1" si="30"/>
        <v>-43.247452274254698</v>
      </c>
      <c r="K191" s="953">
        <f t="shared" ca="1" si="30"/>
        <v>-44.318418705558379</v>
      </c>
      <c r="L191" s="953">
        <f t="shared" ca="1" si="30"/>
        <v>-45.412460545409857</v>
      </c>
      <c r="M191" s="953">
        <f t="shared" ca="1" si="30"/>
        <v>-46.537817057146697</v>
      </c>
      <c r="N191" s="953">
        <f t="shared" ca="1" si="30"/>
        <v>-47.700051615122234</v>
      </c>
      <c r="O191" s="953">
        <f t="shared" ca="1" si="30"/>
        <v>-48.901286054879833</v>
      </c>
      <c r="P191" s="1176"/>
    </row>
    <row r="192" spans="1:16" ht="15.75" hidden="1" outlineLevel="1">
      <c r="A192" s="3"/>
      <c r="B192" s="1177"/>
      <c r="C192" s="765" t="s">
        <v>2294</v>
      </c>
      <c r="D192" s="765" t="str">
        <f>INDEX(Vectors[Description], MATCH([Vector], Vectors[Code], 0))</f>
        <v>Gaseous waste</v>
      </c>
      <c r="E192" s="765"/>
      <c r="F192" s="953">
        <f ca="1">-F17</f>
        <v>-18.283196551267896</v>
      </c>
      <c r="G192" s="953">
        <f t="shared" ref="G192:O192" ca="1" si="31">-G17</f>
        <v>-18.397138633862209</v>
      </c>
      <c r="H192" s="953">
        <f t="shared" ca="1" si="31"/>
        <v>-18.090473221244544</v>
      </c>
      <c r="I192" s="953">
        <f t="shared" ca="1" si="31"/>
        <v>-17.426885093820637</v>
      </c>
      <c r="J192" s="953">
        <f t="shared" ca="1" si="31"/>
        <v>-16.987273382270043</v>
      </c>
      <c r="K192" s="953">
        <f t="shared" ca="1" si="31"/>
        <v>-16.949513130720788</v>
      </c>
      <c r="L192" s="953">
        <f t="shared" ca="1" si="31"/>
        <v>-17.17420033669308</v>
      </c>
      <c r="M192" s="953">
        <f t="shared" ca="1" si="31"/>
        <v>-17.575536884393671</v>
      </c>
      <c r="N192" s="953">
        <f t="shared" ca="1" si="31"/>
        <v>-18.128502892916249</v>
      </c>
      <c r="O192" s="953">
        <f t="shared" ca="1" si="31"/>
        <v>-18.806405883014129</v>
      </c>
      <c r="P192" s="1176"/>
    </row>
    <row r="193" spans="1:16" ht="15.75" hidden="1" outlineLevel="1">
      <c r="A193" s="3"/>
      <c r="B193" s="1177"/>
      <c r="C193" s="765" t="s">
        <v>1801</v>
      </c>
      <c r="D193" s="765" t="str">
        <f>INDEX(Vectors[Description], MATCH([Vector], Vectors[Code], 0))</f>
        <v>Energy crops (second generation)</v>
      </c>
      <c r="E193" s="765"/>
      <c r="F193" s="953">
        <f ca="1">-F$18</f>
        <v>-0.82222222222222219</v>
      </c>
      <c r="G193" s="953">
        <f t="shared" ref="G193:O193" ca="1" si="32">-G$18</f>
        <v>-1.6469469103055956</v>
      </c>
      <c r="H193" s="953">
        <f t="shared" ca="1" si="32"/>
        <v>-7.7206352827919442</v>
      </c>
      <c r="I193" s="953">
        <f t="shared" ca="1" si="32"/>
        <v>-14.367659141861198</v>
      </c>
      <c r="J193" s="953">
        <f t="shared" ca="1" si="32"/>
        <v>-21.62911347575881</v>
      </c>
      <c r="K193" s="953">
        <f t="shared" ca="1" si="32"/>
        <v>-29.548733569197832</v>
      </c>
      <c r="L193" s="953">
        <f t="shared" ca="1" si="32"/>
        <v>-41.568038881692388</v>
      </c>
      <c r="M193" s="953">
        <f t="shared" ca="1" si="32"/>
        <v>-54.687907950087279</v>
      </c>
      <c r="N193" s="953">
        <f t="shared" ca="1" si="32"/>
        <v>-68.987497373024652</v>
      </c>
      <c r="O193" s="953">
        <f t="shared" ca="1" si="32"/>
        <v>-84.551105543007012</v>
      </c>
      <c r="P193" s="1176"/>
    </row>
    <row r="194" spans="1:16" ht="15.75" hidden="1" outlineLevel="1">
      <c r="A194" s="3"/>
      <c r="B194" s="1177"/>
      <c r="C194" s="765" t="s">
        <v>2291</v>
      </c>
      <c r="D194" s="765" t="str">
        <f>INDEX(Vectors[Description], MATCH([Vector], Vectors[Code], 0))</f>
        <v>Energy crops (first generation)</v>
      </c>
      <c r="E194" s="765"/>
      <c r="F194" s="953">
        <f ca="1">-F$19</f>
        <v>-4.0593000000000004</v>
      </c>
      <c r="G194" s="953">
        <f t="shared" ref="G194:O194" ca="1" si="33">-G$19</f>
        <v>-1.1980448469689404</v>
      </c>
      <c r="H194" s="953">
        <f t="shared" ca="1" si="33"/>
        <v>-1.252228408041016</v>
      </c>
      <c r="I194" s="953">
        <f t="shared" ca="1" si="33"/>
        <v>-1.3088625103410589</v>
      </c>
      <c r="J194" s="953">
        <f t="shared" ca="1" si="33"/>
        <v>-1.3680579836519617</v>
      </c>
      <c r="K194" s="953">
        <f t="shared" ca="1" si="33"/>
        <v>-1.4299306702169821</v>
      </c>
      <c r="L194" s="953">
        <f t="shared" ca="1" si="33"/>
        <v>-1.4946016514365559</v>
      </c>
      <c r="M194" s="953">
        <f t="shared" ca="1" si="33"/>
        <v>-1.5621974848178559</v>
      </c>
      <c r="N194" s="953">
        <f t="shared" ca="1" si="33"/>
        <v>-1.6328504516407798</v>
      </c>
      <c r="O194" s="953">
        <f t="shared" ca="1" si="33"/>
        <v>-1.7066988158250447</v>
      </c>
      <c r="P194" s="1176"/>
    </row>
    <row r="195" spans="1:16" ht="15.75" hidden="1" outlineLevel="1">
      <c r="A195" s="3"/>
      <c r="B195" s="1177"/>
      <c r="C195" s="765" t="s">
        <v>34</v>
      </c>
      <c r="D195" s="765" t="str">
        <f>INDEX(Vectors[Description], MATCH([Vector], Vectors[Code], 0))</f>
        <v>Conversion losses</v>
      </c>
      <c r="E195" s="765"/>
      <c r="F195" s="953">
        <f ca="1">SUM(V.a.Inputs[2007])-SUM(F$172:F$174)</f>
        <v>5.3709879735031549</v>
      </c>
      <c r="G195" s="953">
        <f ca="1">SUM(V.a.Inputs[2010])-SUM(G$172:G$174)</f>
        <v>4.8434009112248617</v>
      </c>
      <c r="H195" s="953">
        <f ca="1">SUM(V.a.Inputs[2015])-SUM(H$172:H$174)</f>
        <v>9.0670401127210454</v>
      </c>
      <c r="I195" s="953">
        <f ca="1">SUM(V.a.Inputs[2020])-SUM(I$172:I$174)</f>
        <v>16.14567764889027</v>
      </c>
      <c r="J195" s="953">
        <f ca="1">SUM(V.a.Inputs[2025])-SUM(J$172:J$174)</f>
        <v>21.376023352217274</v>
      </c>
      <c r="K195" s="953">
        <f ca="1">SUM(V.a.Inputs[2030])-SUM(K$172:K$174)</f>
        <v>25.146926416637086</v>
      </c>
      <c r="L195" s="953">
        <f ca="1">SUM(V.a.Inputs[2035])-SUM(L$172:L$174)</f>
        <v>30.487715703369361</v>
      </c>
      <c r="M195" s="953">
        <f ca="1">SUM(V.a.Inputs[2040])-SUM(M$172:M$174)</f>
        <v>36.388782495895242</v>
      </c>
      <c r="N195" s="953">
        <f ca="1">SUM(V.a.Inputs[2045])-SUM(N$172:N$174)</f>
        <v>42.42933942972067</v>
      </c>
      <c r="O195" s="953">
        <f ca="1">SUM(V.a.Inputs[2050])-SUM(O$172:O$174)</f>
        <v>48.997633140375257</v>
      </c>
      <c r="P195" s="1176"/>
    </row>
    <row r="196" spans="1:16" ht="15.75" hidden="1" outlineLevel="1">
      <c r="A196" s="3"/>
      <c r="B196" s="1177"/>
      <c r="C196" s="765" t="s">
        <v>148</v>
      </c>
      <c r="D196" s="765"/>
      <c r="E196" s="765"/>
      <c r="F196" s="1459">
        <f>SUBTOTAL(109,[2007])</f>
        <v>0</v>
      </c>
      <c r="G196" s="1459">
        <f>SUBTOTAL(109,[2010])</f>
        <v>0</v>
      </c>
      <c r="H196" s="1459">
        <f>SUBTOTAL(109,[2015])</f>
        <v>0</v>
      </c>
      <c r="I196" s="1459">
        <f>SUBTOTAL(109,[2020])</f>
        <v>0</v>
      </c>
      <c r="J196" s="1459">
        <f>SUBTOTAL(109,[2025])</f>
        <v>0</v>
      </c>
      <c r="K196" s="1459">
        <f>SUBTOTAL(109,[2030])</f>
        <v>0</v>
      </c>
      <c r="L196" s="1459">
        <f>SUBTOTAL(109,[2035])</f>
        <v>0</v>
      </c>
      <c r="M196" s="1459">
        <f>SUBTOTAL(109,[2040])</f>
        <v>0</v>
      </c>
      <c r="N196" s="1459">
        <f>SUBTOTAL(109,[2045])</f>
        <v>0</v>
      </c>
      <c r="O196" s="1459">
        <f>SUBTOTAL(109,[2050])</f>
        <v>0</v>
      </c>
      <c r="P196" s="1176"/>
    </row>
    <row r="197" spans="1:16" ht="15.75" hidden="1" outlineLevel="1">
      <c r="A197" s="3"/>
      <c r="B197" s="1178"/>
      <c r="C197" s="1179"/>
      <c r="D197" s="1179"/>
      <c r="E197" s="1179"/>
      <c r="F197" s="1179"/>
      <c r="G197" s="1179"/>
      <c r="H197" s="1179"/>
      <c r="I197" s="1179"/>
      <c r="J197" s="1179"/>
      <c r="K197" s="1179"/>
      <c r="L197" s="1179"/>
      <c r="M197" s="1179"/>
      <c r="N197" s="1179"/>
      <c r="O197" s="1179"/>
      <c r="P197" s="1181"/>
    </row>
    <row r="199" spans="1:16" ht="22.5" collapsed="1">
      <c r="A199" s="1171"/>
      <c r="B199" s="1249" t="s">
        <v>902</v>
      </c>
      <c r="C199" s="1198"/>
      <c r="D199" s="1199"/>
      <c r="E199" s="1199"/>
      <c r="F199" s="1199"/>
      <c r="G199" s="1199"/>
      <c r="H199" s="1199"/>
      <c r="I199" s="1199"/>
      <c r="J199" s="1199"/>
      <c r="K199" s="1199"/>
      <c r="L199" s="1199"/>
      <c r="M199" s="1199"/>
      <c r="N199" s="1199"/>
      <c r="O199" s="1199"/>
      <c r="P199" s="1200"/>
    </row>
    <row r="200" spans="1:16" hidden="1" outlineLevel="1">
      <c r="B200" s="1207"/>
      <c r="C200" s="1208"/>
      <c r="D200" s="1208"/>
      <c r="E200" s="1208"/>
      <c r="F200" s="1208"/>
      <c r="G200" s="1208"/>
      <c r="H200" s="1208"/>
      <c r="I200" s="1208"/>
      <c r="J200" s="1208"/>
      <c r="K200" s="1208"/>
      <c r="L200" s="1208"/>
      <c r="M200" s="1208"/>
      <c r="N200" s="1208"/>
      <c r="O200" s="1208"/>
      <c r="P200" s="1209"/>
    </row>
    <row r="201" spans="1:16" ht="14.25" hidden="1" outlineLevel="1">
      <c r="B201" s="1210"/>
      <c r="C201" s="1201" t="s">
        <v>1073</v>
      </c>
      <c r="D201" s="1202"/>
      <c r="E201" s="1203"/>
      <c r="F201" s="1202"/>
      <c r="G201" s="1203"/>
      <c r="H201" s="1202"/>
      <c r="I201" s="1202"/>
      <c r="J201" s="1202"/>
      <c r="K201" s="1202"/>
      <c r="L201" s="1202"/>
      <c r="M201" s="1202"/>
      <c r="N201" s="1202"/>
      <c r="O201" s="1203" t="s">
        <v>1076</v>
      </c>
      <c r="P201" s="1211"/>
    </row>
    <row r="202" spans="1:16" ht="6.75" hidden="1" customHeight="1" outlineLevel="1">
      <c r="B202" s="1210"/>
      <c r="C202" s="1202"/>
      <c r="D202" s="1202"/>
      <c r="E202" s="1202"/>
      <c r="F202" s="1202"/>
      <c r="G202" s="1202"/>
      <c r="H202" s="1202"/>
      <c r="I202" s="1202"/>
      <c r="J202" s="1202"/>
      <c r="K202" s="1202"/>
      <c r="L202" s="1202"/>
      <c r="M202" s="1202"/>
      <c r="N202" s="1202"/>
      <c r="O202" s="1202"/>
      <c r="P202" s="1211"/>
    </row>
    <row r="203" spans="1:16" ht="15.75" hidden="1" outlineLevel="1">
      <c r="B203" s="1212"/>
      <c r="C203" s="1269" t="s">
        <v>1072</v>
      </c>
      <c r="D203" s="1269" t="s">
        <v>1042</v>
      </c>
      <c r="E203" s="1269" t="s">
        <v>442</v>
      </c>
      <c r="F203" s="1269" t="s">
        <v>691</v>
      </c>
      <c r="G203" s="1269" t="s">
        <v>692</v>
      </c>
      <c r="H203" s="1269" t="s">
        <v>721</v>
      </c>
      <c r="I203" s="1269" t="s">
        <v>722</v>
      </c>
      <c r="J203" s="1269" t="s">
        <v>723</v>
      </c>
      <c r="K203" s="1269" t="s">
        <v>724</v>
      </c>
      <c r="L203" s="1269" t="s">
        <v>725</v>
      </c>
      <c r="M203" s="1269" t="s">
        <v>726</v>
      </c>
      <c r="N203" s="1269" t="s">
        <v>727</v>
      </c>
      <c r="O203" s="1269" t="s">
        <v>728</v>
      </c>
      <c r="P203" s="1211"/>
    </row>
    <row r="204" spans="1:16" ht="15.75" hidden="1" outlineLevel="1">
      <c r="B204" s="1212"/>
      <c r="C204" s="1204" t="s">
        <v>1055</v>
      </c>
      <c r="D204" s="1267" t="s">
        <v>1051</v>
      </c>
      <c r="E204" s="1204" t="str">
        <f>INDEX(IPCC[Sector_description], MATCH([IPCC Sector], IPCC[Sector_code], 0))</f>
        <v>Bioenergy credit</v>
      </c>
      <c r="F204" s="1714">
        <f t="shared" ref="F204:O204" ca="1" si="34">-SUM(F$179:F$180)</f>
        <v>-8.0938455860996044</v>
      </c>
      <c r="G204" s="1714">
        <f t="shared" ca="1" si="34"/>
        <v>-9.5836501398881477</v>
      </c>
      <c r="H204" s="1714">
        <f t="shared" ca="1" si="34"/>
        <v>-13.958831785474516</v>
      </c>
      <c r="I204" s="1714">
        <f t="shared" ca="1" si="34"/>
        <v>-19.950598699314604</v>
      </c>
      <c r="J204" s="1714">
        <f t="shared" ca="1" si="34"/>
        <v>-24.135533054561186</v>
      </c>
      <c r="K204" s="1714">
        <f t="shared" ca="1" si="34"/>
        <v>-27.395875346396238</v>
      </c>
      <c r="L204" s="1714">
        <f t="shared" ca="1" si="34"/>
        <v>-31.606492659169419</v>
      </c>
      <c r="M204" s="1714">
        <f t="shared" ca="1" si="34"/>
        <v>-36.46239934995468</v>
      </c>
      <c r="N204" s="1714">
        <f t="shared" ca="1" si="34"/>
        <v>-40.723734123157499</v>
      </c>
      <c r="O204" s="1714">
        <f t="shared" ca="1" si="34"/>
        <v>-45.390052176625488</v>
      </c>
      <c r="P204" s="1211"/>
    </row>
    <row r="205" spans="1:16" ht="15.75" hidden="1" outlineLevel="1">
      <c r="B205" s="1212"/>
      <c r="C205" s="1206" t="s">
        <v>148</v>
      </c>
      <c r="D205" s="1279"/>
      <c r="E205" s="1206"/>
      <c r="F205" s="1278">
        <f>SUBTOTAL(109,[2007])</f>
        <v>0</v>
      </c>
      <c r="G205" s="1278">
        <f>SUBTOTAL(109,[2010])</f>
        <v>0</v>
      </c>
      <c r="H205" s="1278">
        <f>SUBTOTAL(109,[2015])</f>
        <v>0</v>
      </c>
      <c r="I205" s="1278">
        <f>SUBTOTAL(109,[2020])</f>
        <v>0</v>
      </c>
      <c r="J205" s="1278">
        <f>SUBTOTAL(109,[2025])</f>
        <v>0</v>
      </c>
      <c r="K205" s="1278">
        <f>SUBTOTAL(109,[2030])</f>
        <v>0</v>
      </c>
      <c r="L205" s="1278">
        <f>SUBTOTAL(109,[2035])</f>
        <v>0</v>
      </c>
      <c r="M205" s="1278">
        <f>SUBTOTAL(109,[2040])</f>
        <v>0</v>
      </c>
      <c r="N205" s="1278">
        <f>SUBTOTAL(109,[2045])</f>
        <v>0</v>
      </c>
      <c r="O205" s="1278">
        <f>SUBTOTAL(109,[2050])</f>
        <v>0</v>
      </c>
      <c r="P205" s="1211"/>
    </row>
    <row r="206" spans="1:16" hidden="1" outlineLevel="1">
      <c r="B206" s="1213"/>
      <c r="C206" s="1214"/>
      <c r="D206" s="1214"/>
      <c r="E206" s="1214"/>
      <c r="F206" s="1214"/>
      <c r="G206" s="1214"/>
      <c r="H206" s="1214"/>
      <c r="I206" s="1214"/>
      <c r="J206" s="1214"/>
      <c r="K206" s="1214"/>
      <c r="L206" s="1214"/>
      <c r="M206" s="1214"/>
      <c r="N206" s="1214"/>
      <c r="O206" s="1214"/>
      <c r="P206" s="1215"/>
    </row>
    <row r="207" spans="1:16" hidden="1" outlineLevel="1"/>
  </sheetData>
  <pageMargins left="0.7" right="0.7" top="0.75" bottom="0.75" header="0.3" footer="0.3"/>
  <pageSetup paperSize="9" orientation="portrait" r:id="rId1"/>
  <ignoredErrors>
    <ignoredError sqref="F24:F26 F15:O15 F18:O18 F19:O19 F16:O16 F17:O17" calculatedColumn="1"/>
  </ignoredErrors>
  <tableParts count="4">
    <tablePart r:id="rId2"/>
    <tablePart r:id="rId3"/>
    <tablePart r:id="rId4"/>
    <tablePart r:id="rId5"/>
  </tableParts>
</worksheet>
</file>

<file path=xl/worksheets/sheet28.xml><?xml version="1.0" encoding="utf-8"?>
<worksheet xmlns="http://schemas.openxmlformats.org/spreadsheetml/2006/main" xmlns:r="http://schemas.openxmlformats.org/officeDocument/2006/relationships">
  <sheetPr codeName="Sheet51">
    <tabColor theme="9"/>
    <outlinePr summaryBelow="0"/>
    <pageSetUpPr autoPageBreaks="0"/>
  </sheetPr>
  <dimension ref="A1:P76"/>
  <sheetViews>
    <sheetView showGridLines="0" zoomScale="80" zoomScaleNormal="80" workbookViewId="0">
      <pane ySplit="2" topLeftCell="A3" activePane="bottomLeft" state="frozen"/>
      <selection activeCell="F178" sqref="F178"/>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6" ht="21">
      <c r="A1" s="789" t="s">
        <v>671</v>
      </c>
      <c r="B1" s="789" t="str">
        <f>INDEX(Workstreams[Workstream], MATCH($A1, Workstreams[Code], 0))</f>
        <v>Bioenergy</v>
      </c>
      <c r="C1" s="789"/>
    </row>
    <row r="2" spans="1:16" s="743" customFormat="1" ht="19.5" customHeight="1">
      <c r="A2" s="10" t="s">
        <v>1695</v>
      </c>
      <c r="B2" s="10" t="str">
        <f>INDEX(Modules[Module], MATCH($A2, Modules[Code], 0))</f>
        <v>Bioenergy imports</v>
      </c>
      <c r="C2" s="10"/>
    </row>
    <row r="4" spans="1:16" ht="22.5" collapsed="1">
      <c r="A4" s="1171"/>
      <c r="B4" s="1231" t="s">
        <v>1357</v>
      </c>
      <c r="C4" s="1182"/>
      <c r="D4" s="1183"/>
      <c r="E4" s="1184"/>
      <c r="F4" s="1183"/>
      <c r="G4" s="1183"/>
      <c r="H4" s="1183"/>
      <c r="I4" s="1183"/>
      <c r="J4" s="1183"/>
      <c r="K4" s="1183"/>
      <c r="L4" s="1183"/>
      <c r="M4" s="1183"/>
      <c r="N4" s="1183"/>
      <c r="O4" s="1183"/>
      <c r="P4" s="1185"/>
    </row>
    <row r="5" spans="1:16" hidden="1" outlineLevel="1">
      <c r="B5" s="1172"/>
      <c r="C5" s="1173"/>
      <c r="D5" s="1174"/>
      <c r="E5" s="1175"/>
      <c r="F5" s="1174"/>
      <c r="G5" s="1174"/>
      <c r="H5" s="1174"/>
      <c r="I5" s="1174"/>
      <c r="J5" s="1174"/>
      <c r="K5" s="1174"/>
      <c r="L5" s="1174"/>
      <c r="M5" s="1174"/>
      <c r="N5" s="1174"/>
      <c r="O5" s="1174"/>
      <c r="P5" s="1176"/>
    </row>
    <row r="6" spans="1:16" ht="15.75" hidden="1" outlineLevel="1">
      <c r="B6" s="1177"/>
      <c r="C6" s="1174"/>
      <c r="D6" s="922" t="s">
        <v>830</v>
      </c>
      <c r="E6" s="922" t="s">
        <v>1352</v>
      </c>
      <c r="F6" s="1174"/>
      <c r="G6" s="1174"/>
      <c r="H6" s="1174"/>
      <c r="I6" s="1174"/>
      <c r="J6" s="1174"/>
      <c r="K6" s="1174"/>
      <c r="L6" s="1174"/>
      <c r="M6" s="1174"/>
      <c r="N6" s="1174"/>
      <c r="O6" s="1174"/>
      <c r="P6" s="1176"/>
    </row>
    <row r="7" spans="1:16" ht="15.75" hidden="1" outlineLevel="1">
      <c r="B7" s="1177"/>
      <c r="C7" s="1174"/>
      <c r="D7" s="950" t="s">
        <v>1457</v>
      </c>
      <c r="E7" s="950">
        <f>V.b.Scenario</f>
        <v>1</v>
      </c>
      <c r="F7" s="1174"/>
      <c r="G7" s="1174"/>
      <c r="H7" s="1174"/>
      <c r="I7" s="1174"/>
      <c r="J7" s="1174"/>
      <c r="K7" s="1174"/>
      <c r="L7" s="1174"/>
      <c r="M7" s="1174"/>
      <c r="N7" s="1174"/>
      <c r="O7" s="1174"/>
      <c r="P7" s="1176"/>
    </row>
    <row r="8" spans="1:16" ht="15.75" hidden="1" outlineLevel="1">
      <c r="B8" s="1178"/>
      <c r="C8" s="1179"/>
      <c r="D8" s="1179"/>
      <c r="E8" s="1179"/>
      <c r="F8" s="1180"/>
      <c r="G8" s="1180"/>
      <c r="H8" s="1180"/>
      <c r="I8" s="1180"/>
      <c r="J8" s="1180"/>
      <c r="K8" s="1180"/>
      <c r="L8" s="1180"/>
      <c r="M8" s="1180"/>
      <c r="N8" s="1180"/>
      <c r="O8" s="1180"/>
      <c r="P8" s="1181"/>
    </row>
    <row r="10" spans="1:16" ht="22.5" collapsed="1">
      <c r="A10" s="1171"/>
      <c r="B10" s="1231" t="s">
        <v>682</v>
      </c>
      <c r="C10" s="1183"/>
      <c r="D10" s="1183"/>
      <c r="E10" s="1183"/>
      <c r="F10" s="1183"/>
      <c r="G10" s="1183"/>
      <c r="H10" s="1183"/>
      <c r="I10" s="1183"/>
      <c r="J10" s="1183"/>
      <c r="K10" s="1183"/>
      <c r="L10" s="1183"/>
      <c r="M10" s="1183"/>
      <c r="N10" s="1183"/>
      <c r="O10" s="1183"/>
      <c r="P10" s="1185"/>
    </row>
    <row r="11" spans="1:16" hidden="1" outlineLevel="1">
      <c r="B11" s="1232"/>
      <c r="C11" s="1174"/>
      <c r="D11" s="1174"/>
      <c r="E11" s="1174"/>
      <c r="F11" s="1174"/>
      <c r="G11" s="1174"/>
      <c r="H11" s="1174"/>
      <c r="I11" s="1174"/>
      <c r="J11" s="1174"/>
      <c r="K11" s="1174"/>
      <c r="L11" s="1174"/>
      <c r="M11" s="1174"/>
      <c r="N11" s="1174"/>
      <c r="O11" s="1174"/>
      <c r="P11" s="1176"/>
    </row>
    <row r="12" spans="1:16" s="743" customFormat="1" ht="15.75" hidden="1" outlineLevel="1">
      <c r="A12" s="753"/>
      <c r="B12" s="1831"/>
      <c r="C12" s="1186" t="s">
        <v>1224</v>
      </c>
      <c r="D12" s="1174"/>
      <c r="E12" s="1175"/>
      <c r="F12" s="1174"/>
      <c r="G12" s="1174"/>
      <c r="H12" s="1174"/>
      <c r="I12" s="1174"/>
      <c r="J12" s="1174"/>
      <c r="K12" s="1174"/>
      <c r="L12" s="1174"/>
      <c r="M12" s="1174"/>
      <c r="N12" s="1174"/>
      <c r="O12" s="1175" t="str">
        <f>Preferences.EnergyUnits</f>
        <v>TWh</v>
      </c>
      <c r="P12" s="765"/>
    </row>
    <row r="13" spans="1:16" s="743" customFormat="1" ht="5.25" hidden="1" customHeight="1" outlineLevel="1">
      <c r="A13" s="753"/>
      <c r="B13" s="1831"/>
      <c r="C13" s="1173"/>
      <c r="D13" s="1174"/>
      <c r="E13" s="1175"/>
      <c r="F13" s="1174"/>
      <c r="G13" s="1174"/>
      <c r="H13" s="1174"/>
      <c r="I13" s="1174"/>
      <c r="J13" s="1174"/>
      <c r="K13" s="1174"/>
      <c r="L13" s="1174"/>
      <c r="M13" s="1174"/>
      <c r="N13" s="1174"/>
      <c r="O13" s="1174"/>
      <c r="P13" s="765"/>
    </row>
    <row r="14" spans="1:16" s="743" customFormat="1" ht="15.75" hidden="1" outlineLevel="1">
      <c r="A14" s="753"/>
      <c r="B14" s="1831"/>
      <c r="C14" s="1188" t="s">
        <v>78</v>
      </c>
      <c r="D14" s="1188" t="s">
        <v>418</v>
      </c>
      <c r="E14" s="1188" t="s">
        <v>442</v>
      </c>
      <c r="F14" s="1188" t="s">
        <v>691</v>
      </c>
      <c r="G14" s="1188" t="s">
        <v>692</v>
      </c>
      <c r="H14" s="1189" t="s">
        <v>721</v>
      </c>
      <c r="I14" s="1189" t="s">
        <v>722</v>
      </c>
      <c r="J14" s="1189" t="s">
        <v>723</v>
      </c>
      <c r="K14" s="1189" t="s">
        <v>724</v>
      </c>
      <c r="L14" s="1189" t="s">
        <v>725</v>
      </c>
      <c r="M14" s="1189" t="s">
        <v>726</v>
      </c>
      <c r="N14" s="1189" t="s">
        <v>727</v>
      </c>
      <c r="O14" s="1189" t="s">
        <v>728</v>
      </c>
      <c r="P14" s="765"/>
    </row>
    <row r="15" spans="1:16" s="743" customFormat="1" ht="15.75" hidden="1" outlineLevel="1">
      <c r="A15" s="753"/>
      <c r="B15" s="1831"/>
      <c r="C15" s="1188" t="s">
        <v>47</v>
      </c>
      <c r="D15" s="1188" t="str">
        <f>INDEX(Vectors[Description], MATCH([Vector], Vectors[Code], 0))</f>
        <v>Solid hydrocarbons</v>
      </c>
      <c r="E15" s="1188"/>
      <c r="F15" s="1266">
        <f ca="1">INDEX(INDIRECT("'"&amp;V.b.Inputs[#Headers]&amp;"'!Year.Matrix"), MATCH("Subtotal."&amp;$A$2, INDIRECT("'"&amp;V.b.Inputs[#Headers]&amp;"'!Year.Modules"), 0), MATCH([Vector], INDIRECT("'"&amp;V.b.Inputs[#Headers]&amp;"'!Year.Vectors"), 0))</f>
        <v>-431.32814685955935</v>
      </c>
      <c r="G15" s="1266">
        <f ca="1">INDEX(INDIRECT("'"&amp;V.b.Inputs[#Headers]&amp;"'!Year.Matrix"), MATCH("Subtotal."&amp;$A$2, INDIRECT("'"&amp;V.b.Inputs[#Headers]&amp;"'!Year.Modules"), 0), MATCH([Vector], INDIRECT("'"&amp;V.b.Inputs[#Headers]&amp;"'!Year.Vectors"), 0))</f>
        <v>-417.38678928038917</v>
      </c>
      <c r="H15" s="1266">
        <f ca="1">INDEX(INDIRECT("'"&amp;V.b.Inputs[#Headers]&amp;"'!Year.Matrix"), MATCH("Subtotal."&amp;$A$2, INDIRECT("'"&amp;V.b.Inputs[#Headers]&amp;"'!Year.Modules"), 0), MATCH([Vector], INDIRECT("'"&amp;V.b.Inputs[#Headers]&amp;"'!Year.Vectors"), 0))</f>
        <v>-298.43994341984927</v>
      </c>
      <c r="I15" s="1266">
        <f ca="1">INDEX(INDIRECT("'"&amp;V.b.Inputs[#Headers]&amp;"'!Year.Matrix"), MATCH("Subtotal."&amp;$A$2, INDIRECT("'"&amp;V.b.Inputs[#Headers]&amp;"'!Year.Modules"), 0), MATCH([Vector], INDIRECT("'"&amp;V.b.Inputs[#Headers]&amp;"'!Year.Vectors"), 0))</f>
        <v>-198.33006664616767</v>
      </c>
      <c r="J15" s="1266">
        <f ca="1">INDEX(INDIRECT("'"&amp;V.b.Inputs[#Headers]&amp;"'!Year.Matrix"), MATCH("Subtotal."&amp;$A$2, INDIRECT("'"&amp;V.b.Inputs[#Headers]&amp;"'!Year.Modules"), 0), MATCH([Vector], INDIRECT("'"&amp;V.b.Inputs[#Headers]&amp;"'!Year.Vectors"), 0))</f>
        <v>-77.711677896748654</v>
      </c>
      <c r="K15" s="1266">
        <f ca="1">INDEX(INDIRECT("'"&amp;V.b.Inputs[#Headers]&amp;"'!Year.Matrix"), MATCH("Subtotal."&amp;$A$2, INDIRECT("'"&amp;V.b.Inputs[#Headers]&amp;"'!Year.Modules"), 0), MATCH([Vector], INDIRECT("'"&amp;V.b.Inputs[#Headers]&amp;"'!Year.Vectors"), 0))</f>
        <v>-71.182777113791758</v>
      </c>
      <c r="L15" s="1266">
        <f ca="1">INDEX(INDIRECT("'"&amp;V.b.Inputs[#Headers]&amp;"'!Year.Matrix"), MATCH("Subtotal."&amp;$A$2, INDIRECT("'"&amp;V.b.Inputs[#Headers]&amp;"'!Year.Modules"), 0), MATCH([Vector], INDIRECT("'"&amp;V.b.Inputs[#Headers]&amp;"'!Year.Vectors"), 0))</f>
        <v>-64.090950797962407</v>
      </c>
      <c r="M15" s="1266">
        <f ca="1">INDEX(INDIRECT("'"&amp;V.b.Inputs[#Headers]&amp;"'!Year.Matrix"), MATCH("Subtotal."&amp;$A$2, INDIRECT("'"&amp;V.b.Inputs[#Headers]&amp;"'!Year.Modules"), 0), MATCH([Vector], INDIRECT("'"&amp;V.b.Inputs[#Headers]&amp;"'!Year.Vectors"), 0))</f>
        <v>-55.933737336579384</v>
      </c>
      <c r="N15" s="1266">
        <f ca="1">INDEX(INDIRECT("'"&amp;V.b.Inputs[#Headers]&amp;"'!Year.Matrix"), MATCH("Subtotal."&amp;$A$2, INDIRECT("'"&amp;V.b.Inputs[#Headers]&amp;"'!Year.Modules"), 0), MATCH([Vector], INDIRECT("'"&amp;V.b.Inputs[#Headers]&amp;"'!Year.Vectors"), 0))</f>
        <v>-50.709309002334408</v>
      </c>
      <c r="O15" s="1266">
        <f ca="1">INDEX(INDIRECT("'"&amp;V.b.Inputs[#Headers]&amp;"'!Year.Matrix"), MATCH("Subtotal."&amp;$A$2, INDIRECT("'"&amp;V.b.Inputs[#Headers]&amp;"'!Year.Modules"), 0), MATCH([Vector], INDIRECT("'"&amp;V.b.Inputs[#Headers]&amp;"'!Year.Vectors"), 0))</f>
        <v>-45.157744694729161</v>
      </c>
      <c r="P15" s="765"/>
    </row>
    <row r="16" spans="1:16" s="743" customFormat="1" ht="15.75" hidden="1" outlineLevel="1">
      <c r="A16" s="753"/>
      <c r="B16" s="1831"/>
      <c r="C16" s="1188" t="s">
        <v>49</v>
      </c>
      <c r="D16" s="1188" t="str">
        <f>INDEX(Vectors[Description], MATCH([Vector], Vectors[Code], 0))</f>
        <v>Liquid hydrocarbons</v>
      </c>
      <c r="E16" s="1188"/>
      <c r="F16" s="1266">
        <f ca="1">INDEX(INDIRECT("'"&amp;V.b.Inputs[#Headers]&amp;"'!Year.Matrix"), MATCH("Subtotal."&amp;$A$2, INDIRECT("'"&amp;V.b.Inputs[#Headers]&amp;"'!Year.Modules"), 0), MATCH([Vector], INDIRECT("'"&amp;V.b.Inputs[#Headers]&amp;"'!Year.Vectors"), 0))</f>
        <v>-878.22603398424076</v>
      </c>
      <c r="G16" s="1266">
        <f ca="1">INDEX(INDIRECT("'"&amp;V.b.Inputs[#Headers]&amp;"'!Year.Matrix"), MATCH("Subtotal."&amp;$A$2, INDIRECT("'"&amp;V.b.Inputs[#Headers]&amp;"'!Year.Modules"), 0), MATCH([Vector], INDIRECT("'"&amp;V.b.Inputs[#Headers]&amp;"'!Year.Vectors"), 0))</f>
        <v>-879.51871454930927</v>
      </c>
      <c r="H16" s="1266">
        <f ca="1">INDEX(INDIRECT("'"&amp;V.b.Inputs[#Headers]&amp;"'!Year.Matrix"), MATCH("Subtotal."&amp;$A$2, INDIRECT("'"&amp;V.b.Inputs[#Headers]&amp;"'!Year.Modules"), 0), MATCH([Vector], INDIRECT("'"&amp;V.b.Inputs[#Headers]&amp;"'!Year.Vectors"), 0))</f>
        <v>-861.22751886480933</v>
      </c>
      <c r="I16" s="1266">
        <f ca="1">INDEX(INDIRECT("'"&amp;V.b.Inputs[#Headers]&amp;"'!Year.Matrix"), MATCH("Subtotal."&amp;$A$2, INDIRECT("'"&amp;V.b.Inputs[#Headers]&amp;"'!Year.Modules"), 0), MATCH([Vector], INDIRECT("'"&amp;V.b.Inputs[#Headers]&amp;"'!Year.Vectors"), 0))</f>
        <v>-855.22014535591404</v>
      </c>
      <c r="J16" s="1266">
        <f ca="1">INDEX(INDIRECT("'"&amp;V.b.Inputs[#Headers]&amp;"'!Year.Matrix"), MATCH("Subtotal."&amp;$A$2, INDIRECT("'"&amp;V.b.Inputs[#Headers]&amp;"'!Year.Modules"), 0), MATCH([Vector], INDIRECT("'"&amp;V.b.Inputs[#Headers]&amp;"'!Year.Vectors"), 0))</f>
        <v>-826.8439429547501</v>
      </c>
      <c r="K16" s="1266">
        <f ca="1">INDEX(INDIRECT("'"&amp;V.b.Inputs[#Headers]&amp;"'!Year.Matrix"), MATCH("Subtotal."&amp;$A$2, INDIRECT("'"&amp;V.b.Inputs[#Headers]&amp;"'!Year.Modules"), 0), MATCH([Vector], INDIRECT("'"&amp;V.b.Inputs[#Headers]&amp;"'!Year.Vectors"), 0))</f>
        <v>-796.79050011145523</v>
      </c>
      <c r="L16" s="1266">
        <f ca="1">INDEX(INDIRECT("'"&amp;V.b.Inputs[#Headers]&amp;"'!Year.Matrix"), MATCH("Subtotal."&amp;$A$2, INDIRECT("'"&amp;V.b.Inputs[#Headers]&amp;"'!Year.Modules"), 0), MATCH([Vector], INDIRECT("'"&amp;V.b.Inputs[#Headers]&amp;"'!Year.Vectors"), 0))</f>
        <v>-794.9678521059667</v>
      </c>
      <c r="M16" s="1266">
        <f ca="1">INDEX(INDIRECT("'"&amp;V.b.Inputs[#Headers]&amp;"'!Year.Matrix"), MATCH("Subtotal."&amp;$A$2, INDIRECT("'"&amp;V.b.Inputs[#Headers]&amp;"'!Year.Modules"), 0), MATCH([Vector], INDIRECT("'"&amp;V.b.Inputs[#Headers]&amp;"'!Year.Vectors"), 0))</f>
        <v>-788.89897217567523</v>
      </c>
      <c r="N16" s="1266">
        <f ca="1">INDEX(INDIRECT("'"&amp;V.b.Inputs[#Headers]&amp;"'!Year.Matrix"), MATCH("Subtotal."&amp;$A$2, INDIRECT("'"&amp;V.b.Inputs[#Headers]&amp;"'!Year.Modules"), 0), MATCH([Vector], INDIRECT("'"&amp;V.b.Inputs[#Headers]&amp;"'!Year.Vectors"), 0))</f>
        <v>-786.47575395642593</v>
      </c>
      <c r="O16" s="1266">
        <f ca="1">INDEX(INDIRECT("'"&amp;V.b.Inputs[#Headers]&amp;"'!Year.Matrix"), MATCH("Subtotal."&amp;$A$2, INDIRECT("'"&amp;V.b.Inputs[#Headers]&amp;"'!Year.Modules"), 0), MATCH([Vector], INDIRECT("'"&amp;V.b.Inputs[#Headers]&amp;"'!Year.Vectors"), 0))</f>
        <v>-786.05031450159174</v>
      </c>
      <c r="P16" s="765"/>
    </row>
    <row r="17" spans="1:16" s="743" customFormat="1" ht="15.75" hidden="1" outlineLevel="1">
      <c r="A17" s="753"/>
      <c r="B17" s="1831"/>
      <c r="C17" s="765"/>
      <c r="D17" s="765"/>
      <c r="E17" s="765"/>
      <c r="F17" s="953"/>
      <c r="G17" s="953"/>
      <c r="H17" s="953"/>
      <c r="I17" s="953"/>
      <c r="J17" s="953"/>
      <c r="K17" s="953"/>
      <c r="L17" s="953"/>
      <c r="M17" s="953"/>
      <c r="N17" s="953"/>
      <c r="O17" s="953"/>
      <c r="P17" s="765"/>
    </row>
    <row r="18" spans="1:16">
      <c r="B18" s="1235"/>
    </row>
    <row r="19" spans="1:16" s="743" customFormat="1" ht="22.5" collapsed="1">
      <c r="A19" s="1170"/>
      <c r="B19" s="1236" t="s">
        <v>1354</v>
      </c>
      <c r="C19" s="1167"/>
      <c r="D19" s="1167"/>
      <c r="E19" s="1167"/>
      <c r="F19" s="1167"/>
      <c r="G19" s="1167"/>
      <c r="H19" s="1167"/>
      <c r="I19" s="1167"/>
      <c r="J19" s="1167"/>
      <c r="K19" s="1167"/>
      <c r="L19" s="1167"/>
      <c r="M19" s="1167"/>
      <c r="N19" s="1167"/>
      <c r="O19" s="1167"/>
      <c r="P19" s="1168"/>
    </row>
    <row r="20" spans="1:16" hidden="1" outlineLevel="1">
      <c r="B20" s="1157"/>
      <c r="C20" s="864"/>
      <c r="D20" s="864"/>
      <c r="E20" s="864"/>
      <c r="F20" s="864"/>
      <c r="G20" s="864"/>
      <c r="H20" s="864"/>
      <c r="I20" s="864"/>
      <c r="J20" s="864"/>
      <c r="K20" s="864"/>
      <c r="L20" s="864"/>
      <c r="M20" s="864"/>
      <c r="N20" s="864"/>
      <c r="O20" s="864"/>
      <c r="P20" s="1158"/>
    </row>
    <row r="21" spans="1:16" hidden="1" outlineLevel="1">
      <c r="B21" s="1157"/>
      <c r="C21" s="866" t="s">
        <v>1699</v>
      </c>
      <c r="D21" s="864"/>
      <c r="E21" s="867"/>
      <c r="F21" s="864"/>
      <c r="G21" s="864"/>
      <c r="H21" s="864"/>
      <c r="I21" s="864"/>
      <c r="J21" s="864"/>
      <c r="K21" s="864"/>
      <c r="L21" s="864"/>
      <c r="M21" s="864"/>
      <c r="N21" s="864"/>
      <c r="O21" s="867" t="str">
        <f>Preferences.EnergyUnits</f>
        <v>TWh</v>
      </c>
      <c r="P21" s="1158"/>
    </row>
    <row r="22" spans="1:16" ht="6" hidden="1" customHeight="1" outlineLevel="1">
      <c r="B22" s="1157"/>
      <c r="C22" s="864"/>
      <c r="D22" s="864"/>
      <c r="E22" s="864"/>
      <c r="F22" s="864"/>
      <c r="G22" s="864"/>
      <c r="H22" s="864"/>
      <c r="I22" s="864"/>
      <c r="J22" s="864"/>
      <c r="K22" s="864"/>
      <c r="L22" s="864"/>
      <c r="M22" s="864"/>
      <c r="N22" s="864"/>
      <c r="O22" s="864"/>
      <c r="P22" s="1158"/>
    </row>
    <row r="23" spans="1:16" ht="15.75" hidden="1" outlineLevel="1">
      <c r="B23" s="1159"/>
      <c r="C23" s="766" t="s">
        <v>1352</v>
      </c>
      <c r="D23" s="766" t="s">
        <v>79</v>
      </c>
      <c r="E23" s="766" t="s">
        <v>442</v>
      </c>
      <c r="F23" s="923">
        <v>2007</v>
      </c>
      <c r="G23" s="924">
        <v>2010</v>
      </c>
      <c r="H23" s="923">
        <v>2015</v>
      </c>
      <c r="I23" s="923">
        <v>2020</v>
      </c>
      <c r="J23" s="923">
        <v>2025</v>
      </c>
      <c r="K23" s="923">
        <v>2030</v>
      </c>
      <c r="L23" s="923">
        <v>2035</v>
      </c>
      <c r="M23" s="923">
        <v>2040</v>
      </c>
      <c r="N23" s="923">
        <v>2045</v>
      </c>
      <c r="O23" s="923">
        <v>2050</v>
      </c>
      <c r="P23" s="1158"/>
    </row>
    <row r="24" spans="1:16" s="743" customFormat="1" ht="15.75" hidden="1" outlineLevel="1">
      <c r="B24" s="1161"/>
      <c r="C24" s="831">
        <v>1</v>
      </c>
      <c r="D24" s="832"/>
      <c r="E24" s="833"/>
      <c r="F24" s="847">
        <f>378*Unit.ktoe</f>
        <v>4.3961399999999999</v>
      </c>
      <c r="G24" s="1805">
        <f>$F24+($O24-$F24)/($O$23-$F$23)*(G$23-$F$23)</f>
        <v>4.089432558139535</v>
      </c>
      <c r="H24" s="1806">
        <f t="shared" ref="H24:N27" si="0">$F24+($O24-$F24)/($O$23-$F$23)*(H$23-$F$23)</f>
        <v>3.5782534883720931</v>
      </c>
      <c r="I24" s="1806">
        <f t="shared" si="0"/>
        <v>3.0670744186046512</v>
      </c>
      <c r="J24" s="1806">
        <f t="shared" si="0"/>
        <v>2.5558953488372094</v>
      </c>
      <c r="K24" s="1806">
        <f t="shared" si="0"/>
        <v>2.0447162790697675</v>
      </c>
      <c r="L24" s="1806">
        <f t="shared" si="0"/>
        <v>1.5335372093023256</v>
      </c>
      <c r="M24" s="1806">
        <f t="shared" si="0"/>
        <v>1.0223581395348837</v>
      </c>
      <c r="N24" s="1806">
        <f t="shared" si="0"/>
        <v>0.51117906976744187</v>
      </c>
      <c r="O24" s="540">
        <v>0</v>
      </c>
      <c r="P24" s="1162"/>
    </row>
    <row r="25" spans="1:16" ht="15.75" hidden="1" outlineLevel="1">
      <c r="B25" s="1159"/>
      <c r="C25" s="831">
        <v>2</v>
      </c>
      <c r="D25" s="832"/>
      <c r="E25" s="832"/>
      <c r="F25" s="847">
        <f>378*Unit.ktoe</f>
        <v>4.3961399999999999</v>
      </c>
      <c r="G25" s="1807">
        <f>$F25+($O25-$F25)/($O$23-$F$23)*(G$23-$F$23)</f>
        <v>6.531293023255814</v>
      </c>
      <c r="H25" s="1808">
        <f t="shared" si="0"/>
        <v>10.089881395348836</v>
      </c>
      <c r="I25" s="1808">
        <f t="shared" si="0"/>
        <v>13.64846976744186</v>
      </c>
      <c r="J25" s="1808">
        <f t="shared" si="0"/>
        <v>17.207058139534883</v>
      </c>
      <c r="K25" s="1808">
        <f t="shared" si="0"/>
        <v>20.765646511627907</v>
      </c>
      <c r="L25" s="1808">
        <f t="shared" si="0"/>
        <v>24.32423488372093</v>
      </c>
      <c r="M25" s="1808">
        <f t="shared" si="0"/>
        <v>27.882823255813953</v>
      </c>
      <c r="N25" s="1808">
        <f t="shared" si="0"/>
        <v>31.441411627906977</v>
      </c>
      <c r="O25" s="1835">
        <f>O26/2</f>
        <v>35</v>
      </c>
      <c r="P25" s="1158"/>
    </row>
    <row r="26" spans="1:16" ht="15.75" hidden="1" outlineLevel="1">
      <c r="B26" s="1159"/>
      <c r="C26" s="831">
        <v>3</v>
      </c>
      <c r="D26" s="832"/>
      <c r="E26" s="832"/>
      <c r="F26" s="847">
        <f>378*Unit.ktoe</f>
        <v>4.3961399999999999</v>
      </c>
      <c r="G26" s="1807">
        <f>$F26+($O26-$F26)/($O$23-$F$23)*(G$23-$F$23)</f>
        <v>8.9731534883720929</v>
      </c>
      <c r="H26" s="1808">
        <f t="shared" si="0"/>
        <v>16.601509302325582</v>
      </c>
      <c r="I26" s="1808">
        <f t="shared" si="0"/>
        <v>24.229865116279068</v>
      </c>
      <c r="J26" s="1808">
        <f t="shared" si="0"/>
        <v>31.858220930232555</v>
      </c>
      <c r="K26" s="1808">
        <f t="shared" si="0"/>
        <v>39.486576744186046</v>
      </c>
      <c r="L26" s="1808">
        <f t="shared" si="0"/>
        <v>47.114932558139536</v>
      </c>
      <c r="M26" s="1808">
        <f t="shared" si="0"/>
        <v>54.743288372093026</v>
      </c>
      <c r="N26" s="1808">
        <f t="shared" si="0"/>
        <v>62.37164418604651</v>
      </c>
      <c r="O26" s="1835">
        <f>70*Unit.TWh</f>
        <v>70</v>
      </c>
      <c r="P26" s="1158"/>
    </row>
    <row r="27" spans="1:16" ht="15.75" hidden="1" outlineLevel="1">
      <c r="B27" s="1159"/>
      <c r="C27" s="769">
        <v>4</v>
      </c>
      <c r="D27" s="770"/>
      <c r="E27" s="770"/>
      <c r="F27" s="782">
        <f>378*Unit.ktoe</f>
        <v>4.3961399999999999</v>
      </c>
      <c r="G27" s="1809">
        <f>$F27+($O27-$F27)/($O$23-$F$23)*(G$23-$F$23)</f>
        <v>13.856874418604651</v>
      </c>
      <c r="H27" s="1810">
        <f t="shared" si="0"/>
        <v>29.624765116279068</v>
      </c>
      <c r="I27" s="1810">
        <f t="shared" si="0"/>
        <v>45.392655813953489</v>
      </c>
      <c r="J27" s="1810">
        <f t="shared" si="0"/>
        <v>61.160546511627906</v>
      </c>
      <c r="K27" s="1810">
        <f t="shared" si="0"/>
        <v>76.928437209302331</v>
      </c>
      <c r="L27" s="1810">
        <f t="shared" si="0"/>
        <v>92.696327906976748</v>
      </c>
      <c r="M27" s="1810">
        <f t="shared" si="0"/>
        <v>108.46421860465117</v>
      </c>
      <c r="N27" s="1810">
        <f t="shared" si="0"/>
        <v>124.23210930232558</v>
      </c>
      <c r="O27" s="1837">
        <f>2*O26</f>
        <v>140</v>
      </c>
      <c r="P27" s="1158"/>
    </row>
    <row r="28" spans="1:16" ht="15.75" hidden="1" outlineLevel="1">
      <c r="B28" s="1159"/>
      <c r="C28" s="871"/>
      <c r="D28" s="871"/>
      <c r="E28" s="871"/>
      <c r="F28" s="931"/>
      <c r="G28" s="931"/>
      <c r="H28" s="931"/>
      <c r="I28" s="931"/>
      <c r="J28" s="931"/>
      <c r="K28" s="931"/>
      <c r="L28" s="931"/>
      <c r="M28" s="931"/>
      <c r="N28" s="931"/>
      <c r="O28" s="931"/>
      <c r="P28" s="1158"/>
    </row>
    <row r="29" spans="1:16" ht="15.75" hidden="1" outlineLevel="1">
      <c r="B29" s="1159"/>
      <c r="C29" s="866" t="s">
        <v>1700</v>
      </c>
      <c r="D29" s="864"/>
      <c r="E29" s="867"/>
      <c r="F29" s="864"/>
      <c r="G29" s="864"/>
      <c r="H29" s="864"/>
      <c r="I29" s="864"/>
      <c r="J29" s="864"/>
      <c r="K29" s="864"/>
      <c r="L29" s="864"/>
      <c r="M29" s="864"/>
      <c r="N29" s="864"/>
      <c r="O29" s="867" t="str">
        <f>Preferences.EnergyUnits</f>
        <v>TWh</v>
      </c>
      <c r="P29" s="1158"/>
    </row>
    <row r="30" spans="1:16" ht="4.5" hidden="1" customHeight="1" outlineLevel="1">
      <c r="B30" s="1159"/>
      <c r="C30" s="864"/>
      <c r="D30" s="864"/>
      <c r="E30" s="864"/>
      <c r="F30" s="864"/>
      <c r="G30" s="864"/>
      <c r="H30" s="864"/>
      <c r="I30" s="864"/>
      <c r="J30" s="864"/>
      <c r="K30" s="864"/>
      <c r="L30" s="864"/>
      <c r="M30" s="864"/>
      <c r="N30" s="864"/>
      <c r="O30" s="864"/>
      <c r="P30" s="1158"/>
    </row>
    <row r="31" spans="1:16" ht="15.75" hidden="1" outlineLevel="1">
      <c r="B31" s="1159"/>
      <c r="C31" s="766" t="s">
        <v>1352</v>
      </c>
      <c r="D31" s="766" t="s">
        <v>79</v>
      </c>
      <c r="E31" s="766" t="s">
        <v>442</v>
      </c>
      <c r="F31" s="923">
        <v>2007</v>
      </c>
      <c r="G31" s="924">
        <v>2010</v>
      </c>
      <c r="H31" s="923">
        <v>2015</v>
      </c>
      <c r="I31" s="923">
        <v>2020</v>
      </c>
      <c r="J31" s="923">
        <v>2025</v>
      </c>
      <c r="K31" s="923">
        <v>2030</v>
      </c>
      <c r="L31" s="923">
        <v>2035</v>
      </c>
      <c r="M31" s="923">
        <v>2040</v>
      </c>
      <c r="N31" s="923">
        <v>2045</v>
      </c>
      <c r="O31" s="923">
        <v>2050</v>
      </c>
      <c r="P31" s="1158"/>
    </row>
    <row r="32" spans="1:16" ht="15.75" hidden="1" outlineLevel="1">
      <c r="B32" s="1159"/>
      <c r="C32" s="831">
        <v>1</v>
      </c>
      <c r="D32" s="832"/>
      <c r="E32" s="833"/>
      <c r="F32" s="847">
        <f>-34*Unit.ktoe</f>
        <v>-0.39541999999999999</v>
      </c>
      <c r="G32" s="1805">
        <f>$F32+($O32-$F32)/($O$23-$F$23)*(G$23-$F$23)</f>
        <v>-0.36783255813953486</v>
      </c>
      <c r="H32" s="1806">
        <f t="shared" ref="H32:N35" si="1">$F32+($O32-$F32)/($O$23-$F$23)*(H$23-$F$23)</f>
        <v>-0.32185348837209304</v>
      </c>
      <c r="I32" s="1806">
        <f t="shared" si="1"/>
        <v>-0.27587441860465117</v>
      </c>
      <c r="J32" s="1806">
        <f t="shared" si="1"/>
        <v>-0.2298953488372093</v>
      </c>
      <c r="K32" s="1806">
        <f t="shared" si="1"/>
        <v>-0.18391627906976743</v>
      </c>
      <c r="L32" s="1806">
        <f t="shared" si="1"/>
        <v>-0.13793720930232556</v>
      </c>
      <c r="M32" s="1806">
        <f t="shared" si="1"/>
        <v>-9.1958139534883687E-2</v>
      </c>
      <c r="N32" s="1806">
        <f t="shared" si="1"/>
        <v>-4.5979069767441871E-2</v>
      </c>
      <c r="O32" s="540">
        <v>0</v>
      </c>
      <c r="P32" s="1158"/>
    </row>
    <row r="33" spans="2:16" ht="15.75" hidden="1" outlineLevel="1">
      <c r="B33" s="1159"/>
      <c r="C33" s="831">
        <v>2</v>
      </c>
      <c r="D33" s="832"/>
      <c r="E33" s="832"/>
      <c r="F33" s="847">
        <f>-34*Unit.ktoe</f>
        <v>-0.39541999999999999</v>
      </c>
      <c r="G33" s="1807">
        <f>$F33+($O33-$F33)/($O$23-$F$23)*(G$23-$F$23)</f>
        <v>2.0740279069767444</v>
      </c>
      <c r="H33" s="1808">
        <f t="shared" si="1"/>
        <v>6.1897744186046522</v>
      </c>
      <c r="I33" s="1808">
        <f t="shared" si="1"/>
        <v>10.305520930232559</v>
      </c>
      <c r="J33" s="1808">
        <f t="shared" si="1"/>
        <v>14.421267441860467</v>
      </c>
      <c r="K33" s="1808">
        <f t="shared" si="1"/>
        <v>18.537013953488373</v>
      </c>
      <c r="L33" s="1808">
        <f t="shared" si="1"/>
        <v>22.65276046511628</v>
      </c>
      <c r="M33" s="1808">
        <f t="shared" si="1"/>
        <v>26.768506976744188</v>
      </c>
      <c r="N33" s="1808">
        <f t="shared" si="1"/>
        <v>30.884253488372096</v>
      </c>
      <c r="O33" s="1835">
        <f>O34/2</f>
        <v>35</v>
      </c>
      <c r="P33" s="1158"/>
    </row>
    <row r="34" spans="2:16" ht="15.75" hidden="1" outlineLevel="1">
      <c r="B34" s="1159"/>
      <c r="C34" s="831">
        <v>3</v>
      </c>
      <c r="D34" s="832"/>
      <c r="E34" s="832"/>
      <c r="F34" s="847">
        <f>-34*Unit.ktoe</f>
        <v>-0.39541999999999999</v>
      </c>
      <c r="G34" s="1807">
        <f>$F34+($O34-$F34)/($O$23-$F$23)*(G$23-$F$23)</f>
        <v>4.5158883720930234</v>
      </c>
      <c r="H34" s="1808">
        <f t="shared" si="1"/>
        <v>12.701402325581396</v>
      </c>
      <c r="I34" s="1808">
        <f t="shared" si="1"/>
        <v>20.886916279069766</v>
      </c>
      <c r="J34" s="1808">
        <f t="shared" si="1"/>
        <v>29.072430232558141</v>
      </c>
      <c r="K34" s="1808">
        <f t="shared" si="1"/>
        <v>37.257944186046515</v>
      </c>
      <c r="L34" s="1808">
        <f t="shared" si="1"/>
        <v>45.443458139534883</v>
      </c>
      <c r="M34" s="1808">
        <f t="shared" si="1"/>
        <v>53.628972093023258</v>
      </c>
      <c r="N34" s="1808">
        <f t="shared" si="1"/>
        <v>61.814486046511632</v>
      </c>
      <c r="O34" s="1835">
        <f>70*Unit.TWh</f>
        <v>70</v>
      </c>
      <c r="P34" s="1158"/>
    </row>
    <row r="35" spans="2:16" ht="15.75" hidden="1" outlineLevel="1">
      <c r="B35" s="1159"/>
      <c r="C35" s="769">
        <v>4</v>
      </c>
      <c r="D35" s="770"/>
      <c r="E35" s="770"/>
      <c r="F35" s="782">
        <f>-34*Unit.ktoe</f>
        <v>-0.39541999999999999</v>
      </c>
      <c r="G35" s="1809">
        <f>$F35+($O35-$F35)/($O$23-$F$23)*(G$23-$F$23)</f>
        <v>9.3996093023255813</v>
      </c>
      <c r="H35" s="1810">
        <f t="shared" si="1"/>
        <v>25.724658139534881</v>
      </c>
      <c r="I35" s="1810">
        <f t="shared" si="1"/>
        <v>42.049706976744183</v>
      </c>
      <c r="J35" s="1810">
        <f t="shared" si="1"/>
        <v>58.374755813953485</v>
      </c>
      <c r="K35" s="1810">
        <f t="shared" si="1"/>
        <v>74.699804651162793</v>
      </c>
      <c r="L35" s="1810">
        <f t="shared" si="1"/>
        <v>91.024853488372088</v>
      </c>
      <c r="M35" s="1810">
        <f t="shared" si="1"/>
        <v>107.34990232558138</v>
      </c>
      <c r="N35" s="1810">
        <f t="shared" si="1"/>
        <v>123.67495116279069</v>
      </c>
      <c r="O35" s="1837">
        <f>2*O34</f>
        <v>140</v>
      </c>
      <c r="P35" s="1158"/>
    </row>
    <row r="36" spans="2:16" ht="15.75" hidden="1" outlineLevel="1">
      <c r="B36" s="1159"/>
      <c r="C36" s="831"/>
      <c r="D36" s="832"/>
      <c r="E36" s="832"/>
      <c r="F36" s="1254"/>
      <c r="G36" s="865"/>
      <c r="H36" s="865"/>
      <c r="I36" s="865"/>
      <c r="J36" s="865"/>
      <c r="K36" s="865"/>
      <c r="L36" s="865"/>
      <c r="M36" s="865"/>
      <c r="N36" s="865"/>
      <c r="O36" s="865"/>
      <c r="P36" s="1158"/>
    </row>
    <row r="37" spans="2:16" hidden="1" outlineLevel="1">
      <c r="B37" s="1157"/>
      <c r="C37" s="864"/>
      <c r="D37" s="864"/>
      <c r="E37" s="864"/>
      <c r="F37" s="864"/>
      <c r="G37" s="864"/>
      <c r="H37" s="864"/>
      <c r="I37" s="864"/>
      <c r="J37" s="864"/>
      <c r="K37" s="864"/>
      <c r="L37" s="864"/>
      <c r="M37" s="864"/>
      <c r="N37" s="864"/>
      <c r="O37" s="864"/>
      <c r="P37" s="1158"/>
    </row>
    <row r="38" spans="2:16" s="24" customFormat="1" hidden="1" outlineLevel="1">
      <c r="B38" s="1163"/>
      <c r="C38" s="1937" t="s">
        <v>717</v>
      </c>
      <c r="D38" s="1227"/>
      <c r="E38" s="1551"/>
      <c r="F38" s="1551"/>
      <c r="G38" s="1551"/>
      <c r="H38" s="1551"/>
      <c r="I38" s="1551"/>
      <c r="J38" s="1551"/>
      <c r="K38" s="1551"/>
      <c r="L38" s="1551"/>
      <c r="M38" s="1551"/>
      <c r="N38" s="1551"/>
      <c r="O38" s="1551"/>
      <c r="P38" s="1938"/>
    </row>
    <row r="39" spans="2:16" s="1097" customFormat="1" hidden="1" outlineLevel="1">
      <c r="B39" s="1939"/>
      <c r="C39" s="1226" t="s">
        <v>109</v>
      </c>
      <c r="D39" s="1227" t="s">
        <v>1697</v>
      </c>
      <c r="E39" s="1230"/>
      <c r="F39" s="1230"/>
      <c r="G39" s="1230"/>
      <c r="H39" s="1230"/>
      <c r="I39" s="1230"/>
      <c r="J39" s="1230"/>
      <c r="K39" s="1230"/>
      <c r="L39" s="1230"/>
      <c r="M39" s="1230"/>
      <c r="N39" s="1230"/>
      <c r="O39" s="1230"/>
      <c r="P39" s="1940"/>
    </row>
    <row r="40" spans="2:16" s="1097" customFormat="1" hidden="1" outlineLevel="1">
      <c r="B40" s="1939"/>
      <c r="C40" s="1226"/>
      <c r="D40" s="1227" t="s">
        <v>1698</v>
      </c>
      <c r="E40" s="1230"/>
      <c r="F40" s="1230"/>
      <c r="G40" s="1230"/>
      <c r="H40" s="1230"/>
      <c r="I40" s="1230"/>
      <c r="J40" s="1230"/>
      <c r="K40" s="1230"/>
      <c r="L40" s="1230"/>
      <c r="M40" s="1230"/>
      <c r="N40" s="1230"/>
      <c r="O40" s="1230"/>
      <c r="P40" s="1940"/>
    </row>
    <row r="41" spans="2:16" s="1097" customFormat="1" hidden="1" outlineLevel="1">
      <c r="B41" s="1939"/>
      <c r="C41" s="1226"/>
      <c r="D41" s="1227"/>
      <c r="E41" s="1230"/>
      <c r="F41" s="1230"/>
      <c r="G41" s="1230"/>
      <c r="H41" s="1230"/>
      <c r="I41" s="1230"/>
      <c r="J41" s="1230"/>
      <c r="K41" s="1230"/>
      <c r="L41" s="1230"/>
      <c r="M41" s="1230"/>
      <c r="N41" s="1230"/>
      <c r="O41" s="1230"/>
      <c r="P41" s="1940"/>
    </row>
    <row r="42" spans="2:16" s="24" customFormat="1" hidden="1" outlineLevel="1">
      <c r="B42" s="1223"/>
      <c r="C42" s="1941"/>
      <c r="D42" s="1941"/>
      <c r="E42" s="1941"/>
      <c r="F42" s="1941"/>
      <c r="G42" s="1941"/>
      <c r="H42" s="1941"/>
      <c r="I42" s="1941"/>
      <c r="J42" s="1941"/>
      <c r="K42" s="1941"/>
      <c r="L42" s="1941"/>
      <c r="M42" s="1941"/>
      <c r="N42" s="1941"/>
      <c r="O42" s="1941"/>
      <c r="P42" s="1942"/>
    </row>
    <row r="44" spans="2:16" ht="15.75" collapsed="1">
      <c r="B44" s="809" t="s">
        <v>732</v>
      </c>
    </row>
    <row r="45" spans="2:16" hidden="1" outlineLevel="1">
      <c r="B45" s="731">
        <v>1</v>
      </c>
      <c r="C45" s="121" t="s">
        <v>1726</v>
      </c>
    </row>
    <row r="46" spans="2:16" hidden="1" outlineLevel="1"/>
    <row r="47" spans="2:16" hidden="1" outlineLevel="1">
      <c r="C47" s="731" t="s">
        <v>1275</v>
      </c>
    </row>
    <row r="48" spans="2:16" hidden="1" outlineLevel="1">
      <c r="B48" s="20" t="s">
        <v>47</v>
      </c>
      <c r="C48" s="24" t="str">
        <f>INDEX(Vectors[Description], MATCH($B48, Vectors[Code], 0))</f>
        <v>Solid hydrocarbons</v>
      </c>
      <c r="E48" s="20" t="str">
        <f>Preferences.EnergyUnits</f>
        <v>TWh</v>
      </c>
      <c r="F48" s="27">
        <f t="shared" ref="F48:O48" si="2">INDEX(F$24:F$27, MATCH($E$7, $C$24:$C$27, 0))</f>
        <v>4.3961399999999999</v>
      </c>
      <c r="G48" s="27">
        <f t="shared" si="2"/>
        <v>4.089432558139535</v>
      </c>
      <c r="H48" s="27">
        <f t="shared" si="2"/>
        <v>3.5782534883720931</v>
      </c>
      <c r="I48" s="27">
        <f t="shared" si="2"/>
        <v>3.0670744186046512</v>
      </c>
      <c r="J48" s="27">
        <f t="shared" si="2"/>
        <v>2.5558953488372094</v>
      </c>
      <c r="K48" s="27">
        <f t="shared" si="2"/>
        <v>2.0447162790697675</v>
      </c>
      <c r="L48" s="27">
        <f t="shared" si="2"/>
        <v>1.5335372093023256</v>
      </c>
      <c r="M48" s="27">
        <f t="shared" si="2"/>
        <v>1.0223581395348837</v>
      </c>
      <c r="N48" s="27">
        <f t="shared" si="2"/>
        <v>0.51117906976744187</v>
      </c>
      <c r="O48" s="27">
        <f t="shared" si="2"/>
        <v>0</v>
      </c>
    </row>
    <row r="49" spans="1:16" hidden="1" outlineLevel="1">
      <c r="B49" s="20" t="s">
        <v>49</v>
      </c>
      <c r="C49" s="24" t="str">
        <f>INDEX(Vectors[Description], MATCH($B49, Vectors[Code], 0))</f>
        <v>Liquid hydrocarbons</v>
      </c>
      <c r="E49" s="20" t="str">
        <f>Preferences.EnergyUnits</f>
        <v>TWh</v>
      </c>
      <c r="F49" s="27">
        <f t="shared" ref="F49:O49" si="3">INDEX(F$32:F$35, MATCH($E$7, $C$32:$C$35, 0))</f>
        <v>-0.39541999999999999</v>
      </c>
      <c r="G49" s="27">
        <f t="shared" si="3"/>
        <v>-0.36783255813953486</v>
      </c>
      <c r="H49" s="27">
        <f t="shared" si="3"/>
        <v>-0.32185348837209304</v>
      </c>
      <c r="I49" s="27">
        <f t="shared" si="3"/>
        <v>-0.27587441860465117</v>
      </c>
      <c r="J49" s="27">
        <f t="shared" si="3"/>
        <v>-0.2298953488372093</v>
      </c>
      <c r="K49" s="27">
        <f t="shared" si="3"/>
        <v>-0.18391627906976743</v>
      </c>
      <c r="L49" s="27">
        <f t="shared" si="3"/>
        <v>-0.13793720930232556</v>
      </c>
      <c r="M49" s="27">
        <f t="shared" si="3"/>
        <v>-9.1958139534883687E-2</v>
      </c>
      <c r="N49" s="27">
        <f t="shared" si="3"/>
        <v>-4.5979069767441871E-2</v>
      </c>
      <c r="O49" s="27">
        <f t="shared" si="3"/>
        <v>0</v>
      </c>
    </row>
    <row r="50" spans="1:16" hidden="1" outlineLevel="1">
      <c r="B50" s="20"/>
      <c r="C50" s="24"/>
      <c r="E50" s="20"/>
      <c r="F50" s="27"/>
      <c r="G50" s="27"/>
      <c r="H50" s="27"/>
      <c r="I50" s="27"/>
      <c r="J50" s="27"/>
      <c r="K50" s="27"/>
      <c r="L50" s="27"/>
      <c r="M50" s="27"/>
      <c r="N50" s="27"/>
      <c r="O50" s="27"/>
    </row>
    <row r="51" spans="1:16" hidden="1" outlineLevel="1">
      <c r="B51" s="20"/>
      <c r="C51" s="731" t="s">
        <v>884</v>
      </c>
      <c r="E51" s="20"/>
      <c r="F51" s="27"/>
      <c r="G51" s="27"/>
      <c r="H51" s="27"/>
      <c r="I51" s="27"/>
      <c r="J51" s="27"/>
      <c r="K51" s="27"/>
      <c r="L51" s="27"/>
      <c r="M51" s="27"/>
      <c r="N51" s="27"/>
      <c r="O51" s="27"/>
    </row>
    <row r="52" spans="1:16" hidden="1" outlineLevel="1">
      <c r="B52" s="20" t="s">
        <v>47</v>
      </c>
      <c r="C52" s="24" t="str">
        <f>INDEX(Vectors[Description], MATCH($B52, Vectors[Code], 0))</f>
        <v>Solid hydrocarbons</v>
      </c>
      <c r="E52" s="20" t="str">
        <f>Preferences.EnergyUnits</f>
        <v>TWh</v>
      </c>
      <c r="F52" s="27">
        <f ca="1">MIN(F48, -F15)</f>
        <v>4.3961399999999999</v>
      </c>
      <c r="G52" s="27">
        <f t="shared" ref="G52:O52" ca="1" si="4">MIN(G48, -G15)</f>
        <v>4.089432558139535</v>
      </c>
      <c r="H52" s="27">
        <f t="shared" ca="1" si="4"/>
        <v>3.5782534883720931</v>
      </c>
      <c r="I52" s="27">
        <f t="shared" ca="1" si="4"/>
        <v>3.0670744186046512</v>
      </c>
      <c r="J52" s="27">
        <f t="shared" ca="1" si="4"/>
        <v>2.5558953488372094</v>
      </c>
      <c r="K52" s="27">
        <f t="shared" ca="1" si="4"/>
        <v>2.0447162790697675</v>
      </c>
      <c r="L52" s="27">
        <f t="shared" ca="1" si="4"/>
        <v>1.5335372093023256</v>
      </c>
      <c r="M52" s="27">
        <f t="shared" ca="1" si="4"/>
        <v>1.0223581395348837</v>
      </c>
      <c r="N52" s="27">
        <f t="shared" ca="1" si="4"/>
        <v>0.51117906976744187</v>
      </c>
      <c r="O52" s="27">
        <f t="shared" ca="1" si="4"/>
        <v>0</v>
      </c>
    </row>
    <row r="53" spans="1:16" hidden="1" outlineLevel="1">
      <c r="B53" s="20" t="s">
        <v>49</v>
      </c>
      <c r="C53" s="24" t="str">
        <f>INDEX(Vectors[Description], MATCH($B53, Vectors[Code], 0))</f>
        <v>Liquid hydrocarbons</v>
      </c>
      <c r="E53" s="20" t="str">
        <f>Preferences.EnergyUnits</f>
        <v>TWh</v>
      </c>
      <c r="F53" s="27">
        <f ca="1">MIN(F49, -F16)</f>
        <v>-0.39541999999999999</v>
      </c>
      <c r="G53" s="27">
        <f t="shared" ref="G53:O53" ca="1" si="5">MIN(G49, -G16)</f>
        <v>-0.36783255813953486</v>
      </c>
      <c r="H53" s="27">
        <f t="shared" ca="1" si="5"/>
        <v>-0.32185348837209304</v>
      </c>
      <c r="I53" s="27">
        <f t="shared" ca="1" si="5"/>
        <v>-0.27587441860465117</v>
      </c>
      <c r="J53" s="27">
        <f t="shared" ca="1" si="5"/>
        <v>-0.2298953488372093</v>
      </c>
      <c r="K53" s="27">
        <f t="shared" ca="1" si="5"/>
        <v>-0.18391627906976743</v>
      </c>
      <c r="L53" s="27">
        <f t="shared" ca="1" si="5"/>
        <v>-0.13793720930232556</v>
      </c>
      <c r="M53" s="27">
        <f t="shared" ca="1" si="5"/>
        <v>-9.1958139534883687E-2</v>
      </c>
      <c r="N53" s="27">
        <f t="shared" ca="1" si="5"/>
        <v>-4.5979069767441871E-2</v>
      </c>
      <c r="O53" s="27">
        <f t="shared" ca="1" si="5"/>
        <v>0</v>
      </c>
    </row>
    <row r="54" spans="1:16" hidden="1" outlineLevel="1">
      <c r="B54" s="20"/>
      <c r="C54" s="24"/>
      <c r="F54" s="19"/>
      <c r="G54" s="19"/>
      <c r="H54" s="19"/>
      <c r="I54" s="19"/>
      <c r="J54" s="19"/>
      <c r="K54" s="19"/>
      <c r="L54" s="19"/>
      <c r="M54" s="19"/>
      <c r="N54" s="19"/>
      <c r="O54" s="19"/>
    </row>
    <row r="55" spans="1:16" hidden="1" outlineLevel="1">
      <c r="C55" s="731" t="s">
        <v>1675</v>
      </c>
      <c r="E55" s="20" t="s">
        <v>1075</v>
      </c>
      <c r="F55" s="840">
        <f t="array" aca="1" ref="F55" ca="1">SUM(F$52:F$53*SUMIFS(EF[CO2], EF[Vector], $B$52:$B$53))</f>
        <v>1.2551561199999999</v>
      </c>
      <c r="G55" s="840">
        <f t="array" aca="1" ref="G55" ca="1">SUM(G$52:G$53*SUMIFS(EF[CO2], EF[Vector], $B$52:$B$53))</f>
        <v>1.1675870883720929</v>
      </c>
      <c r="H55" s="840">
        <f t="array" aca="1" ref="H55" ca="1">SUM(H$52:H$53*SUMIFS(EF[CO2], EF[Vector], $B$52:$B$53))</f>
        <v>1.0216387023255813</v>
      </c>
      <c r="I55" s="840">
        <f t="array" aca="1" ref="I55" ca="1">SUM(I$52:I$53*SUMIFS(EF[CO2], EF[Vector], $B$52:$B$53))</f>
        <v>0.87569031627906957</v>
      </c>
      <c r="J55" s="840">
        <f t="array" aca="1" ref="J55" ca="1">SUM(J$52:J$53*SUMIFS(EF[CO2], EF[Vector], $B$52:$B$53))</f>
        <v>0.72974193023255796</v>
      </c>
      <c r="K55" s="840">
        <f t="array" aca="1" ref="K55" ca="1">SUM(K$52:K$53*SUMIFS(EF[CO2], EF[Vector], $B$52:$B$53))</f>
        <v>0.58379354418604645</v>
      </c>
      <c r="L55" s="840">
        <f t="array" aca="1" ref="L55" ca="1">SUM(L$52:L$53*SUMIFS(EF[CO2], EF[Vector], $B$52:$B$53))</f>
        <v>0.43784515813953484</v>
      </c>
      <c r="M55" s="840">
        <f t="array" aca="1" ref="M55" ca="1">SUM(M$52:M$53*SUMIFS(EF[CO2], EF[Vector], $B$52:$B$53))</f>
        <v>0.29189677209302323</v>
      </c>
      <c r="N55" s="840">
        <f t="array" aca="1" ref="N55" ca="1">SUM(N$52:N$53*SUMIFS(EF[CO2], EF[Vector], $B$52:$B$53))</f>
        <v>0.14594838604651161</v>
      </c>
      <c r="O55" s="840">
        <f t="array" aca="1" ref="O55" ca="1">SUM(O$52:O$53*SUMIFS(EF[CO2], EF[Vector], $B$52:$B$53))</f>
        <v>0</v>
      </c>
    </row>
    <row r="56" spans="1:16" hidden="1" outlineLevel="1">
      <c r="C56" s="807"/>
      <c r="F56" s="783"/>
    </row>
    <row r="58" spans="1:16" ht="22.5" collapsed="1">
      <c r="A58" s="1171"/>
      <c r="B58" s="1231" t="s">
        <v>683</v>
      </c>
      <c r="C58" s="1183"/>
      <c r="D58" s="1183"/>
      <c r="E58" s="1183"/>
      <c r="F58" s="1183"/>
      <c r="G58" s="1183"/>
      <c r="H58" s="1183"/>
      <c r="I58" s="1183"/>
      <c r="J58" s="1183"/>
      <c r="K58" s="1183"/>
      <c r="L58" s="1183"/>
      <c r="M58" s="1183"/>
      <c r="N58" s="1183"/>
      <c r="O58" s="1183"/>
      <c r="P58" s="1185"/>
    </row>
    <row r="59" spans="1:16" hidden="1" outlineLevel="1">
      <c r="B59" s="1172"/>
      <c r="C59" s="1174"/>
      <c r="D59" s="1174"/>
      <c r="E59" s="1174"/>
      <c r="F59" s="1174"/>
      <c r="G59" s="1174"/>
      <c r="H59" s="1174"/>
      <c r="I59" s="1174"/>
      <c r="J59" s="1174"/>
      <c r="K59" s="1174"/>
      <c r="L59" s="1174"/>
      <c r="M59" s="1174"/>
      <c r="N59" s="1174"/>
      <c r="O59" s="1174"/>
      <c r="P59" s="1176"/>
    </row>
    <row r="60" spans="1:16" hidden="1" outlineLevel="1">
      <c r="B60" s="1172"/>
      <c r="C60" s="1186" t="s">
        <v>730</v>
      </c>
      <c r="D60" s="1174"/>
      <c r="E60" s="1175"/>
      <c r="F60" s="1174"/>
      <c r="G60" s="1175"/>
      <c r="H60" s="1174"/>
      <c r="I60" s="1174"/>
      <c r="J60" s="1174"/>
      <c r="K60" s="1174"/>
      <c r="L60" s="1174"/>
      <c r="M60" s="1174"/>
      <c r="N60" s="1174"/>
      <c r="O60" s="1175" t="str">
        <f>Preferences.EnergyUnits</f>
        <v>TWh</v>
      </c>
      <c r="P60" s="1176"/>
    </row>
    <row r="61" spans="1:16" ht="6" hidden="1" customHeight="1" outlineLevel="1">
      <c r="B61" s="1172"/>
      <c r="C61" s="1174"/>
      <c r="D61" s="1174"/>
      <c r="E61" s="1174"/>
      <c r="F61" s="1174"/>
      <c r="G61" s="1174"/>
      <c r="H61" s="1174"/>
      <c r="I61" s="1174"/>
      <c r="J61" s="1174"/>
      <c r="K61" s="1174"/>
      <c r="L61" s="1174"/>
      <c r="M61" s="1174"/>
      <c r="N61" s="1174"/>
      <c r="O61" s="1174"/>
      <c r="P61" s="1176"/>
    </row>
    <row r="62" spans="1:16" ht="15.75" hidden="1" outlineLevel="1">
      <c r="A62" s="3"/>
      <c r="B62" s="1177"/>
      <c r="C62" s="1188" t="s">
        <v>78</v>
      </c>
      <c r="D62" s="1188" t="s">
        <v>418</v>
      </c>
      <c r="E62" s="1188" t="s">
        <v>442</v>
      </c>
      <c r="F62" s="1188" t="s">
        <v>691</v>
      </c>
      <c r="G62" s="1188" t="s">
        <v>692</v>
      </c>
      <c r="H62" s="1189" t="s">
        <v>721</v>
      </c>
      <c r="I62" s="1189" t="s">
        <v>722</v>
      </c>
      <c r="J62" s="1189" t="s">
        <v>723</v>
      </c>
      <c r="K62" s="1189" t="s">
        <v>724</v>
      </c>
      <c r="L62" s="1189" t="s">
        <v>725</v>
      </c>
      <c r="M62" s="1189" t="s">
        <v>726</v>
      </c>
      <c r="N62" s="1189" t="s">
        <v>727</v>
      </c>
      <c r="O62" s="1189" t="s">
        <v>728</v>
      </c>
      <c r="P62" s="1176"/>
    </row>
    <row r="63" spans="1:16" ht="15.75" hidden="1" outlineLevel="1">
      <c r="A63" s="3"/>
      <c r="B63" s="1177"/>
      <c r="C63" s="765" t="s">
        <v>47</v>
      </c>
      <c r="D63" s="765" t="str">
        <f>INDEX(Vectors[Description], MATCH([Vector], Vectors[Code], 0))</f>
        <v>Solid hydrocarbons</v>
      </c>
      <c r="E63" s="765"/>
      <c r="F63" s="953">
        <f ca="1">F52</f>
        <v>4.3961399999999999</v>
      </c>
      <c r="G63" s="953">
        <f t="shared" ref="G63:O63" ca="1" si="6">G52</f>
        <v>4.089432558139535</v>
      </c>
      <c r="H63" s="953">
        <f t="shared" ca="1" si="6"/>
        <v>3.5782534883720931</v>
      </c>
      <c r="I63" s="953">
        <f t="shared" ca="1" si="6"/>
        <v>3.0670744186046512</v>
      </c>
      <c r="J63" s="953">
        <f t="shared" ca="1" si="6"/>
        <v>2.5558953488372094</v>
      </c>
      <c r="K63" s="953">
        <f t="shared" ca="1" si="6"/>
        <v>2.0447162790697675</v>
      </c>
      <c r="L63" s="953">
        <f t="shared" ca="1" si="6"/>
        <v>1.5335372093023256</v>
      </c>
      <c r="M63" s="953">
        <f t="shared" ca="1" si="6"/>
        <v>1.0223581395348837</v>
      </c>
      <c r="N63" s="953">
        <f t="shared" ca="1" si="6"/>
        <v>0.51117906976744187</v>
      </c>
      <c r="O63" s="953">
        <f t="shared" ca="1" si="6"/>
        <v>0</v>
      </c>
      <c r="P63" s="1176"/>
    </row>
    <row r="64" spans="1:16" ht="15.75" hidden="1" outlineLevel="1">
      <c r="A64" s="3"/>
      <c r="B64" s="1177"/>
      <c r="C64" s="765" t="s">
        <v>49</v>
      </c>
      <c r="D64" s="765" t="str">
        <f>INDEX(Vectors[Description], MATCH([Vector], Vectors[Code], 0))</f>
        <v>Liquid hydrocarbons</v>
      </c>
      <c r="E64" s="765"/>
      <c r="F64" s="953">
        <f ca="1">F53</f>
        <v>-0.39541999999999999</v>
      </c>
      <c r="G64" s="953">
        <f t="shared" ref="G64:O64" ca="1" si="7">G53</f>
        <v>-0.36783255813953486</v>
      </c>
      <c r="H64" s="953">
        <f t="shared" ca="1" si="7"/>
        <v>-0.32185348837209304</v>
      </c>
      <c r="I64" s="953">
        <f t="shared" ca="1" si="7"/>
        <v>-0.27587441860465117</v>
      </c>
      <c r="J64" s="953">
        <f t="shared" ca="1" si="7"/>
        <v>-0.2298953488372093</v>
      </c>
      <c r="K64" s="953">
        <f t="shared" ca="1" si="7"/>
        <v>-0.18391627906976743</v>
      </c>
      <c r="L64" s="953">
        <f t="shared" ca="1" si="7"/>
        <v>-0.13793720930232556</v>
      </c>
      <c r="M64" s="953">
        <f t="shared" ca="1" si="7"/>
        <v>-9.1958139534883687E-2</v>
      </c>
      <c r="N64" s="953">
        <f t="shared" ca="1" si="7"/>
        <v>-4.5979069767441871E-2</v>
      </c>
      <c r="O64" s="953">
        <f t="shared" ca="1" si="7"/>
        <v>0</v>
      </c>
      <c r="P64" s="1176"/>
    </row>
    <row r="65" spans="1:16" ht="15.75" hidden="1" outlineLevel="1">
      <c r="A65" s="3"/>
      <c r="B65" s="1177"/>
      <c r="C65" s="765" t="s">
        <v>59</v>
      </c>
      <c r="D65" s="765" t="str">
        <f>INDEX(Vectors[Description], MATCH([Vector], Vectors[Code], 0))</f>
        <v>Biomatter exports (imports)</v>
      </c>
      <c r="E65" s="765"/>
      <c r="F65" s="953">
        <f ca="1">-(F52+F53)</f>
        <v>-4.0007200000000003</v>
      </c>
      <c r="G65" s="953">
        <f t="shared" ref="G65:O65" ca="1" si="8">-(G52+G53)</f>
        <v>-3.7216</v>
      </c>
      <c r="H65" s="953">
        <f t="shared" ca="1" si="8"/>
        <v>-3.2564000000000002</v>
      </c>
      <c r="I65" s="953">
        <f t="shared" ca="1" si="8"/>
        <v>-2.7911999999999999</v>
      </c>
      <c r="J65" s="953">
        <f t="shared" ca="1" si="8"/>
        <v>-2.3260000000000001</v>
      </c>
      <c r="K65" s="953">
        <f t="shared" ca="1" si="8"/>
        <v>-1.8608</v>
      </c>
      <c r="L65" s="953">
        <f t="shared" ca="1" si="8"/>
        <v>-1.3956</v>
      </c>
      <c r="M65" s="953">
        <f t="shared" ca="1" si="8"/>
        <v>-0.93040000000000012</v>
      </c>
      <c r="N65" s="953">
        <f t="shared" ca="1" si="8"/>
        <v>-0.4652</v>
      </c>
      <c r="O65" s="953">
        <f t="shared" ca="1" si="8"/>
        <v>0</v>
      </c>
      <c r="P65" s="1176"/>
    </row>
    <row r="66" spans="1:16" ht="15.75" hidden="1" outlineLevel="1">
      <c r="A66" s="3"/>
      <c r="B66" s="1177"/>
      <c r="C66" s="765" t="s">
        <v>148</v>
      </c>
      <c r="D66" s="765"/>
      <c r="E66" s="765"/>
      <c r="F66" s="779">
        <f>SUBTOTAL(109,[2007])</f>
        <v>0</v>
      </c>
      <c r="G66" s="765">
        <f>SUBTOTAL(109,[2010])</f>
        <v>0</v>
      </c>
      <c r="H66" s="765">
        <f>SUBTOTAL(109,[2015])</f>
        <v>0</v>
      </c>
      <c r="I66" s="765">
        <f>SUBTOTAL(109,[2020])</f>
        <v>0</v>
      </c>
      <c r="J66" s="765">
        <f>SUBTOTAL(109,[2025])</f>
        <v>0</v>
      </c>
      <c r="K66" s="765">
        <f>SUBTOTAL(109,[2030])</f>
        <v>0</v>
      </c>
      <c r="L66" s="765">
        <f>SUBTOTAL(109,[2035])</f>
        <v>0</v>
      </c>
      <c r="M66" s="765">
        <f>SUBTOTAL(109,[2040])</f>
        <v>0</v>
      </c>
      <c r="N66" s="765">
        <f>SUBTOTAL(109,[2045])</f>
        <v>0</v>
      </c>
      <c r="O66" s="765">
        <f>SUBTOTAL(109,[2050])</f>
        <v>0</v>
      </c>
      <c r="P66" s="1176"/>
    </row>
    <row r="67" spans="1:16" ht="15.75" hidden="1" outlineLevel="1">
      <c r="A67" s="3"/>
      <c r="B67" s="1178"/>
      <c r="C67" s="1179"/>
      <c r="D67" s="1179"/>
      <c r="E67" s="1179"/>
      <c r="F67" s="1179"/>
      <c r="G67" s="1179"/>
      <c r="H67" s="1179"/>
      <c r="I67" s="1179"/>
      <c r="J67" s="1179"/>
      <c r="K67" s="1179"/>
      <c r="L67" s="1179"/>
      <c r="M67" s="1179"/>
      <c r="N67" s="1179"/>
      <c r="O67" s="1179"/>
      <c r="P67" s="1181"/>
    </row>
    <row r="69" spans="1:16" ht="22.5" collapsed="1">
      <c r="A69" s="1171"/>
      <c r="B69" s="1249" t="s">
        <v>902</v>
      </c>
      <c r="C69" s="1198"/>
      <c r="D69" s="1199"/>
      <c r="E69" s="1199"/>
      <c r="F69" s="1199"/>
      <c r="G69" s="1199"/>
      <c r="H69" s="1199"/>
      <c r="I69" s="1199"/>
      <c r="J69" s="1199"/>
      <c r="K69" s="1199"/>
      <c r="L69" s="1199"/>
      <c r="M69" s="1199"/>
      <c r="N69" s="1199"/>
      <c r="O69" s="1199"/>
      <c r="P69" s="1200"/>
    </row>
    <row r="70" spans="1:16" hidden="1" outlineLevel="1">
      <c r="B70" s="1207"/>
      <c r="C70" s="1208"/>
      <c r="D70" s="1208"/>
      <c r="E70" s="1208"/>
      <c r="F70" s="1208"/>
      <c r="G70" s="1208"/>
      <c r="H70" s="1208"/>
      <c r="I70" s="1208"/>
      <c r="J70" s="1208"/>
      <c r="K70" s="1208"/>
      <c r="L70" s="1208"/>
      <c r="M70" s="1208"/>
      <c r="N70" s="1208"/>
      <c r="O70" s="1208"/>
      <c r="P70" s="1209"/>
    </row>
    <row r="71" spans="1:16" ht="14.25" hidden="1" outlineLevel="1">
      <c r="B71" s="1210"/>
      <c r="C71" s="1201" t="s">
        <v>1073</v>
      </c>
      <c r="D71" s="1202"/>
      <c r="E71" s="1203"/>
      <c r="F71" s="1202"/>
      <c r="G71" s="1203"/>
      <c r="H71" s="1202"/>
      <c r="I71" s="1202"/>
      <c r="J71" s="1202"/>
      <c r="K71" s="1202"/>
      <c r="L71" s="1202"/>
      <c r="M71" s="1202"/>
      <c r="N71" s="1202"/>
      <c r="O71" s="1203" t="s">
        <v>1076</v>
      </c>
      <c r="P71" s="1211"/>
    </row>
    <row r="72" spans="1:16" ht="6.75" hidden="1" customHeight="1" outlineLevel="1">
      <c r="B72" s="1210"/>
      <c r="C72" s="1202"/>
      <c r="D72" s="1202"/>
      <c r="E72" s="1202"/>
      <c r="F72" s="1202"/>
      <c r="G72" s="1202"/>
      <c r="H72" s="1202"/>
      <c r="I72" s="1202"/>
      <c r="J72" s="1202"/>
      <c r="K72" s="1202"/>
      <c r="L72" s="1202"/>
      <c r="M72" s="1202"/>
      <c r="N72" s="1202"/>
      <c r="O72" s="1202"/>
      <c r="P72" s="1211"/>
    </row>
    <row r="73" spans="1:16" ht="15.75" hidden="1" outlineLevel="1">
      <c r="B73" s="1212"/>
      <c r="C73" s="1269" t="s">
        <v>1072</v>
      </c>
      <c r="D73" s="1269" t="s">
        <v>1042</v>
      </c>
      <c r="E73" s="1269" t="s">
        <v>442</v>
      </c>
      <c r="F73" s="1269" t="s">
        <v>691</v>
      </c>
      <c r="G73" s="1269" t="s">
        <v>692</v>
      </c>
      <c r="H73" s="1269" t="s">
        <v>721</v>
      </c>
      <c r="I73" s="1269" t="s">
        <v>722</v>
      </c>
      <c r="J73" s="1269" t="s">
        <v>723</v>
      </c>
      <c r="K73" s="1269" t="s">
        <v>724</v>
      </c>
      <c r="L73" s="1269" t="s">
        <v>725</v>
      </c>
      <c r="M73" s="1269" t="s">
        <v>726</v>
      </c>
      <c r="N73" s="1269" t="s">
        <v>727</v>
      </c>
      <c r="O73" s="1269" t="s">
        <v>728</v>
      </c>
      <c r="P73" s="1211"/>
    </row>
    <row r="74" spans="1:16" ht="15.75" hidden="1" outlineLevel="1">
      <c r="B74" s="1212"/>
      <c r="C74" s="1204" t="s">
        <v>1055</v>
      </c>
      <c r="D74" s="1267" t="s">
        <v>1051</v>
      </c>
      <c r="E74" s="1204" t="str">
        <f>INDEX(IPCC[Sector_description], MATCH([IPCC Sector], IPCC[Sector_code], 0))</f>
        <v>Bioenergy credit</v>
      </c>
      <c r="F74" s="1714">
        <f ca="1">-F55</f>
        <v>-1.2551561199999999</v>
      </c>
      <c r="G74" s="1714">
        <f t="shared" ref="G74:O74" ca="1" si="9">-G55</f>
        <v>-1.1675870883720929</v>
      </c>
      <c r="H74" s="1714">
        <f t="shared" ca="1" si="9"/>
        <v>-1.0216387023255813</v>
      </c>
      <c r="I74" s="1714">
        <f t="shared" ca="1" si="9"/>
        <v>-0.87569031627906957</v>
      </c>
      <c r="J74" s="1714">
        <f t="shared" ca="1" si="9"/>
        <v>-0.72974193023255796</v>
      </c>
      <c r="K74" s="1714">
        <f t="shared" ca="1" si="9"/>
        <v>-0.58379354418604645</v>
      </c>
      <c r="L74" s="1714">
        <f t="shared" ca="1" si="9"/>
        <v>-0.43784515813953484</v>
      </c>
      <c r="M74" s="1714">
        <f t="shared" ca="1" si="9"/>
        <v>-0.29189677209302323</v>
      </c>
      <c r="N74" s="1714">
        <f t="shared" ca="1" si="9"/>
        <v>-0.14594838604651161</v>
      </c>
      <c r="O74" s="1714">
        <f t="shared" ca="1" si="9"/>
        <v>0</v>
      </c>
      <c r="P74" s="1211"/>
    </row>
    <row r="75" spans="1:16" ht="15.75" hidden="1" outlineLevel="1">
      <c r="B75" s="1212"/>
      <c r="C75" s="1206" t="s">
        <v>148</v>
      </c>
      <c r="D75" s="1279"/>
      <c r="E75" s="1206"/>
      <c r="F75" s="1278">
        <f>SUBTOTAL(109,[2007])</f>
        <v>0</v>
      </c>
      <c r="G75" s="1278">
        <f>SUBTOTAL(109,[2010])</f>
        <v>0</v>
      </c>
      <c r="H75" s="1278">
        <f>SUBTOTAL(109,[2015])</f>
        <v>0</v>
      </c>
      <c r="I75" s="1278">
        <f>SUBTOTAL(109,[2020])</f>
        <v>0</v>
      </c>
      <c r="J75" s="1278">
        <f>SUBTOTAL(109,[2025])</f>
        <v>0</v>
      </c>
      <c r="K75" s="1278">
        <f>SUBTOTAL(109,[2030])</f>
        <v>0</v>
      </c>
      <c r="L75" s="1278">
        <f>SUBTOTAL(109,[2035])</f>
        <v>0</v>
      </c>
      <c r="M75" s="1278">
        <f>SUBTOTAL(109,[2040])</f>
        <v>0</v>
      </c>
      <c r="N75" s="1278">
        <f>SUBTOTAL(109,[2045])</f>
        <v>0</v>
      </c>
      <c r="O75" s="1278">
        <f>SUBTOTAL(109,[2050])</f>
        <v>0</v>
      </c>
      <c r="P75" s="1211"/>
    </row>
    <row r="76" spans="1:16" hidden="1" outlineLevel="1">
      <c r="B76" s="1213"/>
      <c r="C76" s="1214"/>
      <c r="D76" s="1214"/>
      <c r="E76" s="1214"/>
      <c r="F76" s="1214"/>
      <c r="G76" s="1214"/>
      <c r="H76" s="1214"/>
      <c r="I76" s="1214"/>
      <c r="J76" s="1214"/>
      <c r="K76" s="1214"/>
      <c r="L76" s="1214"/>
      <c r="M76" s="1214"/>
      <c r="N76" s="1214"/>
      <c r="O76" s="1214"/>
      <c r="P76" s="1215"/>
    </row>
  </sheetData>
  <pageMargins left="0.7" right="0.7" top="0.75" bottom="0.75" header="0.3" footer="0.3"/>
  <pageSetup paperSize="9" orientation="portrait" r:id="rId1"/>
  <ignoredErrors>
    <ignoredError sqref="F63:F65" calculatedColumn="1"/>
  </ignoredErrors>
  <tableParts count="3">
    <tablePart r:id="rId2"/>
    <tablePart r:id="rId3"/>
    <tablePart r:id="rId4"/>
  </tableParts>
</worksheet>
</file>

<file path=xl/worksheets/sheet29.xml><?xml version="1.0" encoding="utf-8"?>
<worksheet xmlns="http://schemas.openxmlformats.org/spreadsheetml/2006/main" xmlns:r="http://schemas.openxmlformats.org/officeDocument/2006/relationships">
  <sheetPr codeName="Sheet30">
    <tabColor theme="9"/>
    <outlinePr summaryBelow="0"/>
    <pageSetUpPr autoPageBreaks="0"/>
  </sheetPr>
  <dimension ref="A1:AN415"/>
  <sheetViews>
    <sheetView showGridLines="0" zoomScale="80" zoomScaleNormal="80" workbookViewId="0">
      <pane ySplit="2" topLeftCell="A3" activePane="bottomLeft" state="frozen"/>
      <selection pane="bottomLeft"/>
    </sheetView>
  </sheetViews>
  <sheetFormatPr defaultRowHeight="12.75" outlineLevelRow="2"/>
  <cols>
    <col min="1" max="1" width="5.85546875" style="121" customWidth="1"/>
    <col min="2" max="2" width="4.7109375" style="121" customWidth="1"/>
    <col min="3" max="3" width="9.85546875" style="121" bestFit="1" customWidth="1"/>
    <col min="4" max="4" width="28.140625" style="121" bestFit="1" customWidth="1"/>
    <col min="5" max="5" width="11.140625" style="121" customWidth="1"/>
    <col min="6" max="6" width="9.140625" style="121" customWidth="1"/>
    <col min="7" max="7" width="9" style="121" customWidth="1"/>
    <col min="8" max="15" width="9.140625" style="121"/>
    <col min="16" max="16" width="2" style="121" customWidth="1"/>
    <col min="17" max="18" width="9.140625" style="121"/>
    <col min="19" max="19" width="9" style="121" customWidth="1"/>
    <col min="20" max="16384" width="9.140625" style="121"/>
  </cols>
  <sheetData>
    <row r="1" spans="1:20" ht="21">
      <c r="A1" s="790" t="s">
        <v>672</v>
      </c>
      <c r="B1" s="790" t="str">
        <f>INDEX(Workstreams[Workstream], MATCH($A1, Workstreams[Code], 0))</f>
        <v>Agriculture and waste</v>
      </c>
      <c r="C1" s="790"/>
    </row>
    <row r="2" spans="1:20" s="743" customFormat="1" ht="19.5" customHeight="1">
      <c r="A2" s="10" t="s">
        <v>924</v>
      </c>
      <c r="B2" s="10" t="str">
        <f>INDEX(Modules[Module], MATCH($A2, Modules[Code], 0))</f>
        <v>Agriculture and land use</v>
      </c>
      <c r="C2" s="10"/>
    </row>
    <row r="4" spans="1:20" ht="22.5" collapsed="1">
      <c r="A4" s="1171"/>
      <c r="B4" s="1231" t="s">
        <v>1353</v>
      </c>
      <c r="C4" s="1183"/>
      <c r="D4" s="1183"/>
      <c r="E4" s="1183"/>
      <c r="F4" s="1183"/>
      <c r="G4" s="1183"/>
      <c r="H4" s="1183"/>
      <c r="I4" s="1183"/>
      <c r="J4" s="1183"/>
      <c r="K4" s="1183"/>
      <c r="L4" s="1183"/>
      <c r="M4" s="1183"/>
      <c r="N4" s="1183"/>
      <c r="O4" s="1183"/>
      <c r="P4" s="1185"/>
      <c r="R4" s="731"/>
    </row>
    <row r="5" spans="1:20" hidden="1" outlineLevel="1">
      <c r="B5" s="1172"/>
      <c r="C5" s="1174"/>
      <c r="D5" s="1174"/>
      <c r="E5" s="1174"/>
      <c r="F5" s="1174"/>
      <c r="G5" s="1174"/>
      <c r="H5" s="1174"/>
      <c r="I5" s="1174"/>
      <c r="J5" s="1174"/>
      <c r="K5" s="1174"/>
      <c r="L5" s="1174"/>
      <c r="M5" s="1174"/>
      <c r="N5" s="1174"/>
      <c r="O5" s="1174"/>
      <c r="P5" s="1176"/>
    </row>
    <row r="6" spans="1:20" ht="5.25" hidden="1" customHeight="1" outlineLevel="1">
      <c r="B6" s="1172"/>
      <c r="C6" s="1173"/>
      <c r="D6" s="1174"/>
      <c r="E6" s="1175"/>
      <c r="F6" s="1174"/>
      <c r="G6" s="1174"/>
      <c r="H6" s="1174"/>
      <c r="I6" s="1174"/>
      <c r="J6" s="1174"/>
      <c r="K6" s="1174"/>
      <c r="L6" s="1174"/>
      <c r="M6" s="1174"/>
      <c r="N6" s="1174"/>
      <c r="O6" s="1174"/>
      <c r="P6" s="1176"/>
    </row>
    <row r="7" spans="1:20" ht="15.75" hidden="1" outlineLevel="1">
      <c r="B7" s="1177"/>
      <c r="C7" s="1174"/>
      <c r="D7" s="922" t="s">
        <v>830</v>
      </c>
      <c r="E7" s="922" t="s">
        <v>1352</v>
      </c>
      <c r="F7" s="1174"/>
      <c r="G7" s="1174"/>
      <c r="H7" s="1174"/>
      <c r="I7" s="1174"/>
      <c r="J7" s="1174"/>
      <c r="K7" s="1174"/>
      <c r="L7" s="1174"/>
      <c r="M7" s="1174"/>
      <c r="N7" s="1174"/>
      <c r="O7" s="1174"/>
      <c r="P7" s="1176"/>
    </row>
    <row r="8" spans="1:20" ht="15.75" hidden="1" outlineLevel="1">
      <c r="B8" s="1177"/>
      <c r="C8" s="1174"/>
      <c r="D8" s="950" t="s">
        <v>1355</v>
      </c>
      <c r="E8" s="950">
        <f>VI.a.Scenario</f>
        <v>1</v>
      </c>
      <c r="F8" s="1174"/>
      <c r="G8" s="1174"/>
      <c r="H8" s="1174"/>
      <c r="I8" s="1174"/>
      <c r="J8" s="1174"/>
      <c r="K8" s="1174"/>
      <c r="L8" s="1174"/>
      <c r="M8" s="1174"/>
      <c r="N8" s="1174"/>
      <c r="O8" s="1174"/>
      <c r="P8" s="1176"/>
    </row>
    <row r="9" spans="1:20" ht="15.75" hidden="1" outlineLevel="1">
      <c r="B9" s="1177"/>
      <c r="C9" s="1174"/>
      <c r="D9" s="765"/>
      <c r="E9" s="765"/>
      <c r="F9" s="1174"/>
      <c r="G9" s="1174"/>
      <c r="H9" s="1174"/>
      <c r="I9" s="1174"/>
      <c r="J9" s="1174"/>
      <c r="K9" s="1174"/>
      <c r="L9" s="1174"/>
      <c r="M9" s="1174"/>
      <c r="N9" s="1174"/>
      <c r="O9" s="1174"/>
      <c r="P9" s="1176"/>
    </row>
    <row r="10" spans="1:20" ht="15.75" hidden="1" outlineLevel="1">
      <c r="B10" s="1177"/>
      <c r="C10" s="1186" t="s">
        <v>643</v>
      </c>
      <c r="D10" s="765" t="s">
        <v>2432</v>
      </c>
      <c r="E10" s="765"/>
      <c r="F10" s="1174"/>
      <c r="G10" s="1174"/>
      <c r="H10" s="1174"/>
      <c r="I10" s="1174"/>
      <c r="J10" s="1174"/>
      <c r="K10" s="1174"/>
      <c r="L10" s="1174"/>
      <c r="M10" s="1174"/>
      <c r="N10" s="1174"/>
      <c r="O10" s="1174"/>
      <c r="P10" s="1176"/>
    </row>
    <row r="11" spans="1:20" ht="15.75" hidden="1" outlineLevel="1">
      <c r="B11" s="1177"/>
      <c r="C11" s="1186"/>
      <c r="D11" s="765" t="s">
        <v>2433</v>
      </c>
      <c r="E11" s="765"/>
      <c r="F11" s="1174"/>
      <c r="G11" s="1174"/>
      <c r="H11" s="1174"/>
      <c r="I11" s="1174"/>
      <c r="J11" s="1174"/>
      <c r="K11" s="1174"/>
      <c r="L11" s="1174"/>
      <c r="M11" s="1174"/>
      <c r="N11" s="1174"/>
      <c r="O11" s="1174"/>
      <c r="P11" s="1176"/>
    </row>
    <row r="12" spans="1:20" hidden="1" outlineLevel="1">
      <c r="B12" s="1192"/>
      <c r="C12" s="1180"/>
      <c r="D12" s="1180"/>
      <c r="E12" s="1180"/>
      <c r="F12" s="1180"/>
      <c r="G12" s="1180"/>
      <c r="H12" s="1180"/>
      <c r="I12" s="1180"/>
      <c r="J12" s="1180"/>
      <c r="K12" s="1180"/>
      <c r="L12" s="1180"/>
      <c r="M12" s="1180"/>
      <c r="N12" s="1180"/>
      <c r="O12" s="1180"/>
      <c r="P12" s="1181"/>
    </row>
    <row r="14" spans="1:20" s="743" customFormat="1" ht="22.5" collapsed="1">
      <c r="A14" s="1170"/>
      <c r="B14" s="1236" t="s">
        <v>1354</v>
      </c>
      <c r="C14" s="1167"/>
      <c r="D14" s="1167"/>
      <c r="E14" s="1167"/>
      <c r="F14" s="1167"/>
      <c r="G14" s="1167"/>
      <c r="H14" s="1167"/>
      <c r="I14" s="1167"/>
      <c r="J14" s="1167"/>
      <c r="K14" s="1167"/>
      <c r="L14" s="1167"/>
      <c r="M14" s="1167"/>
      <c r="N14" s="1167"/>
      <c r="O14" s="1167"/>
      <c r="P14" s="1168"/>
      <c r="T14" s="121"/>
    </row>
    <row r="15" spans="1:20" hidden="1" outlineLevel="1">
      <c r="B15" s="1157"/>
      <c r="C15" s="864"/>
      <c r="D15" s="864"/>
      <c r="E15" s="864"/>
      <c r="F15" s="864"/>
      <c r="G15" s="864"/>
      <c r="H15" s="864"/>
      <c r="I15" s="864"/>
      <c r="J15" s="864"/>
      <c r="K15" s="864"/>
      <c r="L15" s="864"/>
      <c r="M15" s="864"/>
      <c r="N15" s="864"/>
      <c r="O15" s="864"/>
      <c r="P15" s="1158"/>
    </row>
    <row r="16" spans="1:20" hidden="1" outlineLevel="1">
      <c r="B16" s="1157"/>
      <c r="C16" s="866" t="s">
        <v>1478</v>
      </c>
      <c r="D16" s="864"/>
      <c r="E16" s="1256"/>
      <c r="F16" s="864"/>
      <c r="G16" s="864"/>
      <c r="H16" s="864"/>
      <c r="I16" s="864"/>
      <c r="J16" s="864"/>
      <c r="K16" s="864"/>
      <c r="L16" s="864"/>
      <c r="M16" s="864"/>
      <c r="N16" s="864"/>
      <c r="O16" s="867" t="str">
        <f>Preferences.AreaUnits</f>
        <v>M ha</v>
      </c>
      <c r="P16" s="1158"/>
    </row>
    <row r="17" spans="2:40" ht="5.25" hidden="1" customHeight="1" outlineLevel="1">
      <c r="B17" s="1157"/>
      <c r="C17" s="864"/>
      <c r="D17" s="864"/>
      <c r="E17" s="864"/>
      <c r="F17" s="864"/>
      <c r="G17" s="864"/>
      <c r="H17" s="864"/>
      <c r="I17" s="864"/>
      <c r="J17" s="864"/>
      <c r="K17" s="864"/>
      <c r="L17" s="864"/>
      <c r="M17" s="864"/>
      <c r="N17" s="864"/>
      <c r="O17" s="864"/>
      <c r="P17" s="1158"/>
    </row>
    <row r="18" spans="2:40" hidden="1" outlineLevel="1">
      <c r="B18" s="1157"/>
      <c r="C18" s="766" t="s">
        <v>1352</v>
      </c>
      <c r="D18" s="766" t="s">
        <v>79</v>
      </c>
      <c r="E18" s="766" t="s">
        <v>1442</v>
      </c>
      <c r="F18" s="1541">
        <v>2007</v>
      </c>
      <c r="G18" s="924">
        <v>2010</v>
      </c>
      <c r="H18" s="923">
        <v>2015</v>
      </c>
      <c r="I18" s="923">
        <v>2020</v>
      </c>
      <c r="J18" s="923">
        <v>2025</v>
      </c>
      <c r="K18" s="923">
        <v>2030</v>
      </c>
      <c r="L18" s="923">
        <v>2035</v>
      </c>
      <c r="M18" s="923">
        <v>2040</v>
      </c>
      <c r="N18" s="923">
        <v>2045</v>
      </c>
      <c r="O18" s="923">
        <v>2050</v>
      </c>
      <c r="P18" s="1158"/>
    </row>
    <row r="19" spans="2:40" ht="15.75" hidden="1" outlineLevel="1">
      <c r="B19" s="1159"/>
      <c r="C19" s="1516">
        <v>1</v>
      </c>
      <c r="D19" s="833" t="s">
        <v>2092</v>
      </c>
      <c r="E19" s="1649" t="s">
        <v>1437</v>
      </c>
      <c r="F19" s="1716">
        <f>(Unit.Mha/1000)*4171.042</f>
        <v>4.1710420000000008</v>
      </c>
      <c r="G19" s="2334">
        <f>(Unit.Mha/1000)*4624.09385079411</f>
        <v>4.6240938507941101</v>
      </c>
      <c r="H19" s="2335">
        <f>(Unit.Mha/1000)*4566.45644463769</f>
        <v>4.5664564446376898</v>
      </c>
      <c r="I19" s="2335">
        <f>(Unit.Mha/1000)*4509.53746477096</f>
        <v>4.5095374647709594</v>
      </c>
      <c r="J19" s="2335">
        <f>(Unit.Mha/1000)*4453.3279563091</f>
        <v>4.4533279563091002</v>
      </c>
      <c r="K19" s="2335">
        <f>(Unit.Mha/1000)*4397.81907598621</f>
        <v>4.3978190759862104</v>
      </c>
      <c r="L19" s="2335">
        <f>(Unit.Mha/1000)*4343.002090764</f>
        <v>4.3430020907640001</v>
      </c>
      <c r="M19" s="2335">
        <f>(Unit.Mha/1000)*4288.86837645788</f>
        <v>4.2888683764578799</v>
      </c>
      <c r="N19" s="2335">
        <f>(Unit.Mha/1000)*4235.40941638013</f>
        <v>4.2354094163801301</v>
      </c>
      <c r="O19" s="2335">
        <f>(Unit.Mha/1000)*4182.61680000001</f>
        <v>4.1826168000000097</v>
      </c>
      <c r="P19" s="1158"/>
    </row>
    <row r="20" spans="2:40" ht="15.75" hidden="1" outlineLevel="1">
      <c r="B20" s="1159"/>
      <c r="C20" s="831">
        <v>1</v>
      </c>
      <c r="D20" s="832" t="s">
        <v>2093</v>
      </c>
      <c r="E20" s="1254" t="s">
        <v>1438</v>
      </c>
      <c r="F20" s="913">
        <f>(Unit.Mha/1000)*347.94</f>
        <v>0.34794000000000003</v>
      </c>
      <c r="G20" s="2336">
        <f t="shared" ref="G20:O20" si="0">(Unit.Mha/1000)*100</f>
        <v>0.1</v>
      </c>
      <c r="H20" s="2337">
        <f t="shared" si="0"/>
        <v>0.1</v>
      </c>
      <c r="I20" s="2337">
        <f t="shared" si="0"/>
        <v>0.1</v>
      </c>
      <c r="J20" s="2337">
        <f t="shared" si="0"/>
        <v>0.1</v>
      </c>
      <c r="K20" s="2337">
        <f t="shared" si="0"/>
        <v>0.1</v>
      </c>
      <c r="L20" s="2337">
        <f t="shared" si="0"/>
        <v>0.1</v>
      </c>
      <c r="M20" s="2337">
        <f t="shared" si="0"/>
        <v>0.1</v>
      </c>
      <c r="N20" s="2337">
        <f t="shared" si="0"/>
        <v>0.1</v>
      </c>
      <c r="O20" s="2337">
        <f t="shared" si="0"/>
        <v>0.1</v>
      </c>
      <c r="P20" s="1158"/>
    </row>
    <row r="21" spans="2:40" ht="15.75" hidden="1" outlineLevel="1">
      <c r="B21" s="1159"/>
      <c r="C21" s="831">
        <v>1</v>
      </c>
      <c r="D21" s="832" t="s">
        <v>2096</v>
      </c>
      <c r="E21" s="1254" t="s">
        <v>2120</v>
      </c>
      <c r="F21" s="913">
        <f>(Unit.Mha/1000)*16</f>
        <v>1.6E-2</v>
      </c>
      <c r="G21" s="2336">
        <f>(Unit.Mha/1000)*11.1061492058862</f>
        <v>1.1106149205886201E-2</v>
      </c>
      <c r="H21" s="2337">
        <f>(Unit.Mha/1000)*68.7435553623137</f>
        <v>6.8743555362313705E-2</v>
      </c>
      <c r="I21" s="2337">
        <f>(Unit.Mha/1000)*125.662535229043</f>
        <v>0.125662535229043</v>
      </c>
      <c r="J21" s="2337">
        <f>(Unit.Mha/1000)*181.872043690899</f>
        <v>0.18187204369089902</v>
      </c>
      <c r="K21" s="2337">
        <f>(Unit.Mha/1000)*237.380924013793</f>
        <v>0.23738092401379299</v>
      </c>
      <c r="L21" s="2337">
        <f>(Unit.Mha/1000)*292.197909236004</f>
        <v>0.29219790923600403</v>
      </c>
      <c r="M21" s="2337">
        <f>(Unit.Mha/1000)*346.331623542124</f>
        <v>0.34633162354212405</v>
      </c>
      <c r="N21" s="2337">
        <f>(Unit.Mha/1000)*399.790583619872</f>
        <v>0.39979058361987202</v>
      </c>
      <c r="O21" s="2337">
        <f>(Unit.Mha/1000)*452.583199999995</f>
        <v>0.45258319999999497</v>
      </c>
      <c r="P21" s="1158"/>
    </row>
    <row r="22" spans="2:40" ht="15.75" hidden="1" outlineLevel="1">
      <c r="B22" s="1159"/>
      <c r="C22" s="831">
        <v>1</v>
      </c>
      <c r="D22" s="832" t="s">
        <v>2094</v>
      </c>
      <c r="E22" s="1254" t="s">
        <v>2121</v>
      </c>
      <c r="F22" s="913">
        <f>(Unit.Mha/1000)*0</f>
        <v>0</v>
      </c>
      <c r="G22" s="2336">
        <f>(Unit.Mha/1000)*20</f>
        <v>0.02</v>
      </c>
      <c r="H22" s="2337">
        <f>(Unit.Mha/1000)*70</f>
        <v>7.0000000000000007E-2</v>
      </c>
      <c r="I22" s="2337">
        <f>(Unit.Mha/1000)*120</f>
        <v>0.12</v>
      </c>
      <c r="J22" s="2337">
        <f>(Unit.Mha/1000)*170</f>
        <v>0.17</v>
      </c>
      <c r="K22" s="2337">
        <f>(Unit.Mha/1000)*220</f>
        <v>0.22</v>
      </c>
      <c r="L22" s="2337">
        <f>(Unit.Mha/1000)*320</f>
        <v>0.32</v>
      </c>
      <c r="M22" s="2337">
        <f>(Unit.Mha/1000)*420</f>
        <v>0.42</v>
      </c>
      <c r="N22" s="2337">
        <f>(Unit.Mha/1000)*520</f>
        <v>0.52</v>
      </c>
      <c r="O22" s="2337">
        <f>(Unit.Mha/1000)*620</f>
        <v>0.62</v>
      </c>
      <c r="P22" s="1158"/>
    </row>
    <row r="23" spans="2:40" ht="15.75" hidden="1" outlineLevel="1">
      <c r="B23" s="1159"/>
      <c r="C23" s="831">
        <v>1</v>
      </c>
      <c r="D23" s="832" t="s">
        <v>2095</v>
      </c>
      <c r="E23" s="1254" t="s">
        <v>1440</v>
      </c>
      <c r="F23" s="913">
        <f>(Unit.Mha/1000)*13202.018</f>
        <v>13.202018000000001</v>
      </c>
      <c r="G23" s="2336">
        <f>(Unit.Mha/1000)*12916.4786732</f>
        <v>12.9164786732</v>
      </c>
      <c r="H23" s="2337">
        <f>(Unit.Mha/1000)*12787.8295133295</f>
        <v>12.7878295133295</v>
      </c>
      <c r="I23" s="2337">
        <f>(Unit.Mha/1000)*12660.461709373</f>
        <v>12.660461709372999</v>
      </c>
      <c r="J23" s="2337">
        <f>(Unit.Mha/1000)*12534.3624989232</f>
        <v>12.534362498923199</v>
      </c>
      <c r="K23" s="2337">
        <f>(Unit.Mha/1000)*12409.5192466872</f>
        <v>12.4095192466872</v>
      </c>
      <c r="L23" s="2337">
        <f>(Unit.Mha/1000)*12285.919443221</f>
        <v>12.285919443221001</v>
      </c>
      <c r="M23" s="2337">
        <f>(Unit.Mha/1000)*12163.5507036755</f>
        <v>12.163550703675501</v>
      </c>
      <c r="N23" s="2337">
        <f>(Unit.Mha/1000)*12042.4007665555</f>
        <v>12.042400766555501</v>
      </c>
      <c r="O23" s="2337">
        <f>(Unit.Mha/1000)*11922.4574924916</f>
        <v>11.922457492491599</v>
      </c>
      <c r="P23" s="1158"/>
    </row>
    <row r="24" spans="2:40" ht="15.75" hidden="1" outlineLevel="1">
      <c r="B24" s="1159"/>
      <c r="C24" s="831">
        <v>1</v>
      </c>
      <c r="D24" s="832" t="s">
        <v>1479</v>
      </c>
      <c r="E24" s="1254" t="s">
        <v>1488</v>
      </c>
      <c r="F24" s="913">
        <f>(Unit.Mha/1000)*2124.062</f>
        <v>2.1240619999999999</v>
      </c>
      <c r="G24" s="2336">
        <f>(Unit.Mha/1000)*2169.062</f>
        <v>2.1690619999999998</v>
      </c>
      <c r="H24" s="2337">
        <f>(Unit.Mha/1000)*2244.062</f>
        <v>2.244062</v>
      </c>
      <c r="I24" s="2337">
        <f>(Unit.Mha/1000)*2319.062</f>
        <v>2.3190619999999997</v>
      </c>
      <c r="J24" s="2337">
        <f>(Unit.Mha/1000)*2394.062</f>
        <v>2.3940619999999999</v>
      </c>
      <c r="K24" s="2337">
        <f>(Unit.Mha/1000)*2469.062</f>
        <v>2.4690620000000001</v>
      </c>
      <c r="L24" s="2337">
        <f>(Unit.Mha/1000)*2544.062</f>
        <v>2.5440619999999998</v>
      </c>
      <c r="M24" s="2337">
        <f>(Unit.Mha/1000)*2619.062</f>
        <v>2.619062</v>
      </c>
      <c r="N24" s="2337">
        <f>(Unit.Mha/1000)*2694.062</f>
        <v>2.6940619999999997</v>
      </c>
      <c r="O24" s="2337">
        <f>(Unit.Mha/1000)*2769.062</f>
        <v>2.7690619999999999</v>
      </c>
      <c r="P24" s="1158"/>
    </row>
    <row r="25" spans="2:40" ht="15.75" hidden="1" outlineLevel="1">
      <c r="B25" s="1159"/>
      <c r="C25" s="831">
        <v>1</v>
      </c>
      <c r="D25" s="832" t="s">
        <v>1480</v>
      </c>
      <c r="E25" s="1254" t="s">
        <v>1058</v>
      </c>
      <c r="F25" s="913">
        <f>(Unit.Mha/1000)*2436.97</f>
        <v>2.4369699999999996</v>
      </c>
      <c r="G25" s="2336">
        <f>(Unit.Mha/1000)*2478.586</f>
        <v>2.478586</v>
      </c>
      <c r="H25" s="2337">
        <f>(Unit.Mha/1000)*2547.946</f>
        <v>2.547946</v>
      </c>
      <c r="I25" s="2337">
        <f>(Unit.Mha/1000)*2617.306</f>
        <v>2.6173060000000001</v>
      </c>
      <c r="J25" s="2337">
        <f>(Unit.Mha/1000)*2686.666</f>
        <v>2.6866660000000002</v>
      </c>
      <c r="K25" s="2337">
        <f>(Unit.Mha/1000)*2756.026</f>
        <v>2.7560259999999999</v>
      </c>
      <c r="L25" s="2337">
        <f>(Unit.Mha/1000)*2825.386</f>
        <v>2.825386</v>
      </c>
      <c r="M25" s="2337">
        <f>(Unit.Mha/1000)*2894.746</f>
        <v>2.894746</v>
      </c>
      <c r="N25" s="2337">
        <f>(Unit.Mha/1000)*2964.106</f>
        <v>2.9641060000000001</v>
      </c>
      <c r="O25" s="2337">
        <f>(Unit.Mha/1000)*3033.466</f>
        <v>3.0334659999999998</v>
      </c>
      <c r="P25" s="1158"/>
    </row>
    <row r="26" spans="2:40" ht="15.75" hidden="1" outlineLevel="1">
      <c r="B26" s="1159"/>
      <c r="C26" s="1715">
        <v>1</v>
      </c>
      <c r="D26" s="1650" t="s">
        <v>123</v>
      </c>
      <c r="E26" s="1651" t="s">
        <v>1489</v>
      </c>
      <c r="F26" s="1718">
        <f>(Unit.Mha/1000)*2134.962</f>
        <v>2.1349620000000002</v>
      </c>
      <c r="G26" s="2338">
        <f>(Unit.Mha/1000)*2113.6673268</f>
        <v>2.1136673267999999</v>
      </c>
      <c r="H26" s="2339">
        <f>(Unit.Mha/1000)*2047.95648667046</f>
        <v>2.04795648667046</v>
      </c>
      <c r="I26" s="2339">
        <f>(Unit.Mha/1000)*1980.96429062697</f>
        <v>1.9809642906269702</v>
      </c>
      <c r="J26" s="2339">
        <f>(Unit.Mha/1000)*1912.70350107683</f>
        <v>1.9127035010768301</v>
      </c>
      <c r="K26" s="2339">
        <f>(Unit.Mha/1000)*1843.18675331275</f>
        <v>1.8431867533127499</v>
      </c>
      <c r="L26" s="2339">
        <f>(Unit.Mha/1000)*1722.42655677893</f>
        <v>1.7224265567789301</v>
      </c>
      <c r="M26" s="2339">
        <f>(Unit.Mha/1000)*1600.43529632449</f>
        <v>1.6004352963244901</v>
      </c>
      <c r="N26" s="2339">
        <f>(Unit.Mha/1000)*1477.22523344446</f>
        <v>1.47722523344446</v>
      </c>
      <c r="O26" s="2339">
        <f>(Unit.Mha/1000)*1352.80850750841</f>
        <v>1.35280850750841</v>
      </c>
      <c r="P26" s="1158"/>
    </row>
    <row r="27" spans="2:40" ht="15.75" hidden="1" outlineLevel="1">
      <c r="B27" s="1159"/>
      <c r="C27" s="1516">
        <v>3</v>
      </c>
      <c r="D27" s="833" t="s">
        <v>2092</v>
      </c>
      <c r="E27" s="1649" t="s">
        <v>1437</v>
      </c>
      <c r="F27" s="1716">
        <f>(Unit.Mha/1000)*4171.042</f>
        <v>4.1710420000000008</v>
      </c>
      <c r="G27" s="2334">
        <f>(Unit.Mha/1000)*4570.89058712264</f>
        <v>4.5708905871226397</v>
      </c>
      <c r="H27" s="2335">
        <f>(Unit.Mha/1000)*4385.19560271387</f>
        <v>4.3851956027138703</v>
      </c>
      <c r="I27" s="2335">
        <f>(Unit.Mha/1000)*4207.04458081685</f>
        <v>4.2070445808168495</v>
      </c>
      <c r="J27" s="2335">
        <f>(Unit.Mha/1000)*4036.13104373883</f>
        <v>4.0361310437388305</v>
      </c>
      <c r="K27" s="2335">
        <f>(Unit.Mha/1000)*3872.16096461457</f>
        <v>3.87216096461457</v>
      </c>
      <c r="L27" s="2335">
        <f>(Unit.Mha/1000)*3714.85226158456</f>
        <v>3.7148522615845603</v>
      </c>
      <c r="M27" s="2335">
        <f>(Unit.Mha/1000)*3563.93431252246</f>
        <v>3.5639343125224601</v>
      </c>
      <c r="N27" s="2335">
        <f>(Unit.Mha/1000)*3419.14748947703</f>
        <v>3.4191474894770302</v>
      </c>
      <c r="O27" s="1716">
        <f>(Unit.Mha/1000)*3280.24271202765</f>
        <v>3.2802427120276505</v>
      </c>
      <c r="P27" s="1158"/>
      <c r="AF27" s="121">
        <v>4570.8905871226398</v>
      </c>
      <c r="AG27" s="121">
        <v>4385.1956027138713</v>
      </c>
      <c r="AH27" s="121">
        <v>4207.0445808168542</v>
      </c>
      <c r="AI27" s="121">
        <v>4036.1310437388297</v>
      </c>
      <c r="AJ27" s="121">
        <v>3872.1609646145712</v>
      </c>
      <c r="AK27" s="121">
        <v>3714.8522615845609</v>
      </c>
      <c r="AL27" s="121">
        <v>3563.9343125224573</v>
      </c>
      <c r="AM27" s="121">
        <v>3419.1474894770304</v>
      </c>
      <c r="AN27" s="121">
        <v>3280.2427120276548</v>
      </c>
    </row>
    <row r="28" spans="2:40" ht="15.75" hidden="1" outlineLevel="1">
      <c r="B28" s="1159"/>
      <c r="C28" s="831">
        <v>3</v>
      </c>
      <c r="D28" s="832" t="s">
        <v>2093</v>
      </c>
      <c r="E28" s="1254" t="s">
        <v>1438</v>
      </c>
      <c r="F28" s="913">
        <f>(Unit.Mha/1000)*347.94</f>
        <v>0.34794000000000003</v>
      </c>
      <c r="G28" s="2336">
        <f t="shared" ref="G28:O28" si="1">(Unit.Mha/1000)*100</f>
        <v>0.1</v>
      </c>
      <c r="H28" s="2337">
        <f t="shared" si="1"/>
        <v>0.1</v>
      </c>
      <c r="I28" s="2337">
        <f t="shared" si="1"/>
        <v>0.1</v>
      </c>
      <c r="J28" s="2337">
        <f t="shared" si="1"/>
        <v>0.1</v>
      </c>
      <c r="K28" s="2337">
        <f t="shared" si="1"/>
        <v>0.1</v>
      </c>
      <c r="L28" s="2337">
        <f t="shared" si="1"/>
        <v>0.1</v>
      </c>
      <c r="M28" s="2337">
        <f t="shared" si="1"/>
        <v>0.1</v>
      </c>
      <c r="N28" s="2337">
        <f t="shared" si="1"/>
        <v>0.1</v>
      </c>
      <c r="O28" s="913">
        <f t="shared" si="1"/>
        <v>0.1</v>
      </c>
      <c r="P28" s="1158"/>
      <c r="AF28" s="121">
        <v>100</v>
      </c>
      <c r="AG28" s="121">
        <v>100</v>
      </c>
      <c r="AH28" s="121">
        <v>100</v>
      </c>
      <c r="AI28" s="121">
        <v>100</v>
      </c>
      <c r="AJ28" s="121">
        <v>100</v>
      </c>
      <c r="AK28" s="121">
        <v>100</v>
      </c>
      <c r="AL28" s="121">
        <v>100</v>
      </c>
      <c r="AM28" s="121">
        <v>100</v>
      </c>
      <c r="AN28" s="121">
        <v>100</v>
      </c>
    </row>
    <row r="29" spans="2:40" ht="15.75" hidden="1" outlineLevel="1">
      <c r="B29" s="1159"/>
      <c r="C29" s="831">
        <v>3</v>
      </c>
      <c r="D29" s="832" t="s">
        <v>2096</v>
      </c>
      <c r="E29" s="1254" t="s">
        <v>2120</v>
      </c>
      <c r="F29" s="913">
        <f>(Unit.Mha/1000)*16</f>
        <v>1.6E-2</v>
      </c>
      <c r="G29" s="2336">
        <f>(Unit.Mha/1000)*64.3094128773601</f>
        <v>6.4309412877360098E-2</v>
      </c>
      <c r="H29" s="2337">
        <f>(Unit.Mha/1000)*250.004397286129</f>
        <v>0.250004397286129</v>
      </c>
      <c r="I29" s="2337">
        <f>(Unit.Mha/1000)*428.155419183146</f>
        <v>0.42815541918314604</v>
      </c>
      <c r="J29" s="2337">
        <f>(Unit.Mha/1000)*599.06895626117</f>
        <v>0.59906895626116996</v>
      </c>
      <c r="K29" s="2337">
        <f>(Unit.Mha/1000)*763.039035385429</f>
        <v>0.76303903538542894</v>
      </c>
      <c r="L29" s="2337">
        <f>(Unit.Mha/1000)*920.347738415439</f>
        <v>0.92034773841543904</v>
      </c>
      <c r="M29" s="2337">
        <f>(Unit.Mha/1000)*1071.26568747754</f>
        <v>1.0712656874775401</v>
      </c>
      <c r="N29" s="2337">
        <f>(Unit.Mha/1000)*1216.05251052297</f>
        <v>1.21605251052297</v>
      </c>
      <c r="O29" s="913">
        <f>(Unit.Mha/1000)*1354.95728797235</f>
        <v>1.3549572879723502</v>
      </c>
      <c r="P29" s="1158"/>
      <c r="AF29" s="121">
        <v>64.309412877360103</v>
      </c>
      <c r="AG29" s="121">
        <v>250.00439728612861</v>
      </c>
      <c r="AH29" s="121">
        <v>428.15541918314557</v>
      </c>
      <c r="AI29" s="121">
        <v>599.06895626117011</v>
      </c>
      <c r="AJ29" s="121">
        <v>763.03903538542863</v>
      </c>
      <c r="AK29" s="121">
        <v>920.34773841543893</v>
      </c>
      <c r="AL29" s="121">
        <v>1071.2656874775425</v>
      </c>
      <c r="AM29" s="121">
        <v>1216.0525105229694</v>
      </c>
      <c r="AN29" s="121">
        <v>1354.9572879723451</v>
      </c>
    </row>
    <row r="30" spans="2:40" ht="15.75" hidden="1" outlineLevel="1">
      <c r="B30" s="1159"/>
      <c r="C30" s="831">
        <v>3</v>
      </c>
      <c r="D30" s="832" t="s">
        <v>2094</v>
      </c>
      <c r="E30" s="1254" t="s">
        <v>2121</v>
      </c>
      <c r="F30" s="913">
        <f>(Unit.Mha/1000)*0</f>
        <v>0</v>
      </c>
      <c r="G30" s="2336">
        <f>(Unit.Mha/1000)*30</f>
        <v>0.03</v>
      </c>
      <c r="H30" s="2337">
        <f>(Unit.Mha/1000)*105</f>
        <v>0.105</v>
      </c>
      <c r="I30" s="2337">
        <f>(Unit.Mha/1000)*180</f>
        <v>0.18</v>
      </c>
      <c r="J30" s="2337">
        <f>(Unit.Mha/1000)*255</f>
        <v>0.255</v>
      </c>
      <c r="K30" s="2337">
        <f>(Unit.Mha/1000)*330</f>
        <v>0.33</v>
      </c>
      <c r="L30" s="2337">
        <f>(Unit.Mha/1000)*480</f>
        <v>0.48</v>
      </c>
      <c r="M30" s="2337">
        <f>(Unit.Mha/1000)*630</f>
        <v>0.63</v>
      </c>
      <c r="N30" s="2337">
        <f>(Unit.Mha/1000)*780</f>
        <v>0.78</v>
      </c>
      <c r="O30" s="913">
        <f>(Unit.Mha/1000)*930</f>
        <v>0.93</v>
      </c>
      <c r="P30" s="1158"/>
      <c r="AF30" s="121">
        <v>30</v>
      </c>
      <c r="AG30" s="121">
        <v>105</v>
      </c>
      <c r="AH30" s="121">
        <v>180</v>
      </c>
      <c r="AI30" s="121">
        <v>255</v>
      </c>
      <c r="AJ30" s="121">
        <v>330</v>
      </c>
      <c r="AK30" s="121">
        <v>480</v>
      </c>
      <c r="AL30" s="121">
        <v>630</v>
      </c>
      <c r="AM30" s="121">
        <v>780</v>
      </c>
      <c r="AN30" s="121">
        <v>930</v>
      </c>
    </row>
    <row r="31" spans="2:40" ht="15.75" hidden="1" outlineLevel="1">
      <c r="B31" s="1159"/>
      <c r="C31" s="831">
        <v>3</v>
      </c>
      <c r="D31" s="832" t="s">
        <v>2095</v>
      </c>
      <c r="E31" s="1254" t="s">
        <v>1440</v>
      </c>
      <c r="F31" s="913">
        <f>(Unit.Mha/1000)*13202.018</f>
        <v>13.202018000000001</v>
      </c>
      <c r="G31" s="2336">
        <f>(Unit.Mha/1000)*12890.6069147</f>
        <v>12.890606914699999</v>
      </c>
      <c r="H31" s="2337">
        <f>(Unit.Mha/1000)*12698.4044903555</f>
        <v>12.6984044903555</v>
      </c>
      <c r="I31" s="2337">
        <f>(Unit.Mha/1000)*12509.0678559749</f>
        <v>12.5090678559749</v>
      </c>
      <c r="J31" s="2337">
        <f>(Unit.Mha/1000)*12322.5542818571</f>
        <v>12.3225542818571</v>
      </c>
      <c r="K31" s="2337">
        <f>(Unit.Mha/1000)*12138.8216754126</f>
        <v>12.138821675412601</v>
      </c>
      <c r="L31" s="2337">
        <f>(Unit.Mha/1000)*11957.8285716636</f>
        <v>11.957828571663601</v>
      </c>
      <c r="M31" s="2337">
        <f>(Unit.Mha/1000)*11779.5341238864</f>
        <v>11.7795341238864</v>
      </c>
      <c r="N31" s="2337">
        <f>(Unit.Mha/1000)*11603.8980943929</f>
        <v>11.6038980943929</v>
      </c>
      <c r="O31" s="913">
        <f>(Unit.Mha/1000)*11430.8808454498</f>
        <v>11.430880845449799</v>
      </c>
      <c r="P31" s="1158"/>
      <c r="AF31" s="121">
        <v>12890.6069147</v>
      </c>
      <c r="AG31" s="121">
        <v>12698.404490355519</v>
      </c>
      <c r="AH31" s="121">
        <v>12509.067855974874</v>
      </c>
      <c r="AI31" s="121">
        <v>12322.554281857101</v>
      </c>
      <c r="AJ31" s="121">
        <v>12138.821675412595</v>
      </c>
      <c r="AK31" s="121">
        <v>11957.828571663615</v>
      </c>
      <c r="AL31" s="121">
        <v>11779.534123886411</v>
      </c>
      <c r="AM31" s="121">
        <v>11603.8980943929</v>
      </c>
      <c r="AN31" s="121">
        <v>11430.880845449776</v>
      </c>
    </row>
    <row r="32" spans="2:40" ht="15.75" hidden="1" outlineLevel="1">
      <c r="B32" s="1159"/>
      <c r="C32" s="831">
        <v>3</v>
      </c>
      <c r="D32" s="832" t="s">
        <v>1479</v>
      </c>
      <c r="E32" s="1254" t="s">
        <v>1488</v>
      </c>
      <c r="F32" s="913">
        <f>(Unit.Mha/1000)*2124.062</f>
        <v>2.1240619999999999</v>
      </c>
      <c r="G32" s="2336">
        <f>(Unit.Mha/1000)*2169.062</f>
        <v>2.1690619999999998</v>
      </c>
      <c r="H32" s="2337">
        <f>(Unit.Mha/1000)*2244.062</f>
        <v>2.244062</v>
      </c>
      <c r="I32" s="2337">
        <f>(Unit.Mha/1000)*2319.062</f>
        <v>2.3190619999999997</v>
      </c>
      <c r="J32" s="2337">
        <f>(Unit.Mha/1000)*2394.062</f>
        <v>2.3940619999999999</v>
      </c>
      <c r="K32" s="2337">
        <f>(Unit.Mha/1000)*2469.062</f>
        <v>2.4690620000000001</v>
      </c>
      <c r="L32" s="2337">
        <f>(Unit.Mha/1000)*2544.062</f>
        <v>2.5440619999999998</v>
      </c>
      <c r="M32" s="2337">
        <f>(Unit.Mha/1000)*2619.062</f>
        <v>2.619062</v>
      </c>
      <c r="N32" s="2337">
        <f>(Unit.Mha/1000)*2694.062</f>
        <v>2.6940619999999997</v>
      </c>
      <c r="O32" s="913">
        <f>(Unit.Mha/1000)*2769.062</f>
        <v>2.7690619999999999</v>
      </c>
      <c r="P32" s="1158"/>
      <c r="AF32" s="121">
        <v>2169.0619999999999</v>
      </c>
      <c r="AG32" s="121">
        <v>2244.0619999999999</v>
      </c>
      <c r="AH32" s="121">
        <v>2319.0619999999999</v>
      </c>
      <c r="AI32" s="121">
        <v>2394.0619999999999</v>
      </c>
      <c r="AJ32" s="121">
        <v>2469.0619999999999</v>
      </c>
      <c r="AK32" s="121">
        <v>2544.0619999999999</v>
      </c>
      <c r="AL32" s="121">
        <v>2619.0619999999999</v>
      </c>
      <c r="AM32" s="121">
        <v>2694.0619999999999</v>
      </c>
      <c r="AN32" s="121">
        <v>2769.0619999999999</v>
      </c>
    </row>
    <row r="33" spans="2:40" ht="15.75" hidden="1" outlineLevel="1">
      <c r="B33" s="1159"/>
      <c r="C33" s="831">
        <v>3</v>
      </c>
      <c r="D33" s="832" t="s">
        <v>1480</v>
      </c>
      <c r="E33" s="1254" t="s">
        <v>1058</v>
      </c>
      <c r="F33" s="913">
        <f>(Unit.Mha/1000)*2436.97</f>
        <v>2.4369699999999996</v>
      </c>
      <c r="G33" s="2336">
        <f>(Unit.Mha/1000)*2471.144</f>
        <v>2.4711439999999998</v>
      </c>
      <c r="H33" s="2337">
        <f>(Unit.Mha/1000)*2581.504</f>
        <v>2.5815039999999998</v>
      </c>
      <c r="I33" s="2337">
        <f>(Unit.Mha/1000)*2691.864</f>
        <v>2.6918640000000003</v>
      </c>
      <c r="J33" s="2337">
        <f>(Unit.Mha/1000)*2802.224</f>
        <v>2.8022240000000003</v>
      </c>
      <c r="K33" s="2337">
        <f>(Unit.Mha/1000)*2912.584</f>
        <v>2.9125839999999998</v>
      </c>
      <c r="L33" s="2337">
        <f>(Unit.Mha/1000)*3022.944</f>
        <v>3.0229439999999999</v>
      </c>
      <c r="M33" s="2337">
        <f>(Unit.Mha/1000)*3133.304</f>
        <v>3.1333040000000003</v>
      </c>
      <c r="N33" s="2337">
        <f>(Unit.Mha/1000)*3243.664</f>
        <v>3.2436640000000003</v>
      </c>
      <c r="O33" s="913">
        <f>(Unit.Mha/1000)*3354.024</f>
        <v>3.3540239999999999</v>
      </c>
      <c r="P33" s="1158"/>
      <c r="AF33" s="121">
        <v>2471.1439999999998</v>
      </c>
      <c r="AG33" s="121">
        <v>2581.5039999999999</v>
      </c>
      <c r="AH33" s="121">
        <v>2691.864</v>
      </c>
      <c r="AI33" s="121">
        <v>2802.2240000000002</v>
      </c>
      <c r="AJ33" s="121">
        <v>2912.5840000000003</v>
      </c>
      <c r="AK33" s="121">
        <v>3022.9440000000004</v>
      </c>
      <c r="AL33" s="121">
        <v>3133.3040000000005</v>
      </c>
      <c r="AM33" s="121">
        <v>3243.6640000000007</v>
      </c>
      <c r="AN33" s="121">
        <v>3354.0240000000008</v>
      </c>
    </row>
    <row r="34" spans="2:40" ht="15.75" hidden="1" outlineLevel="1">
      <c r="B34" s="1159"/>
      <c r="C34" s="1715">
        <v>3</v>
      </c>
      <c r="D34" s="1650" t="s">
        <v>123</v>
      </c>
      <c r="E34" s="1651" t="s">
        <v>1489</v>
      </c>
      <c r="F34" s="1718">
        <f>(Unit.Mha/1000)*2134.962</f>
        <v>2.1349620000000002</v>
      </c>
      <c r="G34" s="2338">
        <f>(Unit.Mha/1000)*2136.9810853</f>
        <v>2.1369810853</v>
      </c>
      <c r="H34" s="2339">
        <f>(Unit.Mha/1000)*2068.82350964448</f>
        <v>2.06882350964448</v>
      </c>
      <c r="I34" s="2339">
        <f>(Unit.Mha/1000)*1997.80014402512</f>
        <v>1.9978001440251201</v>
      </c>
      <c r="J34" s="2339">
        <f>(Unit.Mha/1000)*1923.9537181429</f>
        <v>1.9239537181429001</v>
      </c>
      <c r="K34" s="2339">
        <f>(Unit.Mha/1000)*1847.3263245874</f>
        <v>1.8473263245874001</v>
      </c>
      <c r="L34" s="2339">
        <f>(Unit.Mha/1000)*1692.95942833638</f>
        <v>1.69295942833638</v>
      </c>
      <c r="M34" s="2339">
        <f>(Unit.Mha/1000)*1535.89387611359</f>
        <v>1.5358938761135901</v>
      </c>
      <c r="N34" s="2339">
        <f>(Unit.Mha/1000)*1376.1699056071</f>
        <v>1.3761699056071</v>
      </c>
      <c r="O34" s="1718">
        <f>(Unit.Mha/1000)*1213.82715455022</f>
        <v>1.2138271545502199</v>
      </c>
      <c r="P34" s="1158"/>
      <c r="AF34" s="121">
        <v>2136.9810852999981</v>
      </c>
      <c r="AG34" s="121">
        <v>2068.8235096444805</v>
      </c>
      <c r="AH34" s="121">
        <v>1997.8001440251246</v>
      </c>
      <c r="AI34" s="121">
        <v>1923.9537181428968</v>
      </c>
      <c r="AJ34" s="121">
        <v>1847.3263245874041</v>
      </c>
      <c r="AK34" s="121">
        <v>1692.959428336384</v>
      </c>
      <c r="AL34" s="121">
        <v>1535.8938761135869</v>
      </c>
      <c r="AM34" s="121">
        <v>1376.1699056070975</v>
      </c>
      <c r="AN34" s="121">
        <v>1213.8271545502212</v>
      </c>
    </row>
    <row r="35" spans="2:40" ht="15.75" hidden="1" outlineLevel="1">
      <c r="B35" s="1159"/>
      <c r="C35" s="1516">
        <v>2</v>
      </c>
      <c r="D35" s="833" t="s">
        <v>2092</v>
      </c>
      <c r="E35" s="1649" t="s">
        <v>1437</v>
      </c>
      <c r="F35" s="1716">
        <f>(Unit.Mha/1000)*4171.042</f>
        <v>4.1710420000000008</v>
      </c>
      <c r="G35" s="914">
        <f t="shared" ref="G35:O35" si="2">(Unit.Mha/1000)*4647.352</f>
        <v>4.6473519999999997</v>
      </c>
      <c r="H35" s="1716">
        <f t="shared" si="2"/>
        <v>4.6473519999999997</v>
      </c>
      <c r="I35" s="1716">
        <f t="shared" si="2"/>
        <v>4.6473519999999997</v>
      </c>
      <c r="J35" s="1716">
        <f t="shared" si="2"/>
        <v>4.6473519999999997</v>
      </c>
      <c r="K35" s="1716">
        <f t="shared" si="2"/>
        <v>4.6473519999999997</v>
      </c>
      <c r="L35" s="1716">
        <f t="shared" si="2"/>
        <v>4.6473519999999997</v>
      </c>
      <c r="M35" s="1716">
        <f t="shared" si="2"/>
        <v>4.6473519999999997</v>
      </c>
      <c r="N35" s="1716">
        <f t="shared" si="2"/>
        <v>4.6473519999999997</v>
      </c>
      <c r="O35" s="1716">
        <f t="shared" si="2"/>
        <v>4.6473519999999997</v>
      </c>
      <c r="P35" s="1158"/>
    </row>
    <row r="36" spans="2:40" ht="15.75" hidden="1" outlineLevel="1">
      <c r="B36" s="1159"/>
      <c r="C36" s="831">
        <v>2</v>
      </c>
      <c r="D36" s="832" t="s">
        <v>2093</v>
      </c>
      <c r="E36" s="1254" t="s">
        <v>1438</v>
      </c>
      <c r="F36" s="913">
        <f>(Unit.Mha/1000)*347.94</f>
        <v>0.34794000000000003</v>
      </c>
      <c r="G36" s="1717">
        <f t="shared" ref="G36:O36" si="3">(Unit.Mha/1000)*70</f>
        <v>7.0000000000000007E-2</v>
      </c>
      <c r="H36" s="913">
        <f t="shared" si="3"/>
        <v>7.0000000000000007E-2</v>
      </c>
      <c r="I36" s="913">
        <f t="shared" si="3"/>
        <v>7.0000000000000007E-2</v>
      </c>
      <c r="J36" s="913">
        <f t="shared" si="3"/>
        <v>7.0000000000000007E-2</v>
      </c>
      <c r="K36" s="913">
        <f t="shared" si="3"/>
        <v>7.0000000000000007E-2</v>
      </c>
      <c r="L36" s="913">
        <f t="shared" si="3"/>
        <v>7.0000000000000007E-2</v>
      </c>
      <c r="M36" s="913">
        <f t="shared" si="3"/>
        <v>7.0000000000000007E-2</v>
      </c>
      <c r="N36" s="913">
        <f t="shared" si="3"/>
        <v>7.0000000000000007E-2</v>
      </c>
      <c r="O36" s="913">
        <f t="shared" si="3"/>
        <v>7.0000000000000007E-2</v>
      </c>
      <c r="P36" s="1158"/>
      <c r="AF36" s="121">
        <v>4647.3519999999999</v>
      </c>
      <c r="AG36" s="121">
        <v>4647.3519999999999</v>
      </c>
      <c r="AH36" s="121">
        <v>4647.3519999999999</v>
      </c>
      <c r="AI36" s="121">
        <v>4647.3519999999999</v>
      </c>
      <c r="AJ36" s="121">
        <v>4647.3519999999999</v>
      </c>
      <c r="AK36" s="121">
        <v>4647.3519999999999</v>
      </c>
      <c r="AL36" s="121">
        <v>4647.3519999999999</v>
      </c>
      <c r="AM36" s="121">
        <v>4647.3519999999999</v>
      </c>
      <c r="AN36" s="121">
        <v>4647.3519999999999</v>
      </c>
    </row>
    <row r="37" spans="2:40" ht="15.75" hidden="1" outlineLevel="1">
      <c r="B37" s="1159"/>
      <c r="C37" s="831">
        <v>2</v>
      </c>
      <c r="D37" s="832" t="s">
        <v>2096</v>
      </c>
      <c r="E37" s="1254" t="s">
        <v>2120</v>
      </c>
      <c r="F37" s="913">
        <f>(Unit.Mha/1000)*16</f>
        <v>1.6E-2</v>
      </c>
      <c r="G37" s="1717">
        <f t="shared" ref="G37:O37" si="4">(Unit.Mha/1000)*30</f>
        <v>0.03</v>
      </c>
      <c r="H37" s="913">
        <f t="shared" si="4"/>
        <v>0.03</v>
      </c>
      <c r="I37" s="913">
        <f t="shared" si="4"/>
        <v>0.03</v>
      </c>
      <c r="J37" s="913">
        <f t="shared" si="4"/>
        <v>0.03</v>
      </c>
      <c r="K37" s="913">
        <f t="shared" si="4"/>
        <v>0.03</v>
      </c>
      <c r="L37" s="913">
        <f t="shared" si="4"/>
        <v>0.03</v>
      </c>
      <c r="M37" s="913">
        <f t="shared" si="4"/>
        <v>0.03</v>
      </c>
      <c r="N37" s="913">
        <f t="shared" si="4"/>
        <v>0.03</v>
      </c>
      <c r="O37" s="913">
        <f t="shared" si="4"/>
        <v>0.03</v>
      </c>
      <c r="P37" s="1158"/>
      <c r="AF37" s="121">
        <v>70</v>
      </c>
      <c r="AG37" s="121">
        <v>70</v>
      </c>
      <c r="AH37" s="121">
        <v>70</v>
      </c>
      <c r="AI37" s="121">
        <v>70</v>
      </c>
      <c r="AJ37" s="121">
        <v>70</v>
      </c>
      <c r="AK37" s="121">
        <v>70</v>
      </c>
      <c r="AL37" s="121">
        <v>70</v>
      </c>
      <c r="AM37" s="121">
        <v>70</v>
      </c>
      <c r="AN37" s="121">
        <v>70</v>
      </c>
    </row>
    <row r="38" spans="2:40" ht="15.75" hidden="1" outlineLevel="1">
      <c r="B38" s="1159"/>
      <c r="C38" s="831">
        <v>2</v>
      </c>
      <c r="D38" s="832" t="s">
        <v>2094</v>
      </c>
      <c r="E38" s="1254" t="s">
        <v>2121</v>
      </c>
      <c r="F38" s="913">
        <f>(Unit.Mha/1000)*0</f>
        <v>0</v>
      </c>
      <c r="G38" s="1717">
        <f>(Unit.Mha/1000)*12</f>
        <v>1.2E-2</v>
      </c>
      <c r="H38" s="913">
        <f>(Unit.Mha/1000)*42</f>
        <v>4.2000000000000003E-2</v>
      </c>
      <c r="I38" s="913">
        <f>(Unit.Mha/1000)*72</f>
        <v>7.2000000000000008E-2</v>
      </c>
      <c r="J38" s="913">
        <f>(Unit.Mha/1000)*102</f>
        <v>0.10200000000000001</v>
      </c>
      <c r="K38" s="913">
        <f>(Unit.Mha/1000)*132</f>
        <v>0.13200000000000001</v>
      </c>
      <c r="L38" s="913">
        <f>(Unit.Mha/1000)*162</f>
        <v>0.16200000000000001</v>
      </c>
      <c r="M38" s="913">
        <f>(Unit.Mha/1000)*192</f>
        <v>0.192</v>
      </c>
      <c r="N38" s="913">
        <f>(Unit.Mha/1000)*222</f>
        <v>0.222</v>
      </c>
      <c r="O38" s="913">
        <f>(Unit.Mha/1000)*252</f>
        <v>0.252</v>
      </c>
      <c r="P38" s="1158"/>
      <c r="AF38" s="121">
        <v>30</v>
      </c>
      <c r="AG38" s="121">
        <v>30</v>
      </c>
      <c r="AH38" s="121">
        <v>30</v>
      </c>
      <c r="AI38" s="121">
        <v>30</v>
      </c>
      <c r="AJ38" s="121">
        <v>30</v>
      </c>
      <c r="AK38" s="121">
        <v>30</v>
      </c>
      <c r="AL38" s="121">
        <v>30</v>
      </c>
      <c r="AM38" s="121">
        <v>30</v>
      </c>
      <c r="AN38" s="121">
        <v>30</v>
      </c>
    </row>
    <row r="39" spans="2:40" ht="15.75" hidden="1" outlineLevel="1">
      <c r="B39" s="1159"/>
      <c r="C39" s="831">
        <v>2</v>
      </c>
      <c r="D39" s="832" t="s">
        <v>2095</v>
      </c>
      <c r="E39" s="1254" t="s">
        <v>1440</v>
      </c>
      <c r="F39" s="913">
        <f>(Unit.Mha/1000)*13202.018</f>
        <v>13.202018000000001</v>
      </c>
      <c r="G39" s="1717">
        <f>(Unit.Mha/1000)*12942.3763683</f>
        <v>12.9423763683</v>
      </c>
      <c r="H39" s="913">
        <f>(Unit.Mha/1000)*12877.7937808631</f>
        <v>12.877793780863099</v>
      </c>
      <c r="I39" s="913">
        <f>(Unit.Mha/1000)*12813.533461183</f>
        <v>12.813533461183001</v>
      </c>
      <c r="J39" s="913">
        <f>(Unit.Mha/1000)*12749.5938011405</f>
        <v>12.749593801140501</v>
      </c>
      <c r="K39" s="913">
        <f>(Unit.Mha/1000)*12685.9732006406</f>
        <v>12.6859732006406</v>
      </c>
      <c r="L39" s="913">
        <f>(Unit.Mha/1000)*12622.6700675731</f>
        <v>12.6226700675731</v>
      </c>
      <c r="M39" s="913">
        <f>(Unit.Mha/1000)*12559.6828177723</f>
        <v>12.5596828177723</v>
      </c>
      <c r="N39" s="913">
        <f>(Unit.Mha/1000)*12497.0098749775</f>
        <v>12.4970098749775</v>
      </c>
      <c r="O39" s="913">
        <f>(Unit.Mha/1000)*12434.6496707938</f>
        <v>12.434649670793801</v>
      </c>
      <c r="P39" s="1158"/>
      <c r="AF39" s="121">
        <v>12</v>
      </c>
      <c r="AG39" s="121">
        <v>42</v>
      </c>
      <c r="AH39" s="121">
        <v>72</v>
      </c>
      <c r="AI39" s="121">
        <v>102</v>
      </c>
      <c r="AJ39" s="121">
        <v>132</v>
      </c>
      <c r="AK39" s="121">
        <v>162</v>
      </c>
      <c r="AL39" s="121">
        <v>192</v>
      </c>
      <c r="AM39" s="121">
        <v>222</v>
      </c>
      <c r="AN39" s="121">
        <v>252</v>
      </c>
    </row>
    <row r="40" spans="2:40" ht="15.75" hidden="1" outlineLevel="1">
      <c r="B40" s="1159"/>
      <c r="C40" s="831">
        <v>2</v>
      </c>
      <c r="D40" s="832" t="s">
        <v>1479</v>
      </c>
      <c r="E40" s="1254" t="s">
        <v>1488</v>
      </c>
      <c r="F40" s="913">
        <f>(Unit.Mha/1000)*2124.062</f>
        <v>2.1240619999999999</v>
      </c>
      <c r="G40" s="1717">
        <f>(Unit.Mha/1000)*2169.062</f>
        <v>2.1690619999999998</v>
      </c>
      <c r="H40" s="913">
        <f>(Unit.Mha/1000)*2244.062</f>
        <v>2.244062</v>
      </c>
      <c r="I40" s="913">
        <f>(Unit.Mha/1000)*2319.062</f>
        <v>2.3190619999999997</v>
      </c>
      <c r="J40" s="913">
        <f>(Unit.Mha/1000)*2394.062</f>
        <v>2.3940619999999999</v>
      </c>
      <c r="K40" s="913">
        <f>(Unit.Mha/1000)*2469.062</f>
        <v>2.4690620000000001</v>
      </c>
      <c r="L40" s="913">
        <f>(Unit.Mha/1000)*2544.062</f>
        <v>2.5440619999999998</v>
      </c>
      <c r="M40" s="913">
        <f>(Unit.Mha/1000)*2619.062</f>
        <v>2.619062</v>
      </c>
      <c r="N40" s="913">
        <f>(Unit.Mha/1000)*2694.062</f>
        <v>2.6940619999999997</v>
      </c>
      <c r="O40" s="913">
        <f>(Unit.Mha/1000)*2769.062</f>
        <v>2.7690619999999999</v>
      </c>
      <c r="P40" s="1158"/>
      <c r="AF40" s="121">
        <v>12942.3763683</v>
      </c>
      <c r="AG40" s="121">
        <v>12877.793780863118</v>
      </c>
      <c r="AH40" s="121">
        <v>12813.533461183049</v>
      </c>
      <c r="AI40" s="121">
        <v>12749.593801140467</v>
      </c>
      <c r="AJ40" s="121">
        <v>12685.973200640574</v>
      </c>
      <c r="AK40" s="121">
        <v>12622.670067573063</v>
      </c>
      <c r="AL40" s="121">
        <v>12559.682817772273</v>
      </c>
      <c r="AM40" s="121">
        <v>12497.009874977546</v>
      </c>
      <c r="AN40" s="121">
        <v>12434.649670793782</v>
      </c>
    </row>
    <row r="41" spans="2:40" ht="15.75" hidden="1" outlineLevel="1">
      <c r="B41" s="1159"/>
      <c r="C41" s="831">
        <v>2</v>
      </c>
      <c r="D41" s="832" t="s">
        <v>1480</v>
      </c>
      <c r="E41" s="1254" t="s">
        <v>1058</v>
      </c>
      <c r="F41" s="913">
        <f>(Unit.Mha/1000)*2436.97</f>
        <v>2.4369699999999996</v>
      </c>
      <c r="G41" s="1717">
        <f>(Unit.Mha/1000)*2441.464</f>
        <v>2.4414639999999999</v>
      </c>
      <c r="H41" s="913">
        <f>(Unit.Mha/1000)*2477.624</f>
        <v>2.477624</v>
      </c>
      <c r="I41" s="913">
        <f>(Unit.Mha/1000)*2513.784</f>
        <v>2.5137840000000002</v>
      </c>
      <c r="J41" s="913">
        <f>(Unit.Mha/1000)*2549.944</f>
        <v>2.549944</v>
      </c>
      <c r="K41" s="913">
        <f>(Unit.Mha/1000)*2586.104</f>
        <v>2.5861039999999997</v>
      </c>
      <c r="L41" s="913">
        <f>(Unit.Mha/1000)*2622.264</f>
        <v>2.6222640000000004</v>
      </c>
      <c r="M41" s="913">
        <f>(Unit.Mha/1000)*2658.424</f>
        <v>2.6584240000000001</v>
      </c>
      <c r="N41" s="913">
        <f>(Unit.Mha/1000)*2694.584</f>
        <v>2.6945839999999999</v>
      </c>
      <c r="O41" s="913">
        <f>(Unit.Mha/1000)*2730.744</f>
        <v>2.7307440000000001</v>
      </c>
      <c r="P41" s="1158"/>
      <c r="AF41" s="121">
        <v>2169.0619999999999</v>
      </c>
      <c r="AG41" s="121">
        <v>2244.0619999999999</v>
      </c>
      <c r="AH41" s="121">
        <v>2319.0619999999999</v>
      </c>
      <c r="AI41" s="121">
        <v>2394.0619999999999</v>
      </c>
      <c r="AJ41" s="121">
        <v>2469.0619999999999</v>
      </c>
      <c r="AK41" s="121">
        <v>2544.0619999999999</v>
      </c>
      <c r="AL41" s="121">
        <v>2619.0619999999999</v>
      </c>
      <c r="AM41" s="121">
        <v>2694.0619999999999</v>
      </c>
      <c r="AN41" s="121">
        <v>2769.0619999999999</v>
      </c>
    </row>
    <row r="42" spans="2:40" ht="15.75" hidden="1" outlineLevel="1">
      <c r="B42" s="1159"/>
      <c r="C42" s="1715">
        <v>2</v>
      </c>
      <c r="D42" s="1650" t="s">
        <v>123</v>
      </c>
      <c r="E42" s="1651" t="s">
        <v>1489</v>
      </c>
      <c r="F42" s="1718">
        <f>(Unit.Mha/1000)*2134.962</f>
        <v>2.1349620000000002</v>
      </c>
      <c r="G42" s="1719">
        <f>(Unit.Mha/1000)*2120.7396317</f>
        <v>2.1207396316999998</v>
      </c>
      <c r="H42" s="1718">
        <f>(Unit.Mha/1000)*2044.16221913688</f>
        <v>2.0441622191368798</v>
      </c>
      <c r="I42" s="1718">
        <f>(Unit.Mha/1000)*1967.26253881695</f>
        <v>1.96726253881695</v>
      </c>
      <c r="J42" s="1718">
        <f>(Unit.Mha/1000)*1890.04219885953</f>
        <v>1.89004219885953</v>
      </c>
      <c r="K42" s="1718">
        <f>(Unit.Mha/1000)*1812.50279935943</f>
        <v>1.81250279935943</v>
      </c>
      <c r="L42" s="1718">
        <f>(Unit.Mha/1000)*1734.64593242694</f>
        <v>1.7346459324269399</v>
      </c>
      <c r="M42" s="1718">
        <f>(Unit.Mha/1000)*1656.47318222773</f>
        <v>1.6564731822277299</v>
      </c>
      <c r="N42" s="1718">
        <f>(Unit.Mha/1000)*1577.98612502246</f>
        <v>1.5779861250224601</v>
      </c>
      <c r="O42" s="1718">
        <f>(Unit.Mha/1000)*1499.18632920621</f>
        <v>1.4991863292062102</v>
      </c>
      <c r="P42" s="1158"/>
      <c r="AF42" s="121">
        <v>2441.4639999999999</v>
      </c>
      <c r="AG42" s="121">
        <v>2477.6239999999998</v>
      </c>
      <c r="AH42" s="121">
        <v>2513.7839999999997</v>
      </c>
      <c r="AI42" s="121">
        <v>2549.9439999999995</v>
      </c>
      <c r="AJ42" s="121">
        <v>2586.1039999999994</v>
      </c>
      <c r="AK42" s="121">
        <v>2622.2639999999992</v>
      </c>
      <c r="AL42" s="121">
        <v>2658.4239999999991</v>
      </c>
      <c r="AM42" s="121">
        <v>2694.5839999999989</v>
      </c>
      <c r="AN42" s="121">
        <v>2730.7439999999988</v>
      </c>
    </row>
    <row r="43" spans="2:40" ht="15.75" hidden="1" outlineLevel="1">
      <c r="B43" s="1159"/>
      <c r="C43" s="831">
        <v>4</v>
      </c>
      <c r="D43" s="833" t="s">
        <v>2092</v>
      </c>
      <c r="E43" s="1649" t="s">
        <v>1437</v>
      </c>
      <c r="F43" s="1716">
        <f>(Unit.Mha/1000)*4171.042</f>
        <v>4.1710420000000008</v>
      </c>
      <c r="G43" s="1717">
        <f>(Unit.Mha/1000)*4570.89058712264</f>
        <v>4.5708905871226397</v>
      </c>
      <c r="H43" s="913">
        <f>(Unit.Mha/1000)*4385.19560271387</f>
        <v>4.3851956027138703</v>
      </c>
      <c r="I43" s="913">
        <f>(Unit.Mha/1000)*4207.04458081685</f>
        <v>4.2070445808168495</v>
      </c>
      <c r="J43" s="913">
        <f>(Unit.Mha/1000)*4036.13104373883</f>
        <v>4.0361310437388305</v>
      </c>
      <c r="K43" s="913">
        <f>(Unit.Mha/1000)*3872.16096461457</f>
        <v>3.87216096461457</v>
      </c>
      <c r="L43" s="913">
        <f>(Unit.Mha/1000)*3714.85226158456</f>
        <v>3.7148522615845603</v>
      </c>
      <c r="M43" s="913">
        <f>(Unit.Mha/1000)*3563.93431252246</f>
        <v>3.5639343125224601</v>
      </c>
      <c r="N43" s="913">
        <f>(Unit.Mha/1000)*3419.14748947703</f>
        <v>3.4191474894770302</v>
      </c>
      <c r="O43" s="913">
        <f>(Unit.Mha/1000)*3280.24271202765</f>
        <v>3.2802427120276505</v>
      </c>
      <c r="P43" s="1158"/>
      <c r="AF43" s="121">
        <v>2120.7396317000021</v>
      </c>
      <c r="AG43" s="121">
        <v>2044.1622191368806</v>
      </c>
      <c r="AH43" s="121">
        <v>1967.2625388169508</v>
      </c>
      <c r="AI43" s="121">
        <v>1890.0421988595335</v>
      </c>
      <c r="AJ43" s="121">
        <v>1812.5027993594267</v>
      </c>
      <c r="AK43" s="121">
        <v>1734.6459324269381</v>
      </c>
      <c r="AL43" s="121">
        <v>1656.4731822277281</v>
      </c>
      <c r="AM43" s="121">
        <v>1577.9861250224567</v>
      </c>
      <c r="AN43" s="121">
        <v>1499.1863292062189</v>
      </c>
    </row>
    <row r="44" spans="2:40" ht="15.75" hidden="1" outlineLevel="1">
      <c r="B44" s="1159"/>
      <c r="C44" s="831">
        <v>4</v>
      </c>
      <c r="D44" s="832" t="s">
        <v>2093</v>
      </c>
      <c r="E44" s="1254" t="s">
        <v>1438</v>
      </c>
      <c r="F44" s="913">
        <f>(Unit.Mha/1000)*347.94</f>
        <v>0.34794000000000003</v>
      </c>
      <c r="G44" s="1717">
        <f t="shared" ref="G44:O44" si="5">(Unit.Mha/1000)*100</f>
        <v>0.1</v>
      </c>
      <c r="H44" s="913">
        <f t="shared" si="5"/>
        <v>0.1</v>
      </c>
      <c r="I44" s="913">
        <f t="shared" si="5"/>
        <v>0.1</v>
      </c>
      <c r="J44" s="913">
        <f t="shared" si="5"/>
        <v>0.1</v>
      </c>
      <c r="K44" s="913">
        <f t="shared" si="5"/>
        <v>0.1</v>
      </c>
      <c r="L44" s="913">
        <f t="shared" si="5"/>
        <v>0.1</v>
      </c>
      <c r="M44" s="913">
        <f t="shared" si="5"/>
        <v>0.1</v>
      </c>
      <c r="N44" s="913">
        <f t="shared" si="5"/>
        <v>0.1</v>
      </c>
      <c r="O44" s="913">
        <f t="shared" si="5"/>
        <v>0.1</v>
      </c>
      <c r="P44" s="1158"/>
    </row>
    <row r="45" spans="2:40" ht="15.75" hidden="1" outlineLevel="1">
      <c r="B45" s="1159"/>
      <c r="C45" s="831">
        <v>4</v>
      </c>
      <c r="D45" s="832" t="s">
        <v>2096</v>
      </c>
      <c r="E45" s="1254" t="s">
        <v>2120</v>
      </c>
      <c r="F45" s="913">
        <f>(Unit.Mha/1000)*16</f>
        <v>1.6E-2</v>
      </c>
      <c r="G45" s="1717">
        <f>(Unit.Mha/1000)*64.3094128773601</f>
        <v>6.4309412877360098E-2</v>
      </c>
      <c r="H45" s="913">
        <f>(Unit.Mha/1000)*250.004397286129</f>
        <v>0.250004397286129</v>
      </c>
      <c r="I45" s="913">
        <f>(Unit.Mha/1000)*428.155419183146</f>
        <v>0.42815541918314604</v>
      </c>
      <c r="J45" s="913">
        <f>(Unit.Mha/1000)*599.06895626117</f>
        <v>0.59906895626116996</v>
      </c>
      <c r="K45" s="913">
        <f>(Unit.Mha/1000)*763.039035385429</f>
        <v>0.76303903538542894</v>
      </c>
      <c r="L45" s="913">
        <f>(Unit.Mha/1000)*920.347738415439</f>
        <v>0.92034773841543904</v>
      </c>
      <c r="M45" s="913">
        <f>(Unit.Mha/1000)*1071.26568747754</f>
        <v>1.0712656874775401</v>
      </c>
      <c r="N45" s="913">
        <f>(Unit.Mha/1000)*1216.05251052297</f>
        <v>1.21605251052297</v>
      </c>
      <c r="O45" s="913">
        <f>(Unit.Mha/1000)*1354.95728797235</f>
        <v>1.3549572879723502</v>
      </c>
      <c r="P45" s="1158"/>
      <c r="AF45" s="121">
        <v>4570.8905871226398</v>
      </c>
      <c r="AG45" s="121">
        <v>4385.1956027138713</v>
      </c>
      <c r="AH45" s="121">
        <v>4207.0445808168542</v>
      </c>
      <c r="AI45" s="121">
        <v>4036.1310437388297</v>
      </c>
      <c r="AJ45" s="121">
        <v>3872.1609646145712</v>
      </c>
      <c r="AK45" s="121">
        <v>3714.8522615845609</v>
      </c>
      <c r="AL45" s="121">
        <v>3563.9343125224573</v>
      </c>
      <c r="AM45" s="121">
        <v>3419.1474894770304</v>
      </c>
      <c r="AN45" s="121">
        <v>3280.2427120276548</v>
      </c>
    </row>
    <row r="46" spans="2:40" ht="15.75" hidden="1" outlineLevel="1">
      <c r="B46" s="1159"/>
      <c r="C46" s="831">
        <v>4</v>
      </c>
      <c r="D46" s="832" t="s">
        <v>2094</v>
      </c>
      <c r="E46" s="1254" t="s">
        <v>2121</v>
      </c>
      <c r="F46" s="913">
        <f>(Unit.Mha/1000)*0</f>
        <v>0</v>
      </c>
      <c r="G46" s="1717">
        <f>(Unit.Mha/1000)*80</f>
        <v>0.08</v>
      </c>
      <c r="H46" s="913">
        <f>(Unit.Mha/1000)*280</f>
        <v>0.28000000000000003</v>
      </c>
      <c r="I46" s="913">
        <f>(Unit.Mha/1000)*480</f>
        <v>0.48</v>
      </c>
      <c r="J46" s="913">
        <f>(Unit.Mha/1000)*680</f>
        <v>0.68</v>
      </c>
      <c r="K46" s="913">
        <f>(Unit.Mha/1000)*1113</f>
        <v>1.113</v>
      </c>
      <c r="L46" s="913">
        <f>(Unit.Mha/1000)*1513</f>
        <v>1.5130000000000001</v>
      </c>
      <c r="M46" s="913">
        <f>(Unit.Mha/1000)*1913</f>
        <v>1.913</v>
      </c>
      <c r="N46" s="913">
        <f>(Unit.Mha/1000)*2313</f>
        <v>2.3130000000000002</v>
      </c>
      <c r="O46" s="913">
        <f>(Unit.Mha/1000)*2713</f>
        <v>2.7130000000000001</v>
      </c>
      <c r="P46" s="1158"/>
      <c r="AF46" s="121">
        <v>100</v>
      </c>
      <c r="AG46" s="121">
        <v>100</v>
      </c>
      <c r="AH46" s="121">
        <v>100</v>
      </c>
      <c r="AI46" s="121">
        <v>100</v>
      </c>
      <c r="AJ46" s="121">
        <v>100</v>
      </c>
      <c r="AK46" s="121">
        <v>100</v>
      </c>
      <c r="AL46" s="121">
        <v>100</v>
      </c>
      <c r="AM46" s="121">
        <v>100</v>
      </c>
      <c r="AN46" s="121">
        <v>100</v>
      </c>
    </row>
    <row r="47" spans="2:40" ht="15.75" hidden="1" outlineLevel="1">
      <c r="B47" s="1159"/>
      <c r="C47" s="831">
        <v>4</v>
      </c>
      <c r="D47" s="832" t="s">
        <v>2095</v>
      </c>
      <c r="E47" s="1254" t="s">
        <v>1440</v>
      </c>
      <c r="F47" s="913">
        <f>(Unit.Mha/1000)*13202.018</f>
        <v>13.202018000000001</v>
      </c>
      <c r="G47" s="1717">
        <f>(Unit.Mha/1000)*12754.9366609163</f>
        <v>12.7549366609163</v>
      </c>
      <c r="H47" s="913">
        <f>(Unit.Mha/1000)*12236.7602313477</f>
        <v>12.2367602313477</v>
      </c>
      <c r="I47" s="913">
        <f>(Unit.Mha/1000)*11739.635008798</f>
        <v>11.739635008798</v>
      </c>
      <c r="J47" s="913">
        <f>(Unit.Mha/1000)*11262.705776218</f>
        <v>11.262705776217999</v>
      </c>
      <c r="K47" s="913">
        <f>(Unit.Mha/1000)*10805.1520602294</f>
        <v>10.8051520602294</v>
      </c>
      <c r="L47" s="913">
        <f>(Unit.Mha/1000)*10366.1867196432</f>
        <v>10.366186719643199</v>
      </c>
      <c r="M47" s="913">
        <f>(Unit.Mha/1000)*9945.05459132103</f>
        <v>9.9450545913210302</v>
      </c>
      <c r="N47" s="913">
        <f>(Unit.Mha/1000)*9541.03119104922</f>
        <v>9.5410311910492211</v>
      </c>
      <c r="O47" s="913">
        <f>(Unit.Mha/1000)*9153.42146718997</f>
        <v>9.1534214671899701</v>
      </c>
      <c r="P47" s="1158"/>
      <c r="AF47" s="121">
        <v>64.309412877360103</v>
      </c>
      <c r="AG47" s="121">
        <v>250.00439728612861</v>
      </c>
      <c r="AH47" s="121">
        <v>428.15541918314557</v>
      </c>
      <c r="AI47" s="121">
        <v>599.06895626117011</v>
      </c>
      <c r="AJ47" s="121">
        <v>763.03903538542863</v>
      </c>
      <c r="AK47" s="121">
        <v>920.34773841543893</v>
      </c>
      <c r="AL47" s="121">
        <v>1071.2656874775425</v>
      </c>
      <c r="AM47" s="121">
        <v>1216.0525105229694</v>
      </c>
      <c r="AN47" s="121">
        <v>1354.9572879723451</v>
      </c>
    </row>
    <row r="48" spans="2:40" ht="15.75" hidden="1" outlineLevel="1">
      <c r="B48" s="1159"/>
      <c r="C48" s="831">
        <v>4</v>
      </c>
      <c r="D48" s="832" t="s">
        <v>1479</v>
      </c>
      <c r="E48" s="1254" t="s">
        <v>1488</v>
      </c>
      <c r="F48" s="913">
        <f>(Unit.Mha/1000)*2124.062</f>
        <v>2.1240619999999999</v>
      </c>
      <c r="G48" s="1720">
        <f>(Unit.Mha/1000)*2169.062</f>
        <v>2.1690619999999998</v>
      </c>
      <c r="H48" s="1721">
        <f>(Unit.Mha/1000)*2244.062</f>
        <v>2.244062</v>
      </c>
      <c r="I48" s="1721">
        <f>(Unit.Mha/1000)*2319.062</f>
        <v>2.3190619999999997</v>
      </c>
      <c r="J48" s="1721">
        <f>(Unit.Mha/1000)*2394.062</f>
        <v>2.3940619999999999</v>
      </c>
      <c r="K48" s="1721">
        <f>(Unit.Mha/1000)*2469.062</f>
        <v>2.4690620000000001</v>
      </c>
      <c r="L48" s="1721">
        <f>(Unit.Mha/1000)*2544.062</f>
        <v>2.5440619999999998</v>
      </c>
      <c r="M48" s="1721">
        <f>(Unit.Mha/1000)*2619.062</f>
        <v>2.619062</v>
      </c>
      <c r="N48" s="1721">
        <f>(Unit.Mha/1000)*2694.062</f>
        <v>2.6940619999999997</v>
      </c>
      <c r="O48" s="1721">
        <f>(Unit.Mha/1000)*2769.062</f>
        <v>2.7690619999999999</v>
      </c>
      <c r="P48" s="1158"/>
      <c r="R48" s="1456"/>
      <c r="AF48" s="121">
        <v>80</v>
      </c>
      <c r="AG48" s="121">
        <v>280</v>
      </c>
      <c r="AH48" s="121">
        <v>480</v>
      </c>
      <c r="AI48" s="121">
        <v>680</v>
      </c>
      <c r="AJ48" s="121">
        <v>1113</v>
      </c>
      <c r="AK48" s="121">
        <v>1513</v>
      </c>
      <c r="AL48" s="121">
        <v>1913</v>
      </c>
      <c r="AM48" s="121">
        <v>2313</v>
      </c>
      <c r="AN48" s="121">
        <v>2713</v>
      </c>
    </row>
    <row r="49" spans="2:40" ht="15.75" hidden="1" outlineLevel="1">
      <c r="B49" s="1159"/>
      <c r="C49" s="831">
        <v>4</v>
      </c>
      <c r="D49" s="832" t="s">
        <v>1480</v>
      </c>
      <c r="E49" s="1254" t="s">
        <v>1058</v>
      </c>
      <c r="F49" s="913">
        <f>(Unit.Mha/1000)*2436.97</f>
        <v>2.4369699999999996</v>
      </c>
      <c r="G49" s="1720">
        <f>(Unit.Mha/1000)*2493.43</f>
        <v>2.49343</v>
      </c>
      <c r="H49" s="1721">
        <f>(Unit.Mha/1000)*2659.505</f>
        <v>2.6595050000000002</v>
      </c>
      <c r="I49" s="1721">
        <f>(Unit.Mha/1000)*2825.58</f>
        <v>2.82558</v>
      </c>
      <c r="J49" s="1721">
        <f>(Unit.Mha/1000)*2991.655</f>
        <v>2.9916550000000002</v>
      </c>
      <c r="K49" s="1721">
        <f>(Unit.Mha/1000)*3157.73</f>
        <v>3.1577299999999999</v>
      </c>
      <c r="L49" s="1721">
        <f>(Unit.Mha/1000)*3323.805</f>
        <v>3.3238050000000001</v>
      </c>
      <c r="M49" s="1721">
        <f>(Unit.Mha/1000)*3489.88</f>
        <v>3.4898800000000003</v>
      </c>
      <c r="N49" s="1721">
        <f>(Unit.Mha/1000)*3655.955</f>
        <v>3.6559550000000001</v>
      </c>
      <c r="O49" s="1721">
        <f>(Unit.Mha/1000)*3822.03</f>
        <v>3.8220300000000003</v>
      </c>
      <c r="P49" s="1158"/>
      <c r="AF49" s="121">
        <v>12754.936660916266</v>
      </c>
      <c r="AG49" s="121">
        <v>12236.760231347722</v>
      </c>
      <c r="AH49" s="121">
        <v>11739.635008797961</v>
      </c>
      <c r="AI49" s="121">
        <v>11262.705776217999</v>
      </c>
      <c r="AJ49" s="121">
        <v>10805.152060229384</v>
      </c>
      <c r="AK49" s="121">
        <v>10366.186719643158</v>
      </c>
      <c r="AL49" s="121">
        <v>9945.0545913210335</v>
      </c>
      <c r="AM49" s="121">
        <v>9541.0311910492201</v>
      </c>
      <c r="AN49" s="121">
        <v>9153.4214671899681</v>
      </c>
    </row>
    <row r="50" spans="2:40" ht="15.75" hidden="1" outlineLevel="1">
      <c r="B50" s="1159"/>
      <c r="C50" s="899">
        <v>4</v>
      </c>
      <c r="D50" s="900" t="s">
        <v>123</v>
      </c>
      <c r="E50" s="1461" t="s">
        <v>1489</v>
      </c>
      <c r="F50" s="1727">
        <f>(Unit.Mha/1000)*2134.962</f>
        <v>2.1349620000000002</v>
      </c>
      <c r="G50" s="2340">
        <f>(Unit.Mha/1000)*2200.36533908373</f>
        <v>2.2003653390837301</v>
      </c>
      <c r="H50" s="1724">
        <f>(Unit.Mha/1000)*2277.46676865228</f>
        <v>2.27746676865228</v>
      </c>
      <c r="I50" s="1724">
        <f>(Unit.Mha/1000)*2333.51699120204</f>
        <v>2.3335169912020404</v>
      </c>
      <c r="J50" s="1724">
        <f>(Unit.Mha/1000)*2369.371223782</f>
        <v>2.3693712237820002</v>
      </c>
      <c r="K50" s="1724">
        <f>(Unit.Mha/1000)*2152.84993977061</f>
        <v>2.15284993977061</v>
      </c>
      <c r="L50" s="1724">
        <f>(Unit.Mha/1000)*1950.74028035684</f>
        <v>1.9507402803568401</v>
      </c>
      <c r="M50" s="1724">
        <f>(Unit.Mha/1000)*1730.79740867897</f>
        <v>1.7307974086789699</v>
      </c>
      <c r="N50" s="1724">
        <f>(Unit.Mha/1000)*1493.74580895078</f>
        <v>1.49374580895078</v>
      </c>
      <c r="O50" s="1724">
        <f>(Unit.Mha/1000)*1240.28053281003</f>
        <v>1.2402805328100301</v>
      </c>
      <c r="P50" s="1158"/>
      <c r="AF50" s="121">
        <v>2169.0619999999999</v>
      </c>
      <c r="AG50" s="121">
        <v>2244.0619999999999</v>
      </c>
      <c r="AH50" s="121">
        <v>2319.0619999999999</v>
      </c>
      <c r="AI50" s="121">
        <v>2394.0619999999999</v>
      </c>
      <c r="AJ50" s="121">
        <v>2469.0619999999999</v>
      </c>
      <c r="AK50" s="121">
        <v>2544.0619999999999</v>
      </c>
      <c r="AL50" s="121">
        <v>2619.0619999999999</v>
      </c>
      <c r="AM50" s="121">
        <v>2694.0619999999999</v>
      </c>
      <c r="AN50" s="121">
        <v>2769.0619999999999</v>
      </c>
    </row>
    <row r="51" spans="2:40" ht="15.75" hidden="1" outlineLevel="1">
      <c r="B51" s="1159"/>
      <c r="C51" s="831"/>
      <c r="D51" s="832"/>
      <c r="E51" s="832"/>
      <c r="F51" s="847"/>
      <c r="G51" s="848"/>
      <c r="H51" s="848"/>
      <c r="I51" s="848"/>
      <c r="J51" s="848"/>
      <c r="K51" s="848"/>
      <c r="L51" s="848"/>
      <c r="M51" s="848"/>
      <c r="N51" s="848"/>
      <c r="O51" s="848"/>
      <c r="P51" s="1158"/>
      <c r="AF51" s="121">
        <v>2493.4299999999998</v>
      </c>
      <c r="AG51" s="121">
        <v>2659.5049999999997</v>
      </c>
      <c r="AH51" s="121">
        <v>2825.5799999999995</v>
      </c>
      <c r="AI51" s="121">
        <v>2991.6549999999993</v>
      </c>
      <c r="AJ51" s="121">
        <v>3157.7299999999991</v>
      </c>
      <c r="AK51" s="121">
        <v>3323.8049999999989</v>
      </c>
      <c r="AL51" s="121">
        <v>3489.8799999999987</v>
      </c>
      <c r="AM51" s="121">
        <v>3655.9549999999986</v>
      </c>
      <c r="AN51" s="121">
        <v>3822.0299999999984</v>
      </c>
    </row>
    <row r="52" spans="2:40" ht="15.75" hidden="1" outlineLevel="1">
      <c r="B52" s="1159"/>
      <c r="C52" s="866" t="s">
        <v>2102</v>
      </c>
      <c r="D52" s="864"/>
      <c r="E52" s="1256"/>
      <c r="F52" s="864"/>
      <c r="G52" s="866" t="s">
        <v>1352</v>
      </c>
      <c r="H52" s="864"/>
      <c r="I52" s="864"/>
      <c r="J52" s="867" t="s">
        <v>1079</v>
      </c>
      <c r="K52" s="864"/>
      <c r="L52" s="864"/>
      <c r="M52" s="864"/>
      <c r="N52" s="864"/>
      <c r="O52" s="867"/>
      <c r="P52" s="1158"/>
      <c r="AF52" s="121">
        <v>2200.3653390837317</v>
      </c>
      <c r="AG52" s="121">
        <v>2277.4667686522771</v>
      </c>
      <c r="AH52" s="121">
        <v>2333.5169912020392</v>
      </c>
      <c r="AI52" s="121">
        <v>2369.371223782</v>
      </c>
      <c r="AJ52" s="121">
        <v>2152.8499397706146</v>
      </c>
      <c r="AK52" s="121">
        <v>1950.7402803568402</v>
      </c>
      <c r="AL52" s="121">
        <v>1730.7974086789654</v>
      </c>
      <c r="AM52" s="121">
        <v>1493.7458089507782</v>
      </c>
      <c r="AN52" s="121">
        <v>1240.280532810033</v>
      </c>
    </row>
    <row r="53" spans="2:40" ht="5.25" hidden="1" customHeight="1" outlineLevel="1">
      <c r="B53" s="1159"/>
      <c r="C53" s="864"/>
      <c r="D53" s="864"/>
      <c r="E53" s="864"/>
      <c r="F53" s="864"/>
      <c r="G53" s="864"/>
      <c r="H53" s="864"/>
      <c r="I53" s="864"/>
      <c r="J53" s="864"/>
      <c r="K53" s="864"/>
      <c r="L53" s="864"/>
      <c r="M53" s="864"/>
      <c r="N53" s="864"/>
      <c r="O53" s="864"/>
      <c r="P53" s="1158"/>
    </row>
    <row r="54" spans="2:40" ht="15.75" hidden="1" outlineLevel="1">
      <c r="B54" s="1159"/>
      <c r="C54" s="766" t="s">
        <v>1442</v>
      </c>
      <c r="D54" s="766" t="s">
        <v>79</v>
      </c>
      <c r="E54" s="766"/>
      <c r="F54" s="1541"/>
      <c r="G54" s="924">
        <v>1</v>
      </c>
      <c r="H54" s="923">
        <v>3</v>
      </c>
      <c r="I54" s="923">
        <v>2</v>
      </c>
      <c r="J54" s="923">
        <v>4</v>
      </c>
      <c r="K54" s="1293"/>
      <c r="L54" s="1293"/>
      <c r="M54" s="1293"/>
      <c r="N54" s="1293"/>
      <c r="O54" s="1293"/>
      <c r="P54" s="1158"/>
    </row>
    <row r="55" spans="2:40" ht="15.75" hidden="1" outlineLevel="1">
      <c r="B55" s="1159"/>
      <c r="C55" s="831">
        <v>1</v>
      </c>
      <c r="D55" s="832" t="s">
        <v>1486</v>
      </c>
      <c r="E55" s="1254"/>
      <c r="F55" s="847"/>
      <c r="G55" s="1622">
        <v>0</v>
      </c>
      <c r="H55" s="919">
        <f>(1-0.1)^(1/43)-1</f>
        <v>-2.4472451512579374E-3</v>
      </c>
      <c r="I55" s="919">
        <f>(1+0.1)^(1/43)-1</f>
        <v>2.2189740965115057E-3</v>
      </c>
      <c r="J55" s="919">
        <f>(1-0.2)^(1/43)-1</f>
        <v>-5.175943317647369E-3</v>
      </c>
      <c r="K55" s="847"/>
      <c r="L55" s="847"/>
      <c r="M55" s="847"/>
      <c r="N55" s="847"/>
      <c r="O55" s="847"/>
      <c r="P55" s="1158"/>
      <c r="T55" s="41"/>
      <c r="U55"/>
      <c r="V55"/>
      <c r="W55"/>
    </row>
    <row r="56" spans="2:40" ht="15.75" hidden="1" outlineLevel="1">
      <c r="B56" s="1159"/>
      <c r="C56" s="831">
        <v>2</v>
      </c>
      <c r="D56" s="832" t="s">
        <v>1487</v>
      </c>
      <c r="E56" s="832"/>
      <c r="F56" s="847"/>
      <c r="G56" s="1647">
        <v>0</v>
      </c>
      <c r="H56" s="1086">
        <v>0</v>
      </c>
      <c r="I56" s="1086">
        <v>0</v>
      </c>
      <c r="J56" s="1086">
        <v>0</v>
      </c>
      <c r="K56" s="1091"/>
      <c r="L56" s="1091"/>
      <c r="M56" s="1091"/>
      <c r="N56" s="1091"/>
      <c r="O56" s="1091"/>
      <c r="P56" s="1158"/>
      <c r="T56" s="41"/>
      <c r="U56"/>
      <c r="V56"/>
      <c r="W56"/>
    </row>
    <row r="57" spans="2:40" ht="15.75" hidden="1" outlineLevel="1">
      <c r="B57" s="1159"/>
      <c r="C57" s="769">
        <v>3</v>
      </c>
      <c r="D57" s="770" t="s">
        <v>1492</v>
      </c>
      <c r="E57" s="770"/>
      <c r="F57" s="782"/>
      <c r="G57" s="1726">
        <v>0</v>
      </c>
      <c r="H57" s="1462">
        <f>(1-0.1)^(1/43)-1</f>
        <v>-2.4472451512579374E-3</v>
      </c>
      <c r="I57" s="1462">
        <f>(1+0.1)^(1/43)-1</f>
        <v>2.2189740965115057E-3</v>
      </c>
      <c r="J57" s="1462">
        <f>(1-0.2)^(1/43)-1</f>
        <v>-5.175943317647369E-3</v>
      </c>
      <c r="K57" s="1091"/>
      <c r="L57" s="1091"/>
      <c r="M57" s="1091"/>
      <c r="N57" s="1091"/>
      <c r="O57" s="1091"/>
      <c r="P57" s="1158"/>
      <c r="T57" s="41"/>
      <c r="U57"/>
      <c r="V57"/>
      <c r="W57"/>
    </row>
    <row r="58" spans="2:40" ht="15.75" hidden="1" outlineLevel="1">
      <c r="B58" s="1159"/>
      <c r="C58" s="831"/>
      <c r="D58" s="832"/>
      <c r="E58" s="832"/>
      <c r="F58" s="847"/>
      <c r="G58" s="848"/>
      <c r="H58" s="848"/>
      <c r="I58" s="848"/>
      <c r="J58" s="848"/>
      <c r="K58" s="848"/>
      <c r="L58" s="848"/>
      <c r="M58" s="848"/>
      <c r="N58" s="848"/>
      <c r="O58" s="848"/>
      <c r="P58" s="1158"/>
      <c r="R58"/>
      <c r="S58"/>
      <c r="T58"/>
      <c r="U58"/>
      <c r="V58"/>
      <c r="W58"/>
    </row>
    <row r="59" spans="2:40" ht="15.75" hidden="1" outlineLevel="1">
      <c r="B59" s="1159"/>
      <c r="C59" s="866" t="s">
        <v>2103</v>
      </c>
      <c r="D59" s="864"/>
      <c r="E59" s="1256"/>
      <c r="F59" s="864"/>
      <c r="G59" s="866" t="s">
        <v>1352</v>
      </c>
      <c r="H59" s="864"/>
      <c r="I59" s="864"/>
      <c r="J59" s="848" t="s">
        <v>1079</v>
      </c>
      <c r="K59" s="864"/>
      <c r="L59" s="864"/>
      <c r="M59" s="864"/>
      <c r="N59" s="864"/>
      <c r="O59" s="867"/>
      <c r="P59" s="1158"/>
      <c r="R59"/>
      <c r="S59"/>
      <c r="T59"/>
      <c r="U59"/>
      <c r="V59"/>
      <c r="W59"/>
    </row>
    <row r="60" spans="2:40" ht="5.25" hidden="1" customHeight="1" outlineLevel="1">
      <c r="B60" s="1159"/>
      <c r="C60" s="864"/>
      <c r="D60" s="864"/>
      <c r="E60" s="864"/>
      <c r="F60" s="864"/>
      <c r="G60" s="864"/>
      <c r="H60" s="864"/>
      <c r="I60" s="864"/>
      <c r="J60" s="864"/>
      <c r="K60" s="864"/>
      <c r="L60" s="864"/>
      <c r="M60" s="864"/>
      <c r="N60" s="864"/>
      <c r="O60" s="864"/>
      <c r="P60" s="1158"/>
      <c r="R60"/>
      <c r="S60"/>
      <c r="T60"/>
      <c r="U60"/>
      <c r="V60"/>
      <c r="W60"/>
    </row>
    <row r="61" spans="2:40" ht="15.75" hidden="1" outlineLevel="1">
      <c r="B61" s="1159"/>
      <c r="C61" s="766" t="s">
        <v>1442</v>
      </c>
      <c r="D61" s="766" t="s">
        <v>79</v>
      </c>
      <c r="E61" s="766"/>
      <c r="F61" s="1541"/>
      <c r="G61" s="924">
        <v>1</v>
      </c>
      <c r="H61" s="923">
        <v>3</v>
      </c>
      <c r="I61" s="923">
        <v>2</v>
      </c>
      <c r="J61" s="923">
        <v>4</v>
      </c>
      <c r="K61" s="1293"/>
      <c r="L61" s="1293"/>
      <c r="M61" s="1293"/>
      <c r="N61" s="1293"/>
      <c r="O61" s="1293"/>
      <c r="P61" s="1158"/>
      <c r="U61"/>
      <c r="V61"/>
      <c r="W61"/>
    </row>
    <row r="62" spans="2:40" ht="15.75" hidden="1" outlineLevel="1">
      <c r="B62" s="1159"/>
      <c r="C62" s="831" t="s">
        <v>1484</v>
      </c>
      <c r="D62" s="832" t="s">
        <v>32</v>
      </c>
      <c r="E62" s="1254"/>
      <c r="F62" s="1549"/>
      <c r="G62" s="1622">
        <f>(1+0.45)^(1/42)-1</f>
        <v>8.8859995024890281E-3</v>
      </c>
      <c r="H62" s="919">
        <f>(1+0.6)^(1/42)-1</f>
        <v>1.125341116489631E-2</v>
      </c>
      <c r="I62" s="919">
        <f>(1+0.85)^(1/42)-1</f>
        <v>1.475507415268118E-2</v>
      </c>
      <c r="J62" s="919">
        <f>(1+0.6)^(1/42)-1</f>
        <v>1.125341116489631E-2</v>
      </c>
      <c r="K62" s="847"/>
      <c r="L62" s="847"/>
      <c r="M62" s="847"/>
      <c r="N62" s="847"/>
      <c r="O62" s="847"/>
      <c r="P62" s="1158"/>
      <c r="U62"/>
      <c r="V62"/>
      <c r="W62"/>
    </row>
    <row r="63" spans="2:40" ht="15.75" hidden="1" outlineLevel="1">
      <c r="B63" s="1159"/>
      <c r="C63" s="831" t="s">
        <v>1484</v>
      </c>
      <c r="D63" s="832" t="s">
        <v>2098</v>
      </c>
      <c r="E63" s="1254"/>
      <c r="F63" s="1549"/>
      <c r="G63" s="1622">
        <f>(1+0.45)^(1/42)-1</f>
        <v>8.8859995024890281E-3</v>
      </c>
      <c r="H63" s="919">
        <f>(1+0.6)^(1/42)-1</f>
        <v>1.125341116489631E-2</v>
      </c>
      <c r="I63" s="919">
        <f>(1+0.85)^(1/42)-1</f>
        <v>1.475507415268118E-2</v>
      </c>
      <c r="J63" s="919">
        <f>(1+0.6)^(1/42)-1</f>
        <v>1.125341116489631E-2</v>
      </c>
      <c r="K63" s="847"/>
      <c r="L63" s="847"/>
      <c r="M63" s="847"/>
      <c r="N63" s="847"/>
      <c r="O63" s="847"/>
      <c r="P63" s="1158"/>
      <c r="T63" s="41"/>
    </row>
    <row r="64" spans="2:40" ht="15.75" hidden="1" outlineLevel="1">
      <c r="B64" s="1159"/>
      <c r="C64" s="831" t="s">
        <v>1484</v>
      </c>
      <c r="D64" s="832" t="s">
        <v>2115</v>
      </c>
      <c r="E64" s="832"/>
      <c r="F64" s="1549"/>
      <c r="G64" s="1647">
        <v>0.01</v>
      </c>
      <c r="H64" s="1086">
        <v>1.4999999999999999E-2</v>
      </c>
      <c r="I64" s="1086">
        <v>0.01</v>
      </c>
      <c r="J64" s="1086">
        <v>1.4999999999999999E-2</v>
      </c>
      <c r="K64" s="1091"/>
      <c r="L64" s="1091"/>
      <c r="M64" s="1091"/>
      <c r="N64" s="1091"/>
      <c r="O64" s="1091"/>
      <c r="P64" s="1158"/>
      <c r="U64"/>
      <c r="V64"/>
      <c r="W64"/>
    </row>
    <row r="65" spans="2:23" ht="15.75" hidden="1" outlineLevel="1">
      <c r="B65" s="1159"/>
      <c r="C65" s="864" t="s">
        <v>53</v>
      </c>
      <c r="D65" s="864" t="s">
        <v>1494</v>
      </c>
      <c r="E65" s="832"/>
      <c r="F65" s="1549"/>
      <c r="G65" s="1088">
        <v>0</v>
      </c>
      <c r="H65" s="1088">
        <v>0</v>
      </c>
      <c r="I65" s="1088">
        <v>0</v>
      </c>
      <c r="J65" s="1088">
        <v>0</v>
      </c>
      <c r="K65" s="1091"/>
      <c r="L65" s="1091"/>
      <c r="M65" s="1091"/>
      <c r="N65" s="1091"/>
      <c r="O65" s="1091"/>
      <c r="P65" s="1158"/>
      <c r="U65"/>
      <c r="V65"/>
      <c r="W65"/>
    </row>
    <row r="66" spans="2:23" ht="15.75" hidden="1" outlineLevel="1">
      <c r="B66" s="1159"/>
      <c r="C66" s="864" t="s">
        <v>53</v>
      </c>
      <c r="D66" s="864" t="s">
        <v>1495</v>
      </c>
      <c r="E66" s="832"/>
      <c r="F66" s="1549"/>
      <c r="G66" s="1088">
        <v>0</v>
      </c>
      <c r="H66" s="1088">
        <v>0</v>
      </c>
      <c r="I66" s="1088">
        <v>0</v>
      </c>
      <c r="J66" s="1088">
        <v>0</v>
      </c>
      <c r="K66" s="1091"/>
      <c r="L66" s="1091"/>
      <c r="M66" s="1091"/>
      <c r="N66" s="1091"/>
      <c r="O66" s="1091"/>
      <c r="P66" s="1158"/>
      <c r="U66"/>
      <c r="V66"/>
      <c r="W66"/>
    </row>
    <row r="67" spans="2:23" ht="15.75" hidden="1" outlineLevel="1">
      <c r="B67" s="1159"/>
      <c r="C67" s="864" t="s">
        <v>53</v>
      </c>
      <c r="D67" s="864" t="s">
        <v>1496</v>
      </c>
      <c r="E67" s="832"/>
      <c r="F67" s="1549"/>
      <c r="G67" s="1086">
        <v>2E-3</v>
      </c>
      <c r="H67" s="1086">
        <v>2E-3</v>
      </c>
      <c r="I67" s="1086">
        <v>5.0000000000000001E-3</v>
      </c>
      <c r="J67" s="1086">
        <v>2E-3</v>
      </c>
      <c r="K67" s="848"/>
      <c r="L67" s="848"/>
      <c r="M67" s="848"/>
      <c r="N67" s="848"/>
      <c r="O67" s="848"/>
      <c r="P67" s="1158"/>
      <c r="U67"/>
      <c r="V67"/>
      <c r="W67"/>
    </row>
    <row r="68" spans="2:23" ht="15.75" hidden="1" outlineLevel="1">
      <c r="B68" s="1159"/>
      <c r="C68" s="864" t="s">
        <v>1498</v>
      </c>
      <c r="D68" s="864" t="s">
        <v>1499</v>
      </c>
      <c r="E68" s="1256"/>
      <c r="F68" s="1740"/>
      <c r="G68" s="1741">
        <v>2E-3</v>
      </c>
      <c r="H68" s="1741">
        <v>0</v>
      </c>
      <c r="I68" s="1741">
        <v>2E-3</v>
      </c>
      <c r="J68" s="1741">
        <v>2E-3</v>
      </c>
      <c r="K68" s="864"/>
      <c r="L68" s="864"/>
      <c r="M68" s="864"/>
      <c r="N68" s="864"/>
      <c r="O68" s="867"/>
      <c r="P68" s="1158"/>
      <c r="U68"/>
      <c r="V68"/>
      <c r="W68"/>
    </row>
    <row r="69" spans="2:23" ht="15.75" hidden="1" outlineLevel="1">
      <c r="B69" s="1159"/>
      <c r="C69" s="864" t="s">
        <v>1498</v>
      </c>
      <c r="D69" s="864" t="s">
        <v>1501</v>
      </c>
      <c r="E69" s="864"/>
      <c r="F69" s="1740"/>
      <c r="G69" s="1741">
        <v>1E-3</v>
      </c>
      <c r="H69" s="1741">
        <v>1E-3</v>
      </c>
      <c r="I69" s="1741">
        <v>1E-3</v>
      </c>
      <c r="J69" s="1741">
        <v>1E-3</v>
      </c>
      <c r="K69" s="864"/>
      <c r="L69" s="864"/>
      <c r="M69" s="864"/>
      <c r="N69" s="864"/>
      <c r="O69" s="864"/>
      <c r="P69" s="1158"/>
      <c r="U69"/>
      <c r="V69"/>
      <c r="W69"/>
    </row>
    <row r="70" spans="2:23" ht="15.75" hidden="1" outlineLevel="1">
      <c r="B70" s="1159"/>
      <c r="C70" s="864" t="s">
        <v>1498</v>
      </c>
      <c r="D70" s="864" t="s">
        <v>1503</v>
      </c>
      <c r="E70" s="774"/>
      <c r="F70" s="1738"/>
      <c r="G70" s="776">
        <v>2E-3</v>
      </c>
      <c r="H70" s="776">
        <v>0</v>
      </c>
      <c r="I70" s="776">
        <v>3.0000000000000001E-3</v>
      </c>
      <c r="J70" s="776">
        <v>2E-3</v>
      </c>
      <c r="K70" s="1293"/>
      <c r="L70" s="1293"/>
      <c r="M70" s="1293"/>
      <c r="N70" s="1293"/>
      <c r="O70" s="1293"/>
      <c r="P70" s="1158"/>
      <c r="U70"/>
      <c r="V70"/>
      <c r="W70"/>
    </row>
    <row r="71" spans="2:23" ht="15.75" hidden="1" outlineLevel="1">
      <c r="B71" s="1159"/>
      <c r="C71" s="1294" t="s">
        <v>1498</v>
      </c>
      <c r="D71" s="1739" t="s">
        <v>1505</v>
      </c>
      <c r="E71" s="800"/>
      <c r="F71" s="1550"/>
      <c r="G71" s="846">
        <v>0</v>
      </c>
      <c r="H71" s="846">
        <v>0</v>
      </c>
      <c r="I71" s="846">
        <v>0</v>
      </c>
      <c r="J71" s="846">
        <v>0</v>
      </c>
      <c r="K71" s="847"/>
      <c r="L71" s="847"/>
      <c r="M71" s="847"/>
      <c r="N71" s="847"/>
      <c r="O71" s="847"/>
      <c r="P71" s="1158"/>
      <c r="U71"/>
      <c r="V71"/>
      <c r="W71"/>
    </row>
    <row r="72" spans="2:23" ht="15.75" hidden="1" outlineLevel="1">
      <c r="B72" s="1159"/>
      <c r="C72" s="831"/>
      <c r="D72" s="832"/>
      <c r="E72" s="832"/>
      <c r="F72" s="847"/>
      <c r="G72" s="1091"/>
      <c r="H72" s="1091"/>
      <c r="I72" s="1091"/>
      <c r="J72" s="1091"/>
      <c r="K72" s="1091"/>
      <c r="L72" s="1091"/>
      <c r="M72" s="1091"/>
      <c r="N72" s="1091"/>
      <c r="O72" s="1091"/>
      <c r="P72" s="1158"/>
    </row>
    <row r="73" spans="2:23" s="743" customFormat="1" ht="15.75" hidden="1" outlineLevel="1">
      <c r="B73" s="1161"/>
      <c r="C73" s="869" t="s">
        <v>2104</v>
      </c>
      <c r="D73" s="832"/>
      <c r="E73" s="1742"/>
      <c r="F73" s="832"/>
      <c r="G73" s="1085" t="s">
        <v>1352</v>
      </c>
      <c r="H73" s="832"/>
      <c r="I73" s="832"/>
      <c r="J73" s="2341" t="s">
        <v>2100</v>
      </c>
      <c r="K73" s="1085" t="s">
        <v>1352</v>
      </c>
      <c r="L73" s="832"/>
      <c r="M73" s="832"/>
      <c r="N73" s="848" t="s">
        <v>2101</v>
      </c>
      <c r="O73" s="1742"/>
      <c r="P73" s="1162"/>
    </row>
    <row r="74" spans="2:23" s="743" customFormat="1" ht="5.25" hidden="1" customHeight="1" outlineLevel="1">
      <c r="B74" s="1161"/>
      <c r="C74" s="832"/>
      <c r="D74" s="832"/>
      <c r="E74" s="832"/>
      <c r="F74" s="832"/>
      <c r="G74" s="832"/>
      <c r="H74" s="832"/>
      <c r="I74" s="832"/>
      <c r="J74" s="832"/>
      <c r="K74" s="832"/>
      <c r="L74" s="832"/>
      <c r="M74" s="832"/>
      <c r="N74" s="832"/>
      <c r="O74" s="832"/>
      <c r="P74" s="1162"/>
    </row>
    <row r="75" spans="2:23" s="743" customFormat="1" ht="15.75" hidden="1" outlineLevel="1">
      <c r="B75" s="1161"/>
      <c r="C75" s="766" t="s">
        <v>1442</v>
      </c>
      <c r="D75" s="766" t="s">
        <v>79</v>
      </c>
      <c r="E75" s="766"/>
      <c r="F75" s="771"/>
      <c r="G75" s="924">
        <v>1</v>
      </c>
      <c r="H75" s="923">
        <v>3</v>
      </c>
      <c r="I75" s="923">
        <v>2</v>
      </c>
      <c r="J75" s="923">
        <v>4</v>
      </c>
      <c r="K75" s="924">
        <v>1</v>
      </c>
      <c r="L75" s="923">
        <v>3</v>
      </c>
      <c r="M75" s="923">
        <v>2</v>
      </c>
      <c r="N75" s="923">
        <v>4</v>
      </c>
      <c r="O75" s="1293"/>
      <c r="P75" s="1162"/>
    </row>
    <row r="76" spans="2:23" s="743" customFormat="1" ht="15.75" hidden="1" outlineLevel="1">
      <c r="B76" s="1161"/>
      <c r="C76" s="831" t="s">
        <v>2106</v>
      </c>
      <c r="D76" s="832" t="s">
        <v>1509</v>
      </c>
      <c r="E76" s="1254"/>
      <c r="F76" s="911"/>
      <c r="G76" s="1622">
        <v>-2.2276583124057892E-3</v>
      </c>
      <c r="H76" s="919">
        <v>-3.772376630140406E-3</v>
      </c>
      <c r="I76" s="919">
        <v>-2.2276583124057892E-3</v>
      </c>
      <c r="J76" s="919">
        <v>-1.1921561279377713E-3</v>
      </c>
      <c r="K76" s="1622">
        <v>-7.4310483882145117E-4</v>
      </c>
      <c r="L76" s="919">
        <v>-3.772376630140406E-3</v>
      </c>
      <c r="M76" s="919">
        <v>-7.4310483882145117E-4</v>
      </c>
      <c r="N76" s="919">
        <v>-1.1921561279377713E-3</v>
      </c>
      <c r="O76" s="933"/>
      <c r="P76" s="1162"/>
    </row>
    <row r="77" spans="2:23" s="743" customFormat="1" ht="15.75" hidden="1" outlineLevel="1">
      <c r="B77" s="1161"/>
      <c r="C77" s="899" t="s">
        <v>2107</v>
      </c>
      <c r="D77" s="900" t="s">
        <v>1510</v>
      </c>
      <c r="E77" s="900"/>
      <c r="F77" s="1730"/>
      <c r="G77" s="1743">
        <f>(1-0.1)^(1/43)-1</f>
        <v>-2.4472451512579374E-3</v>
      </c>
      <c r="H77" s="1744">
        <f>(1-0.15)^(1/43)-1</f>
        <v>-3.772376630140406E-3</v>
      </c>
      <c r="I77" s="1744">
        <v>-2.2276583124057892E-3</v>
      </c>
      <c r="J77" s="1744">
        <f>(1-0.1)^(1/43)-1</f>
        <v>-2.4472451512579374E-3</v>
      </c>
      <c r="K77" s="1743">
        <f>(1-0.1)^(1/43)-1</f>
        <v>-2.4472451512579374E-3</v>
      </c>
      <c r="L77" s="1744">
        <f>(1-0.15)^(1/43)-1</f>
        <v>-3.772376630140406E-3</v>
      </c>
      <c r="M77" s="1744">
        <v>-7.4310483882134015E-4</v>
      </c>
      <c r="N77" s="1744">
        <f>(1-0.1)^(1/43)-1</f>
        <v>-2.4472451512579374E-3</v>
      </c>
      <c r="O77" s="934"/>
      <c r="P77" s="1162"/>
    </row>
    <row r="78" spans="2:23" ht="15.75" hidden="1" outlineLevel="1">
      <c r="B78" s="1159"/>
      <c r="C78" s="831"/>
      <c r="D78" s="832"/>
      <c r="E78" s="832"/>
      <c r="F78" s="933"/>
      <c r="G78" s="934"/>
      <c r="H78" s="934"/>
      <c r="I78" s="934"/>
      <c r="J78" s="934"/>
      <c r="K78" s="934"/>
      <c r="L78" s="934"/>
      <c r="M78" s="934"/>
      <c r="N78" s="934"/>
      <c r="O78" s="934"/>
      <c r="P78" s="1158"/>
    </row>
    <row r="79" spans="2:23" ht="15.75" hidden="1" outlineLevel="1">
      <c r="B79" s="1159"/>
      <c r="C79" s="869" t="s">
        <v>2108</v>
      </c>
      <c r="D79" s="832"/>
      <c r="E79" s="1742"/>
      <c r="F79" s="832"/>
      <c r="G79" s="1085" t="s">
        <v>1352</v>
      </c>
      <c r="H79" s="832"/>
      <c r="I79" s="832"/>
      <c r="J79" s="2341" t="s">
        <v>2100</v>
      </c>
      <c r="K79" s="1085" t="s">
        <v>1352</v>
      </c>
      <c r="L79" s="832"/>
      <c r="M79" s="832"/>
      <c r="N79" s="848" t="s">
        <v>2101</v>
      </c>
      <c r="O79" s="934"/>
      <c r="P79" s="1158"/>
    </row>
    <row r="80" spans="2:23" ht="5.25" hidden="1" customHeight="1" outlineLevel="1">
      <c r="B80" s="1159"/>
      <c r="C80" s="832"/>
      <c r="D80" s="832"/>
      <c r="E80" s="832"/>
      <c r="F80" s="832"/>
      <c r="G80" s="832"/>
      <c r="H80" s="832"/>
      <c r="I80" s="832"/>
      <c r="J80" s="832"/>
      <c r="K80" s="832"/>
      <c r="L80" s="832"/>
      <c r="M80" s="832"/>
      <c r="N80" s="832"/>
      <c r="O80" s="934"/>
      <c r="P80" s="1158"/>
    </row>
    <row r="81" spans="2:27" ht="15.75" hidden="1" outlineLevel="1">
      <c r="B81" s="1159"/>
      <c r="C81" s="766" t="s">
        <v>1442</v>
      </c>
      <c r="D81" s="766" t="s">
        <v>79</v>
      </c>
      <c r="E81" s="766"/>
      <c r="F81" s="771"/>
      <c r="G81" s="924">
        <v>1</v>
      </c>
      <c r="H81" s="923">
        <v>3</v>
      </c>
      <c r="I81" s="923">
        <v>2</v>
      </c>
      <c r="J81" s="923">
        <v>4</v>
      </c>
      <c r="K81" s="924">
        <v>1</v>
      </c>
      <c r="L81" s="923">
        <v>3</v>
      </c>
      <c r="M81" s="923">
        <v>2</v>
      </c>
      <c r="N81" s="923">
        <v>4</v>
      </c>
      <c r="O81" s="934"/>
      <c r="P81" s="1158"/>
    </row>
    <row r="82" spans="2:27" ht="15.75" hidden="1" outlineLevel="1">
      <c r="B82" s="1159"/>
      <c r="C82" s="791" t="s">
        <v>2105</v>
      </c>
      <c r="D82" s="792" t="s">
        <v>1511</v>
      </c>
      <c r="E82" s="937"/>
      <c r="F82" s="2342"/>
      <c r="G82" s="2343">
        <f>(1-0.08)^(1/13)-1</f>
        <v>-6.3934443203000901E-3</v>
      </c>
      <c r="H82" s="824">
        <f>(1-0.08)^(1/13)-1</f>
        <v>-6.3934443203000901E-3</v>
      </c>
      <c r="I82" s="824">
        <f>(1-0.08)^(1/13)-1</f>
        <v>-6.3934443203000901E-3</v>
      </c>
      <c r="J82" s="824">
        <f>(1-0.08)^(1/13)-1</f>
        <v>-6.3934443203000901E-3</v>
      </c>
      <c r="K82" s="2343">
        <f>(1-0.02)^(1/30)-1</f>
        <v>-6.7319687848443888E-4</v>
      </c>
      <c r="L82" s="824">
        <f>(1-0.07)^(1/30)-1</f>
        <v>-2.416099615924483E-3</v>
      </c>
      <c r="M82" s="824">
        <v>0</v>
      </c>
      <c r="N82" s="824">
        <f>(1-0.02)^(1/30)-1</f>
        <v>-6.7319687848443888E-4</v>
      </c>
      <c r="O82" s="934"/>
      <c r="P82" s="1158"/>
    </row>
    <row r="83" spans="2:27" ht="15.75" hidden="1" outlineLevel="1">
      <c r="B83" s="1159"/>
      <c r="C83" s="831"/>
      <c r="D83" s="832"/>
      <c r="E83" s="832"/>
      <c r="F83" s="933"/>
      <c r="G83" s="934"/>
      <c r="H83" s="934"/>
      <c r="I83" s="934"/>
      <c r="J83" s="934"/>
      <c r="K83" s="934"/>
      <c r="L83" s="934"/>
      <c r="M83" s="934"/>
      <c r="N83" s="934"/>
      <c r="O83" s="934"/>
      <c r="P83" s="1158"/>
    </row>
    <row r="84" spans="2:27" ht="15.75" hidden="1" outlineLevel="1">
      <c r="B84" s="1159"/>
      <c r="C84" s="866" t="s">
        <v>2235</v>
      </c>
      <c r="D84" s="864"/>
      <c r="E84" s="1256"/>
      <c r="F84" s="864"/>
      <c r="G84" s="864"/>
      <c r="H84" s="864"/>
      <c r="I84" s="864"/>
      <c r="J84" s="864"/>
      <c r="K84" s="864"/>
      <c r="L84" s="864"/>
      <c r="M84" s="864"/>
      <c r="N84" s="864"/>
      <c r="O84" s="867" t="s">
        <v>1076</v>
      </c>
      <c r="P84" s="1158"/>
    </row>
    <row r="85" spans="2:27" ht="5.25" hidden="1" customHeight="1" outlineLevel="1">
      <c r="B85" s="1159"/>
      <c r="C85" s="864"/>
      <c r="D85" s="864"/>
      <c r="E85" s="864"/>
      <c r="F85" s="864"/>
      <c r="G85" s="864"/>
      <c r="H85" s="864"/>
      <c r="I85" s="864"/>
      <c r="J85" s="864"/>
      <c r="K85" s="864"/>
      <c r="L85" s="864"/>
      <c r="M85" s="864"/>
      <c r="N85" s="864"/>
      <c r="O85" s="864"/>
      <c r="P85" s="1158"/>
    </row>
    <row r="86" spans="2:27" ht="15.75" hidden="1" outlineLevel="1">
      <c r="B86" s="1159"/>
      <c r="C86" s="766" t="s">
        <v>1352</v>
      </c>
      <c r="D86" s="766" t="s">
        <v>79</v>
      </c>
      <c r="E86" s="766" t="s">
        <v>442</v>
      </c>
      <c r="F86" s="1541">
        <v>2007</v>
      </c>
      <c r="G86" s="924">
        <v>2010</v>
      </c>
      <c r="H86" s="923">
        <v>2015</v>
      </c>
      <c r="I86" s="923">
        <v>2020</v>
      </c>
      <c r="J86" s="923">
        <v>2025</v>
      </c>
      <c r="K86" s="923">
        <v>2030</v>
      </c>
      <c r="L86" s="923">
        <v>2035</v>
      </c>
      <c r="M86" s="923">
        <v>2040</v>
      </c>
      <c r="N86" s="923">
        <v>2045</v>
      </c>
      <c r="O86" s="923">
        <v>2050</v>
      </c>
      <c r="P86" s="1158"/>
    </row>
    <row r="87" spans="2:27" ht="15.75" hidden="1" outlineLevel="1">
      <c r="B87" s="1159"/>
      <c r="C87" s="831">
        <v>1</v>
      </c>
      <c r="D87" s="832" t="s">
        <v>1481</v>
      </c>
      <c r="E87" s="1258"/>
      <c r="F87" s="847">
        <v>-14.183165399999998</v>
      </c>
      <c r="G87" s="856">
        <v>-10.582451516666699</v>
      </c>
      <c r="H87" s="847">
        <v>-7.2689570166666702</v>
      </c>
      <c r="I87" s="847">
        <v>-4.2283102499999998</v>
      </c>
      <c r="J87" s="847">
        <v>-1.60029287666667</v>
      </c>
      <c r="K87" s="847">
        <v>-0.61735176333333297</v>
      </c>
      <c r="L87" s="847">
        <v>-0.929239486666669</v>
      </c>
      <c r="M87" s="847">
        <v>-2.50554051666668</v>
      </c>
      <c r="N87" s="847">
        <v>-4.3207360266666601</v>
      </c>
      <c r="O87" s="847">
        <v>-5.3787944533333398</v>
      </c>
      <c r="P87" s="1158"/>
      <c r="R87" s="27"/>
      <c r="S87" s="27"/>
      <c r="T87" s="27"/>
      <c r="U87" s="27"/>
      <c r="V87" s="27"/>
      <c r="W87" s="27"/>
      <c r="X87" s="27"/>
      <c r="Y87" s="27"/>
      <c r="Z87" s="27"/>
      <c r="AA87" s="27"/>
    </row>
    <row r="88" spans="2:27" ht="15.75" hidden="1" outlineLevel="1">
      <c r="B88" s="1159"/>
      <c r="C88" s="831">
        <v>3</v>
      </c>
      <c r="D88" s="832" t="s">
        <v>1482</v>
      </c>
      <c r="E88" s="832"/>
      <c r="F88" s="847">
        <v>-14.183165399999998</v>
      </c>
      <c r="G88" s="857">
        <v>-10.5326948133333</v>
      </c>
      <c r="H88" s="1091">
        <v>-7.5910687149999996</v>
      </c>
      <c r="I88" s="1091">
        <v>-4.7967910199999997</v>
      </c>
      <c r="J88" s="1091">
        <v>-2.69593621666667</v>
      </c>
      <c r="K88" s="1091">
        <v>-2.5354317183333399</v>
      </c>
      <c r="L88" s="1091">
        <v>-3.0805327149999902</v>
      </c>
      <c r="M88" s="1091">
        <v>-5.2834375800000002</v>
      </c>
      <c r="N88" s="1091">
        <v>-7.4420078616666601</v>
      </c>
      <c r="O88" s="1091">
        <v>-8.8947345183333706</v>
      </c>
      <c r="P88" s="1158"/>
      <c r="R88" s="27"/>
      <c r="S88" s="27"/>
      <c r="T88" s="27"/>
      <c r="U88" s="27"/>
      <c r="V88" s="27"/>
      <c r="W88" s="27"/>
      <c r="X88" s="27"/>
      <c r="Y88" s="27"/>
      <c r="Z88" s="27"/>
      <c r="AA88" s="27"/>
    </row>
    <row r="89" spans="2:27" ht="15.75" hidden="1" outlineLevel="1">
      <c r="B89" s="1159"/>
      <c r="C89" s="831">
        <v>2</v>
      </c>
      <c r="D89" s="832" t="s">
        <v>2088</v>
      </c>
      <c r="E89" s="832"/>
      <c r="F89" s="847">
        <v>-14.183165399999998</v>
      </c>
      <c r="G89" s="857">
        <v>-10.63661229</v>
      </c>
      <c r="H89" s="1091">
        <v>-7.2915988299999999</v>
      </c>
      <c r="I89" s="1091">
        <v>-4.0474132699999998</v>
      </c>
      <c r="J89" s="1091">
        <v>-1.0517402199999999</v>
      </c>
      <c r="K89" s="1091">
        <v>0.61630457999999999</v>
      </c>
      <c r="L89" s="1091">
        <v>0.88085168999999996</v>
      </c>
      <c r="M89" s="1091">
        <v>-0.14352334999999999</v>
      </c>
      <c r="N89" s="1091">
        <v>-1.42479723</v>
      </c>
      <c r="O89" s="1091">
        <v>-1.93614847</v>
      </c>
      <c r="P89" s="1158"/>
      <c r="R89" s="27"/>
      <c r="S89" s="27"/>
      <c r="T89" s="27"/>
      <c r="U89" s="27"/>
      <c r="V89" s="27"/>
      <c r="W89" s="27"/>
      <c r="X89" s="27"/>
      <c r="Y89" s="27"/>
      <c r="Z89" s="27"/>
      <c r="AA89" s="27"/>
    </row>
    <row r="90" spans="2:27" ht="15.75" hidden="1" outlineLevel="1">
      <c r="B90" s="1159"/>
      <c r="C90" s="769">
        <v>4</v>
      </c>
      <c r="D90" s="770" t="s">
        <v>1483</v>
      </c>
      <c r="E90" s="770"/>
      <c r="F90" s="782">
        <v>-14.183165399999998</v>
      </c>
      <c r="G90" s="858">
        <v>-10.456307131999999</v>
      </c>
      <c r="H90" s="859">
        <v>-7.3616709504333304</v>
      </c>
      <c r="I90" s="859">
        <v>-5.0482864033333303</v>
      </c>
      <c r="J90" s="859">
        <v>-3.6393750815333301</v>
      </c>
      <c r="K90" s="859">
        <v>-4.4265016063666698</v>
      </c>
      <c r="L90" s="859">
        <v>-5.8748650194999898</v>
      </c>
      <c r="M90" s="859">
        <v>-8.6591228508333895</v>
      </c>
      <c r="N90" s="859">
        <v>-11.7321817720333</v>
      </c>
      <c r="O90" s="859">
        <v>-14.1107599681333</v>
      </c>
      <c r="P90" s="1158"/>
      <c r="R90" s="27"/>
      <c r="S90" s="27"/>
      <c r="T90" s="27"/>
      <c r="U90" s="27"/>
      <c r="V90" s="27"/>
      <c r="W90" s="27"/>
      <c r="X90" s="27"/>
      <c r="Y90" s="27"/>
      <c r="Z90" s="27"/>
      <c r="AA90" s="27"/>
    </row>
    <row r="91" spans="2:27" ht="15.75" hidden="1" outlineLevel="1">
      <c r="B91" s="1159"/>
      <c r="C91" s="831"/>
      <c r="D91" s="832"/>
      <c r="E91" s="832"/>
      <c r="F91" s="933"/>
      <c r="G91" s="934"/>
      <c r="H91" s="934"/>
      <c r="I91" s="934"/>
      <c r="J91" s="934"/>
      <c r="K91" s="934"/>
      <c r="L91" s="934"/>
      <c r="M91" s="934"/>
      <c r="N91" s="934"/>
      <c r="O91" s="934"/>
      <c r="P91" s="1158"/>
    </row>
    <row r="92" spans="2:27" ht="15.75" hidden="1" outlineLevel="1">
      <c r="B92" s="1159"/>
      <c r="C92" s="866" t="s">
        <v>1521</v>
      </c>
      <c r="D92" s="864"/>
      <c r="E92" s="1256"/>
      <c r="F92" s="864"/>
      <c r="G92" s="864"/>
      <c r="H92" s="864"/>
      <c r="I92" s="864"/>
      <c r="J92" s="864"/>
      <c r="K92" s="864"/>
      <c r="L92" s="864"/>
      <c r="M92" s="864"/>
      <c r="N92" s="864"/>
      <c r="O92" s="867" t="s">
        <v>1522</v>
      </c>
      <c r="P92" s="1158"/>
    </row>
    <row r="93" spans="2:27" ht="5.25" hidden="1" customHeight="1" outlineLevel="1">
      <c r="B93" s="1159"/>
      <c r="C93" s="864"/>
      <c r="D93" s="864"/>
      <c r="E93" s="864"/>
      <c r="F93" s="864"/>
      <c r="G93" s="864"/>
      <c r="H93" s="864"/>
      <c r="I93" s="864"/>
      <c r="J93" s="864"/>
      <c r="K93" s="864"/>
      <c r="L93" s="864"/>
      <c r="M93" s="864"/>
      <c r="N93" s="864"/>
      <c r="O93" s="864"/>
      <c r="P93" s="1158"/>
    </row>
    <row r="94" spans="2:27" ht="15.75" hidden="1" outlineLevel="1">
      <c r="B94" s="1159"/>
      <c r="C94" s="766" t="s">
        <v>1352</v>
      </c>
      <c r="D94" s="766" t="s">
        <v>79</v>
      </c>
      <c r="E94" s="766" t="s">
        <v>442</v>
      </c>
      <c r="F94" s="1541">
        <v>2007</v>
      </c>
      <c r="G94" s="924">
        <v>2010</v>
      </c>
      <c r="H94" s="923">
        <v>2015</v>
      </c>
      <c r="I94" s="923">
        <v>2020</v>
      </c>
      <c r="J94" s="923">
        <v>2025</v>
      </c>
      <c r="K94" s="923">
        <v>2030</v>
      </c>
      <c r="L94" s="923">
        <v>2035</v>
      </c>
      <c r="M94" s="923">
        <v>2040</v>
      </c>
      <c r="N94" s="923">
        <v>2045</v>
      </c>
      <c r="O94" s="923">
        <v>2050</v>
      </c>
      <c r="P94" s="1158"/>
      <c r="S94" s="27"/>
      <c r="T94" s="27"/>
      <c r="U94" s="27"/>
      <c r="V94" s="27"/>
      <c r="W94" s="27"/>
      <c r="X94" s="27"/>
      <c r="Y94" s="27"/>
      <c r="Z94" s="27"/>
      <c r="AA94" s="27"/>
    </row>
    <row r="95" spans="2:27" ht="15.75" hidden="1" outlineLevel="1">
      <c r="B95" s="1159"/>
      <c r="C95" s="831">
        <v>1</v>
      </c>
      <c r="D95" s="832" t="s">
        <v>1481</v>
      </c>
      <c r="E95" s="1258"/>
      <c r="F95" s="1257">
        <v>0.03</v>
      </c>
      <c r="G95" s="881">
        <v>3.4728750000000003E-2</v>
      </c>
      <c r="H95" s="1257">
        <v>4.4323663313671886E-2</v>
      </c>
      <c r="I95" s="1257">
        <v>5.6569474269697086E-2</v>
      </c>
      <c r="J95" s="1257">
        <v>7.2198577010732554E-2</v>
      </c>
      <c r="K95" s="1257">
        <v>9.2145712677534339E-2</v>
      </c>
      <c r="L95" s="1257">
        <v>0.1176038741537596</v>
      </c>
      <c r="M95" s="1257">
        <v>0.15009565626101368</v>
      </c>
      <c r="N95" s="1257">
        <v>0.19156431869726948</v>
      </c>
      <c r="O95" s="1257">
        <v>0.24449000798619908</v>
      </c>
      <c r="P95" s="1158"/>
      <c r="S95" s="27"/>
      <c r="T95" s="27"/>
      <c r="U95" s="27"/>
      <c r="V95" s="27"/>
      <c r="W95" s="27"/>
      <c r="X95" s="27"/>
      <c r="Y95" s="27"/>
      <c r="Z95" s="27"/>
      <c r="AA95" s="27"/>
    </row>
    <row r="96" spans="2:27" ht="15.75" hidden="1" outlineLevel="1">
      <c r="B96" s="1159"/>
      <c r="C96" s="831">
        <v>3</v>
      </c>
      <c r="D96" s="832" t="s">
        <v>1482</v>
      </c>
      <c r="E96" s="832"/>
      <c r="F96" s="1257">
        <v>0.03</v>
      </c>
      <c r="G96" s="882">
        <v>0.05</v>
      </c>
      <c r="H96" s="1088">
        <v>0.1</v>
      </c>
      <c r="I96" s="1088">
        <v>0.5</v>
      </c>
      <c r="J96" s="1088">
        <v>1</v>
      </c>
      <c r="K96" s="1088">
        <v>1</v>
      </c>
      <c r="L96" s="1088">
        <v>1</v>
      </c>
      <c r="M96" s="1088">
        <v>1</v>
      </c>
      <c r="N96" s="1088">
        <v>1</v>
      </c>
      <c r="O96" s="1088">
        <v>1</v>
      </c>
      <c r="P96" s="1158"/>
      <c r="S96" s="27"/>
      <c r="T96" s="27"/>
      <c r="U96" s="27"/>
      <c r="V96" s="27"/>
      <c r="W96" s="27"/>
      <c r="X96" s="27"/>
      <c r="Y96" s="27"/>
      <c r="Z96" s="27"/>
      <c r="AA96" s="27"/>
    </row>
    <row r="97" spans="2:27" ht="15.75" hidden="1" outlineLevel="1">
      <c r="B97" s="1159"/>
      <c r="C97" s="831">
        <v>2</v>
      </c>
      <c r="D97" s="832" t="s">
        <v>2088</v>
      </c>
      <c r="E97" s="832"/>
      <c r="F97" s="1257">
        <v>0.03</v>
      </c>
      <c r="G97" s="882">
        <v>0.05</v>
      </c>
      <c r="H97" s="1088">
        <v>0.05</v>
      </c>
      <c r="I97" s="1088">
        <v>0.05</v>
      </c>
      <c r="J97" s="1088">
        <v>0.05</v>
      </c>
      <c r="K97" s="1088">
        <v>0.05</v>
      </c>
      <c r="L97" s="1088">
        <v>0.05</v>
      </c>
      <c r="M97" s="1088">
        <v>0.05</v>
      </c>
      <c r="N97" s="1088">
        <v>0.05</v>
      </c>
      <c r="O97" s="1088">
        <v>0.05</v>
      </c>
      <c r="P97" s="1158"/>
      <c r="S97" s="27"/>
      <c r="T97" s="27"/>
      <c r="U97" s="27"/>
      <c r="V97" s="27"/>
      <c r="W97" s="27"/>
      <c r="X97" s="27"/>
      <c r="Y97" s="27"/>
      <c r="Z97" s="27"/>
      <c r="AA97" s="27"/>
    </row>
    <row r="98" spans="2:27" ht="15.75" hidden="1" outlineLevel="1">
      <c r="B98" s="1159"/>
      <c r="C98" s="769">
        <v>4</v>
      </c>
      <c r="D98" s="770" t="s">
        <v>1483</v>
      </c>
      <c r="E98" s="770"/>
      <c r="F98" s="846">
        <v>0.03</v>
      </c>
      <c r="G98" s="883">
        <v>0.05</v>
      </c>
      <c r="H98" s="884">
        <v>0.1</v>
      </c>
      <c r="I98" s="884">
        <v>0.5</v>
      </c>
      <c r="J98" s="884">
        <v>1</v>
      </c>
      <c r="K98" s="884">
        <v>1</v>
      </c>
      <c r="L98" s="884">
        <v>1</v>
      </c>
      <c r="M98" s="884">
        <v>1</v>
      </c>
      <c r="N98" s="884">
        <v>1</v>
      </c>
      <c r="O98" s="884">
        <v>1</v>
      </c>
      <c r="P98" s="1158"/>
      <c r="S98" s="2390"/>
      <c r="T98" s="2390"/>
      <c r="U98" s="2390"/>
      <c r="V98" s="2390"/>
      <c r="W98" s="2390"/>
      <c r="X98" s="2390"/>
      <c r="Y98" s="2390"/>
      <c r="Z98" s="2390"/>
      <c r="AA98" s="2390"/>
    </row>
    <row r="99" spans="2:27" hidden="1" outlineLevel="1">
      <c r="B99" s="1163"/>
      <c r="C99" s="864"/>
      <c r="D99" s="1259"/>
      <c r="E99" s="864"/>
      <c r="F99" s="864"/>
      <c r="G99" s="864"/>
      <c r="H99" s="864"/>
      <c r="I99" s="864"/>
      <c r="J99" s="864"/>
      <c r="K99" s="864"/>
      <c r="L99" s="864"/>
      <c r="M99" s="864"/>
      <c r="N99" s="864"/>
      <c r="O99" s="864"/>
      <c r="P99" s="1158"/>
    </row>
    <row r="100" spans="2:27" hidden="1" outlineLevel="1">
      <c r="B100" s="1163"/>
      <c r="C100" s="866" t="s">
        <v>1523</v>
      </c>
      <c r="D100" s="864"/>
      <c r="E100" s="867"/>
      <c r="F100" s="864"/>
      <c r="G100" s="864"/>
      <c r="H100" s="864"/>
      <c r="I100" s="864"/>
      <c r="J100" s="864"/>
      <c r="K100" s="864"/>
      <c r="L100" s="864"/>
      <c r="M100" s="864"/>
      <c r="N100" s="864"/>
      <c r="O100" s="867" t="s">
        <v>2311</v>
      </c>
      <c r="P100" s="1158"/>
    </row>
    <row r="101" spans="2:27" ht="6.75" hidden="1" customHeight="1" outlineLevel="1">
      <c r="B101" s="1163"/>
      <c r="C101" s="864"/>
      <c r="D101" s="864"/>
      <c r="E101" s="864"/>
      <c r="F101" s="864"/>
      <c r="G101" s="864"/>
      <c r="H101" s="864"/>
      <c r="I101" s="864"/>
      <c r="J101" s="864"/>
      <c r="K101" s="864"/>
      <c r="L101" s="864"/>
      <c r="M101" s="864"/>
      <c r="N101" s="864"/>
      <c r="O101" s="864"/>
      <c r="P101" s="1158"/>
    </row>
    <row r="102" spans="2:27" ht="15.75" hidden="1" outlineLevel="1">
      <c r="B102" s="1159"/>
      <c r="C102" s="766" t="s">
        <v>1352</v>
      </c>
      <c r="D102" s="766" t="s">
        <v>79</v>
      </c>
      <c r="E102" s="766" t="s">
        <v>442</v>
      </c>
      <c r="F102" s="1541">
        <v>2007</v>
      </c>
      <c r="G102" s="924">
        <v>2010</v>
      </c>
      <c r="H102" s="923">
        <v>2015</v>
      </c>
      <c r="I102" s="923">
        <v>2020</v>
      </c>
      <c r="J102" s="923">
        <v>2025</v>
      </c>
      <c r="K102" s="923">
        <v>2030</v>
      </c>
      <c r="L102" s="923">
        <v>2035</v>
      </c>
      <c r="M102" s="923">
        <v>2040</v>
      </c>
      <c r="N102" s="923">
        <v>2045</v>
      </c>
      <c r="O102" s="923">
        <v>2050</v>
      </c>
      <c r="P102" s="1158"/>
    </row>
    <row r="103" spans="2:27" ht="15.75" hidden="1" outlineLevel="1">
      <c r="B103" s="1159"/>
      <c r="C103" s="831">
        <v>1</v>
      </c>
      <c r="D103" s="832" t="s">
        <v>1481</v>
      </c>
      <c r="E103" s="1258"/>
      <c r="F103" s="1257">
        <v>0.02</v>
      </c>
      <c r="G103" s="881">
        <v>0.1</v>
      </c>
      <c r="H103" s="1257">
        <v>0.2</v>
      </c>
      <c r="I103" s="1257">
        <v>0.5</v>
      </c>
      <c r="J103" s="1257">
        <v>0.5</v>
      </c>
      <c r="K103" s="1257">
        <v>0.5</v>
      </c>
      <c r="L103" s="1257">
        <v>0.5</v>
      </c>
      <c r="M103" s="1257">
        <v>0.5</v>
      </c>
      <c r="N103" s="1257">
        <v>0.5</v>
      </c>
      <c r="O103" s="1257">
        <v>0.5</v>
      </c>
      <c r="P103" s="1158"/>
    </row>
    <row r="104" spans="2:27" ht="15.75" hidden="1" outlineLevel="1">
      <c r="B104" s="1159"/>
      <c r="C104" s="831">
        <v>3</v>
      </c>
      <c r="D104" s="832" t="s">
        <v>1482</v>
      </c>
      <c r="E104" s="832"/>
      <c r="F104" s="1257">
        <v>0.02</v>
      </c>
      <c r="G104" s="882">
        <v>0.1</v>
      </c>
      <c r="H104" s="1088">
        <v>0.5</v>
      </c>
      <c r="I104" s="1088">
        <v>0.9</v>
      </c>
      <c r="J104" s="1088">
        <v>0.9</v>
      </c>
      <c r="K104" s="1088">
        <v>0.9</v>
      </c>
      <c r="L104" s="1088">
        <v>0.9</v>
      </c>
      <c r="M104" s="1088">
        <v>0.9</v>
      </c>
      <c r="N104" s="1088">
        <v>0.9</v>
      </c>
      <c r="O104" s="1088">
        <v>0.9</v>
      </c>
      <c r="P104" s="1158"/>
    </row>
    <row r="105" spans="2:27" ht="15.75" hidden="1" outlineLevel="1">
      <c r="B105" s="1159"/>
      <c r="C105" s="831">
        <v>2</v>
      </c>
      <c r="D105" s="832" t="s">
        <v>2088</v>
      </c>
      <c r="E105" s="832"/>
      <c r="F105" s="1257">
        <v>0.02</v>
      </c>
      <c r="G105" s="882">
        <v>0.1</v>
      </c>
      <c r="H105" s="1088">
        <v>0.2</v>
      </c>
      <c r="I105" s="1088">
        <v>0.5</v>
      </c>
      <c r="J105" s="1088">
        <v>0.5</v>
      </c>
      <c r="K105" s="1088">
        <v>0.5</v>
      </c>
      <c r="L105" s="1088">
        <v>0.5</v>
      </c>
      <c r="M105" s="1088">
        <v>0.5</v>
      </c>
      <c r="N105" s="1088">
        <v>0.5</v>
      </c>
      <c r="O105" s="1088">
        <v>0.5</v>
      </c>
      <c r="P105" s="1158"/>
    </row>
    <row r="106" spans="2:27" ht="15.75" hidden="1" outlineLevel="1">
      <c r="B106" s="1159"/>
      <c r="C106" s="769">
        <v>4</v>
      </c>
      <c r="D106" s="770" t="s">
        <v>1483</v>
      </c>
      <c r="E106" s="770"/>
      <c r="F106" s="846">
        <v>0.02</v>
      </c>
      <c r="G106" s="883">
        <v>0.1</v>
      </c>
      <c r="H106" s="884">
        <v>0.5</v>
      </c>
      <c r="I106" s="884">
        <v>0.9</v>
      </c>
      <c r="J106" s="884">
        <v>0.9</v>
      </c>
      <c r="K106" s="884">
        <v>0.9</v>
      </c>
      <c r="L106" s="884">
        <v>0.9</v>
      </c>
      <c r="M106" s="884">
        <v>0.9</v>
      </c>
      <c r="N106" s="884">
        <v>0.9</v>
      </c>
      <c r="O106" s="884">
        <v>0.9</v>
      </c>
      <c r="P106" s="1158"/>
    </row>
    <row r="107" spans="2:27" ht="15.75" hidden="1" outlineLevel="1">
      <c r="B107" s="1159"/>
      <c r="C107" s="831"/>
      <c r="D107" s="832"/>
      <c r="E107" s="832"/>
      <c r="F107" s="933"/>
      <c r="G107" s="934"/>
      <c r="H107" s="934"/>
      <c r="I107" s="934"/>
      <c r="J107" s="934"/>
      <c r="K107" s="934"/>
      <c r="L107" s="934"/>
      <c r="M107" s="934"/>
      <c r="N107" s="934"/>
      <c r="O107" s="934"/>
      <c r="P107" s="1158"/>
    </row>
    <row r="108" spans="2:27" hidden="1" outlineLevel="1">
      <c r="B108" s="1163"/>
      <c r="C108" s="866" t="s">
        <v>2109</v>
      </c>
      <c r="D108" s="1259"/>
      <c r="E108" s="864"/>
      <c r="F108" s="864"/>
      <c r="G108" s="864"/>
      <c r="H108" s="864"/>
      <c r="I108" s="864"/>
      <c r="J108" s="864"/>
      <c r="K108" s="864"/>
      <c r="L108" s="864"/>
      <c r="M108" s="864"/>
      <c r="N108" s="864"/>
      <c r="O108" s="867" t="s">
        <v>1522</v>
      </c>
      <c r="P108" s="1158"/>
    </row>
    <row r="109" spans="2:27" ht="5.25" hidden="1" customHeight="1" outlineLevel="1">
      <c r="B109" s="1163"/>
      <c r="C109" s="864"/>
      <c r="D109" s="1259"/>
      <c r="E109" s="864"/>
      <c r="F109" s="864"/>
      <c r="G109" s="864"/>
      <c r="H109" s="864"/>
      <c r="I109" s="864"/>
      <c r="J109" s="864"/>
      <c r="K109" s="864"/>
      <c r="L109" s="864"/>
      <c r="M109" s="864"/>
      <c r="N109" s="864"/>
      <c r="O109" s="864"/>
      <c r="P109" s="1158"/>
    </row>
    <row r="110" spans="2:27" ht="15.75" hidden="1" outlineLevel="1">
      <c r="B110" s="1159"/>
      <c r="C110" s="766" t="s">
        <v>1352</v>
      </c>
      <c r="D110" s="766" t="s">
        <v>79</v>
      </c>
      <c r="E110" s="766" t="s">
        <v>442</v>
      </c>
      <c r="F110" s="1541">
        <v>2007</v>
      </c>
      <c r="G110" s="924">
        <v>2010</v>
      </c>
      <c r="H110" s="923">
        <v>2015</v>
      </c>
      <c r="I110" s="923">
        <v>2020</v>
      </c>
      <c r="J110" s="923">
        <v>2025</v>
      </c>
      <c r="K110" s="923">
        <v>2030</v>
      </c>
      <c r="L110" s="923">
        <v>2035</v>
      </c>
      <c r="M110" s="923">
        <v>2040</v>
      </c>
      <c r="N110" s="923">
        <v>2045</v>
      </c>
      <c r="O110" s="923">
        <v>2050</v>
      </c>
      <c r="P110" s="1158"/>
    </row>
    <row r="111" spans="2:27" ht="15.75" hidden="1" outlineLevel="1">
      <c r="B111" s="1159"/>
      <c r="C111" s="831">
        <v>1</v>
      </c>
      <c r="D111" s="832" t="s">
        <v>1481</v>
      </c>
      <c r="E111" s="1258"/>
      <c r="F111" s="1257">
        <v>0.03</v>
      </c>
      <c r="G111" s="881">
        <v>3.4728750000000003E-2</v>
      </c>
      <c r="H111" s="1257">
        <v>4.4323663313671886E-2</v>
      </c>
      <c r="I111" s="1257">
        <v>5.6569474269697086E-2</v>
      </c>
      <c r="J111" s="1257">
        <v>7.2198577010732554E-2</v>
      </c>
      <c r="K111" s="1257">
        <v>9.2145712677534339E-2</v>
      </c>
      <c r="L111" s="1257">
        <v>0.1176038741537596</v>
      </c>
      <c r="M111" s="1257">
        <v>0.15009565626101368</v>
      </c>
      <c r="N111" s="1257">
        <v>0.19156431869726948</v>
      </c>
      <c r="O111" s="1257">
        <v>0.24449000798619908</v>
      </c>
      <c r="P111" s="1158"/>
    </row>
    <row r="112" spans="2:27" ht="15.75" hidden="1" outlineLevel="1">
      <c r="B112" s="1159"/>
      <c r="C112" s="831">
        <v>3</v>
      </c>
      <c r="D112" s="832" t="s">
        <v>1482</v>
      </c>
      <c r="E112" s="832"/>
      <c r="F112" s="1257">
        <v>0.03</v>
      </c>
      <c r="G112" s="882">
        <v>0.05</v>
      </c>
      <c r="H112" s="1088">
        <v>0.1</v>
      </c>
      <c r="I112" s="1088">
        <v>0.2</v>
      </c>
      <c r="J112" s="1088">
        <v>0.4</v>
      </c>
      <c r="K112" s="1088">
        <v>0.8</v>
      </c>
      <c r="L112" s="1088">
        <v>0.8</v>
      </c>
      <c r="M112" s="1088">
        <v>0.8</v>
      </c>
      <c r="N112" s="1088">
        <v>0.8</v>
      </c>
      <c r="O112" s="1088">
        <v>0.8</v>
      </c>
      <c r="P112" s="1158"/>
    </row>
    <row r="113" spans="1:16" ht="15.75" hidden="1" outlineLevel="1">
      <c r="B113" s="1159"/>
      <c r="C113" s="831">
        <v>2</v>
      </c>
      <c r="D113" s="832" t="s">
        <v>2088</v>
      </c>
      <c r="E113" s="832"/>
      <c r="F113" s="1257">
        <v>0.03</v>
      </c>
      <c r="G113" s="882">
        <v>0.05</v>
      </c>
      <c r="H113" s="1088">
        <v>0.05</v>
      </c>
      <c r="I113" s="1088">
        <v>0.05</v>
      </c>
      <c r="J113" s="1088">
        <v>0.05</v>
      </c>
      <c r="K113" s="1088">
        <v>0.05</v>
      </c>
      <c r="L113" s="1088">
        <v>0.05</v>
      </c>
      <c r="M113" s="1088">
        <v>0.05</v>
      </c>
      <c r="N113" s="1088">
        <v>0.05</v>
      </c>
      <c r="O113" s="1088">
        <v>0.05</v>
      </c>
      <c r="P113" s="1158"/>
    </row>
    <row r="114" spans="1:16" ht="15.75" hidden="1" outlineLevel="1">
      <c r="B114" s="1159"/>
      <c r="C114" s="769">
        <v>4</v>
      </c>
      <c r="D114" s="770" t="s">
        <v>1483</v>
      </c>
      <c r="E114" s="770"/>
      <c r="F114" s="846">
        <v>0.03</v>
      </c>
      <c r="G114" s="883">
        <v>0.05</v>
      </c>
      <c r="H114" s="884">
        <v>0.1</v>
      </c>
      <c r="I114" s="884">
        <v>0.2</v>
      </c>
      <c r="J114" s="884">
        <v>0.4</v>
      </c>
      <c r="K114" s="884">
        <v>0.8</v>
      </c>
      <c r="L114" s="884">
        <v>0.8</v>
      </c>
      <c r="M114" s="884">
        <v>0.8</v>
      </c>
      <c r="N114" s="884">
        <v>0.8</v>
      </c>
      <c r="O114" s="884">
        <v>0.8</v>
      </c>
      <c r="P114" s="1158"/>
    </row>
    <row r="115" spans="1:16" hidden="1" outlineLevel="1">
      <c r="B115" s="1163"/>
      <c r="C115" s="864"/>
      <c r="D115" s="1259"/>
      <c r="E115" s="864"/>
      <c r="F115" s="864"/>
      <c r="G115" s="864"/>
      <c r="H115" s="864"/>
      <c r="I115" s="864"/>
      <c r="J115" s="864"/>
      <c r="K115" s="864"/>
      <c r="L115" s="864"/>
      <c r="M115" s="864"/>
      <c r="N115" s="864"/>
      <c r="O115" s="864"/>
      <c r="P115" s="1158"/>
    </row>
    <row r="116" spans="1:16" hidden="1" outlineLevel="1">
      <c r="B116" s="1163"/>
      <c r="C116" s="866" t="s">
        <v>2138</v>
      </c>
      <c r="D116" s="1259"/>
      <c r="E116" s="864"/>
      <c r="F116" s="864"/>
      <c r="G116" s="864"/>
      <c r="H116" s="864"/>
      <c r="I116" s="864"/>
      <c r="J116" s="864"/>
      <c r="K116" s="864"/>
      <c r="L116" s="864"/>
      <c r="M116" s="864"/>
      <c r="N116" s="864"/>
      <c r="O116" s="867" t="s">
        <v>2139</v>
      </c>
      <c r="P116" s="1158"/>
    </row>
    <row r="117" spans="1:16" ht="5.25" hidden="1" customHeight="1" outlineLevel="1">
      <c r="B117" s="1163"/>
      <c r="C117" s="864"/>
      <c r="D117" s="1259"/>
      <c r="E117" s="864"/>
      <c r="F117" s="864"/>
      <c r="G117" s="864"/>
      <c r="H117" s="864"/>
      <c r="I117" s="864"/>
      <c r="J117" s="864"/>
      <c r="K117" s="864"/>
      <c r="L117" s="864"/>
      <c r="M117" s="864"/>
      <c r="N117" s="864"/>
      <c r="O117" s="864"/>
      <c r="P117" s="1158"/>
    </row>
    <row r="118" spans="1:16" ht="15.75" hidden="1" outlineLevel="1">
      <c r="B118" s="1159"/>
      <c r="C118" s="766" t="s">
        <v>1352</v>
      </c>
      <c r="D118" s="766" t="s">
        <v>79</v>
      </c>
      <c r="E118" s="766" t="s">
        <v>442</v>
      </c>
      <c r="F118" s="1541">
        <v>2007</v>
      </c>
      <c r="G118" s="924">
        <v>2010</v>
      </c>
      <c r="H118" s="923">
        <v>2015</v>
      </c>
      <c r="I118" s="923">
        <v>2020</v>
      </c>
      <c r="J118" s="923">
        <v>2025</v>
      </c>
      <c r="K118" s="923">
        <v>2030</v>
      </c>
      <c r="L118" s="923">
        <v>2035</v>
      </c>
      <c r="M118" s="923">
        <v>2040</v>
      </c>
      <c r="N118" s="923">
        <v>2045</v>
      </c>
      <c r="O118" s="923">
        <v>2050</v>
      </c>
      <c r="P118" s="1158"/>
    </row>
    <row r="119" spans="1:16" ht="15.75" hidden="1" outlineLevel="1">
      <c r="B119" s="1159"/>
      <c r="C119" s="831">
        <v>1</v>
      </c>
      <c r="D119" s="832" t="s">
        <v>1481</v>
      </c>
      <c r="E119" s="1258"/>
      <c r="F119" s="1272">
        <v>0</v>
      </c>
      <c r="G119" s="907">
        <v>0</v>
      </c>
      <c r="H119" s="1272">
        <v>0</v>
      </c>
      <c r="I119" s="1272">
        <v>0</v>
      </c>
      <c r="J119" s="1272">
        <v>0</v>
      </c>
      <c r="K119" s="1272">
        <v>0</v>
      </c>
      <c r="L119" s="1272">
        <v>1.2436379999999993E-2</v>
      </c>
      <c r="M119" s="1272">
        <v>0.18159432499999983</v>
      </c>
      <c r="N119" s="1272">
        <v>0.31537986333333334</v>
      </c>
      <c r="O119" s="1272">
        <v>0.3712013616666674</v>
      </c>
      <c r="P119" s="1158"/>
    </row>
    <row r="120" spans="1:16" ht="15.75" hidden="1" outlineLevel="1">
      <c r="B120" s="1159"/>
      <c r="C120" s="831">
        <v>3</v>
      </c>
      <c r="D120" s="832" t="s">
        <v>1482</v>
      </c>
      <c r="E120" s="832"/>
      <c r="F120" s="1272">
        <v>0</v>
      </c>
      <c r="G120" s="1772">
        <v>0</v>
      </c>
      <c r="H120" s="1771">
        <v>0</v>
      </c>
      <c r="I120" s="1771">
        <v>0.3696000000000001</v>
      </c>
      <c r="J120" s="1771">
        <v>0.36960000000000015</v>
      </c>
      <c r="K120" s="1771">
        <v>0.73919999999999897</v>
      </c>
      <c r="L120" s="1771">
        <v>1.2580365599999965</v>
      </c>
      <c r="M120" s="1771">
        <v>2.0686226439999986</v>
      </c>
      <c r="N120" s="1771">
        <v>3.0189737600000002</v>
      </c>
      <c r="O120" s="1771">
        <v>3.5673428559999878</v>
      </c>
      <c r="P120" s="1158"/>
    </row>
    <row r="121" spans="1:16" ht="15.75" hidden="1" outlineLevel="1">
      <c r="B121" s="1159"/>
      <c r="C121" s="831">
        <v>2</v>
      </c>
      <c r="D121" s="832" t="s">
        <v>2088</v>
      </c>
      <c r="E121" s="832"/>
      <c r="F121" s="1272">
        <v>0</v>
      </c>
      <c r="G121" s="1772">
        <v>0</v>
      </c>
      <c r="H121" s="1771">
        <v>0</v>
      </c>
      <c r="I121" s="1771">
        <v>0</v>
      </c>
      <c r="J121" s="1771">
        <v>0</v>
      </c>
      <c r="K121" s="1771">
        <v>0</v>
      </c>
      <c r="L121" s="1771">
        <v>0</v>
      </c>
      <c r="M121" s="1771">
        <v>0</v>
      </c>
      <c r="N121" s="1771">
        <v>0</v>
      </c>
      <c r="O121" s="1771">
        <v>0</v>
      </c>
      <c r="P121" s="1158"/>
    </row>
    <row r="122" spans="1:16" ht="15.75" hidden="1" outlineLevel="1">
      <c r="B122" s="1159"/>
      <c r="C122" s="769">
        <v>4</v>
      </c>
      <c r="D122" s="770" t="s">
        <v>1483</v>
      </c>
      <c r="E122" s="770"/>
      <c r="F122" s="2256">
        <v>0</v>
      </c>
      <c r="G122" s="1774">
        <v>0</v>
      </c>
      <c r="H122" s="1773">
        <v>0</v>
      </c>
      <c r="I122" s="1773">
        <v>0.3696000000000001</v>
      </c>
      <c r="J122" s="1773">
        <v>0.36960000000000015</v>
      </c>
      <c r="K122" s="1773">
        <v>0.73919999999999897</v>
      </c>
      <c r="L122" s="1773">
        <v>1.3067871695999984</v>
      </c>
      <c r="M122" s="1773">
        <v>2.567825419866665</v>
      </c>
      <c r="N122" s="1773">
        <v>3.8578103314666636</v>
      </c>
      <c r="O122" s="1773">
        <v>4.5288289243999769</v>
      </c>
      <c r="P122" s="1158"/>
    </row>
    <row r="123" spans="1:16" hidden="1" outlineLevel="1">
      <c r="B123" s="1163"/>
      <c r="C123" s="864"/>
      <c r="D123" s="1259"/>
      <c r="E123" s="864"/>
      <c r="F123" s="864"/>
      <c r="G123" s="864"/>
      <c r="H123" s="864"/>
      <c r="I123" s="864"/>
      <c r="J123" s="864"/>
      <c r="K123" s="864"/>
      <c r="L123" s="864"/>
      <c r="M123" s="864"/>
      <c r="N123" s="864"/>
      <c r="O123" s="864"/>
      <c r="P123" s="1158"/>
    </row>
    <row r="124" spans="1:16" ht="15.75" hidden="1" outlineLevel="1">
      <c r="B124" s="1193"/>
      <c r="C124" s="1194"/>
      <c r="D124" s="1195"/>
      <c r="E124" s="1195"/>
      <c r="F124" s="1196"/>
      <c r="G124" s="1197"/>
      <c r="H124" s="1197"/>
      <c r="I124" s="1197"/>
      <c r="J124" s="1197"/>
      <c r="K124" s="1197"/>
      <c r="L124" s="1197"/>
      <c r="M124" s="1197"/>
      <c r="N124" s="1197"/>
      <c r="O124" s="1197"/>
      <c r="P124" s="1166"/>
    </row>
    <row r="126" spans="1:16" s="743" customFormat="1" ht="22.5" collapsed="1">
      <c r="A126" s="1170"/>
      <c r="B126" s="1236" t="s">
        <v>786</v>
      </c>
      <c r="C126" s="1167"/>
      <c r="D126" s="1167"/>
      <c r="E126" s="1167"/>
      <c r="F126" s="1167"/>
      <c r="G126" s="1167"/>
      <c r="H126" s="1167"/>
      <c r="I126" s="1167"/>
      <c r="J126" s="1167"/>
      <c r="K126" s="1167"/>
      <c r="L126" s="1167"/>
      <c r="M126" s="1167"/>
      <c r="N126" s="1167"/>
      <c r="O126" s="1167"/>
      <c r="P126" s="1168"/>
    </row>
    <row r="127" spans="1:16" hidden="1" outlineLevel="1">
      <c r="B127" s="1157"/>
      <c r="C127" s="864"/>
      <c r="D127" s="864"/>
      <c r="E127" s="864"/>
      <c r="F127" s="864"/>
      <c r="G127" s="864"/>
      <c r="H127" s="864"/>
      <c r="I127" s="864"/>
      <c r="J127" s="864"/>
      <c r="K127" s="864"/>
      <c r="L127" s="864"/>
      <c r="M127" s="864"/>
      <c r="N127" s="864"/>
      <c r="O127" s="864"/>
      <c r="P127" s="1158"/>
    </row>
    <row r="128" spans="1:16" hidden="1" outlineLevel="1">
      <c r="B128" s="1157"/>
      <c r="C128" s="866" t="s">
        <v>1490</v>
      </c>
      <c r="D128" s="864"/>
      <c r="E128" s="1256"/>
      <c r="F128" s="867" t="s">
        <v>1491</v>
      </c>
      <c r="G128" s="864"/>
      <c r="H128" s="864"/>
      <c r="I128" s="864"/>
      <c r="J128" s="864"/>
      <c r="K128" s="864"/>
      <c r="L128" s="864"/>
      <c r="M128" s="864"/>
      <c r="N128" s="864"/>
      <c r="O128" s="864"/>
      <c r="P128" s="1158"/>
    </row>
    <row r="129" spans="2:16" ht="6" hidden="1" customHeight="1" outlineLevel="1">
      <c r="B129" s="1157"/>
      <c r="C129" s="864"/>
      <c r="D129" s="864"/>
      <c r="E129" s="864"/>
      <c r="F129" s="864"/>
      <c r="G129" s="864"/>
      <c r="H129" s="864"/>
      <c r="I129" s="864"/>
      <c r="J129" s="864"/>
      <c r="K129" s="864"/>
      <c r="L129" s="864"/>
      <c r="M129" s="864"/>
      <c r="N129" s="864"/>
      <c r="O129" s="864"/>
      <c r="P129" s="1158"/>
    </row>
    <row r="130" spans="2:16" ht="15.75" hidden="1" outlineLevel="1">
      <c r="B130" s="1159"/>
      <c r="C130" s="766" t="s">
        <v>1442</v>
      </c>
      <c r="D130" s="766" t="s">
        <v>79</v>
      </c>
      <c r="E130" s="766"/>
      <c r="F130" s="771">
        <v>2007</v>
      </c>
      <c r="G130" s="864"/>
      <c r="H130" s="864"/>
      <c r="I130" s="864"/>
      <c r="J130" s="864"/>
      <c r="K130" s="864"/>
      <c r="L130" s="864"/>
      <c r="M130" s="864"/>
      <c r="N130" s="864"/>
      <c r="O130" s="864"/>
      <c r="P130" s="1158"/>
    </row>
    <row r="131" spans="2:16" ht="15.75" hidden="1" outlineLevel="1">
      <c r="B131" s="1159"/>
      <c r="C131" s="831">
        <v>1</v>
      </c>
      <c r="D131" s="832" t="s">
        <v>1486</v>
      </c>
      <c r="E131" s="1254"/>
      <c r="F131" s="911">
        <v>1954</v>
      </c>
      <c r="G131" s="864"/>
      <c r="H131" s="864"/>
      <c r="I131" s="864"/>
      <c r="J131" s="864"/>
      <c r="K131" s="864"/>
      <c r="L131" s="864"/>
      <c r="M131" s="864"/>
      <c r="N131" s="864"/>
      <c r="O131" s="864"/>
      <c r="P131" s="1158"/>
    </row>
    <row r="132" spans="2:16" ht="15.75" hidden="1" outlineLevel="1">
      <c r="B132" s="1159"/>
      <c r="C132" s="831">
        <v>2</v>
      </c>
      <c r="D132" s="832" t="s">
        <v>1487</v>
      </c>
      <c r="E132" s="832"/>
      <c r="F132" s="911">
        <v>167667</v>
      </c>
      <c r="G132" s="864"/>
      <c r="H132" s="864"/>
      <c r="I132" s="864"/>
      <c r="J132" s="864"/>
      <c r="K132" s="864"/>
      <c r="L132" s="864"/>
      <c r="M132" s="864"/>
      <c r="N132" s="864"/>
      <c r="O132" s="864"/>
      <c r="P132" s="1158"/>
    </row>
    <row r="133" spans="2:16" ht="15.75" hidden="1" outlineLevel="1">
      <c r="B133" s="1159"/>
      <c r="C133" s="769">
        <v>3</v>
      </c>
      <c r="D133" s="770" t="s">
        <v>1492</v>
      </c>
      <c r="E133" s="770"/>
      <c r="F133" s="1725">
        <v>49594</v>
      </c>
      <c r="G133" s="864"/>
      <c r="H133" s="864"/>
      <c r="I133" s="864"/>
      <c r="J133" s="864"/>
      <c r="K133" s="864"/>
      <c r="L133" s="864"/>
      <c r="M133" s="864"/>
      <c r="N133" s="864"/>
      <c r="O133" s="864"/>
      <c r="P133" s="1158"/>
    </row>
    <row r="134" spans="2:16" hidden="1" outlineLevel="1">
      <c r="B134" s="1157"/>
      <c r="C134" s="864"/>
      <c r="D134" s="864"/>
      <c r="E134" s="864"/>
      <c r="F134" s="864"/>
      <c r="G134" s="864"/>
      <c r="H134" s="864"/>
      <c r="I134" s="864"/>
      <c r="J134" s="864"/>
      <c r="K134" s="864"/>
      <c r="L134" s="864"/>
      <c r="M134" s="864"/>
      <c r="N134" s="864"/>
      <c r="O134" s="864"/>
      <c r="P134" s="1158"/>
    </row>
    <row r="135" spans="2:16" hidden="1" outlineLevel="1">
      <c r="B135" s="1157"/>
      <c r="C135" s="866" t="s">
        <v>1493</v>
      </c>
      <c r="D135" s="864"/>
      <c r="E135" s="864"/>
      <c r="F135" s="864"/>
      <c r="G135" s="864"/>
      <c r="H135" s="864"/>
      <c r="I135" s="864"/>
      <c r="J135" s="864"/>
      <c r="K135" s="864"/>
      <c r="L135" s="864"/>
      <c r="M135" s="864"/>
      <c r="N135" s="864"/>
      <c r="O135" s="864"/>
      <c r="P135" s="1158"/>
    </row>
    <row r="136" spans="2:16" ht="5.25" hidden="1" customHeight="1" outlineLevel="1">
      <c r="B136" s="1157"/>
      <c r="C136" s="864"/>
      <c r="D136" s="864"/>
      <c r="E136" s="864"/>
      <c r="F136" s="864"/>
      <c r="G136" s="864"/>
      <c r="H136" s="864"/>
      <c r="I136" s="864"/>
      <c r="J136" s="864"/>
      <c r="K136" s="864"/>
      <c r="L136" s="864"/>
      <c r="M136" s="864"/>
      <c r="N136" s="864"/>
      <c r="O136" s="864"/>
      <c r="P136" s="1158"/>
    </row>
    <row r="137" spans="2:16" ht="15.75" hidden="1" outlineLevel="1">
      <c r="B137" s="1159"/>
      <c r="C137" s="766" t="s">
        <v>1442</v>
      </c>
      <c r="D137" s="766" t="s">
        <v>79</v>
      </c>
      <c r="E137" s="766" t="s">
        <v>1264</v>
      </c>
      <c r="F137" s="771">
        <v>2007</v>
      </c>
      <c r="G137" s="864"/>
      <c r="H137" s="864"/>
      <c r="I137" s="864"/>
      <c r="J137" s="864"/>
      <c r="K137" s="864"/>
      <c r="L137" s="864"/>
      <c r="M137" s="864"/>
      <c r="N137" s="864"/>
      <c r="O137" s="864"/>
      <c r="P137" s="1158"/>
    </row>
    <row r="138" spans="2:16" ht="15.75" hidden="1" outlineLevel="1">
      <c r="B138" s="1159"/>
      <c r="C138" s="831" t="s">
        <v>1484</v>
      </c>
      <c r="D138" s="832" t="s">
        <v>32</v>
      </c>
      <c r="E138" s="1254" t="s">
        <v>2097</v>
      </c>
      <c r="F138" s="913">
        <v>9.6999999999999993</v>
      </c>
      <c r="G138" s="864"/>
      <c r="H138" s="864"/>
      <c r="I138" s="864"/>
      <c r="J138" s="864"/>
      <c r="K138" s="864"/>
      <c r="L138" s="864"/>
      <c r="M138" s="864"/>
      <c r="N138" s="864"/>
      <c r="O138" s="864"/>
      <c r="P138" s="1158"/>
    </row>
    <row r="139" spans="2:16" ht="15.75" hidden="1" outlineLevel="1">
      <c r="B139" s="1159"/>
      <c r="C139" s="831" t="s">
        <v>1484</v>
      </c>
      <c r="D139" s="832" t="s">
        <v>2098</v>
      </c>
      <c r="E139" s="1254" t="s">
        <v>2097</v>
      </c>
      <c r="F139" s="913">
        <v>3</v>
      </c>
      <c r="G139" s="864"/>
      <c r="H139" s="864"/>
      <c r="I139" s="864"/>
      <c r="J139" s="864"/>
      <c r="K139" s="864"/>
      <c r="L139" s="864"/>
      <c r="M139" s="864"/>
      <c r="N139" s="864"/>
      <c r="O139" s="864"/>
      <c r="P139" s="1158"/>
    </row>
    <row r="140" spans="2:16" ht="15.75" hidden="1" outlineLevel="1">
      <c r="B140" s="1159"/>
      <c r="C140" s="831" t="s">
        <v>1484</v>
      </c>
      <c r="D140" s="832" t="s">
        <v>2115</v>
      </c>
      <c r="E140" s="832" t="s">
        <v>2097</v>
      </c>
      <c r="F140" s="911">
        <v>10</v>
      </c>
      <c r="G140" s="864"/>
      <c r="H140" s="864"/>
      <c r="I140" s="864"/>
      <c r="J140" s="864"/>
      <c r="K140" s="864"/>
      <c r="L140" s="864"/>
      <c r="M140" s="864"/>
      <c r="N140" s="864"/>
      <c r="O140" s="864"/>
      <c r="P140" s="1158"/>
    </row>
    <row r="141" spans="2:16" ht="15.75" hidden="1" outlineLevel="1">
      <c r="B141" s="1159"/>
      <c r="C141" s="864" t="s">
        <v>53</v>
      </c>
      <c r="D141" s="864" t="s">
        <v>1494</v>
      </c>
      <c r="E141" s="832" t="s">
        <v>2097</v>
      </c>
      <c r="F141" s="1736">
        <v>3.28</v>
      </c>
      <c r="G141" s="864"/>
      <c r="H141" s="864"/>
      <c r="I141" s="864"/>
      <c r="J141" s="864"/>
      <c r="K141" s="864"/>
      <c r="L141" s="864"/>
      <c r="M141" s="864"/>
      <c r="N141" s="864"/>
      <c r="O141" s="864"/>
      <c r="P141" s="1158"/>
    </row>
    <row r="142" spans="2:16" ht="15.75" hidden="1" outlineLevel="1">
      <c r="B142" s="1159"/>
      <c r="C142" s="864" t="s">
        <v>53</v>
      </c>
      <c r="D142" s="864" t="s">
        <v>1495</v>
      </c>
      <c r="E142" s="832" t="s">
        <v>2097</v>
      </c>
      <c r="F142" s="1736">
        <v>1.72</v>
      </c>
      <c r="G142" s="864"/>
      <c r="H142" s="864"/>
      <c r="I142" s="864"/>
      <c r="J142" s="864"/>
      <c r="K142" s="864"/>
      <c r="L142" s="864"/>
      <c r="M142" s="864"/>
      <c r="N142" s="864"/>
      <c r="O142" s="864"/>
      <c r="P142" s="1158"/>
    </row>
    <row r="143" spans="2:16" ht="15.75" hidden="1" outlineLevel="1">
      <c r="B143" s="1159"/>
      <c r="C143" s="864" t="s">
        <v>53</v>
      </c>
      <c r="D143" s="864" t="s">
        <v>2099</v>
      </c>
      <c r="E143" s="864" t="s">
        <v>1497</v>
      </c>
      <c r="F143" s="1736">
        <v>0.36499999999999999</v>
      </c>
      <c r="G143" s="864"/>
      <c r="H143" s="864"/>
      <c r="I143" s="864"/>
      <c r="J143" s="864"/>
      <c r="K143" s="864"/>
      <c r="L143" s="864"/>
      <c r="M143" s="864"/>
      <c r="N143" s="864"/>
      <c r="O143" s="864"/>
      <c r="P143" s="1158"/>
    </row>
    <row r="144" spans="2:16" ht="15.75" hidden="1" outlineLevel="1">
      <c r="B144" s="1159"/>
      <c r="C144" s="864" t="s">
        <v>1498</v>
      </c>
      <c r="D144" s="864" t="s">
        <v>1499</v>
      </c>
      <c r="E144" s="864" t="s">
        <v>1500</v>
      </c>
      <c r="F144" s="1735">
        <v>70</v>
      </c>
      <c r="G144" s="864"/>
      <c r="H144" s="864"/>
      <c r="I144" s="864"/>
      <c r="J144" s="864"/>
      <c r="K144" s="864"/>
      <c r="L144" s="864"/>
      <c r="M144" s="864"/>
      <c r="N144" s="864"/>
      <c r="O144" s="864"/>
      <c r="P144" s="1158"/>
    </row>
    <row r="145" spans="2:16" ht="15.75" hidden="1" outlineLevel="1">
      <c r="B145" s="1159"/>
      <c r="C145" s="864" t="s">
        <v>1498</v>
      </c>
      <c r="D145" s="864" t="s">
        <v>1501</v>
      </c>
      <c r="E145" s="864" t="s">
        <v>1502</v>
      </c>
      <c r="F145" s="1736">
        <v>1.7</v>
      </c>
      <c r="G145" s="864"/>
      <c r="H145" s="864"/>
      <c r="I145" s="864"/>
      <c r="J145" s="864"/>
      <c r="K145" s="864"/>
      <c r="L145" s="864"/>
      <c r="M145" s="864"/>
      <c r="N145" s="864"/>
      <c r="O145" s="864"/>
      <c r="P145" s="1158"/>
    </row>
    <row r="146" spans="2:16" ht="15.75" hidden="1" outlineLevel="1">
      <c r="B146" s="1159"/>
      <c r="C146" s="864" t="s">
        <v>1498</v>
      </c>
      <c r="D146" s="864" t="s">
        <v>1503</v>
      </c>
      <c r="E146" s="864" t="s">
        <v>1504</v>
      </c>
      <c r="F146" s="1735">
        <v>6913</v>
      </c>
      <c r="G146" s="864"/>
      <c r="H146" s="864"/>
      <c r="I146" s="864"/>
      <c r="J146" s="864"/>
      <c r="K146" s="864"/>
      <c r="L146" s="864"/>
      <c r="M146" s="864"/>
      <c r="N146" s="864"/>
      <c r="O146" s="864"/>
      <c r="P146" s="1158"/>
    </row>
    <row r="147" spans="2:16" ht="15.75" hidden="1" outlineLevel="1">
      <c r="B147" s="1159"/>
      <c r="C147" s="1294" t="s">
        <v>1498</v>
      </c>
      <c r="D147" s="1294" t="s">
        <v>1505</v>
      </c>
      <c r="E147" s="1294" t="s">
        <v>1506</v>
      </c>
      <c r="F147" s="1737">
        <v>298</v>
      </c>
      <c r="G147" s="864"/>
      <c r="H147" s="864"/>
      <c r="I147" s="864"/>
      <c r="J147" s="864"/>
      <c r="K147" s="864"/>
      <c r="L147" s="864"/>
      <c r="M147" s="864"/>
      <c r="N147" s="864"/>
      <c r="O147" s="864"/>
      <c r="P147" s="1158"/>
    </row>
    <row r="148" spans="2:16" hidden="1" outlineLevel="1">
      <c r="B148" s="1157"/>
      <c r="C148" s="864"/>
      <c r="D148" s="864"/>
      <c r="E148" s="864"/>
      <c r="F148" s="864"/>
      <c r="G148" s="864"/>
      <c r="H148" s="864"/>
      <c r="I148" s="864"/>
      <c r="J148" s="864"/>
      <c r="K148" s="864"/>
      <c r="L148" s="864"/>
      <c r="M148" s="864"/>
      <c r="N148" s="864"/>
      <c r="O148" s="864"/>
      <c r="P148" s="1158"/>
    </row>
    <row r="149" spans="2:16" hidden="1" outlineLevel="1">
      <c r="B149" s="1157"/>
      <c r="C149" s="866" t="s">
        <v>2110</v>
      </c>
      <c r="D149" s="864"/>
      <c r="E149" s="1256"/>
      <c r="F149" s="867"/>
      <c r="G149" s="864"/>
      <c r="H149" s="864"/>
      <c r="I149" s="864"/>
      <c r="J149" s="864"/>
      <c r="K149" s="864"/>
      <c r="L149" s="864"/>
      <c r="M149" s="864"/>
      <c r="N149" s="864"/>
      <c r="O149" s="864"/>
      <c r="P149" s="1158"/>
    </row>
    <row r="150" spans="2:16" ht="5.25" hidden="1" customHeight="1" outlineLevel="1">
      <c r="B150" s="1157"/>
      <c r="C150" s="864"/>
      <c r="D150" s="864"/>
      <c r="E150" s="864"/>
      <c r="F150" s="864"/>
      <c r="G150" s="864"/>
      <c r="H150" s="864"/>
      <c r="I150" s="864"/>
      <c r="J150" s="864"/>
      <c r="K150" s="864"/>
      <c r="L150" s="864"/>
      <c r="M150" s="864"/>
      <c r="N150" s="864"/>
      <c r="O150" s="864"/>
      <c r="P150" s="1158"/>
    </row>
    <row r="151" spans="2:16" ht="15.75" hidden="1" outlineLevel="1">
      <c r="B151" s="1159"/>
      <c r="C151" s="766" t="s">
        <v>1442</v>
      </c>
      <c r="D151" s="766" t="s">
        <v>79</v>
      </c>
      <c r="E151" s="766" t="s">
        <v>1264</v>
      </c>
      <c r="F151" s="771">
        <v>2007</v>
      </c>
      <c r="G151" s="864"/>
      <c r="H151" s="864"/>
      <c r="I151" s="864"/>
      <c r="J151" s="864"/>
      <c r="K151" s="864"/>
      <c r="L151" s="864"/>
      <c r="M151" s="864"/>
      <c r="N151" s="864"/>
      <c r="O151" s="864"/>
      <c r="P151" s="1158"/>
    </row>
    <row r="152" spans="2:16" ht="15.75" hidden="1" outlineLevel="1">
      <c r="B152" s="1159"/>
      <c r="C152" s="831" t="s">
        <v>1056</v>
      </c>
      <c r="D152" s="832" t="s">
        <v>1509</v>
      </c>
      <c r="E152" s="1254" t="s">
        <v>2112</v>
      </c>
      <c r="F152" s="913">
        <f>15561/(F$131+F$133)*1000</f>
        <v>301.87398153177617</v>
      </c>
      <c r="G152" s="913"/>
      <c r="H152" s="864"/>
      <c r="I152" s="864"/>
      <c r="J152" s="864"/>
      <c r="K152" s="864"/>
      <c r="L152" s="864"/>
      <c r="M152" s="864"/>
      <c r="N152" s="864"/>
      <c r="O152" s="864"/>
      <c r="P152" s="1158"/>
    </row>
    <row r="153" spans="2:16" ht="15.75" hidden="1" outlineLevel="1">
      <c r="B153" s="1159"/>
      <c r="C153" s="899" t="s">
        <v>1056</v>
      </c>
      <c r="D153" s="900" t="s">
        <v>1510</v>
      </c>
      <c r="E153" s="900" t="s">
        <v>2113</v>
      </c>
      <c r="F153" s="1727">
        <f>1000*(4556.87)/((F$131+F$133)*F$143*F$185)</f>
        <v>484.38641043166575</v>
      </c>
      <c r="G153" s="864"/>
      <c r="H153" s="864"/>
      <c r="I153" s="864"/>
      <c r="J153" s="864"/>
      <c r="K153" s="864"/>
      <c r="L153" s="864"/>
      <c r="M153" s="864"/>
      <c r="N153" s="864"/>
      <c r="O153" s="864"/>
      <c r="P153" s="1158"/>
    </row>
    <row r="154" spans="2:16" hidden="1" outlineLevel="1">
      <c r="B154" s="1157"/>
      <c r="C154" s="864"/>
      <c r="D154" s="864"/>
      <c r="E154" s="864"/>
      <c r="F154" s="864"/>
      <c r="G154" s="864"/>
      <c r="H154" s="864"/>
      <c r="I154" s="864"/>
      <c r="J154" s="864"/>
      <c r="K154" s="864"/>
      <c r="L154" s="864"/>
      <c r="M154" s="864"/>
      <c r="N154" s="864"/>
      <c r="O154" s="864"/>
      <c r="P154" s="1158"/>
    </row>
    <row r="155" spans="2:16" hidden="1" outlineLevel="1">
      <c r="B155" s="1157"/>
      <c r="C155" s="866" t="s">
        <v>2111</v>
      </c>
      <c r="D155" s="864"/>
      <c r="E155" s="1256"/>
      <c r="F155" s="867"/>
      <c r="G155" s="864"/>
      <c r="H155" s="864"/>
      <c r="I155" s="864"/>
      <c r="J155" s="864"/>
      <c r="K155" s="864"/>
      <c r="L155" s="864"/>
      <c r="M155" s="864"/>
      <c r="N155" s="864"/>
      <c r="O155" s="864"/>
      <c r="P155" s="1158"/>
    </row>
    <row r="156" spans="2:16" ht="3" hidden="1" customHeight="1" outlineLevel="1">
      <c r="B156" s="1157"/>
      <c r="C156" s="864"/>
      <c r="D156" s="864"/>
      <c r="E156" s="864"/>
      <c r="F156" s="864"/>
      <c r="G156" s="864"/>
      <c r="H156" s="864"/>
      <c r="I156" s="864"/>
      <c r="J156" s="864"/>
      <c r="K156" s="864"/>
      <c r="L156" s="864"/>
      <c r="M156" s="864"/>
      <c r="N156" s="864"/>
      <c r="O156" s="864"/>
      <c r="P156" s="1158"/>
    </row>
    <row r="157" spans="2:16" ht="15.75" hidden="1" outlineLevel="1">
      <c r="B157" s="1159"/>
      <c r="C157" s="766" t="s">
        <v>1442</v>
      </c>
      <c r="D157" s="766" t="s">
        <v>79</v>
      </c>
      <c r="E157" s="766" t="s">
        <v>1264</v>
      </c>
      <c r="F157" s="771">
        <v>2007</v>
      </c>
      <c r="G157" s="864"/>
      <c r="H157" s="864"/>
      <c r="I157" s="864"/>
      <c r="J157" s="864"/>
      <c r="K157" s="864"/>
      <c r="L157" s="864"/>
      <c r="M157" s="864"/>
      <c r="N157" s="864"/>
      <c r="O157" s="864"/>
      <c r="P157" s="1158"/>
    </row>
    <row r="158" spans="2:16" ht="15.75" hidden="1" outlineLevel="1">
      <c r="B158" s="1159"/>
      <c r="C158" s="791" t="s">
        <v>1057</v>
      </c>
      <c r="D158" s="792" t="s">
        <v>2276</v>
      </c>
      <c r="E158" s="937" t="s">
        <v>1076</v>
      </c>
      <c r="F158" s="2342">
        <v>23.28</v>
      </c>
      <c r="G158" s="864"/>
      <c r="H158" s="864"/>
      <c r="I158" s="864"/>
      <c r="J158" s="864"/>
      <c r="K158" s="864"/>
      <c r="L158" s="864"/>
      <c r="M158" s="864"/>
      <c r="N158" s="864"/>
      <c r="O158" s="864"/>
      <c r="P158" s="1158"/>
    </row>
    <row r="159" spans="2:16" hidden="1" outlineLevel="1">
      <c r="B159" s="1157"/>
      <c r="C159" s="864"/>
      <c r="D159" s="864"/>
      <c r="E159" s="864"/>
      <c r="F159" s="864"/>
      <c r="G159" s="864"/>
      <c r="H159" s="864"/>
      <c r="I159" s="864"/>
      <c r="J159" s="864"/>
      <c r="K159" s="864"/>
      <c r="L159" s="864"/>
      <c r="M159" s="864"/>
      <c r="N159" s="864"/>
      <c r="O159" s="864"/>
      <c r="P159" s="1158"/>
    </row>
    <row r="160" spans="2:16" hidden="1" outlineLevel="1">
      <c r="B160" s="1157"/>
      <c r="C160" s="866" t="s">
        <v>2244</v>
      </c>
      <c r="D160" s="864"/>
      <c r="E160" s="864"/>
      <c r="F160" s="867" t="str">
        <f>"Mt CO2e / " &amp; Preferences.AreaUnits</f>
        <v>Mt CO2e / M ha</v>
      </c>
      <c r="G160" s="864"/>
      <c r="H160" s="864"/>
      <c r="I160" s="864"/>
      <c r="J160" s="864"/>
      <c r="K160" s="864"/>
      <c r="L160" s="864"/>
      <c r="M160" s="864"/>
      <c r="N160" s="864"/>
      <c r="O160" s="864"/>
      <c r="P160" s="1158"/>
    </row>
    <row r="161" spans="2:16" ht="5.25" hidden="1" customHeight="1" outlineLevel="1">
      <c r="B161" s="1157"/>
      <c r="C161" s="864"/>
      <c r="D161" s="864"/>
      <c r="E161" s="864"/>
      <c r="F161" s="864"/>
      <c r="G161" s="864"/>
      <c r="H161" s="864"/>
      <c r="I161" s="864"/>
      <c r="J161" s="864"/>
      <c r="K161" s="864"/>
      <c r="L161" s="864"/>
      <c r="M161" s="864"/>
      <c r="N161" s="864"/>
      <c r="O161" s="864"/>
      <c r="P161" s="1158"/>
    </row>
    <row r="162" spans="2:16" ht="15.75" hidden="1" outlineLevel="1">
      <c r="B162" s="1159"/>
      <c r="C162" s="766" t="s">
        <v>1072</v>
      </c>
      <c r="D162" s="766" t="s">
        <v>79</v>
      </c>
      <c r="E162" s="766" t="s">
        <v>442</v>
      </c>
      <c r="F162" s="771">
        <v>2007</v>
      </c>
      <c r="G162" s="864"/>
      <c r="H162" s="864"/>
      <c r="I162" s="864"/>
      <c r="J162" s="864"/>
      <c r="K162" s="864"/>
      <c r="L162" s="864"/>
      <c r="M162" s="864"/>
      <c r="N162" s="864"/>
      <c r="O162" s="864"/>
      <c r="P162" s="1158"/>
    </row>
    <row r="163" spans="2:16" ht="15.75" hidden="1" outlineLevel="1">
      <c r="B163" s="1159"/>
      <c r="C163" s="831" t="s">
        <v>2239</v>
      </c>
      <c r="D163" s="832" t="s">
        <v>2240</v>
      </c>
      <c r="E163" s="1254"/>
      <c r="F163" s="847">
        <f>15.28835/(F$19+F$20)</f>
        <v>3.3831402736279976</v>
      </c>
      <c r="G163" s="864"/>
      <c r="H163" s="864"/>
      <c r="I163" s="864"/>
      <c r="J163" s="864"/>
      <c r="K163" s="864"/>
      <c r="L163" s="864"/>
      <c r="M163" s="864"/>
      <c r="N163" s="864"/>
      <c r="O163" s="864"/>
      <c r="P163" s="1158"/>
    </row>
    <row r="164" spans="2:16" ht="15.75" hidden="1" outlineLevel="1">
      <c r="B164" s="1159"/>
      <c r="C164" s="899" t="s">
        <v>2241</v>
      </c>
      <c r="D164" s="900" t="s">
        <v>2242</v>
      </c>
      <c r="E164" s="1461"/>
      <c r="F164" s="901">
        <f>-7.96705/F$23</f>
        <v>-0.60347213585074644</v>
      </c>
      <c r="G164" s="864"/>
      <c r="H164" s="864"/>
      <c r="I164" s="864"/>
      <c r="J164" s="864"/>
      <c r="K164" s="864"/>
      <c r="L164" s="864"/>
      <c r="M164" s="864"/>
      <c r="N164" s="864"/>
      <c r="O164" s="864"/>
      <c r="P164" s="1158"/>
    </row>
    <row r="165" spans="2:16" ht="15.75" hidden="1" outlineLevel="1">
      <c r="B165" s="1159"/>
      <c r="C165" s="831"/>
      <c r="D165" s="832"/>
      <c r="E165" s="1254"/>
      <c r="F165" s="847"/>
      <c r="G165" s="864"/>
      <c r="H165" s="864"/>
      <c r="I165" s="864"/>
      <c r="J165" s="864"/>
      <c r="K165" s="864"/>
      <c r="L165" s="864"/>
      <c r="M165" s="864"/>
      <c r="N165" s="864"/>
      <c r="O165" s="864"/>
      <c r="P165" s="1158"/>
    </row>
    <row r="166" spans="2:16" ht="15.75" hidden="1" outlineLevel="1">
      <c r="B166" s="1159"/>
      <c r="C166" s="866" t="s">
        <v>2245</v>
      </c>
      <c r="D166" s="864"/>
      <c r="E166" s="864"/>
      <c r="F166" s="867" t="str">
        <f>"Mt CO2e / " &amp; Preferences.AreaUnits</f>
        <v>Mt CO2e / M ha</v>
      </c>
      <c r="G166" s="864"/>
      <c r="H166" s="864"/>
      <c r="I166" s="864"/>
      <c r="J166" s="864"/>
      <c r="K166" s="864"/>
      <c r="L166" s="864"/>
      <c r="M166" s="864"/>
      <c r="N166" s="864"/>
      <c r="O166" s="864"/>
      <c r="P166" s="1158"/>
    </row>
    <row r="167" spans="2:16" ht="5.25" hidden="1" customHeight="1" outlineLevel="1">
      <c r="B167" s="1159"/>
      <c r="C167" s="864"/>
      <c r="D167" s="864"/>
      <c r="E167" s="864"/>
      <c r="F167" s="864"/>
      <c r="G167" s="864"/>
      <c r="H167" s="864"/>
      <c r="I167" s="864"/>
      <c r="J167" s="864"/>
      <c r="K167" s="864"/>
      <c r="L167" s="864"/>
      <c r="M167" s="864"/>
      <c r="N167" s="864"/>
      <c r="O167" s="864"/>
      <c r="P167" s="1158"/>
    </row>
    <row r="168" spans="2:16" ht="15.75" hidden="1" outlineLevel="1">
      <c r="B168" s="1159"/>
      <c r="C168" s="766" t="s">
        <v>1072</v>
      </c>
      <c r="D168" s="766" t="s">
        <v>79</v>
      </c>
      <c r="E168" s="766" t="s">
        <v>442</v>
      </c>
      <c r="F168" s="771">
        <v>2007</v>
      </c>
      <c r="G168" s="864"/>
      <c r="H168" s="864"/>
      <c r="I168" s="864"/>
      <c r="J168" s="864"/>
      <c r="K168" s="864"/>
      <c r="L168" s="864"/>
      <c r="M168" s="864"/>
      <c r="N168" s="864"/>
      <c r="O168" s="864"/>
      <c r="P168" s="1158"/>
    </row>
    <row r="169" spans="2:16" ht="15.75" hidden="1" outlineLevel="1">
      <c r="B169" s="1159"/>
      <c r="C169" s="2391" t="s">
        <v>2243</v>
      </c>
      <c r="D169" s="2391" t="s">
        <v>1479</v>
      </c>
      <c r="E169" s="2391"/>
      <c r="F169" s="2392">
        <f>6.32981</f>
        <v>6.3298100000000002</v>
      </c>
      <c r="G169" s="864"/>
      <c r="H169" s="864"/>
      <c r="I169" s="864"/>
      <c r="J169" s="864"/>
      <c r="K169" s="864"/>
      <c r="L169" s="864"/>
      <c r="M169" s="864"/>
      <c r="N169" s="864"/>
      <c r="O169" s="864"/>
      <c r="P169" s="1158"/>
    </row>
    <row r="170" spans="2:16" ht="15.75" hidden="1" outlineLevel="1">
      <c r="B170" s="1159"/>
      <c r="C170" s="1294" t="s">
        <v>2247</v>
      </c>
      <c r="D170" s="1294" t="s">
        <v>123</v>
      </c>
      <c r="E170" s="1294"/>
      <c r="F170" s="2097">
        <v>-1.29274</v>
      </c>
      <c r="G170" s="864"/>
      <c r="H170" s="864"/>
      <c r="I170" s="864"/>
      <c r="J170" s="864"/>
      <c r="K170" s="864"/>
      <c r="L170" s="864"/>
      <c r="M170" s="864"/>
      <c r="N170" s="864"/>
      <c r="O170" s="864"/>
      <c r="P170" s="1158"/>
    </row>
    <row r="171" spans="2:16" hidden="1" outlineLevel="1">
      <c r="B171" s="1157"/>
      <c r="C171" s="864"/>
      <c r="D171" s="864"/>
      <c r="E171" s="864"/>
      <c r="F171" s="864"/>
      <c r="G171" s="864"/>
      <c r="H171" s="864"/>
      <c r="I171" s="864"/>
      <c r="J171" s="864"/>
      <c r="K171" s="864"/>
      <c r="L171" s="864"/>
      <c r="M171" s="864"/>
      <c r="N171" s="864"/>
      <c r="O171" s="864"/>
      <c r="P171" s="1158"/>
    </row>
    <row r="172" spans="2:16" hidden="1" outlineLevel="1">
      <c r="B172" s="1157"/>
      <c r="C172" s="866" t="s">
        <v>2114</v>
      </c>
      <c r="D172" s="864"/>
      <c r="E172" s="864"/>
      <c r="F172" s="867" t="str">
        <f>Preferences.EnergyUnits &amp; " / million odt"</f>
        <v>TWh / million odt</v>
      </c>
      <c r="G172" s="864"/>
      <c r="H172" s="864"/>
      <c r="I172" s="864"/>
      <c r="J172" s="864"/>
      <c r="K172" s="864"/>
      <c r="L172" s="864"/>
      <c r="M172" s="864"/>
      <c r="N172" s="864"/>
      <c r="O172" s="864"/>
      <c r="P172" s="1158"/>
    </row>
    <row r="173" spans="2:16" ht="5.25" hidden="1" customHeight="1" outlineLevel="1">
      <c r="B173" s="1157"/>
      <c r="C173" s="864"/>
      <c r="D173" s="864"/>
      <c r="E173" s="864"/>
      <c r="F173" s="864"/>
      <c r="G173" s="864"/>
      <c r="H173" s="864"/>
      <c r="I173" s="864"/>
      <c r="J173" s="864"/>
      <c r="K173" s="864"/>
      <c r="L173" s="864"/>
      <c r="M173" s="864"/>
      <c r="N173" s="864"/>
      <c r="O173" s="864"/>
      <c r="P173" s="1158"/>
    </row>
    <row r="174" spans="2:16" ht="15.75" hidden="1" outlineLevel="1">
      <c r="B174" s="1159"/>
      <c r="C174" s="766" t="s">
        <v>1442</v>
      </c>
      <c r="D174" s="766" t="s">
        <v>79</v>
      </c>
      <c r="E174" s="766" t="s">
        <v>442</v>
      </c>
      <c r="F174" s="771">
        <v>2007</v>
      </c>
      <c r="G174" s="864"/>
      <c r="H174" s="864"/>
      <c r="I174" s="864"/>
      <c r="J174" s="864"/>
      <c r="K174" s="864"/>
      <c r="L174" s="864"/>
      <c r="M174" s="864"/>
      <c r="N174" s="864"/>
      <c r="O174" s="864"/>
      <c r="P174" s="1158"/>
    </row>
    <row r="175" spans="2:16" ht="15.75" hidden="1" outlineLevel="1">
      <c r="B175" s="1159"/>
      <c r="C175" s="831">
        <v>1</v>
      </c>
      <c r="D175" s="832" t="s">
        <v>1515</v>
      </c>
      <c r="E175" s="1254"/>
      <c r="F175" s="847">
        <f>5.3*Unit.GJ * 1000000</f>
        <v>1.4722222222222221</v>
      </c>
      <c r="G175" s="864"/>
      <c r="H175" s="864"/>
      <c r="I175" s="864"/>
      <c r="J175" s="864"/>
      <c r="K175" s="864"/>
      <c r="L175" s="864"/>
      <c r="M175" s="864"/>
      <c r="N175" s="864"/>
      <c r="O175" s="864"/>
      <c r="P175" s="1158"/>
    </row>
    <row r="176" spans="2:16" ht="15.75" hidden="1" outlineLevel="1">
      <c r="B176" s="1159"/>
      <c r="C176" s="831">
        <v>2</v>
      </c>
      <c r="D176" s="832" t="s">
        <v>2098</v>
      </c>
      <c r="E176" s="1254"/>
      <c r="F176" s="847">
        <f>14*Unit.GJ *1000000</f>
        <v>3.8888888888888888</v>
      </c>
      <c r="G176" s="864"/>
      <c r="H176" s="864"/>
      <c r="I176" s="864"/>
      <c r="J176" s="864"/>
      <c r="K176" s="864"/>
      <c r="L176" s="864"/>
      <c r="M176" s="864"/>
      <c r="N176" s="864"/>
      <c r="O176" s="864"/>
      <c r="P176" s="1158"/>
    </row>
    <row r="177" spans="2:16" ht="15.75" hidden="1" outlineLevel="1">
      <c r="B177" s="1159"/>
      <c r="C177" s="831">
        <v>3</v>
      </c>
      <c r="D177" s="832" t="s">
        <v>2115</v>
      </c>
      <c r="E177" s="832"/>
      <c r="F177" s="847">
        <f>18.5*Unit.GJ *1000000</f>
        <v>5.1388888888888884</v>
      </c>
      <c r="G177" s="864"/>
      <c r="H177" s="864"/>
      <c r="I177" s="864"/>
      <c r="J177" s="864"/>
      <c r="K177" s="864"/>
      <c r="L177" s="864"/>
      <c r="M177" s="864"/>
      <c r="N177" s="864"/>
      <c r="O177" s="864"/>
      <c r="P177" s="1158"/>
    </row>
    <row r="178" spans="2:16" ht="15.75" hidden="1" outlineLevel="1">
      <c r="B178" s="1159"/>
      <c r="C178" s="831">
        <v>4</v>
      </c>
      <c r="D178" s="832" t="s">
        <v>1514</v>
      </c>
      <c r="E178" s="832"/>
      <c r="F178" s="847">
        <f>15*Unit.GJ *1000000</f>
        <v>4.1666666666666661</v>
      </c>
      <c r="G178" s="864"/>
      <c r="H178" s="864"/>
      <c r="I178" s="864"/>
      <c r="J178" s="864"/>
      <c r="K178" s="864"/>
      <c r="L178" s="864"/>
      <c r="M178" s="864"/>
      <c r="N178" s="864"/>
      <c r="O178" s="864"/>
      <c r="P178" s="1158"/>
    </row>
    <row r="179" spans="2:16" ht="15.75" hidden="1" outlineLevel="1">
      <c r="B179" s="1159"/>
      <c r="C179" s="831">
        <v>5</v>
      </c>
      <c r="D179" s="832" t="s">
        <v>223</v>
      </c>
      <c r="E179" s="832"/>
      <c r="F179" s="847">
        <f>13.7*Unit.GJ *1000000</f>
        <v>3.8055555555555554</v>
      </c>
      <c r="G179" s="864"/>
      <c r="H179" s="864"/>
      <c r="I179" s="864"/>
      <c r="J179" s="864"/>
      <c r="K179" s="864"/>
      <c r="L179" s="864"/>
      <c r="M179" s="864"/>
      <c r="N179" s="864"/>
      <c r="O179" s="864"/>
      <c r="P179" s="1158"/>
    </row>
    <row r="180" spans="2:16" ht="15.75" hidden="1" outlineLevel="1">
      <c r="B180" s="1159"/>
      <c r="C180" s="769">
        <v>6</v>
      </c>
      <c r="D180" s="770" t="s">
        <v>1513</v>
      </c>
      <c r="E180" s="770"/>
      <c r="F180" s="782">
        <f>18.6*Unit.GJ *1000000</f>
        <v>5.166666666666667</v>
      </c>
      <c r="G180" s="864"/>
      <c r="H180" s="864"/>
      <c r="I180" s="864"/>
      <c r="J180" s="864"/>
      <c r="K180" s="864"/>
      <c r="L180" s="864"/>
      <c r="M180" s="864"/>
      <c r="N180" s="864"/>
      <c r="O180" s="864"/>
      <c r="P180" s="1158"/>
    </row>
    <row r="181" spans="2:16" hidden="1" outlineLevel="1">
      <c r="B181" s="1157"/>
      <c r="C181" s="864"/>
      <c r="D181" s="864"/>
      <c r="E181" s="864"/>
      <c r="F181" s="864"/>
      <c r="G181" s="864"/>
      <c r="H181" s="864"/>
      <c r="I181" s="864"/>
      <c r="J181" s="864"/>
      <c r="K181" s="864"/>
      <c r="L181" s="864"/>
      <c r="M181" s="864"/>
      <c r="N181" s="864"/>
      <c r="O181" s="864"/>
      <c r="P181" s="1158"/>
    </row>
    <row r="182" spans="2:16" hidden="1" outlineLevel="1">
      <c r="B182" s="1157"/>
      <c r="C182" s="866" t="s">
        <v>1524</v>
      </c>
      <c r="D182" s="864"/>
      <c r="E182" s="864"/>
      <c r="F182" s="864"/>
      <c r="G182" s="864"/>
      <c r="H182" s="864"/>
      <c r="I182" s="864"/>
      <c r="J182" s="864"/>
      <c r="K182" s="864"/>
      <c r="L182" s="864"/>
      <c r="M182" s="864"/>
      <c r="N182" s="864"/>
      <c r="O182" s="864"/>
      <c r="P182" s="1158"/>
    </row>
    <row r="183" spans="2:16" ht="5.25" hidden="1" customHeight="1" outlineLevel="1">
      <c r="B183" s="1157"/>
      <c r="C183" s="866"/>
      <c r="D183" s="864"/>
      <c r="E183" s="864"/>
      <c r="F183" s="864"/>
      <c r="G183" s="864"/>
      <c r="H183" s="864"/>
      <c r="I183" s="864"/>
      <c r="J183" s="864"/>
      <c r="K183" s="864"/>
      <c r="L183" s="864"/>
      <c r="M183" s="864"/>
      <c r="N183" s="864"/>
      <c r="O183" s="864"/>
      <c r="P183" s="1158"/>
    </row>
    <row r="184" spans="2:16" ht="15.75" hidden="1" outlineLevel="1">
      <c r="B184" s="1159"/>
      <c r="C184" s="766" t="s">
        <v>1442</v>
      </c>
      <c r="D184" s="766" t="s">
        <v>79</v>
      </c>
      <c r="E184" s="766" t="s">
        <v>442</v>
      </c>
      <c r="F184" s="771">
        <v>2007</v>
      </c>
      <c r="G184" s="864"/>
      <c r="H184" s="864"/>
      <c r="I184" s="864"/>
      <c r="J184" s="864"/>
      <c r="K184" s="864"/>
      <c r="L184" s="864"/>
      <c r="M184" s="864"/>
      <c r="N184" s="864"/>
      <c r="O184" s="864"/>
      <c r="P184" s="1158"/>
    </row>
    <row r="185" spans="2:16" ht="15.75" hidden="1" outlineLevel="1">
      <c r="B185" s="1159"/>
      <c r="C185" s="791" t="s">
        <v>1513</v>
      </c>
      <c r="D185" s="792" t="s">
        <v>1525</v>
      </c>
      <c r="E185" s="937"/>
      <c r="F185" s="798">
        <v>0.5</v>
      </c>
      <c r="G185" s="864"/>
      <c r="H185" s="864"/>
      <c r="I185" s="864"/>
      <c r="J185" s="864"/>
      <c r="K185" s="864"/>
      <c r="L185" s="864"/>
      <c r="M185" s="864"/>
      <c r="N185" s="864"/>
      <c r="O185" s="864"/>
      <c r="P185" s="1158"/>
    </row>
    <row r="186" spans="2:16" hidden="1" outlineLevel="1">
      <c r="B186" s="1157"/>
      <c r="C186" s="866"/>
      <c r="D186" s="864"/>
      <c r="E186" s="864"/>
      <c r="F186" s="864"/>
      <c r="G186" s="864"/>
      <c r="H186" s="864"/>
      <c r="I186" s="864"/>
      <c r="J186" s="864"/>
      <c r="K186" s="864"/>
      <c r="L186" s="864"/>
      <c r="M186" s="864"/>
      <c r="N186" s="864"/>
      <c r="O186" s="864"/>
      <c r="P186" s="1158"/>
    </row>
    <row r="187" spans="2:16" hidden="1" outlineLevel="1">
      <c r="B187" s="1157"/>
      <c r="C187" s="866" t="s">
        <v>2126</v>
      </c>
      <c r="D187" s="864"/>
      <c r="E187" s="864"/>
      <c r="F187" s="867" t="str">
        <f>Preferences.AreaUnits</f>
        <v>M ha</v>
      </c>
      <c r="G187" s="864"/>
      <c r="H187" s="864"/>
      <c r="I187" s="864"/>
      <c r="J187" s="864"/>
      <c r="K187" s="864"/>
      <c r="L187" s="864"/>
      <c r="M187" s="864"/>
      <c r="N187" s="864"/>
      <c r="O187" s="864"/>
      <c r="P187" s="1158"/>
    </row>
    <row r="188" spans="2:16" ht="5.25" hidden="1" customHeight="1" outlineLevel="1">
      <c r="B188" s="1157"/>
      <c r="C188" s="866"/>
      <c r="D188" s="864"/>
      <c r="E188" s="864"/>
      <c r="F188" s="864"/>
      <c r="G188" s="864"/>
      <c r="H188" s="864"/>
      <c r="I188" s="864"/>
      <c r="J188" s="864"/>
      <c r="K188" s="864"/>
      <c r="L188" s="864"/>
      <c r="M188" s="864"/>
      <c r="N188" s="864"/>
      <c r="O188" s="864"/>
      <c r="P188" s="1158"/>
    </row>
    <row r="189" spans="2:16" ht="15.75" hidden="1" outlineLevel="1">
      <c r="B189" s="1159"/>
      <c r="C189" s="766" t="s">
        <v>1442</v>
      </c>
      <c r="D189" s="766" t="s">
        <v>79</v>
      </c>
      <c r="E189" s="766" t="s">
        <v>442</v>
      </c>
      <c r="F189" s="771">
        <v>2007</v>
      </c>
      <c r="G189" s="864"/>
      <c r="H189" s="864"/>
      <c r="I189" s="864"/>
      <c r="J189" s="864"/>
      <c r="K189" s="864"/>
      <c r="L189" s="864"/>
      <c r="M189" s="864"/>
      <c r="N189" s="864"/>
      <c r="O189" s="864"/>
      <c r="P189" s="1158"/>
    </row>
    <row r="190" spans="2:16" ht="15.75" hidden="1" outlineLevel="1">
      <c r="B190" s="1159"/>
      <c r="C190" s="791" t="s">
        <v>1480</v>
      </c>
      <c r="D190" s="792" t="s">
        <v>2127</v>
      </c>
      <c r="E190" s="937"/>
      <c r="F190" s="2356">
        <f>1128*Unit.ha</f>
        <v>1.1279999999999999E-3</v>
      </c>
      <c r="G190" s="864"/>
      <c r="H190" s="864"/>
      <c r="I190" s="864"/>
      <c r="J190" s="864"/>
      <c r="K190" s="864"/>
      <c r="L190" s="864"/>
      <c r="M190" s="864"/>
      <c r="N190" s="864"/>
      <c r="O190" s="864"/>
      <c r="P190" s="1158"/>
    </row>
    <row r="191" spans="2:16" hidden="1" outlineLevel="1">
      <c r="B191" s="1157"/>
      <c r="C191" s="866"/>
      <c r="D191" s="864"/>
      <c r="E191" s="864"/>
      <c r="F191" s="864"/>
      <c r="G191" s="864"/>
      <c r="H191" s="864"/>
      <c r="I191" s="864"/>
      <c r="J191" s="864"/>
      <c r="K191" s="864"/>
      <c r="L191" s="864"/>
      <c r="M191" s="864"/>
      <c r="N191" s="864"/>
      <c r="O191" s="864"/>
      <c r="P191" s="1158"/>
    </row>
    <row r="192" spans="2:16" hidden="1" outlineLevel="1">
      <c r="B192" s="1157"/>
      <c r="C192" s="866" t="s">
        <v>2145</v>
      </c>
      <c r="D192" s="864"/>
      <c r="E192" s="1256"/>
      <c r="F192" s="867" t="s">
        <v>844</v>
      </c>
      <c r="G192" s="864"/>
      <c r="H192" s="864"/>
      <c r="I192" s="864"/>
      <c r="J192" s="864"/>
      <c r="K192" s="864"/>
      <c r="L192" s="864"/>
      <c r="M192" s="864"/>
      <c r="N192" s="864"/>
      <c r="O192" s="864"/>
      <c r="P192" s="1158"/>
    </row>
    <row r="193" spans="2:16" ht="5.25" hidden="1" customHeight="1" outlineLevel="1">
      <c r="B193" s="1157"/>
      <c r="C193" s="864"/>
      <c r="D193" s="864"/>
      <c r="E193" s="864"/>
      <c r="F193" s="864"/>
      <c r="G193" s="864"/>
      <c r="H193" s="864"/>
      <c r="I193" s="864"/>
      <c r="J193" s="864"/>
      <c r="K193" s="864"/>
      <c r="L193" s="864"/>
      <c r="M193" s="864"/>
      <c r="N193" s="864"/>
      <c r="O193" s="864"/>
      <c r="P193" s="1158"/>
    </row>
    <row r="194" spans="2:16" ht="15.75" hidden="1" outlineLevel="1">
      <c r="B194" s="1159"/>
      <c r="C194" s="766" t="s">
        <v>715</v>
      </c>
      <c r="D194" s="766" t="s">
        <v>79</v>
      </c>
      <c r="E194" s="766" t="s">
        <v>442</v>
      </c>
      <c r="F194" s="771">
        <v>2007</v>
      </c>
      <c r="G194" s="864"/>
      <c r="H194" s="864"/>
      <c r="I194" s="864"/>
      <c r="J194" s="864"/>
      <c r="K194" s="864"/>
      <c r="L194" s="864"/>
      <c r="M194" s="864"/>
      <c r="N194" s="864"/>
      <c r="O194" s="864"/>
      <c r="P194" s="1158"/>
    </row>
    <row r="195" spans="2:16" ht="15.75" hidden="1" outlineLevel="1">
      <c r="B195" s="1159"/>
      <c r="C195" s="791" t="s">
        <v>49</v>
      </c>
      <c r="D195" s="792" t="str">
        <f>INDEX(Vectors[Description], MATCH($C195, Vectors[Code], 0))</f>
        <v>Liquid hydrocarbons</v>
      </c>
      <c r="E195" s="937"/>
      <c r="F195" s="798">
        <v>0.31</v>
      </c>
      <c r="G195" s="864"/>
      <c r="H195" s="864"/>
      <c r="I195" s="864"/>
      <c r="J195" s="864"/>
      <c r="K195" s="864"/>
      <c r="L195" s="864"/>
      <c r="M195" s="864"/>
      <c r="N195" s="864"/>
      <c r="O195" s="864"/>
      <c r="P195" s="1158"/>
    </row>
    <row r="196" spans="2:16" hidden="1" outlineLevel="1">
      <c r="B196" s="1157"/>
      <c r="C196" s="866"/>
      <c r="D196" s="864"/>
      <c r="E196" s="864"/>
      <c r="F196" s="864"/>
      <c r="G196" s="864"/>
      <c r="H196" s="864"/>
      <c r="I196" s="864"/>
      <c r="J196" s="864"/>
      <c r="K196" s="864"/>
      <c r="L196" s="864"/>
      <c r="M196" s="864"/>
      <c r="N196" s="864"/>
      <c r="O196" s="864"/>
      <c r="P196" s="1158"/>
    </row>
    <row r="197" spans="2:16" hidden="1" outlineLevel="1">
      <c r="B197" s="1157"/>
      <c r="C197" s="866" t="s">
        <v>2151</v>
      </c>
      <c r="D197" s="864"/>
      <c r="E197" s="1256"/>
      <c r="F197" s="867" t="str">
        <f>Preferences.EnergyUnits</f>
        <v>TWh</v>
      </c>
      <c r="G197" s="864"/>
      <c r="H197" s="864"/>
      <c r="I197" s="864"/>
      <c r="J197" s="864"/>
      <c r="K197" s="864"/>
      <c r="L197" s="864"/>
      <c r="M197" s="864"/>
      <c r="N197" s="864"/>
      <c r="O197" s="864"/>
      <c r="P197" s="1158"/>
    </row>
    <row r="198" spans="2:16" ht="5.25" hidden="1" customHeight="1" outlineLevel="1">
      <c r="B198" s="1157"/>
      <c r="C198" s="864"/>
      <c r="D198" s="864"/>
      <c r="E198" s="864"/>
      <c r="F198" s="864"/>
      <c r="G198" s="864"/>
      <c r="H198" s="864"/>
      <c r="I198" s="864"/>
      <c r="J198" s="864"/>
      <c r="K198" s="864"/>
      <c r="L198" s="864"/>
      <c r="M198" s="864"/>
      <c r="N198" s="864"/>
      <c r="O198" s="864"/>
      <c r="P198" s="1158"/>
    </row>
    <row r="199" spans="2:16" ht="15.75" hidden="1" outlineLevel="1">
      <c r="B199" s="1159"/>
      <c r="C199" s="766" t="s">
        <v>715</v>
      </c>
      <c r="D199" s="766" t="s">
        <v>79</v>
      </c>
      <c r="E199" s="766" t="s">
        <v>442</v>
      </c>
      <c r="F199" s="771">
        <v>2007</v>
      </c>
      <c r="G199" s="864"/>
      <c r="H199" s="864"/>
      <c r="I199" s="864"/>
      <c r="J199" s="864"/>
      <c r="K199" s="864"/>
      <c r="L199" s="864"/>
      <c r="M199" s="864"/>
      <c r="N199" s="864"/>
      <c r="O199" s="864"/>
      <c r="P199" s="1158"/>
    </row>
    <row r="200" spans="2:16" ht="15.75" hidden="1" outlineLevel="1">
      <c r="B200" s="1159"/>
      <c r="C200" s="1516" t="s">
        <v>2148</v>
      </c>
      <c r="D200" s="1516" t="s">
        <v>2148</v>
      </c>
      <c r="E200" s="1649"/>
      <c r="F200" s="2387">
        <f>314*Unit.ktoe</f>
        <v>3.6518199999999998</v>
      </c>
      <c r="G200" s="864"/>
      <c r="H200" s="864"/>
      <c r="I200" s="864"/>
      <c r="J200" s="864"/>
      <c r="K200" s="864"/>
      <c r="L200" s="864"/>
      <c r="M200" s="864"/>
      <c r="N200" s="864"/>
      <c r="O200" s="864"/>
      <c r="P200" s="1158"/>
    </row>
    <row r="201" spans="2:16" ht="15.75" hidden="1" outlineLevel="1">
      <c r="B201" s="1159"/>
      <c r="C201" s="831" t="s">
        <v>2149</v>
      </c>
      <c r="D201" s="831" t="s">
        <v>2149</v>
      </c>
      <c r="E201" s="1254"/>
      <c r="F201" s="1272">
        <f>251*Unit.ktoe</f>
        <v>2.91913</v>
      </c>
      <c r="G201" s="864"/>
      <c r="H201" s="864"/>
      <c r="I201" s="864"/>
      <c r="J201" s="864"/>
      <c r="K201" s="864"/>
      <c r="L201" s="864"/>
      <c r="M201" s="864"/>
      <c r="N201" s="864"/>
      <c r="O201" s="864"/>
      <c r="P201" s="1158"/>
    </row>
    <row r="202" spans="2:16" ht="15.75" hidden="1" outlineLevel="1">
      <c r="B202" s="1159"/>
      <c r="C202" s="899" t="s">
        <v>2150</v>
      </c>
      <c r="D202" s="899" t="s">
        <v>2150</v>
      </c>
      <c r="E202" s="1461"/>
      <c r="F202" s="1798">
        <f>332*Unit.ktoe</f>
        <v>3.8611599999999999</v>
      </c>
      <c r="G202" s="864"/>
      <c r="H202" s="864"/>
      <c r="I202" s="864"/>
      <c r="J202" s="864"/>
      <c r="K202" s="864"/>
      <c r="L202" s="864"/>
      <c r="M202" s="864"/>
      <c r="N202" s="864"/>
      <c r="O202" s="864"/>
      <c r="P202" s="1158"/>
    </row>
    <row r="203" spans="2:16" hidden="1" outlineLevel="1">
      <c r="B203" s="1157"/>
      <c r="C203" s="866"/>
      <c r="D203" s="864"/>
      <c r="E203" s="864"/>
      <c r="F203" s="2096"/>
      <c r="G203" s="864"/>
      <c r="H203" s="864"/>
      <c r="I203" s="864"/>
      <c r="J203" s="864"/>
      <c r="K203" s="864"/>
      <c r="L203" s="864"/>
      <c r="M203" s="864"/>
      <c r="N203" s="864"/>
      <c r="O203" s="864"/>
      <c r="P203" s="1158"/>
    </row>
    <row r="204" spans="2:16" hidden="1" outlineLevel="1">
      <c r="B204" s="1157"/>
      <c r="C204" s="866" t="s">
        <v>2152</v>
      </c>
      <c r="D204" s="864"/>
      <c r="E204" s="1256"/>
      <c r="F204" s="867" t="s">
        <v>844</v>
      </c>
      <c r="G204" s="864"/>
      <c r="H204" s="864"/>
      <c r="I204" s="864"/>
      <c r="J204" s="864"/>
      <c r="K204" s="864"/>
      <c r="L204" s="864"/>
      <c r="M204" s="864"/>
      <c r="N204" s="864"/>
      <c r="O204" s="864"/>
      <c r="P204" s="1158"/>
    </row>
    <row r="205" spans="2:16" ht="5.25" hidden="1" customHeight="1" outlineLevel="1">
      <c r="B205" s="1157"/>
      <c r="C205" s="864"/>
      <c r="D205" s="864"/>
      <c r="E205" s="864"/>
      <c r="F205" s="864"/>
      <c r="G205" s="864"/>
      <c r="H205" s="864"/>
      <c r="I205" s="864"/>
      <c r="J205" s="864"/>
      <c r="K205" s="864"/>
      <c r="L205" s="864"/>
      <c r="M205" s="864"/>
      <c r="N205" s="864"/>
      <c r="O205" s="864"/>
      <c r="P205" s="1158"/>
    </row>
    <row r="206" spans="2:16" ht="15.75" hidden="1" outlineLevel="1">
      <c r="B206" s="1159"/>
      <c r="C206" s="766" t="s">
        <v>715</v>
      </c>
      <c r="D206" s="766" t="s">
        <v>79</v>
      </c>
      <c r="E206" s="766" t="s">
        <v>442</v>
      </c>
      <c r="F206" s="771">
        <v>2007</v>
      </c>
      <c r="G206" s="864"/>
      <c r="H206" s="864"/>
      <c r="I206" s="864"/>
      <c r="J206" s="864"/>
      <c r="K206" s="864"/>
      <c r="L206" s="864"/>
      <c r="M206" s="864"/>
      <c r="N206" s="864"/>
      <c r="O206" s="864"/>
      <c r="P206" s="1158"/>
    </row>
    <row r="207" spans="2:16" ht="15.75" hidden="1" outlineLevel="1">
      <c r="B207" s="1159"/>
      <c r="C207" s="1516" t="s">
        <v>45</v>
      </c>
      <c r="D207" s="1516" t="str">
        <f>INDEX(Vectors[Description], MATCH($C207, Vectors[Code], 0))</f>
        <v>Electricity (delivered to end user)</v>
      </c>
      <c r="E207" s="1649"/>
      <c r="F207" s="2344">
        <v>0.4</v>
      </c>
      <c r="G207" s="864"/>
      <c r="H207" s="864"/>
      <c r="I207" s="864"/>
      <c r="J207" s="864"/>
      <c r="K207" s="864"/>
      <c r="L207" s="864"/>
      <c r="M207" s="864"/>
      <c r="N207" s="864"/>
      <c r="O207" s="864"/>
      <c r="P207" s="1158"/>
    </row>
    <row r="208" spans="2:16" ht="15.75" hidden="1" outlineLevel="1">
      <c r="B208" s="1159"/>
      <c r="C208" s="831" t="s">
        <v>47</v>
      </c>
      <c r="D208" s="831" t="str">
        <f>INDEX(Vectors[Description], MATCH($C208, Vectors[Code], 0))</f>
        <v>Solid hydrocarbons</v>
      </c>
      <c r="E208" s="1254"/>
      <c r="F208" s="865">
        <v>0.08</v>
      </c>
      <c r="G208" s="864"/>
      <c r="H208" s="864"/>
      <c r="I208" s="864"/>
      <c r="J208" s="864"/>
      <c r="K208" s="864"/>
      <c r="L208" s="864"/>
      <c r="M208" s="864"/>
      <c r="N208" s="864"/>
      <c r="O208" s="864"/>
      <c r="P208" s="1158"/>
    </row>
    <row r="209" spans="1:19" ht="15.75" hidden="1" outlineLevel="1">
      <c r="B209" s="1159"/>
      <c r="C209" s="831" t="s">
        <v>49</v>
      </c>
      <c r="D209" s="831" t="str">
        <f>INDEX(Vectors[Description], MATCH($C209, Vectors[Code], 0))</f>
        <v>Liquid hydrocarbons</v>
      </c>
      <c r="E209" s="1254"/>
      <c r="F209" s="865">
        <v>0.33</v>
      </c>
      <c r="G209" s="864"/>
      <c r="H209" s="864"/>
      <c r="I209" s="864"/>
      <c r="J209" s="864"/>
      <c r="K209" s="864"/>
      <c r="L209" s="864"/>
      <c r="M209" s="864"/>
      <c r="N209" s="864"/>
      <c r="O209" s="864"/>
      <c r="P209" s="1158"/>
    </row>
    <row r="210" spans="1:19" ht="15.75" hidden="1" outlineLevel="1">
      <c r="B210" s="1159"/>
      <c r="C210" s="899" t="s">
        <v>50</v>
      </c>
      <c r="D210" s="899" t="str">
        <f>INDEX(Vectors[Description], MATCH($C210, Vectors[Code], 0))</f>
        <v>Gaseous hydrocarbons</v>
      </c>
      <c r="E210" s="1461"/>
      <c r="F210" s="916">
        <v>0.19</v>
      </c>
      <c r="G210" s="864"/>
      <c r="H210" s="864"/>
      <c r="I210" s="864"/>
      <c r="J210" s="864"/>
      <c r="K210" s="864"/>
      <c r="L210" s="864"/>
      <c r="M210" s="864"/>
      <c r="N210" s="864"/>
      <c r="O210" s="864"/>
      <c r="P210" s="1158"/>
    </row>
    <row r="211" spans="1:19" hidden="1" outlineLevel="1">
      <c r="B211" s="1157"/>
      <c r="C211" s="831"/>
      <c r="D211" s="831"/>
      <c r="E211" s="1254"/>
      <c r="F211" s="865">
        <f>SUM(F$207:F$210)</f>
        <v>1</v>
      </c>
      <c r="G211" s="864"/>
      <c r="H211" s="864"/>
      <c r="I211" s="864"/>
      <c r="J211" s="864"/>
      <c r="K211" s="864"/>
      <c r="L211" s="864"/>
      <c r="M211" s="864"/>
      <c r="N211" s="864"/>
      <c r="O211" s="864"/>
      <c r="P211" s="1158"/>
    </row>
    <row r="212" spans="1:19" s="715" customFormat="1" hidden="1" outlineLevel="1">
      <c r="B212" s="1260"/>
      <c r="C212" s="866"/>
      <c r="D212" s="864"/>
      <c r="E212" s="864"/>
      <c r="F212" s="2357"/>
      <c r="G212" s="1262"/>
      <c r="H212" s="1262"/>
      <c r="I212" s="1262"/>
      <c r="J212" s="1262"/>
      <c r="K212" s="1262"/>
      <c r="L212" s="1262"/>
      <c r="M212" s="1262"/>
      <c r="N212" s="1262"/>
      <c r="O212" s="1262"/>
      <c r="P212" s="1263"/>
    </row>
    <row r="213" spans="1:19">
      <c r="S213" s="715"/>
    </row>
    <row r="214" spans="1:19" ht="22.5" collapsed="1">
      <c r="A214" s="1171"/>
      <c r="B214" s="1236" t="s">
        <v>817</v>
      </c>
      <c r="C214" s="1264"/>
      <c r="D214" s="1264"/>
      <c r="E214" s="1264"/>
      <c r="F214" s="1264"/>
      <c r="G214" s="1264"/>
      <c r="H214" s="1264"/>
      <c r="I214" s="1264"/>
      <c r="J214" s="1264"/>
      <c r="K214" s="1264"/>
      <c r="L214" s="1264"/>
      <c r="M214" s="1264"/>
      <c r="N214" s="1264"/>
      <c r="O214" s="1264"/>
      <c r="P214" s="1265"/>
    </row>
    <row r="215" spans="1:19" hidden="1" outlineLevel="1">
      <c r="B215" s="1157"/>
      <c r="C215" s="864"/>
      <c r="D215" s="864"/>
      <c r="E215" s="864"/>
      <c r="F215" s="864"/>
      <c r="G215" s="864"/>
      <c r="H215" s="864"/>
      <c r="I215" s="864"/>
      <c r="J215" s="864"/>
      <c r="K215" s="864"/>
      <c r="L215" s="864"/>
      <c r="M215" s="864"/>
      <c r="N215" s="864"/>
      <c r="O215" s="864"/>
      <c r="P215" s="1158"/>
    </row>
    <row r="216" spans="1:19" hidden="1" outlineLevel="1">
      <c r="B216" s="1157"/>
      <c r="C216" s="864" t="s">
        <v>2128</v>
      </c>
      <c r="D216" s="864"/>
      <c r="E216" s="864"/>
      <c r="F216" s="864"/>
      <c r="G216" s="864"/>
      <c r="H216" s="864"/>
      <c r="I216" s="864"/>
      <c r="J216" s="864"/>
      <c r="K216" s="864"/>
      <c r="L216" s="864"/>
      <c r="M216" s="864"/>
      <c r="N216" s="864"/>
      <c r="O216" s="864"/>
      <c r="P216" s="1158"/>
    </row>
    <row r="217" spans="1:19" hidden="1" outlineLevel="1">
      <c r="B217" s="1157"/>
      <c r="C217" s="864"/>
      <c r="D217" s="864"/>
      <c r="E217" s="864"/>
      <c r="F217" s="864"/>
      <c r="G217" s="864"/>
      <c r="H217" s="864"/>
      <c r="I217" s="864"/>
      <c r="J217" s="864"/>
      <c r="K217" s="864"/>
      <c r="L217" s="864"/>
      <c r="M217" s="864"/>
      <c r="N217" s="864"/>
      <c r="O217" s="864"/>
      <c r="P217" s="1158"/>
    </row>
    <row r="218" spans="1:19" hidden="1" outlineLevel="1">
      <c r="B218" s="1157"/>
      <c r="C218" s="866" t="s">
        <v>1478</v>
      </c>
      <c r="D218" s="864"/>
      <c r="E218" s="1256"/>
      <c r="F218" s="864"/>
      <c r="G218" s="864"/>
      <c r="H218" s="864"/>
      <c r="I218" s="864"/>
      <c r="J218" s="864"/>
      <c r="K218" s="864"/>
      <c r="L218" s="864"/>
      <c r="M218" s="864"/>
      <c r="N218" s="864"/>
      <c r="O218" s="867" t="str">
        <f>Preferences.AreaUnits</f>
        <v>M ha</v>
      </c>
      <c r="P218" s="1158"/>
    </row>
    <row r="219" spans="1:19" ht="5.25" hidden="1" customHeight="1" outlineLevel="1">
      <c r="B219" s="1157"/>
      <c r="C219" s="864"/>
      <c r="D219" s="864"/>
      <c r="E219" s="864"/>
      <c r="F219" s="864"/>
      <c r="G219" s="864"/>
      <c r="H219" s="864"/>
      <c r="I219" s="864"/>
      <c r="J219" s="864"/>
      <c r="K219" s="864"/>
      <c r="L219" s="864"/>
      <c r="M219" s="864"/>
      <c r="N219" s="864"/>
      <c r="O219" s="864"/>
      <c r="P219" s="1158"/>
    </row>
    <row r="220" spans="1:19" ht="15.75" hidden="1" outlineLevel="1">
      <c r="B220" s="1159"/>
      <c r="C220" s="766" t="s">
        <v>1442</v>
      </c>
      <c r="D220" s="766" t="s">
        <v>79</v>
      </c>
      <c r="E220" s="766" t="s">
        <v>442</v>
      </c>
      <c r="F220" s="1541">
        <v>2007</v>
      </c>
      <c r="G220" s="924">
        <v>2010</v>
      </c>
      <c r="H220" s="923">
        <v>2015</v>
      </c>
      <c r="I220" s="923">
        <v>2020</v>
      </c>
      <c r="J220" s="923">
        <v>2025</v>
      </c>
      <c r="K220" s="923">
        <v>2030</v>
      </c>
      <c r="L220" s="923">
        <v>2035</v>
      </c>
      <c r="M220" s="923">
        <v>2040</v>
      </c>
      <c r="N220" s="923">
        <v>2045</v>
      </c>
      <c r="O220" s="923">
        <v>2050</v>
      </c>
      <c r="P220" s="1158"/>
    </row>
    <row r="221" spans="1:19" ht="15.75" hidden="1" outlineLevel="1">
      <c r="B221" s="1159"/>
      <c r="C221" s="1516" t="s">
        <v>1437</v>
      </c>
      <c r="D221" s="833" t="s">
        <v>2122</v>
      </c>
      <c r="E221" s="1649"/>
      <c r="F221" s="1716">
        <f t="shared" ref="F221:O228" si="6">SUMIFS(F$19:F$50, $C$19:$C$50, $E$8, $E$19:$E$50, $C221)</f>
        <v>4.1710420000000008</v>
      </c>
      <c r="G221" s="914">
        <f t="shared" si="6"/>
        <v>4.6240938507941101</v>
      </c>
      <c r="H221" s="1716">
        <f t="shared" si="6"/>
        <v>4.5664564446376898</v>
      </c>
      <c r="I221" s="1716">
        <f t="shared" si="6"/>
        <v>4.5095374647709594</v>
      </c>
      <c r="J221" s="1716">
        <f t="shared" si="6"/>
        <v>4.4533279563091002</v>
      </c>
      <c r="K221" s="1716">
        <f t="shared" si="6"/>
        <v>4.3978190759862104</v>
      </c>
      <c r="L221" s="1716">
        <f t="shared" si="6"/>
        <v>4.3430020907640001</v>
      </c>
      <c r="M221" s="1716">
        <f t="shared" si="6"/>
        <v>4.2888683764578799</v>
      </c>
      <c r="N221" s="1716">
        <f t="shared" si="6"/>
        <v>4.2354094163801301</v>
      </c>
      <c r="O221" s="1716">
        <f t="shared" si="6"/>
        <v>4.1826168000000097</v>
      </c>
      <c r="P221" s="1158"/>
    </row>
    <row r="222" spans="1:19" ht="15.75" hidden="1" outlineLevel="1">
      <c r="B222" s="1159"/>
      <c r="C222" s="831" t="s">
        <v>1438</v>
      </c>
      <c r="D222" s="832" t="s">
        <v>2123</v>
      </c>
      <c r="E222" s="1254"/>
      <c r="F222" s="913">
        <f t="shared" si="6"/>
        <v>0.34794000000000003</v>
      </c>
      <c r="G222" s="1717">
        <f t="shared" si="6"/>
        <v>0.1</v>
      </c>
      <c r="H222" s="913">
        <f t="shared" si="6"/>
        <v>0.1</v>
      </c>
      <c r="I222" s="913">
        <f t="shared" si="6"/>
        <v>0.1</v>
      </c>
      <c r="J222" s="913">
        <f t="shared" si="6"/>
        <v>0.1</v>
      </c>
      <c r="K222" s="913">
        <f t="shared" si="6"/>
        <v>0.1</v>
      </c>
      <c r="L222" s="913">
        <f t="shared" si="6"/>
        <v>0.1</v>
      </c>
      <c r="M222" s="913">
        <f t="shared" si="6"/>
        <v>0.1</v>
      </c>
      <c r="N222" s="913">
        <f t="shared" si="6"/>
        <v>0.1</v>
      </c>
      <c r="O222" s="913">
        <f t="shared" si="6"/>
        <v>0.1</v>
      </c>
      <c r="P222" s="1158"/>
    </row>
    <row r="223" spans="1:19" ht="15.75" hidden="1" outlineLevel="1">
      <c r="B223" s="1159"/>
      <c r="C223" s="831" t="s">
        <v>2120</v>
      </c>
      <c r="D223" s="832" t="s">
        <v>2124</v>
      </c>
      <c r="E223" s="1254"/>
      <c r="F223" s="913">
        <f t="shared" si="6"/>
        <v>1.6E-2</v>
      </c>
      <c r="G223" s="1717">
        <f t="shared" si="6"/>
        <v>1.1106149205886201E-2</v>
      </c>
      <c r="H223" s="913">
        <f t="shared" si="6"/>
        <v>6.8743555362313705E-2</v>
      </c>
      <c r="I223" s="913">
        <f t="shared" si="6"/>
        <v>0.125662535229043</v>
      </c>
      <c r="J223" s="913">
        <f t="shared" si="6"/>
        <v>0.18187204369089902</v>
      </c>
      <c r="K223" s="913">
        <f t="shared" si="6"/>
        <v>0.23738092401379299</v>
      </c>
      <c r="L223" s="913">
        <f t="shared" si="6"/>
        <v>0.29219790923600403</v>
      </c>
      <c r="M223" s="913">
        <f t="shared" si="6"/>
        <v>0.34633162354212405</v>
      </c>
      <c r="N223" s="913">
        <f t="shared" si="6"/>
        <v>0.39979058361987202</v>
      </c>
      <c r="O223" s="913">
        <f t="shared" si="6"/>
        <v>0.45258319999999497</v>
      </c>
      <c r="P223" s="1158"/>
    </row>
    <row r="224" spans="1:19" ht="15.75" hidden="1" outlineLevel="1">
      <c r="B224" s="1159"/>
      <c r="C224" s="831" t="s">
        <v>2121</v>
      </c>
      <c r="D224" s="832" t="s">
        <v>2094</v>
      </c>
      <c r="E224" s="1254"/>
      <c r="F224" s="913">
        <f t="shared" si="6"/>
        <v>0</v>
      </c>
      <c r="G224" s="1717">
        <f t="shared" si="6"/>
        <v>0.02</v>
      </c>
      <c r="H224" s="913">
        <f t="shared" si="6"/>
        <v>7.0000000000000007E-2</v>
      </c>
      <c r="I224" s="913">
        <f t="shared" si="6"/>
        <v>0.12</v>
      </c>
      <c r="J224" s="913">
        <f t="shared" si="6"/>
        <v>0.17</v>
      </c>
      <c r="K224" s="913">
        <f t="shared" si="6"/>
        <v>0.22</v>
      </c>
      <c r="L224" s="913">
        <f t="shared" si="6"/>
        <v>0.32</v>
      </c>
      <c r="M224" s="913">
        <f t="shared" si="6"/>
        <v>0.42</v>
      </c>
      <c r="N224" s="913">
        <f t="shared" si="6"/>
        <v>0.52</v>
      </c>
      <c r="O224" s="913">
        <f t="shared" si="6"/>
        <v>0.62</v>
      </c>
      <c r="P224" s="1158"/>
    </row>
    <row r="225" spans="2:16" ht="15.75" hidden="1" outlineLevel="1">
      <c r="B225" s="1159"/>
      <c r="C225" s="831" t="s">
        <v>1440</v>
      </c>
      <c r="D225" s="832" t="s">
        <v>2125</v>
      </c>
      <c r="E225" s="1254"/>
      <c r="F225" s="913">
        <f t="shared" si="6"/>
        <v>13.202018000000001</v>
      </c>
      <c r="G225" s="1717">
        <f t="shared" si="6"/>
        <v>12.9164786732</v>
      </c>
      <c r="H225" s="913">
        <f t="shared" si="6"/>
        <v>12.7878295133295</v>
      </c>
      <c r="I225" s="913">
        <f t="shared" si="6"/>
        <v>12.660461709372999</v>
      </c>
      <c r="J225" s="913">
        <f t="shared" si="6"/>
        <v>12.534362498923199</v>
      </c>
      <c r="K225" s="913">
        <f t="shared" si="6"/>
        <v>12.4095192466872</v>
      </c>
      <c r="L225" s="913">
        <f t="shared" si="6"/>
        <v>12.285919443221001</v>
      </c>
      <c r="M225" s="913">
        <f t="shared" si="6"/>
        <v>12.163550703675501</v>
      </c>
      <c r="N225" s="913">
        <f t="shared" si="6"/>
        <v>12.042400766555501</v>
      </c>
      <c r="O225" s="913">
        <f t="shared" si="6"/>
        <v>11.922457492491599</v>
      </c>
      <c r="P225" s="1158"/>
    </row>
    <row r="226" spans="2:16" ht="15.75" hidden="1" outlineLevel="1">
      <c r="B226" s="1159"/>
      <c r="C226" s="831" t="s">
        <v>1488</v>
      </c>
      <c r="D226" s="832" t="s">
        <v>1479</v>
      </c>
      <c r="E226" s="1254"/>
      <c r="F226" s="913">
        <f t="shared" si="6"/>
        <v>2.1240619999999999</v>
      </c>
      <c r="G226" s="1717">
        <f t="shared" si="6"/>
        <v>2.1690619999999998</v>
      </c>
      <c r="H226" s="913">
        <f t="shared" si="6"/>
        <v>2.244062</v>
      </c>
      <c r="I226" s="913">
        <f t="shared" si="6"/>
        <v>2.3190619999999997</v>
      </c>
      <c r="J226" s="913">
        <f t="shared" si="6"/>
        <v>2.3940619999999999</v>
      </c>
      <c r="K226" s="913">
        <f t="shared" si="6"/>
        <v>2.4690620000000001</v>
      </c>
      <c r="L226" s="913">
        <f t="shared" si="6"/>
        <v>2.5440619999999998</v>
      </c>
      <c r="M226" s="913">
        <f t="shared" si="6"/>
        <v>2.619062</v>
      </c>
      <c r="N226" s="913">
        <f t="shared" si="6"/>
        <v>2.6940619999999997</v>
      </c>
      <c r="O226" s="913">
        <f t="shared" si="6"/>
        <v>2.7690619999999999</v>
      </c>
      <c r="P226" s="1158"/>
    </row>
    <row r="227" spans="2:16" ht="15.75" hidden="1" outlineLevel="1">
      <c r="B227" s="1159"/>
      <c r="C227" s="831" t="s">
        <v>1058</v>
      </c>
      <c r="D227" s="832" t="s">
        <v>1480</v>
      </c>
      <c r="E227" s="1254"/>
      <c r="F227" s="913">
        <f t="shared" si="6"/>
        <v>2.4369699999999996</v>
      </c>
      <c r="G227" s="1717">
        <f t="shared" si="6"/>
        <v>2.478586</v>
      </c>
      <c r="H227" s="913">
        <f t="shared" si="6"/>
        <v>2.547946</v>
      </c>
      <c r="I227" s="913">
        <f t="shared" si="6"/>
        <v>2.6173060000000001</v>
      </c>
      <c r="J227" s="913">
        <f t="shared" si="6"/>
        <v>2.6866660000000002</v>
      </c>
      <c r="K227" s="913">
        <f t="shared" si="6"/>
        <v>2.7560259999999999</v>
      </c>
      <c r="L227" s="913">
        <f t="shared" si="6"/>
        <v>2.825386</v>
      </c>
      <c r="M227" s="913">
        <f t="shared" si="6"/>
        <v>2.894746</v>
      </c>
      <c r="N227" s="913">
        <f t="shared" si="6"/>
        <v>2.9641060000000001</v>
      </c>
      <c r="O227" s="913">
        <f t="shared" si="6"/>
        <v>3.0334659999999998</v>
      </c>
      <c r="P227" s="1158"/>
    </row>
    <row r="228" spans="2:16" ht="15.75" hidden="1" outlineLevel="1">
      <c r="B228" s="1159"/>
      <c r="C228" s="899" t="s">
        <v>1489</v>
      </c>
      <c r="D228" s="900" t="s">
        <v>123</v>
      </c>
      <c r="E228" s="1461"/>
      <c r="F228" s="1727">
        <f t="shared" si="6"/>
        <v>2.1349620000000002</v>
      </c>
      <c r="G228" s="1728">
        <f t="shared" si="6"/>
        <v>2.1136673267999999</v>
      </c>
      <c r="H228" s="1727">
        <f t="shared" si="6"/>
        <v>2.04795648667046</v>
      </c>
      <c r="I228" s="1727">
        <f t="shared" si="6"/>
        <v>1.9809642906269702</v>
      </c>
      <c r="J228" s="1727">
        <f t="shared" si="6"/>
        <v>1.9127035010768301</v>
      </c>
      <c r="K228" s="1727">
        <f t="shared" si="6"/>
        <v>1.8431867533127499</v>
      </c>
      <c r="L228" s="1727">
        <f t="shared" si="6"/>
        <v>1.7224265567789301</v>
      </c>
      <c r="M228" s="1727">
        <f t="shared" si="6"/>
        <v>1.6004352963244901</v>
      </c>
      <c r="N228" s="1727">
        <f t="shared" si="6"/>
        <v>1.47722523344446</v>
      </c>
      <c r="O228" s="1727">
        <f t="shared" si="6"/>
        <v>1.35280850750841</v>
      </c>
      <c r="P228" s="1158"/>
    </row>
    <row r="229" spans="2:16" ht="15.75" hidden="1" outlineLevel="1">
      <c r="B229" s="1159"/>
      <c r="C229" s="831"/>
      <c r="D229" s="832"/>
      <c r="E229" s="1254"/>
      <c r="F229" s="913">
        <f>SUM(F221:F228)</f>
        <v>24.432994000000001</v>
      </c>
      <c r="G229" s="913">
        <f t="shared" ref="G229:O229" si="7">SUM(G221:G228)</f>
        <v>24.432993999999994</v>
      </c>
      <c r="H229" s="913">
        <f t="shared" si="7"/>
        <v>24.432993999999965</v>
      </c>
      <c r="I229" s="913">
        <f t="shared" si="7"/>
        <v>24.432993999999969</v>
      </c>
      <c r="J229" s="913">
        <f t="shared" si="7"/>
        <v>24.432994000000029</v>
      </c>
      <c r="K229" s="913">
        <f t="shared" si="7"/>
        <v>24.432993999999951</v>
      </c>
      <c r="L229" s="913">
        <f t="shared" si="7"/>
        <v>24.432993999999933</v>
      </c>
      <c r="M229" s="913">
        <f t="shared" si="7"/>
        <v>24.432993999999997</v>
      </c>
      <c r="N229" s="913">
        <f t="shared" si="7"/>
        <v>24.432993999999965</v>
      </c>
      <c r="O229" s="913">
        <f t="shared" si="7"/>
        <v>24.432994000000015</v>
      </c>
      <c r="P229" s="1158"/>
    </row>
    <row r="230" spans="2:16" hidden="1" outlineLevel="1">
      <c r="B230" s="1157"/>
      <c r="C230" s="864"/>
      <c r="D230" s="864"/>
      <c r="E230" s="864"/>
      <c r="F230" s="864"/>
      <c r="G230" s="864"/>
      <c r="H230" s="864"/>
      <c r="I230" s="864"/>
      <c r="J230" s="864"/>
      <c r="K230" s="864"/>
      <c r="L230" s="864"/>
      <c r="M230" s="864"/>
      <c r="N230" s="864"/>
      <c r="O230" s="864"/>
      <c r="P230" s="1158"/>
    </row>
    <row r="231" spans="2:16" hidden="1" outlineLevel="1">
      <c r="B231" s="1157"/>
      <c r="C231" s="866" t="s">
        <v>1485</v>
      </c>
      <c r="D231" s="864"/>
      <c r="E231" s="1256"/>
      <c r="F231" s="867"/>
      <c r="G231" s="864"/>
      <c r="H231" s="864"/>
      <c r="I231" s="864"/>
      <c r="J231" s="864"/>
      <c r="K231" s="864"/>
      <c r="L231" s="864"/>
      <c r="M231" s="864"/>
      <c r="N231" s="864"/>
      <c r="O231" s="867" t="s">
        <v>1491</v>
      </c>
      <c r="P231" s="1158"/>
    </row>
    <row r="232" spans="2:16" ht="5.25" hidden="1" customHeight="1" outlineLevel="1">
      <c r="B232" s="1157"/>
      <c r="C232" s="864"/>
      <c r="D232" s="864"/>
      <c r="E232" s="864"/>
      <c r="F232" s="864"/>
      <c r="G232" s="864"/>
      <c r="H232" s="864"/>
      <c r="I232" s="864"/>
      <c r="J232" s="864"/>
      <c r="K232" s="864"/>
      <c r="L232" s="864"/>
      <c r="M232" s="864"/>
      <c r="N232" s="864"/>
      <c r="O232" s="864"/>
      <c r="P232" s="1158"/>
    </row>
    <row r="233" spans="2:16" ht="15.75" hidden="1" outlineLevel="1">
      <c r="B233" s="1159"/>
      <c r="C233" s="766" t="s">
        <v>1442</v>
      </c>
      <c r="D233" s="766" t="s">
        <v>79</v>
      </c>
      <c r="E233" s="766" t="s">
        <v>1327</v>
      </c>
      <c r="F233" s="1541">
        <v>2007</v>
      </c>
      <c r="G233" s="924">
        <v>2010</v>
      </c>
      <c r="H233" s="923">
        <v>2015</v>
      </c>
      <c r="I233" s="923">
        <v>2020</v>
      </c>
      <c r="J233" s="923">
        <v>2025</v>
      </c>
      <c r="K233" s="923">
        <v>2030</v>
      </c>
      <c r="L233" s="923">
        <v>2035</v>
      </c>
      <c r="M233" s="923">
        <v>2040</v>
      </c>
      <c r="N233" s="923">
        <v>2045</v>
      </c>
      <c r="O233" s="923">
        <v>2050</v>
      </c>
      <c r="P233" s="1158"/>
    </row>
    <row r="234" spans="2:16" ht="15.75" hidden="1" outlineLevel="1">
      <c r="B234" s="1159"/>
      <c r="C234" s="831">
        <v>1</v>
      </c>
      <c r="D234" s="832" t="s">
        <v>1486</v>
      </c>
      <c r="E234" s="919">
        <f>INDEX($G55:$J55, MATCH($E$8, $G$54:$J$54, 0))</f>
        <v>0</v>
      </c>
      <c r="F234" s="1729">
        <f t="array" ref="F234:F236">F$131:F$133</f>
        <v>1954</v>
      </c>
      <c r="G234" s="1731">
        <f>$F234*(1+$E234)^(G$233-$F$233)</f>
        <v>1954</v>
      </c>
      <c r="H234" s="1732">
        <f t="shared" ref="H234:O236" si="8">$F234*(1+$E234)^(H$233-$F$233)</f>
        <v>1954</v>
      </c>
      <c r="I234" s="1732">
        <f t="shared" si="8"/>
        <v>1954</v>
      </c>
      <c r="J234" s="1732">
        <f t="shared" si="8"/>
        <v>1954</v>
      </c>
      <c r="K234" s="1732">
        <f t="shared" si="8"/>
        <v>1954</v>
      </c>
      <c r="L234" s="1732">
        <f t="shared" si="8"/>
        <v>1954</v>
      </c>
      <c r="M234" s="1732">
        <f t="shared" si="8"/>
        <v>1954</v>
      </c>
      <c r="N234" s="1732">
        <f t="shared" si="8"/>
        <v>1954</v>
      </c>
      <c r="O234" s="1732">
        <f t="shared" si="8"/>
        <v>1954</v>
      </c>
      <c r="P234" s="1158"/>
    </row>
    <row r="235" spans="2:16" ht="15.75" hidden="1" outlineLevel="1">
      <c r="B235" s="1159"/>
      <c r="C235" s="831">
        <v>2</v>
      </c>
      <c r="D235" s="832" t="s">
        <v>1487</v>
      </c>
      <c r="E235" s="919">
        <f>INDEX($G56:$J56, MATCH($E$8, $G$54:$J$54, 0))</f>
        <v>0</v>
      </c>
      <c r="F235" s="911">
        <v>167667</v>
      </c>
      <c r="G235" s="895">
        <f>$F235*(1+$E235)^(G$233-$F$233)</f>
        <v>167667</v>
      </c>
      <c r="H235" s="1732">
        <f t="shared" si="8"/>
        <v>167667</v>
      </c>
      <c r="I235" s="1732">
        <f t="shared" si="8"/>
        <v>167667</v>
      </c>
      <c r="J235" s="1732">
        <f t="shared" si="8"/>
        <v>167667</v>
      </c>
      <c r="K235" s="1732">
        <f t="shared" si="8"/>
        <v>167667</v>
      </c>
      <c r="L235" s="1732">
        <f t="shared" si="8"/>
        <v>167667</v>
      </c>
      <c r="M235" s="1732">
        <f t="shared" si="8"/>
        <v>167667</v>
      </c>
      <c r="N235" s="1732">
        <f t="shared" si="8"/>
        <v>167667</v>
      </c>
      <c r="O235" s="1732">
        <f t="shared" si="8"/>
        <v>167667</v>
      </c>
      <c r="P235" s="1158"/>
    </row>
    <row r="236" spans="2:16" ht="15.75" hidden="1" outlineLevel="1">
      <c r="B236" s="1159"/>
      <c r="C236" s="769">
        <v>3</v>
      </c>
      <c r="D236" s="770" t="s">
        <v>1492</v>
      </c>
      <c r="E236" s="778">
        <f>INDEX($G57:$J57, MATCH($E$8, $G$54:$J$54, 0))</f>
        <v>0</v>
      </c>
      <c r="F236" s="1730">
        <v>49594</v>
      </c>
      <c r="G236" s="1733">
        <f>$F236*(1+$E236)^(G$233-$F$233)</f>
        <v>49594</v>
      </c>
      <c r="H236" s="1734">
        <f t="shared" si="8"/>
        <v>49594</v>
      </c>
      <c r="I236" s="1734">
        <f t="shared" si="8"/>
        <v>49594</v>
      </c>
      <c r="J236" s="1734">
        <f t="shared" si="8"/>
        <v>49594</v>
      </c>
      <c r="K236" s="1734">
        <f t="shared" si="8"/>
        <v>49594</v>
      </c>
      <c r="L236" s="1734">
        <f t="shared" si="8"/>
        <v>49594</v>
      </c>
      <c r="M236" s="1734">
        <f t="shared" si="8"/>
        <v>49594</v>
      </c>
      <c r="N236" s="1734">
        <f t="shared" si="8"/>
        <v>49594</v>
      </c>
      <c r="O236" s="1734">
        <f t="shared" si="8"/>
        <v>49594</v>
      </c>
      <c r="P236" s="1158"/>
    </row>
    <row r="237" spans="2:16" hidden="1" outlineLevel="1">
      <c r="B237" s="1157"/>
      <c r="C237" s="864"/>
      <c r="D237" s="864"/>
      <c r="E237" s="864"/>
      <c r="F237" s="864"/>
      <c r="G237" s="864"/>
      <c r="H237" s="864"/>
      <c r="I237" s="864"/>
      <c r="J237" s="864"/>
      <c r="K237" s="864"/>
      <c r="L237" s="864"/>
      <c r="M237" s="864"/>
      <c r="N237" s="864"/>
      <c r="O237" s="864"/>
      <c r="P237" s="1158"/>
    </row>
    <row r="238" spans="2:16" hidden="1" outlineLevel="1">
      <c r="B238" s="1157"/>
      <c r="C238" s="864"/>
      <c r="D238" s="864"/>
      <c r="E238" s="864"/>
      <c r="F238" s="864"/>
      <c r="G238" s="864"/>
      <c r="H238" s="864"/>
      <c r="I238" s="864"/>
      <c r="J238" s="864"/>
      <c r="K238" s="864"/>
      <c r="L238" s="864"/>
      <c r="M238" s="864"/>
      <c r="N238" s="864"/>
      <c r="O238" s="864"/>
      <c r="P238" s="1158"/>
    </row>
    <row r="239" spans="2:16" hidden="1" outlineLevel="1">
      <c r="B239" s="1157"/>
      <c r="C239" s="864" t="s">
        <v>2129</v>
      </c>
      <c r="D239" s="864"/>
      <c r="E239" s="864"/>
      <c r="F239" s="864"/>
      <c r="G239" s="864"/>
      <c r="H239" s="864"/>
      <c r="I239" s="864"/>
      <c r="J239" s="864"/>
      <c r="K239" s="864"/>
      <c r="L239" s="864"/>
      <c r="M239" s="864"/>
      <c r="N239" s="864"/>
      <c r="O239" s="864"/>
      <c r="P239" s="1158"/>
    </row>
    <row r="240" spans="2:16" hidden="1" outlineLevel="1">
      <c r="B240" s="1157"/>
      <c r="C240" s="864"/>
      <c r="D240" s="864"/>
      <c r="E240" s="864"/>
      <c r="F240" s="864"/>
      <c r="G240" s="864"/>
      <c r="H240" s="864"/>
      <c r="I240" s="864"/>
      <c r="J240" s="864"/>
      <c r="K240" s="864"/>
      <c r="L240" s="864"/>
      <c r="M240" s="864"/>
      <c r="N240" s="864"/>
      <c r="O240" s="864"/>
      <c r="P240" s="1158"/>
    </row>
    <row r="241" spans="2:18" hidden="1" outlineLevel="1">
      <c r="B241" s="1157"/>
      <c r="C241" s="866" t="s">
        <v>1507</v>
      </c>
      <c r="D241" s="864"/>
      <c r="E241" s="864"/>
      <c r="F241" s="864"/>
      <c r="G241" s="864"/>
      <c r="H241" s="864"/>
      <c r="I241" s="864"/>
      <c r="J241" s="864"/>
      <c r="K241" s="864"/>
      <c r="L241" s="864"/>
      <c r="M241" s="864"/>
      <c r="N241" s="864"/>
      <c r="O241" s="867" t="s">
        <v>1508</v>
      </c>
      <c r="P241" s="1158"/>
    </row>
    <row r="242" spans="2:18" ht="5.25" hidden="1" customHeight="1" outlineLevel="1">
      <c r="B242" s="1157"/>
      <c r="C242" s="864"/>
      <c r="D242" s="864"/>
      <c r="E242" s="864"/>
      <c r="F242" s="864"/>
      <c r="G242" s="864"/>
      <c r="H242" s="864"/>
      <c r="I242" s="864"/>
      <c r="J242" s="864"/>
      <c r="K242" s="864"/>
      <c r="L242" s="864"/>
      <c r="M242" s="864"/>
      <c r="N242" s="864"/>
      <c r="O242" s="864"/>
      <c r="P242" s="1158"/>
    </row>
    <row r="243" spans="2:18" s="743" customFormat="1" ht="15.75" hidden="1" outlineLevel="1">
      <c r="B243" s="1161"/>
      <c r="C243" s="766" t="s">
        <v>1442</v>
      </c>
      <c r="D243" s="766" t="s">
        <v>79</v>
      </c>
      <c r="E243" s="766" t="s">
        <v>1327</v>
      </c>
      <c r="F243" s="771">
        <v>2007</v>
      </c>
      <c r="G243" s="924">
        <v>2010</v>
      </c>
      <c r="H243" s="923">
        <v>2015</v>
      </c>
      <c r="I243" s="923">
        <v>2020</v>
      </c>
      <c r="J243" s="923">
        <v>2025</v>
      </c>
      <c r="K243" s="923">
        <v>2030</v>
      </c>
      <c r="L243" s="923">
        <v>2035</v>
      </c>
      <c r="M243" s="923">
        <v>2040</v>
      </c>
      <c r="N243" s="923">
        <v>2045</v>
      </c>
      <c r="O243" s="923">
        <v>2050</v>
      </c>
      <c r="P243" s="1162"/>
    </row>
    <row r="244" spans="2:18" s="743" customFormat="1" ht="15.75" hidden="1" outlineLevel="1">
      <c r="B244" s="1161"/>
      <c r="C244" s="831" t="s">
        <v>1484</v>
      </c>
      <c r="D244" s="832" t="s">
        <v>32</v>
      </c>
      <c r="E244" s="919">
        <f t="shared" ref="E244:E253" si="9">INDEX($G62:$J62, MATCH($E$8, $G$61:$J$61, 0))</f>
        <v>8.8859995024890281E-3</v>
      </c>
      <c r="F244" s="913">
        <f t="array" ref="F244:F253">F138:F147</f>
        <v>9.6999999999999993</v>
      </c>
      <c r="G244" s="914">
        <f>$F244*(1+$E244)^(G$243-$F$243)</f>
        <v>9.960887156227475</v>
      </c>
      <c r="H244" s="1716">
        <f t="shared" ref="H244:O253" si="10">$F244*(1+$E244)^(H$243-$F$243)</f>
        <v>10.411384763998159</v>
      </c>
      <c r="I244" s="1716">
        <f t="shared" si="10"/>
        <v>10.882256871692801</v>
      </c>
      <c r="J244" s="1716">
        <f t="shared" si="10"/>
        <v>11.374424949792024</v>
      </c>
      <c r="K244" s="1716">
        <f t="shared" si="10"/>
        <v>11.888852143804048</v>
      </c>
      <c r="L244" s="1716">
        <f t="shared" si="10"/>
        <v>12.426545159086793</v>
      </c>
      <c r="M244" s="1716">
        <f t="shared" si="10"/>
        <v>12.988556230914172</v>
      </c>
      <c r="N244" s="1716">
        <f t="shared" si="10"/>
        <v>13.575985183641908</v>
      </c>
      <c r="O244" s="1716">
        <f t="shared" si="10"/>
        <v>14.189981583002512</v>
      </c>
      <c r="P244" s="1162"/>
      <c r="R244"/>
    </row>
    <row r="245" spans="2:18" s="743" customFormat="1" ht="15.75" hidden="1" outlineLevel="1">
      <c r="B245" s="1161"/>
      <c r="C245" s="831" t="s">
        <v>1484</v>
      </c>
      <c r="D245" s="832" t="s">
        <v>2098</v>
      </c>
      <c r="E245" s="919">
        <f t="shared" si="9"/>
        <v>8.8859995024890281E-3</v>
      </c>
      <c r="F245" s="913">
        <v>3</v>
      </c>
      <c r="G245" s="1717">
        <f>$F245*(1+$E245)^(G$243-$F$243)</f>
        <v>3.0806867493487036</v>
      </c>
      <c r="H245" s="913">
        <f t="shared" si="10"/>
        <v>3.2200159063911835</v>
      </c>
      <c r="I245" s="913">
        <f t="shared" si="10"/>
        <v>3.3656464551627225</v>
      </c>
      <c r="J245" s="913">
        <f t="shared" si="10"/>
        <v>3.517863386533616</v>
      </c>
      <c r="K245" s="913">
        <f t="shared" si="10"/>
        <v>3.6769645805579536</v>
      </c>
      <c r="L245" s="913">
        <f t="shared" si="10"/>
        <v>3.8432613894082865</v>
      </c>
      <c r="M245" s="913">
        <f t="shared" si="10"/>
        <v>4.017079246674486</v>
      </c>
      <c r="N245" s="913">
        <f t="shared" si="10"/>
        <v>4.1987583042191474</v>
      </c>
      <c r="O245" s="913">
        <f t="shared" si="10"/>
        <v>4.388654097835829</v>
      </c>
      <c r="P245" s="1162"/>
      <c r="R245"/>
    </row>
    <row r="246" spans="2:18" s="743" customFormat="1" ht="15.75" hidden="1" outlineLevel="1">
      <c r="B246" s="1161"/>
      <c r="C246" s="831" t="s">
        <v>1484</v>
      </c>
      <c r="D246" s="832" t="s">
        <v>2115</v>
      </c>
      <c r="E246" s="919">
        <f t="shared" si="9"/>
        <v>0.01</v>
      </c>
      <c r="F246" s="911">
        <v>10</v>
      </c>
      <c r="G246" s="895">
        <f t="shared" ref="G246:G253" si="11">$F246*(1+$E246)^(G$243-$F$243)</f>
        <v>10.303009999999999</v>
      </c>
      <c r="H246" s="911">
        <f t="shared" si="10"/>
        <v>10.828567056280802</v>
      </c>
      <c r="I246" s="911">
        <f t="shared" si="10"/>
        <v>11.380932804332895</v>
      </c>
      <c r="J246" s="911">
        <f t="shared" si="10"/>
        <v>11.961474756866652</v>
      </c>
      <c r="K246" s="911">
        <f t="shared" si="10"/>
        <v>12.571630183484304</v>
      </c>
      <c r="L246" s="911">
        <f t="shared" si="10"/>
        <v>13.212909668982512</v>
      </c>
      <c r="M246" s="911">
        <f t="shared" si="10"/>
        <v>13.886900853164086</v>
      </c>
      <c r="N246" s="911">
        <f t="shared" si="10"/>
        <v>14.59527236141772</v>
      </c>
      <c r="O246" s="911">
        <f t="shared" si="10"/>
        <v>15.339777935796782</v>
      </c>
      <c r="P246" s="1162"/>
    </row>
    <row r="247" spans="2:18" s="743" customFormat="1" ht="15.75" hidden="1" outlineLevel="1">
      <c r="B247" s="1161"/>
      <c r="C247" s="832" t="s">
        <v>53</v>
      </c>
      <c r="D247" s="832" t="s">
        <v>1494</v>
      </c>
      <c r="E247" s="919">
        <f t="shared" si="9"/>
        <v>0</v>
      </c>
      <c r="F247" s="913">
        <v>3.28</v>
      </c>
      <c r="G247" s="1717">
        <f t="shared" si="11"/>
        <v>3.28</v>
      </c>
      <c r="H247" s="913">
        <f t="shared" si="10"/>
        <v>3.28</v>
      </c>
      <c r="I247" s="913">
        <f t="shared" si="10"/>
        <v>3.28</v>
      </c>
      <c r="J247" s="913">
        <f t="shared" si="10"/>
        <v>3.28</v>
      </c>
      <c r="K247" s="913">
        <f t="shared" si="10"/>
        <v>3.28</v>
      </c>
      <c r="L247" s="913">
        <f t="shared" si="10"/>
        <v>3.28</v>
      </c>
      <c r="M247" s="913">
        <f t="shared" si="10"/>
        <v>3.28</v>
      </c>
      <c r="N247" s="913">
        <f t="shared" si="10"/>
        <v>3.28</v>
      </c>
      <c r="O247" s="913">
        <f t="shared" si="10"/>
        <v>3.28</v>
      </c>
      <c r="P247" s="1162"/>
    </row>
    <row r="248" spans="2:18" s="743" customFormat="1" ht="15.75" hidden="1" outlineLevel="1">
      <c r="B248" s="1161"/>
      <c r="C248" s="832" t="s">
        <v>53</v>
      </c>
      <c r="D248" s="832" t="s">
        <v>1495</v>
      </c>
      <c r="E248" s="919">
        <f t="shared" si="9"/>
        <v>0</v>
      </c>
      <c r="F248" s="913">
        <v>1.72</v>
      </c>
      <c r="G248" s="1717">
        <f t="shared" si="11"/>
        <v>1.72</v>
      </c>
      <c r="H248" s="913">
        <f t="shared" si="10"/>
        <v>1.72</v>
      </c>
      <c r="I248" s="913">
        <f t="shared" si="10"/>
        <v>1.72</v>
      </c>
      <c r="J248" s="913">
        <f t="shared" si="10"/>
        <v>1.72</v>
      </c>
      <c r="K248" s="913">
        <f t="shared" si="10"/>
        <v>1.72</v>
      </c>
      <c r="L248" s="913">
        <f t="shared" si="10"/>
        <v>1.72</v>
      </c>
      <c r="M248" s="913">
        <f t="shared" si="10"/>
        <v>1.72</v>
      </c>
      <c r="N248" s="913">
        <f t="shared" si="10"/>
        <v>1.72</v>
      </c>
      <c r="O248" s="913">
        <f t="shared" si="10"/>
        <v>1.72</v>
      </c>
      <c r="P248" s="1162"/>
    </row>
    <row r="249" spans="2:18" s="743" customFormat="1" ht="15.75" hidden="1" outlineLevel="1">
      <c r="B249" s="1161"/>
      <c r="C249" s="832" t="s">
        <v>53</v>
      </c>
      <c r="D249" s="832" t="s">
        <v>2099</v>
      </c>
      <c r="E249" s="919">
        <f t="shared" si="9"/>
        <v>2E-3</v>
      </c>
      <c r="F249" s="913">
        <v>0.36499999999999999</v>
      </c>
      <c r="G249" s="1717">
        <f t="shared" si="11"/>
        <v>0.36719438291999995</v>
      </c>
      <c r="H249" s="913">
        <f t="shared" si="10"/>
        <v>0.3708810439294547</v>
      </c>
      <c r="I249" s="913">
        <f t="shared" si="10"/>
        <v>0.3746047193106723</v>
      </c>
      <c r="J249" s="913">
        <f t="shared" si="10"/>
        <v>0.3783657806909092</v>
      </c>
      <c r="K249" s="913">
        <f t="shared" si="10"/>
        <v>0.38216460342858971</v>
      </c>
      <c r="L249" s="913">
        <f t="shared" si="10"/>
        <v>0.3860015666507664</v>
      </c>
      <c r="M249" s="913">
        <f t="shared" si="10"/>
        <v>0.38987705329095784</v>
      </c>
      <c r="N249" s="913">
        <f t="shared" si="10"/>
        <v>0.39379145012736588</v>
      </c>
      <c r="O249" s="913">
        <f t="shared" si="10"/>
        <v>0.39774514782147657</v>
      </c>
      <c r="P249" s="1162"/>
    </row>
    <row r="250" spans="2:18" s="743" customFormat="1" ht="15.75" hidden="1" outlineLevel="1">
      <c r="B250" s="1161"/>
      <c r="C250" s="832" t="s">
        <v>1498</v>
      </c>
      <c r="D250" s="832" t="s">
        <v>1499</v>
      </c>
      <c r="E250" s="919">
        <f t="shared" si="9"/>
        <v>2E-3</v>
      </c>
      <c r="F250" s="911">
        <v>70</v>
      </c>
      <c r="G250" s="895">
        <f t="shared" si="11"/>
        <v>70.420840559999988</v>
      </c>
      <c r="H250" s="911">
        <f t="shared" si="10"/>
        <v>71.12787143852556</v>
      </c>
      <c r="I250" s="911">
        <f t="shared" si="10"/>
        <v>71.84200096369058</v>
      </c>
      <c r="J250" s="911">
        <f t="shared" si="10"/>
        <v>72.563300406475747</v>
      </c>
      <c r="K250" s="911">
        <f t="shared" si="10"/>
        <v>73.291841753428173</v>
      </c>
      <c r="L250" s="911">
        <f t="shared" si="10"/>
        <v>74.027697713845612</v>
      </c>
      <c r="M250" s="911">
        <f t="shared" si="10"/>
        <v>74.770941727033019</v>
      </c>
      <c r="N250" s="911">
        <f t="shared" si="10"/>
        <v>75.521647969631815</v>
      </c>
      <c r="O250" s="911">
        <f t="shared" si="10"/>
        <v>76.279891363022912</v>
      </c>
      <c r="P250" s="1162"/>
    </row>
    <row r="251" spans="2:18" s="743" customFormat="1" ht="15.75" hidden="1" outlineLevel="1">
      <c r="B251" s="1161"/>
      <c r="C251" s="832" t="s">
        <v>1498</v>
      </c>
      <c r="D251" s="832" t="s">
        <v>1501</v>
      </c>
      <c r="E251" s="919">
        <f t="shared" si="9"/>
        <v>1E-3</v>
      </c>
      <c r="F251" s="913">
        <v>1.7</v>
      </c>
      <c r="G251" s="1717">
        <f t="shared" si="11"/>
        <v>1.7051051016999992</v>
      </c>
      <c r="H251" s="913">
        <f t="shared" si="10"/>
        <v>1.7136476953190933</v>
      </c>
      <c r="I251" s="913">
        <f t="shared" si="10"/>
        <v>1.7222330874176879</v>
      </c>
      <c r="J251" s="913">
        <f t="shared" si="10"/>
        <v>1.730861492416593</v>
      </c>
      <c r="K251" s="913">
        <f t="shared" si="10"/>
        <v>1.7395331258108695</v>
      </c>
      <c r="L251" s="913">
        <f t="shared" si="10"/>
        <v>1.7482482041752119</v>
      </c>
      <c r="M251" s="913">
        <f t="shared" si="10"/>
        <v>1.7570069451693535</v>
      </c>
      <c r="N251" s="913">
        <f t="shared" si="10"/>
        <v>1.7658095675435068</v>
      </c>
      <c r="O251" s="913">
        <f t="shared" si="10"/>
        <v>1.7746562911438251</v>
      </c>
      <c r="P251" s="1162"/>
    </row>
    <row r="252" spans="2:18" s="743" customFormat="1" ht="15.75" hidden="1" outlineLevel="1">
      <c r="B252" s="1161"/>
      <c r="C252" s="832" t="s">
        <v>1498</v>
      </c>
      <c r="D252" s="832" t="s">
        <v>1503</v>
      </c>
      <c r="E252" s="919">
        <f t="shared" si="9"/>
        <v>2E-3</v>
      </c>
      <c r="F252" s="911">
        <v>6913</v>
      </c>
      <c r="G252" s="895">
        <f t="shared" si="11"/>
        <v>6954.5610113039993</v>
      </c>
      <c r="H252" s="911">
        <f t="shared" si="10"/>
        <v>7024.3853607789597</v>
      </c>
      <c r="I252" s="911">
        <f t="shared" si="10"/>
        <v>7094.9107523141847</v>
      </c>
      <c r="J252" s="911">
        <f t="shared" si="10"/>
        <v>7166.144224428097</v>
      </c>
      <c r="K252" s="911">
        <f t="shared" si="10"/>
        <v>7238.0928863064137</v>
      </c>
      <c r="L252" s="911">
        <f t="shared" si="10"/>
        <v>7310.7639185116395</v>
      </c>
      <c r="M252" s="911">
        <f t="shared" si="10"/>
        <v>7384.1645736997034</v>
      </c>
      <c r="N252" s="911">
        <f t="shared" si="10"/>
        <v>7458.3021773437813</v>
      </c>
      <c r="O252" s="911">
        <f t="shared" si="10"/>
        <v>7533.184128465391</v>
      </c>
      <c r="P252" s="1162"/>
    </row>
    <row r="253" spans="2:18" s="743" customFormat="1" ht="15.75" hidden="1" outlineLevel="1">
      <c r="B253" s="1161"/>
      <c r="C253" s="900" t="s">
        <v>1498</v>
      </c>
      <c r="D253" s="900" t="s">
        <v>1505</v>
      </c>
      <c r="E253" s="920">
        <f t="shared" si="9"/>
        <v>0</v>
      </c>
      <c r="F253" s="1730">
        <v>298</v>
      </c>
      <c r="G253" s="1733">
        <f t="shared" si="11"/>
        <v>298</v>
      </c>
      <c r="H253" s="1730">
        <f t="shared" si="10"/>
        <v>298</v>
      </c>
      <c r="I253" s="1730">
        <f t="shared" si="10"/>
        <v>298</v>
      </c>
      <c r="J253" s="1730">
        <f t="shared" si="10"/>
        <v>298</v>
      </c>
      <c r="K253" s="1730">
        <f t="shared" si="10"/>
        <v>298</v>
      </c>
      <c r="L253" s="1730">
        <f t="shared" si="10"/>
        <v>298</v>
      </c>
      <c r="M253" s="1730">
        <f t="shared" si="10"/>
        <v>298</v>
      </c>
      <c r="N253" s="1730">
        <f t="shared" si="10"/>
        <v>298</v>
      </c>
      <c r="O253" s="1730">
        <f t="shared" si="10"/>
        <v>298</v>
      </c>
      <c r="P253" s="1162"/>
    </row>
    <row r="254" spans="2:18" hidden="1" outlineLevel="1">
      <c r="B254" s="1157"/>
      <c r="C254" s="864"/>
      <c r="D254" s="864"/>
      <c r="E254" s="864"/>
      <c r="F254" s="864"/>
      <c r="G254" s="864"/>
      <c r="H254" s="864"/>
      <c r="I254" s="864"/>
      <c r="J254" s="864"/>
      <c r="K254" s="864"/>
      <c r="L254" s="864"/>
      <c r="M254" s="864"/>
      <c r="N254" s="864"/>
      <c r="O254" s="864"/>
      <c r="P254" s="1158"/>
    </row>
    <row r="255" spans="2:18" hidden="1" outlineLevel="1">
      <c r="B255" s="1157"/>
      <c r="C255" s="864"/>
      <c r="D255" s="864"/>
      <c r="E255" s="864"/>
      <c r="F255" s="864"/>
      <c r="G255" s="864"/>
      <c r="H255" s="864"/>
      <c r="I255" s="864"/>
      <c r="J255" s="864"/>
      <c r="K255" s="864"/>
      <c r="L255" s="864"/>
      <c r="M255" s="864"/>
      <c r="N255" s="864"/>
      <c r="O255" s="864"/>
      <c r="P255" s="1158"/>
    </row>
    <row r="256" spans="2:18" hidden="1" outlineLevel="1">
      <c r="B256" s="1157"/>
      <c r="C256" s="864" t="s">
        <v>1175</v>
      </c>
      <c r="D256" s="864"/>
      <c r="E256" s="864"/>
      <c r="F256" s="864"/>
      <c r="G256" s="864"/>
      <c r="H256" s="864"/>
      <c r="I256" s="864"/>
      <c r="J256" s="864"/>
      <c r="K256" s="864"/>
      <c r="L256" s="864"/>
      <c r="M256" s="864"/>
      <c r="N256" s="864"/>
      <c r="O256" s="864"/>
      <c r="P256" s="1158"/>
    </row>
    <row r="257" spans="2:16" hidden="1" outlineLevel="1">
      <c r="B257" s="1157"/>
      <c r="C257" s="864"/>
      <c r="D257" s="864"/>
      <c r="E257" s="864"/>
      <c r="F257" s="864"/>
      <c r="G257" s="864"/>
      <c r="H257" s="864"/>
      <c r="I257" s="864"/>
      <c r="J257" s="864"/>
      <c r="K257" s="864"/>
      <c r="L257" s="864"/>
      <c r="M257" s="864"/>
      <c r="N257" s="864"/>
      <c r="O257" s="864"/>
      <c r="P257" s="1158"/>
    </row>
    <row r="258" spans="2:16" ht="14.25" hidden="1" outlineLevel="1">
      <c r="B258" s="1157"/>
      <c r="C258" s="866" t="s">
        <v>2119</v>
      </c>
      <c r="D258" s="864"/>
      <c r="E258" s="864"/>
      <c r="F258" s="864"/>
      <c r="G258" s="864"/>
      <c r="H258" s="864"/>
      <c r="I258" s="864"/>
      <c r="J258" s="864"/>
      <c r="K258" s="864"/>
      <c r="L258" s="864"/>
      <c r="M258" s="864"/>
      <c r="N258" s="864"/>
      <c r="O258" s="867" t="s">
        <v>2118</v>
      </c>
      <c r="P258" s="1158"/>
    </row>
    <row r="259" spans="2:16" ht="5.25" hidden="1" customHeight="1" outlineLevel="1">
      <c r="B259" s="1157"/>
      <c r="C259" s="864"/>
      <c r="D259" s="864"/>
      <c r="E259" s="864"/>
      <c r="F259" s="864"/>
      <c r="G259" s="864"/>
      <c r="H259" s="864"/>
      <c r="I259" s="864"/>
      <c r="J259" s="864"/>
      <c r="K259" s="864"/>
      <c r="L259" s="864"/>
      <c r="M259" s="864"/>
      <c r="N259" s="864"/>
      <c r="O259" s="864"/>
      <c r="P259" s="1158"/>
    </row>
    <row r="260" spans="2:16" ht="15.75" hidden="1" outlineLevel="1">
      <c r="B260" s="1159"/>
      <c r="C260" s="766" t="s">
        <v>1442</v>
      </c>
      <c r="D260" s="766" t="s">
        <v>79</v>
      </c>
      <c r="E260" s="766"/>
      <c r="F260" s="1541">
        <v>2007</v>
      </c>
      <c r="G260" s="924">
        <v>2010</v>
      </c>
      <c r="H260" s="1545">
        <v>2015</v>
      </c>
      <c r="I260" s="923">
        <v>2020</v>
      </c>
      <c r="J260" s="923">
        <v>2025</v>
      </c>
      <c r="K260" s="923">
        <v>2030</v>
      </c>
      <c r="L260" s="923">
        <v>2035</v>
      </c>
      <c r="M260" s="923">
        <v>2040</v>
      </c>
      <c r="N260" s="923">
        <v>2045</v>
      </c>
      <c r="O260" s="923">
        <v>2050</v>
      </c>
      <c r="P260" s="1158"/>
    </row>
    <row r="261" spans="2:16" ht="15.75" hidden="1" outlineLevel="1">
      <c r="B261" s="1159"/>
      <c r="C261" s="831" t="s">
        <v>1056</v>
      </c>
      <c r="D261" s="832" t="s">
        <v>1509</v>
      </c>
      <c r="E261" s="919"/>
      <c r="F261" s="2345">
        <f t="shared" ref="F261:H262" si="12">INDEX($G76:$J76, MATCH($E$8, $G$75:$J$75, 0))</f>
        <v>-2.2276583124057892E-3</v>
      </c>
      <c r="G261" s="2346">
        <f t="shared" si="12"/>
        <v>-2.2276583124057892E-3</v>
      </c>
      <c r="H261" s="2347">
        <f t="shared" si="12"/>
        <v>-2.2276583124057892E-3</v>
      </c>
      <c r="I261" s="2135">
        <f t="shared" ref="I261:N262" si="13">INDEX($K76:$N76, MATCH($E$8, $K$75:$N$75, 0))</f>
        <v>-7.4310483882145117E-4</v>
      </c>
      <c r="J261" s="2135">
        <f t="shared" si="13"/>
        <v>-7.4310483882145117E-4</v>
      </c>
      <c r="K261" s="2135">
        <f t="shared" si="13"/>
        <v>-7.4310483882145117E-4</v>
      </c>
      <c r="L261" s="2135">
        <f t="shared" si="13"/>
        <v>-7.4310483882145117E-4</v>
      </c>
      <c r="M261" s="2135">
        <f t="shared" si="13"/>
        <v>-7.4310483882145117E-4</v>
      </c>
      <c r="N261" s="2135">
        <f t="shared" si="13"/>
        <v>-7.4310483882145117E-4</v>
      </c>
      <c r="O261" s="2135"/>
      <c r="P261" s="1158"/>
    </row>
    <row r="262" spans="2:16" ht="15.75" hidden="1" outlineLevel="1">
      <c r="B262" s="1159"/>
      <c r="C262" s="899" t="s">
        <v>1056</v>
      </c>
      <c r="D262" s="900" t="s">
        <v>1510</v>
      </c>
      <c r="E262" s="920"/>
      <c r="F262" s="2348">
        <f t="shared" si="12"/>
        <v>-2.4472451512579374E-3</v>
      </c>
      <c r="G262" s="2349">
        <f t="shared" si="12"/>
        <v>-2.4472451512579374E-3</v>
      </c>
      <c r="H262" s="2350">
        <f t="shared" si="12"/>
        <v>-2.4472451512579374E-3</v>
      </c>
      <c r="I262" s="2351">
        <f t="shared" si="13"/>
        <v>-2.4472451512579374E-3</v>
      </c>
      <c r="J262" s="2351">
        <f t="shared" si="13"/>
        <v>-2.4472451512579374E-3</v>
      </c>
      <c r="K262" s="2351">
        <f t="shared" si="13"/>
        <v>-2.4472451512579374E-3</v>
      </c>
      <c r="L262" s="2351">
        <f t="shared" si="13"/>
        <v>-2.4472451512579374E-3</v>
      </c>
      <c r="M262" s="2351">
        <f t="shared" si="13"/>
        <v>-2.4472451512579374E-3</v>
      </c>
      <c r="N262" s="2351">
        <f t="shared" si="13"/>
        <v>-2.4472451512579374E-3</v>
      </c>
      <c r="O262" s="2351"/>
      <c r="P262" s="1158"/>
    </row>
    <row r="263" spans="2:16" hidden="1" outlineLevel="1">
      <c r="B263" s="1157"/>
      <c r="C263" s="864"/>
      <c r="D263" s="864"/>
      <c r="E263" s="864"/>
      <c r="F263" s="864"/>
      <c r="G263" s="864"/>
      <c r="H263" s="864"/>
      <c r="I263" s="864"/>
      <c r="J263" s="864"/>
      <c r="K263" s="864"/>
      <c r="L263" s="864"/>
      <c r="M263" s="864"/>
      <c r="N263" s="864"/>
      <c r="O263" s="864"/>
      <c r="P263" s="1158"/>
    </row>
    <row r="264" spans="2:16" ht="14.25" hidden="1" outlineLevel="1">
      <c r="B264" s="1157"/>
      <c r="C264" s="866" t="s">
        <v>2117</v>
      </c>
      <c r="D264" s="864"/>
      <c r="E264" s="864"/>
      <c r="F264" s="864"/>
      <c r="G264" s="864"/>
      <c r="H264" s="864"/>
      <c r="I264" s="864"/>
      <c r="J264" s="864"/>
      <c r="K264" s="864"/>
      <c r="L264" s="864"/>
      <c r="M264" s="864"/>
      <c r="N264" s="864"/>
      <c r="O264" s="867" t="s">
        <v>2118</v>
      </c>
      <c r="P264" s="1158"/>
    </row>
    <row r="265" spans="2:16" ht="5.25" hidden="1" customHeight="1" outlineLevel="1">
      <c r="B265" s="1157"/>
      <c r="C265" s="864"/>
      <c r="D265" s="864"/>
      <c r="E265" s="864"/>
      <c r="F265" s="864"/>
      <c r="G265" s="864"/>
      <c r="H265" s="864"/>
      <c r="I265" s="864"/>
      <c r="J265" s="864"/>
      <c r="K265" s="864"/>
      <c r="L265" s="864"/>
      <c r="M265" s="864"/>
      <c r="N265" s="864"/>
      <c r="O265" s="864"/>
      <c r="P265" s="1158"/>
    </row>
    <row r="266" spans="2:16" ht="15.75" hidden="1" outlineLevel="1">
      <c r="B266" s="1159"/>
      <c r="C266" s="766" t="s">
        <v>1442</v>
      </c>
      <c r="D266" s="766" t="s">
        <v>79</v>
      </c>
      <c r="E266" s="766"/>
      <c r="F266" s="1541">
        <v>2007</v>
      </c>
      <c r="G266" s="924">
        <v>2010</v>
      </c>
      <c r="H266" s="923">
        <v>2015</v>
      </c>
      <c r="I266" s="923">
        <v>2020</v>
      </c>
      <c r="J266" s="923">
        <v>2025</v>
      </c>
      <c r="K266" s="923">
        <v>2030</v>
      </c>
      <c r="L266" s="923">
        <v>2035</v>
      </c>
      <c r="M266" s="923">
        <v>2040</v>
      </c>
      <c r="N266" s="923">
        <v>2045</v>
      </c>
      <c r="O266" s="923">
        <v>2050</v>
      </c>
      <c r="P266" s="1158"/>
    </row>
    <row r="267" spans="2:16" ht="15.75" hidden="1" outlineLevel="1">
      <c r="B267" s="1159"/>
      <c r="C267" s="831" t="s">
        <v>1056</v>
      </c>
      <c r="D267" s="832" t="s">
        <v>1509</v>
      </c>
      <c r="E267" s="919"/>
      <c r="F267" s="1729">
        <f t="array" ref="F267:F268">F152:F153</f>
        <v>301.87398153177617</v>
      </c>
      <c r="G267" s="1731">
        <f t="shared" ref="G267:O267" si="14">F267*(1+F261)^(G$266-F$266)</f>
        <v>299.86105605596947</v>
      </c>
      <c r="H267" s="1732">
        <f t="shared" si="14"/>
        <v>296.53596356340989</v>
      </c>
      <c r="I267" s="1732">
        <f t="shared" si="14"/>
        <v>293.24774228123522</v>
      </c>
      <c r="J267" s="1732">
        <f t="shared" si="14"/>
        <v>292.1597913251515</v>
      </c>
      <c r="K267" s="1732">
        <f t="shared" si="14"/>
        <v>291.07587667391243</v>
      </c>
      <c r="L267" s="1732">
        <f t="shared" si="14"/>
        <v>289.99598335280177</v>
      </c>
      <c r="M267" s="1732">
        <f t="shared" si="14"/>
        <v>288.92009644265966</v>
      </c>
      <c r="N267" s="1732">
        <f t="shared" si="14"/>
        <v>287.8482010796763</v>
      </c>
      <c r="O267" s="1732">
        <f t="shared" si="14"/>
        <v>286.78028245518686</v>
      </c>
      <c r="P267" s="1158"/>
    </row>
    <row r="268" spans="2:16" ht="15.75" hidden="1" outlineLevel="1">
      <c r="B268" s="1159"/>
      <c r="C268" s="899" t="s">
        <v>1056</v>
      </c>
      <c r="D268" s="900" t="s">
        <v>1510</v>
      </c>
      <c r="E268" s="920"/>
      <c r="F268" s="1730">
        <v>484.38641043166575</v>
      </c>
      <c r="G268" s="1733">
        <f t="shared" ref="G268:O268" si="15">F268*(1+F262)^(G$266-F$266)</f>
        <v>480.83886943289679</v>
      </c>
      <c r="H268" s="1734">
        <f t="shared" si="15"/>
        <v>474.98394356815976</v>
      </c>
      <c r="I268" s="1734">
        <f t="shared" si="15"/>
        <v>469.20031010314489</v>
      </c>
      <c r="J268" s="1734">
        <f t="shared" si="15"/>
        <v>463.48710094722634</v>
      </c>
      <c r="K268" s="1734">
        <f t="shared" si="15"/>
        <v>457.84345858006822</v>
      </c>
      <c r="L268" s="1734">
        <f t="shared" si="15"/>
        <v>452.26853592291559</v>
      </c>
      <c r="M268" s="1734">
        <f t="shared" si="15"/>
        <v>446.76149621145282</v>
      </c>
      <c r="N268" s="1734">
        <f t="shared" si="15"/>
        <v>441.32151287020986</v>
      </c>
      <c r="O268" s="1734">
        <f t="shared" si="15"/>
        <v>435.9477693884981</v>
      </c>
      <c r="P268" s="1158"/>
    </row>
    <row r="269" spans="2:16" hidden="1" outlineLevel="1">
      <c r="B269" s="1157"/>
      <c r="C269" s="864"/>
      <c r="D269" s="864"/>
      <c r="E269" s="864"/>
      <c r="F269" s="864"/>
      <c r="G269" s="864"/>
      <c r="H269" s="864"/>
      <c r="I269" s="864"/>
      <c r="J269" s="864"/>
      <c r="K269" s="864"/>
      <c r="L269" s="864"/>
      <c r="M269" s="864"/>
      <c r="N269" s="864"/>
      <c r="O269" s="864"/>
      <c r="P269" s="1158"/>
    </row>
    <row r="270" spans="2:16" ht="14.25" hidden="1" outlineLevel="1">
      <c r="B270" s="1157"/>
      <c r="C270" s="866" t="s">
        <v>2108</v>
      </c>
      <c r="D270" s="864"/>
      <c r="E270" s="864"/>
      <c r="F270" s="864"/>
      <c r="G270" s="864"/>
      <c r="H270" s="864"/>
      <c r="I270" s="864"/>
      <c r="J270" s="864"/>
      <c r="K270" s="864"/>
      <c r="L270" s="864"/>
      <c r="M270" s="864"/>
      <c r="N270" s="864"/>
      <c r="O270" s="867" t="s">
        <v>1076</v>
      </c>
      <c r="P270" s="1158"/>
    </row>
    <row r="271" spans="2:16" ht="5.25" hidden="1" customHeight="1" outlineLevel="1">
      <c r="B271" s="1157"/>
      <c r="C271" s="864"/>
      <c r="D271" s="864"/>
      <c r="E271" s="864"/>
      <c r="F271" s="864"/>
      <c r="G271" s="864"/>
      <c r="H271" s="864"/>
      <c r="I271" s="864"/>
      <c r="J271" s="864"/>
      <c r="K271" s="864"/>
      <c r="L271" s="864"/>
      <c r="M271" s="864"/>
      <c r="N271" s="864"/>
      <c r="O271" s="864"/>
      <c r="P271" s="1158"/>
    </row>
    <row r="272" spans="2:16" ht="15.75" hidden="1" outlineLevel="1">
      <c r="B272" s="1159"/>
      <c r="C272" s="766" t="s">
        <v>1442</v>
      </c>
      <c r="D272" s="766" t="s">
        <v>79</v>
      </c>
      <c r="E272" s="766"/>
      <c r="F272" s="1541">
        <v>2007</v>
      </c>
      <c r="G272" s="924">
        <v>2010</v>
      </c>
      <c r="H272" s="1545">
        <v>2015</v>
      </c>
      <c r="I272" s="923">
        <v>2020</v>
      </c>
      <c r="J272" s="923">
        <v>2025</v>
      </c>
      <c r="K272" s="923">
        <v>2030</v>
      </c>
      <c r="L272" s="923">
        <v>2035</v>
      </c>
      <c r="M272" s="923">
        <v>2040</v>
      </c>
      <c r="N272" s="923">
        <v>2045</v>
      </c>
      <c r="O272" s="923">
        <v>2050</v>
      </c>
      <c r="P272" s="1158"/>
    </row>
    <row r="273" spans="2:16" ht="15.75" hidden="1" outlineLevel="1">
      <c r="B273" s="1159"/>
      <c r="C273" s="791" t="s">
        <v>1057</v>
      </c>
      <c r="D273" s="792" t="s">
        <v>1511</v>
      </c>
      <c r="E273" s="824"/>
      <c r="F273" s="2352">
        <f>INDEX($G82:$J82, MATCH($E$8, $G$81:$J$81, 0))</f>
        <v>-6.3934443203000901E-3</v>
      </c>
      <c r="G273" s="2353">
        <f>INDEX($G82:$J82, MATCH($E$8, $G$81:$J$81, 0))</f>
        <v>-6.3934443203000901E-3</v>
      </c>
      <c r="H273" s="2354">
        <f>INDEX($G82:$J82, MATCH($E$8, $G$81:$J$81, 0))</f>
        <v>-6.3934443203000901E-3</v>
      </c>
      <c r="I273" s="2352">
        <f t="shared" ref="I273:N273" si="16">INDEX($K82:$N82, MATCH($E$8, $K$81:$N$81, 0))</f>
        <v>-6.7319687848443888E-4</v>
      </c>
      <c r="J273" s="2352">
        <f t="shared" si="16"/>
        <v>-6.7319687848443888E-4</v>
      </c>
      <c r="K273" s="2352">
        <f t="shared" si="16"/>
        <v>-6.7319687848443888E-4</v>
      </c>
      <c r="L273" s="2352">
        <f t="shared" si="16"/>
        <v>-6.7319687848443888E-4</v>
      </c>
      <c r="M273" s="2352">
        <f t="shared" si="16"/>
        <v>-6.7319687848443888E-4</v>
      </c>
      <c r="N273" s="2352">
        <f t="shared" si="16"/>
        <v>-6.7319687848443888E-4</v>
      </c>
      <c r="O273" s="2352"/>
      <c r="P273" s="1158"/>
    </row>
    <row r="274" spans="2:16" hidden="1" outlineLevel="1">
      <c r="B274" s="1157"/>
      <c r="C274" s="864"/>
      <c r="D274" s="864"/>
      <c r="E274" s="864"/>
      <c r="F274" s="864"/>
      <c r="G274" s="864"/>
      <c r="H274" s="864"/>
      <c r="I274" s="864"/>
      <c r="J274" s="864"/>
      <c r="K274" s="864"/>
      <c r="L274" s="864"/>
      <c r="M274" s="864"/>
      <c r="N274" s="864"/>
      <c r="O274" s="864"/>
      <c r="P274" s="1158"/>
    </row>
    <row r="275" spans="2:16" ht="14.25" hidden="1" outlineLevel="1">
      <c r="B275" s="1157"/>
      <c r="C275" s="866" t="s">
        <v>2116</v>
      </c>
      <c r="D275" s="864"/>
      <c r="E275" s="864"/>
      <c r="F275" s="864"/>
      <c r="G275" s="864"/>
      <c r="H275" s="864"/>
      <c r="I275" s="864"/>
      <c r="J275" s="864"/>
      <c r="K275" s="864"/>
      <c r="L275" s="864"/>
      <c r="M275" s="864"/>
      <c r="N275" s="864"/>
      <c r="O275" s="867" t="s">
        <v>1076</v>
      </c>
      <c r="P275" s="1158"/>
    </row>
    <row r="276" spans="2:16" ht="4.5" hidden="1" customHeight="1" outlineLevel="1">
      <c r="B276" s="1157"/>
      <c r="C276" s="864"/>
      <c r="D276" s="864"/>
      <c r="E276" s="864"/>
      <c r="F276" s="864"/>
      <c r="G276" s="864"/>
      <c r="H276" s="864"/>
      <c r="I276" s="864"/>
      <c r="J276" s="864"/>
      <c r="K276" s="864"/>
      <c r="L276" s="864"/>
      <c r="M276" s="864"/>
      <c r="N276" s="864"/>
      <c r="O276" s="864"/>
      <c r="P276" s="1158"/>
    </row>
    <row r="277" spans="2:16" ht="15.75" hidden="1" outlineLevel="1">
      <c r="B277" s="1159"/>
      <c r="C277" s="766" t="s">
        <v>1442</v>
      </c>
      <c r="D277" s="766" t="s">
        <v>79</v>
      </c>
      <c r="E277" s="766"/>
      <c r="F277" s="1541">
        <v>2007</v>
      </c>
      <c r="G277" s="924">
        <v>2010</v>
      </c>
      <c r="H277" s="923">
        <v>2015</v>
      </c>
      <c r="I277" s="923">
        <v>2020</v>
      </c>
      <c r="J277" s="923">
        <v>2025</v>
      </c>
      <c r="K277" s="923">
        <v>2030</v>
      </c>
      <c r="L277" s="923">
        <v>2035</v>
      </c>
      <c r="M277" s="923">
        <v>2040</v>
      </c>
      <c r="N277" s="923">
        <v>2045</v>
      </c>
      <c r="O277" s="923">
        <v>2050</v>
      </c>
      <c r="P277" s="1158"/>
    </row>
    <row r="278" spans="2:16" ht="15.75" hidden="1" outlineLevel="1">
      <c r="B278" s="1159"/>
      <c r="C278" s="791" t="s">
        <v>1057</v>
      </c>
      <c r="D278" s="792" t="s">
        <v>1511</v>
      </c>
      <c r="E278" s="824"/>
      <c r="F278" s="2331">
        <f>F$158</f>
        <v>23.28</v>
      </c>
      <c r="G278" s="1964">
        <f t="shared" ref="G278:O278" si="17">F278*(1+F273)^(G$277-F$277)</f>
        <v>22.836330553630731</v>
      </c>
      <c r="H278" s="2355">
        <f t="shared" si="17"/>
        <v>22.115591632724669</v>
      </c>
      <c r="I278" s="2355">
        <f t="shared" si="17"/>
        <v>21.417599999999993</v>
      </c>
      <c r="J278" s="2355">
        <f t="shared" si="17"/>
        <v>21.345605690642255</v>
      </c>
      <c r="K278" s="2355">
        <f t="shared" si="17"/>
        <v>21.273853386951814</v>
      </c>
      <c r="L278" s="2355">
        <f t="shared" si="17"/>
        <v>21.202342275437385</v>
      </c>
      <c r="M278" s="2355">
        <f t="shared" si="17"/>
        <v>21.131071545342206</v>
      </c>
      <c r="N278" s="2355">
        <f t="shared" si="17"/>
        <v>21.060040388634832</v>
      </c>
      <c r="O278" s="2355">
        <f t="shared" si="17"/>
        <v>20.989247999999979</v>
      </c>
      <c r="P278" s="1158"/>
    </row>
    <row r="279" spans="2:16" hidden="1" outlineLevel="1">
      <c r="B279" s="1157"/>
      <c r="C279" s="864"/>
      <c r="D279" s="864"/>
      <c r="E279" s="864"/>
      <c r="F279" s="864"/>
      <c r="G279" s="864"/>
      <c r="H279" s="864"/>
      <c r="I279" s="864"/>
      <c r="J279" s="864"/>
      <c r="K279" s="864"/>
      <c r="L279" s="864"/>
      <c r="M279" s="864"/>
      <c r="N279" s="864"/>
      <c r="O279" s="864"/>
      <c r="P279" s="1158"/>
    </row>
    <row r="280" spans="2:16" hidden="1" outlineLevel="1">
      <c r="B280" s="1157"/>
      <c r="C280" s="864"/>
      <c r="D280" s="864"/>
      <c r="E280" s="864"/>
      <c r="F280" s="864"/>
      <c r="G280" s="864"/>
      <c r="H280" s="864"/>
      <c r="I280" s="864"/>
      <c r="J280" s="864"/>
      <c r="K280" s="864"/>
      <c r="L280" s="864"/>
      <c r="M280" s="864"/>
      <c r="N280" s="864"/>
      <c r="O280" s="864"/>
      <c r="P280" s="1158"/>
    </row>
    <row r="281" spans="2:16" hidden="1" outlineLevel="1">
      <c r="B281" s="1157"/>
      <c r="C281" s="864" t="s">
        <v>2130</v>
      </c>
      <c r="D281" s="864"/>
      <c r="E281" s="864"/>
      <c r="F281" s="864"/>
      <c r="G281" s="864"/>
      <c r="H281" s="864"/>
      <c r="I281" s="864"/>
      <c r="J281" s="864"/>
      <c r="K281" s="864"/>
      <c r="L281" s="864"/>
      <c r="M281" s="864"/>
      <c r="N281" s="864"/>
      <c r="O281" s="864"/>
      <c r="P281" s="1158"/>
    </row>
    <row r="282" spans="2:16" hidden="1" outlineLevel="1">
      <c r="B282" s="1157"/>
      <c r="C282" s="864"/>
      <c r="D282" s="864"/>
      <c r="E282" s="864"/>
      <c r="F282" s="864"/>
      <c r="G282" s="864"/>
      <c r="H282" s="864"/>
      <c r="I282" s="864"/>
      <c r="J282" s="864"/>
      <c r="K282" s="864"/>
      <c r="L282" s="864"/>
      <c r="M282" s="864"/>
      <c r="N282" s="864"/>
      <c r="O282" s="864"/>
      <c r="P282" s="1158"/>
    </row>
    <row r="283" spans="2:16" hidden="1" outlineLevel="1">
      <c r="B283" s="1157"/>
      <c r="C283" s="866" t="s">
        <v>2131</v>
      </c>
      <c r="D283" s="864"/>
      <c r="E283" s="864"/>
      <c r="F283" s="864"/>
      <c r="G283" s="864"/>
      <c r="H283" s="864"/>
      <c r="I283" s="864"/>
      <c r="J283" s="864"/>
      <c r="K283" s="864"/>
      <c r="L283" s="864"/>
      <c r="M283" s="864"/>
      <c r="N283" s="864"/>
      <c r="O283" s="867" t="str">
        <f>Preferences.AreaUnits</f>
        <v>M ha</v>
      </c>
      <c r="P283" s="1158"/>
    </row>
    <row r="284" spans="2:16" ht="5.25" hidden="1" customHeight="1" outlineLevel="1">
      <c r="B284" s="1157"/>
      <c r="C284" s="864"/>
      <c r="D284" s="864"/>
      <c r="E284" s="864"/>
      <c r="F284" s="864"/>
      <c r="G284" s="864"/>
      <c r="H284" s="864"/>
      <c r="I284" s="864"/>
      <c r="J284" s="864"/>
      <c r="K284" s="864"/>
      <c r="L284" s="864"/>
      <c r="M284" s="864"/>
      <c r="N284" s="864"/>
      <c r="O284" s="864"/>
      <c r="P284" s="1158"/>
    </row>
    <row r="285" spans="2:16" ht="15.75" hidden="1" outlineLevel="1">
      <c r="B285" s="1159"/>
      <c r="C285" s="766" t="s">
        <v>1442</v>
      </c>
      <c r="D285" s="766" t="s">
        <v>79</v>
      </c>
      <c r="E285" s="766"/>
      <c r="F285" s="1541">
        <v>2007</v>
      </c>
      <c r="G285" s="924">
        <v>2010</v>
      </c>
      <c r="H285" s="923">
        <v>2015</v>
      </c>
      <c r="I285" s="923">
        <v>2020</v>
      </c>
      <c r="J285" s="923">
        <v>2025</v>
      </c>
      <c r="K285" s="923">
        <v>2030</v>
      </c>
      <c r="L285" s="923">
        <v>2035</v>
      </c>
      <c r="M285" s="923">
        <v>2040</v>
      </c>
      <c r="N285" s="923">
        <v>2045</v>
      </c>
      <c r="O285" s="923">
        <v>2050</v>
      </c>
      <c r="P285" s="1158"/>
    </row>
    <row r="286" spans="2:16" ht="15.75" hidden="1" outlineLevel="1">
      <c r="B286" s="1159"/>
      <c r="C286" s="831" t="s">
        <v>2132</v>
      </c>
      <c r="D286" s="832" t="s">
        <v>2134</v>
      </c>
      <c r="E286" s="919"/>
      <c r="F286" s="2218">
        <f>F$227</f>
        <v>2.4369699999999996</v>
      </c>
      <c r="G286" s="2217">
        <f t="shared" ref="G286:O286" si="18">F286-$F$190*(G$285-F$285)</f>
        <v>2.4335859999999996</v>
      </c>
      <c r="H286" s="2096">
        <f t="shared" si="18"/>
        <v>2.4279459999999995</v>
      </c>
      <c r="I286" s="2096">
        <f t="shared" si="18"/>
        <v>2.4223059999999994</v>
      </c>
      <c r="J286" s="2096">
        <f t="shared" si="18"/>
        <v>2.4166659999999993</v>
      </c>
      <c r="K286" s="2096">
        <f t="shared" si="18"/>
        <v>2.4110259999999992</v>
      </c>
      <c r="L286" s="2096">
        <f t="shared" si="18"/>
        <v>2.4053859999999991</v>
      </c>
      <c r="M286" s="2096">
        <f t="shared" si="18"/>
        <v>2.399745999999999</v>
      </c>
      <c r="N286" s="2096">
        <f t="shared" si="18"/>
        <v>2.394105999999999</v>
      </c>
      <c r="O286" s="2096">
        <f t="shared" si="18"/>
        <v>2.3884659999999989</v>
      </c>
      <c r="P286" s="1158"/>
    </row>
    <row r="287" spans="2:16" ht="15.75" hidden="1" outlineLevel="1">
      <c r="B287" s="1159"/>
      <c r="C287" s="899" t="s">
        <v>2133</v>
      </c>
      <c r="D287" s="900" t="s">
        <v>2135</v>
      </c>
      <c r="E287" s="920"/>
      <c r="F287" s="901">
        <v>0</v>
      </c>
      <c r="G287" s="918">
        <f>G$227-G286</f>
        <v>4.5000000000000373E-2</v>
      </c>
      <c r="H287" s="2097">
        <f t="shared" ref="H287:O287" si="19">H$227-H286</f>
        <v>0.12000000000000055</v>
      </c>
      <c r="I287" s="2097">
        <f t="shared" si="19"/>
        <v>0.19500000000000073</v>
      </c>
      <c r="J287" s="2097">
        <f t="shared" si="19"/>
        <v>0.27000000000000091</v>
      </c>
      <c r="K287" s="2097">
        <f t="shared" si="19"/>
        <v>0.34500000000000064</v>
      </c>
      <c r="L287" s="2097">
        <f t="shared" si="19"/>
        <v>0.42000000000000082</v>
      </c>
      <c r="M287" s="2097">
        <f t="shared" si="19"/>
        <v>0.49500000000000099</v>
      </c>
      <c r="N287" s="2097">
        <f t="shared" si="19"/>
        <v>0.57000000000000117</v>
      </c>
      <c r="O287" s="2097">
        <f t="shared" si="19"/>
        <v>0.64500000000000091</v>
      </c>
      <c r="P287" s="1158"/>
    </row>
    <row r="288" spans="2:16" hidden="1" outlineLevel="1">
      <c r="B288" s="1157"/>
      <c r="C288" s="864"/>
      <c r="D288" s="864"/>
      <c r="E288" s="864"/>
      <c r="F288" s="864"/>
      <c r="G288" s="864"/>
      <c r="H288" s="864"/>
      <c r="I288" s="864"/>
      <c r="J288" s="864"/>
      <c r="K288" s="864"/>
      <c r="L288" s="864"/>
      <c r="M288" s="864"/>
      <c r="N288" s="864"/>
      <c r="O288" s="864"/>
      <c r="P288" s="1158"/>
    </row>
    <row r="289" spans="1:16" hidden="1" outlineLevel="1">
      <c r="B289" s="1164"/>
      <c r="C289" s="1165"/>
      <c r="D289" s="1165"/>
      <c r="E289" s="1165"/>
      <c r="F289" s="1165"/>
      <c r="G289" s="1165"/>
      <c r="H289" s="1165"/>
      <c r="I289" s="1165"/>
      <c r="J289" s="1165"/>
      <c r="K289" s="1165"/>
      <c r="L289" s="1165"/>
      <c r="M289" s="1165"/>
      <c r="N289" s="1165"/>
      <c r="O289" s="1165"/>
      <c r="P289" s="1166"/>
    </row>
    <row r="291" spans="1:16" ht="18" collapsed="1">
      <c r="A291" s="767"/>
      <c r="B291" s="809" t="s">
        <v>732</v>
      </c>
    </row>
    <row r="292" spans="1:16" s="24" customFormat="1" hidden="1" outlineLevel="1">
      <c r="B292" s="731">
        <v>1</v>
      </c>
      <c r="C292" s="121" t="s">
        <v>2141</v>
      </c>
    </row>
    <row r="293" spans="1:16" s="24" customFormat="1" hidden="1" outlineLevel="1">
      <c r="B293" s="731">
        <v>2</v>
      </c>
      <c r="C293" s="121" t="s">
        <v>2142</v>
      </c>
    </row>
    <row r="294" spans="1:16" s="24" customFormat="1" hidden="1" outlineLevel="1">
      <c r="B294" s="731">
        <v>3</v>
      </c>
      <c r="C294" s="121" t="s">
        <v>1512</v>
      </c>
    </row>
    <row r="295" spans="1:16" s="24" customFormat="1" hidden="1" outlineLevel="1">
      <c r="B295" s="731">
        <v>4</v>
      </c>
      <c r="C295" s="121" t="s">
        <v>2153</v>
      </c>
    </row>
    <row r="296" spans="1:16" s="24" customFormat="1" hidden="1" outlineLevel="1">
      <c r="B296" s="731">
        <v>5</v>
      </c>
      <c r="C296" s="121" t="s">
        <v>1174</v>
      </c>
    </row>
    <row r="297" spans="1:16" s="24" customFormat="1" hidden="1" outlineLevel="1">
      <c r="B297" s="731">
        <v>6</v>
      </c>
      <c r="C297" s="121" t="s">
        <v>2147</v>
      </c>
    </row>
    <row r="298" spans="1:16" hidden="1" outlineLevel="1"/>
    <row r="299" spans="1:16" hidden="1" outlineLevel="1" collapsed="1">
      <c r="B299" s="731">
        <v>1</v>
      </c>
      <c r="C299" s="731" t="s">
        <v>2143</v>
      </c>
      <c r="F299" s="861">
        <v>2007</v>
      </c>
      <c r="G299" s="861">
        <v>2010</v>
      </c>
      <c r="H299" s="861">
        <v>2015</v>
      </c>
      <c r="I299" s="861">
        <v>2020</v>
      </c>
      <c r="J299" s="861">
        <v>2025</v>
      </c>
      <c r="K299" s="861">
        <v>2030</v>
      </c>
      <c r="L299" s="861">
        <v>2035</v>
      </c>
      <c r="M299" s="861">
        <v>2040</v>
      </c>
      <c r="N299" s="861">
        <v>2045</v>
      </c>
      <c r="O299" s="861">
        <v>2050</v>
      </c>
    </row>
    <row r="300" spans="1:16" hidden="1" outlineLevel="2"/>
    <row r="301" spans="1:16" hidden="1" outlineLevel="2">
      <c r="C301" s="121" t="s">
        <v>2098</v>
      </c>
      <c r="E301" s="121" t="s">
        <v>1516</v>
      </c>
      <c r="F301" s="925">
        <f>F$245*F$222</f>
        <v>1.0438200000000002</v>
      </c>
      <c r="G301" s="925">
        <f t="shared" ref="G301:O301" si="20">G$245*G$222</f>
        <v>0.30806867493487039</v>
      </c>
      <c r="H301" s="925">
        <f t="shared" si="20"/>
        <v>0.32200159063911837</v>
      </c>
      <c r="I301" s="925">
        <f t="shared" si="20"/>
        <v>0.3365646455162723</v>
      </c>
      <c r="J301" s="925">
        <f t="shared" si="20"/>
        <v>0.35178633865336162</v>
      </c>
      <c r="K301" s="925">
        <f t="shared" si="20"/>
        <v>0.36769645805579537</v>
      </c>
      <c r="L301" s="925">
        <f t="shared" si="20"/>
        <v>0.38432613894082868</v>
      </c>
      <c r="M301" s="925">
        <f t="shared" si="20"/>
        <v>0.40170792466744865</v>
      </c>
      <c r="N301" s="925">
        <f t="shared" si="20"/>
        <v>0.41987583042191479</v>
      </c>
      <c r="O301" s="925">
        <f t="shared" si="20"/>
        <v>0.4388654097835829</v>
      </c>
    </row>
    <row r="302" spans="1:16" s="246" customFormat="1" hidden="1" outlineLevel="2">
      <c r="B302" s="1555" t="s">
        <v>838</v>
      </c>
      <c r="C302" s="246" t="s">
        <v>915</v>
      </c>
      <c r="E302" s="246" t="str">
        <f>Preferences.EnergyUnits &amp; " / M odt"</f>
        <v>TWh / M odt</v>
      </c>
      <c r="F302" s="1746">
        <f>$F$176</f>
        <v>3.8888888888888888</v>
      </c>
      <c r="G302" s="1746"/>
      <c r="H302" s="1746"/>
      <c r="I302" s="1746"/>
      <c r="J302" s="1746"/>
      <c r="K302" s="1746"/>
      <c r="L302" s="1746"/>
      <c r="M302" s="1746"/>
      <c r="N302" s="1746"/>
      <c r="O302" s="1746"/>
    </row>
    <row r="303" spans="1:16" hidden="1" outlineLevel="2">
      <c r="B303" s="1745" t="s">
        <v>840</v>
      </c>
      <c r="C303" s="731" t="s">
        <v>1526</v>
      </c>
      <c r="E303" s="731" t="str">
        <f>Preferences.EnergyUnits</f>
        <v>TWh</v>
      </c>
      <c r="F303" s="943">
        <f>F301*$F302</f>
        <v>4.0593000000000004</v>
      </c>
      <c r="G303" s="943">
        <f t="shared" ref="G303:O303" si="21">G301*$F302</f>
        <v>1.1980448469689404</v>
      </c>
      <c r="H303" s="943">
        <f t="shared" si="21"/>
        <v>1.252228408041016</v>
      </c>
      <c r="I303" s="943">
        <f t="shared" si="21"/>
        <v>1.3088625103410589</v>
      </c>
      <c r="J303" s="943">
        <f t="shared" si="21"/>
        <v>1.3680579836519617</v>
      </c>
      <c r="K303" s="943">
        <f t="shared" si="21"/>
        <v>1.4299306702169821</v>
      </c>
      <c r="L303" s="943">
        <f t="shared" si="21"/>
        <v>1.4946016514365559</v>
      </c>
      <c r="M303" s="943">
        <f t="shared" si="21"/>
        <v>1.5621974848178559</v>
      </c>
      <c r="N303" s="943">
        <f t="shared" si="21"/>
        <v>1.6328504516407798</v>
      </c>
      <c r="O303" s="943">
        <f t="shared" si="21"/>
        <v>1.7066988158250447</v>
      </c>
    </row>
    <row r="304" spans="1:16" hidden="1" outlineLevel="2">
      <c r="F304" s="925"/>
      <c r="G304" s="925"/>
      <c r="H304" s="925"/>
      <c r="I304" s="925"/>
      <c r="J304" s="925"/>
      <c r="K304" s="925"/>
      <c r="L304" s="925"/>
      <c r="M304" s="925"/>
      <c r="N304" s="925"/>
      <c r="O304" s="925"/>
    </row>
    <row r="305" spans="2:15" hidden="1" outlineLevel="2">
      <c r="C305" s="2378" t="s">
        <v>2197</v>
      </c>
      <c r="D305" s="2379"/>
      <c r="E305" s="2379"/>
      <c r="F305" s="2379"/>
      <c r="G305" s="2379"/>
      <c r="H305" s="2379"/>
      <c r="I305" s="2379"/>
      <c r="J305" s="2379"/>
      <c r="K305" s="2379"/>
      <c r="L305" s="2379"/>
      <c r="M305" s="2379"/>
      <c r="N305" s="2379"/>
      <c r="O305" s="2379"/>
    </row>
    <row r="306" spans="2:15" hidden="1" outlineLevel="2">
      <c r="C306" s="2385" t="s">
        <v>2291</v>
      </c>
      <c r="D306" s="2383" t="str">
        <f>INDEX(Vectors[Description], MATCH(C306, Vectors[Code], 0))</f>
        <v>Energy crops (first generation)</v>
      </c>
      <c r="E306" s="1553" t="str">
        <f>Preferences.EnergyUnits</f>
        <v>TWh</v>
      </c>
      <c r="F306" s="2386">
        <f>F303</f>
        <v>4.0593000000000004</v>
      </c>
      <c r="G306" s="2386">
        <f t="shared" ref="G306:O306" si="22">G303</f>
        <v>1.1980448469689404</v>
      </c>
      <c r="H306" s="2386">
        <f t="shared" si="22"/>
        <v>1.252228408041016</v>
      </c>
      <c r="I306" s="2386">
        <f t="shared" si="22"/>
        <v>1.3088625103410589</v>
      </c>
      <c r="J306" s="2386">
        <f t="shared" si="22"/>
        <v>1.3680579836519617</v>
      </c>
      <c r="K306" s="2386">
        <f t="shared" si="22"/>
        <v>1.4299306702169821</v>
      </c>
      <c r="L306" s="2386">
        <f t="shared" si="22"/>
        <v>1.4946016514365559</v>
      </c>
      <c r="M306" s="2386">
        <f t="shared" si="22"/>
        <v>1.5621974848178559</v>
      </c>
      <c r="N306" s="2386">
        <f t="shared" si="22"/>
        <v>1.6328504516407798</v>
      </c>
      <c r="O306" s="2386">
        <f t="shared" si="22"/>
        <v>1.7066988158250447</v>
      </c>
    </row>
    <row r="307" spans="2:15" hidden="1" outlineLevel="2">
      <c r="F307" s="925"/>
      <c r="G307" s="925"/>
      <c r="H307" s="925"/>
      <c r="I307" s="925"/>
      <c r="J307" s="925"/>
      <c r="K307" s="925"/>
      <c r="L307" s="925"/>
      <c r="M307" s="925"/>
      <c r="N307" s="925"/>
      <c r="O307" s="925"/>
    </row>
    <row r="308" spans="2:15" hidden="1" outlineLevel="2">
      <c r="F308" s="925"/>
      <c r="G308" s="925"/>
      <c r="H308" s="925"/>
      <c r="I308" s="925"/>
      <c r="J308" s="925"/>
      <c r="K308" s="925"/>
      <c r="L308" s="925"/>
      <c r="M308" s="925"/>
      <c r="N308" s="925"/>
      <c r="O308" s="925"/>
    </row>
    <row r="309" spans="2:15" hidden="1" outlineLevel="1" collapsed="1">
      <c r="B309" s="731">
        <v>2</v>
      </c>
      <c r="C309" s="731" t="s">
        <v>2144</v>
      </c>
      <c r="F309" s="861">
        <v>2007</v>
      </c>
      <c r="G309" s="861">
        <v>2010</v>
      </c>
      <c r="H309" s="861">
        <v>2015</v>
      </c>
      <c r="I309" s="861">
        <v>2020</v>
      </c>
      <c r="J309" s="861">
        <v>2025</v>
      </c>
      <c r="K309" s="861">
        <v>2030</v>
      </c>
      <c r="L309" s="861">
        <v>2035</v>
      </c>
      <c r="M309" s="861">
        <v>2040</v>
      </c>
      <c r="N309" s="861">
        <v>2045</v>
      </c>
      <c r="O309" s="861">
        <v>2050</v>
      </c>
    </row>
    <row r="310" spans="2:15" hidden="1" outlineLevel="2">
      <c r="F310" s="925"/>
      <c r="G310" s="925"/>
      <c r="H310" s="925"/>
      <c r="I310" s="925"/>
      <c r="J310" s="925"/>
      <c r="K310" s="925"/>
      <c r="L310" s="925"/>
      <c r="M310" s="925"/>
      <c r="N310" s="925"/>
      <c r="O310" s="925"/>
    </row>
    <row r="311" spans="2:15" hidden="1" outlineLevel="2">
      <c r="C311" s="121" t="s">
        <v>2115</v>
      </c>
      <c r="E311" s="121" t="s">
        <v>1517</v>
      </c>
      <c r="F311" s="925">
        <f>F$246*(F$223+F$224)</f>
        <v>0.16</v>
      </c>
      <c r="G311" s="925">
        <f t="shared" ref="G311:N311" si="23">G$246*(G$223+G$224)</f>
        <v>0.32048696632973755</v>
      </c>
      <c r="H311" s="925">
        <f t="shared" si="23"/>
        <v>1.5023938928676217</v>
      </c>
      <c r="I311" s="925">
        <f t="shared" si="23"/>
        <v>2.7958688059838011</v>
      </c>
      <c r="J311" s="925">
        <f t="shared" si="23"/>
        <v>4.2089085682557688</v>
      </c>
      <c r="K311" s="925">
        <f t="shared" si="23"/>
        <v>5.7500238296817408</v>
      </c>
      <c r="L311" s="925">
        <f t="shared" si="23"/>
        <v>8.0889156742752757</v>
      </c>
      <c r="M311" s="925">
        <f t="shared" si="23"/>
        <v>10.641971276773742</v>
      </c>
      <c r="N311" s="925">
        <f t="shared" si="23"/>
        <v>13.424594083399393</v>
      </c>
      <c r="O311" s="925">
        <f>O$246*(O$223+O$224)</f>
        <v>16.453188105666232</v>
      </c>
    </row>
    <row r="312" spans="2:15" s="246" customFormat="1" hidden="1" outlineLevel="2">
      <c r="B312" s="1555" t="s">
        <v>838</v>
      </c>
      <c r="C312" s="246" t="s">
        <v>915</v>
      </c>
      <c r="E312" s="246" t="str">
        <f>Preferences.EnergyUnits &amp; " / M odt"</f>
        <v>TWh / M odt</v>
      </c>
      <c r="F312" s="1746">
        <f>$F$177</f>
        <v>5.1388888888888884</v>
      </c>
      <c r="G312" s="1746"/>
      <c r="H312" s="1746"/>
      <c r="I312" s="1746"/>
      <c r="J312" s="1746"/>
      <c r="K312" s="1746"/>
      <c r="L312" s="1746"/>
      <c r="M312" s="1746"/>
      <c r="N312" s="1746"/>
      <c r="O312" s="1746"/>
    </row>
    <row r="313" spans="2:15" hidden="1" outlineLevel="2">
      <c r="B313" s="1745" t="s">
        <v>840</v>
      </c>
      <c r="C313" s="731" t="s">
        <v>1527</v>
      </c>
      <c r="E313" s="731" t="str">
        <f>Preferences.EnergyUnits</f>
        <v>TWh</v>
      </c>
      <c r="F313" s="943">
        <f t="shared" ref="F313:O313" si="24">F311*$F312</f>
        <v>0.82222222222222219</v>
      </c>
      <c r="G313" s="943">
        <f t="shared" si="24"/>
        <v>1.6469469103055956</v>
      </c>
      <c r="H313" s="943">
        <f t="shared" si="24"/>
        <v>7.7206352827919442</v>
      </c>
      <c r="I313" s="943">
        <f t="shared" si="24"/>
        <v>14.367659141861198</v>
      </c>
      <c r="J313" s="943">
        <f t="shared" si="24"/>
        <v>21.62911347575881</v>
      </c>
      <c r="K313" s="943">
        <f t="shared" si="24"/>
        <v>29.548733569197832</v>
      </c>
      <c r="L313" s="943">
        <f t="shared" si="24"/>
        <v>41.568038881692388</v>
      </c>
      <c r="M313" s="943">
        <f t="shared" si="24"/>
        <v>54.687907950087279</v>
      </c>
      <c r="N313" s="943">
        <f t="shared" si="24"/>
        <v>68.987497373024652</v>
      </c>
      <c r="O313" s="943">
        <f t="shared" si="24"/>
        <v>84.551105543007012</v>
      </c>
    </row>
    <row r="314" spans="2:15" hidden="1" outlineLevel="2">
      <c r="B314" s="20"/>
      <c r="F314" s="925"/>
      <c r="G314" s="925"/>
      <c r="H314" s="925"/>
      <c r="I314" s="925"/>
      <c r="J314" s="925"/>
      <c r="K314" s="925"/>
      <c r="L314" s="925"/>
      <c r="M314" s="925"/>
      <c r="N314" s="925"/>
      <c r="O314" s="925"/>
    </row>
    <row r="315" spans="2:15" s="246" customFormat="1" hidden="1" outlineLevel="2">
      <c r="B315" s="1555"/>
      <c r="C315" s="246" t="s">
        <v>2146</v>
      </c>
      <c r="E315" s="246" t="str">
        <f>Preferences.EnergyUnits</f>
        <v>TWh</v>
      </c>
      <c r="F315" s="1746">
        <f t="shared" ref="F315:O315" si="25">F303+F313</f>
        <v>4.8815222222222223</v>
      </c>
      <c r="G315" s="1746">
        <f t="shared" si="25"/>
        <v>2.8449917572745358</v>
      </c>
      <c r="H315" s="1746">
        <f t="shared" si="25"/>
        <v>8.9728636908329609</v>
      </c>
      <c r="I315" s="1746">
        <f t="shared" si="25"/>
        <v>15.676521652202258</v>
      </c>
      <c r="J315" s="1746">
        <f t="shared" si="25"/>
        <v>22.997171459410772</v>
      </c>
      <c r="K315" s="1746">
        <f t="shared" si="25"/>
        <v>30.978664239414815</v>
      </c>
      <c r="L315" s="1746">
        <f t="shared" si="25"/>
        <v>43.062640533128942</v>
      </c>
      <c r="M315" s="1746">
        <f t="shared" si="25"/>
        <v>56.250105434905137</v>
      </c>
      <c r="N315" s="1746">
        <f t="shared" si="25"/>
        <v>70.62034782466543</v>
      </c>
      <c r="O315" s="1746">
        <f t="shared" si="25"/>
        <v>86.257804358832061</v>
      </c>
    </row>
    <row r="316" spans="2:15" s="246" customFormat="1" hidden="1" outlineLevel="2">
      <c r="B316" s="1555"/>
      <c r="C316" s="246" t="s">
        <v>1518</v>
      </c>
      <c r="E316" s="1555" t="s">
        <v>844</v>
      </c>
      <c r="F316" s="1748">
        <f t="shared" ref="F316:O316" si="26">F315/(F222+F223+F224)/Unit.GWyear*1000000000/10000000000/Global.UKIncidentSolarEnergy</f>
        <v>1.5301497031163938E-3</v>
      </c>
      <c r="G316" s="1748">
        <f t="shared" si="26"/>
        <v>2.4755197367178007E-3</v>
      </c>
      <c r="H316" s="1748">
        <f t="shared" si="26"/>
        <v>4.2875367508570248E-3</v>
      </c>
      <c r="I316" s="1748">
        <f t="shared" si="26"/>
        <v>5.1737547499809237E-3</v>
      </c>
      <c r="J316" s="1748">
        <f t="shared" si="26"/>
        <v>5.8058711362843976E-3</v>
      </c>
      <c r="K316" s="1748">
        <f t="shared" si="26"/>
        <v>6.3404346225473997E-3</v>
      </c>
      <c r="L316" s="1748">
        <f t="shared" si="26"/>
        <v>6.8977651629264936E-3</v>
      </c>
      <c r="M316" s="1748">
        <f t="shared" si="26"/>
        <v>7.4070898973980313E-3</v>
      </c>
      <c r="N316" s="1748">
        <f t="shared" si="26"/>
        <v>7.9000037442940874E-3</v>
      </c>
      <c r="O316" s="1748">
        <f t="shared" si="26"/>
        <v>8.3919555344473592E-3</v>
      </c>
    </row>
    <row r="317" spans="2:15" hidden="1" outlineLevel="2">
      <c r="B317" s="20"/>
      <c r="E317" s="20"/>
      <c r="F317" s="925"/>
      <c r="G317" s="925"/>
      <c r="H317" s="925"/>
      <c r="I317" s="925"/>
      <c r="J317" s="925"/>
      <c r="K317" s="925"/>
      <c r="L317" s="925"/>
      <c r="M317" s="925"/>
      <c r="N317" s="925"/>
      <c r="O317" s="925"/>
    </row>
    <row r="318" spans="2:15" hidden="1" outlineLevel="2">
      <c r="B318" s="20"/>
      <c r="C318" s="2378" t="s">
        <v>2197</v>
      </c>
      <c r="D318" s="2379"/>
      <c r="E318" s="2379"/>
      <c r="F318" s="2379"/>
      <c r="G318" s="2379"/>
      <c r="H318" s="2379"/>
      <c r="I318" s="2379"/>
      <c r="J318" s="2379"/>
      <c r="K318" s="2379"/>
      <c r="L318" s="2379"/>
      <c r="M318" s="2379"/>
      <c r="N318" s="2379"/>
      <c r="O318" s="2379"/>
    </row>
    <row r="319" spans="2:15" hidden="1" outlineLevel="2">
      <c r="B319" s="20"/>
      <c r="C319" s="2385" t="s">
        <v>1801</v>
      </c>
      <c r="D319" s="2383" t="str">
        <f>INDEX(Vectors[Description], MATCH(C319, Vectors[Code], 0))</f>
        <v>Energy crops (second generation)</v>
      </c>
      <c r="E319" s="1553" t="str">
        <f>Preferences.EnergyUnits</f>
        <v>TWh</v>
      </c>
      <c r="F319" s="2386">
        <f>F313</f>
        <v>0.82222222222222219</v>
      </c>
      <c r="G319" s="2386">
        <f t="shared" ref="G319:O319" si="27">G313</f>
        <v>1.6469469103055956</v>
      </c>
      <c r="H319" s="2386">
        <f t="shared" si="27"/>
        <v>7.7206352827919442</v>
      </c>
      <c r="I319" s="2386">
        <f t="shared" si="27"/>
        <v>14.367659141861198</v>
      </c>
      <c r="J319" s="2386">
        <f t="shared" si="27"/>
        <v>21.62911347575881</v>
      </c>
      <c r="K319" s="2386">
        <f t="shared" si="27"/>
        <v>29.548733569197832</v>
      </c>
      <c r="L319" s="2386">
        <f t="shared" si="27"/>
        <v>41.568038881692388</v>
      </c>
      <c r="M319" s="2386">
        <f t="shared" si="27"/>
        <v>54.687907950087279</v>
      </c>
      <c r="N319" s="2386">
        <f t="shared" si="27"/>
        <v>68.987497373024652</v>
      </c>
      <c r="O319" s="2386">
        <f t="shared" si="27"/>
        <v>84.551105543007012</v>
      </c>
    </row>
    <row r="320" spans="2:15" hidden="1" outlineLevel="2">
      <c r="B320" s="20"/>
      <c r="E320" s="20"/>
      <c r="F320" s="925"/>
      <c r="G320" s="925"/>
      <c r="H320" s="925"/>
      <c r="I320" s="925"/>
      <c r="J320" s="925"/>
      <c r="K320" s="925"/>
      <c r="L320" s="925"/>
      <c r="M320" s="925"/>
      <c r="N320" s="925"/>
      <c r="O320" s="925"/>
    </row>
    <row r="321" spans="2:15" hidden="1" outlineLevel="2">
      <c r="B321" s="20"/>
      <c r="E321" s="20"/>
      <c r="F321" s="925"/>
      <c r="G321" s="925"/>
      <c r="H321" s="925"/>
      <c r="I321" s="925"/>
      <c r="J321" s="925"/>
      <c r="K321" s="925"/>
      <c r="L321" s="925"/>
      <c r="M321" s="925"/>
      <c r="N321" s="925"/>
      <c r="O321" s="925"/>
    </row>
    <row r="322" spans="2:15" hidden="1" outlineLevel="1" collapsed="1">
      <c r="B322" s="862">
        <v>3</v>
      </c>
      <c r="C322" s="731" t="s">
        <v>2136</v>
      </c>
      <c r="E322" s="20"/>
      <c r="F322" s="861">
        <v>2007</v>
      </c>
      <c r="G322" s="861">
        <v>2010</v>
      </c>
      <c r="H322" s="861">
        <v>2015</v>
      </c>
      <c r="I322" s="861">
        <v>2020</v>
      </c>
      <c r="J322" s="861">
        <v>2025</v>
      </c>
      <c r="K322" s="861">
        <v>2030</v>
      </c>
      <c r="L322" s="861">
        <v>2035</v>
      </c>
      <c r="M322" s="861">
        <v>2040</v>
      </c>
      <c r="N322" s="861">
        <v>2045</v>
      </c>
      <c r="O322" s="861">
        <v>2050</v>
      </c>
    </row>
    <row r="323" spans="2:15" hidden="1" outlineLevel="2">
      <c r="B323" s="20"/>
      <c r="E323" s="20"/>
      <c r="F323" s="925"/>
      <c r="G323" s="925"/>
      <c r="H323" s="925"/>
      <c r="I323" s="925"/>
      <c r="J323" s="925"/>
      <c r="K323" s="925"/>
      <c r="L323" s="925"/>
      <c r="M323" s="925"/>
      <c r="N323" s="925"/>
      <c r="O323" s="925"/>
    </row>
    <row r="324" spans="2:15" hidden="1" outlineLevel="2">
      <c r="B324" s="20"/>
      <c r="C324" s="24" t="s">
        <v>1620</v>
      </c>
      <c r="D324" s="24"/>
      <c r="E324" s="24" t="s">
        <v>1516</v>
      </c>
      <c r="F324" s="925">
        <f>(F$221+F$222+$F223)*F$247</f>
        <v>14.874740960000002</v>
      </c>
      <c r="G324" s="925">
        <f t="shared" ref="G324:O324" si="28">(G$221+G$222+$F223)*G$247</f>
        <v>15.54750783060468</v>
      </c>
      <c r="H324" s="925">
        <f t="shared" si="28"/>
        <v>15.358457138411621</v>
      </c>
      <c r="I324" s="925">
        <f t="shared" si="28"/>
        <v>15.171762884448745</v>
      </c>
      <c r="J324" s="925">
        <f t="shared" si="28"/>
        <v>14.987395696693847</v>
      </c>
      <c r="K324" s="925">
        <f t="shared" si="28"/>
        <v>14.805326569234769</v>
      </c>
      <c r="L324" s="925">
        <f t="shared" si="28"/>
        <v>14.625526857705918</v>
      </c>
      <c r="M324" s="925">
        <f t="shared" si="28"/>
        <v>14.447968274781845</v>
      </c>
      <c r="N324" s="925">
        <f t="shared" si="28"/>
        <v>14.272622885726825</v>
      </c>
      <c r="O324" s="925">
        <f t="shared" si="28"/>
        <v>14.09946310400003</v>
      </c>
    </row>
    <row r="325" spans="2:15" s="246" customFormat="1" hidden="1" outlineLevel="2">
      <c r="B325" s="1555" t="s">
        <v>838</v>
      </c>
      <c r="C325" s="246" t="s">
        <v>1520</v>
      </c>
      <c r="F325" s="1747">
        <f t="shared" ref="F325:O325" si="29">INDEX(F$95:F$98, MATCH($E$8, $C$95:$C$98, 0))</f>
        <v>0.03</v>
      </c>
      <c r="G325" s="1747">
        <f t="shared" si="29"/>
        <v>3.4728750000000003E-2</v>
      </c>
      <c r="H325" s="1747">
        <f t="shared" si="29"/>
        <v>4.4323663313671886E-2</v>
      </c>
      <c r="I325" s="1747">
        <f t="shared" si="29"/>
        <v>5.6569474269697086E-2</v>
      </c>
      <c r="J325" s="1747">
        <f t="shared" si="29"/>
        <v>7.2198577010732554E-2</v>
      </c>
      <c r="K325" s="1747">
        <f t="shared" si="29"/>
        <v>9.2145712677534339E-2</v>
      </c>
      <c r="L325" s="1747">
        <f t="shared" si="29"/>
        <v>0.1176038741537596</v>
      </c>
      <c r="M325" s="1747">
        <f t="shared" si="29"/>
        <v>0.15009565626101368</v>
      </c>
      <c r="N325" s="1747">
        <f t="shared" si="29"/>
        <v>0.19156431869726948</v>
      </c>
      <c r="O325" s="1747">
        <f t="shared" si="29"/>
        <v>0.24449000798619908</v>
      </c>
    </row>
    <row r="326" spans="2:15" hidden="1" outlineLevel="2">
      <c r="B326" s="1555" t="s">
        <v>838</v>
      </c>
      <c r="C326" s="246" t="s">
        <v>915</v>
      </c>
      <c r="D326" s="246"/>
      <c r="E326" s="246" t="str">
        <f>Preferences.EnergyUnits &amp; " / M odt"</f>
        <v>TWh / M odt</v>
      </c>
      <c r="F326" s="1746">
        <f>$F$178</f>
        <v>4.1666666666666661</v>
      </c>
      <c r="G326" s="925"/>
      <c r="H326" s="925"/>
      <c r="I326" s="925"/>
      <c r="J326" s="925"/>
      <c r="K326" s="925"/>
      <c r="L326" s="925"/>
      <c r="M326" s="925"/>
      <c r="N326" s="925"/>
      <c r="O326" s="925"/>
    </row>
    <row r="327" spans="2:15" hidden="1" outlineLevel="2">
      <c r="B327" s="1745" t="s">
        <v>840</v>
      </c>
      <c r="C327" s="731" t="s">
        <v>1528</v>
      </c>
      <c r="E327" s="731" t="str">
        <f>Preferences.EnergyUnits</f>
        <v>TWh</v>
      </c>
      <c r="F327" s="943">
        <f>F324*F325*$F326</f>
        <v>1.8593426199999998</v>
      </c>
      <c r="G327" s="943">
        <f t="shared" ref="G327:O327" si="30">G324*G325*$F326</f>
        <v>2.2497729690504675</v>
      </c>
      <c r="H327" s="943">
        <f t="shared" si="30"/>
        <v>2.836429513418405</v>
      </c>
      <c r="I327" s="943">
        <f t="shared" si="30"/>
        <v>3.5760777088240348</v>
      </c>
      <c r="J327" s="943">
        <f t="shared" si="30"/>
        <v>4.508619343325301</v>
      </c>
      <c r="K327" s="943">
        <f t="shared" si="30"/>
        <v>5.6843640339407173</v>
      </c>
      <c r="L327" s="943">
        <f t="shared" si="30"/>
        <v>7.1667442500253236</v>
      </c>
      <c r="M327" s="943">
        <f t="shared" si="30"/>
        <v>9.0357386660070258</v>
      </c>
      <c r="N327" s="943">
        <f t="shared" si="30"/>
        <v>11.392188663030479</v>
      </c>
      <c r="O327" s="943">
        <f t="shared" si="30"/>
        <v>14.363241028742026</v>
      </c>
    </row>
    <row r="328" spans="2:15" hidden="1" outlineLevel="2">
      <c r="B328" s="20"/>
      <c r="E328" s="20"/>
      <c r="F328" s="925"/>
      <c r="G328" s="925"/>
      <c r="H328" s="925"/>
      <c r="I328" s="925"/>
      <c r="J328" s="925"/>
      <c r="K328" s="925"/>
      <c r="L328" s="925"/>
      <c r="M328" s="925"/>
      <c r="N328" s="925"/>
      <c r="O328" s="925"/>
    </row>
    <row r="329" spans="2:15" hidden="1" outlineLevel="2">
      <c r="B329" s="20"/>
      <c r="C329" s="24" t="s">
        <v>2137</v>
      </c>
      <c r="D329" s="24"/>
      <c r="E329" s="24" t="s">
        <v>1516</v>
      </c>
      <c r="F329" s="925">
        <f t="shared" ref="F329:O329" si="31">F$286*F$248</f>
        <v>4.1915883999999997</v>
      </c>
      <c r="G329" s="925">
        <f t="shared" si="31"/>
        <v>4.1857679199999991</v>
      </c>
      <c r="H329" s="925">
        <f t="shared" si="31"/>
        <v>4.176067119999999</v>
      </c>
      <c r="I329" s="925">
        <f t="shared" si="31"/>
        <v>4.166366319999999</v>
      </c>
      <c r="J329" s="925">
        <f t="shared" si="31"/>
        <v>4.1566655199999989</v>
      </c>
      <c r="K329" s="925">
        <f t="shared" si="31"/>
        <v>4.1469647199999988</v>
      </c>
      <c r="L329" s="925">
        <f t="shared" si="31"/>
        <v>4.1372639199999988</v>
      </c>
      <c r="M329" s="925">
        <f t="shared" si="31"/>
        <v>4.1275631199999987</v>
      </c>
      <c r="N329" s="925">
        <f t="shared" si="31"/>
        <v>4.1178623199999977</v>
      </c>
      <c r="O329" s="925">
        <f t="shared" si="31"/>
        <v>4.1081615199999977</v>
      </c>
    </row>
    <row r="330" spans="2:15" s="246" customFormat="1" hidden="1" outlineLevel="2">
      <c r="B330" s="1555" t="s">
        <v>838</v>
      </c>
      <c r="C330" s="246" t="s">
        <v>1520</v>
      </c>
      <c r="F330" s="1747">
        <f t="shared" ref="F330:O330" si="32">INDEX(F$111:F$114, MATCH($E$8, $C$111:$C$114, 0))</f>
        <v>0.03</v>
      </c>
      <c r="G330" s="1747">
        <f t="shared" si="32"/>
        <v>3.4728750000000003E-2</v>
      </c>
      <c r="H330" s="1747">
        <f t="shared" si="32"/>
        <v>4.4323663313671886E-2</v>
      </c>
      <c r="I330" s="1747">
        <f t="shared" si="32"/>
        <v>5.6569474269697086E-2</v>
      </c>
      <c r="J330" s="1747">
        <f t="shared" si="32"/>
        <v>7.2198577010732554E-2</v>
      </c>
      <c r="K330" s="1747">
        <f t="shared" si="32"/>
        <v>9.2145712677534339E-2</v>
      </c>
      <c r="L330" s="1747">
        <f t="shared" si="32"/>
        <v>0.1176038741537596</v>
      </c>
      <c r="M330" s="1747">
        <f t="shared" si="32"/>
        <v>0.15009565626101368</v>
      </c>
      <c r="N330" s="1747">
        <f t="shared" si="32"/>
        <v>0.19156431869726948</v>
      </c>
      <c r="O330" s="1747">
        <f t="shared" si="32"/>
        <v>0.24449000798619908</v>
      </c>
    </row>
    <row r="331" spans="2:15" hidden="1" outlineLevel="2">
      <c r="B331" s="1555" t="s">
        <v>838</v>
      </c>
      <c r="C331" s="246" t="s">
        <v>915</v>
      </c>
      <c r="D331" s="246"/>
      <c r="E331" s="246" t="str">
        <f>Preferences.EnergyUnits &amp; " / M odt"</f>
        <v>TWh / M odt</v>
      </c>
      <c r="F331" s="1746">
        <f>$F$179</f>
        <v>3.8055555555555554</v>
      </c>
      <c r="G331" s="925"/>
      <c r="H331" s="925"/>
      <c r="I331" s="925"/>
      <c r="J331" s="925"/>
      <c r="K331" s="925"/>
      <c r="L331" s="925"/>
      <c r="M331" s="925"/>
      <c r="N331" s="925"/>
      <c r="O331" s="925"/>
    </row>
    <row r="332" spans="2:15" hidden="1" outlineLevel="2">
      <c r="B332" s="1745" t="s">
        <v>840</v>
      </c>
      <c r="C332" s="731" t="s">
        <v>1529</v>
      </c>
      <c r="E332" s="731" t="str">
        <f>Preferences.EnergyUnits</f>
        <v>TWh</v>
      </c>
      <c r="F332" s="943">
        <f t="shared" ref="F332:O332" si="33">F329*F330*$F331</f>
        <v>0.47853967566666661</v>
      </c>
      <c r="G332" s="943">
        <f t="shared" si="33"/>
        <v>0.55320024467452489</v>
      </c>
      <c r="H332" s="943">
        <f t="shared" si="33"/>
        <v>0.70440297892494519</v>
      </c>
      <c r="I332" s="943">
        <f t="shared" si="33"/>
        <v>0.89692816306166745</v>
      </c>
      <c r="J332" s="943">
        <f t="shared" si="33"/>
        <v>1.1420675273483332</v>
      </c>
      <c r="K332" s="943">
        <f t="shared" si="33"/>
        <v>1.4541979911527734</v>
      </c>
      <c r="L332" s="943">
        <f t="shared" si="33"/>
        <v>1.8516245099509467</v>
      </c>
      <c r="M332" s="943">
        <f t="shared" si="33"/>
        <v>2.3576531513876806</v>
      </c>
      <c r="N332" s="943">
        <f t="shared" si="33"/>
        <v>3.0019572807037251</v>
      </c>
      <c r="O332" s="943">
        <f t="shared" si="33"/>
        <v>3.8223169074493093</v>
      </c>
    </row>
    <row r="333" spans="2:15" hidden="1" outlineLevel="2">
      <c r="B333" s="20"/>
      <c r="E333" s="20"/>
      <c r="F333" s="925"/>
      <c r="G333" s="925"/>
      <c r="H333" s="925"/>
      <c r="I333" s="925"/>
      <c r="J333" s="925"/>
      <c r="K333" s="925"/>
      <c r="L333" s="925"/>
      <c r="M333" s="925"/>
      <c r="N333" s="925"/>
      <c r="O333" s="925"/>
    </row>
    <row r="334" spans="2:15" hidden="1" outlineLevel="2">
      <c r="B334" s="20"/>
      <c r="C334" s="121" t="s">
        <v>2140</v>
      </c>
      <c r="D334" s="24"/>
      <c r="E334" s="24" t="s">
        <v>1516</v>
      </c>
      <c r="F334" s="925">
        <f t="shared" ref="F334:O334" si="34">INDEX(F$119:F$122, MATCH($E$8, $C$119:$C$122, 0))</f>
        <v>0</v>
      </c>
      <c r="G334" s="925">
        <f t="shared" si="34"/>
        <v>0</v>
      </c>
      <c r="H334" s="925">
        <f t="shared" si="34"/>
        <v>0</v>
      </c>
      <c r="I334" s="925">
        <f t="shared" si="34"/>
        <v>0</v>
      </c>
      <c r="J334" s="925">
        <f t="shared" si="34"/>
        <v>0</v>
      </c>
      <c r="K334" s="925">
        <f t="shared" si="34"/>
        <v>0</v>
      </c>
      <c r="L334" s="925">
        <f t="shared" si="34"/>
        <v>1.2436379999999993E-2</v>
      </c>
      <c r="M334" s="925">
        <f t="shared" si="34"/>
        <v>0.18159432499999983</v>
      </c>
      <c r="N334" s="925">
        <f t="shared" si="34"/>
        <v>0.31537986333333334</v>
      </c>
      <c r="O334" s="925">
        <f t="shared" si="34"/>
        <v>0.3712013616666674</v>
      </c>
    </row>
    <row r="335" spans="2:15" hidden="1" outlineLevel="2">
      <c r="B335" s="1555" t="s">
        <v>838</v>
      </c>
      <c r="C335" s="246" t="s">
        <v>915</v>
      </c>
      <c r="D335" s="246"/>
      <c r="E335" s="246" t="str">
        <f>Preferences.EnergyUnits &amp; " / M odt"</f>
        <v>TWh / M odt</v>
      </c>
      <c r="F335" s="1746">
        <f>$F$179</f>
        <v>3.8055555555555554</v>
      </c>
      <c r="G335" s="925"/>
      <c r="H335" s="925"/>
      <c r="I335" s="925"/>
      <c r="J335" s="925"/>
      <c r="K335" s="925"/>
      <c r="L335" s="925"/>
      <c r="M335" s="925"/>
      <c r="N335" s="925"/>
      <c r="O335" s="925"/>
    </row>
    <row r="336" spans="2:15" hidden="1" outlineLevel="2">
      <c r="B336" s="1745" t="s">
        <v>840</v>
      </c>
      <c r="C336" s="731" t="s">
        <v>1529</v>
      </c>
      <c r="E336" s="731" t="str">
        <f>Preferences.EnergyUnits</f>
        <v>TWh</v>
      </c>
      <c r="F336" s="943">
        <f t="shared" ref="F336:O336" si="35">F334*$F335</f>
        <v>0</v>
      </c>
      <c r="G336" s="943">
        <f t="shared" si="35"/>
        <v>0</v>
      </c>
      <c r="H336" s="943">
        <f t="shared" si="35"/>
        <v>0</v>
      </c>
      <c r="I336" s="943">
        <f t="shared" si="35"/>
        <v>0</v>
      </c>
      <c r="J336" s="943">
        <f t="shared" si="35"/>
        <v>0</v>
      </c>
      <c r="K336" s="943">
        <f t="shared" si="35"/>
        <v>0</v>
      </c>
      <c r="L336" s="943">
        <f t="shared" si="35"/>
        <v>4.732733499999997E-2</v>
      </c>
      <c r="M336" s="943">
        <f t="shared" si="35"/>
        <v>0.69106729236111042</v>
      </c>
      <c r="N336" s="943">
        <f t="shared" si="35"/>
        <v>1.2001955910185185</v>
      </c>
      <c r="O336" s="943">
        <f t="shared" si="35"/>
        <v>1.412627404120373</v>
      </c>
    </row>
    <row r="337" spans="2:15" hidden="1" outlineLevel="2">
      <c r="B337" s="1745"/>
      <c r="C337" s="731"/>
      <c r="E337" s="731"/>
      <c r="F337" s="943"/>
      <c r="G337" s="943"/>
      <c r="H337" s="943"/>
      <c r="I337" s="943"/>
      <c r="J337" s="943"/>
      <c r="K337" s="943"/>
      <c r="L337" s="943"/>
      <c r="M337" s="943"/>
      <c r="N337" s="943"/>
      <c r="O337" s="943"/>
    </row>
    <row r="338" spans="2:15" hidden="1" outlineLevel="2">
      <c r="B338" s="20"/>
      <c r="C338" s="121" t="s">
        <v>1519</v>
      </c>
      <c r="E338" s="121" t="s">
        <v>1516</v>
      </c>
      <c r="F338" s="925">
        <f>(F$234+F$236)*F$249/1000</f>
        <v>18.815020000000001</v>
      </c>
      <c r="G338" s="925">
        <f t="shared" ref="G338:O338" si="36">(G$234+G$236)*G$249*1000/1000000</f>
        <v>18.928136050760159</v>
      </c>
      <c r="H338" s="925">
        <f t="shared" si="36"/>
        <v>19.11817605247553</v>
      </c>
      <c r="I338" s="925">
        <f t="shared" si="36"/>
        <v>19.310124071026532</v>
      </c>
      <c r="J338" s="925">
        <f t="shared" si="36"/>
        <v>19.503999263054986</v>
      </c>
      <c r="K338" s="925">
        <f t="shared" si="36"/>
        <v>19.699820977536941</v>
      </c>
      <c r="L338" s="925">
        <f t="shared" si="36"/>
        <v>19.897608757713709</v>
      </c>
      <c r="M338" s="925">
        <f t="shared" si="36"/>
        <v>20.097382343042295</v>
      </c>
      <c r="N338" s="925">
        <f t="shared" si="36"/>
        <v>20.299161671165454</v>
      </c>
      <c r="O338" s="925">
        <f t="shared" si="36"/>
        <v>20.502966879901475</v>
      </c>
    </row>
    <row r="339" spans="2:15" s="246" customFormat="1" hidden="1" outlineLevel="2">
      <c r="B339" s="1555" t="s">
        <v>838</v>
      </c>
      <c r="C339" s="246" t="s">
        <v>1525</v>
      </c>
      <c r="F339" s="1747">
        <f>$F$185</f>
        <v>0.5</v>
      </c>
      <c r="G339" s="1746"/>
      <c r="H339" s="1746"/>
      <c r="I339" s="1746"/>
      <c r="J339" s="1746"/>
      <c r="K339" s="1746"/>
      <c r="L339" s="1746"/>
      <c r="M339" s="1746"/>
      <c r="N339" s="1746"/>
      <c r="O339" s="1746"/>
    </row>
    <row r="340" spans="2:15" s="246" customFormat="1" hidden="1" outlineLevel="2">
      <c r="B340" s="1555" t="s">
        <v>838</v>
      </c>
      <c r="C340" s="246" t="s">
        <v>1520</v>
      </c>
      <c r="F340" s="1747">
        <f t="shared" ref="F340:O340" si="37">INDEX(F$103:F$106, MATCH($E$8, $C$103:$C$106, 0))</f>
        <v>0.02</v>
      </c>
      <c r="G340" s="1747">
        <f t="shared" si="37"/>
        <v>0.1</v>
      </c>
      <c r="H340" s="1747">
        <f t="shared" si="37"/>
        <v>0.2</v>
      </c>
      <c r="I340" s="1747">
        <f t="shared" si="37"/>
        <v>0.5</v>
      </c>
      <c r="J340" s="1747">
        <f t="shared" si="37"/>
        <v>0.5</v>
      </c>
      <c r="K340" s="1747">
        <f t="shared" si="37"/>
        <v>0.5</v>
      </c>
      <c r="L340" s="1747">
        <f t="shared" si="37"/>
        <v>0.5</v>
      </c>
      <c r="M340" s="1747">
        <f t="shared" si="37"/>
        <v>0.5</v>
      </c>
      <c r="N340" s="1747">
        <f t="shared" si="37"/>
        <v>0.5</v>
      </c>
      <c r="O340" s="1747">
        <f t="shared" si="37"/>
        <v>0.5</v>
      </c>
    </row>
    <row r="341" spans="2:15" hidden="1" outlineLevel="2">
      <c r="B341" s="1555" t="s">
        <v>838</v>
      </c>
      <c r="C341" s="246" t="s">
        <v>915</v>
      </c>
      <c r="D341" s="246"/>
      <c r="E341" s="246" t="str">
        <f>Preferences.EnergyUnits &amp; " / M odt"</f>
        <v>TWh / M odt</v>
      </c>
      <c r="F341" s="1746">
        <f>$F$180</f>
        <v>5.166666666666667</v>
      </c>
      <c r="G341" s="925"/>
      <c r="H341" s="925"/>
      <c r="I341" s="925"/>
      <c r="J341" s="925"/>
      <c r="K341" s="925"/>
      <c r="L341" s="925"/>
      <c r="M341" s="925"/>
      <c r="N341" s="925"/>
      <c r="O341" s="925"/>
    </row>
    <row r="342" spans="2:15" hidden="1" outlineLevel="2">
      <c r="B342" s="1745" t="s">
        <v>840</v>
      </c>
      <c r="C342" s="731" t="s">
        <v>1530</v>
      </c>
      <c r="E342" s="731" t="str">
        <f>Preferences.EnergyUnits</f>
        <v>TWh</v>
      </c>
      <c r="F342" s="943">
        <f>F338*$F339*F340*$F341</f>
        <v>0.97210936666666681</v>
      </c>
      <c r="G342" s="943">
        <f t="shared" ref="G342:O342" si="38">G338*$F339*G340*$F341</f>
        <v>4.8897684797797085</v>
      </c>
      <c r="H342" s="943">
        <f t="shared" si="38"/>
        <v>9.8777242937790248</v>
      </c>
      <c r="I342" s="943">
        <f t="shared" si="38"/>
        <v>24.942243591742606</v>
      </c>
      <c r="J342" s="943">
        <f t="shared" si="38"/>
        <v>25.192665714779359</v>
      </c>
      <c r="K342" s="943">
        <f t="shared" si="38"/>
        <v>25.445602095985215</v>
      </c>
      <c r="L342" s="943">
        <f t="shared" si="38"/>
        <v>25.701077978713542</v>
      </c>
      <c r="M342" s="943">
        <f t="shared" si="38"/>
        <v>25.959118859762967</v>
      </c>
      <c r="N342" s="943">
        <f t="shared" si="38"/>
        <v>26.219750491922046</v>
      </c>
      <c r="O342" s="943">
        <f t="shared" si="38"/>
        <v>26.482998886539406</v>
      </c>
    </row>
    <row r="343" spans="2:15" hidden="1" outlineLevel="2">
      <c r="E343" s="20"/>
      <c r="F343" s="925"/>
      <c r="G343" s="925"/>
      <c r="H343" s="925"/>
      <c r="I343" s="925"/>
      <c r="J343" s="925"/>
      <c r="K343" s="925"/>
      <c r="L343" s="925"/>
      <c r="M343" s="925"/>
      <c r="N343" s="925"/>
      <c r="O343" s="925"/>
    </row>
    <row r="344" spans="2:15" hidden="1" outlineLevel="2">
      <c r="C344" s="2378" t="s">
        <v>2197</v>
      </c>
      <c r="D344" s="2379"/>
      <c r="E344" s="2379"/>
      <c r="F344" s="2379"/>
      <c r="G344" s="2379"/>
      <c r="H344" s="2379"/>
      <c r="I344" s="2379"/>
      <c r="J344" s="2379"/>
      <c r="K344" s="2379"/>
      <c r="L344" s="2379"/>
      <c r="M344" s="2379"/>
      <c r="N344" s="2379"/>
      <c r="O344" s="2379"/>
    </row>
    <row r="345" spans="2:15" hidden="1" outlineLevel="2">
      <c r="C345" s="829" t="s">
        <v>755</v>
      </c>
      <c r="D345" s="1600" t="str">
        <f>INDEX(Vectors[Description], MATCH(C345, Vectors[Code], 0))</f>
        <v>Dry biomatter and waste</v>
      </c>
      <c r="E345" s="40"/>
      <c r="F345" s="2438">
        <f t="shared" ref="F345:O345" si="39">F$327+F$332+F$336</f>
        <v>2.3378822956666663</v>
      </c>
      <c r="G345" s="2438">
        <f t="shared" si="39"/>
        <v>2.8029732137249925</v>
      </c>
      <c r="H345" s="2438">
        <f t="shared" si="39"/>
        <v>3.5408324923433501</v>
      </c>
      <c r="I345" s="2438">
        <f t="shared" si="39"/>
        <v>4.473005871885702</v>
      </c>
      <c r="J345" s="2438">
        <f t="shared" si="39"/>
        <v>5.650686870673634</v>
      </c>
      <c r="K345" s="2438">
        <f t="shared" si="39"/>
        <v>7.1385620250934902</v>
      </c>
      <c r="L345" s="2438">
        <f t="shared" si="39"/>
        <v>9.0656960949762713</v>
      </c>
      <c r="M345" s="2438">
        <f t="shared" si="39"/>
        <v>12.084459109755816</v>
      </c>
      <c r="N345" s="2438">
        <f t="shared" si="39"/>
        <v>15.594341534752724</v>
      </c>
      <c r="O345" s="2438">
        <f t="shared" si="39"/>
        <v>19.598185340311709</v>
      </c>
    </row>
    <row r="346" spans="2:15" hidden="1" outlineLevel="2">
      <c r="C346" s="2385" t="s">
        <v>929</v>
      </c>
      <c r="D346" s="2383" t="str">
        <f>INDEX(Vectors[Description], MATCH(C346, Vectors[Code], 0))</f>
        <v>Wet biomatter and waste</v>
      </c>
      <c r="E346" s="1553" t="str">
        <f>Preferences.EnergyUnits</f>
        <v>TWh</v>
      </c>
      <c r="F346" s="2386">
        <f t="shared" ref="F346:O346" si="40">F$342</f>
        <v>0.97210936666666681</v>
      </c>
      <c r="G346" s="2386">
        <f t="shared" si="40"/>
        <v>4.8897684797797085</v>
      </c>
      <c r="H346" s="2386">
        <f t="shared" si="40"/>
        <v>9.8777242937790248</v>
      </c>
      <c r="I346" s="2386">
        <f t="shared" si="40"/>
        <v>24.942243591742606</v>
      </c>
      <c r="J346" s="2386">
        <f t="shared" si="40"/>
        <v>25.192665714779359</v>
      </c>
      <c r="K346" s="2386">
        <f t="shared" si="40"/>
        <v>25.445602095985215</v>
      </c>
      <c r="L346" s="2386">
        <f t="shared" si="40"/>
        <v>25.701077978713542</v>
      </c>
      <c r="M346" s="2386">
        <f t="shared" si="40"/>
        <v>25.959118859762967</v>
      </c>
      <c r="N346" s="2386">
        <f t="shared" si="40"/>
        <v>26.219750491922046</v>
      </c>
      <c r="O346" s="2386">
        <f t="shared" si="40"/>
        <v>26.482998886539406</v>
      </c>
    </row>
    <row r="347" spans="2:15" hidden="1" outlineLevel="2">
      <c r="E347" s="20"/>
      <c r="F347" s="925"/>
      <c r="G347" s="925"/>
      <c r="H347" s="925"/>
      <c r="I347" s="925"/>
      <c r="J347" s="925"/>
      <c r="K347" s="925"/>
      <c r="L347" s="925"/>
      <c r="M347" s="925"/>
      <c r="N347" s="925"/>
      <c r="O347" s="925"/>
    </row>
    <row r="348" spans="2:15" hidden="1" outlineLevel="2">
      <c r="E348" s="20"/>
      <c r="F348" s="925"/>
      <c r="G348" s="925"/>
      <c r="H348" s="925"/>
      <c r="I348" s="925"/>
      <c r="J348" s="925"/>
      <c r="K348" s="925"/>
      <c r="L348" s="925"/>
      <c r="M348" s="925"/>
      <c r="N348" s="925"/>
      <c r="O348" s="925"/>
    </row>
    <row r="349" spans="2:15" hidden="1" outlineLevel="1" collapsed="1">
      <c r="B349" s="731">
        <v>4</v>
      </c>
      <c r="C349" s="731" t="s">
        <v>2316</v>
      </c>
      <c r="E349" s="20"/>
      <c r="F349" s="861">
        <v>2007</v>
      </c>
      <c r="G349" s="861">
        <v>2010</v>
      </c>
      <c r="H349" s="861">
        <v>2015</v>
      </c>
      <c r="I349" s="861">
        <v>2020</v>
      </c>
      <c r="J349" s="861">
        <v>2025</v>
      </c>
      <c r="K349" s="861">
        <v>2030</v>
      </c>
      <c r="L349" s="861">
        <v>2035</v>
      </c>
      <c r="M349" s="861">
        <v>2040</v>
      </c>
      <c r="N349" s="861">
        <v>2045</v>
      </c>
      <c r="O349" s="861">
        <v>2050</v>
      </c>
    </row>
    <row r="350" spans="2:15" hidden="1" outlineLevel="2">
      <c r="E350" s="20"/>
      <c r="F350" s="925"/>
      <c r="G350" s="925"/>
      <c r="H350" s="925"/>
      <c r="I350" s="925"/>
      <c r="J350" s="925"/>
      <c r="K350" s="925"/>
      <c r="L350" s="925"/>
      <c r="M350" s="925"/>
      <c r="N350" s="925"/>
      <c r="O350" s="925"/>
    </row>
    <row r="351" spans="2:15" hidden="1" outlineLevel="2">
      <c r="C351" s="121" t="s">
        <v>2154</v>
      </c>
      <c r="E351" s="24" t="str">
        <f>Preferences.EnergyUnits</f>
        <v>TWh</v>
      </c>
      <c r="F351" s="925">
        <f t="array" ref="F351:F353">F200:F202</f>
        <v>3.6518199999999998</v>
      </c>
      <c r="G351" s="925">
        <f>$F351*(G$234/$F$234)</f>
        <v>3.6518199999999998</v>
      </c>
      <c r="H351" s="925">
        <f t="shared" ref="H351:O351" si="41">$F351*(H$234/$F$234)</f>
        <v>3.6518199999999998</v>
      </c>
      <c r="I351" s="925">
        <f t="shared" si="41"/>
        <v>3.6518199999999998</v>
      </c>
      <c r="J351" s="925">
        <f t="shared" si="41"/>
        <v>3.6518199999999998</v>
      </c>
      <c r="K351" s="925">
        <f t="shared" si="41"/>
        <v>3.6518199999999998</v>
      </c>
      <c r="L351" s="925">
        <f t="shared" si="41"/>
        <v>3.6518199999999998</v>
      </c>
      <c r="M351" s="925">
        <f t="shared" si="41"/>
        <v>3.6518199999999998</v>
      </c>
      <c r="N351" s="925">
        <f t="shared" si="41"/>
        <v>3.6518199999999998</v>
      </c>
      <c r="O351" s="925">
        <f t="shared" si="41"/>
        <v>3.6518199999999998</v>
      </c>
    </row>
    <row r="352" spans="2:15" hidden="1" outlineLevel="2">
      <c r="C352" s="121" t="s">
        <v>2155</v>
      </c>
      <c r="E352" s="24" t="str">
        <f>Preferences.EnergyUnits</f>
        <v>TWh</v>
      </c>
      <c r="F352" s="925">
        <v>2.91913</v>
      </c>
      <c r="G352" s="925">
        <f t="shared" ref="G352:O352" si="42">$F352</f>
        <v>2.91913</v>
      </c>
      <c r="H352" s="925">
        <f t="shared" si="42"/>
        <v>2.91913</v>
      </c>
      <c r="I352" s="925">
        <f t="shared" si="42"/>
        <v>2.91913</v>
      </c>
      <c r="J352" s="925">
        <f t="shared" si="42"/>
        <v>2.91913</v>
      </c>
      <c r="K352" s="925">
        <f t="shared" si="42"/>
        <v>2.91913</v>
      </c>
      <c r="L352" s="925">
        <f t="shared" si="42"/>
        <v>2.91913</v>
      </c>
      <c r="M352" s="925">
        <f t="shared" si="42"/>
        <v>2.91913</v>
      </c>
      <c r="N352" s="925">
        <f t="shared" si="42"/>
        <v>2.91913</v>
      </c>
      <c r="O352" s="925">
        <f t="shared" si="42"/>
        <v>2.91913</v>
      </c>
    </row>
    <row r="353" spans="2:15" hidden="1" outlineLevel="2">
      <c r="C353" s="121" t="s">
        <v>2156</v>
      </c>
      <c r="E353" s="24" t="str">
        <f>Preferences.EnergyUnits</f>
        <v>TWh</v>
      </c>
      <c r="F353" s="925">
        <v>3.8611599999999999</v>
      </c>
      <c r="G353" s="925">
        <f t="shared" ref="G353:O353" si="43">$F353*(SUM(G$221:G$224)/SUM($F$221:$F$224))</f>
        <v>4.0486573115394897</v>
      </c>
      <c r="H353" s="925">
        <f t="shared" si="43"/>
        <v>4.0912281530555159</v>
      </c>
      <c r="I353" s="925">
        <f t="shared" si="43"/>
        <v>4.1337989945715332</v>
      </c>
      <c r="J353" s="925">
        <f t="shared" si="43"/>
        <v>4.1763698360875505</v>
      </c>
      <c r="K353" s="925">
        <f t="shared" si="43"/>
        <v>4.2189406776035732</v>
      </c>
      <c r="L353" s="925">
        <f t="shared" si="43"/>
        <v>4.3040823606356122</v>
      </c>
      <c r="M353" s="925">
        <f t="shared" si="43"/>
        <v>4.3892240436676504</v>
      </c>
      <c r="N353" s="925">
        <f t="shared" si="43"/>
        <v>4.4743657266996877</v>
      </c>
      <c r="O353" s="925">
        <f t="shared" si="43"/>
        <v>4.5595074097317276</v>
      </c>
    </row>
    <row r="354" spans="2:15" hidden="1" outlineLevel="2">
      <c r="C354" s="731"/>
      <c r="E354" s="20"/>
      <c r="F354" s="925"/>
      <c r="G354" s="925"/>
      <c r="H354" s="925"/>
      <c r="I354" s="925"/>
      <c r="J354" s="925"/>
      <c r="K354" s="925"/>
      <c r="L354" s="925"/>
      <c r="M354" s="925"/>
      <c r="N354" s="925"/>
      <c r="O354" s="925"/>
    </row>
    <row r="355" spans="2:15" hidden="1" outlineLevel="2">
      <c r="C355" s="731" t="s">
        <v>2157</v>
      </c>
      <c r="E355" s="20"/>
      <c r="F355" s="943">
        <f t="shared" ref="F355:O355" si="44">SUM(F$351:F$353)</f>
        <v>10.43211</v>
      </c>
      <c r="G355" s="943">
        <f t="shared" si="44"/>
        <v>10.61960731153949</v>
      </c>
      <c r="H355" s="943">
        <f t="shared" si="44"/>
        <v>10.662178153055516</v>
      </c>
      <c r="I355" s="943">
        <f t="shared" si="44"/>
        <v>10.704748994571533</v>
      </c>
      <c r="J355" s="943">
        <f t="shared" si="44"/>
        <v>10.74731983608755</v>
      </c>
      <c r="K355" s="943">
        <f t="shared" si="44"/>
        <v>10.789890677603573</v>
      </c>
      <c r="L355" s="943">
        <f t="shared" si="44"/>
        <v>10.875032360635611</v>
      </c>
      <c r="M355" s="943">
        <f t="shared" si="44"/>
        <v>10.960174043667649</v>
      </c>
      <c r="N355" s="943">
        <f t="shared" si="44"/>
        <v>11.045315726699688</v>
      </c>
      <c r="O355" s="943">
        <f t="shared" si="44"/>
        <v>11.130457409731727</v>
      </c>
    </row>
    <row r="356" spans="2:15" hidden="1" outlineLevel="2">
      <c r="B356" s="121" t="s">
        <v>45</v>
      </c>
      <c r="C356" s="121" t="str">
        <f>INDEX(Vectors[Description], MATCH($B356, Vectors[Code], 0))</f>
        <v>Electricity (delivered to end user)</v>
      </c>
      <c r="E356" s="20"/>
      <c r="F356" s="925">
        <f t="array" ref="F356:F359">F$355*$F$207:$F$210</f>
        <v>4.1728440000000004</v>
      </c>
      <c r="G356" s="925">
        <f t="array" ref="G356:G359">G$355*$F$207:$F$210</f>
        <v>4.2478429246157958</v>
      </c>
      <c r="H356" s="925">
        <f t="array" ref="H356:H359">H$355*$F$207:$F$210</f>
        <v>4.2648712612222068</v>
      </c>
      <c r="I356" s="925">
        <f t="array" ref="I356:I359">I$355*$F$207:$F$210</f>
        <v>4.2818995978286134</v>
      </c>
      <c r="J356" s="925">
        <f t="array" ref="J356:J359">J$355*$F$207:$F$210</f>
        <v>4.29892793443502</v>
      </c>
      <c r="K356" s="925">
        <f t="array" ref="K356:K359">K$355*$F$207:$F$210</f>
        <v>4.3159562710414292</v>
      </c>
      <c r="L356" s="925">
        <f t="array" ref="L356:L359">L$355*$F$207:$F$210</f>
        <v>4.350012944254245</v>
      </c>
      <c r="M356" s="925">
        <f t="array" ref="M356:M359">M$355*$F$207:$F$210</f>
        <v>4.3840696174670599</v>
      </c>
      <c r="N356" s="925">
        <f t="array" ref="N356:N359">N$355*$F$207:$F$210</f>
        <v>4.4181262906798748</v>
      </c>
      <c r="O356" s="925">
        <f t="array" ref="O356:O359">O$355*$F$207:$F$210</f>
        <v>4.4521829638926915</v>
      </c>
    </row>
    <row r="357" spans="2:15" hidden="1" outlineLevel="2">
      <c r="B357" s="121" t="s">
        <v>47</v>
      </c>
      <c r="C357" s="121" t="str">
        <f>INDEX(Vectors[Description], MATCH($B357, Vectors[Code], 0))</f>
        <v>Solid hydrocarbons</v>
      </c>
      <c r="E357" s="20"/>
      <c r="F357" s="925">
        <v>0.8345688</v>
      </c>
      <c r="G357" s="925">
        <v>0.84956858492315923</v>
      </c>
      <c r="H357" s="925">
        <v>0.85297425224444123</v>
      </c>
      <c r="I357" s="925">
        <v>0.85637991956572268</v>
      </c>
      <c r="J357" s="925">
        <v>0.85978558688700402</v>
      </c>
      <c r="K357" s="925">
        <v>0.86319125420828591</v>
      </c>
      <c r="L357" s="925">
        <v>0.87000258885084891</v>
      </c>
      <c r="M357" s="925">
        <v>0.87681392349341192</v>
      </c>
      <c r="N357" s="925">
        <v>0.88362525813597503</v>
      </c>
      <c r="O357" s="925">
        <v>0.89043659277853826</v>
      </c>
    </row>
    <row r="358" spans="2:15" hidden="1" outlineLevel="2">
      <c r="B358" s="121" t="s">
        <v>49</v>
      </c>
      <c r="C358" s="121" t="str">
        <f>INDEX(Vectors[Description], MATCH($B358, Vectors[Code], 0))</f>
        <v>Liquid hydrocarbons</v>
      </c>
      <c r="E358" s="20"/>
      <c r="F358" s="925">
        <v>3.4425962999999999</v>
      </c>
      <c r="G358" s="925">
        <v>3.5044704128080317</v>
      </c>
      <c r="H358" s="925">
        <v>3.5185187905083204</v>
      </c>
      <c r="I358" s="925">
        <v>3.5325671682086059</v>
      </c>
      <c r="J358" s="925">
        <v>3.5466155459088919</v>
      </c>
      <c r="K358" s="925">
        <v>3.5606639236091793</v>
      </c>
      <c r="L358" s="925">
        <v>3.5887606790097517</v>
      </c>
      <c r="M358" s="925">
        <v>3.6168574344103246</v>
      </c>
      <c r="N358" s="925">
        <v>3.644954189810897</v>
      </c>
      <c r="O358" s="925">
        <v>3.6730509452114704</v>
      </c>
    </row>
    <row r="359" spans="2:15" hidden="1" outlineLevel="2">
      <c r="B359" s="121" t="s">
        <v>50</v>
      </c>
      <c r="C359" s="121" t="str">
        <f>INDEX(Vectors[Description], MATCH($B359, Vectors[Code], 0))</f>
        <v>Gaseous hydrocarbons</v>
      </c>
      <c r="E359" s="20"/>
      <c r="F359" s="925">
        <v>1.9821009000000001</v>
      </c>
      <c r="G359" s="925">
        <v>2.0177253891925031</v>
      </c>
      <c r="H359" s="925">
        <v>2.025813849080548</v>
      </c>
      <c r="I359" s="925">
        <v>2.0339023089685915</v>
      </c>
      <c r="J359" s="925">
        <v>2.0419907688566346</v>
      </c>
      <c r="K359" s="925">
        <v>2.050079228744679</v>
      </c>
      <c r="L359" s="925">
        <v>2.066256148520766</v>
      </c>
      <c r="M359" s="925">
        <v>2.0824330682968535</v>
      </c>
      <c r="N359" s="925">
        <v>2.0986099880729405</v>
      </c>
      <c r="O359" s="925">
        <v>2.1147869078490285</v>
      </c>
    </row>
    <row r="360" spans="2:15" hidden="1" outlineLevel="2">
      <c r="E360" s="20"/>
      <c r="F360" s="925"/>
      <c r="G360" s="925"/>
      <c r="H360" s="925"/>
      <c r="I360" s="925"/>
      <c r="J360" s="925"/>
      <c r="K360" s="925"/>
      <c r="L360" s="925"/>
      <c r="M360" s="925"/>
      <c r="N360" s="925"/>
      <c r="O360" s="925"/>
    </row>
    <row r="361" spans="2:15" hidden="1" outlineLevel="1" collapsed="1">
      <c r="B361" s="731">
        <v>5</v>
      </c>
      <c r="C361" s="731" t="s">
        <v>1175</v>
      </c>
      <c r="E361" s="20"/>
      <c r="F361" s="861">
        <v>2007</v>
      </c>
      <c r="G361" s="861">
        <v>2010</v>
      </c>
      <c r="H361" s="861">
        <v>2015</v>
      </c>
      <c r="I361" s="861">
        <v>2020</v>
      </c>
      <c r="J361" s="861">
        <v>2025</v>
      </c>
      <c r="K361" s="861">
        <v>2030</v>
      </c>
      <c r="L361" s="861">
        <v>2035</v>
      </c>
      <c r="M361" s="861">
        <v>2040</v>
      </c>
      <c r="N361" s="861">
        <v>2045</v>
      </c>
      <c r="O361" s="861">
        <v>2050</v>
      </c>
    </row>
    <row r="362" spans="2:15" hidden="1" outlineLevel="2">
      <c r="B362" s="731"/>
      <c r="C362" s="731"/>
      <c r="E362" s="20"/>
      <c r="F362" s="861"/>
      <c r="G362" s="861"/>
      <c r="H362" s="861"/>
      <c r="I362" s="861"/>
      <c r="J362" s="861"/>
      <c r="K362" s="861"/>
      <c r="L362" s="861"/>
      <c r="M362" s="861"/>
      <c r="N362" s="861"/>
      <c r="O362" s="861"/>
    </row>
    <row r="363" spans="2:15" hidden="1" outlineLevel="2">
      <c r="C363" s="731" t="s">
        <v>1077</v>
      </c>
      <c r="E363" s="20"/>
      <c r="F363" s="925"/>
      <c r="G363" s="925"/>
      <c r="H363" s="925"/>
      <c r="I363" s="925"/>
      <c r="J363" s="925"/>
      <c r="K363" s="925"/>
      <c r="L363" s="925"/>
      <c r="M363" s="925"/>
      <c r="N363" s="925"/>
      <c r="O363" s="925"/>
    </row>
    <row r="364" spans="2:15" hidden="1" outlineLevel="2">
      <c r="B364" s="121" t="s">
        <v>1055</v>
      </c>
      <c r="C364" s="121" t="s">
        <v>1077</v>
      </c>
      <c r="E364" s="20" t="s">
        <v>1075</v>
      </c>
      <c r="F364" s="840">
        <f t="array" ref="F364">SUM(F$356:F$359*SUMIFS(EF[CO2], EF[Vector], $B$356:$B$359))</f>
        <v>1.4824028309999999</v>
      </c>
      <c r="G364" s="840">
        <f t="array" ref="G364">SUM(G$356:G$359*SUMIFS(EF[CO2], EF[Vector], $B$356:$B$359))</f>
        <v>1.5090461989697617</v>
      </c>
      <c r="H364" s="840">
        <f t="array" ref="H364">SUM(H$356:H$359*SUMIFS(EF[CO2], EF[Vector], $B$356:$B$359))</f>
        <v>1.5150955155491888</v>
      </c>
      <c r="I364" s="840">
        <f t="array" ref="I364">SUM(I$356:I$359*SUMIFS(EF[CO2], EF[Vector], $B$356:$B$359))</f>
        <v>1.5211448321286147</v>
      </c>
      <c r="J364" s="840">
        <f t="array" ref="J364">SUM(J$356:J$359*SUMIFS(EF[CO2], EF[Vector], $B$356:$B$359))</f>
        <v>1.5271941487080407</v>
      </c>
      <c r="K364" s="840">
        <f t="array" ref="K364">SUM(K$356:K$359*SUMIFS(EF[CO2], EF[Vector], $B$356:$B$359))</f>
        <v>1.5332434652874676</v>
      </c>
      <c r="L364" s="840">
        <f t="array" ref="L364">SUM(L$356:L$359*SUMIFS(EF[CO2], EF[Vector], $B$356:$B$359))</f>
        <v>1.5453420984463202</v>
      </c>
      <c r="M364" s="840">
        <f t="array" ref="M364">SUM(M$356:M$359*SUMIFS(EF[CO2], EF[Vector], $B$356:$B$359))</f>
        <v>1.557440731605173</v>
      </c>
      <c r="N364" s="840">
        <f t="array" ref="N364">SUM(N$356:N$359*SUMIFS(EF[CO2], EF[Vector], $B$356:$B$359))</f>
        <v>1.5695393647640254</v>
      </c>
      <c r="O364" s="840">
        <f t="array" ref="O364">SUM(O$356:O$359*SUMIFS(EF[CO2], EF[Vector], $B$356:$B$359))</f>
        <v>1.5816379979228785</v>
      </c>
    </row>
    <row r="365" spans="2:15" hidden="1" outlineLevel="2">
      <c r="B365" s="121" t="s">
        <v>1056</v>
      </c>
      <c r="C365" s="121" t="s">
        <v>1077</v>
      </c>
      <c r="F365" s="840">
        <f t="array" ref="F365">SUM(F$356:F$359*SUMIFS(EF[CH4], EF[Vector], $B$356:$B$359))</f>
        <v>2.5576655538874478E-3</v>
      </c>
      <c r="G365" s="840">
        <f t="array" ref="G365">SUM(G$356:G$359*SUMIFS(EF[CH4], EF[Vector], $B$356:$B$359))</f>
        <v>2.6036347216944456E-3</v>
      </c>
      <c r="H365" s="840">
        <f t="array" ref="H365">SUM(H$356:H$359*SUMIFS(EF[CH4], EF[Vector], $B$356:$B$359))</f>
        <v>2.6140719175201743E-3</v>
      </c>
      <c r="I365" s="840">
        <f t="array" ref="I365">SUM(I$356:I$359*SUMIFS(EF[CH4], EF[Vector], $B$356:$B$359))</f>
        <v>2.6245091133459005E-3</v>
      </c>
      <c r="J365" s="840">
        <f t="array" ref="J365">SUM(J$356:J$359*SUMIFS(EF[CH4], EF[Vector], $B$356:$B$359))</f>
        <v>2.6349463091716271E-3</v>
      </c>
      <c r="K365" s="840">
        <f t="array" ref="K365">SUM(K$356:K$359*SUMIFS(EF[CH4], EF[Vector], $B$356:$B$359))</f>
        <v>2.645383504997355E-3</v>
      </c>
      <c r="L365" s="840">
        <f t="array" ref="L365">SUM(L$356:L$359*SUMIFS(EF[CH4], EF[Vector], $B$356:$B$359))</f>
        <v>2.6662578966488086E-3</v>
      </c>
      <c r="M365" s="840">
        <f t="array" ref="M365">SUM(M$356:M$359*SUMIFS(EF[CH4], EF[Vector], $B$356:$B$359))</f>
        <v>2.6871322883002622E-3</v>
      </c>
      <c r="N365" s="840">
        <f t="array" ref="N365">SUM(N$356:N$359*SUMIFS(EF[CH4], EF[Vector], $B$356:$B$359))</f>
        <v>2.7080066799517162E-3</v>
      </c>
      <c r="O365" s="840">
        <f t="array" ref="O365">SUM(O$356:O$359*SUMIFS(EF[CH4], EF[Vector], $B$356:$B$359))</f>
        <v>2.7288810716031703E-3</v>
      </c>
    </row>
    <row r="366" spans="2:15" hidden="1" outlineLevel="2">
      <c r="B366" s="121" t="s">
        <v>1057</v>
      </c>
      <c r="C366" s="121" t="s">
        <v>1077</v>
      </c>
      <c r="F366" s="840">
        <f t="array" ref="F366">SUM(F$356:F$359*SUMIFS(EF[N2O], EF[Vector], $B$356:$B$359))</f>
        <v>1.8548175243751668E-2</v>
      </c>
      <c r="G366" s="840">
        <f t="array" ref="G366">SUM(G$356:G$359*SUMIFS(EF[N2O], EF[Vector], $B$356:$B$359))</f>
        <v>1.8881543372746355E-2</v>
      </c>
      <c r="H366" s="840">
        <f t="array" ref="H366">SUM(H$356:H$359*SUMIFS(EF[N2O], EF[Vector], $B$356:$B$359))</f>
        <v>1.895723385422261E-2</v>
      </c>
      <c r="I366" s="840">
        <f t="array" ref="I366">SUM(I$356:I$359*SUMIFS(EF[N2O], EF[Vector], $B$356:$B$359))</f>
        <v>1.903292433569885E-2</v>
      </c>
      <c r="J366" s="840">
        <f t="array" ref="J366">SUM(J$356:J$359*SUMIFS(EF[N2O], EF[Vector], $B$356:$B$359))</f>
        <v>1.9108614817175084E-2</v>
      </c>
      <c r="K366" s="840">
        <f t="array" ref="K366">SUM(K$356:K$359*SUMIFS(EF[N2O], EF[Vector], $B$356:$B$359))</f>
        <v>1.9184305298651332E-2</v>
      </c>
      <c r="L366" s="840">
        <f t="array" ref="L366">SUM(L$356:L$359*SUMIFS(EF[N2O], EF[Vector], $B$356:$B$359))</f>
        <v>1.9335686261603806E-2</v>
      </c>
      <c r="M366" s="840">
        <f t="array" ref="M366">SUM(M$356:M$359*SUMIFS(EF[N2O], EF[Vector], $B$356:$B$359))</f>
        <v>1.9487067224556291E-2</v>
      </c>
      <c r="N366" s="840">
        <f t="array" ref="N366">SUM(N$356:N$359*SUMIFS(EF[N2O], EF[Vector], $B$356:$B$359))</f>
        <v>1.9638448187508772E-2</v>
      </c>
      <c r="O366" s="840">
        <f t="array" ref="O366">SUM(O$356:O$359*SUMIFS(EF[N2O], EF[Vector], $B$356:$B$359))</f>
        <v>1.9789829150461256E-2</v>
      </c>
    </row>
    <row r="367" spans="2:15" hidden="1" outlineLevel="2">
      <c r="E367" s="20"/>
      <c r="F367" s="925"/>
      <c r="G367" s="925"/>
      <c r="H367" s="925"/>
      <c r="I367" s="925"/>
      <c r="J367" s="925"/>
      <c r="K367" s="925"/>
      <c r="L367" s="925"/>
      <c r="M367" s="925"/>
      <c r="N367" s="925"/>
      <c r="O367" s="925"/>
    </row>
    <row r="368" spans="2:15" hidden="1" outlineLevel="2">
      <c r="C368" s="731" t="s">
        <v>2236</v>
      </c>
      <c r="E368" s="20"/>
      <c r="F368" s="925"/>
      <c r="G368" s="925"/>
      <c r="H368" s="925"/>
      <c r="I368" s="925"/>
      <c r="J368" s="925"/>
      <c r="K368" s="925"/>
      <c r="L368" s="925"/>
      <c r="M368" s="925"/>
      <c r="N368" s="925"/>
      <c r="O368" s="925"/>
    </row>
    <row r="369" spans="1:19" ht="14.25" hidden="1" outlineLevel="2">
      <c r="B369" s="121" t="s">
        <v>1056</v>
      </c>
      <c r="C369" s="24" t="s">
        <v>1509</v>
      </c>
      <c r="E369" s="20" t="s">
        <v>1076</v>
      </c>
      <c r="F369" s="925">
        <f t="shared" ref="F369:O369" si="45">(F$234+F$236)*F$267/1000000</f>
        <v>15.560999999999998</v>
      </c>
      <c r="G369" s="925">
        <f t="shared" si="45"/>
        <v>15.457237717573113</v>
      </c>
      <c r="H369" s="925">
        <f t="shared" si="45"/>
        <v>15.285835849766652</v>
      </c>
      <c r="I369" s="925">
        <f t="shared" si="45"/>
        <v>15.116334619113113</v>
      </c>
      <c r="J369" s="925">
        <f t="shared" si="45"/>
        <v>15.06025292322891</v>
      </c>
      <c r="K369" s="925">
        <f t="shared" si="45"/>
        <v>15.004379290786838</v>
      </c>
      <c r="L369" s="925">
        <f t="shared" si="45"/>
        <v>14.948712949870226</v>
      </c>
      <c r="M369" s="925">
        <f t="shared" si="45"/>
        <v>14.893253131426221</v>
      </c>
      <c r="N369" s="925">
        <f t="shared" si="45"/>
        <v>14.837999069255154</v>
      </c>
      <c r="O369" s="925">
        <f t="shared" si="45"/>
        <v>14.782949999999973</v>
      </c>
      <c r="Q369" s="925"/>
    </row>
    <row r="370" spans="1:19" hidden="1" outlineLevel="2">
      <c r="B370" s="121" t="s">
        <v>1056</v>
      </c>
      <c r="C370" s="121" t="s">
        <v>1510</v>
      </c>
      <c r="E370" s="20"/>
      <c r="F370" s="925">
        <f t="shared" ref="F370:O370" si="46">F$338*$F$339*(1-F$340)*F$268/1000</f>
        <v>4.4657325999999991</v>
      </c>
      <c r="G370" s="925">
        <f t="shared" si="46"/>
        <v>4.0956225926038075</v>
      </c>
      <c r="H370" s="925">
        <f t="shared" si="46"/>
        <v>3.6323306620940725</v>
      </c>
      <c r="I370" s="925">
        <f t="shared" si="46"/>
        <v>2.2650790505639629</v>
      </c>
      <c r="J370" s="925">
        <f t="shared" si="46"/>
        <v>2.2599630188275488</v>
      </c>
      <c r="K370" s="925">
        <f t="shared" si="46"/>
        <v>2.2548585424409233</v>
      </c>
      <c r="L370" s="925">
        <f t="shared" si="46"/>
        <v>2.2497655953045403</v>
      </c>
      <c r="M370" s="925">
        <f t="shared" si="46"/>
        <v>2.2446841513778022</v>
      </c>
      <c r="N370" s="925">
        <f t="shared" si="46"/>
        <v>2.2396141846789286</v>
      </c>
      <c r="O370" s="925">
        <f t="shared" si="46"/>
        <v>2.2345556692848261</v>
      </c>
    </row>
    <row r="371" spans="1:19" hidden="1" outlineLevel="2">
      <c r="B371" s="121" t="s">
        <v>1057</v>
      </c>
      <c r="C371" s="24" t="s">
        <v>1531</v>
      </c>
      <c r="E371" s="20"/>
      <c r="F371" s="925">
        <f>F$278</f>
        <v>23.28</v>
      </c>
      <c r="G371" s="925">
        <f t="shared" ref="G371:O371" si="47">G$278</f>
        <v>22.836330553630731</v>
      </c>
      <c r="H371" s="925">
        <f t="shared" si="47"/>
        <v>22.115591632724669</v>
      </c>
      <c r="I371" s="925">
        <f>I$278</f>
        <v>21.417599999999993</v>
      </c>
      <c r="J371" s="925">
        <f t="shared" si="47"/>
        <v>21.345605690642255</v>
      </c>
      <c r="K371" s="925">
        <f t="shared" si="47"/>
        <v>21.273853386951814</v>
      </c>
      <c r="L371" s="925">
        <f t="shared" si="47"/>
        <v>21.202342275437385</v>
      </c>
      <c r="M371" s="925">
        <f t="shared" si="47"/>
        <v>21.131071545342206</v>
      </c>
      <c r="N371" s="925">
        <f t="shared" si="47"/>
        <v>21.060040388634832</v>
      </c>
      <c r="O371" s="925">
        <f t="shared" si="47"/>
        <v>20.989247999999979</v>
      </c>
    </row>
    <row r="372" spans="1:19" hidden="1" outlineLevel="2">
      <c r="C372" s="731" t="s">
        <v>1532</v>
      </c>
      <c r="E372" s="20"/>
      <c r="F372" s="943">
        <f>F369+F370+F371</f>
        <v>43.306732599999997</v>
      </c>
      <c r="G372" s="943">
        <f t="shared" ref="G372:O372" si="48">G369+G370+G371</f>
        <v>42.389190863807656</v>
      </c>
      <c r="H372" s="943">
        <f t="shared" si="48"/>
        <v>41.033758144585391</v>
      </c>
      <c r="I372" s="943">
        <f>I369+I370+I371</f>
        <v>38.799013669677066</v>
      </c>
      <c r="J372" s="943">
        <f t="shared" si="48"/>
        <v>38.665821632698716</v>
      </c>
      <c r="K372" s="943">
        <f t="shared" si="48"/>
        <v>38.533091220179571</v>
      </c>
      <c r="L372" s="943">
        <f t="shared" si="48"/>
        <v>38.400820820612154</v>
      </c>
      <c r="M372" s="943">
        <f t="shared" si="48"/>
        <v>38.269008828146227</v>
      </c>
      <c r="N372" s="943">
        <f t="shared" si="48"/>
        <v>38.137653642568914</v>
      </c>
      <c r="O372" s="943">
        <f t="shared" si="48"/>
        <v>38.006753669284777</v>
      </c>
    </row>
    <row r="373" spans="1:19" hidden="1" outlineLevel="2">
      <c r="C373" s="731"/>
      <c r="E373" s="20"/>
      <c r="F373" s="943"/>
      <c r="G373" s="943"/>
      <c r="H373" s="943"/>
      <c r="I373" s="943"/>
      <c r="J373" s="943"/>
      <c r="K373" s="943"/>
      <c r="L373" s="943"/>
      <c r="M373" s="943"/>
      <c r="N373" s="943"/>
      <c r="O373" s="943"/>
    </row>
    <row r="374" spans="1:19" hidden="1" outlineLevel="2">
      <c r="C374" s="731" t="s">
        <v>1436</v>
      </c>
      <c r="E374" s="20"/>
      <c r="F374" s="943"/>
      <c r="G374" s="943"/>
      <c r="H374" s="943"/>
      <c r="I374" s="943"/>
      <c r="J374" s="943"/>
      <c r="K374" s="943"/>
      <c r="L374" s="943"/>
      <c r="M374" s="943"/>
      <c r="N374" s="943"/>
      <c r="O374" s="943"/>
    </row>
    <row r="375" spans="1:19" ht="14.25" hidden="1" outlineLevel="2">
      <c r="B375" s="121" t="s">
        <v>2238</v>
      </c>
      <c r="C375" s="24" t="s">
        <v>2237</v>
      </c>
      <c r="E375" s="20" t="s">
        <v>1076</v>
      </c>
      <c r="F375" s="925">
        <f t="shared" ref="F375:O375" si="49">INDEX(F$87:F$90, MATCH($E$8, $C$87:$C$90, 0))</f>
        <v>-14.183165399999998</v>
      </c>
      <c r="G375" s="925">
        <f t="shared" si="49"/>
        <v>-10.582451516666699</v>
      </c>
      <c r="H375" s="925">
        <f t="shared" si="49"/>
        <v>-7.2689570166666702</v>
      </c>
      <c r="I375" s="925">
        <f t="shared" si="49"/>
        <v>-4.2283102499999998</v>
      </c>
      <c r="J375" s="925">
        <f t="shared" si="49"/>
        <v>-1.60029287666667</v>
      </c>
      <c r="K375" s="925">
        <f t="shared" si="49"/>
        <v>-0.61735176333333297</v>
      </c>
      <c r="L375" s="925">
        <f t="shared" si="49"/>
        <v>-0.929239486666669</v>
      </c>
      <c r="M375" s="925">
        <f t="shared" si="49"/>
        <v>-2.50554051666668</v>
      </c>
      <c r="N375" s="925">
        <f t="shared" si="49"/>
        <v>-4.3207360266666601</v>
      </c>
      <c r="O375" s="925">
        <f t="shared" si="49"/>
        <v>-5.3787944533333398</v>
      </c>
    </row>
    <row r="376" spans="1:19" hidden="1" outlineLevel="2">
      <c r="B376" s="121" t="s">
        <v>2239</v>
      </c>
      <c r="C376" s="24" t="s">
        <v>2240</v>
      </c>
      <c r="E376" s="20"/>
      <c r="F376" s="925">
        <f>(F$221+F$222)*$F$163</f>
        <v>15.288349999999999</v>
      </c>
      <c r="G376" s="925">
        <f t="shared" ref="G376:O376" si="50">(G$221+G$222)*$F$163</f>
        <v>15.982272163019925</v>
      </c>
      <c r="H376" s="925">
        <f t="shared" si="50"/>
        <v>15.787276732984687</v>
      </c>
      <c r="I376" s="925">
        <f t="shared" si="50"/>
        <v>15.594711839863729</v>
      </c>
      <c r="J376" s="925">
        <f t="shared" si="50"/>
        <v>15.40454718802558</v>
      </c>
      <c r="K376" s="925">
        <f t="shared" si="50"/>
        <v>15.216752859461215</v>
      </c>
      <c r="L376" s="925">
        <f t="shared" si="50"/>
        <v>15.031299309077085</v>
      </c>
      <c r="M376" s="925">
        <f t="shared" si="50"/>
        <v>14.848157360046976</v>
      </c>
      <c r="N376" s="925">
        <f t="shared" si="50"/>
        <v>14.667298199221669</v>
      </c>
      <c r="O376" s="925">
        <f t="shared" si="50"/>
        <v>14.488693372595892</v>
      </c>
    </row>
    <row r="377" spans="1:19" hidden="1" outlineLevel="2">
      <c r="B377" s="121" t="s">
        <v>2241</v>
      </c>
      <c r="C377" s="24" t="s">
        <v>2242</v>
      </c>
      <c r="E377" s="20"/>
      <c r="F377" s="925">
        <f>F$225*$F$164</f>
        <v>-7.9670500000000004</v>
      </c>
      <c r="G377" s="925">
        <f t="shared" ref="G377:O377" si="51">G$225*$F$164</f>
        <v>-7.7947349725866193</v>
      </c>
      <c r="H377" s="925">
        <f t="shared" si="51"/>
        <v>-7.7170987893041652</v>
      </c>
      <c r="I377" s="925">
        <f t="shared" si="51"/>
        <v>-7.6402358686119163</v>
      </c>
      <c r="J377" s="925">
        <f t="shared" si="51"/>
        <v>-7.5641385087526825</v>
      </c>
      <c r="K377" s="925">
        <f t="shared" si="51"/>
        <v>-7.4887990846792709</v>
      </c>
      <c r="L377" s="925">
        <f t="shared" si="51"/>
        <v>-7.4142100472907906</v>
      </c>
      <c r="M377" s="925">
        <f t="shared" si="51"/>
        <v>-7.3403639226759045</v>
      </c>
      <c r="N377" s="925">
        <f t="shared" si="51"/>
        <v>-7.2672533113639144</v>
      </c>
      <c r="O377" s="925">
        <f t="shared" si="51"/>
        <v>-7.1948708875836402</v>
      </c>
    </row>
    <row r="378" spans="1:19" hidden="1" outlineLevel="2">
      <c r="B378" s="121" t="s">
        <v>2243</v>
      </c>
      <c r="C378" s="24" t="s">
        <v>1479</v>
      </c>
      <c r="E378" s="20"/>
      <c r="F378" s="925">
        <f>$F$169</f>
        <v>6.3298100000000002</v>
      </c>
      <c r="G378" s="925">
        <f t="shared" ref="G378:O378" si="52">$F$169</f>
        <v>6.3298100000000002</v>
      </c>
      <c r="H378" s="925">
        <f t="shared" si="52"/>
        <v>6.3298100000000002</v>
      </c>
      <c r="I378" s="925">
        <f t="shared" si="52"/>
        <v>6.3298100000000002</v>
      </c>
      <c r="J378" s="925">
        <f t="shared" si="52"/>
        <v>6.3298100000000002</v>
      </c>
      <c r="K378" s="925">
        <f t="shared" si="52"/>
        <v>6.3298100000000002</v>
      </c>
      <c r="L378" s="925">
        <f t="shared" si="52"/>
        <v>6.3298100000000002</v>
      </c>
      <c r="M378" s="925">
        <f t="shared" si="52"/>
        <v>6.3298100000000002</v>
      </c>
      <c r="N378" s="925">
        <f t="shared" si="52"/>
        <v>6.3298100000000002</v>
      </c>
      <c r="O378" s="925">
        <f t="shared" si="52"/>
        <v>6.3298100000000002</v>
      </c>
    </row>
    <row r="379" spans="1:19" hidden="1" outlineLevel="2">
      <c r="B379" s="121" t="s">
        <v>2247</v>
      </c>
      <c r="C379" s="24" t="s">
        <v>123</v>
      </c>
      <c r="E379" s="20"/>
      <c r="F379" s="925">
        <f>$F$170</f>
        <v>-1.29274</v>
      </c>
      <c r="G379" s="925">
        <f t="shared" ref="G379:O379" si="53">$F$170</f>
        <v>-1.29274</v>
      </c>
      <c r="H379" s="925">
        <f t="shared" si="53"/>
        <v>-1.29274</v>
      </c>
      <c r="I379" s="925">
        <f t="shared" si="53"/>
        <v>-1.29274</v>
      </c>
      <c r="J379" s="925">
        <f t="shared" si="53"/>
        <v>-1.29274</v>
      </c>
      <c r="K379" s="925">
        <f t="shared" si="53"/>
        <v>-1.29274</v>
      </c>
      <c r="L379" s="925">
        <f t="shared" si="53"/>
        <v>-1.29274</v>
      </c>
      <c r="M379" s="925">
        <f t="shared" si="53"/>
        <v>-1.29274</v>
      </c>
      <c r="N379" s="925">
        <f t="shared" si="53"/>
        <v>-1.29274</v>
      </c>
      <c r="O379" s="925">
        <f t="shared" si="53"/>
        <v>-1.29274</v>
      </c>
    </row>
    <row r="380" spans="1:19" hidden="1" outlineLevel="2">
      <c r="C380" s="731" t="s">
        <v>2246</v>
      </c>
      <c r="E380" s="20"/>
      <c r="F380" s="943">
        <f>SUM(F$375:F$379)</f>
        <v>-1.8247953999999991</v>
      </c>
      <c r="G380" s="943">
        <f t="shared" ref="G380:O380" si="54">SUM(G$375:G$379)</f>
        <v>2.6421556737666059</v>
      </c>
      <c r="H380" s="943">
        <f t="shared" si="54"/>
        <v>5.8382909270138512</v>
      </c>
      <c r="I380" s="943">
        <f t="shared" si="54"/>
        <v>8.7632357212518119</v>
      </c>
      <c r="J380" s="943">
        <f t="shared" si="54"/>
        <v>11.277185802606228</v>
      </c>
      <c r="K380" s="943">
        <f t="shared" si="54"/>
        <v>12.147672011448611</v>
      </c>
      <c r="L380" s="943">
        <f t="shared" si="54"/>
        <v>11.724919775119625</v>
      </c>
      <c r="M380" s="943">
        <f t="shared" si="54"/>
        <v>10.039322920704391</v>
      </c>
      <c r="N380" s="943">
        <f t="shared" si="54"/>
        <v>8.1163788611910945</v>
      </c>
      <c r="O380" s="943">
        <f t="shared" si="54"/>
        <v>6.9520980316789114</v>
      </c>
    </row>
    <row r="381" spans="1:19" hidden="1" outlineLevel="2">
      <c r="C381" s="731"/>
      <c r="E381" s="20"/>
      <c r="F381" s="943"/>
      <c r="G381" s="943"/>
      <c r="H381" s="943"/>
      <c r="I381" s="943"/>
      <c r="J381" s="943"/>
      <c r="K381" s="943"/>
      <c r="L381" s="943"/>
      <c r="M381" s="943"/>
      <c r="N381" s="943"/>
      <c r="O381" s="943"/>
    </row>
    <row r="382" spans="1:19" s="743" customFormat="1" hidden="1" outlineLevel="1">
      <c r="F382" s="27"/>
      <c r="S382" s="27"/>
    </row>
    <row r="383" spans="1:19" s="743" customFormat="1">
      <c r="F383" s="27"/>
      <c r="S383" s="27"/>
    </row>
    <row r="384" spans="1:19" ht="22.5" collapsed="1">
      <c r="A384" s="1171"/>
      <c r="B384" s="1231" t="s">
        <v>683</v>
      </c>
      <c r="C384" s="1183"/>
      <c r="D384" s="1183"/>
      <c r="E384" s="1183"/>
      <c r="F384" s="1183"/>
      <c r="G384" s="1183"/>
      <c r="H384" s="1183"/>
      <c r="I384" s="1183"/>
      <c r="J384" s="1183"/>
      <c r="K384" s="1183"/>
      <c r="L384" s="1183"/>
      <c r="M384" s="1183"/>
      <c r="N384" s="1183"/>
      <c r="O384" s="1183"/>
      <c r="P384" s="1185"/>
      <c r="S384" s="27"/>
    </row>
    <row r="385" spans="1:19" hidden="1" outlineLevel="1">
      <c r="B385" s="1172"/>
      <c r="C385" s="1174"/>
      <c r="D385" s="1174"/>
      <c r="E385" s="1174"/>
      <c r="F385" s="1174"/>
      <c r="G385" s="1174"/>
      <c r="H385" s="1174"/>
      <c r="I385" s="1174"/>
      <c r="J385" s="1174"/>
      <c r="K385" s="1174"/>
      <c r="L385" s="1174"/>
      <c r="M385" s="1174"/>
      <c r="N385" s="1174"/>
      <c r="O385" s="1174"/>
      <c r="P385" s="1176"/>
      <c r="S385" s="27"/>
    </row>
    <row r="386" spans="1:19" hidden="1" outlineLevel="1">
      <c r="B386" s="1172"/>
      <c r="C386" s="1186" t="s">
        <v>730</v>
      </c>
      <c r="D386" s="1174"/>
      <c r="E386" s="1175"/>
      <c r="F386" s="1174"/>
      <c r="G386" s="1175"/>
      <c r="H386" s="1174"/>
      <c r="I386" s="1174"/>
      <c r="J386" s="1174"/>
      <c r="K386" s="1174"/>
      <c r="L386" s="1174"/>
      <c r="M386" s="1174"/>
      <c r="N386" s="1174"/>
      <c r="O386" s="1175" t="str">
        <f>Preferences.EnergyUnits</f>
        <v>TWh</v>
      </c>
      <c r="P386" s="1176"/>
      <c r="S386" s="27"/>
    </row>
    <row r="387" spans="1:19" ht="6" hidden="1" customHeight="1" outlineLevel="1">
      <c r="B387" s="1172"/>
      <c r="C387" s="1174"/>
      <c r="D387" s="1174"/>
      <c r="E387" s="1174"/>
      <c r="F387" s="1174"/>
      <c r="G387" s="1174"/>
      <c r="H387" s="1174"/>
      <c r="I387" s="1174"/>
      <c r="J387" s="1174"/>
      <c r="K387" s="1174"/>
      <c r="L387" s="1174"/>
      <c r="M387" s="1174"/>
      <c r="N387" s="1174"/>
      <c r="O387" s="1174"/>
      <c r="P387" s="1176"/>
      <c r="S387" s="27"/>
    </row>
    <row r="388" spans="1:19" ht="15.75" hidden="1" outlineLevel="1">
      <c r="A388" s="3"/>
      <c r="B388" s="1177"/>
      <c r="C388" s="1188" t="s">
        <v>78</v>
      </c>
      <c r="D388" s="1188" t="s">
        <v>418</v>
      </c>
      <c r="E388" s="1188" t="s">
        <v>442</v>
      </c>
      <c r="F388" s="1188" t="s">
        <v>691</v>
      </c>
      <c r="G388" s="1188" t="s">
        <v>692</v>
      </c>
      <c r="H388" s="1189" t="s">
        <v>721</v>
      </c>
      <c r="I388" s="1189" t="s">
        <v>722</v>
      </c>
      <c r="J388" s="1189" t="s">
        <v>723</v>
      </c>
      <c r="K388" s="1189" t="s">
        <v>724</v>
      </c>
      <c r="L388" s="1189" t="s">
        <v>725</v>
      </c>
      <c r="M388" s="1189" t="s">
        <v>726</v>
      </c>
      <c r="N388" s="1189" t="s">
        <v>727</v>
      </c>
      <c r="O388" s="1189" t="s">
        <v>728</v>
      </c>
      <c r="P388" s="1176"/>
    </row>
    <row r="389" spans="1:19" ht="15.75" hidden="1" outlineLevel="1">
      <c r="A389" s="3"/>
      <c r="B389" s="1177"/>
      <c r="C389" s="1188" t="s">
        <v>45</v>
      </c>
      <c r="D389" s="1188" t="str">
        <f>INDEX(Vectors[Description], MATCH([Vector], Vectors[Code], 0))</f>
        <v>Electricity (delivered to end user)</v>
      </c>
      <c r="E389" s="1188"/>
      <c r="F389" s="2034">
        <f>-F$356</f>
        <v>-4.1728440000000004</v>
      </c>
      <c r="G389" s="2034">
        <f t="shared" ref="G389:O389" si="55">-G$356</f>
        <v>-4.2478429246157958</v>
      </c>
      <c r="H389" s="2034">
        <f t="shared" si="55"/>
        <v>-4.2648712612222068</v>
      </c>
      <c r="I389" s="2034">
        <f t="shared" si="55"/>
        <v>-4.2818995978286134</v>
      </c>
      <c r="J389" s="2034">
        <f t="shared" si="55"/>
        <v>-4.29892793443502</v>
      </c>
      <c r="K389" s="2034">
        <f t="shared" si="55"/>
        <v>-4.3159562710414292</v>
      </c>
      <c r="L389" s="2034">
        <f t="shared" si="55"/>
        <v>-4.350012944254245</v>
      </c>
      <c r="M389" s="2034">
        <f t="shared" si="55"/>
        <v>-4.3840696174670599</v>
      </c>
      <c r="N389" s="2034">
        <f t="shared" si="55"/>
        <v>-4.4181262906798748</v>
      </c>
      <c r="O389" s="2034">
        <f t="shared" si="55"/>
        <v>-4.4521829638926915</v>
      </c>
      <c r="P389" s="1176"/>
      <c r="R389" s="27"/>
    </row>
    <row r="390" spans="1:19" ht="15.75" hidden="1" outlineLevel="1">
      <c r="A390" s="3"/>
      <c r="B390" s="1177"/>
      <c r="C390" s="1188" t="s">
        <v>47</v>
      </c>
      <c r="D390" s="1188" t="str">
        <f>INDEX(Vectors[Description], MATCH([Vector], Vectors[Code], 0))</f>
        <v>Solid hydrocarbons</v>
      </c>
      <c r="E390" s="1188"/>
      <c r="F390" s="2034">
        <f>-F$357</f>
        <v>-0.8345688</v>
      </c>
      <c r="G390" s="2034">
        <f t="shared" ref="G390:O390" si="56">-G$357</f>
        <v>-0.84956858492315923</v>
      </c>
      <c r="H390" s="2034">
        <f t="shared" si="56"/>
        <v>-0.85297425224444123</v>
      </c>
      <c r="I390" s="2034">
        <f t="shared" si="56"/>
        <v>-0.85637991956572268</v>
      </c>
      <c r="J390" s="2034">
        <f t="shared" si="56"/>
        <v>-0.85978558688700402</v>
      </c>
      <c r="K390" s="2034">
        <f t="shared" si="56"/>
        <v>-0.86319125420828591</v>
      </c>
      <c r="L390" s="2034">
        <f t="shared" si="56"/>
        <v>-0.87000258885084891</v>
      </c>
      <c r="M390" s="2034">
        <f t="shared" si="56"/>
        <v>-0.87681392349341192</v>
      </c>
      <c r="N390" s="2034">
        <f t="shared" si="56"/>
        <v>-0.88362525813597503</v>
      </c>
      <c r="O390" s="2034">
        <f t="shared" si="56"/>
        <v>-0.89043659277853826</v>
      </c>
      <c r="P390" s="1176"/>
      <c r="R390" s="27"/>
    </row>
    <row r="391" spans="1:19" ht="15.75" hidden="1" outlineLevel="1">
      <c r="A391" s="3"/>
      <c r="B391" s="1177"/>
      <c r="C391" s="1188" t="s">
        <v>49</v>
      </c>
      <c r="D391" s="1188" t="str">
        <f>INDEX(Vectors[Description], MATCH([Vector], Vectors[Code], 0))</f>
        <v>Liquid hydrocarbons</v>
      </c>
      <c r="E391" s="1188"/>
      <c r="F391" s="2034">
        <f>-F$358</f>
        <v>-3.4425962999999999</v>
      </c>
      <c r="G391" s="2034">
        <f t="shared" ref="G391:O391" si="57">-G$358</f>
        <v>-3.5044704128080317</v>
      </c>
      <c r="H391" s="2034">
        <f t="shared" si="57"/>
        <v>-3.5185187905083204</v>
      </c>
      <c r="I391" s="2034">
        <f t="shared" si="57"/>
        <v>-3.5325671682086059</v>
      </c>
      <c r="J391" s="2034">
        <f t="shared" si="57"/>
        <v>-3.5466155459088919</v>
      </c>
      <c r="K391" s="2034">
        <f t="shared" si="57"/>
        <v>-3.5606639236091793</v>
      </c>
      <c r="L391" s="2034">
        <f t="shared" si="57"/>
        <v>-3.5887606790097517</v>
      </c>
      <c r="M391" s="2034">
        <f t="shared" si="57"/>
        <v>-3.6168574344103246</v>
      </c>
      <c r="N391" s="2034">
        <f t="shared" si="57"/>
        <v>-3.644954189810897</v>
      </c>
      <c r="O391" s="2034">
        <f t="shared" si="57"/>
        <v>-3.6730509452114704</v>
      </c>
      <c r="P391" s="1176"/>
      <c r="R391" s="27"/>
    </row>
    <row r="392" spans="1:19" ht="15.75" hidden="1" outlineLevel="1">
      <c r="A392" s="3"/>
      <c r="B392" s="1177"/>
      <c r="C392" s="1188" t="s">
        <v>50</v>
      </c>
      <c r="D392" s="1188" t="str">
        <f>INDEX(Vectors[Description], MATCH([Vector], Vectors[Code], 0))</f>
        <v>Gaseous hydrocarbons</v>
      </c>
      <c r="E392" s="1188"/>
      <c r="F392" s="2034">
        <f>-F$359</f>
        <v>-1.9821009000000001</v>
      </c>
      <c r="G392" s="2034">
        <f t="shared" ref="G392:O392" si="58">-G$359</f>
        <v>-2.0177253891925031</v>
      </c>
      <c r="H392" s="2034">
        <f t="shared" si="58"/>
        <v>-2.025813849080548</v>
      </c>
      <c r="I392" s="2034">
        <f t="shared" si="58"/>
        <v>-2.0339023089685915</v>
      </c>
      <c r="J392" s="2034">
        <f t="shared" si="58"/>
        <v>-2.0419907688566346</v>
      </c>
      <c r="K392" s="2034">
        <f t="shared" si="58"/>
        <v>-2.050079228744679</v>
      </c>
      <c r="L392" s="2034">
        <f t="shared" si="58"/>
        <v>-2.066256148520766</v>
      </c>
      <c r="M392" s="2034">
        <f t="shared" si="58"/>
        <v>-2.0824330682968535</v>
      </c>
      <c r="N392" s="2034">
        <f t="shared" si="58"/>
        <v>-2.0986099880729405</v>
      </c>
      <c r="O392" s="2034">
        <f t="shared" si="58"/>
        <v>-2.1147869078490285</v>
      </c>
      <c r="P392" s="1176"/>
      <c r="R392" s="27"/>
    </row>
    <row r="393" spans="1:19" ht="15.75" hidden="1" outlineLevel="1">
      <c r="A393" s="3"/>
      <c r="B393" s="1177"/>
      <c r="C393" s="1188" t="s">
        <v>13</v>
      </c>
      <c r="D393" s="1188" t="str">
        <f>INDEX(Vectors[Description], MATCH([Vector], Vectors[Code], 0))</f>
        <v>Industry</v>
      </c>
      <c r="E393" s="1188"/>
      <c r="F393" s="2034">
        <f>F$355</f>
        <v>10.43211</v>
      </c>
      <c r="G393" s="2034">
        <f t="shared" ref="G393:O393" si="59">G$355</f>
        <v>10.61960731153949</v>
      </c>
      <c r="H393" s="2034">
        <f t="shared" si="59"/>
        <v>10.662178153055516</v>
      </c>
      <c r="I393" s="2034">
        <f t="shared" si="59"/>
        <v>10.704748994571533</v>
      </c>
      <c r="J393" s="2034">
        <f t="shared" si="59"/>
        <v>10.74731983608755</v>
      </c>
      <c r="K393" s="2034">
        <f t="shared" si="59"/>
        <v>10.789890677603573</v>
      </c>
      <c r="L393" s="2034">
        <f t="shared" si="59"/>
        <v>10.875032360635611</v>
      </c>
      <c r="M393" s="2034">
        <f t="shared" si="59"/>
        <v>10.960174043667649</v>
      </c>
      <c r="N393" s="2034">
        <f t="shared" si="59"/>
        <v>11.045315726699688</v>
      </c>
      <c r="O393" s="2034">
        <f t="shared" si="59"/>
        <v>11.130457409731727</v>
      </c>
      <c r="P393" s="1176"/>
      <c r="R393" s="27"/>
    </row>
    <row r="394" spans="1:19" ht="15.75" hidden="1" outlineLevel="1">
      <c r="A394" s="3"/>
      <c r="B394" s="1177"/>
      <c r="C394" s="1188" t="s">
        <v>2291</v>
      </c>
      <c r="D394" s="1188" t="str">
        <f>INDEX(Vectors[Description], MATCH([Vector], Vectors[Code], 0))</f>
        <v>Energy crops (first generation)</v>
      </c>
      <c r="E394" s="1188"/>
      <c r="F394" s="2034">
        <f>F$306</f>
        <v>4.0593000000000004</v>
      </c>
      <c r="G394" s="2034">
        <f t="shared" ref="G394:O394" si="60">G$306</f>
        <v>1.1980448469689404</v>
      </c>
      <c r="H394" s="2034">
        <f t="shared" si="60"/>
        <v>1.252228408041016</v>
      </c>
      <c r="I394" s="2034">
        <f t="shared" si="60"/>
        <v>1.3088625103410589</v>
      </c>
      <c r="J394" s="2034">
        <f t="shared" si="60"/>
        <v>1.3680579836519617</v>
      </c>
      <c r="K394" s="2034">
        <f t="shared" si="60"/>
        <v>1.4299306702169821</v>
      </c>
      <c r="L394" s="2034">
        <f t="shared" si="60"/>
        <v>1.4946016514365559</v>
      </c>
      <c r="M394" s="2034">
        <f t="shared" si="60"/>
        <v>1.5621974848178559</v>
      </c>
      <c r="N394" s="2034">
        <f t="shared" si="60"/>
        <v>1.6328504516407798</v>
      </c>
      <c r="O394" s="2034">
        <f t="shared" si="60"/>
        <v>1.7066988158250447</v>
      </c>
      <c r="P394" s="1176"/>
      <c r="R394" s="27"/>
    </row>
    <row r="395" spans="1:19" ht="15.75" hidden="1" outlineLevel="1">
      <c r="A395" s="3"/>
      <c r="B395" s="1177"/>
      <c r="C395" s="1188" t="s">
        <v>1801</v>
      </c>
      <c r="D395" s="1188" t="str">
        <f>INDEX(Vectors[Description], MATCH([Vector], Vectors[Code], 0))</f>
        <v>Energy crops (second generation)</v>
      </c>
      <c r="E395" s="1188"/>
      <c r="F395" s="2034">
        <f>F$319</f>
        <v>0.82222222222222219</v>
      </c>
      <c r="G395" s="2034">
        <f t="shared" ref="G395:O395" si="61">G$319</f>
        <v>1.6469469103055956</v>
      </c>
      <c r="H395" s="2034">
        <f t="shared" si="61"/>
        <v>7.7206352827919442</v>
      </c>
      <c r="I395" s="2034">
        <f t="shared" si="61"/>
        <v>14.367659141861198</v>
      </c>
      <c r="J395" s="2034">
        <f t="shared" si="61"/>
        <v>21.62911347575881</v>
      </c>
      <c r="K395" s="2034">
        <f t="shared" si="61"/>
        <v>29.548733569197832</v>
      </c>
      <c r="L395" s="2034">
        <f t="shared" si="61"/>
        <v>41.568038881692388</v>
      </c>
      <c r="M395" s="2034">
        <f t="shared" si="61"/>
        <v>54.687907950087279</v>
      </c>
      <c r="N395" s="2034">
        <f t="shared" si="61"/>
        <v>68.987497373024652</v>
      </c>
      <c r="O395" s="2034">
        <f t="shared" si="61"/>
        <v>84.551105543007012</v>
      </c>
      <c r="P395" s="1176"/>
      <c r="R395" s="27"/>
    </row>
    <row r="396" spans="1:19" ht="15.75" hidden="1" outlineLevel="1">
      <c r="A396" s="3"/>
      <c r="B396" s="1177"/>
      <c r="C396" s="765" t="s">
        <v>755</v>
      </c>
      <c r="D396" s="765" t="str">
        <f>INDEX(Vectors[Description], MATCH([Vector], Vectors[Code], 0))</f>
        <v>Dry biomatter and waste</v>
      </c>
      <c r="E396" s="765"/>
      <c r="F396" s="953">
        <f>F$345</f>
        <v>2.3378822956666663</v>
      </c>
      <c r="G396" s="953">
        <f t="shared" ref="G396:O396" si="62">G$345</f>
        <v>2.8029732137249925</v>
      </c>
      <c r="H396" s="953">
        <f t="shared" si="62"/>
        <v>3.5408324923433501</v>
      </c>
      <c r="I396" s="953">
        <f t="shared" si="62"/>
        <v>4.473005871885702</v>
      </c>
      <c r="J396" s="953">
        <f t="shared" si="62"/>
        <v>5.650686870673634</v>
      </c>
      <c r="K396" s="953">
        <f t="shared" si="62"/>
        <v>7.1385620250934902</v>
      </c>
      <c r="L396" s="953">
        <f t="shared" si="62"/>
        <v>9.0656960949762713</v>
      </c>
      <c r="M396" s="953">
        <f t="shared" si="62"/>
        <v>12.084459109755816</v>
      </c>
      <c r="N396" s="953">
        <f t="shared" si="62"/>
        <v>15.594341534752724</v>
      </c>
      <c r="O396" s="953">
        <f t="shared" si="62"/>
        <v>19.598185340311709</v>
      </c>
      <c r="P396" s="1176"/>
      <c r="R396" s="27"/>
    </row>
    <row r="397" spans="1:19" ht="15.75" hidden="1" outlineLevel="1">
      <c r="A397" s="3"/>
      <c r="B397" s="1177"/>
      <c r="C397" s="765" t="s">
        <v>929</v>
      </c>
      <c r="D397" s="765" t="str">
        <f>INDEX(Vectors[Description], MATCH([Vector], Vectors[Code], 0))</f>
        <v>Wet biomatter and waste</v>
      </c>
      <c r="E397" s="765"/>
      <c r="F397" s="953">
        <f>F$346</f>
        <v>0.97210936666666681</v>
      </c>
      <c r="G397" s="953">
        <f t="shared" ref="G397:O397" si="63">G$346</f>
        <v>4.8897684797797085</v>
      </c>
      <c r="H397" s="953">
        <f t="shared" si="63"/>
        <v>9.8777242937790248</v>
      </c>
      <c r="I397" s="953">
        <f t="shared" si="63"/>
        <v>24.942243591742606</v>
      </c>
      <c r="J397" s="953">
        <f t="shared" si="63"/>
        <v>25.192665714779359</v>
      </c>
      <c r="K397" s="953">
        <f t="shared" si="63"/>
        <v>25.445602095985215</v>
      </c>
      <c r="L397" s="953">
        <f t="shared" si="63"/>
        <v>25.701077978713542</v>
      </c>
      <c r="M397" s="953">
        <f t="shared" si="63"/>
        <v>25.959118859762967</v>
      </c>
      <c r="N397" s="953">
        <f t="shared" si="63"/>
        <v>26.219750491922046</v>
      </c>
      <c r="O397" s="953">
        <f t="shared" si="63"/>
        <v>26.482998886539406</v>
      </c>
      <c r="P397" s="1176"/>
      <c r="R397" s="27"/>
    </row>
    <row r="398" spans="1:19" ht="15.75" hidden="1" outlineLevel="1">
      <c r="A398" s="3"/>
      <c r="B398" s="1177"/>
      <c r="C398" s="765" t="s">
        <v>1027</v>
      </c>
      <c r="D398" s="765" t="str">
        <f>INDEX(Vectors[Description], MATCH([Vector], Vectors[Code], 0))</f>
        <v>Agriculture</v>
      </c>
      <c r="E398" s="765"/>
      <c r="F398" s="953">
        <f>-(F$319+F$306)</f>
        <v>-4.8815222222222223</v>
      </c>
      <c r="G398" s="953">
        <f t="shared" ref="G398:O398" si="64">-(G$319+G$306)</f>
        <v>-2.8449917572745358</v>
      </c>
      <c r="H398" s="953">
        <f t="shared" si="64"/>
        <v>-8.9728636908329609</v>
      </c>
      <c r="I398" s="953">
        <f t="shared" si="64"/>
        <v>-15.676521652202258</v>
      </c>
      <c r="J398" s="953">
        <f t="shared" si="64"/>
        <v>-22.997171459410772</v>
      </c>
      <c r="K398" s="953">
        <f t="shared" si="64"/>
        <v>-30.978664239414815</v>
      </c>
      <c r="L398" s="953">
        <f t="shared" si="64"/>
        <v>-43.062640533128942</v>
      </c>
      <c r="M398" s="953">
        <f t="shared" si="64"/>
        <v>-56.250105434905137</v>
      </c>
      <c r="N398" s="953">
        <f t="shared" si="64"/>
        <v>-70.62034782466543</v>
      </c>
      <c r="O398" s="953">
        <f t="shared" si="64"/>
        <v>-86.257804358832061</v>
      </c>
      <c r="P398" s="1176"/>
      <c r="R398" s="27"/>
    </row>
    <row r="399" spans="1:19" ht="15.75" hidden="1" outlineLevel="1">
      <c r="A399" s="3"/>
      <c r="B399" s="1177"/>
      <c r="C399" s="765" t="s">
        <v>54</v>
      </c>
      <c r="D399" s="765" t="str">
        <f>INDEX(Vectors[Description], MATCH([Vector], Vectors[Code], 0))</f>
        <v>Waste</v>
      </c>
      <c r="E399" s="765"/>
      <c r="F399" s="953">
        <f>-(F$345+F$346)</f>
        <v>-3.3099916623333332</v>
      </c>
      <c r="G399" s="953">
        <f t="shared" ref="G399:O399" si="65">-(G$345+G$346)</f>
        <v>-7.6927416935047006</v>
      </c>
      <c r="H399" s="953">
        <f t="shared" si="65"/>
        <v>-13.418556786122375</v>
      </c>
      <c r="I399" s="953">
        <f t="shared" si="65"/>
        <v>-29.415249463628307</v>
      </c>
      <c r="J399" s="953">
        <f t="shared" si="65"/>
        <v>-30.843352585452994</v>
      </c>
      <c r="K399" s="953">
        <f t="shared" si="65"/>
        <v>-32.584164121078707</v>
      </c>
      <c r="L399" s="953">
        <f t="shared" si="65"/>
        <v>-34.766774073689817</v>
      </c>
      <c r="M399" s="953">
        <f t="shared" si="65"/>
        <v>-38.043577969518779</v>
      </c>
      <c r="N399" s="953">
        <f t="shared" si="65"/>
        <v>-41.814092026674771</v>
      </c>
      <c r="O399" s="953">
        <f t="shared" si="65"/>
        <v>-46.081184226851114</v>
      </c>
      <c r="P399" s="1176"/>
      <c r="R399" s="27"/>
    </row>
    <row r="400" spans="1:19" ht="15.75" hidden="1" outlineLevel="1">
      <c r="A400" s="3"/>
      <c r="B400" s="1177"/>
      <c r="C400" s="765" t="s">
        <v>148</v>
      </c>
      <c r="D400" s="765"/>
      <c r="E400" s="765"/>
      <c r="F400" s="1459">
        <f>SUBTOTAL(109,[2007])</f>
        <v>0</v>
      </c>
      <c r="G400" s="1459">
        <f>SUBTOTAL(109,[2010])</f>
        <v>0</v>
      </c>
      <c r="H400" s="1459">
        <f>SUBTOTAL(109,[2015])</f>
        <v>0</v>
      </c>
      <c r="I400" s="1459">
        <f>SUBTOTAL(109,[2020])</f>
        <v>0</v>
      </c>
      <c r="J400" s="1459">
        <f>SUBTOTAL(109,[2025])</f>
        <v>0</v>
      </c>
      <c r="K400" s="1459">
        <f>SUBTOTAL(109,[2030])</f>
        <v>0</v>
      </c>
      <c r="L400" s="1459">
        <f>SUBTOTAL(109,[2035])</f>
        <v>0</v>
      </c>
      <c r="M400" s="1459">
        <f>SUBTOTAL(109,[2040])</f>
        <v>0</v>
      </c>
      <c r="N400" s="1459">
        <f>SUBTOTAL(109,[2045])</f>
        <v>0</v>
      </c>
      <c r="O400" s="1459">
        <f>SUBTOTAL(109,[2050])</f>
        <v>0</v>
      </c>
      <c r="P400" s="1176"/>
    </row>
    <row r="401" spans="1:16" ht="15.75" hidden="1" outlineLevel="1">
      <c r="A401" s="3"/>
      <c r="B401" s="1178"/>
      <c r="C401" s="1179"/>
      <c r="D401" s="1179"/>
      <c r="E401" s="1179"/>
      <c r="F401" s="1179"/>
      <c r="G401" s="1179"/>
      <c r="H401" s="1179"/>
      <c r="I401" s="1179"/>
      <c r="J401" s="1179"/>
      <c r="K401" s="1179"/>
      <c r="L401" s="1179"/>
      <c r="M401" s="1179"/>
      <c r="N401" s="1179"/>
      <c r="O401" s="1179"/>
      <c r="P401" s="1181"/>
    </row>
    <row r="402" spans="1:16" hidden="1" outlineLevel="1"/>
    <row r="403" spans="1:16" ht="22.5" hidden="1" outlineLevel="1">
      <c r="A403" s="1171"/>
      <c r="B403" s="1249" t="s">
        <v>902</v>
      </c>
      <c r="C403" s="1198"/>
      <c r="D403" s="1199"/>
      <c r="E403" s="1199"/>
      <c r="F403" s="1199"/>
      <c r="G403" s="1199"/>
      <c r="H403" s="1199"/>
      <c r="I403" s="1199"/>
      <c r="J403" s="1199"/>
      <c r="K403" s="1199"/>
      <c r="L403" s="1199"/>
      <c r="M403" s="1199"/>
      <c r="N403" s="1199"/>
      <c r="O403" s="1199"/>
      <c r="P403" s="1200"/>
    </row>
    <row r="404" spans="1:16" hidden="1" outlineLevel="1">
      <c r="B404" s="1207"/>
      <c r="C404" s="1208"/>
      <c r="D404" s="1208"/>
      <c r="E404" s="1208"/>
      <c r="F404" s="1208"/>
      <c r="G404" s="1208"/>
      <c r="H404" s="1208"/>
      <c r="I404" s="1208"/>
      <c r="J404" s="1208"/>
      <c r="K404" s="1208"/>
      <c r="L404" s="1208"/>
      <c r="M404" s="1208"/>
      <c r="N404" s="1208"/>
      <c r="O404" s="1208"/>
      <c r="P404" s="1209"/>
    </row>
    <row r="405" spans="1:16" ht="14.25" hidden="1" outlineLevel="1">
      <c r="B405" s="1210"/>
      <c r="C405" s="1201" t="s">
        <v>1073</v>
      </c>
      <c r="D405" s="1202"/>
      <c r="E405" s="1203"/>
      <c r="F405" s="1202"/>
      <c r="G405" s="1203"/>
      <c r="H405" s="1202"/>
      <c r="I405" s="1202"/>
      <c r="J405" s="1202"/>
      <c r="K405" s="1202"/>
      <c r="L405" s="1202"/>
      <c r="M405" s="1202"/>
      <c r="N405" s="1202"/>
      <c r="O405" s="1203" t="s">
        <v>1076</v>
      </c>
      <c r="P405" s="1211"/>
    </row>
    <row r="406" spans="1:16" ht="6.75" hidden="1" customHeight="1" outlineLevel="1">
      <c r="B406" s="1210"/>
      <c r="C406" s="1202"/>
      <c r="D406" s="1202"/>
      <c r="E406" s="1202"/>
      <c r="F406" s="1202"/>
      <c r="G406" s="1202"/>
      <c r="H406" s="1202"/>
      <c r="I406" s="1202"/>
      <c r="J406" s="1202"/>
      <c r="K406" s="1202"/>
      <c r="L406" s="1202"/>
      <c r="M406" s="1202"/>
      <c r="N406" s="1202"/>
      <c r="O406" s="1202"/>
      <c r="P406" s="1211"/>
    </row>
    <row r="407" spans="1:16" ht="15.75" hidden="1" outlineLevel="1">
      <c r="B407" s="1212"/>
      <c r="C407" s="1269" t="s">
        <v>1072</v>
      </c>
      <c r="D407" s="1269" t="s">
        <v>1042</v>
      </c>
      <c r="E407" s="1269" t="s">
        <v>442</v>
      </c>
      <c r="F407" s="1269" t="s">
        <v>691</v>
      </c>
      <c r="G407" s="1269" t="s">
        <v>692</v>
      </c>
      <c r="H407" s="1269" t="s">
        <v>721</v>
      </c>
      <c r="I407" s="1269" t="s">
        <v>722</v>
      </c>
      <c r="J407" s="1269" t="s">
        <v>723</v>
      </c>
      <c r="K407" s="1269" t="s">
        <v>724</v>
      </c>
      <c r="L407" s="1269" t="s">
        <v>725</v>
      </c>
      <c r="M407" s="1269" t="s">
        <v>726</v>
      </c>
      <c r="N407" s="1269" t="s">
        <v>727</v>
      </c>
      <c r="O407" s="1269" t="s">
        <v>728</v>
      </c>
      <c r="P407" s="1211"/>
    </row>
    <row r="408" spans="1:16" ht="15.75" hidden="1" outlineLevel="1">
      <c r="B408" s="1212"/>
      <c r="C408" s="1204" t="s">
        <v>1055</v>
      </c>
      <c r="D408" s="1290" t="s">
        <v>1065</v>
      </c>
      <c r="E408" s="1206" t="str">
        <f>INDEX(IPCC[Sector_description], MATCH([IPCC Sector], IPCC[Sector_code], 0))</f>
        <v>Fuel Combustion</v>
      </c>
      <c r="F408" s="1460">
        <f>F$364</f>
        <v>1.4824028309999999</v>
      </c>
      <c r="G408" s="1460">
        <f t="shared" ref="G408:O408" si="66">G$364</f>
        <v>1.5090461989697617</v>
      </c>
      <c r="H408" s="1460">
        <f t="shared" si="66"/>
        <v>1.5150955155491888</v>
      </c>
      <c r="I408" s="1460">
        <f t="shared" si="66"/>
        <v>1.5211448321286147</v>
      </c>
      <c r="J408" s="1460">
        <f t="shared" si="66"/>
        <v>1.5271941487080407</v>
      </c>
      <c r="K408" s="1460">
        <f t="shared" si="66"/>
        <v>1.5332434652874676</v>
      </c>
      <c r="L408" s="1460">
        <f t="shared" si="66"/>
        <v>1.5453420984463202</v>
      </c>
      <c r="M408" s="1460">
        <f t="shared" si="66"/>
        <v>1.557440731605173</v>
      </c>
      <c r="N408" s="1460">
        <f t="shared" si="66"/>
        <v>1.5695393647640254</v>
      </c>
      <c r="O408" s="1460">
        <f t="shared" si="66"/>
        <v>1.5816379979228785</v>
      </c>
      <c r="P408" s="1211"/>
    </row>
    <row r="409" spans="1:16" ht="15.75" hidden="1" outlineLevel="1">
      <c r="B409" s="1212"/>
      <c r="C409" s="1204" t="s">
        <v>1056</v>
      </c>
      <c r="D409" s="1290" t="s">
        <v>1065</v>
      </c>
      <c r="E409" s="1206" t="str">
        <f>INDEX(IPCC[Sector_description], MATCH([IPCC Sector], IPCC[Sector_code], 0))</f>
        <v>Fuel Combustion</v>
      </c>
      <c r="F409" s="1460">
        <f>F$365</f>
        <v>2.5576655538874478E-3</v>
      </c>
      <c r="G409" s="1460">
        <f t="shared" ref="G409:O409" si="67">G$365</f>
        <v>2.6036347216944456E-3</v>
      </c>
      <c r="H409" s="1460">
        <f t="shared" si="67"/>
        <v>2.6140719175201743E-3</v>
      </c>
      <c r="I409" s="1460">
        <f t="shared" si="67"/>
        <v>2.6245091133459005E-3</v>
      </c>
      <c r="J409" s="1460">
        <f t="shared" si="67"/>
        <v>2.6349463091716271E-3</v>
      </c>
      <c r="K409" s="1460">
        <f t="shared" si="67"/>
        <v>2.645383504997355E-3</v>
      </c>
      <c r="L409" s="1460">
        <f t="shared" si="67"/>
        <v>2.6662578966488086E-3</v>
      </c>
      <c r="M409" s="1460">
        <f t="shared" si="67"/>
        <v>2.6871322883002622E-3</v>
      </c>
      <c r="N409" s="1460">
        <f t="shared" si="67"/>
        <v>2.7080066799517162E-3</v>
      </c>
      <c r="O409" s="1460">
        <f t="shared" si="67"/>
        <v>2.7288810716031703E-3</v>
      </c>
      <c r="P409" s="1211"/>
    </row>
    <row r="410" spans="1:16" ht="15.75" hidden="1" outlineLevel="1">
      <c r="B410" s="1212"/>
      <c r="C410" s="1204" t="s">
        <v>1057</v>
      </c>
      <c r="D410" s="1290" t="s">
        <v>1065</v>
      </c>
      <c r="E410" s="1206" t="str">
        <f>INDEX(IPCC[Sector_description], MATCH([IPCC Sector], IPCC[Sector_code], 0))</f>
        <v>Fuel Combustion</v>
      </c>
      <c r="F410" s="1460">
        <f>F$366</f>
        <v>1.8548175243751668E-2</v>
      </c>
      <c r="G410" s="1460">
        <f t="shared" ref="G410:O410" si="68">G$366</f>
        <v>1.8881543372746355E-2</v>
      </c>
      <c r="H410" s="1460">
        <f t="shared" si="68"/>
        <v>1.895723385422261E-2</v>
      </c>
      <c r="I410" s="1460">
        <f t="shared" si="68"/>
        <v>1.903292433569885E-2</v>
      </c>
      <c r="J410" s="1460">
        <f t="shared" si="68"/>
        <v>1.9108614817175084E-2</v>
      </c>
      <c r="K410" s="1460">
        <f t="shared" si="68"/>
        <v>1.9184305298651332E-2</v>
      </c>
      <c r="L410" s="1460">
        <f t="shared" si="68"/>
        <v>1.9335686261603806E-2</v>
      </c>
      <c r="M410" s="1460">
        <f t="shared" si="68"/>
        <v>1.9487067224556291E-2</v>
      </c>
      <c r="N410" s="1460">
        <f t="shared" si="68"/>
        <v>1.9638448187508772E-2</v>
      </c>
      <c r="O410" s="1460">
        <f t="shared" si="68"/>
        <v>1.9789829150461256E-2</v>
      </c>
      <c r="P410" s="1211"/>
    </row>
    <row r="411" spans="1:16" ht="15.75" hidden="1" outlineLevel="1">
      <c r="B411" s="1212"/>
      <c r="C411" s="1206" t="s">
        <v>1056</v>
      </c>
      <c r="D411" s="1267">
        <v>4</v>
      </c>
      <c r="E411" s="1206" t="str">
        <f>INDEX(IPCC[Sector_description], MATCH([IPCC Sector], IPCC[Sector_code], 0))</f>
        <v>Agriculture</v>
      </c>
      <c r="F411" s="1268">
        <f>F$369+F$370</f>
        <v>20.026732599999995</v>
      </c>
      <c r="G411" s="1268">
        <f t="shared" ref="G411:O411" si="69">G$369+G$370</f>
        <v>19.552860310176921</v>
      </c>
      <c r="H411" s="1268">
        <f t="shared" si="69"/>
        <v>18.918166511860726</v>
      </c>
      <c r="I411" s="1268">
        <f t="shared" si="69"/>
        <v>17.381413669677077</v>
      </c>
      <c r="J411" s="1268">
        <f t="shared" si="69"/>
        <v>17.320215942056461</v>
      </c>
      <c r="K411" s="1268">
        <f t="shared" si="69"/>
        <v>17.259237833227761</v>
      </c>
      <c r="L411" s="1268">
        <f t="shared" si="69"/>
        <v>17.198478545174765</v>
      </c>
      <c r="M411" s="1268">
        <f t="shared" si="69"/>
        <v>17.137937282804025</v>
      </c>
      <c r="N411" s="1268">
        <f t="shared" si="69"/>
        <v>17.077613253934082</v>
      </c>
      <c r="O411" s="1268">
        <f t="shared" si="69"/>
        <v>17.017505669284798</v>
      </c>
      <c r="P411" s="1211"/>
    </row>
    <row r="412" spans="1:16" ht="15.75" hidden="1" outlineLevel="1">
      <c r="B412" s="1212"/>
      <c r="C412" s="1206" t="s">
        <v>1057</v>
      </c>
      <c r="D412" s="1267">
        <v>4</v>
      </c>
      <c r="E412" s="1206" t="str">
        <f>INDEX(IPCC[Sector_description], MATCH([IPCC Sector], IPCC[Sector_code], 0))</f>
        <v>Agriculture</v>
      </c>
      <c r="F412" s="1268">
        <f>F$371</f>
        <v>23.28</v>
      </c>
      <c r="G412" s="1268">
        <f t="shared" ref="G412:O412" si="70">G$371</f>
        <v>22.836330553630731</v>
      </c>
      <c r="H412" s="1268">
        <f t="shared" si="70"/>
        <v>22.115591632724669</v>
      </c>
      <c r="I412" s="1268">
        <f t="shared" si="70"/>
        <v>21.417599999999993</v>
      </c>
      <c r="J412" s="1268">
        <f t="shared" si="70"/>
        <v>21.345605690642255</v>
      </c>
      <c r="K412" s="1268">
        <f t="shared" si="70"/>
        <v>21.273853386951814</v>
      </c>
      <c r="L412" s="1268">
        <f t="shared" si="70"/>
        <v>21.202342275437385</v>
      </c>
      <c r="M412" s="1268">
        <f t="shared" si="70"/>
        <v>21.131071545342206</v>
      </c>
      <c r="N412" s="1268">
        <f t="shared" si="70"/>
        <v>21.060040388634832</v>
      </c>
      <c r="O412" s="1268">
        <f t="shared" si="70"/>
        <v>20.989247999999979</v>
      </c>
      <c r="P412" s="1211"/>
    </row>
    <row r="413" spans="1:16" ht="15.75" hidden="1" outlineLevel="1">
      <c r="B413" s="1212"/>
      <c r="C413" s="1206" t="s">
        <v>1055</v>
      </c>
      <c r="D413" s="1267">
        <v>5</v>
      </c>
      <c r="E413" s="1206" t="str">
        <f>INDEX(IPCC[Sector_description], MATCH([IPCC Sector], IPCC[Sector_code], 0))</f>
        <v>Land Use, Land-Use Change and Forestry</v>
      </c>
      <c r="F413" s="1268">
        <f>F380</f>
        <v>-1.8247953999999991</v>
      </c>
      <c r="G413" s="1268">
        <f t="shared" ref="G413:O413" si="71">G380</f>
        <v>2.6421556737666059</v>
      </c>
      <c r="H413" s="1268">
        <f t="shared" si="71"/>
        <v>5.8382909270138512</v>
      </c>
      <c r="I413" s="1268">
        <f t="shared" si="71"/>
        <v>8.7632357212518119</v>
      </c>
      <c r="J413" s="1268">
        <f t="shared" si="71"/>
        <v>11.277185802606228</v>
      </c>
      <c r="K413" s="1268">
        <f t="shared" si="71"/>
        <v>12.147672011448611</v>
      </c>
      <c r="L413" s="1268">
        <f t="shared" si="71"/>
        <v>11.724919775119625</v>
      </c>
      <c r="M413" s="1268">
        <f t="shared" si="71"/>
        <v>10.039322920704391</v>
      </c>
      <c r="N413" s="1268">
        <f t="shared" si="71"/>
        <v>8.1163788611910945</v>
      </c>
      <c r="O413" s="1268">
        <f t="shared" si="71"/>
        <v>6.9520980316789114</v>
      </c>
      <c r="P413" s="1211"/>
    </row>
    <row r="414" spans="1:16" ht="15.75" hidden="1" outlineLevel="1">
      <c r="B414" s="1212"/>
      <c r="C414" s="1206" t="s">
        <v>148</v>
      </c>
      <c r="D414" s="1279"/>
      <c r="E414" s="1206"/>
      <c r="F414" s="1278">
        <f>SUBTOTAL(109,[2007])</f>
        <v>0</v>
      </c>
      <c r="G414" s="1278">
        <f>SUBTOTAL(109,[2010])</f>
        <v>0</v>
      </c>
      <c r="H414" s="1278">
        <f>SUBTOTAL(109,[2015])</f>
        <v>0</v>
      </c>
      <c r="I414" s="1278">
        <f>SUBTOTAL(109,[2020])</f>
        <v>0</v>
      </c>
      <c r="J414" s="1278">
        <f>SUBTOTAL(109,[2025])</f>
        <v>0</v>
      </c>
      <c r="K414" s="1278">
        <f>SUBTOTAL(109,[2030])</f>
        <v>0</v>
      </c>
      <c r="L414" s="1278">
        <f>SUBTOTAL(109,[2035])</f>
        <v>0</v>
      </c>
      <c r="M414" s="1278">
        <f>SUBTOTAL(109,[2040])</f>
        <v>0</v>
      </c>
      <c r="N414" s="1278">
        <f>SUBTOTAL(109,[2045])</f>
        <v>0</v>
      </c>
      <c r="O414" s="1278">
        <f>SUBTOTAL(109,[2050])</f>
        <v>0</v>
      </c>
      <c r="P414" s="1211"/>
    </row>
    <row r="415" spans="1:16" hidden="1" outlineLevel="1">
      <c r="B415" s="1213"/>
      <c r="C415" s="1214"/>
      <c r="D415" s="1214"/>
      <c r="E415" s="1214"/>
      <c r="F415" s="1214"/>
      <c r="G415" s="1214"/>
      <c r="H415" s="1214"/>
      <c r="I415" s="1214"/>
      <c r="J415" s="1214"/>
      <c r="K415" s="1214"/>
      <c r="L415" s="1214"/>
      <c r="M415" s="1214"/>
      <c r="N415" s="1214"/>
      <c r="O415" s="1214"/>
      <c r="P415" s="1215"/>
    </row>
  </sheetData>
  <pageMargins left="0.7" right="0.7" top="0.75" bottom="0.75" header="0.3" footer="0.3"/>
  <pageSetup paperSize="9" orientation="portrait" r:id="rId1"/>
  <ignoredErrors>
    <ignoredError sqref="F400:O400 F389:F392 F393 F394:F399" calculatedColumn="1"/>
    <ignoredError sqref="I62:I63" formula="1"/>
  </ignoredErrors>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sheetPr codeName="Sheet1">
    <tabColor theme="5" tint="-0.249977111117893"/>
    <pageSetUpPr autoPageBreaks="0"/>
  </sheetPr>
  <dimension ref="A1:BM92"/>
  <sheetViews>
    <sheetView showGridLines="0" showRowColHeaders="0" zoomScale="55" zoomScaleNormal="55" workbookViewId="0">
      <pane xSplit="28" topLeftCell="AC1" activePane="topRight" state="frozen"/>
      <selection activeCell="T28" sqref="T28"/>
      <selection pane="topRight"/>
    </sheetView>
  </sheetViews>
  <sheetFormatPr defaultRowHeight="12.75" outlineLevelCol="1"/>
  <cols>
    <col min="1" max="1" width="3.42578125" style="121" customWidth="1"/>
    <col min="2" max="2" width="3" customWidth="1"/>
    <col min="3" max="3" width="6.42578125" customWidth="1"/>
    <col min="4" max="4" width="45.28515625" customWidth="1"/>
    <col min="5" max="5" width="1.140625" customWidth="1"/>
    <col min="6" max="12" width="4.42578125" style="121" hidden="1" customWidth="1" outlineLevel="1"/>
    <col min="13" max="13" width="1" hidden="1" customWidth="1" outlineLevel="1"/>
    <col min="14" max="14" width="5.140625" style="1117" hidden="1" customWidth="1" outlineLevel="1"/>
    <col min="15" max="15" width="5.7109375" customWidth="1" collapsed="1"/>
    <col min="16" max="18" width="5.7109375" customWidth="1"/>
    <col min="19" max="19" width="1" style="1586" customWidth="1"/>
    <col min="20" max="23" width="5.7109375" style="121" customWidth="1"/>
    <col min="24" max="24" width="1.7109375" customWidth="1"/>
    <col min="25" max="27" width="42.85546875" style="121" hidden="1" customWidth="1" outlineLevel="1"/>
    <col min="28" max="28" width="43" style="121" hidden="1" customWidth="1" outlineLevel="1"/>
    <col min="29" max="29" width="5" customWidth="1" collapsed="1"/>
    <col min="30" max="30" width="1.85546875" customWidth="1"/>
    <col min="31" max="41" width="9.42578125" customWidth="1"/>
    <col min="42" max="42" width="1.7109375" customWidth="1"/>
    <col min="43" max="53" width="9.42578125" customWidth="1"/>
    <col min="54" max="54" width="1.5703125" customWidth="1"/>
    <col min="55" max="55" width="3.140625" customWidth="1"/>
    <col min="56" max="59" width="9.42578125" customWidth="1"/>
    <col min="61" max="64" width="9.7109375" customWidth="1"/>
    <col min="65" max="65" width="2.7109375" customWidth="1"/>
  </cols>
  <sheetData>
    <row r="1" spans="2:65" ht="46.5" customHeight="1">
      <c r="B1" s="2637" t="s">
        <v>2624</v>
      </c>
      <c r="N1" s="1117" t="s">
        <v>288</v>
      </c>
      <c r="O1" s="121"/>
      <c r="P1" s="768"/>
      <c r="Q1" s="2638" t="s">
        <v>2601</v>
      </c>
      <c r="X1" s="121"/>
      <c r="AD1" s="768"/>
      <c r="AE1" s="2638" t="s">
        <v>2602</v>
      </c>
    </row>
    <row r="2" spans="2:65" ht="32.25" customHeight="1">
      <c r="B2" s="2070"/>
      <c r="C2" s="2071" t="s">
        <v>1356</v>
      </c>
      <c r="D2" s="2070"/>
      <c r="E2" s="1171"/>
      <c r="F2" s="2539" t="s">
        <v>2465</v>
      </c>
      <c r="G2" s="2540"/>
      <c r="H2" s="2540"/>
      <c r="I2" s="2540"/>
      <c r="J2" s="2540"/>
      <c r="K2" s="2540"/>
      <c r="L2" s="2540"/>
      <c r="N2" s="2072"/>
      <c r="O2" s="2073" t="s">
        <v>2334</v>
      </c>
      <c r="P2" s="2073"/>
      <c r="Q2" s="2073"/>
      <c r="R2" s="2073"/>
      <c r="S2" s="2232"/>
      <c r="T2" s="2073" t="s">
        <v>1352</v>
      </c>
      <c r="U2" s="2073"/>
      <c r="V2" s="2073"/>
      <c r="W2" s="2073"/>
      <c r="X2" s="1171"/>
      <c r="Y2" s="2073" t="s">
        <v>1472</v>
      </c>
      <c r="Z2" s="2073"/>
      <c r="AA2" s="2073"/>
      <c r="AB2" s="2073"/>
      <c r="AC2" s="1171"/>
      <c r="AD2" s="1171"/>
      <c r="AE2" s="2073" t="s">
        <v>1825</v>
      </c>
      <c r="AF2" s="2074"/>
      <c r="AG2" s="2074"/>
      <c r="AH2" s="2074"/>
      <c r="AI2" s="2074"/>
      <c r="AJ2" s="2074"/>
      <c r="AK2" s="2074"/>
      <c r="AL2" s="2074"/>
      <c r="AM2" s="2074"/>
      <c r="AN2" s="2074"/>
      <c r="AO2" s="2074"/>
      <c r="AP2" s="1171"/>
      <c r="AQ2" s="2073" t="s">
        <v>902</v>
      </c>
      <c r="AR2" s="2074"/>
      <c r="AS2" s="2074"/>
      <c r="AT2" s="2074"/>
      <c r="AU2" s="2074"/>
      <c r="AV2" s="2074"/>
      <c r="AW2" s="2074"/>
      <c r="AX2" s="2074"/>
      <c r="AY2" s="2074"/>
      <c r="AZ2" s="2074"/>
      <c r="BA2" s="2074"/>
      <c r="BB2" s="1171"/>
      <c r="BC2" s="2073" t="s">
        <v>1826</v>
      </c>
      <c r="BD2" s="2074"/>
      <c r="BE2" s="2074"/>
      <c r="BF2" s="2074"/>
      <c r="BG2" s="2074"/>
      <c r="BH2" s="2074"/>
      <c r="BI2" s="2074"/>
      <c r="BJ2" s="2074"/>
      <c r="BK2" s="2074"/>
      <c r="BL2" s="2074"/>
      <c r="BM2" s="2074"/>
    </row>
    <row r="3" spans="2:65" ht="5.25" customHeight="1">
      <c r="O3" s="1111"/>
      <c r="P3" s="1111"/>
      <c r="Q3" s="1111"/>
      <c r="R3" s="1111"/>
      <c r="T3" s="1111"/>
      <c r="U3" s="1111"/>
      <c r="V3" s="1111"/>
      <c r="W3" s="1111"/>
    </row>
    <row r="4" spans="2:65" s="121" customFormat="1" ht="21" customHeight="1">
      <c r="B4" s="1119" t="s">
        <v>1596</v>
      </c>
      <c r="C4" s="1120"/>
      <c r="D4" s="1120"/>
      <c r="E4"/>
      <c r="F4" s="2541" t="s">
        <v>2451</v>
      </c>
      <c r="G4" s="2541" t="s">
        <v>1437</v>
      </c>
      <c r="H4" s="2541" t="s">
        <v>1438</v>
      </c>
      <c r="I4" s="2541" t="s">
        <v>1439</v>
      </c>
      <c r="J4" s="2541" t="s">
        <v>1440</v>
      </c>
      <c r="K4" s="2541" t="s">
        <v>1488</v>
      </c>
      <c r="L4" s="2541" t="s">
        <v>1058</v>
      </c>
      <c r="M4"/>
      <c r="N4" s="1117"/>
      <c r="O4" s="1128">
        <v>1</v>
      </c>
      <c r="P4" s="1128">
        <v>2</v>
      </c>
      <c r="Q4" s="1128">
        <v>3</v>
      </c>
      <c r="R4" s="1128">
        <v>4</v>
      </c>
      <c r="S4" s="1586"/>
      <c r="T4" s="1128" t="s">
        <v>1437</v>
      </c>
      <c r="U4" s="1128" t="s">
        <v>1438</v>
      </c>
      <c r="V4" s="1128" t="s">
        <v>1439</v>
      </c>
      <c r="W4" s="1128" t="s">
        <v>1440</v>
      </c>
      <c r="X4"/>
      <c r="Y4" s="1128" t="s">
        <v>2603</v>
      </c>
      <c r="Z4" s="1128" t="s">
        <v>2604</v>
      </c>
      <c r="AA4" s="1128" t="s">
        <v>2605</v>
      </c>
      <c r="AB4" s="1128" t="s">
        <v>2606</v>
      </c>
      <c r="AC4"/>
      <c r="AD4"/>
      <c r="AE4" s="2052"/>
      <c r="AF4" s="2052"/>
      <c r="AG4" s="2052"/>
      <c r="AH4" s="2052"/>
      <c r="AI4" s="2052"/>
      <c r="AJ4" s="2052"/>
      <c r="AK4" s="2052"/>
      <c r="AL4" s="2052"/>
      <c r="AM4" s="2052"/>
      <c r="AN4" s="2052"/>
      <c r="AO4" s="2052"/>
      <c r="AQ4" s="2052"/>
      <c r="AR4" s="2052"/>
      <c r="AS4" s="2052"/>
      <c r="AT4" s="2052"/>
      <c r="AU4" s="2052"/>
      <c r="AV4" s="2052"/>
      <c r="AW4" s="2052"/>
      <c r="AX4" s="2052"/>
      <c r="AY4" s="2052"/>
      <c r="AZ4" s="2052"/>
      <c r="BA4" s="2052"/>
      <c r="BC4" s="2052"/>
      <c r="BD4" s="2053"/>
      <c r="BE4" s="2052"/>
      <c r="BF4" s="2052"/>
      <c r="BG4" s="2052"/>
      <c r="BH4" s="2052"/>
      <c r="BI4" s="2052"/>
      <c r="BJ4" s="2052"/>
      <c r="BK4" s="2052"/>
      <c r="BL4" s="2052"/>
      <c r="BM4" s="2052"/>
    </row>
    <row r="5" spans="2:65" s="743" customFormat="1" ht="21" customHeight="1">
      <c r="B5" s="1115"/>
      <c r="C5" s="1115" t="s">
        <v>878</v>
      </c>
      <c r="D5" s="1115" t="str">
        <f>INDEX(Modules[Module], MATCH($C5, Modules[Code], 0))</f>
        <v>Combustion + CCS</v>
      </c>
      <c r="E5"/>
      <c r="F5" s="2542">
        <v>1</v>
      </c>
      <c r="G5" s="2542">
        <v>2</v>
      </c>
      <c r="H5" s="2542">
        <v>1</v>
      </c>
      <c r="I5" s="2542">
        <v>2</v>
      </c>
      <c r="J5" s="2542">
        <v>2</v>
      </c>
      <c r="K5" s="2542">
        <v>2</v>
      </c>
      <c r="L5" s="2542">
        <v>2</v>
      </c>
      <c r="M5"/>
      <c r="N5" s="2632">
        <v>1</v>
      </c>
      <c r="O5" s="1112"/>
      <c r="P5" s="1112"/>
      <c r="Q5" s="1112"/>
      <c r="R5" s="1112"/>
      <c r="S5" s="1586"/>
      <c r="T5" s="1112"/>
      <c r="U5" s="1112"/>
      <c r="V5" s="1112"/>
      <c r="W5" s="1112"/>
      <c r="X5"/>
      <c r="Y5" s="743" t="s">
        <v>2388</v>
      </c>
      <c r="Z5" s="743" t="s">
        <v>2635</v>
      </c>
      <c r="AA5" s="743" t="s">
        <v>2636</v>
      </c>
      <c r="AB5" s="743" t="s">
        <v>2637</v>
      </c>
      <c r="AC5"/>
      <c r="AD5"/>
      <c r="AE5" s="2052"/>
      <c r="AF5" s="2052"/>
      <c r="AG5" s="2052"/>
      <c r="AH5" s="2052"/>
      <c r="AI5" s="2052"/>
      <c r="AJ5" s="2052"/>
      <c r="AK5" s="2052"/>
      <c r="AL5" s="2052"/>
      <c r="AM5" s="2052"/>
      <c r="AN5" s="2053"/>
      <c r="AO5" s="2053"/>
      <c r="AQ5" s="2053"/>
      <c r="AR5" s="2053"/>
      <c r="AS5" s="2053"/>
      <c r="AT5" s="2053"/>
      <c r="AU5" s="2053"/>
      <c r="AV5" s="2053"/>
      <c r="AW5" s="2053"/>
      <c r="AX5" s="2053"/>
      <c r="AY5" s="2053"/>
      <c r="AZ5" s="2053"/>
      <c r="BA5" s="2053"/>
      <c r="BC5" s="2053"/>
      <c r="BD5" s="2065" t="s">
        <v>1823</v>
      </c>
      <c r="BE5" s="2053"/>
      <c r="BF5" s="2053"/>
      <c r="BG5" s="2053"/>
      <c r="BH5" s="2053"/>
      <c r="BI5" s="2053"/>
      <c r="BJ5" s="2053"/>
      <c r="BK5" s="2053"/>
      <c r="BL5" s="2053"/>
      <c r="BM5" s="2053"/>
    </row>
    <row r="6" spans="2:65" s="743" customFormat="1" ht="21" customHeight="1">
      <c r="B6" s="1115"/>
      <c r="C6" s="1115" t="s">
        <v>756</v>
      </c>
      <c r="D6" s="1115" t="str">
        <f>INDEX(Modules[Module], MATCH($C6, Modules[Code], 0))</f>
        <v>Nuclear power</v>
      </c>
      <c r="E6"/>
      <c r="F6" s="2542">
        <v>1</v>
      </c>
      <c r="G6" s="2542">
        <v>2</v>
      </c>
      <c r="H6" s="2542">
        <v>2</v>
      </c>
      <c r="I6" s="2542">
        <v>1</v>
      </c>
      <c r="J6" s="2542">
        <v>3</v>
      </c>
      <c r="K6" s="2542">
        <v>2</v>
      </c>
      <c r="L6" s="2542">
        <v>2</v>
      </c>
      <c r="M6"/>
      <c r="N6" s="2632">
        <v>1</v>
      </c>
      <c r="O6" s="1112"/>
      <c r="P6" s="1112"/>
      <c r="Q6" s="1112"/>
      <c r="R6" s="1112"/>
      <c r="S6" s="1586"/>
      <c r="T6" s="1112"/>
      <c r="U6" s="1112"/>
      <c r="V6" s="1112"/>
      <c r="W6" s="1112"/>
      <c r="X6"/>
      <c r="Y6" s="743" t="s">
        <v>2467</v>
      </c>
      <c r="Z6" s="743" t="s">
        <v>2638</v>
      </c>
      <c r="AA6" s="743" t="s">
        <v>2639</v>
      </c>
      <c r="AB6" s="743" t="s">
        <v>2640</v>
      </c>
      <c r="AC6"/>
      <c r="AD6"/>
      <c r="AE6" s="2052"/>
      <c r="AF6" s="2052"/>
      <c r="AG6" s="2052"/>
      <c r="AH6" s="2052"/>
      <c r="AI6" s="2052"/>
      <c r="AJ6" s="2052"/>
      <c r="AK6" s="2052"/>
      <c r="AL6" s="2052"/>
      <c r="AM6" s="2052"/>
      <c r="AN6" s="2053"/>
      <c r="AO6" s="2053"/>
      <c r="AQ6" s="2053"/>
      <c r="AR6" s="2053"/>
      <c r="AS6" s="2053"/>
      <c r="AT6" s="2053"/>
      <c r="AU6" s="2053"/>
      <c r="AV6" s="2053"/>
      <c r="AW6" s="2053"/>
      <c r="AX6" s="2053"/>
      <c r="AY6" s="2053"/>
      <c r="AZ6" s="2053"/>
      <c r="BA6" s="2053"/>
      <c r="BC6" s="2053"/>
      <c r="BD6" s="2053"/>
      <c r="BE6" s="2053"/>
      <c r="BF6" s="2053"/>
      <c r="BG6" s="2053"/>
      <c r="BH6" s="2053"/>
      <c r="BI6" s="2053"/>
      <c r="BJ6" s="2053"/>
      <c r="BK6" s="2053"/>
      <c r="BL6" s="2053"/>
      <c r="BM6" s="2053"/>
    </row>
    <row r="7" spans="2:65" s="743" customFormat="1" ht="21" customHeight="1">
      <c r="B7" s="1115"/>
      <c r="C7" s="1115" t="s">
        <v>1730</v>
      </c>
      <c r="D7" s="1115" t="str">
        <f>INDEX(Modules[Module], MATCH($C7, Modules[Code], 0))</f>
        <v>Onshore wind</v>
      </c>
      <c r="E7"/>
      <c r="F7" s="2542">
        <v>1</v>
      </c>
      <c r="G7" s="2542">
        <v>2</v>
      </c>
      <c r="H7" s="2542">
        <v>2</v>
      </c>
      <c r="I7" s="2542">
        <v>3</v>
      </c>
      <c r="J7" s="2542">
        <v>1</v>
      </c>
      <c r="K7" s="2542">
        <v>2</v>
      </c>
      <c r="L7" s="2542">
        <v>2</v>
      </c>
      <c r="M7"/>
      <c r="N7" s="2632">
        <v>1</v>
      </c>
      <c r="O7" s="1112"/>
      <c r="P7" s="1112"/>
      <c r="Q7" s="1112"/>
      <c r="R7" s="1112"/>
      <c r="S7" s="1586"/>
      <c r="T7" s="1112"/>
      <c r="U7" s="1112"/>
      <c r="V7" s="1112"/>
      <c r="W7" s="1112"/>
      <c r="X7"/>
      <c r="Y7" s="743" t="s">
        <v>2468</v>
      </c>
      <c r="Z7" s="743" t="s">
        <v>2641</v>
      </c>
      <c r="AA7" s="743" t="s">
        <v>2642</v>
      </c>
      <c r="AB7" s="743" t="s">
        <v>2643</v>
      </c>
      <c r="AC7"/>
      <c r="AD7"/>
      <c r="AE7" s="2052"/>
      <c r="AF7" s="2052"/>
      <c r="AG7" s="2052"/>
      <c r="AH7" s="2052"/>
      <c r="AI7" s="2052"/>
      <c r="AJ7" s="2052"/>
      <c r="AK7" s="2052"/>
      <c r="AL7" s="2052"/>
      <c r="AM7" s="2052"/>
      <c r="AN7" s="2053"/>
      <c r="AO7" s="2053"/>
      <c r="AQ7" s="2053"/>
      <c r="AR7" s="2053"/>
      <c r="AS7" s="2053"/>
      <c r="AT7" s="2053"/>
      <c r="AU7" s="2053"/>
      <c r="AV7" s="2053"/>
      <c r="AW7" s="2053"/>
      <c r="AX7" s="2053"/>
      <c r="AY7" s="2053"/>
      <c r="AZ7" s="2053"/>
      <c r="BA7" s="2053"/>
      <c r="BC7" s="2053"/>
      <c r="BD7" s="2066" t="s">
        <v>715</v>
      </c>
      <c r="BE7" s="2057"/>
      <c r="BF7" s="2079"/>
      <c r="BG7" s="2079"/>
      <c r="BH7" s="2078" t="str">
        <f>Preferences.EnergyUnits &amp; " / year"</f>
        <v>TWh / year</v>
      </c>
      <c r="BI7" s="2077">
        <v>2007</v>
      </c>
      <c r="BJ7" s="2077">
        <v>2020</v>
      </c>
      <c r="BK7" s="2077">
        <v>2030</v>
      </c>
      <c r="BL7" s="2077">
        <v>2050</v>
      </c>
      <c r="BM7" s="2053"/>
    </row>
    <row r="8" spans="2:65" s="743" customFormat="1" ht="21" customHeight="1">
      <c r="B8" s="1115"/>
      <c r="C8" s="1115" t="s">
        <v>1731</v>
      </c>
      <c r="D8" s="1115" t="str">
        <f>INDEX(Modules[Module], MATCH($C8, Modules[Code], 0))</f>
        <v>Offshore wind</v>
      </c>
      <c r="E8" s="121"/>
      <c r="F8" s="2542">
        <v>1</v>
      </c>
      <c r="G8" s="2542">
        <v>2</v>
      </c>
      <c r="H8" s="2542">
        <v>3</v>
      </c>
      <c r="I8" s="2542">
        <v>3</v>
      </c>
      <c r="J8" s="2542">
        <v>1</v>
      </c>
      <c r="K8" s="2542">
        <v>2</v>
      </c>
      <c r="L8" s="2542">
        <v>3</v>
      </c>
      <c r="M8"/>
      <c r="N8" s="2632">
        <v>1</v>
      </c>
      <c r="O8" s="1112"/>
      <c r="P8" s="1112"/>
      <c r="Q8" s="1112"/>
      <c r="R8" s="1112"/>
      <c r="S8" s="1586"/>
      <c r="T8" s="1112"/>
      <c r="U8" s="1112"/>
      <c r="V8" s="1112"/>
      <c r="W8" s="1112"/>
      <c r="X8" s="121"/>
      <c r="Y8" s="743" t="s">
        <v>2469</v>
      </c>
      <c r="Z8" s="743" t="s">
        <v>2644</v>
      </c>
      <c r="AA8" s="743" t="s">
        <v>2645</v>
      </c>
      <c r="AB8" s="743" t="s">
        <v>2646</v>
      </c>
      <c r="AC8" s="121"/>
      <c r="AD8" s="121"/>
      <c r="AE8" s="2052"/>
      <c r="AF8" s="2052"/>
      <c r="AG8" s="2052"/>
      <c r="AH8" s="2052"/>
      <c r="AI8" s="2052"/>
      <c r="AJ8" s="2052"/>
      <c r="AK8" s="2052"/>
      <c r="AL8" s="2052"/>
      <c r="AM8" s="2052"/>
      <c r="AN8" s="2053"/>
      <c r="AO8" s="2053"/>
      <c r="AQ8" s="2053"/>
      <c r="AR8" s="2053"/>
      <c r="AS8" s="2053"/>
      <c r="AT8" s="2053"/>
      <c r="AU8" s="2053"/>
      <c r="AV8" s="2053"/>
      <c r="AW8" s="2053"/>
      <c r="AX8" s="2053"/>
      <c r="AY8" s="2053"/>
      <c r="AZ8" s="2053"/>
      <c r="BA8" s="2053"/>
      <c r="BC8" s="2053"/>
      <c r="BD8" s="2058" t="s">
        <v>991</v>
      </c>
      <c r="BE8" s="2056" t="str">
        <f>INDEX(Vectors[Description], MATCH($BD8, Vectors[Code], 0))</f>
        <v>Coal exports (imports)</v>
      </c>
      <c r="BF8" s="2053"/>
      <c r="BG8" s="2055"/>
      <c r="BH8" s="2056"/>
      <c r="BI8" s="2055">
        <f t="shared" ref="BI8:BL12" ca="1" si="0">SUMIFS(INDIRECT("'"&amp;BI$7&amp;"'!Year.NetBalance"), INDIRECT("'"&amp;BI$7&amp;"'!Year.Vectors"),$BD8)</f>
        <v>-276.53263369884473</v>
      </c>
      <c r="BJ8" s="2055">
        <f t="shared" ca="1" si="0"/>
        <v>-3.7035402664777735</v>
      </c>
      <c r="BK8" s="2055">
        <f t="shared" ca="1" si="0"/>
        <v>132.54860849884315</v>
      </c>
      <c r="BL8" s="2055">
        <f t="shared" ca="1" si="0"/>
        <v>177.33073051017504</v>
      </c>
      <c r="BM8" s="2053"/>
    </row>
    <row r="9" spans="2:65" s="743" customFormat="1" ht="21" customHeight="1">
      <c r="B9" s="1115"/>
      <c r="C9" s="1115" t="s">
        <v>803</v>
      </c>
      <c r="D9" s="1115" t="str">
        <f>INDEX(Modules[Module], MATCH($C9, Modules[Code], 0))</f>
        <v>Hydroelectric</v>
      </c>
      <c r="E9"/>
      <c r="F9" s="2542">
        <v>1</v>
      </c>
      <c r="G9" s="2542">
        <v>2</v>
      </c>
      <c r="H9" s="2542">
        <v>2</v>
      </c>
      <c r="I9" s="2542">
        <v>2</v>
      </c>
      <c r="J9" s="2542">
        <v>1</v>
      </c>
      <c r="K9" s="2542">
        <v>1</v>
      </c>
      <c r="L9" s="2542">
        <v>2</v>
      </c>
      <c r="M9"/>
      <c r="N9" s="2632">
        <v>1</v>
      </c>
      <c r="O9" s="1112"/>
      <c r="P9" s="1112"/>
      <c r="Q9" s="1112"/>
      <c r="R9" s="1112"/>
      <c r="S9" s="1586"/>
      <c r="T9" s="1112"/>
      <c r="U9" s="1112"/>
      <c r="V9" s="1112"/>
      <c r="W9" s="1112"/>
      <c r="X9"/>
      <c r="Y9" s="743" t="s">
        <v>2647</v>
      </c>
      <c r="Z9" s="743" t="s">
        <v>2648</v>
      </c>
      <c r="AA9" s="743" t="s">
        <v>2649</v>
      </c>
      <c r="AB9" s="743" t="s">
        <v>2650</v>
      </c>
      <c r="AC9"/>
      <c r="AD9"/>
      <c r="AE9" s="2052"/>
      <c r="AF9" s="2052"/>
      <c r="AG9" s="2052"/>
      <c r="AH9" s="2052"/>
      <c r="AI9" s="2052"/>
      <c r="AJ9" s="2052"/>
      <c r="AK9" s="2052"/>
      <c r="AL9" s="2052"/>
      <c r="AM9" s="2052"/>
      <c r="AN9" s="2053"/>
      <c r="AO9" s="2053"/>
      <c r="AQ9" s="2053"/>
      <c r="AR9" s="2053"/>
      <c r="AS9" s="2053"/>
      <c r="AT9" s="2053"/>
      <c r="AU9" s="2053"/>
      <c r="AV9" s="2053"/>
      <c r="AW9" s="2053"/>
      <c r="AX9" s="2053"/>
      <c r="AY9" s="2053"/>
      <c r="AZ9" s="2053"/>
      <c r="BA9" s="2053"/>
      <c r="BC9" s="2053"/>
      <c r="BD9" s="2058" t="s">
        <v>992</v>
      </c>
      <c r="BE9" s="2056" t="str">
        <f>INDEX(Vectors[Description], MATCH($BD9, Vectors[Code], 0))</f>
        <v>Oil and petroleum products exports (imports)</v>
      </c>
      <c r="BF9" s="2053"/>
      <c r="BG9" s="2055"/>
      <c r="BH9" s="2056"/>
      <c r="BI9" s="2055">
        <f t="shared" ca="1" si="0"/>
        <v>100.59294568504538</v>
      </c>
      <c r="BJ9" s="2055">
        <f t="shared" ca="1" si="0"/>
        <v>-327.62826529692973</v>
      </c>
      <c r="BK9" s="2055">
        <f t="shared" ca="1" si="0"/>
        <v>-463.88652198507634</v>
      </c>
      <c r="BL9" s="2055">
        <f t="shared" ca="1" si="0"/>
        <v>-653.42504456252664</v>
      </c>
      <c r="BM9" s="2053"/>
    </row>
    <row r="10" spans="2:65" s="743" customFormat="1" ht="21" customHeight="1">
      <c r="B10" s="1115"/>
      <c r="C10" s="1115" t="s">
        <v>808</v>
      </c>
      <c r="D10" s="1115" t="str">
        <f>INDEX(Modules[Module], MATCH($C10, Modules[Code], 0))</f>
        <v>Wave and Tidal</v>
      </c>
      <c r="E10"/>
      <c r="F10" s="2542">
        <v>1</v>
      </c>
      <c r="G10" s="2542">
        <v>2</v>
      </c>
      <c r="H10" s="2542">
        <v>2</v>
      </c>
      <c r="I10" s="2542">
        <v>2</v>
      </c>
      <c r="J10" s="2542">
        <v>1</v>
      </c>
      <c r="K10" s="2542">
        <v>1</v>
      </c>
      <c r="L10" s="2542">
        <v>2</v>
      </c>
      <c r="M10"/>
      <c r="N10" s="2632">
        <v>1</v>
      </c>
      <c r="O10" s="1112"/>
      <c r="P10" s="1112"/>
      <c r="Q10" s="1112"/>
      <c r="R10" s="1112"/>
      <c r="S10" s="1586"/>
      <c r="T10" s="1112"/>
      <c r="U10" s="1112"/>
      <c r="V10" s="1112"/>
      <c r="W10" s="1112"/>
      <c r="X10"/>
      <c r="Y10" s="743" t="s">
        <v>2470</v>
      </c>
      <c r="Z10" s="743" t="s">
        <v>2651</v>
      </c>
      <c r="AA10" s="743" t="s">
        <v>2652</v>
      </c>
      <c r="AB10" s="743" t="s">
        <v>2653</v>
      </c>
      <c r="AC10"/>
      <c r="AD10"/>
      <c r="AE10" s="2052"/>
      <c r="AF10" s="2052"/>
      <c r="AG10" s="2052"/>
      <c r="AH10" s="2052"/>
      <c r="AI10" s="2052"/>
      <c r="AJ10" s="2052"/>
      <c r="AK10" s="2052"/>
      <c r="AL10" s="2052"/>
      <c r="AM10" s="2052"/>
      <c r="AN10" s="2053"/>
      <c r="AO10" s="2053"/>
      <c r="AQ10" s="2053"/>
      <c r="AR10" s="2053"/>
      <c r="AS10" s="2053"/>
      <c r="AT10" s="2053"/>
      <c r="AU10" s="2053"/>
      <c r="AV10" s="2053"/>
      <c r="AW10" s="2053"/>
      <c r="AX10" s="2053"/>
      <c r="AY10" s="2053"/>
      <c r="AZ10" s="2053"/>
      <c r="BA10" s="2053"/>
      <c r="BC10" s="2053"/>
      <c r="BD10" s="2058" t="s">
        <v>993</v>
      </c>
      <c r="BE10" s="2056" t="str">
        <f>INDEX(Vectors[Description], MATCH($BD10, Vectors[Code], 0))</f>
        <v>Gas exports (imports)</v>
      </c>
      <c r="BF10" s="2053"/>
      <c r="BG10" s="2055"/>
      <c r="BH10" s="2056"/>
      <c r="BI10" s="2055">
        <f t="shared" ca="1" si="0"/>
        <v>-169.38262838663877</v>
      </c>
      <c r="BJ10" s="2055">
        <f t="shared" ca="1" si="0"/>
        <v>-843.83822787211943</v>
      </c>
      <c r="BK10" s="2055">
        <f t="shared" ca="1" si="0"/>
        <v>-1196.4106925667206</v>
      </c>
      <c r="BL10" s="2055">
        <f t="shared" ca="1" si="0"/>
        <v>-1675.7258737621144</v>
      </c>
      <c r="BM10" s="2053"/>
    </row>
    <row r="11" spans="2:65" s="743" customFormat="1" ht="21" customHeight="1">
      <c r="B11" s="1115"/>
      <c r="C11" s="1115" t="s">
        <v>809</v>
      </c>
      <c r="D11" s="1115" t="str">
        <f>INDEX(Modules[Module], MATCH($C11, Modules[Code], 0))</f>
        <v>Geothermal</v>
      </c>
      <c r="E11"/>
      <c r="F11" s="2542">
        <v>1</v>
      </c>
      <c r="G11" s="2542">
        <v>2</v>
      </c>
      <c r="H11" s="2542">
        <v>2</v>
      </c>
      <c r="I11" s="2542">
        <v>2</v>
      </c>
      <c r="J11" s="2542">
        <v>1</v>
      </c>
      <c r="K11" s="2542">
        <v>1</v>
      </c>
      <c r="L11" s="2542">
        <v>2</v>
      </c>
      <c r="M11"/>
      <c r="N11" s="2632">
        <v>1</v>
      </c>
      <c r="O11" s="1112"/>
      <c r="P11" s="1112"/>
      <c r="Q11" s="1112"/>
      <c r="R11" s="1112"/>
      <c r="S11" s="1586"/>
      <c r="T11" s="1112"/>
      <c r="U11" s="1112"/>
      <c r="V11" s="1112"/>
      <c r="W11" s="1112"/>
      <c r="X11"/>
      <c r="Y11" s="743" t="s">
        <v>2471</v>
      </c>
      <c r="Z11" s="743" t="s">
        <v>2654</v>
      </c>
      <c r="AA11" s="743" t="s">
        <v>2655</v>
      </c>
      <c r="AB11" s="743" t="s">
        <v>2656</v>
      </c>
      <c r="AC11"/>
      <c r="AD11"/>
      <c r="AE11" s="2052"/>
      <c r="AF11" s="2052"/>
      <c r="AG11" s="2052"/>
      <c r="AH11" s="2052"/>
      <c r="AI11" s="2052"/>
      <c r="AJ11" s="2052"/>
      <c r="AK11" s="2052"/>
      <c r="AL11" s="2052"/>
      <c r="AM11" s="2052"/>
      <c r="AN11" s="2053"/>
      <c r="AO11" s="2053"/>
      <c r="AQ11" s="2053"/>
      <c r="AR11" s="2053"/>
      <c r="AS11" s="2053"/>
      <c r="AT11" s="2053"/>
      <c r="AU11" s="2053"/>
      <c r="AV11" s="2053"/>
      <c r="AW11" s="2053"/>
      <c r="AX11" s="2053"/>
      <c r="AY11" s="2053"/>
      <c r="AZ11" s="2053"/>
      <c r="BA11" s="2053"/>
      <c r="BC11" s="2053"/>
      <c r="BD11" s="2058" t="s">
        <v>59</v>
      </c>
      <c r="BE11" s="2056" t="str">
        <f>INDEX(Vectors[Description], MATCH($BD11, Vectors[Code], 0))</f>
        <v>Biomatter exports (imports)</v>
      </c>
      <c r="BF11" s="2053"/>
      <c r="BG11" s="2053"/>
      <c r="BH11" s="2053"/>
      <c r="BI11" s="2055">
        <f t="shared" ca="1" si="0"/>
        <v>-4.0007200000000003</v>
      </c>
      <c r="BJ11" s="2055">
        <f t="shared" ca="1" si="0"/>
        <v>-2.7911999999999999</v>
      </c>
      <c r="BK11" s="2055">
        <f t="shared" ca="1" si="0"/>
        <v>-1.8608</v>
      </c>
      <c r="BL11" s="2055">
        <f t="shared" ca="1" si="0"/>
        <v>0</v>
      </c>
      <c r="BM11" s="2053"/>
    </row>
    <row r="12" spans="2:65" s="743" customFormat="1" ht="21" customHeight="1">
      <c r="B12" s="1115"/>
      <c r="C12" s="1115" t="s">
        <v>976</v>
      </c>
      <c r="D12" s="1115" t="str">
        <f>INDEX(Modules[Module], MATCH($C12, Modules[Code], 0))</f>
        <v>Distributed solar PV</v>
      </c>
      <c r="E12"/>
      <c r="F12" s="2542">
        <v>1</v>
      </c>
      <c r="G12" s="2542">
        <v>2</v>
      </c>
      <c r="H12" s="2542">
        <v>2</v>
      </c>
      <c r="I12" s="2542">
        <v>3</v>
      </c>
      <c r="J12" s="2542">
        <v>1</v>
      </c>
      <c r="K12" s="2542">
        <v>1</v>
      </c>
      <c r="L12" s="2542">
        <v>2</v>
      </c>
      <c r="M12"/>
      <c r="N12" s="2632">
        <v>1</v>
      </c>
      <c r="O12" s="1112"/>
      <c r="P12" s="1112"/>
      <c r="Q12" s="1112"/>
      <c r="R12" s="1112"/>
      <c r="S12" s="1586"/>
      <c r="T12" s="1112"/>
      <c r="U12" s="1112"/>
      <c r="V12" s="1112"/>
      <c r="W12" s="1112"/>
      <c r="X12"/>
      <c r="Y12" s="743" t="s">
        <v>2472</v>
      </c>
      <c r="Z12" s="743" t="s">
        <v>2657</v>
      </c>
      <c r="AA12" s="743" t="s">
        <v>2658</v>
      </c>
      <c r="AB12" s="743" t="s">
        <v>2473</v>
      </c>
      <c r="AC12"/>
      <c r="AD12"/>
      <c r="AE12" s="2052"/>
      <c r="AF12" s="2052"/>
      <c r="AG12" s="2052"/>
      <c r="AH12" s="2052"/>
      <c r="AI12" s="2052"/>
      <c r="AJ12" s="2052"/>
      <c r="AK12" s="2052"/>
      <c r="AL12" s="2052"/>
      <c r="AM12" s="2052"/>
      <c r="AN12" s="2053"/>
      <c r="AO12" s="2053"/>
      <c r="AQ12" s="2053"/>
      <c r="AR12" s="2053"/>
      <c r="AS12" s="2053"/>
      <c r="AT12" s="2053"/>
      <c r="AU12" s="2053"/>
      <c r="AV12" s="2053"/>
      <c r="AW12" s="2053"/>
      <c r="AX12" s="2053"/>
      <c r="AY12" s="2053"/>
      <c r="AZ12" s="2053"/>
      <c r="BA12" s="2053"/>
      <c r="BC12" s="2053"/>
      <c r="BD12" s="2068" t="s">
        <v>60</v>
      </c>
      <c r="BE12" s="2062" t="str">
        <f>INDEX(Vectors[Description], MATCH($BD12, Vectors[Code], 0))</f>
        <v>Electricity exports (imports)</v>
      </c>
      <c r="BF12" s="2061"/>
      <c r="BG12" s="2061"/>
      <c r="BH12" s="2061"/>
      <c r="BI12" s="2069">
        <f t="shared" ca="1" si="0"/>
        <v>-5.2145242500000002</v>
      </c>
      <c r="BJ12" s="2069">
        <f t="shared" ca="1" si="0"/>
        <v>5.6843418860808015E-14</v>
      </c>
      <c r="BK12" s="2069">
        <f t="shared" ca="1" si="0"/>
        <v>5.6843418860808015E-14</v>
      </c>
      <c r="BL12" s="2069">
        <f t="shared" ca="1" si="0"/>
        <v>-5.6843418860808015E-14</v>
      </c>
      <c r="BM12" s="2053"/>
    </row>
    <row r="13" spans="2:65" s="743" customFormat="1" ht="21" customHeight="1">
      <c r="B13" s="1115"/>
      <c r="C13" s="1115" t="s">
        <v>1329</v>
      </c>
      <c r="D13" s="1115" t="str">
        <f>INDEX(Modules[Module], MATCH($C13, Modules[Code], 0))</f>
        <v>Distributed solar thermal</v>
      </c>
      <c r="E13" s="121"/>
      <c r="F13" s="2542">
        <v>1</v>
      </c>
      <c r="G13" s="2542">
        <v>2</v>
      </c>
      <c r="H13" s="2542">
        <v>2</v>
      </c>
      <c r="I13" s="2542">
        <v>1</v>
      </c>
      <c r="J13" s="2542">
        <v>1</v>
      </c>
      <c r="K13" s="2542">
        <v>3</v>
      </c>
      <c r="L13" s="2542">
        <v>2</v>
      </c>
      <c r="M13"/>
      <c r="N13" s="2632">
        <v>1</v>
      </c>
      <c r="O13" s="1112"/>
      <c r="P13" s="1112"/>
      <c r="Q13" s="1112"/>
      <c r="R13" s="1112"/>
      <c r="S13" s="1586"/>
      <c r="T13" s="1112"/>
      <c r="U13" s="1112"/>
      <c r="V13" s="1112"/>
      <c r="W13" s="1112"/>
      <c r="X13" s="121"/>
      <c r="Y13" s="743" t="s">
        <v>2659</v>
      </c>
      <c r="Z13" s="743" t="s">
        <v>2660</v>
      </c>
      <c r="AA13" s="743" t="s">
        <v>2661</v>
      </c>
      <c r="AB13" s="743" t="s">
        <v>2662</v>
      </c>
      <c r="AC13"/>
      <c r="AD13"/>
      <c r="AE13" s="2052"/>
      <c r="AF13" s="2052"/>
      <c r="AG13" s="2052"/>
      <c r="AH13" s="2052"/>
      <c r="AI13" s="2052"/>
      <c r="AJ13" s="2052"/>
      <c r="AK13" s="2052"/>
      <c r="AL13" s="2052"/>
      <c r="AM13" s="2052"/>
      <c r="AN13" s="2053"/>
      <c r="AO13" s="2053"/>
      <c r="AQ13" s="2053"/>
      <c r="AR13" s="2053"/>
      <c r="AS13" s="2053"/>
      <c r="AT13" s="2053"/>
      <c r="AU13" s="2053"/>
      <c r="AV13" s="2053"/>
      <c r="AW13" s="2053"/>
      <c r="AX13" s="2053"/>
      <c r="AY13" s="2053"/>
      <c r="AZ13" s="2053"/>
      <c r="BA13" s="2053"/>
      <c r="BC13" s="2053"/>
      <c r="BD13" s="2053"/>
      <c r="BE13" s="2053"/>
      <c r="BF13" s="2053"/>
      <c r="BG13" s="2053"/>
      <c r="BH13" s="2053"/>
      <c r="BI13" s="2053"/>
      <c r="BJ13" s="2053"/>
      <c r="BK13" s="2053"/>
      <c r="BL13" s="2053"/>
      <c r="BM13" s="2053"/>
    </row>
    <row r="14" spans="2:65" s="743" customFormat="1" ht="21" customHeight="1">
      <c r="B14" s="1115"/>
      <c r="C14" s="1115" t="s">
        <v>1597</v>
      </c>
      <c r="D14" s="1115" t="str">
        <f>INDEX(Modules[Module], MATCH($C14, Modules[Code], 0))</f>
        <v>Micro wind</v>
      </c>
      <c r="E14" s="121"/>
      <c r="F14" s="2542">
        <v>1</v>
      </c>
      <c r="G14" s="2542">
        <v>2</v>
      </c>
      <c r="H14" s="2542">
        <v>2</v>
      </c>
      <c r="I14" s="2542">
        <v>2</v>
      </c>
      <c r="J14" s="2542">
        <v>1</v>
      </c>
      <c r="K14" s="2542">
        <v>1</v>
      </c>
      <c r="L14" s="2542">
        <v>2</v>
      </c>
      <c r="M14"/>
      <c r="N14" s="2632">
        <v>1</v>
      </c>
      <c r="O14" s="1112"/>
      <c r="P14" s="1112"/>
      <c r="Q14" s="1112"/>
      <c r="R14" s="1112"/>
      <c r="S14" s="1586"/>
      <c r="T14" s="1112"/>
      <c r="U14" s="1112"/>
      <c r="V14" s="1112"/>
      <c r="W14" s="1112"/>
      <c r="X14" s="121"/>
      <c r="Y14" s="743" t="s">
        <v>2663</v>
      </c>
      <c r="Z14" s="743" t="s">
        <v>2664</v>
      </c>
      <c r="AA14" s="743" t="s">
        <v>2665</v>
      </c>
      <c r="AB14" s="743" t="s">
        <v>2666</v>
      </c>
      <c r="AC14" s="121"/>
      <c r="AD14" s="121"/>
      <c r="AE14" s="2052"/>
      <c r="AF14" s="2052"/>
      <c r="AG14" s="2052"/>
      <c r="AH14" s="2052"/>
      <c r="AI14" s="2052"/>
      <c r="AJ14" s="2052"/>
      <c r="AK14" s="2052"/>
      <c r="AL14" s="2052"/>
      <c r="AM14" s="2052"/>
      <c r="AN14" s="2053"/>
      <c r="AO14" s="2053"/>
      <c r="AQ14" s="2053"/>
      <c r="AR14" s="2053"/>
      <c r="AS14" s="2053"/>
      <c r="AT14" s="2053"/>
      <c r="AU14" s="2053"/>
      <c r="AV14" s="2053"/>
      <c r="AW14" s="2053"/>
      <c r="AX14" s="2053"/>
      <c r="AY14" s="2053"/>
      <c r="AZ14" s="2053"/>
      <c r="BA14" s="2053"/>
      <c r="BC14" s="2053"/>
      <c r="BD14" s="2053"/>
      <c r="BE14" s="2053"/>
      <c r="BF14" s="2053"/>
      <c r="BG14" s="2053"/>
      <c r="BH14" s="2053"/>
      <c r="BI14" s="2053"/>
      <c r="BJ14" s="2053"/>
      <c r="BK14" s="2053"/>
      <c r="BL14" s="2053"/>
      <c r="BM14" s="2053"/>
    </row>
    <row r="15" spans="2:65" s="743" customFormat="1" ht="21" customHeight="1">
      <c r="B15" s="1115"/>
      <c r="C15" s="1115" t="s">
        <v>963</v>
      </c>
      <c r="D15" s="1115" t="str">
        <f>INDEX(Modules[Module], MATCH($C15, Modules[Code], 0))</f>
        <v>Biomatter to fuel conversion</v>
      </c>
      <c r="E15"/>
      <c r="F15" s="2542">
        <v>1</v>
      </c>
      <c r="G15" s="2542">
        <v>2</v>
      </c>
      <c r="H15" s="2542">
        <v>3</v>
      </c>
      <c r="I15" s="2542">
        <v>1</v>
      </c>
      <c r="J15" s="2542">
        <v>1</v>
      </c>
      <c r="K15" s="2542">
        <v>2</v>
      </c>
      <c r="L15" s="2542">
        <v>2</v>
      </c>
      <c r="M15"/>
      <c r="N15" s="2632">
        <v>1</v>
      </c>
      <c r="O15" s="1112"/>
      <c r="P15" s="1112"/>
      <c r="Q15" s="1112"/>
      <c r="R15" s="1112"/>
      <c r="S15" s="1586"/>
      <c r="T15" s="1112"/>
      <c r="U15" s="1112"/>
      <c r="V15" s="1112"/>
      <c r="W15" s="1112"/>
      <c r="X15"/>
      <c r="Y15" s="743" t="s">
        <v>2474</v>
      </c>
      <c r="Z15" s="743" t="s">
        <v>2475</v>
      </c>
      <c r="AA15" s="743" t="s">
        <v>2476</v>
      </c>
      <c r="AB15" s="743" t="s">
        <v>2477</v>
      </c>
      <c r="AC15" s="121"/>
      <c r="AD15" s="121"/>
      <c r="AE15" s="2052"/>
      <c r="AF15" s="2052"/>
      <c r="AG15" s="2052"/>
      <c r="AH15" s="2052"/>
      <c r="AI15" s="2052"/>
      <c r="AJ15" s="2052"/>
      <c r="AK15" s="2052"/>
      <c r="AL15" s="2052"/>
      <c r="AM15" s="2052"/>
      <c r="AN15" s="2053"/>
      <c r="AO15" s="2053"/>
      <c r="AQ15" s="2053"/>
      <c r="AR15" s="2053"/>
      <c r="AS15" s="2053"/>
      <c r="AT15" s="2053"/>
      <c r="AU15" s="2053"/>
      <c r="AV15" s="2053"/>
      <c r="AW15" s="2053"/>
      <c r="AX15" s="2053"/>
      <c r="AY15" s="2053"/>
      <c r="AZ15" s="2053"/>
      <c r="BA15" s="2053"/>
      <c r="BC15" s="2053"/>
      <c r="BD15" s="2065" t="s">
        <v>1813</v>
      </c>
      <c r="BE15" s="2053"/>
      <c r="BF15" s="2053"/>
      <c r="BG15" s="2053"/>
      <c r="BH15" s="2053"/>
      <c r="BI15" s="2053"/>
      <c r="BJ15" s="2053"/>
      <c r="BK15" s="2053"/>
      <c r="BL15" s="2053"/>
      <c r="BM15" s="2053"/>
    </row>
    <row r="16" spans="2:65" s="743" customFormat="1" ht="21" customHeight="1">
      <c r="B16" s="1115"/>
      <c r="C16" s="1115" t="s">
        <v>1695</v>
      </c>
      <c r="D16" s="1115" t="str">
        <f>INDEX(Modules[Module], MATCH($C16, Modules[Code], 0))</f>
        <v>Bioenergy imports</v>
      </c>
      <c r="E16" s="121"/>
      <c r="F16" s="2542">
        <v>1</v>
      </c>
      <c r="G16" s="2542">
        <v>2</v>
      </c>
      <c r="H16" s="2542">
        <v>3</v>
      </c>
      <c r="I16" s="2542">
        <v>3</v>
      </c>
      <c r="J16" s="2542">
        <v>3</v>
      </c>
      <c r="K16" s="2542">
        <v>2</v>
      </c>
      <c r="L16" s="2542">
        <v>2</v>
      </c>
      <c r="M16"/>
      <c r="N16" s="2632">
        <v>1</v>
      </c>
      <c r="O16" s="1112"/>
      <c r="P16" s="1112"/>
      <c r="Q16" s="1112"/>
      <c r="R16" s="1112"/>
      <c r="S16" s="1586"/>
      <c r="T16" s="1112"/>
      <c r="U16" s="1112"/>
      <c r="V16" s="1112"/>
      <c r="W16" s="1112"/>
      <c r="X16" s="121"/>
      <c r="Y16" s="743" t="s">
        <v>2667</v>
      </c>
      <c r="Z16" s="743" t="s">
        <v>2668</v>
      </c>
      <c r="AA16" s="743" t="s">
        <v>2669</v>
      </c>
      <c r="AB16" s="743" t="s">
        <v>2670</v>
      </c>
      <c r="AC16"/>
      <c r="AD16"/>
      <c r="AE16" s="2052"/>
      <c r="AF16" s="2052"/>
      <c r="AG16" s="2052"/>
      <c r="AH16" s="2052"/>
      <c r="AI16" s="2052"/>
      <c r="AJ16" s="2052"/>
      <c r="AK16" s="2052"/>
      <c r="AL16" s="2052"/>
      <c r="AM16" s="2052"/>
      <c r="AN16" s="2053"/>
      <c r="AO16" s="2053"/>
      <c r="AQ16" s="2053"/>
      <c r="AR16" s="2053"/>
      <c r="AS16" s="2053"/>
      <c r="AT16" s="2053"/>
      <c r="AU16" s="2053"/>
      <c r="AV16" s="2053"/>
      <c r="AW16" s="2053"/>
      <c r="AX16" s="2053"/>
      <c r="AY16" s="2053"/>
      <c r="AZ16" s="2053"/>
      <c r="BA16" s="2053"/>
      <c r="BC16" s="2053"/>
      <c r="BD16" s="2053"/>
      <c r="BE16" s="2053"/>
      <c r="BF16" s="2053"/>
      <c r="BG16" s="2053"/>
      <c r="BH16" s="2053"/>
      <c r="BI16" s="2053"/>
      <c r="BJ16" s="2053"/>
      <c r="BK16" s="2053"/>
      <c r="BL16" s="2053"/>
      <c r="BM16" s="2053"/>
    </row>
    <row r="17" spans="2:65" s="743" customFormat="1" ht="21" customHeight="1">
      <c r="B17" s="1115"/>
      <c r="C17" s="1115" t="s">
        <v>924</v>
      </c>
      <c r="D17" s="1115" t="str">
        <f>INDEX(Modules[Module], MATCH($C17, Modules[Code], 0))</f>
        <v>Agriculture and land use</v>
      </c>
      <c r="E17"/>
      <c r="F17" s="2542">
        <v>1</v>
      </c>
      <c r="G17" s="2542">
        <v>3</v>
      </c>
      <c r="H17" s="2542">
        <v>3</v>
      </c>
      <c r="I17" s="2542">
        <v>3</v>
      </c>
      <c r="J17" s="2542">
        <v>3</v>
      </c>
      <c r="K17" s="2542">
        <v>1</v>
      </c>
      <c r="L17" s="2542">
        <v>3</v>
      </c>
      <c r="M17"/>
      <c r="N17" s="2632">
        <v>1</v>
      </c>
      <c r="O17" s="1112"/>
      <c r="P17" s="1112"/>
      <c r="Q17" s="1112"/>
      <c r="R17" s="1112"/>
      <c r="S17" s="1586"/>
      <c r="T17" s="1112"/>
      <c r="U17" s="1112"/>
      <c r="V17" s="1112"/>
      <c r="W17" s="1112"/>
      <c r="X17"/>
      <c r="Y17" s="752" t="s">
        <v>2671</v>
      </c>
      <c r="Z17" s="752" t="s">
        <v>2478</v>
      </c>
      <c r="AA17" s="752" t="s">
        <v>2479</v>
      </c>
      <c r="AB17" s="752" t="s">
        <v>2480</v>
      </c>
      <c r="AC17" s="121"/>
      <c r="AD17" s="121"/>
      <c r="AE17" s="2052"/>
      <c r="AF17" s="2052"/>
      <c r="AG17" s="2052"/>
      <c r="AH17" s="2052"/>
      <c r="AI17" s="2052"/>
      <c r="AJ17" s="2052"/>
      <c r="AK17" s="2052"/>
      <c r="AL17" s="2052"/>
      <c r="AM17" s="2052"/>
      <c r="AN17" s="2053"/>
      <c r="AO17" s="2053"/>
      <c r="AQ17" s="2053"/>
      <c r="AR17" s="2053"/>
      <c r="AS17" s="2053"/>
      <c r="AT17" s="2053"/>
      <c r="AU17" s="2053"/>
      <c r="AV17" s="2053"/>
      <c r="AW17" s="2053"/>
      <c r="AX17" s="2053"/>
      <c r="AY17" s="2053"/>
      <c r="AZ17" s="2053"/>
      <c r="BA17" s="2053"/>
      <c r="BC17" s="2053"/>
      <c r="BD17" s="2066" t="s">
        <v>1824</v>
      </c>
      <c r="BE17" s="2057"/>
      <c r="BF17" s="2079"/>
      <c r="BG17" s="2079"/>
      <c r="BH17" s="2078" t="str">
        <f>Preferences.EnergyUnits &amp; " / year"</f>
        <v>TWh / year</v>
      </c>
      <c r="BI17" s="2077">
        <v>2007</v>
      </c>
      <c r="BJ17" s="2077">
        <v>2020</v>
      </c>
      <c r="BK17" s="2077">
        <v>2030</v>
      </c>
      <c r="BL17" s="2077">
        <v>2050</v>
      </c>
      <c r="BM17" s="2053"/>
    </row>
    <row r="18" spans="2:65" s="743" customFormat="1" ht="21" customHeight="1">
      <c r="B18" s="1115"/>
      <c r="C18" s="1115" t="s">
        <v>965</v>
      </c>
      <c r="D18" s="1115" t="str">
        <f>INDEX(Modules[Module], MATCH($C18, Modules[Code], 0))</f>
        <v>Waste arising</v>
      </c>
      <c r="E18"/>
      <c r="F18" s="2542">
        <v>1</v>
      </c>
      <c r="G18" s="2542">
        <v>3</v>
      </c>
      <c r="H18" s="2542">
        <v>2</v>
      </c>
      <c r="I18" s="2542">
        <v>3</v>
      </c>
      <c r="J18" s="2542">
        <v>3</v>
      </c>
      <c r="K18" s="2542">
        <v>3</v>
      </c>
      <c r="L18" s="2542">
        <v>3</v>
      </c>
      <c r="M18"/>
      <c r="N18" s="2632">
        <v>1</v>
      </c>
      <c r="O18" s="1112"/>
      <c r="P18" s="1112"/>
      <c r="Q18" s="1112"/>
      <c r="R18" s="1112"/>
      <c r="S18" s="1586"/>
      <c r="T18" s="1112"/>
      <c r="U18" s="1112"/>
      <c r="V18" s="1112"/>
      <c r="W18" s="1112"/>
      <c r="X18"/>
      <c r="Y18" s="743" t="s">
        <v>2672</v>
      </c>
      <c r="Z18" s="743" t="s">
        <v>2481</v>
      </c>
      <c r="AA18" s="743" t="s">
        <v>2389</v>
      </c>
      <c r="AB18" s="743" t="s">
        <v>2482</v>
      </c>
      <c r="AC18"/>
      <c r="AD18"/>
      <c r="AE18" s="2052"/>
      <c r="AF18" s="2052"/>
      <c r="AG18" s="2052"/>
      <c r="AH18" s="2052"/>
      <c r="AI18" s="2052"/>
      <c r="AJ18" s="2052"/>
      <c r="AK18" s="2052"/>
      <c r="AL18" s="2052"/>
      <c r="AM18" s="2052"/>
      <c r="AN18" s="2053"/>
      <c r="AO18" s="2053"/>
      <c r="AQ18" s="2053"/>
      <c r="AR18" s="2053"/>
      <c r="AS18" s="2053"/>
      <c r="AT18" s="2053"/>
      <c r="AU18" s="2053"/>
      <c r="AV18" s="2053"/>
      <c r="AW18" s="2053"/>
      <c r="AX18" s="2053"/>
      <c r="AY18" s="2053"/>
      <c r="AZ18" s="2053"/>
      <c r="BA18" s="2053"/>
      <c r="BC18" s="2053"/>
      <c r="BD18" s="2052"/>
      <c r="BE18" s="2052"/>
      <c r="BF18" s="2052"/>
      <c r="BG18" s="2052"/>
      <c r="BH18" s="2052"/>
      <c r="BI18" s="2052"/>
      <c r="BJ18" s="2052"/>
      <c r="BK18" s="2052"/>
      <c r="BL18" s="2052"/>
      <c r="BM18" s="2053"/>
    </row>
    <row r="19" spans="2:65" s="743" customFormat="1" ht="21" customHeight="1">
      <c r="B19" s="1115"/>
      <c r="C19" s="1115" t="s">
        <v>2280</v>
      </c>
      <c r="D19" s="1115" t="str">
        <f>INDEX(Modules[Module], MATCH($C19, Modules[Code], 0))</f>
        <v>Marine algae</v>
      </c>
      <c r="E19"/>
      <c r="F19" s="2542">
        <v>1</v>
      </c>
      <c r="G19" s="2542">
        <v>2</v>
      </c>
      <c r="H19" s="2542">
        <v>2</v>
      </c>
      <c r="I19" s="2542">
        <v>2</v>
      </c>
      <c r="J19" s="2542">
        <v>2</v>
      </c>
      <c r="K19" s="2542">
        <v>1</v>
      </c>
      <c r="L19" s="2542">
        <v>2</v>
      </c>
      <c r="M19"/>
      <c r="N19" s="2632">
        <v>1</v>
      </c>
      <c r="O19" s="1112"/>
      <c r="P19" s="1112"/>
      <c r="Q19" s="1112"/>
      <c r="R19" s="1112"/>
      <c r="S19" s="1586"/>
      <c r="T19" s="1112"/>
      <c r="U19" s="1112"/>
      <c r="V19" s="1112"/>
      <c r="W19" s="1112"/>
      <c r="X19"/>
      <c r="Y19" s="743" t="s">
        <v>2390</v>
      </c>
      <c r="Z19" s="743" t="s">
        <v>2483</v>
      </c>
      <c r="AA19" s="743" t="s">
        <v>2484</v>
      </c>
      <c r="AB19" s="743" t="s">
        <v>2485</v>
      </c>
      <c r="AD19"/>
      <c r="AE19" s="2052"/>
      <c r="AF19" s="2052"/>
      <c r="AG19" s="2052"/>
      <c r="AH19" s="2052"/>
      <c r="AI19" s="2052"/>
      <c r="AJ19" s="2052"/>
      <c r="AK19" s="2052"/>
      <c r="AL19" s="2052"/>
      <c r="AM19" s="2052"/>
      <c r="AN19" s="2053"/>
      <c r="AO19" s="2053"/>
      <c r="AQ19" s="2053"/>
      <c r="AR19" s="2053"/>
      <c r="AS19" s="2053"/>
      <c r="AT19" s="2053"/>
      <c r="AU19" s="2053"/>
      <c r="AV19" s="2053"/>
      <c r="AW19" s="2053"/>
      <c r="AX19" s="2053"/>
      <c r="AY19" s="2053"/>
      <c r="AZ19" s="2053"/>
      <c r="BA19" s="2053"/>
      <c r="BC19" s="2053"/>
      <c r="BD19" s="2067" t="s">
        <v>1876</v>
      </c>
      <c r="BE19" s="2056"/>
      <c r="BF19" s="2056"/>
      <c r="BG19" s="2055"/>
      <c r="BH19" s="2056"/>
      <c r="BI19" s="2076">
        <f ca="1">-(INDEX(INDIRECT(BI$17&amp;"!Year.Matrix"),MATCH("Subtotal.Supply",INDIRECT(BI$17&amp;"!Year.Modules"),0),MATCH("V.05",INDIRECT(BI$17&amp;"!Year.Vectors"),0))+INDEX(INDIRECT(BI$17&amp;"!Year.Matrix"),MATCH("Subtotal.Consumption",INDIRECT(BI$17&amp;"!Year.Modules"),0),MATCH("V.05",INDIRECT(BI$17&amp;"!Year.Vectors"),0)))</f>
        <v>1018.9565773566303</v>
      </c>
      <c r="BJ19" s="2076">
        <f ca="1">-(INDEX(INDIRECT(BJ$17&amp;"!Year.Matrix"),MATCH("Subtotal.Supply",INDIRECT(BJ$17&amp;"!Year.Modules"),0),MATCH("V.05",INDIRECT(BJ$17&amp;"!Year.Vectors"),0))+INDEX(INDIRECT(BJ$17&amp;"!Year.Matrix"),MATCH("Subtotal.Consumption",INDIRECT(BJ$17&amp;"!Year.Modules"),0),MATCH("V.05",INDIRECT(BJ$17&amp;"!Year.Vectors"),0)))</f>
        <v>1278.0210256499968</v>
      </c>
      <c r="BK19" s="2076">
        <f ca="1">-(INDEX(INDIRECT(BK$17&amp;"!Year.Matrix"),MATCH("Subtotal.Supply",INDIRECT(BK$17&amp;"!Year.Modules"),0),MATCH("V.05",INDIRECT(BK$17&amp;"!Year.Vectors"),0))+INDEX(INDIRECT(BK$17&amp;"!Year.Matrix"),MATCH("Subtotal.Consumption",INDIRECT(BK$17&amp;"!Year.Modules"),0),MATCH("V.05",INDIRECT(BK$17&amp;"!Year.Vectors"),0)))</f>
        <v>1487.4018427806232</v>
      </c>
      <c r="BL19" s="2076">
        <f ca="1">-(INDEX(INDIRECT(BL$17&amp;"!Year.Matrix"),MATCH("Subtotal.Supply",INDIRECT(BL$17&amp;"!Year.Modules"),0),MATCH("V.05",INDIRECT(BL$17&amp;"!Year.Vectors"),0))+INDEX(INDIRECT(BL$17&amp;"!Year.Matrix"),MATCH("Subtotal.Consumption",INDIRECT(BL$17&amp;"!Year.Modules"),0),MATCH("V.05",INDIRECT(BL$17&amp;"!Year.Vectors"),0)))</f>
        <v>1814.9857467028719</v>
      </c>
      <c r="BM19" s="2053"/>
    </row>
    <row r="20" spans="2:65" s="743" customFormat="1" ht="21" customHeight="1">
      <c r="B20" s="1115"/>
      <c r="C20" s="1115" t="s">
        <v>774</v>
      </c>
      <c r="D20" s="1115" t="str">
        <f>INDEX(Modules[Module], MATCH($C20, Modules[Code], 0))</f>
        <v>Electricity imports / exports</v>
      </c>
      <c r="E20"/>
      <c r="F20" s="2542">
        <v>1</v>
      </c>
      <c r="G20" s="2542">
        <v>1</v>
      </c>
      <c r="H20" s="2542">
        <v>2</v>
      </c>
      <c r="I20" s="2542">
        <v>2</v>
      </c>
      <c r="J20" s="2542">
        <v>1</v>
      </c>
      <c r="K20" s="2542">
        <v>1</v>
      </c>
      <c r="L20" s="2542">
        <v>3</v>
      </c>
      <c r="M20"/>
      <c r="N20" s="2632">
        <v>1</v>
      </c>
      <c r="O20" s="1112"/>
      <c r="P20" s="1112"/>
      <c r="Q20" s="1112"/>
      <c r="R20" s="1112"/>
      <c r="S20" s="1586"/>
      <c r="T20" s="1112"/>
      <c r="U20" s="1112"/>
      <c r="V20" s="1112"/>
      <c r="W20" s="1112"/>
      <c r="X20"/>
      <c r="Y20" s="743" t="s">
        <v>2486</v>
      </c>
      <c r="Z20" s="743" t="s">
        <v>2673</v>
      </c>
      <c r="AA20" s="743" t="s">
        <v>2674</v>
      </c>
      <c r="AB20" s="743" t="s">
        <v>2675</v>
      </c>
      <c r="AC20"/>
      <c r="AD20"/>
      <c r="AE20" s="2052"/>
      <c r="AF20" s="2052"/>
      <c r="AG20" s="2052"/>
      <c r="AH20" s="2052"/>
      <c r="AI20" s="2052"/>
      <c r="AJ20" s="2052"/>
      <c r="AK20" s="2052"/>
      <c r="AL20" s="2052"/>
      <c r="AM20" s="2052"/>
      <c r="AN20" s="2053"/>
      <c r="AO20" s="2053"/>
      <c r="AQ20" s="2053"/>
      <c r="AR20" s="2053"/>
      <c r="AS20" s="2053"/>
      <c r="AT20" s="2053"/>
      <c r="AU20" s="2053"/>
      <c r="AV20" s="2053"/>
      <c r="AW20" s="2053"/>
      <c r="AX20" s="2053"/>
      <c r="AY20" s="2053"/>
      <c r="AZ20" s="2053"/>
      <c r="BA20" s="2053"/>
      <c r="BC20" s="2053"/>
      <c r="BD20" s="2459" t="s">
        <v>671</v>
      </c>
      <c r="BE20" s="2460" t="s">
        <v>2303</v>
      </c>
      <c r="BF20" s="2470"/>
      <c r="BG20" s="2470"/>
      <c r="BH20" s="2470"/>
      <c r="BI20" s="2463">
        <f ca="1">INDEX(INDIRECT(BI$17&amp;"!Year.Matrix"),MATCH($BD20,INDIRECT(BI$17&amp;"!Year.Modules"),0),MATCH("V.05",INDIRECT(BI$17&amp;"!Year.Vectors"),0))/BI$19</f>
        <v>2.1838059840581198E-2</v>
      </c>
      <c r="BJ20" s="2463">
        <f ca="1">INDEX(INDIRECT(BJ$17&amp;"!Year.Matrix"),MATCH($BD20,INDIRECT(BJ$17&amp;"!Year.Modules"),0),MATCH("V.05",INDIRECT(BJ$17&amp;"!Year.Vectors"),0))/BJ$19</f>
        <v>3.4497564448210095E-2</v>
      </c>
      <c r="BK20" s="2463">
        <f ca="1">INDEX(INDIRECT(BK$17&amp;"!Year.Matrix"),MATCH($BD20,INDIRECT(BK$17&amp;"!Year.Modules"),0),MATCH("V.05",INDIRECT(BK$17&amp;"!Year.Vectors"),0))/BK$19</f>
        <v>3.5232071514178294E-2</v>
      </c>
      <c r="BL20" s="2463">
        <f ca="1">INDEX(INDIRECT(BL$17&amp;"!Year.Matrix"),MATCH($BD20,INDIRECT(BL$17&amp;"!Year.Modules"),0),MATCH("V.05",INDIRECT(BL$17&amp;"!Year.Vectors"),0))/BL$19</f>
        <v>3.1916192637958606E-2</v>
      </c>
      <c r="BM20" s="2053"/>
    </row>
    <row r="21" spans="2:65" s="743" customFormat="1" ht="21" customHeight="1">
      <c r="B21" s="1115"/>
      <c r="C21" s="1115" t="s">
        <v>796</v>
      </c>
      <c r="D21" s="1115" t="str">
        <f>INDEX(Modules[Module], MATCH($C21, Modules[Code], 0))</f>
        <v>Storage, demand shifting, backup</v>
      </c>
      <c r="E21"/>
      <c r="F21" s="2542">
        <v>1</v>
      </c>
      <c r="G21" s="2542">
        <v>2</v>
      </c>
      <c r="H21" s="2542">
        <v>3</v>
      </c>
      <c r="I21" s="2542">
        <v>4</v>
      </c>
      <c r="J21" s="2542">
        <v>1</v>
      </c>
      <c r="K21" s="2542">
        <v>2</v>
      </c>
      <c r="L21" s="2542">
        <v>3</v>
      </c>
      <c r="M21"/>
      <c r="N21" s="2632">
        <v>1</v>
      </c>
      <c r="O21" s="1112"/>
      <c r="P21" s="1112"/>
      <c r="Q21" s="1112"/>
      <c r="R21" s="1112"/>
      <c r="S21" s="1586"/>
      <c r="T21" s="1112"/>
      <c r="U21" s="1112"/>
      <c r="V21" s="1112"/>
      <c r="W21" s="1112"/>
      <c r="X21"/>
      <c r="Y21" s="743" t="s">
        <v>2487</v>
      </c>
      <c r="Z21" s="743" t="s">
        <v>2488</v>
      </c>
      <c r="AA21" s="743" t="s">
        <v>2489</v>
      </c>
      <c r="AB21" s="743" t="s">
        <v>2490</v>
      </c>
      <c r="AC21"/>
      <c r="AD21"/>
      <c r="AE21" s="2052"/>
      <c r="AF21" s="2052"/>
      <c r="AG21" s="2052"/>
      <c r="AH21" s="2052"/>
      <c r="AI21" s="2052"/>
      <c r="AJ21" s="2052"/>
      <c r="AK21" s="2052"/>
      <c r="AL21" s="2052"/>
      <c r="AM21" s="2052"/>
      <c r="AN21" s="2053"/>
      <c r="AO21" s="2053"/>
      <c r="AQ21" s="2053"/>
      <c r="AR21" s="2053"/>
      <c r="AS21" s="2053"/>
      <c r="AT21" s="2053"/>
      <c r="AU21" s="2053"/>
      <c r="AV21" s="2053"/>
      <c r="AW21" s="2053"/>
      <c r="AX21" s="2053"/>
      <c r="AY21" s="2053"/>
      <c r="AZ21" s="2053"/>
      <c r="BA21" s="2053"/>
      <c r="BC21" s="2053"/>
      <c r="BD21" s="2451" t="s">
        <v>829</v>
      </c>
      <c r="BE21" s="2452" t="s">
        <v>1878</v>
      </c>
      <c r="BF21" s="2453"/>
      <c r="BG21" s="2453"/>
      <c r="BH21" s="2453"/>
      <c r="BI21" s="2454">
        <f t="shared" ref="BI21:BL22" ca="1" si="1">-INDEX(INDIRECT(BI$17&amp;"!Year.Matrix"),MATCH($BD21,INDIRECT(BI$17&amp;"!Year.Modules"),0),MATCH("V.05",INDIRECT(BI$17&amp;"!Year.Vectors"),0))/BI$19</f>
        <v>0.31844125067598678</v>
      </c>
      <c r="BJ21" s="2454">
        <f t="shared" ca="1" si="1"/>
        <v>0.31166930124754194</v>
      </c>
      <c r="BK21" s="2454">
        <f t="shared" ca="1" si="1"/>
        <v>0.30293985500877535</v>
      </c>
      <c r="BL21" s="2454">
        <f t="shared" ca="1" si="1"/>
        <v>0.29068896729398042</v>
      </c>
      <c r="BM21" s="2053"/>
    </row>
    <row r="22" spans="2:65" s="743" customFormat="1" ht="21" customHeight="1">
      <c r="E22"/>
      <c r="F22" s="2542"/>
      <c r="G22" s="2542"/>
      <c r="H22" s="2542" t="s">
        <v>288</v>
      </c>
      <c r="I22" s="2542"/>
      <c r="J22" s="2542"/>
      <c r="K22" s="2542" t="s">
        <v>288</v>
      </c>
      <c r="L22" s="2542"/>
      <c r="M22"/>
      <c r="N22" s="2633"/>
      <c r="S22" s="1586"/>
      <c r="X22"/>
      <c r="AC22"/>
      <c r="AD22"/>
      <c r="AE22" s="2052"/>
      <c r="AF22" s="2052"/>
      <c r="AG22" s="2052"/>
      <c r="AH22" s="2052"/>
      <c r="AI22" s="2052"/>
      <c r="AJ22" s="2052"/>
      <c r="AK22" s="2052"/>
      <c r="AL22" s="2052"/>
      <c r="AM22" s="2052"/>
      <c r="AN22" s="2053"/>
      <c r="AO22" s="2053"/>
      <c r="AQ22" s="2053"/>
      <c r="AR22" s="2053"/>
      <c r="AS22" s="2053"/>
      <c r="AT22" s="2053"/>
      <c r="AU22" s="2053"/>
      <c r="AV22" s="2053"/>
      <c r="AW22" s="2053"/>
      <c r="AX22" s="2053"/>
      <c r="AY22" s="2053"/>
      <c r="AZ22" s="2053"/>
      <c r="BA22" s="2053"/>
      <c r="BC22" s="2053"/>
      <c r="BD22" s="2455" t="s">
        <v>945</v>
      </c>
      <c r="BE22" s="2456" t="s">
        <v>1877</v>
      </c>
      <c r="BF22" s="2457"/>
      <c r="BG22" s="2457"/>
      <c r="BH22" s="2457"/>
      <c r="BI22" s="2458">
        <f t="shared" ca="1" si="1"/>
        <v>7.680637385871443E-2</v>
      </c>
      <c r="BJ22" s="2458">
        <f t="shared" ca="1" si="1"/>
        <v>7.1981596877256068E-2</v>
      </c>
      <c r="BK22" s="2458">
        <f t="shared" ca="1" si="1"/>
        <v>7.2829179393125915E-2</v>
      </c>
      <c r="BL22" s="2458">
        <f t="shared" ca="1" si="1"/>
        <v>7.7675185365234239E-2</v>
      </c>
      <c r="BM22" s="2053"/>
    </row>
    <row r="23" spans="2:65" s="743" customFormat="1" ht="21" customHeight="1">
      <c r="B23" s="1119" t="s">
        <v>73</v>
      </c>
      <c r="C23" s="1120"/>
      <c r="D23" s="1120"/>
      <c r="E23"/>
      <c r="F23" s="2542"/>
      <c r="G23" s="2542"/>
      <c r="H23" s="2542" t="s">
        <v>288</v>
      </c>
      <c r="I23" s="2542"/>
      <c r="J23" s="2542"/>
      <c r="K23" s="2542" t="s">
        <v>288</v>
      </c>
      <c r="L23" s="2542"/>
      <c r="M23"/>
      <c r="N23" s="2633"/>
      <c r="O23" s="1128">
        <v>1</v>
      </c>
      <c r="P23" s="1128">
        <v>2</v>
      </c>
      <c r="Q23" s="1128">
        <v>3</v>
      </c>
      <c r="R23" s="1128">
        <v>4</v>
      </c>
      <c r="S23" s="2233"/>
      <c r="T23" s="1128" t="s">
        <v>1437</v>
      </c>
      <c r="U23" s="1128" t="s">
        <v>1438</v>
      </c>
      <c r="V23" s="1128" t="s">
        <v>1439</v>
      </c>
      <c r="W23" s="1128" t="s">
        <v>1440</v>
      </c>
      <c r="X23"/>
      <c r="Z23" s="752"/>
      <c r="AC23"/>
      <c r="AD23"/>
      <c r="AE23" s="2052"/>
      <c r="AF23" s="2052"/>
      <c r="AG23" s="2052"/>
      <c r="AH23" s="2052"/>
      <c r="AI23" s="2052"/>
      <c r="AJ23" s="2052"/>
      <c r="AK23" s="2052"/>
      <c r="AL23" s="2052"/>
      <c r="AM23" s="2052"/>
      <c r="AN23" s="2053"/>
      <c r="AO23" s="2053"/>
      <c r="AQ23" s="2053"/>
      <c r="AR23" s="2053"/>
      <c r="AS23" s="2053"/>
      <c r="AT23" s="2053"/>
      <c r="AU23" s="2053"/>
      <c r="AV23" s="2053"/>
      <c r="AW23" s="2053"/>
      <c r="AX23" s="2053"/>
      <c r="AY23" s="2053"/>
      <c r="AZ23" s="2053"/>
      <c r="BA23" s="2053"/>
      <c r="BC23" s="2053"/>
      <c r="BD23" s="2058"/>
      <c r="BE23" s="2056"/>
      <c r="BF23" s="2052"/>
      <c r="BG23" s="2052"/>
      <c r="BH23" s="2052"/>
      <c r="BI23" s="2052"/>
      <c r="BJ23" s="2052"/>
      <c r="BK23" s="2052"/>
      <c r="BL23" s="2052"/>
      <c r="BM23" s="2053"/>
    </row>
    <row r="24" spans="2:65" s="743" customFormat="1" ht="15.75">
      <c r="B24" s="1116"/>
      <c r="C24" s="1115" t="s">
        <v>829</v>
      </c>
      <c r="D24" s="1115" t="str">
        <f>INDEX(Modules[Module], MATCH($C24, Modules[Code], 0))</f>
        <v>Domestic space heating and hot water</v>
      </c>
      <c r="E24"/>
      <c r="F24" s="2542"/>
      <c r="G24" s="2542"/>
      <c r="H24" s="2542" t="s">
        <v>288</v>
      </c>
      <c r="I24" s="2542"/>
      <c r="J24" s="2542"/>
      <c r="K24" s="2542" t="s">
        <v>288</v>
      </c>
      <c r="L24" s="2542"/>
      <c r="M24"/>
      <c r="N24" s="2632"/>
      <c r="O24" s="1112"/>
      <c r="P24" s="1112"/>
      <c r="Q24" s="1112"/>
      <c r="R24" s="1112"/>
      <c r="S24" s="1586"/>
      <c r="T24" s="1112"/>
      <c r="U24" s="1112"/>
      <c r="V24" s="1112"/>
      <c r="W24" s="1112"/>
      <c r="X24"/>
      <c r="AC24"/>
      <c r="AD24"/>
      <c r="AE24" s="2052"/>
      <c r="AF24" s="2052"/>
      <c r="AG24" s="2052"/>
      <c r="AH24" s="2052"/>
      <c r="AI24" s="2052"/>
      <c r="AJ24" s="2052"/>
      <c r="AK24" s="2052"/>
      <c r="AL24" s="2052"/>
      <c r="AM24" s="2052"/>
      <c r="AN24" s="2053"/>
      <c r="AO24" s="2053"/>
      <c r="AQ24" s="2053"/>
      <c r="AR24" s="2053"/>
      <c r="AS24" s="2053"/>
      <c r="AT24" s="2053"/>
      <c r="AU24" s="2053"/>
      <c r="AV24" s="2053"/>
      <c r="AW24" s="2053"/>
      <c r="AX24" s="2053"/>
      <c r="AY24" s="2053"/>
      <c r="AZ24" s="2053"/>
      <c r="BA24" s="2052"/>
      <c r="BC24" s="2053"/>
      <c r="BD24" s="2067" t="s">
        <v>1812</v>
      </c>
      <c r="BE24" s="2056"/>
      <c r="BF24" s="2056"/>
      <c r="BG24" s="2055"/>
      <c r="BH24" s="2056"/>
      <c r="BI24" s="2076">
        <f ca="1">-(INDEX(INDIRECT(BI$17&amp;"!Year.Matrix"),MATCH("Subtotal.Supply",INDIRECT(BI$17&amp;"!Year.Modules"),0),MATCH("V.04",INDIRECT(BI$17&amp;"!Year.Vectors"),0))+INDEX(INDIRECT(BI$17&amp;"!Year.Matrix"),MATCH("Subtotal.Consumption",INDIRECT(BI$17&amp;"!Year.Modules"),0),MATCH("V.04",INDIRECT(BI$17&amp;"!Year.Vectors"),0)))</f>
        <v>880.010639206463</v>
      </c>
      <c r="BJ24" s="2076">
        <f ca="1">-(INDEX(INDIRECT(BJ$17&amp;"!Year.Matrix"),MATCH("Subtotal.Supply",INDIRECT(BJ$17&amp;"!Year.Modules"),0),MATCH("V.04",INDIRECT(BJ$17&amp;"!Year.Vectors"),0))+INDEX(INDIRECT(BJ$17&amp;"!Year.Matrix"),MATCH("Subtotal.Consumption",INDIRECT(BJ$17&amp;"!Year.Modules"),0),MATCH("V.04",INDIRECT(BJ$17&amp;"!Year.Vectors"),0)))</f>
        <v>864.82119458491093</v>
      </c>
      <c r="BK24" s="2076">
        <f ca="1">-(INDEX(INDIRECT(BK$17&amp;"!Year.Matrix"),MATCH("Subtotal.Supply",INDIRECT(BK$17&amp;"!Year.Modules"),0),MATCH("V.04",INDIRECT(BK$17&amp;"!Year.Vectors"),0))+INDEX(INDIRECT(BK$17&amp;"!Year.Matrix"),MATCH("Subtotal.Consumption",INDIRECT(BK$17&amp;"!Year.Modules"),0),MATCH("V.04",INDIRECT(BK$17&amp;"!Year.Vectors"),0)))</f>
        <v>816.14496810350909</v>
      </c>
      <c r="BL24" s="2076">
        <f ca="1">-(INDEX(INDIRECT(BL$17&amp;"!Year.Matrix"),MATCH("Subtotal.Supply",INDIRECT(BL$17&amp;"!Year.Modules"),0),MATCH("V.04",INDIRECT(BL$17&amp;"!Year.Vectors"),0))+INDEX(INDIRECT(BL$17&amp;"!Year.Matrix"),MATCH("Subtotal.Consumption",INDIRECT(BL$17&amp;"!Year.Modules"),0),MATCH("V.04",INDIRECT(BL$17&amp;"!Year.Vectors"),0)))</f>
        <v>840.69209868202199</v>
      </c>
      <c r="BM24" s="2053"/>
    </row>
    <row r="25" spans="2:65" s="743" customFormat="1" ht="20.25" customHeight="1">
      <c r="B25" s="2222"/>
      <c r="C25" s="2223"/>
      <c r="D25" s="2223" t="s">
        <v>1834</v>
      </c>
      <c r="E25" s="246"/>
      <c r="F25" s="2543">
        <v>1</v>
      </c>
      <c r="G25" s="2543">
        <v>2</v>
      </c>
      <c r="H25" s="2543">
        <v>2</v>
      </c>
      <c r="I25" s="2543">
        <v>2</v>
      </c>
      <c r="J25" s="2543">
        <v>3</v>
      </c>
      <c r="K25" s="2543">
        <v>2</v>
      </c>
      <c r="L25" s="2543">
        <v>1</v>
      </c>
      <c r="M25"/>
      <c r="N25" s="2634">
        <v>1</v>
      </c>
      <c r="O25" s="2226"/>
      <c r="P25" s="2226"/>
      <c r="Q25" s="2226"/>
      <c r="R25" s="2226"/>
      <c r="S25" s="2234"/>
      <c r="T25" s="2226"/>
      <c r="U25" s="2226"/>
      <c r="V25" s="2226"/>
      <c r="W25" s="2226"/>
      <c r="X25"/>
      <c r="Y25" s="743" t="s">
        <v>2491</v>
      </c>
      <c r="Z25" s="743" t="s">
        <v>2492</v>
      </c>
      <c r="AA25" s="743" t="s">
        <v>2493</v>
      </c>
      <c r="AB25" s="743" t="s">
        <v>2494</v>
      </c>
      <c r="AC25"/>
      <c r="AD25"/>
      <c r="AE25" s="2052"/>
      <c r="AF25" s="2052"/>
      <c r="AG25" s="2052"/>
      <c r="AH25" s="2052"/>
      <c r="AI25" s="2052"/>
      <c r="AJ25" s="2052"/>
      <c r="AK25" s="2052"/>
      <c r="AL25" s="2052"/>
      <c r="AM25" s="2052"/>
      <c r="AN25" s="2053"/>
      <c r="AO25" s="2053"/>
      <c r="AQ25" s="2053"/>
      <c r="AR25" s="2053"/>
      <c r="AS25" s="2053"/>
      <c r="AT25" s="2053"/>
      <c r="AU25" s="2053"/>
      <c r="AV25" s="2053"/>
      <c r="AW25" s="2053"/>
      <c r="AX25" s="2053"/>
      <c r="AY25" s="2053"/>
      <c r="AZ25" s="2053"/>
      <c r="BA25" s="2052"/>
      <c r="BC25" s="2053"/>
      <c r="BD25" s="2459" t="s">
        <v>671</v>
      </c>
      <c r="BE25" s="2460" t="s">
        <v>1820</v>
      </c>
      <c r="BF25" s="2461"/>
      <c r="BG25" s="2462"/>
      <c r="BH25" s="2460"/>
      <c r="BI25" s="2463">
        <f ca="1">INDEX(INDIRECT(BI$17&amp;"!Year.Matrix"),MATCH($BD25,INDIRECT(BI$17&amp;"!Year.Modules"),0),MATCH("V.04",INDIRECT(BI$17&amp;"!Year.Vectors"),0))/BI$24</f>
        <v>1.5786004854156084E-3</v>
      </c>
      <c r="BJ25" s="2463">
        <f ca="1">INDEX(INDIRECT(BJ$17&amp;"!Year.Matrix"),MATCH($BD25,INDIRECT(BJ$17&amp;"!Year.Modules"),0),MATCH("V.04",INDIRECT(BJ$17&amp;"!Year.Vectors"),0))/BJ$24</f>
        <v>1.0782777837525195E-2</v>
      </c>
      <c r="BK25" s="2463">
        <f ca="1">INDEX(INDIRECT(BK$17&amp;"!Year.Matrix"),MATCH($BD25,INDIRECT(BK$17&amp;"!Year.Modules"),0),MATCH("V.04",INDIRECT(BK$17&amp;"!Year.Vectors"),0))/BK$24</f>
        <v>2.3489150165969988E-2</v>
      </c>
      <c r="BL25" s="2463">
        <f ca="1">INDEX(INDIRECT(BL$17&amp;"!Year.Matrix"),MATCH($BD25,INDIRECT(BL$17&amp;"!Year.Modules"),0),MATCH("V.04",INDIRECT(BL$17&amp;"!Year.Vectors"),0))/BL$24</f>
        <v>6.4996190955159211E-2</v>
      </c>
      <c r="BM25" s="2054"/>
    </row>
    <row r="26" spans="2:65" s="743" customFormat="1" ht="21" customHeight="1">
      <c r="B26" s="2222"/>
      <c r="C26" s="2223"/>
      <c r="D26" s="2223" t="s">
        <v>1277</v>
      </c>
      <c r="E26" s="246"/>
      <c r="F26" s="2543">
        <v>1</v>
      </c>
      <c r="G26" s="2543">
        <v>2</v>
      </c>
      <c r="H26" s="2543">
        <v>2</v>
      </c>
      <c r="I26" s="2543">
        <v>2</v>
      </c>
      <c r="J26" s="2543">
        <v>3</v>
      </c>
      <c r="K26" s="2543">
        <v>2</v>
      </c>
      <c r="L26" s="2543">
        <v>1</v>
      </c>
      <c r="M26"/>
      <c r="N26" s="2634">
        <v>1</v>
      </c>
      <c r="O26" s="2226"/>
      <c r="P26" s="2226"/>
      <c r="Q26" s="2226"/>
      <c r="R26" s="2226"/>
      <c r="S26" s="2234"/>
      <c r="T26" s="2226"/>
      <c r="U26" s="2226"/>
      <c r="V26" s="2226"/>
      <c r="W26" s="2226"/>
      <c r="X26"/>
      <c r="Y26" s="743" t="s">
        <v>2495</v>
      </c>
      <c r="Z26" s="743" t="s">
        <v>2496</v>
      </c>
      <c r="AA26" s="743" t="s">
        <v>2497</v>
      </c>
      <c r="AB26" s="743" t="s">
        <v>2498</v>
      </c>
      <c r="AC26"/>
      <c r="AD26"/>
      <c r="AE26" s="2052"/>
      <c r="AF26" s="2052"/>
      <c r="AG26" s="2052"/>
      <c r="AH26" s="2052"/>
      <c r="AI26" s="2052"/>
      <c r="AJ26" s="2052"/>
      <c r="AK26" s="2052"/>
      <c r="AL26" s="2052"/>
      <c r="AM26" s="2052"/>
      <c r="AN26" s="2053"/>
      <c r="AO26" s="2053"/>
      <c r="AQ26" s="2053"/>
      <c r="AR26" s="2538" t="s">
        <v>2559</v>
      </c>
      <c r="AS26" s="2053"/>
      <c r="AT26" s="2053"/>
      <c r="AU26" s="2053"/>
      <c r="AV26" s="2053"/>
      <c r="AW26" s="2053"/>
      <c r="AX26" s="2053"/>
      <c r="AY26" s="2053"/>
      <c r="AZ26" s="2053"/>
      <c r="BA26" s="2052"/>
      <c r="BC26" s="2053"/>
      <c r="BD26" s="2451" t="s">
        <v>679</v>
      </c>
      <c r="BE26" s="2452" t="s">
        <v>1818</v>
      </c>
      <c r="BF26" s="2464"/>
      <c r="BG26" s="2467"/>
      <c r="BH26" s="2452"/>
      <c r="BI26" s="2454">
        <f t="shared" ref="BI26:BL28" ca="1" si="2">-INDEX(INDIRECT(BI$17&amp;"!Year.Matrix"),MATCH($BD26,INDIRECT(BI$17&amp;"!Year.Modules"),0),MATCH("V.04",INDIRECT(BI$17&amp;"!Year.Vectors"),0))/BI$24</f>
        <v>0.80462214208523608</v>
      </c>
      <c r="BJ26" s="2454">
        <f t="shared" ca="1" si="2"/>
        <v>0.82459792646918961</v>
      </c>
      <c r="BK26" s="2454">
        <f t="shared" ca="1" si="2"/>
        <v>0.82451180943978342</v>
      </c>
      <c r="BL26" s="2454">
        <f t="shared" ca="1" si="2"/>
        <v>0.83341688854761586</v>
      </c>
      <c r="BM26" s="2053"/>
    </row>
    <row r="27" spans="2:65" s="903" customFormat="1" ht="21" customHeight="1">
      <c r="B27" s="2222"/>
      <c r="C27" s="2223"/>
      <c r="D27" s="2223" t="s">
        <v>1862</v>
      </c>
      <c r="E27" s="246"/>
      <c r="F27" s="2543">
        <v>1</v>
      </c>
      <c r="G27" s="2543">
        <v>3</v>
      </c>
      <c r="H27" s="2543">
        <v>3</v>
      </c>
      <c r="I27" s="2543">
        <v>3</v>
      </c>
      <c r="J27" s="2543">
        <v>3</v>
      </c>
      <c r="K27" s="2543">
        <v>4</v>
      </c>
      <c r="L27" s="2543">
        <v>4</v>
      </c>
      <c r="M27"/>
      <c r="N27" s="2634">
        <v>1</v>
      </c>
      <c r="O27" s="2226"/>
      <c r="P27" s="2226"/>
      <c r="Q27" s="2226"/>
      <c r="R27" s="2226"/>
      <c r="S27" s="2234"/>
      <c r="T27" s="2226"/>
      <c r="U27" s="2226"/>
      <c r="V27" s="2226"/>
      <c r="W27" s="2226"/>
      <c r="X27" s="121"/>
      <c r="Y27" s="743" t="s">
        <v>2676</v>
      </c>
      <c r="Z27" s="743" t="s">
        <v>2499</v>
      </c>
      <c r="AA27" s="743" t="s">
        <v>2500</v>
      </c>
      <c r="AB27" s="743" t="s">
        <v>2501</v>
      </c>
      <c r="AC27" s="121"/>
      <c r="AD27"/>
      <c r="AE27" s="2052"/>
      <c r="AF27" s="2052"/>
      <c r="AG27" s="2052"/>
      <c r="AH27" s="2052"/>
      <c r="AI27" s="2052"/>
      <c r="AJ27" s="2052"/>
      <c r="AK27" s="2052"/>
      <c r="AL27" s="2052"/>
      <c r="AM27" s="2052"/>
      <c r="AN27" s="2054"/>
      <c r="AO27" s="2054"/>
      <c r="AQ27" s="2053"/>
      <c r="AR27" s="2053"/>
      <c r="AS27" s="2054"/>
      <c r="AT27" s="2054"/>
      <c r="AU27" s="2054"/>
      <c r="AV27" s="2054"/>
      <c r="AW27" s="2054"/>
      <c r="AX27" s="2054"/>
      <c r="AY27" s="2054"/>
      <c r="AZ27" s="2054"/>
      <c r="BA27" s="2052"/>
      <c r="BC27" s="2054"/>
      <c r="BD27" s="2147" t="s">
        <v>678</v>
      </c>
      <c r="BE27" s="2148" t="s">
        <v>1822</v>
      </c>
      <c r="BF27" s="1821"/>
      <c r="BG27" s="2468"/>
      <c r="BH27" s="2148"/>
      <c r="BI27" s="2149">
        <f t="shared" ca="1" si="2"/>
        <v>9.275232734995742E-2</v>
      </c>
      <c r="BJ27" s="2149">
        <f t="shared" ca="1" si="2"/>
        <v>9.7258587064957686E-2</v>
      </c>
      <c r="BK27" s="2149">
        <f t="shared" ca="1" si="2"/>
        <v>0.10601025817600572</v>
      </c>
      <c r="BL27" s="2149">
        <f t="shared" ca="1" si="2"/>
        <v>0.11021688847089071</v>
      </c>
      <c r="BM27" s="2053"/>
    </row>
    <row r="28" spans="2:65" s="903" customFormat="1" ht="21" customHeight="1">
      <c r="B28" s="2222"/>
      <c r="C28" s="2223"/>
      <c r="D28" s="2223" t="s">
        <v>1859</v>
      </c>
      <c r="E28" s="246"/>
      <c r="F28" s="2543">
        <v>1</v>
      </c>
      <c r="G28" s="2543">
        <v>3</v>
      </c>
      <c r="H28" s="2543">
        <v>3</v>
      </c>
      <c r="I28" s="2543">
        <v>3</v>
      </c>
      <c r="J28" s="2543">
        <v>3</v>
      </c>
      <c r="K28" s="2543">
        <v>4</v>
      </c>
      <c r="L28" s="2543">
        <v>3</v>
      </c>
      <c r="M28"/>
      <c r="N28" s="2634">
        <v>1</v>
      </c>
      <c r="O28" s="2226"/>
      <c r="P28" s="2227"/>
      <c r="Q28" s="2227"/>
      <c r="R28" s="2227"/>
      <c r="S28" s="2234"/>
      <c r="T28" s="2226"/>
      <c r="U28" s="2227"/>
      <c r="V28" s="2227"/>
      <c r="W28" s="2227"/>
      <c r="X28"/>
      <c r="Y28" s="743" t="s">
        <v>2502</v>
      </c>
      <c r="Z28" s="743" t="s">
        <v>2503</v>
      </c>
      <c r="AA28" s="2133" t="s">
        <v>2504</v>
      </c>
      <c r="AB28" s="743" t="s">
        <v>2505</v>
      </c>
      <c r="AC28" s="743"/>
      <c r="AD28"/>
      <c r="AE28" s="2052"/>
      <c r="AF28" s="2052"/>
      <c r="AG28" s="2052"/>
      <c r="AH28" s="2052"/>
      <c r="AI28" s="2052"/>
      <c r="AJ28" s="2052"/>
      <c r="AK28" s="2052"/>
      <c r="AL28" s="2052"/>
      <c r="AM28" s="2052"/>
      <c r="AN28" s="2054"/>
      <c r="AO28" s="2054"/>
      <c r="AQ28" s="2053"/>
      <c r="AR28" s="2053"/>
      <c r="AS28" s="2054"/>
      <c r="AT28" s="2054"/>
      <c r="AU28" s="2054"/>
      <c r="AV28" s="2054"/>
      <c r="AW28" s="2054"/>
      <c r="AX28" s="2054"/>
      <c r="AY28" s="2054"/>
      <c r="AZ28" s="2054"/>
      <c r="BA28" s="2052"/>
      <c r="BC28" s="2054"/>
      <c r="BD28" s="2455" t="s">
        <v>971</v>
      </c>
      <c r="BE28" s="2456" t="s">
        <v>2302</v>
      </c>
      <c r="BF28" s="2465"/>
      <c r="BG28" s="2469"/>
      <c r="BH28" s="2456"/>
      <c r="BI28" s="2458">
        <f t="shared" ca="1" si="2"/>
        <v>6.3938641915657332E-2</v>
      </c>
      <c r="BJ28" s="2458">
        <f t="shared" ca="1" si="2"/>
        <v>5.5620674699302694E-2</v>
      </c>
      <c r="BK28" s="2458">
        <f t="shared" ca="1" si="2"/>
        <v>5.4682749359856023E-2</v>
      </c>
      <c r="BL28" s="2458">
        <f t="shared" ca="1" si="2"/>
        <v>4.8834574026103868E-2</v>
      </c>
      <c r="BM28" s="2054"/>
    </row>
    <row r="29" spans="2:65" s="903" customFormat="1" ht="21" customHeight="1">
      <c r="B29" s="1116"/>
      <c r="C29" s="1115" t="s">
        <v>945</v>
      </c>
      <c r="D29" s="1115" t="str">
        <f>INDEX(Modules[Module], MATCH($C29, Modules[Code], 0))</f>
        <v>Commercial heating and cooling</v>
      </c>
      <c r="E29"/>
      <c r="F29" s="2542"/>
      <c r="G29" s="2542"/>
      <c r="H29" s="2542" t="s">
        <v>288</v>
      </c>
      <c r="I29" s="2542"/>
      <c r="J29" s="2542"/>
      <c r="K29" s="2542" t="s">
        <v>288</v>
      </c>
      <c r="L29" s="2542"/>
      <c r="M29"/>
      <c r="N29" s="2632"/>
      <c r="O29" s="1112"/>
      <c r="P29" s="1121"/>
      <c r="Q29" s="1121"/>
      <c r="R29" s="1121"/>
      <c r="S29" s="1904"/>
      <c r="T29" s="1112"/>
      <c r="U29" s="1121"/>
      <c r="V29" s="1121"/>
      <c r="W29" s="1121"/>
      <c r="X29"/>
      <c r="Y29" s="743"/>
      <c r="Z29" s="743"/>
      <c r="AA29" s="743"/>
      <c r="AB29" s="743"/>
      <c r="AC29"/>
      <c r="AD29" s="121"/>
      <c r="AE29" s="2052"/>
      <c r="AF29" s="2052"/>
      <c r="AG29" s="2052"/>
      <c r="AH29" s="2052"/>
      <c r="AI29" s="2052"/>
      <c r="AJ29" s="2052"/>
      <c r="AK29" s="2052"/>
      <c r="AL29" s="2052"/>
      <c r="AM29" s="2052"/>
      <c r="AN29" s="2054"/>
      <c r="AO29" s="2054"/>
      <c r="AQ29" s="2054"/>
      <c r="AR29" s="2054"/>
      <c r="AS29" s="2054"/>
      <c r="AT29" s="2054"/>
      <c r="AU29" s="2054"/>
      <c r="AV29" s="2054"/>
      <c r="AW29" s="2054"/>
      <c r="AX29" s="2054"/>
      <c r="AY29" s="2054"/>
      <c r="AZ29" s="2054"/>
      <c r="BA29" s="2052"/>
      <c r="BC29" s="2054"/>
      <c r="BD29" s="2053"/>
      <c r="BE29" s="2053"/>
      <c r="BF29" s="2053"/>
      <c r="BG29" s="2053"/>
      <c r="BH29" s="2053"/>
      <c r="BI29" s="2053"/>
      <c r="BJ29" s="2053"/>
      <c r="BK29" s="2053"/>
      <c r="BL29" s="2053"/>
      <c r="BM29" s="2054"/>
    </row>
    <row r="30" spans="2:65" s="903" customFormat="1" ht="21" customHeight="1">
      <c r="B30" s="2222"/>
      <c r="C30" s="2223"/>
      <c r="D30" s="2223" t="s">
        <v>1842</v>
      </c>
      <c r="E30" s="121"/>
      <c r="F30" s="2542">
        <v>1</v>
      </c>
      <c r="G30" s="2542">
        <v>2</v>
      </c>
      <c r="H30" s="2542">
        <v>2</v>
      </c>
      <c r="I30" s="2542">
        <v>2</v>
      </c>
      <c r="J30" s="2542">
        <v>2</v>
      </c>
      <c r="K30" s="2542">
        <v>2</v>
      </c>
      <c r="L30" s="2542">
        <v>1</v>
      </c>
      <c r="M30"/>
      <c r="N30" s="2634">
        <v>1</v>
      </c>
      <c r="O30" s="2228"/>
      <c r="P30" s="2229"/>
      <c r="Q30" s="2229"/>
      <c r="R30" s="2229"/>
      <c r="S30" s="1904"/>
      <c r="T30" s="2226"/>
      <c r="U30" s="2226"/>
      <c r="V30" s="2226"/>
      <c r="W30" s="2226"/>
      <c r="X30" s="121"/>
      <c r="Y30" s="743" t="s">
        <v>2393</v>
      </c>
      <c r="Z30" s="743" t="s">
        <v>2394</v>
      </c>
      <c r="AA30" s="743" t="s">
        <v>2506</v>
      </c>
      <c r="AB30" s="743" t="s">
        <v>2507</v>
      </c>
      <c r="AC30"/>
      <c r="AD30"/>
      <c r="AE30" s="2052"/>
      <c r="AF30" s="2052"/>
      <c r="AG30" s="2052"/>
      <c r="AH30" s="2052"/>
      <c r="AI30" s="2052"/>
      <c r="AJ30" s="2052"/>
      <c r="AK30" s="2052"/>
      <c r="AL30" s="2052"/>
      <c r="AM30" s="2052"/>
      <c r="AN30" s="2054"/>
      <c r="AO30" s="2054"/>
      <c r="AQ30" s="2054"/>
      <c r="AR30" s="2158" t="s">
        <v>1879</v>
      </c>
      <c r="AS30" s="2053"/>
      <c r="AT30" s="2053"/>
      <c r="AU30" s="2053"/>
      <c r="AV30" s="2053"/>
      <c r="AW30" s="2053"/>
      <c r="AX30" s="2053"/>
      <c r="AY30" s="2053"/>
      <c r="AZ30" s="2053"/>
      <c r="BA30" s="2052"/>
      <c r="BC30" s="2054"/>
      <c r="BD30" s="2067" t="s">
        <v>1811</v>
      </c>
      <c r="BE30" s="2056"/>
      <c r="BF30" s="2056"/>
      <c r="BG30" s="2055"/>
      <c r="BH30" s="2056"/>
      <c r="BI30" s="2076">
        <f ca="1">-(INDEX(INDIRECT(BI$17&amp;"!Year.Matrix"),MATCH("Subtotal.Supply",INDIRECT(BI$17&amp;"!Year.Modules"),0),MATCH("V.03",INDIRECT(BI$17&amp;"!Year.Vectors"),0))+INDEX(INDIRECT(BI$17&amp;"!Year.Matrix"),MATCH("Subtotal.Consumption",INDIRECT(BI$17&amp;"!Year.Modules"),0),MATCH("V.03",INDIRECT(BI$17&amp;"!Year.Vectors"),0)))</f>
        <v>442.86489976108777</v>
      </c>
      <c r="BJ30" s="2076">
        <f ca="1">-(INDEX(INDIRECT(BJ$17&amp;"!Year.Matrix"),MATCH("Subtotal.Supply",INDIRECT(BJ$17&amp;"!Year.Modules"),0),MATCH("V.03",INDIRECT(BJ$17&amp;"!Year.Vectors"),0))+INDEX(INDIRECT(BJ$17&amp;"!Year.Matrix"),MATCH("Subtotal.Consumption",INDIRECT(BJ$17&amp;"!Year.Modules"),0),MATCH("V.03",INDIRECT(BJ$17&amp;"!Year.Vectors"),0)))</f>
        <v>228.97302656673963</v>
      </c>
      <c r="BK30" s="2076">
        <f ca="1">-(INDEX(INDIRECT(BK$17&amp;"!Year.Matrix"),MATCH("Subtotal.Supply",INDIRECT(BK$17&amp;"!Year.Modules"),0),MATCH("V.03",INDIRECT(BK$17&amp;"!Year.Vectors"),0))+INDEX(INDIRECT(BK$17&amp;"!Year.Matrix"),MATCH("Subtotal.Consumption",INDIRECT(BK$17&amp;"!Year.Modules"),0),MATCH("V.03",INDIRECT(BK$17&amp;"!Year.Vectors"),0)))</f>
        <v>113.11419496727213</v>
      </c>
      <c r="BL30" s="2076">
        <f ca="1">-(INDEX(INDIRECT(BL$17&amp;"!Year.Matrix"),MATCH("Subtotal.Supply",INDIRECT(BL$17&amp;"!Year.Modules"),0),MATCH("V.03",INDIRECT(BL$17&amp;"!Year.Vectors"),0))+INDEX(INDIRECT(BL$17&amp;"!Year.Matrix"),MATCH("Subtotal.Consumption",INDIRECT(BL$17&amp;"!Year.Modules"),0),MATCH("V.03",INDIRECT(BL$17&amp;"!Year.Vectors"),0)))</f>
        <v>113.56994645370648</v>
      </c>
      <c r="BM30" s="2054"/>
    </row>
    <row r="31" spans="2:65" s="743" customFormat="1" ht="21" customHeight="1">
      <c r="B31" s="2222"/>
      <c r="C31" s="2223"/>
      <c r="D31" s="2223" t="s">
        <v>1863</v>
      </c>
      <c r="E31" s="121"/>
      <c r="F31" s="2542">
        <v>1</v>
      </c>
      <c r="G31" s="2542">
        <v>3</v>
      </c>
      <c r="H31" s="2542">
        <v>3</v>
      </c>
      <c r="I31" s="2542">
        <v>3</v>
      </c>
      <c r="J31" s="2542">
        <v>3</v>
      </c>
      <c r="K31" s="2542">
        <v>4</v>
      </c>
      <c r="L31" s="2542">
        <v>4</v>
      </c>
      <c r="M31"/>
      <c r="N31" s="2634">
        <v>1</v>
      </c>
      <c r="O31" s="2230"/>
      <c r="P31" s="2231"/>
      <c r="Q31" s="2231"/>
      <c r="R31" s="2231"/>
      <c r="S31" s="1904"/>
      <c r="T31" s="2226"/>
      <c r="U31" s="2227"/>
      <c r="V31" s="2227"/>
      <c r="W31" s="2227"/>
      <c r="X31" s="121"/>
      <c r="Y31" s="743" t="s">
        <v>2508</v>
      </c>
      <c r="Z31" s="743" t="s">
        <v>2509</v>
      </c>
      <c r="AA31" s="743" t="s">
        <v>2510</v>
      </c>
      <c r="AB31" s="743" t="s">
        <v>2511</v>
      </c>
      <c r="AC31" s="121"/>
      <c r="AD31"/>
      <c r="AE31" s="2052"/>
      <c r="AF31" s="2052"/>
      <c r="AG31" s="2052"/>
      <c r="AH31" s="2052"/>
      <c r="AI31" s="2052"/>
      <c r="AJ31" s="2052"/>
      <c r="AK31" s="2052"/>
      <c r="AL31" s="2052"/>
      <c r="AM31" s="2052"/>
      <c r="AN31" s="2053"/>
      <c r="AO31" s="2053"/>
      <c r="AQ31" s="2054"/>
      <c r="AR31" s="2053"/>
      <c r="AS31" s="2053"/>
      <c r="AT31" s="2053"/>
      <c r="AU31" s="2053"/>
      <c r="AV31" s="2053"/>
      <c r="AW31" s="2053"/>
      <c r="AX31" s="2053"/>
      <c r="AY31" s="2053"/>
      <c r="AZ31" s="2053"/>
      <c r="BA31" s="2052"/>
      <c r="BC31" s="2053"/>
      <c r="BD31" s="2459" t="s">
        <v>671</v>
      </c>
      <c r="BE31" s="2460" t="s">
        <v>1821</v>
      </c>
      <c r="BF31" s="2461"/>
      <c r="BG31" s="2461"/>
      <c r="BH31" s="2461"/>
      <c r="BI31" s="2463">
        <f ca="1">INDEX(INDIRECT(BI$17&amp;"!Year.Matrix"),MATCH($BD31,INDIRECT(BI$17&amp;"!Year.Modules"),0),MATCH("V.03",INDIRECT(BI$17&amp;"!Year.Vectors"),0))/BI$30</f>
        <v>3.5976869944138151E-2</v>
      </c>
      <c r="BJ31" s="2463">
        <f ca="1">INDEX(INDIRECT(BJ$17&amp;"!Year.Matrix"),MATCH($BD31,INDIRECT(BJ$17&amp;"!Year.Modules"),0),MATCH("V.03",INDIRECT(BJ$17&amp;"!Year.Vectors"),0))/BJ$30</f>
        <v>0.14722273118642226</v>
      </c>
      <c r="BK31" s="2463">
        <f ca="1">INDEX(INDIRECT(BK$17&amp;"!Year.Matrix"),MATCH($BD31,INDIRECT(BK$17&amp;"!Year.Modules"),0),MATCH("V.03",INDIRECT(BK$17&amp;"!Year.Vectors"),0))/BK$30</f>
        <v>0.38877644088148233</v>
      </c>
      <c r="BL31" s="2463">
        <f ca="1">INDEX(INDIRECT(BL$17&amp;"!Year.Matrix"),MATCH($BD31,INDIRECT(BL$17&amp;"!Year.Modules"),0),MATCH("V.03",INDIRECT(BL$17&amp;"!Year.Vectors"),0))/BL$30</f>
        <v>0.60237944892281503</v>
      </c>
      <c r="BM31" s="2053"/>
    </row>
    <row r="32" spans="2:65" s="743" customFormat="1" ht="21" customHeight="1">
      <c r="B32" s="2222"/>
      <c r="C32" s="2223"/>
      <c r="D32" s="2223" t="s">
        <v>1864</v>
      </c>
      <c r="E32" s="121"/>
      <c r="F32" s="2542">
        <v>1</v>
      </c>
      <c r="G32" s="2542">
        <v>3</v>
      </c>
      <c r="H32" s="2542">
        <v>3</v>
      </c>
      <c r="I32" s="2542">
        <v>3</v>
      </c>
      <c r="J32" s="2542">
        <v>3</v>
      </c>
      <c r="K32" s="2542">
        <v>4</v>
      </c>
      <c r="L32" s="2542">
        <v>3</v>
      </c>
      <c r="M32"/>
      <c r="N32" s="2634">
        <v>1</v>
      </c>
      <c r="O32" s="2230"/>
      <c r="P32" s="2231"/>
      <c r="Q32" s="2231"/>
      <c r="R32" s="2231"/>
      <c r="S32" s="1904"/>
      <c r="T32" s="2226"/>
      <c r="U32" s="2227"/>
      <c r="V32" s="2227"/>
      <c r="W32" s="2227"/>
      <c r="X32" s="121"/>
      <c r="Y32" s="743" t="s">
        <v>2502</v>
      </c>
      <c r="Z32" s="743" t="s">
        <v>2391</v>
      </c>
      <c r="AA32" s="2133" t="s">
        <v>2392</v>
      </c>
      <c r="AB32" s="743" t="s">
        <v>2512</v>
      </c>
      <c r="AD32" s="121"/>
      <c r="AE32" s="2052"/>
      <c r="AF32" s="2052"/>
      <c r="AG32" s="2052"/>
      <c r="AH32" s="2052"/>
      <c r="AI32" s="2052"/>
      <c r="AJ32" s="2052"/>
      <c r="AK32" s="2052"/>
      <c r="AL32" s="2052"/>
      <c r="AM32" s="2052"/>
      <c r="AN32" s="2053"/>
      <c r="AO32" s="2053"/>
      <c r="AQ32" s="2054"/>
      <c r="AR32" s="2057" t="s">
        <v>200</v>
      </c>
      <c r="AS32" s="2057"/>
      <c r="AT32" s="2011"/>
      <c r="AU32" s="2011"/>
      <c r="AV32" s="2011"/>
      <c r="AW32" s="2080">
        <v>2007</v>
      </c>
      <c r="AX32" s="2080">
        <v>2050</v>
      </c>
      <c r="AY32" s="2517" t="s">
        <v>2335</v>
      </c>
      <c r="AZ32" s="2517"/>
      <c r="BA32" s="2052"/>
      <c r="BC32" s="2053"/>
      <c r="BD32" s="2451" t="s">
        <v>878</v>
      </c>
      <c r="BE32" s="2452" t="s">
        <v>1819</v>
      </c>
      <c r="BF32" s="2464"/>
      <c r="BG32" s="2464"/>
      <c r="BH32" s="2464"/>
      <c r="BI32" s="2454">
        <f t="shared" ref="BI32:BL35" ca="1" si="3">-INDEX(INDIRECT(BI$17&amp;"!Year.Matrix"),MATCH($BD32,INDIRECT(BI$17&amp;"!Year.Modules"),0),MATCH("V.03",INDIRECT(BI$17&amp;"!Year.Vectors"),0))/BI$30</f>
        <v>0</v>
      </c>
      <c r="BJ32" s="2454">
        <f t="shared" ca="1" si="3"/>
        <v>0.12162016414101048</v>
      </c>
      <c r="BK32" s="2454">
        <f t="shared" ca="1" si="3"/>
        <v>0.24569541936512718</v>
      </c>
      <c r="BL32" s="2454">
        <f t="shared" ca="1" si="3"/>
        <v>0.24377929436415594</v>
      </c>
      <c r="BM32" s="2053"/>
    </row>
    <row r="33" spans="2:65" s="743" customFormat="1" ht="21" customHeight="1">
      <c r="B33" s="1116"/>
      <c r="C33" s="1115" t="s">
        <v>950</v>
      </c>
      <c r="D33" s="1115" t="str">
        <f>INDEX(Modules[Module], MATCH($C33, Modules[Code], 0))</f>
        <v>Domestic lighting, appliances, and cooking</v>
      </c>
      <c r="E33"/>
      <c r="F33" s="2542"/>
      <c r="G33" s="2542"/>
      <c r="H33" s="2542" t="s">
        <v>288</v>
      </c>
      <c r="I33" s="2542"/>
      <c r="J33" s="2542"/>
      <c r="K33" s="2542" t="s">
        <v>288</v>
      </c>
      <c r="L33" s="2542"/>
      <c r="M33"/>
      <c r="N33" s="2632"/>
      <c r="O33" s="1112"/>
      <c r="P33" s="1122"/>
      <c r="Q33" s="1122"/>
      <c r="R33" s="1122"/>
      <c r="S33" s="1904"/>
      <c r="T33" s="1112"/>
      <c r="U33" s="1122"/>
      <c r="V33" s="1122"/>
      <c r="W33" s="1122"/>
      <c r="X33"/>
      <c r="AC33"/>
      <c r="AD33" s="121"/>
      <c r="AE33" s="2052"/>
      <c r="AF33" s="2052"/>
      <c r="AG33" s="2052"/>
      <c r="AH33" s="2052"/>
      <c r="AI33" s="2052"/>
      <c r="AJ33" s="2052"/>
      <c r="AK33" s="2052"/>
      <c r="AL33" s="2052"/>
      <c r="AM33" s="2052"/>
      <c r="AN33" s="2053"/>
      <c r="AO33" s="2053"/>
      <c r="AQ33" s="2053"/>
      <c r="AR33" s="2058" t="s">
        <v>74</v>
      </c>
      <c r="AS33" s="2056" t="str">
        <f>INDEX(Workstreams[Workstream], MATCH($AR33, Workstreams[Code], 0))</f>
        <v>Hydrocarbon fuel power generation</v>
      </c>
      <c r="AT33" s="2053"/>
      <c r="AU33" s="2055"/>
      <c r="AV33" s="2056"/>
      <c r="AW33" s="2515">
        <f t="shared" ref="AW33:AX42" ca="1" si="4">SUMIFS(INDIRECT("'"&amp;AW$32&amp;"'!Year.EmissionsBySector"), INDIRECT("'"&amp;AW$32&amp;"'!Year.Modules"),$AR33)</f>
        <v>188.79633754278672</v>
      </c>
      <c r="AX33" s="2515">
        <f t="shared" ca="1" si="4"/>
        <v>182.21406594354022</v>
      </c>
      <c r="AY33" s="2518">
        <f ca="1">AX33*'Intermediate output'!$H$135/'Intermediate output'!$F$161</f>
        <v>0.24039201911298311</v>
      </c>
      <c r="AZ33" s="2052"/>
      <c r="BA33" s="2052"/>
      <c r="BC33" s="2053"/>
      <c r="BD33" s="2147" t="s">
        <v>742</v>
      </c>
      <c r="BE33" s="2148" t="s">
        <v>2306</v>
      </c>
      <c r="BF33" s="1821"/>
      <c r="BG33" s="1821"/>
      <c r="BH33" s="1821"/>
      <c r="BI33" s="2149">
        <f t="shared" ca="1" si="3"/>
        <v>0.8426397453874348</v>
      </c>
      <c r="BJ33" s="2149">
        <f t="shared" ca="1" si="3"/>
        <v>0.58974182428706656</v>
      </c>
      <c r="BK33" s="2149">
        <f t="shared" ca="1" si="3"/>
        <v>0.18245871268386327</v>
      </c>
      <c r="BL33" s="2149">
        <f t="shared" ca="1" si="3"/>
        <v>0.18172651343472068</v>
      </c>
      <c r="BM33" s="2053"/>
    </row>
    <row r="34" spans="2:65" s="743" customFormat="1" ht="21" customHeight="1">
      <c r="B34" s="2224"/>
      <c r="C34" s="2225"/>
      <c r="D34" s="2223" t="s">
        <v>1664</v>
      </c>
      <c r="E34" s="121"/>
      <c r="F34" s="2542">
        <v>1</v>
      </c>
      <c r="G34" s="2542">
        <v>2</v>
      </c>
      <c r="H34" s="2542">
        <v>3</v>
      </c>
      <c r="I34" s="2542">
        <v>3</v>
      </c>
      <c r="J34" s="2542">
        <v>3</v>
      </c>
      <c r="K34" s="2542">
        <v>2</v>
      </c>
      <c r="L34" s="2542">
        <v>1</v>
      </c>
      <c r="M34"/>
      <c r="N34" s="2634">
        <v>1</v>
      </c>
      <c r="O34" s="2230"/>
      <c r="P34" s="2227"/>
      <c r="Q34" s="2227"/>
      <c r="R34" s="2227"/>
      <c r="S34" s="1904"/>
      <c r="T34" s="2230"/>
      <c r="U34" s="2227"/>
      <c r="V34" s="2227"/>
      <c r="W34" s="2227"/>
      <c r="X34" s="121"/>
      <c r="Y34" s="743" t="s">
        <v>2513</v>
      </c>
      <c r="Z34" s="743" t="s">
        <v>2514</v>
      </c>
      <c r="AA34" s="743" t="s">
        <v>2515</v>
      </c>
      <c r="AB34" s="743" t="s">
        <v>2516</v>
      </c>
      <c r="AC34" s="121"/>
      <c r="AD34"/>
      <c r="AE34" s="2052"/>
      <c r="AF34" s="2052"/>
      <c r="AG34" s="2052"/>
      <c r="AH34" s="2052"/>
      <c r="AI34" s="2052"/>
      <c r="AJ34" s="2052"/>
      <c r="AK34" s="2052"/>
      <c r="AL34" s="2052"/>
      <c r="AM34" s="2052"/>
      <c r="AN34" s="2053"/>
      <c r="AO34" s="2053"/>
      <c r="AQ34" s="2053"/>
      <c r="AR34" s="2058" t="s">
        <v>671</v>
      </c>
      <c r="AS34" s="2056" t="str">
        <f>INDEX(Workstreams[Workstream], MATCH($AR34, Workstreams[Code], 0))</f>
        <v>Bioenergy</v>
      </c>
      <c r="AT34" s="2053"/>
      <c r="AU34" s="2055"/>
      <c r="AV34" s="2056"/>
      <c r="AW34" s="2515">
        <f t="shared" ca="1" si="4"/>
        <v>-9.3490017060996049</v>
      </c>
      <c r="AX34" s="2515">
        <f t="shared" ca="1" si="4"/>
        <v>-45.390052176625488</v>
      </c>
      <c r="AY34" s="2518">
        <f ca="1">AX34*'Intermediate output'!$H$135/'Intermediate output'!$F$161</f>
        <v>-5.9882349004624046E-2</v>
      </c>
      <c r="AZ34" s="2052"/>
      <c r="BA34" s="2052"/>
      <c r="BC34" s="2053"/>
      <c r="BD34" s="2147" t="s">
        <v>678</v>
      </c>
      <c r="BE34" s="2148" t="s">
        <v>1822</v>
      </c>
      <c r="BF34" s="1821"/>
      <c r="BG34" s="1821"/>
      <c r="BH34" s="1821"/>
      <c r="BI34" s="2149">
        <f t="shared" ca="1" si="3"/>
        <v>0.12318264359966991</v>
      </c>
      <c r="BJ34" s="2149">
        <f t="shared" ca="1" si="3"/>
        <v>0.24551498147898801</v>
      </c>
      <c r="BK34" s="2149">
        <f t="shared" ca="1" si="3"/>
        <v>0.51121799521330802</v>
      </c>
      <c r="BL34" s="2149">
        <f t="shared" ca="1" si="3"/>
        <v>0.5452927622752588</v>
      </c>
      <c r="BM34" s="2053"/>
    </row>
    <row r="35" spans="2:65" s="743" customFormat="1" ht="21" customHeight="1">
      <c r="B35" s="2224"/>
      <c r="C35" s="2225"/>
      <c r="D35" s="2223" t="s">
        <v>1640</v>
      </c>
      <c r="E35" s="121"/>
      <c r="F35" s="2542">
        <v>1</v>
      </c>
      <c r="G35" s="2542">
        <v>2</v>
      </c>
      <c r="H35" s="2542">
        <v>2</v>
      </c>
      <c r="I35" s="2542">
        <v>2</v>
      </c>
      <c r="J35" s="2542">
        <v>2</v>
      </c>
      <c r="K35" s="2542">
        <v>2</v>
      </c>
      <c r="L35" s="2542">
        <v>2</v>
      </c>
      <c r="M35"/>
      <c r="N35" s="2634">
        <v>1</v>
      </c>
      <c r="O35" s="2230"/>
      <c r="P35" s="2227"/>
      <c r="Q35" s="2227"/>
      <c r="R35" s="2227"/>
      <c r="S35" s="1904"/>
      <c r="T35" s="2230"/>
      <c r="U35" s="2227"/>
      <c r="V35" s="2227"/>
      <c r="W35" s="2227"/>
      <c r="X35" s="121"/>
      <c r="Y35" s="743" t="s">
        <v>2395</v>
      </c>
      <c r="Z35" s="743" t="s">
        <v>2396</v>
      </c>
      <c r="AA35" s="743" t="s">
        <v>2399</v>
      </c>
      <c r="AB35" s="743" t="s">
        <v>2399</v>
      </c>
      <c r="AC35" s="121"/>
      <c r="AD35" s="121"/>
      <c r="AE35" s="2052"/>
      <c r="AF35" s="2052"/>
      <c r="AG35" s="2052"/>
      <c r="AH35" s="2052"/>
      <c r="AI35" s="2052"/>
      <c r="AJ35" s="2052"/>
      <c r="AK35" s="2052"/>
      <c r="AL35" s="2052"/>
      <c r="AM35" s="2052"/>
      <c r="AN35" s="2053"/>
      <c r="AO35" s="2053"/>
      <c r="AQ35" s="2053"/>
      <c r="AR35" s="2058" t="s">
        <v>675</v>
      </c>
      <c r="AS35" s="2056" t="str">
        <f>INDEX(Workstreams[Workstream], MATCH($AR35, Workstreams[Code], 0))</f>
        <v>Geosequestration</v>
      </c>
      <c r="AT35" s="2053"/>
      <c r="AU35" s="2055"/>
      <c r="AV35" s="2056"/>
      <c r="AW35" s="2515">
        <f t="shared" ca="1" si="4"/>
        <v>0</v>
      </c>
      <c r="AX35" s="2515">
        <f t="shared" ca="1" si="4"/>
        <v>0</v>
      </c>
      <c r="AY35" s="2518">
        <f ca="1">AX35*'Intermediate output'!$H$135/'Intermediate output'!$F$161</f>
        <v>0</v>
      </c>
      <c r="AZ35" s="2052"/>
      <c r="BA35" s="2052"/>
      <c r="BC35" s="2053"/>
      <c r="BD35" s="2147" t="s">
        <v>676</v>
      </c>
      <c r="BE35" s="2148" t="s">
        <v>2301</v>
      </c>
      <c r="BF35" s="1821"/>
      <c r="BG35" s="1821"/>
      <c r="BH35" s="1821"/>
      <c r="BI35" s="2149">
        <f t="shared" ca="1" si="3"/>
        <v>3.2192217107155446E-2</v>
      </c>
      <c r="BJ35" s="2149">
        <f t="shared" ca="1" si="3"/>
        <v>3.9187752623233166E-2</v>
      </c>
      <c r="BK35" s="2149">
        <f t="shared" ca="1" si="3"/>
        <v>5.2601614605176622E-2</v>
      </c>
      <c r="BL35" s="2149">
        <f t="shared" ca="1" si="3"/>
        <v>2.0967481640862127E-2</v>
      </c>
      <c r="BM35" s="2053"/>
    </row>
    <row r="36" spans="2:65" s="743" customFormat="1" ht="21" customHeight="1">
      <c r="B36" s="1116"/>
      <c r="C36" s="1115" t="s">
        <v>951</v>
      </c>
      <c r="D36" s="1115" t="str">
        <f>INDEX(Modules[Module], MATCH($C36, Modules[Code], 0))</f>
        <v>Commercial lighting, appliances, and catering</v>
      </c>
      <c r="E36"/>
      <c r="F36" s="2542"/>
      <c r="G36" s="2542"/>
      <c r="H36" s="2542" t="s">
        <v>288</v>
      </c>
      <c r="I36" s="2542"/>
      <c r="J36" s="2542"/>
      <c r="K36" s="2542" t="s">
        <v>288</v>
      </c>
      <c r="L36" s="2542"/>
      <c r="M36"/>
      <c r="N36" s="2632"/>
      <c r="O36" s="1112"/>
      <c r="P36" s="1121"/>
      <c r="Q36" s="1121"/>
      <c r="R36" s="1121"/>
      <c r="S36" s="1904"/>
      <c r="T36" s="1112"/>
      <c r="U36" s="1121"/>
      <c r="V36" s="1121"/>
      <c r="W36" s="1121"/>
      <c r="X36"/>
      <c r="AC36"/>
      <c r="AD36" s="121"/>
      <c r="AE36" s="2052"/>
      <c r="AF36" s="2052"/>
      <c r="AG36" s="2052"/>
      <c r="AH36" s="2052"/>
      <c r="AI36" s="2052"/>
      <c r="AJ36" s="2052"/>
      <c r="AK36" s="2052"/>
      <c r="AL36" s="2052"/>
      <c r="AM36" s="2052"/>
      <c r="AN36" s="2053"/>
      <c r="AO36" s="2053"/>
      <c r="AQ36" s="2053"/>
      <c r="AR36" s="2058" t="s">
        <v>672</v>
      </c>
      <c r="AS36" s="2056" t="str">
        <f>INDEX(Workstreams[Workstream], MATCH($AR36, Workstreams[Code], 0))</f>
        <v>Agriculture and waste</v>
      </c>
      <c r="AT36" s="2053"/>
      <c r="AU36" s="2055"/>
      <c r="AV36" s="2056"/>
      <c r="AW36" s="2515">
        <f t="shared" ca="1" si="4"/>
        <v>65.906612639836851</v>
      </c>
      <c r="AX36" s="2515">
        <f t="shared" ca="1" si="4"/>
        <v>70.624286243260755</v>
      </c>
      <c r="AY36" s="2518">
        <f ca="1">AX36*'Intermediate output'!$H$135/'Intermediate output'!$F$161</f>
        <v>9.3173458813499518E-2</v>
      </c>
      <c r="AZ36" s="2052"/>
      <c r="BA36" s="2052"/>
      <c r="BC36" s="2053"/>
      <c r="BD36" s="2466"/>
      <c r="BE36" s="2466"/>
      <c r="BF36" s="2466"/>
      <c r="BG36" s="2466"/>
      <c r="BH36" s="2466"/>
      <c r="BI36" s="2466"/>
      <c r="BJ36" s="2466"/>
      <c r="BK36" s="2466"/>
      <c r="BL36" s="2466"/>
      <c r="BM36" s="2053"/>
    </row>
    <row r="37" spans="2:65" s="743" customFormat="1" ht="21" customHeight="1">
      <c r="B37" s="2224"/>
      <c r="C37" s="2225"/>
      <c r="D37" s="2223" t="s">
        <v>1664</v>
      </c>
      <c r="E37" s="121"/>
      <c r="F37" s="2542">
        <v>1</v>
      </c>
      <c r="G37" s="2542">
        <v>2</v>
      </c>
      <c r="H37" s="2542">
        <v>2</v>
      </c>
      <c r="I37" s="2542">
        <v>3</v>
      </c>
      <c r="J37" s="2542">
        <v>2</v>
      </c>
      <c r="K37" s="2542">
        <v>2</v>
      </c>
      <c r="L37" s="2542">
        <v>1</v>
      </c>
      <c r="M37"/>
      <c r="N37" s="2634">
        <v>1</v>
      </c>
      <c r="O37" s="2230"/>
      <c r="P37" s="2227"/>
      <c r="Q37" s="2227"/>
      <c r="R37" s="2227"/>
      <c r="S37" s="1904"/>
      <c r="T37" s="2230"/>
      <c r="U37" s="2227"/>
      <c r="V37" s="2227"/>
      <c r="W37" s="2227"/>
      <c r="X37" s="121"/>
      <c r="Y37" s="743" t="s">
        <v>2397</v>
      </c>
      <c r="Z37" s="743" t="s">
        <v>2541</v>
      </c>
      <c r="AA37" s="743" t="s">
        <v>2517</v>
      </c>
      <c r="AB37" s="743" t="s">
        <v>2518</v>
      </c>
      <c r="AC37" s="121"/>
      <c r="AD37"/>
      <c r="AE37" s="2052"/>
      <c r="AF37" s="2052"/>
      <c r="AG37" s="2052"/>
      <c r="AH37" s="2052"/>
      <c r="AI37" s="2052"/>
      <c r="AJ37" s="2052"/>
      <c r="AK37" s="2052"/>
      <c r="AL37" s="2052"/>
      <c r="AM37" s="2052"/>
      <c r="AN37" s="2053"/>
      <c r="AO37" s="2053"/>
      <c r="AQ37" s="2053"/>
      <c r="AR37" s="2058" t="s">
        <v>676</v>
      </c>
      <c r="AS37" s="2056" t="str">
        <f>INDEX(Workstreams[Workstream], MATCH($AR37, Workstreams[Code], 0))</f>
        <v>Heating</v>
      </c>
      <c r="AT37" s="2053"/>
      <c r="AU37" s="2055"/>
      <c r="AV37" s="2056"/>
      <c r="AW37" s="2515">
        <f t="shared" ca="1" si="4"/>
        <v>84.427460881386978</v>
      </c>
      <c r="AX37" s="2515">
        <f t="shared" ca="1" si="4"/>
        <v>124.94928899228123</v>
      </c>
      <c r="AY37" s="2518">
        <f ca="1">AX37*'Intermediate output'!$H$135/'Intermediate output'!$F$161</f>
        <v>0.16484354109574148</v>
      </c>
      <c r="AZ37" s="2052"/>
      <c r="BA37" s="2052"/>
      <c r="BC37" s="2053"/>
      <c r="BD37" s="2053"/>
      <c r="BE37" s="2053"/>
      <c r="BF37" s="2053"/>
      <c r="BG37" s="2053"/>
      <c r="BH37" s="2053"/>
      <c r="BI37" s="2053"/>
      <c r="BJ37" s="2053"/>
      <c r="BK37" s="2053"/>
      <c r="BL37" s="2053"/>
      <c r="BM37" s="2053"/>
    </row>
    <row r="38" spans="2:65" s="743" customFormat="1" ht="21" customHeight="1">
      <c r="B38" s="2224"/>
      <c r="C38" s="2225"/>
      <c r="D38" s="2223" t="s">
        <v>1640</v>
      </c>
      <c r="E38" s="121"/>
      <c r="F38" s="2542">
        <v>1</v>
      </c>
      <c r="G38" s="2542">
        <v>2</v>
      </c>
      <c r="H38" s="2542">
        <v>2</v>
      </c>
      <c r="I38" s="2542">
        <v>2</v>
      </c>
      <c r="J38" s="2542">
        <v>2</v>
      </c>
      <c r="K38" s="2542">
        <v>2</v>
      </c>
      <c r="L38" s="2542">
        <v>2</v>
      </c>
      <c r="M38"/>
      <c r="N38" s="2634">
        <v>1</v>
      </c>
      <c r="O38" s="2230"/>
      <c r="P38" s="2227"/>
      <c r="Q38" s="2227"/>
      <c r="R38" s="2227"/>
      <c r="S38" s="1904"/>
      <c r="T38" s="2230"/>
      <c r="U38" s="2227"/>
      <c r="V38" s="2227"/>
      <c r="W38" s="2227"/>
      <c r="X38" s="121"/>
      <c r="Y38" s="743" t="s">
        <v>2398</v>
      </c>
      <c r="Z38" s="743" t="s">
        <v>2396</v>
      </c>
      <c r="AA38" s="743" t="s">
        <v>2399</v>
      </c>
      <c r="AB38" s="743" t="s">
        <v>2399</v>
      </c>
      <c r="AC38" s="121"/>
      <c r="AD38" s="121"/>
      <c r="AE38" s="2052"/>
      <c r="AF38" s="2052"/>
      <c r="AG38" s="2052"/>
      <c r="AH38" s="2052"/>
      <c r="AI38" s="2052"/>
      <c r="AJ38" s="2052"/>
      <c r="AK38" s="2052"/>
      <c r="AL38" s="2052"/>
      <c r="AM38" s="2052"/>
      <c r="AN38" s="2053"/>
      <c r="AO38" s="2053"/>
      <c r="AQ38" s="2053"/>
      <c r="AR38" s="2058" t="s">
        <v>677</v>
      </c>
      <c r="AS38" s="2056" t="str">
        <f>INDEX(Workstreams[Workstream], MATCH($AR38, Workstreams[Code], 0))</f>
        <v>Lighting and appliances</v>
      </c>
      <c r="AT38" s="2053"/>
      <c r="AU38" s="2055"/>
      <c r="AV38" s="2056"/>
      <c r="AW38" s="2515">
        <f t="shared" ca="1" si="4"/>
        <v>3.1411842456617372</v>
      </c>
      <c r="AX38" s="2515">
        <f t="shared" ca="1" si="4"/>
        <v>3.1571959446395041</v>
      </c>
      <c r="AY38" s="2518">
        <f ca="1">AX38*'Intermediate output'!$H$135/'Intermediate output'!$F$161</f>
        <v>4.1652366623682099E-3</v>
      </c>
      <c r="AZ38" s="2052"/>
      <c r="BA38" s="2052"/>
      <c r="BB38" s="2075"/>
      <c r="BC38" s="2053"/>
      <c r="BD38" s="2065"/>
      <c r="BE38" s="2053"/>
      <c r="BF38" s="2053"/>
      <c r="BG38" s="2053"/>
      <c r="BH38" s="2053"/>
      <c r="BI38" s="2053"/>
      <c r="BJ38" s="2053"/>
      <c r="BK38" s="2053"/>
      <c r="BL38" s="2053"/>
      <c r="BM38" s="2053"/>
    </row>
    <row r="39" spans="2:65" s="743" customFormat="1" ht="21" customHeight="1">
      <c r="B39" s="1116"/>
      <c r="C39" s="1115" t="s">
        <v>900</v>
      </c>
      <c r="D39" s="1115" t="str">
        <f>INDEX(Modules[Module], MATCH($C39, Modules[Code], 0))</f>
        <v>Industrial processes</v>
      </c>
      <c r="E39"/>
      <c r="F39" s="2542">
        <v>1</v>
      </c>
      <c r="G39" s="2542">
        <v>3</v>
      </c>
      <c r="H39" s="2542">
        <v>3</v>
      </c>
      <c r="I39" s="2542">
        <v>3</v>
      </c>
      <c r="J39" s="2542">
        <v>3</v>
      </c>
      <c r="K39" s="2542">
        <v>4</v>
      </c>
      <c r="L39" s="2542">
        <v>3</v>
      </c>
      <c r="M39"/>
      <c r="N39" s="2632">
        <v>1</v>
      </c>
      <c r="O39" s="1112"/>
      <c r="P39" s="1122"/>
      <c r="Q39" s="1122"/>
      <c r="R39" s="1122"/>
      <c r="S39" s="1904"/>
      <c r="T39" s="1112"/>
      <c r="U39" s="1122"/>
      <c r="V39" s="1122"/>
      <c r="W39" s="1122"/>
      <c r="X39"/>
      <c r="Y39" s="743" t="s">
        <v>2519</v>
      </c>
      <c r="Z39" s="743" t="s">
        <v>2520</v>
      </c>
      <c r="AA39" s="743" t="s">
        <v>2521</v>
      </c>
      <c r="AB39" s="743" t="s">
        <v>2522</v>
      </c>
      <c r="AC39"/>
      <c r="AD39" s="121"/>
      <c r="AE39" s="2052"/>
      <c r="AF39" s="2052"/>
      <c r="AG39" s="2052"/>
      <c r="AH39" s="2052"/>
      <c r="AI39" s="2052"/>
      <c r="AJ39" s="2052"/>
      <c r="AK39" s="2052"/>
      <c r="AL39" s="2052"/>
      <c r="AM39" s="2052"/>
      <c r="AN39" s="2053"/>
      <c r="AO39" s="2053"/>
      <c r="AQ39" s="2053"/>
      <c r="AR39" s="2058" t="s">
        <v>678</v>
      </c>
      <c r="AS39" s="2056" t="str">
        <f>INDEX(Workstreams[Workstream], MATCH($AR39, Workstreams[Code], 0))</f>
        <v>Industry</v>
      </c>
      <c r="AT39" s="2053"/>
      <c r="AU39" s="2055"/>
      <c r="AV39" s="2056"/>
      <c r="AW39" s="2515">
        <f t="shared" ca="1" si="4"/>
        <v>93.414842913547659</v>
      </c>
      <c r="AX39" s="2515">
        <f t="shared" ca="1" si="4"/>
        <v>96.972234904605088</v>
      </c>
      <c r="AY39" s="2518">
        <f ca="1">AX39*'Intermediate output'!$H$135/'Intermediate output'!$F$161</f>
        <v>0.12793387396250536</v>
      </c>
      <c r="AZ39" s="2052"/>
      <c r="BA39" s="2052"/>
      <c r="BB39" s="2075"/>
      <c r="BC39" s="2053"/>
      <c r="BD39" s="2065" t="s">
        <v>2039</v>
      </c>
      <c r="BE39" s="2053"/>
      <c r="BF39" s="2053"/>
      <c r="BG39" s="2053"/>
      <c r="BH39" s="2053"/>
      <c r="BI39" s="2053"/>
      <c r="BJ39" s="2053"/>
      <c r="BK39" s="2053"/>
      <c r="BL39" s="2053"/>
      <c r="BM39" s="2053"/>
    </row>
    <row r="40" spans="2:65" s="743" customFormat="1" ht="21" customHeight="1">
      <c r="B40" s="1116"/>
      <c r="C40" s="1115" t="s">
        <v>903</v>
      </c>
      <c r="D40" s="1115" t="str">
        <f>INDEX(Modules[Module], MATCH($C40, Modules[Code], 0))</f>
        <v>Domestic passenger transport</v>
      </c>
      <c r="E40"/>
      <c r="F40" s="2542"/>
      <c r="G40" s="2542"/>
      <c r="H40" s="2542" t="s">
        <v>288</v>
      </c>
      <c r="I40" s="2542"/>
      <c r="J40" s="2542"/>
      <c r="K40" s="2542" t="s">
        <v>288</v>
      </c>
      <c r="L40" s="2542"/>
      <c r="M40"/>
      <c r="N40" s="2632"/>
      <c r="O40" s="1112"/>
      <c r="P40" s="1122"/>
      <c r="Q40" s="1121"/>
      <c r="R40" s="1121"/>
      <c r="S40" s="1904"/>
      <c r="T40" s="1112"/>
      <c r="U40" s="1122"/>
      <c r="V40" s="1121"/>
      <c r="W40" s="1121"/>
      <c r="X40" s="121"/>
      <c r="AC40" s="121"/>
      <c r="AD40"/>
      <c r="AE40" s="2053"/>
      <c r="AF40" s="2053"/>
      <c r="AG40" s="2053"/>
      <c r="AH40" s="2053"/>
      <c r="AI40" s="2053"/>
      <c r="AJ40" s="2053"/>
      <c r="AK40" s="2052"/>
      <c r="AL40" s="2052"/>
      <c r="AM40" s="2052"/>
      <c r="AN40" s="2053"/>
      <c r="AO40" s="2053"/>
      <c r="AQ40" s="2053"/>
      <c r="AR40" s="2058" t="s">
        <v>679</v>
      </c>
      <c r="AS40" s="2056" t="str">
        <f>INDEX(Workstreams[Workstream], MATCH($AR40, Workstreams[Code], 0))</f>
        <v>Transport</v>
      </c>
      <c r="AT40" s="2053"/>
      <c r="AU40" s="2055"/>
      <c r="AV40" s="2056"/>
      <c r="AW40" s="2515">
        <f t="shared" ca="1" si="4"/>
        <v>180.42433410736052</v>
      </c>
      <c r="AX40" s="2515">
        <f t="shared" ca="1" si="4"/>
        <v>178.53134273645486</v>
      </c>
      <c r="AY40" s="2518">
        <f ca="1">AX40*'Intermediate output'!$H$135/'Intermediate output'!$F$161</f>
        <v>0.23553346298011135</v>
      </c>
      <c r="AZ40" s="2053"/>
      <c r="BA40" s="2053"/>
      <c r="BB40" s="2075"/>
      <c r="BC40" s="2053"/>
      <c r="BD40" s="2056" t="s">
        <v>2304</v>
      </c>
      <c r="BE40" s="2053"/>
      <c r="BF40" s="2053"/>
      <c r="BG40" s="2053"/>
      <c r="BH40" s="2053"/>
      <c r="BI40" s="2053"/>
      <c r="BJ40" s="2053"/>
      <c r="BK40" s="2053"/>
      <c r="BL40" s="2053"/>
      <c r="BM40" s="2053"/>
    </row>
    <row r="41" spans="2:65" s="743" customFormat="1" ht="20.25" customHeight="1">
      <c r="B41" s="2224"/>
      <c r="C41" s="2225"/>
      <c r="D41" s="2223" t="s">
        <v>1910</v>
      </c>
      <c r="E41" s="121"/>
      <c r="F41" s="2542">
        <v>1</v>
      </c>
      <c r="G41" s="2542">
        <v>2</v>
      </c>
      <c r="H41" s="2542">
        <v>2</v>
      </c>
      <c r="I41" s="2542">
        <v>2</v>
      </c>
      <c r="J41" s="2542">
        <v>2</v>
      </c>
      <c r="K41" s="2542">
        <v>2</v>
      </c>
      <c r="L41" s="2542">
        <v>1</v>
      </c>
      <c r="M41"/>
      <c r="N41" s="2634">
        <v>1</v>
      </c>
      <c r="O41" s="2230" t="s">
        <v>288</v>
      </c>
      <c r="P41" s="2231" t="s">
        <v>288</v>
      </c>
      <c r="Q41" s="2231" t="s">
        <v>288</v>
      </c>
      <c r="R41" s="2231" t="s">
        <v>288</v>
      </c>
      <c r="S41" s="1904"/>
      <c r="T41" s="2230"/>
      <c r="U41" s="2227"/>
      <c r="V41" s="2231"/>
      <c r="W41" s="2231"/>
      <c r="X41"/>
      <c r="Y41" s="743" t="s">
        <v>2569</v>
      </c>
      <c r="Z41" s="743" t="s">
        <v>2570</v>
      </c>
      <c r="AA41" s="743" t="s">
        <v>2571</v>
      </c>
      <c r="AB41" s="743" t="s">
        <v>2572</v>
      </c>
      <c r="AC41"/>
      <c r="AD41" s="121"/>
      <c r="AE41" s="2053"/>
      <c r="AF41" s="2053"/>
      <c r="AG41" s="2053"/>
      <c r="AH41" s="2053"/>
      <c r="AI41" s="2053"/>
      <c r="AJ41" s="2053"/>
      <c r="AK41" s="2055"/>
      <c r="AL41" s="2056"/>
      <c r="AM41" s="2056"/>
      <c r="AN41" s="2053"/>
      <c r="AO41" s="2053"/>
      <c r="AQ41" s="2053"/>
      <c r="AR41" s="2058" t="s">
        <v>969</v>
      </c>
      <c r="AS41" s="2056" t="str">
        <f>INDEX(Workstreams[Workstream], MATCH($AR41, Workstreams[Code], 0))</f>
        <v>Fossil fuel production</v>
      </c>
      <c r="AT41" s="2053"/>
      <c r="AU41" s="2055"/>
      <c r="AV41" s="2056"/>
      <c r="AW41" s="2515">
        <f t="shared" ca="1" si="4"/>
        <v>34.399207438348427</v>
      </c>
      <c r="AX41" s="2515">
        <f t="shared" ca="1" si="4"/>
        <v>15.743695593306029</v>
      </c>
      <c r="AY41" s="2518">
        <f ca="1">AX41*'Intermediate output'!$H$135/'Intermediate output'!$F$161</f>
        <v>2.0770398555003448E-2</v>
      </c>
      <c r="AZ41" s="2053"/>
      <c r="BA41" s="2053"/>
      <c r="BB41" s="2075"/>
      <c r="BC41" s="2053"/>
      <c r="BD41" s="2066"/>
      <c r="BE41" s="2057"/>
      <c r="BF41" s="2079"/>
      <c r="BG41" s="2079"/>
      <c r="BH41" s="2078"/>
      <c r="BI41" s="2077">
        <v>2007</v>
      </c>
      <c r="BJ41" s="2077">
        <v>2020</v>
      </c>
      <c r="BK41" s="2077">
        <v>2030</v>
      </c>
      <c r="BL41" s="2077">
        <v>2050</v>
      </c>
      <c r="BM41" s="2053"/>
    </row>
    <row r="42" spans="2:65" s="743" customFormat="1" ht="21" customHeight="1">
      <c r="B42" s="2224"/>
      <c r="C42" s="2225"/>
      <c r="D42" s="2223" t="s">
        <v>1916</v>
      </c>
      <c r="E42" s="121"/>
      <c r="F42" s="2542">
        <v>1</v>
      </c>
      <c r="G42" s="2542">
        <v>3</v>
      </c>
      <c r="H42" s="2542">
        <v>3</v>
      </c>
      <c r="I42" s="2542">
        <v>3</v>
      </c>
      <c r="J42" s="2542">
        <v>3</v>
      </c>
      <c r="K42" s="2542">
        <v>4</v>
      </c>
      <c r="L42" s="2542">
        <v>4</v>
      </c>
      <c r="M42"/>
      <c r="N42" s="2634">
        <v>1</v>
      </c>
      <c r="O42" s="2230"/>
      <c r="P42" s="2227"/>
      <c r="Q42" s="2231"/>
      <c r="R42" s="2231"/>
      <c r="S42" s="1904"/>
      <c r="T42" s="2230"/>
      <c r="U42" s="2227"/>
      <c r="V42" s="2231"/>
      <c r="W42" s="2231"/>
      <c r="X42"/>
      <c r="Y42" s="743" t="s">
        <v>2573</v>
      </c>
      <c r="Z42" s="743" t="s">
        <v>2574</v>
      </c>
      <c r="AA42" s="743" t="s">
        <v>2575</v>
      </c>
      <c r="AB42" s="743" t="s">
        <v>2677</v>
      </c>
      <c r="AC42" s="121"/>
      <c r="AD42"/>
      <c r="AE42" s="2053"/>
      <c r="AF42" s="2053"/>
      <c r="AG42" s="2053"/>
      <c r="AH42" s="2053"/>
      <c r="AI42" s="2053"/>
      <c r="AJ42" s="2053"/>
      <c r="AK42" s="2055"/>
      <c r="AL42" s="2056"/>
      <c r="AM42" s="2056"/>
      <c r="AN42" s="2053"/>
      <c r="AO42" s="2053"/>
      <c r="AQ42" s="2053"/>
      <c r="AR42" s="2058" t="s">
        <v>1012</v>
      </c>
      <c r="AS42" s="2056" t="str">
        <f>INDEX(Workstreams[Workstream], MATCH($AR42, Workstreams[Code], 0))</f>
        <v>Transfers</v>
      </c>
      <c r="AT42" s="2053"/>
      <c r="AU42" s="2055"/>
      <c r="AV42" s="2056"/>
      <c r="AW42" s="2515">
        <f t="shared" ca="1" si="4"/>
        <v>4.3706513640884639</v>
      </c>
      <c r="AX42" s="2515">
        <f t="shared" ca="1" si="4"/>
        <v>7.704880412843786</v>
      </c>
      <c r="AY42" s="2518">
        <f ca="1">AX42*'Intermediate output'!$H$135/'Intermediate output'!$F$161</f>
        <v>1.0164921955264979E-2</v>
      </c>
      <c r="AZ42" s="2053"/>
      <c r="BA42" s="2053"/>
      <c r="BB42" s="2075"/>
      <c r="BC42" s="2053"/>
      <c r="BD42" s="2306" t="str">
        <f>VII.c!D257</f>
        <v>Balancing capacity used</v>
      </c>
      <c r="BE42" s="2052"/>
      <c r="BF42" s="2052"/>
      <c r="BG42" s="2052"/>
      <c r="BH42" s="2306" t="str">
        <f>VII.c!E257</f>
        <v>%</v>
      </c>
      <c r="BI42" s="2307">
        <f ca="1">VII.c!F257</f>
        <v>0.37155766128657725</v>
      </c>
      <c r="BJ42" s="2307">
        <f ca="1">VII.c!I257</f>
        <v>0.62707188918268109</v>
      </c>
      <c r="BK42" s="2307">
        <f ca="1">VII.c!K257</f>
        <v>0.58520549750337558</v>
      </c>
      <c r="BL42" s="2307">
        <f ca="1">VII.c!O257</f>
        <v>0.30529835898828611</v>
      </c>
      <c r="BM42" s="2053"/>
    </row>
    <row r="43" spans="2:65" s="743" customFormat="1" ht="21" customHeight="1">
      <c r="B43" s="1116"/>
      <c r="C43" s="1115" t="s">
        <v>916</v>
      </c>
      <c r="D43" s="1115" t="str">
        <f>INDEX(Modules[Module], MATCH($C43, Modules[Code], 0))</f>
        <v>Domestic freight</v>
      </c>
      <c r="E43"/>
      <c r="F43" s="2542">
        <v>1</v>
      </c>
      <c r="G43" s="2542">
        <v>2</v>
      </c>
      <c r="H43" s="2542">
        <v>2</v>
      </c>
      <c r="I43" s="2542">
        <v>2</v>
      </c>
      <c r="J43" s="2542">
        <v>2</v>
      </c>
      <c r="K43" s="2542">
        <v>3</v>
      </c>
      <c r="L43" s="2542">
        <v>1</v>
      </c>
      <c r="M43"/>
      <c r="N43" s="2632">
        <v>1</v>
      </c>
      <c r="O43" s="1112" t="s">
        <v>288</v>
      </c>
      <c r="P43" s="1121" t="s">
        <v>288</v>
      </c>
      <c r="Q43" s="1121" t="s">
        <v>288</v>
      </c>
      <c r="R43" s="1121" t="s">
        <v>288</v>
      </c>
      <c r="S43" s="1904"/>
      <c r="T43" s="1112"/>
      <c r="U43" s="1122"/>
      <c r="V43" s="1121"/>
      <c r="W43" s="1121"/>
      <c r="X43" s="121"/>
      <c r="Y43" s="743" t="s">
        <v>2523</v>
      </c>
      <c r="Z43" s="743" t="s">
        <v>2576</v>
      </c>
      <c r="AA43" s="743" t="s">
        <v>2678</v>
      </c>
      <c r="AB43" s="743" t="s">
        <v>2577</v>
      </c>
      <c r="AC43"/>
      <c r="AD43" s="121"/>
      <c r="AE43" s="2053"/>
      <c r="AF43" s="2053"/>
      <c r="AG43" s="2053"/>
      <c r="AH43" s="2053"/>
      <c r="AI43" s="2053"/>
      <c r="AJ43" s="2053"/>
      <c r="AK43" s="2055"/>
      <c r="AL43" s="2056"/>
      <c r="AM43" s="2056"/>
      <c r="AN43" s="2053"/>
      <c r="AO43" s="2053"/>
      <c r="AQ43" s="2053"/>
      <c r="AR43" s="2059"/>
      <c r="AS43" s="2060" t="s">
        <v>148</v>
      </c>
      <c r="AT43" s="2059"/>
      <c r="AU43" s="2059"/>
      <c r="AV43" s="2059"/>
      <c r="AW43" s="2516">
        <f ca="1">SUM(AW33:AW42)</f>
        <v>645.53162942691768</v>
      </c>
      <c r="AX43" s="2516">
        <f ca="1">SUM(AX33:AX42)</f>
        <v>634.50693859430589</v>
      </c>
      <c r="AY43" s="2519">
        <f ca="1">AX43*'Intermediate output'!$H$135/'Intermediate output'!$F$161</f>
        <v>0.83709456413285321</v>
      </c>
      <c r="AZ43" s="2519"/>
      <c r="BA43" s="2053"/>
      <c r="BB43" s="2075"/>
      <c r="BC43" s="2053"/>
      <c r="BD43" s="2306" t="str">
        <f>VII.c!D258</f>
        <v>Extra standby capacity required</v>
      </c>
      <c r="BE43" s="2052"/>
      <c r="BF43" s="2052"/>
      <c r="BG43" s="2052"/>
      <c r="BH43" s="2306" t="str">
        <f>VII.c!E258</f>
        <v>GWcapacity</v>
      </c>
      <c r="BI43" s="2308">
        <f ca="1">VII.c!F258</f>
        <v>0</v>
      </c>
      <c r="BJ43" s="2308">
        <f ca="1">VII.c!I258</f>
        <v>0</v>
      </c>
      <c r="BK43" s="2308">
        <f ca="1">VII.c!K258</f>
        <v>0</v>
      </c>
      <c r="BL43" s="2308">
        <f ca="1">VII.c!O258</f>
        <v>0</v>
      </c>
      <c r="BM43" s="2053"/>
    </row>
    <row r="44" spans="2:65" s="743" customFormat="1" ht="20.25" customHeight="1">
      <c r="B44" s="1116"/>
      <c r="C44" s="1115" t="s">
        <v>919</v>
      </c>
      <c r="D44" s="1115" t="str">
        <f>INDEX(Modules[Module], MATCH($C44, Modules[Code], 0))</f>
        <v>International aviation</v>
      </c>
      <c r="E44"/>
      <c r="F44" s="2542">
        <v>1</v>
      </c>
      <c r="G44" s="2542">
        <v>1</v>
      </c>
      <c r="H44" s="2542">
        <v>2</v>
      </c>
      <c r="I44" s="2542">
        <v>2</v>
      </c>
      <c r="J44" s="2542">
        <v>2</v>
      </c>
      <c r="K44" s="2542">
        <v>2</v>
      </c>
      <c r="L44" s="2542">
        <v>1</v>
      </c>
      <c r="M44"/>
      <c r="N44" s="2632">
        <v>1</v>
      </c>
      <c r="O44" s="1112"/>
      <c r="P44" s="1121"/>
      <c r="Q44" s="1121"/>
      <c r="R44" s="1121"/>
      <c r="S44" s="1904"/>
      <c r="T44" s="1112"/>
      <c r="U44" s="1121"/>
      <c r="V44" s="1121"/>
      <c r="W44" s="1121"/>
      <c r="X44" s="121"/>
      <c r="Y44" s="743" t="s">
        <v>2524</v>
      </c>
      <c r="Z44" s="743" t="s">
        <v>2525</v>
      </c>
      <c r="AA44" s="743" t="s">
        <v>2526</v>
      </c>
      <c r="AB44" s="743" t="s">
        <v>2527</v>
      </c>
      <c r="AC44" s="121"/>
      <c r="AD44"/>
      <c r="AE44" s="2053"/>
      <c r="AF44" s="2053"/>
      <c r="AG44" s="2053"/>
      <c r="AH44" s="2053"/>
      <c r="AI44" s="2053"/>
      <c r="AJ44" s="2053"/>
      <c r="AK44" s="2055"/>
      <c r="AL44" s="2056"/>
      <c r="AM44" s="2056"/>
      <c r="AN44" s="2053"/>
      <c r="AO44" s="2053"/>
      <c r="AQ44" s="2053"/>
      <c r="AR44" s="2061"/>
      <c r="AS44" s="2062" t="s">
        <v>1714</v>
      </c>
      <c r="AT44" s="2063"/>
      <c r="AU44" s="2063"/>
      <c r="AV44" s="2063"/>
      <c r="AW44" s="2521">
        <f ca="1">AW43/677.35</f>
        <v>0.95302521506889737</v>
      </c>
      <c r="AX44" s="2064"/>
      <c r="AY44" s="2520"/>
      <c r="AZ44" s="2520"/>
      <c r="BA44" s="2053"/>
      <c r="BB44" s="2075"/>
      <c r="BC44" s="2053"/>
      <c r="BD44" s="2309" t="str">
        <f>VII.c!D259</f>
        <v>Probable annual emissions</v>
      </c>
      <c r="BE44" s="2310"/>
      <c r="BF44" s="2310"/>
      <c r="BG44" s="2310"/>
      <c r="BH44" s="2309" t="str">
        <f>VII.c!E259</f>
        <v>MtCO2e</v>
      </c>
      <c r="BI44" s="2311">
        <f ca="1">VII.c!F259</f>
        <v>0</v>
      </c>
      <c r="BJ44" s="2311">
        <f ca="1">VII.c!I259</f>
        <v>0</v>
      </c>
      <c r="BK44" s="2311">
        <f ca="1">VII.c!K259</f>
        <v>0</v>
      </c>
      <c r="BL44" s="2311">
        <f ca="1">VII.c!O259</f>
        <v>0</v>
      </c>
      <c r="BM44" s="2053"/>
    </row>
    <row r="45" spans="2:65" s="743" customFormat="1" ht="20.25" customHeight="1">
      <c r="B45" s="1116"/>
      <c r="C45" s="1115" t="s">
        <v>957</v>
      </c>
      <c r="D45" s="1115" t="str">
        <f>INDEX(Modules[Module], MATCH($C45, Modules[Code], 0))</f>
        <v>International shipping (maritime bunkers)</v>
      </c>
      <c r="E45"/>
      <c r="F45" s="2542">
        <v>1</v>
      </c>
      <c r="G45" s="2542">
        <v>1</v>
      </c>
      <c r="H45" s="2542">
        <v>1</v>
      </c>
      <c r="I45" s="2542">
        <v>1</v>
      </c>
      <c r="J45" s="2542">
        <v>1</v>
      </c>
      <c r="K45" s="2542">
        <v>1</v>
      </c>
      <c r="L45" s="2542">
        <v>1</v>
      </c>
      <c r="M45"/>
      <c r="N45" s="2632">
        <v>1</v>
      </c>
      <c r="O45" s="1121"/>
      <c r="P45" s="1121" t="s">
        <v>677</v>
      </c>
      <c r="Q45" s="1121" t="s">
        <v>677</v>
      </c>
      <c r="R45" s="1121" t="s">
        <v>677</v>
      </c>
      <c r="S45" s="1904"/>
      <c r="T45" s="1121"/>
      <c r="U45" s="1121"/>
      <c r="V45" s="1121"/>
      <c r="W45" s="1121"/>
      <c r="X45"/>
      <c r="Y45" s="743" t="s">
        <v>2578</v>
      </c>
      <c r="Z45" s="743" t="s">
        <v>2579</v>
      </c>
      <c r="AA45" s="743" t="s">
        <v>2579</v>
      </c>
      <c r="AB45" s="743" t="s">
        <v>2579</v>
      </c>
      <c r="AC45" s="121"/>
      <c r="AD45" s="121"/>
      <c r="AE45" s="2053"/>
      <c r="AF45" s="2053"/>
      <c r="AG45" s="2053"/>
      <c r="AH45" s="2053"/>
      <c r="AI45" s="2053"/>
      <c r="AJ45" s="2053"/>
      <c r="AK45" s="2055"/>
      <c r="AL45" s="2056"/>
      <c r="AM45" s="2056"/>
      <c r="AN45" s="2053"/>
      <c r="AO45" s="2053"/>
      <c r="AQ45" s="2053"/>
      <c r="AR45" s="2537" t="s">
        <v>2557</v>
      </c>
      <c r="AS45" s="2053"/>
      <c r="AT45" s="2053"/>
      <c r="AU45" s="2053"/>
      <c r="AV45" s="2053"/>
      <c r="AW45" s="2053"/>
      <c r="AX45" s="2053"/>
      <c r="AY45" s="2053"/>
      <c r="AZ45" s="2053"/>
      <c r="BA45" s="2053"/>
      <c r="BB45" s="2075"/>
      <c r="BC45" s="2053"/>
      <c r="BD45" s="2053"/>
      <c r="BE45" s="2053"/>
      <c r="BF45" s="2053"/>
      <c r="BG45" s="2053"/>
      <c r="BH45" s="2053"/>
      <c r="BI45" s="2053"/>
      <c r="BJ45" s="2053"/>
      <c r="BK45" s="2053"/>
      <c r="BL45" s="2053"/>
      <c r="BM45" s="2053"/>
    </row>
    <row r="46" spans="2:65" s="743" customFormat="1" ht="20.25" customHeight="1">
      <c r="B46" s="1116"/>
      <c r="C46" s="1115" t="s">
        <v>962</v>
      </c>
      <c r="D46" s="1115" t="str">
        <f>INDEX(Modules[Module], MATCH($C46, Modules[Code], 0))</f>
        <v>Geosequestration</v>
      </c>
      <c r="E46" s="121"/>
      <c r="F46" s="2542">
        <v>1</v>
      </c>
      <c r="G46" s="2542">
        <v>1</v>
      </c>
      <c r="H46" s="2542">
        <v>1</v>
      </c>
      <c r="I46" s="2542">
        <v>1</v>
      </c>
      <c r="J46" s="2542">
        <v>2</v>
      </c>
      <c r="K46" s="2542">
        <v>2</v>
      </c>
      <c r="L46" s="2542">
        <v>1</v>
      </c>
      <c r="M46"/>
      <c r="N46" s="2632">
        <v>1</v>
      </c>
      <c r="O46" s="1121"/>
      <c r="P46" s="1121"/>
      <c r="Q46" s="1121"/>
      <c r="R46" s="1121"/>
      <c r="S46" s="1904"/>
      <c r="T46" s="1121"/>
      <c r="U46" s="1121"/>
      <c r="V46" s="1121"/>
      <c r="W46" s="1121"/>
      <c r="X46" s="121"/>
      <c r="Y46" s="743" t="s">
        <v>2528</v>
      </c>
      <c r="Z46" s="743" t="s">
        <v>2400</v>
      </c>
      <c r="AA46" s="743" t="s">
        <v>2679</v>
      </c>
      <c r="AB46" s="743" t="s">
        <v>2680</v>
      </c>
      <c r="AC46" s="121"/>
      <c r="AD46" s="121"/>
      <c r="AE46" s="2053"/>
      <c r="AF46" s="2053"/>
      <c r="AG46" s="2053"/>
      <c r="AH46" s="2053"/>
      <c r="AI46" s="2053"/>
      <c r="AJ46" s="2053"/>
      <c r="AK46" s="2055"/>
      <c r="AL46" s="2056"/>
      <c r="AM46" s="2056"/>
      <c r="AN46" s="2053"/>
      <c r="AO46" s="2053"/>
      <c r="AQ46" s="2053"/>
      <c r="AR46" s="2537" t="s">
        <v>2560</v>
      </c>
      <c r="AS46" s="2053"/>
      <c r="AT46" s="2053"/>
      <c r="AU46" s="2053"/>
      <c r="AV46" s="2053"/>
      <c r="AW46" s="2053"/>
      <c r="AX46" s="2053"/>
      <c r="AY46" s="2053"/>
      <c r="AZ46" s="2053"/>
      <c r="BA46" s="2053"/>
      <c r="BB46" s="2075"/>
      <c r="BC46" s="2053"/>
      <c r="BD46" s="2053"/>
      <c r="BE46" s="2053"/>
      <c r="BF46" s="2053"/>
      <c r="BG46" s="2053"/>
      <c r="BH46" s="2053"/>
      <c r="BI46" s="2053"/>
      <c r="BJ46" s="2053"/>
      <c r="BK46" s="2053"/>
      <c r="BL46" s="2053"/>
      <c r="BM46" s="2053"/>
    </row>
    <row r="47" spans="2:65" s="743" customFormat="1" ht="20.25" customHeight="1">
      <c r="E47" s="121"/>
      <c r="F47" s="121"/>
      <c r="G47" s="121"/>
      <c r="H47" s="121"/>
      <c r="I47" s="121"/>
      <c r="J47" s="121"/>
      <c r="K47" s="121"/>
      <c r="L47" s="121"/>
      <c r="M47"/>
      <c r="N47" s="1117"/>
      <c r="S47" s="1904"/>
      <c r="T47" s="24"/>
      <c r="U47" s="24"/>
      <c r="V47" s="24"/>
      <c r="W47" s="24"/>
      <c r="X47" s="121"/>
      <c r="Y47" s="121"/>
      <c r="Z47" s="121"/>
      <c r="AA47" s="121"/>
      <c r="AB47" s="121"/>
      <c r="AC47"/>
      <c r="AD47" s="121"/>
      <c r="AE47" s="2053"/>
      <c r="AF47" s="2053"/>
      <c r="AG47" s="2053"/>
      <c r="AH47" s="2053"/>
      <c r="AI47" s="2053"/>
      <c r="AJ47" s="2053"/>
      <c r="AK47" s="2055"/>
      <c r="AL47" s="2056"/>
      <c r="AM47" s="2056"/>
      <c r="AN47" s="2053"/>
      <c r="AO47" s="2053"/>
      <c r="AQ47" s="2053"/>
      <c r="AR47" s="2537" t="s">
        <v>2558</v>
      </c>
      <c r="AS47" s="2053"/>
      <c r="AT47" s="2053"/>
      <c r="AU47" s="2053"/>
      <c r="AV47" s="2053"/>
      <c r="AW47" s="2053"/>
      <c r="AX47" s="2053"/>
      <c r="AY47" s="2053"/>
      <c r="AZ47" s="2053"/>
      <c r="BA47" s="2053"/>
      <c r="BB47" s="2075"/>
      <c r="BC47" s="2053"/>
      <c r="BD47" s="2053"/>
      <c r="BE47" s="2053"/>
      <c r="BF47" s="2053"/>
      <c r="BG47" s="2053"/>
      <c r="BH47" s="2053"/>
      <c r="BI47" s="2053"/>
      <c r="BJ47" s="2053"/>
      <c r="BK47" s="2053"/>
      <c r="BL47" s="2053"/>
      <c r="BM47" s="2053"/>
    </row>
    <row r="48" spans="2:65" s="743" customFormat="1" ht="19.5" customHeight="1">
      <c r="B48" s="2637" t="s">
        <v>2623</v>
      </c>
      <c r="E48" s="121"/>
      <c r="F48" s="121"/>
      <c r="G48" s="121"/>
      <c r="H48" s="121"/>
      <c r="I48" s="121"/>
      <c r="J48" s="121"/>
      <c r="K48" s="121"/>
      <c r="L48" s="121"/>
      <c r="M48"/>
      <c r="N48" s="1117"/>
      <c r="S48" s="1904"/>
      <c r="T48" s="24"/>
      <c r="U48" s="24"/>
      <c r="V48" s="24"/>
      <c r="W48" s="24"/>
      <c r="X48" s="121"/>
      <c r="Y48" s="121"/>
      <c r="Z48" s="121"/>
      <c r="AA48" s="121"/>
      <c r="AB48" s="121"/>
      <c r="AC48" s="121"/>
      <c r="AD48"/>
      <c r="AE48" s="2053"/>
      <c r="AF48" s="2053"/>
      <c r="AG48" s="2053"/>
      <c r="AH48" s="2053"/>
      <c r="AI48" s="2053"/>
      <c r="AJ48" s="2053"/>
      <c r="AK48" s="2055"/>
      <c r="AL48" s="2056"/>
      <c r="AM48" s="2056"/>
      <c r="AN48" s="2053"/>
      <c r="AO48" s="2053"/>
      <c r="AQ48" s="2053"/>
      <c r="AR48" s="2053"/>
      <c r="AS48" s="2053"/>
      <c r="AT48" s="2053"/>
      <c r="AU48" s="2053"/>
      <c r="AV48" s="2053"/>
      <c r="AW48" s="2053"/>
      <c r="AX48" s="2055"/>
      <c r="AY48" s="2053"/>
      <c r="AZ48" s="2053"/>
      <c r="BA48" s="2053"/>
      <c r="BB48" s="2075"/>
      <c r="BC48" s="2053"/>
      <c r="BD48" s="2147"/>
      <c r="BE48" s="2148"/>
      <c r="BF48" s="1821"/>
      <c r="BG48" s="1821"/>
      <c r="BH48" s="1821"/>
      <c r="BI48" s="2146"/>
      <c r="BJ48" s="2146"/>
      <c r="BK48" s="2146"/>
      <c r="BL48" s="2146"/>
      <c r="BM48" s="2053"/>
    </row>
    <row r="49" spans="2:65" s="743" customFormat="1" ht="19.5" customHeight="1">
      <c r="E49" s="121"/>
      <c r="F49" s="121"/>
      <c r="G49" s="121"/>
      <c r="H49" s="121"/>
      <c r="I49" s="121"/>
      <c r="J49" s="121"/>
      <c r="K49" s="121"/>
      <c r="L49" s="121"/>
      <c r="M49"/>
      <c r="N49" s="1117"/>
      <c r="S49" s="1904"/>
      <c r="T49" s="24"/>
      <c r="U49" s="24"/>
      <c r="V49" s="24"/>
      <c r="W49" s="24"/>
      <c r="X49" s="121"/>
      <c r="Y49" s="121"/>
      <c r="Z49" s="121"/>
      <c r="AA49" s="121"/>
      <c r="AB49" s="121"/>
      <c r="AC49" s="121"/>
      <c r="AD49" s="121"/>
      <c r="AE49" s="1586"/>
      <c r="AF49" s="2174"/>
      <c r="AG49" s="2174"/>
      <c r="AH49" s="2175"/>
      <c r="AI49" s="2174"/>
      <c r="AJ49" s="2174"/>
      <c r="AK49" s="2174"/>
      <c r="AL49" s="2174"/>
      <c r="AM49" s="2174"/>
      <c r="AN49" s="2075"/>
      <c r="AO49" s="2075"/>
      <c r="AP49" s="2075"/>
      <c r="AQ49" s="2075"/>
      <c r="AR49" s="2075"/>
      <c r="AS49" s="2075"/>
      <c r="AT49" s="2075"/>
      <c r="AU49" s="2075"/>
      <c r="AV49" s="2075"/>
      <c r="AW49" s="2075"/>
      <c r="AX49" s="2075"/>
      <c r="AY49" s="2075"/>
      <c r="AZ49" s="2075"/>
      <c r="BA49" s="2075"/>
      <c r="BB49" s="2075"/>
      <c r="BC49" s="2075"/>
      <c r="BD49" s="2075"/>
      <c r="BE49" s="2075"/>
      <c r="BF49" s="2075"/>
      <c r="BG49" s="2075"/>
      <c r="BH49" s="2075"/>
      <c r="BI49" s="2075"/>
      <c r="BJ49" s="2075"/>
      <c r="BK49" s="2075"/>
      <c r="BL49" s="2075"/>
      <c r="BM49" s="2075"/>
    </row>
    <row r="50" spans="2:65" s="743" customFormat="1" ht="20.25" customHeight="1">
      <c r="E50"/>
      <c r="F50" s="121"/>
      <c r="G50" s="121"/>
      <c r="H50" s="121"/>
      <c r="I50" s="121"/>
      <c r="J50" s="121"/>
      <c r="K50" s="121"/>
      <c r="L50" s="121"/>
      <c r="M50"/>
      <c r="N50" s="1117"/>
      <c r="S50" s="1586"/>
      <c r="T50" s="121"/>
      <c r="U50" s="121"/>
      <c r="V50" s="121"/>
      <c r="W50" s="121"/>
      <c r="X50"/>
      <c r="Y50" s="121"/>
      <c r="Z50" s="121"/>
      <c r="AA50" s="121"/>
      <c r="AB50" s="121"/>
      <c r="AC50" s="121"/>
      <c r="AD50" s="121"/>
      <c r="AE50" s="1586"/>
      <c r="AF50" s="2174"/>
      <c r="AG50" s="2174"/>
      <c r="AH50" s="2175"/>
      <c r="AI50" s="2174"/>
      <c r="AJ50" s="2174"/>
      <c r="AK50" s="2174"/>
      <c r="AL50" s="2174"/>
      <c r="AM50" s="2174"/>
      <c r="AN50" s="2075"/>
      <c r="AO50" s="2075"/>
      <c r="AP50" s="2075"/>
      <c r="AQ50" s="2075"/>
      <c r="AR50" s="2075"/>
      <c r="AS50" s="2075"/>
      <c r="AT50" s="2075"/>
      <c r="AU50" s="2075"/>
      <c r="AV50" s="2075"/>
      <c r="AW50" s="2075"/>
      <c r="AX50" s="2075"/>
      <c r="AY50" s="2075"/>
      <c r="AZ50" s="2075"/>
      <c r="BA50" s="2075"/>
      <c r="BB50" s="2075"/>
      <c r="BC50" s="2075"/>
      <c r="BD50" s="2075"/>
      <c r="BE50" s="2075"/>
      <c r="BF50" s="2075"/>
      <c r="BG50" s="2075"/>
      <c r="BH50" s="2075"/>
      <c r="BI50" s="2075"/>
      <c r="BJ50" s="2075"/>
      <c r="BK50" s="2075"/>
      <c r="BL50" s="2075"/>
      <c r="BM50" s="2075"/>
    </row>
    <row r="51" spans="2:65" s="743" customFormat="1" ht="20.25" customHeight="1">
      <c r="E51"/>
      <c r="F51" s="121"/>
      <c r="G51" s="121"/>
      <c r="H51" s="121"/>
      <c r="I51" s="121"/>
      <c r="J51" s="121"/>
      <c r="K51" s="121"/>
      <c r="L51" s="121"/>
      <c r="M51"/>
      <c r="N51" s="1117"/>
      <c r="S51" s="1586"/>
      <c r="T51" s="121"/>
      <c r="U51" s="121"/>
      <c r="V51" s="121"/>
      <c r="W51" s="121"/>
      <c r="X51"/>
      <c r="Y51" s="121"/>
      <c r="Z51" s="121"/>
      <c r="AA51" s="121"/>
      <c r="AB51" s="121"/>
      <c r="AC51" s="121"/>
      <c r="AD51" s="121"/>
      <c r="AE51" s="121"/>
      <c r="AF51" s="753"/>
      <c r="AG51" s="753"/>
      <c r="AH51" s="1936"/>
      <c r="AI51" s="753"/>
      <c r="AJ51" s="753"/>
      <c r="AK51" s="753"/>
      <c r="AL51" s="753"/>
      <c r="AM51" s="753"/>
      <c r="AN51" s="2075"/>
      <c r="AO51" s="2075"/>
      <c r="AP51" s="2075"/>
      <c r="AQ51" s="2075"/>
      <c r="AR51" s="2075"/>
      <c r="AS51" s="2075"/>
      <c r="AT51" s="2075"/>
      <c r="AU51" s="2075"/>
      <c r="AV51" s="2075"/>
      <c r="AW51" s="2075"/>
      <c r="AX51" s="2075"/>
      <c r="AY51" s="2075"/>
      <c r="AZ51" s="2075"/>
      <c r="BA51" s="2075"/>
      <c r="BB51" s="2075"/>
      <c r="BC51" s="2075"/>
      <c r="BD51" s="2075"/>
      <c r="BE51" s="2075"/>
      <c r="BF51" s="2075"/>
      <c r="BG51" s="2075"/>
      <c r="BH51" s="2075"/>
      <c r="BI51" s="2075"/>
      <c r="BJ51" s="2075"/>
      <c r="BK51" s="2075"/>
      <c r="BL51" s="2075"/>
    </row>
    <row r="52" spans="2:65" s="743" customFormat="1" ht="20.25" customHeight="1">
      <c r="C52" s="1113"/>
      <c r="D52" s="1113"/>
      <c r="E52"/>
      <c r="F52" s="121"/>
      <c r="G52" s="121"/>
      <c r="H52" s="121"/>
      <c r="I52" s="121"/>
      <c r="J52" s="121"/>
      <c r="K52" s="121"/>
      <c r="L52" s="121"/>
      <c r="M52"/>
      <c r="N52" s="1118"/>
      <c r="O52" s="1114"/>
      <c r="P52" s="1114"/>
      <c r="Q52" s="1114"/>
      <c r="R52" s="1114"/>
      <c r="S52" s="1586"/>
      <c r="T52" s="121"/>
      <c r="U52" s="121"/>
      <c r="V52" s="121"/>
      <c r="W52" s="121"/>
      <c r="X52"/>
      <c r="Y52" s="121"/>
      <c r="Z52" s="121"/>
      <c r="AA52" s="121"/>
      <c r="AB52" s="121"/>
      <c r="AC52"/>
      <c r="AD52" s="121"/>
      <c r="AE52" s="121"/>
      <c r="AF52" s="753"/>
      <c r="AG52" s="753"/>
      <c r="AH52" s="1936"/>
      <c r="AI52" s="753"/>
      <c r="AJ52" s="753"/>
      <c r="AK52" s="753"/>
      <c r="AL52" s="753"/>
      <c r="AM52" s="753"/>
      <c r="AN52" s="2075"/>
      <c r="AO52" s="2075"/>
      <c r="AP52" s="2075"/>
      <c r="AQ52" s="2075"/>
      <c r="AR52" s="2075"/>
      <c r="AS52" s="2075"/>
      <c r="AT52" s="2075"/>
      <c r="AU52" s="2075"/>
      <c r="AV52" s="2075"/>
      <c r="AW52" s="2075"/>
      <c r="AX52" s="2075"/>
      <c r="AY52" s="2075"/>
      <c r="AZ52" s="2075"/>
      <c r="BA52" s="2075"/>
      <c r="BB52" s="2075"/>
      <c r="BC52" s="2075"/>
      <c r="BD52" s="2075"/>
      <c r="BE52" s="2075"/>
      <c r="BF52" s="2075"/>
      <c r="BG52" s="2075"/>
      <c r="BH52" s="2075"/>
      <c r="BI52" s="2075"/>
      <c r="BJ52" s="2075"/>
      <c r="BK52" s="2075"/>
      <c r="BL52" s="2075"/>
    </row>
    <row r="53" spans="2:65" s="743" customFormat="1" ht="15.75">
      <c r="E53"/>
      <c r="F53" s="121"/>
      <c r="G53" s="121"/>
      <c r="H53" s="121"/>
      <c r="I53" s="121"/>
      <c r="J53" s="121"/>
      <c r="K53" s="121"/>
      <c r="L53" s="121"/>
      <c r="M53"/>
      <c r="N53" s="1117"/>
      <c r="S53" s="1586"/>
      <c r="T53" s="121"/>
      <c r="U53" s="121"/>
      <c r="V53" s="121"/>
      <c r="W53" s="121"/>
      <c r="X53"/>
      <c r="Y53" s="121"/>
      <c r="Z53" s="121"/>
      <c r="AA53" s="121"/>
      <c r="AB53" s="121"/>
      <c r="AC53"/>
      <c r="AD53"/>
      <c r="AE53"/>
      <c r="AF53" s="753"/>
      <c r="AG53" s="753"/>
      <c r="AH53" s="1936"/>
      <c r="AI53" s="753"/>
      <c r="AJ53" s="753"/>
      <c r="AK53" s="753"/>
      <c r="AL53" s="753"/>
      <c r="AM53" s="753"/>
      <c r="AN53" s="2075"/>
      <c r="AO53" s="2075"/>
      <c r="AP53" s="2075"/>
      <c r="AQ53" s="2075"/>
      <c r="AR53" s="2075"/>
      <c r="AS53" s="2075"/>
      <c r="AT53" s="2075"/>
      <c r="AU53" s="2075"/>
      <c r="AV53" s="2075"/>
      <c r="AW53" s="2075"/>
      <c r="AX53" s="2075"/>
      <c r="AY53" s="2075"/>
      <c r="AZ53" s="2075"/>
      <c r="BA53" s="2075"/>
      <c r="BB53" s="2075"/>
      <c r="BC53" s="2075"/>
      <c r="BD53" s="2075"/>
    </row>
    <row r="54" spans="2:65" s="743" customFormat="1" ht="15.75">
      <c r="E54"/>
      <c r="F54" s="121"/>
      <c r="G54" s="121"/>
      <c r="H54" s="121"/>
      <c r="I54" s="121"/>
      <c r="J54" s="121"/>
      <c r="K54" s="121"/>
      <c r="L54" s="121"/>
      <c r="M54"/>
      <c r="N54" s="1117"/>
      <c r="S54" s="1586"/>
      <c r="T54" s="121"/>
      <c r="U54" s="121"/>
      <c r="V54" s="121"/>
      <c r="W54" s="121"/>
      <c r="X54"/>
      <c r="Y54" s="121"/>
      <c r="Z54" s="121"/>
      <c r="AA54" s="121"/>
      <c r="AB54" s="121"/>
      <c r="AC54"/>
      <c r="AD54"/>
      <c r="AE54"/>
      <c r="AF54" s="753"/>
      <c r="AG54" s="753"/>
      <c r="AH54" s="1936"/>
      <c r="AI54" s="753"/>
      <c r="AJ54" s="753"/>
      <c r="AK54" s="753"/>
      <c r="AL54" s="753"/>
      <c r="AM54" s="753"/>
      <c r="AN54" s="2075"/>
      <c r="AO54" s="2075"/>
      <c r="AP54" s="2075"/>
      <c r="AQ54" s="2075"/>
      <c r="AR54" s="2075"/>
      <c r="AS54" s="2075"/>
      <c r="AT54" s="2075"/>
      <c r="AU54" s="2075"/>
      <c r="AV54" s="2075"/>
      <c r="AW54" s="2075"/>
      <c r="AX54" s="2075"/>
      <c r="AY54" s="2075"/>
      <c r="AZ54" s="2075"/>
      <c r="BA54" s="2075"/>
      <c r="BB54" s="2075"/>
      <c r="BC54" s="2075"/>
      <c r="BD54" s="2075"/>
      <c r="BM54" s="2075"/>
    </row>
    <row r="55" spans="2:65" s="743" customFormat="1" ht="15.75">
      <c r="E55"/>
      <c r="F55" s="121"/>
      <c r="G55" s="121"/>
      <c r="H55" s="121"/>
      <c r="I55" s="121"/>
      <c r="J55" s="121"/>
      <c r="K55" s="121"/>
      <c r="L55" s="121"/>
      <c r="M55"/>
      <c r="N55" s="1117"/>
      <c r="S55" s="1586"/>
      <c r="T55" s="121"/>
      <c r="U55" s="121"/>
      <c r="V55" s="121"/>
      <c r="W55" s="121"/>
      <c r="X55"/>
      <c r="Y55" s="121"/>
      <c r="Z55" s="121"/>
      <c r="AA55" s="121"/>
      <c r="AB55" s="121"/>
      <c r="AC55"/>
      <c r="AD55"/>
      <c r="AE55"/>
      <c r="AF55" s="753"/>
      <c r="AG55" s="753"/>
      <c r="AH55" s="1936"/>
      <c r="AI55" s="753"/>
      <c r="AJ55" s="753"/>
      <c r="AK55" s="753"/>
      <c r="AL55" s="753"/>
      <c r="AM55" s="753"/>
      <c r="AR55" s="2075"/>
      <c r="AS55" s="2075"/>
      <c r="AT55" s="2075"/>
      <c r="AU55" s="2075"/>
      <c r="AV55" s="2075"/>
      <c r="AW55" s="2075"/>
      <c r="AX55" s="2075"/>
      <c r="AY55" s="2075"/>
      <c r="AZ55" s="2075"/>
      <c r="BB55" s="2075"/>
      <c r="BD55" s="2075"/>
      <c r="BM55" s="2075"/>
    </row>
    <row r="56" spans="2:65" s="743" customFormat="1" ht="15.75">
      <c r="E56"/>
      <c r="F56" s="121"/>
      <c r="G56" s="121"/>
      <c r="H56" s="121"/>
      <c r="I56" s="121"/>
      <c r="J56" s="121"/>
      <c r="K56" s="121"/>
      <c r="L56" s="121"/>
      <c r="M56"/>
      <c r="N56" s="1117"/>
      <c r="S56" s="1586"/>
      <c r="T56" s="121"/>
      <c r="U56" s="121"/>
      <c r="V56" s="121"/>
      <c r="W56" s="121"/>
      <c r="X56"/>
      <c r="Y56" s="121"/>
      <c r="Z56" s="121"/>
      <c r="AA56" s="121"/>
      <c r="AB56" s="121"/>
      <c r="AC56"/>
      <c r="AD56"/>
      <c r="AE56"/>
      <c r="AF56" s="753"/>
      <c r="AG56" s="753"/>
      <c r="AH56" s="1936"/>
      <c r="AI56" s="753"/>
      <c r="AJ56" s="753"/>
      <c r="AK56" s="753"/>
      <c r="AL56" s="753"/>
      <c r="AM56" s="753"/>
      <c r="BM56" s="2075"/>
    </row>
    <row r="57" spans="2:65" s="743" customFormat="1">
      <c r="E57"/>
      <c r="F57" s="121"/>
      <c r="G57" s="121"/>
      <c r="H57" s="121"/>
      <c r="I57" s="121"/>
      <c r="J57" s="121"/>
      <c r="K57" s="121"/>
      <c r="L57" s="121"/>
      <c r="M57"/>
      <c r="N57" s="1117"/>
      <c r="S57" s="1586"/>
      <c r="T57" s="121"/>
      <c r="U57" s="121"/>
      <c r="V57" s="121"/>
      <c r="W57" s="121"/>
      <c r="X57"/>
      <c r="Y57" s="121"/>
      <c r="Z57" s="121"/>
      <c r="AA57" s="121"/>
      <c r="AB57" s="121"/>
      <c r="AC57"/>
      <c r="AD57"/>
      <c r="AE57"/>
      <c r="AF57"/>
      <c r="AG57"/>
      <c r="AH57"/>
      <c r="AI57"/>
      <c r="AJ57"/>
      <c r="AK57"/>
      <c r="AL57"/>
      <c r="AM57"/>
      <c r="BM57" s="2075"/>
    </row>
    <row r="58" spans="2:65" s="743" customFormat="1">
      <c r="B58"/>
      <c r="E58"/>
      <c r="F58" s="121"/>
      <c r="G58" s="121"/>
      <c r="H58" s="121"/>
      <c r="I58" s="121"/>
      <c r="J58" s="121"/>
      <c r="K58" s="121"/>
      <c r="L58" s="121"/>
      <c r="M58"/>
      <c r="N58" s="1117"/>
      <c r="O58"/>
      <c r="P58"/>
      <c r="Q58"/>
      <c r="R58"/>
      <c r="S58" s="1586"/>
      <c r="T58" s="121"/>
      <c r="U58" s="121"/>
      <c r="V58" s="121"/>
      <c r="W58" s="121"/>
      <c r="X58"/>
      <c r="Y58" s="121"/>
      <c r="Z58" s="121"/>
      <c r="AA58" s="121"/>
      <c r="AB58" s="121"/>
      <c r="AC58"/>
      <c r="AD58"/>
      <c r="AE58"/>
      <c r="AF58"/>
      <c r="AG58"/>
      <c r="AH58"/>
      <c r="AI58"/>
      <c r="AJ58"/>
      <c r="AK58"/>
      <c r="AL58"/>
      <c r="AM58"/>
      <c r="BM58" s="2075"/>
    </row>
    <row r="59" spans="2:65" s="743" customFormat="1">
      <c r="B59"/>
      <c r="C59"/>
      <c r="E59"/>
      <c r="F59" s="121"/>
      <c r="G59" s="121"/>
      <c r="H59" s="121"/>
      <c r="I59" s="121"/>
      <c r="J59" s="121"/>
      <c r="K59" s="121"/>
      <c r="L59" s="121"/>
      <c r="M59"/>
      <c r="N59" s="1117"/>
      <c r="O59"/>
      <c r="P59"/>
      <c r="Q59"/>
      <c r="R59"/>
      <c r="S59" s="1586"/>
      <c r="T59" s="121"/>
      <c r="U59" s="121"/>
      <c r="V59" s="121"/>
      <c r="W59" s="121"/>
      <c r="X59"/>
      <c r="Y59" s="121"/>
      <c r="Z59" s="121"/>
      <c r="AA59" s="121"/>
      <c r="AB59" s="121"/>
      <c r="AC59"/>
      <c r="AD59"/>
      <c r="AE59"/>
      <c r="AF59"/>
      <c r="AG59"/>
      <c r="AH59"/>
      <c r="AI59"/>
      <c r="AJ59"/>
      <c r="AK59"/>
      <c r="AL59"/>
      <c r="AM59"/>
    </row>
    <row r="60" spans="2:65" s="743" customFormat="1">
      <c r="B60"/>
      <c r="C60"/>
      <c r="D60"/>
      <c r="E60"/>
      <c r="F60" s="121"/>
      <c r="G60" s="121"/>
      <c r="H60" s="121"/>
      <c r="I60" s="121"/>
      <c r="J60" s="121"/>
      <c r="K60" s="121"/>
      <c r="L60" s="121"/>
      <c r="M60"/>
      <c r="N60" s="1117"/>
      <c r="O60"/>
      <c r="P60"/>
      <c r="Q60"/>
      <c r="R60"/>
      <c r="S60" s="1586"/>
      <c r="T60" s="121"/>
      <c r="U60" s="121"/>
      <c r="V60" s="121"/>
      <c r="W60" s="121"/>
      <c r="X60"/>
      <c r="Y60" s="121"/>
      <c r="Z60" s="121"/>
      <c r="AA60" s="121"/>
      <c r="AB60" s="121"/>
      <c r="AC60"/>
      <c r="AD60"/>
      <c r="AE60"/>
      <c r="AF60"/>
      <c r="AG60"/>
      <c r="AH60"/>
      <c r="AI60"/>
      <c r="AJ60"/>
      <c r="AK60"/>
      <c r="AL60"/>
      <c r="AM60"/>
    </row>
    <row r="61" spans="2:65" s="743" customFormat="1">
      <c r="B61"/>
      <c r="C61"/>
      <c r="D61"/>
      <c r="E61"/>
      <c r="F61" s="121"/>
      <c r="G61" s="121"/>
      <c r="H61" s="121"/>
      <c r="I61" s="121"/>
      <c r="J61" s="121"/>
      <c r="K61" s="121"/>
      <c r="L61" s="121"/>
      <c r="M61"/>
      <c r="N61" s="1117"/>
      <c r="O61"/>
      <c r="P61"/>
      <c r="Q61"/>
      <c r="R61"/>
      <c r="S61" s="1586"/>
      <c r="T61" s="121"/>
      <c r="U61" s="121"/>
      <c r="V61" s="121"/>
      <c r="W61" s="121"/>
      <c r="X61"/>
      <c r="Y61" s="121"/>
      <c r="Z61" s="121"/>
      <c r="AA61" s="121"/>
      <c r="AB61" s="121"/>
      <c r="AC61"/>
      <c r="AD61"/>
      <c r="AE61"/>
      <c r="AF61"/>
      <c r="AG61"/>
      <c r="AH61"/>
      <c r="AI61"/>
      <c r="AJ61"/>
      <c r="AK61"/>
      <c r="AL61"/>
      <c r="AM61"/>
    </row>
    <row r="62" spans="2:65" s="743" customFormat="1">
      <c r="B62"/>
      <c r="C62"/>
      <c r="D62"/>
      <c r="E62"/>
      <c r="F62" s="121"/>
      <c r="G62" s="121"/>
      <c r="H62" s="121"/>
      <c r="I62" s="121"/>
      <c r="J62" s="121"/>
      <c r="K62" s="121"/>
      <c r="L62" s="121"/>
      <c r="M62"/>
      <c r="N62" s="1117"/>
      <c r="O62"/>
      <c r="P62"/>
      <c r="Q62"/>
      <c r="R62"/>
      <c r="S62" s="1586"/>
      <c r="T62" s="121"/>
      <c r="U62" s="121"/>
      <c r="V62" s="121"/>
      <c r="W62" s="121"/>
      <c r="X62"/>
      <c r="Y62" s="121"/>
      <c r="Z62" s="121"/>
      <c r="AA62" s="121"/>
      <c r="AB62" s="121"/>
      <c r="AC62"/>
      <c r="AD62"/>
      <c r="AE62"/>
      <c r="AF62"/>
      <c r="AG62"/>
      <c r="AH62"/>
      <c r="AI62"/>
      <c r="AJ62"/>
      <c r="AK62"/>
      <c r="AL62"/>
      <c r="AM62"/>
    </row>
    <row r="63" spans="2:65">
      <c r="AQ63" s="743"/>
      <c r="AR63" s="743"/>
      <c r="AS63" s="743"/>
      <c r="AT63" s="743"/>
      <c r="AU63" s="743"/>
      <c r="AV63" s="743"/>
      <c r="AW63" s="743"/>
      <c r="AX63" s="743"/>
      <c r="AY63" s="743"/>
      <c r="AZ63" s="743"/>
      <c r="BA63" s="743"/>
      <c r="BD63" s="743"/>
      <c r="BE63" s="743"/>
      <c r="BF63" s="743"/>
      <c r="BG63" s="743"/>
      <c r="BH63" s="743"/>
      <c r="BI63" s="743"/>
      <c r="BJ63" s="743"/>
      <c r="BK63" s="743"/>
      <c r="BL63" s="743"/>
    </row>
    <row r="64" spans="2:65">
      <c r="AQ64" s="743"/>
      <c r="AR64" s="743"/>
      <c r="AS64" s="743"/>
      <c r="AT64" s="743"/>
      <c r="AU64" s="743"/>
      <c r="AV64" s="743"/>
      <c r="AW64" s="743"/>
      <c r="AX64" s="743"/>
      <c r="AY64" s="743"/>
      <c r="AZ64" s="743"/>
      <c r="BA64" s="743"/>
    </row>
    <row r="65" spans="51:54">
      <c r="AY65" s="743"/>
      <c r="AZ65" s="743"/>
    </row>
    <row r="66" spans="51:54">
      <c r="AZ66" s="743"/>
    </row>
    <row r="67" spans="51:54">
      <c r="AZ67" s="743"/>
    </row>
    <row r="68" spans="51:54">
      <c r="BB68" s="1586"/>
    </row>
    <row r="69" spans="51:54">
      <c r="BB69" s="1586"/>
    </row>
    <row r="70" spans="51:54">
      <c r="BB70" s="1586"/>
    </row>
    <row r="71" spans="51:54">
      <c r="BB71" s="1586"/>
    </row>
    <row r="72" spans="51:54">
      <c r="BB72" s="1586"/>
    </row>
    <row r="73" spans="51:54">
      <c r="BB73" s="1586"/>
    </row>
    <row r="74" spans="51:54">
      <c r="BB74" s="1586"/>
    </row>
    <row r="75" spans="51:54">
      <c r="BB75" s="1586"/>
    </row>
    <row r="76" spans="51:54">
      <c r="BB76" s="1586"/>
    </row>
    <row r="77" spans="51:54">
      <c r="BB77" s="1586"/>
    </row>
    <row r="78" spans="51:54">
      <c r="BB78" s="1586"/>
    </row>
    <row r="79" spans="51:54">
      <c r="BB79" s="1586"/>
    </row>
    <row r="80" spans="51:54">
      <c r="BB80" s="1586"/>
    </row>
    <row r="81" spans="54:54">
      <c r="BB81" s="1586"/>
    </row>
    <row r="82" spans="54:54">
      <c r="BB82" s="1586"/>
    </row>
    <row r="83" spans="54:54">
      <c r="BB83" s="1586"/>
    </row>
    <row r="84" spans="54:54">
      <c r="BB84" s="1586"/>
    </row>
    <row r="85" spans="54:54">
      <c r="BB85" s="1586"/>
    </row>
    <row r="86" spans="54:54">
      <c r="BB86" s="1586"/>
    </row>
    <row r="87" spans="54:54">
      <c r="BB87" s="1586"/>
    </row>
    <row r="88" spans="54:54">
      <c r="BB88" s="1586"/>
    </row>
    <row r="89" spans="54:54">
      <c r="BB89" s="1586"/>
    </row>
    <row r="90" spans="54:54">
      <c r="BB90" s="1586"/>
    </row>
    <row r="91" spans="54:54">
      <c r="BB91" s="1586"/>
    </row>
    <row r="92" spans="54:54">
      <c r="BB92" s="1586"/>
    </row>
  </sheetData>
  <sheetProtection formatColumns="0" insertColumns="0" deleteColumns="0"/>
  <pageMargins left="0.7" right="0.7" top="0.75" bottom="0.75" header="0.3" footer="0.3"/>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sheetPr codeName="Sheet49">
    <tabColor theme="9"/>
    <outlinePr summaryBelow="0"/>
    <pageSetUpPr autoPageBreaks="0"/>
  </sheetPr>
  <dimension ref="A1:AA284"/>
  <sheetViews>
    <sheetView showGridLines="0" zoomScale="80" zoomScaleNormal="80" workbookViewId="0">
      <pane ySplit="2" topLeftCell="A3" activePane="bottomLeft" state="frozen"/>
      <selection pane="bottomLeft"/>
    </sheetView>
  </sheetViews>
  <sheetFormatPr defaultRowHeight="12.75" outlineLevelRow="2"/>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6" ht="21">
      <c r="A1" s="789" t="s">
        <v>672</v>
      </c>
      <c r="B1" s="789" t="str">
        <f>INDEX(Workstreams[Workstream], MATCH($A1, Workstreams[Code], 0))</f>
        <v>Agriculture and waste</v>
      </c>
      <c r="C1" s="789"/>
    </row>
    <row r="2" spans="1:16" s="743" customFormat="1" ht="19.5" customHeight="1">
      <c r="A2" s="10" t="s">
        <v>965</v>
      </c>
      <c r="B2" s="10" t="str">
        <f>INDEX(Modules[Module], MATCH($A2, Modules[Code], 0))</f>
        <v>Waste arising</v>
      </c>
      <c r="C2" s="10"/>
    </row>
    <row r="4" spans="1:16" ht="22.5" collapsed="1">
      <c r="A4" s="1171"/>
      <c r="B4" s="1231" t="s">
        <v>1357</v>
      </c>
      <c r="C4" s="1182"/>
      <c r="D4" s="1183"/>
      <c r="E4" s="1184"/>
      <c r="F4" s="1183"/>
      <c r="G4" s="1183"/>
      <c r="H4" s="1183"/>
      <c r="I4" s="1183"/>
      <c r="J4" s="1183"/>
      <c r="K4" s="1183"/>
      <c r="L4" s="1183"/>
      <c r="M4" s="1183"/>
      <c r="N4" s="1183"/>
      <c r="O4" s="1183"/>
      <c r="P4" s="1185"/>
    </row>
    <row r="5" spans="1:16" hidden="1" outlineLevel="1">
      <c r="B5" s="1172"/>
      <c r="C5" s="1173"/>
      <c r="D5" s="1174"/>
      <c r="E5" s="1175"/>
      <c r="F5" s="1174"/>
      <c r="G5" s="1174"/>
      <c r="H5" s="1174"/>
      <c r="I5" s="1174"/>
      <c r="J5" s="1174"/>
      <c r="K5" s="1174"/>
      <c r="L5" s="1174"/>
      <c r="M5" s="1174"/>
      <c r="N5" s="1174"/>
      <c r="O5" s="1174"/>
      <c r="P5" s="1176"/>
    </row>
    <row r="6" spans="1:16" ht="15.75" hidden="1" outlineLevel="1">
      <c r="B6" s="1177"/>
      <c r="C6" s="1174"/>
      <c r="D6" s="922" t="s">
        <v>830</v>
      </c>
      <c r="E6" s="2374" t="s">
        <v>1352</v>
      </c>
      <c r="F6" s="1174"/>
      <c r="G6" s="1174"/>
      <c r="H6" s="1174"/>
      <c r="I6" s="1174"/>
      <c r="J6" s="1174"/>
      <c r="K6" s="1174"/>
      <c r="L6" s="1174"/>
      <c r="M6" s="1174"/>
      <c r="N6" s="1174"/>
      <c r="O6" s="1174"/>
      <c r="P6" s="1176"/>
    </row>
    <row r="7" spans="1:16" ht="15.75" hidden="1" outlineLevel="1">
      <c r="B7" s="1177"/>
      <c r="C7" s="1174"/>
      <c r="D7" s="950" t="s">
        <v>1457</v>
      </c>
      <c r="E7" s="950">
        <f>MIN(VI.b.Scenario,3)</f>
        <v>1</v>
      </c>
      <c r="F7" s="1174"/>
      <c r="G7" s="1174"/>
      <c r="H7" s="1174"/>
      <c r="I7" s="1174"/>
      <c r="J7" s="1174"/>
      <c r="K7" s="1174"/>
      <c r="L7" s="1174"/>
      <c r="M7" s="1174"/>
      <c r="N7" s="1174"/>
      <c r="O7" s="1174"/>
      <c r="P7" s="1176"/>
    </row>
    <row r="8" spans="1:16" ht="15.75" hidden="1" outlineLevel="1">
      <c r="B8" s="1178"/>
      <c r="C8" s="1179"/>
      <c r="D8" s="1179"/>
      <c r="E8" s="1179"/>
      <c r="F8" s="1180"/>
      <c r="G8" s="1180"/>
      <c r="H8" s="1180"/>
      <c r="I8" s="1180"/>
      <c r="J8" s="1180"/>
      <c r="K8" s="1180"/>
      <c r="L8" s="1180"/>
      <c r="M8" s="1180"/>
      <c r="N8" s="1180"/>
      <c r="O8" s="1180"/>
      <c r="P8" s="1181"/>
    </row>
    <row r="10" spans="1:16" ht="22.5" collapsed="1">
      <c r="A10" s="1171"/>
      <c r="B10" s="1236" t="s">
        <v>1354</v>
      </c>
      <c r="C10" s="1167"/>
      <c r="D10" s="1167"/>
      <c r="E10" s="1167"/>
      <c r="F10" s="1167"/>
      <c r="G10" s="1167"/>
      <c r="H10" s="1167"/>
      <c r="I10" s="1167"/>
      <c r="J10" s="1167"/>
      <c r="K10" s="1167"/>
      <c r="L10" s="1167"/>
      <c r="M10" s="1167"/>
      <c r="N10" s="1167"/>
      <c r="O10" s="1167"/>
      <c r="P10" s="1168"/>
    </row>
    <row r="11" spans="1:16" hidden="1" outlineLevel="1">
      <c r="B11" s="1237"/>
      <c r="C11" s="1221"/>
      <c r="D11" s="1221"/>
      <c r="E11" s="1221"/>
      <c r="F11" s="1221"/>
      <c r="G11" s="1221"/>
      <c r="H11" s="1221"/>
      <c r="I11" s="1221"/>
      <c r="J11" s="1221"/>
      <c r="K11" s="1221"/>
      <c r="L11" s="1221"/>
      <c r="M11" s="1221"/>
      <c r="N11" s="1221"/>
      <c r="O11" s="1221"/>
      <c r="P11" s="1222"/>
    </row>
    <row r="12" spans="1:16" hidden="1" outlineLevel="1">
      <c r="B12" s="1238"/>
      <c r="C12" s="866" t="s">
        <v>2159</v>
      </c>
      <c r="D12" s="864"/>
      <c r="E12" s="867"/>
      <c r="F12" s="867"/>
      <c r="G12" s="864"/>
      <c r="H12" s="864"/>
      <c r="I12" s="864"/>
      <c r="J12" s="864"/>
      <c r="K12" s="864"/>
      <c r="L12" s="864"/>
      <c r="M12" s="864"/>
      <c r="N12" s="864"/>
      <c r="O12" s="867" t="s">
        <v>1203</v>
      </c>
      <c r="P12" s="1158"/>
    </row>
    <row r="13" spans="1:16" ht="5.25" hidden="1" customHeight="1" outlineLevel="1">
      <c r="B13" s="1238"/>
      <c r="C13" s="864"/>
      <c r="D13" s="864"/>
      <c r="E13" s="864"/>
      <c r="F13" s="864"/>
      <c r="G13" s="864"/>
      <c r="H13" s="864"/>
      <c r="I13" s="864"/>
      <c r="J13" s="864"/>
      <c r="K13" s="864"/>
      <c r="L13" s="864"/>
      <c r="M13" s="864"/>
      <c r="N13" s="864"/>
      <c r="O13" s="864"/>
      <c r="P13" s="1158"/>
    </row>
    <row r="14" spans="1:16" ht="15.75" hidden="1" outlineLevel="1">
      <c r="B14" s="1239"/>
      <c r="C14" s="766" t="s">
        <v>1352</v>
      </c>
      <c r="D14" s="766" t="s">
        <v>79</v>
      </c>
      <c r="E14" s="766"/>
      <c r="F14" s="1541">
        <v>2007</v>
      </c>
      <c r="G14" s="924">
        <v>2010</v>
      </c>
      <c r="H14" s="923">
        <v>2015</v>
      </c>
      <c r="I14" s="923">
        <v>2020</v>
      </c>
      <c r="J14" s="923">
        <v>2025</v>
      </c>
      <c r="K14" s="923">
        <v>2030</v>
      </c>
      <c r="L14" s="923">
        <v>2035</v>
      </c>
      <c r="M14" s="923">
        <v>2040</v>
      </c>
      <c r="N14" s="923">
        <v>2045</v>
      </c>
      <c r="O14" s="923">
        <v>2050</v>
      </c>
      <c r="P14" s="1158"/>
    </row>
    <row r="15" spans="1:16" ht="15.75" hidden="1" outlineLevel="1">
      <c r="B15" s="1240"/>
      <c r="C15" s="831">
        <v>1</v>
      </c>
      <c r="D15" s="832" t="s">
        <v>1443</v>
      </c>
      <c r="E15" s="833"/>
      <c r="F15" s="2359">
        <v>34.78</v>
      </c>
      <c r="G15" s="2360">
        <f>F15*1.015^3</f>
        <v>36.36869388249999</v>
      </c>
      <c r="H15" s="2360">
        <f>G15*1.015^5</f>
        <v>39.17941216178474</v>
      </c>
      <c r="I15" s="2360">
        <f>H15*1.015^5</f>
        <v>42.207354003483616</v>
      </c>
      <c r="J15" s="2360">
        <f t="shared" ref="J15:O15" si="0">I15*1.01^5</f>
        <v>44.360353245789746</v>
      </c>
      <c r="K15" s="2360">
        <f t="shared" si="0"/>
        <v>46.623177087311177</v>
      </c>
      <c r="L15" s="2360">
        <f t="shared" si="0"/>
        <v>49.001427686356088</v>
      </c>
      <c r="M15" s="2360">
        <f t="shared" si="0"/>
        <v>51.500992967608639</v>
      </c>
      <c r="N15" s="2360">
        <f t="shared" si="0"/>
        <v>54.128061199086098</v>
      </c>
      <c r="O15" s="2360">
        <f t="shared" si="0"/>
        <v>56.88913631266734</v>
      </c>
      <c r="P15" s="1162"/>
    </row>
    <row r="16" spans="1:16" ht="15.75" hidden="1" outlineLevel="1">
      <c r="B16" s="1240"/>
      <c r="C16" s="831">
        <v>2</v>
      </c>
      <c r="D16" s="832" t="s">
        <v>1443</v>
      </c>
      <c r="E16" s="832"/>
      <c r="F16" s="2361">
        <v>34.78</v>
      </c>
      <c r="G16" s="2360">
        <f>F16*1.0075^3</f>
        <v>35.56843379781251</v>
      </c>
      <c r="H16" s="2360">
        <f>G16*1.0075^5</f>
        <v>36.922407927119636</v>
      </c>
      <c r="I16" s="2360">
        <f>H16*1.0075^5</f>
        <v>38.327923430254302</v>
      </c>
      <c r="J16" s="2360">
        <f t="shared" ref="J16:O16" si="1">I16*1.005^5</f>
        <v>39.295751526667011</v>
      </c>
      <c r="K16" s="2360">
        <f t="shared" si="1"/>
        <v>40.288018495326753</v>
      </c>
      <c r="L16" s="2360">
        <f t="shared" si="1"/>
        <v>41.305341448382798</v>
      </c>
      <c r="M16" s="2360">
        <f t="shared" si="1"/>
        <v>42.348353080839509</v>
      </c>
      <c r="N16" s="2360">
        <f t="shared" si="1"/>
        <v>43.417702064042963</v>
      </c>
      <c r="O16" s="2360">
        <f t="shared" si="1"/>
        <v>44.514053449103592</v>
      </c>
      <c r="P16" s="1162"/>
    </row>
    <row r="17" spans="2:16" ht="15.75" hidden="1" outlineLevel="1">
      <c r="B17" s="1239"/>
      <c r="C17" s="769">
        <v>3</v>
      </c>
      <c r="D17" s="770" t="s">
        <v>1443</v>
      </c>
      <c r="E17" s="770"/>
      <c r="F17" s="2362">
        <v>34.78</v>
      </c>
      <c r="G17" s="2363">
        <v>34.78</v>
      </c>
      <c r="H17" s="2363">
        <v>34.78</v>
      </c>
      <c r="I17" s="2363">
        <v>34.78</v>
      </c>
      <c r="J17" s="2363">
        <v>34.78</v>
      </c>
      <c r="K17" s="2363">
        <v>34.78</v>
      </c>
      <c r="L17" s="2363">
        <v>34.78</v>
      </c>
      <c r="M17" s="2363">
        <v>34.78</v>
      </c>
      <c r="N17" s="2363">
        <v>34.78</v>
      </c>
      <c r="O17" s="2363">
        <v>34.78</v>
      </c>
      <c r="P17" s="1158"/>
    </row>
    <row r="18" spans="2:16" hidden="1" outlineLevel="1">
      <c r="B18" s="1241"/>
      <c r="C18" s="864"/>
      <c r="D18" s="868"/>
      <c r="E18" s="864"/>
      <c r="F18" s="864"/>
      <c r="G18" s="864"/>
      <c r="H18" s="864"/>
      <c r="I18" s="864"/>
      <c r="J18" s="864"/>
      <c r="K18" s="864"/>
      <c r="L18" s="864"/>
      <c r="M18" s="864"/>
      <c r="N18" s="864"/>
      <c r="O18" s="864"/>
      <c r="P18" s="1158"/>
    </row>
    <row r="19" spans="2:16" hidden="1" outlineLevel="1">
      <c r="B19" s="1241"/>
      <c r="C19" s="866" t="s">
        <v>2160</v>
      </c>
      <c r="D19" s="864"/>
      <c r="E19" s="867"/>
      <c r="F19" s="867"/>
      <c r="G19" s="864"/>
      <c r="H19" s="864"/>
      <c r="I19" s="864"/>
      <c r="J19" s="864"/>
      <c r="K19" s="864"/>
      <c r="L19" s="864"/>
      <c r="M19" s="864"/>
      <c r="N19" s="864"/>
      <c r="O19" s="867" t="s">
        <v>1203</v>
      </c>
      <c r="P19" s="1158"/>
    </row>
    <row r="20" spans="2:16" ht="5.25" hidden="1" customHeight="1" outlineLevel="1">
      <c r="B20" s="1241"/>
      <c r="C20" s="864"/>
      <c r="D20" s="864"/>
      <c r="E20" s="864"/>
      <c r="F20" s="864"/>
      <c r="G20" s="864"/>
      <c r="H20" s="864"/>
      <c r="I20" s="864"/>
      <c r="J20" s="864"/>
      <c r="K20" s="864"/>
      <c r="L20" s="864"/>
      <c r="M20" s="864"/>
      <c r="N20" s="864"/>
      <c r="O20" s="864"/>
      <c r="P20" s="1158"/>
    </row>
    <row r="21" spans="2:16" ht="15.75" hidden="1" outlineLevel="1">
      <c r="B21" s="1239"/>
      <c r="C21" s="766" t="s">
        <v>1352</v>
      </c>
      <c r="D21" s="766" t="s">
        <v>79</v>
      </c>
      <c r="E21" s="766"/>
      <c r="F21" s="1541">
        <v>2007</v>
      </c>
      <c r="G21" s="924">
        <v>2010</v>
      </c>
      <c r="H21" s="923">
        <v>2015</v>
      </c>
      <c r="I21" s="923">
        <v>2020</v>
      </c>
      <c r="J21" s="923">
        <v>2025</v>
      </c>
      <c r="K21" s="923">
        <v>2030</v>
      </c>
      <c r="L21" s="923">
        <v>2035</v>
      </c>
      <c r="M21" s="923">
        <v>2040</v>
      </c>
      <c r="N21" s="923">
        <v>2045</v>
      </c>
      <c r="O21" s="923">
        <v>2050</v>
      </c>
      <c r="P21" s="1158"/>
    </row>
    <row r="22" spans="2:16" ht="15.75" hidden="1" outlineLevel="1">
      <c r="B22" s="1239"/>
      <c r="C22" s="831">
        <v>1</v>
      </c>
      <c r="D22" s="832" t="s">
        <v>1448</v>
      </c>
      <c r="E22" s="833"/>
      <c r="F22" s="2359">
        <v>76.599999999999994</v>
      </c>
      <c r="G22" s="2360">
        <f>F22*1.015^3</f>
        <v>80.098963524999959</v>
      </c>
      <c r="H22" s="2360">
        <f>G22*1.015^5</f>
        <v>86.289332133200404</v>
      </c>
      <c r="I22" s="2360">
        <f>H22*1.015^5</f>
        <v>92.958117212962733</v>
      </c>
      <c r="J22" s="2360">
        <f t="shared" ref="J22:O22" si="2">I22*1.01^5</f>
        <v>97.699915429197631</v>
      </c>
      <c r="K22" s="2360">
        <f t="shared" si="2"/>
        <v>102.68359301000676</v>
      </c>
      <c r="L22" s="2360">
        <f t="shared" si="2"/>
        <v>107.9214882338952</v>
      </c>
      <c r="M22" s="2360">
        <f t="shared" si="2"/>
        <v>113.42656875557275</v>
      </c>
      <c r="N22" s="2360">
        <f t="shared" si="2"/>
        <v>119.2124637104656</v>
      </c>
      <c r="O22" s="2360">
        <f t="shared" si="2"/>
        <v>125.29349745688087</v>
      </c>
      <c r="P22" s="1158"/>
    </row>
    <row r="23" spans="2:16" ht="15.75" hidden="1" outlineLevel="1">
      <c r="B23" s="1239"/>
      <c r="C23" s="831">
        <v>2</v>
      </c>
      <c r="D23" s="832" t="s">
        <v>1448</v>
      </c>
      <c r="E23" s="832"/>
      <c r="F23" s="2361">
        <v>76.599999999999994</v>
      </c>
      <c r="G23" s="2360">
        <f>F23*1.0075^3</f>
        <v>78.336458565625023</v>
      </c>
      <c r="H23" s="2360">
        <f>G23*1.0075^5</f>
        <v>81.318471742879936</v>
      </c>
      <c r="I23" s="2360">
        <f>H23*1.0075^5</f>
        <v>84.41400042430935</v>
      </c>
      <c r="J23" s="2360">
        <f t="shared" ref="J23:O23" si="3">I23*1.005^5</f>
        <v>86.545559716581167</v>
      </c>
      <c r="K23" s="2360">
        <f t="shared" si="3"/>
        <v>88.730943552099745</v>
      </c>
      <c r="L23" s="2360">
        <f t="shared" si="3"/>
        <v>90.971511068031106</v>
      </c>
      <c r="M23" s="2360">
        <f t="shared" si="3"/>
        <v>93.268655721457904</v>
      </c>
      <c r="N23" s="2360">
        <f t="shared" si="3"/>
        <v>95.623806156000299</v>
      </c>
      <c r="O23" s="2360">
        <f t="shared" si="3"/>
        <v>98.038427090320141</v>
      </c>
      <c r="P23" s="1158"/>
    </row>
    <row r="24" spans="2:16" ht="15.75" hidden="1" outlineLevel="1">
      <c r="B24" s="1239"/>
      <c r="C24" s="769">
        <v>3</v>
      </c>
      <c r="D24" s="770" t="s">
        <v>1448</v>
      </c>
      <c r="E24" s="770"/>
      <c r="F24" s="2362">
        <v>76.599999999999994</v>
      </c>
      <c r="G24" s="2363">
        <v>76.599999999999994</v>
      </c>
      <c r="H24" s="2363">
        <v>76.599999999999994</v>
      </c>
      <c r="I24" s="2363">
        <v>76.599999999999994</v>
      </c>
      <c r="J24" s="2363">
        <v>76.599999999999994</v>
      </c>
      <c r="K24" s="2363">
        <v>76.599999999999994</v>
      </c>
      <c r="L24" s="2363">
        <v>76.599999999999994</v>
      </c>
      <c r="M24" s="2363">
        <v>76.599999999999994</v>
      </c>
      <c r="N24" s="2363">
        <v>76.599999999999994</v>
      </c>
      <c r="O24" s="2363">
        <v>76.599999999999994</v>
      </c>
      <c r="P24" s="1158"/>
    </row>
    <row r="25" spans="2:16" hidden="1" outlineLevel="1">
      <c r="B25" s="1241"/>
      <c r="C25" s="864"/>
      <c r="D25" s="868"/>
      <c r="E25" s="864"/>
      <c r="F25" s="864"/>
      <c r="G25" s="864"/>
      <c r="H25" s="864"/>
      <c r="I25" s="864"/>
      <c r="J25" s="864"/>
      <c r="K25" s="864"/>
      <c r="L25" s="864"/>
      <c r="M25" s="864"/>
      <c r="N25" s="864"/>
      <c r="O25" s="864"/>
      <c r="P25" s="1158"/>
    </row>
    <row r="26" spans="2:16" hidden="1" outlineLevel="1">
      <c r="B26" s="1241"/>
      <c r="C26" s="866" t="s">
        <v>2161</v>
      </c>
      <c r="D26" s="864"/>
      <c r="E26" s="867"/>
      <c r="F26" s="867"/>
      <c r="G26" s="864"/>
      <c r="H26" s="864"/>
      <c r="I26" s="864"/>
      <c r="J26" s="864"/>
      <c r="K26" s="864"/>
      <c r="L26" s="864"/>
      <c r="M26" s="864"/>
      <c r="N26" s="864"/>
      <c r="O26" s="867" t="s">
        <v>1203</v>
      </c>
      <c r="P26" s="1158"/>
    </row>
    <row r="27" spans="2:16" ht="5.25" hidden="1" customHeight="1" outlineLevel="1">
      <c r="B27" s="1241"/>
      <c r="C27" s="864"/>
      <c r="D27" s="864"/>
      <c r="E27" s="864"/>
      <c r="F27" s="864"/>
      <c r="G27" s="864"/>
      <c r="H27" s="864"/>
      <c r="I27" s="864"/>
      <c r="J27" s="864"/>
      <c r="K27" s="864"/>
      <c r="L27" s="864"/>
      <c r="M27" s="864"/>
      <c r="N27" s="864"/>
      <c r="O27" s="864"/>
      <c r="P27" s="1158"/>
    </row>
    <row r="28" spans="2:16" ht="15.75" hidden="1" outlineLevel="1">
      <c r="B28" s="1239"/>
      <c r="C28" s="766" t="s">
        <v>1352</v>
      </c>
      <c r="D28" s="766" t="s">
        <v>79</v>
      </c>
      <c r="E28" s="766"/>
      <c r="F28" s="1541">
        <v>2007</v>
      </c>
      <c r="G28" s="924">
        <v>2010</v>
      </c>
      <c r="H28" s="923">
        <v>2015</v>
      </c>
      <c r="I28" s="923">
        <v>2020</v>
      </c>
      <c r="J28" s="923">
        <v>2025</v>
      </c>
      <c r="K28" s="923">
        <v>2030</v>
      </c>
      <c r="L28" s="923">
        <v>2035</v>
      </c>
      <c r="M28" s="923">
        <v>2040</v>
      </c>
      <c r="N28" s="923">
        <v>2045</v>
      </c>
      <c r="O28" s="923">
        <v>2050</v>
      </c>
      <c r="P28" s="1158"/>
    </row>
    <row r="29" spans="2:16" ht="15.75" hidden="1" outlineLevel="1">
      <c r="B29" s="1239"/>
      <c r="C29" s="831">
        <v>1</v>
      </c>
      <c r="D29" s="832" t="s">
        <v>2167</v>
      </c>
      <c r="E29" s="833"/>
      <c r="F29" s="2364">
        <v>2.3218999999999999</v>
      </c>
      <c r="G29" s="2365">
        <f>F29*1.015^3</f>
        <v>2.4279606189124991</v>
      </c>
      <c r="H29" s="2365">
        <f>G29*1.015^5</f>
        <v>2.6156031368156407</v>
      </c>
      <c r="I29" s="2365">
        <f>H29*1.015^5</f>
        <v>2.8177474198012824</v>
      </c>
      <c r="J29" s="2365">
        <f t="shared" ref="J29:O29" si="4">I29*1.01^5</f>
        <v>2.9614808568544913</v>
      </c>
      <c r="K29" s="2365">
        <f t="shared" si="4"/>
        <v>3.1125461437328297</v>
      </c>
      <c r="L29" s="2365">
        <f t="shared" si="4"/>
        <v>3.271317278463203</v>
      </c>
      <c r="M29" s="2365">
        <f t="shared" si="4"/>
        <v>3.4381873367306062</v>
      </c>
      <c r="N29" s="2365">
        <f t="shared" si="4"/>
        <v>3.6135694450304197</v>
      </c>
      <c r="O29" s="2365">
        <f t="shared" si="4"/>
        <v>3.7978978034612503</v>
      </c>
      <c r="P29" s="1158"/>
    </row>
    <row r="30" spans="2:16" ht="15.75" hidden="1" outlineLevel="1">
      <c r="B30" s="1239"/>
      <c r="C30" s="831">
        <v>2</v>
      </c>
      <c r="D30" s="832" t="s">
        <v>2167</v>
      </c>
      <c r="E30" s="832"/>
      <c r="F30" s="2366">
        <v>2.3218999999999999</v>
      </c>
      <c r="G30" s="2365">
        <f>F30*1.0075^3</f>
        <v>2.3745355501765628</v>
      </c>
      <c r="H30" s="2365">
        <f>G30*1.0075^5</f>
        <v>2.4649263647492545</v>
      </c>
      <c r="I30" s="2365">
        <f>H30*1.0075^5</f>
        <v>2.5587580624700244</v>
      </c>
      <c r="J30" s="2365">
        <f t="shared" ref="J30:O30" si="5">I30*1.005^5</f>
        <v>2.6233699099990835</v>
      </c>
      <c r="K30" s="2365">
        <f t="shared" si="5"/>
        <v>2.6896132876451748</v>
      </c>
      <c r="L30" s="2365">
        <f t="shared" si="5"/>
        <v>2.7575293935882694</v>
      </c>
      <c r="M30" s="2365">
        <f t="shared" si="5"/>
        <v>2.8271604663140093</v>
      </c>
      <c r="N30" s="2365">
        <f t="shared" si="5"/>
        <v>2.8985498108827299</v>
      </c>
      <c r="O30" s="2365">
        <f t="shared" si="5"/>
        <v>2.9717418258618062</v>
      </c>
      <c r="P30" s="1158"/>
    </row>
    <row r="31" spans="2:16" ht="15.75" hidden="1" outlineLevel="1">
      <c r="B31" s="1239"/>
      <c r="C31" s="769">
        <v>3</v>
      </c>
      <c r="D31" s="770" t="s">
        <v>2167</v>
      </c>
      <c r="E31" s="770"/>
      <c r="F31" s="2367">
        <v>2.3218999999999999</v>
      </c>
      <c r="G31" s="2368">
        <v>2.3218999999999999</v>
      </c>
      <c r="H31" s="2368">
        <v>2.3218999999999999</v>
      </c>
      <c r="I31" s="2368">
        <v>2.3218999999999999</v>
      </c>
      <c r="J31" s="2368">
        <v>2.3218999999999999</v>
      </c>
      <c r="K31" s="2368">
        <v>2.3218999999999999</v>
      </c>
      <c r="L31" s="2368">
        <v>2.3218999999999999</v>
      </c>
      <c r="M31" s="2368">
        <v>2.3218999999999999</v>
      </c>
      <c r="N31" s="2368">
        <v>2.3218999999999999</v>
      </c>
      <c r="O31" s="2368">
        <v>2.3218999999999999</v>
      </c>
      <c r="P31" s="1158"/>
    </row>
    <row r="32" spans="2:16" hidden="1" outlineLevel="1">
      <c r="B32" s="1241"/>
      <c r="C32" s="864"/>
      <c r="D32" s="868"/>
      <c r="E32" s="864"/>
      <c r="F32" s="864"/>
      <c r="G32" s="864"/>
      <c r="H32" s="864"/>
      <c r="I32" s="864"/>
      <c r="J32" s="864"/>
      <c r="K32" s="864"/>
      <c r="L32" s="864"/>
      <c r="M32" s="864"/>
      <c r="N32" s="864"/>
      <c r="O32" s="864"/>
      <c r="P32" s="1158"/>
    </row>
    <row r="33" spans="2:18" hidden="1" outlineLevel="1">
      <c r="B33" s="1241"/>
      <c r="C33" s="866" t="s">
        <v>2172</v>
      </c>
      <c r="D33" s="864"/>
      <c r="E33" s="867"/>
      <c r="F33" s="867"/>
      <c r="G33" s="864"/>
      <c r="H33" s="864"/>
      <c r="I33" s="864"/>
      <c r="J33" s="864"/>
      <c r="K33" s="864"/>
      <c r="L33" s="864"/>
      <c r="M33" s="864"/>
      <c r="N33" s="864"/>
      <c r="O33" s="867" t="s">
        <v>1203</v>
      </c>
      <c r="P33" s="1158"/>
    </row>
    <row r="34" spans="2:18" ht="5.25" hidden="1" customHeight="1" outlineLevel="1">
      <c r="B34" s="1241"/>
      <c r="C34" s="864"/>
      <c r="D34" s="864"/>
      <c r="E34" s="864"/>
      <c r="F34" s="864"/>
      <c r="G34" s="864"/>
      <c r="H34" s="864"/>
      <c r="I34" s="864"/>
      <c r="J34" s="864"/>
      <c r="K34" s="864"/>
      <c r="L34" s="864"/>
      <c r="M34" s="864"/>
      <c r="N34" s="864"/>
      <c r="O34" s="864"/>
      <c r="P34" s="1158"/>
    </row>
    <row r="35" spans="2:18" ht="18" hidden="1" outlineLevel="1">
      <c r="B35" s="2358"/>
      <c r="C35" s="766" t="s">
        <v>1352</v>
      </c>
      <c r="D35" s="766" t="s">
        <v>79</v>
      </c>
      <c r="E35" s="766"/>
      <c r="F35" s="1541">
        <v>2007</v>
      </c>
      <c r="G35" s="924">
        <v>2010</v>
      </c>
      <c r="H35" s="923">
        <v>2015</v>
      </c>
      <c r="I35" s="923">
        <v>2020</v>
      </c>
      <c r="J35" s="923">
        <v>2025</v>
      </c>
      <c r="K35" s="923">
        <v>2030</v>
      </c>
      <c r="L35" s="923">
        <v>2035</v>
      </c>
      <c r="M35" s="923">
        <v>2040</v>
      </c>
      <c r="N35" s="923">
        <v>2045</v>
      </c>
      <c r="O35" s="923">
        <v>2050</v>
      </c>
      <c r="P35" s="1158"/>
    </row>
    <row r="36" spans="2:18" ht="18" hidden="1" outlineLevel="1">
      <c r="B36" s="2358"/>
      <c r="C36" s="831">
        <v>1</v>
      </c>
      <c r="D36" s="832" t="s">
        <v>1447</v>
      </c>
      <c r="E36" s="833"/>
      <c r="F36" s="2364">
        <v>1.3676360000000001</v>
      </c>
      <c r="G36" s="2365">
        <v>1.395660347191511</v>
      </c>
      <c r="H36" s="2365">
        <v>1.4432516709890608</v>
      </c>
      <c r="I36" s="2365">
        <v>1.4921002742497826</v>
      </c>
      <c r="J36" s="2365">
        <v>1.539777124363374</v>
      </c>
      <c r="K36" s="2365">
        <v>1.5830256268442755</v>
      </c>
      <c r="L36" s="2365">
        <v>1.621214461553147</v>
      </c>
      <c r="M36" s="2365">
        <v>1.6565425273466619</v>
      </c>
      <c r="N36" s="2365">
        <v>1.6902597017251573</v>
      </c>
      <c r="O36" s="2365">
        <v>1.7224027253405279</v>
      </c>
      <c r="P36" s="1158"/>
    </row>
    <row r="37" spans="2:18" ht="18" hidden="1" outlineLevel="1">
      <c r="B37" s="2358"/>
      <c r="C37" s="831">
        <v>2</v>
      </c>
      <c r="D37" s="832" t="s">
        <v>1447</v>
      </c>
      <c r="E37" s="832"/>
      <c r="F37" s="2366">
        <v>1.3676360000000001</v>
      </c>
      <c r="G37" s="2365">
        <v>1.395660347191511</v>
      </c>
      <c r="H37" s="2365">
        <v>1.4432516709890608</v>
      </c>
      <c r="I37" s="2365">
        <v>1.4921002742497826</v>
      </c>
      <c r="J37" s="2365">
        <v>1.539777124363374</v>
      </c>
      <c r="K37" s="2365">
        <v>1.5830256268442755</v>
      </c>
      <c r="L37" s="2365">
        <v>1.621214461553147</v>
      </c>
      <c r="M37" s="2365">
        <v>1.6565425273466619</v>
      </c>
      <c r="N37" s="2365">
        <v>1.6902597017251573</v>
      </c>
      <c r="O37" s="2365">
        <v>1.7224027253405279</v>
      </c>
      <c r="P37" s="1158"/>
    </row>
    <row r="38" spans="2:18" ht="18" hidden="1" outlineLevel="1">
      <c r="B38" s="2358"/>
      <c r="C38" s="769">
        <v>3</v>
      </c>
      <c r="D38" s="770" t="s">
        <v>1447</v>
      </c>
      <c r="E38" s="770"/>
      <c r="F38" s="2367">
        <v>1.3676360000000001</v>
      </c>
      <c r="G38" s="2368">
        <v>1.395660347191511</v>
      </c>
      <c r="H38" s="2368">
        <v>1.4432516709890608</v>
      </c>
      <c r="I38" s="2368">
        <v>1.4921002742497826</v>
      </c>
      <c r="J38" s="2368">
        <v>1.539777124363374</v>
      </c>
      <c r="K38" s="2368">
        <v>1.5830256268442755</v>
      </c>
      <c r="L38" s="2368">
        <v>1.621214461553147</v>
      </c>
      <c r="M38" s="2368">
        <v>1.6565425273466619</v>
      </c>
      <c r="N38" s="2368">
        <v>1.6902597017251573</v>
      </c>
      <c r="O38" s="2368">
        <v>1.7224027253405279</v>
      </c>
      <c r="P38" s="1158"/>
    </row>
    <row r="39" spans="2:18" hidden="1" outlineLevel="1">
      <c r="B39" s="1241"/>
      <c r="C39" s="864"/>
      <c r="D39" s="868"/>
      <c r="E39" s="864"/>
      <c r="F39" s="864"/>
      <c r="G39" s="864"/>
      <c r="H39" s="864"/>
      <c r="I39" s="864"/>
      <c r="J39" s="864"/>
      <c r="K39" s="864"/>
      <c r="L39" s="864"/>
      <c r="M39" s="864"/>
      <c r="N39" s="864"/>
      <c r="O39" s="864"/>
      <c r="P39" s="1158"/>
    </row>
    <row r="40" spans="2:18" ht="14.25" hidden="1" outlineLevel="1">
      <c r="B40" s="1241"/>
      <c r="C40" s="866" t="s">
        <v>2171</v>
      </c>
      <c r="D40" s="864"/>
      <c r="E40" s="867"/>
      <c r="F40" s="867"/>
      <c r="G40" s="864"/>
      <c r="H40" s="864"/>
      <c r="I40" s="864"/>
      <c r="J40" s="864"/>
      <c r="K40" s="864"/>
      <c r="L40" s="864"/>
      <c r="M40" s="864"/>
      <c r="N40" s="864"/>
      <c r="O40" s="867" t="s">
        <v>2170</v>
      </c>
      <c r="P40" s="1158"/>
    </row>
    <row r="41" spans="2:18" ht="5.25" hidden="1" customHeight="1" outlineLevel="1">
      <c r="B41" s="1241"/>
      <c r="C41" s="864"/>
      <c r="D41" s="864"/>
      <c r="E41" s="864"/>
      <c r="F41" s="864"/>
      <c r="G41" s="864"/>
      <c r="H41" s="864"/>
      <c r="I41" s="864"/>
      <c r="J41" s="864"/>
      <c r="K41" s="864"/>
      <c r="L41" s="864"/>
      <c r="M41" s="864"/>
      <c r="N41" s="864"/>
      <c r="O41" s="864"/>
      <c r="P41" s="1158"/>
    </row>
    <row r="42" spans="2:18" ht="15.75" hidden="1" outlineLevel="1">
      <c r="B42" s="1239"/>
      <c r="C42" s="766" t="s">
        <v>1352</v>
      </c>
      <c r="D42" s="766" t="s">
        <v>79</v>
      </c>
      <c r="E42" s="766"/>
      <c r="F42" s="1541">
        <v>2007</v>
      </c>
      <c r="G42" s="924">
        <v>2010</v>
      </c>
      <c r="H42" s="923">
        <v>2015</v>
      </c>
      <c r="I42" s="923">
        <v>2020</v>
      </c>
      <c r="J42" s="923">
        <v>2025</v>
      </c>
      <c r="K42" s="923">
        <v>2030</v>
      </c>
      <c r="L42" s="923">
        <v>2035</v>
      </c>
      <c r="M42" s="923">
        <v>2040</v>
      </c>
      <c r="N42" s="923">
        <v>2045</v>
      </c>
      <c r="O42" s="923">
        <v>2050</v>
      </c>
      <c r="P42" s="1158"/>
    </row>
    <row r="43" spans="2:18" ht="15.75" hidden="1" outlineLevel="1">
      <c r="B43" s="1239"/>
      <c r="C43" s="831">
        <v>1</v>
      </c>
      <c r="D43" s="832" t="s">
        <v>227</v>
      </c>
      <c r="E43" s="833"/>
      <c r="F43" s="2364">
        <v>3.9663246224836581</v>
      </c>
      <c r="G43" s="2365">
        <v>3.9910430182228076</v>
      </c>
      <c r="H43" s="2365">
        <v>3.9245155609743536</v>
      </c>
      <c r="I43" s="2365">
        <v>3.7805579154057103</v>
      </c>
      <c r="J43" s="2365">
        <v>3.685189321026388</v>
      </c>
      <c r="K43" s="2365">
        <v>3.6769976782219675</v>
      </c>
      <c r="L43" s="2365">
        <v>3.7257409269698547</v>
      </c>
      <c r="M43" s="2365">
        <v>3.8128061743725055</v>
      </c>
      <c r="N43" s="2365">
        <v>3.9327656513080376</v>
      </c>
      <c r="O43" s="2365">
        <v>4.0798287381014715</v>
      </c>
      <c r="P43" s="1158"/>
      <c r="R43"/>
    </row>
    <row r="44" spans="2:18" ht="15.75" hidden="1" outlineLevel="1">
      <c r="B44" s="1239"/>
      <c r="C44" s="831">
        <v>2</v>
      </c>
      <c r="D44" s="832" t="s">
        <v>227</v>
      </c>
      <c r="E44" s="832"/>
      <c r="F44" s="2366">
        <v>3.9663246224836581</v>
      </c>
      <c r="G44" s="2365">
        <v>3.984327501843441</v>
      </c>
      <c r="H44" s="2365">
        <v>3.8644474632833319</v>
      </c>
      <c r="I44" s="2365">
        <v>3.6472206820302522</v>
      </c>
      <c r="J44" s="2365">
        <v>3.450538199199872</v>
      </c>
      <c r="K44" s="2365">
        <v>3.2906292034691318</v>
      </c>
      <c r="L44" s="2365">
        <v>3.1420546986450217</v>
      </c>
      <c r="M44" s="2365">
        <v>2.9743001883759792</v>
      </c>
      <c r="N44" s="2365">
        <v>2.7981971561411343</v>
      </c>
      <c r="O44" s="2365">
        <v>2.6160341440345856</v>
      </c>
      <c r="P44" s="1158"/>
    </row>
    <row r="45" spans="2:18" ht="15.75" hidden="1" outlineLevel="1">
      <c r="B45" s="1239"/>
      <c r="C45" s="769">
        <v>3</v>
      </c>
      <c r="D45" s="770" t="s">
        <v>227</v>
      </c>
      <c r="E45" s="770"/>
      <c r="F45" s="2367">
        <v>3.9663246224836581</v>
      </c>
      <c r="G45" s="2368">
        <v>3.9081433511537265</v>
      </c>
      <c r="H45" s="2368">
        <v>3.5717528260760694</v>
      </c>
      <c r="I45" s="2368">
        <v>3.2228780818371865</v>
      </c>
      <c r="J45" s="2368">
        <v>3.0232298573410574</v>
      </c>
      <c r="K45" s="2368">
        <v>2.8225286222729404</v>
      </c>
      <c r="L45" s="2368">
        <v>2.6143862123435571</v>
      </c>
      <c r="M45" s="2368">
        <v>2.3922004976349482</v>
      </c>
      <c r="N45" s="2368">
        <v>2.1502580350825031</v>
      </c>
      <c r="O45" s="2368">
        <v>1.899690843371739</v>
      </c>
      <c r="P45" s="1158"/>
    </row>
    <row r="46" spans="2:18" hidden="1" outlineLevel="1">
      <c r="B46" s="1241"/>
      <c r="C46" s="864"/>
      <c r="D46" s="868"/>
      <c r="E46" s="864"/>
      <c r="F46" s="864"/>
      <c r="G46" s="864"/>
      <c r="H46" s="864"/>
      <c r="I46" s="864"/>
      <c r="J46" s="864"/>
      <c r="K46" s="864"/>
      <c r="L46" s="864"/>
      <c r="M46" s="864"/>
      <c r="N46" s="864"/>
      <c r="O46" s="864"/>
      <c r="P46" s="1158"/>
    </row>
    <row r="47" spans="2:18" hidden="1" outlineLevel="1">
      <c r="B47" s="1241"/>
      <c r="C47" s="864"/>
      <c r="D47" s="868"/>
      <c r="E47" s="864"/>
      <c r="F47" s="864"/>
      <c r="G47" s="864"/>
      <c r="H47" s="864"/>
      <c r="I47" s="864"/>
      <c r="J47" s="864"/>
      <c r="K47" s="864"/>
      <c r="L47" s="864"/>
      <c r="M47" s="864"/>
      <c r="N47" s="864"/>
      <c r="O47" s="864"/>
      <c r="P47" s="1158"/>
    </row>
    <row r="48" spans="2:18" hidden="1" outlineLevel="1">
      <c r="B48" s="2370"/>
      <c r="C48" s="1221"/>
      <c r="D48" s="2371"/>
      <c r="E48" s="1221"/>
      <c r="F48" s="1221"/>
      <c r="G48" s="1221"/>
      <c r="H48" s="1221"/>
      <c r="I48" s="1221"/>
      <c r="J48" s="1221"/>
      <c r="K48" s="1221"/>
      <c r="L48" s="1221"/>
      <c r="M48" s="1221"/>
      <c r="N48" s="1221"/>
      <c r="O48" s="1221"/>
      <c r="P48" s="1222"/>
    </row>
    <row r="49" spans="2:16" hidden="1" outlineLevel="1">
      <c r="B49" s="1241"/>
      <c r="C49" s="866" t="s">
        <v>2173</v>
      </c>
      <c r="D49" s="868"/>
      <c r="E49" s="864"/>
      <c r="F49" s="864"/>
      <c r="G49" s="864"/>
      <c r="H49" s="864"/>
      <c r="I49" s="864"/>
      <c r="J49" s="864"/>
      <c r="K49" s="864"/>
      <c r="L49" s="864"/>
      <c r="M49" s="864"/>
      <c r="N49" s="864"/>
      <c r="O49" s="864"/>
      <c r="P49" s="1158"/>
    </row>
    <row r="50" spans="2:16" hidden="1" outlineLevel="1">
      <c r="B50" s="1241"/>
      <c r="C50" s="864"/>
      <c r="D50" s="868"/>
      <c r="E50" s="864"/>
      <c r="F50" s="864"/>
      <c r="G50" s="864"/>
      <c r="H50" s="864"/>
      <c r="I50" s="864"/>
      <c r="J50" s="864"/>
      <c r="K50" s="864"/>
      <c r="L50" s="864"/>
      <c r="M50" s="864"/>
      <c r="N50" s="864"/>
      <c r="O50" s="864"/>
      <c r="P50" s="1158"/>
    </row>
    <row r="51" spans="2:16" hidden="1" outlineLevel="1">
      <c r="B51" s="1241"/>
      <c r="C51" s="866" t="s">
        <v>1912</v>
      </c>
      <c r="D51" s="868"/>
      <c r="E51" s="864"/>
      <c r="F51" s="864"/>
      <c r="G51" s="864"/>
      <c r="H51" s="864"/>
      <c r="I51" s="864"/>
      <c r="J51" s="864"/>
      <c r="K51" s="864"/>
      <c r="L51" s="864"/>
      <c r="M51" s="864"/>
      <c r="N51" s="864"/>
      <c r="O51" s="867" t="s">
        <v>2165</v>
      </c>
      <c r="P51" s="1158"/>
    </row>
    <row r="52" spans="2:16" ht="5.25" hidden="1" customHeight="1" outlineLevel="1">
      <c r="B52" s="1241"/>
      <c r="C52" s="864"/>
      <c r="D52" s="864"/>
      <c r="E52" s="864"/>
      <c r="F52" s="864"/>
      <c r="G52" s="864"/>
      <c r="H52" s="864"/>
      <c r="I52" s="864"/>
      <c r="J52" s="864"/>
      <c r="K52" s="864"/>
      <c r="L52" s="864"/>
      <c r="M52" s="864"/>
      <c r="N52" s="864"/>
      <c r="O52" s="864"/>
      <c r="P52" s="1158"/>
    </row>
    <row r="53" spans="2:16" ht="15.75" hidden="1" outlineLevel="1">
      <c r="B53" s="1239"/>
      <c r="C53" s="766" t="s">
        <v>2162</v>
      </c>
      <c r="D53" s="766" t="s">
        <v>79</v>
      </c>
      <c r="E53" s="766"/>
      <c r="F53" s="1541">
        <v>2007</v>
      </c>
      <c r="G53" s="924">
        <v>2010</v>
      </c>
      <c r="H53" s="923">
        <v>2015</v>
      </c>
      <c r="I53" s="923">
        <v>2020</v>
      </c>
      <c r="J53" s="923">
        <v>2025</v>
      </c>
      <c r="K53" s="923">
        <v>2030</v>
      </c>
      <c r="L53" s="923">
        <v>2035</v>
      </c>
      <c r="M53" s="923">
        <v>2040</v>
      </c>
      <c r="N53" s="923">
        <v>2045</v>
      </c>
      <c r="O53" s="923">
        <v>2050</v>
      </c>
      <c r="P53" s="1158"/>
    </row>
    <row r="54" spans="2:16" ht="15.75" hidden="1" outlineLevel="1">
      <c r="B54" s="1239"/>
      <c r="C54" s="831" t="s">
        <v>1437</v>
      </c>
      <c r="D54" s="832" t="s">
        <v>2164</v>
      </c>
      <c r="E54" s="833"/>
      <c r="F54" s="1703">
        <v>0.37023558973069054</v>
      </c>
      <c r="G54" s="1702">
        <v>0.4455732577907669</v>
      </c>
      <c r="H54" s="1702">
        <v>0.47319490703321587</v>
      </c>
      <c r="I54" s="1702">
        <v>0.50012040256143475</v>
      </c>
      <c r="J54" s="1702">
        <v>0.50012040256143486</v>
      </c>
      <c r="K54" s="1702">
        <v>0.50012040256143475</v>
      </c>
      <c r="L54" s="1702">
        <v>0.50012040256143475</v>
      </c>
      <c r="M54" s="1702">
        <v>0.50012040256143475</v>
      </c>
      <c r="N54" s="1702">
        <v>0.50012040256143486</v>
      </c>
      <c r="O54" s="1702">
        <v>0.50012040256143486</v>
      </c>
      <c r="P54" s="1158"/>
    </row>
    <row r="55" spans="2:16" ht="15.75" hidden="1" outlineLevel="1">
      <c r="B55" s="1239"/>
      <c r="C55" s="831" t="s">
        <v>1438</v>
      </c>
      <c r="D55" s="832" t="s">
        <v>2163</v>
      </c>
      <c r="E55" s="832"/>
      <c r="F55" s="2369">
        <v>0.53792425632289342</v>
      </c>
      <c r="G55" s="1702">
        <v>0.44117445706712027</v>
      </c>
      <c r="H55" s="1702">
        <v>0.36066547700610108</v>
      </c>
      <c r="I55" s="1702">
        <v>0.30441338271392115</v>
      </c>
      <c r="J55" s="1702">
        <v>0.30032919414715142</v>
      </c>
      <c r="K55" s="1702">
        <v>0.29624500558038164</v>
      </c>
      <c r="L55" s="1702">
        <v>0.29216081701361191</v>
      </c>
      <c r="M55" s="1702">
        <v>0.28807662844684212</v>
      </c>
      <c r="N55" s="1702">
        <v>0.28807662844684212</v>
      </c>
      <c r="O55" s="1702">
        <v>0.28807662844684218</v>
      </c>
      <c r="P55" s="1158"/>
    </row>
    <row r="56" spans="2:16" ht="15.75" hidden="1" outlineLevel="1">
      <c r="B56" s="1239"/>
      <c r="C56" s="769" t="s">
        <v>1439</v>
      </c>
      <c r="D56" s="770" t="s">
        <v>1454</v>
      </c>
      <c r="E56" s="770"/>
      <c r="F56" s="1704">
        <v>9.1840153946416023E-2</v>
      </c>
      <c r="G56" s="1705">
        <v>0.11325228514211286</v>
      </c>
      <c r="H56" s="1705">
        <v>0.16613961596068316</v>
      </c>
      <c r="I56" s="1705">
        <v>0.19546621472464401</v>
      </c>
      <c r="J56" s="1705">
        <v>0.1995504032914138</v>
      </c>
      <c r="K56" s="1705">
        <v>0.20363459185818356</v>
      </c>
      <c r="L56" s="1705">
        <v>0.20771878042495334</v>
      </c>
      <c r="M56" s="1705">
        <v>0.2118029689917231</v>
      </c>
      <c r="N56" s="1705">
        <v>0.21180296899172313</v>
      </c>
      <c r="O56" s="1705">
        <v>0.21180296899172313</v>
      </c>
      <c r="P56" s="1158"/>
    </row>
    <row r="57" spans="2:16" hidden="1" outlineLevel="1">
      <c r="B57" s="1241"/>
      <c r="C57" s="864"/>
      <c r="D57" s="868"/>
      <c r="E57" s="864"/>
      <c r="F57" s="1529">
        <f>SUM(F$54:F$56)</f>
        <v>1</v>
      </c>
      <c r="G57" s="1529">
        <f t="shared" ref="G57:O57" si="6">SUM(G$54:G$56)</f>
        <v>1</v>
      </c>
      <c r="H57" s="1529">
        <f t="shared" si="6"/>
        <v>1</v>
      </c>
      <c r="I57" s="1529">
        <f t="shared" si="6"/>
        <v>0.99999999999999989</v>
      </c>
      <c r="J57" s="1529">
        <f t="shared" si="6"/>
        <v>1</v>
      </c>
      <c r="K57" s="1529">
        <f t="shared" si="6"/>
        <v>0.99999999999999989</v>
      </c>
      <c r="L57" s="1529">
        <f t="shared" si="6"/>
        <v>1</v>
      </c>
      <c r="M57" s="1529">
        <f t="shared" si="6"/>
        <v>1</v>
      </c>
      <c r="N57" s="1529">
        <f t="shared" si="6"/>
        <v>1</v>
      </c>
      <c r="O57" s="1529">
        <f t="shared" si="6"/>
        <v>1.0000000000000002</v>
      </c>
      <c r="P57" s="1158"/>
    </row>
    <row r="58" spans="2:16" hidden="1" outlineLevel="1">
      <c r="B58" s="1241"/>
      <c r="C58" s="864"/>
      <c r="D58" s="868"/>
      <c r="E58" s="864"/>
      <c r="F58" s="864"/>
      <c r="G58" s="864"/>
      <c r="H58" s="864"/>
      <c r="I58" s="864"/>
      <c r="J58" s="864"/>
      <c r="K58" s="864"/>
      <c r="L58" s="864"/>
      <c r="M58" s="864"/>
      <c r="N58" s="864"/>
      <c r="O58" s="864"/>
      <c r="P58" s="1158"/>
    </row>
    <row r="59" spans="2:16" hidden="1" outlineLevel="1">
      <c r="B59" s="1241"/>
      <c r="C59" s="866" t="s">
        <v>1913</v>
      </c>
      <c r="D59" s="868"/>
      <c r="E59" s="864"/>
      <c r="F59" s="864"/>
      <c r="G59" s="864"/>
      <c r="H59" s="864"/>
      <c r="I59" s="864"/>
      <c r="J59" s="864"/>
      <c r="K59" s="864"/>
      <c r="L59" s="864"/>
      <c r="M59" s="864"/>
      <c r="N59" s="864"/>
      <c r="O59" s="867" t="s">
        <v>2165</v>
      </c>
      <c r="P59" s="1158"/>
    </row>
    <row r="60" spans="2:16" ht="5.25" hidden="1" customHeight="1" outlineLevel="1">
      <c r="B60" s="1241"/>
      <c r="C60" s="864"/>
      <c r="D60" s="864"/>
      <c r="E60" s="864"/>
      <c r="F60" s="864"/>
      <c r="G60" s="864"/>
      <c r="H60" s="864"/>
      <c r="I60" s="864"/>
      <c r="J60" s="864"/>
      <c r="K60" s="864"/>
      <c r="L60" s="864"/>
      <c r="M60" s="864"/>
      <c r="N60" s="864"/>
      <c r="O60" s="864"/>
      <c r="P60" s="1158"/>
    </row>
    <row r="61" spans="2:16" ht="15.75" hidden="1" outlineLevel="1">
      <c r="B61" s="1239"/>
      <c r="C61" s="766" t="s">
        <v>2162</v>
      </c>
      <c r="D61" s="766" t="s">
        <v>79</v>
      </c>
      <c r="E61" s="766"/>
      <c r="F61" s="1541">
        <v>2007</v>
      </c>
      <c r="G61" s="924">
        <v>2010</v>
      </c>
      <c r="H61" s="923">
        <v>2015</v>
      </c>
      <c r="I61" s="923">
        <v>2020</v>
      </c>
      <c r="J61" s="923">
        <v>2025</v>
      </c>
      <c r="K61" s="923">
        <v>2030</v>
      </c>
      <c r="L61" s="923">
        <v>2035</v>
      </c>
      <c r="M61" s="923">
        <v>2040</v>
      </c>
      <c r="N61" s="923">
        <v>2045</v>
      </c>
      <c r="O61" s="923">
        <v>2050</v>
      </c>
      <c r="P61" s="1158"/>
    </row>
    <row r="62" spans="2:16" ht="15.75" hidden="1" outlineLevel="1">
      <c r="B62" s="1239"/>
      <c r="C62" s="831" t="s">
        <v>1437</v>
      </c>
      <c r="D62" s="832" t="s">
        <v>2164</v>
      </c>
      <c r="E62" s="833"/>
      <c r="F62" s="1703">
        <v>0.37023558973069054</v>
      </c>
      <c r="G62" s="1702">
        <v>0.44031846433524857</v>
      </c>
      <c r="H62" s="1702">
        <v>0.47144330921470978</v>
      </c>
      <c r="I62" s="1702">
        <v>0.50012040256143486</v>
      </c>
      <c r="J62" s="1702">
        <v>0.52483388580138068</v>
      </c>
      <c r="K62" s="1702">
        <v>0.54954736904132651</v>
      </c>
      <c r="L62" s="1702">
        <v>0.57527028132335523</v>
      </c>
      <c r="M62" s="1702">
        <v>0.59998376456330094</v>
      </c>
      <c r="N62" s="1702">
        <v>0.62206985107548773</v>
      </c>
      <c r="O62" s="1702">
        <v>0.64327939990448701</v>
      </c>
      <c r="P62" s="1158"/>
    </row>
    <row r="63" spans="2:16" ht="15.75" hidden="1" outlineLevel="1">
      <c r="B63" s="1239"/>
      <c r="C63" s="831" t="s">
        <v>1438</v>
      </c>
      <c r="D63" s="832" t="s">
        <v>2163</v>
      </c>
      <c r="E63" s="832"/>
      <c r="F63" s="2369">
        <v>0.53792425632289342</v>
      </c>
      <c r="G63" s="1702">
        <v>0.39219708729581465</v>
      </c>
      <c r="H63" s="1702">
        <v>0.28338585371044811</v>
      </c>
      <c r="I63" s="1702">
        <v>0.22996980701289954</v>
      </c>
      <c r="J63" s="1702">
        <v>0.19551312686947186</v>
      </c>
      <c r="K63" s="1702">
        <v>0.16415542748186263</v>
      </c>
      <c r="L63" s="1702">
        <v>0.12981056605034738</v>
      </c>
      <c r="M63" s="1702">
        <v>9.8452866662738295E-2</v>
      </c>
      <c r="N63" s="1702">
        <v>7.1246724988764512E-2</v>
      </c>
      <c r="O63" s="1702">
        <v>4.8598396332866951E-2</v>
      </c>
      <c r="P63" s="1158"/>
    </row>
    <row r="64" spans="2:16" ht="15.75" hidden="1" outlineLevel="1">
      <c r="B64" s="1239"/>
      <c r="C64" s="769" t="s">
        <v>1439</v>
      </c>
      <c r="D64" s="770" t="s">
        <v>1454</v>
      </c>
      <c r="E64" s="770"/>
      <c r="F64" s="1704">
        <v>9.1840153946416023E-2</v>
      </c>
      <c r="G64" s="1705">
        <v>0.16748444836893667</v>
      </c>
      <c r="H64" s="1705">
        <v>0.24517083707484216</v>
      </c>
      <c r="I64" s="1705">
        <v>0.26990979042566571</v>
      </c>
      <c r="J64" s="1705">
        <v>0.27965298732914762</v>
      </c>
      <c r="K64" s="1705">
        <v>0.28629720347681087</v>
      </c>
      <c r="L64" s="1705">
        <v>0.29491915262629742</v>
      </c>
      <c r="M64" s="1705">
        <v>0.30156336877396067</v>
      </c>
      <c r="N64" s="1705">
        <v>0.30668342393574777</v>
      </c>
      <c r="O64" s="1705">
        <v>0.30812220376264604</v>
      </c>
      <c r="P64" s="1158"/>
    </row>
    <row r="65" spans="2:16" hidden="1" outlineLevel="1">
      <c r="B65" s="1241"/>
      <c r="C65" s="864"/>
      <c r="D65" s="868"/>
      <c r="E65" s="864"/>
      <c r="F65" s="1529">
        <f>SUM(F$54:F$56)</f>
        <v>1</v>
      </c>
      <c r="G65" s="1529">
        <f t="shared" ref="G65:O65" si="7">SUM(G$54:G$56)</f>
        <v>1</v>
      </c>
      <c r="H65" s="1529">
        <f t="shared" si="7"/>
        <v>1</v>
      </c>
      <c r="I65" s="1529">
        <f t="shared" si="7"/>
        <v>0.99999999999999989</v>
      </c>
      <c r="J65" s="1529">
        <f t="shared" si="7"/>
        <v>1</v>
      </c>
      <c r="K65" s="1529">
        <f t="shared" si="7"/>
        <v>0.99999999999999989</v>
      </c>
      <c r="L65" s="1529">
        <f t="shared" si="7"/>
        <v>1</v>
      </c>
      <c r="M65" s="1529">
        <f t="shared" si="7"/>
        <v>1</v>
      </c>
      <c r="N65" s="1529">
        <f t="shared" si="7"/>
        <v>1</v>
      </c>
      <c r="O65" s="1529">
        <f t="shared" si="7"/>
        <v>1.0000000000000002</v>
      </c>
      <c r="P65" s="1158"/>
    </row>
    <row r="66" spans="2:16" hidden="1" outlineLevel="1">
      <c r="B66" s="1241"/>
      <c r="C66" s="864"/>
      <c r="D66" s="868"/>
      <c r="E66" s="864"/>
      <c r="F66" s="864"/>
      <c r="G66" s="864"/>
      <c r="H66" s="864"/>
      <c r="I66" s="864"/>
      <c r="J66" s="864"/>
      <c r="K66" s="864"/>
      <c r="L66" s="864"/>
      <c r="M66" s="864"/>
      <c r="N66" s="864"/>
      <c r="O66" s="864"/>
      <c r="P66" s="1158"/>
    </row>
    <row r="67" spans="2:16" hidden="1" outlineLevel="1">
      <c r="B67" s="1241"/>
      <c r="C67" s="866" t="s">
        <v>1914</v>
      </c>
      <c r="D67" s="868"/>
      <c r="E67" s="864"/>
      <c r="F67" s="864"/>
      <c r="G67" s="864"/>
      <c r="H67" s="864"/>
      <c r="I67" s="864"/>
      <c r="J67" s="864"/>
      <c r="K67" s="864"/>
      <c r="L67" s="864"/>
      <c r="M67" s="864"/>
      <c r="N67" s="864"/>
      <c r="O67" s="867" t="s">
        <v>2165</v>
      </c>
      <c r="P67" s="1158"/>
    </row>
    <row r="68" spans="2:16" ht="5.25" hidden="1" customHeight="1" outlineLevel="1">
      <c r="B68" s="1241"/>
      <c r="C68" s="864"/>
      <c r="D68" s="864"/>
      <c r="E68" s="864"/>
      <c r="F68" s="864"/>
      <c r="G68" s="864"/>
      <c r="H68" s="864"/>
      <c r="I68" s="864"/>
      <c r="J68" s="864"/>
      <c r="K68" s="864"/>
      <c r="L68" s="864"/>
      <c r="M68" s="864"/>
      <c r="N68" s="864"/>
      <c r="O68" s="864"/>
      <c r="P68" s="1158"/>
    </row>
    <row r="69" spans="2:16" ht="15.75" hidden="1" outlineLevel="1">
      <c r="B69" s="1239"/>
      <c r="C69" s="766" t="s">
        <v>2162</v>
      </c>
      <c r="D69" s="766" t="s">
        <v>79</v>
      </c>
      <c r="E69" s="766"/>
      <c r="F69" s="1541">
        <v>2007</v>
      </c>
      <c r="G69" s="924">
        <v>2010</v>
      </c>
      <c r="H69" s="923">
        <v>2015</v>
      </c>
      <c r="I69" s="923">
        <v>2020</v>
      </c>
      <c r="J69" s="923">
        <v>2025</v>
      </c>
      <c r="K69" s="923">
        <v>2030</v>
      </c>
      <c r="L69" s="923">
        <v>2035</v>
      </c>
      <c r="M69" s="923">
        <v>2040</v>
      </c>
      <c r="N69" s="923">
        <v>2045</v>
      </c>
      <c r="O69" s="923">
        <v>2050</v>
      </c>
      <c r="P69" s="1158"/>
    </row>
    <row r="70" spans="2:16" ht="15.75" hidden="1" outlineLevel="1">
      <c r="B70" s="1239"/>
      <c r="C70" s="831" t="s">
        <v>1437</v>
      </c>
      <c r="D70" s="832" t="s">
        <v>2164</v>
      </c>
      <c r="E70" s="833"/>
      <c r="F70" s="1703">
        <v>0.37023558973069054</v>
      </c>
      <c r="G70" s="1702">
        <v>0.44894006168762352</v>
      </c>
      <c r="H70" s="1702">
        <v>0.53613304614962454</v>
      </c>
      <c r="I70" s="1702">
        <v>0.61093297473481101</v>
      </c>
      <c r="J70" s="1702">
        <v>0.64062271606718957</v>
      </c>
      <c r="K70" s="1702">
        <v>0.67643020916976759</v>
      </c>
      <c r="L70" s="1702">
        <v>0.7122377022723454</v>
      </c>
      <c r="M70" s="1702">
        <v>0.74804519537492342</v>
      </c>
      <c r="N70" s="1702">
        <v>0.77261848746590855</v>
      </c>
      <c r="O70" s="1702">
        <v>0.80014678734480249</v>
      </c>
      <c r="P70" s="1158"/>
    </row>
    <row r="71" spans="2:16" ht="15.75" hidden="1" outlineLevel="1">
      <c r="B71" s="1239"/>
      <c r="C71" s="831" t="s">
        <v>1438</v>
      </c>
      <c r="D71" s="832" t="s">
        <v>2163</v>
      </c>
      <c r="E71" s="832"/>
      <c r="F71" s="2369">
        <v>0.53792425632289342</v>
      </c>
      <c r="G71" s="1702">
        <v>0.4046692447531659</v>
      </c>
      <c r="H71" s="1702">
        <v>0.28562039860371724</v>
      </c>
      <c r="I71" s="1702">
        <v>0.20555056687707068</v>
      </c>
      <c r="J71" s="1702">
        <v>0.17177663697792211</v>
      </c>
      <c r="K71" s="1702">
        <v>0.13188495530857441</v>
      </c>
      <c r="L71" s="1702">
        <v>9.1993273639226783E-2</v>
      </c>
      <c r="M71" s="1702">
        <v>5.2101591969879131E-2</v>
      </c>
      <c r="N71" s="1702">
        <v>2.7528299878893835E-2</v>
      </c>
      <c r="O71" s="1702">
        <v>0</v>
      </c>
      <c r="P71" s="1158"/>
    </row>
    <row r="72" spans="2:16" ht="15.75" hidden="1" outlineLevel="1">
      <c r="B72" s="1239"/>
      <c r="C72" s="769" t="s">
        <v>1439</v>
      </c>
      <c r="D72" s="770" t="s">
        <v>1454</v>
      </c>
      <c r="E72" s="770"/>
      <c r="F72" s="1704">
        <v>9.1840153946416023E-2</v>
      </c>
      <c r="G72" s="1705">
        <v>0.14639069355921053</v>
      </c>
      <c r="H72" s="1705">
        <v>0.17824655524665814</v>
      </c>
      <c r="I72" s="1705">
        <v>0.18351645838811842</v>
      </c>
      <c r="J72" s="1705">
        <v>0.18760064695488821</v>
      </c>
      <c r="K72" s="1705">
        <v>0.19168483552165796</v>
      </c>
      <c r="L72" s="1705">
        <v>0.19576902408842775</v>
      </c>
      <c r="M72" s="1705">
        <v>0.19985321265519751</v>
      </c>
      <c r="N72" s="1705">
        <v>0.19985321265519751</v>
      </c>
      <c r="O72" s="1705">
        <v>0.19985321265519751</v>
      </c>
      <c r="P72" s="1158"/>
    </row>
    <row r="73" spans="2:16" hidden="1" outlineLevel="1">
      <c r="B73" s="1241"/>
      <c r="C73" s="864"/>
      <c r="D73" s="868"/>
      <c r="E73" s="864"/>
      <c r="F73" s="1529">
        <f>SUM(F$54:F$56)</f>
        <v>1</v>
      </c>
      <c r="G73" s="1529">
        <f t="shared" ref="G73:O73" si="8">SUM(G$54:G$56)</f>
        <v>1</v>
      </c>
      <c r="H73" s="1529">
        <f t="shared" si="8"/>
        <v>1</v>
      </c>
      <c r="I73" s="1529">
        <f t="shared" si="8"/>
        <v>0.99999999999999989</v>
      </c>
      <c r="J73" s="1529">
        <f t="shared" si="8"/>
        <v>1</v>
      </c>
      <c r="K73" s="1529">
        <f t="shared" si="8"/>
        <v>0.99999999999999989</v>
      </c>
      <c r="L73" s="1529">
        <f t="shared" si="8"/>
        <v>1</v>
      </c>
      <c r="M73" s="1529">
        <f t="shared" si="8"/>
        <v>1</v>
      </c>
      <c r="N73" s="1529">
        <f t="shared" si="8"/>
        <v>1</v>
      </c>
      <c r="O73" s="1529">
        <f t="shared" si="8"/>
        <v>1.0000000000000002</v>
      </c>
      <c r="P73" s="1158"/>
    </row>
    <row r="74" spans="2:16" hidden="1" outlineLevel="1">
      <c r="B74" s="1241"/>
      <c r="C74" s="864"/>
      <c r="D74" s="868"/>
      <c r="E74" s="864"/>
      <c r="F74" s="864"/>
      <c r="G74" s="864"/>
      <c r="H74" s="864"/>
      <c r="I74" s="864"/>
      <c r="J74" s="864"/>
      <c r="K74" s="864"/>
      <c r="L74" s="864"/>
      <c r="M74" s="864"/>
      <c r="N74" s="864"/>
      <c r="O74" s="864"/>
      <c r="P74" s="1158"/>
    </row>
    <row r="75" spans="2:16" hidden="1" outlineLevel="1">
      <c r="B75" s="2370"/>
      <c r="C75" s="1221"/>
      <c r="D75" s="2371"/>
      <c r="E75" s="1221"/>
      <c r="F75" s="1221"/>
      <c r="G75" s="1221"/>
      <c r="H75" s="1221"/>
      <c r="I75" s="1221"/>
      <c r="J75" s="1221"/>
      <c r="K75" s="1221"/>
      <c r="L75" s="1221"/>
      <c r="M75" s="1221"/>
      <c r="N75" s="1221"/>
      <c r="O75" s="1221"/>
      <c r="P75" s="1222"/>
    </row>
    <row r="76" spans="2:16" hidden="1" outlineLevel="1">
      <c r="B76" s="1241"/>
      <c r="C76" s="866" t="s">
        <v>2192</v>
      </c>
      <c r="D76" s="868"/>
      <c r="E76" s="864"/>
      <c r="F76" s="864"/>
      <c r="G76" s="864"/>
      <c r="H76" s="864"/>
      <c r="I76" s="864"/>
      <c r="J76" s="864"/>
      <c r="K76" s="864"/>
      <c r="L76" s="864"/>
      <c r="M76" s="864"/>
      <c r="N76" s="864"/>
      <c r="O76" s="867" t="s">
        <v>2191</v>
      </c>
      <c r="P76" s="1158"/>
    </row>
    <row r="77" spans="2:16" ht="5.25" hidden="1" customHeight="1" outlineLevel="1">
      <c r="B77" s="1241"/>
      <c r="C77" s="864"/>
      <c r="D77" s="864"/>
      <c r="E77" s="864"/>
      <c r="F77" s="864"/>
      <c r="G77" s="864"/>
      <c r="H77" s="864"/>
      <c r="I77" s="864"/>
      <c r="J77" s="864"/>
      <c r="K77" s="864"/>
      <c r="L77" s="864"/>
      <c r="M77" s="864"/>
      <c r="N77" s="864"/>
      <c r="O77" s="864"/>
      <c r="P77" s="1158"/>
    </row>
    <row r="78" spans="2:16" ht="15.75" hidden="1" outlineLevel="1">
      <c r="B78" s="1239"/>
      <c r="C78" s="766" t="s">
        <v>1352</v>
      </c>
      <c r="D78" s="766" t="s">
        <v>79</v>
      </c>
      <c r="E78" s="766"/>
      <c r="F78" s="1541">
        <v>2007</v>
      </c>
      <c r="G78" s="924">
        <v>2010</v>
      </c>
      <c r="H78" s="923">
        <v>2015</v>
      </c>
      <c r="I78" s="923">
        <v>2020</v>
      </c>
      <c r="J78" s="923">
        <v>2025</v>
      </c>
      <c r="K78" s="923">
        <v>2030</v>
      </c>
      <c r="L78" s="923">
        <v>2035</v>
      </c>
      <c r="M78" s="923">
        <v>2040</v>
      </c>
      <c r="N78" s="923">
        <v>2045</v>
      </c>
      <c r="O78" s="923">
        <v>2050</v>
      </c>
      <c r="P78" s="1158"/>
    </row>
    <row r="79" spans="2:16" ht="15.75" hidden="1" outlineLevel="1">
      <c r="B79" s="1239"/>
      <c r="C79" s="831">
        <v>1</v>
      </c>
      <c r="D79" s="832" t="s">
        <v>2193</v>
      </c>
      <c r="E79" s="833"/>
      <c r="F79" s="1703">
        <v>0</v>
      </c>
      <c r="G79" s="1702">
        <v>0</v>
      </c>
      <c r="H79" s="1702">
        <v>0</v>
      </c>
      <c r="I79" s="1702">
        <v>0.25</v>
      </c>
      <c r="J79" s="1702">
        <v>0.8</v>
      </c>
      <c r="K79" s="1702">
        <v>0.8</v>
      </c>
      <c r="L79" s="1702">
        <v>0.8</v>
      </c>
      <c r="M79" s="1702">
        <v>0.8</v>
      </c>
      <c r="N79" s="1702">
        <v>0.8</v>
      </c>
      <c r="O79" s="1702">
        <v>0.8</v>
      </c>
      <c r="P79" s="1158"/>
    </row>
    <row r="80" spans="2:16" ht="15.75" hidden="1" outlineLevel="1">
      <c r="B80" s="1239"/>
      <c r="C80" s="831">
        <v>2</v>
      </c>
      <c r="D80" s="832" t="s">
        <v>2193</v>
      </c>
      <c r="E80" s="832"/>
      <c r="F80" s="2369">
        <v>0</v>
      </c>
      <c r="G80" s="1702">
        <v>0</v>
      </c>
      <c r="H80" s="1702">
        <v>0</v>
      </c>
      <c r="I80" s="1702">
        <v>0.25</v>
      </c>
      <c r="J80" s="1702">
        <v>0.8</v>
      </c>
      <c r="K80" s="1702">
        <v>0.8</v>
      </c>
      <c r="L80" s="1702">
        <v>0.8</v>
      </c>
      <c r="M80" s="1702">
        <v>0.8</v>
      </c>
      <c r="N80" s="1702">
        <v>0.8</v>
      </c>
      <c r="O80" s="1702">
        <v>0.8</v>
      </c>
      <c r="P80" s="1158"/>
    </row>
    <row r="81" spans="2:16" ht="15.75" hidden="1" outlineLevel="1">
      <c r="B81" s="1239"/>
      <c r="C81" s="769">
        <v>3</v>
      </c>
      <c r="D81" s="770" t="s">
        <v>2193</v>
      </c>
      <c r="E81" s="770"/>
      <c r="F81" s="1704">
        <v>0</v>
      </c>
      <c r="G81" s="1705">
        <v>0</v>
      </c>
      <c r="H81" s="1705">
        <v>0.4</v>
      </c>
      <c r="I81" s="1705">
        <v>0.8</v>
      </c>
      <c r="J81" s="2375">
        <f>$I81+($O81-$I81)/($O$78-$I$78)*(J$78-$I$78)</f>
        <v>0.81666666666666665</v>
      </c>
      <c r="K81" s="2375">
        <f>$I81+($O81-$I81)/($O$78-$I$78)*(K$78-$I$78)</f>
        <v>0.83333333333333337</v>
      </c>
      <c r="L81" s="2375">
        <f>$I81+($O81-$I81)/($O$78-$I$78)*(L$78-$I$78)</f>
        <v>0.85000000000000009</v>
      </c>
      <c r="M81" s="2375">
        <f>$I81+($O81-$I81)/($O$78-$I$78)*(M$78-$I$78)</f>
        <v>0.8666666666666667</v>
      </c>
      <c r="N81" s="2375">
        <f>$I81+($O81-$I81)/($O$78-$I$78)*(N$78-$I$78)</f>
        <v>0.8833333333333333</v>
      </c>
      <c r="O81" s="1705">
        <v>0.9</v>
      </c>
      <c r="P81" s="1158"/>
    </row>
    <row r="82" spans="2:16" hidden="1" outlineLevel="1">
      <c r="B82" s="1241"/>
      <c r="C82" s="831"/>
      <c r="D82" s="832"/>
      <c r="E82" s="832"/>
      <c r="F82" s="1702"/>
      <c r="G82" s="1702"/>
      <c r="H82" s="1702"/>
      <c r="I82" s="1702"/>
      <c r="J82" s="1702"/>
      <c r="K82" s="1702"/>
      <c r="L82" s="1702"/>
      <c r="M82" s="1702"/>
      <c r="N82" s="1702"/>
      <c r="O82" s="1702"/>
      <c r="P82" s="1158"/>
    </row>
    <row r="83" spans="2:16" hidden="1" outlineLevel="1">
      <c r="B83" s="1241"/>
      <c r="C83" s="866" t="s">
        <v>2186</v>
      </c>
      <c r="D83" s="868"/>
      <c r="E83" s="864"/>
      <c r="F83" s="864"/>
      <c r="G83" s="864"/>
      <c r="H83" s="864"/>
      <c r="I83" s="864"/>
      <c r="J83" s="864"/>
      <c r="K83" s="864"/>
      <c r="L83" s="864"/>
      <c r="M83" s="864"/>
      <c r="N83" s="864"/>
      <c r="O83" s="867" t="s">
        <v>2222</v>
      </c>
      <c r="P83" s="1158"/>
    </row>
    <row r="84" spans="2:16" ht="5.25" hidden="1" customHeight="1" outlineLevel="1">
      <c r="B84" s="1241"/>
      <c r="C84" s="864"/>
      <c r="D84" s="864"/>
      <c r="E84" s="864"/>
      <c r="F84" s="864"/>
      <c r="G84" s="864"/>
      <c r="H84" s="864"/>
      <c r="I84" s="864"/>
      <c r="J84" s="864"/>
      <c r="K84" s="864"/>
      <c r="L84" s="864"/>
      <c r="M84" s="864"/>
      <c r="N84" s="864"/>
      <c r="O84" s="864"/>
      <c r="P84" s="1158"/>
    </row>
    <row r="85" spans="2:16" ht="15.75" hidden="1" outlineLevel="1">
      <c r="B85" s="1239"/>
      <c r="C85" s="766" t="s">
        <v>1352</v>
      </c>
      <c r="D85" s="766" t="s">
        <v>79</v>
      </c>
      <c r="E85" s="766"/>
      <c r="F85" s="1541">
        <v>2007</v>
      </c>
      <c r="G85" s="924">
        <v>2010</v>
      </c>
      <c r="H85" s="923">
        <v>2015</v>
      </c>
      <c r="I85" s="923">
        <v>2020</v>
      </c>
      <c r="J85" s="923">
        <v>2025</v>
      </c>
      <c r="K85" s="923">
        <v>2030</v>
      </c>
      <c r="L85" s="923">
        <v>2035</v>
      </c>
      <c r="M85" s="923">
        <v>2040</v>
      </c>
      <c r="N85" s="923">
        <v>2045</v>
      </c>
      <c r="O85" s="923">
        <v>2050</v>
      </c>
      <c r="P85" s="1158"/>
    </row>
    <row r="86" spans="2:16" ht="15.75" hidden="1" outlineLevel="1">
      <c r="B86" s="1239"/>
      <c r="C86" s="831">
        <v>1</v>
      </c>
      <c r="D86" s="832" t="s">
        <v>2187</v>
      </c>
      <c r="E86" s="833"/>
      <c r="F86" s="1703">
        <v>0</v>
      </c>
      <c r="G86" s="1702">
        <v>0</v>
      </c>
      <c r="H86" s="1702">
        <v>0.1</v>
      </c>
      <c r="I86" s="1702">
        <v>0.2</v>
      </c>
      <c r="J86" s="1702">
        <v>0.4</v>
      </c>
      <c r="K86" s="1702">
        <v>0.6</v>
      </c>
      <c r="L86" s="1702">
        <v>0.8</v>
      </c>
      <c r="M86" s="1702">
        <v>1</v>
      </c>
      <c r="N86" s="1702">
        <v>1</v>
      </c>
      <c r="O86" s="1702">
        <v>1</v>
      </c>
      <c r="P86" s="1158"/>
    </row>
    <row r="87" spans="2:16" ht="15.75" hidden="1" outlineLevel="1">
      <c r="B87" s="1239"/>
      <c r="C87" s="831">
        <v>2</v>
      </c>
      <c r="D87" s="832" t="s">
        <v>2187</v>
      </c>
      <c r="E87" s="832"/>
      <c r="F87" s="2369">
        <v>0</v>
      </c>
      <c r="G87" s="1702">
        <v>0</v>
      </c>
      <c r="H87" s="1702">
        <v>0.1</v>
      </c>
      <c r="I87" s="1702">
        <v>0.2</v>
      </c>
      <c r="J87" s="1702">
        <v>0.4</v>
      </c>
      <c r="K87" s="1702">
        <v>0.6</v>
      </c>
      <c r="L87" s="1702">
        <v>0.8</v>
      </c>
      <c r="M87" s="1702">
        <v>1</v>
      </c>
      <c r="N87" s="1702">
        <v>1</v>
      </c>
      <c r="O87" s="1702">
        <v>1</v>
      </c>
      <c r="P87" s="1158"/>
    </row>
    <row r="88" spans="2:16" ht="15.75" hidden="1" outlineLevel="1">
      <c r="B88" s="1239"/>
      <c r="C88" s="769">
        <v>3</v>
      </c>
      <c r="D88" s="770" t="s">
        <v>2187</v>
      </c>
      <c r="E88" s="770"/>
      <c r="F88" s="1704">
        <v>0</v>
      </c>
      <c r="G88" s="1705">
        <v>0</v>
      </c>
      <c r="H88" s="1705">
        <v>0.1</v>
      </c>
      <c r="I88" s="1705">
        <v>0.2</v>
      </c>
      <c r="J88" s="1705">
        <v>0.4</v>
      </c>
      <c r="K88" s="1705">
        <v>0.6</v>
      </c>
      <c r="L88" s="1705">
        <v>0.8</v>
      </c>
      <c r="M88" s="1705">
        <v>1</v>
      </c>
      <c r="N88" s="1705">
        <v>1</v>
      </c>
      <c r="O88" s="1705">
        <v>1</v>
      </c>
      <c r="P88" s="1158"/>
    </row>
    <row r="89" spans="2:16" ht="15.75" hidden="1" outlineLevel="1">
      <c r="B89" s="1239"/>
      <c r="C89" s="864"/>
      <c r="D89" s="868"/>
      <c r="E89" s="864"/>
      <c r="F89" s="1529"/>
      <c r="G89" s="1529"/>
      <c r="H89" s="1529"/>
      <c r="I89" s="1529"/>
      <c r="J89" s="1529"/>
      <c r="K89" s="1529"/>
      <c r="L89" s="1529"/>
      <c r="M89" s="1529"/>
      <c r="N89" s="1529"/>
      <c r="O89" s="1529"/>
      <c r="P89" s="1158"/>
    </row>
    <row r="90" spans="2:16" ht="15.75" hidden="1" outlineLevel="1">
      <c r="B90" s="1239"/>
      <c r="C90" s="866" t="s">
        <v>2219</v>
      </c>
      <c r="D90" s="868"/>
      <c r="E90" s="864"/>
      <c r="F90" s="864"/>
      <c r="G90" s="864"/>
      <c r="H90" s="864"/>
      <c r="I90" s="864"/>
      <c r="J90" s="864"/>
      <c r="K90" s="864"/>
      <c r="L90" s="864"/>
      <c r="M90" s="864"/>
      <c r="N90" s="864"/>
      <c r="O90" s="867" t="s">
        <v>2221</v>
      </c>
      <c r="P90" s="1158"/>
    </row>
    <row r="91" spans="2:16" ht="5.25" hidden="1" customHeight="1" outlineLevel="1">
      <c r="B91" s="1239"/>
      <c r="C91" s="864"/>
      <c r="D91" s="864"/>
      <c r="E91" s="864"/>
      <c r="F91" s="864"/>
      <c r="G91" s="864"/>
      <c r="H91" s="864"/>
      <c r="I91" s="864"/>
      <c r="J91" s="864"/>
      <c r="K91" s="864"/>
      <c r="L91" s="864"/>
      <c r="M91" s="864"/>
      <c r="N91" s="864"/>
      <c r="O91" s="864"/>
      <c r="P91" s="1158"/>
    </row>
    <row r="92" spans="2:16" ht="15.75" hidden="1" outlineLevel="1">
      <c r="B92" s="1239"/>
      <c r="C92" s="766" t="s">
        <v>1352</v>
      </c>
      <c r="D92" s="766" t="s">
        <v>79</v>
      </c>
      <c r="E92" s="766"/>
      <c r="F92" s="1541">
        <v>2007</v>
      </c>
      <c r="G92" s="924">
        <v>2010</v>
      </c>
      <c r="H92" s="923">
        <v>2015</v>
      </c>
      <c r="I92" s="923">
        <v>2020</v>
      </c>
      <c r="J92" s="923">
        <v>2025</v>
      </c>
      <c r="K92" s="923">
        <v>2030</v>
      </c>
      <c r="L92" s="923">
        <v>2035</v>
      </c>
      <c r="M92" s="923">
        <v>2040</v>
      </c>
      <c r="N92" s="923">
        <v>2045</v>
      </c>
      <c r="O92" s="923">
        <v>2050</v>
      </c>
      <c r="P92" s="1158"/>
    </row>
    <row r="93" spans="2:16" ht="15.75" hidden="1" outlineLevel="1">
      <c r="B93" s="1239"/>
      <c r="C93" s="831">
        <v>1</v>
      </c>
      <c r="D93" s="832" t="s">
        <v>2220</v>
      </c>
      <c r="E93" s="833"/>
      <c r="F93" s="1703">
        <v>0.75</v>
      </c>
      <c r="G93" s="1702">
        <v>0.75</v>
      </c>
      <c r="H93" s="1702">
        <v>0.75</v>
      </c>
      <c r="I93" s="1702">
        <v>0.75</v>
      </c>
      <c r="J93" s="1702">
        <v>0.75</v>
      </c>
      <c r="K93" s="1702">
        <v>0.75</v>
      </c>
      <c r="L93" s="1702">
        <v>0.75</v>
      </c>
      <c r="M93" s="1702">
        <v>0.75</v>
      </c>
      <c r="N93" s="1702">
        <v>0.75</v>
      </c>
      <c r="O93" s="1702">
        <v>0.75</v>
      </c>
      <c r="P93" s="1158"/>
    </row>
    <row r="94" spans="2:16" ht="15.75" hidden="1" outlineLevel="1">
      <c r="B94" s="1239"/>
      <c r="C94" s="831">
        <v>2</v>
      </c>
      <c r="D94" s="832" t="s">
        <v>2220</v>
      </c>
      <c r="E94" s="832"/>
      <c r="F94" s="2369">
        <v>0.75</v>
      </c>
      <c r="G94" s="1702">
        <v>0.75</v>
      </c>
      <c r="H94" s="1702">
        <v>0.75</v>
      </c>
      <c r="I94" s="1702">
        <v>0.75</v>
      </c>
      <c r="J94" s="1702">
        <v>0.76</v>
      </c>
      <c r="K94" s="1702">
        <v>0.77</v>
      </c>
      <c r="L94" s="1702">
        <v>0.78</v>
      </c>
      <c r="M94" s="1702">
        <v>0.78</v>
      </c>
      <c r="N94" s="1702">
        <v>0.79</v>
      </c>
      <c r="O94" s="1702">
        <v>0.8</v>
      </c>
      <c r="P94" s="1158"/>
    </row>
    <row r="95" spans="2:16" ht="15.75" hidden="1" outlineLevel="1">
      <c r="B95" s="1239"/>
      <c r="C95" s="769">
        <v>3</v>
      </c>
      <c r="D95" s="770" t="s">
        <v>2220</v>
      </c>
      <c r="E95" s="770"/>
      <c r="F95" s="1704">
        <v>0.75</v>
      </c>
      <c r="G95" s="1705">
        <v>0.75</v>
      </c>
      <c r="H95" s="1705">
        <v>0.75</v>
      </c>
      <c r="I95" s="1705">
        <v>0.75</v>
      </c>
      <c r="J95" s="1705">
        <v>0.77</v>
      </c>
      <c r="K95" s="1705">
        <v>0.78</v>
      </c>
      <c r="L95" s="1705">
        <v>0.8</v>
      </c>
      <c r="M95" s="1705">
        <v>0.82</v>
      </c>
      <c r="N95" s="1705">
        <v>0.83</v>
      </c>
      <c r="O95" s="1705">
        <v>0.85</v>
      </c>
      <c r="P95" s="1158"/>
    </row>
    <row r="96" spans="2:16" ht="15.75" hidden="1" outlineLevel="1">
      <c r="B96" s="1239"/>
      <c r="C96" s="864"/>
      <c r="D96" s="868"/>
      <c r="E96" s="864"/>
      <c r="F96" s="1529"/>
      <c r="G96" s="1529"/>
      <c r="H96" s="1529"/>
      <c r="I96" s="1529"/>
      <c r="J96" s="1529"/>
      <c r="K96" s="1529"/>
      <c r="L96" s="1529"/>
      <c r="M96" s="1529"/>
      <c r="N96" s="1529"/>
      <c r="O96" s="1529"/>
      <c r="P96" s="1158"/>
    </row>
    <row r="97" spans="2:16" hidden="1" outlineLevel="1">
      <c r="B97" s="1241"/>
      <c r="C97" s="866" t="s">
        <v>2201</v>
      </c>
      <c r="D97" s="868"/>
      <c r="E97" s="864"/>
      <c r="F97" s="864"/>
      <c r="G97" s="864"/>
      <c r="H97" s="864"/>
      <c r="I97" s="864"/>
      <c r="J97" s="864"/>
      <c r="K97" s="864"/>
      <c r="L97" s="864"/>
      <c r="M97" s="864"/>
      <c r="N97" s="864"/>
      <c r="O97" s="867" t="s">
        <v>2199</v>
      </c>
      <c r="P97" s="1158"/>
    </row>
    <row r="98" spans="2:16" ht="5.25" hidden="1" customHeight="1" outlineLevel="1">
      <c r="B98" s="1241"/>
      <c r="C98" s="864"/>
      <c r="D98" s="864"/>
      <c r="E98" s="864"/>
      <c r="F98" s="864"/>
      <c r="G98" s="864"/>
      <c r="H98" s="864"/>
      <c r="I98" s="864"/>
      <c r="J98" s="864"/>
      <c r="K98" s="864"/>
      <c r="L98" s="864"/>
      <c r="M98" s="864"/>
      <c r="N98" s="864"/>
      <c r="O98" s="864"/>
      <c r="P98" s="1158"/>
    </row>
    <row r="99" spans="2:16" ht="15.75" hidden="1" outlineLevel="1">
      <c r="B99" s="1239"/>
      <c r="C99" s="766" t="s">
        <v>1352</v>
      </c>
      <c r="D99" s="766" t="s">
        <v>79</v>
      </c>
      <c r="E99" s="766"/>
      <c r="F99" s="1541">
        <v>2007</v>
      </c>
      <c r="G99" s="924">
        <v>2010</v>
      </c>
      <c r="H99" s="923">
        <v>2015</v>
      </c>
      <c r="I99" s="923">
        <v>2020</v>
      </c>
      <c r="J99" s="923">
        <v>2025</v>
      </c>
      <c r="K99" s="923">
        <v>2030</v>
      </c>
      <c r="L99" s="923">
        <v>2035</v>
      </c>
      <c r="M99" s="923">
        <v>2040</v>
      </c>
      <c r="N99" s="923">
        <v>2045</v>
      </c>
      <c r="O99" s="923">
        <v>2050</v>
      </c>
      <c r="P99" s="1158"/>
    </row>
    <row r="100" spans="2:16" ht="15.75" hidden="1" outlineLevel="1">
      <c r="B100" s="1239"/>
      <c r="C100" s="831">
        <v>1</v>
      </c>
      <c r="D100" s="832" t="s">
        <v>2198</v>
      </c>
      <c r="E100" s="833"/>
      <c r="F100" s="1703">
        <v>0.75</v>
      </c>
      <c r="G100" s="1702">
        <v>0.75</v>
      </c>
      <c r="H100" s="1702">
        <v>0.75</v>
      </c>
      <c r="I100" s="1702">
        <v>0.75</v>
      </c>
      <c r="J100" s="1702">
        <v>0.75</v>
      </c>
      <c r="K100" s="1702">
        <v>0.75</v>
      </c>
      <c r="L100" s="1702">
        <v>0.75</v>
      </c>
      <c r="M100" s="1702">
        <v>0.75</v>
      </c>
      <c r="N100" s="1702">
        <v>0.75</v>
      </c>
      <c r="O100" s="1702">
        <v>0.75</v>
      </c>
      <c r="P100" s="1158"/>
    </row>
    <row r="101" spans="2:16" ht="15.75" hidden="1" outlineLevel="1">
      <c r="B101" s="1239"/>
      <c r="C101" s="831">
        <v>2</v>
      </c>
      <c r="D101" s="832" t="s">
        <v>2198</v>
      </c>
      <c r="E101" s="832"/>
      <c r="F101" s="2369">
        <v>0.75</v>
      </c>
      <c r="G101" s="1702">
        <v>0.75</v>
      </c>
      <c r="H101" s="1702">
        <v>0.75</v>
      </c>
      <c r="I101" s="1702">
        <v>0.75</v>
      </c>
      <c r="J101" s="1702">
        <v>0.7583333333333333</v>
      </c>
      <c r="K101" s="1702">
        <v>0.76666666666666672</v>
      </c>
      <c r="L101" s="1702">
        <v>0.77500000000000002</v>
      </c>
      <c r="M101" s="1702">
        <v>0.78333333333333333</v>
      </c>
      <c r="N101" s="1702">
        <v>0.79166666666666674</v>
      </c>
      <c r="O101" s="1702">
        <v>0.8</v>
      </c>
      <c r="P101" s="1158"/>
    </row>
    <row r="102" spans="2:16" ht="15.75" hidden="1" outlineLevel="1">
      <c r="B102" s="1239"/>
      <c r="C102" s="769">
        <v>3</v>
      </c>
      <c r="D102" s="770" t="s">
        <v>2198</v>
      </c>
      <c r="E102" s="770"/>
      <c r="F102" s="1704">
        <v>0.75</v>
      </c>
      <c r="G102" s="1705">
        <v>0.75</v>
      </c>
      <c r="H102" s="1705">
        <v>0.75</v>
      </c>
      <c r="I102" s="1705">
        <v>0.75</v>
      </c>
      <c r="J102" s="1705">
        <v>0.76666666666666661</v>
      </c>
      <c r="K102" s="1705">
        <v>0.78333333333333333</v>
      </c>
      <c r="L102" s="1705">
        <v>0.8</v>
      </c>
      <c r="M102" s="1705">
        <v>0.81666666666666665</v>
      </c>
      <c r="N102" s="1705">
        <v>0.83333333333333326</v>
      </c>
      <c r="O102" s="1705">
        <v>0.85</v>
      </c>
      <c r="P102" s="1158"/>
    </row>
    <row r="103" spans="2:16" hidden="1" outlineLevel="1">
      <c r="B103" s="1241"/>
      <c r="C103" s="831"/>
      <c r="D103" s="832"/>
      <c r="E103" s="832"/>
      <c r="F103" s="847"/>
      <c r="G103" s="1091"/>
      <c r="H103" s="1091"/>
      <c r="I103" s="1091"/>
      <c r="J103" s="1091"/>
      <c r="K103" s="1091"/>
      <c r="L103" s="1091"/>
      <c r="M103" s="1091"/>
      <c r="N103" s="1091"/>
      <c r="O103" s="1091"/>
      <c r="P103" s="1158"/>
    </row>
    <row r="104" spans="2:16" hidden="1" outlineLevel="1">
      <c r="B104" s="1241"/>
      <c r="C104" s="866" t="s">
        <v>2208</v>
      </c>
      <c r="D104" s="868"/>
      <c r="E104" s="864"/>
      <c r="F104" s="864"/>
      <c r="G104" s="864"/>
      <c r="H104" s="864"/>
      <c r="I104" s="864"/>
      <c r="J104" s="864"/>
      <c r="K104" s="864"/>
      <c r="L104" s="864"/>
      <c r="M104" s="864"/>
      <c r="N104" s="864"/>
      <c r="O104" s="867" t="s">
        <v>2199</v>
      </c>
      <c r="P104" s="1158"/>
    </row>
    <row r="105" spans="2:16" ht="5.25" hidden="1" customHeight="1" outlineLevel="1">
      <c r="B105" s="1241"/>
      <c r="C105" s="864"/>
      <c r="D105" s="864"/>
      <c r="E105" s="864"/>
      <c r="F105" s="864"/>
      <c r="G105" s="864"/>
      <c r="H105" s="864"/>
      <c r="I105" s="864"/>
      <c r="J105" s="864"/>
      <c r="K105" s="864"/>
      <c r="L105" s="864"/>
      <c r="M105" s="864"/>
      <c r="N105" s="864"/>
      <c r="O105" s="864"/>
      <c r="P105" s="1158"/>
    </row>
    <row r="106" spans="2:16" ht="15.75" hidden="1" outlineLevel="1">
      <c r="B106" s="1239"/>
      <c r="C106" s="766" t="s">
        <v>1352</v>
      </c>
      <c r="D106" s="766" t="s">
        <v>79</v>
      </c>
      <c r="E106" s="766"/>
      <c r="F106" s="1541">
        <v>2007</v>
      </c>
      <c r="G106" s="924">
        <v>2010</v>
      </c>
      <c r="H106" s="923">
        <v>2015</v>
      </c>
      <c r="I106" s="923">
        <v>2020</v>
      </c>
      <c r="J106" s="923">
        <v>2025</v>
      </c>
      <c r="K106" s="923">
        <v>2030</v>
      </c>
      <c r="L106" s="923">
        <v>2035</v>
      </c>
      <c r="M106" s="923">
        <v>2040</v>
      </c>
      <c r="N106" s="923">
        <v>2045</v>
      </c>
      <c r="O106" s="923">
        <v>2050</v>
      </c>
      <c r="P106" s="1158"/>
    </row>
    <row r="107" spans="2:16" ht="15.75" hidden="1" outlineLevel="1">
      <c r="B107" s="1239"/>
      <c r="C107" s="831">
        <v>1</v>
      </c>
      <c r="D107" s="832" t="s">
        <v>2200</v>
      </c>
      <c r="E107" s="833"/>
      <c r="F107" s="1703">
        <v>0.4</v>
      </c>
      <c r="G107" s="2389">
        <f>$F107+($O107-F$107)/($O$106-$F$106)*(G$106-$F$106)</f>
        <v>0.4</v>
      </c>
      <c r="H107" s="2389">
        <f t="shared" ref="H107:N107" si="9">$F107+($O107-G$107)/($O$106-$F$106)*(H$106-$F$106)</f>
        <v>0.4</v>
      </c>
      <c r="I107" s="2389">
        <f t="shared" si="9"/>
        <v>0.4</v>
      </c>
      <c r="J107" s="2389">
        <f t="shared" si="9"/>
        <v>0.4</v>
      </c>
      <c r="K107" s="2389">
        <f t="shared" si="9"/>
        <v>0.4</v>
      </c>
      <c r="L107" s="2389">
        <f t="shared" si="9"/>
        <v>0.4</v>
      </c>
      <c r="M107" s="2389">
        <f t="shared" si="9"/>
        <v>0.4</v>
      </c>
      <c r="N107" s="2389">
        <f t="shared" si="9"/>
        <v>0.4</v>
      </c>
      <c r="O107" s="1702">
        <v>0.4</v>
      </c>
      <c r="P107" s="1158"/>
    </row>
    <row r="108" spans="2:16" ht="15.75" hidden="1" outlineLevel="1">
      <c r="B108" s="1239"/>
      <c r="C108" s="831">
        <v>2</v>
      </c>
      <c r="D108" s="832" t="s">
        <v>2200</v>
      </c>
      <c r="E108" s="832"/>
      <c r="F108" s="2369">
        <v>0.4</v>
      </c>
      <c r="G108" s="2389">
        <f t="shared" ref="G108:N108" si="10">$F108+($O108-F$107)/($O$106-$F$106)*(G$106-$F$106)</f>
        <v>0.41395348837209306</v>
      </c>
      <c r="H108" s="2389">
        <f t="shared" si="10"/>
        <v>0.43720930232558142</v>
      </c>
      <c r="I108" s="2389">
        <f t="shared" si="10"/>
        <v>0.46046511627906977</v>
      </c>
      <c r="J108" s="2389">
        <f t="shared" si="10"/>
        <v>0.48372093023255813</v>
      </c>
      <c r="K108" s="2389">
        <f t="shared" si="10"/>
        <v>0.50697674418604655</v>
      </c>
      <c r="L108" s="2389">
        <f t="shared" si="10"/>
        <v>0.53023255813953485</v>
      </c>
      <c r="M108" s="2389">
        <f t="shared" si="10"/>
        <v>0.55348837209302326</v>
      </c>
      <c r="N108" s="2389">
        <f t="shared" si="10"/>
        <v>0.57674418604651168</v>
      </c>
      <c r="O108" s="1702">
        <v>0.6</v>
      </c>
      <c r="P108" s="1158"/>
    </row>
    <row r="109" spans="2:16" ht="15.75" hidden="1" outlineLevel="1">
      <c r="B109" s="1239"/>
      <c r="C109" s="769">
        <v>3</v>
      </c>
      <c r="D109" s="770" t="s">
        <v>2200</v>
      </c>
      <c r="E109" s="770"/>
      <c r="F109" s="1704">
        <v>0.4</v>
      </c>
      <c r="G109" s="2375">
        <f t="shared" ref="G109:N109" si="11">$F109+($O109-F$107)/($O$106-$F$106)*(G$106-$F$106)</f>
        <v>0.4279069767441861</v>
      </c>
      <c r="H109" s="2375">
        <f t="shared" si="11"/>
        <v>0.47441860465116281</v>
      </c>
      <c r="I109" s="2375">
        <f t="shared" si="11"/>
        <v>0.52093023255813953</v>
      </c>
      <c r="J109" s="2375">
        <f t="shared" si="11"/>
        <v>0.56744186046511635</v>
      </c>
      <c r="K109" s="2375">
        <f t="shared" si="11"/>
        <v>0.61395348837209307</v>
      </c>
      <c r="L109" s="2375">
        <f t="shared" si="11"/>
        <v>0.66046511627906979</v>
      </c>
      <c r="M109" s="2375">
        <f t="shared" si="11"/>
        <v>0.7069767441860465</v>
      </c>
      <c r="N109" s="2375">
        <f t="shared" si="11"/>
        <v>0.75348837209302322</v>
      </c>
      <c r="O109" s="1705">
        <v>0.8</v>
      </c>
      <c r="P109" s="1158"/>
    </row>
    <row r="110" spans="2:16" ht="15.75" hidden="1" outlineLevel="1">
      <c r="B110" s="1239"/>
      <c r="C110" s="831"/>
      <c r="D110" s="832"/>
      <c r="E110" s="832"/>
      <c r="F110" s="1702"/>
      <c r="G110" s="1702"/>
      <c r="H110" s="1702"/>
      <c r="I110" s="1702"/>
      <c r="J110" s="1702"/>
      <c r="K110" s="1702"/>
      <c r="L110" s="1702"/>
      <c r="M110" s="1702"/>
      <c r="N110" s="1702"/>
      <c r="O110" s="1702"/>
      <c r="P110" s="1158"/>
    </row>
    <row r="111" spans="2:16" ht="15.75" hidden="1" outlineLevel="1">
      <c r="B111" s="1239"/>
      <c r="C111" s="869" t="s">
        <v>442</v>
      </c>
      <c r="D111" s="832"/>
      <c r="E111" s="832"/>
      <c r="F111" s="1702"/>
      <c r="G111" s="1702"/>
      <c r="H111" s="1702"/>
      <c r="I111" s="1702"/>
      <c r="J111" s="1702"/>
      <c r="K111" s="1702"/>
      <c r="L111" s="1702"/>
      <c r="M111" s="1702"/>
      <c r="N111" s="1702"/>
      <c r="O111" s="1702"/>
      <c r="P111" s="1158"/>
    </row>
    <row r="112" spans="2:16" ht="15.75" hidden="1" outlineLevel="1">
      <c r="B112" s="1239"/>
      <c r="C112" s="946" t="s">
        <v>109</v>
      </c>
      <c r="D112" s="832" t="s">
        <v>2209</v>
      </c>
      <c r="E112" s="832"/>
      <c r="F112" s="1702"/>
      <c r="G112" s="1702"/>
      <c r="H112" s="1702"/>
      <c r="I112" s="1702"/>
      <c r="J112" s="1702"/>
      <c r="K112" s="1702"/>
      <c r="L112" s="1702"/>
      <c r="M112" s="1702"/>
      <c r="N112" s="1702"/>
      <c r="O112" s="1702"/>
      <c r="P112" s="1158"/>
    </row>
    <row r="113" spans="1:16" hidden="1" outlineLevel="1">
      <c r="B113" s="1242"/>
      <c r="C113" s="1165"/>
      <c r="D113" s="1224"/>
      <c r="E113" s="1165"/>
      <c r="F113" s="1165"/>
      <c r="G113" s="1165"/>
      <c r="H113" s="1165"/>
      <c r="I113" s="1165"/>
      <c r="J113" s="1165"/>
      <c r="K113" s="1165"/>
      <c r="L113" s="1165"/>
      <c r="M113" s="1165"/>
      <c r="N113" s="1165"/>
      <c r="O113" s="1165"/>
      <c r="P113" s="1166"/>
    </row>
    <row r="114" spans="1:16">
      <c r="B114" s="1235"/>
    </row>
    <row r="115" spans="1:16" s="743" customFormat="1" ht="22.5" collapsed="1">
      <c r="A115" s="1170"/>
      <c r="B115" s="1236" t="s">
        <v>786</v>
      </c>
      <c r="C115" s="1167"/>
      <c r="D115" s="1167"/>
      <c r="E115" s="1167"/>
      <c r="F115" s="1167"/>
      <c r="G115" s="1167"/>
      <c r="H115" s="1167"/>
      <c r="I115" s="1167"/>
      <c r="J115" s="1167"/>
      <c r="K115" s="1167"/>
      <c r="L115" s="1167"/>
      <c r="M115" s="1167"/>
      <c r="N115" s="1167"/>
      <c r="O115" s="1167"/>
      <c r="P115" s="1168"/>
    </row>
    <row r="116" spans="1:16" hidden="1" outlineLevel="1">
      <c r="B116" s="1238"/>
      <c r="C116" s="864"/>
      <c r="D116" s="864"/>
      <c r="E116" s="864"/>
      <c r="F116" s="864"/>
      <c r="G116" s="864"/>
      <c r="H116" s="864"/>
      <c r="I116" s="864"/>
      <c r="J116" s="864"/>
      <c r="K116" s="864"/>
      <c r="L116" s="864"/>
      <c r="M116" s="864"/>
      <c r="N116" s="864"/>
      <c r="O116" s="864"/>
      <c r="P116" s="1158"/>
    </row>
    <row r="117" spans="1:16" hidden="1" outlineLevel="1">
      <c r="B117" s="1243"/>
      <c r="C117" s="866" t="s">
        <v>2168</v>
      </c>
      <c r="D117" s="864"/>
      <c r="E117" s="864"/>
      <c r="F117" s="848"/>
      <c r="G117" s="867"/>
      <c r="H117" s="848"/>
      <c r="I117" s="848" t="s">
        <v>1449</v>
      </c>
      <c r="J117" s="864"/>
      <c r="K117" s="864"/>
      <c r="L117" s="848"/>
      <c r="M117" s="864"/>
      <c r="N117" s="864"/>
      <c r="O117" s="864"/>
      <c r="P117" s="1158"/>
    </row>
    <row r="118" spans="1:16" ht="6" hidden="1" customHeight="1" outlineLevel="1">
      <c r="B118" s="1238"/>
      <c r="C118" s="864"/>
      <c r="D118" s="864"/>
      <c r="E118" s="864"/>
      <c r="F118" s="864"/>
      <c r="G118" s="864"/>
      <c r="H118" s="864"/>
      <c r="I118" s="864"/>
      <c r="J118" s="864"/>
      <c r="K118" s="864"/>
      <c r="L118" s="864"/>
      <c r="M118" s="864"/>
      <c r="N118" s="864"/>
      <c r="O118" s="864"/>
      <c r="P118" s="1158"/>
    </row>
    <row r="119" spans="1:16" ht="15.75" hidden="1" outlineLevel="1">
      <c r="B119" s="1239"/>
      <c r="C119" s="766" t="s">
        <v>1442</v>
      </c>
      <c r="D119" s="766" t="s">
        <v>79</v>
      </c>
      <c r="E119" s="766" t="s">
        <v>442</v>
      </c>
      <c r="F119" s="1541" t="s">
        <v>641</v>
      </c>
      <c r="G119" s="1700" t="s">
        <v>1443</v>
      </c>
      <c r="H119" s="1701" t="s">
        <v>1448</v>
      </c>
      <c r="I119" s="1701" t="s">
        <v>2167</v>
      </c>
      <c r="J119" s="1706"/>
      <c r="K119" s="1706"/>
      <c r="L119" s="1706"/>
      <c r="M119" s="1706"/>
      <c r="N119" s="1706"/>
      <c r="O119" s="1706"/>
      <c r="P119" s="1158"/>
    </row>
    <row r="120" spans="1:16" s="743" customFormat="1" ht="15.75" hidden="1" outlineLevel="1">
      <c r="B120" s="1697"/>
      <c r="C120" s="889" t="s">
        <v>2178</v>
      </c>
      <c r="D120" s="889" t="s">
        <v>1450</v>
      </c>
      <c r="E120" s="889"/>
      <c r="F120" s="891"/>
      <c r="G120" s="1528">
        <v>0.28000000000000003</v>
      </c>
      <c r="H120" s="1528">
        <v>0.13</v>
      </c>
      <c r="I120" s="1702">
        <v>1</v>
      </c>
      <c r="J120" s="776"/>
      <c r="K120" s="776"/>
      <c r="L120" s="776"/>
      <c r="M120" s="776"/>
      <c r="N120" s="776"/>
      <c r="O120" s="776"/>
      <c r="P120" s="1162"/>
    </row>
    <row r="121" spans="1:16" s="743" customFormat="1" ht="15.75" hidden="1" outlineLevel="1">
      <c r="B121" s="1697"/>
      <c r="C121" s="775" t="s">
        <v>2179</v>
      </c>
      <c r="D121" s="775" t="s">
        <v>1451</v>
      </c>
      <c r="E121" s="775"/>
      <c r="F121" s="892"/>
      <c r="G121" s="1702">
        <v>0.33</v>
      </c>
      <c r="H121" s="1702">
        <v>0.1</v>
      </c>
      <c r="I121" s="1702">
        <v>0</v>
      </c>
      <c r="J121" s="776"/>
      <c r="K121" s="776"/>
      <c r="L121" s="776"/>
      <c r="M121" s="776"/>
      <c r="N121" s="776"/>
      <c r="O121" s="776"/>
      <c r="P121" s="1162"/>
    </row>
    <row r="122" spans="1:16" s="743" customFormat="1" ht="15.75" hidden="1" outlineLevel="1">
      <c r="B122" s="1697"/>
      <c r="C122" s="832" t="s">
        <v>2180</v>
      </c>
      <c r="D122" s="832" t="s">
        <v>1452</v>
      </c>
      <c r="E122" s="832"/>
      <c r="F122" s="1698"/>
      <c r="G122" s="865">
        <v>0.14000000000000001</v>
      </c>
      <c r="H122" s="865">
        <v>0.38</v>
      </c>
      <c r="I122" s="865">
        <v>0</v>
      </c>
      <c r="J122" s="832"/>
      <c r="K122" s="832"/>
      <c r="L122" s="832"/>
      <c r="M122" s="832"/>
      <c r="N122" s="832"/>
      <c r="O122" s="832"/>
      <c r="P122" s="1162"/>
    </row>
    <row r="123" spans="1:16" s="743" customFormat="1" ht="15.75" hidden="1" outlineLevel="1">
      <c r="B123" s="1697"/>
      <c r="C123" s="900" t="s">
        <v>2181</v>
      </c>
      <c r="D123" s="900" t="s">
        <v>2166</v>
      </c>
      <c r="E123" s="900"/>
      <c r="F123" s="1699"/>
      <c r="G123" s="916">
        <v>0.25</v>
      </c>
      <c r="H123" s="916">
        <v>0.39</v>
      </c>
      <c r="I123" s="916">
        <v>0</v>
      </c>
      <c r="J123" s="832"/>
      <c r="K123" s="832"/>
      <c r="L123" s="832"/>
      <c r="M123" s="832"/>
      <c r="N123" s="832"/>
      <c r="O123" s="832"/>
      <c r="P123" s="1162"/>
    </row>
    <row r="124" spans="1:16" s="743" customFormat="1" hidden="1" outlineLevel="1">
      <c r="B124" s="1693"/>
      <c r="C124" s="832"/>
      <c r="D124" s="832"/>
      <c r="E124" s="832"/>
      <c r="F124" s="832"/>
      <c r="G124" s="1254">
        <f>SUM(G120:G123)</f>
        <v>1</v>
      </c>
      <c r="H124" s="865">
        <f>SUM(H120:H123)</f>
        <v>1</v>
      </c>
      <c r="I124" s="865">
        <f>SUM(I120:I123)</f>
        <v>1</v>
      </c>
      <c r="J124" s="832"/>
      <c r="K124" s="832"/>
      <c r="L124" s="832"/>
      <c r="M124" s="832"/>
      <c r="N124" s="832"/>
      <c r="O124" s="832"/>
      <c r="P124" s="1162"/>
    </row>
    <row r="125" spans="1:16" hidden="1" outlineLevel="1">
      <c r="B125" s="1238"/>
      <c r="C125" s="866" t="s">
        <v>2169</v>
      </c>
      <c r="D125" s="864"/>
      <c r="E125" s="864"/>
      <c r="F125" s="867" t="str">
        <f>Preferences.EnergyUnits &amp; " / M odt"</f>
        <v>TWh / M odt</v>
      </c>
      <c r="G125" s="867"/>
      <c r="H125" s="864"/>
      <c r="I125" s="864"/>
      <c r="J125" s="864"/>
      <c r="K125" s="864"/>
      <c r="L125" s="864"/>
      <c r="M125" s="864"/>
      <c r="N125" s="864"/>
      <c r="O125" s="864"/>
      <c r="P125" s="1158"/>
    </row>
    <row r="126" spans="1:16" ht="6" hidden="1" customHeight="1" outlineLevel="1">
      <c r="B126" s="1238"/>
      <c r="C126" s="864"/>
      <c r="D126" s="864"/>
      <c r="E126" s="864"/>
      <c r="F126" s="864"/>
      <c r="G126" s="864"/>
      <c r="H126" s="864"/>
      <c r="I126" s="864"/>
      <c r="J126" s="864"/>
      <c r="K126" s="864"/>
      <c r="L126" s="864"/>
      <c r="M126" s="864"/>
      <c r="N126" s="864"/>
      <c r="O126" s="864"/>
      <c r="P126" s="1158"/>
    </row>
    <row r="127" spans="1:16" ht="15.75" hidden="1" outlineLevel="1">
      <c r="B127" s="1239"/>
      <c r="C127" s="766" t="s">
        <v>1442</v>
      </c>
      <c r="D127" s="766" t="s">
        <v>79</v>
      </c>
      <c r="E127" s="766" t="s">
        <v>442</v>
      </c>
      <c r="F127" s="771" t="s">
        <v>1454</v>
      </c>
      <c r="G127" s="1707"/>
      <c r="H127" s="1707"/>
      <c r="I127" s="1706"/>
      <c r="J127" s="1706"/>
      <c r="K127" s="1706"/>
      <c r="L127" s="1706"/>
      <c r="M127" s="1706"/>
      <c r="N127" s="1706"/>
      <c r="O127" s="1706"/>
      <c r="P127" s="1158"/>
    </row>
    <row r="128" spans="1:16" ht="15.75" hidden="1" outlineLevel="1">
      <c r="B128" s="1239"/>
      <c r="C128" s="889" t="s">
        <v>2178</v>
      </c>
      <c r="D128" s="889" t="s">
        <v>1450</v>
      </c>
      <c r="E128" s="889"/>
      <c r="F128" s="890">
        <f>16*Unit.PJ</f>
        <v>4.4444444444444446</v>
      </c>
      <c r="G128" s="1702"/>
      <c r="H128" s="1702"/>
      <c r="I128" s="1702"/>
      <c r="J128" s="776"/>
      <c r="K128" s="776"/>
      <c r="L128" s="776"/>
      <c r="M128" s="776"/>
      <c r="N128" s="776"/>
      <c r="O128" s="776"/>
      <c r="P128" s="1158"/>
    </row>
    <row r="129" spans="2:16" ht="15.75" hidden="1" outlineLevel="1">
      <c r="B129" s="1239"/>
      <c r="C129" s="775" t="s">
        <v>2179</v>
      </c>
      <c r="D129" s="775" t="s">
        <v>1451</v>
      </c>
      <c r="E129" s="775"/>
      <c r="F129" s="885">
        <f>5*Unit.PJ</f>
        <v>1.3888888888888888</v>
      </c>
      <c r="G129" s="1702"/>
      <c r="H129" s="1702"/>
      <c r="I129" s="1702"/>
      <c r="J129" s="776"/>
      <c r="K129" s="776"/>
      <c r="L129" s="776"/>
      <c r="M129" s="776"/>
      <c r="N129" s="776"/>
      <c r="O129" s="776"/>
      <c r="P129" s="1158"/>
    </row>
    <row r="130" spans="2:16" ht="15.75" hidden="1" outlineLevel="1">
      <c r="B130" s="1239"/>
      <c r="C130" s="832" t="s">
        <v>2180</v>
      </c>
      <c r="D130" s="832" t="s">
        <v>1452</v>
      </c>
      <c r="E130" s="832"/>
      <c r="F130" s="847">
        <f>30*Unit.PJ</f>
        <v>8.3333333333333339</v>
      </c>
      <c r="G130" s="865"/>
      <c r="H130" s="865"/>
      <c r="I130" s="865"/>
      <c r="J130" s="832"/>
      <c r="K130" s="832"/>
      <c r="L130" s="832"/>
      <c r="M130" s="832"/>
      <c r="N130" s="832"/>
      <c r="O130" s="832"/>
      <c r="P130" s="1158"/>
    </row>
    <row r="131" spans="2:16" ht="15.75" hidden="1" outlineLevel="1">
      <c r="B131" s="1239"/>
      <c r="C131" s="832" t="s">
        <v>2181</v>
      </c>
      <c r="D131" s="832" t="s">
        <v>2166</v>
      </c>
      <c r="E131" s="832"/>
      <c r="F131" s="847">
        <v>0</v>
      </c>
      <c r="G131" s="865"/>
      <c r="H131" s="865"/>
      <c r="I131" s="865"/>
      <c r="J131" s="832"/>
      <c r="K131" s="832"/>
      <c r="L131" s="832"/>
      <c r="M131" s="832"/>
      <c r="N131" s="832"/>
      <c r="O131" s="832"/>
      <c r="P131" s="1158"/>
    </row>
    <row r="132" spans="2:16" ht="15.75" hidden="1" outlineLevel="1">
      <c r="B132" s="1239"/>
      <c r="C132" s="832" t="s">
        <v>2182</v>
      </c>
      <c r="D132" s="832" t="s">
        <v>1456</v>
      </c>
      <c r="E132" s="832"/>
      <c r="F132" s="847">
        <f>14*Unit.PJ</f>
        <v>3.8888888888888893</v>
      </c>
      <c r="G132" s="865"/>
      <c r="H132" s="865"/>
      <c r="I132" s="865"/>
      <c r="J132" s="832"/>
      <c r="K132" s="832"/>
      <c r="L132" s="832"/>
      <c r="M132" s="832"/>
      <c r="N132" s="832"/>
      <c r="O132" s="832"/>
      <c r="P132" s="1158"/>
    </row>
    <row r="133" spans="2:16" ht="15.75" hidden="1" outlineLevel="1">
      <c r="B133" s="1239"/>
      <c r="C133" s="900" t="s">
        <v>2183</v>
      </c>
      <c r="D133" s="900" t="s">
        <v>123</v>
      </c>
      <c r="E133" s="900"/>
      <c r="F133" s="901">
        <v>0</v>
      </c>
      <c r="G133" s="865"/>
      <c r="H133" s="865"/>
      <c r="I133" s="865"/>
      <c r="J133" s="832"/>
      <c r="K133" s="832"/>
      <c r="L133" s="832"/>
      <c r="M133" s="832"/>
      <c r="N133" s="832"/>
      <c r="O133" s="832"/>
      <c r="P133" s="1158"/>
    </row>
    <row r="134" spans="2:16" hidden="1" outlineLevel="1">
      <c r="B134" s="1238"/>
      <c r="C134" s="864"/>
      <c r="D134" s="864"/>
      <c r="E134" s="864"/>
      <c r="F134" s="864"/>
      <c r="G134" s="864"/>
      <c r="H134" s="864"/>
      <c r="I134" s="864"/>
      <c r="J134" s="864"/>
      <c r="K134" s="864"/>
      <c r="L134" s="864"/>
      <c r="M134" s="864"/>
      <c r="N134" s="864"/>
      <c r="O134" s="864"/>
      <c r="P134" s="1158"/>
    </row>
    <row r="135" spans="2:16" ht="14.25" hidden="1" outlineLevel="1">
      <c r="B135" s="1238"/>
      <c r="C135" s="866" t="s">
        <v>2210</v>
      </c>
      <c r="D135" s="864"/>
      <c r="E135" s="867"/>
      <c r="F135" s="867" t="s">
        <v>2217</v>
      </c>
      <c r="G135" s="864"/>
      <c r="H135" s="864"/>
      <c r="I135" s="864"/>
      <c r="J135" s="864"/>
      <c r="K135" s="864"/>
      <c r="L135" s="864"/>
      <c r="M135" s="864"/>
      <c r="N135" s="864"/>
      <c r="O135" s="864"/>
      <c r="P135" s="1158"/>
    </row>
    <row r="136" spans="2:16" hidden="1" outlineLevel="1">
      <c r="B136" s="1238"/>
      <c r="C136" s="864"/>
      <c r="D136" s="864"/>
      <c r="E136" s="864"/>
      <c r="F136" s="864"/>
      <c r="G136" s="864"/>
      <c r="H136" s="864"/>
      <c r="I136" s="864"/>
      <c r="J136" s="864"/>
      <c r="K136" s="864"/>
      <c r="L136" s="864"/>
      <c r="M136" s="864"/>
      <c r="N136" s="864"/>
      <c r="O136" s="864"/>
      <c r="P136" s="1158"/>
    </row>
    <row r="137" spans="2:16" ht="15.75" hidden="1" outlineLevel="1">
      <c r="B137" s="1239"/>
      <c r="C137" s="766" t="s">
        <v>14</v>
      </c>
      <c r="D137" s="766" t="s">
        <v>79</v>
      </c>
      <c r="E137" s="766" t="s">
        <v>442</v>
      </c>
      <c r="F137" s="771" t="s">
        <v>1460</v>
      </c>
      <c r="G137" s="864"/>
      <c r="H137" s="864"/>
      <c r="I137" s="864"/>
      <c r="J137" s="864"/>
      <c r="K137" s="864"/>
      <c r="L137" s="864"/>
      <c r="M137" s="864"/>
      <c r="N137" s="864"/>
      <c r="O137" s="864"/>
      <c r="P137" s="1158"/>
    </row>
    <row r="138" spans="2:16" ht="15.75" hidden="1" outlineLevel="1">
      <c r="B138" s="1239"/>
      <c r="C138" s="831" t="s">
        <v>1056</v>
      </c>
      <c r="D138" s="832" t="s">
        <v>1469</v>
      </c>
      <c r="E138" s="832"/>
      <c r="F138" s="1708">
        <f>0.16165/F$36*GWP.CH4</f>
        <v>2.4821297479738758</v>
      </c>
      <c r="G138" s="864"/>
      <c r="H138" s="864"/>
      <c r="I138" s="864"/>
      <c r="J138" s="864"/>
      <c r="K138" s="864"/>
      <c r="L138" s="864"/>
      <c r="M138" s="864"/>
      <c r="N138" s="864"/>
      <c r="O138" s="864"/>
      <c r="P138" s="1158"/>
    </row>
    <row r="139" spans="2:16" ht="15.75" hidden="1" outlineLevel="1">
      <c r="B139" s="1239"/>
      <c r="C139" s="899" t="s">
        <v>1057</v>
      </c>
      <c r="D139" s="900" t="s">
        <v>1470</v>
      </c>
      <c r="E139" s="900"/>
      <c r="F139" s="1709">
        <f xml:space="preserve"> 0.00403/$F$36*GWP.N2O</f>
        <v>0.91347405303750395</v>
      </c>
      <c r="G139" s="864"/>
      <c r="H139" s="864"/>
      <c r="I139" s="864"/>
      <c r="J139" s="864"/>
      <c r="K139" s="864"/>
      <c r="L139" s="864"/>
      <c r="M139" s="864"/>
      <c r="N139" s="864"/>
      <c r="O139" s="864"/>
      <c r="P139" s="1158"/>
    </row>
    <row r="140" spans="2:16" hidden="1" outlineLevel="1">
      <c r="B140" s="1238"/>
      <c r="C140" s="864"/>
      <c r="D140" s="864"/>
      <c r="E140" s="864"/>
      <c r="F140" s="864"/>
      <c r="G140" s="864"/>
      <c r="H140" s="864"/>
      <c r="I140" s="864"/>
      <c r="J140" s="864"/>
      <c r="K140" s="864"/>
      <c r="L140" s="864"/>
      <c r="M140" s="864"/>
      <c r="N140" s="864"/>
      <c r="O140" s="864"/>
      <c r="P140" s="1158"/>
    </row>
    <row r="141" spans="2:16" hidden="1" outlineLevel="1">
      <c r="B141" s="1238"/>
      <c r="C141" s="866" t="s">
        <v>2211</v>
      </c>
      <c r="D141" s="864"/>
      <c r="E141" s="867"/>
      <c r="F141" s="867" t="str">
        <f>Preferences.EnergyUnits &amp; " / M tonnes"</f>
        <v>TWh / M tonnes</v>
      </c>
      <c r="G141" s="864"/>
      <c r="H141" s="864"/>
      <c r="I141" s="864"/>
      <c r="J141" s="864"/>
      <c r="K141" s="864"/>
      <c r="L141" s="864"/>
      <c r="M141" s="864"/>
      <c r="N141" s="864"/>
      <c r="O141" s="864"/>
      <c r="P141" s="1158"/>
    </row>
    <row r="142" spans="2:16" ht="5.25" hidden="1" customHeight="1" outlineLevel="1">
      <c r="B142" s="1238"/>
      <c r="C142" s="864"/>
      <c r="D142" s="864"/>
      <c r="E142" s="864"/>
      <c r="F142" s="864"/>
      <c r="G142" s="864"/>
      <c r="H142" s="864"/>
      <c r="I142" s="864"/>
      <c r="J142" s="864"/>
      <c r="K142" s="864"/>
      <c r="L142" s="864"/>
      <c r="M142" s="864"/>
      <c r="N142" s="864"/>
      <c r="O142" s="864"/>
      <c r="P142" s="1158"/>
    </row>
    <row r="143" spans="2:16" ht="15.75" hidden="1" outlineLevel="1">
      <c r="B143" s="1239"/>
      <c r="C143" s="766" t="s">
        <v>14</v>
      </c>
      <c r="D143" s="766" t="s">
        <v>79</v>
      </c>
      <c r="E143" s="766" t="s">
        <v>442</v>
      </c>
      <c r="F143" s="771" t="s">
        <v>1464</v>
      </c>
      <c r="G143" s="864"/>
      <c r="H143" s="864"/>
      <c r="I143" s="864"/>
      <c r="J143" s="864"/>
      <c r="K143" s="864"/>
      <c r="L143" s="864"/>
      <c r="M143" s="864"/>
      <c r="N143" s="864"/>
      <c r="O143" s="864"/>
      <c r="P143" s="1158"/>
    </row>
    <row r="144" spans="2:16" ht="15.75" hidden="1" outlineLevel="1">
      <c r="B144" s="1239"/>
      <c r="C144" s="791" t="s">
        <v>1056</v>
      </c>
      <c r="D144" s="792" t="s">
        <v>1463</v>
      </c>
      <c r="E144" s="792"/>
      <c r="F144" s="1046">
        <f>(Constants.GCV.NaturalGasProduced/0.717)*1000000000</f>
        <v>15.365355664222971</v>
      </c>
      <c r="G144" s="864"/>
      <c r="H144" s="864"/>
      <c r="I144" s="864"/>
      <c r="J144" s="864"/>
      <c r="K144" s="864"/>
      <c r="L144" s="864"/>
      <c r="M144" s="864"/>
      <c r="N144" s="864"/>
      <c r="O144" s="864"/>
      <c r="P144" s="1158"/>
    </row>
    <row r="145" spans="1:16" hidden="1" outlineLevel="1">
      <c r="B145" s="1238"/>
      <c r="C145" s="864"/>
      <c r="D145" s="864"/>
      <c r="E145" s="864"/>
      <c r="F145" s="864"/>
      <c r="G145" s="864"/>
      <c r="H145" s="864"/>
      <c r="I145" s="864"/>
      <c r="J145" s="864"/>
      <c r="K145" s="864"/>
      <c r="L145" s="864"/>
      <c r="M145" s="864"/>
      <c r="N145" s="864"/>
      <c r="O145" s="864"/>
      <c r="P145" s="1158"/>
    </row>
    <row r="146" spans="1:16" hidden="1" outlineLevel="1">
      <c r="B146" s="1241"/>
      <c r="C146" s="864" t="s">
        <v>717</v>
      </c>
      <c r="D146" s="868"/>
      <c r="E146" s="864"/>
      <c r="F146" s="864"/>
      <c r="G146" s="864"/>
      <c r="H146" s="864"/>
      <c r="I146" s="864"/>
      <c r="J146" s="864"/>
      <c r="K146" s="864"/>
      <c r="L146" s="864"/>
      <c r="M146" s="864"/>
      <c r="N146" s="864"/>
      <c r="O146" s="864"/>
      <c r="P146" s="1158"/>
    </row>
    <row r="147" spans="1:16" hidden="1" outlineLevel="1">
      <c r="B147" s="1241"/>
      <c r="C147" s="867" t="s">
        <v>109</v>
      </c>
      <c r="D147" s="868" t="s">
        <v>2212</v>
      </c>
      <c r="E147" s="864"/>
      <c r="F147" s="864"/>
      <c r="G147" s="864"/>
      <c r="H147" s="864"/>
      <c r="I147" s="864"/>
      <c r="J147" s="864"/>
      <c r="K147" s="864"/>
      <c r="L147" s="864"/>
      <c r="M147" s="864"/>
      <c r="N147" s="864"/>
      <c r="O147" s="864"/>
      <c r="P147" s="1158"/>
    </row>
    <row r="148" spans="1:16" hidden="1" outlineLevel="1">
      <c r="B148" s="1241"/>
      <c r="C148" s="864"/>
      <c r="D148" s="868" t="s">
        <v>2213</v>
      </c>
      <c r="E148" s="864"/>
      <c r="F148" s="864"/>
      <c r="G148" s="864"/>
      <c r="H148" s="864"/>
      <c r="I148" s="864"/>
      <c r="J148" s="864"/>
      <c r="K148" s="864"/>
      <c r="L148" s="864"/>
      <c r="M148" s="864"/>
      <c r="N148" s="864"/>
      <c r="O148" s="864"/>
      <c r="P148" s="1158"/>
    </row>
    <row r="149" spans="1:16" hidden="1" outlineLevel="1">
      <c r="B149" s="1241"/>
      <c r="C149" s="864"/>
      <c r="D149" s="868" t="s">
        <v>2214</v>
      </c>
      <c r="E149" s="864"/>
      <c r="F149" s="864"/>
      <c r="G149" s="864"/>
      <c r="H149" s="864"/>
      <c r="I149" s="864"/>
      <c r="J149" s="864"/>
      <c r="K149" s="864"/>
      <c r="L149" s="864"/>
      <c r="M149" s="864"/>
      <c r="N149" s="864"/>
      <c r="O149" s="864"/>
      <c r="P149" s="1158"/>
    </row>
    <row r="150" spans="1:16" s="715" customFormat="1" ht="15" hidden="1" outlineLevel="1">
      <c r="B150" s="1244"/>
      <c r="C150" s="946" t="s">
        <v>117</v>
      </c>
      <c r="D150" s="1230" t="s">
        <v>1465</v>
      </c>
      <c r="E150" s="1228"/>
      <c r="F150" s="1228"/>
      <c r="G150" s="1228"/>
      <c r="H150" s="1228"/>
      <c r="I150" s="1228"/>
      <c r="J150" s="1228"/>
      <c r="K150" s="1228"/>
      <c r="L150" s="1228"/>
      <c r="M150" s="1228"/>
      <c r="N150" s="1228"/>
      <c r="O150" s="1228"/>
      <c r="P150" s="1229"/>
    </row>
    <row r="151" spans="1:16" hidden="1" outlineLevel="1">
      <c r="B151" s="1245"/>
      <c r="C151" s="1165"/>
      <c r="D151" s="1165"/>
      <c r="E151" s="1165"/>
      <c r="F151" s="1165"/>
      <c r="G151" s="1165"/>
      <c r="H151" s="1165"/>
      <c r="I151" s="1165"/>
      <c r="J151" s="1165"/>
      <c r="K151" s="1165"/>
      <c r="L151" s="1165"/>
      <c r="M151" s="1165"/>
      <c r="N151" s="1165"/>
      <c r="O151" s="1165"/>
      <c r="P151" s="1166"/>
    </row>
    <row r="152" spans="1:16">
      <c r="B152" s="1235"/>
    </row>
    <row r="153" spans="1:16" ht="22.5" collapsed="1">
      <c r="A153" s="1171"/>
      <c r="B153" s="1236" t="s">
        <v>817</v>
      </c>
      <c r="C153" s="1167"/>
      <c r="D153" s="1167"/>
      <c r="E153" s="1167"/>
      <c r="F153" s="1167"/>
      <c r="G153" s="1167"/>
      <c r="H153" s="1167"/>
      <c r="I153" s="1167"/>
      <c r="J153" s="1167"/>
      <c r="K153" s="1167"/>
      <c r="L153" s="1167"/>
      <c r="M153" s="1167"/>
      <c r="N153" s="1167"/>
      <c r="O153" s="1167"/>
      <c r="P153" s="1168"/>
    </row>
    <row r="154" spans="1:16" hidden="1" outlineLevel="1">
      <c r="B154" s="1237"/>
      <c r="C154" s="1221"/>
      <c r="D154" s="1221"/>
      <c r="E154" s="1221"/>
      <c r="F154" s="1221"/>
      <c r="G154" s="1221"/>
      <c r="H154" s="1221"/>
      <c r="I154" s="1221"/>
      <c r="J154" s="1221"/>
      <c r="K154" s="1221"/>
      <c r="L154" s="1221"/>
      <c r="M154" s="1221"/>
      <c r="N154" s="1221"/>
      <c r="O154" s="1221"/>
      <c r="P154" s="1222"/>
    </row>
    <row r="155" spans="1:16" hidden="1" outlineLevel="1">
      <c r="B155" s="1238"/>
      <c r="C155" s="866" t="s">
        <v>1458</v>
      </c>
      <c r="D155" s="864"/>
      <c r="E155" s="867"/>
      <c r="F155" s="864"/>
      <c r="G155" s="864"/>
      <c r="H155" s="864"/>
      <c r="I155" s="864"/>
      <c r="J155" s="864"/>
      <c r="K155" s="864"/>
      <c r="L155" s="864"/>
      <c r="M155" s="864"/>
      <c r="N155" s="864"/>
      <c r="O155" s="867" t="s">
        <v>1453</v>
      </c>
      <c r="P155" s="1158"/>
    </row>
    <row r="156" spans="1:16" ht="5.25" hidden="1" customHeight="1" outlineLevel="1">
      <c r="B156" s="1238"/>
      <c r="C156" s="864"/>
      <c r="D156" s="864"/>
      <c r="E156" s="864"/>
      <c r="F156" s="864"/>
      <c r="G156" s="864"/>
      <c r="H156" s="864"/>
      <c r="I156" s="864"/>
      <c r="J156" s="864"/>
      <c r="K156" s="864"/>
      <c r="L156" s="864"/>
      <c r="M156" s="864"/>
      <c r="N156" s="864"/>
      <c r="O156" s="864"/>
      <c r="P156" s="1158"/>
    </row>
    <row r="157" spans="1:16" ht="15.75" hidden="1" outlineLevel="1">
      <c r="B157" s="1239"/>
      <c r="C157" s="766" t="s">
        <v>1459</v>
      </c>
      <c r="D157" s="766" t="s">
        <v>79</v>
      </c>
      <c r="E157" s="766" t="s">
        <v>442</v>
      </c>
      <c r="F157" s="1541">
        <v>2007</v>
      </c>
      <c r="G157" s="924">
        <v>2010</v>
      </c>
      <c r="H157" s="923">
        <v>2015</v>
      </c>
      <c r="I157" s="923">
        <v>2020</v>
      </c>
      <c r="J157" s="923">
        <v>2025</v>
      </c>
      <c r="K157" s="923">
        <v>2030</v>
      </c>
      <c r="L157" s="923">
        <v>2035</v>
      </c>
      <c r="M157" s="923">
        <v>2040</v>
      </c>
      <c r="N157" s="923">
        <v>2045</v>
      </c>
      <c r="O157" s="923">
        <v>2050</v>
      </c>
      <c r="P157" s="1158"/>
    </row>
    <row r="158" spans="1:16" ht="15.75" hidden="1" outlineLevel="1">
      <c r="B158" s="1240"/>
      <c r="C158" s="889" t="s">
        <v>1443</v>
      </c>
      <c r="D158" s="889" t="s">
        <v>1444</v>
      </c>
      <c r="E158" s="889"/>
      <c r="F158" s="891">
        <f>INDEX(F$15:F$17, MATCH($E$7, $C$15:$C$17, 0))</f>
        <v>34.78</v>
      </c>
      <c r="G158" s="890">
        <f t="shared" ref="G158:O158" si="12">INDEX(G$15:G$17, MATCH($E$7, $C$15:$C$17, 0))</f>
        <v>36.36869388249999</v>
      </c>
      <c r="H158" s="890">
        <f t="shared" si="12"/>
        <v>39.17941216178474</v>
      </c>
      <c r="I158" s="890">
        <f t="shared" si="12"/>
        <v>42.207354003483616</v>
      </c>
      <c r="J158" s="890">
        <f t="shared" si="12"/>
        <v>44.360353245789746</v>
      </c>
      <c r="K158" s="890">
        <f t="shared" si="12"/>
        <v>46.623177087311177</v>
      </c>
      <c r="L158" s="890">
        <f t="shared" si="12"/>
        <v>49.001427686356088</v>
      </c>
      <c r="M158" s="890">
        <f t="shared" si="12"/>
        <v>51.500992967608639</v>
      </c>
      <c r="N158" s="890">
        <f t="shared" si="12"/>
        <v>54.128061199086098</v>
      </c>
      <c r="O158" s="890">
        <f t="shared" si="12"/>
        <v>56.88913631266734</v>
      </c>
      <c r="P158" s="1162"/>
    </row>
    <row r="159" spans="1:16" ht="15.75" hidden="1" outlineLevel="1">
      <c r="B159" s="1240"/>
      <c r="C159" s="775" t="s">
        <v>1448</v>
      </c>
      <c r="D159" s="775" t="s">
        <v>1445</v>
      </c>
      <c r="E159" s="775"/>
      <c r="F159" s="892">
        <f>INDEX(F$22:F$24, MATCH($E$7, $C$22:$C$24, 0))</f>
        <v>76.599999999999994</v>
      </c>
      <c r="G159" s="885">
        <f t="shared" ref="G159:O159" si="13">INDEX(G$22:G$24, MATCH($E$7, $C$22:$C$24, 0))</f>
        <v>80.098963524999959</v>
      </c>
      <c r="H159" s="885">
        <f t="shared" si="13"/>
        <v>86.289332133200404</v>
      </c>
      <c r="I159" s="885">
        <f t="shared" si="13"/>
        <v>92.958117212962733</v>
      </c>
      <c r="J159" s="885">
        <f t="shared" si="13"/>
        <v>97.699915429197631</v>
      </c>
      <c r="K159" s="885">
        <f t="shared" si="13"/>
        <v>102.68359301000676</v>
      </c>
      <c r="L159" s="885">
        <f t="shared" si="13"/>
        <v>107.9214882338952</v>
      </c>
      <c r="M159" s="885">
        <f t="shared" si="13"/>
        <v>113.42656875557275</v>
      </c>
      <c r="N159" s="885">
        <f t="shared" si="13"/>
        <v>119.2124637104656</v>
      </c>
      <c r="O159" s="885">
        <f t="shared" si="13"/>
        <v>125.29349745688087</v>
      </c>
      <c r="P159" s="1162"/>
    </row>
    <row r="160" spans="1:16" ht="15.75" hidden="1" outlineLevel="1">
      <c r="B160" s="1240"/>
      <c r="C160" s="775" t="s">
        <v>2167</v>
      </c>
      <c r="D160" s="775" t="s">
        <v>2176</v>
      </c>
      <c r="E160" s="775" t="s">
        <v>2177</v>
      </c>
      <c r="F160" s="892">
        <f>INDEX(F$29:F$31, MATCH($E$7, $C$29:$C$31, 0))</f>
        <v>2.3218999999999999</v>
      </c>
      <c r="G160" s="885">
        <f t="shared" ref="G160:O160" si="14">INDEX(G$29:G$31, MATCH($E$7, $C$29:$C$31, 0))</f>
        <v>2.4279606189124991</v>
      </c>
      <c r="H160" s="885">
        <f t="shared" si="14"/>
        <v>2.6156031368156407</v>
      </c>
      <c r="I160" s="885">
        <f t="shared" si="14"/>
        <v>2.8177474198012824</v>
      </c>
      <c r="J160" s="885">
        <f t="shared" si="14"/>
        <v>2.9614808568544913</v>
      </c>
      <c r="K160" s="885">
        <f t="shared" si="14"/>
        <v>3.1125461437328297</v>
      </c>
      <c r="L160" s="885">
        <f t="shared" si="14"/>
        <v>3.271317278463203</v>
      </c>
      <c r="M160" s="885">
        <f t="shared" si="14"/>
        <v>3.4381873367306062</v>
      </c>
      <c r="N160" s="885">
        <f t="shared" si="14"/>
        <v>3.6135694450304197</v>
      </c>
      <c r="O160" s="885">
        <f t="shared" si="14"/>
        <v>3.7978978034612503</v>
      </c>
      <c r="P160" s="1162"/>
    </row>
    <row r="161" spans="2:16" ht="15.75" hidden="1" outlineLevel="1">
      <c r="B161" s="1240"/>
      <c r="C161" s="775" t="s">
        <v>226</v>
      </c>
      <c r="D161" s="775" t="s">
        <v>1447</v>
      </c>
      <c r="E161" s="775"/>
      <c r="F161" s="892">
        <f>INDEX(F$36:F$38, MATCH($E$7, $C$36:$C$38, 0))</f>
        <v>1.3676360000000001</v>
      </c>
      <c r="G161" s="885">
        <f t="shared" ref="G161:O161" si="15">INDEX(G$36:G$38, MATCH($E$7, $C$36:$C$38, 0))</f>
        <v>1.395660347191511</v>
      </c>
      <c r="H161" s="885">
        <f t="shared" si="15"/>
        <v>1.4432516709890608</v>
      </c>
      <c r="I161" s="885">
        <f t="shared" si="15"/>
        <v>1.4921002742497826</v>
      </c>
      <c r="J161" s="885">
        <f t="shared" si="15"/>
        <v>1.539777124363374</v>
      </c>
      <c r="K161" s="885">
        <f t="shared" si="15"/>
        <v>1.5830256268442755</v>
      </c>
      <c r="L161" s="885">
        <f t="shared" si="15"/>
        <v>1.621214461553147</v>
      </c>
      <c r="M161" s="885">
        <f t="shared" si="15"/>
        <v>1.6565425273466619</v>
      </c>
      <c r="N161" s="885">
        <f t="shared" si="15"/>
        <v>1.6902597017251573</v>
      </c>
      <c r="O161" s="885">
        <f t="shared" si="15"/>
        <v>1.7224027253405279</v>
      </c>
      <c r="P161" s="1162"/>
    </row>
    <row r="162" spans="2:16" ht="15.75" hidden="1" outlineLevel="1">
      <c r="B162" s="1240"/>
      <c r="C162" s="886" t="s">
        <v>14</v>
      </c>
      <c r="D162" s="886" t="s">
        <v>227</v>
      </c>
      <c r="E162" s="886" t="s">
        <v>2175</v>
      </c>
      <c r="F162" s="893">
        <f>INDEX(F$43:F$45, MATCH($E$7, $C$43:$C$45, 0))</f>
        <v>3.9663246224836581</v>
      </c>
      <c r="G162" s="888">
        <f t="shared" ref="G162:O162" si="16">INDEX(G$43:G$45, MATCH($E$7, $C$43:$C$45, 0))</f>
        <v>3.9910430182228076</v>
      </c>
      <c r="H162" s="888">
        <f t="shared" si="16"/>
        <v>3.9245155609743536</v>
      </c>
      <c r="I162" s="888">
        <f t="shared" si="16"/>
        <v>3.7805579154057103</v>
      </c>
      <c r="J162" s="888">
        <f t="shared" si="16"/>
        <v>3.685189321026388</v>
      </c>
      <c r="K162" s="888">
        <f t="shared" si="16"/>
        <v>3.6769976782219675</v>
      </c>
      <c r="L162" s="888">
        <f t="shared" si="16"/>
        <v>3.7257409269698547</v>
      </c>
      <c r="M162" s="888">
        <f t="shared" si="16"/>
        <v>3.8128061743725055</v>
      </c>
      <c r="N162" s="888">
        <f t="shared" si="16"/>
        <v>3.9327656513080376</v>
      </c>
      <c r="O162" s="888">
        <f t="shared" si="16"/>
        <v>4.0798287381014715</v>
      </c>
      <c r="P162" s="1162"/>
    </row>
    <row r="163" spans="2:16" ht="15.75" hidden="1" outlineLevel="1">
      <c r="B163" s="1240"/>
      <c r="C163" s="831"/>
      <c r="D163" s="832"/>
      <c r="E163" s="832"/>
      <c r="F163" s="847"/>
      <c r="G163" s="847"/>
      <c r="H163" s="847"/>
      <c r="I163" s="847"/>
      <c r="J163" s="847"/>
      <c r="K163" s="847"/>
      <c r="L163" s="847"/>
      <c r="M163" s="847"/>
      <c r="N163" s="847"/>
      <c r="O163" s="847"/>
      <c r="P163" s="1162"/>
    </row>
    <row r="164" spans="2:16" ht="15.75" hidden="1" outlineLevel="1">
      <c r="B164" s="1240"/>
      <c r="C164" s="866" t="s">
        <v>2174</v>
      </c>
      <c r="D164" s="864"/>
      <c r="E164" s="867"/>
      <c r="F164" s="864"/>
      <c r="G164" s="864"/>
      <c r="H164" s="864"/>
      <c r="I164" s="864"/>
      <c r="J164" s="864"/>
      <c r="K164" s="864"/>
      <c r="L164" s="864"/>
      <c r="M164" s="864"/>
      <c r="N164" s="864"/>
      <c r="O164" s="867" t="s">
        <v>1453</v>
      </c>
      <c r="P164" s="1162"/>
    </row>
    <row r="165" spans="2:16" ht="5.25" hidden="1" customHeight="1" outlineLevel="1">
      <c r="B165" s="1240"/>
      <c r="C165" s="864"/>
      <c r="D165" s="864"/>
      <c r="E165" s="864"/>
      <c r="F165" s="864"/>
      <c r="G165" s="864"/>
      <c r="H165" s="864"/>
      <c r="I165" s="864"/>
      <c r="J165" s="864"/>
      <c r="K165" s="864"/>
      <c r="L165" s="864"/>
      <c r="M165" s="864"/>
      <c r="N165" s="864"/>
      <c r="O165" s="864"/>
      <c r="P165" s="1162"/>
    </row>
    <row r="166" spans="2:16" ht="15.75" hidden="1" outlineLevel="1">
      <c r="B166" s="1240"/>
      <c r="C166" s="766" t="s">
        <v>1459</v>
      </c>
      <c r="D166" s="766" t="s">
        <v>79</v>
      </c>
      <c r="E166" s="766" t="s">
        <v>442</v>
      </c>
      <c r="F166" s="1541">
        <v>2007</v>
      </c>
      <c r="G166" s="924">
        <v>2010</v>
      </c>
      <c r="H166" s="923">
        <v>2015</v>
      </c>
      <c r="I166" s="923">
        <v>2020</v>
      </c>
      <c r="J166" s="923">
        <v>2025</v>
      </c>
      <c r="K166" s="923">
        <v>2030</v>
      </c>
      <c r="L166" s="923">
        <v>2035</v>
      </c>
      <c r="M166" s="923">
        <v>2040</v>
      </c>
      <c r="N166" s="923">
        <v>2045</v>
      </c>
      <c r="O166" s="923">
        <v>2050</v>
      </c>
      <c r="P166" s="1162"/>
    </row>
    <row r="167" spans="2:16" ht="15.75" hidden="1" outlineLevel="1">
      <c r="B167" s="1240"/>
      <c r="C167" s="889" t="s">
        <v>1443</v>
      </c>
      <c r="D167" s="889" t="s">
        <v>1444</v>
      </c>
      <c r="E167" s="889"/>
      <c r="F167" s="1703">
        <f t="array" ref="F167:O167">CHOOSE($E$7, $F$56:$O$56, $F$64:$O$64, $F$72:$O$72)</f>
        <v>9.1840153946416023E-2</v>
      </c>
      <c r="G167" s="1528">
        <v>0.11325228514211286</v>
      </c>
      <c r="H167" s="1528">
        <v>0.16613961596068316</v>
      </c>
      <c r="I167" s="1528">
        <v>0.19546621472464401</v>
      </c>
      <c r="J167" s="1528">
        <v>0.1995504032914138</v>
      </c>
      <c r="K167" s="1528">
        <v>0.20363459185818356</v>
      </c>
      <c r="L167" s="1528">
        <v>0.20771878042495334</v>
      </c>
      <c r="M167" s="1528">
        <v>0.2118029689917231</v>
      </c>
      <c r="N167" s="1528">
        <v>0.21180296899172313</v>
      </c>
      <c r="O167" s="1528">
        <v>0.21180296899172313</v>
      </c>
      <c r="P167" s="1162"/>
    </row>
    <row r="168" spans="2:16" ht="15.75" hidden="1" outlineLevel="1">
      <c r="B168" s="1240"/>
      <c r="C168" s="775" t="s">
        <v>1448</v>
      </c>
      <c r="D168" s="775" t="s">
        <v>1445</v>
      </c>
      <c r="E168" s="775"/>
      <c r="F168" s="2369">
        <f t="array" ref="F168:O168">CHOOSE($E$7, $F$56:$O$56, $F$64:$O$64, $F$72:$O$72)</f>
        <v>9.1840153946416023E-2</v>
      </c>
      <c r="G168" s="1702">
        <v>0.11325228514211286</v>
      </c>
      <c r="H168" s="1702">
        <v>0.16613961596068316</v>
      </c>
      <c r="I168" s="1702">
        <v>0.19546621472464401</v>
      </c>
      <c r="J168" s="1702">
        <v>0.1995504032914138</v>
      </c>
      <c r="K168" s="1702">
        <v>0.20363459185818356</v>
      </c>
      <c r="L168" s="1702">
        <v>0.20771878042495334</v>
      </c>
      <c r="M168" s="1702">
        <v>0.2118029689917231</v>
      </c>
      <c r="N168" s="1702">
        <v>0.21180296899172313</v>
      </c>
      <c r="O168" s="1702">
        <v>0.21180296899172313</v>
      </c>
      <c r="P168" s="1162"/>
    </row>
    <row r="169" spans="2:16" ht="15.75" hidden="1" outlineLevel="1">
      <c r="B169" s="1240"/>
      <c r="C169" s="775" t="s">
        <v>2167</v>
      </c>
      <c r="D169" s="775" t="s">
        <v>2188</v>
      </c>
      <c r="E169" s="775"/>
      <c r="F169" s="2369">
        <f>INDEX(F$86:F$88, MATCH($E$7, $C$86:$C$88, 0))</f>
        <v>0</v>
      </c>
      <c r="G169" s="1702">
        <f t="shared" ref="G169:O169" si="17">INDEX(G$86:G$88, MATCH($E$7, $C$86:$C$88, 0))</f>
        <v>0</v>
      </c>
      <c r="H169" s="1702">
        <f t="shared" si="17"/>
        <v>0.1</v>
      </c>
      <c r="I169" s="1702">
        <f t="shared" si="17"/>
        <v>0.2</v>
      </c>
      <c r="J169" s="1702">
        <f t="shared" si="17"/>
        <v>0.4</v>
      </c>
      <c r="K169" s="1702">
        <f t="shared" si="17"/>
        <v>0.6</v>
      </c>
      <c r="L169" s="1702">
        <f t="shared" si="17"/>
        <v>0.8</v>
      </c>
      <c r="M169" s="1702">
        <f t="shared" si="17"/>
        <v>1</v>
      </c>
      <c r="N169" s="1702">
        <f t="shared" si="17"/>
        <v>1</v>
      </c>
      <c r="O169" s="1702">
        <f t="shared" si="17"/>
        <v>1</v>
      </c>
      <c r="P169" s="1162"/>
    </row>
    <row r="170" spans="2:16" ht="15.75" hidden="1" outlineLevel="1">
      <c r="B170" s="1240"/>
      <c r="C170" s="886" t="s">
        <v>226</v>
      </c>
      <c r="D170" s="886" t="s">
        <v>1447</v>
      </c>
      <c r="E170" s="886"/>
      <c r="F170" s="1704">
        <f>INDEX(F$93:F$95, MATCH($E$7, $C$93:$C$95, 0))</f>
        <v>0.75</v>
      </c>
      <c r="G170" s="1705">
        <f t="shared" ref="G170:O170" si="18">INDEX(G$93:G$95, MATCH($E$7, $C$93:$C$95, 0))</f>
        <v>0.75</v>
      </c>
      <c r="H170" s="1705">
        <f t="shared" si="18"/>
        <v>0.75</v>
      </c>
      <c r="I170" s="1705">
        <f t="shared" si="18"/>
        <v>0.75</v>
      </c>
      <c r="J170" s="1705">
        <f t="shared" si="18"/>
        <v>0.75</v>
      </c>
      <c r="K170" s="1705">
        <f t="shared" si="18"/>
        <v>0.75</v>
      </c>
      <c r="L170" s="1705">
        <f t="shared" si="18"/>
        <v>0.75</v>
      </c>
      <c r="M170" s="1705">
        <f t="shared" si="18"/>
        <v>0.75</v>
      </c>
      <c r="N170" s="1705">
        <f t="shared" si="18"/>
        <v>0.75</v>
      </c>
      <c r="O170" s="1705">
        <f t="shared" si="18"/>
        <v>0.75</v>
      </c>
      <c r="P170" s="1162"/>
    </row>
    <row r="171" spans="2:16" ht="15.75" hidden="1" outlineLevel="1">
      <c r="B171" s="1240"/>
      <c r="C171" s="831"/>
      <c r="D171" s="832"/>
      <c r="E171" s="832"/>
      <c r="F171" s="847"/>
      <c r="G171" s="847"/>
      <c r="H171" s="847"/>
      <c r="I171" s="847"/>
      <c r="J171" s="847"/>
      <c r="K171" s="847"/>
      <c r="L171" s="847"/>
      <c r="M171" s="847"/>
      <c r="N171" s="847"/>
      <c r="O171" s="847"/>
      <c r="P171" s="1162"/>
    </row>
    <row r="172" spans="2:16" ht="15.75" hidden="1" outlineLevel="1">
      <c r="B172" s="1240"/>
      <c r="C172" s="866" t="s">
        <v>2194</v>
      </c>
      <c r="D172" s="864"/>
      <c r="E172" s="867"/>
      <c r="F172" s="864"/>
      <c r="G172" s="864"/>
      <c r="H172" s="864"/>
      <c r="I172" s="864"/>
      <c r="J172" s="864"/>
      <c r="K172" s="864"/>
      <c r="L172" s="864"/>
      <c r="M172" s="864"/>
      <c r="N172" s="864"/>
      <c r="O172" s="867" t="s">
        <v>1453</v>
      </c>
      <c r="P172" s="1162"/>
    </row>
    <row r="173" spans="2:16" ht="5.25" hidden="1" customHeight="1" outlineLevel="1">
      <c r="B173" s="1240"/>
      <c r="C173" s="864"/>
      <c r="D173" s="864"/>
      <c r="E173" s="864"/>
      <c r="F173" s="864"/>
      <c r="G173" s="864"/>
      <c r="H173" s="864"/>
      <c r="I173" s="864"/>
      <c r="J173" s="864"/>
      <c r="K173" s="864"/>
      <c r="L173" s="864"/>
      <c r="M173" s="864"/>
      <c r="N173" s="864"/>
      <c r="O173" s="864"/>
      <c r="P173" s="1162"/>
    </row>
    <row r="174" spans="2:16" ht="15.75" hidden="1" outlineLevel="1">
      <c r="B174" s="1240"/>
      <c r="C174" s="766" t="s">
        <v>1459</v>
      </c>
      <c r="D174" s="766" t="s">
        <v>79</v>
      </c>
      <c r="E174" s="766" t="s">
        <v>442</v>
      </c>
      <c r="F174" s="1541">
        <v>2007</v>
      </c>
      <c r="G174" s="924">
        <v>2010</v>
      </c>
      <c r="H174" s="923">
        <v>2015</v>
      </c>
      <c r="I174" s="923">
        <v>2020</v>
      </c>
      <c r="J174" s="923">
        <v>2025</v>
      </c>
      <c r="K174" s="923">
        <v>2030</v>
      </c>
      <c r="L174" s="923">
        <v>2035</v>
      </c>
      <c r="M174" s="923">
        <v>2040</v>
      </c>
      <c r="N174" s="923">
        <v>2045</v>
      </c>
      <c r="O174" s="923">
        <v>2050</v>
      </c>
      <c r="P174" s="1162"/>
    </row>
    <row r="175" spans="2:16" ht="15.75" hidden="1" outlineLevel="1">
      <c r="B175" s="1240"/>
      <c r="C175" s="889" t="s">
        <v>1443</v>
      </c>
      <c r="D175" s="889" t="s">
        <v>1444</v>
      </c>
      <c r="E175" s="889"/>
      <c r="F175" s="1703">
        <f t="array" ref="F175:O175">CHOOSE($E$7, $F$54:$O$54, $F$62:$O$62, $F$70:$O$70)</f>
        <v>0.37023558973069054</v>
      </c>
      <c r="G175" s="1528">
        <v>0.4455732577907669</v>
      </c>
      <c r="H175" s="1528">
        <v>0.47319490703321587</v>
      </c>
      <c r="I175" s="1528">
        <v>0.50012040256143475</v>
      </c>
      <c r="J175" s="1528">
        <v>0.50012040256143486</v>
      </c>
      <c r="K175" s="1528">
        <v>0.50012040256143475</v>
      </c>
      <c r="L175" s="1528">
        <v>0.50012040256143475</v>
      </c>
      <c r="M175" s="1528">
        <v>0.50012040256143475</v>
      </c>
      <c r="N175" s="1528">
        <v>0.50012040256143486</v>
      </c>
      <c r="O175" s="1528">
        <v>0.50012040256143486</v>
      </c>
      <c r="P175" s="1162"/>
    </row>
    <row r="176" spans="2:16" ht="15.75" hidden="1" outlineLevel="1">
      <c r="B176" s="1240"/>
      <c r="C176" s="886" t="s">
        <v>1448</v>
      </c>
      <c r="D176" s="886" t="s">
        <v>1445</v>
      </c>
      <c r="E176" s="886"/>
      <c r="F176" s="1704">
        <f t="array" ref="F176:O176">CHOOSE($E$7, $F$54:$O$54, $F$62:$O$62, $F$70:$O$70)</f>
        <v>0.37023558973069054</v>
      </c>
      <c r="G176" s="1705">
        <v>0.4455732577907669</v>
      </c>
      <c r="H176" s="1705">
        <v>0.47319490703321587</v>
      </c>
      <c r="I176" s="1705">
        <v>0.50012040256143475</v>
      </c>
      <c r="J176" s="1705">
        <v>0.50012040256143486</v>
      </c>
      <c r="K176" s="1705">
        <v>0.50012040256143475</v>
      </c>
      <c r="L176" s="1705">
        <v>0.50012040256143475</v>
      </c>
      <c r="M176" s="1705">
        <v>0.50012040256143475</v>
      </c>
      <c r="N176" s="1705">
        <v>0.50012040256143486</v>
      </c>
      <c r="O176" s="1705">
        <v>0.50012040256143486</v>
      </c>
      <c r="P176" s="1162"/>
    </row>
    <row r="177" spans="1:27" ht="15.75" hidden="1" outlineLevel="1">
      <c r="B177" s="1240"/>
      <c r="C177" s="775"/>
      <c r="D177" s="775"/>
      <c r="E177" s="775"/>
      <c r="F177" s="885"/>
      <c r="G177" s="885"/>
      <c r="H177" s="885"/>
      <c r="I177" s="885"/>
      <c r="J177" s="885"/>
      <c r="K177" s="885"/>
      <c r="L177" s="885"/>
      <c r="M177" s="885"/>
      <c r="N177" s="885"/>
      <c r="O177" s="885"/>
      <c r="P177" s="1162"/>
    </row>
    <row r="178" spans="1:27" hidden="1" outlineLevel="1">
      <c r="B178" s="1241"/>
      <c r="C178" s="864"/>
      <c r="D178" s="868"/>
      <c r="E178" s="864"/>
      <c r="F178" s="864"/>
      <c r="G178" s="864"/>
      <c r="H178" s="864"/>
      <c r="I178" s="864"/>
      <c r="J178" s="864"/>
      <c r="K178" s="864"/>
      <c r="L178" s="864"/>
      <c r="M178" s="864"/>
      <c r="N178" s="864"/>
      <c r="O178" s="864"/>
      <c r="P178" s="1158"/>
    </row>
    <row r="179" spans="1:27">
      <c r="B179" s="1235"/>
    </row>
    <row r="180" spans="1:27" ht="22.5" collapsed="1">
      <c r="A180" s="1171"/>
      <c r="B180" s="1246" t="s">
        <v>732</v>
      </c>
    </row>
    <row r="181" spans="1:27" hidden="1" outlineLevel="1">
      <c r="A181" s="24"/>
      <c r="B181" s="731">
        <v>1</v>
      </c>
      <c r="C181" s="121" t="s">
        <v>2184</v>
      </c>
    </row>
    <row r="182" spans="1:27" hidden="1" outlineLevel="1">
      <c r="A182" s="24"/>
      <c r="B182" s="731">
        <v>2</v>
      </c>
      <c r="C182" s="121" t="s">
        <v>2185</v>
      </c>
    </row>
    <row r="183" spans="1:27" hidden="1" outlineLevel="1">
      <c r="A183" s="24"/>
      <c r="B183" s="731">
        <v>3</v>
      </c>
      <c r="C183" s="121" t="s">
        <v>1467</v>
      </c>
    </row>
    <row r="184" spans="1:27" hidden="1" outlineLevel="1">
      <c r="A184" s="24"/>
      <c r="B184" s="731">
        <v>4</v>
      </c>
      <c r="C184" s="121" t="s">
        <v>2215</v>
      </c>
    </row>
    <row r="185" spans="1:27" hidden="1" outlineLevel="1">
      <c r="A185" s="24"/>
      <c r="B185" s="731">
        <v>5</v>
      </c>
      <c r="C185" s="121" t="s">
        <v>1477</v>
      </c>
    </row>
    <row r="186" spans="1:27" ht="15.75" hidden="1" outlineLevel="1">
      <c r="A186" s="24"/>
      <c r="B186" s="1246"/>
    </row>
    <row r="187" spans="1:27" hidden="1" outlineLevel="1">
      <c r="A187" s="24"/>
      <c r="B187" s="731">
        <v>1</v>
      </c>
      <c r="C187" s="731" t="s">
        <v>2190</v>
      </c>
      <c r="F187" s="731">
        <v>2007</v>
      </c>
      <c r="G187" s="731">
        <v>2010</v>
      </c>
      <c r="H187" s="731">
        <v>2015</v>
      </c>
      <c r="I187" s="731">
        <v>2020</v>
      </c>
      <c r="J187" s="731">
        <v>2025</v>
      </c>
      <c r="K187" s="731">
        <v>2030</v>
      </c>
      <c r="L187" s="731">
        <v>2035</v>
      </c>
      <c r="M187" s="731">
        <v>2040</v>
      </c>
      <c r="N187" s="731">
        <v>2045</v>
      </c>
      <c r="O187" s="731">
        <v>2050</v>
      </c>
    </row>
    <row r="188" spans="1:27" hidden="1" outlineLevel="2">
      <c r="A188" s="24"/>
      <c r="B188" s="2373"/>
    </row>
    <row r="189" spans="1:27" hidden="1" outlineLevel="2">
      <c r="A189" s="24"/>
      <c r="B189" s="2373"/>
      <c r="C189" s="731" t="s">
        <v>2233</v>
      </c>
      <c r="E189" s="20" t="s">
        <v>2139</v>
      </c>
      <c r="F189" s="2372">
        <f>F$158*F$167</f>
        <v>3.1942005542563492</v>
      </c>
      <c r="G189" s="2372">
        <f t="shared" ref="G189:N189" si="19">G$158*G$167</f>
        <v>4.118837689827104</v>
      </c>
      <c r="H189" s="2372">
        <f t="shared" si="19"/>
        <v>6.5092524901242363</v>
      </c>
      <c r="I189" s="2372">
        <f t="shared" si="19"/>
        <v>8.2501117206039911</v>
      </c>
      <c r="J189" s="2372">
        <f t="shared" si="19"/>
        <v>8.8521263803469203</v>
      </c>
      <c r="K189" s="2372">
        <f t="shared" si="19"/>
        <v>9.4940916373064272</v>
      </c>
      <c r="L189" s="2372">
        <f t="shared" si="19"/>
        <v>10.17851679809143</v>
      </c>
      <c r="M189" s="2372">
        <f t="shared" si="19"/>
        <v>10.908063216561361</v>
      </c>
      <c r="N189" s="2372">
        <f t="shared" si="19"/>
        <v>11.464484067732124</v>
      </c>
      <c r="O189" s="2372">
        <f>O$158*O$167</f>
        <v>12.049287974397791</v>
      </c>
    </row>
    <row r="190" spans="1:27" hidden="1" outlineLevel="2">
      <c r="A190" s="24"/>
      <c r="B190" s="2373"/>
      <c r="C190" s="246" t="s">
        <v>2230</v>
      </c>
      <c r="D190" s="121" t="s">
        <v>2178</v>
      </c>
      <c r="F190" s="27">
        <f t="array" ref="F190:F193">F189*$G$120:$G$123</f>
        <v>0.89437615519177782</v>
      </c>
      <c r="G190" s="27">
        <f t="array" ref="G190:G193">G189*$G$120:$G$123</f>
        <v>1.1532745531515891</v>
      </c>
      <c r="H190" s="27">
        <f t="array" ref="H190:H193">H189*$G$120:$G$123</f>
        <v>1.8225906972347863</v>
      </c>
      <c r="I190" s="27">
        <f t="array" ref="I190:I193">I189*$G$120:$G$123</f>
        <v>2.3100312817691178</v>
      </c>
      <c r="J190" s="27">
        <f t="array" ref="J190:J193">J189*$G$120:$G$123</f>
        <v>2.4785953864971377</v>
      </c>
      <c r="K190" s="27">
        <f t="array" ref="K190:K193">K189*$G$120:$G$123</f>
        <v>2.6583456584457998</v>
      </c>
      <c r="L190" s="27">
        <f t="array" ref="L190:L193">L189*$G$120:$G$123</f>
        <v>2.8499847034656005</v>
      </c>
      <c r="M190" s="27">
        <f t="array" ref="M190:M193">M189*$G$120:$G$123</f>
        <v>3.0542577006371814</v>
      </c>
      <c r="N190" s="27">
        <f t="array" ref="N190:N193">N189*$G$120:$G$123</f>
        <v>3.210055538964995</v>
      </c>
      <c r="O190" s="27">
        <f t="array" ref="O190:O193">O189*$G$120:$G$123</f>
        <v>3.3738006328313817</v>
      </c>
      <c r="R190" s="27"/>
      <c r="S190" s="27"/>
      <c r="T190" s="27"/>
      <c r="U190" s="27"/>
      <c r="V190" s="27"/>
      <c r="W190" s="27"/>
      <c r="X190" s="27"/>
      <c r="Y190" s="27"/>
      <c r="Z190" s="27"/>
      <c r="AA190" s="27"/>
    </row>
    <row r="191" spans="1:27" hidden="1" outlineLevel="2">
      <c r="A191" s="24"/>
      <c r="B191" s="2373"/>
      <c r="D191" s="121" t="s">
        <v>2179</v>
      </c>
      <c r="F191" s="27">
        <v>1.0540861829045953</v>
      </c>
      <c r="G191" s="27">
        <v>1.3592164376429443</v>
      </c>
      <c r="H191" s="27">
        <v>2.1480533217409983</v>
      </c>
      <c r="I191" s="27">
        <v>2.7225368677993171</v>
      </c>
      <c r="J191" s="27">
        <v>2.9212017055144837</v>
      </c>
      <c r="K191" s="27">
        <v>3.1330502403111211</v>
      </c>
      <c r="L191" s="27">
        <v>3.3589105433701718</v>
      </c>
      <c r="M191" s="27">
        <v>3.5996608614652494</v>
      </c>
      <c r="N191" s="27">
        <v>3.7832797423516014</v>
      </c>
      <c r="O191" s="27">
        <v>3.9762650315512711</v>
      </c>
      <c r="R191" s="27"/>
      <c r="S191" s="27"/>
      <c r="T191" s="27"/>
      <c r="U191" s="27"/>
      <c r="V191" s="27"/>
      <c r="W191" s="27"/>
      <c r="X191" s="27"/>
      <c r="Y191" s="27"/>
      <c r="Z191" s="27"/>
      <c r="AA191" s="27"/>
    </row>
    <row r="192" spans="1:27" hidden="1" outlineLevel="2">
      <c r="A192" s="24"/>
      <c r="B192" s="2373"/>
      <c r="D192" s="121" t="s">
        <v>2180</v>
      </c>
      <c r="F192" s="27">
        <v>0.44718807759588891</v>
      </c>
      <c r="G192" s="27">
        <v>0.57663727657579456</v>
      </c>
      <c r="H192" s="27">
        <v>0.91129534861739314</v>
      </c>
      <c r="I192" s="27">
        <v>1.1550156408845589</v>
      </c>
      <c r="J192" s="27">
        <v>1.2392976932485689</v>
      </c>
      <c r="K192" s="27">
        <v>1.3291728292228999</v>
      </c>
      <c r="L192" s="27">
        <v>1.4249923517328003</v>
      </c>
      <c r="M192" s="27">
        <v>1.5271288503185907</v>
      </c>
      <c r="N192" s="27">
        <v>1.6050277694824975</v>
      </c>
      <c r="O192" s="27">
        <v>1.6869003164156908</v>
      </c>
      <c r="R192" s="27"/>
      <c r="S192" s="27"/>
      <c r="T192" s="27"/>
      <c r="U192" s="27"/>
      <c r="V192" s="27"/>
      <c r="W192" s="27"/>
      <c r="X192" s="27"/>
      <c r="Y192" s="27"/>
      <c r="Z192" s="27"/>
      <c r="AA192" s="27"/>
    </row>
    <row r="193" spans="1:27" hidden="1" outlineLevel="2">
      <c r="A193" s="24"/>
      <c r="B193" s="2373"/>
      <c r="D193" s="121" t="s">
        <v>2181</v>
      </c>
      <c r="F193" s="27">
        <v>0.7985501385640873</v>
      </c>
      <c r="G193" s="27">
        <v>1.029709422456776</v>
      </c>
      <c r="H193" s="27">
        <v>1.6273131225310591</v>
      </c>
      <c r="I193" s="27">
        <v>2.0625279301509978</v>
      </c>
      <c r="J193" s="27">
        <v>2.2130315950867301</v>
      </c>
      <c r="K193" s="27">
        <v>2.3735229093266068</v>
      </c>
      <c r="L193" s="27">
        <v>2.5446291995228574</v>
      </c>
      <c r="M193" s="27">
        <v>2.7270158041403403</v>
      </c>
      <c r="N193" s="27">
        <v>2.8661210169330311</v>
      </c>
      <c r="O193" s="27">
        <v>3.0123219935994476</v>
      </c>
      <c r="R193" s="27"/>
      <c r="S193" s="27"/>
      <c r="T193" s="27"/>
      <c r="U193" s="27"/>
      <c r="V193" s="27"/>
      <c r="W193" s="27"/>
      <c r="X193" s="27"/>
      <c r="Y193" s="27"/>
      <c r="Z193" s="27"/>
      <c r="AA193" s="27"/>
    </row>
    <row r="194" spans="1:27" hidden="1" outlineLevel="2">
      <c r="A194" s="24"/>
      <c r="B194" s="2373"/>
      <c r="F194" s="27"/>
      <c r="G194" s="27"/>
      <c r="H194" s="27"/>
      <c r="I194" s="27"/>
      <c r="J194" s="27"/>
      <c r="K194" s="27"/>
      <c r="L194" s="27"/>
      <c r="M194" s="27"/>
      <c r="N194" s="27"/>
      <c r="O194" s="27"/>
    </row>
    <row r="195" spans="1:27" hidden="1" outlineLevel="2">
      <c r="A195" s="24"/>
      <c r="B195" s="2373"/>
      <c r="C195" s="731" t="s">
        <v>2234</v>
      </c>
      <c r="E195" s="20" t="s">
        <v>2139</v>
      </c>
      <c r="F195" s="2372">
        <f>F$159*F$168</f>
        <v>7.0349557922954666</v>
      </c>
      <c r="G195" s="2372">
        <f t="shared" ref="G195:O195" si="20">G$159*G$168</f>
        <v>9.0713906567209932</v>
      </c>
      <c r="H195" s="2372">
        <f t="shared" si="20"/>
        <v>14.336076502113752</v>
      </c>
      <c r="I195" s="2372">
        <f t="shared" si="20"/>
        <v>18.170171299547601</v>
      </c>
      <c r="J195" s="2372">
        <f t="shared" si="20"/>
        <v>19.496057525433407</v>
      </c>
      <c r="K195" s="2372">
        <f t="shared" si="20"/>
        <v>20.909931553124558</v>
      </c>
      <c r="L195" s="2372">
        <f t="shared" si="20"/>
        <v>22.417319917590664</v>
      </c>
      <c r="M195" s="2372">
        <f t="shared" si="20"/>
        <v>24.024084024974123</v>
      </c>
      <c r="N195" s="2372">
        <f t="shared" si="20"/>
        <v>25.249553754694663</v>
      </c>
      <c r="O195" s="2372">
        <f t="shared" si="20"/>
        <v>26.537534756724281</v>
      </c>
    </row>
    <row r="196" spans="1:27" hidden="1" outlineLevel="2">
      <c r="A196" s="24"/>
      <c r="B196" s="2373"/>
      <c r="C196" s="246" t="s">
        <v>2230</v>
      </c>
      <c r="D196" s="121" t="s">
        <v>2178</v>
      </c>
      <c r="F196" s="27">
        <f t="array" ref="F196:F199">F195*$H$120:$H$123</f>
        <v>0.91454425299841069</v>
      </c>
      <c r="G196" s="27">
        <f t="array" ref="G196:G199">G195*$H$120:$H$123</f>
        <v>1.1792807853737293</v>
      </c>
      <c r="H196" s="27">
        <f t="array" ref="H196:H199">H195*$H$120:$H$123</f>
        <v>1.8636899452747877</v>
      </c>
      <c r="I196" s="27">
        <f t="array" ref="I196:I199">I195*$H$120:$H$123</f>
        <v>2.3621222689411883</v>
      </c>
      <c r="J196" s="27">
        <f t="array" ref="J196:J199">J195*$H$120:$H$123</f>
        <v>2.5344874783063429</v>
      </c>
      <c r="K196" s="27">
        <f t="array" ref="K196:K199">K195*$H$120:$H$123</f>
        <v>2.7182911019061926</v>
      </c>
      <c r="L196" s="27">
        <f t="array" ref="L196:L199">L195*$H$120:$H$123</f>
        <v>2.9142515892867866</v>
      </c>
      <c r="M196" s="27">
        <f t="array" ref="M196:M199">M195*$H$120:$H$123</f>
        <v>3.1231309232466362</v>
      </c>
      <c r="N196" s="27">
        <f t="array" ref="N196:N199">N195*$H$120:$H$123</f>
        <v>3.2824419881103064</v>
      </c>
      <c r="O196" s="27">
        <f t="array" ref="O196:O199">O195*$H$120:$H$123</f>
        <v>3.4498795183741566</v>
      </c>
      <c r="R196" s="27"/>
      <c r="S196" s="27"/>
      <c r="T196" s="27"/>
      <c r="U196" s="27"/>
      <c r="V196" s="27"/>
      <c r="W196" s="27"/>
      <c r="X196" s="27"/>
      <c r="Y196" s="27"/>
      <c r="Z196" s="27"/>
      <c r="AA196" s="27"/>
    </row>
    <row r="197" spans="1:27" hidden="1" outlineLevel="2">
      <c r="A197" s="24"/>
      <c r="B197" s="2373"/>
      <c r="D197" s="121" t="s">
        <v>2179</v>
      </c>
      <c r="F197" s="27">
        <v>0.70349557922954675</v>
      </c>
      <c r="G197" s="27">
        <v>0.90713906567209934</v>
      </c>
      <c r="H197" s="27">
        <v>1.4336076502113753</v>
      </c>
      <c r="I197" s="27">
        <v>1.8170171299547602</v>
      </c>
      <c r="J197" s="27">
        <v>1.9496057525433408</v>
      </c>
      <c r="K197" s="27">
        <v>2.0909931553124559</v>
      </c>
      <c r="L197" s="27">
        <v>2.2417319917590666</v>
      </c>
      <c r="M197" s="27">
        <v>2.4024084024974126</v>
      </c>
      <c r="N197" s="27">
        <v>2.5249553754694665</v>
      </c>
      <c r="O197" s="27">
        <v>2.6537534756724281</v>
      </c>
      <c r="R197" s="27"/>
      <c r="S197" s="27"/>
      <c r="T197" s="27"/>
      <c r="U197" s="27"/>
      <c r="V197" s="27"/>
      <c r="W197" s="27"/>
      <c r="X197" s="27"/>
      <c r="Y197" s="27"/>
      <c r="Z197" s="27"/>
      <c r="AA197" s="27"/>
    </row>
    <row r="198" spans="1:27" hidden="1" outlineLevel="2">
      <c r="A198" s="24"/>
      <c r="B198" s="2373"/>
      <c r="D198" s="121" t="s">
        <v>2180</v>
      </c>
      <c r="F198" s="27">
        <v>2.6732832010722776</v>
      </c>
      <c r="G198" s="27">
        <v>3.4471284495539773</v>
      </c>
      <c r="H198" s="27">
        <v>5.4477090708032261</v>
      </c>
      <c r="I198" s="27">
        <v>6.904665093828088</v>
      </c>
      <c r="J198" s="27">
        <v>7.4085018596646952</v>
      </c>
      <c r="K198" s="27">
        <v>7.9457739901873321</v>
      </c>
      <c r="L198" s="27">
        <v>8.5185815686844517</v>
      </c>
      <c r="M198" s="27">
        <v>9.1291519294901669</v>
      </c>
      <c r="N198" s="27">
        <v>9.5948304267839717</v>
      </c>
      <c r="O198" s="27">
        <v>10.084263207555226</v>
      </c>
      <c r="R198" s="27"/>
      <c r="S198" s="27"/>
      <c r="T198" s="27"/>
      <c r="U198" s="27"/>
      <c r="V198" s="27"/>
      <c r="W198" s="27"/>
      <c r="X198" s="27"/>
      <c r="Y198" s="27"/>
      <c r="Z198" s="27"/>
      <c r="AA198" s="27"/>
    </row>
    <row r="199" spans="1:27" hidden="1" outlineLevel="2">
      <c r="A199" s="24"/>
      <c r="B199" s="2373"/>
      <c r="D199" s="121" t="s">
        <v>2181</v>
      </c>
      <c r="F199" s="27">
        <v>2.7436327589952323</v>
      </c>
      <c r="G199" s="27">
        <v>3.5378423561211876</v>
      </c>
      <c r="H199" s="27">
        <v>5.5910698358243636</v>
      </c>
      <c r="I199" s="27">
        <v>7.0863668068235643</v>
      </c>
      <c r="J199" s="27">
        <v>7.6034624349190292</v>
      </c>
      <c r="K199" s="27">
        <v>8.1548733057185778</v>
      </c>
      <c r="L199" s="27">
        <v>8.7427547678603599</v>
      </c>
      <c r="M199" s="27">
        <v>9.3693927697399086</v>
      </c>
      <c r="N199" s="27">
        <v>9.8473259643309188</v>
      </c>
      <c r="O199" s="27">
        <v>10.349638555122469</v>
      </c>
      <c r="R199" s="27"/>
      <c r="S199" s="27"/>
      <c r="T199" s="27"/>
      <c r="U199" s="27"/>
      <c r="V199" s="27"/>
      <c r="W199" s="27"/>
      <c r="X199" s="27"/>
      <c r="Y199" s="27"/>
      <c r="Z199" s="27"/>
      <c r="AA199" s="27"/>
    </row>
    <row r="200" spans="1:27" hidden="1" outlineLevel="2">
      <c r="A200" s="24"/>
      <c r="B200" s="2373"/>
      <c r="F200" s="27"/>
      <c r="G200" s="27"/>
      <c r="H200" s="27"/>
      <c r="I200" s="27"/>
      <c r="J200" s="27"/>
      <c r="K200" s="27"/>
      <c r="L200" s="27"/>
      <c r="M200" s="27"/>
      <c r="N200" s="27"/>
      <c r="O200" s="27"/>
    </row>
    <row r="201" spans="1:27" hidden="1" outlineLevel="2">
      <c r="A201" s="24"/>
      <c r="B201" s="2373"/>
      <c r="C201" s="731" t="s">
        <v>2187</v>
      </c>
      <c r="E201" s="20" t="s">
        <v>2139</v>
      </c>
      <c r="F201" s="2372">
        <f>F$160*F$169</f>
        <v>0</v>
      </c>
      <c r="G201" s="2372">
        <f t="shared" ref="G201:O201" si="21">G$160*G$169</f>
        <v>0</v>
      </c>
      <c r="H201" s="2372">
        <f t="shared" si="21"/>
        <v>0.26156031368156407</v>
      </c>
      <c r="I201" s="2372">
        <f t="shared" si="21"/>
        <v>0.5635494839602565</v>
      </c>
      <c r="J201" s="2372">
        <f t="shared" si="21"/>
        <v>1.1845923427417966</v>
      </c>
      <c r="K201" s="2372">
        <f t="shared" si="21"/>
        <v>1.8675276862396977</v>
      </c>
      <c r="L201" s="2372">
        <f t="shared" si="21"/>
        <v>2.6170538227705626</v>
      </c>
      <c r="M201" s="2372">
        <f t="shared" si="21"/>
        <v>3.4381873367306062</v>
      </c>
      <c r="N201" s="2372">
        <f t="shared" si="21"/>
        <v>3.6135694450304197</v>
      </c>
      <c r="O201" s="2372">
        <f t="shared" si="21"/>
        <v>3.7978978034612503</v>
      </c>
    </row>
    <row r="202" spans="1:27" hidden="1" outlineLevel="2">
      <c r="A202" s="24"/>
      <c r="B202" s="2373"/>
      <c r="C202" s="246" t="s">
        <v>2230</v>
      </c>
      <c r="D202" s="121" t="s">
        <v>2178</v>
      </c>
      <c r="F202" s="27">
        <f t="array" ref="F202:F205">F201*$I$120:$I$123</f>
        <v>0</v>
      </c>
      <c r="G202" s="27">
        <f t="array" ref="G202:G205">G201*$I$120:$I$123</f>
        <v>0</v>
      </c>
      <c r="H202" s="27">
        <f t="array" ref="H202:H205">H201*$I$120:$I$123</f>
        <v>0.26156031368156407</v>
      </c>
      <c r="I202" s="27">
        <f t="array" ref="I202:I205">I201*$I$120:$I$123</f>
        <v>0.5635494839602565</v>
      </c>
      <c r="J202" s="27">
        <f t="array" ref="J202:J205">J201*$I$120:$I$123</f>
        <v>1.1845923427417966</v>
      </c>
      <c r="K202" s="27">
        <f t="array" ref="K202:K205">K201*$I$120:$I$123</f>
        <v>1.8675276862396977</v>
      </c>
      <c r="L202" s="27">
        <f t="array" ref="L202:L205">L201*$I$120:$I$123</f>
        <v>2.6170538227705626</v>
      </c>
      <c r="M202" s="27">
        <f t="array" ref="M202:M205">M201*$I$120:$I$123</f>
        <v>3.4381873367306062</v>
      </c>
      <c r="N202" s="27">
        <f t="array" ref="N202:N205">N201*$I$120:$I$123</f>
        <v>3.6135694450304197</v>
      </c>
      <c r="O202" s="27">
        <f t="array" ref="O202:O205">O201*$I$120:$I$123</f>
        <v>3.7978978034612503</v>
      </c>
      <c r="R202" s="27"/>
      <c r="S202" s="27"/>
      <c r="T202" s="27"/>
      <c r="U202" s="27"/>
      <c r="V202" s="27"/>
      <c r="W202" s="27"/>
      <c r="X202" s="27"/>
      <c r="Y202" s="27"/>
      <c r="Z202" s="27"/>
      <c r="AA202" s="27"/>
    </row>
    <row r="203" spans="1:27" hidden="1" outlineLevel="2">
      <c r="A203" s="24"/>
      <c r="B203" s="2373"/>
      <c r="D203" s="121" t="s">
        <v>2179</v>
      </c>
      <c r="F203" s="27">
        <v>0</v>
      </c>
      <c r="G203" s="27">
        <v>0</v>
      </c>
      <c r="H203" s="27">
        <v>0</v>
      </c>
      <c r="I203" s="27">
        <v>0</v>
      </c>
      <c r="J203" s="27">
        <v>0</v>
      </c>
      <c r="K203" s="27">
        <v>0</v>
      </c>
      <c r="L203" s="27">
        <v>0</v>
      </c>
      <c r="M203" s="27">
        <v>0</v>
      </c>
      <c r="N203" s="27">
        <v>0</v>
      </c>
      <c r="O203" s="27">
        <v>0</v>
      </c>
      <c r="R203" s="27"/>
      <c r="S203" s="27"/>
      <c r="T203" s="27"/>
      <c r="U203" s="27"/>
      <c r="V203" s="27"/>
      <c r="W203" s="27"/>
      <c r="X203" s="27"/>
      <c r="Y203" s="27"/>
      <c r="Z203" s="27"/>
      <c r="AA203" s="27"/>
    </row>
    <row r="204" spans="1:27" hidden="1" outlineLevel="2">
      <c r="A204" s="24"/>
      <c r="B204" s="2373"/>
      <c r="D204" s="121" t="s">
        <v>2180</v>
      </c>
      <c r="F204" s="27">
        <v>0</v>
      </c>
      <c r="G204" s="27">
        <v>0</v>
      </c>
      <c r="H204" s="27">
        <v>0</v>
      </c>
      <c r="I204" s="27">
        <v>0</v>
      </c>
      <c r="J204" s="27">
        <v>0</v>
      </c>
      <c r="K204" s="27">
        <v>0</v>
      </c>
      <c r="L204" s="27">
        <v>0</v>
      </c>
      <c r="M204" s="27">
        <v>0</v>
      </c>
      <c r="N204" s="27">
        <v>0</v>
      </c>
      <c r="O204" s="27">
        <v>0</v>
      </c>
      <c r="R204" s="27"/>
      <c r="S204" s="27"/>
      <c r="T204" s="27"/>
      <c r="U204" s="27"/>
      <c r="V204" s="27"/>
      <c r="W204" s="27"/>
      <c r="X204" s="27"/>
      <c r="Y204" s="27"/>
      <c r="Z204" s="27"/>
      <c r="AA204" s="27"/>
    </row>
    <row r="205" spans="1:27" hidden="1" outlineLevel="2">
      <c r="A205" s="24"/>
      <c r="B205" s="2373"/>
      <c r="D205" s="121" t="s">
        <v>2181</v>
      </c>
      <c r="F205" s="27">
        <v>0</v>
      </c>
      <c r="G205" s="27">
        <v>0</v>
      </c>
      <c r="H205" s="27">
        <v>0</v>
      </c>
      <c r="I205" s="27">
        <v>0</v>
      </c>
      <c r="J205" s="27">
        <v>0</v>
      </c>
      <c r="K205" s="27">
        <v>0</v>
      </c>
      <c r="L205" s="27">
        <v>0</v>
      </c>
      <c r="M205" s="27">
        <v>0</v>
      </c>
      <c r="N205" s="27">
        <v>0</v>
      </c>
      <c r="O205" s="27">
        <v>0</v>
      </c>
      <c r="R205" s="27"/>
      <c r="S205" s="27"/>
      <c r="T205" s="27"/>
      <c r="U205" s="27"/>
      <c r="V205" s="27"/>
      <c r="W205" s="27"/>
      <c r="X205" s="27"/>
      <c r="Y205" s="27"/>
      <c r="Z205" s="27"/>
      <c r="AA205" s="27"/>
    </row>
    <row r="206" spans="1:27" hidden="1" outlineLevel="2">
      <c r="A206" s="24"/>
      <c r="B206" s="2373"/>
    </row>
    <row r="207" spans="1:27" hidden="1" outlineLevel="2">
      <c r="A207" s="24"/>
      <c r="B207" s="2373"/>
      <c r="C207" s="731" t="s">
        <v>2196</v>
      </c>
      <c r="E207" s="731"/>
    </row>
    <row r="208" spans="1:27" hidden="1" outlineLevel="2">
      <c r="A208" s="24"/>
      <c r="B208" s="2373"/>
      <c r="C208" s="246" t="s">
        <v>2230</v>
      </c>
      <c r="D208" s="24" t="s">
        <v>2178</v>
      </c>
      <c r="E208" s="24" t="str">
        <f>Preferences.EnergyUnits</f>
        <v>TWh</v>
      </c>
      <c r="F208" s="823">
        <f>(F190+F196+F202)*INDEX($F$128:$F$133, MATCH($D208, $C$128:$C$133, 0))</f>
        <v>8.0396462586230601</v>
      </c>
      <c r="G208" s="823">
        <f t="shared" ref="G208:O210" si="22">(G190+G196+G202)*INDEX($F$128:$F$133, MATCH($D208, $C$128:$C$133, 0))</f>
        <v>10.366912615668081</v>
      </c>
      <c r="H208" s="823">
        <f t="shared" si="22"/>
        <v>17.545959805293947</v>
      </c>
      <c r="I208" s="823">
        <f t="shared" si="22"/>
        <v>23.2697912652025</v>
      </c>
      <c r="J208" s="823">
        <f t="shared" si="22"/>
        <v>27.545223144645679</v>
      </c>
      <c r="K208" s="823">
        <f t="shared" si="22"/>
        <v>32.1962864292964</v>
      </c>
      <c r="L208" s="823">
        <f t="shared" si="22"/>
        <v>37.250178291213111</v>
      </c>
      <c r="M208" s="823">
        <f t="shared" si="22"/>
        <v>42.735893158286338</v>
      </c>
      <c r="N208" s="823">
        <f t="shared" si="22"/>
        <v>44.915853209358758</v>
      </c>
      <c r="O208" s="823">
        <f t="shared" si="22"/>
        <v>47.207013131852399</v>
      </c>
    </row>
    <row r="209" spans="1:15" hidden="1" outlineLevel="2">
      <c r="A209" s="24"/>
      <c r="B209" s="2373"/>
      <c r="D209" s="24" t="s">
        <v>2179</v>
      </c>
      <c r="E209" s="24" t="str">
        <f>Preferences.EnergyUnits</f>
        <v>TWh</v>
      </c>
      <c r="F209" s="823">
        <f>(F191+F197+F203)*INDEX($F$128:$F$133, MATCH($D209, $C$128:$C$133, 0))</f>
        <v>2.4410857807418638</v>
      </c>
      <c r="G209" s="823">
        <f t="shared" si="22"/>
        <v>3.1477159768264498</v>
      </c>
      <c r="H209" s="823">
        <f t="shared" si="22"/>
        <v>4.9745291277116301</v>
      </c>
      <c r="I209" s="823">
        <f t="shared" si="22"/>
        <v>6.3049361079917734</v>
      </c>
      <c r="J209" s="823">
        <f t="shared" si="22"/>
        <v>6.7650103584136447</v>
      </c>
      <c r="K209" s="823">
        <f t="shared" si="22"/>
        <v>7.2556158272549673</v>
      </c>
      <c r="L209" s="823">
        <f t="shared" si="22"/>
        <v>7.7786701876794977</v>
      </c>
      <c r="M209" s="823">
        <f t="shared" si="22"/>
        <v>8.3362073110592529</v>
      </c>
      <c r="N209" s="823">
        <f t="shared" si="22"/>
        <v>8.7614376636403719</v>
      </c>
      <c r="O209" s="823">
        <f t="shared" si="22"/>
        <v>9.208359037810693</v>
      </c>
    </row>
    <row r="210" spans="1:15" hidden="1" outlineLevel="2">
      <c r="A210" s="24"/>
      <c r="B210" s="2373"/>
      <c r="D210" s="24" t="s">
        <v>2180</v>
      </c>
      <c r="E210" s="24" t="str">
        <f>Preferences.EnergyUnits</f>
        <v>TWh</v>
      </c>
      <c r="F210" s="823">
        <f>(F192+F198+F204)*INDEX($F$128:$F$133, MATCH($D210, $C$128:$C$133, 0))</f>
        <v>26.003927322234723</v>
      </c>
      <c r="G210" s="823">
        <f t="shared" si="22"/>
        <v>33.531381051081439</v>
      </c>
      <c r="H210" s="823">
        <f t="shared" si="22"/>
        <v>52.991703495171834</v>
      </c>
      <c r="I210" s="823">
        <f t="shared" si="22"/>
        <v>67.164006122605386</v>
      </c>
      <c r="J210" s="823">
        <f t="shared" si="22"/>
        <v>72.064996274277206</v>
      </c>
      <c r="K210" s="823">
        <f t="shared" si="22"/>
        <v>77.291223495085276</v>
      </c>
      <c r="L210" s="823">
        <f t="shared" si="22"/>
        <v>82.863116003477103</v>
      </c>
      <c r="M210" s="823">
        <f t="shared" si="22"/>
        <v>88.802339831739644</v>
      </c>
      <c r="N210" s="823">
        <f t="shared" si="22"/>
        <v>93.332151635553913</v>
      </c>
      <c r="O210" s="823">
        <f t="shared" si="22"/>
        <v>98.093029366424318</v>
      </c>
    </row>
    <row r="211" spans="1:15" hidden="1" outlineLevel="2">
      <c r="A211" s="24"/>
      <c r="B211" s="2373"/>
    </row>
    <row r="212" spans="1:15" hidden="1" outlineLevel="2">
      <c r="A212" s="24"/>
      <c r="B212" s="2373"/>
      <c r="C212" s="2378" t="s">
        <v>2436</v>
      </c>
      <c r="D212" s="2379"/>
      <c r="E212" s="2379"/>
      <c r="F212" s="2379"/>
      <c r="G212" s="2379"/>
      <c r="H212" s="2379"/>
      <c r="I212" s="2379"/>
      <c r="J212" s="2379"/>
      <c r="K212" s="2379"/>
      <c r="L212" s="2379"/>
      <c r="M212" s="2379"/>
      <c r="N212" s="2379"/>
      <c r="O212" s="2379"/>
    </row>
    <row r="213" spans="1:15" hidden="1" outlineLevel="2">
      <c r="A213" s="24"/>
      <c r="B213" s="2373"/>
      <c r="C213" s="2380" t="s">
        <v>755</v>
      </c>
      <c r="D213" s="1600" t="str">
        <f>INDEX(Vectors[Description], MATCH(C213, Vectors[Code], 0))</f>
        <v>Dry biomatter and waste</v>
      </c>
      <c r="E213" s="1600" t="str">
        <f>Preferences.EnergyUnits</f>
        <v>TWh</v>
      </c>
      <c r="F213" s="2381">
        <f t="shared" ref="F213:O213" si="23">F208+F209</f>
        <v>10.480732039364923</v>
      </c>
      <c r="G213" s="2381">
        <f t="shared" si="23"/>
        <v>13.514628592494532</v>
      </c>
      <c r="H213" s="2381">
        <f t="shared" si="23"/>
        <v>22.520488933005577</v>
      </c>
      <c r="I213" s="2381">
        <f t="shared" si="23"/>
        <v>29.574727373194271</v>
      </c>
      <c r="J213" s="2381">
        <f t="shared" si="23"/>
        <v>34.310233503059322</v>
      </c>
      <c r="K213" s="2381">
        <f t="shared" si="23"/>
        <v>39.451902256551364</v>
      </c>
      <c r="L213" s="2381">
        <f t="shared" si="23"/>
        <v>45.028848478892606</v>
      </c>
      <c r="M213" s="2381">
        <f t="shared" si="23"/>
        <v>51.072100469345592</v>
      </c>
      <c r="N213" s="2381">
        <f t="shared" si="23"/>
        <v>53.67729087299913</v>
      </c>
      <c r="O213" s="2381">
        <f t="shared" si="23"/>
        <v>56.415372169663094</v>
      </c>
    </row>
    <row r="214" spans="1:15" hidden="1" outlineLevel="2">
      <c r="A214" s="24"/>
      <c r="B214" s="2373"/>
      <c r="C214" s="2382" t="s">
        <v>47</v>
      </c>
      <c r="D214" s="2383" t="str">
        <f>INDEX(Vectors[Description], MATCH(C214, Vectors[Code], 0))</f>
        <v>Solid hydrocarbons</v>
      </c>
      <c r="E214" s="2383" t="str">
        <f>Preferences.EnergyUnits</f>
        <v>TWh</v>
      </c>
      <c r="F214" s="2384">
        <f t="shared" ref="F214:O214" si="24">F210</f>
        <v>26.003927322234723</v>
      </c>
      <c r="G214" s="2384">
        <f t="shared" si="24"/>
        <v>33.531381051081439</v>
      </c>
      <c r="H214" s="2384">
        <f t="shared" si="24"/>
        <v>52.991703495171834</v>
      </c>
      <c r="I214" s="2384">
        <f t="shared" si="24"/>
        <v>67.164006122605386</v>
      </c>
      <c r="J214" s="2384">
        <f t="shared" si="24"/>
        <v>72.064996274277206</v>
      </c>
      <c r="K214" s="2384">
        <f t="shared" si="24"/>
        <v>77.291223495085276</v>
      </c>
      <c r="L214" s="2384">
        <f t="shared" si="24"/>
        <v>82.863116003477103</v>
      </c>
      <c r="M214" s="2384">
        <f t="shared" si="24"/>
        <v>88.802339831739644</v>
      </c>
      <c r="N214" s="2384">
        <f t="shared" si="24"/>
        <v>93.332151635553913</v>
      </c>
      <c r="O214" s="2384">
        <f t="shared" si="24"/>
        <v>98.093029366424318</v>
      </c>
    </row>
    <row r="215" spans="1:15" hidden="1" outlineLevel="2">
      <c r="A215" s="24"/>
      <c r="B215" s="2373"/>
      <c r="C215" s="731"/>
      <c r="D215" s="731"/>
      <c r="E215" s="731"/>
      <c r="F215" s="2372"/>
      <c r="G215" s="2372"/>
      <c r="H215" s="2372"/>
      <c r="I215" s="2372"/>
      <c r="J215" s="2372"/>
      <c r="K215" s="2372"/>
      <c r="L215" s="2372"/>
      <c r="M215" s="2372"/>
      <c r="N215" s="2372"/>
      <c r="O215" s="2372"/>
    </row>
    <row r="216" spans="1:15" hidden="1" outlineLevel="2">
      <c r="A216" s="24"/>
      <c r="B216" s="2373"/>
    </row>
    <row r="217" spans="1:15" hidden="1" outlineLevel="1">
      <c r="A217" s="24"/>
      <c r="B217" s="731">
        <v>2</v>
      </c>
      <c r="C217" s="731" t="s">
        <v>2189</v>
      </c>
      <c r="F217" s="731">
        <v>2007</v>
      </c>
      <c r="G217" s="731">
        <v>2010</v>
      </c>
      <c r="H217" s="731">
        <v>2015</v>
      </c>
      <c r="I217" s="731">
        <v>2020</v>
      </c>
      <c r="J217" s="731">
        <v>2025</v>
      </c>
      <c r="K217" s="731">
        <v>2030</v>
      </c>
      <c r="L217" s="731">
        <v>2035</v>
      </c>
      <c r="M217" s="731">
        <v>2040</v>
      </c>
      <c r="N217" s="731">
        <v>2045</v>
      </c>
      <c r="O217" s="731">
        <v>2050</v>
      </c>
    </row>
    <row r="218" spans="1:15" hidden="1" outlineLevel="2">
      <c r="A218" s="24"/>
      <c r="B218" s="2373"/>
    </row>
    <row r="219" spans="1:15" hidden="1" outlineLevel="2">
      <c r="A219" s="24"/>
      <c r="B219" s="2373"/>
      <c r="C219" s="121" t="s">
        <v>2231</v>
      </c>
      <c r="E219" s="121" t="s">
        <v>2139</v>
      </c>
      <c r="F219" s="2372">
        <f t="shared" ref="F219:O219" si="25">F$158*F$175</f>
        <v>12.876793810833417</v>
      </c>
      <c r="G219" s="2372">
        <f t="shared" si="25"/>
        <v>16.204917414820656</v>
      </c>
      <c r="H219" s="2372">
        <f t="shared" si="25"/>
        <v>18.539498295511777</v>
      </c>
      <c r="I219" s="2372">
        <f t="shared" si="25"/>
        <v>21.10875887527521</v>
      </c>
      <c r="J219" s="2372">
        <f t="shared" si="25"/>
        <v>22.18551772305182</v>
      </c>
      <c r="K219" s="2372">
        <f t="shared" si="25"/>
        <v>23.317202093599128</v>
      </c>
      <c r="L219" s="2372">
        <f t="shared" si="25"/>
        <v>24.50661374058544</v>
      </c>
      <c r="M219" s="2372">
        <f t="shared" si="25"/>
        <v>25.756697335274051</v>
      </c>
      <c r="N219" s="2372">
        <f t="shared" si="25"/>
        <v>27.070547756756923</v>
      </c>
      <c r="O219" s="2372">
        <f t="shared" si="25"/>
        <v>28.451417754063531</v>
      </c>
    </row>
    <row r="220" spans="1:15" hidden="1" outlineLevel="2">
      <c r="A220" s="24"/>
      <c r="B220" s="2373"/>
      <c r="C220" s="246" t="s">
        <v>2230</v>
      </c>
      <c r="D220" s="121" t="s">
        <v>2195</v>
      </c>
      <c r="F220" s="27">
        <f>F219*$G$121*INDEX(F$79:F$81,MATCH($E$7,$C$79:$C$81))</f>
        <v>0</v>
      </c>
      <c r="G220" s="27">
        <f t="shared" ref="G220:N220" si="26">G219*$G$121*INDEX(G$79:G$81,MATCH($E$7,$C$79:$C$81))</f>
        <v>0</v>
      </c>
      <c r="H220" s="27">
        <f t="shared" si="26"/>
        <v>0</v>
      </c>
      <c r="I220" s="27">
        <f t="shared" si="26"/>
        <v>1.7414726072102049</v>
      </c>
      <c r="J220" s="27">
        <f t="shared" si="26"/>
        <v>5.8569766788856814</v>
      </c>
      <c r="K220" s="27">
        <f t="shared" si="26"/>
        <v>6.1557413527101703</v>
      </c>
      <c r="L220" s="27">
        <f t="shared" si="26"/>
        <v>6.4697460275145566</v>
      </c>
      <c r="M220" s="27">
        <f t="shared" si="26"/>
        <v>6.7997680965123495</v>
      </c>
      <c r="N220" s="27">
        <f t="shared" si="26"/>
        <v>7.1466246077838278</v>
      </c>
      <c r="O220" s="27">
        <f t="array" ref="O220">O219*$G$121*INDEX(O$79:O$81,MATCH($E$7,$C$79:$C$81))</f>
        <v>7.5111742870727731</v>
      </c>
    </row>
    <row r="221" spans="1:15" hidden="1" outlineLevel="2">
      <c r="A221" s="24"/>
      <c r="B221" s="2376"/>
    </row>
    <row r="222" spans="1:15" hidden="1" outlineLevel="2">
      <c r="A222" s="24"/>
      <c r="B222" s="2377"/>
      <c r="C222" s="121" t="s">
        <v>2232</v>
      </c>
      <c r="E222" s="121" t="s">
        <v>2139</v>
      </c>
      <c r="F222" s="2372">
        <f>F$159*F$176</f>
        <v>28.360046173370893</v>
      </c>
      <c r="G222" s="2372">
        <f t="shared" ref="G222:O222" si="27">G$159*G$176</f>
        <v>35.689956123498042</v>
      </c>
      <c r="H222" s="2372">
        <f t="shared" si="27"/>
        <v>40.831672496728054</v>
      </c>
      <c r="I222" s="2372">
        <f t="shared" si="27"/>
        <v>46.490251001899956</v>
      </c>
      <c r="J222" s="2372">
        <f t="shared" si="27"/>
        <v>48.861721034668463</v>
      </c>
      <c r="K222" s="2372">
        <f t="shared" si="27"/>
        <v>51.354159872619107</v>
      </c>
      <c r="L222" s="2372">
        <f t="shared" si="27"/>
        <v>53.973738140564812</v>
      </c>
      <c r="M222" s="2372">
        <f t="shared" si="27"/>
        <v>56.726941227199298</v>
      </c>
      <c r="N222" s="2372">
        <f t="shared" si="27"/>
        <v>59.620585341218501</v>
      </c>
      <c r="O222" s="2372">
        <f t="shared" si="27"/>
        <v>62.66183438646538</v>
      </c>
    </row>
    <row r="223" spans="1:15" hidden="1" outlineLevel="2">
      <c r="A223" s="24"/>
      <c r="B223" s="2373"/>
      <c r="C223" s="246" t="s">
        <v>2230</v>
      </c>
      <c r="D223" s="121" t="s">
        <v>2195</v>
      </c>
      <c r="F223" s="27">
        <f>F222*$H$121*INDEX(F$79:F$81,MATCH($E$7,$C$79:$C$81))</f>
        <v>0</v>
      </c>
      <c r="G223" s="27">
        <f t="shared" ref="G223:O223" si="28">G222*$H$121*INDEX(G$79:G$81,MATCH($E$7,$C$79:$C$81))</f>
        <v>0</v>
      </c>
      <c r="H223" s="27">
        <f t="shared" si="28"/>
        <v>0</v>
      </c>
      <c r="I223" s="27">
        <f t="shared" si="28"/>
        <v>1.162256275047499</v>
      </c>
      <c r="J223" s="27">
        <f t="shared" si="28"/>
        <v>3.9089376827734776</v>
      </c>
      <c r="K223" s="27">
        <f t="shared" si="28"/>
        <v>4.1083327898095297</v>
      </c>
      <c r="L223" s="27">
        <f t="shared" si="28"/>
        <v>4.3178990512451856</v>
      </c>
      <c r="M223" s="27">
        <f t="shared" si="28"/>
        <v>4.5381552981759441</v>
      </c>
      <c r="N223" s="27">
        <f t="shared" si="28"/>
        <v>4.769646827297481</v>
      </c>
      <c r="O223" s="27">
        <f t="shared" si="28"/>
        <v>5.012946750917231</v>
      </c>
    </row>
    <row r="224" spans="1:15" hidden="1" outlineLevel="2">
      <c r="A224" s="24"/>
      <c r="B224" s="2373"/>
    </row>
    <row r="225" spans="1:15" hidden="1" outlineLevel="2">
      <c r="A225" s="24"/>
      <c r="B225" s="2373"/>
      <c r="C225" s="2378" t="s">
        <v>2197</v>
      </c>
      <c r="D225" s="2379"/>
      <c r="E225" s="2379"/>
      <c r="F225" s="2379"/>
      <c r="G225" s="2379"/>
      <c r="H225" s="2379"/>
      <c r="I225" s="2379"/>
      <c r="J225" s="2379"/>
      <c r="K225" s="2379"/>
      <c r="L225" s="2379"/>
      <c r="M225" s="2379"/>
      <c r="N225" s="2379"/>
      <c r="O225" s="2379"/>
    </row>
    <row r="226" spans="1:15" hidden="1" outlineLevel="2">
      <c r="A226" s="24"/>
      <c r="B226" s="2373"/>
      <c r="C226" s="2385" t="s">
        <v>929</v>
      </c>
      <c r="D226" s="2383" t="str">
        <f>INDEX(Vectors[Description], MATCH(C226, Vectors[Code], 0))</f>
        <v>Wet biomatter and waste</v>
      </c>
      <c r="E226" s="1553" t="str">
        <f>Preferences.EnergyUnits</f>
        <v>TWh</v>
      </c>
      <c r="F226" s="2386">
        <f t="shared" ref="F226:O226" si="29">(F$220+F$223)*$F$129</f>
        <v>0</v>
      </c>
      <c r="G226" s="2386">
        <f t="shared" si="29"/>
        <v>0</v>
      </c>
      <c r="H226" s="2386">
        <f t="shared" si="29"/>
        <v>0</v>
      </c>
      <c r="I226" s="2386">
        <f t="shared" si="29"/>
        <v>4.0329567809134774</v>
      </c>
      <c r="J226" s="2386">
        <f t="shared" si="29"/>
        <v>13.563769946748833</v>
      </c>
      <c r="K226" s="2386">
        <f t="shared" si="29"/>
        <v>14.25565853127736</v>
      </c>
      <c r="L226" s="2386">
        <f t="shared" si="29"/>
        <v>14.982840387166307</v>
      </c>
      <c r="M226" s="2386">
        <f t="shared" si="29"/>
        <v>15.747115825955962</v>
      </c>
      <c r="N226" s="2386">
        <f t="shared" si="29"/>
        <v>16.550376993168484</v>
      </c>
      <c r="O226" s="2386">
        <f t="shared" si="29"/>
        <v>17.394612552763892</v>
      </c>
    </row>
    <row r="227" spans="1:15" hidden="1" outlineLevel="2">
      <c r="A227" s="24"/>
      <c r="B227" s="2373"/>
    </row>
    <row r="228" spans="1:15" hidden="1" outlineLevel="2">
      <c r="A228" s="24"/>
      <c r="B228" s="2373"/>
    </row>
    <row r="229" spans="1:15" hidden="1" outlineLevel="2">
      <c r="A229" s="24"/>
      <c r="B229" s="2373"/>
    </row>
    <row r="230" spans="1:15" hidden="1" outlineLevel="1">
      <c r="B230" s="731">
        <v>3</v>
      </c>
      <c r="C230" s="731" t="s">
        <v>1672</v>
      </c>
    </row>
    <row r="231" spans="1:15" hidden="1" outlineLevel="2"/>
    <row r="232" spans="1:15" ht="14.25" hidden="1" outlineLevel="2">
      <c r="C232" s="731" t="s">
        <v>2203</v>
      </c>
      <c r="E232" s="731" t="s">
        <v>1466</v>
      </c>
      <c r="F232" s="783">
        <f>F$162</f>
        <v>3.9663246224836581</v>
      </c>
      <c r="G232" s="783">
        <f t="shared" ref="G232:O232" si="30">G$162</f>
        <v>3.9910430182228076</v>
      </c>
      <c r="H232" s="783">
        <f t="shared" si="30"/>
        <v>3.9245155609743536</v>
      </c>
      <c r="I232" s="783">
        <f t="shared" si="30"/>
        <v>3.7805579154057103</v>
      </c>
      <c r="J232" s="783">
        <f t="shared" si="30"/>
        <v>3.685189321026388</v>
      </c>
      <c r="K232" s="783">
        <f t="shared" si="30"/>
        <v>3.6769976782219675</v>
      </c>
      <c r="L232" s="783">
        <f t="shared" si="30"/>
        <v>3.7257409269698547</v>
      </c>
      <c r="M232" s="783">
        <f t="shared" si="30"/>
        <v>3.8128061743725055</v>
      </c>
      <c r="N232" s="783">
        <f t="shared" si="30"/>
        <v>3.9327656513080376</v>
      </c>
      <c r="O232" s="783">
        <f t="shared" si="30"/>
        <v>4.0798287381014715</v>
      </c>
    </row>
    <row r="233" spans="1:15" s="246" customFormat="1" hidden="1" outlineLevel="2">
      <c r="B233" s="2388" t="s">
        <v>838</v>
      </c>
      <c r="C233" s="246" t="s">
        <v>2202</v>
      </c>
      <c r="F233" s="1757">
        <f>INDEX(F$100:F$102, MATCH($E$7,$C$100:$C$102, 0))</f>
        <v>0.75</v>
      </c>
      <c r="G233" s="1757">
        <f t="shared" ref="G233:O233" si="31">INDEX(G$100:G$102, MATCH($E$7,$C$100:$C$102, 0))</f>
        <v>0.75</v>
      </c>
      <c r="H233" s="1757">
        <f t="shared" si="31"/>
        <v>0.75</v>
      </c>
      <c r="I233" s="1757">
        <f t="shared" si="31"/>
        <v>0.75</v>
      </c>
      <c r="J233" s="1757">
        <f t="shared" si="31"/>
        <v>0.75</v>
      </c>
      <c r="K233" s="1757">
        <f t="shared" si="31"/>
        <v>0.75</v>
      </c>
      <c r="L233" s="1757">
        <f t="shared" si="31"/>
        <v>0.75</v>
      </c>
      <c r="M233" s="1757">
        <f t="shared" si="31"/>
        <v>0.75</v>
      </c>
      <c r="N233" s="1757">
        <f t="shared" si="31"/>
        <v>0.75</v>
      </c>
      <c r="O233" s="1757">
        <f t="shared" si="31"/>
        <v>0.75</v>
      </c>
    </row>
    <row r="234" spans="1:15" s="246" customFormat="1" hidden="1" outlineLevel="2">
      <c r="B234" s="2388" t="s">
        <v>838</v>
      </c>
      <c r="C234" s="246" t="s">
        <v>2204</v>
      </c>
      <c r="F234" s="1757">
        <f>INDEX(F$107:F$109, MATCH($E$7,$C$107:$C$109, 0))</f>
        <v>0.4</v>
      </c>
      <c r="G234" s="1757">
        <f t="shared" ref="G234:O234" si="32">INDEX(G$107:G$109, MATCH($E$7,$C$107:$C$109, 0))</f>
        <v>0.4</v>
      </c>
      <c r="H234" s="1757">
        <f t="shared" si="32"/>
        <v>0.4</v>
      </c>
      <c r="I234" s="1757">
        <f t="shared" si="32"/>
        <v>0.4</v>
      </c>
      <c r="J234" s="1757">
        <f t="shared" si="32"/>
        <v>0.4</v>
      </c>
      <c r="K234" s="1757">
        <f t="shared" si="32"/>
        <v>0.4</v>
      </c>
      <c r="L234" s="1757">
        <f t="shared" si="32"/>
        <v>0.4</v>
      </c>
      <c r="M234" s="1757">
        <f t="shared" si="32"/>
        <v>0.4</v>
      </c>
      <c r="N234" s="1757">
        <f t="shared" si="32"/>
        <v>0.4</v>
      </c>
      <c r="O234" s="1757">
        <f t="shared" si="32"/>
        <v>0.4</v>
      </c>
    </row>
    <row r="235" spans="1:15" ht="14.25" hidden="1" outlineLevel="2">
      <c r="B235" s="1577" t="s">
        <v>840</v>
      </c>
      <c r="C235" s="731" t="s">
        <v>2207</v>
      </c>
      <c r="D235" s="731"/>
      <c r="E235" s="731" t="s">
        <v>1466</v>
      </c>
      <c r="F235" s="783">
        <f>F232*F233*F234</f>
        <v>1.1898973867450975</v>
      </c>
      <c r="G235" s="783">
        <f t="shared" ref="G235:O235" si="33">G232*G233*G234</f>
        <v>1.1973129054668423</v>
      </c>
      <c r="H235" s="783">
        <f t="shared" si="33"/>
        <v>1.1773546682923062</v>
      </c>
      <c r="I235" s="783">
        <f t="shared" si="33"/>
        <v>1.1341673746217131</v>
      </c>
      <c r="J235" s="783">
        <f t="shared" si="33"/>
        <v>1.1055567963079163</v>
      </c>
      <c r="K235" s="783">
        <f t="shared" si="33"/>
        <v>1.1030993034665904</v>
      </c>
      <c r="L235" s="783">
        <f t="shared" si="33"/>
        <v>1.1177222780909564</v>
      </c>
      <c r="M235" s="783">
        <f t="shared" si="33"/>
        <v>1.1438418523117517</v>
      </c>
      <c r="N235" s="783">
        <f t="shared" si="33"/>
        <v>1.1798296953924112</v>
      </c>
      <c r="O235" s="783">
        <f t="shared" si="33"/>
        <v>1.2239486214304414</v>
      </c>
    </row>
    <row r="236" spans="1:15" hidden="1" outlineLevel="2">
      <c r="B236" s="1577"/>
      <c r="C236" s="731"/>
      <c r="D236" s="731"/>
      <c r="E236" s="731"/>
      <c r="F236" s="783"/>
      <c r="G236" s="783"/>
      <c r="H236" s="783"/>
      <c r="I236" s="783"/>
      <c r="J236" s="783"/>
      <c r="K236" s="783"/>
      <c r="L236" s="783"/>
      <c r="M236" s="783"/>
      <c r="N236" s="783"/>
      <c r="O236" s="783"/>
    </row>
    <row r="237" spans="1:15" s="246" customFormat="1" hidden="1" outlineLevel="2">
      <c r="B237" s="2388" t="s">
        <v>838</v>
      </c>
      <c r="C237" s="246" t="s">
        <v>2205</v>
      </c>
      <c r="E237" s="1126"/>
      <c r="F237" s="1757">
        <f>(1-F233)</f>
        <v>0.25</v>
      </c>
      <c r="G237" s="1757">
        <f t="shared" ref="G237:O237" si="34">(1-G233)</f>
        <v>0.25</v>
      </c>
      <c r="H237" s="1757">
        <f t="shared" si="34"/>
        <v>0.25</v>
      </c>
      <c r="I237" s="1757">
        <f t="shared" si="34"/>
        <v>0.25</v>
      </c>
      <c r="J237" s="1757">
        <f t="shared" si="34"/>
        <v>0.25</v>
      </c>
      <c r="K237" s="1757">
        <f t="shared" si="34"/>
        <v>0.25</v>
      </c>
      <c r="L237" s="1757">
        <f t="shared" si="34"/>
        <v>0.25</v>
      </c>
      <c r="M237" s="1757">
        <f t="shared" si="34"/>
        <v>0.25</v>
      </c>
      <c r="N237" s="1757">
        <f t="shared" si="34"/>
        <v>0.25</v>
      </c>
      <c r="O237" s="1757">
        <f t="shared" si="34"/>
        <v>0.25</v>
      </c>
    </row>
    <row r="238" spans="1:15" ht="14.25" hidden="1" outlineLevel="2">
      <c r="B238" s="1577" t="s">
        <v>840</v>
      </c>
      <c r="C238" s="731" t="s">
        <v>2206</v>
      </c>
      <c r="E238" s="731" t="s">
        <v>1462</v>
      </c>
      <c r="F238" s="783">
        <f t="shared" ref="F238:O238" si="35">F232*F237*GWP.CH4</f>
        <v>20.823204268039206</v>
      </c>
      <c r="G238" s="783">
        <f t="shared" si="35"/>
        <v>20.952975845669741</v>
      </c>
      <c r="H238" s="783">
        <f t="shared" si="35"/>
        <v>20.603706695115356</v>
      </c>
      <c r="I238" s="783">
        <f t="shared" si="35"/>
        <v>19.84792905587998</v>
      </c>
      <c r="J238" s="783">
        <f t="shared" si="35"/>
        <v>19.347243935388537</v>
      </c>
      <c r="K238" s="783">
        <f t="shared" si="35"/>
        <v>19.304237810665331</v>
      </c>
      <c r="L238" s="783">
        <f t="shared" si="35"/>
        <v>19.560139866591737</v>
      </c>
      <c r="M238" s="783">
        <f t="shared" si="35"/>
        <v>20.017232415455652</v>
      </c>
      <c r="N238" s="783">
        <f t="shared" si="35"/>
        <v>20.647019669367197</v>
      </c>
      <c r="O238" s="783">
        <f t="shared" si="35"/>
        <v>21.419100875032726</v>
      </c>
    </row>
    <row r="239" spans="1:15" hidden="1" outlineLevel="2">
      <c r="B239" s="1577"/>
      <c r="C239" s="731"/>
      <c r="F239" s="823"/>
      <c r="G239" s="823"/>
      <c r="H239" s="823"/>
      <c r="I239" s="823"/>
      <c r="J239" s="823"/>
      <c r="K239" s="823"/>
      <c r="L239" s="823"/>
      <c r="M239" s="823"/>
      <c r="N239" s="823"/>
      <c r="O239" s="823"/>
    </row>
    <row r="240" spans="1:15" hidden="1" outlineLevel="2">
      <c r="B240" s="1577"/>
      <c r="C240" s="2378" t="s">
        <v>2197</v>
      </c>
      <c r="D240" s="2379"/>
      <c r="E240" s="2379"/>
      <c r="F240" s="2379"/>
      <c r="G240" s="2379"/>
      <c r="H240" s="2379"/>
      <c r="I240" s="2379"/>
      <c r="J240" s="2379"/>
      <c r="K240" s="2379"/>
      <c r="L240" s="2379"/>
      <c r="M240" s="2379"/>
      <c r="N240" s="2379"/>
      <c r="O240" s="2379"/>
    </row>
    <row r="241" spans="2:15" hidden="1" outlineLevel="2">
      <c r="B241" s="1577"/>
      <c r="C241" s="2385" t="s">
        <v>2294</v>
      </c>
      <c r="D241" s="2383" t="str">
        <f>INDEX(Vectors[Description], MATCH(C241, Vectors[Code], 0))</f>
        <v>Gaseous waste</v>
      </c>
      <c r="E241" s="1553" t="str">
        <f>Preferences.EnergyUnits</f>
        <v>TWh</v>
      </c>
      <c r="F241" s="2386">
        <f>F235*$F$144</f>
        <v>18.283196551267896</v>
      </c>
      <c r="G241" s="2386">
        <f t="shared" ref="G241:O241" si="36">G235*$F$144</f>
        <v>18.397138633862209</v>
      </c>
      <c r="H241" s="2386">
        <f t="shared" si="36"/>
        <v>18.090473221244544</v>
      </c>
      <c r="I241" s="2386">
        <f t="shared" si="36"/>
        <v>17.426885093820637</v>
      </c>
      <c r="J241" s="2386">
        <f t="shared" si="36"/>
        <v>16.987273382270043</v>
      </c>
      <c r="K241" s="2386">
        <f t="shared" si="36"/>
        <v>16.949513130720788</v>
      </c>
      <c r="L241" s="2386">
        <f t="shared" si="36"/>
        <v>17.17420033669308</v>
      </c>
      <c r="M241" s="2386">
        <f t="shared" si="36"/>
        <v>17.575536884393671</v>
      </c>
      <c r="N241" s="2386">
        <f t="shared" si="36"/>
        <v>18.128502892916249</v>
      </c>
      <c r="O241" s="2386">
        <f t="shared" si="36"/>
        <v>18.806405883014129</v>
      </c>
    </row>
    <row r="242" spans="2:15" hidden="1" outlineLevel="2">
      <c r="B242" s="1577"/>
      <c r="C242" s="731"/>
      <c r="F242" s="823"/>
      <c r="G242" s="823"/>
      <c r="H242" s="823"/>
      <c r="I242" s="823"/>
      <c r="J242" s="823"/>
      <c r="K242" s="823"/>
      <c r="L242" s="823"/>
      <c r="M242" s="823"/>
      <c r="N242" s="823"/>
      <c r="O242" s="823"/>
    </row>
    <row r="243" spans="2:15" s="246" customFormat="1" hidden="1" outlineLevel="2">
      <c r="F243" s="1108"/>
      <c r="G243" s="1108"/>
      <c r="H243" s="1108"/>
      <c r="I243" s="1108"/>
      <c r="J243" s="1108"/>
      <c r="K243" s="1108"/>
      <c r="L243" s="1108"/>
      <c r="M243" s="1108"/>
      <c r="N243" s="1108"/>
      <c r="O243" s="1108"/>
    </row>
    <row r="244" spans="2:15" hidden="1" outlineLevel="1">
      <c r="B244" s="731">
        <v>4</v>
      </c>
      <c r="C244" s="731" t="s">
        <v>2216</v>
      </c>
      <c r="F244" s="27"/>
    </row>
    <row r="245" spans="2:15" hidden="1" outlineLevel="2">
      <c r="C245" s="731"/>
      <c r="F245" s="783"/>
      <c r="G245" s="783"/>
      <c r="H245" s="783"/>
      <c r="I245" s="783"/>
      <c r="J245" s="783"/>
      <c r="K245" s="783"/>
      <c r="L245" s="783"/>
      <c r="M245" s="783"/>
      <c r="N245" s="783"/>
      <c r="O245" s="783"/>
    </row>
    <row r="246" spans="2:15" hidden="1" outlineLevel="2">
      <c r="C246" s="731" t="s">
        <v>1468</v>
      </c>
      <c r="E246" s="731" t="s">
        <v>2139</v>
      </c>
      <c r="F246" s="783">
        <f>F$161</f>
        <v>1.3676360000000001</v>
      </c>
      <c r="G246" s="783">
        <f t="shared" ref="G246:O246" si="37">G$161</f>
        <v>1.395660347191511</v>
      </c>
      <c r="H246" s="783">
        <f t="shared" si="37"/>
        <v>1.4432516709890608</v>
      </c>
      <c r="I246" s="783">
        <f t="shared" si="37"/>
        <v>1.4921002742497826</v>
      </c>
      <c r="J246" s="783">
        <f t="shared" si="37"/>
        <v>1.539777124363374</v>
      </c>
      <c r="K246" s="783">
        <f t="shared" si="37"/>
        <v>1.5830256268442755</v>
      </c>
      <c r="L246" s="783">
        <f t="shared" si="37"/>
        <v>1.621214461553147</v>
      </c>
      <c r="M246" s="783">
        <f t="shared" si="37"/>
        <v>1.6565425273466619</v>
      </c>
      <c r="N246" s="783">
        <f t="shared" si="37"/>
        <v>1.6902597017251573</v>
      </c>
      <c r="O246" s="783">
        <f t="shared" si="37"/>
        <v>1.7224027253405279</v>
      </c>
    </row>
    <row r="247" spans="2:15" hidden="1" outlineLevel="2">
      <c r="C247" s="731"/>
      <c r="F247" s="27"/>
      <c r="G247" s="27"/>
      <c r="H247" s="27"/>
      <c r="I247" s="27"/>
      <c r="J247" s="27"/>
      <c r="K247" s="27"/>
      <c r="L247" s="27"/>
      <c r="M247" s="27"/>
      <c r="N247" s="27"/>
      <c r="O247" s="27"/>
    </row>
    <row r="248" spans="2:15" s="246" customFormat="1" ht="14.25" hidden="1" outlineLevel="2">
      <c r="B248" s="246" t="s">
        <v>838</v>
      </c>
      <c r="C248" s="246" t="s">
        <v>2223</v>
      </c>
      <c r="E248" s="1555" t="s">
        <v>2224</v>
      </c>
      <c r="F248" s="1711">
        <f>$F$139</f>
        <v>0.91347405303750395</v>
      </c>
      <c r="G248" s="1711"/>
      <c r="H248" s="1711"/>
      <c r="I248" s="1711"/>
      <c r="J248" s="1711"/>
      <c r="K248" s="1711"/>
      <c r="L248" s="1711"/>
      <c r="M248" s="1711"/>
      <c r="N248" s="1711"/>
      <c r="O248" s="1711"/>
    </row>
    <row r="249" spans="2:15" ht="14.25" hidden="1" outlineLevel="2">
      <c r="B249" s="894" t="s">
        <v>840</v>
      </c>
      <c r="C249" s="24" t="s">
        <v>2225</v>
      </c>
      <c r="D249" s="24"/>
      <c r="E249" s="24" t="s">
        <v>2226</v>
      </c>
      <c r="F249" s="2296">
        <f>F246*$F248</f>
        <v>1.2492999999999999</v>
      </c>
      <c r="G249" s="2296">
        <f t="shared" ref="G249:O249" si="38">G246*$F248</f>
        <v>1.2748995140127595</v>
      </c>
      <c r="H249" s="2296">
        <f t="shared" si="38"/>
        <v>1.3183729534515276</v>
      </c>
      <c r="I249" s="2296">
        <f t="shared" si="38"/>
        <v>1.3629948850573201</v>
      </c>
      <c r="J249" s="2296">
        <f t="shared" si="38"/>
        <v>1.4065464505666441</v>
      </c>
      <c r="K249" s="2296">
        <f t="shared" si="38"/>
        <v>1.4460528354156756</v>
      </c>
      <c r="L249" s="2296">
        <f t="shared" si="38"/>
        <v>1.4809373450379677</v>
      </c>
      <c r="M249" s="2296">
        <f t="shared" si="38"/>
        <v>1.5132086164843455</v>
      </c>
      <c r="N249" s="2296">
        <f t="shared" si="38"/>
        <v>1.544008380420842</v>
      </c>
      <c r="O249" s="2296">
        <f t="shared" si="38"/>
        <v>1.5733701984796546</v>
      </c>
    </row>
    <row r="250" spans="2:15" hidden="1" outlineLevel="2">
      <c r="B250" s="807"/>
      <c r="C250" s="731"/>
      <c r="E250" s="731"/>
      <c r="F250" s="1710"/>
      <c r="G250" s="1710"/>
      <c r="H250" s="1710"/>
      <c r="I250" s="1710"/>
      <c r="J250" s="1710"/>
      <c r="K250" s="1710"/>
      <c r="L250" s="1710"/>
      <c r="M250" s="1710"/>
      <c r="N250" s="1710"/>
      <c r="O250" s="1710"/>
    </row>
    <row r="251" spans="2:15" s="246" customFormat="1" hidden="1" outlineLevel="2">
      <c r="B251" s="246" t="s">
        <v>838</v>
      </c>
      <c r="C251" s="246" t="s">
        <v>2218</v>
      </c>
      <c r="E251" s="1126"/>
      <c r="F251" s="1757">
        <f>F$170</f>
        <v>0.75</v>
      </c>
      <c r="G251" s="1757">
        <f t="shared" ref="G251:O251" si="39">G$170</f>
        <v>0.75</v>
      </c>
      <c r="H251" s="1757">
        <f t="shared" si="39"/>
        <v>0.75</v>
      </c>
      <c r="I251" s="1757">
        <f t="shared" si="39"/>
        <v>0.75</v>
      </c>
      <c r="J251" s="1757">
        <f t="shared" si="39"/>
        <v>0.75</v>
      </c>
      <c r="K251" s="1757">
        <f t="shared" si="39"/>
        <v>0.75</v>
      </c>
      <c r="L251" s="1757">
        <f t="shared" si="39"/>
        <v>0.75</v>
      </c>
      <c r="M251" s="1757">
        <f t="shared" si="39"/>
        <v>0.75</v>
      </c>
      <c r="N251" s="1757">
        <f t="shared" si="39"/>
        <v>0.75</v>
      </c>
      <c r="O251" s="1757">
        <f t="shared" si="39"/>
        <v>0.75</v>
      </c>
    </row>
    <row r="252" spans="2:15" hidden="1" outlineLevel="2">
      <c r="B252" s="807" t="s">
        <v>840</v>
      </c>
      <c r="C252" s="731" t="s">
        <v>1461</v>
      </c>
      <c r="E252" s="731" t="s">
        <v>2139</v>
      </c>
      <c r="F252" s="783">
        <f>F251*F$246</f>
        <v>1.0257270000000001</v>
      </c>
      <c r="G252" s="783">
        <f t="shared" ref="G252:O252" si="40">G251*G$246</f>
        <v>1.0467452603936334</v>
      </c>
      <c r="H252" s="783">
        <f t="shared" si="40"/>
        <v>1.0824387532417956</v>
      </c>
      <c r="I252" s="783">
        <f t="shared" si="40"/>
        <v>1.119075205687337</v>
      </c>
      <c r="J252" s="783">
        <f t="shared" si="40"/>
        <v>1.1548328432725306</v>
      </c>
      <c r="K252" s="783">
        <f t="shared" si="40"/>
        <v>1.1872692201332067</v>
      </c>
      <c r="L252" s="783">
        <f t="shared" si="40"/>
        <v>1.2159108461648602</v>
      </c>
      <c r="M252" s="783">
        <f t="shared" si="40"/>
        <v>1.2424068955099963</v>
      </c>
      <c r="N252" s="783">
        <f t="shared" si="40"/>
        <v>1.267694776293868</v>
      </c>
      <c r="O252" s="783">
        <f t="shared" si="40"/>
        <v>1.2918020440053959</v>
      </c>
    </row>
    <row r="253" spans="2:15" hidden="1" outlineLevel="2">
      <c r="B253" s="807"/>
      <c r="C253" s="731"/>
      <c r="F253" s="823"/>
      <c r="G253" s="823"/>
      <c r="H253" s="823"/>
      <c r="I253" s="823"/>
      <c r="J253" s="823"/>
      <c r="K253" s="823"/>
      <c r="L253" s="823"/>
      <c r="M253" s="823"/>
      <c r="N253" s="823"/>
      <c r="O253" s="823"/>
    </row>
    <row r="254" spans="2:15" hidden="1" outlineLevel="2">
      <c r="B254" s="807"/>
      <c r="C254" s="731" t="s">
        <v>2227</v>
      </c>
      <c r="E254" s="731" t="s">
        <v>2139</v>
      </c>
      <c r="F254" s="783">
        <f>F246-F252</f>
        <v>0.34190900000000002</v>
      </c>
      <c r="G254" s="783">
        <f t="shared" ref="G254:O254" si="41">G246-G252</f>
        <v>0.34891508679787764</v>
      </c>
      <c r="H254" s="783">
        <f t="shared" si="41"/>
        <v>0.3608129177472652</v>
      </c>
      <c r="I254" s="783">
        <f t="shared" si="41"/>
        <v>0.37302506856244566</v>
      </c>
      <c r="J254" s="783">
        <f t="shared" si="41"/>
        <v>0.38494428109084344</v>
      </c>
      <c r="K254" s="783">
        <f t="shared" si="41"/>
        <v>0.39575640671106882</v>
      </c>
      <c r="L254" s="783">
        <f t="shared" si="41"/>
        <v>0.40530361538828674</v>
      </c>
      <c r="M254" s="783">
        <f t="shared" si="41"/>
        <v>0.41413563183666557</v>
      </c>
      <c r="N254" s="783">
        <f t="shared" si="41"/>
        <v>0.42256492543128932</v>
      </c>
      <c r="O254" s="783">
        <f t="shared" si="41"/>
        <v>0.43060068133513196</v>
      </c>
    </row>
    <row r="255" spans="2:15" ht="14.25" hidden="1" outlineLevel="2">
      <c r="B255" s="246" t="s">
        <v>838</v>
      </c>
      <c r="C255" s="246" t="s">
        <v>2228</v>
      </c>
      <c r="F255" s="1711">
        <f>$F$138</f>
        <v>2.4821297479738758</v>
      </c>
      <c r="G255" s="823"/>
      <c r="H255" s="823"/>
      <c r="I255" s="823"/>
      <c r="J255" s="823"/>
      <c r="K255" s="823"/>
      <c r="L255" s="823"/>
      <c r="M255" s="823"/>
      <c r="N255" s="823"/>
      <c r="O255" s="823"/>
    </row>
    <row r="256" spans="2:15" ht="14.25" hidden="1" outlineLevel="2">
      <c r="B256" s="894" t="s">
        <v>840</v>
      </c>
      <c r="C256" s="121" t="s">
        <v>2229</v>
      </c>
      <c r="E256" s="24" t="s">
        <v>2226</v>
      </c>
      <c r="F256" s="2296">
        <f>F254*$F255</f>
        <v>0.84866249999999999</v>
      </c>
      <c r="G256" s="2296">
        <f t="shared" ref="G256:O256" si="42">G254*$F255</f>
        <v>0.86605251645789905</v>
      </c>
      <c r="H256" s="2296">
        <f t="shared" si="42"/>
        <v>0.89558447659373819</v>
      </c>
      <c r="I256" s="2296">
        <f t="shared" si="42"/>
        <v>0.92589661941884094</v>
      </c>
      <c r="J256" s="2296">
        <f t="shared" si="42"/>
        <v>0.95548165140800001</v>
      </c>
      <c r="K256" s="2296">
        <f t="shared" si="42"/>
        <v>0.98231875004879188</v>
      </c>
      <c r="L256" s="2296">
        <f t="shared" si="42"/>
        <v>1.0060161607166289</v>
      </c>
      <c r="M256" s="2296">
        <f t="shared" si="42"/>
        <v>1.0279383714777446</v>
      </c>
      <c r="N256" s="2296">
        <f t="shared" si="42"/>
        <v>1.0488609718633657</v>
      </c>
      <c r="O256" s="2296">
        <f t="shared" si="42"/>
        <v>1.0688067606397502</v>
      </c>
    </row>
    <row r="257" spans="1:16" hidden="1" outlineLevel="2">
      <c r="B257" s="807"/>
      <c r="C257" s="731"/>
      <c r="F257" s="823"/>
      <c r="G257" s="823"/>
      <c r="H257" s="823"/>
      <c r="I257" s="823"/>
      <c r="J257" s="823"/>
      <c r="K257" s="823"/>
      <c r="L257" s="823"/>
      <c r="M257" s="823"/>
      <c r="N257" s="823"/>
      <c r="O257" s="823"/>
    </row>
    <row r="258" spans="1:16" hidden="1" outlineLevel="2">
      <c r="C258" s="2378" t="s">
        <v>2197</v>
      </c>
      <c r="D258" s="2379"/>
      <c r="E258" s="2379"/>
      <c r="F258" s="2379"/>
      <c r="G258" s="2379"/>
      <c r="H258" s="2379"/>
      <c r="I258" s="2379"/>
      <c r="J258" s="2379"/>
      <c r="K258" s="2379"/>
      <c r="L258" s="2379"/>
      <c r="M258" s="2379"/>
      <c r="N258" s="2379"/>
      <c r="O258" s="2379"/>
    </row>
    <row r="259" spans="1:16" hidden="1" outlineLevel="2">
      <c r="B259" s="807"/>
      <c r="C259" s="2385" t="s">
        <v>929</v>
      </c>
      <c r="D259" s="2383" t="str">
        <f>INDEX(Vectors[Description], MATCH(C259, Vectors[Code], 0))</f>
        <v>Wet biomatter and waste</v>
      </c>
      <c r="E259" s="1553" t="str">
        <f>Preferences.EnergyUnits</f>
        <v>TWh</v>
      </c>
      <c r="F259" s="2386">
        <f>F$252*$F$132</f>
        <v>3.9889383333333339</v>
      </c>
      <c r="G259" s="2386">
        <f t="shared" ref="G259:O259" si="43">G$252*$F$132</f>
        <v>4.0706760126419077</v>
      </c>
      <c r="H259" s="2386">
        <f t="shared" si="43"/>
        <v>4.2094840403847611</v>
      </c>
      <c r="I259" s="2386">
        <f t="shared" si="43"/>
        <v>4.351959133228533</v>
      </c>
      <c r="J259" s="2386">
        <f t="shared" si="43"/>
        <v>4.4910166127265079</v>
      </c>
      <c r="K259" s="2386">
        <f t="shared" si="43"/>
        <v>4.6171580782958044</v>
      </c>
      <c r="L259" s="2386">
        <f t="shared" si="43"/>
        <v>4.7285421795300122</v>
      </c>
      <c r="M259" s="2386">
        <f t="shared" si="43"/>
        <v>4.8315823714277641</v>
      </c>
      <c r="N259" s="2386">
        <f t="shared" si="43"/>
        <v>4.9299241300317096</v>
      </c>
      <c r="O259" s="2386">
        <f t="shared" si="43"/>
        <v>5.0236746155765397</v>
      </c>
    </row>
    <row r="260" spans="1:16" hidden="1" outlineLevel="2">
      <c r="E260" s="731"/>
      <c r="F260" s="1711"/>
      <c r="G260" s="1711"/>
      <c r="H260" s="1711"/>
      <c r="I260" s="1711"/>
      <c r="J260" s="1711"/>
      <c r="K260" s="1711"/>
      <c r="L260" s="1711"/>
      <c r="M260" s="1711"/>
      <c r="N260" s="1711"/>
      <c r="O260" s="1711"/>
    </row>
    <row r="262" spans="1:16" ht="22.5" collapsed="1">
      <c r="A262" s="1171"/>
      <c r="B262" s="1231" t="s">
        <v>683</v>
      </c>
      <c r="C262" s="1183"/>
      <c r="D262" s="1183"/>
      <c r="E262" s="1183"/>
      <c r="F262" s="1183"/>
      <c r="G262" s="1183"/>
      <c r="H262" s="1183"/>
      <c r="I262" s="1183"/>
      <c r="J262" s="1183"/>
      <c r="K262" s="1183"/>
      <c r="L262" s="1183"/>
      <c r="M262" s="1183"/>
      <c r="N262" s="1183"/>
      <c r="O262" s="1183"/>
      <c r="P262" s="1185"/>
    </row>
    <row r="263" spans="1:16" hidden="1" outlineLevel="1">
      <c r="B263" s="1172"/>
      <c r="C263" s="1174"/>
      <c r="D263" s="1174"/>
      <c r="E263" s="1174"/>
      <c r="F263" s="1174"/>
      <c r="G263" s="1174"/>
      <c r="H263" s="1174"/>
      <c r="I263" s="1174"/>
      <c r="J263" s="1174"/>
      <c r="K263" s="1174"/>
      <c r="L263" s="1174"/>
      <c r="M263" s="1174"/>
      <c r="N263" s="1174"/>
      <c r="O263" s="1174"/>
      <c r="P263" s="1176"/>
    </row>
    <row r="264" spans="1:16" hidden="1" outlineLevel="1">
      <c r="B264" s="1172"/>
      <c r="C264" s="1186" t="s">
        <v>730</v>
      </c>
      <c r="D264" s="1174"/>
      <c r="E264" s="1175"/>
      <c r="F264" s="1174"/>
      <c r="G264" s="1175"/>
      <c r="H264" s="1174"/>
      <c r="I264" s="1174"/>
      <c r="J264" s="1174"/>
      <c r="K264" s="1174"/>
      <c r="L264" s="1174"/>
      <c r="M264" s="1174"/>
      <c r="N264" s="1174"/>
      <c r="O264" s="1175" t="str">
        <f>Preferences.EnergyUnits</f>
        <v>TWh</v>
      </c>
      <c r="P264" s="1176"/>
    </row>
    <row r="265" spans="1:16" ht="6" hidden="1" customHeight="1" outlineLevel="1">
      <c r="B265" s="1172"/>
      <c r="C265" s="1174"/>
      <c r="D265" s="1174"/>
      <c r="E265" s="1174"/>
      <c r="F265" s="1174"/>
      <c r="G265" s="1174"/>
      <c r="H265" s="1174"/>
      <c r="I265" s="1174"/>
      <c r="J265" s="1174"/>
      <c r="K265" s="1174"/>
      <c r="L265" s="1174"/>
      <c r="M265" s="1174"/>
      <c r="N265" s="1174"/>
      <c r="O265" s="1174"/>
      <c r="P265" s="1176"/>
    </row>
    <row r="266" spans="1:16" ht="15.75" hidden="1" outlineLevel="1">
      <c r="A266" s="3"/>
      <c r="B266" s="1177"/>
      <c r="C266" s="1188" t="s">
        <v>78</v>
      </c>
      <c r="D266" s="1188" t="s">
        <v>418</v>
      </c>
      <c r="E266" s="1188" t="s">
        <v>442</v>
      </c>
      <c r="F266" s="1188" t="s">
        <v>691</v>
      </c>
      <c r="G266" s="1188" t="s">
        <v>692</v>
      </c>
      <c r="H266" s="1189" t="s">
        <v>721</v>
      </c>
      <c r="I266" s="1189" t="s">
        <v>722</v>
      </c>
      <c r="J266" s="1189" t="s">
        <v>723</v>
      </c>
      <c r="K266" s="1189" t="s">
        <v>724</v>
      </c>
      <c r="L266" s="1189" t="s">
        <v>725</v>
      </c>
      <c r="M266" s="1189" t="s">
        <v>726</v>
      </c>
      <c r="N266" s="1189" t="s">
        <v>727</v>
      </c>
      <c r="O266" s="1189" t="s">
        <v>728</v>
      </c>
      <c r="P266" s="1176"/>
    </row>
    <row r="267" spans="1:16" ht="15.75" hidden="1" outlineLevel="1">
      <c r="A267" s="3"/>
      <c r="B267" s="1177"/>
      <c r="C267" s="765" t="s">
        <v>54</v>
      </c>
      <c r="D267" s="765" t="str">
        <f>INDEX(Vectors[Description], MATCH([Vector], Vectors[Code], 0))</f>
        <v>Waste</v>
      </c>
      <c r="E267" s="765"/>
      <c r="F267" s="953">
        <f>-(F213+F214+F226+F241+F259)</f>
        <v>-58.756794246200883</v>
      </c>
      <c r="G267" s="953">
        <f t="shared" ref="G267:O267" si="44">-(G213+G214+G226+G241+G259)</f>
        <v>-69.513824290080095</v>
      </c>
      <c r="H267" s="953">
        <f t="shared" si="44"/>
        <v>-97.812149689806731</v>
      </c>
      <c r="I267" s="953">
        <f t="shared" si="44"/>
        <v>-122.55053450376231</v>
      </c>
      <c r="J267" s="953">
        <f t="shared" si="44"/>
        <v>-141.41728971908191</v>
      </c>
      <c r="K267" s="953">
        <f t="shared" si="44"/>
        <v>-152.56545549193058</v>
      </c>
      <c r="L267" s="953">
        <f t="shared" si="44"/>
        <v>-164.77754738575911</v>
      </c>
      <c r="M267" s="953">
        <f t="shared" si="44"/>
        <v>-178.02867538286264</v>
      </c>
      <c r="N267" s="953">
        <f t="shared" si="44"/>
        <v>-186.61824652466947</v>
      </c>
      <c r="O267" s="953">
        <f t="shared" si="44"/>
        <v>-195.73309458744197</v>
      </c>
      <c r="P267" s="1176"/>
    </row>
    <row r="268" spans="1:16" ht="15.75" hidden="1" outlineLevel="1">
      <c r="A268" s="3"/>
      <c r="B268" s="1177"/>
      <c r="C268" s="765" t="s">
        <v>64</v>
      </c>
      <c r="D268" s="765" t="str">
        <f>INDEX(Vectors[Description], MATCH([Vector], Vectors[Code], 0))</f>
        <v>Coal and fossil waste</v>
      </c>
      <c r="E268" s="765"/>
      <c r="F268" s="953">
        <f>F$214</f>
        <v>26.003927322234723</v>
      </c>
      <c r="G268" s="953">
        <f t="shared" ref="G268:O268" si="45">G$214</f>
        <v>33.531381051081439</v>
      </c>
      <c r="H268" s="953">
        <f t="shared" si="45"/>
        <v>52.991703495171834</v>
      </c>
      <c r="I268" s="953">
        <f t="shared" si="45"/>
        <v>67.164006122605386</v>
      </c>
      <c r="J268" s="953">
        <f t="shared" si="45"/>
        <v>72.064996274277206</v>
      </c>
      <c r="K268" s="953">
        <f t="shared" si="45"/>
        <v>77.291223495085276</v>
      </c>
      <c r="L268" s="953">
        <f t="shared" si="45"/>
        <v>82.863116003477103</v>
      </c>
      <c r="M268" s="953">
        <f t="shared" si="45"/>
        <v>88.802339831739644</v>
      </c>
      <c r="N268" s="953">
        <f t="shared" si="45"/>
        <v>93.332151635553913</v>
      </c>
      <c r="O268" s="953">
        <f t="shared" si="45"/>
        <v>98.093029366424318</v>
      </c>
      <c r="P268" s="1176"/>
    </row>
    <row r="269" spans="1:16" ht="15.75" hidden="1" outlineLevel="1">
      <c r="A269" s="3"/>
      <c r="B269" s="1177"/>
      <c r="C269" s="765" t="s">
        <v>755</v>
      </c>
      <c r="D269" s="765" t="str">
        <f>INDEX(Vectors[Description], MATCH([Vector], Vectors[Code], 0))</f>
        <v>Dry biomatter and waste</v>
      </c>
      <c r="E269" s="765"/>
      <c r="F269" s="953">
        <f>F$213</f>
        <v>10.480732039364923</v>
      </c>
      <c r="G269" s="953">
        <f t="shared" ref="G269:O269" si="46">G$213</f>
        <v>13.514628592494532</v>
      </c>
      <c r="H269" s="953">
        <f t="shared" si="46"/>
        <v>22.520488933005577</v>
      </c>
      <c r="I269" s="953">
        <f t="shared" si="46"/>
        <v>29.574727373194271</v>
      </c>
      <c r="J269" s="953">
        <f t="shared" si="46"/>
        <v>34.310233503059322</v>
      </c>
      <c r="K269" s="953">
        <f t="shared" si="46"/>
        <v>39.451902256551364</v>
      </c>
      <c r="L269" s="953">
        <f t="shared" si="46"/>
        <v>45.028848478892606</v>
      </c>
      <c r="M269" s="953">
        <f t="shared" si="46"/>
        <v>51.072100469345592</v>
      </c>
      <c r="N269" s="953">
        <f t="shared" si="46"/>
        <v>53.67729087299913</v>
      </c>
      <c r="O269" s="953">
        <f t="shared" si="46"/>
        <v>56.415372169663094</v>
      </c>
      <c r="P269" s="1176"/>
    </row>
    <row r="270" spans="1:16" ht="15.75" hidden="1" outlineLevel="1">
      <c r="A270" s="3"/>
      <c r="B270" s="1177"/>
      <c r="C270" s="765" t="s">
        <v>929</v>
      </c>
      <c r="D270" s="765" t="str">
        <f>INDEX(Vectors[Description], MATCH([Vector], Vectors[Code], 0))</f>
        <v>Wet biomatter and waste</v>
      </c>
      <c r="E270" s="765"/>
      <c r="F270" s="953">
        <f>F$226+F$259</f>
        <v>3.9889383333333339</v>
      </c>
      <c r="G270" s="953">
        <f t="shared" ref="G270:O270" si="47">G$226+G$259</f>
        <v>4.0706760126419077</v>
      </c>
      <c r="H270" s="953">
        <f t="shared" si="47"/>
        <v>4.2094840403847611</v>
      </c>
      <c r="I270" s="953">
        <f t="shared" si="47"/>
        <v>8.3849159141420095</v>
      </c>
      <c r="J270" s="953">
        <f t="shared" si="47"/>
        <v>18.054786559475339</v>
      </c>
      <c r="K270" s="953">
        <f t="shared" si="47"/>
        <v>18.872816609573164</v>
      </c>
      <c r="L270" s="953">
        <f t="shared" si="47"/>
        <v>19.711382566696319</v>
      </c>
      <c r="M270" s="953">
        <f t="shared" si="47"/>
        <v>20.578698197383726</v>
      </c>
      <c r="N270" s="953">
        <f t="shared" si="47"/>
        <v>21.480301123200192</v>
      </c>
      <c r="O270" s="953">
        <f t="shared" si="47"/>
        <v>22.418287168340431</v>
      </c>
      <c r="P270" s="1176"/>
    </row>
    <row r="271" spans="1:16" ht="15.75" hidden="1" outlineLevel="1">
      <c r="A271" s="3"/>
      <c r="B271" s="1177"/>
      <c r="C271" s="765" t="s">
        <v>2294</v>
      </c>
      <c r="D271" s="765" t="str">
        <f>INDEX(Vectors[Description], MATCH([Vector], Vectors[Code], 0))</f>
        <v>Gaseous waste</v>
      </c>
      <c r="E271" s="765"/>
      <c r="F271" s="953">
        <f>F$241</f>
        <v>18.283196551267896</v>
      </c>
      <c r="G271" s="953">
        <f t="shared" ref="G271:O271" si="48">G$241</f>
        <v>18.397138633862209</v>
      </c>
      <c r="H271" s="953">
        <f t="shared" si="48"/>
        <v>18.090473221244544</v>
      </c>
      <c r="I271" s="953">
        <f t="shared" si="48"/>
        <v>17.426885093820637</v>
      </c>
      <c r="J271" s="953">
        <f t="shared" si="48"/>
        <v>16.987273382270043</v>
      </c>
      <c r="K271" s="953">
        <f t="shared" si="48"/>
        <v>16.949513130720788</v>
      </c>
      <c r="L271" s="953">
        <f t="shared" si="48"/>
        <v>17.17420033669308</v>
      </c>
      <c r="M271" s="953">
        <f t="shared" si="48"/>
        <v>17.575536884393671</v>
      </c>
      <c r="N271" s="953">
        <f t="shared" si="48"/>
        <v>18.128502892916249</v>
      </c>
      <c r="O271" s="953">
        <f t="shared" si="48"/>
        <v>18.806405883014129</v>
      </c>
      <c r="P271" s="1176"/>
    </row>
    <row r="272" spans="1:16" ht="15.75" hidden="1" outlineLevel="1">
      <c r="A272" s="3"/>
      <c r="B272" s="1177"/>
      <c r="C272" s="765" t="s">
        <v>148</v>
      </c>
      <c r="D272" s="765"/>
      <c r="E272" s="765"/>
      <c r="F272" s="1459">
        <f>SUBTOTAL(109,[2007])</f>
        <v>0</v>
      </c>
      <c r="G272" s="1459">
        <f>SUBTOTAL(109,[2010])</f>
        <v>0</v>
      </c>
      <c r="H272" s="1459">
        <f>SUBTOTAL(109,[2015])</f>
        <v>0</v>
      </c>
      <c r="I272" s="1459">
        <f>SUBTOTAL(109,[2020])</f>
        <v>0</v>
      </c>
      <c r="J272" s="1459">
        <f>SUBTOTAL(109,[2025])</f>
        <v>0</v>
      </c>
      <c r="K272" s="1459">
        <f>SUBTOTAL(109,[2030])</f>
        <v>0</v>
      </c>
      <c r="L272" s="1459">
        <f>SUBTOTAL(109,[2035])</f>
        <v>0</v>
      </c>
      <c r="M272" s="1459">
        <f>SUBTOTAL(109,[2040])</f>
        <v>0</v>
      </c>
      <c r="N272" s="1459">
        <f>SUBTOTAL(109,[2045])</f>
        <v>0</v>
      </c>
      <c r="O272" s="1459">
        <f>SUBTOTAL(109,[2050])</f>
        <v>0</v>
      </c>
      <c r="P272" s="1176"/>
    </row>
    <row r="273" spans="1:16" ht="15.75" hidden="1" outlineLevel="1">
      <c r="A273" s="3"/>
      <c r="B273" s="1178"/>
      <c r="C273" s="1179"/>
      <c r="D273" s="1179"/>
      <c r="E273" s="1179"/>
      <c r="F273" s="1179"/>
      <c r="G273" s="1179"/>
      <c r="H273" s="1179"/>
      <c r="I273" s="1179"/>
      <c r="J273" s="1179"/>
      <c r="K273" s="1179"/>
      <c r="L273" s="1179"/>
      <c r="M273" s="1179"/>
      <c r="N273" s="1179"/>
      <c r="O273" s="1179"/>
      <c r="P273" s="1181"/>
    </row>
    <row r="275" spans="1:16" ht="22.5" collapsed="1">
      <c r="A275" s="1171"/>
      <c r="B275" s="1249" t="s">
        <v>902</v>
      </c>
      <c r="C275" s="1198"/>
      <c r="D275" s="1199"/>
      <c r="E275" s="1199"/>
      <c r="F275" s="1199"/>
      <c r="G275" s="1199"/>
      <c r="H275" s="1199"/>
      <c r="I275" s="1199"/>
      <c r="J275" s="1199"/>
      <c r="K275" s="1199"/>
      <c r="L275" s="1199"/>
      <c r="M275" s="1199"/>
      <c r="N275" s="1199"/>
      <c r="O275" s="1199"/>
      <c r="P275" s="1200"/>
    </row>
    <row r="276" spans="1:16" hidden="1" outlineLevel="1">
      <c r="B276" s="1207"/>
      <c r="C276" s="1208"/>
      <c r="D276" s="1208"/>
      <c r="E276" s="1208"/>
      <c r="F276" s="1208"/>
      <c r="G276" s="1208"/>
      <c r="H276" s="1208"/>
      <c r="I276" s="1208"/>
      <c r="J276" s="1208"/>
      <c r="K276" s="1208"/>
      <c r="L276" s="1208"/>
      <c r="M276" s="1208"/>
      <c r="N276" s="1208"/>
      <c r="O276" s="1208"/>
      <c r="P276" s="1209"/>
    </row>
    <row r="277" spans="1:16" ht="14.25" hidden="1" outlineLevel="1">
      <c r="B277" s="1210"/>
      <c r="C277" s="1201" t="s">
        <v>1073</v>
      </c>
      <c r="D277" s="1202"/>
      <c r="E277" s="1203"/>
      <c r="F277" s="1202"/>
      <c r="G277" s="1203"/>
      <c r="H277" s="1202"/>
      <c r="I277" s="1202"/>
      <c r="J277" s="1202"/>
      <c r="K277" s="1202"/>
      <c r="L277" s="1202"/>
      <c r="M277" s="1202"/>
      <c r="N277" s="1202"/>
      <c r="O277" s="1203" t="s">
        <v>1076</v>
      </c>
      <c r="P277" s="1211"/>
    </row>
    <row r="278" spans="1:16" ht="6.75" hidden="1" customHeight="1" outlineLevel="1">
      <c r="B278" s="1210"/>
      <c r="C278" s="1202"/>
      <c r="D278" s="1202"/>
      <c r="E278" s="1202"/>
      <c r="F278" s="1202"/>
      <c r="G278" s="1202"/>
      <c r="H278" s="1202"/>
      <c r="I278" s="1202"/>
      <c r="J278" s="1202"/>
      <c r="K278" s="1202"/>
      <c r="L278" s="1202"/>
      <c r="M278" s="1202"/>
      <c r="N278" s="1202"/>
      <c r="O278" s="1202"/>
      <c r="P278" s="1211"/>
    </row>
    <row r="279" spans="1:16" ht="15.75" hidden="1" outlineLevel="1">
      <c r="B279" s="1212"/>
      <c r="C279" s="1269" t="s">
        <v>1072</v>
      </c>
      <c r="D279" s="1269" t="s">
        <v>1042</v>
      </c>
      <c r="E279" s="1269" t="s">
        <v>442</v>
      </c>
      <c r="F279" s="1269" t="s">
        <v>691</v>
      </c>
      <c r="G279" s="1269" t="s">
        <v>692</v>
      </c>
      <c r="H279" s="1269" t="s">
        <v>721</v>
      </c>
      <c r="I279" s="1269" t="s">
        <v>722</v>
      </c>
      <c r="J279" s="1269" t="s">
        <v>723</v>
      </c>
      <c r="K279" s="1269" t="s">
        <v>724</v>
      </c>
      <c r="L279" s="1269" t="s">
        <v>725</v>
      </c>
      <c r="M279" s="1269" t="s">
        <v>726</v>
      </c>
      <c r="N279" s="1269" t="s">
        <v>727</v>
      </c>
      <c r="O279" s="1269" t="s">
        <v>728</v>
      </c>
      <c r="P279" s="1211"/>
    </row>
    <row r="280" spans="1:16" ht="15.75" hidden="1" outlineLevel="1">
      <c r="B280" s="1212"/>
      <c r="C280" s="1206" t="s">
        <v>1055</v>
      </c>
      <c r="D280" s="1267">
        <v>6</v>
      </c>
      <c r="E280" s="1206" t="str">
        <f>INDEX(IPCC[Sector_description], MATCH([IPCC Sector], IPCC[Sector_code], 0))</f>
        <v>Waste</v>
      </c>
      <c r="F280" s="1268">
        <f>0</f>
        <v>0</v>
      </c>
      <c r="G280" s="1268">
        <f>0</f>
        <v>0</v>
      </c>
      <c r="H280" s="1268">
        <f>0</f>
        <v>0</v>
      </c>
      <c r="I280" s="1268">
        <f>0</f>
        <v>0</v>
      </c>
      <c r="J280" s="1268">
        <f>0</f>
        <v>0</v>
      </c>
      <c r="K280" s="1268">
        <f>0</f>
        <v>0</v>
      </c>
      <c r="L280" s="1268">
        <f>0</f>
        <v>0</v>
      </c>
      <c r="M280" s="1268">
        <f>0</f>
        <v>0</v>
      </c>
      <c r="N280" s="1268">
        <f>0</f>
        <v>0</v>
      </c>
      <c r="O280" s="1268">
        <f>0</f>
        <v>0</v>
      </c>
      <c r="P280" s="1211"/>
    </row>
    <row r="281" spans="1:16" ht="15.75" hidden="1" outlineLevel="1">
      <c r="B281" s="1212"/>
      <c r="C281" s="1206" t="s">
        <v>1056</v>
      </c>
      <c r="D281" s="1267">
        <v>6</v>
      </c>
      <c r="E281" s="1206" t="str">
        <f>INDEX(IPCC[Sector_description], MATCH([IPCC Sector], IPCC[Sector_code], 0))</f>
        <v>Waste</v>
      </c>
      <c r="F281" s="1268">
        <f>F238+F256</f>
        <v>21.671866768039205</v>
      </c>
      <c r="G281" s="1268">
        <f t="shared" ref="G281:O281" si="49">G238+G256</f>
        <v>21.819028362127639</v>
      </c>
      <c r="H281" s="1268">
        <f t="shared" si="49"/>
        <v>21.499291171709096</v>
      </c>
      <c r="I281" s="1268">
        <f t="shared" si="49"/>
        <v>20.77382567529882</v>
      </c>
      <c r="J281" s="1268">
        <f t="shared" si="49"/>
        <v>20.302725586796537</v>
      </c>
      <c r="K281" s="1268">
        <f t="shared" si="49"/>
        <v>20.286556560714121</v>
      </c>
      <c r="L281" s="1268">
        <f t="shared" si="49"/>
        <v>20.566156027308367</v>
      </c>
      <c r="M281" s="1268">
        <f t="shared" si="49"/>
        <v>21.045170786933397</v>
      </c>
      <c r="N281" s="1268">
        <f t="shared" si="49"/>
        <v>21.695880641230563</v>
      </c>
      <c r="O281" s="1268">
        <f t="shared" si="49"/>
        <v>22.487907635672475</v>
      </c>
      <c r="P281" s="1211"/>
    </row>
    <row r="282" spans="1:16" ht="15.75" hidden="1" outlineLevel="1">
      <c r="B282" s="1212"/>
      <c r="C282" s="1206" t="s">
        <v>1057</v>
      </c>
      <c r="D282" s="1267">
        <v>6</v>
      </c>
      <c r="E282" s="1206" t="str">
        <f>INDEX(IPCC[Sector_description], MATCH([IPCC Sector], IPCC[Sector_code], 0))</f>
        <v>Waste</v>
      </c>
      <c r="F282" s="1268">
        <f>F249</f>
        <v>1.2492999999999999</v>
      </c>
      <c r="G282" s="1268">
        <f t="shared" ref="G282:O282" si="50">G249</f>
        <v>1.2748995140127595</v>
      </c>
      <c r="H282" s="1268">
        <f t="shared" si="50"/>
        <v>1.3183729534515276</v>
      </c>
      <c r="I282" s="1268">
        <f t="shared" si="50"/>
        <v>1.3629948850573201</v>
      </c>
      <c r="J282" s="1268">
        <f t="shared" si="50"/>
        <v>1.4065464505666441</v>
      </c>
      <c r="K282" s="1268">
        <f t="shared" si="50"/>
        <v>1.4460528354156756</v>
      </c>
      <c r="L282" s="1268">
        <f t="shared" si="50"/>
        <v>1.4809373450379677</v>
      </c>
      <c r="M282" s="1268">
        <f t="shared" si="50"/>
        <v>1.5132086164843455</v>
      </c>
      <c r="N282" s="1268">
        <f t="shared" si="50"/>
        <v>1.544008380420842</v>
      </c>
      <c r="O282" s="1268">
        <f t="shared" si="50"/>
        <v>1.5733701984796546</v>
      </c>
      <c r="P282" s="1211"/>
    </row>
    <row r="283" spans="1:16" ht="15.75" hidden="1" outlineLevel="1">
      <c r="B283" s="1212"/>
      <c r="C283" s="1206" t="s">
        <v>148</v>
      </c>
      <c r="D283" s="1279"/>
      <c r="E283" s="1206"/>
      <c r="F283" s="1278">
        <f>SUBTOTAL(109,[2007])</f>
        <v>0</v>
      </c>
      <c r="G283" s="1278">
        <f>SUBTOTAL(109,[2010])</f>
        <v>0</v>
      </c>
      <c r="H283" s="1278">
        <f>SUBTOTAL(109,[2015])</f>
        <v>0</v>
      </c>
      <c r="I283" s="1278">
        <f>SUBTOTAL(109,[2020])</f>
        <v>0</v>
      </c>
      <c r="J283" s="1278">
        <f>SUBTOTAL(109,[2025])</f>
        <v>0</v>
      </c>
      <c r="K283" s="1278">
        <f>SUBTOTAL(109,[2030])</f>
        <v>0</v>
      </c>
      <c r="L283" s="1278">
        <f>SUBTOTAL(109,[2035])</f>
        <v>0</v>
      </c>
      <c r="M283" s="1278">
        <f>SUBTOTAL(109,[2040])</f>
        <v>0</v>
      </c>
      <c r="N283" s="1278">
        <f>SUBTOTAL(109,[2045])</f>
        <v>0</v>
      </c>
      <c r="O283" s="1278">
        <f>SUBTOTAL(109,[2050])</f>
        <v>0</v>
      </c>
      <c r="P283" s="1211"/>
    </row>
    <row r="284" spans="1:16" hidden="1" outlineLevel="1">
      <c r="B284" s="1213"/>
      <c r="C284" s="1214"/>
      <c r="D284" s="1214"/>
      <c r="E284" s="1214"/>
      <c r="F284" s="1214"/>
      <c r="G284" s="1214"/>
      <c r="H284" s="1214"/>
      <c r="I284" s="1214"/>
      <c r="J284" s="1214"/>
      <c r="K284" s="1214"/>
      <c r="L284" s="1214"/>
      <c r="M284" s="1214"/>
      <c r="N284" s="1214"/>
      <c r="O284" s="1214"/>
      <c r="P284" s="1215"/>
    </row>
  </sheetData>
  <pageMargins left="0.7" right="0.7" top="0.75" bottom="0.75" header="0.3" footer="0.3"/>
  <pageSetup paperSize="9" orientation="portrait" r:id="rId1"/>
  <ignoredErrors>
    <ignoredError sqref="F267:F271" calculatedColumn="1"/>
  </ignoredErrors>
  <tableParts count="2">
    <tablePart r:id="rId2"/>
    <tablePart r:id="rId3"/>
  </tableParts>
</worksheet>
</file>

<file path=xl/worksheets/sheet31.xml><?xml version="1.0" encoding="utf-8"?>
<worksheet xmlns="http://schemas.openxmlformats.org/spreadsheetml/2006/main" xmlns:r="http://schemas.openxmlformats.org/officeDocument/2006/relationships">
  <sheetPr codeName="Sheet42">
    <tabColor theme="9"/>
    <outlinePr summaryBelow="0"/>
    <pageSetUpPr autoPageBreaks="0"/>
  </sheetPr>
  <dimension ref="A1:R59"/>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8" ht="21">
      <c r="A1" s="789" t="s">
        <v>672</v>
      </c>
      <c r="B1" s="789" t="str">
        <f>INDEX(Workstreams[Workstream], MATCH($A1, Workstreams[Code], 0))</f>
        <v>Agriculture and waste</v>
      </c>
      <c r="C1" s="789"/>
    </row>
    <row r="2" spans="1:18" s="743" customFormat="1" ht="19.5" customHeight="1">
      <c r="A2" s="10" t="s">
        <v>2280</v>
      </c>
      <c r="B2" s="10" t="str">
        <f>INDEX(Modules[Module], MATCH($A2, Modules[Code], 0))</f>
        <v>Marine algae</v>
      </c>
      <c r="C2" s="10"/>
    </row>
    <row r="4" spans="1:18" ht="22.5" collapsed="1">
      <c r="A4" s="1171"/>
      <c r="B4" s="1231" t="s">
        <v>1357</v>
      </c>
      <c r="C4" s="1219"/>
      <c r="D4" s="1183"/>
      <c r="E4" s="1184"/>
      <c r="F4" s="1183"/>
      <c r="G4" s="1183"/>
      <c r="H4" s="1183"/>
      <c r="I4" s="1183"/>
      <c r="J4" s="1183"/>
      <c r="K4" s="1183"/>
      <c r="L4" s="1183"/>
      <c r="M4" s="1183"/>
      <c r="N4" s="1183"/>
      <c r="O4" s="1183"/>
      <c r="P4" s="1185"/>
      <c r="R4" s="731"/>
    </row>
    <row r="5" spans="1:18" hidden="1" outlineLevel="1">
      <c r="B5" s="1172"/>
      <c r="C5" s="1173"/>
      <c r="D5" s="1174"/>
      <c r="E5" s="1175"/>
      <c r="F5" s="1174"/>
      <c r="G5" s="1174"/>
      <c r="H5" s="1174"/>
      <c r="I5" s="1174"/>
      <c r="J5" s="1174"/>
      <c r="K5" s="1174"/>
      <c r="L5" s="1174"/>
      <c r="M5" s="1174"/>
      <c r="N5" s="1174"/>
      <c r="O5" s="1174"/>
      <c r="P5" s="1176"/>
    </row>
    <row r="6" spans="1:18" ht="15.75" hidden="1" outlineLevel="1">
      <c r="B6" s="1177"/>
      <c r="C6" s="1174"/>
      <c r="D6" s="922" t="s">
        <v>830</v>
      </c>
      <c r="E6" s="922" t="s">
        <v>1352</v>
      </c>
      <c r="F6" s="1174"/>
      <c r="G6" s="1174"/>
      <c r="H6" s="1174"/>
      <c r="I6" s="1174"/>
      <c r="J6" s="1174"/>
      <c r="K6" s="1174"/>
      <c r="L6" s="1174"/>
      <c r="M6" s="1174"/>
      <c r="N6" s="1174"/>
      <c r="O6" s="1174"/>
      <c r="P6" s="1176"/>
    </row>
    <row r="7" spans="1:18" ht="15.75" hidden="1" outlineLevel="1">
      <c r="B7" s="1177"/>
      <c r="C7" s="1174"/>
      <c r="D7" s="950" t="s">
        <v>1352</v>
      </c>
      <c r="E7" s="950">
        <f>VI.c.Scenario</f>
        <v>1</v>
      </c>
      <c r="F7" s="1174"/>
      <c r="G7" s="1174"/>
      <c r="H7" s="1174"/>
      <c r="I7" s="1174"/>
      <c r="J7" s="1174"/>
      <c r="K7" s="1174"/>
      <c r="L7" s="1174"/>
      <c r="M7" s="1174"/>
      <c r="N7" s="1174"/>
      <c r="O7" s="1174"/>
      <c r="P7" s="1176"/>
    </row>
    <row r="8" spans="1:18" ht="15.75" hidden="1" outlineLevel="1">
      <c r="B8" s="1178"/>
      <c r="C8" s="1179"/>
      <c r="D8" s="1179"/>
      <c r="E8" s="1179"/>
      <c r="F8" s="1180"/>
      <c r="G8" s="1180"/>
      <c r="H8" s="1180"/>
      <c r="I8" s="1180"/>
      <c r="J8" s="1180"/>
      <c r="K8" s="1180"/>
      <c r="L8" s="1180"/>
      <c r="M8" s="1180"/>
      <c r="N8" s="1180"/>
      <c r="O8" s="1180"/>
      <c r="P8" s="1181"/>
    </row>
    <row r="10" spans="1:18" ht="22.5" collapsed="1">
      <c r="A10" s="1171"/>
      <c r="B10" s="1236" t="s">
        <v>1354</v>
      </c>
      <c r="C10" s="1167"/>
      <c r="D10" s="1167"/>
      <c r="E10" s="1167"/>
      <c r="F10" s="1167"/>
      <c r="G10" s="1167"/>
      <c r="H10" s="1167"/>
      <c r="I10" s="1167"/>
      <c r="J10" s="1167"/>
      <c r="K10" s="1167"/>
      <c r="L10" s="1167"/>
      <c r="M10" s="1167"/>
      <c r="N10" s="1167"/>
      <c r="O10" s="1167"/>
      <c r="P10" s="1168"/>
    </row>
    <row r="11" spans="1:18" hidden="1" outlineLevel="1">
      <c r="B11" s="1157"/>
      <c r="C11" s="864"/>
      <c r="D11" s="864"/>
      <c r="E11" s="864"/>
      <c r="F11" s="864"/>
      <c r="G11" s="864"/>
      <c r="H11" s="864"/>
      <c r="I11" s="864"/>
      <c r="J11" s="864"/>
      <c r="K11" s="864"/>
      <c r="L11" s="864"/>
      <c r="M11" s="864"/>
      <c r="N11" s="864"/>
      <c r="O11" s="864"/>
      <c r="P11" s="1158"/>
    </row>
    <row r="12" spans="1:18" hidden="1" outlineLevel="1">
      <c r="B12" s="1157"/>
      <c r="C12" s="866" t="s">
        <v>2281</v>
      </c>
      <c r="D12" s="864"/>
      <c r="E12" s="867"/>
      <c r="F12" s="864"/>
      <c r="G12" s="864"/>
      <c r="H12" s="864"/>
      <c r="I12" s="864"/>
      <c r="J12" s="864"/>
      <c r="K12" s="864"/>
      <c r="L12" s="864"/>
      <c r="M12" s="864"/>
      <c r="N12" s="864"/>
      <c r="O12" s="867" t="str">
        <f>Preferences.AreaUnits</f>
        <v>M ha</v>
      </c>
      <c r="P12" s="1158"/>
    </row>
    <row r="13" spans="1:18" ht="5.25" hidden="1" customHeight="1" outlineLevel="1">
      <c r="B13" s="1157"/>
      <c r="C13" s="864"/>
      <c r="D13" s="864"/>
      <c r="E13" s="864"/>
      <c r="F13" s="864"/>
      <c r="G13" s="864"/>
      <c r="H13" s="864"/>
      <c r="I13" s="864"/>
      <c r="J13" s="864"/>
      <c r="K13" s="864"/>
      <c r="L13" s="864"/>
      <c r="M13" s="864"/>
      <c r="N13" s="864"/>
      <c r="O13" s="864"/>
      <c r="P13" s="1158"/>
    </row>
    <row r="14" spans="1:18" ht="15.75" hidden="1" outlineLevel="1">
      <c r="B14" s="1159"/>
      <c r="C14" s="766" t="s">
        <v>1352</v>
      </c>
      <c r="D14" s="766" t="s">
        <v>79</v>
      </c>
      <c r="E14" s="766" t="s">
        <v>442</v>
      </c>
      <c r="F14" s="1541">
        <v>2007</v>
      </c>
      <c r="G14" s="924">
        <v>2010</v>
      </c>
      <c r="H14" s="923">
        <v>2015</v>
      </c>
      <c r="I14" s="923">
        <v>2020</v>
      </c>
      <c r="J14" s="923">
        <v>2025</v>
      </c>
      <c r="K14" s="923">
        <v>2030</v>
      </c>
      <c r="L14" s="923">
        <v>2035</v>
      </c>
      <c r="M14" s="923">
        <v>2040</v>
      </c>
      <c r="N14" s="923">
        <v>2045</v>
      </c>
      <c r="O14" s="923">
        <v>2050</v>
      </c>
      <c r="P14" s="1158"/>
    </row>
    <row r="15" spans="1:18" ht="15.75" hidden="1" outlineLevel="1">
      <c r="B15" s="1161"/>
      <c r="C15" s="831">
        <v>1</v>
      </c>
      <c r="D15" s="832"/>
      <c r="E15" s="833"/>
      <c r="F15" s="847">
        <v>0</v>
      </c>
      <c r="G15" s="856">
        <v>0</v>
      </c>
      <c r="H15" s="847">
        <v>0</v>
      </c>
      <c r="I15" s="847">
        <v>0</v>
      </c>
      <c r="J15" s="847">
        <v>0</v>
      </c>
      <c r="K15" s="847">
        <v>0</v>
      </c>
      <c r="L15" s="847">
        <v>0</v>
      </c>
      <c r="M15" s="847">
        <v>0</v>
      </c>
      <c r="N15" s="847">
        <v>0</v>
      </c>
      <c r="O15" s="847">
        <v>0</v>
      </c>
      <c r="P15" s="1162"/>
    </row>
    <row r="16" spans="1:18" ht="15.75" hidden="1" outlineLevel="1">
      <c r="B16" s="1159"/>
      <c r="C16" s="831">
        <v>2</v>
      </c>
      <c r="D16" s="832"/>
      <c r="E16" s="832"/>
      <c r="F16" s="847">
        <v>0</v>
      </c>
      <c r="G16" s="857">
        <v>0</v>
      </c>
      <c r="H16" s="1091">
        <v>0</v>
      </c>
      <c r="I16" s="1091">
        <f>(Unit.ha)*100</f>
        <v>9.9999999999999991E-5</v>
      </c>
      <c r="J16" s="1091">
        <f>(Unit.ha)*500</f>
        <v>5.0000000000000001E-4</v>
      </c>
      <c r="K16" s="1091">
        <f>(Unit.ha)*1000</f>
        <v>1E-3</v>
      </c>
      <c r="L16" s="1091">
        <f>(Unit.ha)*2500</f>
        <v>2.5000000000000001E-3</v>
      </c>
      <c r="M16" s="1091">
        <f>(Unit.ha)*10000</f>
        <v>0.01</v>
      </c>
      <c r="N16" s="1091">
        <f>(Unit.ha)*25000</f>
        <v>2.4999999999999998E-2</v>
      </c>
      <c r="O16" s="1091">
        <f>(Unit.ha)*56254.5</f>
        <v>5.6254499999999999E-2</v>
      </c>
      <c r="P16" s="1158"/>
      <c r="R16" s="2323"/>
    </row>
    <row r="17" spans="1:16" ht="15.75" hidden="1" outlineLevel="1">
      <c r="B17" s="1159"/>
      <c r="C17" s="831">
        <v>3</v>
      </c>
      <c r="D17" s="832"/>
      <c r="E17" s="832"/>
      <c r="F17" s="847">
        <v>0</v>
      </c>
      <c r="G17" s="857">
        <v>0</v>
      </c>
      <c r="H17" s="1091">
        <v>0</v>
      </c>
      <c r="I17" s="1091">
        <f>(Unit.ha)*100</f>
        <v>9.9999999999999991E-5</v>
      </c>
      <c r="J17" s="1091">
        <f>(Unit.ha)*1000</f>
        <v>1E-3</v>
      </c>
      <c r="K17" s="1091">
        <f>(Unit.ha)*5000</f>
        <v>5.0000000000000001E-3</v>
      </c>
      <c r="L17" s="1091">
        <f>(Unit.ha)*10000</f>
        <v>0.01</v>
      </c>
      <c r="M17" s="1091">
        <f>(Unit.ha)*25000</f>
        <v>2.4999999999999998E-2</v>
      </c>
      <c r="N17" s="1091">
        <f>(Unit.ha)*50000</f>
        <v>4.9999999999999996E-2</v>
      </c>
      <c r="O17" s="1091">
        <f>(Unit.ha)*112509</f>
        <v>0.112509</v>
      </c>
      <c r="P17" s="1158"/>
    </row>
    <row r="18" spans="1:16" ht="15.75" hidden="1" outlineLevel="1">
      <c r="B18" s="1159"/>
      <c r="C18" s="769">
        <v>4</v>
      </c>
      <c r="D18" s="770"/>
      <c r="E18" s="770"/>
      <c r="F18" s="782">
        <v>0</v>
      </c>
      <c r="G18" s="858">
        <v>0</v>
      </c>
      <c r="H18" s="859">
        <v>0</v>
      </c>
      <c r="I18" s="859">
        <f>(Unit.ha)*100</f>
        <v>9.9999999999999991E-5</v>
      </c>
      <c r="J18" s="859">
        <f>(Unit.ha)*5000</f>
        <v>5.0000000000000001E-3</v>
      </c>
      <c r="K18" s="859">
        <f>(Unit.ha)*25000</f>
        <v>2.4999999999999998E-2</v>
      </c>
      <c r="L18" s="859">
        <f>(Unit.ha)*50000</f>
        <v>4.9999999999999996E-2</v>
      </c>
      <c r="M18" s="859">
        <f>(Unit.ha)*100000</f>
        <v>9.9999999999999992E-2</v>
      </c>
      <c r="N18" s="859">
        <f>(Unit.ha)*250000</f>
        <v>0.25</v>
      </c>
      <c r="O18" s="859">
        <f>(Unit.ha)*586009</f>
        <v>0.586009</v>
      </c>
      <c r="P18" s="1158"/>
    </row>
    <row r="19" spans="1:16" hidden="1" outlineLevel="1">
      <c r="B19" s="1163"/>
      <c r="C19" s="864"/>
      <c r="D19" s="868"/>
      <c r="E19" s="864"/>
      <c r="F19" s="864"/>
      <c r="G19" s="864"/>
      <c r="H19" s="864"/>
      <c r="I19" s="864"/>
      <c r="J19" s="864"/>
      <c r="K19" s="864"/>
      <c r="L19" s="864"/>
      <c r="M19" s="864"/>
      <c r="N19" s="864"/>
      <c r="O19" s="864"/>
      <c r="P19" s="1158"/>
    </row>
    <row r="20" spans="1:16" hidden="1" outlineLevel="1">
      <c r="B20" s="1223"/>
      <c r="C20" s="1165"/>
      <c r="D20" s="1224"/>
      <c r="E20" s="1165"/>
      <c r="F20" s="1165"/>
      <c r="G20" s="1165"/>
      <c r="H20" s="1165"/>
      <c r="I20" s="1165"/>
      <c r="J20" s="1165"/>
      <c r="K20" s="1165"/>
      <c r="L20" s="1165"/>
      <c r="M20" s="1165"/>
      <c r="N20" s="1165"/>
      <c r="O20" s="1165"/>
      <c r="P20" s="1166"/>
    </row>
    <row r="22" spans="1:16" s="743" customFormat="1" ht="22.5" collapsed="1">
      <c r="A22" s="1170"/>
      <c r="B22" s="1236" t="s">
        <v>786</v>
      </c>
      <c r="C22" s="1167"/>
      <c r="D22" s="1167"/>
      <c r="E22" s="1167"/>
      <c r="F22" s="1167"/>
      <c r="G22" s="1167"/>
      <c r="H22" s="1167"/>
      <c r="I22" s="1167"/>
      <c r="J22" s="1167"/>
      <c r="K22" s="1167"/>
      <c r="L22" s="1167"/>
      <c r="M22" s="1167"/>
      <c r="N22" s="1167"/>
      <c r="O22" s="1167"/>
      <c r="P22" s="1168"/>
    </row>
    <row r="23" spans="1:16" hidden="1" outlineLevel="1">
      <c r="B23" s="1157"/>
      <c r="C23" s="864"/>
      <c r="D23" s="864"/>
      <c r="E23" s="864"/>
      <c r="F23" s="864"/>
      <c r="G23" s="864"/>
      <c r="H23" s="864"/>
      <c r="I23" s="864"/>
      <c r="J23" s="864"/>
      <c r="K23" s="864"/>
      <c r="L23" s="864"/>
      <c r="M23" s="864"/>
      <c r="N23" s="864"/>
      <c r="O23" s="864"/>
      <c r="P23" s="1158"/>
    </row>
    <row r="24" spans="1:16" hidden="1" outlineLevel="1">
      <c r="B24" s="1157"/>
      <c r="C24" s="866" t="s">
        <v>2283</v>
      </c>
      <c r="D24" s="864"/>
      <c r="E24" s="864"/>
      <c r="F24" s="864"/>
      <c r="G24" s="867"/>
      <c r="H24" s="864"/>
      <c r="I24" s="864"/>
      <c r="J24" s="864"/>
      <c r="K24" s="864"/>
      <c r="L24" s="864"/>
      <c r="M24" s="864"/>
      <c r="N24" s="864"/>
      <c r="O24" s="867" t="s">
        <v>2284</v>
      </c>
      <c r="P24" s="1158"/>
    </row>
    <row r="25" spans="1:16" ht="6" hidden="1" customHeight="1" outlineLevel="1">
      <c r="B25" s="1157"/>
      <c r="C25" s="864"/>
      <c r="D25" s="864"/>
      <c r="E25" s="864"/>
      <c r="F25" s="864"/>
      <c r="G25" s="864"/>
      <c r="H25" s="864"/>
      <c r="I25" s="864"/>
      <c r="J25" s="864"/>
      <c r="K25" s="864"/>
      <c r="L25" s="864"/>
      <c r="M25" s="864"/>
      <c r="N25" s="864"/>
      <c r="O25" s="864"/>
      <c r="P25" s="1158"/>
    </row>
    <row r="26" spans="1:16" ht="15.75" hidden="1" outlineLevel="1">
      <c r="B26" s="1159"/>
      <c r="C26" s="766" t="s">
        <v>1442</v>
      </c>
      <c r="D26" s="766" t="s">
        <v>79</v>
      </c>
      <c r="E26" s="766" t="s">
        <v>442</v>
      </c>
      <c r="F26" s="1541">
        <v>2007</v>
      </c>
      <c r="G26" s="924">
        <v>2010</v>
      </c>
      <c r="H26" s="923">
        <v>2015</v>
      </c>
      <c r="I26" s="923">
        <v>2020</v>
      </c>
      <c r="J26" s="923">
        <v>2025</v>
      </c>
      <c r="K26" s="923">
        <v>2030</v>
      </c>
      <c r="L26" s="923">
        <v>2035</v>
      </c>
      <c r="M26" s="923">
        <v>2040</v>
      </c>
      <c r="N26" s="923">
        <v>2045</v>
      </c>
      <c r="O26" s="923">
        <v>2050</v>
      </c>
      <c r="P26" s="1158"/>
    </row>
    <row r="27" spans="1:16" ht="15.75" hidden="1" outlineLevel="1">
      <c r="B27" s="1159"/>
      <c r="C27" s="791" t="s">
        <v>2285</v>
      </c>
      <c r="D27" s="792" t="s">
        <v>2282</v>
      </c>
      <c r="E27" s="792"/>
      <c r="F27" s="793">
        <v>0</v>
      </c>
      <c r="G27" s="799">
        <v>0</v>
      </c>
      <c r="H27" s="798">
        <v>0</v>
      </c>
      <c r="I27" s="2342">
        <v>15</v>
      </c>
      <c r="J27" s="2342">
        <v>20</v>
      </c>
      <c r="K27" s="2342">
        <v>20</v>
      </c>
      <c r="L27" s="2342">
        <v>20</v>
      </c>
      <c r="M27" s="2342">
        <v>20</v>
      </c>
      <c r="N27" s="2342">
        <v>20</v>
      </c>
      <c r="O27" s="2342">
        <v>20</v>
      </c>
      <c r="P27" s="1158"/>
    </row>
    <row r="28" spans="1:16" hidden="1" outlineLevel="1">
      <c r="B28" s="1157"/>
      <c r="C28" s="864"/>
      <c r="D28" s="864"/>
      <c r="E28" s="864"/>
      <c r="F28" s="864"/>
      <c r="G28" s="864"/>
      <c r="H28" s="864"/>
      <c r="I28" s="864"/>
      <c r="J28" s="864"/>
      <c r="K28" s="864"/>
      <c r="L28" s="864"/>
      <c r="M28" s="864"/>
      <c r="N28" s="864"/>
      <c r="O28" s="864"/>
      <c r="P28" s="1158"/>
    </row>
    <row r="29" spans="1:16" hidden="1" outlineLevel="1">
      <c r="B29" s="1157"/>
      <c r="C29" s="866" t="s">
        <v>2286</v>
      </c>
      <c r="D29" s="864"/>
      <c r="E29" s="864"/>
      <c r="F29" s="867" t="str">
        <f>Preferences.EnergyUnits &amp; " / M tonnes"</f>
        <v>TWh / M tonnes</v>
      </c>
      <c r="G29" s="867"/>
      <c r="H29" s="864"/>
      <c r="I29" s="864"/>
      <c r="J29" s="864"/>
      <c r="K29" s="864"/>
      <c r="L29" s="864"/>
      <c r="M29" s="864"/>
      <c r="N29" s="864"/>
      <c r="O29" s="867"/>
      <c r="P29" s="1158"/>
    </row>
    <row r="30" spans="1:16" ht="5.25" hidden="1" customHeight="1" outlineLevel="1">
      <c r="B30" s="1157"/>
      <c r="C30" s="864"/>
      <c r="D30" s="864"/>
      <c r="E30" s="864"/>
      <c r="F30" s="864"/>
      <c r="G30" s="864"/>
      <c r="H30" s="864"/>
      <c r="I30" s="864"/>
      <c r="J30" s="864"/>
      <c r="K30" s="864"/>
      <c r="L30" s="864"/>
      <c r="M30" s="864"/>
      <c r="N30" s="864"/>
      <c r="O30" s="864"/>
      <c r="P30" s="1158"/>
    </row>
    <row r="31" spans="1:16" ht="15.75" hidden="1" outlineLevel="1">
      <c r="B31" s="1159"/>
      <c r="C31" s="766" t="s">
        <v>1442</v>
      </c>
      <c r="D31" s="766" t="s">
        <v>79</v>
      </c>
      <c r="E31" s="766" t="s">
        <v>442</v>
      </c>
      <c r="F31" s="771">
        <v>2007</v>
      </c>
      <c r="G31" s="1293"/>
      <c r="H31" s="1293"/>
      <c r="I31" s="1293"/>
      <c r="J31" s="1293"/>
      <c r="K31" s="1293"/>
      <c r="L31" s="1293"/>
      <c r="M31" s="1293"/>
      <c r="N31" s="1293"/>
      <c r="O31" s="1293"/>
      <c r="P31" s="1158"/>
    </row>
    <row r="32" spans="1:16" ht="15.75" hidden="1" outlineLevel="1">
      <c r="B32" s="1159"/>
      <c r="C32" s="791" t="s">
        <v>2285</v>
      </c>
      <c r="D32" s="792" t="s">
        <v>2282</v>
      </c>
      <c r="E32" s="792"/>
      <c r="F32" s="793">
        <f>14*Unit.PJ</f>
        <v>3.8888888888888893</v>
      </c>
      <c r="G32" s="865"/>
      <c r="H32" s="865"/>
      <c r="I32" s="911"/>
      <c r="J32" s="911"/>
      <c r="K32" s="911"/>
      <c r="L32" s="911"/>
      <c r="M32" s="911"/>
      <c r="N32" s="911"/>
      <c r="O32" s="911"/>
      <c r="P32" s="1158"/>
    </row>
    <row r="33" spans="1:16" hidden="1" outlineLevel="1">
      <c r="B33" s="1163"/>
      <c r="C33" s="1251"/>
      <c r="D33" s="1227"/>
      <c r="E33" s="864"/>
      <c r="F33" s="864"/>
      <c r="G33" s="864"/>
      <c r="H33" s="864"/>
      <c r="I33" s="864"/>
      <c r="J33" s="864"/>
      <c r="K33" s="864"/>
      <c r="L33" s="864"/>
      <c r="M33" s="864"/>
      <c r="N33" s="864"/>
      <c r="O33" s="864"/>
      <c r="P33" s="1158"/>
    </row>
    <row r="34" spans="1:16" s="715" customFormat="1" hidden="1" outlineLevel="1">
      <c r="B34" s="1225"/>
      <c r="C34" s="1226"/>
      <c r="D34" s="1227"/>
      <c r="E34" s="1228"/>
      <c r="F34" s="1228"/>
      <c r="G34" s="1228"/>
      <c r="H34" s="1228"/>
      <c r="I34" s="1228"/>
      <c r="J34" s="1228"/>
      <c r="K34" s="1228"/>
      <c r="L34" s="1228"/>
      <c r="M34" s="1228"/>
      <c r="N34" s="1228"/>
      <c r="O34" s="1228"/>
      <c r="P34" s="1229"/>
    </row>
    <row r="36" spans="1:16" ht="22.5" collapsed="1">
      <c r="A36" s="1171"/>
      <c r="B36" s="1236" t="s">
        <v>817</v>
      </c>
      <c r="C36" s="1167"/>
      <c r="D36" s="1167"/>
      <c r="E36" s="1167"/>
      <c r="F36" s="1167"/>
      <c r="G36" s="1167"/>
      <c r="H36" s="1167"/>
      <c r="I36" s="1167"/>
      <c r="J36" s="1167"/>
      <c r="K36" s="1167"/>
      <c r="L36" s="1167"/>
      <c r="M36" s="1167"/>
      <c r="N36" s="1167"/>
      <c r="O36" s="1167"/>
      <c r="P36" s="1168"/>
    </row>
    <row r="37" spans="1:16" hidden="1" outlineLevel="1">
      <c r="B37" s="1157"/>
      <c r="C37" s="864"/>
      <c r="D37" s="864"/>
      <c r="E37" s="864"/>
      <c r="F37" s="864"/>
      <c r="G37" s="864"/>
      <c r="H37" s="864"/>
      <c r="I37" s="864"/>
      <c r="J37" s="864"/>
      <c r="K37" s="864"/>
      <c r="L37" s="864"/>
      <c r="M37" s="864"/>
      <c r="N37" s="864"/>
      <c r="O37" s="864"/>
      <c r="P37" s="1158"/>
    </row>
    <row r="38" spans="1:16" hidden="1" outlineLevel="1">
      <c r="B38" s="1163"/>
      <c r="C38" s="831"/>
      <c r="D38" s="832"/>
      <c r="E38" s="832"/>
      <c r="F38" s="911"/>
      <c r="G38" s="912"/>
      <c r="H38" s="912"/>
      <c r="I38" s="912"/>
      <c r="J38" s="912"/>
      <c r="K38" s="912"/>
      <c r="L38" s="912"/>
      <c r="M38" s="912"/>
      <c r="N38" s="912"/>
      <c r="O38" s="912"/>
      <c r="P38" s="1158"/>
    </row>
    <row r="40" spans="1:16" ht="15.75" collapsed="1">
      <c r="B40" s="809" t="s">
        <v>732</v>
      </c>
    </row>
    <row r="41" spans="1:16" hidden="1" outlineLevel="1">
      <c r="B41" s="731"/>
      <c r="C41" s="731"/>
    </row>
    <row r="42" spans="1:16" hidden="1" outlineLevel="1">
      <c r="B42" s="731">
        <v>1</v>
      </c>
      <c r="C42" s="731" t="s">
        <v>2287</v>
      </c>
    </row>
    <row r="43" spans="1:16" hidden="1" outlineLevel="1">
      <c r="B43" s="731"/>
      <c r="C43" s="731"/>
    </row>
    <row r="44" spans="1:16" hidden="1" outlineLevel="1">
      <c r="C44" s="731" t="s">
        <v>2288</v>
      </c>
      <c r="D44" s="834"/>
      <c r="E44" s="862" t="str">
        <f>Preferences.AreaUnits</f>
        <v>M ha</v>
      </c>
      <c r="F44" s="783">
        <f>INDEX(F$15:F$18, MATCH($E$7, $C$15:$C$18, 0))</f>
        <v>0</v>
      </c>
      <c r="G44" s="783">
        <f t="shared" ref="G44:O44" si="0">INDEX(G$15:G$18, MATCH($E$7, $C$15:$C$18, 0))</f>
        <v>0</v>
      </c>
      <c r="H44" s="783">
        <f t="shared" si="0"/>
        <v>0</v>
      </c>
      <c r="I44" s="783">
        <f t="shared" si="0"/>
        <v>0</v>
      </c>
      <c r="J44" s="783">
        <f t="shared" si="0"/>
        <v>0</v>
      </c>
      <c r="K44" s="783">
        <f t="shared" si="0"/>
        <v>0</v>
      </c>
      <c r="L44" s="783">
        <f t="shared" si="0"/>
        <v>0</v>
      </c>
      <c r="M44" s="783">
        <f t="shared" si="0"/>
        <v>0</v>
      </c>
      <c r="N44" s="783">
        <f t="shared" si="0"/>
        <v>0</v>
      </c>
      <c r="O44" s="783">
        <f t="shared" si="0"/>
        <v>0</v>
      </c>
    </row>
    <row r="45" spans="1:16" s="246" customFormat="1" hidden="1" outlineLevel="1">
      <c r="B45" s="1555" t="s">
        <v>838</v>
      </c>
      <c r="C45" s="246" t="s">
        <v>2282</v>
      </c>
      <c r="E45" s="1555" t="str">
        <f>"M tonnes / " &amp; Preferences.AreaUnits</f>
        <v>M tonnes / M ha</v>
      </c>
      <c r="F45" s="1108">
        <f t="shared" ref="F45:O45" si="1">F$27/(1000000*Unit.ha)</f>
        <v>0</v>
      </c>
      <c r="G45" s="1108">
        <f t="shared" si="1"/>
        <v>0</v>
      </c>
      <c r="H45" s="1108">
        <f t="shared" si="1"/>
        <v>0</v>
      </c>
      <c r="I45" s="1108">
        <f t="shared" si="1"/>
        <v>15</v>
      </c>
      <c r="J45" s="1108">
        <f t="shared" si="1"/>
        <v>20</v>
      </c>
      <c r="K45" s="1108">
        <f t="shared" si="1"/>
        <v>20</v>
      </c>
      <c r="L45" s="1108">
        <f t="shared" si="1"/>
        <v>20</v>
      </c>
      <c r="M45" s="1108">
        <f t="shared" si="1"/>
        <v>20</v>
      </c>
      <c r="N45" s="1108">
        <f t="shared" si="1"/>
        <v>20</v>
      </c>
      <c r="O45" s="1108">
        <f t="shared" si="1"/>
        <v>20</v>
      </c>
    </row>
    <row r="46" spans="1:16" s="246" customFormat="1" hidden="1" outlineLevel="1">
      <c r="B46" s="1555" t="s">
        <v>838</v>
      </c>
      <c r="C46" s="246" t="s">
        <v>915</v>
      </c>
      <c r="E46" s="1555"/>
      <c r="F46" s="1108">
        <f>F$32</f>
        <v>3.8888888888888893</v>
      </c>
      <c r="G46" s="1757"/>
      <c r="H46" s="1757"/>
      <c r="I46" s="1757"/>
      <c r="J46" s="1757"/>
      <c r="K46" s="1757"/>
      <c r="L46" s="1757"/>
      <c r="M46" s="1757"/>
      <c r="N46" s="1757"/>
      <c r="O46" s="1757"/>
    </row>
    <row r="47" spans="1:16" s="731" customFormat="1" ht="15" hidden="1" customHeight="1" outlineLevel="1">
      <c r="B47" s="807" t="s">
        <v>840</v>
      </c>
      <c r="C47" s="731" t="s">
        <v>929</v>
      </c>
      <c r="D47" s="731" t="str">
        <f>INDEX(Vectors[Description], MATCH($C47, Vectors[Code], 0))</f>
        <v>Wet biomatter and waste</v>
      </c>
      <c r="E47" s="862" t="str">
        <f>Preferences.EnergyUnits</f>
        <v>TWh</v>
      </c>
      <c r="F47" s="1579">
        <f>F44*F45*$F46</f>
        <v>0</v>
      </c>
      <c r="G47" s="1579">
        <f t="shared" ref="G47:O47" si="2">G44*G45*$F46</f>
        <v>0</v>
      </c>
      <c r="H47" s="1579">
        <f t="shared" si="2"/>
        <v>0</v>
      </c>
      <c r="I47" s="1579">
        <f t="shared" si="2"/>
        <v>0</v>
      </c>
      <c r="J47" s="1579">
        <f t="shared" si="2"/>
        <v>0</v>
      </c>
      <c r="K47" s="1579">
        <f t="shared" si="2"/>
        <v>0</v>
      </c>
      <c r="L47" s="1579">
        <f t="shared" si="2"/>
        <v>0</v>
      </c>
      <c r="M47" s="1579">
        <f t="shared" si="2"/>
        <v>0</v>
      </c>
      <c r="N47" s="1579">
        <f t="shared" si="2"/>
        <v>0</v>
      </c>
      <c r="O47" s="1579">
        <f t="shared" si="2"/>
        <v>0</v>
      </c>
    </row>
    <row r="48" spans="1:16" hidden="1" outlineLevel="1">
      <c r="B48" s="807"/>
      <c r="C48" s="731"/>
      <c r="F48" s="783"/>
      <c r="G48" s="783"/>
      <c r="H48" s="783"/>
      <c r="I48" s="783"/>
      <c r="J48" s="783"/>
      <c r="K48" s="783"/>
      <c r="L48" s="783"/>
      <c r="M48" s="783"/>
      <c r="N48" s="783"/>
      <c r="O48" s="783"/>
    </row>
    <row r="49" spans="1:16" hidden="1" outlineLevel="1">
      <c r="C49" s="731"/>
      <c r="F49" s="783"/>
      <c r="G49" s="783"/>
      <c r="H49" s="783"/>
      <c r="I49" s="783"/>
      <c r="J49" s="783"/>
      <c r="K49" s="783"/>
      <c r="L49" s="783"/>
      <c r="M49" s="783"/>
      <c r="N49" s="783"/>
      <c r="O49" s="783"/>
    </row>
    <row r="51" spans="1:16" ht="22.5" collapsed="1">
      <c r="A51" s="1171"/>
      <c r="B51" s="1231" t="s">
        <v>683</v>
      </c>
      <c r="C51" s="1183"/>
      <c r="D51" s="1183"/>
      <c r="E51" s="1183"/>
      <c r="F51" s="1183"/>
      <c r="G51" s="1183"/>
      <c r="H51" s="1183"/>
      <c r="I51" s="1183"/>
      <c r="J51" s="1183"/>
      <c r="K51" s="1183"/>
      <c r="L51" s="1183"/>
      <c r="M51" s="1183"/>
      <c r="N51" s="1183"/>
      <c r="O51" s="1183"/>
      <c r="P51" s="1185"/>
    </row>
    <row r="52" spans="1:16" hidden="1" outlineLevel="1">
      <c r="B52" s="1172"/>
      <c r="C52" s="1174"/>
      <c r="D52" s="1174"/>
      <c r="E52" s="1174"/>
      <c r="F52" s="1174"/>
      <c r="G52" s="1174"/>
      <c r="H52" s="1174"/>
      <c r="I52" s="1174"/>
      <c r="J52" s="1174"/>
      <c r="K52" s="1174"/>
      <c r="L52" s="1174"/>
      <c r="M52" s="1174"/>
      <c r="N52" s="1174"/>
      <c r="O52" s="1174"/>
      <c r="P52" s="1176"/>
    </row>
    <row r="53" spans="1:16" hidden="1" outlineLevel="1">
      <c r="B53" s="1172"/>
      <c r="C53" s="1186" t="s">
        <v>730</v>
      </c>
      <c r="D53" s="1174"/>
      <c r="E53" s="1175"/>
      <c r="F53" s="1174"/>
      <c r="G53" s="1175"/>
      <c r="H53" s="1174"/>
      <c r="I53" s="1174"/>
      <c r="J53" s="1174"/>
      <c r="K53" s="1174"/>
      <c r="L53" s="1174"/>
      <c r="M53" s="1174"/>
      <c r="N53" s="1174"/>
      <c r="O53" s="1175" t="str">
        <f>Preferences.EnergyUnits</f>
        <v>TWh</v>
      </c>
      <c r="P53" s="1176"/>
    </row>
    <row r="54" spans="1:16" ht="6" hidden="1" customHeight="1" outlineLevel="1">
      <c r="B54" s="1172"/>
      <c r="C54" s="1174"/>
      <c r="D54" s="1174"/>
      <c r="E54" s="1174"/>
      <c r="F54" s="1174"/>
      <c r="G54" s="1174"/>
      <c r="H54" s="1174"/>
      <c r="I54" s="1174"/>
      <c r="J54" s="1174"/>
      <c r="K54" s="1174"/>
      <c r="L54" s="1174"/>
      <c r="M54" s="1174"/>
      <c r="N54" s="1174"/>
      <c r="O54" s="1174"/>
      <c r="P54" s="1176"/>
    </row>
    <row r="55" spans="1:16" ht="15.75" hidden="1" outlineLevel="1">
      <c r="A55" s="3"/>
      <c r="B55" s="1177"/>
      <c r="C55" s="1188" t="s">
        <v>78</v>
      </c>
      <c r="D55" s="1188" t="s">
        <v>418</v>
      </c>
      <c r="E55" s="1188" t="s">
        <v>442</v>
      </c>
      <c r="F55" s="1188" t="s">
        <v>691</v>
      </c>
      <c r="G55" s="1188" t="s">
        <v>692</v>
      </c>
      <c r="H55" s="1189" t="s">
        <v>721</v>
      </c>
      <c r="I55" s="1189" t="s">
        <v>722</v>
      </c>
      <c r="J55" s="1189" t="s">
        <v>723</v>
      </c>
      <c r="K55" s="1189" t="s">
        <v>724</v>
      </c>
      <c r="L55" s="1189" t="s">
        <v>725</v>
      </c>
      <c r="M55" s="1189" t="s">
        <v>726</v>
      </c>
      <c r="N55" s="1189" t="s">
        <v>727</v>
      </c>
      <c r="O55" s="1189" t="s">
        <v>728</v>
      </c>
      <c r="P55" s="1176"/>
    </row>
    <row r="56" spans="1:16" ht="15.75" hidden="1" outlineLevel="1">
      <c r="A56" s="3"/>
      <c r="B56" s="1177"/>
      <c r="C56" s="765" t="s">
        <v>929</v>
      </c>
      <c r="D56" s="765" t="str">
        <f>INDEX(Vectors[Description], MATCH([Vector], Vectors[Code], 0))</f>
        <v>Wet biomatter and waste</v>
      </c>
      <c r="E56" s="765"/>
      <c r="F56" s="953">
        <f>F47</f>
        <v>0</v>
      </c>
      <c r="G56" s="953">
        <f t="shared" ref="G56:O56" si="3">G47</f>
        <v>0</v>
      </c>
      <c r="H56" s="953">
        <f t="shared" si="3"/>
        <v>0</v>
      </c>
      <c r="I56" s="953">
        <f t="shared" si="3"/>
        <v>0</v>
      </c>
      <c r="J56" s="953">
        <f t="shared" si="3"/>
        <v>0</v>
      </c>
      <c r="K56" s="953">
        <f t="shared" si="3"/>
        <v>0</v>
      </c>
      <c r="L56" s="953">
        <f t="shared" si="3"/>
        <v>0</v>
      </c>
      <c r="M56" s="953">
        <f t="shared" si="3"/>
        <v>0</v>
      </c>
      <c r="N56" s="953">
        <f t="shared" si="3"/>
        <v>0</v>
      </c>
      <c r="O56" s="953">
        <f t="shared" si="3"/>
        <v>0</v>
      </c>
      <c r="P56" s="1176"/>
    </row>
    <row r="57" spans="1:16" ht="15.75" hidden="1" outlineLevel="1">
      <c r="A57" s="3"/>
      <c r="B57" s="1177"/>
      <c r="C57" s="765" t="s">
        <v>1027</v>
      </c>
      <c r="D57" s="765" t="str">
        <f>INDEX(Vectors[Description], MATCH([Vector], Vectors[Code], 0))</f>
        <v>Agriculture</v>
      </c>
      <c r="E57" s="765"/>
      <c r="F57" s="953">
        <f>-F47</f>
        <v>0</v>
      </c>
      <c r="G57" s="953">
        <f t="shared" ref="G57:O57" si="4">-G47</f>
        <v>0</v>
      </c>
      <c r="H57" s="953">
        <f t="shared" si="4"/>
        <v>0</v>
      </c>
      <c r="I57" s="953">
        <f t="shared" si="4"/>
        <v>0</v>
      </c>
      <c r="J57" s="953">
        <f t="shared" si="4"/>
        <v>0</v>
      </c>
      <c r="K57" s="953">
        <f t="shared" si="4"/>
        <v>0</v>
      </c>
      <c r="L57" s="953">
        <f t="shared" si="4"/>
        <v>0</v>
      </c>
      <c r="M57" s="953">
        <f t="shared" si="4"/>
        <v>0</v>
      </c>
      <c r="N57" s="953">
        <f t="shared" si="4"/>
        <v>0</v>
      </c>
      <c r="O57" s="953">
        <f t="shared" si="4"/>
        <v>0</v>
      </c>
      <c r="P57" s="1176"/>
    </row>
    <row r="58" spans="1:16" ht="15.75" hidden="1" outlineLevel="1">
      <c r="A58" s="3"/>
      <c r="B58" s="1177"/>
      <c r="C58" s="765" t="s">
        <v>148</v>
      </c>
      <c r="D58" s="765"/>
      <c r="E58" s="765"/>
      <c r="F58" s="1459">
        <f>SUBTOTAL(109,[2007])</f>
        <v>0</v>
      </c>
      <c r="G58" s="1459">
        <f>SUBTOTAL(109,[2010])</f>
        <v>0</v>
      </c>
      <c r="H58" s="1459">
        <f>SUBTOTAL(109,[2015])</f>
        <v>0</v>
      </c>
      <c r="I58" s="1459">
        <f>SUBTOTAL(109,[2020])</f>
        <v>0</v>
      </c>
      <c r="J58" s="1459">
        <f>SUBTOTAL(109,[2025])</f>
        <v>0</v>
      </c>
      <c r="K58" s="1459">
        <f>SUBTOTAL(109,[2030])</f>
        <v>0</v>
      </c>
      <c r="L58" s="1459">
        <f>SUBTOTAL(109,[2035])</f>
        <v>0</v>
      </c>
      <c r="M58" s="1459">
        <f>SUBTOTAL(109,[2040])</f>
        <v>0</v>
      </c>
      <c r="N58" s="1459">
        <f>SUBTOTAL(109,[2045])</f>
        <v>0</v>
      </c>
      <c r="O58" s="1459">
        <f>SUBTOTAL(109,[2050])</f>
        <v>0</v>
      </c>
      <c r="P58" s="1176"/>
    </row>
    <row r="59" spans="1:16" ht="15.75" hidden="1" outlineLevel="1">
      <c r="A59" s="3"/>
      <c r="B59" s="1177"/>
      <c r="C59" s="1179"/>
      <c r="D59" s="1179"/>
      <c r="E59" s="1179"/>
      <c r="F59" s="1179"/>
      <c r="G59" s="1179"/>
      <c r="H59" s="1179"/>
      <c r="I59" s="1179"/>
      <c r="J59" s="1179"/>
      <c r="K59" s="1179"/>
      <c r="L59" s="1179"/>
      <c r="M59" s="1179"/>
      <c r="N59" s="1179"/>
      <c r="O59" s="1179"/>
      <c r="P59" s="1176"/>
    </row>
  </sheetData>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sheetPr codeName="Sheet141">
    <tabColor theme="9"/>
    <outlinePr summaryBelow="0"/>
    <pageSetUpPr autoPageBreaks="0"/>
  </sheetPr>
  <dimension ref="A1:P49"/>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9" width="9.140625" style="121"/>
    <col min="10" max="10" width="9.28515625" style="121" bestFit="1" customWidth="1"/>
    <col min="11" max="15" width="9.140625" style="121"/>
    <col min="16" max="16" width="2" style="121" customWidth="1"/>
    <col min="17" max="16384" width="9.140625" style="121"/>
  </cols>
  <sheetData>
    <row r="1" spans="1:16" ht="21">
      <c r="A1" s="789" t="s">
        <v>673</v>
      </c>
      <c r="B1" s="789" t="str">
        <f>INDEX(Workstreams[Workstream], MATCH($A1, Workstreams[Code], 0))</f>
        <v>Electricity distribution, storage, and balancing</v>
      </c>
      <c r="C1" s="789"/>
    </row>
    <row r="2" spans="1:16" s="743" customFormat="1" ht="19.5" customHeight="1">
      <c r="A2" s="10" t="s">
        <v>774</v>
      </c>
      <c r="B2" s="10" t="str">
        <f>INDEX(Modules[Module], MATCH($A2, Modules[Code], 0))</f>
        <v>Electricity imports / exports</v>
      </c>
      <c r="C2" s="10"/>
    </row>
    <row r="4" spans="1:16" ht="22.5" collapsed="1">
      <c r="A4" s="1171"/>
      <c r="B4" s="1231" t="s">
        <v>1357</v>
      </c>
      <c r="C4" s="1182"/>
      <c r="D4" s="1183"/>
      <c r="E4" s="1184"/>
      <c r="F4" s="1183"/>
      <c r="G4" s="1183"/>
      <c r="H4" s="1183"/>
      <c r="I4" s="1183"/>
      <c r="J4" s="1183"/>
      <c r="K4" s="1183"/>
      <c r="L4" s="1183"/>
      <c r="M4" s="1183"/>
      <c r="N4" s="1183"/>
      <c r="O4" s="1183"/>
      <c r="P4" s="1185"/>
    </row>
    <row r="5" spans="1:16" hidden="1" outlineLevel="1">
      <c r="B5" s="1172"/>
      <c r="C5" s="1173"/>
      <c r="D5" s="1174"/>
      <c r="E5" s="1175"/>
      <c r="F5" s="1174"/>
      <c r="G5" s="1174"/>
      <c r="H5" s="1174"/>
      <c r="I5" s="1174"/>
      <c r="J5" s="1174"/>
      <c r="K5" s="1174"/>
      <c r="L5" s="1174"/>
      <c r="M5" s="1174"/>
      <c r="N5" s="1174"/>
      <c r="O5" s="1174"/>
      <c r="P5" s="1176"/>
    </row>
    <row r="6" spans="1:16" ht="15.75" hidden="1" outlineLevel="1">
      <c r="B6" s="1177"/>
      <c r="C6" s="1174"/>
      <c r="D6" s="922" t="s">
        <v>830</v>
      </c>
      <c r="E6" s="922" t="s">
        <v>1352</v>
      </c>
      <c r="F6" s="1174"/>
      <c r="G6" s="1174"/>
      <c r="H6" s="1174"/>
      <c r="I6" s="1174"/>
      <c r="J6" s="1174"/>
      <c r="K6" s="1174"/>
      <c r="L6" s="1174"/>
      <c r="M6" s="1174"/>
      <c r="N6" s="1174"/>
      <c r="O6" s="1174"/>
      <c r="P6" s="1176"/>
    </row>
    <row r="7" spans="1:16" ht="15.75" hidden="1" outlineLevel="1">
      <c r="B7" s="1177"/>
      <c r="C7" s="1174"/>
      <c r="D7" s="950" t="s">
        <v>1457</v>
      </c>
      <c r="E7" s="950">
        <f>VII.a.Scenario</f>
        <v>1</v>
      </c>
      <c r="F7" s="1174"/>
      <c r="G7" s="1174"/>
      <c r="H7" s="1174"/>
      <c r="I7" s="1174"/>
      <c r="J7" s="1174"/>
      <c r="K7" s="1174"/>
      <c r="L7" s="1174"/>
      <c r="M7" s="1174"/>
      <c r="N7" s="1174"/>
      <c r="O7" s="1174"/>
      <c r="P7" s="1176"/>
    </row>
    <row r="8" spans="1:16" ht="15.75" hidden="1" outlineLevel="1">
      <c r="B8" s="1178"/>
      <c r="C8" s="1179"/>
      <c r="D8" s="1179"/>
      <c r="E8" s="1179"/>
      <c r="F8" s="1180"/>
      <c r="G8" s="1180"/>
      <c r="H8" s="1180"/>
      <c r="I8" s="1180"/>
      <c r="J8" s="1180"/>
      <c r="K8" s="1180"/>
      <c r="L8" s="1180"/>
      <c r="M8" s="1180"/>
      <c r="N8" s="1180"/>
      <c r="O8" s="1180"/>
      <c r="P8" s="1181"/>
    </row>
    <row r="10" spans="1:16" ht="22.5" collapsed="1">
      <c r="A10" s="1171"/>
      <c r="B10" s="1236" t="s">
        <v>1354</v>
      </c>
      <c r="C10" s="1167"/>
      <c r="D10" s="1167"/>
      <c r="E10" s="1167"/>
      <c r="F10" s="1167"/>
      <c r="G10" s="1167"/>
      <c r="H10" s="1167"/>
      <c r="I10" s="1167"/>
      <c r="J10" s="1167"/>
      <c r="K10" s="1167"/>
      <c r="L10" s="1167"/>
      <c r="M10" s="1167"/>
      <c r="N10" s="1167"/>
      <c r="O10" s="1167"/>
      <c r="P10" s="1168"/>
    </row>
    <row r="11" spans="1:16" hidden="1" outlineLevel="1">
      <c r="B11" s="1237"/>
      <c r="C11" s="1221"/>
      <c r="D11" s="1221"/>
      <c r="E11" s="1221"/>
      <c r="F11" s="1221"/>
      <c r="G11" s="1221"/>
      <c r="H11" s="1221"/>
      <c r="I11" s="1221"/>
      <c r="J11" s="1221"/>
      <c r="K11" s="1221"/>
      <c r="L11" s="1221"/>
      <c r="M11" s="1221"/>
      <c r="N11" s="1221"/>
      <c r="O11" s="1221"/>
      <c r="P11" s="1222"/>
    </row>
    <row r="12" spans="1:16" hidden="1" outlineLevel="1">
      <c r="B12" s="1238"/>
      <c r="C12" s="866" t="s">
        <v>2445</v>
      </c>
      <c r="D12" s="864"/>
      <c r="E12" s="867"/>
      <c r="F12" s="867"/>
      <c r="G12" s="864"/>
      <c r="H12" s="864"/>
      <c r="I12" s="864"/>
      <c r="J12" s="864"/>
      <c r="K12" s="864"/>
      <c r="L12" s="864"/>
      <c r="M12" s="864"/>
      <c r="N12" s="864"/>
      <c r="O12" s="867" t="str">
        <f>Preferences.EnergyUnits</f>
        <v>TWh</v>
      </c>
      <c r="P12" s="1158"/>
    </row>
    <row r="13" spans="1:16" ht="5.25" hidden="1" customHeight="1" outlineLevel="1">
      <c r="B13" s="1238"/>
      <c r="C13" s="864"/>
      <c r="D13" s="864"/>
      <c r="E13" s="864"/>
      <c r="F13" s="864"/>
      <c r="G13" s="864"/>
      <c r="H13" s="864"/>
      <c r="I13" s="864"/>
      <c r="J13" s="864"/>
      <c r="K13" s="864"/>
      <c r="L13" s="864"/>
      <c r="M13" s="864"/>
      <c r="N13" s="864"/>
      <c r="O13" s="864"/>
      <c r="P13" s="1158"/>
    </row>
    <row r="14" spans="1:16" ht="15.75" hidden="1" outlineLevel="1">
      <c r="B14" s="1239"/>
      <c r="C14" s="766" t="s">
        <v>1352</v>
      </c>
      <c r="D14" s="766" t="s">
        <v>79</v>
      </c>
      <c r="E14" s="766"/>
      <c r="F14" s="1541">
        <v>2007</v>
      </c>
      <c r="G14" s="924">
        <v>2010</v>
      </c>
      <c r="H14" s="923">
        <v>2015</v>
      </c>
      <c r="I14" s="923">
        <v>2020</v>
      </c>
      <c r="J14" s="923">
        <v>2025</v>
      </c>
      <c r="K14" s="923">
        <v>2030</v>
      </c>
      <c r="L14" s="923">
        <v>2035</v>
      </c>
      <c r="M14" s="923">
        <v>2040</v>
      </c>
      <c r="N14" s="923">
        <v>2045</v>
      </c>
      <c r="O14" s="923">
        <v>2050</v>
      </c>
      <c r="P14" s="1158"/>
    </row>
    <row r="15" spans="1:16" ht="15.75" hidden="1" outlineLevel="1">
      <c r="B15" s="1240"/>
      <c r="C15" s="831">
        <v>1</v>
      </c>
      <c r="D15" s="832" t="s">
        <v>2446</v>
      </c>
      <c r="E15" s="833"/>
      <c r="F15" s="2359">
        <v>0</v>
      </c>
      <c r="G15" s="2360">
        <v>0</v>
      </c>
      <c r="H15" s="2360">
        <v>0</v>
      </c>
      <c r="I15" s="2360">
        <v>0</v>
      </c>
      <c r="J15" s="2360">
        <v>0</v>
      </c>
      <c r="K15" s="2360">
        <v>0</v>
      </c>
      <c r="L15" s="2360">
        <v>0</v>
      </c>
      <c r="M15" s="2360">
        <v>0</v>
      </c>
      <c r="N15" s="2360">
        <v>0</v>
      </c>
      <c r="O15" s="2360">
        <v>0</v>
      </c>
      <c r="P15" s="1162"/>
    </row>
    <row r="16" spans="1:16" ht="15.75" hidden="1" outlineLevel="1">
      <c r="B16" s="1240"/>
      <c r="C16" s="831">
        <v>2</v>
      </c>
      <c r="D16" s="832" t="s">
        <v>2446</v>
      </c>
      <c r="E16" s="832"/>
      <c r="F16" s="2361">
        <v>0</v>
      </c>
      <c r="G16" s="2360">
        <v>0</v>
      </c>
      <c r="H16" s="2360">
        <v>0</v>
      </c>
      <c r="I16" s="2360">
        <f t="shared" ref="I16:O16" si="0">(30/140)*I18</f>
        <v>2.5714285714285712</v>
      </c>
      <c r="J16" s="2360">
        <f t="shared" si="0"/>
        <v>6.2142857142857135</v>
      </c>
      <c r="K16" s="2360">
        <f t="shared" si="0"/>
        <v>9.8571428571428559</v>
      </c>
      <c r="L16" s="2360">
        <f t="shared" si="0"/>
        <v>15</v>
      </c>
      <c r="M16" s="2360">
        <f t="shared" si="0"/>
        <v>20.142857142857142</v>
      </c>
      <c r="N16" s="2360">
        <f t="shared" si="0"/>
        <v>25.071428571428569</v>
      </c>
      <c r="O16" s="2360">
        <f t="shared" si="0"/>
        <v>30</v>
      </c>
      <c r="P16" s="1162"/>
    </row>
    <row r="17" spans="1:16" ht="15.75" hidden="1" outlineLevel="1">
      <c r="B17" s="1240"/>
      <c r="C17" s="831">
        <v>3</v>
      </c>
      <c r="D17" s="832" t="s">
        <v>2446</v>
      </c>
      <c r="E17" s="832"/>
      <c r="F17" s="2361">
        <v>0</v>
      </c>
      <c r="G17" s="2360">
        <v>0</v>
      </c>
      <c r="H17" s="2360">
        <v>0</v>
      </c>
      <c r="I17" s="2360">
        <f t="shared" ref="I17:O17" si="1">0.5*I18</f>
        <v>6</v>
      </c>
      <c r="J17" s="2360">
        <f t="shared" si="1"/>
        <v>14.5</v>
      </c>
      <c r="K17" s="2360">
        <f t="shared" si="1"/>
        <v>23</v>
      </c>
      <c r="L17" s="2360">
        <f t="shared" si="1"/>
        <v>35</v>
      </c>
      <c r="M17" s="2360">
        <f t="shared" si="1"/>
        <v>47</v>
      </c>
      <c r="N17" s="2360">
        <f t="shared" si="1"/>
        <v>58.5</v>
      </c>
      <c r="O17" s="2360">
        <f t="shared" si="1"/>
        <v>70</v>
      </c>
      <c r="P17" s="1162"/>
    </row>
    <row r="18" spans="1:16" ht="15.75" hidden="1" outlineLevel="1">
      <c r="B18" s="1239"/>
      <c r="C18" s="769">
        <v>4</v>
      </c>
      <c r="D18" s="770" t="s">
        <v>2446</v>
      </c>
      <c r="E18" s="770"/>
      <c r="F18" s="2362">
        <v>0</v>
      </c>
      <c r="G18" s="2363">
        <v>0</v>
      </c>
      <c r="H18" s="2363">
        <v>0</v>
      </c>
      <c r="I18" s="2363">
        <f>12*Unit.TWh</f>
        <v>12</v>
      </c>
      <c r="J18" s="2418">
        <f>I18+(K18-I18)/(K$14-I$14)*(J$14-I$14)</f>
        <v>29</v>
      </c>
      <c r="K18" s="2363">
        <f>46*Unit.TWh</f>
        <v>46</v>
      </c>
      <c r="L18" s="2418">
        <f>K18+(M18-K18)/(M$14-K$14)*(L$14-K$14)</f>
        <v>70</v>
      </c>
      <c r="M18" s="2363">
        <f>94*Unit.TWh</f>
        <v>94</v>
      </c>
      <c r="N18" s="2418">
        <f>M18+(O18-M18)/(O$14-M$14)*(N$14-M$14)</f>
        <v>117</v>
      </c>
      <c r="O18" s="2363">
        <f>140*Unit.TWh</f>
        <v>140</v>
      </c>
      <c r="P18" s="1158"/>
    </row>
    <row r="19" spans="1:16" hidden="1" outlineLevel="1">
      <c r="B19" s="1241"/>
      <c r="C19" s="864"/>
      <c r="D19" s="868"/>
      <c r="E19" s="864"/>
      <c r="F19" s="864"/>
      <c r="G19" s="864"/>
      <c r="H19" s="864"/>
      <c r="I19" s="864"/>
      <c r="J19" s="864"/>
      <c r="K19" s="864"/>
      <c r="L19" s="864"/>
      <c r="M19" s="864"/>
      <c r="N19" s="864"/>
      <c r="O19" s="864"/>
      <c r="P19" s="1158"/>
    </row>
    <row r="20" spans="1:16" hidden="1" outlineLevel="1">
      <c r="B20" s="1241"/>
      <c r="C20" s="864" t="s">
        <v>641</v>
      </c>
      <c r="D20" s="868" t="s">
        <v>2274</v>
      </c>
      <c r="E20" s="864"/>
      <c r="F20" s="864"/>
      <c r="G20" s="864"/>
      <c r="H20" s="864"/>
      <c r="I20" s="864"/>
      <c r="J20" s="864"/>
      <c r="K20" s="864"/>
      <c r="L20" s="864"/>
      <c r="M20" s="864"/>
      <c r="N20" s="864"/>
      <c r="O20" s="864"/>
      <c r="P20" s="1158"/>
    </row>
    <row r="21" spans="1:16" hidden="1" outlineLevel="1">
      <c r="B21" s="1241"/>
      <c r="C21" s="864"/>
      <c r="D21" s="868" t="s">
        <v>2275</v>
      </c>
      <c r="E21" s="864"/>
      <c r="F21" s="864"/>
      <c r="G21" s="864"/>
      <c r="H21" s="864"/>
      <c r="I21" s="864"/>
      <c r="J21" s="864"/>
      <c r="K21" s="864"/>
      <c r="L21" s="864"/>
      <c r="M21" s="864"/>
      <c r="N21" s="864"/>
      <c r="O21" s="864"/>
      <c r="P21" s="1158"/>
    </row>
    <row r="22" spans="1:16" hidden="1" outlineLevel="1">
      <c r="B22" s="1241"/>
      <c r="C22" s="864"/>
      <c r="D22" s="868"/>
      <c r="E22" s="864"/>
      <c r="F22" s="864"/>
      <c r="G22" s="864"/>
      <c r="H22" s="864"/>
      <c r="I22" s="864"/>
      <c r="J22" s="864"/>
      <c r="K22" s="864"/>
      <c r="L22" s="864"/>
      <c r="M22" s="864"/>
      <c r="N22" s="864"/>
      <c r="O22" s="864"/>
      <c r="P22" s="1158"/>
    </row>
    <row r="24" spans="1:16" s="743" customFormat="1" ht="22.5" collapsed="1">
      <c r="A24" s="1170"/>
      <c r="B24" s="1236" t="s">
        <v>786</v>
      </c>
      <c r="C24" s="1167"/>
      <c r="D24" s="1167"/>
      <c r="E24" s="1167"/>
      <c r="F24" s="1167"/>
      <c r="G24" s="1167"/>
      <c r="H24" s="1167"/>
      <c r="I24" s="1167"/>
      <c r="J24" s="1167"/>
      <c r="K24" s="1167"/>
      <c r="L24" s="1167"/>
      <c r="M24" s="1167"/>
      <c r="N24" s="1167"/>
      <c r="O24" s="1167"/>
      <c r="P24" s="1168"/>
    </row>
    <row r="25" spans="1:16" hidden="1" outlineLevel="1">
      <c r="B25" s="1157"/>
      <c r="C25" s="864"/>
      <c r="D25" s="864"/>
      <c r="E25" s="864"/>
      <c r="F25" s="864"/>
      <c r="G25" s="864"/>
      <c r="H25" s="864"/>
      <c r="I25" s="864"/>
      <c r="J25" s="864"/>
      <c r="K25" s="864"/>
      <c r="L25" s="864"/>
      <c r="M25" s="864"/>
      <c r="N25" s="864"/>
      <c r="O25" s="864"/>
      <c r="P25" s="1158"/>
    </row>
    <row r="26" spans="1:16" hidden="1" outlineLevel="1">
      <c r="B26" s="1157"/>
      <c r="C26" s="866" t="s">
        <v>48</v>
      </c>
      <c r="D26" s="864"/>
      <c r="E26" s="867"/>
      <c r="F26" s="864"/>
      <c r="G26" s="864"/>
      <c r="H26" s="864"/>
      <c r="I26" s="864"/>
      <c r="J26" s="864"/>
      <c r="K26" s="864"/>
      <c r="L26" s="864"/>
      <c r="M26" s="864"/>
      <c r="N26" s="864"/>
      <c r="O26" s="867" t="str">
        <f>Preferences.EnergyUnits</f>
        <v>TWh</v>
      </c>
      <c r="P26" s="1158"/>
    </row>
    <row r="27" spans="1:16" ht="6" hidden="1" customHeight="1" outlineLevel="1">
      <c r="B27" s="1157"/>
      <c r="C27" s="864"/>
      <c r="D27" s="864"/>
      <c r="E27" s="864"/>
      <c r="F27" s="864"/>
      <c r="G27" s="864"/>
      <c r="H27" s="864"/>
      <c r="I27" s="864"/>
      <c r="J27" s="864"/>
      <c r="K27" s="864"/>
      <c r="L27" s="864"/>
      <c r="M27" s="864"/>
      <c r="N27" s="864"/>
      <c r="O27" s="864"/>
      <c r="P27" s="1158"/>
    </row>
    <row r="28" spans="1:16" ht="15.75" hidden="1" outlineLevel="1">
      <c r="B28" s="1159"/>
      <c r="C28" s="766" t="s">
        <v>78</v>
      </c>
      <c r="D28" s="766" t="s">
        <v>418</v>
      </c>
      <c r="E28" s="766" t="s">
        <v>442</v>
      </c>
      <c r="F28" s="923">
        <v>2007</v>
      </c>
      <c r="G28" s="924">
        <v>2010</v>
      </c>
      <c r="H28" s="923">
        <v>2015</v>
      </c>
      <c r="I28" s="923">
        <v>2020</v>
      </c>
      <c r="J28" s="923">
        <v>2025</v>
      </c>
      <c r="K28" s="923">
        <v>2030</v>
      </c>
      <c r="L28" s="923">
        <v>2035</v>
      </c>
      <c r="M28" s="923">
        <v>2040</v>
      </c>
      <c r="N28" s="923">
        <v>2045</v>
      </c>
      <c r="O28" s="923">
        <v>2050</v>
      </c>
      <c r="P28" s="1158"/>
    </row>
    <row r="29" spans="1:16" s="743" customFormat="1" ht="15.75" hidden="1" outlineLevel="1">
      <c r="B29" s="1161"/>
      <c r="C29" s="794" t="s">
        <v>46</v>
      </c>
      <c r="D29" s="794" t="str">
        <f>INDEX(Vectors[Description], MATCH($C29, Vectors[Code], 0))</f>
        <v>Electricity (supplied to grid)</v>
      </c>
      <c r="E29" s="794" t="s">
        <v>109</v>
      </c>
      <c r="F29" s="1046">
        <f>('DUKES 09 (5.1)'!$K$9+'DUKES 09 (5.1)'!$K$10)*Unit.GWh</f>
        <v>5.2145242500000002</v>
      </c>
      <c r="G29" s="1047">
        <v>0</v>
      </c>
      <c r="H29" s="1046">
        <v>0</v>
      </c>
      <c r="I29" s="1046">
        <v>0</v>
      </c>
      <c r="J29" s="1046">
        <v>0</v>
      </c>
      <c r="K29" s="1046">
        <v>0</v>
      </c>
      <c r="L29" s="1046">
        <v>0</v>
      </c>
      <c r="M29" s="1046">
        <v>0</v>
      </c>
      <c r="N29" s="1046">
        <v>0</v>
      </c>
      <c r="O29" s="1046">
        <v>0</v>
      </c>
      <c r="P29" s="1162"/>
    </row>
    <row r="30" spans="1:16" hidden="1" outlineLevel="1">
      <c r="B30" s="1163"/>
      <c r="C30" s="864"/>
      <c r="D30" s="868"/>
      <c r="E30" s="864"/>
      <c r="F30" s="864"/>
      <c r="G30" s="864"/>
      <c r="H30" s="864"/>
      <c r="I30" s="864"/>
      <c r="J30" s="864"/>
      <c r="K30" s="864"/>
      <c r="L30" s="864"/>
      <c r="M30" s="864"/>
      <c r="N30" s="864"/>
      <c r="O30" s="864"/>
      <c r="P30" s="1158"/>
    </row>
    <row r="31" spans="1:16" hidden="1" outlineLevel="1">
      <c r="B31" s="1163"/>
      <c r="C31" s="864"/>
      <c r="D31" s="868"/>
      <c r="E31" s="864"/>
      <c r="F31" s="864"/>
      <c r="G31" s="864"/>
      <c r="H31" s="864"/>
      <c r="I31" s="864"/>
      <c r="J31" s="864"/>
      <c r="K31" s="864"/>
      <c r="L31" s="864"/>
      <c r="M31" s="864"/>
      <c r="N31" s="864"/>
      <c r="O31" s="864"/>
      <c r="P31" s="1158"/>
    </row>
    <row r="32" spans="1:16" hidden="1" outlineLevel="1">
      <c r="B32" s="1163"/>
      <c r="C32" s="864" t="s">
        <v>643</v>
      </c>
      <c r="D32" s="868" t="s">
        <v>1799</v>
      </c>
      <c r="E32" s="864"/>
      <c r="F32" s="864"/>
      <c r="G32" s="864"/>
      <c r="H32" s="864"/>
      <c r="I32" s="864"/>
      <c r="J32" s="864"/>
      <c r="K32" s="864"/>
      <c r="L32" s="864"/>
      <c r="M32" s="864"/>
      <c r="N32" s="864"/>
      <c r="O32" s="864"/>
      <c r="P32" s="1158"/>
    </row>
    <row r="33" spans="1:16" s="715" customFormat="1" hidden="1" outlineLevel="1">
      <c r="B33" s="1225"/>
      <c r="C33" s="867" t="s">
        <v>109</v>
      </c>
      <c r="D33" s="868" t="s">
        <v>1800</v>
      </c>
      <c r="E33" s="1228"/>
      <c r="F33" s="1228"/>
      <c r="G33" s="1228"/>
      <c r="H33" s="1228"/>
      <c r="I33" s="1228"/>
      <c r="J33" s="1228"/>
      <c r="K33" s="1228"/>
      <c r="L33" s="1228"/>
      <c r="M33" s="1228"/>
      <c r="N33" s="1228"/>
      <c r="O33" s="1228"/>
      <c r="P33" s="1229"/>
    </row>
    <row r="34" spans="1:16" hidden="1" outlineLevel="1">
      <c r="B34" s="1164"/>
      <c r="C34" s="1165"/>
      <c r="D34" s="1165"/>
      <c r="E34" s="1165"/>
      <c r="F34" s="1165"/>
      <c r="G34" s="1165"/>
      <c r="H34" s="1165"/>
      <c r="I34" s="1165"/>
      <c r="J34" s="1165"/>
      <c r="K34" s="1165"/>
      <c r="L34" s="1165"/>
      <c r="M34" s="1165"/>
      <c r="N34" s="1165"/>
      <c r="O34" s="1165"/>
      <c r="P34" s="1166"/>
    </row>
    <row r="36" spans="1:16" ht="15.75" collapsed="1">
      <c r="B36" s="809" t="s">
        <v>732</v>
      </c>
    </row>
    <row r="37" spans="1:16" hidden="1" outlineLevel="1"/>
    <row r="38" spans="1:16" hidden="1" outlineLevel="1">
      <c r="C38" s="731" t="s">
        <v>985</v>
      </c>
      <c r="E38" s="121" t="str">
        <f>Preferences.EnergyUnits</f>
        <v>TWh</v>
      </c>
      <c r="F38" s="783">
        <f>F$29+INDEX(F$15:F$18, MATCH($E$7, $C$15:$C$18, 0))</f>
        <v>5.2145242500000002</v>
      </c>
      <c r="G38" s="783">
        <f t="shared" ref="G38:O38" si="2">G$29+INDEX(G$15:G$18, MATCH($E$7, $C$15:$C$18, 0))</f>
        <v>0</v>
      </c>
      <c r="H38" s="783">
        <f t="shared" si="2"/>
        <v>0</v>
      </c>
      <c r="I38" s="783">
        <f t="shared" si="2"/>
        <v>0</v>
      </c>
      <c r="J38" s="783">
        <f t="shared" si="2"/>
        <v>0</v>
      </c>
      <c r="K38" s="783">
        <f t="shared" si="2"/>
        <v>0</v>
      </c>
      <c r="L38" s="783">
        <f t="shared" si="2"/>
        <v>0</v>
      </c>
      <c r="M38" s="783">
        <f t="shared" si="2"/>
        <v>0</v>
      </c>
      <c r="N38" s="783">
        <f t="shared" si="2"/>
        <v>0</v>
      </c>
      <c r="O38" s="783">
        <f t="shared" si="2"/>
        <v>0</v>
      </c>
    </row>
    <row r="39" spans="1:16" hidden="1" outlineLevel="1">
      <c r="F39" s="826"/>
      <c r="G39" s="783"/>
      <c r="H39" s="783"/>
      <c r="I39" s="783"/>
      <c r="J39" s="783"/>
      <c r="K39" s="783"/>
      <c r="L39" s="783"/>
      <c r="M39" s="783"/>
      <c r="N39" s="783"/>
      <c r="O39" s="783"/>
    </row>
    <row r="41" spans="1:16" ht="22.5" collapsed="1">
      <c r="A41" s="1171"/>
      <c r="B41" s="1231" t="s">
        <v>683</v>
      </c>
      <c r="C41" s="1183"/>
      <c r="D41" s="1183"/>
      <c r="E41" s="1183"/>
      <c r="F41" s="1183"/>
      <c r="G41" s="1183"/>
      <c r="H41" s="1183"/>
      <c r="I41" s="1183"/>
      <c r="J41" s="1183"/>
      <c r="K41" s="1183"/>
      <c r="L41" s="1183"/>
      <c r="M41" s="1183"/>
      <c r="N41" s="1183"/>
      <c r="O41" s="1183"/>
      <c r="P41" s="1185"/>
    </row>
    <row r="42" spans="1:16" hidden="1" outlineLevel="1">
      <c r="B42" s="1172"/>
      <c r="C42" s="1174"/>
      <c r="D42" s="1174"/>
      <c r="E42" s="1174"/>
      <c r="F42" s="1174"/>
      <c r="G42" s="1174"/>
      <c r="H42" s="1174"/>
      <c r="I42" s="1174"/>
      <c r="J42" s="1174"/>
      <c r="K42" s="1174"/>
      <c r="L42" s="1174"/>
      <c r="M42" s="1174"/>
      <c r="N42" s="1174"/>
      <c r="O42" s="1174"/>
      <c r="P42" s="1176"/>
    </row>
    <row r="43" spans="1:16" hidden="1" outlineLevel="1">
      <c r="B43" s="1172"/>
      <c r="C43" s="1186"/>
      <c r="D43" s="1174"/>
      <c r="E43" s="1175"/>
      <c r="F43" s="1174"/>
      <c r="G43" s="1175"/>
      <c r="H43" s="1174"/>
      <c r="I43" s="1174"/>
      <c r="J43" s="1174"/>
      <c r="K43" s="1174"/>
      <c r="L43" s="1174"/>
      <c r="M43" s="1174"/>
      <c r="N43" s="1174"/>
      <c r="O43" s="1175" t="str">
        <f>Preferences.EnergyUnits</f>
        <v>TWh</v>
      </c>
      <c r="P43" s="1176"/>
    </row>
    <row r="44" spans="1:16" ht="6" hidden="1" customHeight="1" outlineLevel="1">
      <c r="B44" s="1172"/>
      <c r="C44" s="1174"/>
      <c r="D44" s="1174"/>
      <c r="E44" s="1174"/>
      <c r="F44" s="1174"/>
      <c r="G44" s="1174"/>
      <c r="H44" s="1174"/>
      <c r="I44" s="1174"/>
      <c r="J44" s="1174"/>
      <c r="K44" s="1174"/>
      <c r="L44" s="1174"/>
      <c r="M44" s="1174"/>
      <c r="N44" s="1174"/>
      <c r="O44" s="1174"/>
      <c r="P44" s="1176"/>
    </row>
    <row r="45" spans="1:16" ht="15.75" hidden="1" outlineLevel="1">
      <c r="A45" s="3"/>
      <c r="B45" s="1177"/>
      <c r="C45" s="1188" t="s">
        <v>78</v>
      </c>
      <c r="D45" s="1188" t="s">
        <v>418</v>
      </c>
      <c r="E45" s="1188" t="s">
        <v>442</v>
      </c>
      <c r="F45" s="1188" t="s">
        <v>691</v>
      </c>
      <c r="G45" s="1188" t="s">
        <v>692</v>
      </c>
      <c r="H45" s="1189" t="s">
        <v>721</v>
      </c>
      <c r="I45" s="1189" t="s">
        <v>722</v>
      </c>
      <c r="J45" s="1189" t="s">
        <v>723</v>
      </c>
      <c r="K45" s="1189" t="s">
        <v>724</v>
      </c>
      <c r="L45" s="1189" t="s">
        <v>725</v>
      </c>
      <c r="M45" s="1189" t="s">
        <v>726</v>
      </c>
      <c r="N45" s="1189" t="s">
        <v>727</v>
      </c>
      <c r="O45" s="1189" t="s">
        <v>728</v>
      </c>
      <c r="P45" s="1176"/>
    </row>
    <row r="46" spans="1:16" ht="15.75" hidden="1" outlineLevel="1">
      <c r="A46" s="3"/>
      <c r="B46" s="1177"/>
      <c r="C46" s="765" t="s">
        <v>46</v>
      </c>
      <c r="D46" s="765" t="str">
        <f>INDEX(Vectors[Description], MATCH([Vector], Vectors[Code], 0))</f>
        <v>Electricity (supplied to grid)</v>
      </c>
      <c r="E46" s="765"/>
      <c r="F46" s="953">
        <f>F$38</f>
        <v>5.2145242500000002</v>
      </c>
      <c r="G46" s="953">
        <f t="shared" ref="G46:O46" si="3">G$38</f>
        <v>0</v>
      </c>
      <c r="H46" s="953">
        <f t="shared" si="3"/>
        <v>0</v>
      </c>
      <c r="I46" s="953">
        <f t="shared" si="3"/>
        <v>0</v>
      </c>
      <c r="J46" s="953">
        <f t="shared" si="3"/>
        <v>0</v>
      </c>
      <c r="K46" s="953">
        <f t="shared" si="3"/>
        <v>0</v>
      </c>
      <c r="L46" s="953">
        <f t="shared" si="3"/>
        <v>0</v>
      </c>
      <c r="M46" s="953">
        <f t="shared" si="3"/>
        <v>0</v>
      </c>
      <c r="N46" s="953">
        <f t="shared" si="3"/>
        <v>0</v>
      </c>
      <c r="O46" s="953">
        <f t="shared" si="3"/>
        <v>0</v>
      </c>
      <c r="P46" s="1176"/>
    </row>
    <row r="47" spans="1:16" ht="15.75" hidden="1" outlineLevel="1">
      <c r="A47" s="3"/>
      <c r="B47" s="1177"/>
      <c r="C47" s="765" t="s">
        <v>60</v>
      </c>
      <c r="D47" s="765" t="str">
        <f>INDEX(Vectors[Description], MATCH([Vector], Vectors[Code], 0))</f>
        <v>Electricity exports (imports)</v>
      </c>
      <c r="E47" s="765"/>
      <c r="F47" s="953">
        <f>-F$38</f>
        <v>-5.2145242500000002</v>
      </c>
      <c r="G47" s="953">
        <f t="shared" ref="G47:O47" si="4">-G$38</f>
        <v>0</v>
      </c>
      <c r="H47" s="953">
        <f t="shared" si="4"/>
        <v>0</v>
      </c>
      <c r="I47" s="953">
        <f t="shared" si="4"/>
        <v>0</v>
      </c>
      <c r="J47" s="953">
        <f t="shared" si="4"/>
        <v>0</v>
      </c>
      <c r="K47" s="953">
        <f t="shared" si="4"/>
        <v>0</v>
      </c>
      <c r="L47" s="953">
        <f t="shared" si="4"/>
        <v>0</v>
      </c>
      <c r="M47" s="953">
        <f t="shared" si="4"/>
        <v>0</v>
      </c>
      <c r="N47" s="953">
        <f t="shared" si="4"/>
        <v>0</v>
      </c>
      <c r="O47" s="953">
        <f t="shared" si="4"/>
        <v>0</v>
      </c>
      <c r="P47" s="1176"/>
    </row>
    <row r="48" spans="1:16" ht="15.75" hidden="1" outlineLevel="1">
      <c r="A48" s="3"/>
      <c r="B48" s="1177"/>
      <c r="C48" s="765" t="s">
        <v>148</v>
      </c>
      <c r="D48" s="765"/>
      <c r="E48" s="765"/>
      <c r="F48" s="953">
        <f>SUBTOTAL(109,[2007])</f>
        <v>0</v>
      </c>
      <c r="G48" s="953">
        <f>SUBTOTAL(109,[2010])</f>
        <v>0</v>
      </c>
      <c r="H48" s="953">
        <f>SUBTOTAL(109,[2015])</f>
        <v>0</v>
      </c>
      <c r="I48" s="953">
        <f>SUBTOTAL(109,[2020])</f>
        <v>0</v>
      </c>
      <c r="J48" s="953">
        <f>SUBTOTAL(109,[2025])</f>
        <v>0</v>
      </c>
      <c r="K48" s="953">
        <f>SUBTOTAL(109,[2030])</f>
        <v>0</v>
      </c>
      <c r="L48" s="953">
        <f>SUBTOTAL(109,[2035])</f>
        <v>0</v>
      </c>
      <c r="M48" s="953">
        <f>SUBTOTAL(109,[2040])</f>
        <v>0</v>
      </c>
      <c r="N48" s="953">
        <f>SUBTOTAL(109,[2045])</f>
        <v>0</v>
      </c>
      <c r="O48" s="953">
        <f>SUBTOTAL(109,[2050])</f>
        <v>0</v>
      </c>
      <c r="P48" s="1176"/>
    </row>
    <row r="49" spans="1:16" ht="15.75" hidden="1" outlineLevel="1">
      <c r="A49" s="3"/>
      <c r="B49" s="1178"/>
      <c r="C49" s="1281"/>
      <c r="D49" s="1282"/>
      <c r="E49" s="1282"/>
      <c r="F49" s="1282"/>
      <c r="G49" s="1282"/>
      <c r="H49" s="1282"/>
      <c r="I49" s="1282"/>
      <c r="J49" s="1282"/>
      <c r="K49" s="1282"/>
      <c r="L49" s="1282"/>
      <c r="M49" s="1282"/>
      <c r="N49" s="1282"/>
      <c r="O49" s="1282"/>
      <c r="P49" s="1181"/>
    </row>
  </sheetData>
  <pageMargins left="0.7" right="0.7" top="0.75" bottom="0.75" header="0.3" footer="0.3"/>
  <pageSetup paperSize="9" orientation="portrait" r:id="rId1"/>
  <ignoredErrors>
    <ignoredError sqref="F46:F47" calculatedColumn="1"/>
    <ignoredError sqref="K18 M18" formula="1"/>
  </ignoredErrors>
  <tableParts count="1">
    <tablePart r:id="rId2"/>
  </tableParts>
</worksheet>
</file>

<file path=xl/worksheets/sheet33.xml><?xml version="1.0" encoding="utf-8"?>
<worksheet xmlns="http://schemas.openxmlformats.org/spreadsheetml/2006/main" xmlns:r="http://schemas.openxmlformats.org/officeDocument/2006/relationships">
  <sheetPr codeName="Sheet131">
    <tabColor theme="9"/>
    <outlinePr summaryBelow="0"/>
    <pageSetUpPr autoPageBreaks="0"/>
  </sheetPr>
  <dimension ref="A1:P41"/>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6" ht="21">
      <c r="A1" s="789" t="s">
        <v>673</v>
      </c>
      <c r="B1" s="789" t="str">
        <f>INDEX(Workstreams[Workstream], MATCH($A1, Workstreams[Code], 0))</f>
        <v>Electricity distribution, storage, and balancing</v>
      </c>
      <c r="C1" s="789"/>
    </row>
    <row r="2" spans="1:16" s="743" customFormat="1" ht="19.5" customHeight="1">
      <c r="A2" s="10" t="s">
        <v>784</v>
      </c>
      <c r="B2" s="10" t="str">
        <f>INDEX(Modules[Module], MATCH($A2, Modules[Code], 0))</f>
        <v>Electricity grid distribution</v>
      </c>
      <c r="C2" s="10"/>
    </row>
    <row r="4" spans="1:16" ht="22.5" collapsed="1">
      <c r="A4" s="1171"/>
      <c r="B4" s="1231" t="s">
        <v>682</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idden="1" outlineLevel="1">
      <c r="B6" s="1172"/>
      <c r="C6" s="1186" t="s">
        <v>779</v>
      </c>
      <c r="D6" s="1174"/>
      <c r="E6" s="1175"/>
      <c r="F6" s="1174"/>
      <c r="G6" s="1174"/>
      <c r="H6" s="1174"/>
      <c r="I6" s="1174"/>
      <c r="J6" s="1174"/>
      <c r="K6" s="1174"/>
      <c r="L6" s="1174"/>
      <c r="M6" s="1174"/>
      <c r="N6" s="1174"/>
      <c r="O6" s="1175" t="str">
        <f>Preferences.EnergyUnits</f>
        <v>TWh</v>
      </c>
      <c r="P6" s="1176"/>
    </row>
    <row r="7" spans="1:16" ht="6" hidden="1" customHeight="1" outlineLevel="1">
      <c r="B7" s="1172"/>
      <c r="C7" s="1173"/>
      <c r="D7" s="1174"/>
      <c r="E7" s="1175"/>
      <c r="F7" s="1174"/>
      <c r="G7" s="1174"/>
      <c r="H7" s="1174"/>
      <c r="I7" s="1174"/>
      <c r="J7" s="1174"/>
      <c r="K7" s="1174"/>
      <c r="L7" s="1174"/>
      <c r="M7" s="1174"/>
      <c r="N7" s="1174"/>
      <c r="O7" s="1174"/>
      <c r="P7" s="1176"/>
    </row>
    <row r="8" spans="1:16" s="743" customFormat="1" ht="15.75" hidden="1" outlineLevel="1">
      <c r="A8" s="753"/>
      <c r="B8" s="1187"/>
      <c r="C8" s="1188" t="s">
        <v>78</v>
      </c>
      <c r="D8" s="1188" t="s">
        <v>418</v>
      </c>
      <c r="E8" s="1188" t="s">
        <v>442</v>
      </c>
      <c r="F8" s="1188" t="s">
        <v>691</v>
      </c>
      <c r="G8" s="1188" t="s">
        <v>692</v>
      </c>
      <c r="H8" s="1189" t="s">
        <v>721</v>
      </c>
      <c r="I8" s="1189" t="s">
        <v>722</v>
      </c>
      <c r="J8" s="1189" t="s">
        <v>723</v>
      </c>
      <c r="K8" s="1189" t="s">
        <v>724</v>
      </c>
      <c r="L8" s="1189" t="s">
        <v>725</v>
      </c>
      <c r="M8" s="1189" t="s">
        <v>726</v>
      </c>
      <c r="N8" s="1189" t="s">
        <v>727</v>
      </c>
      <c r="O8" s="1189" t="s">
        <v>728</v>
      </c>
      <c r="P8" s="1190"/>
    </row>
    <row r="9" spans="1:16" s="743" customFormat="1" ht="18" hidden="1" customHeight="1" outlineLevel="1">
      <c r="A9" s="753"/>
      <c r="B9" s="1187"/>
      <c r="C9" s="765" t="s">
        <v>45</v>
      </c>
      <c r="D9" s="765" t="str">
        <f>INDEX(Vectors[Description], MATCH([Vector], Vectors[Code], 0))</f>
        <v>Electricity (delivered to end user)</v>
      </c>
      <c r="E9" s="765"/>
      <c r="F9" s="1266">
        <f ca="1">INDEX(INDIRECT("'"&amp;VII.b.Inputs[#Headers]&amp;"'!Year.Matrix"), MATCH("Subtotal."&amp;$A$2, INDIRECT("'"&amp;VII.b.Inputs[#Headers]&amp;"'!Year.Modules"), 0), MATCH([Vector], INDIRECT("'"&amp;VII.b.Inputs[#Headers]&amp;"'!Year.Vectors"), 0))</f>
        <v>-354.55512401053005</v>
      </c>
      <c r="G9" s="1266">
        <f ca="1">INDEX(INDIRECT("'"&amp;VII.b.Inputs[#Headers]&amp;"'!Year.Matrix"), MATCH("Subtotal."&amp;$A$2, INDIRECT("'"&amp;VII.b.Inputs[#Headers]&amp;"'!Year.Modules"), 0), MATCH([Vector], INDIRECT("'"&amp;VII.b.Inputs[#Headers]&amp;"'!Year.Vectors"), 0))</f>
        <v>-361.16931700791082</v>
      </c>
      <c r="H9" s="1266">
        <f ca="1">INDEX(INDIRECT("'"&amp;VII.b.Inputs[#Headers]&amp;"'!Year.Matrix"), MATCH("Subtotal."&amp;$A$2, INDIRECT("'"&amp;VII.b.Inputs[#Headers]&amp;"'!Year.Modules"), 0), MATCH([Vector], INDIRECT("'"&amp;VII.b.Inputs[#Headers]&amp;"'!Year.Vectors"), 0))</f>
        <v>-373.16495041083652</v>
      </c>
      <c r="I9" s="1266">
        <f ca="1">INDEX(INDIRECT("'"&amp;VII.b.Inputs[#Headers]&amp;"'!Year.Matrix"), MATCH("Subtotal."&amp;$A$2, INDIRECT("'"&amp;VII.b.Inputs[#Headers]&amp;"'!Year.Modules"), 0), MATCH([Vector], INDIRECT("'"&amp;VII.b.Inputs[#Headers]&amp;"'!Year.Vectors"), 0))</f>
        <v>-382.28449716625596</v>
      </c>
      <c r="J9" s="1266">
        <f ca="1">INDEX(INDIRECT("'"&amp;VII.b.Inputs[#Headers]&amp;"'!Year.Matrix"), MATCH("Subtotal."&amp;$A$2, INDIRECT("'"&amp;VII.b.Inputs[#Headers]&amp;"'!Year.Modules"), 0), MATCH([Vector], INDIRECT("'"&amp;VII.b.Inputs[#Headers]&amp;"'!Year.Vectors"), 0))</f>
        <v>-389.72589326068504</v>
      </c>
      <c r="K9" s="1266">
        <f ca="1">INDEX(INDIRECT("'"&amp;VII.b.Inputs[#Headers]&amp;"'!Year.Matrix"), MATCH("Subtotal."&amp;$A$2, INDIRECT("'"&amp;VII.b.Inputs[#Headers]&amp;"'!Year.Modules"), 0), MATCH([Vector], INDIRECT("'"&amp;VII.b.Inputs[#Headers]&amp;"'!Year.Vectors"), 0))</f>
        <v>-398.92590619421691</v>
      </c>
      <c r="L9" s="1266">
        <f ca="1">INDEX(INDIRECT("'"&amp;VII.b.Inputs[#Headers]&amp;"'!Year.Matrix"), MATCH("Subtotal."&amp;$A$2, INDIRECT("'"&amp;VII.b.Inputs[#Headers]&amp;"'!Year.Modules"), 0), MATCH([Vector], INDIRECT("'"&amp;VII.b.Inputs[#Headers]&amp;"'!Year.Vectors"), 0))</f>
        <v>-409.73117353201741</v>
      </c>
      <c r="M9" s="1266">
        <f ca="1">INDEX(INDIRECT("'"&amp;VII.b.Inputs[#Headers]&amp;"'!Year.Matrix"), MATCH("Subtotal."&amp;$A$2, INDIRECT("'"&amp;VII.b.Inputs[#Headers]&amp;"'!Year.Modules"), 0), MATCH([Vector], INDIRECT("'"&amp;VII.b.Inputs[#Headers]&amp;"'!Year.Vectors"), 0))</f>
        <v>-422.11056999038811</v>
      </c>
      <c r="N9" s="1266">
        <f ca="1">INDEX(INDIRECT("'"&amp;VII.b.Inputs[#Headers]&amp;"'!Year.Matrix"), MATCH("Subtotal."&amp;$A$2, INDIRECT("'"&amp;VII.b.Inputs[#Headers]&amp;"'!Year.Modules"), 0), MATCH([Vector], INDIRECT("'"&amp;VII.b.Inputs[#Headers]&amp;"'!Year.Vectors"), 0))</f>
        <v>-435.71486302109327</v>
      </c>
      <c r="O9" s="1266">
        <f ca="1">INDEX(INDIRECT("'"&amp;VII.b.Inputs[#Headers]&amp;"'!Year.Matrix"), MATCH("Subtotal."&amp;$A$2, INDIRECT("'"&amp;VII.b.Inputs[#Headers]&amp;"'!Year.Modules"), 0), MATCH([Vector], INDIRECT("'"&amp;VII.b.Inputs[#Headers]&amp;"'!Year.Vectors"), 0))</f>
        <v>-450.96633210645444</v>
      </c>
      <c r="P9" s="1191"/>
    </row>
    <row r="10" spans="1:16" hidden="1" outlineLevel="1">
      <c r="B10" s="1192"/>
      <c r="C10" s="1180"/>
      <c r="D10" s="1180"/>
      <c r="E10" s="1180"/>
      <c r="F10" s="1180"/>
      <c r="G10" s="1180"/>
      <c r="H10" s="1180"/>
      <c r="I10" s="1180"/>
      <c r="J10" s="1180"/>
      <c r="K10" s="1180"/>
      <c r="L10" s="1180"/>
      <c r="M10" s="1180"/>
      <c r="N10" s="1180"/>
      <c r="O10" s="1180"/>
      <c r="P10" s="1181"/>
    </row>
    <row r="12" spans="1:16" s="743" customFormat="1" ht="22.5" collapsed="1">
      <c r="A12" s="1170"/>
      <c r="B12" s="1236" t="s">
        <v>786</v>
      </c>
      <c r="C12" s="1167"/>
      <c r="D12" s="1167"/>
      <c r="E12" s="1167"/>
      <c r="F12" s="1167"/>
      <c r="G12" s="1167"/>
      <c r="H12" s="1167"/>
      <c r="I12" s="1167"/>
      <c r="J12" s="1167"/>
      <c r="K12" s="1167"/>
      <c r="L12" s="1167"/>
      <c r="M12" s="1167"/>
      <c r="N12" s="1167"/>
      <c r="O12" s="1167"/>
      <c r="P12" s="1168"/>
    </row>
    <row r="13" spans="1:16" hidden="1" outlineLevel="1">
      <c r="B13" s="1157"/>
      <c r="C13" s="864"/>
      <c r="D13" s="864"/>
      <c r="E13" s="864"/>
      <c r="F13" s="864"/>
      <c r="G13" s="864"/>
      <c r="H13" s="864"/>
      <c r="I13" s="864"/>
      <c r="J13" s="864"/>
      <c r="K13" s="864"/>
      <c r="L13" s="864"/>
      <c r="M13" s="864"/>
      <c r="N13" s="864"/>
      <c r="O13" s="864"/>
      <c r="P13" s="1158"/>
    </row>
    <row r="14" spans="1:16" hidden="1" outlineLevel="1">
      <c r="B14" s="1157"/>
      <c r="C14" s="866" t="s">
        <v>983</v>
      </c>
      <c r="D14" s="864"/>
      <c r="E14" s="867"/>
      <c r="F14" s="864"/>
      <c r="G14" s="864"/>
      <c r="H14" s="864"/>
      <c r="I14" s="864"/>
      <c r="J14" s="864"/>
      <c r="K14" s="864"/>
      <c r="L14" s="864"/>
      <c r="M14" s="864"/>
      <c r="N14" s="864"/>
      <c r="O14" s="864"/>
      <c r="P14" s="1158"/>
    </row>
    <row r="15" spans="1:16" ht="6" hidden="1" customHeight="1" outlineLevel="1">
      <c r="B15" s="1157"/>
      <c r="C15" s="864"/>
      <c r="D15" s="864"/>
      <c r="E15" s="864"/>
      <c r="F15" s="864"/>
      <c r="G15" s="864"/>
      <c r="H15" s="864"/>
      <c r="I15" s="864"/>
      <c r="J15" s="864"/>
      <c r="K15" s="864"/>
      <c r="L15" s="864"/>
      <c r="M15" s="864"/>
      <c r="N15" s="864"/>
      <c r="O15" s="864"/>
      <c r="P15" s="1158"/>
    </row>
    <row r="16" spans="1:16" ht="15.75" hidden="1" outlineLevel="1">
      <c r="B16" s="1159"/>
      <c r="C16" s="766" t="s">
        <v>78</v>
      </c>
      <c r="D16" s="766" t="s">
        <v>418</v>
      </c>
      <c r="E16" s="766" t="s">
        <v>442</v>
      </c>
      <c r="F16" s="923">
        <v>2007</v>
      </c>
      <c r="G16" s="924">
        <v>2010</v>
      </c>
      <c r="H16" s="923">
        <v>2015</v>
      </c>
      <c r="I16" s="923">
        <v>2020</v>
      </c>
      <c r="J16" s="923">
        <v>2025</v>
      </c>
      <c r="K16" s="923">
        <v>2030</v>
      </c>
      <c r="L16" s="923">
        <v>2035</v>
      </c>
      <c r="M16" s="923">
        <v>2040</v>
      </c>
      <c r="N16" s="923">
        <v>2045</v>
      </c>
      <c r="O16" s="923">
        <v>2050</v>
      </c>
      <c r="P16" s="1158"/>
    </row>
    <row r="17" spans="1:16" s="743" customFormat="1" ht="15.75" hidden="1" outlineLevel="1">
      <c r="B17" s="1161"/>
      <c r="C17" s="791" t="s">
        <v>35</v>
      </c>
      <c r="D17" s="792" t="str">
        <f>INDEX(Vectors[Description], MATCH($C17, Vectors[Code], 0))</f>
        <v>Distribution losses and own use</v>
      </c>
      <c r="E17" s="792" t="s">
        <v>109</v>
      </c>
      <c r="F17" s="824">
        <f>-'2007 (Actual, frozen)'!$AZ$125/'2007 (Actual, frozen)'!$U$125</f>
        <v>6.9749984639583235E-2</v>
      </c>
      <c r="G17" s="828">
        <f>$F17</f>
        <v>6.9749984639583235E-2</v>
      </c>
      <c r="H17" s="824">
        <f t="shared" ref="H17:O17" si="0">$F17</f>
        <v>6.9749984639583235E-2</v>
      </c>
      <c r="I17" s="824">
        <f t="shared" si="0"/>
        <v>6.9749984639583235E-2</v>
      </c>
      <c r="J17" s="824">
        <f t="shared" si="0"/>
        <v>6.9749984639583235E-2</v>
      </c>
      <c r="K17" s="824">
        <f t="shared" si="0"/>
        <v>6.9749984639583235E-2</v>
      </c>
      <c r="L17" s="824">
        <f t="shared" si="0"/>
        <v>6.9749984639583235E-2</v>
      </c>
      <c r="M17" s="824">
        <f t="shared" si="0"/>
        <v>6.9749984639583235E-2</v>
      </c>
      <c r="N17" s="824">
        <f t="shared" si="0"/>
        <v>6.9749984639583235E-2</v>
      </c>
      <c r="O17" s="824">
        <f t="shared" si="0"/>
        <v>6.9749984639583235E-2</v>
      </c>
      <c r="P17" s="1162"/>
    </row>
    <row r="18" spans="1:16" hidden="1" outlineLevel="1">
      <c r="B18" s="1163"/>
      <c r="C18" s="864"/>
      <c r="D18" s="868"/>
      <c r="E18" s="864"/>
      <c r="F18" s="864"/>
      <c r="G18" s="864"/>
      <c r="H18" s="864"/>
      <c r="I18" s="864"/>
      <c r="J18" s="864"/>
      <c r="K18" s="864"/>
      <c r="L18" s="864"/>
      <c r="M18" s="864"/>
      <c r="N18" s="864"/>
      <c r="O18" s="864"/>
      <c r="P18" s="1158"/>
    </row>
    <row r="19" spans="1:16" s="715" customFormat="1" ht="10.5" hidden="1" outlineLevel="1">
      <c r="B19" s="1225"/>
      <c r="C19" s="1251" t="s">
        <v>109</v>
      </c>
      <c r="D19" s="1255" t="s">
        <v>781</v>
      </c>
      <c r="E19" s="1228"/>
      <c r="F19" s="1228"/>
      <c r="G19" s="1228"/>
      <c r="H19" s="1228"/>
      <c r="I19" s="1228"/>
      <c r="J19" s="1228"/>
      <c r="K19" s="1228"/>
      <c r="L19" s="1228"/>
      <c r="M19" s="1228"/>
      <c r="N19" s="1228"/>
      <c r="O19" s="1228"/>
      <c r="P19" s="1229"/>
    </row>
    <row r="20" spans="1:16" hidden="1" outlineLevel="1">
      <c r="B20" s="1164"/>
      <c r="C20" s="1165"/>
      <c r="D20" s="1165"/>
      <c r="E20" s="1165"/>
      <c r="F20" s="1165"/>
      <c r="G20" s="1165"/>
      <c r="H20" s="1165"/>
      <c r="I20" s="1165"/>
      <c r="J20" s="1165"/>
      <c r="K20" s="1165"/>
      <c r="L20" s="1165"/>
      <c r="M20" s="1165"/>
      <c r="N20" s="1165"/>
      <c r="O20" s="1165"/>
      <c r="P20" s="1166"/>
    </row>
    <row r="22" spans="1:16" ht="15.75" collapsed="1">
      <c r="B22" s="809" t="s">
        <v>732</v>
      </c>
    </row>
    <row r="23" spans="1:16" hidden="1" outlineLevel="1">
      <c r="B23" s="731">
        <v>1</v>
      </c>
      <c r="C23" s="121" t="s">
        <v>984</v>
      </c>
    </row>
    <row r="24" spans="1:16" hidden="1" outlineLevel="1"/>
    <row r="25" spans="1:16" hidden="1" outlineLevel="1">
      <c r="C25" s="731" t="s">
        <v>776</v>
      </c>
      <c r="E25" s="121" t="str">
        <f>Preferences.EnergyUnits</f>
        <v>TWh</v>
      </c>
      <c r="F25" s="783">
        <f ca="1">-VII.b.Inputs[2007]</f>
        <v>354.55512401053005</v>
      </c>
      <c r="G25" s="783">
        <f ca="1">-VII.b.Inputs[2010]</f>
        <v>361.16931700791082</v>
      </c>
      <c r="H25" s="783">
        <f ca="1">-VII.b.Inputs[2015]</f>
        <v>373.16495041083652</v>
      </c>
      <c r="I25" s="783">
        <f ca="1">-VII.b.Inputs[2020]</f>
        <v>382.28449716625596</v>
      </c>
      <c r="J25" s="783">
        <f ca="1">-VII.b.Inputs[2025]</f>
        <v>389.72589326068504</v>
      </c>
      <c r="K25" s="783">
        <f ca="1">-VII.b.Inputs[2030]</f>
        <v>398.92590619421691</v>
      </c>
      <c r="L25" s="783">
        <f ca="1">-VII.b.Inputs[2035]</f>
        <v>409.73117353201741</v>
      </c>
      <c r="M25" s="783">
        <f ca="1">-VII.b.Inputs[2040]</f>
        <v>422.11056999038811</v>
      </c>
      <c r="N25" s="783">
        <f ca="1">-VII.b.Inputs[2045]</f>
        <v>435.71486302109327</v>
      </c>
      <c r="O25" s="783">
        <f ca="1">-VII.b.Inputs[2050]</f>
        <v>450.96633210645444</v>
      </c>
    </row>
    <row r="26" spans="1:16" hidden="1" outlineLevel="1">
      <c r="C26" s="121" t="s">
        <v>777</v>
      </c>
      <c r="F26" s="827">
        <f>(1-F$17)</f>
        <v>0.93025001536041674</v>
      </c>
      <c r="G26" s="827">
        <f t="shared" ref="G26:O26" si="1">(1-G$17)</f>
        <v>0.93025001536041674</v>
      </c>
      <c r="H26" s="827">
        <f t="shared" si="1"/>
        <v>0.93025001536041674</v>
      </c>
      <c r="I26" s="827">
        <f t="shared" si="1"/>
        <v>0.93025001536041674</v>
      </c>
      <c r="J26" s="827">
        <f t="shared" si="1"/>
        <v>0.93025001536041674</v>
      </c>
      <c r="K26" s="827">
        <f t="shared" si="1"/>
        <v>0.93025001536041674</v>
      </c>
      <c r="L26" s="827">
        <f t="shared" si="1"/>
        <v>0.93025001536041674</v>
      </c>
      <c r="M26" s="827">
        <f t="shared" si="1"/>
        <v>0.93025001536041674</v>
      </c>
      <c r="N26" s="827">
        <f t="shared" si="1"/>
        <v>0.93025001536041674</v>
      </c>
      <c r="O26" s="827">
        <f t="shared" si="1"/>
        <v>0.93025001536041674</v>
      </c>
    </row>
    <row r="27" spans="1:16" hidden="1" outlineLevel="1">
      <c r="C27" s="807" t="s">
        <v>782</v>
      </c>
      <c r="F27" s="783">
        <f ca="1">F25/F26</f>
        <v>381.13960565016595</v>
      </c>
      <c r="G27" s="783">
        <f t="shared" ref="G27:O27" ca="1" si="2">G25/G26</f>
        <v>388.24972969011895</v>
      </c>
      <c r="H27" s="783">
        <f t="shared" ca="1" si="2"/>
        <v>401.14479360288669</v>
      </c>
      <c r="I27" s="783">
        <f t="shared" ca="1" si="2"/>
        <v>410.94812239067085</v>
      </c>
      <c r="J27" s="783">
        <f t="shared" ca="1" si="2"/>
        <v>418.94747307226794</v>
      </c>
      <c r="K27" s="783">
        <f t="shared" ca="1" si="2"/>
        <v>428.83730137822869</v>
      </c>
      <c r="L27" s="783">
        <f t="shared" ca="1" si="2"/>
        <v>440.4527457849822</v>
      </c>
      <c r="M27" s="783">
        <f t="shared" ca="1" si="2"/>
        <v>453.76034724046235</v>
      </c>
      <c r="N27" s="783">
        <f t="shared" ca="1" si="2"/>
        <v>468.38468780060123</v>
      </c>
      <c r="O27" s="783">
        <f t="shared" ca="1" si="2"/>
        <v>484.77970938998772</v>
      </c>
    </row>
    <row r="28" spans="1:16" hidden="1" outlineLevel="1">
      <c r="C28" s="825" t="s">
        <v>778</v>
      </c>
      <c r="F28" s="826">
        <f>F$17</f>
        <v>6.9749984639583235E-2</v>
      </c>
      <c r="G28" s="826">
        <f t="shared" ref="G28:O28" si="3">G$17</f>
        <v>6.9749984639583235E-2</v>
      </c>
      <c r="H28" s="826">
        <f t="shared" si="3"/>
        <v>6.9749984639583235E-2</v>
      </c>
      <c r="I28" s="826">
        <f t="shared" si="3"/>
        <v>6.9749984639583235E-2</v>
      </c>
      <c r="J28" s="826">
        <f t="shared" si="3"/>
        <v>6.9749984639583235E-2</v>
      </c>
      <c r="K28" s="826">
        <f t="shared" si="3"/>
        <v>6.9749984639583235E-2</v>
      </c>
      <c r="L28" s="826">
        <f t="shared" si="3"/>
        <v>6.9749984639583235E-2</v>
      </c>
      <c r="M28" s="826">
        <f t="shared" si="3"/>
        <v>6.9749984639583235E-2</v>
      </c>
      <c r="N28" s="826">
        <f t="shared" si="3"/>
        <v>6.9749984639583235E-2</v>
      </c>
      <c r="O28" s="826">
        <f t="shared" si="3"/>
        <v>6.9749984639583235E-2</v>
      </c>
    </row>
    <row r="29" spans="1:16" hidden="1" outlineLevel="1">
      <c r="C29" s="807" t="s">
        <v>783</v>
      </c>
      <c r="F29" s="823">
        <f ca="1">F27*F28</f>
        <v>26.584481639635886</v>
      </c>
      <c r="G29" s="823">
        <f t="shared" ref="G29:O29" ca="1" si="4">G27*G28</f>
        <v>27.080412682208141</v>
      </c>
      <c r="H29" s="823">
        <f t="shared" ca="1" si="4"/>
        <v>27.979843192050133</v>
      </c>
      <c r="I29" s="823">
        <f t="shared" ca="1" si="4"/>
        <v>28.663625224414861</v>
      </c>
      <c r="J29" s="823">
        <f t="shared" ca="1" si="4"/>
        <v>29.221579811582899</v>
      </c>
      <c r="K29" s="823">
        <f t="shared" ca="1" si="4"/>
        <v>29.911395184011777</v>
      </c>
      <c r="L29" s="823">
        <f t="shared" ca="1" si="4"/>
        <v>30.721572252964769</v>
      </c>
      <c r="M29" s="823">
        <f t="shared" ca="1" si="4"/>
        <v>31.649777250074205</v>
      </c>
      <c r="N29" s="823">
        <f t="shared" ca="1" si="4"/>
        <v>32.669824779507927</v>
      </c>
      <c r="O29" s="823">
        <f t="shared" ca="1" si="4"/>
        <v>33.813377283533271</v>
      </c>
    </row>
    <row r="30" spans="1:16" hidden="1" outlineLevel="1">
      <c r="F30" s="783"/>
    </row>
    <row r="32" spans="1:16" ht="22.5" collapsed="1">
      <c r="A32" s="1171"/>
      <c r="B32" s="1231" t="s">
        <v>683</v>
      </c>
      <c r="C32" s="1183"/>
      <c r="D32" s="1183"/>
      <c r="E32" s="1183"/>
      <c r="F32" s="1183"/>
      <c r="G32" s="1183"/>
      <c r="H32" s="1183"/>
      <c r="I32" s="1183"/>
      <c r="J32" s="1183"/>
      <c r="K32" s="1183"/>
      <c r="L32" s="1183"/>
      <c r="M32" s="1183"/>
      <c r="N32" s="1183"/>
      <c r="O32" s="1183"/>
      <c r="P32" s="1185"/>
    </row>
    <row r="33" spans="1:16" hidden="1" outlineLevel="1">
      <c r="B33" s="1172"/>
      <c r="C33" s="1174"/>
      <c r="D33" s="1174"/>
      <c r="E33" s="1174"/>
      <c r="F33" s="1174"/>
      <c r="G33" s="1174"/>
      <c r="H33" s="1174"/>
      <c r="I33" s="1174"/>
      <c r="J33" s="1174"/>
      <c r="K33" s="1174"/>
      <c r="L33" s="1174"/>
      <c r="M33" s="1174"/>
      <c r="N33" s="1174"/>
      <c r="O33" s="1174"/>
      <c r="P33" s="1176"/>
    </row>
    <row r="34" spans="1:16" hidden="1" outlineLevel="1">
      <c r="B34" s="1172"/>
      <c r="C34" s="1186" t="s">
        <v>780</v>
      </c>
      <c r="D34" s="1174"/>
      <c r="E34" s="1175"/>
      <c r="F34" s="1174"/>
      <c r="G34" s="1175"/>
      <c r="H34" s="1174"/>
      <c r="I34" s="1174"/>
      <c r="J34" s="1174"/>
      <c r="K34" s="1174"/>
      <c r="L34" s="1174"/>
      <c r="M34" s="1174"/>
      <c r="N34" s="1174"/>
      <c r="O34" s="1175" t="str">
        <f>Preferences.EnergyUnits</f>
        <v>TWh</v>
      </c>
      <c r="P34" s="1176"/>
    </row>
    <row r="35" spans="1:16" ht="6" hidden="1" customHeight="1" outlineLevel="1">
      <c r="B35" s="1172"/>
      <c r="C35" s="1174"/>
      <c r="D35" s="1174"/>
      <c r="E35" s="1174"/>
      <c r="F35" s="1174"/>
      <c r="G35" s="1174"/>
      <c r="H35" s="1174"/>
      <c r="I35" s="1174"/>
      <c r="J35" s="1174"/>
      <c r="K35" s="1174"/>
      <c r="L35" s="1174"/>
      <c r="M35" s="1174"/>
      <c r="N35" s="1174"/>
      <c r="O35" s="1174"/>
      <c r="P35" s="1176"/>
    </row>
    <row r="36" spans="1:16" ht="15.75" hidden="1" outlineLevel="1">
      <c r="A36" s="3"/>
      <c r="B36" s="1177"/>
      <c r="C36" s="1188" t="s">
        <v>78</v>
      </c>
      <c r="D36" s="1188" t="s">
        <v>418</v>
      </c>
      <c r="E36" s="1188" t="s">
        <v>442</v>
      </c>
      <c r="F36" s="1188" t="s">
        <v>691</v>
      </c>
      <c r="G36" s="1188" t="s">
        <v>692</v>
      </c>
      <c r="H36" s="1189" t="s">
        <v>721</v>
      </c>
      <c r="I36" s="1189" t="s">
        <v>722</v>
      </c>
      <c r="J36" s="1189" t="s">
        <v>723</v>
      </c>
      <c r="K36" s="1189" t="s">
        <v>724</v>
      </c>
      <c r="L36" s="1189" t="s">
        <v>725</v>
      </c>
      <c r="M36" s="1189" t="s">
        <v>726</v>
      </c>
      <c r="N36" s="1189" t="s">
        <v>727</v>
      </c>
      <c r="O36" s="1189" t="s">
        <v>728</v>
      </c>
      <c r="P36" s="1176"/>
    </row>
    <row r="37" spans="1:16" ht="15.75" hidden="1" outlineLevel="1">
      <c r="A37" s="3"/>
      <c r="B37" s="1177"/>
      <c r="C37" s="765" t="s">
        <v>45</v>
      </c>
      <c r="D37" s="765" t="str">
        <f>INDEX(Vectors[Description], MATCH([Vector], Vectors[Code], 0))</f>
        <v>Electricity (delivered to end user)</v>
      </c>
      <c r="E37" s="765"/>
      <c r="F37" s="953">
        <v>0</v>
      </c>
      <c r="G37" s="953">
        <v>0</v>
      </c>
      <c r="H37" s="953">
        <v>0</v>
      </c>
      <c r="I37" s="953">
        <v>0</v>
      </c>
      <c r="J37" s="953">
        <v>0</v>
      </c>
      <c r="K37" s="953">
        <v>0</v>
      </c>
      <c r="L37" s="953">
        <v>0</v>
      </c>
      <c r="M37" s="953">
        <v>0</v>
      </c>
      <c r="N37" s="953">
        <v>0</v>
      </c>
      <c r="O37" s="953">
        <v>0</v>
      </c>
      <c r="P37" s="1176"/>
    </row>
    <row r="38" spans="1:16" ht="15.75" hidden="1" outlineLevel="1">
      <c r="A38" s="3"/>
      <c r="B38" s="1177"/>
      <c r="C38" s="765" t="s">
        <v>46</v>
      </c>
      <c r="D38" s="765" t="str">
        <f>INDEX(Vectors[Description], MATCH([Vector], Vectors[Code], 0))</f>
        <v>Electricity (supplied to grid)</v>
      </c>
      <c r="E38" s="765"/>
      <c r="F38" s="953">
        <f ca="1">-(F$27-F$25)</f>
        <v>-26.584481639635896</v>
      </c>
      <c r="G38" s="953">
        <f t="shared" ref="G38:O38" ca="1" si="5">-(G$27-G$25)</f>
        <v>-27.080412682208134</v>
      </c>
      <c r="H38" s="953">
        <f t="shared" ca="1" si="5"/>
        <v>-27.979843192050168</v>
      </c>
      <c r="I38" s="953">
        <f t="shared" ca="1" si="5"/>
        <v>-28.663625224414886</v>
      </c>
      <c r="J38" s="953">
        <f t="shared" ca="1" si="5"/>
        <v>-29.221579811582899</v>
      </c>
      <c r="K38" s="953">
        <f t="shared" ca="1" si="5"/>
        <v>-29.911395184011781</v>
      </c>
      <c r="L38" s="953">
        <f t="shared" ca="1" si="5"/>
        <v>-30.721572252964791</v>
      </c>
      <c r="M38" s="953">
        <f t="shared" ca="1" si="5"/>
        <v>-31.649777250074237</v>
      </c>
      <c r="N38" s="953">
        <f t="shared" ca="1" si="5"/>
        <v>-32.669824779507962</v>
      </c>
      <c r="O38" s="953">
        <f t="shared" ca="1" si="5"/>
        <v>-33.813377283533271</v>
      </c>
      <c r="P38" s="1176"/>
    </row>
    <row r="39" spans="1:16" ht="15.75" hidden="1" outlineLevel="1">
      <c r="A39" s="3"/>
      <c r="B39" s="1177"/>
      <c r="C39" s="765" t="s">
        <v>35</v>
      </c>
      <c r="D39" s="765" t="str">
        <f>INDEX(Vectors[Description], MATCH([Vector], Vectors[Code], 0))</f>
        <v>Distribution losses and own use</v>
      </c>
      <c r="E39" s="765"/>
      <c r="F39" s="953">
        <f ca="1">F$29</f>
        <v>26.584481639635886</v>
      </c>
      <c r="G39" s="953">
        <f t="shared" ref="G39:O39" ca="1" si="6">G$29</f>
        <v>27.080412682208141</v>
      </c>
      <c r="H39" s="953">
        <f t="shared" ca="1" si="6"/>
        <v>27.979843192050133</v>
      </c>
      <c r="I39" s="953">
        <f t="shared" ca="1" si="6"/>
        <v>28.663625224414861</v>
      </c>
      <c r="J39" s="953">
        <f t="shared" ca="1" si="6"/>
        <v>29.221579811582899</v>
      </c>
      <c r="K39" s="953">
        <f t="shared" ca="1" si="6"/>
        <v>29.911395184011777</v>
      </c>
      <c r="L39" s="953">
        <f t="shared" ca="1" si="6"/>
        <v>30.721572252964769</v>
      </c>
      <c r="M39" s="953">
        <f t="shared" ca="1" si="6"/>
        <v>31.649777250074205</v>
      </c>
      <c r="N39" s="953">
        <f t="shared" ca="1" si="6"/>
        <v>32.669824779507927</v>
      </c>
      <c r="O39" s="953">
        <f t="shared" ca="1" si="6"/>
        <v>33.813377283533271</v>
      </c>
      <c r="P39" s="1176"/>
    </row>
    <row r="40" spans="1:16" ht="15.75" hidden="1" outlineLevel="1">
      <c r="A40" s="3"/>
      <c r="B40" s="1177"/>
      <c r="C40" s="765" t="s">
        <v>148</v>
      </c>
      <c r="D40" s="765"/>
      <c r="E40" s="765"/>
      <c r="F40" s="1283">
        <f>SUBTOTAL(109,[2007])</f>
        <v>0</v>
      </c>
      <c r="G40" s="1283">
        <f>SUBTOTAL(109,[2010])</f>
        <v>0</v>
      </c>
      <c r="H40" s="1283">
        <f>SUBTOTAL(109,[2015])</f>
        <v>0</v>
      </c>
      <c r="I40" s="1283">
        <f>SUBTOTAL(109,[2020])</f>
        <v>0</v>
      </c>
      <c r="J40" s="1283">
        <f>SUBTOTAL(109,[2025])</f>
        <v>0</v>
      </c>
      <c r="K40" s="1283">
        <f>SUBTOTAL(109,[2030])</f>
        <v>0</v>
      </c>
      <c r="L40" s="1283">
        <f>SUBTOTAL(109,[2035])</f>
        <v>0</v>
      </c>
      <c r="M40" s="1283">
        <f>SUBTOTAL(109,[2040])</f>
        <v>0</v>
      </c>
      <c r="N40" s="1283">
        <f>SUBTOTAL(109,[2045])</f>
        <v>0</v>
      </c>
      <c r="O40" s="1283">
        <f>SUBTOTAL(109,[2050])</f>
        <v>0</v>
      </c>
      <c r="P40" s="1176"/>
    </row>
    <row r="41" spans="1:16" ht="15.75" hidden="1" outlineLevel="1">
      <c r="A41" s="3"/>
      <c r="B41" s="1178"/>
      <c r="C41" s="1281"/>
      <c r="D41" s="1282"/>
      <c r="E41" s="1282"/>
      <c r="F41" s="1282"/>
      <c r="G41" s="1282"/>
      <c r="H41" s="1282"/>
      <c r="I41" s="1282"/>
      <c r="J41" s="1282"/>
      <c r="K41" s="1282"/>
      <c r="L41" s="1282"/>
      <c r="M41" s="1282"/>
      <c r="N41" s="1282"/>
      <c r="O41" s="1282"/>
      <c r="P41" s="1181"/>
    </row>
  </sheetData>
  <pageMargins left="0.7" right="0.7" top="0.75" bottom="0.75" header="0.3" footer="0.3"/>
  <pageSetup paperSize="9" orientation="portrait" r:id="rId1"/>
  <ignoredErrors>
    <ignoredError sqref="F39 F37:F38" calculatedColumn="1"/>
  </ignoredErrors>
  <tableParts count="2">
    <tablePart r:id="rId2"/>
    <tablePart r:id="rId3"/>
  </tableParts>
</worksheet>
</file>

<file path=xl/worksheets/sheet34.xml><?xml version="1.0" encoding="utf-8"?>
<worksheet xmlns="http://schemas.openxmlformats.org/spreadsheetml/2006/main" xmlns:r="http://schemas.openxmlformats.org/officeDocument/2006/relationships">
  <sheetPr codeName="Sheet132">
    <tabColor theme="9"/>
    <outlinePr summaryBelow="0"/>
    <pageSetUpPr autoPageBreaks="0"/>
  </sheetPr>
  <dimension ref="A1:P39"/>
  <sheetViews>
    <sheetView showGridLines="0" zoomScale="80" zoomScaleNormal="80" workbookViewId="0">
      <pane ySplit="2" topLeftCell="A3" activePane="bottomLeft" state="frozen"/>
      <selection activeCell="A3" sqref="A3"/>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6" ht="21">
      <c r="A1" s="789" t="s">
        <v>674</v>
      </c>
      <c r="B1" s="789" t="str">
        <f>INDEX(Workstreams[Workstream], MATCH($A1, Workstreams[Code], 0))</f>
        <v>H2 Production</v>
      </c>
      <c r="C1" s="789"/>
    </row>
    <row r="2" spans="1:16" s="743" customFormat="1" ht="19.5" customHeight="1">
      <c r="A2" s="10" t="s">
        <v>981</v>
      </c>
      <c r="B2" s="10" t="str">
        <f>INDEX(Modules[Module], MATCH($A2, Modules[Code], 0))</f>
        <v>H2 Production</v>
      </c>
      <c r="C2" s="10"/>
    </row>
    <row r="4" spans="1:16" ht="22.5" collapsed="1">
      <c r="A4" s="1171"/>
      <c r="B4" s="1231" t="s">
        <v>682</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idden="1" outlineLevel="1">
      <c r="B6" s="1172"/>
      <c r="C6" s="1186" t="s">
        <v>779</v>
      </c>
      <c r="D6" s="1174"/>
      <c r="E6" s="1175"/>
      <c r="F6" s="1174"/>
      <c r="G6" s="1174"/>
      <c r="H6" s="1174"/>
      <c r="I6" s="1174"/>
      <c r="J6" s="1174"/>
      <c r="K6" s="1174"/>
      <c r="L6" s="1174"/>
      <c r="M6" s="1174"/>
      <c r="N6" s="1174"/>
      <c r="O6" s="1175" t="str">
        <f>Preferences.EnergyUnits</f>
        <v>TWh</v>
      </c>
      <c r="P6" s="1176"/>
    </row>
    <row r="7" spans="1:16" ht="6" hidden="1" customHeight="1" outlineLevel="1">
      <c r="B7" s="1172"/>
      <c r="C7" s="1173"/>
      <c r="D7" s="1174"/>
      <c r="E7" s="1175"/>
      <c r="F7" s="1174"/>
      <c r="G7" s="1174"/>
      <c r="H7" s="1174"/>
      <c r="I7" s="1174"/>
      <c r="J7" s="1174"/>
      <c r="K7" s="1174"/>
      <c r="L7" s="1174"/>
      <c r="M7" s="1174"/>
      <c r="N7" s="1174"/>
      <c r="O7" s="1174"/>
      <c r="P7" s="1176"/>
    </row>
    <row r="8" spans="1:16" s="743" customFormat="1" ht="15.75" hidden="1" outlineLevel="1">
      <c r="A8" s="753"/>
      <c r="B8" s="1187"/>
      <c r="C8" s="1188" t="s">
        <v>78</v>
      </c>
      <c r="D8" s="1188" t="s">
        <v>418</v>
      </c>
      <c r="E8" s="1188" t="s">
        <v>442</v>
      </c>
      <c r="F8" s="1188" t="s">
        <v>691</v>
      </c>
      <c r="G8" s="1188" t="s">
        <v>692</v>
      </c>
      <c r="H8" s="1189" t="s">
        <v>721</v>
      </c>
      <c r="I8" s="1189" t="s">
        <v>722</v>
      </c>
      <c r="J8" s="1189" t="s">
        <v>723</v>
      </c>
      <c r="K8" s="1189" t="s">
        <v>724</v>
      </c>
      <c r="L8" s="1189" t="s">
        <v>725</v>
      </c>
      <c r="M8" s="1189" t="s">
        <v>726</v>
      </c>
      <c r="N8" s="1189" t="s">
        <v>727</v>
      </c>
      <c r="O8" s="1189" t="s">
        <v>728</v>
      </c>
      <c r="P8" s="1190"/>
    </row>
    <row r="9" spans="1:16" s="743" customFormat="1" ht="18" hidden="1" customHeight="1" outlineLevel="1">
      <c r="A9" s="753"/>
      <c r="B9" s="1187"/>
      <c r="C9" s="765" t="s">
        <v>1476</v>
      </c>
      <c r="D9" s="765" t="str">
        <f>INDEX(Vectors[Description], MATCH([Vector], Vectors[Code], 0))</f>
        <v>H2</v>
      </c>
      <c r="E9" s="765"/>
      <c r="F9" s="1266">
        <f ca="1">INDEX(INDIRECT("'"&amp;VIII.a.Inputs[#Headers]&amp;"'!Year.Matrix"), MATCH("Subtotal."&amp;$A$2, INDIRECT("'"&amp;VIII.a.Inputs[#Headers]&amp;"'!Year.Modules"), 0), MATCH([Vector], INDIRECT("'"&amp;VIII.a.Inputs[#Headers]&amp;"'!Year.Vectors"), 0))</f>
        <v>0</v>
      </c>
      <c r="G9" s="1266">
        <f ca="1">INDEX(INDIRECT("'"&amp;VIII.a.Inputs[#Headers]&amp;"'!Year.Matrix"), MATCH("Subtotal."&amp;$A$2, INDIRECT("'"&amp;VIII.a.Inputs[#Headers]&amp;"'!Year.Modules"), 0), MATCH([Vector], INDIRECT("'"&amp;VIII.a.Inputs[#Headers]&amp;"'!Year.Vectors"), 0))</f>
        <v>0</v>
      </c>
      <c r="H9" s="1266">
        <f ca="1">INDEX(INDIRECT("'"&amp;VIII.a.Inputs[#Headers]&amp;"'!Year.Matrix"), MATCH("Subtotal."&amp;$A$2, INDIRECT("'"&amp;VIII.a.Inputs[#Headers]&amp;"'!Year.Modules"), 0), MATCH([Vector], INDIRECT("'"&amp;VIII.a.Inputs[#Headers]&amp;"'!Year.Vectors"), 0))</f>
        <v>0</v>
      </c>
      <c r="I9" s="1266">
        <f ca="1">INDEX(INDIRECT("'"&amp;VIII.a.Inputs[#Headers]&amp;"'!Year.Matrix"), MATCH("Subtotal."&amp;$A$2, INDIRECT("'"&amp;VIII.a.Inputs[#Headers]&amp;"'!Year.Modules"), 0), MATCH([Vector], INDIRECT("'"&amp;VIII.a.Inputs[#Headers]&amp;"'!Year.Vectors"), 0))</f>
        <v>0</v>
      </c>
      <c r="J9" s="1266">
        <f ca="1">INDEX(INDIRECT("'"&amp;VIII.a.Inputs[#Headers]&amp;"'!Year.Matrix"), MATCH("Subtotal."&amp;$A$2, INDIRECT("'"&amp;VIII.a.Inputs[#Headers]&amp;"'!Year.Modules"), 0), MATCH([Vector], INDIRECT("'"&amp;VIII.a.Inputs[#Headers]&amp;"'!Year.Vectors"), 0))</f>
        <v>0</v>
      </c>
      <c r="K9" s="1266">
        <f ca="1">INDEX(INDIRECT("'"&amp;VIII.a.Inputs[#Headers]&amp;"'!Year.Matrix"), MATCH("Subtotal."&amp;$A$2, INDIRECT("'"&amp;VIII.a.Inputs[#Headers]&amp;"'!Year.Modules"), 0), MATCH([Vector], INDIRECT("'"&amp;VIII.a.Inputs[#Headers]&amp;"'!Year.Vectors"), 0))</f>
        <v>0</v>
      </c>
      <c r="L9" s="1266">
        <f ca="1">INDEX(INDIRECT("'"&amp;VIII.a.Inputs[#Headers]&amp;"'!Year.Matrix"), MATCH("Subtotal."&amp;$A$2, INDIRECT("'"&amp;VIII.a.Inputs[#Headers]&amp;"'!Year.Modules"), 0), MATCH([Vector], INDIRECT("'"&amp;VIII.a.Inputs[#Headers]&amp;"'!Year.Vectors"), 0))</f>
        <v>0</v>
      </c>
      <c r="M9" s="1266">
        <f ca="1">INDEX(INDIRECT("'"&amp;VIII.a.Inputs[#Headers]&amp;"'!Year.Matrix"), MATCH("Subtotal."&amp;$A$2, INDIRECT("'"&amp;VIII.a.Inputs[#Headers]&amp;"'!Year.Modules"), 0), MATCH([Vector], INDIRECT("'"&amp;VIII.a.Inputs[#Headers]&amp;"'!Year.Vectors"), 0))</f>
        <v>0</v>
      </c>
      <c r="N9" s="1266">
        <f ca="1">INDEX(INDIRECT("'"&amp;VIII.a.Inputs[#Headers]&amp;"'!Year.Matrix"), MATCH("Subtotal."&amp;$A$2, INDIRECT("'"&amp;VIII.a.Inputs[#Headers]&amp;"'!Year.Modules"), 0), MATCH([Vector], INDIRECT("'"&amp;VIII.a.Inputs[#Headers]&amp;"'!Year.Vectors"), 0))</f>
        <v>0</v>
      </c>
      <c r="O9" s="1266">
        <f ca="1">INDEX(INDIRECT("'"&amp;VIII.a.Inputs[#Headers]&amp;"'!Year.Matrix"), MATCH("Subtotal."&amp;$A$2, INDIRECT("'"&amp;VIII.a.Inputs[#Headers]&amp;"'!Year.Modules"), 0), MATCH([Vector], INDIRECT("'"&amp;VIII.a.Inputs[#Headers]&amp;"'!Year.Vectors"), 0))</f>
        <v>0</v>
      </c>
      <c r="P9" s="1191"/>
    </row>
    <row r="10" spans="1:16" hidden="1" outlineLevel="1">
      <c r="B10" s="1192"/>
      <c r="C10" s="1180"/>
      <c r="D10" s="1180"/>
      <c r="E10" s="1180"/>
      <c r="F10" s="1180"/>
      <c r="G10" s="1180"/>
      <c r="H10" s="1180"/>
      <c r="I10" s="1180"/>
      <c r="J10" s="1180"/>
      <c r="K10" s="1180"/>
      <c r="L10" s="1180"/>
      <c r="M10" s="1180"/>
      <c r="N10" s="1180"/>
      <c r="O10" s="1180"/>
      <c r="P10" s="1181"/>
    </row>
    <row r="12" spans="1:16" s="743" customFormat="1" ht="22.5" collapsed="1">
      <c r="A12" s="1170"/>
      <c r="B12" s="1236" t="s">
        <v>786</v>
      </c>
      <c r="C12" s="1167"/>
      <c r="D12" s="1167"/>
      <c r="E12" s="1167"/>
      <c r="F12" s="1167"/>
      <c r="G12" s="1167"/>
      <c r="H12" s="1167"/>
      <c r="I12" s="1167"/>
      <c r="J12" s="1167"/>
      <c r="K12" s="1167"/>
      <c r="L12" s="1167"/>
      <c r="M12" s="1167"/>
      <c r="N12" s="1167"/>
      <c r="O12" s="1167"/>
      <c r="P12" s="1168"/>
    </row>
    <row r="13" spans="1:16" hidden="1" outlineLevel="1">
      <c r="B13" s="1157"/>
      <c r="C13" s="864"/>
      <c r="D13" s="864"/>
      <c r="E13" s="864"/>
      <c r="F13" s="864"/>
      <c r="G13" s="864"/>
      <c r="H13" s="864"/>
      <c r="I13" s="864"/>
      <c r="J13" s="864"/>
      <c r="K13" s="864"/>
      <c r="L13" s="864"/>
      <c r="M13" s="864"/>
      <c r="N13" s="864"/>
      <c r="O13" s="864"/>
      <c r="P13" s="1158"/>
    </row>
    <row r="14" spans="1:16" ht="14.25" hidden="1" outlineLevel="1">
      <c r="B14" s="1157"/>
      <c r="C14" s="866" t="s">
        <v>1927</v>
      </c>
      <c r="D14" s="864"/>
      <c r="E14" s="867"/>
      <c r="F14" s="864"/>
      <c r="G14" s="864"/>
      <c r="H14" s="864"/>
      <c r="I14" s="864"/>
      <c r="J14" s="864"/>
      <c r="K14" s="864"/>
      <c r="L14" s="864"/>
      <c r="M14" s="864"/>
      <c r="N14" s="864"/>
      <c r="O14" s="864"/>
      <c r="P14" s="1158"/>
    </row>
    <row r="15" spans="1:16" ht="6" hidden="1" customHeight="1" outlineLevel="1">
      <c r="B15" s="1157"/>
      <c r="C15" s="864"/>
      <c r="D15" s="864"/>
      <c r="E15" s="864"/>
      <c r="F15" s="864"/>
      <c r="G15" s="864"/>
      <c r="H15" s="864"/>
      <c r="I15" s="864"/>
      <c r="J15" s="864"/>
      <c r="K15" s="864"/>
      <c r="L15" s="864"/>
      <c r="M15" s="864"/>
      <c r="N15" s="864"/>
      <c r="O15" s="864"/>
      <c r="P15" s="1158"/>
    </row>
    <row r="16" spans="1:16" ht="15.75" hidden="1" outlineLevel="1">
      <c r="B16" s="1159"/>
      <c r="C16" s="766"/>
      <c r="D16" s="766" t="s">
        <v>79</v>
      </c>
      <c r="E16" s="766" t="s">
        <v>442</v>
      </c>
      <c r="F16" s="923">
        <v>2007</v>
      </c>
      <c r="G16" s="924">
        <v>2010</v>
      </c>
      <c r="H16" s="923">
        <v>2015</v>
      </c>
      <c r="I16" s="923">
        <v>2020</v>
      </c>
      <c r="J16" s="923">
        <v>2025</v>
      </c>
      <c r="K16" s="923">
        <v>2030</v>
      </c>
      <c r="L16" s="923">
        <v>2035</v>
      </c>
      <c r="M16" s="923">
        <v>2040</v>
      </c>
      <c r="N16" s="923">
        <v>2045</v>
      </c>
      <c r="O16" s="923">
        <v>2050</v>
      </c>
      <c r="P16" s="1158"/>
    </row>
    <row r="17" spans="1:16" s="743" customFormat="1" ht="15.75" hidden="1" outlineLevel="1">
      <c r="B17" s="1161"/>
      <c r="C17" s="791"/>
      <c r="D17" s="792" t="s">
        <v>1928</v>
      </c>
      <c r="E17" s="792"/>
      <c r="F17" s="824">
        <v>0.5</v>
      </c>
      <c r="G17" s="828">
        <v>0.5</v>
      </c>
      <c r="H17" s="824">
        <v>0.5</v>
      </c>
      <c r="I17" s="824">
        <v>0.5</v>
      </c>
      <c r="J17" s="824">
        <v>0.5</v>
      </c>
      <c r="K17" s="824">
        <v>0.5</v>
      </c>
      <c r="L17" s="824">
        <v>0.5</v>
      </c>
      <c r="M17" s="824">
        <v>0.5</v>
      </c>
      <c r="N17" s="824">
        <v>0.5</v>
      </c>
      <c r="O17" s="824">
        <v>0.5</v>
      </c>
      <c r="P17" s="1162"/>
    </row>
    <row r="18" spans="1:16" hidden="1" outlineLevel="1">
      <c r="B18" s="1163"/>
      <c r="C18" s="864"/>
      <c r="D18" s="868"/>
      <c r="E18" s="864"/>
      <c r="F18" s="864"/>
      <c r="G18" s="864"/>
      <c r="H18" s="864"/>
      <c r="I18" s="864"/>
      <c r="J18" s="864"/>
      <c r="K18" s="864"/>
      <c r="L18" s="864"/>
      <c r="M18" s="864"/>
      <c r="N18" s="864"/>
      <c r="O18" s="864"/>
      <c r="P18" s="1158"/>
    </row>
    <row r="19" spans="1:16" hidden="1" outlineLevel="1">
      <c r="B19" s="1164"/>
      <c r="C19" s="1165"/>
      <c r="D19" s="1165"/>
      <c r="E19" s="1165"/>
      <c r="F19" s="1165"/>
      <c r="G19" s="1165"/>
      <c r="H19" s="1165"/>
      <c r="I19" s="1165"/>
      <c r="J19" s="1165"/>
      <c r="K19" s="1165"/>
      <c r="L19" s="1165"/>
      <c r="M19" s="1165"/>
      <c r="N19" s="1165"/>
      <c r="O19" s="1165"/>
      <c r="P19" s="1166"/>
    </row>
    <row r="21" spans="1:16" ht="15.75" collapsed="1">
      <c r="B21" s="809" t="s">
        <v>732</v>
      </c>
    </row>
    <row r="22" spans="1:16" hidden="1" outlineLevel="1">
      <c r="B22" s="731">
        <v>1</v>
      </c>
      <c r="C22" s="121" t="s">
        <v>1929</v>
      </c>
    </row>
    <row r="23" spans="1:16" hidden="1" outlineLevel="1"/>
    <row r="24" spans="1:16" hidden="1" outlineLevel="1">
      <c r="C24" s="731" t="s">
        <v>1930</v>
      </c>
      <c r="E24" s="121" t="str">
        <f>Preferences.EnergyUnits</f>
        <v>TWh</v>
      </c>
      <c r="F24" s="783">
        <f ca="1">-VIII.a.Inputs[2007]</f>
        <v>0</v>
      </c>
      <c r="G24" s="783">
        <f ca="1">-VIII.a.Inputs[2010]</f>
        <v>0</v>
      </c>
      <c r="H24" s="783">
        <f ca="1">-VIII.a.Inputs[2015]</f>
        <v>0</v>
      </c>
      <c r="I24" s="783">
        <f ca="1">-VIII.a.Inputs[2020]</f>
        <v>0</v>
      </c>
      <c r="J24" s="783">
        <f ca="1">-VIII.a.Inputs[2025]</f>
        <v>0</v>
      </c>
      <c r="K24" s="783">
        <f ca="1">-VIII.a.Inputs[2030]</f>
        <v>0</v>
      </c>
      <c r="L24" s="783">
        <f ca="1">-VIII.a.Inputs[2035]</f>
        <v>0</v>
      </c>
      <c r="M24" s="783">
        <f ca="1">-VIII.a.Inputs[2040]</f>
        <v>0</v>
      </c>
      <c r="N24" s="783">
        <f ca="1">-VIII.a.Inputs[2045]</f>
        <v>0</v>
      </c>
      <c r="O24" s="783">
        <f ca="1">-VIII.a.Inputs[2050]</f>
        <v>0</v>
      </c>
    </row>
    <row r="25" spans="1:16" hidden="1" outlineLevel="1">
      <c r="B25" s="2220" t="s">
        <v>838</v>
      </c>
      <c r="C25" s="825" t="s">
        <v>1931</v>
      </c>
      <c r="F25" s="827">
        <f>F$17</f>
        <v>0.5</v>
      </c>
      <c r="G25" s="827">
        <f t="shared" ref="G25:O25" si="0">G$17</f>
        <v>0.5</v>
      </c>
      <c r="H25" s="827">
        <f t="shared" si="0"/>
        <v>0.5</v>
      </c>
      <c r="I25" s="827">
        <f t="shared" si="0"/>
        <v>0.5</v>
      </c>
      <c r="J25" s="827">
        <f t="shared" si="0"/>
        <v>0.5</v>
      </c>
      <c r="K25" s="827">
        <f t="shared" si="0"/>
        <v>0.5</v>
      </c>
      <c r="L25" s="827">
        <f t="shared" si="0"/>
        <v>0.5</v>
      </c>
      <c r="M25" s="827">
        <f t="shared" si="0"/>
        <v>0.5</v>
      </c>
      <c r="N25" s="827">
        <f t="shared" si="0"/>
        <v>0.5</v>
      </c>
      <c r="O25" s="827">
        <f t="shared" si="0"/>
        <v>0.5</v>
      </c>
    </row>
    <row r="26" spans="1:16" hidden="1" outlineLevel="1">
      <c r="B26" s="807" t="s">
        <v>840</v>
      </c>
      <c r="C26" s="731" t="s">
        <v>788</v>
      </c>
      <c r="F26" s="783">
        <f ca="1">F24/F25</f>
        <v>0</v>
      </c>
      <c r="G26" s="783">
        <f t="shared" ref="G26:O26" ca="1" si="1">G24/G25</f>
        <v>0</v>
      </c>
      <c r="H26" s="783">
        <f t="shared" ca="1" si="1"/>
        <v>0</v>
      </c>
      <c r="I26" s="783">
        <f t="shared" ca="1" si="1"/>
        <v>0</v>
      </c>
      <c r="J26" s="783">
        <f t="shared" ca="1" si="1"/>
        <v>0</v>
      </c>
      <c r="K26" s="783">
        <f t="shared" ca="1" si="1"/>
        <v>0</v>
      </c>
      <c r="L26" s="783">
        <f t="shared" ca="1" si="1"/>
        <v>0</v>
      </c>
      <c r="M26" s="783">
        <f t="shared" ca="1" si="1"/>
        <v>0</v>
      </c>
      <c r="N26" s="783">
        <f t="shared" ca="1" si="1"/>
        <v>0</v>
      </c>
      <c r="O26" s="783">
        <f t="shared" ca="1" si="1"/>
        <v>0</v>
      </c>
    </row>
    <row r="27" spans="1:16" hidden="1" outlineLevel="1">
      <c r="F27" s="826"/>
      <c r="G27" s="826"/>
      <c r="H27" s="826"/>
      <c r="I27" s="826"/>
      <c r="J27" s="826"/>
      <c r="K27" s="826"/>
      <c r="L27" s="826"/>
      <c r="M27" s="826"/>
      <c r="N27" s="826"/>
      <c r="O27" s="826"/>
    </row>
    <row r="28" spans="1:16" hidden="1" outlineLevel="1">
      <c r="F28" s="783"/>
    </row>
    <row r="30" spans="1:16" ht="22.5" collapsed="1">
      <c r="A30" s="1171"/>
      <c r="B30" s="1231" t="s">
        <v>683</v>
      </c>
      <c r="C30" s="1183"/>
      <c r="D30" s="1183"/>
      <c r="E30" s="1183"/>
      <c r="F30" s="1183"/>
      <c r="G30" s="1183"/>
      <c r="H30" s="1183"/>
      <c r="I30" s="1183"/>
      <c r="J30" s="1183"/>
      <c r="K30" s="1183"/>
      <c r="L30" s="1183"/>
      <c r="M30" s="1183"/>
      <c r="N30" s="1183"/>
      <c r="O30" s="1183"/>
      <c r="P30" s="1185"/>
    </row>
    <row r="31" spans="1:16" hidden="1" outlineLevel="1">
      <c r="B31" s="1172"/>
      <c r="C31" s="1174"/>
      <c r="D31" s="1174"/>
      <c r="E31" s="1174"/>
      <c r="F31" s="1174"/>
      <c r="G31" s="1174"/>
      <c r="H31" s="1174"/>
      <c r="I31" s="1174"/>
      <c r="J31" s="1174"/>
      <c r="K31" s="1174"/>
      <c r="L31" s="1174"/>
      <c r="M31" s="1174"/>
      <c r="N31" s="1174"/>
      <c r="O31" s="1174"/>
      <c r="P31" s="1176"/>
    </row>
    <row r="32" spans="1:16" hidden="1" outlineLevel="1">
      <c r="B32" s="1172"/>
      <c r="C32" s="1186" t="s">
        <v>780</v>
      </c>
      <c r="D32" s="1174"/>
      <c r="E32" s="1175"/>
      <c r="F32" s="1174"/>
      <c r="G32" s="1175"/>
      <c r="H32" s="1174"/>
      <c r="I32" s="1174"/>
      <c r="J32" s="1174"/>
      <c r="K32" s="1174"/>
      <c r="L32" s="1174"/>
      <c r="M32" s="1174"/>
      <c r="N32" s="1174"/>
      <c r="O32" s="1175" t="str">
        <f>Preferences.EnergyUnits</f>
        <v>TWh</v>
      </c>
      <c r="P32" s="1176"/>
    </row>
    <row r="33" spans="1:16" ht="6" hidden="1" customHeight="1" outlineLevel="1">
      <c r="B33" s="1172"/>
      <c r="C33" s="1174"/>
      <c r="D33" s="1174"/>
      <c r="E33" s="1174"/>
      <c r="F33" s="1174"/>
      <c r="G33" s="1174"/>
      <c r="H33" s="1174"/>
      <c r="I33" s="1174"/>
      <c r="J33" s="1174"/>
      <c r="K33" s="1174"/>
      <c r="L33" s="1174"/>
      <c r="M33" s="1174"/>
      <c r="N33" s="1174"/>
      <c r="O33" s="1174"/>
      <c r="P33" s="1176"/>
    </row>
    <row r="34" spans="1:16" ht="15.75" hidden="1" outlineLevel="1">
      <c r="A34" s="3"/>
      <c r="B34" s="1177"/>
      <c r="C34" s="1188" t="s">
        <v>78</v>
      </c>
      <c r="D34" s="1188" t="s">
        <v>418</v>
      </c>
      <c r="E34" s="1188" t="s">
        <v>442</v>
      </c>
      <c r="F34" s="1188" t="s">
        <v>691</v>
      </c>
      <c r="G34" s="1188" t="s">
        <v>692</v>
      </c>
      <c r="H34" s="1189" t="s">
        <v>721</v>
      </c>
      <c r="I34" s="1189" t="s">
        <v>722</v>
      </c>
      <c r="J34" s="1189" t="s">
        <v>723</v>
      </c>
      <c r="K34" s="1189" t="s">
        <v>724</v>
      </c>
      <c r="L34" s="1189" t="s">
        <v>725</v>
      </c>
      <c r="M34" s="1189" t="s">
        <v>726</v>
      </c>
      <c r="N34" s="1189" t="s">
        <v>727</v>
      </c>
      <c r="O34" s="1189" t="s">
        <v>728</v>
      </c>
      <c r="P34" s="1176"/>
    </row>
    <row r="35" spans="1:16" ht="15.75" hidden="1" outlineLevel="1">
      <c r="A35" s="3"/>
      <c r="B35" s="1177"/>
      <c r="C35" s="765" t="s">
        <v>45</v>
      </c>
      <c r="D35" s="765" t="str">
        <f>INDEX(Vectors[Description], MATCH([Vector], Vectors[Code], 0))</f>
        <v>Electricity (delivered to end user)</v>
      </c>
      <c r="E35" s="765"/>
      <c r="F35" s="953">
        <f ca="1">-F26</f>
        <v>0</v>
      </c>
      <c r="G35" s="953">
        <f t="shared" ref="G35:O35" ca="1" si="2">-G26</f>
        <v>0</v>
      </c>
      <c r="H35" s="953">
        <f t="shared" ca="1" si="2"/>
        <v>0</v>
      </c>
      <c r="I35" s="953">
        <f t="shared" ca="1" si="2"/>
        <v>0</v>
      </c>
      <c r="J35" s="953">
        <f t="shared" ca="1" si="2"/>
        <v>0</v>
      </c>
      <c r="K35" s="953">
        <f t="shared" ca="1" si="2"/>
        <v>0</v>
      </c>
      <c r="L35" s="953">
        <f t="shared" ca="1" si="2"/>
        <v>0</v>
      </c>
      <c r="M35" s="953">
        <f t="shared" ca="1" si="2"/>
        <v>0</v>
      </c>
      <c r="N35" s="953">
        <f t="shared" ca="1" si="2"/>
        <v>0</v>
      </c>
      <c r="O35" s="953">
        <f t="shared" ca="1" si="2"/>
        <v>0</v>
      </c>
      <c r="P35" s="1176"/>
    </row>
    <row r="36" spans="1:16" ht="15.75" hidden="1" outlineLevel="1">
      <c r="A36" s="3"/>
      <c r="B36" s="1177"/>
      <c r="C36" s="765" t="s">
        <v>1476</v>
      </c>
      <c r="D36" s="765" t="str">
        <f>INDEX(Vectors[Description], MATCH([Vector], Vectors[Code], 0))</f>
        <v>H2</v>
      </c>
      <c r="E36" s="765"/>
      <c r="F36" s="953">
        <f ca="1">F24</f>
        <v>0</v>
      </c>
      <c r="G36" s="953">
        <f t="shared" ref="G36:O36" ca="1" si="3">G24</f>
        <v>0</v>
      </c>
      <c r="H36" s="953">
        <f t="shared" ca="1" si="3"/>
        <v>0</v>
      </c>
      <c r="I36" s="953">
        <f t="shared" ca="1" si="3"/>
        <v>0</v>
      </c>
      <c r="J36" s="953">
        <f t="shared" ca="1" si="3"/>
        <v>0</v>
      </c>
      <c r="K36" s="953">
        <f t="shared" ca="1" si="3"/>
        <v>0</v>
      </c>
      <c r="L36" s="953">
        <f t="shared" ca="1" si="3"/>
        <v>0</v>
      </c>
      <c r="M36" s="953">
        <f t="shared" ca="1" si="3"/>
        <v>0</v>
      </c>
      <c r="N36" s="953">
        <f t="shared" ca="1" si="3"/>
        <v>0</v>
      </c>
      <c r="O36" s="953">
        <f t="shared" ca="1" si="3"/>
        <v>0</v>
      </c>
      <c r="P36" s="1176"/>
    </row>
    <row r="37" spans="1:16" ht="15.75" hidden="1" outlineLevel="1">
      <c r="A37" s="3"/>
      <c r="B37" s="1177"/>
      <c r="C37" s="765" t="s">
        <v>34</v>
      </c>
      <c r="D37" s="765" t="str">
        <f>INDEX(Vectors[Description], MATCH([Vector], Vectors[Code], 0))</f>
        <v>Conversion losses</v>
      </c>
      <c r="E37" s="765"/>
      <c r="F37" s="953">
        <f ca="1">F26-F24</f>
        <v>0</v>
      </c>
      <c r="G37" s="953">
        <f t="shared" ref="G37:O37" ca="1" si="4">G26-G24</f>
        <v>0</v>
      </c>
      <c r="H37" s="953">
        <f t="shared" ca="1" si="4"/>
        <v>0</v>
      </c>
      <c r="I37" s="953">
        <f t="shared" ca="1" si="4"/>
        <v>0</v>
      </c>
      <c r="J37" s="953">
        <f t="shared" ca="1" si="4"/>
        <v>0</v>
      </c>
      <c r="K37" s="953">
        <f t="shared" ca="1" si="4"/>
        <v>0</v>
      </c>
      <c r="L37" s="953">
        <f t="shared" ca="1" si="4"/>
        <v>0</v>
      </c>
      <c r="M37" s="953">
        <f t="shared" ca="1" si="4"/>
        <v>0</v>
      </c>
      <c r="N37" s="953">
        <f t="shared" ca="1" si="4"/>
        <v>0</v>
      </c>
      <c r="O37" s="953">
        <f t="shared" ca="1" si="4"/>
        <v>0</v>
      </c>
      <c r="P37" s="1176"/>
    </row>
    <row r="38" spans="1:16" ht="15.75" hidden="1" outlineLevel="1">
      <c r="A38" s="3"/>
      <c r="B38" s="1177"/>
      <c r="C38" s="765" t="s">
        <v>148</v>
      </c>
      <c r="D38" s="765"/>
      <c r="E38" s="765"/>
      <c r="F38" s="1459">
        <f>SUBTOTAL(109,[2007])</f>
        <v>0</v>
      </c>
      <c r="G38" s="1459">
        <f>SUBTOTAL(109,[2010])</f>
        <v>0</v>
      </c>
      <c r="H38" s="1459">
        <f>SUBTOTAL(109,[2015])</f>
        <v>0</v>
      </c>
      <c r="I38" s="1459">
        <f>SUBTOTAL(109,[2020])</f>
        <v>0</v>
      </c>
      <c r="J38" s="1459">
        <f>SUBTOTAL(109,[2025])</f>
        <v>0</v>
      </c>
      <c r="K38" s="1459">
        <f>SUBTOTAL(109,[2030])</f>
        <v>0</v>
      </c>
      <c r="L38" s="1459">
        <f>SUBTOTAL(109,[2035])</f>
        <v>0</v>
      </c>
      <c r="M38" s="1459">
        <f>SUBTOTAL(109,[2040])</f>
        <v>0</v>
      </c>
      <c r="N38" s="1459">
        <f>SUBTOTAL(109,[2045])</f>
        <v>0</v>
      </c>
      <c r="O38" s="1459">
        <f>SUBTOTAL(109,[2050])</f>
        <v>0</v>
      </c>
      <c r="P38" s="1176"/>
    </row>
    <row r="39" spans="1:16" ht="15.75" hidden="1" outlineLevel="1">
      <c r="A39" s="3"/>
      <c r="B39" s="1178"/>
      <c r="C39" s="1281"/>
      <c r="D39" s="1282"/>
      <c r="E39" s="1282"/>
      <c r="F39" s="1282"/>
      <c r="G39" s="1282"/>
      <c r="H39" s="1282"/>
      <c r="I39" s="1282"/>
      <c r="J39" s="1282"/>
      <c r="K39" s="1282"/>
      <c r="L39" s="1282"/>
      <c r="M39" s="1282"/>
      <c r="N39" s="1282"/>
      <c r="O39" s="1282"/>
      <c r="P39" s="1181"/>
    </row>
  </sheetData>
  <pageMargins left="0.7" right="0.7" top="0.75" bottom="0.75" header="0.3" footer="0.3"/>
  <pageSetup paperSize="9" orientation="portrait" r:id="rId1"/>
  <ignoredErrors>
    <ignoredError sqref="F35:F37" calculatedColumn="1"/>
  </ignoredErrors>
  <tableParts count="2">
    <tablePart r:id="rId2"/>
    <tablePart r:id="rId3"/>
  </tableParts>
</worksheet>
</file>

<file path=xl/worksheets/sheet35.xml><?xml version="1.0" encoding="utf-8"?>
<worksheet xmlns="http://schemas.openxmlformats.org/spreadsheetml/2006/main" xmlns:r="http://schemas.openxmlformats.org/officeDocument/2006/relationships">
  <sheetPr codeName="Sheet15">
    <tabColor theme="9"/>
    <outlinePr summaryBelow="0"/>
    <pageSetUpPr autoPageBreaks="0"/>
  </sheetPr>
  <dimension ref="A1:AH271"/>
  <sheetViews>
    <sheetView showGridLines="0" zoomScale="80" zoomScaleNormal="80" workbookViewId="0">
      <pane ySplit="2" topLeftCell="A3" activePane="bottomLeft" state="frozen"/>
      <selection activeCell="Q127" sqref="Q127:Z140"/>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11.140625" style="121" customWidth="1"/>
    <col min="6" max="6" width="12.5703125" style="121" customWidth="1"/>
    <col min="7" max="9" width="9.140625" style="121"/>
    <col min="10" max="10" width="9.28515625" style="121" bestFit="1" customWidth="1"/>
    <col min="11" max="15" width="9.140625" style="121"/>
    <col min="16" max="16" width="2" style="121" customWidth="1"/>
    <col min="17" max="16384" width="9.140625" style="121"/>
  </cols>
  <sheetData>
    <row r="1" spans="1:18" ht="21">
      <c r="A1" s="789" t="s">
        <v>673</v>
      </c>
      <c r="B1" s="789" t="str">
        <f>INDEX(Workstreams[Workstream], MATCH($A1, Workstreams[Code], 0))</f>
        <v>Electricity distribution, storage, and balancing</v>
      </c>
      <c r="C1" s="789"/>
    </row>
    <row r="2" spans="1:18" s="743" customFormat="1" ht="19.5" customHeight="1">
      <c r="A2" s="10" t="s">
        <v>796</v>
      </c>
      <c r="B2" s="10" t="str">
        <f>INDEX(Modules[Module], MATCH($A2, Modules[Code], 0))</f>
        <v>Storage, demand shifting, backup</v>
      </c>
      <c r="C2" s="10"/>
    </row>
    <row r="4" spans="1:18" ht="22.5" collapsed="1">
      <c r="A4" s="1171"/>
      <c r="B4" s="1231" t="s">
        <v>1353</v>
      </c>
      <c r="C4" s="1183"/>
      <c r="D4" s="1183"/>
      <c r="E4" s="1183"/>
      <c r="F4" s="1183"/>
      <c r="G4" s="1183"/>
      <c r="H4" s="1183"/>
      <c r="I4" s="1183"/>
      <c r="J4" s="1183"/>
      <c r="K4" s="1183"/>
      <c r="L4" s="1183"/>
      <c r="M4" s="1183"/>
      <c r="N4" s="1183"/>
      <c r="O4" s="1183"/>
      <c r="P4" s="1185"/>
      <c r="R4" s="834"/>
    </row>
    <row r="5" spans="1:18" hidden="1" outlineLevel="1">
      <c r="B5" s="1172"/>
      <c r="C5" s="1174"/>
      <c r="D5" s="1174"/>
      <c r="E5" s="1174"/>
      <c r="F5" s="1174"/>
      <c r="G5" s="1174"/>
      <c r="H5" s="1174"/>
      <c r="I5" s="1174"/>
      <c r="J5" s="1174"/>
      <c r="K5" s="1174"/>
      <c r="L5" s="1174"/>
      <c r="M5" s="1174"/>
      <c r="N5" s="1174"/>
      <c r="O5" s="1174"/>
      <c r="P5" s="1176"/>
    </row>
    <row r="6" spans="1:18" ht="5.25" hidden="1" customHeight="1" outlineLevel="1">
      <c r="B6" s="1172"/>
      <c r="C6" s="1173"/>
      <c r="D6" s="1174"/>
      <c r="E6" s="1175"/>
      <c r="F6" s="1174"/>
      <c r="G6" s="1174"/>
      <c r="H6" s="1174"/>
      <c r="I6" s="1174"/>
      <c r="J6" s="1174"/>
      <c r="K6" s="1174"/>
      <c r="L6" s="1174"/>
      <c r="M6" s="1174"/>
      <c r="N6" s="1174"/>
      <c r="O6" s="1174"/>
      <c r="P6" s="1176"/>
    </row>
    <row r="7" spans="1:18" ht="15.75" hidden="1" outlineLevel="1">
      <c r="B7" s="1177"/>
      <c r="C7" s="1174"/>
      <c r="D7" s="922" t="s">
        <v>830</v>
      </c>
      <c r="E7" s="2221" t="s">
        <v>1352</v>
      </c>
      <c r="F7" s="1174"/>
      <c r="G7" s="1174"/>
      <c r="H7" s="1174"/>
      <c r="I7" s="1174"/>
      <c r="J7" s="1174"/>
      <c r="K7" s="1174"/>
      <c r="L7" s="1174"/>
      <c r="M7" s="1174"/>
      <c r="N7" s="1174"/>
      <c r="O7" s="1174"/>
      <c r="P7" s="1176"/>
    </row>
    <row r="8" spans="1:18" ht="15.75" hidden="1" outlineLevel="1">
      <c r="B8" s="1177"/>
      <c r="C8" s="1174"/>
      <c r="D8" s="950" t="s">
        <v>1457</v>
      </c>
      <c r="E8" s="950">
        <f>VII.c.Scenario</f>
        <v>1</v>
      </c>
      <c r="F8" s="1174"/>
      <c r="G8" s="1174"/>
      <c r="H8" s="1174"/>
      <c r="I8" s="1174"/>
      <c r="J8" s="1174"/>
      <c r="K8" s="1174"/>
      <c r="L8" s="1174"/>
      <c r="M8" s="1174"/>
      <c r="N8" s="1174"/>
      <c r="O8" s="1174"/>
      <c r="P8" s="1176"/>
    </row>
    <row r="9" spans="1:18" hidden="1" outlineLevel="1">
      <c r="B9" s="1192"/>
      <c r="C9" s="1180"/>
      <c r="D9" s="1180"/>
      <c r="E9" s="1180"/>
      <c r="F9" s="1180"/>
      <c r="G9" s="1180"/>
      <c r="H9" s="1180"/>
      <c r="I9" s="1180"/>
      <c r="J9" s="1180"/>
      <c r="K9" s="1180"/>
      <c r="L9" s="1180"/>
      <c r="M9" s="1180"/>
      <c r="N9" s="1180"/>
      <c r="O9" s="1180"/>
      <c r="P9" s="1181"/>
    </row>
    <row r="11" spans="1:18" ht="22.5" collapsed="1">
      <c r="A11" s="1171"/>
      <c r="B11" s="1231" t="s">
        <v>682</v>
      </c>
      <c r="C11" s="1183"/>
      <c r="D11" s="1183"/>
      <c r="E11" s="1183"/>
      <c r="F11" s="1183"/>
      <c r="G11" s="1183"/>
      <c r="H11" s="1183"/>
      <c r="I11" s="1183"/>
      <c r="J11" s="1183"/>
      <c r="K11" s="1183"/>
      <c r="L11" s="1183"/>
      <c r="M11" s="1183"/>
      <c r="N11" s="1183"/>
      <c r="O11" s="1183"/>
      <c r="P11" s="1185"/>
    </row>
    <row r="12" spans="1:18" hidden="1" outlineLevel="1">
      <c r="B12" s="1172"/>
      <c r="C12" s="1174"/>
      <c r="D12" s="1174"/>
      <c r="E12" s="1174"/>
      <c r="F12" s="1174"/>
      <c r="G12" s="1174"/>
      <c r="H12" s="1174"/>
      <c r="I12" s="1174"/>
      <c r="J12" s="1174"/>
      <c r="K12" s="1174"/>
      <c r="L12" s="1174"/>
      <c r="M12" s="1174"/>
      <c r="N12" s="1174"/>
      <c r="O12" s="1174"/>
      <c r="P12" s="1176"/>
    </row>
    <row r="13" spans="1:18" hidden="1" outlineLevel="1">
      <c r="B13" s="1172"/>
      <c r="C13" s="1186" t="s">
        <v>1937</v>
      </c>
      <c r="D13" s="1174"/>
      <c r="E13" s="1175"/>
      <c r="F13" s="1174"/>
      <c r="G13" s="1174"/>
      <c r="H13" s="1174"/>
      <c r="I13" s="1174"/>
      <c r="J13" s="1174"/>
      <c r="K13" s="1174"/>
      <c r="L13" s="1174"/>
      <c r="M13" s="1174"/>
      <c r="N13" s="1174"/>
      <c r="O13" s="1175" t="str">
        <f>Preferences.EnergyUnits</f>
        <v>TWh</v>
      </c>
      <c r="P13" s="1176"/>
    </row>
    <row r="14" spans="1:18" ht="5.25" hidden="1" customHeight="1" outlineLevel="1">
      <c r="B14" s="1172"/>
      <c r="C14" s="1174"/>
      <c r="D14" s="1174"/>
      <c r="E14" s="1175"/>
      <c r="F14" s="1174"/>
      <c r="G14" s="1174"/>
      <c r="H14" s="1174"/>
      <c r="I14" s="1174"/>
      <c r="J14" s="1174"/>
      <c r="K14" s="1174"/>
      <c r="L14" s="1174"/>
      <c r="M14" s="1174"/>
      <c r="N14" s="1174"/>
      <c r="O14" s="1174"/>
      <c r="P14" s="1176"/>
    </row>
    <row r="15" spans="1:18" ht="15.75" hidden="1" outlineLevel="1">
      <c r="A15" s="753"/>
      <c r="B15" s="1187"/>
      <c r="C15" s="1188" t="s">
        <v>745</v>
      </c>
      <c r="D15" s="1188" t="s">
        <v>418</v>
      </c>
      <c r="E15" s="1188" t="s">
        <v>442</v>
      </c>
      <c r="F15" s="1188" t="s">
        <v>691</v>
      </c>
      <c r="G15" s="1188" t="s">
        <v>692</v>
      </c>
      <c r="H15" s="1188" t="s">
        <v>721</v>
      </c>
      <c r="I15" s="1188" t="s">
        <v>722</v>
      </c>
      <c r="J15" s="1188" t="s">
        <v>723</v>
      </c>
      <c r="K15" s="1188" t="s">
        <v>724</v>
      </c>
      <c r="L15" s="1188" t="s">
        <v>725</v>
      </c>
      <c r="M15" s="1188" t="s">
        <v>726</v>
      </c>
      <c r="N15" s="1188" t="s">
        <v>727</v>
      </c>
      <c r="O15" s="1188" t="s">
        <v>728</v>
      </c>
      <c r="P15" s="1190"/>
    </row>
    <row r="16" spans="1:18" ht="15.75" hidden="1" outlineLevel="1">
      <c r="A16" s="753"/>
      <c r="B16" s="1187"/>
      <c r="C16" s="1188" t="s">
        <v>676</v>
      </c>
      <c r="D16" s="2284" t="s">
        <v>29</v>
      </c>
      <c r="E16" s="2284"/>
      <c r="F16" s="2284">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-59.560244420136328</v>
      </c>
      <c r="G16" s="2284">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-65.279304282673138</v>
      </c>
      <c r="H16" s="2284">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-72.090238898367843</v>
      </c>
      <c r="I16" s="2284">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-75.750009063576385</v>
      </c>
      <c r="J16" s="2284">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-75.751174992516525</v>
      </c>
      <c r="K16" s="2284">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-77.662218290503887</v>
      </c>
      <c r="L16" s="2284">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-79.988076049972989</v>
      </c>
      <c r="M16" s="2284">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-83.613162141040917</v>
      </c>
      <c r="N16" s="2284">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-88.335832831535697</v>
      </c>
      <c r="O16" s="2284">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-94.101163230153588</v>
      </c>
      <c r="P16" s="1191"/>
    </row>
    <row r="17" spans="1:34" ht="15.75" hidden="1" outlineLevel="1">
      <c r="A17" s="753"/>
      <c r="B17" s="1187"/>
      <c r="C17" s="1188" t="s">
        <v>1730</v>
      </c>
      <c r="D17" s="2235" t="s">
        <v>891</v>
      </c>
      <c r="E17" s="1188"/>
      <c r="F17"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4.9858220412000005</v>
      </c>
      <c r="G17"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10.317757319999997</v>
      </c>
      <c r="H17"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17.549707319999996</v>
      </c>
      <c r="I17"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24.781657320000001</v>
      </c>
      <c r="J17"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28.963039319999996</v>
      </c>
      <c r="K17"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21.783685319999993</v>
      </c>
      <c r="L17"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14.551735319999997</v>
      </c>
      <c r="M17"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7.3197853199999958</v>
      </c>
      <c r="N17"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8.7835319999996164E-2</v>
      </c>
      <c r="O17"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8.7835319999996164E-2</v>
      </c>
      <c r="P17" s="1191"/>
    </row>
    <row r="18" spans="1:34" ht="15.75" hidden="1" outlineLevel="1">
      <c r="A18" s="753"/>
      <c r="B18" s="1187"/>
      <c r="C18" s="1188" t="s">
        <v>1731</v>
      </c>
      <c r="D18" s="2235" t="s">
        <v>892</v>
      </c>
      <c r="E18" s="1188"/>
      <c r="F18"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0.97693037639999991</v>
      </c>
      <c r="G18"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4.1229127800000027</v>
      </c>
      <c r="H18"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11.793162780000001</v>
      </c>
      <c r="I18"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19.463412780000002</v>
      </c>
      <c r="J18"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25.139397779999999</v>
      </c>
      <c r="K18"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21.672444780000003</v>
      </c>
      <c r="L18"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14.002194780000004</v>
      </c>
      <c r="M18"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6.3319447800000042</v>
      </c>
      <c r="N18"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0.19574478000000431</v>
      </c>
      <c r="O18" s="2236">
        <f ca="1">INDEX(INDIRECT("'"&amp;VII.c.Inputs.Volatile[#Headers]&amp;"'!Year.Matrix"), MATCH([Module], INDIRECT("'"&amp;VII.c.Inputs.Volatile[#Headers]&amp;"'!Year.Modules"), 0), MATCH("V.01", INDIRECT("'"&amp;VII.c.Inputs.Volatile[#Headers]&amp;"'!Year.Vectors"), 0))+INDEX(INDIRECT("'"&amp;VII.c.Inputs.Volatile[#Headers]&amp;"'!Year.Matrix"), MATCH([Module], INDIRECT("'"&amp;VII.c.Inputs.Volatile[#Headers]&amp;"'!Year.Modules"), 0), MATCH("V.02", INDIRECT("'"&amp;VII.c.Inputs.Volatile[#Headers]&amp;"'!Year.Vectors"), 0))</f>
        <v>0.19574478000000431</v>
      </c>
      <c r="P18" s="1191"/>
    </row>
    <row r="19" spans="1:34" ht="15.75" hidden="1" outlineLevel="1">
      <c r="A19" s="753"/>
      <c r="B19" s="1187"/>
      <c r="C19" s="1188"/>
      <c r="D19" s="2235"/>
      <c r="E19" s="1188"/>
      <c r="F19" s="1266"/>
      <c r="G19" s="1266"/>
      <c r="H19" s="1266"/>
      <c r="I19" s="1266"/>
      <c r="J19" s="1266"/>
      <c r="K19" s="1266"/>
      <c r="L19" s="1266"/>
      <c r="M19" s="1266"/>
      <c r="N19" s="1266"/>
      <c r="O19" s="1266"/>
      <c r="P19" s="1191"/>
    </row>
    <row r="20" spans="1:34" ht="15.75" hidden="1" outlineLevel="1">
      <c r="A20" s="753"/>
      <c r="B20" s="1187"/>
      <c r="C20" s="2237" t="s">
        <v>1933</v>
      </c>
      <c r="D20" s="2235"/>
      <c r="E20" s="1188"/>
      <c r="F20" s="1266"/>
      <c r="G20" s="1266"/>
      <c r="H20" s="1266"/>
      <c r="I20" s="1266"/>
      <c r="J20" s="1266"/>
      <c r="K20" s="1266"/>
      <c r="L20" s="1266"/>
      <c r="M20" s="1266"/>
      <c r="N20" s="1266"/>
      <c r="O20" s="2238" t="str">
        <f>Preferences.PowerUnits</f>
        <v>GW</v>
      </c>
      <c r="P20" s="1191"/>
    </row>
    <row r="21" spans="1:34" ht="5.25" hidden="1" customHeight="1" outlineLevel="1">
      <c r="A21" s="753"/>
      <c r="B21" s="1187"/>
      <c r="C21" s="2237"/>
      <c r="D21" s="2235"/>
      <c r="E21" s="1188"/>
      <c r="F21" s="1266"/>
      <c r="G21" s="1266"/>
      <c r="H21" s="1266"/>
      <c r="I21" s="1266"/>
      <c r="J21" s="1266"/>
      <c r="K21" s="1266"/>
      <c r="L21" s="1266"/>
      <c r="M21" s="1266"/>
      <c r="N21" s="1266"/>
      <c r="O21" s="2238"/>
      <c r="P21" s="1191"/>
    </row>
    <row r="22" spans="1:34" ht="15.75" hidden="1" outlineLevel="1">
      <c r="A22" s="753"/>
      <c r="B22" s="1187"/>
      <c r="C22" s="1595"/>
      <c r="D22" s="1595" t="s">
        <v>79</v>
      </c>
      <c r="E22" s="1595" t="s">
        <v>442</v>
      </c>
      <c r="F22" s="2239">
        <v>2007</v>
      </c>
      <c r="G22" s="2240">
        <v>2010</v>
      </c>
      <c r="H22" s="2239">
        <v>2015</v>
      </c>
      <c r="I22" s="2239">
        <v>2020</v>
      </c>
      <c r="J22" s="2239">
        <v>2025</v>
      </c>
      <c r="K22" s="2239">
        <v>2030</v>
      </c>
      <c r="L22" s="2239">
        <v>2035</v>
      </c>
      <c r="M22" s="2239">
        <v>2040</v>
      </c>
      <c r="N22" s="2239">
        <v>2045</v>
      </c>
      <c r="O22" s="2239">
        <v>2050</v>
      </c>
      <c r="P22" s="1191"/>
    </row>
    <row r="23" spans="1:34" ht="15.75" hidden="1" outlineLevel="1">
      <c r="A23" s="753"/>
      <c r="B23" s="1187"/>
      <c r="C23" s="2241" t="s">
        <v>742</v>
      </c>
      <c r="D23" s="765" t="s">
        <v>1934</v>
      </c>
      <c r="E23" s="1291"/>
      <c r="F23" s="2265">
        <f t="array" ref="F23:O23" ca="1">I.a!Balancing.BoostableCapacity</f>
        <v>32.921732452179221</v>
      </c>
      <c r="G23" s="2265">
        <f ca="1"/>
        <v>31.633629040741496</v>
      </c>
      <c r="H23" s="2265">
        <f ca="1"/>
        <v>38.900448072364888</v>
      </c>
      <c r="I23" s="2265">
        <f ca="1"/>
        <v>46.098488756782025</v>
      </c>
      <c r="J23" s="2265">
        <f ca="1"/>
        <v>54.689711654241812</v>
      </c>
      <c r="K23" s="2265">
        <f ca="1"/>
        <v>58.024648606831967</v>
      </c>
      <c r="L23" s="2265">
        <f ca="1"/>
        <v>63.791096534310618</v>
      </c>
      <c r="M23" s="2265">
        <f ca="1"/>
        <v>68.377281190131626</v>
      </c>
      <c r="N23" s="2265">
        <f ca="1"/>
        <v>72.928373068883019</v>
      </c>
      <c r="O23" s="2265">
        <f ca="1"/>
        <v>75.58976824027728</v>
      </c>
      <c r="P23" s="1191"/>
      <c r="R23" s="2266" t="s">
        <v>1957</v>
      </c>
      <c r="S23" s="2315"/>
      <c r="T23" s="2315"/>
      <c r="U23" s="2315"/>
      <c r="V23" s="2315"/>
      <c r="W23" s="2315"/>
      <c r="X23" s="2315"/>
      <c r="Y23" s="2315"/>
      <c r="Z23" s="2315"/>
      <c r="AA23" s="2315"/>
      <c r="AB23" s="2315"/>
      <c r="AC23" s="2266"/>
    </row>
    <row r="24" spans="1:34" ht="15.75" hidden="1" outlineLevel="1">
      <c r="A24" s="753"/>
      <c r="B24" s="1187"/>
      <c r="C24" s="2241" t="s">
        <v>878</v>
      </c>
      <c r="D24" s="765" t="s">
        <v>874</v>
      </c>
      <c r="E24" s="765"/>
      <c r="F24" s="2265">
        <f t="array" ref="F24:O24">I.b!Balancing.BoostableCapacity</f>
        <v>0</v>
      </c>
      <c r="G24" s="2265">
        <v>0</v>
      </c>
      <c r="H24" s="2265">
        <v>0.23924999999999999</v>
      </c>
      <c r="I24" s="2265">
        <v>1.3282500000000002</v>
      </c>
      <c r="J24" s="2265">
        <v>1.3406250000000002</v>
      </c>
      <c r="K24" s="2265">
        <v>1.3530000000000002</v>
      </c>
      <c r="L24" s="2265">
        <v>1.3653750000000002</v>
      </c>
      <c r="M24" s="2265">
        <v>1.3777500000000003</v>
      </c>
      <c r="N24" s="2265">
        <v>1.3901250000000001</v>
      </c>
      <c r="O24" s="2265">
        <v>1.4025000000000001</v>
      </c>
      <c r="P24" s="1191"/>
      <c r="R24"/>
      <c r="S24"/>
      <c r="T24"/>
      <c r="U24"/>
      <c r="V24"/>
      <c r="W24"/>
      <c r="X24"/>
      <c r="Y24"/>
      <c r="Z24"/>
      <c r="AA24"/>
      <c r="AB24"/>
      <c r="AC24"/>
      <c r="AD24"/>
      <c r="AE24"/>
      <c r="AF24"/>
      <c r="AG24"/>
      <c r="AH24"/>
    </row>
    <row r="25" spans="1:34" ht="15.75" hidden="1" outlineLevel="1">
      <c r="A25" s="753"/>
      <c r="B25" s="1187"/>
      <c r="C25" s="2243" t="s">
        <v>756</v>
      </c>
      <c r="D25" s="1292" t="s">
        <v>0</v>
      </c>
      <c r="E25" s="1292"/>
      <c r="F25" s="2268">
        <f t="array" ref="F25:O25">II.a!Balancing.BoostableCapacity</f>
        <v>11</v>
      </c>
      <c r="G25" s="2268">
        <v>10</v>
      </c>
      <c r="H25" s="2268">
        <v>7.2</v>
      </c>
      <c r="I25" s="2268">
        <v>3.6000000000000005</v>
      </c>
      <c r="J25" s="2268">
        <v>1.2000000000000006</v>
      </c>
      <c r="K25" s="2268">
        <v>1.2000000000000006</v>
      </c>
      <c r="L25" s="2268">
        <v>0</v>
      </c>
      <c r="M25" s="2268">
        <v>0</v>
      </c>
      <c r="N25" s="2268">
        <v>0</v>
      </c>
      <c r="O25" s="2268">
        <v>0</v>
      </c>
      <c r="P25" s="1191"/>
      <c r="S25" s="1712"/>
      <c r="T25" s="1712"/>
      <c r="U25" s="1712"/>
      <c r="V25" s="1712"/>
      <c r="W25" s="1712"/>
      <c r="X25" s="1712"/>
      <c r="Y25" s="1712"/>
      <c r="Z25" s="1712"/>
      <c r="AA25" s="1712"/>
      <c r="AB25" s="1712"/>
    </row>
    <row r="26" spans="1:34" ht="15.75" hidden="1" outlineLevel="1">
      <c r="A26" s="753"/>
      <c r="B26" s="1187"/>
      <c r="C26" s="2244"/>
      <c r="D26" s="2245" t="s">
        <v>148</v>
      </c>
      <c r="E26" s="2245"/>
      <c r="F26" s="2246">
        <f t="shared" ref="F26:O26" ca="1" si="0">SUM(F23:F25)</f>
        <v>43.921732452179221</v>
      </c>
      <c r="G26" s="2246">
        <f t="shared" ca="1" si="0"/>
        <v>41.633629040741496</v>
      </c>
      <c r="H26" s="2246">
        <f t="shared" ca="1" si="0"/>
        <v>46.339698072364889</v>
      </c>
      <c r="I26" s="2246">
        <f t="shared" ca="1" si="0"/>
        <v>51.026738756782024</v>
      </c>
      <c r="J26" s="2246">
        <f t="shared" ca="1" si="0"/>
        <v>57.230336654241817</v>
      </c>
      <c r="K26" s="2246">
        <f t="shared" ca="1" si="0"/>
        <v>60.577648606831971</v>
      </c>
      <c r="L26" s="2246">
        <f t="shared" ca="1" si="0"/>
        <v>65.156471534310612</v>
      </c>
      <c r="M26" s="2246">
        <f t="shared" ca="1" si="0"/>
        <v>69.755031190131632</v>
      </c>
      <c r="N26" s="2246">
        <f t="shared" ca="1" si="0"/>
        <v>74.318498068883017</v>
      </c>
      <c r="O26" s="2246">
        <f t="shared" ca="1" si="0"/>
        <v>76.992268240277284</v>
      </c>
      <c r="P26" s="1191"/>
      <c r="S26" s="1712"/>
      <c r="T26" s="1712"/>
      <c r="U26" s="1712"/>
      <c r="V26" s="1712"/>
      <c r="W26" s="1712"/>
      <c r="X26" s="1712"/>
      <c r="Y26" s="1712"/>
      <c r="Z26" s="1712"/>
      <c r="AA26" s="1712"/>
      <c r="AB26" s="1712"/>
    </row>
    <row r="27" spans="1:34" ht="15.75" hidden="1" outlineLevel="1">
      <c r="A27" s="753"/>
      <c r="B27" s="1187"/>
      <c r="C27" s="2241"/>
      <c r="D27" s="765"/>
      <c r="E27" s="765"/>
      <c r="F27" s="2242"/>
      <c r="G27" s="2242"/>
      <c r="H27" s="2242"/>
      <c r="I27" s="2242"/>
      <c r="J27" s="2242"/>
      <c r="K27" s="2242"/>
      <c r="L27" s="2242"/>
      <c r="M27" s="2242"/>
      <c r="N27" s="2242"/>
      <c r="O27" s="2242"/>
      <c r="P27" s="1191"/>
    </row>
    <row r="28" spans="1:34" ht="15.75" hidden="1" outlineLevel="1">
      <c r="A28" s="753"/>
      <c r="B28" s="1187"/>
      <c r="C28" s="2237" t="s">
        <v>1935</v>
      </c>
      <c r="D28" s="765"/>
      <c r="E28" s="765"/>
      <c r="F28" s="2242"/>
      <c r="G28" s="2242"/>
      <c r="H28" s="2242"/>
      <c r="I28" s="2242"/>
      <c r="J28" s="2242"/>
      <c r="K28" s="2242"/>
      <c r="L28" s="2242"/>
      <c r="M28" s="2242"/>
      <c r="N28" s="2242"/>
      <c r="O28" s="2238" t="str">
        <f>Preferences.EnergyUnits&amp;" electricity"</f>
        <v>TWh electricity</v>
      </c>
      <c r="P28" s="1191"/>
    </row>
    <row r="29" spans="1:34" ht="5.25" hidden="1" customHeight="1" outlineLevel="1">
      <c r="A29" s="753"/>
      <c r="B29" s="1187"/>
      <c r="C29" s="2237"/>
      <c r="D29" s="765"/>
      <c r="E29" s="765"/>
      <c r="F29" s="2242"/>
      <c r="G29" s="2242"/>
      <c r="H29" s="2242"/>
      <c r="I29" s="2242"/>
      <c r="J29" s="2242"/>
      <c r="K29" s="2242"/>
      <c r="L29" s="2242"/>
      <c r="M29" s="2242"/>
      <c r="N29" s="2242"/>
      <c r="O29" s="2238"/>
      <c r="P29" s="1191"/>
    </row>
    <row r="30" spans="1:34" ht="15.75" hidden="1" outlineLevel="1">
      <c r="A30" s="753"/>
      <c r="B30" s="1187"/>
      <c r="C30" s="1595"/>
      <c r="D30" s="1595" t="s">
        <v>79</v>
      </c>
      <c r="E30" s="1595" t="s">
        <v>442</v>
      </c>
      <c r="F30" s="2239">
        <v>2007</v>
      </c>
      <c r="G30" s="2240">
        <v>2010</v>
      </c>
      <c r="H30" s="2239">
        <v>2015</v>
      </c>
      <c r="I30" s="2239">
        <v>2020</v>
      </c>
      <c r="J30" s="2239">
        <v>2025</v>
      </c>
      <c r="K30" s="2239">
        <v>2030</v>
      </c>
      <c r="L30" s="2239">
        <v>2035</v>
      </c>
      <c r="M30" s="2239">
        <v>2040</v>
      </c>
      <c r="N30" s="2239">
        <v>2045</v>
      </c>
      <c r="O30" s="2239">
        <v>2050</v>
      </c>
      <c r="P30" s="1191"/>
    </row>
    <row r="31" spans="1:34" ht="15.75" hidden="1" outlineLevel="1">
      <c r="A31" s="753"/>
      <c r="B31" s="1187"/>
      <c r="C31" s="2241" t="s">
        <v>903</v>
      </c>
      <c r="D31" s="1291" t="s">
        <v>1959</v>
      </c>
      <c r="E31" s="1291"/>
      <c r="F31" s="2265">
        <f t="array" ref="F31:O32">XII.a!Balancing.ShiftableCapacity</f>
        <v>0</v>
      </c>
      <c r="G31" s="2265">
        <v>0</v>
      </c>
      <c r="H31" s="2265">
        <v>0.2103209123059242</v>
      </c>
      <c r="I31" s="2265">
        <v>0.43014655906082894</v>
      </c>
      <c r="J31" s="2265">
        <v>2.3157042849716158</v>
      </c>
      <c r="K31" s="2265">
        <v>4.1204494947268389</v>
      </c>
      <c r="L31" s="2265">
        <v>6.0975167973195683</v>
      </c>
      <c r="M31" s="2265">
        <v>8.077714304551801</v>
      </c>
      <c r="N31" s="2265">
        <v>9.9704271270867437</v>
      </c>
      <c r="O31" s="2265">
        <v>12.060033960208667</v>
      </c>
      <c r="P31" s="1191"/>
      <c r="R31" s="2266" t="s">
        <v>1958</v>
      </c>
      <c r="S31" s="2266"/>
      <c r="T31" s="2266"/>
      <c r="U31" s="2266"/>
      <c r="V31" s="2266"/>
    </row>
    <row r="32" spans="1:34" ht="15.75" hidden="1" outlineLevel="1">
      <c r="A32" s="753"/>
      <c r="B32" s="1187"/>
      <c r="C32" s="2243" t="s">
        <v>903</v>
      </c>
      <c r="D32" s="1292" t="s">
        <v>1936</v>
      </c>
      <c r="E32" s="1292"/>
      <c r="F32" s="2268">
        <v>0</v>
      </c>
      <c r="G32" s="2268">
        <v>0</v>
      </c>
      <c r="H32" s="2268">
        <v>4.3231431100909393E-2</v>
      </c>
      <c r="I32" s="2268">
        <v>8.7002769371567951E-2</v>
      </c>
      <c r="J32" s="2268">
        <v>0.45278643844083122</v>
      </c>
      <c r="K32" s="2268">
        <v>0.77932042757409037</v>
      </c>
      <c r="L32" s="2268">
        <v>1.1159022710225583</v>
      </c>
      <c r="M32" s="2268">
        <v>1.4327444332232548</v>
      </c>
      <c r="N32" s="2268">
        <v>1.5843530034463822</v>
      </c>
      <c r="O32" s="2268">
        <v>1.7579818734304171</v>
      </c>
      <c r="P32" s="1191"/>
    </row>
    <row r="33" spans="1:16" ht="15.75" hidden="1" outlineLevel="1">
      <c r="A33" s="753"/>
      <c r="B33" s="1187"/>
      <c r="C33" s="2244"/>
      <c r="D33" s="2245" t="s">
        <v>148</v>
      </c>
      <c r="E33" s="2245"/>
      <c r="F33" s="2246">
        <f t="shared" ref="F33:N33" si="1">SUM(F31:F32)</f>
        <v>0</v>
      </c>
      <c r="G33" s="2246">
        <f t="shared" si="1"/>
        <v>0</v>
      </c>
      <c r="H33" s="2246">
        <f t="shared" si="1"/>
        <v>0.25355234340683358</v>
      </c>
      <c r="I33" s="2246">
        <f t="shared" si="1"/>
        <v>0.51714932843239692</v>
      </c>
      <c r="J33" s="2246">
        <f t="shared" si="1"/>
        <v>2.7684907234124472</v>
      </c>
      <c r="K33" s="2246">
        <f t="shared" si="1"/>
        <v>4.899769922300929</v>
      </c>
      <c r="L33" s="2246">
        <f t="shared" si="1"/>
        <v>7.2134190683421266</v>
      </c>
      <c r="M33" s="2246">
        <f t="shared" si="1"/>
        <v>9.5104587377750551</v>
      </c>
      <c r="N33" s="2246">
        <f t="shared" si="1"/>
        <v>11.554780130533127</v>
      </c>
      <c r="O33" s="2246">
        <f>SUM(O31:O32)</f>
        <v>13.818015833639084</v>
      </c>
      <c r="P33" s="1191"/>
    </row>
    <row r="34" spans="1:16" ht="15.75" hidden="1" outlineLevel="1">
      <c r="A34" s="753"/>
      <c r="B34" s="1187"/>
      <c r="C34" s="2241"/>
      <c r="D34" s="765"/>
      <c r="E34" s="765"/>
      <c r="F34" s="2242"/>
      <c r="G34" s="2242"/>
      <c r="H34" s="2242"/>
      <c r="I34" s="2242"/>
      <c r="J34" s="2242"/>
      <c r="K34" s="2242"/>
      <c r="L34" s="2242"/>
      <c r="M34" s="2242"/>
      <c r="N34" s="2242"/>
      <c r="O34" s="2242"/>
      <c r="P34" s="1191"/>
    </row>
    <row r="36" spans="1:16" s="743" customFormat="1" ht="22.5" collapsed="1">
      <c r="A36" s="1170"/>
      <c r="B36" s="1236" t="s">
        <v>1354</v>
      </c>
      <c r="C36" s="1167"/>
      <c r="D36" s="1167"/>
      <c r="E36" s="1167"/>
      <c r="F36" s="1167"/>
      <c r="G36" s="1167"/>
      <c r="H36" s="1167"/>
      <c r="I36" s="1167"/>
      <c r="J36" s="1167"/>
      <c r="K36" s="1167"/>
      <c r="L36" s="1167"/>
      <c r="M36" s="1167"/>
      <c r="N36" s="1167"/>
      <c r="O36" s="1167"/>
      <c r="P36" s="1168"/>
    </row>
    <row r="37" spans="1:16" hidden="1" outlineLevel="1">
      <c r="B37" s="1157"/>
      <c r="C37" s="864"/>
      <c r="D37" s="864"/>
      <c r="E37" s="864"/>
      <c r="F37" s="864"/>
      <c r="G37" s="864"/>
      <c r="H37" s="864"/>
      <c r="I37" s="864"/>
      <c r="J37" s="864"/>
      <c r="K37" s="864"/>
      <c r="L37" s="864"/>
      <c r="M37" s="864"/>
      <c r="N37" s="864"/>
      <c r="O37" s="864"/>
      <c r="P37" s="1158"/>
    </row>
    <row r="38" spans="1:16" hidden="1" outlineLevel="1">
      <c r="B38" s="1157"/>
      <c r="C38" s="866" t="s">
        <v>1944</v>
      </c>
      <c r="D38" s="864"/>
      <c r="E38" s="1256"/>
      <c r="F38" s="864"/>
      <c r="G38" s="864"/>
      <c r="H38" s="864"/>
      <c r="I38" s="864"/>
      <c r="J38" s="864"/>
      <c r="K38" s="864"/>
      <c r="L38" s="864"/>
      <c r="M38" s="864"/>
      <c r="N38" s="864"/>
      <c r="O38" s="1256" t="str">
        <f>Preferences.PowerUnits</f>
        <v>GW</v>
      </c>
      <c r="P38" s="1158"/>
    </row>
    <row r="39" spans="1:16" ht="5.25" hidden="1" customHeight="1" outlineLevel="1">
      <c r="B39" s="1157"/>
      <c r="C39" s="864"/>
      <c r="D39" s="864"/>
      <c r="E39" s="864"/>
      <c r="F39" s="864"/>
      <c r="G39" s="864"/>
      <c r="H39" s="864"/>
      <c r="I39" s="864"/>
      <c r="J39" s="864"/>
      <c r="K39" s="864"/>
      <c r="L39" s="864"/>
      <c r="M39" s="864"/>
      <c r="N39" s="864"/>
      <c r="O39" s="864"/>
      <c r="P39" s="1158"/>
    </row>
    <row r="40" spans="1:16" ht="15.75" hidden="1" outlineLevel="1">
      <c r="B40" s="1159"/>
      <c r="C40" s="766" t="s">
        <v>1352</v>
      </c>
      <c r="D40" s="766" t="s">
        <v>80</v>
      </c>
      <c r="E40" s="766" t="s">
        <v>442</v>
      </c>
      <c r="F40" s="923">
        <v>2007</v>
      </c>
      <c r="G40" s="924">
        <v>2010</v>
      </c>
      <c r="H40" s="923">
        <v>2015</v>
      </c>
      <c r="I40" s="923">
        <v>2020</v>
      </c>
      <c r="J40" s="923">
        <v>2025</v>
      </c>
      <c r="K40" s="923">
        <v>2030</v>
      </c>
      <c r="L40" s="923">
        <v>2035</v>
      </c>
      <c r="M40" s="923">
        <v>2040</v>
      </c>
      <c r="N40" s="923">
        <v>2045</v>
      </c>
      <c r="O40" s="923">
        <v>2050</v>
      </c>
      <c r="P40" s="1158"/>
    </row>
    <row r="41" spans="1:16" ht="15.75" hidden="1" outlineLevel="1">
      <c r="B41" s="1159"/>
      <c r="C41" s="831">
        <v>1</v>
      </c>
      <c r="D41" s="832"/>
      <c r="E41" s="832"/>
      <c r="F41" s="847">
        <f t="shared" ref="F41:O41" si="2">(Unit.GW)*3.5</f>
        <v>3.5</v>
      </c>
      <c r="G41" s="856">
        <f t="shared" si="2"/>
        <v>3.5</v>
      </c>
      <c r="H41" s="847">
        <f t="shared" si="2"/>
        <v>3.5</v>
      </c>
      <c r="I41" s="847">
        <f t="shared" si="2"/>
        <v>3.5</v>
      </c>
      <c r="J41" s="847">
        <f t="shared" si="2"/>
        <v>3.5</v>
      </c>
      <c r="K41" s="847">
        <f t="shared" si="2"/>
        <v>3.5</v>
      </c>
      <c r="L41" s="847">
        <f t="shared" si="2"/>
        <v>3.5</v>
      </c>
      <c r="M41" s="847">
        <f t="shared" si="2"/>
        <v>3.5</v>
      </c>
      <c r="N41" s="847">
        <f t="shared" si="2"/>
        <v>3.5</v>
      </c>
      <c r="O41" s="847">
        <f t="shared" si="2"/>
        <v>3.5</v>
      </c>
      <c r="P41" s="1158"/>
    </row>
    <row r="42" spans="1:16" ht="15.75" hidden="1" outlineLevel="1">
      <c r="B42" s="1159"/>
      <c r="C42" s="831">
        <v>2</v>
      </c>
      <c r="D42" s="832"/>
      <c r="E42" s="832"/>
      <c r="F42" s="847">
        <f t="shared" ref="F42:H44" si="3">(Unit.GW)*3.5</f>
        <v>3.5</v>
      </c>
      <c r="G42" s="857">
        <f t="shared" si="3"/>
        <v>3.5</v>
      </c>
      <c r="H42" s="1091">
        <f t="shared" si="3"/>
        <v>3.5</v>
      </c>
      <c r="I42" s="1091">
        <f t="shared" ref="I42:N42" si="4">(Unit.GW)*3.75</f>
        <v>3.75</v>
      </c>
      <c r="J42" s="1091">
        <f t="shared" si="4"/>
        <v>3.75</v>
      </c>
      <c r="K42" s="1091">
        <f t="shared" si="4"/>
        <v>3.75</v>
      </c>
      <c r="L42" s="1091">
        <f t="shared" si="4"/>
        <v>3.75</v>
      </c>
      <c r="M42" s="1091">
        <f t="shared" si="4"/>
        <v>3.75</v>
      </c>
      <c r="N42" s="1091">
        <f t="shared" si="4"/>
        <v>3.75</v>
      </c>
      <c r="O42" s="1091">
        <f>(Unit.GW)*4</f>
        <v>4</v>
      </c>
      <c r="P42" s="1158"/>
    </row>
    <row r="43" spans="1:16" ht="15.75" hidden="1" outlineLevel="1">
      <c r="B43" s="1159"/>
      <c r="C43" s="831">
        <v>3</v>
      </c>
      <c r="D43" s="832"/>
      <c r="E43" s="832"/>
      <c r="F43" s="847">
        <f t="shared" si="3"/>
        <v>3.5</v>
      </c>
      <c r="G43" s="857">
        <f t="shared" si="3"/>
        <v>3.5</v>
      </c>
      <c r="H43" s="1091">
        <f t="shared" si="3"/>
        <v>3.5</v>
      </c>
      <c r="I43" s="1091">
        <f>(Unit.GW)*3.75</f>
        <v>3.75</v>
      </c>
      <c r="J43" s="1091">
        <f t="shared" ref="J43:O43" si="5">(Unit.GW)*7</f>
        <v>7</v>
      </c>
      <c r="K43" s="1091">
        <f t="shared" si="5"/>
        <v>7</v>
      </c>
      <c r="L43" s="1091">
        <f t="shared" si="5"/>
        <v>7</v>
      </c>
      <c r="M43" s="1091">
        <f t="shared" si="5"/>
        <v>7</v>
      </c>
      <c r="N43" s="1091">
        <f t="shared" si="5"/>
        <v>7</v>
      </c>
      <c r="O43" s="1091">
        <f t="shared" si="5"/>
        <v>7</v>
      </c>
      <c r="P43" s="1158"/>
    </row>
    <row r="44" spans="1:16" ht="15.75" hidden="1" outlineLevel="1">
      <c r="B44" s="1159"/>
      <c r="C44" s="769">
        <v>4</v>
      </c>
      <c r="D44" s="770"/>
      <c r="E44" s="770"/>
      <c r="F44" s="782">
        <f t="shared" si="3"/>
        <v>3.5</v>
      </c>
      <c r="G44" s="858">
        <f t="shared" si="3"/>
        <v>3.5</v>
      </c>
      <c r="H44" s="859">
        <f t="shared" si="3"/>
        <v>3.5</v>
      </c>
      <c r="I44" s="859">
        <f>(Unit.GW)*3.75</f>
        <v>3.75</v>
      </c>
      <c r="J44" s="859">
        <f>(Unit.GW)*7</f>
        <v>7</v>
      </c>
      <c r="K44" s="859">
        <f>(Unit.GW)*10</f>
        <v>10</v>
      </c>
      <c r="L44" s="859">
        <f>(Unit.GW)*15</f>
        <v>15</v>
      </c>
      <c r="M44" s="859">
        <f>(Unit.GW)*15</f>
        <v>15</v>
      </c>
      <c r="N44" s="859">
        <f>(Unit.GW)*20</f>
        <v>20</v>
      </c>
      <c r="O44" s="859">
        <f>(Unit.GW)*20</f>
        <v>20</v>
      </c>
      <c r="P44" s="1158"/>
    </row>
    <row r="45" spans="1:16" ht="15.75" hidden="1" outlineLevel="1">
      <c r="B45" s="1159"/>
      <c r="C45" s="831"/>
      <c r="D45" s="832"/>
      <c r="E45" s="832"/>
      <c r="F45" s="847"/>
      <c r="G45" s="1091"/>
      <c r="H45" s="1091"/>
      <c r="I45" s="1091"/>
      <c r="J45" s="1091"/>
      <c r="K45" s="1091"/>
      <c r="L45" s="1091"/>
      <c r="M45" s="1091"/>
      <c r="N45" s="1091"/>
      <c r="O45" s="1091"/>
      <c r="P45" s="1158"/>
    </row>
    <row r="46" spans="1:16" ht="15.75" hidden="1" outlineLevel="1">
      <c r="B46" s="1159"/>
      <c r="C46" s="866" t="s">
        <v>1945</v>
      </c>
      <c r="D46" s="864"/>
      <c r="E46" s="1256"/>
      <c r="F46" s="864"/>
      <c r="G46" s="864"/>
      <c r="H46" s="864"/>
      <c r="I46" s="864"/>
      <c r="J46" s="864"/>
      <c r="K46" s="864"/>
      <c r="L46" s="864"/>
      <c r="M46" s="864"/>
      <c r="N46" s="864"/>
      <c r="O46" s="1256" t="str">
        <f>Preferences.EnergyUnits</f>
        <v>TWh</v>
      </c>
      <c r="P46" s="1158"/>
    </row>
    <row r="47" spans="1:16" ht="5.25" hidden="1" customHeight="1" outlineLevel="1">
      <c r="B47" s="1159"/>
      <c r="C47" s="864"/>
      <c r="D47" s="864"/>
      <c r="E47" s="864"/>
      <c r="F47" s="864"/>
      <c r="G47" s="864"/>
      <c r="H47" s="864"/>
      <c r="I47" s="864"/>
      <c r="J47" s="864"/>
      <c r="K47" s="864"/>
      <c r="L47" s="864"/>
      <c r="M47" s="864"/>
      <c r="N47" s="864"/>
      <c r="O47" s="864"/>
      <c r="P47" s="1158"/>
    </row>
    <row r="48" spans="1:16" ht="15.75" hidden="1" outlineLevel="1">
      <c r="B48" s="1159"/>
      <c r="C48" s="766" t="s">
        <v>1352</v>
      </c>
      <c r="D48" s="766" t="s">
        <v>80</v>
      </c>
      <c r="E48" s="766" t="s">
        <v>442</v>
      </c>
      <c r="F48" s="923">
        <v>2007</v>
      </c>
      <c r="G48" s="924">
        <v>2010</v>
      </c>
      <c r="H48" s="923">
        <v>2015</v>
      </c>
      <c r="I48" s="923">
        <v>2020</v>
      </c>
      <c r="J48" s="923">
        <v>2025</v>
      </c>
      <c r="K48" s="923">
        <v>2030</v>
      </c>
      <c r="L48" s="923">
        <v>2035</v>
      </c>
      <c r="M48" s="923">
        <v>2040</v>
      </c>
      <c r="N48" s="923">
        <v>2045</v>
      </c>
      <c r="O48" s="923">
        <v>2050</v>
      </c>
      <c r="P48" s="1158"/>
    </row>
    <row r="49" spans="2:18" ht="15.75" hidden="1" outlineLevel="1">
      <c r="B49" s="1159"/>
      <c r="C49" s="831">
        <v>1</v>
      </c>
      <c r="D49" s="832"/>
      <c r="E49" s="832"/>
      <c r="F49" s="1272">
        <f t="shared" ref="F49:O49" si="6">(Unit.GWh)*27</f>
        <v>2.7E-2</v>
      </c>
      <c r="G49" s="907">
        <f t="shared" si="6"/>
        <v>2.7E-2</v>
      </c>
      <c r="H49" s="1272">
        <f t="shared" si="6"/>
        <v>2.7E-2</v>
      </c>
      <c r="I49" s="1272">
        <f t="shared" si="6"/>
        <v>2.7E-2</v>
      </c>
      <c r="J49" s="1272">
        <f t="shared" si="6"/>
        <v>2.7E-2</v>
      </c>
      <c r="K49" s="1272">
        <f t="shared" si="6"/>
        <v>2.7E-2</v>
      </c>
      <c r="L49" s="1272">
        <f t="shared" si="6"/>
        <v>2.7E-2</v>
      </c>
      <c r="M49" s="1272">
        <f t="shared" si="6"/>
        <v>2.7E-2</v>
      </c>
      <c r="N49" s="1272">
        <f t="shared" si="6"/>
        <v>2.7E-2</v>
      </c>
      <c r="O49" s="1272">
        <f t="shared" si="6"/>
        <v>2.7E-2</v>
      </c>
      <c r="P49" s="1158"/>
    </row>
    <row r="50" spans="2:18" ht="15.75" hidden="1" outlineLevel="1">
      <c r="B50" s="1159"/>
      <c r="C50" s="831">
        <v>2</v>
      </c>
      <c r="D50" s="832"/>
      <c r="E50" s="832"/>
      <c r="F50" s="1272">
        <f t="shared" ref="F50:H52" si="7">(Unit.GWh)*27</f>
        <v>2.7E-2</v>
      </c>
      <c r="G50" s="1772">
        <f t="shared" si="7"/>
        <v>2.7E-2</v>
      </c>
      <c r="H50" s="1771">
        <f t="shared" si="7"/>
        <v>2.7E-2</v>
      </c>
      <c r="I50" s="1771">
        <f>(Unit.GWh)*28</f>
        <v>2.8000000000000001E-2</v>
      </c>
      <c r="J50" s="1771">
        <f>(Unit.GWh)*28</f>
        <v>2.8000000000000001E-2</v>
      </c>
      <c r="K50" s="1771">
        <f>(Unit.GWh)*30</f>
        <v>0.03</v>
      </c>
      <c r="L50" s="1771">
        <f>(Unit.GWh)*30</f>
        <v>0.03</v>
      </c>
      <c r="M50" s="1771">
        <f>(Unit.GWh)*30</f>
        <v>0.03</v>
      </c>
      <c r="N50" s="1771">
        <f>(Unit.GWh)*30</f>
        <v>0.03</v>
      </c>
      <c r="O50" s="1771">
        <f>(Unit.GWh)*30</f>
        <v>0.03</v>
      </c>
      <c r="P50" s="1158"/>
    </row>
    <row r="51" spans="2:18" ht="15.75" hidden="1" outlineLevel="1">
      <c r="B51" s="1159"/>
      <c r="C51" s="831">
        <v>3</v>
      </c>
      <c r="D51" s="832"/>
      <c r="E51" s="832"/>
      <c r="F51" s="1272">
        <f t="shared" si="7"/>
        <v>2.7E-2</v>
      </c>
      <c r="G51" s="1772">
        <f t="shared" si="7"/>
        <v>2.7E-2</v>
      </c>
      <c r="H51" s="1771">
        <f t="shared" si="7"/>
        <v>2.7E-2</v>
      </c>
      <c r="I51" s="1771">
        <f>(Unit.GWh)*28</f>
        <v>2.8000000000000001E-2</v>
      </c>
      <c r="J51" s="1771">
        <f>(Unit.GWh)*35</f>
        <v>3.5000000000000003E-2</v>
      </c>
      <c r="K51" s="1771">
        <f>(Unit.GWh)*80</f>
        <v>0.08</v>
      </c>
      <c r="L51" s="1771">
        <f>(Unit.GWh)*100</f>
        <v>0.1</v>
      </c>
      <c r="M51" s="1771">
        <f>(Unit.GWh)*100</f>
        <v>0.1</v>
      </c>
      <c r="N51" s="1771">
        <f>(Unit.GWh)*100</f>
        <v>0.1</v>
      </c>
      <c r="O51" s="1771">
        <f>(Unit.GWh)*100</f>
        <v>0.1</v>
      </c>
      <c r="P51" s="1158"/>
    </row>
    <row r="52" spans="2:18" ht="15.75" hidden="1" outlineLevel="1">
      <c r="B52" s="1159"/>
      <c r="C52" s="769">
        <v>4</v>
      </c>
      <c r="D52" s="770"/>
      <c r="E52" s="770"/>
      <c r="F52" s="2256">
        <f t="shared" si="7"/>
        <v>2.7E-2</v>
      </c>
      <c r="G52" s="1774">
        <f t="shared" si="7"/>
        <v>2.7E-2</v>
      </c>
      <c r="H52" s="1773">
        <f t="shared" si="7"/>
        <v>2.7E-2</v>
      </c>
      <c r="I52" s="1773">
        <f>(Unit.GWh)*28</f>
        <v>2.8000000000000001E-2</v>
      </c>
      <c r="J52" s="1773">
        <f>(Unit.GWh)*35</f>
        <v>3.5000000000000003E-2</v>
      </c>
      <c r="K52" s="1773">
        <f>(Unit.GWh)*150</f>
        <v>0.15</v>
      </c>
      <c r="L52" s="1773">
        <f>(Unit.GWh)*300</f>
        <v>0.3</v>
      </c>
      <c r="M52" s="1773">
        <f>(Unit.GWh)*350</f>
        <v>0.35000000000000003</v>
      </c>
      <c r="N52" s="1773">
        <f>(Unit.GWh)*400</f>
        <v>0.4</v>
      </c>
      <c r="O52" s="1773">
        <f>(Unit.GWh)*400</f>
        <v>0.4</v>
      </c>
      <c r="P52" s="1158"/>
    </row>
    <row r="53" spans="2:18" ht="15.75" hidden="1" outlineLevel="1">
      <c r="B53" s="1159"/>
      <c r="C53" s="831"/>
      <c r="D53" s="832"/>
      <c r="E53" s="832"/>
      <c r="F53" s="847"/>
      <c r="G53" s="1091"/>
      <c r="H53" s="1091"/>
      <c r="I53" s="1091"/>
      <c r="J53" s="1091"/>
      <c r="K53" s="1091"/>
      <c r="L53" s="1091"/>
      <c r="M53" s="1091"/>
      <c r="N53" s="1091"/>
      <c r="O53" s="1091"/>
      <c r="P53" s="1158"/>
    </row>
    <row r="54" spans="2:18" ht="15.75" hidden="1" outlineLevel="1">
      <c r="B54" s="1159"/>
      <c r="C54" s="866" t="s">
        <v>1946</v>
      </c>
      <c r="D54" s="864"/>
      <c r="E54" s="1256"/>
      <c r="F54" s="864"/>
      <c r="G54" s="864"/>
      <c r="H54" s="864"/>
      <c r="I54" s="864"/>
      <c r="J54" s="864"/>
      <c r="K54" s="864"/>
      <c r="L54" s="864"/>
      <c r="M54" s="864"/>
      <c r="N54" s="864"/>
      <c r="O54" s="1256" t="str">
        <f>Preferences.PowerUnits</f>
        <v>GW</v>
      </c>
      <c r="P54" s="1158"/>
      <c r="R54" s="1107"/>
    </row>
    <row r="55" spans="2:18" ht="5.25" hidden="1" customHeight="1" outlineLevel="1">
      <c r="B55" s="1159"/>
      <c r="C55" s="864"/>
      <c r="D55" s="864"/>
      <c r="E55" s="864"/>
      <c r="F55" s="864"/>
      <c r="G55" s="864"/>
      <c r="H55" s="864"/>
      <c r="I55" s="864"/>
      <c r="J55" s="864"/>
      <c r="K55" s="864"/>
      <c r="L55" s="864"/>
      <c r="M55" s="864"/>
      <c r="N55" s="864"/>
      <c r="O55" s="864"/>
      <c r="P55" s="1158"/>
    </row>
    <row r="56" spans="2:18" ht="15.75" hidden="1" outlineLevel="1">
      <c r="B56" s="1159"/>
      <c r="C56" s="766" t="s">
        <v>1352</v>
      </c>
      <c r="D56" s="766" t="s">
        <v>80</v>
      </c>
      <c r="E56" s="766" t="s">
        <v>442</v>
      </c>
      <c r="F56" s="923">
        <v>2007</v>
      </c>
      <c r="G56" s="924">
        <v>2010</v>
      </c>
      <c r="H56" s="923">
        <v>2015</v>
      </c>
      <c r="I56" s="923">
        <v>2020</v>
      </c>
      <c r="J56" s="923">
        <v>2025</v>
      </c>
      <c r="K56" s="923">
        <v>2030</v>
      </c>
      <c r="L56" s="923">
        <v>2035</v>
      </c>
      <c r="M56" s="923">
        <v>2040</v>
      </c>
      <c r="N56" s="923">
        <v>2045</v>
      </c>
      <c r="O56" s="923">
        <v>2050</v>
      </c>
      <c r="P56" s="1158"/>
    </row>
    <row r="57" spans="2:18" ht="15.75" hidden="1" outlineLevel="1">
      <c r="B57" s="1159"/>
      <c r="C57" s="831">
        <v>1</v>
      </c>
      <c r="D57" s="832"/>
      <c r="E57" s="832"/>
      <c r="F57" s="913">
        <f t="shared" ref="F57:G60" si="8">(Unit.GW)*2.5</f>
        <v>2.5</v>
      </c>
      <c r="G57" s="1717">
        <f t="shared" si="8"/>
        <v>2.5</v>
      </c>
      <c r="H57" s="913">
        <f t="shared" ref="H57:O57" si="9">(Unit.GW)*4</f>
        <v>4</v>
      </c>
      <c r="I57" s="913">
        <f t="shared" si="9"/>
        <v>4</v>
      </c>
      <c r="J57" s="913">
        <f t="shared" si="9"/>
        <v>4</v>
      </c>
      <c r="K57" s="913">
        <f t="shared" si="9"/>
        <v>4</v>
      </c>
      <c r="L57" s="913">
        <f t="shared" si="9"/>
        <v>4</v>
      </c>
      <c r="M57" s="913">
        <f t="shared" si="9"/>
        <v>4</v>
      </c>
      <c r="N57" s="913">
        <f t="shared" si="9"/>
        <v>4</v>
      </c>
      <c r="O57" s="913">
        <f t="shared" si="9"/>
        <v>4</v>
      </c>
      <c r="P57" s="1158"/>
    </row>
    <row r="58" spans="2:18" ht="15.75" hidden="1" outlineLevel="1">
      <c r="B58" s="1159"/>
      <c r="C58" s="831">
        <v>2</v>
      </c>
      <c r="D58" s="832"/>
      <c r="E58" s="832"/>
      <c r="F58" s="913">
        <f t="shared" si="8"/>
        <v>2.5</v>
      </c>
      <c r="G58" s="1720">
        <f t="shared" si="8"/>
        <v>2.5</v>
      </c>
      <c r="H58" s="1721">
        <f>(Unit.GW)*4</f>
        <v>4</v>
      </c>
      <c r="I58" s="1721">
        <f>(Unit.GW)*6</f>
        <v>6</v>
      </c>
      <c r="J58" s="1721">
        <f>(Unit.GW)*8</f>
        <v>8</v>
      </c>
      <c r="K58" s="1721">
        <f>(Unit.GW)*10</f>
        <v>10</v>
      </c>
      <c r="L58" s="1721">
        <f>(Unit.GW)*10</f>
        <v>10</v>
      </c>
      <c r="M58" s="1721">
        <f>(Unit.GW)*10</f>
        <v>10</v>
      </c>
      <c r="N58" s="1721">
        <f>(Unit.GW)*10</f>
        <v>10</v>
      </c>
      <c r="O58" s="1721">
        <f>(Unit.GW)*10</f>
        <v>10</v>
      </c>
      <c r="P58" s="1158"/>
    </row>
    <row r="59" spans="2:18" ht="15.75" hidden="1" outlineLevel="1">
      <c r="B59" s="1159"/>
      <c r="C59" s="831">
        <v>3</v>
      </c>
      <c r="D59" s="832"/>
      <c r="E59" s="832"/>
      <c r="F59" s="913">
        <f t="shared" si="8"/>
        <v>2.5</v>
      </c>
      <c r="G59" s="1720">
        <f t="shared" si="8"/>
        <v>2.5</v>
      </c>
      <c r="H59" s="1721">
        <f>(Unit.GW)*4</f>
        <v>4</v>
      </c>
      <c r="I59" s="1721">
        <f>(Unit.GW)*6</f>
        <v>6</v>
      </c>
      <c r="J59" s="1721">
        <f>(Unit.GW)*10</f>
        <v>10</v>
      </c>
      <c r="K59" s="1721">
        <f>(Unit.GW)*15</f>
        <v>15</v>
      </c>
      <c r="L59" s="1721">
        <f>(Unit.GW)*15</f>
        <v>15</v>
      </c>
      <c r="M59" s="1721">
        <f>(Unit.GW)*15</f>
        <v>15</v>
      </c>
      <c r="N59" s="1721">
        <f>(Unit.GW)*15</f>
        <v>15</v>
      </c>
      <c r="O59" s="1721">
        <f>(Unit.GW)*15</f>
        <v>15</v>
      </c>
      <c r="P59" s="1158"/>
    </row>
    <row r="60" spans="2:18" ht="15.75" hidden="1" outlineLevel="1">
      <c r="B60" s="1159"/>
      <c r="C60" s="769">
        <v>4</v>
      </c>
      <c r="D60" s="770"/>
      <c r="E60" s="770"/>
      <c r="F60" s="1722">
        <f t="shared" si="8"/>
        <v>2.5</v>
      </c>
      <c r="G60" s="1723">
        <f t="shared" si="8"/>
        <v>2.5</v>
      </c>
      <c r="H60" s="1724">
        <f>(Unit.GW)*4</f>
        <v>4</v>
      </c>
      <c r="I60" s="1724">
        <f>(Unit.GW)*9</f>
        <v>9</v>
      </c>
      <c r="J60" s="1724">
        <f>(Unit.GW)*15</f>
        <v>15</v>
      </c>
      <c r="K60" s="1724">
        <f>(Unit.GW)*25</f>
        <v>25</v>
      </c>
      <c r="L60" s="1724">
        <f>(Unit.GW)*30</f>
        <v>30</v>
      </c>
      <c r="M60" s="1724">
        <f>(Unit.GW)*30</f>
        <v>30</v>
      </c>
      <c r="N60" s="1724">
        <f>(Unit.GW)*30</f>
        <v>30</v>
      </c>
      <c r="O60" s="1724">
        <f>(Unit.GW)*30</f>
        <v>30</v>
      </c>
      <c r="P60" s="1158"/>
    </row>
    <row r="61" spans="2:18" ht="15.75" hidden="1" outlineLevel="1">
      <c r="B61" s="1159"/>
      <c r="C61" s="831"/>
      <c r="D61" s="832"/>
      <c r="E61" s="832"/>
      <c r="F61" s="847"/>
      <c r="G61" s="1091"/>
      <c r="H61" s="1091"/>
      <c r="I61" s="1091"/>
      <c r="J61" s="1091"/>
      <c r="K61" s="1091"/>
      <c r="L61" s="1091"/>
      <c r="M61" s="1091"/>
      <c r="N61" s="1091"/>
      <c r="O61" s="1091"/>
      <c r="P61" s="1158"/>
    </row>
    <row r="62" spans="2:18" ht="15.75" hidden="1" outlineLevel="1">
      <c r="B62" s="1159"/>
      <c r="C62" s="869" t="s">
        <v>1947</v>
      </c>
      <c r="D62" s="832"/>
      <c r="E62" s="832"/>
      <c r="F62" s="1091" t="s">
        <v>1949</v>
      </c>
      <c r="G62" s="1091"/>
      <c r="H62" s="1091"/>
      <c r="I62" s="1091"/>
      <c r="J62" s="1091"/>
      <c r="K62" s="1091"/>
      <c r="L62" s="1091"/>
      <c r="M62" s="1091"/>
      <c r="N62" s="1091"/>
      <c r="O62" s="1091"/>
      <c r="P62" s="1158"/>
    </row>
    <row r="63" spans="2:18" ht="5.25" hidden="1" customHeight="1" outlineLevel="1">
      <c r="B63" s="1159"/>
      <c r="C63" s="831"/>
      <c r="D63" s="832"/>
      <c r="E63" s="832"/>
      <c r="F63" s="847"/>
      <c r="G63" s="1091"/>
      <c r="H63" s="1091"/>
      <c r="I63" s="1091"/>
      <c r="J63" s="1091"/>
      <c r="K63" s="1091"/>
      <c r="L63" s="1091"/>
      <c r="M63" s="1091"/>
      <c r="N63" s="1091"/>
      <c r="O63" s="1091"/>
      <c r="P63" s="1158"/>
    </row>
    <row r="64" spans="2:18" ht="15.75" hidden="1" outlineLevel="1">
      <c r="B64" s="1159"/>
      <c r="C64" s="766" t="s">
        <v>1352</v>
      </c>
      <c r="D64" s="766" t="s">
        <v>80</v>
      </c>
      <c r="E64" s="766" t="s">
        <v>442</v>
      </c>
      <c r="F64" s="923" t="s">
        <v>1948</v>
      </c>
      <c r="G64" s="1091"/>
      <c r="H64" s="1091"/>
      <c r="I64" s="1091"/>
      <c r="J64" s="1091"/>
      <c r="K64" s="1091"/>
      <c r="L64" s="1091"/>
      <c r="M64" s="1091"/>
      <c r="N64" s="1091"/>
      <c r="O64" s="1091"/>
      <c r="P64" s="1158"/>
    </row>
    <row r="65" spans="2:18" ht="15.75" hidden="1" outlineLevel="1">
      <c r="B65" s="1159"/>
      <c r="C65" s="831">
        <v>1</v>
      </c>
      <c r="D65" s="832"/>
      <c r="E65" s="832"/>
      <c r="F65" s="865">
        <v>0.75</v>
      </c>
      <c r="G65" s="1091"/>
      <c r="H65" s="1091"/>
      <c r="I65" s="1091"/>
      <c r="J65" s="1091"/>
      <c r="K65" s="1091"/>
      <c r="L65" s="1091"/>
      <c r="M65" s="1091"/>
      <c r="N65" s="1091"/>
      <c r="O65" s="1091"/>
      <c r="P65" s="1158"/>
    </row>
    <row r="66" spans="2:18" ht="15.75" hidden="1" outlineLevel="1">
      <c r="B66" s="1159"/>
      <c r="C66" s="831">
        <v>2</v>
      </c>
      <c r="D66" s="832"/>
      <c r="E66" s="832"/>
      <c r="F66" s="865">
        <v>0.75</v>
      </c>
      <c r="G66" s="1091"/>
      <c r="H66" s="1091"/>
      <c r="I66" s="1091"/>
      <c r="J66" s="1091"/>
      <c r="K66" s="1091"/>
      <c r="L66" s="1091"/>
      <c r="M66" s="1091"/>
      <c r="N66" s="1091"/>
      <c r="O66" s="1091"/>
      <c r="P66" s="1158"/>
    </row>
    <row r="67" spans="2:18" ht="15.75" hidden="1" outlineLevel="1">
      <c r="B67" s="1159"/>
      <c r="C67" s="831">
        <v>3</v>
      </c>
      <c r="D67" s="832"/>
      <c r="E67" s="832"/>
      <c r="F67" s="865">
        <v>0.75</v>
      </c>
      <c r="G67" s="1091"/>
      <c r="H67" s="1091"/>
      <c r="I67" s="1091"/>
      <c r="J67" s="1091"/>
      <c r="K67" s="1091"/>
      <c r="L67" s="1091"/>
      <c r="M67" s="1091"/>
      <c r="N67" s="1091"/>
      <c r="O67" s="1091"/>
      <c r="P67" s="1158"/>
    </row>
    <row r="68" spans="2:18" ht="15.75" hidden="1" outlineLevel="1">
      <c r="B68" s="1159"/>
      <c r="C68" s="769">
        <v>4</v>
      </c>
      <c r="D68" s="770"/>
      <c r="E68" s="770"/>
      <c r="F68" s="777">
        <v>0.75</v>
      </c>
      <c r="G68" s="1091"/>
      <c r="H68" s="1091"/>
      <c r="I68" s="1091"/>
      <c r="J68" s="1091"/>
      <c r="K68" s="1091"/>
      <c r="L68" s="1091"/>
      <c r="M68" s="1091"/>
      <c r="N68" s="1091"/>
      <c r="O68" s="1091"/>
      <c r="P68" s="1158"/>
    </row>
    <row r="69" spans="2:18" ht="15.75" hidden="1" outlineLevel="1">
      <c r="B69" s="1159"/>
      <c r="C69" s="831"/>
      <c r="D69" s="832"/>
      <c r="E69" s="832"/>
      <c r="F69" s="847"/>
      <c r="G69" s="1091"/>
      <c r="H69" s="1091"/>
      <c r="I69" s="1091"/>
      <c r="J69" s="1091"/>
      <c r="K69" s="1091"/>
      <c r="L69" s="1091"/>
      <c r="M69" s="1091"/>
      <c r="N69" s="1091"/>
      <c r="O69" s="1091"/>
      <c r="P69" s="1158"/>
    </row>
    <row r="70" spans="2:18" ht="15.75" hidden="1" outlineLevel="1">
      <c r="B70" s="1159"/>
      <c r="C70" s="866" t="s">
        <v>1951</v>
      </c>
      <c r="D70" s="864"/>
      <c r="E70" s="864"/>
      <c r="F70" s="864"/>
      <c r="G70" s="864"/>
      <c r="H70" s="867" t="s">
        <v>1950</v>
      </c>
      <c r="I70" s="1091"/>
      <c r="J70" s="1091"/>
      <c r="K70" s="1091"/>
      <c r="L70" s="1091"/>
      <c r="M70" s="1091"/>
      <c r="N70" s="1091"/>
      <c r="O70" s="1091"/>
      <c r="P70" s="1158"/>
    </row>
    <row r="71" spans="2:18" ht="5.25" hidden="1" customHeight="1" outlineLevel="1">
      <c r="B71" s="1159"/>
      <c r="C71" s="2257"/>
      <c r="D71" s="864"/>
      <c r="E71" s="864"/>
      <c r="F71" s="864"/>
      <c r="G71" s="864"/>
      <c r="H71" s="864"/>
      <c r="I71" s="1091"/>
      <c r="J71" s="1091"/>
      <c r="K71" s="1091"/>
      <c r="L71" s="1091"/>
      <c r="M71" s="1091"/>
      <c r="N71" s="1091"/>
      <c r="O71" s="1091"/>
      <c r="P71" s="1158"/>
    </row>
    <row r="72" spans="2:18" ht="15.75" hidden="1" outlineLevel="1">
      <c r="B72" s="1159"/>
      <c r="C72" s="766" t="s">
        <v>1352</v>
      </c>
      <c r="D72" s="766" t="s">
        <v>79</v>
      </c>
      <c r="E72" s="766" t="s">
        <v>442</v>
      </c>
      <c r="F72" s="923"/>
      <c r="G72" s="924" t="s">
        <v>1371</v>
      </c>
      <c r="H72" s="923" t="s">
        <v>1896</v>
      </c>
      <c r="I72" s="1091"/>
      <c r="J72" s="1091"/>
      <c r="K72" s="1091"/>
      <c r="L72" s="1091"/>
      <c r="M72" s="1091"/>
      <c r="N72" s="1091"/>
      <c r="O72" s="1091"/>
      <c r="P72" s="1158"/>
    </row>
    <row r="73" spans="2:18" ht="15.75" hidden="1" outlineLevel="1">
      <c r="B73" s="1159"/>
      <c r="C73" s="831">
        <v>1</v>
      </c>
      <c r="D73" s="832"/>
      <c r="E73" s="833"/>
      <c r="F73" s="847"/>
      <c r="G73" s="781">
        <v>0</v>
      </c>
      <c r="H73" s="865">
        <v>0</v>
      </c>
      <c r="I73" s="1091"/>
      <c r="J73" s="1091"/>
      <c r="K73" s="1091"/>
      <c r="L73" s="1091"/>
      <c r="M73" s="1091"/>
      <c r="N73" s="1091"/>
      <c r="O73" s="1091"/>
      <c r="P73" s="1158"/>
    </row>
    <row r="74" spans="2:18" ht="15.75" hidden="1" outlineLevel="1">
      <c r="B74" s="1159"/>
      <c r="C74" s="831">
        <v>2</v>
      </c>
      <c r="D74" s="832"/>
      <c r="E74" s="832"/>
      <c r="F74" s="847"/>
      <c r="G74" s="879">
        <f>33%*75%</f>
        <v>0.2475</v>
      </c>
      <c r="H74" s="875">
        <f>33%*90%</f>
        <v>0.29700000000000004</v>
      </c>
      <c r="I74" s="1091"/>
      <c r="J74" s="1091"/>
      <c r="K74" s="1091"/>
      <c r="L74" s="1091"/>
      <c r="M74" s="1091"/>
      <c r="N74" s="1091"/>
      <c r="O74" s="1091"/>
      <c r="P74" s="1158"/>
    </row>
    <row r="75" spans="2:18" ht="15.75" hidden="1" outlineLevel="1">
      <c r="B75" s="1159"/>
      <c r="C75" s="831">
        <v>3</v>
      </c>
      <c r="D75" s="832"/>
      <c r="E75" s="832"/>
      <c r="F75" s="847"/>
      <c r="G75" s="879">
        <f>66%*75%</f>
        <v>0.495</v>
      </c>
      <c r="H75" s="875">
        <f>66%*90%</f>
        <v>0.59400000000000008</v>
      </c>
      <c r="I75" s="1091"/>
      <c r="J75" s="1091"/>
      <c r="K75" s="1091"/>
      <c r="L75" s="1091"/>
      <c r="M75" s="1091"/>
      <c r="N75" s="1091"/>
      <c r="O75" s="1091"/>
      <c r="P75" s="1158"/>
    </row>
    <row r="76" spans="2:18" ht="15.75" hidden="1" outlineLevel="1">
      <c r="B76" s="1159"/>
      <c r="C76" s="769">
        <v>4</v>
      </c>
      <c r="D76" s="770"/>
      <c r="E76" s="770"/>
      <c r="F76" s="2258"/>
      <c r="G76" s="880">
        <f>75%</f>
        <v>0.75</v>
      </c>
      <c r="H76" s="1531">
        <f>90%</f>
        <v>0.9</v>
      </c>
      <c r="I76" s="1091"/>
      <c r="J76" s="1091"/>
      <c r="K76" s="1091"/>
      <c r="L76" s="1091"/>
      <c r="M76" s="1091"/>
      <c r="N76" s="1091"/>
      <c r="O76" s="1091"/>
      <c r="P76" s="1158"/>
    </row>
    <row r="77" spans="2:18" ht="15.75" hidden="1" outlineLevel="1">
      <c r="B77" s="1159"/>
      <c r="C77" s="831"/>
      <c r="D77" s="832"/>
      <c r="E77" s="832"/>
      <c r="F77" s="847"/>
      <c r="G77" s="1091"/>
      <c r="H77" s="1091"/>
      <c r="I77" s="1091"/>
      <c r="J77" s="1091"/>
      <c r="K77" s="1091"/>
      <c r="L77" s="1091"/>
      <c r="M77" s="1091"/>
      <c r="N77" s="1091"/>
      <c r="O77" s="1091"/>
      <c r="P77" s="1158"/>
    </row>
    <row r="78" spans="2:18" ht="15.75" hidden="1" outlineLevel="1">
      <c r="B78" s="1159"/>
      <c r="C78" s="866" t="s">
        <v>1954</v>
      </c>
      <c r="D78" s="864"/>
      <c r="E78" s="867"/>
      <c r="F78" s="864"/>
      <c r="G78" s="2257"/>
      <c r="H78" s="864"/>
      <c r="I78" s="1091"/>
      <c r="J78" s="1091"/>
      <c r="K78" s="1091"/>
      <c r="L78" s="1091"/>
      <c r="M78" s="1091"/>
      <c r="N78" s="1091"/>
      <c r="O78" s="1091"/>
      <c r="P78" s="1158"/>
    </row>
    <row r="79" spans="2:18" ht="5.25" hidden="1" customHeight="1" outlineLevel="1">
      <c r="B79" s="1159"/>
      <c r="C79" s="864"/>
      <c r="D79" s="864"/>
      <c r="E79" s="864"/>
      <c r="F79" s="864"/>
      <c r="G79" s="864"/>
      <c r="H79" s="864"/>
      <c r="I79" s="1091"/>
      <c r="J79" s="1091"/>
      <c r="K79" s="1091"/>
      <c r="L79" s="1091"/>
      <c r="M79" s="1091"/>
      <c r="N79" s="1091"/>
      <c r="O79" s="1091"/>
      <c r="P79" s="1158"/>
    </row>
    <row r="80" spans="2:18" ht="15.75" hidden="1" outlineLevel="1">
      <c r="B80" s="1159"/>
      <c r="C80" s="766" t="s">
        <v>1352</v>
      </c>
      <c r="D80" s="766" t="s">
        <v>79</v>
      </c>
      <c r="E80" s="766" t="s">
        <v>442</v>
      </c>
      <c r="F80" s="923"/>
      <c r="G80" s="1500" t="s">
        <v>1952</v>
      </c>
      <c r="H80" s="923" t="s">
        <v>1953</v>
      </c>
      <c r="I80" s="1091"/>
      <c r="J80" s="1091"/>
      <c r="K80" s="1091"/>
      <c r="L80" s="1091"/>
      <c r="M80" s="1091"/>
      <c r="N80" s="1091"/>
      <c r="O80" s="1091"/>
      <c r="P80" s="1158"/>
      <c r="R80" s="1107"/>
    </row>
    <row r="81" spans="1:26" ht="15.75" hidden="1" outlineLevel="1">
      <c r="B81" s="1159"/>
      <c r="C81" s="831">
        <v>1</v>
      </c>
      <c r="D81" s="832"/>
      <c r="E81" s="833"/>
      <c r="F81" s="847"/>
      <c r="G81" s="781">
        <v>0.05</v>
      </c>
      <c r="H81" s="865">
        <v>1</v>
      </c>
      <c r="I81" s="1091"/>
      <c r="J81" s="1091"/>
      <c r="K81" s="1091"/>
      <c r="L81" s="1091"/>
      <c r="M81" s="1091"/>
      <c r="N81" s="1091"/>
      <c r="O81" s="1091"/>
      <c r="P81" s="1158"/>
    </row>
    <row r="82" spans="1:26" ht="15.75" hidden="1" outlineLevel="1">
      <c r="B82" s="1159"/>
      <c r="C82" s="831">
        <v>2</v>
      </c>
      <c r="D82" s="832"/>
      <c r="E82" s="832"/>
      <c r="F82" s="847"/>
      <c r="G82" s="781">
        <v>0.05</v>
      </c>
      <c r="H82" s="865">
        <v>1</v>
      </c>
      <c r="I82" s="1091"/>
      <c r="J82" s="1091"/>
      <c r="K82" s="1091"/>
      <c r="L82" s="1091"/>
      <c r="M82" s="1091"/>
      <c r="N82" s="1091"/>
      <c r="O82" s="1091"/>
      <c r="P82" s="1158"/>
    </row>
    <row r="83" spans="1:26" ht="15.75" hidden="1" outlineLevel="1">
      <c r="B83" s="1159"/>
      <c r="C83" s="831">
        <v>3</v>
      </c>
      <c r="D83" s="832"/>
      <c r="E83" s="832"/>
      <c r="F83" s="847"/>
      <c r="G83" s="781">
        <v>0.05</v>
      </c>
      <c r="H83" s="865">
        <v>1</v>
      </c>
      <c r="I83" s="1091"/>
      <c r="J83" s="1091"/>
      <c r="K83" s="1091"/>
      <c r="L83" s="1091"/>
      <c r="M83" s="1091"/>
      <c r="N83" s="1091"/>
      <c r="O83" s="1091"/>
      <c r="P83" s="1158"/>
    </row>
    <row r="84" spans="1:26" ht="15.75" hidden="1" outlineLevel="1">
      <c r="B84" s="1159"/>
      <c r="C84" s="769">
        <v>4</v>
      </c>
      <c r="D84" s="770"/>
      <c r="E84" s="770"/>
      <c r="F84" s="2258"/>
      <c r="G84" s="917">
        <v>0.05</v>
      </c>
      <c r="H84" s="916">
        <v>1</v>
      </c>
      <c r="I84" s="1091"/>
      <c r="J84" s="1091"/>
      <c r="K84" s="1091"/>
      <c r="L84" s="1091"/>
      <c r="M84" s="1091"/>
      <c r="N84" s="1091"/>
      <c r="O84" s="1091"/>
      <c r="P84" s="1158"/>
    </row>
    <row r="85" spans="1:26" ht="15.75" hidden="1" outlineLevel="1">
      <c r="B85" s="1159"/>
      <c r="C85" s="831"/>
      <c r="D85" s="832"/>
      <c r="E85" s="832"/>
      <c r="F85" s="847"/>
      <c r="G85" s="1091"/>
      <c r="H85" s="1091"/>
      <c r="I85" s="1091"/>
      <c r="J85" s="1091"/>
      <c r="K85" s="1091"/>
      <c r="L85" s="1091"/>
      <c r="M85" s="1091"/>
      <c r="N85" s="1091"/>
      <c r="O85" s="1091"/>
      <c r="P85" s="1158"/>
    </row>
    <row r="86" spans="1:26" ht="15.75" hidden="1" outlineLevel="1">
      <c r="B86" s="1159"/>
      <c r="C86" s="831"/>
      <c r="D86" s="832"/>
      <c r="E86" s="832"/>
      <c r="F86" s="847"/>
      <c r="G86" s="848"/>
      <c r="H86" s="848"/>
      <c r="I86" s="848"/>
      <c r="J86" s="848"/>
      <c r="K86" s="848"/>
      <c r="L86" s="848"/>
      <c r="M86" s="848"/>
      <c r="N86" s="848"/>
      <c r="O86" s="848"/>
      <c r="P86" s="1158"/>
    </row>
    <row r="88" spans="1:26" s="743" customFormat="1" ht="22.5" collapsed="1">
      <c r="A88" s="1170"/>
      <c r="B88" s="1236" t="s">
        <v>786</v>
      </c>
      <c r="C88" s="1167"/>
      <c r="D88" s="1167"/>
      <c r="E88" s="1167"/>
      <c r="F88" s="1167"/>
      <c r="G88" s="1167"/>
      <c r="H88" s="1167"/>
      <c r="I88" s="1167"/>
      <c r="J88" s="1167"/>
      <c r="K88" s="1167"/>
      <c r="L88" s="1167"/>
      <c r="M88" s="1167"/>
      <c r="N88" s="1167"/>
      <c r="O88" s="1167"/>
      <c r="P88" s="1168"/>
    </row>
    <row r="89" spans="1:26" hidden="1" outlineLevel="1">
      <c r="B89" s="1157"/>
      <c r="C89" s="864"/>
      <c r="D89" s="864"/>
      <c r="E89" s="864"/>
      <c r="F89" s="864"/>
      <c r="G89" s="864"/>
      <c r="H89" s="864"/>
      <c r="I89" s="864"/>
      <c r="J89" s="864"/>
      <c r="K89" s="864"/>
      <c r="L89" s="864"/>
      <c r="M89" s="864"/>
      <c r="N89" s="864"/>
      <c r="O89" s="864"/>
      <c r="P89" s="1158"/>
    </row>
    <row r="90" spans="1:26" hidden="1" outlineLevel="1">
      <c r="B90" s="1157"/>
      <c r="C90" s="866" t="s">
        <v>988</v>
      </c>
      <c r="D90" s="864"/>
      <c r="E90" s="864"/>
      <c r="F90" s="864"/>
      <c r="G90" s="864"/>
      <c r="H90" s="864"/>
      <c r="I90" s="864"/>
      <c r="J90" s="864"/>
      <c r="K90" s="864"/>
      <c r="L90" s="864"/>
      <c r="M90" s="864"/>
      <c r="N90" s="864"/>
      <c r="O90" s="867" t="str">
        <f>Preferences.EnergyUnits</f>
        <v>TWh</v>
      </c>
      <c r="P90" s="1158"/>
    </row>
    <row r="91" spans="1:26" ht="6" hidden="1" customHeight="1" outlineLevel="1">
      <c r="B91" s="1157"/>
      <c r="C91" s="864"/>
      <c r="D91" s="864"/>
      <c r="E91" s="864"/>
      <c r="F91" s="864"/>
      <c r="G91" s="864"/>
      <c r="H91" s="864"/>
      <c r="I91" s="864"/>
      <c r="J91" s="864"/>
      <c r="K91" s="864"/>
      <c r="L91" s="864"/>
      <c r="M91" s="864"/>
      <c r="N91" s="864"/>
      <c r="O91" s="864"/>
      <c r="P91" s="1158"/>
    </row>
    <row r="92" spans="1:26" ht="15.75" hidden="1" outlineLevel="1">
      <c r="B92" s="1159"/>
      <c r="C92" s="766" t="s">
        <v>78</v>
      </c>
      <c r="D92" s="766" t="s">
        <v>418</v>
      </c>
      <c r="E92" s="766" t="s">
        <v>442</v>
      </c>
      <c r="F92" s="923">
        <v>2007</v>
      </c>
      <c r="G92" s="924">
        <v>2010</v>
      </c>
      <c r="H92" s="923">
        <v>2015</v>
      </c>
      <c r="I92" s="923">
        <v>2020</v>
      </c>
      <c r="J92" s="923">
        <v>2025</v>
      </c>
      <c r="K92" s="923">
        <v>2030</v>
      </c>
      <c r="L92" s="923">
        <v>2035</v>
      </c>
      <c r="M92" s="923">
        <v>2040</v>
      </c>
      <c r="N92" s="923">
        <v>2045</v>
      </c>
      <c r="O92" s="923">
        <v>2050</v>
      </c>
      <c r="P92" s="1158"/>
    </row>
    <row r="93" spans="1:26" s="743" customFormat="1" ht="15.75" hidden="1" outlineLevel="1">
      <c r="B93" s="1161"/>
      <c r="C93" s="794" t="s">
        <v>46</v>
      </c>
      <c r="D93" s="794" t="s">
        <v>168</v>
      </c>
      <c r="E93" s="794" t="s">
        <v>109</v>
      </c>
      <c r="F93" s="1046">
        <f>('DUKES 09 (5.6)'!$K$248-'DUKES 09 (5.6)'!$M$249)*Unit.GWh</f>
        <v>-1.2254999999999996</v>
      </c>
      <c r="G93" s="1047">
        <v>0</v>
      </c>
      <c r="H93" s="1046">
        <v>0</v>
      </c>
      <c r="I93" s="1046">
        <v>0</v>
      </c>
      <c r="J93" s="1046">
        <v>0</v>
      </c>
      <c r="K93" s="1046">
        <v>0</v>
      </c>
      <c r="L93" s="1046">
        <v>0</v>
      </c>
      <c r="M93" s="1046">
        <v>0</v>
      </c>
      <c r="N93" s="1046">
        <v>0</v>
      </c>
      <c r="O93" s="1046">
        <v>0</v>
      </c>
      <c r="P93" s="1162"/>
      <c r="R93" s="2270" t="s">
        <v>2581</v>
      </c>
      <c r="S93" s="2269"/>
      <c r="T93" s="2269"/>
      <c r="U93" s="2269"/>
      <c r="V93" s="2269"/>
      <c r="W93" s="2269"/>
      <c r="X93" s="2269"/>
      <c r="Y93" s="2269"/>
      <c r="Z93" s="2269"/>
    </row>
    <row r="94" spans="1:26" hidden="1" outlineLevel="1">
      <c r="B94" s="1163"/>
      <c r="C94" s="864"/>
      <c r="D94" s="868"/>
      <c r="E94" s="864"/>
      <c r="F94" s="864"/>
      <c r="G94" s="864"/>
      <c r="H94" s="864"/>
      <c r="I94" s="864"/>
      <c r="J94" s="864"/>
      <c r="K94" s="864"/>
      <c r="L94" s="864"/>
      <c r="M94" s="864"/>
      <c r="N94" s="864"/>
      <c r="O94" s="864"/>
      <c r="P94" s="1158"/>
    </row>
    <row r="95" spans="1:26" hidden="1" outlineLevel="1">
      <c r="B95" s="1163"/>
      <c r="C95" s="866" t="s">
        <v>1938</v>
      </c>
      <c r="D95" s="868"/>
      <c r="E95" s="864"/>
      <c r="F95" s="864"/>
      <c r="G95" s="864"/>
      <c r="H95" s="864"/>
      <c r="I95" s="864"/>
      <c r="J95" s="864"/>
      <c r="K95" s="864"/>
      <c r="L95" s="864"/>
      <c r="M95" s="864"/>
      <c r="N95" s="864"/>
      <c r="O95" s="864"/>
      <c r="P95" s="1158"/>
    </row>
    <row r="96" spans="1:26" ht="5.25" hidden="1" customHeight="1" outlineLevel="1">
      <c r="B96" s="1163"/>
      <c r="C96" s="864"/>
      <c r="D96" s="868"/>
      <c r="E96" s="864"/>
      <c r="F96" s="864"/>
      <c r="G96" s="864"/>
      <c r="H96" s="864"/>
      <c r="I96" s="864"/>
      <c r="J96" s="864"/>
      <c r="K96" s="864"/>
      <c r="L96" s="864"/>
      <c r="M96" s="864"/>
      <c r="N96" s="864"/>
      <c r="O96" s="864"/>
      <c r="P96" s="1158"/>
    </row>
    <row r="97" spans="2:23" ht="25.5" hidden="1" outlineLevel="1">
      <c r="B97" s="1159"/>
      <c r="C97" s="871" t="s">
        <v>1955</v>
      </c>
      <c r="D97" s="871" t="s">
        <v>418</v>
      </c>
      <c r="E97" s="871" t="s">
        <v>442</v>
      </c>
      <c r="F97" s="2250" t="s">
        <v>1940</v>
      </c>
      <c r="G97" s="2251" t="s">
        <v>1941</v>
      </c>
      <c r="H97" s="2247" t="s">
        <v>29</v>
      </c>
      <c r="I97" s="2247" t="s">
        <v>891</v>
      </c>
      <c r="J97" s="2247" t="s">
        <v>892</v>
      </c>
      <c r="K97" s="864"/>
      <c r="L97" s="864"/>
      <c r="M97" s="864"/>
      <c r="N97" s="864"/>
      <c r="O97" s="864"/>
      <c r="P97" s="1158"/>
    </row>
    <row r="98" spans="2:23" ht="15.75" hidden="1" outlineLevel="1">
      <c r="B98" s="1159"/>
      <c r="C98" s="872"/>
      <c r="D98" s="872"/>
      <c r="E98" s="872"/>
      <c r="F98" s="2252" t="s">
        <v>1942</v>
      </c>
      <c r="G98" s="2253" t="s">
        <v>1943</v>
      </c>
      <c r="H98" s="2249" t="s">
        <v>676</v>
      </c>
      <c r="I98" s="2249" t="s">
        <v>1730</v>
      </c>
      <c r="J98" s="2249" t="s">
        <v>1731</v>
      </c>
      <c r="K98" s="864"/>
      <c r="L98" s="864"/>
      <c r="M98" s="864"/>
      <c r="N98" s="864"/>
      <c r="O98" s="864"/>
      <c r="P98" s="1158"/>
    </row>
    <row r="99" spans="2:23" ht="15.75" hidden="1" outlineLevel="1">
      <c r="B99" s="1159"/>
      <c r="C99" s="794">
        <v>1</v>
      </c>
      <c r="D99" s="794" t="s">
        <v>1939</v>
      </c>
      <c r="E99" s="794" t="s">
        <v>117</v>
      </c>
      <c r="F99" s="2254">
        <v>5</v>
      </c>
      <c r="G99" s="2255">
        <v>1</v>
      </c>
      <c r="H99" s="2248">
        <v>0.2</v>
      </c>
      <c r="I99" s="2248">
        <f>-(1-(20%/30%))</f>
        <v>-0.33333333333333326</v>
      </c>
      <c r="J99" s="2248">
        <f>-(1-(20%/35%))</f>
        <v>-0.42857142857142849</v>
      </c>
      <c r="K99" s="864"/>
      <c r="L99" s="864"/>
      <c r="M99" s="864"/>
      <c r="N99" s="864"/>
      <c r="O99" s="864"/>
      <c r="P99" s="1158"/>
    </row>
    <row r="100" spans="2:23" hidden="1" outlineLevel="1">
      <c r="B100" s="1163"/>
      <c r="C100" s="864"/>
      <c r="D100" s="868"/>
      <c r="E100" s="864"/>
      <c r="F100" s="864"/>
      <c r="G100" s="864"/>
      <c r="H100" s="864"/>
      <c r="I100" s="864"/>
      <c r="J100" s="864"/>
      <c r="K100" s="864"/>
      <c r="L100" s="864"/>
      <c r="M100" s="864"/>
      <c r="N100" s="864"/>
      <c r="O100" s="864"/>
      <c r="P100" s="1158"/>
    </row>
    <row r="101" spans="2:23" hidden="1" outlineLevel="1">
      <c r="B101" s="1163"/>
      <c r="C101" s="866" t="s">
        <v>2016</v>
      </c>
      <c r="D101" s="868"/>
      <c r="E101" s="864"/>
      <c r="F101" s="864"/>
      <c r="G101" s="864"/>
      <c r="H101" s="864"/>
      <c r="I101" s="864"/>
      <c r="J101" s="864"/>
      <c r="K101" s="864"/>
      <c r="L101" s="864"/>
      <c r="M101" s="864"/>
      <c r="N101" s="864"/>
      <c r="O101" s="864"/>
      <c r="P101" s="1158"/>
    </row>
    <row r="102" spans="2:23" hidden="1" outlineLevel="1">
      <c r="B102" s="1163"/>
      <c r="C102" s="866"/>
      <c r="D102" s="868"/>
      <c r="E102" s="864"/>
      <c r="F102" s="864"/>
      <c r="G102" s="864"/>
      <c r="H102" s="864"/>
      <c r="I102" s="864"/>
      <c r="J102" s="864"/>
      <c r="K102" s="864"/>
      <c r="L102" s="864"/>
      <c r="M102" s="864"/>
      <c r="N102" s="864"/>
      <c r="O102" s="864"/>
      <c r="P102" s="1158"/>
    </row>
    <row r="103" spans="2:23" hidden="1" outlineLevel="1">
      <c r="B103" s="1163"/>
      <c r="C103" s="864"/>
      <c r="D103" s="766" t="s">
        <v>418</v>
      </c>
      <c r="E103" s="766" t="s">
        <v>442</v>
      </c>
      <c r="F103" s="771" t="s">
        <v>1265</v>
      </c>
      <c r="G103" s="771"/>
      <c r="H103" s="771"/>
      <c r="I103" s="771" t="s">
        <v>1264</v>
      </c>
      <c r="J103" s="864"/>
      <c r="K103" s="864"/>
      <c r="L103" s="864"/>
      <c r="M103" s="864"/>
      <c r="N103" s="864"/>
      <c r="O103" s="864"/>
      <c r="P103" s="1158"/>
    </row>
    <row r="104" spans="2:23" hidden="1" outlineLevel="1">
      <c r="B104" s="1163"/>
      <c r="C104" s="864"/>
      <c r="D104" s="868" t="s">
        <v>773</v>
      </c>
      <c r="E104" s="864"/>
      <c r="F104" s="2086">
        <v>0.7</v>
      </c>
      <c r="G104" s="864"/>
      <c r="H104" s="864"/>
      <c r="I104" s="867" t="s">
        <v>2017</v>
      </c>
      <c r="J104" s="864"/>
      <c r="K104" s="864"/>
      <c r="L104" s="864"/>
      <c r="M104" s="864"/>
      <c r="N104" s="864"/>
      <c r="O104" s="864"/>
      <c r="P104" s="1158"/>
      <c r="R104" s="2270" t="s">
        <v>2022</v>
      </c>
      <c r="S104" s="2266"/>
      <c r="T104" s="2266"/>
      <c r="U104" s="2266"/>
      <c r="V104" s="2266"/>
      <c r="W104" s="2266"/>
    </row>
    <row r="105" spans="2:23" hidden="1" outlineLevel="1">
      <c r="B105" s="1163"/>
      <c r="C105" s="864"/>
      <c r="D105" s="868" t="s">
        <v>1270</v>
      </c>
      <c r="E105" s="864"/>
      <c r="F105" s="2086">
        <v>0.5</v>
      </c>
      <c r="G105" s="864"/>
      <c r="H105" s="864"/>
      <c r="I105" s="867" t="s">
        <v>2021</v>
      </c>
      <c r="J105" s="864"/>
      <c r="K105" s="864"/>
      <c r="L105" s="864"/>
      <c r="M105" s="864"/>
      <c r="N105" s="864"/>
      <c r="O105" s="864"/>
      <c r="P105" s="1158"/>
    </row>
    <row r="106" spans="2:23" hidden="1" outlineLevel="1">
      <c r="B106" s="1163"/>
      <c r="C106" s="864"/>
      <c r="D106" s="2301" t="s">
        <v>2023</v>
      </c>
      <c r="E106" s="1294"/>
      <c r="F106" s="2302" t="s">
        <v>2024</v>
      </c>
      <c r="G106" s="1294"/>
      <c r="H106" s="1294"/>
      <c r="I106" s="2303"/>
      <c r="J106" s="864"/>
      <c r="K106" s="864"/>
      <c r="L106" s="864"/>
      <c r="M106" s="864"/>
      <c r="N106" s="864"/>
      <c r="O106" s="864"/>
      <c r="P106" s="1158"/>
      <c r="R106" s="2270" t="s">
        <v>2025</v>
      </c>
      <c r="S106" s="2266"/>
      <c r="T106" s="2266"/>
      <c r="U106" s="2266"/>
      <c r="V106" s="2266"/>
      <c r="W106" s="2266"/>
    </row>
    <row r="107" spans="2:23" hidden="1" outlineLevel="1">
      <c r="B107" s="1163"/>
      <c r="C107" s="864"/>
      <c r="D107" s="868"/>
      <c r="E107" s="864"/>
      <c r="F107" s="864"/>
      <c r="G107" s="864"/>
      <c r="H107" s="864"/>
      <c r="I107" s="864"/>
      <c r="J107" s="864"/>
      <c r="K107" s="864"/>
      <c r="L107" s="864"/>
      <c r="M107" s="864"/>
      <c r="N107" s="864"/>
      <c r="O107" s="864"/>
      <c r="P107" s="1158"/>
    </row>
    <row r="108" spans="2:23" hidden="1" outlineLevel="1">
      <c r="B108" s="1163"/>
      <c r="C108" s="1251" t="s">
        <v>109</v>
      </c>
      <c r="D108" s="1255" t="s">
        <v>1018</v>
      </c>
      <c r="E108" s="864"/>
      <c r="F108" s="864"/>
      <c r="G108" s="864"/>
      <c r="H108" s="864"/>
      <c r="I108" s="864"/>
      <c r="J108" s="864"/>
      <c r="K108" s="864"/>
      <c r="L108" s="864"/>
      <c r="M108" s="864"/>
      <c r="N108" s="864"/>
      <c r="O108" s="864"/>
      <c r="P108" s="1158"/>
    </row>
    <row r="109" spans="2:23" s="715" customFormat="1" hidden="1" outlineLevel="1">
      <c r="B109" s="1225"/>
      <c r="C109" s="1251" t="s">
        <v>117</v>
      </c>
      <c r="D109" s="2271" t="s">
        <v>1960</v>
      </c>
      <c r="E109" s="864"/>
      <c r="F109" s="864"/>
      <c r="G109" s="1228"/>
      <c r="H109" s="1228"/>
      <c r="I109" s="1228"/>
      <c r="J109" s="1228"/>
      <c r="K109" s="1228"/>
      <c r="L109" s="1228"/>
      <c r="M109" s="1228"/>
      <c r="N109" s="1228"/>
      <c r="O109" s="1228"/>
      <c r="P109" s="1229"/>
    </row>
    <row r="110" spans="2:23" hidden="1" outlineLevel="1">
      <c r="B110" s="1164"/>
      <c r="C110" s="1165"/>
      <c r="D110" s="1165"/>
      <c r="E110" s="1165"/>
      <c r="F110" s="1165"/>
      <c r="G110" s="1165"/>
      <c r="H110" s="1165"/>
      <c r="I110" s="1165"/>
      <c r="J110" s="1165"/>
      <c r="K110" s="1165"/>
      <c r="L110" s="1165"/>
      <c r="M110" s="1165"/>
      <c r="N110" s="1165"/>
      <c r="O110" s="1165"/>
      <c r="P110" s="1166"/>
    </row>
    <row r="112" spans="2:23" ht="15.75" collapsed="1">
      <c r="B112" s="809" t="s">
        <v>732</v>
      </c>
    </row>
    <row r="113" spans="2:26" hidden="1" outlineLevel="1"/>
    <row r="114" spans="2:26" hidden="1" outlineLevel="1">
      <c r="B114" s="121">
        <v>1</v>
      </c>
      <c r="C114" s="121" t="s">
        <v>1964</v>
      </c>
    </row>
    <row r="115" spans="2:26" hidden="1" outlineLevel="1">
      <c r="B115" s="121">
        <v>2</v>
      </c>
      <c r="C115" s="121" t="s">
        <v>1988</v>
      </c>
    </row>
    <row r="116" spans="2:26" hidden="1" outlineLevel="1">
      <c r="B116" s="121">
        <v>3</v>
      </c>
      <c r="C116" s="121" t="s">
        <v>1961</v>
      </c>
    </row>
    <row r="117" spans="2:26" hidden="1" outlineLevel="1">
      <c r="B117" s="121">
        <v>4</v>
      </c>
      <c r="C117" s="121" t="s">
        <v>1962</v>
      </c>
    </row>
    <row r="118" spans="2:26" hidden="1" outlineLevel="1">
      <c r="B118" s="121">
        <v>5</v>
      </c>
      <c r="C118" s="121" t="s">
        <v>1966</v>
      </c>
    </row>
    <row r="119" spans="2:26" hidden="1" outlineLevel="1">
      <c r="B119" s="121">
        <v>6</v>
      </c>
      <c r="C119" s="121" t="s">
        <v>1963</v>
      </c>
    </row>
    <row r="120" spans="2:26" hidden="1" outlineLevel="1">
      <c r="B120" s="121">
        <v>7</v>
      </c>
      <c r="C120" s="121" t="s">
        <v>2020</v>
      </c>
    </row>
    <row r="121" spans="2:26" hidden="1" outlineLevel="1"/>
    <row r="122" spans="2:26" hidden="1" outlineLevel="1">
      <c r="B122" s="731">
        <v>1</v>
      </c>
      <c r="C122" s="731" t="s">
        <v>1965</v>
      </c>
    </row>
    <row r="123" spans="2:26" hidden="1" outlineLevel="1"/>
    <row r="124" spans="2:26" hidden="1" outlineLevel="1">
      <c r="C124" s="121" t="s">
        <v>1984</v>
      </c>
      <c r="O124" s="20" t="str">
        <f>Preferences.PowerUnits&amp;"e"</f>
        <v>GWe</v>
      </c>
    </row>
    <row r="125" spans="2:26" ht="5.25" hidden="1" customHeight="1" outlineLevel="1"/>
    <row r="126" spans="2:26" ht="15.75" hidden="1" outlineLevel="1">
      <c r="B126" s="3"/>
      <c r="C126" s="2259"/>
      <c r="D126" s="2259" t="s">
        <v>418</v>
      </c>
      <c r="E126" s="2259" t="s">
        <v>442</v>
      </c>
      <c r="F126" s="2279">
        <v>2007</v>
      </c>
      <c r="G126" s="2280">
        <v>2010</v>
      </c>
      <c r="H126" s="2279">
        <v>2015</v>
      </c>
      <c r="I126" s="2279">
        <v>2020</v>
      </c>
      <c r="J126" s="2279">
        <v>2025</v>
      </c>
      <c r="K126" s="2279">
        <v>2030</v>
      </c>
      <c r="L126" s="2279">
        <v>2035</v>
      </c>
      <c r="M126" s="2279">
        <v>2040</v>
      </c>
      <c r="N126" s="2279">
        <v>2045</v>
      </c>
      <c r="O126" s="2279">
        <v>2050</v>
      </c>
    </row>
    <row r="127" spans="2:26" ht="15.75" hidden="1" outlineLevel="1">
      <c r="B127" s="3"/>
      <c r="C127" s="495"/>
      <c r="D127" s="2260" t="s">
        <v>1998</v>
      </c>
      <c r="E127" s="495"/>
      <c r="F127" s="2261">
        <f t="shared" ref="F127:O127" ca="1" si="10">INDEX($G$81:$G$84,$E$8)*F26</f>
        <v>2.196086622608961</v>
      </c>
      <c r="G127" s="2282">
        <f t="shared" ca="1" si="10"/>
        <v>2.081681452037075</v>
      </c>
      <c r="H127" s="2261">
        <f t="shared" ca="1" si="10"/>
        <v>2.3169849036182444</v>
      </c>
      <c r="I127" s="2261">
        <f t="shared" ca="1" si="10"/>
        <v>2.5513369378391015</v>
      </c>
      <c r="J127" s="2261">
        <f t="shared" ca="1" si="10"/>
        <v>2.8615168327120912</v>
      </c>
      <c r="K127" s="2261">
        <f t="shared" ca="1" si="10"/>
        <v>3.0288824303415987</v>
      </c>
      <c r="L127" s="2261">
        <f t="shared" ca="1" si="10"/>
        <v>3.2578235767155306</v>
      </c>
      <c r="M127" s="2261">
        <f t="shared" ca="1" si="10"/>
        <v>3.4877515595065818</v>
      </c>
      <c r="N127" s="2261">
        <f t="shared" ca="1" si="10"/>
        <v>3.7159249034441508</v>
      </c>
      <c r="O127" s="2261">
        <f t="shared" ca="1" si="10"/>
        <v>3.8496134120138645</v>
      </c>
      <c r="Q127" s="27"/>
      <c r="R127" s="27"/>
      <c r="S127" s="27"/>
      <c r="T127" s="27"/>
      <c r="U127" s="27"/>
      <c r="V127" s="27"/>
      <c r="W127" s="27"/>
      <c r="X127" s="27"/>
      <c r="Y127" s="27"/>
      <c r="Z127" s="27"/>
    </row>
    <row r="128" spans="2:26" ht="15.75" hidden="1" outlineLevel="1">
      <c r="B128" s="3"/>
      <c r="C128" s="495"/>
      <c r="D128" s="2260" t="s">
        <v>1999</v>
      </c>
      <c r="E128" s="495"/>
      <c r="F128" s="2261">
        <f t="shared" ref="F128:O128" si="11">INDEX(F$57:F$60,$E$8)</f>
        <v>2.5</v>
      </c>
      <c r="G128" s="2282">
        <f t="shared" si="11"/>
        <v>2.5</v>
      </c>
      <c r="H128" s="2261">
        <f t="shared" si="11"/>
        <v>4</v>
      </c>
      <c r="I128" s="2261">
        <f t="shared" si="11"/>
        <v>4</v>
      </c>
      <c r="J128" s="2261">
        <f t="shared" si="11"/>
        <v>4</v>
      </c>
      <c r="K128" s="2261">
        <f t="shared" si="11"/>
        <v>4</v>
      </c>
      <c r="L128" s="2261">
        <f t="shared" si="11"/>
        <v>4</v>
      </c>
      <c r="M128" s="2261">
        <f t="shared" si="11"/>
        <v>4</v>
      </c>
      <c r="N128" s="2261">
        <f t="shared" si="11"/>
        <v>4</v>
      </c>
      <c r="O128" s="2261">
        <f t="shared" si="11"/>
        <v>4</v>
      </c>
      <c r="Q128" s="27"/>
      <c r="R128" s="27"/>
      <c r="S128" s="27"/>
      <c r="T128" s="27"/>
      <c r="U128" s="27"/>
      <c r="V128" s="27"/>
      <c r="W128" s="27"/>
      <c r="X128" s="27"/>
      <c r="Y128" s="27"/>
      <c r="Z128" s="27"/>
    </row>
    <row r="129" spans="2:26" ht="15.75" hidden="1" outlineLevel="1">
      <c r="B129" s="3"/>
      <c r="C129" s="495"/>
      <c r="D129" s="2260" t="s">
        <v>2000</v>
      </c>
      <c r="E129" s="495"/>
      <c r="F129" s="2261">
        <f t="shared" ref="F129:O129" si="12">(INDEX($G$73:$G$76,$E$8)*F32*Conversion.to.average.power)+(INDEX($H$73:$H$76,$E$8)*F31*Conversion.to.average.power)</f>
        <v>0</v>
      </c>
      <c r="G129" s="2282">
        <f t="shared" si="12"/>
        <v>0</v>
      </c>
      <c r="H129" s="2261">
        <f t="shared" si="12"/>
        <v>0</v>
      </c>
      <c r="I129" s="2261">
        <f t="shared" si="12"/>
        <v>0</v>
      </c>
      <c r="J129" s="2261">
        <f t="shared" si="12"/>
        <v>0</v>
      </c>
      <c r="K129" s="2261">
        <f t="shared" si="12"/>
        <v>0</v>
      </c>
      <c r="L129" s="2261">
        <f t="shared" si="12"/>
        <v>0</v>
      </c>
      <c r="M129" s="2261">
        <f t="shared" si="12"/>
        <v>0</v>
      </c>
      <c r="N129" s="2261">
        <f t="shared" si="12"/>
        <v>0</v>
      </c>
      <c r="O129" s="2261">
        <f t="shared" si="12"/>
        <v>0</v>
      </c>
      <c r="Q129" s="27"/>
      <c r="R129" s="27"/>
      <c r="S129" s="27"/>
      <c r="T129" s="27"/>
      <c r="U129" s="27"/>
      <c r="V129" s="27"/>
      <c r="W129" s="27"/>
      <c r="X129" s="27"/>
      <c r="Y129" s="27"/>
      <c r="Z129" s="27"/>
    </row>
    <row r="130" spans="2:26" ht="15.75" hidden="1" outlineLevel="1">
      <c r="B130" s="3"/>
      <c r="C130" s="2262"/>
      <c r="D130" s="2263" t="s">
        <v>2001</v>
      </c>
      <c r="E130" s="2262"/>
      <c r="F130" s="2264">
        <f t="shared" ref="F130:O130" si="13">INDEX(F$41:F$44,$E$8)</f>
        <v>3.5</v>
      </c>
      <c r="G130" s="2282">
        <f t="shared" si="13"/>
        <v>3.5</v>
      </c>
      <c r="H130" s="2264">
        <f t="shared" si="13"/>
        <v>3.5</v>
      </c>
      <c r="I130" s="2264">
        <f t="shared" si="13"/>
        <v>3.5</v>
      </c>
      <c r="J130" s="2264">
        <f t="shared" si="13"/>
        <v>3.5</v>
      </c>
      <c r="K130" s="2264">
        <f t="shared" si="13"/>
        <v>3.5</v>
      </c>
      <c r="L130" s="2264">
        <f t="shared" si="13"/>
        <v>3.5</v>
      </c>
      <c r="M130" s="2264">
        <f t="shared" si="13"/>
        <v>3.5</v>
      </c>
      <c r="N130" s="2264">
        <f t="shared" si="13"/>
        <v>3.5</v>
      </c>
      <c r="O130" s="2264">
        <f t="shared" si="13"/>
        <v>3.5</v>
      </c>
      <c r="Q130" s="27"/>
      <c r="R130" s="27"/>
      <c r="S130" s="27"/>
      <c r="T130" s="27"/>
      <c r="U130" s="27"/>
      <c r="V130" s="27"/>
      <c r="W130" s="27"/>
      <c r="X130" s="27"/>
      <c r="Y130" s="27"/>
      <c r="Z130" s="27"/>
    </row>
    <row r="131" spans="2:26" ht="15.75" hidden="1" outlineLevel="1">
      <c r="B131" s="3"/>
      <c r="C131" s="2277"/>
      <c r="D131" s="2277" t="s">
        <v>1990</v>
      </c>
      <c r="E131" s="2277"/>
      <c r="F131" s="2278">
        <f ca="1">SUM(F127:F130)</f>
        <v>8.196086622608961</v>
      </c>
      <c r="G131" s="2281">
        <f t="shared" ref="G131:O131" ca="1" si="14">SUM(G127:G130)</f>
        <v>8.0816814520370741</v>
      </c>
      <c r="H131" s="2278">
        <f t="shared" ca="1" si="14"/>
        <v>9.8169849036182448</v>
      </c>
      <c r="I131" s="2278">
        <f t="shared" ca="1" si="14"/>
        <v>10.051336937839102</v>
      </c>
      <c r="J131" s="2278">
        <f t="shared" ca="1" si="14"/>
        <v>10.361516832712091</v>
      </c>
      <c r="K131" s="2278">
        <f t="shared" ca="1" si="14"/>
        <v>10.528882430341598</v>
      </c>
      <c r="L131" s="2278">
        <f t="shared" ca="1" si="14"/>
        <v>10.757823576715531</v>
      </c>
      <c r="M131" s="2278">
        <f t="shared" ca="1" si="14"/>
        <v>10.987751559506581</v>
      </c>
      <c r="N131" s="2278">
        <f t="shared" ca="1" si="14"/>
        <v>11.215924903444151</v>
      </c>
      <c r="O131" s="2278">
        <f t="shared" ca="1" si="14"/>
        <v>11.349613412013865</v>
      </c>
      <c r="Q131" s="27"/>
      <c r="R131" s="27"/>
      <c r="S131" s="27"/>
      <c r="T131" s="27"/>
      <c r="U131" s="27"/>
      <c r="V131" s="27"/>
      <c r="W131" s="27"/>
      <c r="X131" s="27"/>
      <c r="Y131" s="27"/>
      <c r="Z131" s="27"/>
    </row>
    <row r="132" spans="2:26" ht="17.25" hidden="1" customHeight="1" outlineLevel="1">
      <c r="Q132" s="27"/>
      <c r="R132" s="27"/>
      <c r="S132" s="27"/>
      <c r="T132" s="27"/>
      <c r="U132" s="27"/>
      <c r="V132" s="27"/>
      <c r="W132" s="27"/>
      <c r="X132" s="27"/>
      <c r="Y132" s="27"/>
      <c r="Z132" s="27"/>
    </row>
    <row r="133" spans="2:26" hidden="1" outlineLevel="1">
      <c r="C133" s="121" t="s">
        <v>1985</v>
      </c>
      <c r="O133" s="20" t="str">
        <f>Preferences.EnergyUnits&amp;"e"</f>
        <v>TWhe</v>
      </c>
      <c r="Q133" s="27"/>
      <c r="R133" s="27"/>
      <c r="S133" s="27"/>
      <c r="T133" s="27"/>
      <c r="U133" s="27"/>
      <c r="V133" s="27"/>
      <c r="W133" s="27"/>
      <c r="X133" s="27"/>
      <c r="Y133" s="27"/>
      <c r="Z133" s="27"/>
    </row>
    <row r="134" spans="2:26" ht="5.25" hidden="1" customHeight="1" outlineLevel="1">
      <c r="Q134" s="27"/>
      <c r="R134" s="27"/>
      <c r="S134" s="27"/>
      <c r="T134" s="27"/>
      <c r="U134" s="27"/>
      <c r="V134" s="27"/>
      <c r="W134" s="27"/>
      <c r="X134" s="27"/>
      <c r="Y134" s="27"/>
      <c r="Z134" s="27"/>
    </row>
    <row r="135" spans="2:26" ht="15.75" hidden="1" outlineLevel="1">
      <c r="B135" s="3"/>
      <c r="C135" s="2259"/>
      <c r="D135" s="2259" t="s">
        <v>418</v>
      </c>
      <c r="E135" s="2259" t="s">
        <v>442</v>
      </c>
      <c r="F135" s="2279">
        <v>2007</v>
      </c>
      <c r="G135" s="2280">
        <v>2010</v>
      </c>
      <c r="H135" s="2279">
        <v>2015</v>
      </c>
      <c r="I135" s="2279">
        <v>2020</v>
      </c>
      <c r="J135" s="2279">
        <v>2025</v>
      </c>
      <c r="K135" s="2279">
        <v>2030</v>
      </c>
      <c r="L135" s="2279">
        <v>2035</v>
      </c>
      <c r="M135" s="2279">
        <v>2040</v>
      </c>
      <c r="N135" s="2279">
        <v>2045</v>
      </c>
      <c r="O135" s="2279">
        <v>2050</v>
      </c>
      <c r="Q135" s="27"/>
      <c r="R135" s="27"/>
      <c r="S135" s="27"/>
      <c r="T135" s="27"/>
      <c r="U135" s="27"/>
      <c r="V135" s="27"/>
      <c r="W135" s="27"/>
      <c r="X135" s="27"/>
      <c r="Y135" s="27"/>
      <c r="Z135" s="27"/>
    </row>
    <row r="136" spans="2:26" ht="15.75" hidden="1" outlineLevel="1">
      <c r="B136" s="3"/>
      <c r="C136" s="495"/>
      <c r="D136" s="2260" t="s">
        <v>1998</v>
      </c>
      <c r="E136" s="495"/>
      <c r="F136" s="2261">
        <f t="shared" ref="F136:O136" ca="1" si="15">F127*INDEX($H$81:$H$84,$E$8)*Conversion.to.energy.per.second*$F$99*Unit.day</f>
        <v>0.26353039471307532</v>
      </c>
      <c r="G136" s="2282">
        <f t="shared" ca="1" si="15"/>
        <v>0.24980177424444899</v>
      </c>
      <c r="H136" s="2261">
        <f t="shared" ca="1" si="15"/>
        <v>0.27803818843418932</v>
      </c>
      <c r="I136" s="2261">
        <f t="shared" ca="1" si="15"/>
        <v>0.30616043254069214</v>
      </c>
      <c r="J136" s="2261">
        <f t="shared" ca="1" si="15"/>
        <v>0.34338201992545092</v>
      </c>
      <c r="K136" s="2261">
        <f t="shared" ca="1" si="15"/>
        <v>0.3634658916409918</v>
      </c>
      <c r="L136" s="2261">
        <f t="shared" ca="1" si="15"/>
        <v>0.39093882920586365</v>
      </c>
      <c r="M136" s="2261">
        <f t="shared" ca="1" si="15"/>
        <v>0.41853018714078977</v>
      </c>
      <c r="N136" s="2261">
        <f t="shared" ca="1" si="15"/>
        <v>0.44591098841329802</v>
      </c>
      <c r="O136" s="2261">
        <f t="shared" ca="1" si="15"/>
        <v>0.46195360944166375</v>
      </c>
      <c r="Q136" s="27"/>
      <c r="R136" s="27"/>
      <c r="S136" s="27"/>
      <c r="T136" s="27"/>
      <c r="U136" s="27"/>
      <c r="V136" s="27"/>
      <c r="W136" s="27"/>
      <c r="X136" s="27"/>
      <c r="Y136" s="27"/>
      <c r="Z136" s="27"/>
    </row>
    <row r="137" spans="2:26" ht="15.75" hidden="1" outlineLevel="1">
      <c r="B137" s="3"/>
      <c r="C137" s="495"/>
      <c r="D137" s="2260" t="s">
        <v>1999</v>
      </c>
      <c r="E137" s="495"/>
      <c r="F137" s="2261">
        <f t="shared" ref="F137:O137" si="16">F128*INDEX($F$65:$F$68,$E$8)*Conversion.to.energy.per.second*$F$99*Unit.day</f>
        <v>0.22499999999999995</v>
      </c>
      <c r="G137" s="2282">
        <f t="shared" si="16"/>
        <v>0.22499999999999995</v>
      </c>
      <c r="H137" s="2261">
        <f t="shared" si="16"/>
        <v>0.36000000000000004</v>
      </c>
      <c r="I137" s="2261">
        <f t="shared" si="16"/>
        <v>0.36000000000000004</v>
      </c>
      <c r="J137" s="2261">
        <f t="shared" si="16"/>
        <v>0.36000000000000004</v>
      </c>
      <c r="K137" s="2261">
        <f t="shared" si="16"/>
        <v>0.36000000000000004</v>
      </c>
      <c r="L137" s="2261">
        <f t="shared" si="16"/>
        <v>0.36000000000000004</v>
      </c>
      <c r="M137" s="2261">
        <f t="shared" si="16"/>
        <v>0.36000000000000004</v>
      </c>
      <c r="N137" s="2261">
        <f t="shared" si="16"/>
        <v>0.36000000000000004</v>
      </c>
      <c r="O137" s="2261">
        <f t="shared" si="16"/>
        <v>0.36000000000000004</v>
      </c>
      <c r="Q137" s="27"/>
      <c r="R137" s="27"/>
      <c r="S137" s="27"/>
      <c r="T137" s="27"/>
      <c r="U137" s="27"/>
      <c r="V137" s="27"/>
      <c r="W137" s="27"/>
      <c r="X137" s="27"/>
      <c r="Y137" s="27"/>
      <c r="Z137" s="27"/>
    </row>
    <row r="138" spans="2:26" ht="15.75" hidden="1" outlineLevel="1">
      <c r="B138" s="3"/>
      <c r="C138" s="495"/>
      <c r="D138" s="2260" t="s">
        <v>2000</v>
      </c>
      <c r="E138" s="495"/>
      <c r="F138" s="2261">
        <f t="shared" ref="F138:O138" si="17">F129*Conversion.to.energy.per.second*$F$99*Unit.day</f>
        <v>0</v>
      </c>
      <c r="G138" s="2282">
        <f t="shared" si="17"/>
        <v>0</v>
      </c>
      <c r="H138" s="2261">
        <f t="shared" si="17"/>
        <v>0</v>
      </c>
      <c r="I138" s="2261">
        <f t="shared" si="17"/>
        <v>0</v>
      </c>
      <c r="J138" s="2261">
        <f t="shared" si="17"/>
        <v>0</v>
      </c>
      <c r="K138" s="2261">
        <f t="shared" si="17"/>
        <v>0</v>
      </c>
      <c r="L138" s="2261">
        <f t="shared" si="17"/>
        <v>0</v>
      </c>
      <c r="M138" s="2261">
        <f t="shared" si="17"/>
        <v>0</v>
      </c>
      <c r="N138" s="2261">
        <f t="shared" si="17"/>
        <v>0</v>
      </c>
      <c r="O138" s="2261">
        <f t="shared" si="17"/>
        <v>0</v>
      </c>
      <c r="Q138" s="27"/>
      <c r="R138" s="27"/>
      <c r="S138" s="27"/>
      <c r="T138" s="27"/>
      <c r="U138" s="27"/>
      <c r="V138" s="27"/>
      <c r="W138" s="27"/>
      <c r="X138" s="27"/>
      <c r="Y138" s="27"/>
      <c r="Z138" s="27"/>
    </row>
    <row r="139" spans="2:26" ht="15.75" hidden="1" outlineLevel="1">
      <c r="B139" s="3"/>
      <c r="C139" s="2262"/>
      <c r="D139" s="2263" t="s">
        <v>2001</v>
      </c>
      <c r="E139" s="2262"/>
      <c r="F139" s="2264">
        <f t="shared" ref="F139:O139" si="18">INDEX(F$49:F$52,$E$8)</f>
        <v>2.7E-2</v>
      </c>
      <c r="G139" s="2282">
        <f t="shared" si="18"/>
        <v>2.7E-2</v>
      </c>
      <c r="H139" s="2264">
        <f t="shared" si="18"/>
        <v>2.7E-2</v>
      </c>
      <c r="I139" s="2264">
        <f t="shared" si="18"/>
        <v>2.7E-2</v>
      </c>
      <c r="J139" s="2264">
        <f t="shared" si="18"/>
        <v>2.7E-2</v>
      </c>
      <c r="K139" s="2264">
        <f t="shared" si="18"/>
        <v>2.7E-2</v>
      </c>
      <c r="L139" s="2264">
        <f t="shared" si="18"/>
        <v>2.7E-2</v>
      </c>
      <c r="M139" s="2264">
        <f t="shared" si="18"/>
        <v>2.7E-2</v>
      </c>
      <c r="N139" s="2264">
        <f t="shared" si="18"/>
        <v>2.7E-2</v>
      </c>
      <c r="O139" s="2264">
        <f t="shared" si="18"/>
        <v>2.7E-2</v>
      </c>
      <c r="Q139" s="27"/>
      <c r="R139" s="27"/>
      <c r="S139" s="27"/>
      <c r="T139" s="27"/>
      <c r="U139" s="27"/>
      <c r="V139" s="27"/>
      <c r="W139" s="27"/>
      <c r="X139" s="27"/>
      <c r="Y139" s="27"/>
      <c r="Z139" s="27"/>
    </row>
    <row r="140" spans="2:26" ht="15.75" hidden="1" outlineLevel="1">
      <c r="B140" s="3"/>
      <c r="C140" s="2277"/>
      <c r="D140" s="2277" t="s">
        <v>1991</v>
      </c>
      <c r="E140" s="2277"/>
      <c r="F140" s="2278">
        <f ca="1">SUM(F136:F139)</f>
        <v>0.51553039471307527</v>
      </c>
      <c r="G140" s="2281">
        <f t="shared" ref="G140:O140" ca="1" si="19">SUM(G136:G139)</f>
        <v>0.50180177424444894</v>
      </c>
      <c r="H140" s="2278">
        <f t="shared" ca="1" si="19"/>
        <v>0.66503818843418938</v>
      </c>
      <c r="I140" s="2278">
        <f t="shared" ca="1" si="19"/>
        <v>0.69316043254069226</v>
      </c>
      <c r="J140" s="2278">
        <f t="shared" ca="1" si="19"/>
        <v>0.73038201992545104</v>
      </c>
      <c r="K140" s="2278">
        <f t="shared" ca="1" si="19"/>
        <v>0.75046589164099187</v>
      </c>
      <c r="L140" s="2278">
        <f t="shared" ca="1" si="19"/>
        <v>0.77793882920586366</v>
      </c>
      <c r="M140" s="2278">
        <f t="shared" ca="1" si="19"/>
        <v>0.80553018714078983</v>
      </c>
      <c r="N140" s="2278">
        <f t="shared" ca="1" si="19"/>
        <v>0.83291098841329803</v>
      </c>
      <c r="O140" s="2278">
        <f t="shared" ca="1" si="19"/>
        <v>0.84895360944166376</v>
      </c>
      <c r="Q140" s="27"/>
      <c r="R140" s="27"/>
      <c r="S140" s="27"/>
      <c r="T140" s="27"/>
      <c r="U140" s="27"/>
      <c r="V140" s="27"/>
      <c r="W140" s="27"/>
      <c r="X140" s="27"/>
      <c r="Y140" s="27"/>
      <c r="Z140" s="27"/>
    </row>
    <row r="141" spans="2:26" ht="17.25" hidden="1" customHeight="1" outlineLevel="1"/>
    <row r="142" spans="2:26" hidden="1" outlineLevel="1">
      <c r="B142" s="731">
        <v>2</v>
      </c>
      <c r="C142" s="731" t="s">
        <v>1989</v>
      </c>
    </row>
    <row r="143" spans="2:26" hidden="1" outlineLevel="1"/>
    <row r="144" spans="2:26" hidden="1" outlineLevel="1">
      <c r="C144" s="121" t="s">
        <v>1992</v>
      </c>
      <c r="O144" s="20" t="str">
        <f>Preferences.PowerUnits&amp;"e"</f>
        <v>GWe</v>
      </c>
    </row>
    <row r="145" spans="2:17" ht="5.25" hidden="1" customHeight="1" outlineLevel="1"/>
    <row r="146" spans="2:17" ht="15.75" hidden="1" outlineLevel="1">
      <c r="B146" s="3"/>
      <c r="C146" s="2259" t="s">
        <v>745</v>
      </c>
      <c r="D146" s="2259" t="s">
        <v>418</v>
      </c>
      <c r="E146" s="2259" t="s">
        <v>442</v>
      </c>
      <c r="F146" s="2279">
        <v>2007</v>
      </c>
      <c r="G146" s="2280">
        <v>2010</v>
      </c>
      <c r="H146" s="2279">
        <v>2015</v>
      </c>
      <c r="I146" s="2279">
        <v>2020</v>
      </c>
      <c r="J146" s="2279">
        <v>2025</v>
      </c>
      <c r="K146" s="2279">
        <v>2030</v>
      </c>
      <c r="L146" s="2279">
        <v>2035</v>
      </c>
      <c r="M146" s="2279">
        <v>2040</v>
      </c>
      <c r="N146" s="2279">
        <v>2045</v>
      </c>
      <c r="O146" s="2279">
        <v>2050</v>
      </c>
    </row>
    <row r="147" spans="2:17" ht="15.75" hidden="1" outlineLevel="1">
      <c r="B147" s="3"/>
      <c r="C147" s="495" t="s">
        <v>676</v>
      </c>
      <c r="D147" s="2260" t="s">
        <v>29</v>
      </c>
      <c r="E147" s="495"/>
      <c r="F147" s="2261">
        <f t="shared" ref="F147:O147" ca="1" si="20">$H$99*(F16*Conversion.to.average.power)</f>
        <v>-1.3588921838954215</v>
      </c>
      <c r="G147" s="2282">
        <f t="shared" ca="1" si="20"/>
        <v>-1.4893749551146049</v>
      </c>
      <c r="H147" s="2261">
        <f t="shared" ca="1" si="20"/>
        <v>-1.6447693109369799</v>
      </c>
      <c r="I147" s="2261">
        <f t="shared" ca="1" si="20"/>
        <v>-1.7282685161664699</v>
      </c>
      <c r="J147" s="2261">
        <f t="shared" ca="1" si="20"/>
        <v>-1.7282951173286909</v>
      </c>
      <c r="K147" s="2261">
        <f t="shared" ca="1" si="20"/>
        <v>-1.7718963789756756</v>
      </c>
      <c r="L147" s="2261">
        <f t="shared" ca="1" si="20"/>
        <v>-1.8249618081216743</v>
      </c>
      <c r="M147" s="2261">
        <f t="shared" ca="1" si="20"/>
        <v>-1.9076696815204404</v>
      </c>
      <c r="N147" s="2261">
        <f t="shared" ca="1" si="20"/>
        <v>-2.0154194120815805</v>
      </c>
      <c r="O147" s="2261">
        <f t="shared" ca="1" si="20"/>
        <v>-2.1469578651643526</v>
      </c>
    </row>
    <row r="148" spans="2:17" ht="15.75" hidden="1" outlineLevel="1">
      <c r="B148" s="3"/>
      <c r="C148" s="495" t="s">
        <v>1730</v>
      </c>
      <c r="D148" s="2260" t="s">
        <v>891</v>
      </c>
      <c r="E148" s="495"/>
      <c r="F148" s="2261">
        <f t="shared" ref="F148:O148" ca="1" si="21">$I$99*(F17*Conversion.to.average.power)</f>
        <v>-0.18958939999999994</v>
      </c>
      <c r="G148" s="2282">
        <f t="shared" ca="1" si="21"/>
        <v>-0.39233999999999969</v>
      </c>
      <c r="H148" s="2261">
        <f t="shared" ca="1" si="21"/>
        <v>-0.66733999999999949</v>
      </c>
      <c r="I148" s="2261">
        <f t="shared" ca="1" si="21"/>
        <v>-0.94233999999999962</v>
      </c>
      <c r="J148" s="2261">
        <f t="shared" ca="1" si="21"/>
        <v>-1.1013399999999995</v>
      </c>
      <c r="K148" s="2261">
        <f t="shared" ca="1" si="21"/>
        <v>-0.82833999999999941</v>
      </c>
      <c r="L148" s="2261">
        <f t="shared" ca="1" si="21"/>
        <v>-0.55333999999999972</v>
      </c>
      <c r="M148" s="2261">
        <f t="shared" ca="1" si="21"/>
        <v>-0.2783399999999997</v>
      </c>
      <c r="N148" s="2261">
        <f t="shared" ca="1" si="21"/>
        <v>-3.3399999999998526E-3</v>
      </c>
      <c r="O148" s="2261">
        <f t="shared" ca="1" si="21"/>
        <v>-3.3399999999998526E-3</v>
      </c>
    </row>
    <row r="149" spans="2:17" ht="15.75" hidden="1" outlineLevel="1">
      <c r="B149" s="3"/>
      <c r="C149" s="2262" t="s">
        <v>1731</v>
      </c>
      <c r="D149" s="2263" t="s">
        <v>892</v>
      </c>
      <c r="E149" s="2262"/>
      <c r="F149" s="2264">
        <f t="shared" ref="F149:O149" ca="1" si="22">$J$99*(F18*Conversion.to.average.power)</f>
        <v>-4.7762314285714265E-2</v>
      </c>
      <c r="G149" s="2283">
        <f t="shared" ca="1" si="22"/>
        <v>-0.20157000000000005</v>
      </c>
      <c r="H149" s="2264">
        <f t="shared" ca="1" si="22"/>
        <v>-0.5765699999999998</v>
      </c>
      <c r="I149" s="2264">
        <f t="shared" ca="1" si="22"/>
        <v>-0.95156999999999969</v>
      </c>
      <c r="J149" s="2264">
        <f t="shared" ca="1" si="22"/>
        <v>-1.2290699999999994</v>
      </c>
      <c r="K149" s="2264">
        <f t="shared" ca="1" si="22"/>
        <v>-1.0595699999999997</v>
      </c>
      <c r="L149" s="2264">
        <f t="shared" ca="1" si="22"/>
        <v>-0.6845699999999999</v>
      </c>
      <c r="M149" s="2264">
        <f t="shared" ca="1" si="22"/>
        <v>-0.30957000000000012</v>
      </c>
      <c r="N149" s="2264">
        <f t="shared" ca="1" si="22"/>
        <v>-9.5700000000002068E-3</v>
      </c>
      <c r="O149" s="2264">
        <f t="shared" ca="1" si="22"/>
        <v>-9.5700000000002068E-3</v>
      </c>
    </row>
    <row r="150" spans="2:17" ht="15.75" hidden="1" outlineLevel="1">
      <c r="B150" s="3"/>
      <c r="C150" s="2277"/>
      <c r="D150" s="2277" t="s">
        <v>1993</v>
      </c>
      <c r="E150" s="2277"/>
      <c r="F150" s="2278">
        <f ca="1">SUM(F147:F149)</f>
        <v>-1.5962438981811358</v>
      </c>
      <c r="G150" s="2281">
        <f t="shared" ref="G150:O150" ca="1" si="23">SUM(G147:G149)</f>
        <v>-2.0832849551146047</v>
      </c>
      <c r="H150" s="2278">
        <f t="shared" ca="1" si="23"/>
        <v>-2.888679310936979</v>
      </c>
      <c r="I150" s="2278">
        <f t="shared" ca="1" si="23"/>
        <v>-3.6221785161664695</v>
      </c>
      <c r="J150" s="2278">
        <f t="shared" ca="1" si="23"/>
        <v>-4.0587051173286897</v>
      </c>
      <c r="K150" s="2278">
        <f t="shared" ca="1" si="23"/>
        <v>-3.6598063789756745</v>
      </c>
      <c r="L150" s="2278">
        <f t="shared" ca="1" si="23"/>
        <v>-3.0628718081216739</v>
      </c>
      <c r="M150" s="2278">
        <f t="shared" ca="1" si="23"/>
        <v>-2.4955796815204403</v>
      </c>
      <c r="N150" s="2278">
        <f t="shared" ca="1" si="23"/>
        <v>-2.0283294120815802</v>
      </c>
      <c r="O150" s="2278">
        <f t="shared" ca="1" si="23"/>
        <v>-2.1598678651643524</v>
      </c>
    </row>
    <row r="151" spans="2:17" hidden="1" outlineLevel="1"/>
    <row r="152" spans="2:17" hidden="1" outlineLevel="1">
      <c r="C152" s="121" t="s">
        <v>1994</v>
      </c>
      <c r="O152" s="20" t="str">
        <f>Preferences.EnergyUnits&amp;"e"</f>
        <v>TWhe</v>
      </c>
    </row>
    <row r="153" spans="2:17" ht="5.25" hidden="1" customHeight="1" outlineLevel="1"/>
    <row r="154" spans="2:17" ht="15.75" hidden="1" outlineLevel="1">
      <c r="B154" s="3"/>
      <c r="C154" s="2259" t="s">
        <v>745</v>
      </c>
      <c r="D154" s="2259" t="s">
        <v>418</v>
      </c>
      <c r="E154" s="2259" t="s">
        <v>442</v>
      </c>
      <c r="F154" s="2279">
        <v>2007</v>
      </c>
      <c r="G154" s="2280">
        <v>2010</v>
      </c>
      <c r="H154" s="2279">
        <v>2015</v>
      </c>
      <c r="I154" s="2279">
        <v>2020</v>
      </c>
      <c r="J154" s="2279">
        <v>2025</v>
      </c>
      <c r="K154" s="2279">
        <v>2030</v>
      </c>
      <c r="L154" s="2279">
        <v>2035</v>
      </c>
      <c r="M154" s="2279">
        <v>2040</v>
      </c>
      <c r="N154" s="2279">
        <v>2045</v>
      </c>
      <c r="O154" s="2279">
        <v>2050</v>
      </c>
    </row>
    <row r="155" spans="2:17" ht="15.75" hidden="1" outlineLevel="1">
      <c r="B155" s="3"/>
      <c r="C155" s="495" t="s">
        <v>676</v>
      </c>
      <c r="D155" s="2260" t="s">
        <v>29</v>
      </c>
      <c r="E155" s="495"/>
      <c r="F155" s="2261">
        <f t="shared" ref="F155:O155" ca="1" si="24">F147*Conversion.to.energy.per.second*$F$99*Unit.day</f>
        <v>-0.16306706206745059</v>
      </c>
      <c r="G155" s="2282">
        <f t="shared" ca="1" si="24"/>
        <v>-0.1787249946137526</v>
      </c>
      <c r="H155" s="2261">
        <f t="shared" ca="1" si="24"/>
        <v>-0.19737231731243757</v>
      </c>
      <c r="I155" s="2261">
        <f t="shared" ca="1" si="24"/>
        <v>-0.20739222193997636</v>
      </c>
      <c r="J155" s="2261">
        <f t="shared" ca="1" si="24"/>
        <v>-0.2073954140794429</v>
      </c>
      <c r="K155" s="2261">
        <f t="shared" ca="1" si="24"/>
        <v>-0.21262756547708109</v>
      </c>
      <c r="L155" s="2261">
        <f t="shared" ca="1" si="24"/>
        <v>-0.2189954169746009</v>
      </c>
      <c r="M155" s="2261">
        <f t="shared" ca="1" si="24"/>
        <v>-0.22892036178245281</v>
      </c>
      <c r="N155" s="2261">
        <f t="shared" ca="1" si="24"/>
        <v>-0.24185032944978965</v>
      </c>
      <c r="O155" s="2261">
        <f t="shared" ca="1" si="24"/>
        <v>-0.2576349438197223</v>
      </c>
    </row>
    <row r="156" spans="2:17" ht="15.75" hidden="1" outlineLevel="1">
      <c r="B156" s="3"/>
      <c r="C156" s="495" t="s">
        <v>1730</v>
      </c>
      <c r="D156" s="2260" t="s">
        <v>891</v>
      </c>
      <c r="E156" s="495"/>
      <c r="F156" s="2261">
        <f t="shared" ref="F156:O156" ca="1" si="25">F148*Conversion.to.energy.per.second*$F$99*Unit.day</f>
        <v>-2.2750727999999991E-2</v>
      </c>
      <c r="G156" s="2282">
        <f t="shared" ca="1" si="25"/>
        <v>-4.7080799999999964E-2</v>
      </c>
      <c r="H156" s="2261">
        <f t="shared" ca="1" si="25"/>
        <v>-8.0080799999999938E-2</v>
      </c>
      <c r="I156" s="2261">
        <f t="shared" ca="1" si="25"/>
        <v>-0.11308079999999994</v>
      </c>
      <c r="J156" s="2261">
        <f t="shared" ca="1" si="25"/>
        <v>-0.13216079999999994</v>
      </c>
      <c r="K156" s="2261">
        <f t="shared" ca="1" si="25"/>
        <v>-9.9400799999999914E-2</v>
      </c>
      <c r="L156" s="2261">
        <f t="shared" ca="1" si="25"/>
        <v>-6.6400799999999968E-2</v>
      </c>
      <c r="M156" s="2261">
        <f t="shared" ca="1" si="25"/>
        <v>-3.3400799999999967E-2</v>
      </c>
      <c r="N156" s="2261">
        <f t="shared" ca="1" si="25"/>
        <v>-4.0079999999998231E-4</v>
      </c>
      <c r="O156" s="2261">
        <f t="shared" ca="1" si="25"/>
        <v>-4.0079999999998231E-4</v>
      </c>
    </row>
    <row r="157" spans="2:17" ht="15.75" hidden="1" outlineLevel="1">
      <c r="B157" s="3"/>
      <c r="C157" s="2262" t="s">
        <v>1731</v>
      </c>
      <c r="D157" s="2263" t="s">
        <v>892</v>
      </c>
      <c r="E157" s="2262"/>
      <c r="F157" s="2264">
        <f t="shared" ref="F157:O157" ca="1" si="26">F149*Conversion.to.energy.per.second*$F$99*Unit.day</f>
        <v>-5.7314777142857118E-3</v>
      </c>
      <c r="G157" s="2283">
        <f t="shared" ca="1" si="26"/>
        <v>-2.4188400000000009E-2</v>
      </c>
      <c r="H157" s="2264">
        <f t="shared" ca="1" si="26"/>
        <v>-6.9188399999999969E-2</v>
      </c>
      <c r="I157" s="2264">
        <f t="shared" ca="1" si="26"/>
        <v>-0.11418839999999995</v>
      </c>
      <c r="J157" s="2264">
        <f t="shared" ca="1" si="26"/>
        <v>-0.14748839999999994</v>
      </c>
      <c r="K157" s="2264">
        <f t="shared" ca="1" si="26"/>
        <v>-0.12714839999999994</v>
      </c>
      <c r="L157" s="2264">
        <f t="shared" ca="1" si="26"/>
        <v>-8.2148399999999983E-2</v>
      </c>
      <c r="M157" s="2264">
        <f t="shared" ca="1" si="26"/>
        <v>-3.7148400000000012E-2</v>
      </c>
      <c r="N157" s="2264">
        <f t="shared" ca="1" si="26"/>
        <v>-1.1484000000000247E-3</v>
      </c>
      <c r="O157" s="2264">
        <f t="shared" ca="1" si="26"/>
        <v>-1.1484000000000247E-3</v>
      </c>
    </row>
    <row r="158" spans="2:17" ht="15.75" hidden="1" outlineLevel="1">
      <c r="B158" s="3"/>
      <c r="C158" s="2277"/>
      <c r="D158" s="2277" t="s">
        <v>1993</v>
      </c>
      <c r="E158" s="2277"/>
      <c r="F158" s="2278">
        <f t="shared" ref="F158:O158" ca="1" si="27">SUM(F155:F157)</f>
        <v>-0.19154926778173628</v>
      </c>
      <c r="G158" s="2281">
        <f t="shared" ca="1" si="27"/>
        <v>-0.24999419461375255</v>
      </c>
      <c r="H158" s="2278">
        <f t="shared" ca="1" si="27"/>
        <v>-0.34664151731243747</v>
      </c>
      <c r="I158" s="2278">
        <f t="shared" ca="1" si="27"/>
        <v>-0.43466142193997626</v>
      </c>
      <c r="J158" s="2278">
        <f t="shared" ca="1" si="27"/>
        <v>-0.48704461407944277</v>
      </c>
      <c r="K158" s="2278">
        <f t="shared" ca="1" si="27"/>
        <v>-0.43917676547708095</v>
      </c>
      <c r="L158" s="2278">
        <f t="shared" ca="1" si="27"/>
        <v>-0.36754461697460084</v>
      </c>
      <c r="M158" s="2278">
        <f t="shared" ca="1" si="27"/>
        <v>-0.29946956178245282</v>
      </c>
      <c r="N158" s="2278">
        <f t="shared" ca="1" si="27"/>
        <v>-0.24339952944978965</v>
      </c>
      <c r="O158" s="2278">
        <f t="shared" ca="1" si="27"/>
        <v>-0.25918414381972232</v>
      </c>
      <c r="Q158" s="2313"/>
    </row>
    <row r="159" spans="2:17" ht="17.25" hidden="1" customHeight="1" outlineLevel="1"/>
    <row r="160" spans="2:17" hidden="1" outlineLevel="1">
      <c r="B160" s="731">
        <v>3</v>
      </c>
      <c r="C160" s="731" t="s">
        <v>1995</v>
      </c>
    </row>
    <row r="161" spans="2:27" hidden="1" outlineLevel="1"/>
    <row r="162" spans="2:27" hidden="1" outlineLevel="1">
      <c r="C162" s="121" t="s">
        <v>1996</v>
      </c>
      <c r="O162" s="20" t="str">
        <f>Preferences.PowerUnits&amp;"e"</f>
        <v>GWe</v>
      </c>
    </row>
    <row r="163" spans="2:27" ht="5.25" hidden="1" customHeight="1" outlineLevel="1"/>
    <row r="164" spans="2:27" ht="15.75" hidden="1" outlineLevel="1">
      <c r="B164" s="3"/>
      <c r="C164" s="2259"/>
      <c r="D164" s="2259" t="s">
        <v>418</v>
      </c>
      <c r="E164" s="2259" t="s">
        <v>442</v>
      </c>
      <c r="F164" s="2279">
        <v>2007</v>
      </c>
      <c r="G164" s="2280">
        <v>2010</v>
      </c>
      <c r="H164" s="2279">
        <v>2015</v>
      </c>
      <c r="I164" s="2279">
        <v>2020</v>
      </c>
      <c r="J164" s="2279">
        <v>2025</v>
      </c>
      <c r="K164" s="2279">
        <v>2030</v>
      </c>
      <c r="L164" s="2279">
        <v>2035</v>
      </c>
      <c r="M164" s="2279">
        <v>2040</v>
      </c>
      <c r="N164" s="2279">
        <v>2045</v>
      </c>
      <c r="O164" s="2279">
        <v>2050</v>
      </c>
    </row>
    <row r="165" spans="2:27" ht="15.75" hidden="1" outlineLevel="1">
      <c r="B165" s="3"/>
      <c r="C165" s="495"/>
      <c r="D165" s="2260" t="s">
        <v>1997</v>
      </c>
      <c r="E165" s="495"/>
      <c r="F165" s="2261">
        <f ca="1">F150</f>
        <v>-1.5962438981811358</v>
      </c>
      <c r="G165" s="2282">
        <f t="shared" ref="G165:O165" ca="1" si="28">G150</f>
        <v>-2.0832849551146047</v>
      </c>
      <c r="H165" s="2261">
        <f t="shared" ca="1" si="28"/>
        <v>-2.888679310936979</v>
      </c>
      <c r="I165" s="2261">
        <f t="shared" ca="1" si="28"/>
        <v>-3.6221785161664695</v>
      </c>
      <c r="J165" s="2261">
        <f t="shared" ca="1" si="28"/>
        <v>-4.0587051173286897</v>
      </c>
      <c r="K165" s="2261">
        <f t="shared" ca="1" si="28"/>
        <v>-3.6598063789756745</v>
      </c>
      <c r="L165" s="2261">
        <f t="shared" ca="1" si="28"/>
        <v>-3.0628718081216739</v>
      </c>
      <c r="M165" s="2261">
        <f t="shared" ca="1" si="28"/>
        <v>-2.4955796815204403</v>
      </c>
      <c r="N165" s="2261">
        <f t="shared" ca="1" si="28"/>
        <v>-2.0283294120815802</v>
      </c>
      <c r="O165" s="2261">
        <f t="shared" ca="1" si="28"/>
        <v>-2.1598678651643524</v>
      </c>
      <c r="R165" s="27"/>
      <c r="S165" s="27"/>
      <c r="T165" s="27"/>
      <c r="U165" s="27"/>
      <c r="V165" s="27"/>
      <c r="W165" s="27"/>
      <c r="X165" s="27"/>
      <c r="Y165" s="27"/>
      <c r="Z165" s="27"/>
      <c r="AA165" s="27"/>
    </row>
    <row r="166" spans="2:27" ht="15.75" hidden="1" outlineLevel="1">
      <c r="B166" s="3"/>
      <c r="C166" s="495"/>
      <c r="D166" s="2260" t="str">
        <f>"…after "&amp;D127</f>
        <v>…after boosting thermal plant</v>
      </c>
      <c r="E166" s="495"/>
      <c r="F166" s="2261">
        <f ca="1">F165+F189</f>
        <v>0</v>
      </c>
      <c r="G166" s="2282">
        <f t="shared" ref="G166:O166" ca="1" si="29">G165+G189</f>
        <v>-1.6035030775296555E-3</v>
      </c>
      <c r="H166" s="2261">
        <f t="shared" ca="1" si="29"/>
        <v>-0.57169440731873467</v>
      </c>
      <c r="I166" s="2261">
        <f t="shared" ca="1" si="29"/>
        <v>-1.0708415783273679</v>
      </c>
      <c r="J166" s="2261">
        <f t="shared" ca="1" si="29"/>
        <v>-1.1971882846165984</v>
      </c>
      <c r="K166" s="2261">
        <f t="shared" ca="1" si="29"/>
        <v>-0.63092394863407586</v>
      </c>
      <c r="L166" s="2261">
        <f t="shared" ca="1" si="29"/>
        <v>0</v>
      </c>
      <c r="M166" s="2261">
        <f t="shared" ca="1" si="29"/>
        <v>0</v>
      </c>
      <c r="N166" s="2261">
        <f t="shared" ca="1" si="29"/>
        <v>0</v>
      </c>
      <c r="O166" s="2261">
        <f t="shared" ca="1" si="29"/>
        <v>0</v>
      </c>
      <c r="R166" s="27"/>
      <c r="S166" s="27"/>
      <c r="T166" s="27"/>
      <c r="U166" s="27"/>
      <c r="V166" s="27"/>
      <c r="W166" s="27"/>
      <c r="X166" s="27"/>
      <c r="Y166" s="27"/>
      <c r="Z166" s="27"/>
      <c r="AA166" s="27"/>
    </row>
    <row r="167" spans="2:27" ht="15.75" hidden="1" outlineLevel="1">
      <c r="B167" s="3"/>
      <c r="C167" s="495"/>
      <c r="D167" s="2260" t="str">
        <f>"…after "&amp;D128</f>
        <v>…after drawing from interconnection</v>
      </c>
      <c r="E167" s="495"/>
      <c r="F167" s="2261">
        <f ca="1">F166+F190</f>
        <v>0</v>
      </c>
      <c r="G167" s="2282">
        <f t="shared" ref="G167:O169" ca="1" si="30">G166+G190</f>
        <v>0</v>
      </c>
      <c r="H167" s="2261">
        <f t="shared" ca="1" si="30"/>
        <v>0</v>
      </c>
      <c r="I167" s="2261">
        <f t="shared" ca="1" si="30"/>
        <v>0</v>
      </c>
      <c r="J167" s="2261">
        <f t="shared" ca="1" si="30"/>
        <v>0</v>
      </c>
      <c r="K167" s="2261">
        <f t="shared" ca="1" si="30"/>
        <v>0</v>
      </c>
      <c r="L167" s="2261">
        <f t="shared" ca="1" si="30"/>
        <v>0</v>
      </c>
      <c r="M167" s="2261">
        <f t="shared" ca="1" si="30"/>
        <v>0</v>
      </c>
      <c r="N167" s="2261">
        <f t="shared" ca="1" si="30"/>
        <v>0</v>
      </c>
      <c r="O167" s="2261">
        <f t="shared" ca="1" si="30"/>
        <v>0</v>
      </c>
      <c r="R167" s="27"/>
      <c r="S167" s="27"/>
      <c r="T167" s="27"/>
      <c r="U167" s="27"/>
      <c r="V167" s="27"/>
      <c r="W167" s="27"/>
      <c r="X167" s="27"/>
      <c r="Y167" s="27"/>
      <c r="Z167" s="27"/>
      <c r="AA167" s="27"/>
    </row>
    <row r="168" spans="2:27" ht="15.75" hidden="1" outlineLevel="1">
      <c r="B168" s="3"/>
      <c r="C168" s="495"/>
      <c r="D168" s="2260" t="str">
        <f>"…after "&amp;D129</f>
        <v>…after shifting demand from electric vehicles</v>
      </c>
      <c r="E168" s="495"/>
      <c r="F168" s="2261">
        <f ca="1">F167+F191</f>
        <v>0</v>
      </c>
      <c r="G168" s="2282">
        <f t="shared" ca="1" si="30"/>
        <v>0</v>
      </c>
      <c r="H168" s="2261">
        <f t="shared" ca="1" si="30"/>
        <v>0</v>
      </c>
      <c r="I168" s="2261">
        <f t="shared" ca="1" si="30"/>
        <v>0</v>
      </c>
      <c r="J168" s="2261">
        <f t="shared" ca="1" si="30"/>
        <v>0</v>
      </c>
      <c r="K168" s="2261">
        <f t="shared" ca="1" si="30"/>
        <v>0</v>
      </c>
      <c r="L168" s="2261">
        <f t="shared" ca="1" si="30"/>
        <v>0</v>
      </c>
      <c r="M168" s="2261">
        <f t="shared" ca="1" si="30"/>
        <v>0</v>
      </c>
      <c r="N168" s="2261">
        <f t="shared" ca="1" si="30"/>
        <v>0</v>
      </c>
      <c r="O168" s="2261">
        <f t="shared" ca="1" si="30"/>
        <v>0</v>
      </c>
      <c r="R168" s="27"/>
      <c r="S168" s="27"/>
      <c r="T168" s="27"/>
      <c r="U168" s="27"/>
      <c r="V168" s="27"/>
      <c r="W168" s="27"/>
      <c r="X168" s="27"/>
      <c r="Y168" s="27"/>
      <c r="Z168" s="27"/>
      <c r="AA168" s="27"/>
    </row>
    <row r="169" spans="2:27" ht="15.75" hidden="1" outlineLevel="1">
      <c r="B169" s="3"/>
      <c r="C169" s="2262"/>
      <c r="D169" s="2260" t="str">
        <f>"…after "&amp;D130</f>
        <v>…after drawing from pumped storage</v>
      </c>
      <c r="E169" s="2262"/>
      <c r="F169" s="2261">
        <f ca="1">F168+F192</f>
        <v>0</v>
      </c>
      <c r="G169" s="2282">
        <f t="shared" ca="1" si="30"/>
        <v>0</v>
      </c>
      <c r="H169" s="2261">
        <f t="shared" ca="1" si="30"/>
        <v>0</v>
      </c>
      <c r="I169" s="2261">
        <f t="shared" ca="1" si="30"/>
        <v>0</v>
      </c>
      <c r="J169" s="2261">
        <f t="shared" ca="1" si="30"/>
        <v>0</v>
      </c>
      <c r="K169" s="2261">
        <f t="shared" ca="1" si="30"/>
        <v>0</v>
      </c>
      <c r="L169" s="2261">
        <f t="shared" ca="1" si="30"/>
        <v>0</v>
      </c>
      <c r="M169" s="2261">
        <f t="shared" ca="1" si="30"/>
        <v>0</v>
      </c>
      <c r="N169" s="2261">
        <f t="shared" ca="1" si="30"/>
        <v>0</v>
      </c>
      <c r="O169" s="2261">
        <f t="shared" ca="1" si="30"/>
        <v>0</v>
      </c>
      <c r="R169" s="27"/>
      <c r="S169" s="27"/>
      <c r="T169" s="27"/>
      <c r="U169" s="27"/>
      <c r="V169" s="27"/>
      <c r="W169" s="27"/>
      <c r="X169" s="27"/>
      <c r="Y169" s="27"/>
      <c r="Z169" s="27"/>
      <c r="AA169" s="27"/>
    </row>
    <row r="170" spans="2:27" ht="15.75" hidden="1" outlineLevel="1">
      <c r="B170" s="3"/>
      <c r="C170" s="2277"/>
      <c r="D170" s="2277" t="s">
        <v>2002</v>
      </c>
      <c r="E170" s="2277"/>
      <c r="F170" s="2278">
        <f ca="1">F169</f>
        <v>0</v>
      </c>
      <c r="G170" s="2281">
        <f t="shared" ref="G170:O170" ca="1" si="31">G169</f>
        <v>0</v>
      </c>
      <c r="H170" s="2278">
        <f t="shared" ca="1" si="31"/>
        <v>0</v>
      </c>
      <c r="I170" s="2278">
        <f t="shared" ca="1" si="31"/>
        <v>0</v>
      </c>
      <c r="J170" s="2278">
        <f t="shared" ca="1" si="31"/>
        <v>0</v>
      </c>
      <c r="K170" s="2278">
        <f t="shared" ca="1" si="31"/>
        <v>0</v>
      </c>
      <c r="L170" s="2278">
        <f t="shared" ca="1" si="31"/>
        <v>0</v>
      </c>
      <c r="M170" s="2278">
        <f t="shared" ca="1" si="31"/>
        <v>0</v>
      </c>
      <c r="N170" s="2278">
        <f t="shared" ca="1" si="31"/>
        <v>0</v>
      </c>
      <c r="O170" s="2278">
        <f t="shared" ca="1" si="31"/>
        <v>0</v>
      </c>
      <c r="R170" s="27"/>
      <c r="S170" s="27"/>
      <c r="T170" s="27"/>
      <c r="U170" s="27"/>
      <c r="V170" s="27"/>
      <c r="W170" s="27"/>
      <c r="X170" s="27"/>
      <c r="Y170" s="27"/>
      <c r="Z170" s="27"/>
      <c r="AA170" s="27"/>
    </row>
    <row r="171" spans="2:27" ht="17.25" hidden="1" customHeight="1" outlineLevel="1"/>
    <row r="172" spans="2:27" hidden="1" outlineLevel="1">
      <c r="B172" s="731">
        <v>4</v>
      </c>
      <c r="C172" s="731" t="s">
        <v>2004</v>
      </c>
    </row>
    <row r="173" spans="2:27" hidden="1" outlineLevel="1"/>
    <row r="174" spans="2:27" hidden="1" outlineLevel="1">
      <c r="C174" s="121" t="s">
        <v>2003</v>
      </c>
      <c r="O174" s="20" t="str">
        <f>Preferences.EnergyUnits&amp;"e"</f>
        <v>TWhe</v>
      </c>
    </row>
    <row r="175" spans="2:27" ht="5.25" hidden="1" customHeight="1" outlineLevel="1"/>
    <row r="176" spans="2:27" ht="15.75" hidden="1" outlineLevel="1">
      <c r="B176" s="3"/>
      <c r="C176" s="2259"/>
      <c r="D176" s="2259" t="s">
        <v>418</v>
      </c>
      <c r="E176" s="2259" t="s">
        <v>442</v>
      </c>
      <c r="F176" s="2279">
        <v>2007</v>
      </c>
      <c r="G176" s="2280">
        <v>2010</v>
      </c>
      <c r="H176" s="2279">
        <v>2015</v>
      </c>
      <c r="I176" s="2279">
        <v>2020</v>
      </c>
      <c r="J176" s="2279">
        <v>2025</v>
      </c>
      <c r="K176" s="2279">
        <v>2030</v>
      </c>
      <c r="L176" s="2279">
        <v>2035</v>
      </c>
      <c r="M176" s="2279">
        <v>2040</v>
      </c>
      <c r="N176" s="2279">
        <v>2045</v>
      </c>
      <c r="O176" s="2279">
        <v>2050</v>
      </c>
    </row>
    <row r="177" spans="2:27" ht="15.75" hidden="1" outlineLevel="1">
      <c r="B177" s="3"/>
      <c r="C177" s="495"/>
      <c r="D177" s="2260" t="s">
        <v>1997</v>
      </c>
      <c r="E177" s="495"/>
      <c r="F177" s="2261">
        <f ca="1">F158</f>
        <v>-0.19154926778173628</v>
      </c>
      <c r="G177" s="2286">
        <f t="shared" ref="G177:O177" ca="1" si="32">G158</f>
        <v>-0.24999419461375255</v>
      </c>
      <c r="H177" s="2261">
        <f t="shared" ca="1" si="32"/>
        <v>-0.34664151731243747</v>
      </c>
      <c r="I177" s="2261">
        <f t="shared" ca="1" si="32"/>
        <v>-0.43466142193997626</v>
      </c>
      <c r="J177" s="2261">
        <f t="shared" ca="1" si="32"/>
        <v>-0.48704461407944277</v>
      </c>
      <c r="K177" s="2261">
        <f t="shared" ca="1" si="32"/>
        <v>-0.43917676547708095</v>
      </c>
      <c r="L177" s="2261">
        <f t="shared" ca="1" si="32"/>
        <v>-0.36754461697460084</v>
      </c>
      <c r="M177" s="2261">
        <f t="shared" ca="1" si="32"/>
        <v>-0.29946956178245282</v>
      </c>
      <c r="N177" s="2261">
        <f t="shared" ca="1" si="32"/>
        <v>-0.24339952944978965</v>
      </c>
      <c r="O177" s="2261">
        <f t="shared" ca="1" si="32"/>
        <v>-0.25918414381972232</v>
      </c>
      <c r="R177" s="27"/>
      <c r="S177" s="27"/>
      <c r="T177" s="27"/>
      <c r="U177" s="27"/>
      <c r="V177" s="27"/>
      <c r="W177" s="27"/>
      <c r="X177" s="27"/>
      <c r="Y177" s="27"/>
      <c r="Z177" s="27"/>
      <c r="AA177" s="27"/>
    </row>
    <row r="178" spans="2:27" ht="15.75" hidden="1" outlineLevel="1">
      <c r="B178" s="3"/>
      <c r="C178" s="495"/>
      <c r="D178" s="2260" t="str">
        <f>"…after "&amp;D136</f>
        <v>…after boosting thermal plant</v>
      </c>
      <c r="E178" s="495"/>
      <c r="F178" s="2261">
        <f ca="1">F177+F198</f>
        <v>0</v>
      </c>
      <c r="G178" s="2282">
        <f t="shared" ref="G178:O178" ca="1" si="33">G177+G198</f>
        <v>-1.9242036930355866E-4</v>
      </c>
      <c r="H178" s="2261">
        <f t="shared" ca="1" si="33"/>
        <v>-6.860332887824816E-2</v>
      </c>
      <c r="I178" s="2261">
        <f t="shared" ca="1" si="33"/>
        <v>-0.12850098939928412</v>
      </c>
      <c r="J178" s="2261">
        <f t="shared" ca="1" si="33"/>
        <v>-0.14366259415399185</v>
      </c>
      <c r="K178" s="2261">
        <f t="shared" ca="1" si="33"/>
        <v>-7.5710873836089154E-2</v>
      </c>
      <c r="L178" s="2261">
        <f t="shared" ca="1" si="33"/>
        <v>0</v>
      </c>
      <c r="M178" s="2261">
        <f t="shared" ca="1" si="33"/>
        <v>0</v>
      </c>
      <c r="N178" s="2261">
        <f t="shared" ca="1" si="33"/>
        <v>0</v>
      </c>
      <c r="O178" s="2261">
        <f t="shared" ca="1" si="33"/>
        <v>0</v>
      </c>
      <c r="R178" s="27"/>
      <c r="S178" s="27"/>
      <c r="T178" s="27"/>
      <c r="U178" s="27"/>
      <c r="V178" s="27"/>
      <c r="W178" s="27"/>
      <c r="X178" s="27"/>
      <c r="Y178" s="27"/>
      <c r="Z178" s="27"/>
      <c r="AA178" s="27"/>
    </row>
    <row r="179" spans="2:27" ht="15.75" hidden="1" outlineLevel="1">
      <c r="B179" s="3"/>
      <c r="C179" s="495"/>
      <c r="D179" s="2260" t="str">
        <f>"…after "&amp;D137</f>
        <v>…after drawing from interconnection</v>
      </c>
      <c r="E179" s="495"/>
      <c r="F179" s="2261">
        <f t="shared" ref="F179:O179" ca="1" si="34">F178+F199</f>
        <v>0</v>
      </c>
      <c r="G179" s="2282">
        <f t="shared" ca="1" si="34"/>
        <v>0</v>
      </c>
      <c r="H179" s="2261">
        <f t="shared" ca="1" si="34"/>
        <v>0</v>
      </c>
      <c r="I179" s="2261">
        <f t="shared" ca="1" si="34"/>
        <v>0</v>
      </c>
      <c r="J179" s="2261">
        <f t="shared" ca="1" si="34"/>
        <v>0</v>
      </c>
      <c r="K179" s="2261">
        <f t="shared" ca="1" si="34"/>
        <v>0</v>
      </c>
      <c r="L179" s="2261">
        <f t="shared" ca="1" si="34"/>
        <v>0</v>
      </c>
      <c r="M179" s="2261">
        <f t="shared" ca="1" si="34"/>
        <v>0</v>
      </c>
      <c r="N179" s="2261">
        <f t="shared" ca="1" si="34"/>
        <v>0</v>
      </c>
      <c r="O179" s="2261">
        <f t="shared" ca="1" si="34"/>
        <v>0</v>
      </c>
      <c r="R179" s="27"/>
      <c r="S179" s="27"/>
      <c r="T179" s="27"/>
      <c r="U179" s="27"/>
      <c r="V179" s="27"/>
      <c r="W179" s="27"/>
      <c r="X179" s="27"/>
      <c r="Y179" s="27"/>
      <c r="Z179" s="27"/>
      <c r="AA179" s="27"/>
    </row>
    <row r="180" spans="2:27" ht="15.75" hidden="1" outlineLevel="1">
      <c r="B180" s="3"/>
      <c r="C180" s="495"/>
      <c r="D180" s="2260" t="str">
        <f>"…after "&amp;D138</f>
        <v>…after shifting demand from electric vehicles</v>
      </c>
      <c r="E180" s="495"/>
      <c r="F180" s="2261">
        <f t="shared" ref="F180:O180" ca="1" si="35">F179+F200</f>
        <v>0</v>
      </c>
      <c r="G180" s="2282">
        <f t="shared" ca="1" si="35"/>
        <v>0</v>
      </c>
      <c r="H180" s="2261">
        <f t="shared" ca="1" si="35"/>
        <v>0</v>
      </c>
      <c r="I180" s="2261">
        <f t="shared" ca="1" si="35"/>
        <v>0</v>
      </c>
      <c r="J180" s="2261">
        <f t="shared" ca="1" si="35"/>
        <v>0</v>
      </c>
      <c r="K180" s="2261">
        <f t="shared" ca="1" si="35"/>
        <v>0</v>
      </c>
      <c r="L180" s="2261">
        <f t="shared" ca="1" si="35"/>
        <v>0</v>
      </c>
      <c r="M180" s="2261">
        <f t="shared" ca="1" si="35"/>
        <v>0</v>
      </c>
      <c r="N180" s="2261">
        <f t="shared" ca="1" si="35"/>
        <v>0</v>
      </c>
      <c r="O180" s="2261">
        <f t="shared" ca="1" si="35"/>
        <v>0</v>
      </c>
      <c r="R180" s="27"/>
      <c r="S180" s="27"/>
      <c r="T180" s="27"/>
      <c r="U180" s="27"/>
      <c r="V180" s="27"/>
      <c r="W180" s="27"/>
      <c r="X180" s="27"/>
      <c r="Y180" s="27"/>
      <c r="Z180" s="27"/>
      <c r="AA180" s="27"/>
    </row>
    <row r="181" spans="2:27" ht="15.75" hidden="1" outlineLevel="1">
      <c r="B181" s="3"/>
      <c r="C181" s="2262"/>
      <c r="D181" s="2260" t="str">
        <f>"…after "&amp;D139</f>
        <v>…after drawing from pumped storage</v>
      </c>
      <c r="E181" s="2262"/>
      <c r="F181" s="2264">
        <f t="shared" ref="F181:O181" ca="1" si="36">F180+F201</f>
        <v>0</v>
      </c>
      <c r="G181" s="2283">
        <f t="shared" ca="1" si="36"/>
        <v>0</v>
      </c>
      <c r="H181" s="2264">
        <f t="shared" ca="1" si="36"/>
        <v>0</v>
      </c>
      <c r="I181" s="2264">
        <f t="shared" ca="1" si="36"/>
        <v>0</v>
      </c>
      <c r="J181" s="2264">
        <f t="shared" ca="1" si="36"/>
        <v>0</v>
      </c>
      <c r="K181" s="2264">
        <f t="shared" ca="1" si="36"/>
        <v>0</v>
      </c>
      <c r="L181" s="2264">
        <f t="shared" ca="1" si="36"/>
        <v>0</v>
      </c>
      <c r="M181" s="2264">
        <f t="shared" ca="1" si="36"/>
        <v>0</v>
      </c>
      <c r="N181" s="2264">
        <f t="shared" ca="1" si="36"/>
        <v>0</v>
      </c>
      <c r="O181" s="2264">
        <f t="shared" ca="1" si="36"/>
        <v>0</v>
      </c>
      <c r="R181" s="27"/>
      <c r="S181" s="27"/>
      <c r="T181" s="27"/>
      <c r="U181" s="27"/>
      <c r="V181" s="27"/>
      <c r="W181" s="27"/>
      <c r="X181" s="27"/>
      <c r="Y181" s="27"/>
      <c r="Z181" s="27"/>
      <c r="AA181" s="27"/>
    </row>
    <row r="182" spans="2:27" ht="15.75" hidden="1" outlineLevel="1">
      <c r="B182" s="3"/>
      <c r="C182" s="2277"/>
      <c r="D182" s="2277" t="s">
        <v>2011</v>
      </c>
      <c r="E182" s="2277"/>
      <c r="F182" s="2278">
        <f t="shared" ref="F182:O182" ca="1" si="37">F181</f>
        <v>0</v>
      </c>
      <c r="G182" s="2281">
        <f t="shared" ca="1" si="37"/>
        <v>0</v>
      </c>
      <c r="H182" s="2278">
        <f t="shared" ca="1" si="37"/>
        <v>0</v>
      </c>
      <c r="I182" s="2278">
        <f t="shared" ca="1" si="37"/>
        <v>0</v>
      </c>
      <c r="J182" s="2278">
        <f t="shared" ca="1" si="37"/>
        <v>0</v>
      </c>
      <c r="K182" s="2278">
        <f t="shared" ca="1" si="37"/>
        <v>0</v>
      </c>
      <c r="L182" s="2278">
        <f t="shared" ca="1" si="37"/>
        <v>0</v>
      </c>
      <c r="M182" s="2278">
        <f t="shared" ca="1" si="37"/>
        <v>0</v>
      </c>
      <c r="N182" s="2278">
        <f t="shared" ca="1" si="37"/>
        <v>0</v>
      </c>
      <c r="O182" s="2278">
        <f t="shared" ca="1" si="37"/>
        <v>0</v>
      </c>
      <c r="Q182" s="2313"/>
      <c r="R182" s="27"/>
      <c r="S182" s="27"/>
      <c r="T182" s="27"/>
      <c r="U182" s="27"/>
      <c r="V182" s="27"/>
      <c r="W182" s="27"/>
      <c r="X182" s="27"/>
      <c r="Y182" s="27"/>
      <c r="Z182" s="27"/>
      <c r="AA182" s="27"/>
    </row>
    <row r="183" spans="2:27" ht="17.25" hidden="1" customHeight="1" outlineLevel="1"/>
    <row r="184" spans="2:27" hidden="1" outlineLevel="1">
      <c r="B184" s="731">
        <v>5</v>
      </c>
      <c r="C184" s="731" t="s">
        <v>2009</v>
      </c>
    </row>
    <row r="185" spans="2:27" hidden="1" outlineLevel="1"/>
    <row r="186" spans="2:27" hidden="1" outlineLevel="1">
      <c r="C186" s="121" t="s">
        <v>2005</v>
      </c>
      <c r="O186" s="20" t="str">
        <f>Preferences.PowerUnits&amp;"e"</f>
        <v>GWe</v>
      </c>
    </row>
    <row r="187" spans="2:27" ht="5.25" hidden="1" customHeight="1" outlineLevel="1"/>
    <row r="188" spans="2:27" hidden="1" outlineLevel="1">
      <c r="C188" s="2259"/>
      <c r="D188" s="2259" t="s">
        <v>418</v>
      </c>
      <c r="E188" s="2259" t="s">
        <v>442</v>
      </c>
      <c r="F188" s="2279">
        <v>2007</v>
      </c>
      <c r="G188" s="2280">
        <v>2010</v>
      </c>
      <c r="H188" s="2279">
        <v>2015</v>
      </c>
      <c r="I188" s="2279">
        <v>2020</v>
      </c>
      <c r="J188" s="2279">
        <v>2025</v>
      </c>
      <c r="K188" s="2279">
        <v>2030</v>
      </c>
      <c r="L188" s="2279">
        <v>2035</v>
      </c>
      <c r="M188" s="2279">
        <v>2040</v>
      </c>
      <c r="N188" s="2279">
        <v>2045</v>
      </c>
      <c r="O188" s="2279">
        <v>2050</v>
      </c>
    </row>
    <row r="189" spans="2:27" ht="15.75" hidden="1" outlineLevel="1">
      <c r="B189" s="3"/>
      <c r="C189" s="495"/>
      <c r="D189" s="2260" t="s">
        <v>1998</v>
      </c>
      <c r="E189" s="495"/>
      <c r="F189" s="2261">
        <f ca="1">MIN(ABS(F165),F127)</f>
        <v>1.5962438981811358</v>
      </c>
      <c r="G189" s="2286">
        <f t="shared" ref="G189:O189" ca="1" si="38">MIN(ABS(G165),G127)</f>
        <v>2.081681452037075</v>
      </c>
      <c r="H189" s="2261">
        <f t="shared" ca="1" si="38"/>
        <v>2.3169849036182444</v>
      </c>
      <c r="I189" s="2261">
        <f t="shared" ca="1" si="38"/>
        <v>2.5513369378391015</v>
      </c>
      <c r="J189" s="2261">
        <f t="shared" ca="1" si="38"/>
        <v>2.8615168327120912</v>
      </c>
      <c r="K189" s="2261">
        <f t="shared" ca="1" si="38"/>
        <v>3.0288824303415987</v>
      </c>
      <c r="L189" s="2261">
        <f t="shared" ca="1" si="38"/>
        <v>3.0628718081216739</v>
      </c>
      <c r="M189" s="2261">
        <f t="shared" ca="1" si="38"/>
        <v>2.4955796815204403</v>
      </c>
      <c r="N189" s="2261">
        <f t="shared" ca="1" si="38"/>
        <v>2.0283294120815802</v>
      </c>
      <c r="O189" s="2261">
        <f t="shared" ca="1" si="38"/>
        <v>2.1598678651643524</v>
      </c>
    </row>
    <row r="190" spans="2:27" ht="15.75" hidden="1" outlineLevel="1">
      <c r="B190" s="3"/>
      <c r="C190" s="495"/>
      <c r="D190" s="2260" t="s">
        <v>1999</v>
      </c>
      <c r="E190" s="495"/>
      <c r="F190" s="2261">
        <f t="shared" ref="F190:O192" ca="1" si="39">MIN(ABS(F166),F128)</f>
        <v>0</v>
      </c>
      <c r="G190" s="2287">
        <f t="shared" ca="1" si="39"/>
        <v>1.6035030775296555E-3</v>
      </c>
      <c r="H190" s="2261">
        <f t="shared" ca="1" si="39"/>
        <v>0.57169440731873467</v>
      </c>
      <c r="I190" s="2261">
        <f t="shared" ca="1" si="39"/>
        <v>1.0708415783273679</v>
      </c>
      <c r="J190" s="2261">
        <f t="shared" ca="1" si="39"/>
        <v>1.1971882846165984</v>
      </c>
      <c r="K190" s="2261">
        <f t="shared" ca="1" si="39"/>
        <v>0.63092394863407586</v>
      </c>
      <c r="L190" s="2261">
        <f t="shared" ca="1" si="39"/>
        <v>0</v>
      </c>
      <c r="M190" s="2261">
        <f t="shared" ca="1" si="39"/>
        <v>0</v>
      </c>
      <c r="N190" s="2261">
        <f t="shared" ca="1" si="39"/>
        <v>0</v>
      </c>
      <c r="O190" s="2261">
        <f t="shared" ca="1" si="39"/>
        <v>0</v>
      </c>
    </row>
    <row r="191" spans="2:27" ht="15.75" hidden="1" outlineLevel="1">
      <c r="B191" s="3"/>
      <c r="C191" s="495"/>
      <c r="D191" s="2260" t="s">
        <v>2000</v>
      </c>
      <c r="E191" s="495"/>
      <c r="F191" s="2261">
        <f t="shared" ca="1" si="39"/>
        <v>0</v>
      </c>
      <c r="G191" s="2287">
        <f t="shared" ca="1" si="39"/>
        <v>0</v>
      </c>
      <c r="H191" s="2261">
        <f t="shared" ca="1" si="39"/>
        <v>0</v>
      </c>
      <c r="I191" s="2261">
        <f t="shared" ca="1" si="39"/>
        <v>0</v>
      </c>
      <c r="J191" s="2261">
        <f t="shared" ca="1" si="39"/>
        <v>0</v>
      </c>
      <c r="K191" s="2261">
        <f t="shared" ca="1" si="39"/>
        <v>0</v>
      </c>
      <c r="L191" s="2261">
        <f t="shared" ca="1" si="39"/>
        <v>0</v>
      </c>
      <c r="M191" s="2261">
        <f t="shared" ca="1" si="39"/>
        <v>0</v>
      </c>
      <c r="N191" s="2261">
        <f t="shared" ca="1" si="39"/>
        <v>0</v>
      </c>
      <c r="O191" s="2261">
        <f t="shared" ca="1" si="39"/>
        <v>0</v>
      </c>
    </row>
    <row r="192" spans="2:27" ht="15.75" hidden="1" outlineLevel="1">
      <c r="B192" s="3"/>
      <c r="C192" s="2262"/>
      <c r="D192" s="2263" t="s">
        <v>2001</v>
      </c>
      <c r="E192" s="2262"/>
      <c r="F192" s="2261">
        <f t="shared" ca="1" si="39"/>
        <v>0</v>
      </c>
      <c r="G192" s="2287">
        <f t="shared" ca="1" si="39"/>
        <v>0</v>
      </c>
      <c r="H192" s="2261">
        <f t="shared" ca="1" si="39"/>
        <v>0</v>
      </c>
      <c r="I192" s="2261">
        <f t="shared" ca="1" si="39"/>
        <v>0</v>
      </c>
      <c r="J192" s="2261">
        <f t="shared" ca="1" si="39"/>
        <v>0</v>
      </c>
      <c r="K192" s="2261">
        <f t="shared" ca="1" si="39"/>
        <v>0</v>
      </c>
      <c r="L192" s="2261">
        <f t="shared" ca="1" si="39"/>
        <v>0</v>
      </c>
      <c r="M192" s="2261">
        <f t="shared" ca="1" si="39"/>
        <v>0</v>
      </c>
      <c r="N192" s="2261">
        <f t="shared" ca="1" si="39"/>
        <v>0</v>
      </c>
      <c r="O192" s="2261">
        <f t="shared" ca="1" si="39"/>
        <v>0</v>
      </c>
    </row>
    <row r="193" spans="2:30" ht="15.75" hidden="1" outlineLevel="1">
      <c r="B193" s="3"/>
      <c r="C193" s="2277"/>
      <c r="D193" s="2277" t="s">
        <v>2007</v>
      </c>
      <c r="E193" s="2277"/>
      <c r="F193" s="2278">
        <f ca="1">SUM(F189:F192)</f>
        <v>1.5962438981811358</v>
      </c>
      <c r="G193" s="2281">
        <f t="shared" ref="G193:O193" ca="1" si="40">SUM(G189:G192)</f>
        <v>2.0832849551146047</v>
      </c>
      <c r="H193" s="2278">
        <f t="shared" ca="1" si="40"/>
        <v>2.888679310936979</v>
      </c>
      <c r="I193" s="2278">
        <f t="shared" ca="1" si="40"/>
        <v>3.6221785161664695</v>
      </c>
      <c r="J193" s="2278">
        <f t="shared" ca="1" si="40"/>
        <v>4.0587051173286897</v>
      </c>
      <c r="K193" s="2278">
        <f t="shared" ca="1" si="40"/>
        <v>3.6598063789756745</v>
      </c>
      <c r="L193" s="2278">
        <f t="shared" ca="1" si="40"/>
        <v>3.0628718081216739</v>
      </c>
      <c r="M193" s="2278">
        <f t="shared" ca="1" si="40"/>
        <v>2.4955796815204403</v>
      </c>
      <c r="N193" s="2278">
        <f t="shared" ca="1" si="40"/>
        <v>2.0283294120815802</v>
      </c>
      <c r="O193" s="2278">
        <f t="shared" ca="1" si="40"/>
        <v>2.1598678651643524</v>
      </c>
    </row>
    <row r="194" spans="2:30" hidden="1" outlineLevel="1"/>
    <row r="195" spans="2:30" hidden="1" outlineLevel="1">
      <c r="C195" s="121" t="s">
        <v>2006</v>
      </c>
      <c r="O195" s="20" t="str">
        <f>Preferences.EnergyUnits&amp;"e"</f>
        <v>TWhe</v>
      </c>
    </row>
    <row r="196" spans="2:30" ht="5.25" hidden="1" customHeight="1" outlineLevel="1"/>
    <row r="197" spans="2:30" ht="15.75" hidden="1" outlineLevel="1">
      <c r="B197" s="3"/>
      <c r="C197" s="2259"/>
      <c r="D197" s="2259" t="s">
        <v>418</v>
      </c>
      <c r="E197" s="2259" t="s">
        <v>442</v>
      </c>
      <c r="F197" s="2279">
        <v>2007</v>
      </c>
      <c r="G197" s="2280">
        <v>2010</v>
      </c>
      <c r="H197" s="2279">
        <v>2015</v>
      </c>
      <c r="I197" s="2279">
        <v>2020</v>
      </c>
      <c r="J197" s="2279">
        <v>2025</v>
      </c>
      <c r="K197" s="2279">
        <v>2030</v>
      </c>
      <c r="L197" s="2279">
        <v>2035</v>
      </c>
      <c r="M197" s="2279">
        <v>2040</v>
      </c>
      <c r="N197" s="2279">
        <v>2045</v>
      </c>
      <c r="O197" s="2279">
        <v>2050</v>
      </c>
    </row>
    <row r="198" spans="2:30" ht="15.75" hidden="1" outlineLevel="1">
      <c r="B198" s="3"/>
      <c r="C198" s="495"/>
      <c r="D198" s="2260" t="s">
        <v>1998</v>
      </c>
      <c r="E198" s="495"/>
      <c r="F198" s="2261">
        <f ca="1">MIN(ABS(F177),F136)</f>
        <v>0.19154926778173628</v>
      </c>
      <c r="G198" s="2282">
        <f t="shared" ref="G198:O198" ca="1" si="41">MIN(ABS(G177),G136)</f>
        <v>0.24980177424444899</v>
      </c>
      <c r="H198" s="2261">
        <f t="shared" ca="1" si="41"/>
        <v>0.27803818843418932</v>
      </c>
      <c r="I198" s="2261">
        <f t="shared" ca="1" si="41"/>
        <v>0.30616043254069214</v>
      </c>
      <c r="J198" s="2261">
        <f t="shared" ca="1" si="41"/>
        <v>0.34338201992545092</v>
      </c>
      <c r="K198" s="2261">
        <f t="shared" ca="1" si="41"/>
        <v>0.3634658916409918</v>
      </c>
      <c r="L198" s="2261">
        <f t="shared" ca="1" si="41"/>
        <v>0.36754461697460084</v>
      </c>
      <c r="M198" s="2261">
        <f t="shared" ca="1" si="41"/>
        <v>0.29946956178245282</v>
      </c>
      <c r="N198" s="2261">
        <f t="shared" ca="1" si="41"/>
        <v>0.24339952944978965</v>
      </c>
      <c r="O198" s="2261">
        <f t="shared" ca="1" si="41"/>
        <v>0.25918414381972232</v>
      </c>
    </row>
    <row r="199" spans="2:30" ht="15.75" hidden="1" outlineLevel="1">
      <c r="B199" s="3"/>
      <c r="C199" s="495"/>
      <c r="D199" s="2260" t="s">
        <v>1999</v>
      </c>
      <c r="E199" s="495"/>
      <c r="F199" s="2261">
        <f ca="1">MIN(ABS(F178),F137)</f>
        <v>0</v>
      </c>
      <c r="G199" s="2282">
        <f t="shared" ref="G199:O199" ca="1" si="42">MIN(ABS(G178),G137)</f>
        <v>1.9242036930355866E-4</v>
      </c>
      <c r="H199" s="2261">
        <f t="shared" ca="1" si="42"/>
        <v>6.860332887824816E-2</v>
      </c>
      <c r="I199" s="2261">
        <f t="shared" ca="1" si="42"/>
        <v>0.12850098939928412</v>
      </c>
      <c r="J199" s="2261">
        <f t="shared" ca="1" si="42"/>
        <v>0.14366259415399185</v>
      </c>
      <c r="K199" s="2261">
        <f t="shared" ca="1" si="42"/>
        <v>7.5710873836089154E-2</v>
      </c>
      <c r="L199" s="2261">
        <f t="shared" ca="1" si="42"/>
        <v>0</v>
      </c>
      <c r="M199" s="2261">
        <f t="shared" ca="1" si="42"/>
        <v>0</v>
      </c>
      <c r="N199" s="2261">
        <f t="shared" ca="1" si="42"/>
        <v>0</v>
      </c>
      <c r="O199" s="2261">
        <f t="shared" ca="1" si="42"/>
        <v>0</v>
      </c>
    </row>
    <row r="200" spans="2:30" ht="15.75" hidden="1" outlineLevel="1">
      <c r="B200" s="3"/>
      <c r="C200" s="495"/>
      <c r="D200" s="2260" t="s">
        <v>2000</v>
      </c>
      <c r="E200" s="495"/>
      <c r="F200" s="2261">
        <f ca="1">MIN(ABS(F179),F138)</f>
        <v>0</v>
      </c>
      <c r="G200" s="2282">
        <f t="shared" ref="G200:O200" ca="1" si="43">MIN(ABS(G179),G138)</f>
        <v>0</v>
      </c>
      <c r="H200" s="2261">
        <f t="shared" ca="1" si="43"/>
        <v>0</v>
      </c>
      <c r="I200" s="2261">
        <f t="shared" ca="1" si="43"/>
        <v>0</v>
      </c>
      <c r="J200" s="2261">
        <f t="shared" ca="1" si="43"/>
        <v>0</v>
      </c>
      <c r="K200" s="2261">
        <f t="shared" ca="1" si="43"/>
        <v>0</v>
      </c>
      <c r="L200" s="2261">
        <f t="shared" ca="1" si="43"/>
        <v>0</v>
      </c>
      <c r="M200" s="2261">
        <f t="shared" ca="1" si="43"/>
        <v>0</v>
      </c>
      <c r="N200" s="2261">
        <f t="shared" ca="1" si="43"/>
        <v>0</v>
      </c>
      <c r="O200" s="2261">
        <f t="shared" ca="1" si="43"/>
        <v>0</v>
      </c>
    </row>
    <row r="201" spans="2:30" ht="15.75" hidden="1" outlineLevel="1">
      <c r="B201" s="3"/>
      <c r="C201" s="2262"/>
      <c r="D201" s="2263" t="s">
        <v>2001</v>
      </c>
      <c r="E201" s="2262"/>
      <c r="F201" s="2264">
        <f ca="1">MIN(ABS(F180),F139)</f>
        <v>0</v>
      </c>
      <c r="G201" s="2282">
        <f t="shared" ref="G201:O201" ca="1" si="44">MIN(ABS(G180),G139)</f>
        <v>0</v>
      </c>
      <c r="H201" s="2264">
        <f t="shared" ca="1" si="44"/>
        <v>0</v>
      </c>
      <c r="I201" s="2264">
        <f t="shared" ca="1" si="44"/>
        <v>0</v>
      </c>
      <c r="J201" s="2264">
        <f t="shared" ca="1" si="44"/>
        <v>0</v>
      </c>
      <c r="K201" s="2264">
        <f t="shared" ca="1" si="44"/>
        <v>0</v>
      </c>
      <c r="L201" s="2264">
        <f t="shared" ca="1" si="44"/>
        <v>0</v>
      </c>
      <c r="M201" s="2264">
        <f t="shared" ca="1" si="44"/>
        <v>0</v>
      </c>
      <c r="N201" s="2264">
        <f t="shared" ca="1" si="44"/>
        <v>0</v>
      </c>
      <c r="O201" s="2264">
        <f t="shared" ca="1" si="44"/>
        <v>0</v>
      </c>
    </row>
    <row r="202" spans="2:30" ht="15.75" hidden="1" outlineLevel="1">
      <c r="B202" s="3"/>
      <c r="C202" s="2277"/>
      <c r="D202" s="2277" t="s">
        <v>2008</v>
      </c>
      <c r="E202" s="2277"/>
      <c r="F202" s="2278">
        <f ca="1">SUM(F198:F201)</f>
        <v>0.19154926778173628</v>
      </c>
      <c r="G202" s="2281">
        <f t="shared" ref="G202:O202" ca="1" si="45">SUM(G198:G201)</f>
        <v>0.24999419461375255</v>
      </c>
      <c r="H202" s="2278">
        <f t="shared" ca="1" si="45"/>
        <v>0.34664151731243747</v>
      </c>
      <c r="I202" s="2278">
        <f t="shared" ca="1" si="45"/>
        <v>0.43466142193997626</v>
      </c>
      <c r="J202" s="2278">
        <f t="shared" ca="1" si="45"/>
        <v>0.48704461407944277</v>
      </c>
      <c r="K202" s="2278">
        <f t="shared" ca="1" si="45"/>
        <v>0.43917676547708095</v>
      </c>
      <c r="L202" s="2278">
        <f t="shared" ca="1" si="45"/>
        <v>0.36754461697460084</v>
      </c>
      <c r="M202" s="2278">
        <f t="shared" ca="1" si="45"/>
        <v>0.29946956178245282</v>
      </c>
      <c r="N202" s="2278">
        <f t="shared" ca="1" si="45"/>
        <v>0.24339952944978965</v>
      </c>
      <c r="O202" s="2278">
        <f t="shared" ca="1" si="45"/>
        <v>0.25918414381972232</v>
      </c>
    </row>
    <row r="203" spans="2:30" hidden="1" outlineLevel="1">
      <c r="C203" s="807"/>
      <c r="F203" s="783"/>
      <c r="G203" s="783"/>
      <c r="H203" s="783"/>
      <c r="I203" s="783"/>
      <c r="J203" s="783"/>
      <c r="K203" s="783"/>
      <c r="L203" s="783"/>
      <c r="M203" s="783"/>
      <c r="N203" s="783"/>
      <c r="O203" s="783"/>
    </row>
    <row r="204" spans="2:30" hidden="1" outlineLevel="1">
      <c r="C204" s="121" t="s">
        <v>2005</v>
      </c>
      <c r="O204" s="20" t="s">
        <v>2010</v>
      </c>
    </row>
    <row r="205" spans="2:30" ht="5.25" hidden="1" customHeight="1" outlineLevel="1"/>
    <row r="206" spans="2:30" hidden="1" outlineLevel="1">
      <c r="C206" s="2259"/>
      <c r="D206" s="2259" t="s">
        <v>418</v>
      </c>
      <c r="E206" s="2259" t="s">
        <v>442</v>
      </c>
      <c r="F206" s="2279">
        <v>2007</v>
      </c>
      <c r="G206" s="2280">
        <v>2010</v>
      </c>
      <c r="H206" s="2279">
        <v>2015</v>
      </c>
      <c r="I206" s="2279">
        <v>2020</v>
      </c>
      <c r="J206" s="2279">
        <v>2025</v>
      </c>
      <c r="K206" s="2279">
        <v>2030</v>
      </c>
      <c r="L206" s="2279">
        <v>2035</v>
      </c>
      <c r="M206" s="2279">
        <v>2040</v>
      </c>
      <c r="N206" s="2279">
        <v>2045</v>
      </c>
      <c r="O206" s="2279">
        <v>2050</v>
      </c>
    </row>
    <row r="207" spans="2:30" hidden="1" outlineLevel="1">
      <c r="C207" s="495"/>
      <c r="D207" s="2260" t="s">
        <v>1998</v>
      </c>
      <c r="E207" s="495"/>
      <c r="F207" s="2288">
        <f t="shared" ref="F207:O207" ca="1" si="46">IF(F127=0,0,F189/F127)</f>
        <v>0.72685834964232454</v>
      </c>
      <c r="G207" s="2289">
        <f t="shared" ca="1" si="46"/>
        <v>1</v>
      </c>
      <c r="H207" s="2288">
        <f t="shared" ca="1" si="46"/>
        <v>1</v>
      </c>
      <c r="I207" s="2288">
        <f t="shared" ca="1" si="46"/>
        <v>1</v>
      </c>
      <c r="J207" s="2288">
        <f t="shared" ca="1" si="46"/>
        <v>1</v>
      </c>
      <c r="K207" s="2288">
        <f t="shared" ca="1" si="46"/>
        <v>1</v>
      </c>
      <c r="L207" s="2288">
        <f t="shared" ca="1" si="46"/>
        <v>0.94015889319875234</v>
      </c>
      <c r="M207" s="2288">
        <f t="shared" ca="1" si="46"/>
        <v>0.71552679109789985</v>
      </c>
      <c r="N207" s="2288">
        <f t="shared" ca="1" si="46"/>
        <v>0.54584779423330065</v>
      </c>
      <c r="O207" s="2288">
        <f t="shared" ca="1" si="46"/>
        <v>0.56106097781762754</v>
      </c>
      <c r="U207" s="2314"/>
      <c r="V207" s="2314"/>
      <c r="W207" s="2314"/>
      <c r="X207" s="2314"/>
      <c r="Y207" s="2314"/>
      <c r="Z207" s="2314"/>
      <c r="AA207" s="2314"/>
      <c r="AB207" s="2314"/>
      <c r="AC207" s="2314"/>
      <c r="AD207" s="2314"/>
    </row>
    <row r="208" spans="2:30" hidden="1" outlineLevel="1">
      <c r="C208" s="495"/>
      <c r="D208" s="2260" t="s">
        <v>1999</v>
      </c>
      <c r="E208" s="495"/>
      <c r="F208" s="2288">
        <f t="shared" ref="F208:O208" ca="1" si="47">IF(F128=0,0,F190/F128)</f>
        <v>0</v>
      </c>
      <c r="G208" s="2290">
        <f t="shared" ca="1" si="47"/>
        <v>6.4140123101186219E-4</v>
      </c>
      <c r="H208" s="2288">
        <f t="shared" ca="1" si="47"/>
        <v>0.14292360182968367</v>
      </c>
      <c r="I208" s="2288">
        <f t="shared" ca="1" si="47"/>
        <v>0.26771039458184198</v>
      </c>
      <c r="J208" s="2288">
        <f t="shared" ca="1" si="47"/>
        <v>0.29929707115414961</v>
      </c>
      <c r="K208" s="2288">
        <f t="shared" ca="1" si="47"/>
        <v>0.15773098715851896</v>
      </c>
      <c r="L208" s="2288">
        <f t="shared" ca="1" si="47"/>
        <v>0</v>
      </c>
      <c r="M208" s="2288">
        <f t="shared" ca="1" si="47"/>
        <v>0</v>
      </c>
      <c r="N208" s="2288">
        <f t="shared" ca="1" si="47"/>
        <v>0</v>
      </c>
      <c r="O208" s="2288">
        <f t="shared" ca="1" si="47"/>
        <v>0</v>
      </c>
      <c r="U208" s="2314"/>
      <c r="V208" s="2314"/>
      <c r="W208" s="2314"/>
      <c r="X208" s="2314"/>
      <c r="Y208" s="2314"/>
      <c r="Z208" s="2314"/>
      <c r="AA208" s="2314"/>
      <c r="AB208" s="2314"/>
      <c r="AC208" s="2314"/>
      <c r="AD208" s="2314"/>
    </row>
    <row r="209" spans="3:30" hidden="1" outlineLevel="1">
      <c r="C209" s="495"/>
      <c r="D209" s="2260" t="s">
        <v>2000</v>
      </c>
      <c r="E209" s="495"/>
      <c r="F209" s="2288">
        <f>IF(F129=0,0,F191/F129)</f>
        <v>0</v>
      </c>
      <c r="G209" s="2290">
        <f t="shared" ref="G209:O209" si="48">IF(G129=0,0,G191/G129)</f>
        <v>0</v>
      </c>
      <c r="H209" s="2288">
        <f t="shared" si="48"/>
        <v>0</v>
      </c>
      <c r="I209" s="2288">
        <f t="shared" si="48"/>
        <v>0</v>
      </c>
      <c r="J209" s="2288">
        <f t="shared" si="48"/>
        <v>0</v>
      </c>
      <c r="K209" s="2288">
        <f t="shared" si="48"/>
        <v>0</v>
      </c>
      <c r="L209" s="2288">
        <f t="shared" si="48"/>
        <v>0</v>
      </c>
      <c r="M209" s="2288">
        <f t="shared" si="48"/>
        <v>0</v>
      </c>
      <c r="N209" s="2288">
        <f t="shared" si="48"/>
        <v>0</v>
      </c>
      <c r="O209" s="2288">
        <f t="shared" si="48"/>
        <v>0</v>
      </c>
      <c r="U209" s="2314"/>
      <c r="V209" s="2314"/>
      <c r="W209" s="2314"/>
      <c r="X209" s="2314"/>
      <c r="Y209" s="2314"/>
      <c r="Z209" s="2314"/>
      <c r="AA209" s="2314"/>
      <c r="AB209" s="2314"/>
      <c r="AC209" s="2314"/>
      <c r="AD209" s="2314"/>
    </row>
    <row r="210" spans="3:30" hidden="1" outlineLevel="1">
      <c r="C210" s="2262"/>
      <c r="D210" s="2263" t="s">
        <v>2001</v>
      </c>
      <c r="E210" s="2262"/>
      <c r="F210" s="2288">
        <f t="shared" ref="F210:O210" ca="1" si="49">IF(F130=0,0,F192/F130)</f>
        <v>0</v>
      </c>
      <c r="G210" s="2290">
        <f t="shared" ca="1" si="49"/>
        <v>0</v>
      </c>
      <c r="H210" s="2288">
        <f t="shared" ca="1" si="49"/>
        <v>0</v>
      </c>
      <c r="I210" s="2288">
        <f t="shared" ca="1" si="49"/>
        <v>0</v>
      </c>
      <c r="J210" s="2288">
        <f t="shared" ca="1" si="49"/>
        <v>0</v>
      </c>
      <c r="K210" s="2288">
        <f t="shared" ca="1" si="49"/>
        <v>0</v>
      </c>
      <c r="L210" s="2288">
        <f t="shared" ca="1" si="49"/>
        <v>0</v>
      </c>
      <c r="M210" s="2288">
        <f t="shared" ca="1" si="49"/>
        <v>0</v>
      </c>
      <c r="N210" s="2288">
        <f t="shared" ca="1" si="49"/>
        <v>0</v>
      </c>
      <c r="O210" s="2288">
        <f t="shared" ca="1" si="49"/>
        <v>0</v>
      </c>
      <c r="U210" s="2314"/>
      <c r="V210" s="2314"/>
      <c r="W210" s="2314"/>
      <c r="X210" s="2314"/>
      <c r="Y210" s="2314"/>
      <c r="Z210" s="2314"/>
      <c r="AA210" s="2314"/>
      <c r="AB210" s="2314"/>
      <c r="AC210" s="2314"/>
      <c r="AD210" s="2314"/>
    </row>
    <row r="211" spans="3:30" hidden="1" outlineLevel="1">
      <c r="C211" s="2277"/>
      <c r="D211" s="2277" t="s">
        <v>2007</v>
      </c>
      <c r="E211" s="2277"/>
      <c r="F211" s="2291">
        <f t="shared" ref="F211:O211" ca="1" si="50">IF(F131=0,0,F193/F131)</f>
        <v>0.1947568359975462</v>
      </c>
      <c r="G211" s="2292">
        <f t="shared" ca="1" si="50"/>
        <v>0.25777865255868138</v>
      </c>
      <c r="H211" s="2291">
        <f t="shared" ca="1" si="50"/>
        <v>0.29425320903491448</v>
      </c>
      <c r="I211" s="2291">
        <f t="shared" ca="1" si="50"/>
        <v>0.36036783350983631</v>
      </c>
      <c r="J211" s="2291">
        <f t="shared" ca="1" si="50"/>
        <v>0.39170955207205294</v>
      </c>
      <c r="K211" s="2291">
        <f t="shared" ca="1" si="50"/>
        <v>0.3475968511557343</v>
      </c>
      <c r="L211" s="2291">
        <f t="shared" ca="1" si="50"/>
        <v>0.28471110222991769</v>
      </c>
      <c r="M211" s="2291">
        <f t="shared" ca="1" si="50"/>
        <v>0.22712378123996349</v>
      </c>
      <c r="N211" s="2291">
        <f t="shared" ca="1" si="50"/>
        <v>0.18084370478075573</v>
      </c>
      <c r="O211" s="2291">
        <f t="shared" ca="1" si="50"/>
        <v>0.19030321005278253</v>
      </c>
      <c r="U211" s="2314"/>
      <c r="V211" s="2314"/>
      <c r="W211" s="2314"/>
      <c r="X211" s="2314"/>
      <c r="Y211" s="2314"/>
      <c r="Z211" s="2314"/>
      <c r="AA211" s="2314"/>
      <c r="AB211" s="2314"/>
      <c r="AC211" s="2314"/>
      <c r="AD211" s="2314"/>
    </row>
    <row r="212" spans="3:30" hidden="1" outlineLevel="1"/>
    <row r="213" spans="3:30" hidden="1" outlineLevel="1">
      <c r="C213" s="121" t="s">
        <v>2006</v>
      </c>
      <c r="O213" s="20" t="s">
        <v>2010</v>
      </c>
    </row>
    <row r="214" spans="3:30" ht="5.25" hidden="1" customHeight="1" outlineLevel="1"/>
    <row r="215" spans="3:30" hidden="1" outlineLevel="1">
      <c r="C215" s="2259"/>
      <c r="D215" s="2259" t="s">
        <v>418</v>
      </c>
      <c r="E215" s="2259" t="s">
        <v>442</v>
      </c>
      <c r="F215" s="2279">
        <v>2007</v>
      </c>
      <c r="G215" s="2280">
        <v>2010</v>
      </c>
      <c r="H215" s="2279">
        <v>2015</v>
      </c>
      <c r="I215" s="2279">
        <v>2020</v>
      </c>
      <c r="J215" s="2279">
        <v>2025</v>
      </c>
      <c r="K215" s="2279">
        <v>2030</v>
      </c>
      <c r="L215" s="2279">
        <v>2035</v>
      </c>
      <c r="M215" s="2279">
        <v>2040</v>
      </c>
      <c r="N215" s="2279">
        <v>2045</v>
      </c>
      <c r="O215" s="2279">
        <v>2050</v>
      </c>
    </row>
    <row r="216" spans="3:30" hidden="1" outlineLevel="1">
      <c r="C216" s="495"/>
      <c r="D216" s="2260" t="s">
        <v>1998</v>
      </c>
      <c r="E216" s="495"/>
      <c r="F216" s="2288">
        <f t="shared" ref="F216:O216" ca="1" si="51">IF(F136=0,0,F198/F136)</f>
        <v>0.72685834964232443</v>
      </c>
      <c r="G216" s="2289">
        <f t="shared" ca="1" si="51"/>
        <v>1</v>
      </c>
      <c r="H216" s="2288">
        <f t="shared" ca="1" si="51"/>
        <v>1</v>
      </c>
      <c r="I216" s="2288">
        <f t="shared" ca="1" si="51"/>
        <v>1</v>
      </c>
      <c r="J216" s="2288">
        <f t="shared" ca="1" si="51"/>
        <v>1</v>
      </c>
      <c r="K216" s="2288">
        <f t="shared" ca="1" si="51"/>
        <v>1</v>
      </c>
      <c r="L216" s="2288">
        <f t="shared" ca="1" si="51"/>
        <v>0.94015889319875234</v>
      </c>
      <c r="M216" s="2288">
        <f t="shared" ca="1" si="51"/>
        <v>0.71552679109789985</v>
      </c>
      <c r="N216" s="2288">
        <f t="shared" ca="1" si="51"/>
        <v>0.54584779423330076</v>
      </c>
      <c r="O216" s="2288">
        <f t="shared" ca="1" si="51"/>
        <v>0.56106097781762765</v>
      </c>
      <c r="U216" s="2314"/>
      <c r="V216" s="2314"/>
      <c r="W216" s="2314"/>
      <c r="X216" s="2314"/>
      <c r="Y216" s="2314"/>
      <c r="Z216" s="2314"/>
      <c r="AA216" s="2314"/>
      <c r="AB216" s="2314"/>
      <c r="AC216" s="2314"/>
      <c r="AD216" s="2314"/>
    </row>
    <row r="217" spans="3:30" hidden="1" outlineLevel="1">
      <c r="C217" s="495"/>
      <c r="D217" s="2260" t="s">
        <v>1999</v>
      </c>
      <c r="E217" s="495"/>
      <c r="F217" s="2288">
        <f t="shared" ref="F217:O217" ca="1" si="52">IF(F137=0,0,F199/F137)</f>
        <v>0</v>
      </c>
      <c r="G217" s="2290">
        <f t="shared" ca="1" si="52"/>
        <v>8.5520164134914977E-4</v>
      </c>
      <c r="H217" s="2288">
        <f t="shared" ca="1" si="52"/>
        <v>0.19056480243957821</v>
      </c>
      <c r="I217" s="2288">
        <f t="shared" ca="1" si="52"/>
        <v>0.35694719277578918</v>
      </c>
      <c r="J217" s="2288">
        <f t="shared" ca="1" si="52"/>
        <v>0.39906276153886622</v>
      </c>
      <c r="K217" s="2288">
        <f t="shared" ca="1" si="52"/>
        <v>0.21030798287802541</v>
      </c>
      <c r="L217" s="2288">
        <f t="shared" ca="1" si="52"/>
        <v>0</v>
      </c>
      <c r="M217" s="2288">
        <f t="shared" ca="1" si="52"/>
        <v>0</v>
      </c>
      <c r="N217" s="2288">
        <f t="shared" ca="1" si="52"/>
        <v>0</v>
      </c>
      <c r="O217" s="2288">
        <f t="shared" ca="1" si="52"/>
        <v>0</v>
      </c>
      <c r="U217" s="2314"/>
      <c r="V217" s="2314"/>
      <c r="W217" s="2314"/>
      <c r="X217" s="2314"/>
      <c r="Y217" s="2314"/>
      <c r="Z217" s="2314"/>
      <c r="AA217" s="2314"/>
      <c r="AB217" s="2314"/>
      <c r="AC217" s="2314"/>
      <c r="AD217" s="2314"/>
    </row>
    <row r="218" spans="3:30" hidden="1" outlineLevel="1">
      <c r="C218" s="495"/>
      <c r="D218" s="2260" t="s">
        <v>2000</v>
      </c>
      <c r="E218" s="495"/>
      <c r="F218" s="2288">
        <f t="shared" ref="F218:O218" si="53">IF(F138=0,0,F200/F138)</f>
        <v>0</v>
      </c>
      <c r="G218" s="2290">
        <f t="shared" si="53"/>
        <v>0</v>
      </c>
      <c r="H218" s="2288">
        <f t="shared" si="53"/>
        <v>0</v>
      </c>
      <c r="I218" s="2288">
        <f t="shared" si="53"/>
        <v>0</v>
      </c>
      <c r="J218" s="2288">
        <f t="shared" si="53"/>
        <v>0</v>
      </c>
      <c r="K218" s="2288">
        <f t="shared" si="53"/>
        <v>0</v>
      </c>
      <c r="L218" s="2288">
        <f t="shared" si="53"/>
        <v>0</v>
      </c>
      <c r="M218" s="2288">
        <f t="shared" si="53"/>
        <v>0</v>
      </c>
      <c r="N218" s="2288">
        <f t="shared" si="53"/>
        <v>0</v>
      </c>
      <c r="O218" s="2288">
        <f t="shared" si="53"/>
        <v>0</v>
      </c>
      <c r="U218" s="2314"/>
      <c r="V218" s="2314"/>
      <c r="W218" s="2314"/>
      <c r="X218" s="2314"/>
      <c r="Y218" s="2314"/>
      <c r="Z218" s="2314"/>
      <c r="AA218" s="2314"/>
      <c r="AB218" s="2314"/>
      <c r="AC218" s="2314"/>
      <c r="AD218" s="2314"/>
    </row>
    <row r="219" spans="3:30" hidden="1" outlineLevel="1">
      <c r="C219" s="2262"/>
      <c r="D219" s="2263" t="s">
        <v>2001</v>
      </c>
      <c r="E219" s="2262"/>
      <c r="F219" s="2288">
        <f t="shared" ref="F219:O219" ca="1" si="54">IF(F139=0,0,F201/F139)</f>
        <v>0</v>
      </c>
      <c r="G219" s="2290">
        <f t="shared" ca="1" si="54"/>
        <v>0</v>
      </c>
      <c r="H219" s="2288">
        <f t="shared" ca="1" si="54"/>
        <v>0</v>
      </c>
      <c r="I219" s="2288">
        <f t="shared" ca="1" si="54"/>
        <v>0</v>
      </c>
      <c r="J219" s="2288">
        <f t="shared" ca="1" si="54"/>
        <v>0</v>
      </c>
      <c r="K219" s="2288">
        <f t="shared" ca="1" si="54"/>
        <v>0</v>
      </c>
      <c r="L219" s="2288">
        <f t="shared" ca="1" si="54"/>
        <v>0</v>
      </c>
      <c r="M219" s="2288">
        <f t="shared" ca="1" si="54"/>
        <v>0</v>
      </c>
      <c r="N219" s="2288">
        <f t="shared" ca="1" si="54"/>
        <v>0</v>
      </c>
      <c r="O219" s="2288">
        <f t="shared" ca="1" si="54"/>
        <v>0</v>
      </c>
      <c r="U219" s="2314"/>
      <c r="V219" s="2314"/>
      <c r="W219" s="2314"/>
      <c r="X219" s="2314"/>
      <c r="Y219" s="2314"/>
      <c r="Z219" s="2314"/>
      <c r="AA219" s="2314"/>
      <c r="AB219" s="2314"/>
      <c r="AC219" s="2314"/>
      <c r="AD219" s="2314"/>
    </row>
    <row r="220" spans="3:30" hidden="1" outlineLevel="1">
      <c r="C220" s="2277"/>
      <c r="D220" s="2277" t="s">
        <v>2008</v>
      </c>
      <c r="E220" s="2277"/>
      <c r="F220" s="2291">
        <f t="shared" ref="F220:O220" ca="1" si="55">IF(F140=0,0,F202/F140)</f>
        <v>0.37155766128657725</v>
      </c>
      <c r="G220" s="2292">
        <f t="shared" ca="1" si="55"/>
        <v>0.49819312614062178</v>
      </c>
      <c r="H220" s="2291">
        <f t="shared" ca="1" si="55"/>
        <v>0.52123550698433363</v>
      </c>
      <c r="I220" s="2291">
        <f t="shared" ca="1" si="55"/>
        <v>0.62707188918268109</v>
      </c>
      <c r="J220" s="2291">
        <f t="shared" ca="1" si="55"/>
        <v>0.6668354378838004</v>
      </c>
      <c r="K220" s="2291">
        <f t="shared" ca="1" si="55"/>
        <v>0.58520549750337558</v>
      </c>
      <c r="L220" s="2291">
        <f t="shared" ca="1" si="55"/>
        <v>0.47245953431813931</v>
      </c>
      <c r="M220" s="2291">
        <f t="shared" ca="1" si="55"/>
        <v>0.37176702569696723</v>
      </c>
      <c r="N220" s="2291">
        <f t="shared" ca="1" si="55"/>
        <v>0.29222754032032605</v>
      </c>
      <c r="O220" s="2291">
        <f t="shared" ca="1" si="55"/>
        <v>0.30529835898828611</v>
      </c>
      <c r="U220" s="2314"/>
      <c r="V220" s="2314"/>
      <c r="W220" s="2314"/>
      <c r="X220" s="2314"/>
      <c r="Y220" s="2314"/>
      <c r="Z220" s="2314"/>
      <c r="AA220" s="2314"/>
      <c r="AB220" s="2314"/>
      <c r="AC220" s="2314"/>
      <c r="AD220" s="2314"/>
    </row>
    <row r="221" spans="3:30" hidden="1" outlineLevel="1"/>
    <row r="222" spans="3:30" hidden="1" outlineLevel="1">
      <c r="C222" s="121" t="s">
        <v>2037</v>
      </c>
      <c r="O222" s="20" t="s">
        <v>2010</v>
      </c>
    </row>
    <row r="223" spans="3:30" ht="5.25" hidden="1" customHeight="1" outlineLevel="1"/>
    <row r="224" spans="3:30" hidden="1" outlineLevel="1">
      <c r="C224" s="2259"/>
      <c r="D224" s="2259" t="s">
        <v>418</v>
      </c>
      <c r="E224" s="2259" t="s">
        <v>442</v>
      </c>
      <c r="F224" s="2279">
        <v>2007</v>
      </c>
      <c r="G224" s="2280">
        <v>2010</v>
      </c>
      <c r="H224" s="2279">
        <v>2015</v>
      </c>
      <c r="I224" s="2279">
        <v>2020</v>
      </c>
      <c r="J224" s="2279">
        <v>2025</v>
      </c>
      <c r="K224" s="2279">
        <v>2030</v>
      </c>
      <c r="L224" s="2279">
        <v>2035</v>
      </c>
      <c r="M224" s="2279">
        <v>2040</v>
      </c>
      <c r="N224" s="2279">
        <v>2045</v>
      </c>
      <c r="O224" s="2279">
        <v>2050</v>
      </c>
    </row>
    <row r="225" spans="2:30" hidden="1" outlineLevel="1">
      <c r="C225" s="495"/>
      <c r="D225" s="2260" t="s">
        <v>1998</v>
      </c>
      <c r="E225" s="495"/>
      <c r="F225" s="2288">
        <f ca="1">MAX(F216,F207)</f>
        <v>0.72685834964232454</v>
      </c>
      <c r="G225" s="2289">
        <f t="shared" ref="G225:O225" ca="1" si="56">MAX(G216,G207)</f>
        <v>1</v>
      </c>
      <c r="H225" s="2288">
        <f t="shared" ca="1" si="56"/>
        <v>1</v>
      </c>
      <c r="I225" s="2288">
        <f t="shared" ca="1" si="56"/>
        <v>1</v>
      </c>
      <c r="J225" s="2288">
        <f t="shared" ca="1" si="56"/>
        <v>1</v>
      </c>
      <c r="K225" s="2288">
        <f t="shared" ca="1" si="56"/>
        <v>1</v>
      </c>
      <c r="L225" s="2288">
        <f t="shared" ca="1" si="56"/>
        <v>0.94015889319875234</v>
      </c>
      <c r="M225" s="2288">
        <f t="shared" ca="1" si="56"/>
        <v>0.71552679109789985</v>
      </c>
      <c r="N225" s="2288">
        <f t="shared" ca="1" si="56"/>
        <v>0.54584779423330076</v>
      </c>
      <c r="O225" s="2288">
        <f t="shared" ca="1" si="56"/>
        <v>0.56106097781762765</v>
      </c>
      <c r="U225" s="2314"/>
      <c r="V225" s="2314"/>
      <c r="W225" s="2314"/>
      <c r="X225" s="2314"/>
      <c r="Y225" s="2314"/>
      <c r="Z225" s="2314"/>
      <c r="AA225" s="2314"/>
      <c r="AB225" s="2314"/>
      <c r="AC225" s="2314"/>
      <c r="AD225" s="2314"/>
    </row>
    <row r="226" spans="2:30" hidden="1" outlineLevel="1">
      <c r="C226" s="495"/>
      <c r="D226" s="2260" t="s">
        <v>1999</v>
      </c>
      <c r="E226" s="495"/>
      <c r="F226" s="2288">
        <f t="shared" ref="F226:O226" ca="1" si="57">MAX(F217,F208)</f>
        <v>0</v>
      </c>
      <c r="G226" s="2290">
        <f t="shared" ca="1" si="57"/>
        <v>8.5520164134914977E-4</v>
      </c>
      <c r="H226" s="2288">
        <f t="shared" ca="1" si="57"/>
        <v>0.19056480243957821</v>
      </c>
      <c r="I226" s="2288">
        <f t="shared" ca="1" si="57"/>
        <v>0.35694719277578918</v>
      </c>
      <c r="J226" s="2288">
        <f t="shared" ca="1" si="57"/>
        <v>0.39906276153886622</v>
      </c>
      <c r="K226" s="2288">
        <f t="shared" ca="1" si="57"/>
        <v>0.21030798287802541</v>
      </c>
      <c r="L226" s="2288">
        <f t="shared" ca="1" si="57"/>
        <v>0</v>
      </c>
      <c r="M226" s="2288">
        <f t="shared" ca="1" si="57"/>
        <v>0</v>
      </c>
      <c r="N226" s="2288">
        <f t="shared" ca="1" si="57"/>
        <v>0</v>
      </c>
      <c r="O226" s="2288">
        <f t="shared" ca="1" si="57"/>
        <v>0</v>
      </c>
      <c r="U226" s="2314"/>
      <c r="V226" s="2314"/>
      <c r="W226" s="2314"/>
      <c r="X226" s="2314"/>
      <c r="Y226" s="2314"/>
      <c r="Z226" s="2314"/>
      <c r="AA226" s="2314"/>
      <c r="AB226" s="2314"/>
      <c r="AC226" s="2314"/>
      <c r="AD226" s="2314"/>
    </row>
    <row r="227" spans="2:30" hidden="1" outlineLevel="1">
      <c r="C227" s="495"/>
      <c r="D227" s="2260" t="s">
        <v>2000</v>
      </c>
      <c r="E227" s="495"/>
      <c r="F227" s="2288">
        <f t="shared" ref="F227:O227" si="58">MAX(F218,F209)</f>
        <v>0</v>
      </c>
      <c r="G227" s="2290">
        <f t="shared" si="58"/>
        <v>0</v>
      </c>
      <c r="H227" s="2288">
        <f t="shared" si="58"/>
        <v>0</v>
      </c>
      <c r="I227" s="2288">
        <f t="shared" si="58"/>
        <v>0</v>
      </c>
      <c r="J227" s="2288">
        <f t="shared" si="58"/>
        <v>0</v>
      </c>
      <c r="K227" s="2288">
        <f t="shared" si="58"/>
        <v>0</v>
      </c>
      <c r="L227" s="2288">
        <f t="shared" si="58"/>
        <v>0</v>
      </c>
      <c r="M227" s="2288">
        <f t="shared" si="58"/>
        <v>0</v>
      </c>
      <c r="N227" s="2288">
        <f t="shared" si="58"/>
        <v>0</v>
      </c>
      <c r="O227" s="2288">
        <f t="shared" si="58"/>
        <v>0</v>
      </c>
      <c r="U227" s="2314"/>
      <c r="V227" s="2314"/>
      <c r="W227" s="2314"/>
      <c r="X227" s="2314"/>
      <c r="Y227" s="2314"/>
      <c r="Z227" s="2314"/>
      <c r="AA227" s="2314"/>
      <c r="AB227" s="2314"/>
      <c r="AC227" s="2314"/>
      <c r="AD227" s="2314"/>
    </row>
    <row r="228" spans="2:30" hidden="1" outlineLevel="1">
      <c r="C228" s="2262"/>
      <c r="D228" s="2263" t="s">
        <v>2001</v>
      </c>
      <c r="E228" s="2262"/>
      <c r="F228" s="2288">
        <f t="shared" ref="F228:O228" ca="1" si="59">MAX(F219,F210)</f>
        <v>0</v>
      </c>
      <c r="G228" s="2290">
        <f t="shared" ca="1" si="59"/>
        <v>0</v>
      </c>
      <c r="H228" s="2288">
        <f t="shared" ca="1" si="59"/>
        <v>0</v>
      </c>
      <c r="I228" s="2288">
        <f t="shared" ca="1" si="59"/>
        <v>0</v>
      </c>
      <c r="J228" s="2288">
        <f t="shared" ca="1" si="59"/>
        <v>0</v>
      </c>
      <c r="K228" s="2288">
        <f t="shared" ca="1" si="59"/>
        <v>0</v>
      </c>
      <c r="L228" s="2288">
        <f t="shared" ca="1" si="59"/>
        <v>0</v>
      </c>
      <c r="M228" s="2288">
        <f t="shared" ca="1" si="59"/>
        <v>0</v>
      </c>
      <c r="N228" s="2288">
        <f t="shared" ca="1" si="59"/>
        <v>0</v>
      </c>
      <c r="O228" s="2288">
        <f t="shared" ca="1" si="59"/>
        <v>0</v>
      </c>
      <c r="U228" s="2314"/>
      <c r="V228" s="2314"/>
      <c r="W228" s="2314"/>
      <c r="X228" s="2314"/>
      <c r="Y228" s="2314"/>
      <c r="Z228" s="2314"/>
      <c r="AA228" s="2314"/>
      <c r="AB228" s="2314"/>
      <c r="AC228" s="2314"/>
      <c r="AD228" s="2314"/>
    </row>
    <row r="229" spans="2:30" hidden="1" outlineLevel="1">
      <c r="C229" s="2277"/>
      <c r="D229" s="2277" t="s">
        <v>2034</v>
      </c>
      <c r="E229" s="2277"/>
      <c r="F229" s="2291">
        <f t="shared" ref="F229:O229" ca="1" si="60">MAX(F220,F211)</f>
        <v>0.37155766128657725</v>
      </c>
      <c r="G229" s="2292">
        <f t="shared" ca="1" si="60"/>
        <v>0.49819312614062178</v>
      </c>
      <c r="H229" s="2291">
        <f t="shared" ca="1" si="60"/>
        <v>0.52123550698433363</v>
      </c>
      <c r="I229" s="2291">
        <f t="shared" ca="1" si="60"/>
        <v>0.62707188918268109</v>
      </c>
      <c r="J229" s="2291">
        <f t="shared" ca="1" si="60"/>
        <v>0.6668354378838004</v>
      </c>
      <c r="K229" s="2291">
        <f t="shared" ca="1" si="60"/>
        <v>0.58520549750337558</v>
      </c>
      <c r="L229" s="2291">
        <f t="shared" ca="1" si="60"/>
        <v>0.47245953431813931</v>
      </c>
      <c r="M229" s="2291">
        <f t="shared" ca="1" si="60"/>
        <v>0.37176702569696723</v>
      </c>
      <c r="N229" s="2291">
        <f t="shared" ca="1" si="60"/>
        <v>0.29222754032032605</v>
      </c>
      <c r="O229" s="2291">
        <f t="shared" ca="1" si="60"/>
        <v>0.30529835898828611</v>
      </c>
      <c r="U229" s="2314"/>
      <c r="V229" s="2314"/>
      <c r="W229" s="2314"/>
      <c r="X229" s="2314"/>
      <c r="Y229" s="2314"/>
      <c r="Z229" s="2314"/>
      <c r="AA229" s="2314"/>
      <c r="AB229" s="2314"/>
      <c r="AC229" s="2314"/>
      <c r="AD229" s="2314"/>
    </row>
    <row r="230" spans="2:30" hidden="1" outlineLevel="1">
      <c r="C230" s="807"/>
      <c r="F230" s="783"/>
      <c r="G230" s="783"/>
      <c r="H230" s="783"/>
      <c r="I230" s="783"/>
      <c r="J230" s="783"/>
      <c r="K230" s="783"/>
      <c r="L230" s="783"/>
      <c r="M230" s="783"/>
      <c r="N230" s="783"/>
      <c r="O230" s="783"/>
    </row>
    <row r="231" spans="2:30" hidden="1" outlineLevel="1">
      <c r="B231" s="731">
        <v>6</v>
      </c>
      <c r="C231" s="731" t="s">
        <v>2018</v>
      </c>
    </row>
    <row r="232" spans="2:30" hidden="1" outlineLevel="1"/>
    <row r="233" spans="2:30" ht="15.75" hidden="1" outlineLevel="1">
      <c r="B233" s="3"/>
      <c r="C233" s="2294"/>
      <c r="D233" s="2294" t="s">
        <v>2012</v>
      </c>
      <c r="E233" s="2294"/>
      <c r="F233" s="2295">
        <v>2007</v>
      </c>
      <c r="G233" s="2295">
        <v>2010</v>
      </c>
      <c r="H233" s="2295">
        <v>2015</v>
      </c>
      <c r="I233" s="2295">
        <v>2020</v>
      </c>
      <c r="J233" s="2295">
        <v>2025</v>
      </c>
      <c r="K233" s="2295">
        <v>2030</v>
      </c>
      <c r="L233" s="2295">
        <v>2035</v>
      </c>
      <c r="M233" s="2295">
        <v>2040</v>
      </c>
      <c r="N233" s="2295">
        <v>2045</v>
      </c>
      <c r="O233" s="2295">
        <v>2050</v>
      </c>
    </row>
    <row r="234" spans="2:30" ht="15.75" hidden="1" outlineLevel="1">
      <c r="B234" s="3"/>
      <c r="C234" s="2297"/>
      <c r="D234" s="2297" t="s">
        <v>2013</v>
      </c>
      <c r="E234" s="21" t="str">
        <f>Preferences.EnergyUnits&amp;"e"</f>
        <v>TWhe</v>
      </c>
      <c r="F234" s="2296">
        <f t="shared" ref="F234:O234" ca="1" si="61">F182</f>
        <v>0</v>
      </c>
      <c r="G234" s="2296">
        <f t="shared" ca="1" si="61"/>
        <v>0</v>
      </c>
      <c r="H234" s="2296">
        <f t="shared" ca="1" si="61"/>
        <v>0</v>
      </c>
      <c r="I234" s="2296">
        <f t="shared" ca="1" si="61"/>
        <v>0</v>
      </c>
      <c r="J234" s="2296">
        <f t="shared" ca="1" si="61"/>
        <v>0</v>
      </c>
      <c r="K234" s="2296">
        <f t="shared" ca="1" si="61"/>
        <v>0</v>
      </c>
      <c r="L234" s="2296">
        <f t="shared" ca="1" si="61"/>
        <v>0</v>
      </c>
      <c r="M234" s="2296">
        <f t="shared" ca="1" si="61"/>
        <v>0</v>
      </c>
      <c r="N234" s="2296">
        <f t="shared" ca="1" si="61"/>
        <v>0</v>
      </c>
      <c r="O234" s="2296">
        <f t="shared" ca="1" si="61"/>
        <v>0</v>
      </c>
    </row>
    <row r="235" spans="2:30" ht="15.75" hidden="1" outlineLevel="1">
      <c r="B235" s="3"/>
      <c r="C235" s="20" t="s">
        <v>1437</v>
      </c>
      <c r="D235" s="2297" t="s">
        <v>2014</v>
      </c>
      <c r="E235" s="21" t="str">
        <f>Preferences.PowerUnits&amp;"e"</f>
        <v>GWe</v>
      </c>
      <c r="F235" s="823">
        <f t="shared" ref="F235:O235" ca="1" si="62">F234/(Conversion.to.energy.per.second*$F$99*Unit.day)</f>
        <v>0</v>
      </c>
      <c r="G235" s="823">
        <f t="shared" ca="1" si="62"/>
        <v>0</v>
      </c>
      <c r="H235" s="823">
        <f t="shared" ca="1" si="62"/>
        <v>0</v>
      </c>
      <c r="I235" s="823">
        <f t="shared" ca="1" si="62"/>
        <v>0</v>
      </c>
      <c r="J235" s="823">
        <f t="shared" ca="1" si="62"/>
        <v>0</v>
      </c>
      <c r="K235" s="823">
        <f t="shared" ca="1" si="62"/>
        <v>0</v>
      </c>
      <c r="L235" s="823">
        <f t="shared" ca="1" si="62"/>
        <v>0</v>
      </c>
      <c r="M235" s="823">
        <f t="shared" ca="1" si="62"/>
        <v>0</v>
      </c>
      <c r="N235" s="823">
        <f t="shared" ca="1" si="62"/>
        <v>0</v>
      </c>
      <c r="O235" s="823">
        <f t="shared" ca="1" si="62"/>
        <v>0</v>
      </c>
    </row>
    <row r="236" spans="2:30" ht="15.75" hidden="1" outlineLevel="1">
      <c r="B236" s="3"/>
      <c r="C236" s="829" t="s">
        <v>1438</v>
      </c>
      <c r="D236" s="2297" t="s">
        <v>1997</v>
      </c>
      <c r="E236" s="21" t="str">
        <f>Preferences.PowerUnits&amp;"e"</f>
        <v>GWe</v>
      </c>
      <c r="F236" s="2285">
        <f t="shared" ref="F236:O236" ca="1" si="63">F170</f>
        <v>0</v>
      </c>
      <c r="G236" s="2285">
        <f t="shared" ca="1" si="63"/>
        <v>0</v>
      </c>
      <c r="H236" s="2285">
        <f t="shared" ca="1" si="63"/>
        <v>0</v>
      </c>
      <c r="I236" s="2285">
        <f t="shared" ca="1" si="63"/>
        <v>0</v>
      </c>
      <c r="J236" s="2285">
        <f t="shared" ca="1" si="63"/>
        <v>0</v>
      </c>
      <c r="K236" s="2285">
        <f t="shared" ca="1" si="63"/>
        <v>0</v>
      </c>
      <c r="L236" s="2285">
        <f t="shared" ca="1" si="63"/>
        <v>0</v>
      </c>
      <c r="M236" s="2285">
        <f t="shared" ca="1" si="63"/>
        <v>0</v>
      </c>
      <c r="N236" s="2285">
        <f t="shared" ca="1" si="63"/>
        <v>0</v>
      </c>
      <c r="O236" s="2285">
        <f t="shared" ca="1" si="63"/>
        <v>0</v>
      </c>
    </row>
    <row r="237" spans="2:30" ht="15.75" hidden="1" outlineLevel="1">
      <c r="B237" s="3"/>
      <c r="C237" s="731"/>
      <c r="D237" s="2298" t="s">
        <v>2015</v>
      </c>
      <c r="E237" s="2299" t="str">
        <f>Preferences.PowerUnits&amp;"e"</f>
        <v>GWe</v>
      </c>
      <c r="F237" s="2300">
        <f ca="1">MIN(F235:F236)</f>
        <v>0</v>
      </c>
      <c r="G237" s="2300">
        <f t="shared" ref="G237:O237" ca="1" si="64">MIN(G235:G236)</f>
        <v>0</v>
      </c>
      <c r="H237" s="2300">
        <f t="shared" ca="1" si="64"/>
        <v>0</v>
      </c>
      <c r="I237" s="2300">
        <f t="shared" ca="1" si="64"/>
        <v>0</v>
      </c>
      <c r="J237" s="2300">
        <f t="shared" ca="1" si="64"/>
        <v>0</v>
      </c>
      <c r="K237" s="2300">
        <f t="shared" ca="1" si="64"/>
        <v>0</v>
      </c>
      <c r="L237" s="2300">
        <f t="shared" ca="1" si="64"/>
        <v>0</v>
      </c>
      <c r="M237" s="2300">
        <f t="shared" ca="1" si="64"/>
        <v>0</v>
      </c>
      <c r="N237" s="2300">
        <f t="shared" ca="1" si="64"/>
        <v>0</v>
      </c>
      <c r="O237" s="2300">
        <f t="shared" ca="1" si="64"/>
        <v>0</v>
      </c>
    </row>
    <row r="238" spans="2:30" ht="15.75" hidden="1" outlineLevel="1">
      <c r="B238" s="3"/>
      <c r="C238" s="731"/>
      <c r="D238" s="2082" t="s">
        <v>2019</v>
      </c>
      <c r="E238" s="2297" t="str">
        <f>Preferences.PowerUnits&amp;"capacity"</f>
        <v>GWcapacity</v>
      </c>
      <c r="F238" s="2293">
        <f ca="1">-F237/$F$104</f>
        <v>0</v>
      </c>
      <c r="G238" s="2293">
        <f t="shared" ref="G238:O238" ca="1" si="65">-G237/$F$104</f>
        <v>0</v>
      </c>
      <c r="H238" s="2293">
        <f t="shared" ca="1" si="65"/>
        <v>0</v>
      </c>
      <c r="I238" s="2293">
        <f t="shared" ca="1" si="65"/>
        <v>0</v>
      </c>
      <c r="J238" s="2293">
        <f t="shared" ca="1" si="65"/>
        <v>0</v>
      </c>
      <c r="K238" s="2293">
        <f t="shared" ca="1" si="65"/>
        <v>0</v>
      </c>
      <c r="L238" s="2293">
        <f t="shared" ca="1" si="65"/>
        <v>0</v>
      </c>
      <c r="M238" s="2293">
        <f t="shared" ca="1" si="65"/>
        <v>0</v>
      </c>
      <c r="N238" s="2293">
        <f t="shared" ca="1" si="65"/>
        <v>0</v>
      </c>
      <c r="O238" s="2293">
        <f t="shared" ca="1" si="65"/>
        <v>0</v>
      </c>
    </row>
    <row r="239" spans="2:30" hidden="1" outlineLevel="1">
      <c r="C239" s="731"/>
      <c r="D239" s="2082"/>
      <c r="E239" s="2297"/>
      <c r="F239" s="2293"/>
      <c r="G239" s="2293"/>
      <c r="H239" s="2293"/>
      <c r="I239" s="2293"/>
      <c r="J239" s="2293"/>
      <c r="K239" s="2293"/>
      <c r="L239" s="2293"/>
      <c r="M239" s="2293"/>
      <c r="N239" s="2293"/>
      <c r="O239" s="2293"/>
    </row>
    <row r="240" spans="2:30" hidden="1" outlineLevel="1">
      <c r="B240" s="731">
        <v>7</v>
      </c>
      <c r="C240" s="731" t="s">
        <v>2030</v>
      </c>
      <c r="D240" s="2082"/>
      <c r="E240" s="21"/>
      <c r="F240" s="2293"/>
      <c r="G240" s="2293"/>
      <c r="H240" s="2293"/>
      <c r="I240" s="2293"/>
      <c r="J240" s="2293"/>
      <c r="K240" s="2293"/>
      <c r="L240" s="2293"/>
      <c r="M240" s="2293"/>
      <c r="N240" s="2293"/>
      <c r="O240" s="2293"/>
    </row>
    <row r="241" spans="2:16" hidden="1" outlineLevel="1">
      <c r="B241" s="731"/>
      <c r="C241" s="731"/>
      <c r="D241" s="2082"/>
      <c r="E241" s="21"/>
      <c r="F241" s="2293"/>
      <c r="G241" s="2293"/>
      <c r="H241" s="2293"/>
      <c r="I241" s="2293"/>
      <c r="J241" s="2293"/>
      <c r="K241" s="2293"/>
      <c r="L241" s="2293"/>
      <c r="M241" s="2293"/>
      <c r="N241" s="2293"/>
      <c r="O241" s="2293"/>
    </row>
    <row r="242" spans="2:16" hidden="1" outlineLevel="1">
      <c r="B242" s="731"/>
      <c r="C242" s="731"/>
      <c r="D242" s="2082" t="s">
        <v>2026</v>
      </c>
      <c r="E242" s="2293">
        <f ca="1">INDIRECT("EF."&amp;$F$106&amp;".CO2")+INDIRECT("EF."&amp;$F$106&amp;".CH4")+INDIRECT("EF."&amp;$F$106&amp;".N2O")</f>
        <v>0.18476551498713398</v>
      </c>
      <c r="F242" s="21" t="str">
        <f>"MtCO2e/"&amp;Preferences.EnergyUnits&amp;"th"</f>
        <v>MtCO2e/TWhth</v>
      </c>
      <c r="I242" s="2293"/>
      <c r="J242" s="2293"/>
      <c r="K242" s="2293"/>
      <c r="L242" s="2293"/>
      <c r="M242" s="2293"/>
      <c r="N242" s="2293"/>
      <c r="O242" s="2293"/>
    </row>
    <row r="243" spans="2:16" hidden="1" outlineLevel="1">
      <c r="B243" s="731"/>
      <c r="C243" s="731"/>
      <c r="D243" s="2082"/>
      <c r="E243" s="21"/>
      <c r="F243" s="2293"/>
      <c r="G243" s="2293"/>
      <c r="H243" s="2293"/>
      <c r="I243" s="2293"/>
      <c r="J243" s="2293"/>
      <c r="K243" s="2293"/>
      <c r="L243" s="2293"/>
      <c r="M243" s="2293"/>
      <c r="N243" s="2293"/>
      <c r="O243" s="2293"/>
    </row>
    <row r="244" spans="2:16" ht="15.75" hidden="1" outlineLevel="1">
      <c r="B244" s="3"/>
      <c r="C244" s="731"/>
      <c r="D244" s="2294" t="s">
        <v>2012</v>
      </c>
      <c r="E244" s="2294"/>
      <c r="F244" s="2295">
        <v>2007</v>
      </c>
      <c r="G244" s="2295">
        <v>2010</v>
      </c>
      <c r="H244" s="2295">
        <v>2015</v>
      </c>
      <c r="I244" s="2295">
        <v>2020</v>
      </c>
      <c r="J244" s="2295">
        <v>2025</v>
      </c>
      <c r="K244" s="2295">
        <v>2030</v>
      </c>
      <c r="L244" s="2295">
        <v>2035</v>
      </c>
      <c r="M244" s="2295">
        <v>2040</v>
      </c>
      <c r="N244" s="2295">
        <v>2045</v>
      </c>
      <c r="O244" s="2295">
        <v>2050</v>
      </c>
    </row>
    <row r="245" spans="2:16" ht="15.75" hidden="1" outlineLevel="1">
      <c r="B245" s="3"/>
      <c r="C245" s="731"/>
      <c r="D245" s="2297" t="s">
        <v>2013</v>
      </c>
      <c r="E245" s="21" t="str">
        <f>Preferences.EnergyUnits&amp;"e"</f>
        <v>TWhe</v>
      </c>
      <c r="F245" s="2293">
        <f ca="1">F182</f>
        <v>0</v>
      </c>
      <c r="G245" s="2293">
        <f t="shared" ref="G245:O245" ca="1" si="66">G182</f>
        <v>0</v>
      </c>
      <c r="H245" s="2293">
        <f t="shared" ca="1" si="66"/>
        <v>0</v>
      </c>
      <c r="I245" s="2293">
        <f t="shared" ca="1" si="66"/>
        <v>0</v>
      </c>
      <c r="J245" s="2293">
        <f t="shared" ca="1" si="66"/>
        <v>0</v>
      </c>
      <c r="K245" s="2293">
        <f t="shared" ca="1" si="66"/>
        <v>0</v>
      </c>
      <c r="L245" s="2293">
        <f t="shared" ca="1" si="66"/>
        <v>0</v>
      </c>
      <c r="M245" s="2293">
        <f t="shared" ca="1" si="66"/>
        <v>0</v>
      </c>
      <c r="N245" s="2293">
        <f t="shared" ca="1" si="66"/>
        <v>0</v>
      </c>
      <c r="O245" s="2293">
        <f t="shared" ca="1" si="66"/>
        <v>0</v>
      </c>
    </row>
    <row r="246" spans="2:16" ht="15.75" hidden="1" outlineLevel="1">
      <c r="B246" s="3"/>
      <c r="C246" s="731"/>
      <c r="D246" s="2298" t="s">
        <v>2027</v>
      </c>
      <c r="E246" s="2299" t="str">
        <f>Preferences.EnergyUnits&amp;"th"</f>
        <v>TWhth</v>
      </c>
      <c r="F246" s="2300">
        <f ca="1">F245/$F$105</f>
        <v>0</v>
      </c>
      <c r="G246" s="2300">
        <f t="shared" ref="G246:O246" ca="1" si="67">G245/$F$105</f>
        <v>0</v>
      </c>
      <c r="H246" s="2300">
        <f t="shared" ca="1" si="67"/>
        <v>0</v>
      </c>
      <c r="I246" s="2300">
        <f t="shared" ca="1" si="67"/>
        <v>0</v>
      </c>
      <c r="J246" s="2300">
        <f t="shared" ca="1" si="67"/>
        <v>0</v>
      </c>
      <c r="K246" s="2300">
        <f t="shared" ca="1" si="67"/>
        <v>0</v>
      </c>
      <c r="L246" s="2300">
        <f t="shared" ca="1" si="67"/>
        <v>0</v>
      </c>
      <c r="M246" s="2300">
        <f t="shared" ca="1" si="67"/>
        <v>0</v>
      </c>
      <c r="N246" s="2300">
        <f t="shared" ca="1" si="67"/>
        <v>0</v>
      </c>
      <c r="O246" s="2300">
        <f t="shared" ca="1" si="67"/>
        <v>0</v>
      </c>
    </row>
    <row r="247" spans="2:16" ht="15.75" hidden="1" outlineLevel="1">
      <c r="B247" s="3"/>
      <c r="C247" s="731"/>
      <c r="D247" s="2082" t="s">
        <v>2028</v>
      </c>
      <c r="E247" s="21" t="s">
        <v>2029</v>
      </c>
      <c r="F247" s="2293">
        <f ca="1">$E$242*-F246</f>
        <v>0</v>
      </c>
      <c r="G247" s="2293">
        <f t="shared" ref="G247:O247" ca="1" si="68">$E$242*-G246</f>
        <v>0</v>
      </c>
      <c r="H247" s="2293">
        <f t="shared" ca="1" si="68"/>
        <v>0</v>
      </c>
      <c r="I247" s="2293">
        <f t="shared" ca="1" si="68"/>
        <v>0</v>
      </c>
      <c r="J247" s="2293">
        <f t="shared" ca="1" si="68"/>
        <v>0</v>
      </c>
      <c r="K247" s="2293">
        <f t="shared" ca="1" si="68"/>
        <v>0</v>
      </c>
      <c r="L247" s="2293">
        <f t="shared" ca="1" si="68"/>
        <v>0</v>
      </c>
      <c r="M247" s="2293">
        <f t="shared" ca="1" si="68"/>
        <v>0</v>
      </c>
      <c r="N247" s="2293">
        <f t="shared" ca="1" si="68"/>
        <v>0</v>
      </c>
      <c r="O247" s="2293">
        <f t="shared" ca="1" si="68"/>
        <v>0</v>
      </c>
    </row>
    <row r="248" spans="2:16" hidden="1" outlineLevel="1">
      <c r="C248" s="731"/>
      <c r="D248" s="2082"/>
      <c r="E248" s="21"/>
      <c r="F248" s="2293"/>
      <c r="G248" s="2293"/>
      <c r="H248" s="2293"/>
      <c r="I248" s="2293"/>
      <c r="J248" s="2293"/>
      <c r="K248" s="2293"/>
      <c r="L248" s="2293"/>
      <c r="M248" s="2293"/>
      <c r="N248" s="2293"/>
      <c r="O248" s="2293"/>
    </row>
    <row r="249" spans="2:16" ht="15.75" hidden="1" outlineLevel="1">
      <c r="B249" s="3"/>
      <c r="C249" s="731"/>
      <c r="D249" s="2304" t="s">
        <v>2032</v>
      </c>
      <c r="E249" s="2305" t="s">
        <v>2029</v>
      </c>
      <c r="F249" s="2278">
        <f ca="1">F247*$G$99</f>
        <v>0</v>
      </c>
      <c r="G249" s="2278">
        <f t="shared" ref="G249:O249" ca="1" si="69">G247*$G$99</f>
        <v>0</v>
      </c>
      <c r="H249" s="2278">
        <f t="shared" ca="1" si="69"/>
        <v>0</v>
      </c>
      <c r="I249" s="2278">
        <f t="shared" ca="1" si="69"/>
        <v>0</v>
      </c>
      <c r="J249" s="2278">
        <f t="shared" ca="1" si="69"/>
        <v>0</v>
      </c>
      <c r="K249" s="2278">
        <f t="shared" ca="1" si="69"/>
        <v>0</v>
      </c>
      <c r="L249" s="2278">
        <f t="shared" ca="1" si="69"/>
        <v>0</v>
      </c>
      <c r="M249" s="2278">
        <f t="shared" ca="1" si="69"/>
        <v>0</v>
      </c>
      <c r="N249" s="2278">
        <f t="shared" ca="1" si="69"/>
        <v>0</v>
      </c>
      <c r="O249" s="2278">
        <f t="shared" ca="1" si="69"/>
        <v>0</v>
      </c>
    </row>
    <row r="250" spans="2:16" ht="15.75" hidden="1" outlineLevel="1">
      <c r="B250" s="3"/>
      <c r="C250" s="731"/>
      <c r="D250" s="2082"/>
      <c r="E250" s="2297"/>
      <c r="F250" s="2285"/>
      <c r="G250" s="2285"/>
      <c r="H250" s="2285"/>
      <c r="I250" s="2285"/>
      <c r="J250" s="2285"/>
      <c r="K250" s="2285"/>
      <c r="L250" s="2285"/>
      <c r="M250" s="2285"/>
      <c r="N250" s="2285"/>
      <c r="O250" s="2285"/>
    </row>
    <row r="251" spans="2:16">
      <c r="C251" s="731"/>
      <c r="D251" s="2082"/>
      <c r="E251" s="21"/>
      <c r="F251" s="2293"/>
      <c r="G251" s="2293"/>
      <c r="H251" s="2293"/>
      <c r="I251" s="2293"/>
      <c r="J251" s="2293"/>
      <c r="K251" s="2293"/>
      <c r="L251" s="2293"/>
      <c r="M251" s="2293"/>
      <c r="N251" s="2293"/>
      <c r="O251" s="2293"/>
    </row>
    <row r="252" spans="2:16" ht="22.5" customHeight="1" collapsed="1">
      <c r="B252" s="2574" t="s">
        <v>2033</v>
      </c>
      <c r="C252" s="2575"/>
      <c r="D252" s="2575"/>
      <c r="E252" s="2575"/>
      <c r="F252" s="2575"/>
      <c r="G252" s="2575"/>
      <c r="H252" s="2575"/>
      <c r="I252" s="2575"/>
      <c r="J252" s="2575"/>
      <c r="K252" s="2575"/>
      <c r="L252" s="2575"/>
      <c r="M252" s="2575"/>
      <c r="N252" s="2575"/>
      <c r="O252" s="2575"/>
      <c r="P252" s="2576"/>
    </row>
    <row r="253" spans="2:16" hidden="1" outlineLevel="1">
      <c r="B253" s="2558"/>
      <c r="C253" s="2559"/>
      <c r="D253" s="2559"/>
      <c r="E253" s="2559"/>
      <c r="F253" s="2559"/>
      <c r="G253" s="2559"/>
      <c r="H253" s="2559"/>
      <c r="I253" s="2559"/>
      <c r="J253" s="2559"/>
      <c r="K253" s="2559"/>
      <c r="L253" s="2559"/>
      <c r="M253" s="2559"/>
      <c r="N253" s="2559"/>
      <c r="O253" s="2559"/>
      <c r="P253" s="2560"/>
    </row>
    <row r="254" spans="2:16" hidden="1" outlineLevel="1">
      <c r="B254" s="2558"/>
      <c r="C254" s="2561"/>
      <c r="D254" s="2559" t="s">
        <v>2038</v>
      </c>
      <c r="E254" s="2562"/>
      <c r="F254" s="2559"/>
      <c r="G254" s="2562"/>
      <c r="H254" s="2559"/>
      <c r="I254" s="2559"/>
      <c r="J254" s="2559"/>
      <c r="K254" s="2559"/>
      <c r="L254" s="2559"/>
      <c r="M254" s="2559"/>
      <c r="N254" s="2559"/>
      <c r="O254" s="2562"/>
      <c r="P254" s="2560"/>
    </row>
    <row r="255" spans="2:16" hidden="1" outlineLevel="1">
      <c r="B255" s="2558"/>
      <c r="C255" s="2559"/>
      <c r="D255" s="2559"/>
      <c r="E255" s="2559"/>
      <c r="F255" s="2559"/>
      <c r="G255" s="2559"/>
      <c r="H255" s="2559"/>
      <c r="I255" s="2559"/>
      <c r="J255" s="2559"/>
      <c r="K255" s="2559"/>
      <c r="L255" s="2559"/>
      <c r="M255" s="2559"/>
      <c r="N255" s="2559"/>
      <c r="O255" s="2559"/>
      <c r="P255" s="2560"/>
    </row>
    <row r="256" spans="2:16" ht="15.75" hidden="1" outlineLevel="1">
      <c r="B256" s="2563"/>
      <c r="C256" s="2564"/>
      <c r="D256" s="2564" t="s">
        <v>418</v>
      </c>
      <c r="E256" s="2564" t="s">
        <v>85</v>
      </c>
      <c r="F256" s="2564" t="s">
        <v>691</v>
      </c>
      <c r="G256" s="2564" t="s">
        <v>692</v>
      </c>
      <c r="H256" s="2565" t="s">
        <v>721</v>
      </c>
      <c r="I256" s="2565" t="s">
        <v>722</v>
      </c>
      <c r="J256" s="2565" t="s">
        <v>723</v>
      </c>
      <c r="K256" s="2565" t="s">
        <v>724</v>
      </c>
      <c r="L256" s="2565" t="s">
        <v>725</v>
      </c>
      <c r="M256" s="2565" t="s">
        <v>726</v>
      </c>
      <c r="N256" s="2565" t="s">
        <v>727</v>
      </c>
      <c r="O256" s="2565" t="s">
        <v>728</v>
      </c>
      <c r="P256" s="2560"/>
    </row>
    <row r="257" spans="1:16" ht="15.75" hidden="1" outlineLevel="1">
      <c r="B257" s="2563"/>
      <c r="C257" s="2566"/>
      <c r="D257" s="2566" t="s">
        <v>2035</v>
      </c>
      <c r="E257" s="2566" t="s">
        <v>844</v>
      </c>
      <c r="F257" s="2567">
        <f ca="1">F229</f>
        <v>0.37155766128657725</v>
      </c>
      <c r="G257" s="2567">
        <f t="shared" ref="G257:O257" ca="1" si="70">G229</f>
        <v>0.49819312614062178</v>
      </c>
      <c r="H257" s="2567">
        <f t="shared" ca="1" si="70"/>
        <v>0.52123550698433363</v>
      </c>
      <c r="I257" s="2567">
        <f t="shared" ca="1" si="70"/>
        <v>0.62707188918268109</v>
      </c>
      <c r="J257" s="2567">
        <f t="shared" ca="1" si="70"/>
        <v>0.6668354378838004</v>
      </c>
      <c r="K257" s="2567">
        <f t="shared" ca="1" si="70"/>
        <v>0.58520549750337558</v>
      </c>
      <c r="L257" s="2567">
        <f t="shared" ca="1" si="70"/>
        <v>0.47245953431813931</v>
      </c>
      <c r="M257" s="2567">
        <f t="shared" ca="1" si="70"/>
        <v>0.37176702569696723</v>
      </c>
      <c r="N257" s="2567">
        <f t="shared" ca="1" si="70"/>
        <v>0.29222754032032605</v>
      </c>
      <c r="O257" s="2567">
        <f t="shared" ca="1" si="70"/>
        <v>0.30529835898828611</v>
      </c>
      <c r="P257" s="2560"/>
    </row>
    <row r="258" spans="1:16" ht="15.75" hidden="1" outlineLevel="1">
      <c r="B258" s="2563"/>
      <c r="C258" s="2566"/>
      <c r="D258" s="2566" t="s">
        <v>2036</v>
      </c>
      <c r="E258" s="2566" t="str">
        <f>E238</f>
        <v>GWcapacity</v>
      </c>
      <c r="F258" s="2568">
        <f ca="1">F238</f>
        <v>0</v>
      </c>
      <c r="G258" s="2568">
        <f t="shared" ref="G258:O258" ca="1" si="71">G238</f>
        <v>0</v>
      </c>
      <c r="H258" s="2568">
        <f t="shared" ca="1" si="71"/>
        <v>0</v>
      </c>
      <c r="I258" s="2568">
        <f t="shared" ca="1" si="71"/>
        <v>0</v>
      </c>
      <c r="J258" s="2568">
        <f t="shared" ca="1" si="71"/>
        <v>0</v>
      </c>
      <c r="K258" s="2568">
        <f t="shared" ca="1" si="71"/>
        <v>0</v>
      </c>
      <c r="L258" s="2568">
        <f t="shared" ca="1" si="71"/>
        <v>0</v>
      </c>
      <c r="M258" s="2568">
        <f t="shared" ca="1" si="71"/>
        <v>0</v>
      </c>
      <c r="N258" s="2568">
        <f t="shared" ca="1" si="71"/>
        <v>0</v>
      </c>
      <c r="O258" s="2568">
        <f t="shared" ca="1" si="71"/>
        <v>0</v>
      </c>
      <c r="P258" s="2560"/>
    </row>
    <row r="259" spans="1:16" ht="15.75" hidden="1" outlineLevel="1">
      <c r="B259" s="2563"/>
      <c r="C259" s="2566"/>
      <c r="D259" s="2566" t="s">
        <v>2032</v>
      </c>
      <c r="E259" s="2566" t="str">
        <f>E249</f>
        <v>MtCO2e</v>
      </c>
      <c r="F259" s="2569">
        <f ca="1">F249</f>
        <v>0</v>
      </c>
      <c r="G259" s="2569">
        <f t="shared" ref="G259:O259" ca="1" si="72">G249</f>
        <v>0</v>
      </c>
      <c r="H259" s="2569">
        <f t="shared" ca="1" si="72"/>
        <v>0</v>
      </c>
      <c r="I259" s="2569">
        <f t="shared" ca="1" si="72"/>
        <v>0</v>
      </c>
      <c r="J259" s="2569">
        <f t="shared" ca="1" si="72"/>
        <v>0</v>
      </c>
      <c r="K259" s="2569">
        <f t="shared" ca="1" si="72"/>
        <v>0</v>
      </c>
      <c r="L259" s="2569">
        <f t="shared" ca="1" si="72"/>
        <v>0</v>
      </c>
      <c r="M259" s="2569">
        <f t="shared" ca="1" si="72"/>
        <v>0</v>
      </c>
      <c r="N259" s="2569">
        <f t="shared" ca="1" si="72"/>
        <v>0</v>
      </c>
      <c r="O259" s="2569">
        <f t="shared" ca="1" si="72"/>
        <v>0</v>
      </c>
      <c r="P259" s="2560"/>
    </row>
    <row r="260" spans="1:16" ht="15.75" hidden="1" outlineLevel="1">
      <c r="B260" s="2570"/>
      <c r="C260" s="2571"/>
      <c r="D260" s="2572"/>
      <c r="E260" s="2572"/>
      <c r="F260" s="2572"/>
      <c r="G260" s="2572"/>
      <c r="H260" s="2572"/>
      <c r="I260" s="2572"/>
      <c r="J260" s="2572"/>
      <c r="K260" s="2572"/>
      <c r="L260" s="2572"/>
      <c r="M260" s="2572"/>
      <c r="N260" s="2572"/>
      <c r="O260" s="2572"/>
      <c r="P260" s="2573"/>
    </row>
    <row r="263" spans="1:16" ht="22.5" collapsed="1">
      <c r="A263" s="1171"/>
      <c r="B263" s="1231" t="s">
        <v>2031</v>
      </c>
      <c r="C263" s="1183"/>
      <c r="D263" s="1183"/>
      <c r="E263" s="1183"/>
      <c r="F263" s="1183"/>
      <c r="G263" s="1183"/>
      <c r="H263" s="1183"/>
      <c r="I263" s="1183"/>
      <c r="J263" s="1183"/>
      <c r="K263" s="1183"/>
      <c r="L263" s="1183"/>
      <c r="M263" s="1183"/>
      <c r="N263" s="1183"/>
      <c r="O263" s="1183"/>
      <c r="P263" s="1185"/>
    </row>
    <row r="264" spans="1:16" hidden="1" outlineLevel="1">
      <c r="B264" s="1172"/>
      <c r="C264" s="1174"/>
      <c r="D264" s="1174"/>
      <c r="E264" s="1174"/>
      <c r="F264" s="1174"/>
      <c r="G264" s="1174"/>
      <c r="H264" s="1174"/>
      <c r="I264" s="1174"/>
      <c r="J264" s="1174"/>
      <c r="K264" s="1174"/>
      <c r="L264" s="1174"/>
      <c r="M264" s="1174"/>
      <c r="N264" s="1174"/>
      <c r="O264" s="1174"/>
      <c r="P264" s="1176"/>
    </row>
    <row r="265" spans="1:16" hidden="1" outlineLevel="1">
      <c r="B265" s="1172"/>
      <c r="C265" s="1186"/>
      <c r="D265" s="1174"/>
      <c r="E265" s="1175"/>
      <c r="F265" s="1174"/>
      <c r="G265" s="1175"/>
      <c r="H265" s="1174"/>
      <c r="I265" s="1174"/>
      <c r="J265" s="1174"/>
      <c r="K265" s="1174"/>
      <c r="L265" s="1174"/>
      <c r="M265" s="1174"/>
      <c r="N265" s="1174"/>
      <c r="O265" s="1175" t="str">
        <f>Preferences.EnergyUnits</f>
        <v>TWh</v>
      </c>
      <c r="P265" s="1176"/>
    </row>
    <row r="266" spans="1:16" ht="6" hidden="1" customHeight="1" outlineLevel="1">
      <c r="B266" s="1172"/>
      <c r="C266" s="1174"/>
      <c r="D266" s="1174"/>
      <c r="E266" s="1174"/>
      <c r="F266" s="1174"/>
      <c r="G266" s="1174"/>
      <c r="H266" s="1174"/>
      <c r="I266" s="1174"/>
      <c r="J266" s="1174"/>
      <c r="K266" s="1174"/>
      <c r="L266" s="1174"/>
      <c r="M266" s="1174"/>
      <c r="N266" s="1174"/>
      <c r="O266" s="1174"/>
      <c r="P266" s="1176"/>
    </row>
    <row r="267" spans="1:16" ht="15.75" hidden="1" outlineLevel="1">
      <c r="A267" s="3"/>
      <c r="B267" s="1177"/>
      <c r="C267" s="1188" t="s">
        <v>78</v>
      </c>
      <c r="D267" s="1188" t="s">
        <v>418</v>
      </c>
      <c r="E267" s="1188" t="s">
        <v>442</v>
      </c>
      <c r="F267" s="1188" t="s">
        <v>691</v>
      </c>
      <c r="G267" s="1188" t="s">
        <v>692</v>
      </c>
      <c r="H267" s="1189" t="s">
        <v>721</v>
      </c>
      <c r="I267" s="1189" t="s">
        <v>722</v>
      </c>
      <c r="J267" s="1189" t="s">
        <v>723</v>
      </c>
      <c r="K267" s="1189" t="s">
        <v>724</v>
      </c>
      <c r="L267" s="1189" t="s">
        <v>725</v>
      </c>
      <c r="M267" s="1189" t="s">
        <v>726</v>
      </c>
      <c r="N267" s="1189" t="s">
        <v>727</v>
      </c>
      <c r="O267" s="1189" t="s">
        <v>728</v>
      </c>
      <c r="P267" s="1176"/>
    </row>
    <row r="268" spans="1:16" ht="15.75" hidden="1" outlineLevel="1">
      <c r="A268" s="3"/>
      <c r="B268" s="1177"/>
      <c r="C268" s="765" t="s">
        <v>46</v>
      </c>
      <c r="D268" s="765" t="str">
        <f>INDEX(Vectors[Description], MATCH([Vector], Vectors[Code], 0))</f>
        <v>Electricity (supplied to grid)</v>
      </c>
      <c r="E268" s="765"/>
      <c r="F268" s="953">
        <f>F93</f>
        <v>-1.2254999999999996</v>
      </c>
      <c r="G268" s="953">
        <f t="shared" ref="G268:O268" si="73">G93</f>
        <v>0</v>
      </c>
      <c r="H268" s="953">
        <f t="shared" si="73"/>
        <v>0</v>
      </c>
      <c r="I268" s="953">
        <f t="shared" si="73"/>
        <v>0</v>
      </c>
      <c r="J268" s="953">
        <f t="shared" si="73"/>
        <v>0</v>
      </c>
      <c r="K268" s="953">
        <f t="shared" si="73"/>
        <v>0</v>
      </c>
      <c r="L268" s="953">
        <f t="shared" si="73"/>
        <v>0</v>
      </c>
      <c r="M268" s="953">
        <f t="shared" si="73"/>
        <v>0</v>
      </c>
      <c r="N268" s="953">
        <f t="shared" si="73"/>
        <v>0</v>
      </c>
      <c r="O268" s="953">
        <f t="shared" si="73"/>
        <v>0</v>
      </c>
      <c r="P268" s="1176"/>
    </row>
    <row r="269" spans="1:16" ht="15.75" hidden="1" outlineLevel="1">
      <c r="A269" s="3"/>
      <c r="B269" s="1177"/>
      <c r="C269" s="765" t="s">
        <v>34</v>
      </c>
      <c r="D269" s="765" t="str">
        <f>INDEX(Vectors[Description], MATCH([Vector], Vectors[Code], 0))</f>
        <v>Conversion losses</v>
      </c>
      <c r="E269" s="765"/>
      <c r="F269" s="953">
        <f>-F268</f>
        <v>1.2254999999999996</v>
      </c>
      <c r="G269" s="953">
        <f t="shared" ref="G269:O269" si="74">-G268</f>
        <v>0</v>
      </c>
      <c r="H269" s="953">
        <f t="shared" si="74"/>
        <v>0</v>
      </c>
      <c r="I269" s="953">
        <f t="shared" si="74"/>
        <v>0</v>
      </c>
      <c r="J269" s="953">
        <f t="shared" si="74"/>
        <v>0</v>
      </c>
      <c r="K269" s="953">
        <f t="shared" si="74"/>
        <v>0</v>
      </c>
      <c r="L269" s="953">
        <f t="shared" si="74"/>
        <v>0</v>
      </c>
      <c r="M269" s="953">
        <f t="shared" si="74"/>
        <v>0</v>
      </c>
      <c r="N269" s="953">
        <f t="shared" si="74"/>
        <v>0</v>
      </c>
      <c r="O269" s="953">
        <f t="shared" si="74"/>
        <v>0</v>
      </c>
      <c r="P269" s="1176"/>
    </row>
    <row r="270" spans="1:16" ht="15.75" hidden="1" outlineLevel="1">
      <c r="A270" s="3"/>
      <c r="B270" s="1177"/>
      <c r="C270" s="765" t="s">
        <v>148</v>
      </c>
      <c r="D270" s="765"/>
      <c r="E270" s="765"/>
      <c r="F270" s="1459">
        <f>SUBTOTAL(109,[2007])</f>
        <v>0</v>
      </c>
      <c r="G270" s="1459">
        <f>SUBTOTAL(109,[2010])</f>
        <v>0</v>
      </c>
      <c r="H270" s="1459">
        <f>SUBTOTAL(109,[2015])</f>
        <v>0</v>
      </c>
      <c r="I270" s="1459">
        <f>SUBTOTAL(109,[2020])</f>
        <v>0</v>
      </c>
      <c r="J270" s="1459">
        <f>SUBTOTAL(109,[2025])</f>
        <v>0</v>
      </c>
      <c r="K270" s="1459">
        <f>SUBTOTAL(109,[2030])</f>
        <v>0</v>
      </c>
      <c r="L270" s="1459">
        <f>SUBTOTAL(109,[2035])</f>
        <v>0</v>
      </c>
      <c r="M270" s="1459">
        <f>SUBTOTAL(109,[2040])</f>
        <v>0</v>
      </c>
      <c r="N270" s="1459">
        <f>SUBTOTAL(109,[2045])</f>
        <v>0</v>
      </c>
      <c r="O270" s="1459">
        <f>SUBTOTAL(109,[2050])</f>
        <v>0</v>
      </c>
      <c r="P270" s="1176"/>
    </row>
    <row r="271" spans="1:16" ht="15.75" hidden="1" outlineLevel="1">
      <c r="A271" s="3"/>
      <c r="B271" s="1178"/>
      <c r="C271" s="1281"/>
      <c r="D271" s="1282"/>
      <c r="E271" s="1282"/>
      <c r="F271" s="1282"/>
      <c r="G271" s="1282"/>
      <c r="H271" s="1282"/>
      <c r="I271" s="1282"/>
      <c r="J271" s="1282"/>
      <c r="K271" s="1282"/>
      <c r="L271" s="1282"/>
      <c r="M271" s="1282"/>
      <c r="N271" s="1282"/>
      <c r="O271" s="1282"/>
      <c r="P271" s="1181"/>
    </row>
  </sheetData>
  <pageMargins left="0.7" right="0.7" top="0.75" bottom="0.75" header="0.3" footer="0.3"/>
  <pageSetup paperSize="9" orientation="portrait" r:id="rId1"/>
  <ignoredErrors>
    <ignoredError sqref="F16:O17 D16:D17 F18:O18 D18" calculatedColumn="1"/>
  </ignoredErrors>
  <tableParts count="3">
    <tablePart r:id="rId2"/>
    <tablePart r:id="rId3"/>
    <tablePart r:id="rId4"/>
  </tableParts>
</worksheet>
</file>

<file path=xl/worksheets/sheet36.xml><?xml version="1.0" encoding="utf-8"?>
<worksheet xmlns="http://schemas.openxmlformats.org/spreadsheetml/2006/main" xmlns:r="http://schemas.openxmlformats.org/officeDocument/2006/relationships">
  <sheetPr codeName="Sheet61">
    <tabColor theme="9"/>
    <outlinePr summaryBelow="0"/>
    <pageSetUpPr autoPageBreaks="0"/>
  </sheetPr>
  <dimension ref="A1:AG599"/>
  <sheetViews>
    <sheetView showGridLines="0" zoomScale="80" zoomScaleNormal="80" workbookViewId="0">
      <pane ySplit="2" topLeftCell="A3" activePane="bottomLeft" state="frozen"/>
      <selection activeCell="A3" sqref="A3"/>
      <selection pane="bottomLeft"/>
    </sheetView>
  </sheetViews>
  <sheetFormatPr defaultRowHeight="12.75" outlineLevelRow="2"/>
  <cols>
    <col min="1" max="1" width="5.85546875" style="121" customWidth="1"/>
    <col min="2" max="2" width="3.28515625" style="121" customWidth="1"/>
    <col min="3" max="3" width="9.140625" style="121"/>
    <col min="4" max="4" width="28.140625" style="121" bestFit="1" customWidth="1"/>
    <col min="5" max="5" width="11.140625" style="121" customWidth="1"/>
    <col min="6" max="15" width="10.42578125" style="121" customWidth="1"/>
    <col min="16" max="16" width="10" style="121" customWidth="1"/>
    <col min="17" max="20" width="10.140625" style="121" customWidth="1"/>
    <col min="21" max="21" width="2.85546875" style="121" customWidth="1"/>
    <col min="22" max="24" width="9.7109375" style="121" customWidth="1"/>
    <col min="25" max="16384" width="9.140625" style="121"/>
  </cols>
  <sheetData>
    <row r="1" spans="1:16" ht="21">
      <c r="A1" s="790" t="s">
        <v>676</v>
      </c>
      <c r="B1" s="790" t="str">
        <f>INDEX(Workstreams[Workstream], MATCH($A1, Workstreams[Code], 0))</f>
        <v>Heating</v>
      </c>
      <c r="C1" s="790"/>
    </row>
    <row r="2" spans="1:16" s="743" customFormat="1" ht="19.5" customHeight="1">
      <c r="A2" s="10" t="s">
        <v>829</v>
      </c>
      <c r="B2" s="10" t="str">
        <f>INDEX(Modules[Module], MATCH($A2, Modules[Code], 0))</f>
        <v>Domestic space heating and hot water</v>
      </c>
      <c r="C2" s="10"/>
    </row>
    <row r="4" spans="1:16" ht="22.5" collapsed="1">
      <c r="A4" s="1171"/>
      <c r="B4" s="1231" t="s">
        <v>1353</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t="5.25" hidden="1" customHeight="1" outlineLevel="1">
      <c r="B6" s="1172"/>
      <c r="C6" s="1173"/>
      <c r="D6" s="1174"/>
      <c r="E6" s="1175"/>
      <c r="F6" s="1174"/>
      <c r="G6" s="1174"/>
      <c r="H6" s="1174"/>
      <c r="I6" s="1174"/>
      <c r="J6" s="1174"/>
      <c r="K6" s="1174"/>
      <c r="L6" s="1174"/>
      <c r="M6" s="1174"/>
      <c r="N6" s="1174"/>
      <c r="O6" s="1174"/>
      <c r="P6" s="1176"/>
    </row>
    <row r="7" spans="1:16" ht="15.75" hidden="1" outlineLevel="1">
      <c r="B7" s="1177"/>
      <c r="C7" s="1174"/>
      <c r="D7" s="922" t="s">
        <v>830</v>
      </c>
      <c r="E7" s="922" t="s">
        <v>1352</v>
      </c>
      <c r="F7" s="1174"/>
      <c r="G7" s="1174"/>
      <c r="H7" s="1174"/>
      <c r="I7" s="1174"/>
      <c r="J7" s="1174"/>
      <c r="K7" s="1174"/>
      <c r="L7" s="1174"/>
      <c r="M7" s="1174"/>
      <c r="N7" s="1174"/>
      <c r="O7" s="1174"/>
      <c r="P7" s="1176"/>
    </row>
    <row r="8" spans="1:16" ht="15.75" hidden="1" outlineLevel="1">
      <c r="B8" s="1177"/>
      <c r="C8" s="1174"/>
      <c r="D8" s="765" t="s">
        <v>1834</v>
      </c>
      <c r="E8" s="765">
        <f>IX.a.Scenario.ServiceDemand</f>
        <v>1</v>
      </c>
      <c r="F8" s="1174"/>
      <c r="G8" s="1174"/>
      <c r="H8" s="1174"/>
      <c r="I8" s="1174"/>
      <c r="J8" s="1174"/>
      <c r="K8" s="1174"/>
      <c r="L8" s="1174"/>
      <c r="M8" s="1174"/>
      <c r="N8" s="1174"/>
      <c r="O8" s="1174"/>
      <c r="P8" s="1176"/>
    </row>
    <row r="9" spans="1:16" ht="15.75" hidden="1" outlineLevel="1">
      <c r="B9" s="1187"/>
      <c r="C9" s="1188"/>
      <c r="D9" s="765" t="s">
        <v>1277</v>
      </c>
      <c r="E9" s="1188">
        <f>IX.a.Scenario.Insulation</f>
        <v>1</v>
      </c>
      <c r="F9" s="1188"/>
      <c r="G9" s="1188"/>
      <c r="H9" s="1189"/>
      <c r="I9" s="1189"/>
      <c r="J9" s="1189"/>
      <c r="K9" s="1189"/>
      <c r="L9" s="1189"/>
      <c r="M9" s="1189"/>
      <c r="N9" s="1189"/>
      <c r="O9" s="1189"/>
      <c r="P9" s="1190"/>
    </row>
    <row r="10" spans="1:16" ht="15.75" hidden="1" outlineLevel="1">
      <c r="B10" s="1187"/>
      <c r="C10" s="1188"/>
      <c r="D10" s="765" t="s">
        <v>1862</v>
      </c>
      <c r="E10" s="1188">
        <f>IX.a.Scenario.Electrification</f>
        <v>1</v>
      </c>
      <c r="F10" s="1188"/>
      <c r="G10" s="1188"/>
      <c r="H10" s="1189"/>
      <c r="I10" s="1189"/>
      <c r="J10" s="1189"/>
      <c r="K10" s="1189"/>
      <c r="L10" s="1189"/>
      <c r="M10" s="1189"/>
      <c r="N10" s="1189"/>
      <c r="O10" s="1189"/>
      <c r="P10" s="1190"/>
    </row>
    <row r="11" spans="1:16" ht="15.75" hidden="1" outlineLevel="1">
      <c r="B11" s="1187"/>
      <c r="C11" s="765"/>
      <c r="D11" s="860" t="s">
        <v>1859</v>
      </c>
      <c r="E11" s="860">
        <f>IX.a.Scenario.Fuel</f>
        <v>1</v>
      </c>
      <c r="F11" s="953"/>
      <c r="G11" s="765"/>
      <c r="H11" s="765"/>
      <c r="I11" s="765"/>
      <c r="J11" s="765"/>
      <c r="K11" s="765"/>
      <c r="L11" s="765"/>
      <c r="M11" s="765"/>
      <c r="N11" s="765"/>
      <c r="O11" s="765"/>
      <c r="P11" s="1191"/>
    </row>
    <row r="12" spans="1:16" ht="15.75" hidden="1" outlineLevel="1">
      <c r="B12" s="1187"/>
      <c r="C12" s="765"/>
      <c r="D12" s="765"/>
      <c r="E12" s="765"/>
      <c r="F12" s="953"/>
      <c r="G12" s="765"/>
      <c r="H12" s="765"/>
      <c r="I12" s="765"/>
      <c r="J12" s="765"/>
      <c r="K12" s="765"/>
      <c r="L12" s="765"/>
      <c r="M12" s="765"/>
      <c r="N12" s="765"/>
      <c r="O12" s="765"/>
      <c r="P12" s="1191"/>
    </row>
    <row r="13" spans="1:16" ht="15.75" hidden="1" outlineLevel="1">
      <c r="B13" s="1187"/>
      <c r="C13" s="1844" t="s">
        <v>2312</v>
      </c>
      <c r="D13" s="765"/>
      <c r="E13" s="765"/>
      <c r="F13" s="953"/>
      <c r="G13" s="765"/>
      <c r="H13" s="765"/>
      <c r="I13" s="765"/>
      <c r="J13" s="765"/>
      <c r="K13" s="765"/>
      <c r="L13" s="765"/>
      <c r="M13" s="765"/>
      <c r="N13" s="765"/>
      <c r="O13" s="765"/>
      <c r="P13" s="1191"/>
    </row>
    <row r="14" spans="1:16" ht="5.25" hidden="1" customHeight="1" outlineLevel="1">
      <c r="B14" s="1187"/>
      <c r="C14" s="765"/>
      <c r="D14" s="765"/>
      <c r="E14" s="765"/>
      <c r="F14" s="953"/>
      <c r="G14" s="765"/>
      <c r="H14" s="765"/>
      <c r="I14" s="765"/>
      <c r="J14" s="765"/>
      <c r="K14" s="765"/>
      <c r="L14" s="765"/>
      <c r="M14" s="765"/>
      <c r="N14" s="765"/>
      <c r="O14" s="765"/>
      <c r="P14" s="1191"/>
    </row>
    <row r="15" spans="1:16" ht="15.75" hidden="1" outlineLevel="1">
      <c r="B15" s="1187"/>
      <c r="C15" s="2122"/>
      <c r="D15" s="2122"/>
      <c r="E15" s="2123" t="s">
        <v>1860</v>
      </c>
      <c r="F15" s="2124"/>
      <c r="G15" s="2123"/>
      <c r="H15" s="2123"/>
      <c r="I15" s="765"/>
      <c r="J15" s="765"/>
      <c r="K15" s="765"/>
      <c r="L15" s="765"/>
      <c r="M15" s="765"/>
      <c r="N15" s="765"/>
      <c r="O15" s="765"/>
      <c r="P15" s="1191"/>
    </row>
    <row r="16" spans="1:16" ht="15.75" hidden="1" outlineLevel="1">
      <c r="B16" s="1187"/>
      <c r="C16" s="765"/>
      <c r="D16" s="765"/>
      <c r="E16" s="2127">
        <v>1</v>
      </c>
      <c r="F16" s="2127">
        <v>2</v>
      </c>
      <c r="G16" s="2127">
        <v>3</v>
      </c>
      <c r="H16" s="2127">
        <v>4</v>
      </c>
      <c r="I16" s="765"/>
      <c r="J16" s="765"/>
      <c r="K16" s="765"/>
      <c r="L16" s="765"/>
      <c r="M16" s="765"/>
      <c r="N16" s="765"/>
      <c r="O16" s="765"/>
      <c r="P16" s="1191"/>
    </row>
    <row r="17" spans="1:16" ht="15.75" hidden="1" outlineLevel="1">
      <c r="B17" s="1187"/>
      <c r="C17" s="2128" t="s">
        <v>1862</v>
      </c>
      <c r="D17" s="2128"/>
      <c r="E17" s="2129" t="s">
        <v>14</v>
      </c>
      <c r="F17" s="2130" t="s">
        <v>1455</v>
      </c>
      <c r="G17" s="2129" t="s">
        <v>1829</v>
      </c>
      <c r="H17" s="2129" t="s">
        <v>1853</v>
      </c>
      <c r="I17" s="765"/>
      <c r="J17" s="765"/>
      <c r="K17" s="765"/>
      <c r="L17" s="765"/>
      <c r="M17" s="765"/>
      <c r="N17" s="765"/>
      <c r="O17" s="765"/>
      <c r="P17" s="1191"/>
    </row>
    <row r="18" spans="1:16" ht="15.75" hidden="1" outlineLevel="1">
      <c r="B18" s="1187"/>
      <c r="C18" s="765">
        <v>1</v>
      </c>
      <c r="D18" s="765" t="s">
        <v>2332</v>
      </c>
      <c r="E18" s="2125">
        <v>9</v>
      </c>
      <c r="F18" s="2125">
        <v>6</v>
      </c>
      <c r="G18" s="2125">
        <v>15</v>
      </c>
      <c r="H18" s="2125">
        <v>7</v>
      </c>
      <c r="I18" s="765"/>
      <c r="J18" s="765"/>
      <c r="K18" s="765"/>
      <c r="L18" s="765"/>
      <c r="M18" s="765"/>
      <c r="N18" s="765"/>
      <c r="O18" s="765"/>
      <c r="P18" s="1191"/>
    </row>
    <row r="19" spans="1:16" ht="15.75" hidden="1" outlineLevel="1">
      <c r="B19" s="1187"/>
      <c r="C19" s="765">
        <v>2</v>
      </c>
      <c r="D19" s="765" t="s">
        <v>1830</v>
      </c>
      <c r="E19" s="2125">
        <v>11</v>
      </c>
      <c r="F19" s="2125">
        <v>5</v>
      </c>
      <c r="G19" s="2125">
        <v>14</v>
      </c>
      <c r="H19" s="2125">
        <v>12</v>
      </c>
      <c r="I19" s="765"/>
      <c r="J19" s="765"/>
      <c r="K19" s="765"/>
      <c r="L19" s="765"/>
      <c r="M19" s="765"/>
      <c r="N19" s="765"/>
      <c r="O19" s="765"/>
      <c r="P19" s="1191"/>
    </row>
    <row r="20" spans="1:16" ht="15.75" hidden="1" outlineLevel="1">
      <c r="B20" s="1187"/>
      <c r="C20" s="765">
        <v>3</v>
      </c>
      <c r="D20" s="765" t="s">
        <v>1831</v>
      </c>
      <c r="E20" s="2125">
        <v>10</v>
      </c>
      <c r="F20" s="2125">
        <v>8</v>
      </c>
      <c r="G20" s="2125">
        <v>13</v>
      </c>
      <c r="H20" s="2125">
        <v>16</v>
      </c>
      <c r="I20" s="765"/>
      <c r="J20" s="765"/>
      <c r="K20" s="765"/>
      <c r="L20" s="765"/>
      <c r="M20" s="765"/>
      <c r="N20" s="765"/>
      <c r="O20" s="765"/>
      <c r="P20" s="1191"/>
    </row>
    <row r="21" spans="1:16" ht="15.75" hidden="1" outlineLevel="1">
      <c r="B21" s="1187"/>
      <c r="C21" s="1292">
        <v>4</v>
      </c>
      <c r="D21" s="1292" t="s">
        <v>1832</v>
      </c>
      <c r="E21" s="2126">
        <v>3</v>
      </c>
      <c r="F21" s="2126">
        <v>2</v>
      </c>
      <c r="G21" s="2126">
        <v>4</v>
      </c>
      <c r="H21" s="2126">
        <v>1</v>
      </c>
      <c r="I21" s="765"/>
      <c r="J21" s="765"/>
      <c r="K21" s="765"/>
      <c r="L21" s="765"/>
      <c r="M21" s="765"/>
      <c r="N21" s="765"/>
      <c r="O21" s="765"/>
      <c r="P21" s="1191"/>
    </row>
    <row r="22" spans="1:16" ht="15.75" hidden="1" outlineLevel="1">
      <c r="B22" s="1187"/>
      <c r="C22" s="765"/>
      <c r="D22" s="765"/>
      <c r="E22" s="765"/>
      <c r="F22" s="953"/>
      <c r="G22" s="765"/>
      <c r="H22" s="765"/>
      <c r="I22" s="765"/>
      <c r="J22" s="765"/>
      <c r="K22" s="765"/>
      <c r="L22" s="765"/>
      <c r="M22" s="765"/>
      <c r="N22" s="765"/>
      <c r="O22" s="765"/>
      <c r="P22" s="1191"/>
    </row>
    <row r="23" spans="1:16" ht="15.75" hidden="1" outlineLevel="1">
      <c r="B23" s="1187"/>
      <c r="C23" s="765"/>
      <c r="D23" s="765" t="s">
        <v>2313</v>
      </c>
      <c r="E23" s="765">
        <f>INDEX($E$18:$H$21, MATCH($E$10, $C$18:$C$21, 0), MATCH($E$11, $E$16:$H$16, 0))</f>
        <v>9</v>
      </c>
      <c r="F23" s="953"/>
      <c r="G23" s="765"/>
      <c r="H23" s="765"/>
      <c r="I23" s="765"/>
      <c r="J23" s="765"/>
      <c r="K23" s="765"/>
      <c r="L23" s="765"/>
      <c r="M23" s="765"/>
      <c r="N23" s="765"/>
      <c r="O23" s="765"/>
      <c r="P23" s="1191"/>
    </row>
    <row r="24" spans="1:16" ht="15.75" hidden="1" outlineLevel="1">
      <c r="B24" s="1187"/>
      <c r="C24" s="765"/>
      <c r="D24" s="765"/>
      <c r="E24" s="765"/>
      <c r="F24" s="953"/>
      <c r="G24" s="765"/>
      <c r="H24" s="765"/>
      <c r="I24" s="765"/>
      <c r="J24" s="765"/>
      <c r="K24" s="765"/>
      <c r="L24" s="765"/>
      <c r="M24" s="765"/>
      <c r="N24" s="765"/>
      <c r="O24" s="765"/>
      <c r="P24" s="1191"/>
    </row>
    <row r="26" spans="1:16" ht="22.5" collapsed="1">
      <c r="A26" s="1171"/>
      <c r="B26" s="1231" t="s">
        <v>682</v>
      </c>
      <c r="C26" s="1183"/>
      <c r="D26" s="1183"/>
      <c r="E26" s="1183"/>
      <c r="F26" s="1183"/>
      <c r="G26" s="1183"/>
      <c r="H26" s="1183"/>
      <c r="I26" s="1183"/>
      <c r="J26" s="1183"/>
      <c r="K26" s="1183"/>
      <c r="L26" s="1183"/>
      <c r="M26" s="1183"/>
      <c r="N26" s="1183"/>
      <c r="O26" s="1183"/>
      <c r="P26" s="1185"/>
    </row>
    <row r="27" spans="1:16" hidden="1" outlineLevel="1">
      <c r="B27" s="1172"/>
      <c r="C27" s="1174"/>
      <c r="D27" s="1174"/>
      <c r="E27" s="1174"/>
      <c r="F27" s="1174"/>
      <c r="G27" s="1174"/>
      <c r="H27" s="1174"/>
      <c r="I27" s="1174"/>
      <c r="J27" s="1174"/>
      <c r="K27" s="1174"/>
      <c r="L27" s="1174"/>
      <c r="M27" s="1174"/>
      <c r="N27" s="1174"/>
      <c r="O27" s="1174"/>
      <c r="P27" s="1176"/>
    </row>
    <row r="28" spans="1:16" hidden="1" outlineLevel="1">
      <c r="B28" s="1172"/>
      <c r="C28" s="1186" t="s">
        <v>950</v>
      </c>
      <c r="D28" s="1174" t="str">
        <f>INDEX(Modules[Module], MATCH(C28, Modules[Code], 0))</f>
        <v>Domestic lighting, appliances, and cooking</v>
      </c>
      <c r="E28" s="1175"/>
      <c r="F28" s="1174"/>
      <c r="G28" s="1174"/>
      <c r="H28" s="1174"/>
      <c r="I28" s="1174"/>
      <c r="J28" s="1174"/>
      <c r="K28" s="1174"/>
      <c r="L28" s="1174"/>
      <c r="M28" s="1174"/>
      <c r="N28" s="1174"/>
      <c r="O28" s="1175" t="str">
        <f>Preferences.EnergyUnits</f>
        <v>TWh</v>
      </c>
      <c r="P28" s="1176"/>
    </row>
    <row r="29" spans="1:16" ht="6" hidden="1" customHeight="1" outlineLevel="1">
      <c r="B29" s="1172"/>
      <c r="C29" s="1173"/>
      <c r="D29" s="1174"/>
      <c r="E29" s="1175"/>
      <c r="F29" s="1174"/>
      <c r="G29" s="1174"/>
      <c r="H29" s="1174"/>
      <c r="I29" s="1174"/>
      <c r="J29" s="1174"/>
      <c r="K29" s="1174"/>
      <c r="L29" s="1174"/>
      <c r="M29" s="1174"/>
      <c r="N29" s="1174"/>
      <c r="O29" s="1174"/>
      <c r="P29" s="1176"/>
    </row>
    <row r="30" spans="1:16" s="743" customFormat="1" ht="15.75" hidden="1" outlineLevel="1">
      <c r="A30" s="753"/>
      <c r="B30" s="1187"/>
      <c r="C30" s="1595" t="s">
        <v>78</v>
      </c>
      <c r="D30" s="1595" t="s">
        <v>418</v>
      </c>
      <c r="E30" s="1595" t="s">
        <v>442</v>
      </c>
      <c r="F30" s="1597">
        <v>2007</v>
      </c>
      <c r="G30" s="1597">
        <v>2010</v>
      </c>
      <c r="H30" s="1597">
        <v>2015</v>
      </c>
      <c r="I30" s="1597">
        <v>2020</v>
      </c>
      <c r="J30" s="1597">
        <v>2025</v>
      </c>
      <c r="K30" s="1597">
        <v>2030</v>
      </c>
      <c r="L30" s="1597">
        <v>2035</v>
      </c>
      <c r="M30" s="1597">
        <v>2040</v>
      </c>
      <c r="N30" s="1597">
        <v>2045</v>
      </c>
      <c r="O30" s="1597">
        <v>2050</v>
      </c>
      <c r="P30" s="1190"/>
    </row>
    <row r="31" spans="1:16" s="743" customFormat="1" ht="18" hidden="1" customHeight="1" outlineLevel="1">
      <c r="A31" s="753"/>
      <c r="B31" s="1187"/>
      <c r="C31" s="860" t="s">
        <v>57</v>
      </c>
      <c r="D31" s="860" t="str">
        <f>INDEX(Vectors[Description], MATCH($C31, Vectors[Code], 0))</f>
        <v>Lighting &amp; appliances</v>
      </c>
      <c r="E31" s="860"/>
      <c r="F31" s="1596">
        <f ca="1">INDEX(INDIRECT("'"&amp;F$30&amp;"'!Year.Matrix"), MATCH($C$28, INDIRECT("'"&amp;F$30&amp;"'!Year.Modules"), 0), MATCH($C$31, INDIRECT("'"&amp;F$30&amp;"'!Year.Vectors"), 0))</f>
        <v>94.740506175844104</v>
      </c>
      <c r="G31" s="1596">
        <f t="shared" ref="G31:O31" ca="1" si="0">INDEX(INDIRECT("'"&amp;G$30&amp;"'!Year.Matrix"), MATCH($C$28, INDIRECT("'"&amp;G$30&amp;"'!Year.Modules"), 0), MATCH($C$31, INDIRECT("'"&amp;G$30&amp;"'!Year.Vectors"), 0))</f>
        <v>95.393170913558279</v>
      </c>
      <c r="H31" s="1596">
        <f t="shared" ca="1" si="0"/>
        <v>97.494067032101526</v>
      </c>
      <c r="I31" s="1596">
        <f t="shared" ca="1" si="0"/>
        <v>99.479574068407231</v>
      </c>
      <c r="J31" s="1596">
        <f t="shared" ca="1" si="0"/>
        <v>101.17895858855188</v>
      </c>
      <c r="K31" s="1596">
        <f t="shared" ca="1" si="0"/>
        <v>102.58198044023743</v>
      </c>
      <c r="L31" s="1596">
        <f t="shared" ca="1" si="0"/>
        <v>104.71146201375916</v>
      </c>
      <c r="M31" s="1596">
        <f t="shared" ca="1" si="0"/>
        <v>106.85595455199297</v>
      </c>
      <c r="N31" s="1596">
        <f t="shared" ca="1" si="0"/>
        <v>109.09596238766956</v>
      </c>
      <c r="O31" s="1596">
        <f t="shared" ca="1" si="0"/>
        <v>111.43620774985737</v>
      </c>
      <c r="P31" s="1191"/>
    </row>
    <row r="32" spans="1:16" hidden="1" outlineLevel="1">
      <c r="B32" s="1172"/>
      <c r="C32" s="1174"/>
      <c r="D32" s="1174"/>
      <c r="E32" s="1174"/>
      <c r="F32" s="1174"/>
      <c r="G32" s="1174"/>
      <c r="H32" s="1174"/>
      <c r="I32" s="1174"/>
      <c r="J32" s="1174"/>
      <c r="K32" s="1174"/>
      <c r="L32" s="1174"/>
      <c r="M32" s="1174"/>
      <c r="N32" s="1174"/>
      <c r="O32" s="1174"/>
      <c r="P32" s="1176"/>
    </row>
    <row r="33" spans="1:16" hidden="1" outlineLevel="1">
      <c r="B33" s="1174"/>
      <c r="C33" s="1186" t="s">
        <v>1329</v>
      </c>
      <c r="D33" s="1174" t="str">
        <f>INDEX(Modules[Module], MATCH(C33, Modules[Code], 0))</f>
        <v>Distributed solar thermal</v>
      </c>
      <c r="E33" s="1175"/>
      <c r="F33" s="1174"/>
      <c r="G33" s="1174"/>
      <c r="H33" s="1174"/>
      <c r="I33" s="1174"/>
      <c r="J33" s="1174"/>
      <c r="K33" s="1174"/>
      <c r="L33" s="1174"/>
      <c r="M33" s="1174"/>
      <c r="N33" s="1174"/>
      <c r="O33" s="1175" t="str">
        <f>Preferences.EnergyUnits</f>
        <v>TWh</v>
      </c>
      <c r="P33" s="1174"/>
    </row>
    <row r="34" spans="1:16" ht="5.25" hidden="1" customHeight="1" outlineLevel="1">
      <c r="B34" s="1174"/>
      <c r="C34" s="1173"/>
      <c r="D34" s="1174"/>
      <c r="E34" s="1175"/>
      <c r="F34" s="1174"/>
      <c r="G34" s="1174"/>
      <c r="H34" s="1174"/>
      <c r="I34" s="1174"/>
      <c r="J34" s="1174"/>
      <c r="K34" s="1174"/>
      <c r="L34" s="1174"/>
      <c r="M34" s="1174"/>
      <c r="N34" s="1174"/>
      <c r="O34" s="1174"/>
      <c r="P34" s="1174"/>
    </row>
    <row r="35" spans="1:16" ht="15.75" hidden="1" outlineLevel="1">
      <c r="B35" s="1609"/>
      <c r="C35" s="1595" t="s">
        <v>78</v>
      </c>
      <c r="D35" s="1595" t="s">
        <v>418</v>
      </c>
      <c r="E35" s="1595" t="s">
        <v>442</v>
      </c>
      <c r="F35" s="1597">
        <v>2007</v>
      </c>
      <c r="G35" s="1597">
        <v>2010</v>
      </c>
      <c r="H35" s="1597">
        <v>2015</v>
      </c>
      <c r="I35" s="1597">
        <v>2020</v>
      </c>
      <c r="J35" s="1597">
        <v>2025</v>
      </c>
      <c r="K35" s="1597">
        <v>2030</v>
      </c>
      <c r="L35" s="1597">
        <v>2035</v>
      </c>
      <c r="M35" s="1597">
        <v>2040</v>
      </c>
      <c r="N35" s="1597">
        <v>2045</v>
      </c>
      <c r="O35" s="1597">
        <v>2050</v>
      </c>
      <c r="P35" s="1174"/>
    </row>
    <row r="36" spans="1:16" ht="15.75" hidden="1" outlineLevel="1">
      <c r="B36" s="1609"/>
      <c r="C36" s="860" t="s">
        <v>1331</v>
      </c>
      <c r="D36" s="860" t="str">
        <f>INDEX(Vectors[Description], MATCH($C36, Vectors[Code], 0))</f>
        <v>Domestic solar thermal</v>
      </c>
      <c r="E36" s="860"/>
      <c r="F36" s="1596">
        <f ca="1">INDEX(INDIRECT("'"&amp;F$35&amp;"'!Year.Matrix"), MATCH($C$33, INDIRECT("'"&amp;F$30&amp;"'!Year.Modules"), 0), MATCH($C$36, INDIRECT("'"&amp;F$30&amp;"'!Year.Vectors"), 0))</f>
        <v>0</v>
      </c>
      <c r="G36" s="1596">
        <f t="shared" ref="G36:O36" ca="1" si="1">INDEX(INDIRECT("'"&amp;G$35&amp;"'!Year.Matrix"), MATCH($C$33, INDIRECT("'"&amp;G$30&amp;"'!Year.Modules"), 0), MATCH($C$36, INDIRECT("'"&amp;G$30&amp;"'!Year.Vectors"), 0))</f>
        <v>0</v>
      </c>
      <c r="H36" s="1596">
        <f t="shared" ca="1" si="1"/>
        <v>0</v>
      </c>
      <c r="I36" s="1596">
        <f t="shared" ca="1" si="1"/>
        <v>0</v>
      </c>
      <c r="J36" s="1596">
        <f t="shared" ca="1" si="1"/>
        <v>0</v>
      </c>
      <c r="K36" s="1596">
        <f t="shared" ca="1" si="1"/>
        <v>0</v>
      </c>
      <c r="L36" s="1596">
        <f t="shared" ca="1" si="1"/>
        <v>0</v>
      </c>
      <c r="M36" s="1596">
        <f t="shared" ca="1" si="1"/>
        <v>0</v>
      </c>
      <c r="N36" s="1596">
        <f t="shared" ca="1" si="1"/>
        <v>0</v>
      </c>
      <c r="O36" s="1596">
        <f t="shared" ca="1" si="1"/>
        <v>0</v>
      </c>
      <c r="P36" s="1174"/>
    </row>
    <row r="37" spans="1:16" hidden="1" outlineLevel="1">
      <c r="B37" s="1174"/>
      <c r="C37" s="1174"/>
      <c r="D37" s="1174"/>
      <c r="E37" s="1174"/>
      <c r="F37" s="1174"/>
      <c r="G37" s="1174"/>
      <c r="H37" s="1174"/>
      <c r="I37" s="1174"/>
      <c r="J37" s="1174"/>
      <c r="K37" s="1174"/>
      <c r="L37" s="1174"/>
      <c r="M37" s="1174"/>
      <c r="N37" s="1174"/>
      <c r="O37" s="1174"/>
      <c r="P37" s="1174"/>
    </row>
    <row r="38" spans="1:16" hidden="1" outlineLevel="1">
      <c r="B38" s="1174"/>
      <c r="C38" s="1174"/>
      <c r="D38" s="1174"/>
      <c r="E38" s="1174"/>
      <c r="F38" s="1174"/>
      <c r="G38" s="1174"/>
      <c r="H38" s="1174"/>
      <c r="I38" s="1174"/>
      <c r="J38" s="1174"/>
      <c r="K38" s="1174"/>
      <c r="L38" s="1174"/>
      <c r="M38" s="1174"/>
      <c r="N38" s="1174"/>
      <c r="O38" s="1174"/>
      <c r="P38" s="1174"/>
    </row>
    <row r="40" spans="1:16" s="743" customFormat="1" ht="22.5" collapsed="1">
      <c r="A40" s="1170"/>
      <c r="B40" s="1236" t="s">
        <v>1354</v>
      </c>
      <c r="C40" s="1167"/>
      <c r="D40" s="1167"/>
      <c r="E40" s="1167"/>
      <c r="F40" s="1167"/>
      <c r="G40" s="1167"/>
      <c r="H40" s="1167"/>
      <c r="I40" s="1167"/>
      <c r="J40" s="1167"/>
      <c r="K40" s="1167"/>
      <c r="L40" s="1167"/>
      <c r="M40" s="1167"/>
      <c r="N40" s="1167"/>
      <c r="O40" s="1167"/>
      <c r="P40" s="1168"/>
    </row>
    <row r="41" spans="1:16" hidden="1" outlineLevel="1">
      <c r="B41" s="1157"/>
      <c r="C41" s="864"/>
      <c r="D41" s="864"/>
      <c r="E41" s="864"/>
      <c r="F41" s="864"/>
      <c r="G41" s="864"/>
      <c r="H41" s="864"/>
      <c r="I41" s="864"/>
      <c r="J41" s="864"/>
      <c r="K41" s="864"/>
      <c r="L41" s="864"/>
      <c r="M41" s="864"/>
      <c r="N41" s="864"/>
      <c r="O41" s="864"/>
      <c r="P41" s="1158"/>
    </row>
    <row r="42" spans="1:16" hidden="1" outlineLevel="1">
      <c r="B42" s="1157"/>
      <c r="C42" s="866" t="s">
        <v>1278</v>
      </c>
      <c r="D42" s="864"/>
      <c r="E42" s="1256"/>
      <c r="F42" s="864"/>
      <c r="G42" s="864"/>
      <c r="H42" s="864"/>
      <c r="I42" s="864"/>
      <c r="J42" s="864"/>
      <c r="K42" s="864"/>
      <c r="L42" s="864"/>
      <c r="M42" s="864"/>
      <c r="N42" s="864"/>
      <c r="O42" s="1256" t="s">
        <v>837</v>
      </c>
      <c r="P42" s="1158"/>
    </row>
    <row r="43" spans="1:16" ht="5.25" hidden="1" customHeight="1" outlineLevel="1">
      <c r="B43" s="1157"/>
      <c r="C43" s="864"/>
      <c r="D43" s="864"/>
      <c r="E43" s="864"/>
      <c r="F43" s="864"/>
      <c r="G43" s="864"/>
      <c r="H43" s="864"/>
      <c r="I43" s="864"/>
      <c r="J43" s="864"/>
      <c r="K43" s="864"/>
      <c r="L43" s="864"/>
      <c r="M43" s="864"/>
      <c r="N43" s="864"/>
      <c r="O43" s="864"/>
      <c r="P43" s="1158"/>
    </row>
    <row r="44" spans="1:16" hidden="1" outlineLevel="1">
      <c r="B44" s="1157"/>
      <c r="C44" s="766" t="s">
        <v>1352</v>
      </c>
      <c r="D44" s="766" t="s">
        <v>80</v>
      </c>
      <c r="E44" s="766" t="s">
        <v>442</v>
      </c>
      <c r="F44" s="923">
        <v>2007</v>
      </c>
      <c r="G44" s="924">
        <v>2010</v>
      </c>
      <c r="H44" s="923">
        <v>2015</v>
      </c>
      <c r="I44" s="923">
        <v>2020</v>
      </c>
      <c r="J44" s="923">
        <v>2025</v>
      </c>
      <c r="K44" s="923">
        <v>2030</v>
      </c>
      <c r="L44" s="923">
        <v>2035</v>
      </c>
      <c r="M44" s="923">
        <v>2040</v>
      </c>
      <c r="N44" s="923">
        <v>2045</v>
      </c>
      <c r="O44" s="923">
        <v>2050</v>
      </c>
      <c r="P44" s="1158"/>
    </row>
    <row r="45" spans="1:16" ht="15.75" hidden="1" outlineLevel="1">
      <c r="B45" s="1159"/>
      <c r="C45" s="831">
        <v>1</v>
      </c>
      <c r="D45" s="832"/>
      <c r="E45" s="832"/>
      <c r="F45" s="847">
        <v>17.5</v>
      </c>
      <c r="G45" s="856">
        <v>17.807469766942091</v>
      </c>
      <c r="H45" s="847">
        <v>18.33197096332718</v>
      </c>
      <c r="I45" s="847">
        <v>18.871920817416584</v>
      </c>
      <c r="J45" s="847">
        <v>19.427774353958601</v>
      </c>
      <c r="K45" s="847">
        <v>19.999999999999993</v>
      </c>
      <c r="L45" s="847">
        <v>20</v>
      </c>
      <c r="M45" s="847">
        <v>20</v>
      </c>
      <c r="N45" s="847">
        <v>20</v>
      </c>
      <c r="O45" s="847">
        <v>20</v>
      </c>
      <c r="P45" s="1158"/>
    </row>
    <row r="46" spans="1:16" ht="15.75" hidden="1" outlineLevel="1">
      <c r="B46" s="1159"/>
      <c r="C46" s="831">
        <v>2</v>
      </c>
      <c r="D46" s="832"/>
      <c r="E46" s="832"/>
      <c r="F46" s="847">
        <v>17.5</v>
      </c>
      <c r="G46" s="857">
        <v>17.534428497340517</v>
      </c>
      <c r="H46" s="1091">
        <v>17.591959909041584</v>
      </c>
      <c r="I46" s="1091">
        <v>17.649680084427359</v>
      </c>
      <c r="J46" s="1091">
        <v>17.707589642841736</v>
      </c>
      <c r="K46" s="1091">
        <v>17.765689205660706</v>
      </c>
      <c r="L46" s="1091">
        <v>17.823979396299034</v>
      </c>
      <c r="M46" s="1091">
        <v>17.882460840216947</v>
      </c>
      <c r="N46" s="1091">
        <v>17.94113416492684</v>
      </c>
      <c r="O46" s="1091">
        <v>18</v>
      </c>
      <c r="P46" s="1158"/>
    </row>
    <row r="47" spans="1:16" ht="15.75" hidden="1" outlineLevel="1">
      <c r="B47" s="1159"/>
      <c r="C47" s="831">
        <v>3</v>
      </c>
      <c r="D47" s="832"/>
      <c r="E47" s="832"/>
      <c r="F47" s="847">
        <v>17.5</v>
      </c>
      <c r="G47" s="857">
        <v>17.464644003655888</v>
      </c>
      <c r="H47" s="1091">
        <v>17.405876007864059</v>
      </c>
      <c r="I47" s="1091">
        <v>17.347305764590327</v>
      </c>
      <c r="J47" s="1091">
        <v>17.288932608403481</v>
      </c>
      <c r="K47" s="1091">
        <v>17.230755876111473</v>
      </c>
      <c r="L47" s="1091">
        <v>17.172774906753872</v>
      </c>
      <c r="M47" s="1091">
        <v>17.11498904159436</v>
      </c>
      <c r="N47" s="1091">
        <v>17.057397624113239</v>
      </c>
      <c r="O47" s="1091">
        <v>16.999999999999996</v>
      </c>
      <c r="P47" s="1158"/>
    </row>
    <row r="48" spans="1:16" ht="15.75" hidden="1" outlineLevel="1">
      <c r="B48" s="1159"/>
      <c r="C48" s="769">
        <v>4</v>
      </c>
      <c r="D48" s="770"/>
      <c r="E48" s="770"/>
      <c r="F48" s="782">
        <v>17.5</v>
      </c>
      <c r="G48" s="858">
        <v>17.390931111470518</v>
      </c>
      <c r="H48" s="859">
        <v>17.210658143332378</v>
      </c>
      <c r="I48" s="859">
        <v>17.032253870023343</v>
      </c>
      <c r="J48" s="859">
        <v>16.855698920805796</v>
      </c>
      <c r="K48" s="859">
        <v>16.680974125737613</v>
      </c>
      <c r="L48" s="859">
        <v>16.50806051359071</v>
      </c>
      <c r="M48" s="859">
        <v>16.336939309791209</v>
      </c>
      <c r="N48" s="859">
        <v>16.167591934380912</v>
      </c>
      <c r="O48" s="859">
        <v>15.999999999999964</v>
      </c>
      <c r="P48" s="1158"/>
    </row>
    <row r="49" spans="2:27" ht="15.75" hidden="1" outlineLevel="1">
      <c r="B49" s="1159"/>
      <c r="C49" s="831"/>
      <c r="D49" s="832"/>
      <c r="E49" s="832"/>
      <c r="F49" s="847"/>
      <c r="G49" s="848"/>
      <c r="H49" s="848"/>
      <c r="I49" s="848"/>
      <c r="J49" s="848"/>
      <c r="K49" s="848"/>
      <c r="L49" s="848"/>
      <c r="M49" s="848"/>
      <c r="N49" s="848"/>
      <c r="O49" s="848"/>
      <c r="P49" s="1158"/>
    </row>
    <row r="50" spans="2:27" ht="15.75" hidden="1" outlineLevel="1">
      <c r="B50" s="1159"/>
      <c r="C50" s="866" t="s">
        <v>1833</v>
      </c>
      <c r="D50" s="864"/>
      <c r="E50" s="1256"/>
      <c r="F50" s="864"/>
      <c r="G50" s="864"/>
      <c r="H50" s="864"/>
      <c r="I50" s="864"/>
      <c r="J50" s="864"/>
      <c r="K50" s="864"/>
      <c r="L50" s="864"/>
      <c r="M50" s="864"/>
      <c r="N50" s="864"/>
      <c r="O50" s="1256" t="str">
        <f>Preferences.EnergyUnits &amp; " (thermal energy removed)"</f>
        <v>TWh (thermal energy removed)</v>
      </c>
      <c r="P50" s="1158"/>
    </row>
    <row r="51" spans="2:27" ht="5.25" hidden="1" customHeight="1" outlineLevel="1">
      <c r="B51" s="1159"/>
      <c r="C51" s="864"/>
      <c r="D51" s="864"/>
      <c r="E51" s="864"/>
      <c r="F51" s="864"/>
      <c r="G51" s="864"/>
      <c r="H51" s="864"/>
      <c r="I51" s="864"/>
      <c r="J51" s="864"/>
      <c r="K51" s="864"/>
      <c r="L51" s="864"/>
      <c r="M51" s="864"/>
      <c r="N51" s="864"/>
      <c r="O51" s="864"/>
      <c r="P51" s="1158"/>
    </row>
    <row r="52" spans="2:27" ht="15.75" hidden="1" outlineLevel="1">
      <c r="B52" s="1159"/>
      <c r="C52" s="766" t="s">
        <v>1352</v>
      </c>
      <c r="D52" s="766" t="s">
        <v>80</v>
      </c>
      <c r="E52" s="766" t="s">
        <v>442</v>
      </c>
      <c r="F52" s="923">
        <v>2007</v>
      </c>
      <c r="G52" s="924">
        <v>2010</v>
      </c>
      <c r="H52" s="923">
        <v>2015</v>
      </c>
      <c r="I52" s="923">
        <v>2020</v>
      </c>
      <c r="J52" s="923">
        <v>2025</v>
      </c>
      <c r="K52" s="923">
        <v>2030</v>
      </c>
      <c r="L52" s="923">
        <v>2035</v>
      </c>
      <c r="M52" s="923">
        <v>2040</v>
      </c>
      <c r="N52" s="923">
        <v>2045</v>
      </c>
      <c r="O52" s="923">
        <v>2050</v>
      </c>
      <c r="P52" s="1158"/>
    </row>
    <row r="53" spans="2:27" ht="15.75" hidden="1" outlineLevel="1">
      <c r="B53" s="1159"/>
      <c r="C53" s="831">
        <v>1</v>
      </c>
      <c r="D53" s="832"/>
      <c r="E53" s="832"/>
      <c r="F53" s="847">
        <f>(Unit.TWh)*0</f>
        <v>0</v>
      </c>
      <c r="G53" s="856">
        <f>(Unit.TWh)*1.08</f>
        <v>1.08</v>
      </c>
      <c r="H53" s="847">
        <f>(Unit.TWh)*3.37</f>
        <v>3.37</v>
      </c>
      <c r="I53" s="847">
        <f>(Unit.TWh)*6.4</f>
        <v>6.4</v>
      </c>
      <c r="J53" s="847">
        <f>(Unit.TWh)*10.25</f>
        <v>10.25</v>
      </c>
      <c r="K53" s="847">
        <f>(Unit.TWh)*15.05</f>
        <v>15.05</v>
      </c>
      <c r="L53" s="847">
        <f>(Unit.TWh)*21.13</f>
        <v>21.13</v>
      </c>
      <c r="M53" s="847">
        <f>(Unit.TWh)*28.7</f>
        <v>28.7</v>
      </c>
      <c r="N53" s="847">
        <f>(Unit.TWh)*38.02</f>
        <v>38.020000000000003</v>
      </c>
      <c r="O53" s="847">
        <f>(Unit.TWh)*49.73</f>
        <v>49.73</v>
      </c>
      <c r="P53" s="1158"/>
      <c r="R53"/>
      <c r="S53"/>
      <c r="T53"/>
      <c r="U53"/>
      <c r="V53"/>
      <c r="W53"/>
      <c r="X53"/>
      <c r="Y53"/>
      <c r="Z53"/>
      <c r="AA53"/>
    </row>
    <row r="54" spans="2:27" ht="15.75" hidden="1" outlineLevel="1">
      <c r="B54" s="1159"/>
      <c r="C54" s="831">
        <v>2</v>
      </c>
      <c r="D54" s="832"/>
      <c r="E54" s="832"/>
      <c r="F54" s="847">
        <f>(Unit.TWh)*0</f>
        <v>0</v>
      </c>
      <c r="G54" s="857">
        <f>(Unit.TWh)*0.71</f>
        <v>0.71</v>
      </c>
      <c r="H54" s="1091">
        <f>(Unit.TWh)*2.23</f>
        <v>2.23</v>
      </c>
      <c r="I54" s="1091">
        <f>(Unit.TWh)*4.25</f>
        <v>4.25</v>
      </c>
      <c r="J54" s="1091">
        <f>(Unit.TWh)*6.75</f>
        <v>6.75</v>
      </c>
      <c r="K54" s="1091">
        <f>(Unit.TWh)*9.78</f>
        <v>9.7799999999999994</v>
      </c>
      <c r="L54" s="1091">
        <f>(Unit.TWh)*13.58</f>
        <v>13.58</v>
      </c>
      <c r="M54" s="1091">
        <f>(Unit.TWh)*18.24</f>
        <v>18.239999999999998</v>
      </c>
      <c r="N54" s="1091">
        <f>(Unit.TWh)*23.88</f>
        <v>23.88</v>
      </c>
      <c r="O54" s="1091">
        <f>(Unit.TWh)*30.64</f>
        <v>30.64</v>
      </c>
      <c r="P54" s="1158"/>
      <c r="R54"/>
      <c r="S54"/>
      <c r="T54"/>
      <c r="U54"/>
      <c r="V54"/>
      <c r="W54"/>
      <c r="X54"/>
      <c r="Y54"/>
      <c r="Z54"/>
      <c r="AA54"/>
    </row>
    <row r="55" spans="2:27" ht="15.75" hidden="1" outlineLevel="1">
      <c r="B55" s="1159"/>
      <c r="C55" s="831">
        <v>3</v>
      </c>
      <c r="D55" s="832"/>
      <c r="E55" s="832"/>
      <c r="F55" s="847">
        <f>(Unit.TWh)*0</f>
        <v>0</v>
      </c>
      <c r="G55" s="857">
        <f>(Unit.TWh)*0.34</f>
        <v>0.34</v>
      </c>
      <c r="H55" s="1091">
        <f>(Unit.TWh)*1.08</f>
        <v>1.08</v>
      </c>
      <c r="I55" s="1091">
        <f>(Unit.TWh)*2.02</f>
        <v>2.02</v>
      </c>
      <c r="J55" s="1091">
        <f>(Unit.TWh)*3.17</f>
        <v>3.17</v>
      </c>
      <c r="K55" s="1091">
        <f>(Unit.TWh)*4.56</f>
        <v>4.5599999999999996</v>
      </c>
      <c r="L55" s="1091">
        <f>(Unit.TWh)*6.3</f>
        <v>6.3</v>
      </c>
      <c r="M55" s="1091">
        <f>(Unit.TWh)*8.41</f>
        <v>8.41</v>
      </c>
      <c r="N55" s="1091">
        <f>(Unit.TWh)*10.76</f>
        <v>10.76</v>
      </c>
      <c r="O55" s="1091">
        <f>(Unit.TWh)*13.51</f>
        <v>13.51</v>
      </c>
      <c r="P55" s="1158"/>
      <c r="R55"/>
      <c r="S55"/>
      <c r="T55"/>
      <c r="U55"/>
      <c r="V55"/>
      <c r="W55"/>
      <c r="X55"/>
      <c r="Y55"/>
      <c r="Z55"/>
      <c r="AA55"/>
    </row>
    <row r="56" spans="2:27" ht="15.75" hidden="1" outlineLevel="1">
      <c r="B56" s="1159"/>
      <c r="C56" s="769">
        <v>4</v>
      </c>
      <c r="D56" s="770"/>
      <c r="E56" s="770"/>
      <c r="F56" s="782">
        <f>(Unit.TWh)*0</f>
        <v>0</v>
      </c>
      <c r="G56" s="858">
        <f t="shared" ref="G56:O56" si="2">(Unit.TWh)*0</f>
        <v>0</v>
      </c>
      <c r="H56" s="859">
        <f t="shared" si="2"/>
        <v>0</v>
      </c>
      <c r="I56" s="859">
        <f t="shared" si="2"/>
        <v>0</v>
      </c>
      <c r="J56" s="859">
        <f t="shared" si="2"/>
        <v>0</v>
      </c>
      <c r="K56" s="859">
        <f t="shared" si="2"/>
        <v>0</v>
      </c>
      <c r="L56" s="859">
        <f t="shared" si="2"/>
        <v>0</v>
      </c>
      <c r="M56" s="859">
        <f t="shared" si="2"/>
        <v>0</v>
      </c>
      <c r="N56" s="859">
        <f t="shared" si="2"/>
        <v>0</v>
      </c>
      <c r="O56" s="859">
        <f t="shared" si="2"/>
        <v>0</v>
      </c>
      <c r="P56" s="1158"/>
      <c r="R56"/>
      <c r="S56"/>
      <c r="T56"/>
      <c r="U56"/>
      <c r="V56"/>
      <c r="W56"/>
      <c r="X56"/>
      <c r="Y56"/>
      <c r="Z56"/>
      <c r="AA56"/>
    </row>
    <row r="57" spans="2:27" ht="15.75" hidden="1" outlineLevel="1">
      <c r="B57" s="1159"/>
      <c r="C57" s="831"/>
      <c r="D57" s="832"/>
      <c r="E57" s="832"/>
      <c r="F57" s="847"/>
      <c r="G57" s="1091"/>
      <c r="H57" s="1091"/>
      <c r="I57" s="1091"/>
      <c r="J57" s="1091"/>
      <c r="K57" s="1091"/>
      <c r="L57" s="1091"/>
      <c r="M57" s="1091"/>
      <c r="N57" s="1091"/>
      <c r="O57" s="1091"/>
      <c r="P57" s="1158"/>
    </row>
    <row r="58" spans="2:27" ht="15.75" hidden="1" outlineLevel="1">
      <c r="B58" s="1159"/>
      <c r="C58" s="866" t="s">
        <v>1279</v>
      </c>
      <c r="D58" s="864"/>
      <c r="E58" s="1284"/>
      <c r="F58" s="864"/>
      <c r="G58" s="864"/>
      <c r="H58" s="864"/>
      <c r="I58" s="864"/>
      <c r="J58" s="864"/>
      <c r="K58" s="864"/>
      <c r="L58" s="864"/>
      <c r="M58" s="864"/>
      <c r="N58" s="864"/>
      <c r="O58" s="1284" t="s">
        <v>843</v>
      </c>
      <c r="P58" s="1158"/>
    </row>
    <row r="59" spans="2:27" ht="5.25" hidden="1" customHeight="1" outlineLevel="1">
      <c r="B59" s="1159"/>
      <c r="C59" s="864"/>
      <c r="D59" s="864"/>
      <c r="E59" s="864"/>
      <c r="F59" s="864"/>
      <c r="G59" s="864"/>
      <c r="H59" s="864"/>
      <c r="I59" s="864"/>
      <c r="J59" s="864"/>
      <c r="K59" s="864"/>
      <c r="L59" s="864"/>
      <c r="M59" s="864"/>
      <c r="N59" s="864"/>
      <c r="O59" s="864"/>
      <c r="P59" s="1158"/>
    </row>
    <row r="60" spans="2:27" ht="15.75" hidden="1" outlineLevel="1">
      <c r="B60" s="1159"/>
      <c r="C60" s="766" t="s">
        <v>1352</v>
      </c>
      <c r="D60" s="766" t="s">
        <v>80</v>
      </c>
      <c r="E60" s="766" t="s">
        <v>442</v>
      </c>
      <c r="F60" s="923">
        <v>2007</v>
      </c>
      <c r="G60" s="924">
        <v>2010</v>
      </c>
      <c r="H60" s="923">
        <v>2015</v>
      </c>
      <c r="I60" s="923">
        <v>2020</v>
      </c>
      <c r="J60" s="923">
        <v>2025</v>
      </c>
      <c r="K60" s="923">
        <v>2030</v>
      </c>
      <c r="L60" s="923">
        <v>2035</v>
      </c>
      <c r="M60" s="923">
        <v>2040</v>
      </c>
      <c r="N60" s="923">
        <v>2045</v>
      </c>
      <c r="O60" s="923">
        <v>2050</v>
      </c>
      <c r="P60" s="1158"/>
    </row>
    <row r="61" spans="2:27" ht="15.75" hidden="1" outlineLevel="1">
      <c r="B61" s="1159"/>
      <c r="C61" s="831">
        <v>1</v>
      </c>
      <c r="D61" s="832"/>
      <c r="E61" s="832"/>
      <c r="F61" s="847">
        <v>246.8</v>
      </c>
      <c r="G61" s="856">
        <v>235.51651316253574</v>
      </c>
      <c r="H61" s="847">
        <v>228.57966832477237</v>
      </c>
      <c r="I61" s="847">
        <v>221.98107741792347</v>
      </c>
      <c r="J61" s="847">
        <v>216.04511488698378</v>
      </c>
      <c r="K61" s="847">
        <v>210.58160855249241</v>
      </c>
      <c r="L61" s="847">
        <v>205.29562003513962</v>
      </c>
      <c r="M61" s="847">
        <v>200.19758311821826</v>
      </c>
      <c r="N61" s="847">
        <v>195.29588631147317</v>
      </c>
      <c r="O61" s="847">
        <v>190.59690348893147</v>
      </c>
      <c r="P61" s="1158"/>
    </row>
    <row r="62" spans="2:27" ht="15.75" hidden="1" outlineLevel="1">
      <c r="B62" s="1159"/>
      <c r="C62" s="831">
        <v>2</v>
      </c>
      <c r="D62" s="832"/>
      <c r="E62" s="832"/>
      <c r="F62" s="847">
        <v>246.8</v>
      </c>
      <c r="G62" s="857">
        <v>232.51106663809838</v>
      </c>
      <c r="H62" s="1091">
        <v>216.81039789688646</v>
      </c>
      <c r="I62" s="1091">
        <v>201.69237862913187</v>
      </c>
      <c r="J62" s="1091">
        <v>193.13029548923797</v>
      </c>
      <c r="K62" s="1091">
        <v>187.42991163997104</v>
      </c>
      <c r="L62" s="1091">
        <v>181.93757925065586</v>
      </c>
      <c r="M62" s="1091">
        <v>176.66259932386637</v>
      </c>
      <c r="N62" s="1091">
        <v>171.61205622150945</v>
      </c>
      <c r="O62" s="1091">
        <v>166.79087850912632</v>
      </c>
      <c r="P62" s="1158"/>
    </row>
    <row r="63" spans="2:27" ht="15.75" hidden="1" outlineLevel="1">
      <c r="B63" s="1159"/>
      <c r="C63" s="831">
        <v>3</v>
      </c>
      <c r="D63" s="832"/>
      <c r="E63" s="832"/>
      <c r="F63" s="847">
        <v>246.8</v>
      </c>
      <c r="G63" s="857">
        <v>228.49158907950655</v>
      </c>
      <c r="H63" s="1091">
        <v>203.76548827611316</v>
      </c>
      <c r="I63" s="1091">
        <v>188.0142169086165</v>
      </c>
      <c r="J63" s="1091">
        <v>178.16927275819381</v>
      </c>
      <c r="K63" s="1091">
        <v>168.95523904676193</v>
      </c>
      <c r="L63" s="1091">
        <v>160.36828237999745</v>
      </c>
      <c r="M63" s="1091">
        <v>152.3999627185257</v>
      </c>
      <c r="N63" s="1091">
        <v>148.08870357842574</v>
      </c>
      <c r="O63" s="1091">
        <v>144.02411324942977</v>
      </c>
      <c r="P63" s="1158"/>
    </row>
    <row r="64" spans="2:27" ht="15.75" hidden="1" outlineLevel="1">
      <c r="B64" s="1159"/>
      <c r="C64" s="769">
        <v>4</v>
      </c>
      <c r="D64" s="770"/>
      <c r="E64" s="770"/>
      <c r="F64" s="782">
        <v>246.8</v>
      </c>
      <c r="G64" s="858">
        <v>227.58749640901743</v>
      </c>
      <c r="H64" s="859">
        <v>201.91681472300874</v>
      </c>
      <c r="I64" s="859">
        <v>179.17334607117746</v>
      </c>
      <c r="J64" s="859">
        <v>162.67733104491884</v>
      </c>
      <c r="K64" s="859">
        <v>147.44912864864011</v>
      </c>
      <c r="L64" s="859">
        <v>137.03651968535613</v>
      </c>
      <c r="M64" s="859">
        <v>127.45734612852532</v>
      </c>
      <c r="N64" s="859">
        <v>122.87109384594505</v>
      </c>
      <c r="O64" s="859">
        <v>118.60018169501539</v>
      </c>
      <c r="P64" s="1158"/>
    </row>
    <row r="65" spans="2:33" ht="15.75" hidden="1" outlineLevel="1">
      <c r="B65" s="1159"/>
      <c r="C65" s="831"/>
      <c r="D65" s="832"/>
      <c r="E65" s="832"/>
      <c r="F65" s="847"/>
      <c r="G65" s="848"/>
      <c r="H65" s="848"/>
      <c r="I65" s="848"/>
      <c r="J65" s="848"/>
      <c r="K65" s="848"/>
      <c r="L65" s="848"/>
      <c r="M65" s="848"/>
      <c r="N65" s="848"/>
      <c r="O65" s="848"/>
      <c r="P65" s="1158"/>
    </row>
    <row r="66" spans="2:33" ht="15.75" hidden="1" outlineLevel="1">
      <c r="B66" s="1159"/>
      <c r="C66" s="866" t="s">
        <v>1280</v>
      </c>
      <c r="D66" s="864"/>
      <c r="E66" s="1284"/>
      <c r="F66" s="864"/>
      <c r="G66" s="864"/>
      <c r="H66" s="864"/>
      <c r="I66" s="864"/>
      <c r="J66" s="864"/>
      <c r="K66" s="864"/>
      <c r="L66" s="864"/>
      <c r="M66" s="864"/>
      <c r="N66" s="864"/>
      <c r="O66" s="1284" t="str">
        <f>Preferences.EnergyUnits</f>
        <v>TWh</v>
      </c>
      <c r="P66" s="1158"/>
    </row>
    <row r="67" spans="2:33" ht="4.5" hidden="1" customHeight="1" outlineLevel="1">
      <c r="B67" s="1159"/>
      <c r="C67" s="864"/>
      <c r="D67" s="864"/>
      <c r="E67" s="864"/>
      <c r="F67" s="864"/>
      <c r="G67" s="864"/>
      <c r="H67" s="864"/>
      <c r="I67" s="864"/>
      <c r="J67" s="864"/>
      <c r="K67" s="864"/>
      <c r="L67" s="864"/>
      <c r="M67" s="864"/>
      <c r="N67" s="864"/>
      <c r="O67" s="864"/>
      <c r="P67" s="1158"/>
    </row>
    <row r="68" spans="2:33" ht="15.75" hidden="1" outlineLevel="1">
      <c r="B68" s="1159"/>
      <c r="C68" s="766" t="s">
        <v>1352</v>
      </c>
      <c r="D68" s="771" t="s">
        <v>1281</v>
      </c>
      <c r="E68" s="766" t="s">
        <v>442</v>
      </c>
      <c r="F68" s="923">
        <v>2007</v>
      </c>
      <c r="G68" s="924">
        <v>2010</v>
      </c>
      <c r="H68" s="923">
        <v>2015</v>
      </c>
      <c r="I68" s="923">
        <v>2020</v>
      </c>
      <c r="J68" s="923">
        <v>2025</v>
      </c>
      <c r="K68" s="923">
        <v>2030</v>
      </c>
      <c r="L68" s="923">
        <v>2035</v>
      </c>
      <c r="M68" s="923">
        <v>2040</v>
      </c>
      <c r="N68" s="923">
        <v>2045</v>
      </c>
      <c r="O68" s="923">
        <v>2050</v>
      </c>
      <c r="P68" s="1158"/>
    </row>
    <row r="69" spans="2:33" ht="15.75" hidden="1" outlineLevel="1">
      <c r="B69" s="1159"/>
      <c r="C69" s="831">
        <v>1</v>
      </c>
      <c r="D69" s="1464">
        <v>9.4999999999999998E-3</v>
      </c>
      <c r="E69" s="1258"/>
      <c r="F69" s="933">
        <f>(Unit.TWh)*0.00000404</f>
        <v>4.0400000000000003E-6</v>
      </c>
      <c r="G69" s="926">
        <f t="shared" ref="G69:O69" si="3">F69*(1+$D69)^(G$68-F$68)</f>
        <v>4.1562372937950012E-6</v>
      </c>
      <c r="H69" s="933">
        <f t="shared" si="3"/>
        <v>4.3574453735330769E-6</v>
      </c>
      <c r="I69" s="933">
        <f t="shared" si="3"/>
        <v>4.5683941606682795E-6</v>
      </c>
      <c r="J69" s="933">
        <f t="shared" si="3"/>
        <v>4.789555213702236E-6</v>
      </c>
      <c r="K69" s="933">
        <f t="shared" si="3"/>
        <v>5.0214229198092126E-6</v>
      </c>
      <c r="L69" s="933">
        <f t="shared" si="3"/>
        <v>5.2645155999976037E-6</v>
      </c>
      <c r="M69" s="933">
        <f t="shared" si="3"/>
        <v>5.5193766677735158E-6</v>
      </c>
      <c r="N69" s="933">
        <f t="shared" si="3"/>
        <v>5.7865758438965483E-6</v>
      </c>
      <c r="O69" s="1507">
        <f t="shared" si="3"/>
        <v>6.0667104299432579E-6</v>
      </c>
      <c r="P69" s="1158"/>
    </row>
    <row r="70" spans="2:33" ht="15.75" hidden="1" outlineLevel="1">
      <c r="B70" s="1159"/>
      <c r="C70" s="831">
        <v>2</v>
      </c>
      <c r="D70" s="1464">
        <v>0</v>
      </c>
      <c r="E70" s="1254"/>
      <c r="F70" s="933">
        <f>(Unit.TWh)*0.00000404</f>
        <v>4.0400000000000003E-6</v>
      </c>
      <c r="G70" s="927">
        <f t="shared" ref="G70:O70" si="4">F70*(1+$D70)^(G$68-F$68)</f>
        <v>4.0400000000000003E-6</v>
      </c>
      <c r="H70" s="934">
        <f t="shared" si="4"/>
        <v>4.0400000000000003E-6</v>
      </c>
      <c r="I70" s="934">
        <f t="shared" si="4"/>
        <v>4.0400000000000003E-6</v>
      </c>
      <c r="J70" s="934">
        <f t="shared" si="4"/>
        <v>4.0400000000000003E-6</v>
      </c>
      <c r="K70" s="934">
        <f t="shared" si="4"/>
        <v>4.0400000000000003E-6</v>
      </c>
      <c r="L70" s="934">
        <f t="shared" si="4"/>
        <v>4.0400000000000003E-6</v>
      </c>
      <c r="M70" s="934">
        <f t="shared" si="4"/>
        <v>4.0400000000000003E-6</v>
      </c>
      <c r="N70" s="934">
        <f t="shared" si="4"/>
        <v>4.0400000000000003E-6</v>
      </c>
      <c r="O70" s="1509">
        <f t="shared" si="4"/>
        <v>4.0400000000000003E-6</v>
      </c>
      <c r="P70" s="1158"/>
    </row>
    <row r="71" spans="2:33" ht="15.75" hidden="1" outlineLevel="1">
      <c r="B71" s="1159"/>
      <c r="C71" s="831">
        <v>3</v>
      </c>
      <c r="D71" s="1464">
        <v>-6.7000000000000002E-3</v>
      </c>
      <c r="E71" s="1258"/>
      <c r="F71" s="933">
        <f>(Unit.TWh)*0.00000404</f>
        <v>4.0400000000000003E-6</v>
      </c>
      <c r="G71" s="927">
        <f t="shared" ref="G71:O71" si="5">F71*(1+$D71)^(G$68-F$68)</f>
        <v>3.9593388517174792E-6</v>
      </c>
      <c r="H71" s="934">
        <f t="shared" si="5"/>
        <v>3.8284664790082703E-6</v>
      </c>
      <c r="I71" s="934">
        <f t="shared" si="5"/>
        <v>3.7019199744755394E-6</v>
      </c>
      <c r="J71" s="934">
        <f t="shared" si="5"/>
        <v>3.5795563504505155E-6</v>
      </c>
      <c r="K71" s="934">
        <f t="shared" si="5"/>
        <v>3.4612373455927814E-6</v>
      </c>
      <c r="L71" s="934">
        <f t="shared" si="5"/>
        <v>3.3468292686657566E-6</v>
      </c>
      <c r="M71" s="934">
        <f t="shared" si="5"/>
        <v>3.2362028474760383E-6</v>
      </c>
      <c r="N71" s="934">
        <f t="shared" si="5"/>
        <v>3.1292330828059171E-6</v>
      </c>
      <c r="O71" s="1509">
        <f t="shared" si="5"/>
        <v>3.0257991071740218E-6</v>
      </c>
      <c r="P71" s="1158"/>
    </row>
    <row r="72" spans="2:33" ht="15.75" hidden="1" outlineLevel="1">
      <c r="B72" s="1159"/>
      <c r="C72" s="769">
        <v>4</v>
      </c>
      <c r="D72" s="1465">
        <v>-1.6E-2</v>
      </c>
      <c r="E72" s="770"/>
      <c r="F72" s="928">
        <f>(Unit.TWh)*0.00000404</f>
        <v>4.0400000000000003E-6</v>
      </c>
      <c r="G72" s="929">
        <f t="shared" ref="G72:O72" si="6">F72*(1+$D72)^(G$68-F$68)</f>
        <v>3.8491661721600003E-6</v>
      </c>
      <c r="H72" s="930">
        <f t="shared" si="6"/>
        <v>3.5509303392001461E-6</v>
      </c>
      <c r="I72" s="930">
        <f t="shared" si="6"/>
        <v>3.2758020074712263E-6</v>
      </c>
      <c r="J72" s="930">
        <f t="shared" si="6"/>
        <v>3.0219907931423028E-6</v>
      </c>
      <c r="K72" s="930">
        <f t="shared" si="6"/>
        <v>2.7878450324556318E-6</v>
      </c>
      <c r="L72" s="930">
        <f t="shared" si="6"/>
        <v>2.5718410336075312E-6</v>
      </c>
      <c r="M72" s="930">
        <f t="shared" si="6"/>
        <v>2.3725731614003263E-6</v>
      </c>
      <c r="N72" s="930">
        <f t="shared" si="6"/>
        <v>2.1887446901417442E-6</v>
      </c>
      <c r="O72" s="2426">
        <f t="shared" si="6"/>
        <v>2.019159365267454E-6</v>
      </c>
      <c r="P72" s="1158"/>
    </row>
    <row r="73" spans="2:33" ht="15.75" hidden="1" outlineLevel="1">
      <c r="B73" s="1159"/>
      <c r="C73" s="831"/>
      <c r="D73" s="832"/>
      <c r="E73" s="832"/>
      <c r="F73" s="847"/>
      <c r="G73" s="848"/>
      <c r="H73" s="848"/>
      <c r="I73" s="848"/>
      <c r="J73" s="848"/>
      <c r="K73" s="848"/>
      <c r="L73" s="848"/>
      <c r="M73" s="848"/>
      <c r="N73" s="848"/>
      <c r="O73" s="848"/>
      <c r="P73" s="864"/>
      <c r="Q73" s="2419"/>
      <c r="R73" s="2419"/>
      <c r="S73" s="2419"/>
      <c r="T73" s="2419"/>
      <c r="U73" s="2420"/>
      <c r="AA73" s="41"/>
    </row>
    <row r="74" spans="2:33" ht="15.75" hidden="1" outlineLevel="1">
      <c r="B74" s="1159"/>
      <c r="C74" s="869" t="s">
        <v>1835</v>
      </c>
      <c r="D74" s="832"/>
      <c r="E74" s="870"/>
      <c r="F74" s="847"/>
      <c r="G74" s="848"/>
      <c r="H74" s="848"/>
      <c r="I74" s="848"/>
      <c r="J74" s="848"/>
      <c r="K74" s="848"/>
      <c r="L74" s="848"/>
      <c r="M74" s="848"/>
      <c r="N74" s="848"/>
      <c r="O74" s="870"/>
      <c r="P74" s="870"/>
      <c r="Q74" s="870"/>
      <c r="R74" s="870"/>
      <c r="S74" s="870"/>
      <c r="T74" s="870" t="s">
        <v>844</v>
      </c>
      <c r="U74" s="2421"/>
      <c r="W74"/>
      <c r="X74"/>
      <c r="Y74"/>
      <c r="Z74"/>
      <c r="AA74"/>
      <c r="AB74"/>
      <c r="AC74"/>
      <c r="AD74"/>
      <c r="AE74"/>
      <c r="AF74"/>
      <c r="AG74"/>
    </row>
    <row r="75" spans="2:33" ht="5.25" hidden="1" customHeight="1" outlineLevel="1">
      <c r="B75" s="1159"/>
      <c r="C75" s="831"/>
      <c r="D75" s="832"/>
      <c r="E75" s="832"/>
      <c r="F75" s="847"/>
      <c r="G75" s="848"/>
      <c r="H75" s="848"/>
      <c r="I75" s="848"/>
      <c r="J75" s="848"/>
      <c r="K75" s="848"/>
      <c r="L75" s="848"/>
      <c r="M75" s="848"/>
      <c r="N75" s="848"/>
      <c r="O75" s="848"/>
      <c r="P75" s="848"/>
      <c r="Q75" s="848"/>
      <c r="R75" s="848"/>
      <c r="S75" s="848"/>
      <c r="T75" s="848"/>
      <c r="U75" s="2422"/>
      <c r="W75"/>
      <c r="X75"/>
      <c r="Y75"/>
      <c r="Z75"/>
      <c r="AA75"/>
      <c r="AB75"/>
      <c r="AC75"/>
      <c r="AD75"/>
      <c r="AE75"/>
      <c r="AF75"/>
      <c r="AG75"/>
    </row>
    <row r="76" spans="2:33" ht="15.75" hidden="1" outlineLevel="1">
      <c r="B76" s="1159"/>
      <c r="C76" s="766" t="s">
        <v>83</v>
      </c>
      <c r="D76" s="766" t="s">
        <v>831</v>
      </c>
      <c r="E76" s="766">
        <v>9</v>
      </c>
      <c r="F76" s="923">
        <v>1</v>
      </c>
      <c r="G76" s="923">
        <v>3</v>
      </c>
      <c r="H76" s="923">
        <v>11</v>
      </c>
      <c r="I76" s="923">
        <v>2</v>
      </c>
      <c r="J76" s="923">
        <v>5</v>
      </c>
      <c r="K76" s="923">
        <v>4</v>
      </c>
      <c r="L76" s="923">
        <v>13</v>
      </c>
      <c r="M76" s="923">
        <v>10</v>
      </c>
      <c r="N76" s="923">
        <v>8</v>
      </c>
      <c r="O76" s="923">
        <v>16</v>
      </c>
      <c r="P76" s="923">
        <v>7</v>
      </c>
      <c r="Q76" s="923">
        <v>15</v>
      </c>
      <c r="R76" s="923">
        <v>6</v>
      </c>
      <c r="S76" s="923">
        <v>14</v>
      </c>
      <c r="T76" s="923">
        <v>12</v>
      </c>
      <c r="U76" s="2423"/>
      <c r="W76"/>
      <c r="X76"/>
      <c r="Y76"/>
      <c r="Z76"/>
      <c r="AA76"/>
      <c r="AB76"/>
      <c r="AC76"/>
      <c r="AD76"/>
      <c r="AE76"/>
      <c r="AF76"/>
      <c r="AG76"/>
    </row>
    <row r="77" spans="2:33" ht="15.75" hidden="1" outlineLevel="1">
      <c r="B77" s="1159"/>
      <c r="C77" s="831">
        <v>1</v>
      </c>
      <c r="D77" s="832" t="s">
        <v>1285</v>
      </c>
      <c r="E77" s="865"/>
      <c r="F77" s="1257"/>
      <c r="G77" s="1257"/>
      <c r="H77" s="1257"/>
      <c r="I77" s="1257"/>
      <c r="J77" s="1257"/>
      <c r="K77" s="1257"/>
      <c r="L77" s="1257"/>
      <c r="M77" s="1257"/>
      <c r="N77" s="1257"/>
      <c r="O77" s="1257"/>
      <c r="P77" s="1257"/>
      <c r="Q77" s="1257"/>
      <c r="R77" s="1257"/>
      <c r="S77" s="1257"/>
      <c r="T77" s="1257"/>
      <c r="U77" s="2131"/>
      <c r="W77"/>
      <c r="X77"/>
      <c r="Y77"/>
      <c r="Z77"/>
      <c r="AA77"/>
      <c r="AB77"/>
      <c r="AC77"/>
      <c r="AD77"/>
      <c r="AE77"/>
      <c r="AF77"/>
      <c r="AG77"/>
    </row>
    <row r="78" spans="2:33" ht="15.75" hidden="1" outlineLevel="1">
      <c r="B78" s="1159"/>
      <c r="C78" s="831">
        <v>2</v>
      </c>
      <c r="D78" s="832" t="s">
        <v>1286</v>
      </c>
      <c r="E78" s="865">
        <v>0.9</v>
      </c>
      <c r="F78" s="1257">
        <v>1E-3</v>
      </c>
      <c r="G78" s="1257">
        <v>1E-3</v>
      </c>
      <c r="H78" s="1257">
        <v>1E-3</v>
      </c>
      <c r="I78" s="1257">
        <v>1E-3</v>
      </c>
      <c r="J78" s="1257">
        <v>1E-3</v>
      </c>
      <c r="K78" s="1257">
        <v>1E-3</v>
      </c>
      <c r="L78" s="1257">
        <v>1E-3</v>
      </c>
      <c r="M78" s="1257">
        <v>1E-3</v>
      </c>
      <c r="N78" s="1257">
        <v>1E-3</v>
      </c>
      <c r="O78" s="1257">
        <v>1E-3</v>
      </c>
      <c r="P78" s="1257">
        <v>1E-3</v>
      </c>
      <c r="Q78" s="1257">
        <v>1E-3</v>
      </c>
      <c r="R78" s="1257">
        <v>1E-3</v>
      </c>
      <c r="S78" s="1257">
        <v>1E-3</v>
      </c>
      <c r="T78" s="1257">
        <v>1E-3</v>
      </c>
      <c r="U78" s="2131"/>
      <c r="W78"/>
      <c r="X78"/>
      <c r="Y78"/>
      <c r="Z78"/>
      <c r="AA78"/>
      <c r="AB78"/>
      <c r="AC78"/>
      <c r="AD78"/>
      <c r="AE78"/>
      <c r="AF78"/>
      <c r="AG78"/>
    </row>
    <row r="79" spans="2:33" ht="15.75" hidden="1" outlineLevel="1">
      <c r="B79" s="1159"/>
      <c r="C79" s="831">
        <v>3</v>
      </c>
      <c r="D79" s="832" t="s">
        <v>845</v>
      </c>
      <c r="E79" s="865">
        <v>0.1</v>
      </c>
      <c r="F79" s="1257">
        <v>0.1</v>
      </c>
      <c r="G79" s="1257"/>
      <c r="H79" s="1257">
        <v>0.1</v>
      </c>
      <c r="I79" s="1257"/>
      <c r="J79" s="1257"/>
      <c r="K79" s="1257">
        <v>7.0000000000000007E-2</v>
      </c>
      <c r="L79" s="1257"/>
      <c r="M79" s="1257"/>
      <c r="N79" s="1257"/>
      <c r="O79" s="1257"/>
      <c r="P79" s="1257"/>
      <c r="Q79" s="1257"/>
      <c r="R79" s="1257"/>
      <c r="S79" s="1257"/>
      <c r="T79" s="1257"/>
      <c r="U79" s="2131"/>
      <c r="W79"/>
      <c r="X79"/>
      <c r="Y79"/>
      <c r="Z79"/>
      <c r="AA79"/>
      <c r="AB79"/>
      <c r="AC79"/>
      <c r="AD79"/>
      <c r="AE79"/>
      <c r="AF79"/>
      <c r="AG79"/>
    </row>
    <row r="80" spans="2:33" ht="15.75" hidden="1" outlineLevel="1">
      <c r="B80" s="1159"/>
      <c r="C80" s="831">
        <v>4</v>
      </c>
      <c r="D80" s="832" t="s">
        <v>847</v>
      </c>
      <c r="E80" s="865"/>
      <c r="F80" s="1257"/>
      <c r="G80" s="1257"/>
      <c r="H80" s="1257"/>
      <c r="I80" s="1257"/>
      <c r="J80" s="1257"/>
      <c r="K80" s="1257"/>
      <c r="L80" s="1257"/>
      <c r="M80" s="1257"/>
      <c r="N80" s="1257"/>
      <c r="O80" s="1257"/>
      <c r="P80" s="1257"/>
      <c r="Q80" s="1257"/>
      <c r="R80" s="1257"/>
      <c r="S80" s="1257"/>
      <c r="T80" s="1257"/>
      <c r="U80" s="2131"/>
      <c r="W80"/>
      <c r="X80"/>
      <c r="Y80"/>
      <c r="Z80"/>
      <c r="AA80"/>
      <c r="AB80"/>
      <c r="AC80"/>
      <c r="AD80"/>
      <c r="AE80"/>
      <c r="AF80"/>
      <c r="AG80"/>
    </row>
    <row r="81" spans="2:33" ht="15.75" hidden="1" outlineLevel="1">
      <c r="B81" s="1159"/>
      <c r="C81" s="831">
        <v>5</v>
      </c>
      <c r="D81" s="832" t="s">
        <v>846</v>
      </c>
      <c r="E81" s="865"/>
      <c r="F81" s="1257"/>
      <c r="G81" s="1257"/>
      <c r="H81" s="1257"/>
      <c r="I81" s="1257"/>
      <c r="J81" s="1257">
        <v>0.1</v>
      </c>
      <c r="K81" s="1257"/>
      <c r="L81" s="1257"/>
      <c r="M81" s="1257"/>
      <c r="N81" s="1257"/>
      <c r="O81" s="1257">
        <v>0.1</v>
      </c>
      <c r="P81" s="1257">
        <v>0.1</v>
      </c>
      <c r="Q81" s="1257">
        <v>0.1</v>
      </c>
      <c r="R81" s="1257">
        <v>0.05</v>
      </c>
      <c r="S81" s="1257">
        <v>0.15</v>
      </c>
      <c r="T81" s="1257">
        <v>0.05</v>
      </c>
      <c r="U81" s="2131"/>
      <c r="W81"/>
      <c r="X81"/>
      <c r="Y81"/>
      <c r="Z81"/>
      <c r="AA81"/>
      <c r="AB81"/>
      <c r="AC81"/>
      <c r="AD81"/>
      <c r="AE81"/>
      <c r="AF81"/>
      <c r="AG81"/>
    </row>
    <row r="82" spans="2:33" ht="15.75" hidden="1" outlineLevel="1">
      <c r="B82" s="1159"/>
      <c r="C82" s="831">
        <v>6</v>
      </c>
      <c r="D82" s="832" t="s">
        <v>1288</v>
      </c>
      <c r="E82" s="865"/>
      <c r="F82" s="1257"/>
      <c r="G82" s="1088"/>
      <c r="H82" s="1088"/>
      <c r="I82" s="1088"/>
      <c r="J82" s="1088"/>
      <c r="K82" s="1088"/>
      <c r="L82" s="1088"/>
      <c r="M82" s="1088">
        <v>0.1</v>
      </c>
      <c r="N82" s="1088"/>
      <c r="O82" s="1088"/>
      <c r="P82" s="1088">
        <v>0.19</v>
      </c>
      <c r="Q82" s="1088">
        <v>0.19</v>
      </c>
      <c r="R82" s="1088">
        <v>0.24</v>
      </c>
      <c r="S82" s="1088"/>
      <c r="T82" s="1088"/>
      <c r="U82" s="2132"/>
      <c r="W82"/>
      <c r="X82"/>
      <c r="Y82"/>
      <c r="Z82"/>
      <c r="AA82"/>
      <c r="AB82"/>
      <c r="AC82"/>
      <c r="AD82"/>
      <c r="AE82"/>
      <c r="AF82"/>
      <c r="AG82"/>
    </row>
    <row r="83" spans="2:33" ht="15.75" hidden="1" outlineLevel="1">
      <c r="B83" s="1159"/>
      <c r="C83" s="831">
        <v>7</v>
      </c>
      <c r="D83" s="1084" t="s">
        <v>1624</v>
      </c>
      <c r="E83" s="865"/>
      <c r="F83" s="1257"/>
      <c r="G83" s="1088"/>
      <c r="H83" s="1088">
        <v>0.9</v>
      </c>
      <c r="I83" s="1088"/>
      <c r="J83" s="1088"/>
      <c r="K83" s="1088"/>
      <c r="L83" s="1088"/>
      <c r="M83" s="1088">
        <v>0.2</v>
      </c>
      <c r="N83" s="1088"/>
      <c r="O83" s="1088"/>
      <c r="P83" s="1088"/>
      <c r="Q83" s="1088"/>
      <c r="R83" s="1088"/>
      <c r="S83" s="1088"/>
      <c r="T83" s="1088">
        <v>0.16</v>
      </c>
      <c r="U83" s="2132"/>
      <c r="W83"/>
      <c r="X83"/>
      <c r="Y83"/>
      <c r="Z83"/>
      <c r="AA83"/>
      <c r="AB83"/>
      <c r="AC83"/>
      <c r="AD83"/>
      <c r="AE83"/>
      <c r="AF83"/>
      <c r="AG83"/>
    </row>
    <row r="84" spans="2:33" ht="15.75" hidden="1" outlineLevel="1">
      <c r="B84" s="1159"/>
      <c r="C84" s="831">
        <v>8</v>
      </c>
      <c r="D84" s="832" t="s">
        <v>1289</v>
      </c>
      <c r="E84" s="865"/>
      <c r="F84" s="1257">
        <v>0.6</v>
      </c>
      <c r="G84" s="1088">
        <v>0.55000000000000004</v>
      </c>
      <c r="H84" s="1088"/>
      <c r="I84" s="1088">
        <v>0.5</v>
      </c>
      <c r="J84" s="1088"/>
      <c r="K84" s="1088">
        <v>0.6</v>
      </c>
      <c r="L84" s="1088">
        <v>0.57999999999999996</v>
      </c>
      <c r="M84" s="1088"/>
      <c r="N84" s="1088">
        <v>0.18</v>
      </c>
      <c r="O84" s="1088">
        <v>0.25</v>
      </c>
      <c r="P84" s="1088"/>
      <c r="Q84" s="1088"/>
      <c r="R84" s="1088"/>
      <c r="S84" s="1088">
        <v>0.14000000000000001</v>
      </c>
      <c r="T84" s="1088"/>
      <c r="U84" s="2132"/>
      <c r="W84"/>
      <c r="X84"/>
      <c r="Y84"/>
      <c r="Z84"/>
      <c r="AA84"/>
      <c r="AB84"/>
      <c r="AC84"/>
      <c r="AD84"/>
      <c r="AE84"/>
      <c r="AF84"/>
      <c r="AG84"/>
    </row>
    <row r="85" spans="2:33" ht="15.75" hidden="1" outlineLevel="1">
      <c r="B85" s="1159"/>
      <c r="C85" s="831">
        <v>9</v>
      </c>
      <c r="D85" s="832" t="s">
        <v>1290</v>
      </c>
      <c r="E85" s="865"/>
      <c r="F85" s="1257">
        <v>0.3</v>
      </c>
      <c r="G85" s="1088">
        <v>0.3</v>
      </c>
      <c r="H85" s="1088">
        <v>0</v>
      </c>
      <c r="I85" s="1088">
        <v>0.3</v>
      </c>
      <c r="J85" s="1088">
        <v>0.2</v>
      </c>
      <c r="K85" s="1088">
        <v>0.3</v>
      </c>
      <c r="L85" s="1088">
        <v>0.3</v>
      </c>
      <c r="M85" s="1088">
        <v>0.3</v>
      </c>
      <c r="N85" s="1088">
        <v>0.3</v>
      </c>
      <c r="O85" s="1088">
        <v>0.25</v>
      </c>
      <c r="P85" s="1088"/>
      <c r="Q85" s="1088"/>
      <c r="R85" s="1088"/>
      <c r="S85" s="1088">
        <v>0.2</v>
      </c>
      <c r="T85" s="1088">
        <v>0.25</v>
      </c>
      <c r="U85" s="2132"/>
      <c r="W85"/>
      <c r="X85"/>
      <c r="Y85"/>
      <c r="Z85"/>
      <c r="AA85"/>
      <c r="AB85"/>
      <c r="AC85"/>
      <c r="AD85"/>
      <c r="AE85"/>
      <c r="AF85"/>
      <c r="AG85"/>
    </row>
    <row r="86" spans="2:33" ht="15.75" hidden="1" outlineLevel="1">
      <c r="B86" s="1159"/>
      <c r="C86" s="831">
        <v>10</v>
      </c>
      <c r="D86" s="832" t="s">
        <v>3</v>
      </c>
      <c r="E86" s="865"/>
      <c r="F86" s="1257"/>
      <c r="G86" s="1088"/>
      <c r="H86" s="1088"/>
      <c r="I86" s="1464"/>
      <c r="J86" s="1088"/>
      <c r="K86" s="1088"/>
      <c r="L86" s="1088">
        <v>0.01</v>
      </c>
      <c r="M86" s="1088"/>
      <c r="N86" s="1088"/>
      <c r="O86" s="1088"/>
      <c r="P86" s="1088">
        <v>0.01</v>
      </c>
      <c r="Q86" s="1088">
        <v>0.01</v>
      </c>
      <c r="R86" s="1088">
        <v>0.01</v>
      </c>
      <c r="S86" s="1088"/>
      <c r="T86" s="1088">
        <v>0.01</v>
      </c>
      <c r="U86" s="2132"/>
      <c r="W86"/>
      <c r="X86"/>
      <c r="Y86"/>
      <c r="Z86"/>
      <c r="AA86"/>
      <c r="AB86"/>
      <c r="AC86"/>
      <c r="AD86"/>
      <c r="AE86"/>
      <c r="AF86"/>
      <c r="AG86"/>
    </row>
    <row r="87" spans="2:33" ht="15.75" hidden="1" outlineLevel="1">
      <c r="B87" s="1159"/>
      <c r="C87" s="831">
        <v>11</v>
      </c>
      <c r="D87" s="832" t="s">
        <v>1827</v>
      </c>
      <c r="E87" s="865"/>
      <c r="F87" s="1257"/>
      <c r="G87" s="1088">
        <v>0.15</v>
      </c>
      <c r="H87" s="1088"/>
      <c r="I87" s="1088"/>
      <c r="J87" s="1088"/>
      <c r="K87" s="1088"/>
      <c r="L87" s="1088"/>
      <c r="M87" s="1088">
        <v>0.33</v>
      </c>
      <c r="N87" s="1088"/>
      <c r="O87" s="1088">
        <v>0.13</v>
      </c>
      <c r="P87" s="1088">
        <v>0.3</v>
      </c>
      <c r="Q87" s="1088">
        <v>0.24</v>
      </c>
      <c r="R87" s="1088"/>
      <c r="S87" s="1088">
        <v>0.15</v>
      </c>
      <c r="T87" s="1088">
        <v>0.23</v>
      </c>
      <c r="U87" s="2132"/>
      <c r="W87"/>
      <c r="X87"/>
      <c r="Y87"/>
      <c r="Z87"/>
      <c r="AA87"/>
      <c r="AB87"/>
      <c r="AC87"/>
      <c r="AD87"/>
      <c r="AE87"/>
      <c r="AF87"/>
      <c r="AG87"/>
    </row>
    <row r="88" spans="2:33" ht="15.75" hidden="1" outlineLevel="1">
      <c r="B88" s="1159"/>
      <c r="C88" s="831">
        <v>12</v>
      </c>
      <c r="D88" s="832" t="s">
        <v>1828</v>
      </c>
      <c r="E88" s="865"/>
      <c r="F88" s="1257"/>
      <c r="G88" s="1088"/>
      <c r="H88" s="1088"/>
      <c r="I88" s="1088">
        <v>0.2</v>
      </c>
      <c r="J88" s="1088">
        <v>0.7</v>
      </c>
      <c r="K88" s="1088"/>
      <c r="L88" s="1088"/>
      <c r="M88" s="1088"/>
      <c r="N88" s="1088">
        <v>0.45</v>
      </c>
      <c r="O88" s="1088">
        <v>0.2</v>
      </c>
      <c r="P88" s="1088">
        <v>0.33</v>
      </c>
      <c r="Q88" s="1088">
        <v>0.35</v>
      </c>
      <c r="R88" s="1088">
        <v>0.63</v>
      </c>
      <c r="S88" s="1088">
        <v>0.25</v>
      </c>
      <c r="T88" s="1088">
        <v>0.23</v>
      </c>
      <c r="U88" s="2132"/>
      <c r="W88"/>
      <c r="X88"/>
      <c r="Y88"/>
      <c r="Z88"/>
      <c r="AA88"/>
      <c r="AB88"/>
      <c r="AC88"/>
      <c r="AD88"/>
      <c r="AE88"/>
      <c r="AF88"/>
      <c r="AG88"/>
    </row>
    <row r="89" spans="2:33" ht="15.75" hidden="1" outlineLevel="1">
      <c r="B89" s="1159"/>
      <c r="C89" s="769">
        <v>13</v>
      </c>
      <c r="D89" s="770" t="s">
        <v>1291</v>
      </c>
      <c r="E89" s="777"/>
      <c r="F89" s="846"/>
      <c r="G89" s="884"/>
      <c r="H89" s="884"/>
      <c r="I89" s="884"/>
      <c r="J89" s="884"/>
      <c r="K89" s="884">
        <v>0.03</v>
      </c>
      <c r="L89" s="884">
        <v>0.11</v>
      </c>
      <c r="M89" s="884">
        <v>7.0000000000000007E-2</v>
      </c>
      <c r="N89" s="884">
        <v>7.0000000000000007E-2</v>
      </c>
      <c r="O89" s="884">
        <v>7.0000000000000007E-2</v>
      </c>
      <c r="P89" s="884">
        <v>7.0000000000000007E-2</v>
      </c>
      <c r="Q89" s="884">
        <v>0.11</v>
      </c>
      <c r="R89" s="884">
        <v>7.0000000000000007E-2</v>
      </c>
      <c r="S89" s="884">
        <v>0.11</v>
      </c>
      <c r="T89" s="884">
        <v>7.0000000000000007E-2</v>
      </c>
      <c r="U89" s="2132"/>
      <c r="W89"/>
      <c r="X89"/>
      <c r="Y89"/>
      <c r="Z89"/>
      <c r="AA89"/>
      <c r="AB89"/>
      <c r="AC89"/>
      <c r="AD89"/>
      <c r="AE89"/>
      <c r="AF89"/>
      <c r="AG89"/>
    </row>
    <row r="90" spans="2:33" ht="15.75" hidden="1" outlineLevel="1">
      <c r="B90" s="1159"/>
      <c r="C90" s="831"/>
      <c r="D90" s="832" t="s">
        <v>148</v>
      </c>
      <c r="E90" s="1254">
        <v>1</v>
      </c>
      <c r="F90" s="865">
        <f t="shared" ref="F90:O90" si="7">SUM(F77:F89)</f>
        <v>1.0009999999999999</v>
      </c>
      <c r="G90" s="865">
        <f t="shared" si="7"/>
        <v>1.0009999999999999</v>
      </c>
      <c r="H90" s="865">
        <f t="shared" si="7"/>
        <v>1.0010000000000001</v>
      </c>
      <c r="I90" s="865">
        <f t="shared" si="7"/>
        <v>1.0009999999999999</v>
      </c>
      <c r="J90" s="865">
        <f t="shared" si="7"/>
        <v>1.0009999999999999</v>
      </c>
      <c r="K90" s="865">
        <f t="shared" si="7"/>
        <v>1.0010000000000001</v>
      </c>
      <c r="L90" s="865">
        <f t="shared" si="7"/>
        <v>1.0010000000000001</v>
      </c>
      <c r="M90" s="865">
        <f t="shared" si="7"/>
        <v>1.0010000000000001</v>
      </c>
      <c r="N90" s="865">
        <f t="shared" si="7"/>
        <v>1.0010000000000001</v>
      </c>
      <c r="O90" s="865">
        <f t="shared" si="7"/>
        <v>1.0010000000000001</v>
      </c>
      <c r="P90" s="865">
        <f>SUM(P77:P89)</f>
        <v>1.0010000000000001</v>
      </c>
      <c r="Q90" s="865">
        <f>SUM(Q77:Q89)</f>
        <v>1.0010000000000001</v>
      </c>
      <c r="R90" s="865">
        <f>SUM(R77:R89)</f>
        <v>1.0010000000000001</v>
      </c>
      <c r="S90" s="865">
        <f>SUM(S77:S89)</f>
        <v>1.0010000000000001</v>
      </c>
      <c r="T90" s="865">
        <f>SUM(T77:T89)</f>
        <v>1.0010000000000001</v>
      </c>
      <c r="U90" s="2424"/>
      <c r="W90"/>
      <c r="X90"/>
      <c r="Y90"/>
      <c r="Z90"/>
      <c r="AA90"/>
      <c r="AB90"/>
      <c r="AC90"/>
      <c r="AD90"/>
      <c r="AE90"/>
      <c r="AF90"/>
      <c r="AG90"/>
    </row>
    <row r="91" spans="2:33" ht="15.75" hidden="1" outlineLevel="1">
      <c r="B91" s="1159"/>
      <c r="C91" s="831"/>
      <c r="D91" s="832"/>
      <c r="E91" s="832"/>
      <c r="F91" s="865"/>
      <c r="G91" s="865"/>
      <c r="H91" s="865"/>
      <c r="I91" s="865"/>
      <c r="J91" s="865"/>
      <c r="K91" s="865"/>
      <c r="L91" s="865"/>
      <c r="M91" s="865"/>
      <c r="N91" s="865"/>
      <c r="O91" s="865"/>
      <c r="P91" s="865"/>
      <c r="Q91" s="865"/>
      <c r="R91" s="865"/>
      <c r="S91" s="865"/>
      <c r="T91" s="865"/>
      <c r="U91" s="2424"/>
      <c r="W91"/>
      <c r="X91"/>
      <c r="Y91"/>
      <c r="Z91"/>
      <c r="AA91"/>
      <c r="AB91"/>
      <c r="AC91"/>
      <c r="AD91"/>
      <c r="AE91"/>
      <c r="AF91"/>
      <c r="AG91"/>
    </row>
    <row r="92" spans="2:33" ht="15.75" hidden="1" outlineLevel="1">
      <c r="B92" s="1159"/>
      <c r="C92" s="869" t="s">
        <v>1836</v>
      </c>
      <c r="D92" s="832"/>
      <c r="E92" s="832"/>
      <c r="F92" s="865"/>
      <c r="G92" s="865"/>
      <c r="H92" s="865"/>
      <c r="I92" s="865"/>
      <c r="J92" s="865"/>
      <c r="K92" s="865"/>
      <c r="L92" s="865"/>
      <c r="M92" s="865"/>
      <c r="N92" s="865"/>
      <c r="O92" s="865"/>
      <c r="P92" s="864"/>
      <c r="Q92" s="864"/>
      <c r="R92" s="864"/>
      <c r="S92" s="864"/>
      <c r="T92" s="867" t="s">
        <v>844</v>
      </c>
      <c r="U92" s="1158"/>
    </row>
    <row r="93" spans="2:33" ht="5.25" hidden="1" customHeight="1" outlineLevel="1">
      <c r="B93" s="1159"/>
      <c r="C93" s="831"/>
      <c r="D93" s="832"/>
      <c r="E93" s="832"/>
      <c r="F93" s="865"/>
      <c r="G93" s="865"/>
      <c r="H93" s="865"/>
      <c r="I93" s="865"/>
      <c r="J93" s="865"/>
      <c r="K93" s="865"/>
      <c r="L93" s="865"/>
      <c r="M93" s="865"/>
      <c r="N93" s="865"/>
      <c r="O93" s="865"/>
      <c r="P93" s="864"/>
      <c r="Q93" s="864"/>
      <c r="R93" s="864"/>
      <c r="S93" s="864"/>
      <c r="T93" s="864"/>
      <c r="U93" s="1158"/>
    </row>
    <row r="94" spans="2:33" ht="15.75" hidden="1" outlineLevel="1">
      <c r="B94" s="1159"/>
      <c r="C94" s="766" t="s">
        <v>83</v>
      </c>
      <c r="D94" s="766" t="s">
        <v>831</v>
      </c>
      <c r="E94" s="766">
        <v>9</v>
      </c>
      <c r="F94" s="923">
        <v>1</v>
      </c>
      <c r="G94" s="923">
        <v>3</v>
      </c>
      <c r="H94" s="923">
        <v>11</v>
      </c>
      <c r="I94" s="923">
        <v>2</v>
      </c>
      <c r="J94" s="923">
        <v>5</v>
      </c>
      <c r="K94" s="923">
        <v>4</v>
      </c>
      <c r="L94" s="923">
        <v>13</v>
      </c>
      <c r="M94" s="923">
        <v>10</v>
      </c>
      <c r="N94" s="923">
        <v>8</v>
      </c>
      <c r="O94" s="923">
        <v>16</v>
      </c>
      <c r="P94" s="923">
        <v>7</v>
      </c>
      <c r="Q94" s="923">
        <v>15</v>
      </c>
      <c r="R94" s="923">
        <v>6</v>
      </c>
      <c r="S94" s="923">
        <v>14</v>
      </c>
      <c r="T94" s="923">
        <v>12</v>
      </c>
      <c r="U94" s="1158"/>
    </row>
    <row r="95" spans="2:33" ht="15.75" hidden="1" outlineLevel="1">
      <c r="B95" s="1159"/>
      <c r="C95" s="831">
        <v>1</v>
      </c>
      <c r="D95" s="832" t="s">
        <v>2323</v>
      </c>
      <c r="E95" s="865"/>
      <c r="F95" s="1257"/>
      <c r="G95" s="1257"/>
      <c r="H95" s="1257"/>
      <c r="I95" s="1257"/>
      <c r="J95" s="1257"/>
      <c r="K95" s="1257"/>
      <c r="L95" s="1257"/>
      <c r="M95" s="1257"/>
      <c r="N95" s="1257"/>
      <c r="O95" s="1257"/>
      <c r="P95" s="1257"/>
      <c r="Q95" s="1257"/>
      <c r="R95" s="1257"/>
      <c r="S95" s="1257"/>
      <c r="T95" s="1257"/>
      <c r="U95" s="1158"/>
    </row>
    <row r="96" spans="2:33" ht="15.75" hidden="1" outlineLevel="1">
      <c r="B96" s="1159"/>
      <c r="C96" s="831">
        <v>2</v>
      </c>
      <c r="D96" s="832" t="s">
        <v>2324</v>
      </c>
      <c r="E96" s="865">
        <v>1</v>
      </c>
      <c r="F96" s="1257">
        <v>1</v>
      </c>
      <c r="G96" s="1257">
        <v>1</v>
      </c>
      <c r="H96" s="1257">
        <v>1</v>
      </c>
      <c r="I96" s="1257">
        <v>1</v>
      </c>
      <c r="J96" s="1257">
        <v>1</v>
      </c>
      <c r="K96" s="1257">
        <v>0.97</v>
      </c>
      <c r="L96" s="1257">
        <v>0.88</v>
      </c>
      <c r="M96" s="1257">
        <v>0.93</v>
      </c>
      <c r="N96" s="1257">
        <v>0.93</v>
      </c>
      <c r="O96" s="1257">
        <v>0.93</v>
      </c>
      <c r="P96" s="1257">
        <v>0.92</v>
      </c>
      <c r="Q96" s="1257">
        <v>0.88</v>
      </c>
      <c r="R96" s="1257">
        <v>0.92</v>
      </c>
      <c r="S96" s="1257">
        <v>0.89</v>
      </c>
      <c r="T96" s="1257">
        <v>0.92</v>
      </c>
      <c r="U96" s="1158"/>
    </row>
    <row r="97" spans="1:21" ht="15.75" hidden="1" outlineLevel="1">
      <c r="B97" s="1159"/>
      <c r="C97" s="831">
        <v>3</v>
      </c>
      <c r="D97" s="832" t="s">
        <v>1837</v>
      </c>
      <c r="E97" s="865"/>
      <c r="F97" s="1257"/>
      <c r="G97" s="1257"/>
      <c r="H97" s="865"/>
      <c r="I97" s="1257"/>
      <c r="J97" s="865"/>
      <c r="K97" s="1257">
        <v>0.03</v>
      </c>
      <c r="L97" s="1257">
        <v>0.12</v>
      </c>
      <c r="M97" s="865">
        <v>7.0000000000000007E-2</v>
      </c>
      <c r="N97" s="865">
        <v>7.0000000000000007E-2</v>
      </c>
      <c r="O97" s="1257">
        <v>7.0000000000000007E-2</v>
      </c>
      <c r="P97" s="1257">
        <v>0.08</v>
      </c>
      <c r="Q97" s="1257">
        <v>0.12</v>
      </c>
      <c r="R97" s="1257">
        <v>0.08</v>
      </c>
      <c r="S97" s="1257">
        <v>0.11</v>
      </c>
      <c r="T97" s="1257">
        <v>0.08</v>
      </c>
      <c r="U97" s="1158"/>
    </row>
    <row r="98" spans="1:21" ht="15.75" hidden="1" outlineLevel="1">
      <c r="B98" s="1159"/>
      <c r="C98" s="2476"/>
      <c r="D98" s="2477" t="s">
        <v>148</v>
      </c>
      <c r="E98" s="2478">
        <f t="shared" ref="E98:T98" si="8">SUM(E$95:E$97)</f>
        <v>1</v>
      </c>
      <c r="F98" s="2478">
        <f t="shared" si="8"/>
        <v>1</v>
      </c>
      <c r="G98" s="2478">
        <f t="shared" si="8"/>
        <v>1</v>
      </c>
      <c r="H98" s="2478">
        <f t="shared" si="8"/>
        <v>1</v>
      </c>
      <c r="I98" s="2478">
        <f t="shared" si="8"/>
        <v>1</v>
      </c>
      <c r="J98" s="2478">
        <f t="shared" si="8"/>
        <v>1</v>
      </c>
      <c r="K98" s="2478">
        <f t="shared" si="8"/>
        <v>1</v>
      </c>
      <c r="L98" s="2478">
        <f t="shared" si="8"/>
        <v>1</v>
      </c>
      <c r="M98" s="2478">
        <f t="shared" si="8"/>
        <v>1</v>
      </c>
      <c r="N98" s="2478">
        <f t="shared" si="8"/>
        <v>1</v>
      </c>
      <c r="O98" s="2478">
        <f t="shared" si="8"/>
        <v>1</v>
      </c>
      <c r="P98" s="2478">
        <f t="shared" si="8"/>
        <v>1</v>
      </c>
      <c r="Q98" s="2478">
        <f t="shared" si="8"/>
        <v>1</v>
      </c>
      <c r="R98" s="2478">
        <f t="shared" si="8"/>
        <v>1</v>
      </c>
      <c r="S98" s="2478">
        <f t="shared" si="8"/>
        <v>1</v>
      </c>
      <c r="T98" s="2478">
        <f t="shared" si="8"/>
        <v>1</v>
      </c>
      <c r="U98" s="1158"/>
    </row>
    <row r="99" spans="1:21" hidden="1" outlineLevel="1">
      <c r="B99" s="1163"/>
      <c r="C99" s="831"/>
      <c r="D99" s="832"/>
      <c r="E99" s="832"/>
      <c r="F99" s="865"/>
      <c r="G99" s="865"/>
      <c r="H99" s="865"/>
      <c r="I99" s="865"/>
      <c r="J99" s="865"/>
      <c r="K99" s="865"/>
      <c r="L99" s="865"/>
      <c r="M99" s="865"/>
      <c r="N99" s="865"/>
      <c r="O99" s="865"/>
      <c r="P99" s="864"/>
      <c r="Q99" s="864"/>
      <c r="R99" s="864"/>
      <c r="S99" s="864"/>
      <c r="T99" s="864"/>
      <c r="U99" s="1158"/>
    </row>
    <row r="100" spans="1:21" hidden="1" outlineLevel="1">
      <c r="B100" s="1163"/>
      <c r="C100" s="831" t="s">
        <v>717</v>
      </c>
      <c r="D100" s="832"/>
      <c r="E100" s="832"/>
      <c r="F100" s="865"/>
      <c r="G100" s="865"/>
      <c r="H100" s="865"/>
      <c r="I100" s="865"/>
      <c r="J100" s="865"/>
      <c r="K100" s="865"/>
      <c r="L100" s="865"/>
      <c r="M100" s="865"/>
      <c r="N100" s="865"/>
      <c r="O100" s="865"/>
      <c r="P100" s="864"/>
      <c r="Q100" s="2427"/>
      <c r="R100" s="2428"/>
      <c r="S100" s="2428"/>
      <c r="T100" s="2428"/>
      <c r="U100" s="2429"/>
    </row>
    <row r="101" spans="1:21" hidden="1" outlineLevel="1">
      <c r="B101" s="1163"/>
      <c r="C101" s="946" t="s">
        <v>109</v>
      </c>
      <c r="D101" s="832" t="s">
        <v>2325</v>
      </c>
      <c r="E101" s="832"/>
      <c r="F101" s="865"/>
      <c r="G101" s="865"/>
      <c r="H101" s="865"/>
      <c r="I101" s="865"/>
      <c r="J101" s="865"/>
      <c r="K101" s="865"/>
      <c r="L101" s="865"/>
      <c r="M101" s="865"/>
      <c r="N101" s="865"/>
      <c r="O101" s="865"/>
      <c r="P101" s="864"/>
      <c r="Q101" s="1901"/>
      <c r="R101" s="41"/>
      <c r="S101" s="41"/>
      <c r="T101" s="41"/>
      <c r="U101" s="1902"/>
    </row>
    <row r="102" spans="1:21" hidden="1" outlineLevel="1">
      <c r="B102" s="1163"/>
      <c r="C102" s="831"/>
      <c r="D102" s="832" t="s">
        <v>1854</v>
      </c>
      <c r="E102" s="832"/>
      <c r="F102" s="865"/>
      <c r="G102" s="865"/>
      <c r="H102" s="865"/>
      <c r="I102" s="865"/>
      <c r="J102" s="865"/>
      <c r="K102" s="865"/>
      <c r="L102" s="865"/>
      <c r="M102" s="865"/>
      <c r="N102" s="865"/>
      <c r="O102" s="865"/>
      <c r="P102" s="864"/>
      <c r="Q102" s="1901"/>
      <c r="R102" s="41"/>
      <c r="S102" s="41"/>
      <c r="T102" s="41"/>
      <c r="U102" s="1902"/>
    </row>
    <row r="103" spans="1:21" hidden="1" outlineLevel="1">
      <c r="B103" s="1223"/>
      <c r="C103" s="1194"/>
      <c r="D103" s="1195"/>
      <c r="E103" s="1195"/>
      <c r="F103" s="1196"/>
      <c r="G103" s="1197"/>
      <c r="H103" s="1197"/>
      <c r="I103" s="1197"/>
      <c r="J103" s="1197"/>
      <c r="K103" s="1197"/>
      <c r="L103" s="1197"/>
      <c r="M103" s="1197"/>
      <c r="N103" s="1197"/>
      <c r="O103" s="1197"/>
      <c r="P103" s="1165"/>
      <c r="Q103" s="2393"/>
      <c r="R103" s="2394"/>
      <c r="S103" s="2394"/>
      <c r="T103" s="2394"/>
      <c r="U103" s="1583"/>
    </row>
    <row r="105" spans="1:21" s="743" customFormat="1" ht="22.5" collapsed="1">
      <c r="A105" s="1170"/>
      <c r="B105" s="1236" t="s">
        <v>786</v>
      </c>
      <c r="C105" s="1167"/>
      <c r="D105" s="1167"/>
      <c r="E105" s="1167"/>
      <c r="F105" s="1167"/>
      <c r="G105" s="1167"/>
      <c r="H105" s="1167"/>
      <c r="I105" s="1167"/>
      <c r="J105" s="1167"/>
      <c r="K105" s="1167"/>
      <c r="L105" s="1167"/>
      <c r="M105" s="1167"/>
      <c r="N105" s="1167"/>
      <c r="O105" s="1167"/>
      <c r="P105" s="1168"/>
    </row>
    <row r="106" spans="1:21" hidden="1" outlineLevel="1">
      <c r="B106" s="1157"/>
      <c r="C106" s="864"/>
      <c r="D106" s="864"/>
      <c r="E106" s="864"/>
      <c r="F106" s="864"/>
      <c r="G106" s="864"/>
      <c r="H106" s="864"/>
      <c r="I106" s="864"/>
      <c r="J106" s="864"/>
      <c r="K106" s="864"/>
      <c r="L106" s="864"/>
      <c r="M106" s="864"/>
      <c r="N106" s="864"/>
      <c r="O106" s="864"/>
      <c r="P106" s="1158"/>
    </row>
    <row r="107" spans="1:21" hidden="1" outlineLevel="1">
      <c r="B107" s="1157"/>
      <c r="C107" s="866" t="s">
        <v>901</v>
      </c>
      <c r="D107" s="864"/>
      <c r="E107" s="1256"/>
      <c r="F107" s="864"/>
      <c r="G107" s="867"/>
      <c r="H107" s="864"/>
      <c r="I107" s="864"/>
      <c r="J107" s="864"/>
      <c r="K107" s="864"/>
      <c r="L107" s="864"/>
      <c r="M107" s="864"/>
      <c r="N107" s="864"/>
      <c r="O107" s="1256" t="s">
        <v>837</v>
      </c>
      <c r="P107" s="1158"/>
    </row>
    <row r="108" spans="1:21" ht="5.25" hidden="1" customHeight="1" outlineLevel="1">
      <c r="B108" s="1157"/>
      <c r="C108" s="864"/>
      <c r="D108" s="864"/>
      <c r="E108" s="864"/>
      <c r="F108" s="864"/>
      <c r="G108" s="864"/>
      <c r="H108" s="864"/>
      <c r="I108" s="864"/>
      <c r="J108" s="864"/>
      <c r="K108" s="864"/>
      <c r="L108" s="864"/>
      <c r="M108" s="864"/>
      <c r="N108" s="864"/>
      <c r="O108" s="864"/>
      <c r="P108" s="1158"/>
    </row>
    <row r="109" spans="1:21" ht="15.75" hidden="1" outlineLevel="1">
      <c r="B109" s="1159"/>
      <c r="C109" s="871"/>
      <c r="D109" s="871" t="s">
        <v>79</v>
      </c>
      <c r="E109" s="871" t="s">
        <v>442</v>
      </c>
      <c r="F109" s="931">
        <v>2007</v>
      </c>
      <c r="G109" s="932">
        <v>2010</v>
      </c>
      <c r="H109" s="931">
        <v>2015</v>
      </c>
      <c r="I109" s="931">
        <v>2020</v>
      </c>
      <c r="J109" s="931">
        <v>2025</v>
      </c>
      <c r="K109" s="931">
        <v>2030</v>
      </c>
      <c r="L109" s="931">
        <v>2035</v>
      </c>
      <c r="M109" s="931">
        <v>2040</v>
      </c>
      <c r="N109" s="931">
        <v>2045</v>
      </c>
      <c r="O109" s="931">
        <v>2050</v>
      </c>
      <c r="P109" s="1158"/>
    </row>
    <row r="110" spans="1:21" ht="15.75" hidden="1" outlineLevel="1">
      <c r="B110" s="1159"/>
      <c r="C110" s="889"/>
      <c r="D110" s="889" t="s">
        <v>852</v>
      </c>
      <c r="E110" s="889" t="s">
        <v>109</v>
      </c>
      <c r="F110" s="891">
        <v>5.6</v>
      </c>
      <c r="G110" s="890">
        <v>3.9364164904862582</v>
      </c>
      <c r="H110" s="890">
        <v>4.1922304439746298</v>
      </c>
      <c r="I110" s="890">
        <v>4.4480443974630006</v>
      </c>
      <c r="J110" s="890">
        <v>4.7038583509513714</v>
      </c>
      <c r="K110" s="890">
        <v>4.9596723044397422</v>
      </c>
      <c r="L110" s="890">
        <v>5.2154862579281129</v>
      </c>
      <c r="M110" s="890">
        <v>5.4713002114164837</v>
      </c>
      <c r="N110" s="890">
        <v>5.7271141649048545</v>
      </c>
      <c r="O110" s="890">
        <v>5.9829281183932252</v>
      </c>
      <c r="P110" s="1158"/>
    </row>
    <row r="111" spans="1:21" ht="15.75" hidden="1" outlineLevel="1">
      <c r="B111" s="1159"/>
      <c r="C111" s="775"/>
      <c r="D111" s="775" t="s">
        <v>853</v>
      </c>
      <c r="E111" s="774"/>
      <c r="F111" s="892">
        <v>9.1</v>
      </c>
      <c r="G111" s="885">
        <v>8.1811111111111092</v>
      </c>
      <c r="H111" s="885">
        <v>8.3162962962962919</v>
      </c>
      <c r="I111" s="885">
        <v>8.4514814814814745</v>
      </c>
      <c r="J111" s="885">
        <v>8.5866666666666571</v>
      </c>
      <c r="K111" s="885">
        <v>8.7218518518518398</v>
      </c>
      <c r="L111" s="885">
        <v>8.8570370370370224</v>
      </c>
      <c r="M111" s="885">
        <v>8.992222222222205</v>
      </c>
      <c r="N111" s="885">
        <v>9.1274074074073877</v>
      </c>
      <c r="O111" s="885">
        <v>9.2625925925925703</v>
      </c>
      <c r="P111" s="1158"/>
    </row>
    <row r="112" spans="1:21" ht="15.75" hidden="1" outlineLevel="1">
      <c r="B112" s="1159"/>
      <c r="C112" s="775"/>
      <c r="D112" s="775" t="s">
        <v>854</v>
      </c>
      <c r="E112" s="774"/>
      <c r="F112" s="892">
        <v>14.1</v>
      </c>
      <c r="G112" s="885">
        <v>14.253488372093022</v>
      </c>
      <c r="H112" s="885">
        <v>14.509302325581393</v>
      </c>
      <c r="I112" s="885">
        <v>14.765116279069764</v>
      </c>
      <c r="J112" s="885">
        <v>15.020930232558134</v>
      </c>
      <c r="K112" s="885">
        <v>15.276744186046505</v>
      </c>
      <c r="L112" s="885">
        <v>15.532558139534876</v>
      </c>
      <c r="M112" s="885">
        <v>15.788372093023247</v>
      </c>
      <c r="N112" s="885">
        <v>16.044186046511619</v>
      </c>
      <c r="O112" s="885">
        <v>16.29999999999999</v>
      </c>
      <c r="P112" s="1158"/>
    </row>
    <row r="113" spans="2:16" ht="15.75" hidden="1" outlineLevel="1">
      <c r="B113" s="1159"/>
      <c r="C113" s="886"/>
      <c r="D113" s="886" t="s">
        <v>855</v>
      </c>
      <c r="E113" s="887"/>
      <c r="F113" s="893">
        <v>9.9</v>
      </c>
      <c r="G113" s="888">
        <v>9.9988372093023248</v>
      </c>
      <c r="H113" s="888">
        <v>10.163565891472865</v>
      </c>
      <c r="I113" s="888">
        <v>10.328294573643406</v>
      </c>
      <c r="J113" s="888">
        <v>10.493023255813947</v>
      </c>
      <c r="K113" s="888">
        <v>10.657751937984488</v>
      </c>
      <c r="L113" s="888">
        <v>10.822480620155028</v>
      </c>
      <c r="M113" s="888">
        <v>10.987209302325569</v>
      </c>
      <c r="N113" s="888">
        <v>11.15193798449611</v>
      </c>
      <c r="O113" s="888">
        <v>11.31666666666665</v>
      </c>
      <c r="P113" s="1158"/>
    </row>
    <row r="114" spans="2:16" hidden="1" outlineLevel="1">
      <c r="B114" s="1157"/>
      <c r="C114" s="864"/>
      <c r="D114" s="864"/>
      <c r="E114" s="864"/>
      <c r="F114" s="864"/>
      <c r="G114" s="864"/>
      <c r="H114" s="864"/>
      <c r="I114" s="864"/>
      <c r="J114" s="864"/>
      <c r="K114" s="864"/>
      <c r="L114" s="864"/>
      <c r="M114" s="864"/>
      <c r="N114" s="864"/>
      <c r="O114" s="864"/>
      <c r="P114" s="1158"/>
    </row>
    <row r="115" spans="2:16" hidden="1" outlineLevel="1">
      <c r="B115" s="1157"/>
      <c r="C115" s="866" t="s">
        <v>1319</v>
      </c>
      <c r="D115" s="864"/>
      <c r="E115" s="867"/>
      <c r="F115" s="867" t="s">
        <v>84</v>
      </c>
      <c r="G115" s="864"/>
      <c r="H115" s="864"/>
      <c r="I115" s="864"/>
      <c r="J115" s="864"/>
      <c r="K115" s="864"/>
      <c r="L115" s="864"/>
      <c r="M115" s="864"/>
      <c r="N115" s="864"/>
      <c r="O115" s="867"/>
      <c r="P115" s="1158"/>
    </row>
    <row r="116" spans="2:16" ht="5.25" hidden="1" customHeight="1" outlineLevel="1">
      <c r="B116" s="1157"/>
      <c r="C116" s="864"/>
      <c r="D116" s="864"/>
      <c r="E116" s="864"/>
      <c r="F116" s="864"/>
      <c r="G116" s="864"/>
      <c r="H116" s="864"/>
      <c r="I116" s="864"/>
      <c r="J116" s="864"/>
      <c r="K116" s="864"/>
      <c r="L116" s="864"/>
      <c r="M116" s="864"/>
      <c r="N116" s="864"/>
      <c r="O116" s="864"/>
      <c r="P116" s="1158"/>
    </row>
    <row r="117" spans="2:16" ht="15.75" hidden="1" outlineLevel="1">
      <c r="B117" s="1159"/>
      <c r="C117" s="871"/>
      <c r="D117" s="871" t="s">
        <v>79</v>
      </c>
      <c r="E117" s="871" t="s">
        <v>442</v>
      </c>
      <c r="F117" s="931">
        <v>2007</v>
      </c>
      <c r="G117" s="1293"/>
      <c r="H117" s="1293"/>
      <c r="I117" s="1293"/>
      <c r="J117" s="1293"/>
      <c r="K117" s="1293"/>
      <c r="L117" s="1293"/>
      <c r="M117" s="1293"/>
      <c r="N117" s="1293"/>
      <c r="O117" s="1293"/>
      <c r="P117" s="1158"/>
    </row>
    <row r="118" spans="2:16" ht="15.75" hidden="1" outlineLevel="1">
      <c r="B118" s="1159"/>
      <c r="C118" s="889"/>
      <c r="D118" s="889" t="s">
        <v>15</v>
      </c>
      <c r="E118" s="889" t="s">
        <v>440</v>
      </c>
      <c r="F118" s="1589">
        <f>353.8*(836.3/1245.1)*10^15/25751000</f>
        <v>9228297640.4315128</v>
      </c>
      <c r="G118" s="885"/>
      <c r="H118" s="885"/>
      <c r="I118" s="885"/>
      <c r="J118" s="885"/>
      <c r="K118" s="885"/>
      <c r="L118" s="885"/>
      <c r="M118" s="885"/>
      <c r="N118" s="885"/>
      <c r="O118" s="885"/>
      <c r="P118" s="1158"/>
    </row>
    <row r="119" spans="2:16" ht="15.75" hidden="1" outlineLevel="1">
      <c r="B119" s="1159"/>
      <c r="C119" s="775"/>
      <c r="D119" s="775" t="s">
        <v>1320</v>
      </c>
      <c r="E119" s="774"/>
      <c r="F119" s="1587">
        <f>110*(836.3/1245.1)*10^15/25751000</f>
        <v>2869171114.8882608</v>
      </c>
      <c r="G119" s="1587"/>
      <c r="H119" s="1587"/>
      <c r="I119" s="1587"/>
      <c r="J119" s="1587"/>
      <c r="K119" s="1587"/>
      <c r="L119" s="1587"/>
      <c r="M119" s="1587"/>
      <c r="N119" s="1587"/>
      <c r="O119" s="1587"/>
      <c r="P119" s="1158"/>
    </row>
    <row r="120" spans="2:16" ht="15.75" hidden="1" outlineLevel="1">
      <c r="B120" s="1159"/>
      <c r="C120" s="775"/>
      <c r="D120" s="775" t="s">
        <v>116</v>
      </c>
      <c r="E120" s="775"/>
      <c r="F120" s="1587">
        <f>52.4*(836.3/1245.1)*10^15/25751000</f>
        <v>1366768785.6376805</v>
      </c>
      <c r="G120" s="1587"/>
      <c r="H120" s="1587"/>
      <c r="I120" s="1587"/>
      <c r="J120" s="1587"/>
      <c r="K120" s="1587"/>
      <c r="L120" s="1587"/>
      <c r="M120" s="1587"/>
      <c r="N120" s="1587"/>
      <c r="O120" s="1587"/>
      <c r="P120" s="1158"/>
    </row>
    <row r="121" spans="2:16" ht="15.75" hidden="1" outlineLevel="1">
      <c r="B121" s="1159"/>
      <c r="C121" s="775"/>
      <c r="D121" s="775" t="s">
        <v>71</v>
      </c>
      <c r="E121" s="775"/>
      <c r="F121" s="1587">
        <f>268.8*(836.3/1245.1)*10^15/25751000</f>
        <v>7011210869.8360405</v>
      </c>
      <c r="G121" s="1587"/>
      <c r="H121" s="1587"/>
      <c r="I121" s="1587"/>
      <c r="J121" s="1587"/>
      <c r="K121" s="1587"/>
      <c r="L121" s="1587"/>
      <c r="M121" s="1587"/>
      <c r="N121" s="1587"/>
      <c r="O121" s="1587"/>
      <c r="P121" s="1158"/>
    </row>
    <row r="122" spans="2:16" ht="15.75" hidden="1" outlineLevel="1">
      <c r="B122" s="1159"/>
      <c r="C122" s="886"/>
      <c r="D122" s="886" t="s">
        <v>204</v>
      </c>
      <c r="E122" s="887"/>
      <c r="F122" s="1590">
        <f>460.1*(836.3/1245.1)*10^15/25751000</f>
        <v>12000960272.364443</v>
      </c>
      <c r="G122" s="1587"/>
      <c r="H122" s="1587"/>
      <c r="I122" s="1587"/>
      <c r="J122" s="1587"/>
      <c r="K122" s="1587"/>
      <c r="L122" s="1587"/>
      <c r="M122" s="1587"/>
      <c r="N122" s="1587"/>
      <c r="O122" s="1587"/>
      <c r="P122" s="1158"/>
    </row>
    <row r="123" spans="2:16" ht="15.75" hidden="1" outlineLevel="1">
      <c r="B123" s="1159"/>
      <c r="C123" s="775"/>
      <c r="D123" s="775"/>
      <c r="E123" s="775"/>
      <c r="F123" s="1588">
        <f>SUM(F118:F122)</f>
        <v>32476408683.157936</v>
      </c>
      <c r="G123" s="1587"/>
      <c r="H123" s="1587"/>
      <c r="I123" s="1587"/>
      <c r="J123" s="1587"/>
      <c r="K123" s="1587"/>
      <c r="L123" s="1587"/>
      <c r="M123" s="1587"/>
      <c r="N123" s="1587"/>
      <c r="O123" s="1587"/>
      <c r="P123" s="1158"/>
    </row>
    <row r="124" spans="2:16" ht="15.75" hidden="1" outlineLevel="1">
      <c r="B124" s="1159"/>
      <c r="C124" s="864"/>
      <c r="D124" s="864"/>
      <c r="E124" s="864"/>
      <c r="F124" s="864"/>
      <c r="G124" s="864"/>
      <c r="H124" s="864"/>
      <c r="I124" s="864"/>
      <c r="J124" s="864"/>
      <c r="K124" s="864"/>
      <c r="L124" s="864"/>
      <c r="M124" s="864"/>
      <c r="N124" s="864"/>
      <c r="O124" s="864"/>
      <c r="P124" s="1158"/>
    </row>
    <row r="125" spans="2:16" hidden="1" outlineLevel="1">
      <c r="B125" s="1160"/>
      <c r="C125" s="866" t="s">
        <v>1283</v>
      </c>
      <c r="D125" s="864"/>
      <c r="E125" s="864"/>
      <c r="F125" s="864"/>
      <c r="G125" s="867"/>
      <c r="H125" s="864"/>
      <c r="I125" s="864"/>
      <c r="J125" s="864"/>
      <c r="K125" s="864"/>
      <c r="L125" s="864"/>
      <c r="M125" s="864"/>
      <c r="N125" s="864"/>
      <c r="O125" s="867" t="s">
        <v>1287</v>
      </c>
      <c r="P125" s="1158"/>
    </row>
    <row r="126" spans="2:16" ht="5.25" hidden="1" customHeight="1" outlineLevel="1">
      <c r="B126" s="1157"/>
      <c r="C126" s="864"/>
      <c r="D126" s="864"/>
      <c r="E126" s="864"/>
      <c r="F126" s="864"/>
      <c r="G126" s="864"/>
      <c r="H126" s="864"/>
      <c r="I126" s="864"/>
      <c r="J126" s="864"/>
      <c r="K126" s="864"/>
      <c r="L126" s="864"/>
      <c r="M126" s="864"/>
      <c r="N126" s="864"/>
      <c r="O126" s="864"/>
      <c r="P126" s="1158"/>
    </row>
    <row r="127" spans="2:16" ht="51" hidden="1" customHeight="1" outlineLevel="1">
      <c r="B127" s="1159"/>
      <c r="C127" s="871"/>
      <c r="D127" s="871"/>
      <c r="E127" s="871"/>
      <c r="F127" s="874" t="str">
        <f>INDEX(Vectors[Description], MATCH(F$128, Vectors[Code], 0))</f>
        <v>Electricity (delivered to end user)</v>
      </c>
      <c r="G127" s="874" t="str">
        <f>INDEX(Vectors[Description], MATCH(G$128, Vectors[Code], 0))</f>
        <v>Electricity (supplied to grid)</v>
      </c>
      <c r="H127" s="874" t="str">
        <f>INDEX(Vectors[Description], MATCH(H$128, Vectors[Code], 0))</f>
        <v>Solid hydrocarbons</v>
      </c>
      <c r="I127" s="874" t="str">
        <f>INDEX(Vectors[Description], MATCH(I$128, Vectors[Code], 0))</f>
        <v>Liquid hydrocarbons</v>
      </c>
      <c r="J127" s="874" t="str">
        <f>INDEX(Vectors[Description], MATCH(J$128, Vectors[Code], 0))</f>
        <v>Gaseous hydrocarbons</v>
      </c>
      <c r="K127" s="874" t="str">
        <f>INDEX(Vectors[Description], MATCH(K$128, Vectors[Code], 0))</f>
        <v>Heat transport</v>
      </c>
      <c r="L127" s="874" t="str">
        <f>INDEX(Vectors[Description], MATCH(L$128, Vectors[Code], 0))</f>
        <v>Environmental heat</v>
      </c>
      <c r="M127" s="874" t="str">
        <f>INDEX(Vectors[Description], MATCH(M$128, Vectors[Code], 0))</f>
        <v>Heating and cooling</v>
      </c>
      <c r="N127" s="874" t="str">
        <f>INDEX(Vectors[Description], MATCH(N$128, Vectors[Code], 0))</f>
        <v>Conversion losses</v>
      </c>
      <c r="O127" s="877" t="s">
        <v>849</v>
      </c>
      <c r="P127" s="1158"/>
    </row>
    <row r="128" spans="2:16" ht="15.75" hidden="1" outlineLevel="1">
      <c r="B128" s="1159"/>
      <c r="C128" s="872" t="s">
        <v>83</v>
      </c>
      <c r="D128" s="872" t="s">
        <v>831</v>
      </c>
      <c r="E128" s="872" t="s">
        <v>442</v>
      </c>
      <c r="F128" s="873" t="s">
        <v>45</v>
      </c>
      <c r="G128" s="873" t="s">
        <v>46</v>
      </c>
      <c r="H128" s="873" t="s">
        <v>47</v>
      </c>
      <c r="I128" s="873" t="s">
        <v>49</v>
      </c>
      <c r="J128" s="873" t="s">
        <v>50</v>
      </c>
      <c r="K128" s="873" t="s">
        <v>753</v>
      </c>
      <c r="L128" s="873" t="s">
        <v>104</v>
      </c>
      <c r="M128" s="873" t="s">
        <v>6</v>
      </c>
      <c r="N128" s="873" t="s">
        <v>34</v>
      </c>
      <c r="O128" s="878"/>
      <c r="P128" s="1158"/>
    </row>
    <row r="129" spans="2:16" ht="15.75" hidden="1" outlineLevel="1">
      <c r="B129" s="1159"/>
      <c r="C129" s="831">
        <v>1</v>
      </c>
      <c r="D129" s="832" t="str">
        <f>INDEX($D$77:$D$89, MATCH($C129, $C$77:$C$89, 0))</f>
        <v>Gas boiler (old)</v>
      </c>
      <c r="E129" s="832"/>
      <c r="F129" s="865"/>
      <c r="G129" s="865"/>
      <c r="H129" s="865"/>
      <c r="I129" s="865"/>
      <c r="J129" s="865">
        <v>-1</v>
      </c>
      <c r="K129" s="865"/>
      <c r="L129" s="865"/>
      <c r="M129" s="865">
        <v>0.76</v>
      </c>
      <c r="N129" s="865">
        <v>0.24</v>
      </c>
      <c r="O129" s="856">
        <f t="shared" ref="O129:O135" si="9">SUM(F129:N129)</f>
        <v>0</v>
      </c>
      <c r="P129" s="1158"/>
    </row>
    <row r="130" spans="2:16" ht="15.75" hidden="1" outlineLevel="1">
      <c r="B130" s="1159"/>
      <c r="C130" s="831">
        <v>2</v>
      </c>
      <c r="D130" s="832" t="str">
        <f t="shared" ref="D130:D141" si="10">INDEX($D$77:$D$89, MATCH($C130, $C$77:$C$89, 0))</f>
        <v>Gas boiler (new)</v>
      </c>
      <c r="E130" s="832"/>
      <c r="F130" s="865"/>
      <c r="G130" s="865"/>
      <c r="H130" s="865"/>
      <c r="I130" s="865"/>
      <c r="J130" s="865">
        <v>-1</v>
      </c>
      <c r="K130" s="865"/>
      <c r="L130" s="865"/>
      <c r="M130" s="865">
        <v>0.91</v>
      </c>
      <c r="N130" s="865">
        <v>0.09</v>
      </c>
      <c r="O130" s="856">
        <f t="shared" si="9"/>
        <v>0</v>
      </c>
      <c r="P130" s="1158"/>
    </row>
    <row r="131" spans="2:16" ht="15.75" hidden="1" outlineLevel="1">
      <c r="B131" s="1159"/>
      <c r="C131" s="831">
        <v>3</v>
      </c>
      <c r="D131" s="832" t="str">
        <f t="shared" si="10"/>
        <v>Resisitive heating</v>
      </c>
      <c r="E131" s="832"/>
      <c r="F131" s="865">
        <v>-1</v>
      </c>
      <c r="G131" s="865"/>
      <c r="H131" s="865"/>
      <c r="I131" s="865"/>
      <c r="J131" s="865"/>
      <c r="K131" s="865"/>
      <c r="L131" s="865"/>
      <c r="M131" s="865">
        <v>1</v>
      </c>
      <c r="N131" s="865">
        <v>0</v>
      </c>
      <c r="O131" s="856">
        <f t="shared" si="9"/>
        <v>0</v>
      </c>
      <c r="P131" s="1158"/>
    </row>
    <row r="132" spans="2:16" ht="15.75" hidden="1" outlineLevel="1">
      <c r="B132" s="1159"/>
      <c r="C132" s="831">
        <v>4</v>
      </c>
      <c r="D132" s="832" t="str">
        <f t="shared" si="10"/>
        <v>Oil-fired boiler</v>
      </c>
      <c r="E132" s="832"/>
      <c r="F132" s="865"/>
      <c r="G132" s="865"/>
      <c r="H132" s="865"/>
      <c r="I132" s="865">
        <v>-1</v>
      </c>
      <c r="J132" s="865"/>
      <c r="K132" s="865"/>
      <c r="L132" s="865"/>
      <c r="M132" s="865">
        <v>0.97</v>
      </c>
      <c r="N132" s="865">
        <v>0.03</v>
      </c>
      <c r="O132" s="856">
        <f t="shared" si="9"/>
        <v>-2.7755575615628914E-17</v>
      </c>
      <c r="P132" s="1158"/>
    </row>
    <row r="133" spans="2:16" ht="15.75" hidden="1" outlineLevel="1">
      <c r="B133" s="1159"/>
      <c r="C133" s="831">
        <v>5</v>
      </c>
      <c r="D133" s="832" t="str">
        <f t="shared" si="10"/>
        <v>Solid-fuel boiler</v>
      </c>
      <c r="E133" s="832" t="s">
        <v>117</v>
      </c>
      <c r="F133" s="865"/>
      <c r="G133" s="865"/>
      <c r="H133" s="865">
        <v>-1</v>
      </c>
      <c r="I133" s="865"/>
      <c r="J133" s="865"/>
      <c r="K133" s="865"/>
      <c r="L133" s="865"/>
      <c r="M133" s="865">
        <v>0.87</v>
      </c>
      <c r="N133" s="865">
        <v>0.13</v>
      </c>
      <c r="O133" s="856">
        <f t="shared" si="9"/>
        <v>0</v>
      </c>
      <c r="P133" s="1158"/>
    </row>
    <row r="134" spans="2:16" ht="15.75" hidden="1" outlineLevel="1">
      <c r="B134" s="1159"/>
      <c r="C134" s="831">
        <v>6</v>
      </c>
      <c r="D134" s="832" t="str">
        <f t="shared" si="10"/>
        <v>Stirling engine μCHP</v>
      </c>
      <c r="E134" s="832"/>
      <c r="F134" s="865"/>
      <c r="G134" s="865">
        <v>0.22500000000000001</v>
      </c>
      <c r="H134" s="865"/>
      <c r="I134" s="865"/>
      <c r="J134" s="865">
        <v>-1</v>
      </c>
      <c r="K134" s="865"/>
      <c r="L134" s="865"/>
      <c r="M134" s="865">
        <v>0.63</v>
      </c>
      <c r="N134" s="865">
        <v>0.14499999999999999</v>
      </c>
      <c r="O134" s="856">
        <f t="shared" si="9"/>
        <v>0</v>
      </c>
      <c r="P134" s="1158"/>
    </row>
    <row r="135" spans="2:16" ht="15.75" hidden="1" outlineLevel="1">
      <c r="B135" s="1159"/>
      <c r="C135" s="831">
        <v>7</v>
      </c>
      <c r="D135" s="832" t="str">
        <f t="shared" si="10"/>
        <v>Fuel-cell μCHP</v>
      </c>
      <c r="E135" s="832"/>
      <c r="F135" s="865"/>
      <c r="G135" s="865">
        <v>0.45</v>
      </c>
      <c r="H135" s="865"/>
      <c r="I135" s="865"/>
      <c r="J135" s="865">
        <v>-1</v>
      </c>
      <c r="K135" s="865"/>
      <c r="L135" s="865"/>
      <c r="M135" s="865">
        <v>0.45</v>
      </c>
      <c r="N135" s="865">
        <v>0.1</v>
      </c>
      <c r="O135" s="856">
        <f t="shared" si="9"/>
        <v>0</v>
      </c>
      <c r="P135" s="1158"/>
    </row>
    <row r="136" spans="2:16" ht="15.75" hidden="1" outlineLevel="1">
      <c r="B136" s="1159"/>
      <c r="C136" s="831">
        <v>8</v>
      </c>
      <c r="D136" s="832" t="str">
        <f t="shared" si="10"/>
        <v>Air-source heat pump</v>
      </c>
      <c r="E136" s="832"/>
      <c r="F136" s="865">
        <v>-1</v>
      </c>
      <c r="G136" s="865"/>
      <c r="H136" s="865"/>
      <c r="I136" s="865"/>
      <c r="J136" s="865"/>
      <c r="K136" s="865"/>
      <c r="L136" s="865">
        <v>-2</v>
      </c>
      <c r="M136" s="865">
        <v>3</v>
      </c>
      <c r="N136" s="865"/>
      <c r="O136" s="856">
        <f t="shared" ref="O136:O141" si="11">SUM(F136:N136)</f>
        <v>0</v>
      </c>
      <c r="P136" s="1158"/>
    </row>
    <row r="137" spans="2:16" ht="15.75" hidden="1" outlineLevel="1">
      <c r="B137" s="1159"/>
      <c r="C137" s="831">
        <v>9</v>
      </c>
      <c r="D137" s="832" t="str">
        <f t="shared" si="10"/>
        <v>Ground-source heat pump</v>
      </c>
      <c r="E137" s="832"/>
      <c r="F137" s="865">
        <v>-1</v>
      </c>
      <c r="G137" s="865"/>
      <c r="H137" s="865"/>
      <c r="I137" s="865"/>
      <c r="J137" s="865"/>
      <c r="K137" s="865"/>
      <c r="L137" s="865">
        <v>-3</v>
      </c>
      <c r="M137" s="865">
        <v>4</v>
      </c>
      <c r="N137" s="865"/>
      <c r="O137" s="856">
        <f t="shared" si="11"/>
        <v>0</v>
      </c>
      <c r="P137" s="1158"/>
    </row>
    <row r="138" spans="2:16" ht="15.75" hidden="1" outlineLevel="1">
      <c r="B138" s="1159"/>
      <c r="C138" s="831">
        <v>10</v>
      </c>
      <c r="D138" s="832" t="str">
        <f t="shared" si="10"/>
        <v>Geothermal</v>
      </c>
      <c r="E138" s="832"/>
      <c r="F138" s="865"/>
      <c r="G138" s="865"/>
      <c r="H138" s="865"/>
      <c r="I138" s="865"/>
      <c r="J138" s="865"/>
      <c r="K138" s="865"/>
      <c r="L138" s="865">
        <v>-1</v>
      </c>
      <c r="M138" s="865">
        <v>0.85</v>
      </c>
      <c r="N138" s="865">
        <v>0.15</v>
      </c>
      <c r="O138" s="856">
        <f t="shared" si="11"/>
        <v>0</v>
      </c>
      <c r="P138" s="1158"/>
    </row>
    <row r="139" spans="2:16" ht="15.75" hidden="1" outlineLevel="1">
      <c r="B139" s="1159"/>
      <c r="C139" s="831">
        <v>11</v>
      </c>
      <c r="D139" s="832" t="str">
        <f t="shared" si="10"/>
        <v>Community scale gas CHP</v>
      </c>
      <c r="E139" s="832"/>
      <c r="F139" s="865"/>
      <c r="G139" s="865">
        <v>0.38</v>
      </c>
      <c r="H139" s="865"/>
      <c r="I139" s="865"/>
      <c r="J139" s="865">
        <v>-1</v>
      </c>
      <c r="K139" s="865"/>
      <c r="L139" s="865"/>
      <c r="M139" s="865">
        <v>0.38</v>
      </c>
      <c r="N139" s="865">
        <v>0.24</v>
      </c>
      <c r="O139" s="856">
        <f t="shared" si="11"/>
        <v>0</v>
      </c>
      <c r="P139" s="1158"/>
    </row>
    <row r="140" spans="2:16" ht="15.75" hidden="1" outlineLevel="1">
      <c r="B140" s="1159"/>
      <c r="C140" s="831">
        <v>12</v>
      </c>
      <c r="D140" s="832" t="str">
        <f t="shared" si="10"/>
        <v>Community scale solid-fuel CHP</v>
      </c>
      <c r="E140" s="832"/>
      <c r="F140" s="865"/>
      <c r="G140" s="865">
        <v>0.17</v>
      </c>
      <c r="H140" s="865">
        <v>-1</v>
      </c>
      <c r="I140" s="865"/>
      <c r="J140" s="865"/>
      <c r="K140" s="865"/>
      <c r="L140" s="865"/>
      <c r="M140" s="865">
        <v>0.56999999999999995</v>
      </c>
      <c r="N140" s="865">
        <v>0.26</v>
      </c>
      <c r="O140" s="856">
        <f t="shared" si="11"/>
        <v>0</v>
      </c>
      <c r="P140" s="1158"/>
    </row>
    <row r="141" spans="2:16" ht="15.75" hidden="1" outlineLevel="1">
      <c r="B141" s="1159"/>
      <c r="C141" s="769">
        <v>13</v>
      </c>
      <c r="D141" s="770" t="str">
        <f t="shared" si="10"/>
        <v>District heating from power stations</v>
      </c>
      <c r="E141" s="770" t="s">
        <v>462</v>
      </c>
      <c r="F141" s="777"/>
      <c r="G141" s="876"/>
      <c r="H141" s="876"/>
      <c r="I141" s="876"/>
      <c r="J141" s="876"/>
      <c r="K141" s="876">
        <v>-1</v>
      </c>
      <c r="L141" s="876"/>
      <c r="M141" s="876">
        <v>0.9</v>
      </c>
      <c r="N141" s="876">
        <v>0.1</v>
      </c>
      <c r="O141" s="858">
        <f t="shared" si="11"/>
        <v>0</v>
      </c>
      <c r="P141" s="1158"/>
    </row>
    <row r="142" spans="2:16" hidden="1" outlineLevel="1">
      <c r="B142" s="1157"/>
      <c r="C142" s="864"/>
      <c r="D142" s="864"/>
      <c r="E142" s="864"/>
      <c r="F142" s="864"/>
      <c r="G142" s="864"/>
      <c r="H142" s="864"/>
      <c r="I142" s="864"/>
      <c r="J142" s="864"/>
      <c r="K142" s="864"/>
      <c r="L142" s="864"/>
      <c r="M142" s="864"/>
      <c r="N142" s="864"/>
      <c r="O142" s="864"/>
      <c r="P142" s="1158"/>
    </row>
    <row r="143" spans="2:16" hidden="1" outlineLevel="1">
      <c r="B143" s="1157"/>
      <c r="C143" s="866" t="s">
        <v>1284</v>
      </c>
      <c r="D143" s="864"/>
      <c r="E143" s="864"/>
      <c r="F143" s="864"/>
      <c r="G143" s="867"/>
      <c r="H143" s="864"/>
      <c r="I143" s="864"/>
      <c r="J143" s="864"/>
      <c r="K143" s="864"/>
      <c r="L143" s="864"/>
      <c r="M143" s="864"/>
      <c r="N143" s="864"/>
      <c r="O143" s="867" t="s">
        <v>1287</v>
      </c>
      <c r="P143" s="1158"/>
    </row>
    <row r="144" spans="2:16" ht="5.25" hidden="1" customHeight="1" outlineLevel="1">
      <c r="B144" s="1157"/>
      <c r="C144" s="864"/>
      <c r="D144" s="864"/>
      <c r="E144" s="864"/>
      <c r="F144" s="864"/>
      <c r="G144" s="864"/>
      <c r="H144" s="864"/>
      <c r="I144" s="864"/>
      <c r="J144" s="864"/>
      <c r="K144" s="864"/>
      <c r="L144" s="864"/>
      <c r="M144" s="864"/>
      <c r="N144" s="864"/>
      <c r="O144" s="864"/>
      <c r="P144" s="1158"/>
    </row>
    <row r="145" spans="2:16" ht="47.25" hidden="1" customHeight="1" outlineLevel="1">
      <c r="B145" s="1157"/>
      <c r="C145" s="871"/>
      <c r="D145" s="871"/>
      <c r="E145" s="871"/>
      <c r="F145" s="874" t="str">
        <f>INDEX(Vectors[Description], MATCH(F$146, Vectors[Code], 0))</f>
        <v>Electricity (delivered to end user)</v>
      </c>
      <c r="G145" s="874" t="str">
        <f>INDEX(Vectors[Description], MATCH(G$146, Vectors[Code], 0))</f>
        <v>Electricity (supplied to grid)</v>
      </c>
      <c r="H145" s="874" t="str">
        <f>INDEX(Vectors[Description], MATCH(H$146, Vectors[Code], 0))</f>
        <v>Solid hydrocarbons</v>
      </c>
      <c r="I145" s="874" t="str">
        <f>INDEX(Vectors[Description], MATCH(I$146, Vectors[Code], 0))</f>
        <v>Liquid hydrocarbons</v>
      </c>
      <c r="J145" s="874" t="str">
        <f>INDEX(Vectors[Description], MATCH(J$146, Vectors[Code], 0))</f>
        <v>Gaseous hydrocarbons</v>
      </c>
      <c r="K145" s="874" t="str">
        <f>INDEX(Vectors[Description], MATCH(K$146, Vectors[Code], 0))</f>
        <v>Heat transport</v>
      </c>
      <c r="L145" s="874" t="str">
        <f>INDEX(Vectors[Description], MATCH(L$146, Vectors[Code], 0))</f>
        <v>Environmental heat</v>
      </c>
      <c r="M145" s="874" t="str">
        <f>INDEX(Vectors[Description], MATCH(M$146, Vectors[Code], 0))</f>
        <v>Heating and cooling</v>
      </c>
      <c r="N145" s="874" t="str">
        <f>INDEX(Vectors[Description], MATCH(N$146, Vectors[Code], 0))</f>
        <v>Conversion losses</v>
      </c>
      <c r="O145" s="877" t="s">
        <v>849</v>
      </c>
      <c r="P145" s="1158"/>
    </row>
    <row r="146" spans="2:16" hidden="1" outlineLevel="1">
      <c r="B146" s="1157"/>
      <c r="C146" s="872" t="s">
        <v>83</v>
      </c>
      <c r="D146" s="872" t="s">
        <v>831</v>
      </c>
      <c r="E146" s="872" t="s">
        <v>442</v>
      </c>
      <c r="F146" s="873" t="s">
        <v>45</v>
      </c>
      <c r="G146" s="873" t="s">
        <v>46</v>
      </c>
      <c r="H146" s="873" t="s">
        <v>47</v>
      </c>
      <c r="I146" s="873" t="s">
        <v>49</v>
      </c>
      <c r="J146" s="873" t="s">
        <v>50</v>
      </c>
      <c r="K146" s="873" t="s">
        <v>753</v>
      </c>
      <c r="L146" s="873" t="s">
        <v>104</v>
      </c>
      <c r="M146" s="873" t="s">
        <v>6</v>
      </c>
      <c r="N146" s="873" t="s">
        <v>34</v>
      </c>
      <c r="O146" s="878"/>
      <c r="P146" s="1158"/>
    </row>
    <row r="147" spans="2:16" ht="15.75" hidden="1" outlineLevel="1">
      <c r="B147" s="1159"/>
      <c r="C147" s="831">
        <v>1</v>
      </c>
      <c r="D147" s="832" t="str">
        <f t="shared" ref="D147:D159" si="12">INDEX($D$77:$D$89, MATCH($C147, $C$77:$C$89, 0))</f>
        <v>Gas boiler (old)</v>
      </c>
      <c r="E147" s="832"/>
      <c r="F147" s="865"/>
      <c r="G147" s="865"/>
      <c r="H147" s="865"/>
      <c r="I147" s="865"/>
      <c r="J147" s="865">
        <v>-1</v>
      </c>
      <c r="K147" s="865"/>
      <c r="L147" s="865"/>
      <c r="M147" s="865">
        <v>0.76</v>
      </c>
      <c r="N147" s="865">
        <v>0.24</v>
      </c>
      <c r="O147" s="856">
        <f t="shared" ref="O147:O153" si="13">SUM(F147:N147)</f>
        <v>0</v>
      </c>
      <c r="P147" s="1158"/>
    </row>
    <row r="148" spans="2:16" ht="15.75" hidden="1" outlineLevel="1">
      <c r="B148" s="1159"/>
      <c r="C148" s="831">
        <v>2</v>
      </c>
      <c r="D148" s="832" t="str">
        <f t="shared" si="12"/>
        <v>Gas boiler (new)</v>
      </c>
      <c r="E148" s="832"/>
      <c r="F148" s="865"/>
      <c r="G148" s="865"/>
      <c r="H148" s="865"/>
      <c r="I148" s="865"/>
      <c r="J148" s="865">
        <v>-1</v>
      </c>
      <c r="K148" s="865"/>
      <c r="L148" s="865"/>
      <c r="M148" s="865">
        <v>0.91</v>
      </c>
      <c r="N148" s="865">
        <v>0.09</v>
      </c>
      <c r="O148" s="856">
        <f t="shared" si="13"/>
        <v>0</v>
      </c>
      <c r="P148" s="1158"/>
    </row>
    <row r="149" spans="2:16" ht="15.75" hidden="1" outlineLevel="1">
      <c r="B149" s="1159"/>
      <c r="C149" s="831">
        <v>3</v>
      </c>
      <c r="D149" s="832" t="str">
        <f t="shared" si="12"/>
        <v>Resisitive heating</v>
      </c>
      <c r="E149" s="832"/>
      <c r="F149" s="865">
        <v>-1</v>
      </c>
      <c r="G149" s="865"/>
      <c r="H149" s="865"/>
      <c r="I149" s="865"/>
      <c r="J149" s="865"/>
      <c r="K149" s="865"/>
      <c r="L149" s="865"/>
      <c r="M149" s="865">
        <v>1</v>
      </c>
      <c r="N149" s="865">
        <v>0</v>
      </c>
      <c r="O149" s="856">
        <f t="shared" si="13"/>
        <v>0</v>
      </c>
      <c r="P149" s="1158"/>
    </row>
    <row r="150" spans="2:16" ht="15.75" hidden="1" outlineLevel="1">
      <c r="B150" s="1159"/>
      <c r="C150" s="831">
        <v>4</v>
      </c>
      <c r="D150" s="832" t="str">
        <f t="shared" si="12"/>
        <v>Oil-fired boiler</v>
      </c>
      <c r="E150" s="832"/>
      <c r="F150" s="865"/>
      <c r="G150" s="865"/>
      <c r="H150" s="865"/>
      <c r="I150" s="865">
        <v>-1</v>
      </c>
      <c r="J150" s="865"/>
      <c r="K150" s="865"/>
      <c r="L150" s="865"/>
      <c r="M150" s="865">
        <v>0.97</v>
      </c>
      <c r="N150" s="865">
        <v>0.03</v>
      </c>
      <c r="O150" s="856">
        <f t="shared" si="13"/>
        <v>-2.7755575615628914E-17</v>
      </c>
      <c r="P150" s="1158"/>
    </row>
    <row r="151" spans="2:16" ht="15.75" hidden="1" outlineLevel="1">
      <c r="B151" s="1159"/>
      <c r="C151" s="831">
        <v>5</v>
      </c>
      <c r="D151" s="832" t="str">
        <f t="shared" si="12"/>
        <v>Solid-fuel boiler</v>
      </c>
      <c r="E151" s="832" t="s">
        <v>117</v>
      </c>
      <c r="F151" s="865"/>
      <c r="G151" s="865"/>
      <c r="H151" s="865">
        <v>-1</v>
      </c>
      <c r="I151" s="865"/>
      <c r="J151" s="865"/>
      <c r="K151" s="865"/>
      <c r="L151" s="865"/>
      <c r="M151" s="865">
        <v>0.87</v>
      </c>
      <c r="N151" s="865">
        <v>0.13</v>
      </c>
      <c r="O151" s="856">
        <f t="shared" si="13"/>
        <v>0</v>
      </c>
      <c r="P151" s="1158"/>
    </row>
    <row r="152" spans="2:16" ht="15.75" hidden="1" outlineLevel="1">
      <c r="B152" s="1159"/>
      <c r="C152" s="831">
        <v>6</v>
      </c>
      <c r="D152" s="832" t="str">
        <f t="shared" si="12"/>
        <v>Stirling engine μCHP</v>
      </c>
      <c r="E152" s="832" t="s">
        <v>118</v>
      </c>
      <c r="F152" s="865"/>
      <c r="G152" s="865">
        <v>0.22500000000000001</v>
      </c>
      <c r="H152" s="865"/>
      <c r="I152" s="865"/>
      <c r="J152" s="865">
        <v>-1</v>
      </c>
      <c r="K152" s="865"/>
      <c r="L152" s="865"/>
      <c r="M152" s="865">
        <v>0.63</v>
      </c>
      <c r="N152" s="865">
        <v>0.14499999999999999</v>
      </c>
      <c r="O152" s="856">
        <f t="shared" si="13"/>
        <v>0</v>
      </c>
      <c r="P152" s="1158"/>
    </row>
    <row r="153" spans="2:16" ht="15.75" hidden="1" outlineLevel="1">
      <c r="B153" s="1159"/>
      <c r="C153" s="831">
        <v>7</v>
      </c>
      <c r="D153" s="1084" t="str">
        <f t="shared" si="12"/>
        <v>Fuel-cell μCHP</v>
      </c>
      <c r="E153" s="832" t="s">
        <v>118</v>
      </c>
      <c r="F153" s="865"/>
      <c r="G153" s="865">
        <v>0.45</v>
      </c>
      <c r="H153" s="865"/>
      <c r="I153" s="865"/>
      <c r="J153" s="865">
        <v>-1</v>
      </c>
      <c r="K153" s="865"/>
      <c r="L153" s="865"/>
      <c r="M153" s="865">
        <v>0.45</v>
      </c>
      <c r="N153" s="865">
        <v>0.1</v>
      </c>
      <c r="O153" s="856">
        <f t="shared" si="13"/>
        <v>0</v>
      </c>
      <c r="P153" s="1158"/>
    </row>
    <row r="154" spans="2:16" ht="15.75" hidden="1" outlineLevel="1">
      <c r="B154" s="1159"/>
      <c r="C154" s="831">
        <v>8</v>
      </c>
      <c r="D154" s="832" t="str">
        <f t="shared" si="12"/>
        <v>Air-source heat pump</v>
      </c>
      <c r="E154" s="832"/>
      <c r="F154" s="865">
        <v>-1</v>
      </c>
      <c r="G154" s="865"/>
      <c r="H154" s="865"/>
      <c r="I154" s="865"/>
      <c r="J154" s="865"/>
      <c r="K154" s="865"/>
      <c r="L154" s="865">
        <v>-1</v>
      </c>
      <c r="M154" s="865">
        <v>2</v>
      </c>
      <c r="N154" s="865"/>
      <c r="O154" s="856">
        <f t="shared" ref="O154:O159" si="14">SUM(F154:N154)</f>
        <v>0</v>
      </c>
      <c r="P154" s="1158"/>
    </row>
    <row r="155" spans="2:16" ht="15.75" hidden="1" outlineLevel="1">
      <c r="B155" s="1159"/>
      <c r="C155" s="831">
        <v>9</v>
      </c>
      <c r="D155" s="832" t="str">
        <f t="shared" si="12"/>
        <v>Ground-source heat pump</v>
      </c>
      <c r="E155" s="832"/>
      <c r="F155" s="865">
        <v>-1</v>
      </c>
      <c r="G155" s="865"/>
      <c r="H155" s="865"/>
      <c r="I155" s="865"/>
      <c r="J155" s="865"/>
      <c r="K155" s="865"/>
      <c r="L155" s="865">
        <v>-2</v>
      </c>
      <c r="M155" s="865">
        <v>3</v>
      </c>
      <c r="N155" s="865"/>
      <c r="O155" s="856">
        <f t="shared" si="14"/>
        <v>0</v>
      </c>
      <c r="P155" s="1158"/>
    </row>
    <row r="156" spans="2:16" ht="15.75" hidden="1" outlineLevel="1">
      <c r="B156" s="1159"/>
      <c r="C156" s="831">
        <v>10</v>
      </c>
      <c r="D156" s="832" t="str">
        <f t="shared" si="12"/>
        <v>Geothermal</v>
      </c>
      <c r="E156" s="832"/>
      <c r="F156" s="865"/>
      <c r="G156" s="865"/>
      <c r="H156" s="865"/>
      <c r="I156" s="865"/>
      <c r="J156" s="865"/>
      <c r="K156" s="865"/>
      <c r="L156" s="865">
        <v>-1</v>
      </c>
      <c r="M156" s="865">
        <v>0.85</v>
      </c>
      <c r="N156" s="865">
        <v>0.15</v>
      </c>
      <c r="O156" s="856">
        <f t="shared" si="14"/>
        <v>0</v>
      </c>
      <c r="P156" s="1158"/>
    </row>
    <row r="157" spans="2:16" ht="15.75" hidden="1" outlineLevel="1">
      <c r="B157" s="1159"/>
      <c r="C157" s="831">
        <v>11</v>
      </c>
      <c r="D157" s="832" t="str">
        <f t="shared" si="12"/>
        <v>Community scale gas CHP</v>
      </c>
      <c r="E157" s="832"/>
      <c r="F157" s="865"/>
      <c r="G157" s="865">
        <v>0.38</v>
      </c>
      <c r="H157" s="865"/>
      <c r="I157" s="865"/>
      <c r="J157" s="865">
        <v>-1</v>
      </c>
      <c r="K157" s="865"/>
      <c r="L157" s="865"/>
      <c r="M157" s="865">
        <v>0.38</v>
      </c>
      <c r="N157" s="865">
        <v>0.24</v>
      </c>
      <c r="O157" s="856">
        <f t="shared" si="14"/>
        <v>0</v>
      </c>
      <c r="P157" s="1158"/>
    </row>
    <row r="158" spans="2:16" ht="15.75" hidden="1" outlineLevel="1">
      <c r="B158" s="1159"/>
      <c r="C158" s="831">
        <v>12</v>
      </c>
      <c r="D158" s="832" t="str">
        <f t="shared" si="12"/>
        <v>Community scale solid-fuel CHP</v>
      </c>
      <c r="E158" s="832"/>
      <c r="F158" s="865"/>
      <c r="G158" s="865">
        <v>0.17</v>
      </c>
      <c r="H158" s="865">
        <v>-1</v>
      </c>
      <c r="I158" s="865"/>
      <c r="J158" s="865"/>
      <c r="K158" s="865"/>
      <c r="L158" s="865"/>
      <c r="M158" s="865">
        <v>0.56999999999999995</v>
      </c>
      <c r="N158" s="865">
        <v>0.26</v>
      </c>
      <c r="O158" s="856">
        <f t="shared" si="14"/>
        <v>0</v>
      </c>
      <c r="P158" s="1158"/>
    </row>
    <row r="159" spans="2:16" ht="15.75" hidden="1" outlineLevel="1">
      <c r="B159" s="1159"/>
      <c r="C159" s="769">
        <v>13</v>
      </c>
      <c r="D159" s="770" t="str">
        <f t="shared" si="12"/>
        <v>District heating from power stations</v>
      </c>
      <c r="E159" s="770" t="s">
        <v>462</v>
      </c>
      <c r="F159" s="777"/>
      <c r="G159" s="876"/>
      <c r="H159" s="876"/>
      <c r="I159" s="876"/>
      <c r="J159" s="876"/>
      <c r="K159" s="876">
        <v>-1</v>
      </c>
      <c r="L159" s="876"/>
      <c r="M159" s="876">
        <v>0.9</v>
      </c>
      <c r="N159" s="876">
        <v>0.1</v>
      </c>
      <c r="O159" s="858">
        <f t="shared" si="14"/>
        <v>0</v>
      </c>
      <c r="P159" s="1158"/>
    </row>
    <row r="160" spans="2:16" hidden="1" outlineLevel="1">
      <c r="B160" s="1157"/>
      <c r="C160" s="864"/>
      <c r="D160" s="864"/>
      <c r="E160" s="864"/>
      <c r="F160" s="864"/>
      <c r="G160" s="864"/>
      <c r="H160" s="864"/>
      <c r="I160" s="864"/>
      <c r="J160" s="864"/>
      <c r="K160" s="864"/>
      <c r="L160" s="864"/>
      <c r="M160" s="864"/>
      <c r="N160" s="864"/>
      <c r="O160" s="864"/>
      <c r="P160" s="1158"/>
    </row>
    <row r="161" spans="2:25" hidden="1" outlineLevel="1">
      <c r="B161" s="1157"/>
      <c r="C161" s="866" t="s">
        <v>1838</v>
      </c>
      <c r="D161" s="864"/>
      <c r="E161" s="864"/>
      <c r="F161" s="864"/>
      <c r="G161" s="867"/>
      <c r="H161" s="864"/>
      <c r="I161" s="864"/>
      <c r="J161" s="864"/>
      <c r="K161" s="864"/>
      <c r="L161" s="864"/>
      <c r="M161" s="864"/>
      <c r="N161" s="864"/>
      <c r="O161" s="867" t="s">
        <v>1287</v>
      </c>
      <c r="P161" s="1158"/>
    </row>
    <row r="162" spans="2:25" ht="5.25" hidden="1" customHeight="1" outlineLevel="1">
      <c r="B162" s="1157"/>
      <c r="C162" s="864"/>
      <c r="D162" s="864"/>
      <c r="E162" s="864"/>
      <c r="F162" s="864"/>
      <c r="G162" s="864"/>
      <c r="H162" s="864"/>
      <c r="I162" s="864"/>
      <c r="J162" s="864"/>
      <c r="K162" s="864"/>
      <c r="L162" s="864"/>
      <c r="M162" s="864"/>
      <c r="N162" s="864"/>
      <c r="O162" s="864"/>
      <c r="P162" s="1158"/>
    </row>
    <row r="163" spans="2:25" ht="33.75" hidden="1" outlineLevel="1">
      <c r="B163" s="1157"/>
      <c r="C163" s="871"/>
      <c r="D163" s="871"/>
      <c r="E163" s="871"/>
      <c r="F163" s="874" t="str">
        <f>INDEX(Vectors[Description], MATCH(F$146, Vectors[Code], 0))</f>
        <v>Electricity (delivered to end user)</v>
      </c>
      <c r="G163" s="874" t="str">
        <f>INDEX(Vectors[Description], MATCH(G$146, Vectors[Code], 0))</f>
        <v>Electricity (supplied to grid)</v>
      </c>
      <c r="H163" s="874" t="str">
        <f>INDEX(Vectors[Description], MATCH(H$146, Vectors[Code], 0))</f>
        <v>Solid hydrocarbons</v>
      </c>
      <c r="I163" s="874" t="str">
        <f>INDEX(Vectors[Description], MATCH(I$146, Vectors[Code], 0))</f>
        <v>Liquid hydrocarbons</v>
      </c>
      <c r="J163" s="874" t="str">
        <f>INDEX(Vectors[Description], MATCH(J$146, Vectors[Code], 0))</f>
        <v>Gaseous hydrocarbons</v>
      </c>
      <c r="K163" s="874" t="str">
        <f>INDEX(Vectors[Description], MATCH(K$146, Vectors[Code], 0))</f>
        <v>Heat transport</v>
      </c>
      <c r="L163" s="874" t="str">
        <f>INDEX(Vectors[Description], MATCH(L$146, Vectors[Code], 0))</f>
        <v>Environmental heat</v>
      </c>
      <c r="M163" s="874" t="str">
        <f>INDEX(Vectors[Description], MATCH(M$146, Vectors[Code], 0))</f>
        <v>Heating and cooling</v>
      </c>
      <c r="N163" s="874" t="str">
        <f>INDEX(Vectors[Description], MATCH(N$146, Vectors[Code], 0))</f>
        <v>Conversion losses</v>
      </c>
      <c r="O163" s="877" t="s">
        <v>849</v>
      </c>
      <c r="P163" s="1158"/>
    </row>
    <row r="164" spans="2:25" hidden="1" outlineLevel="1">
      <c r="B164" s="1157"/>
      <c r="C164" s="872" t="s">
        <v>83</v>
      </c>
      <c r="D164" s="872" t="s">
        <v>831</v>
      </c>
      <c r="E164" s="872" t="s">
        <v>442</v>
      </c>
      <c r="F164" s="873" t="s">
        <v>45</v>
      </c>
      <c r="G164" s="873" t="s">
        <v>46</v>
      </c>
      <c r="H164" s="873" t="s">
        <v>47</v>
      </c>
      <c r="I164" s="873" t="s">
        <v>49</v>
      </c>
      <c r="J164" s="873" t="s">
        <v>50</v>
      </c>
      <c r="K164" s="873" t="s">
        <v>753</v>
      </c>
      <c r="L164" s="873" t="s">
        <v>104</v>
      </c>
      <c r="M164" s="873" t="s">
        <v>6</v>
      </c>
      <c r="N164" s="873" t="s">
        <v>34</v>
      </c>
      <c r="O164" s="878"/>
      <c r="P164" s="1158"/>
    </row>
    <row r="165" spans="2:25" ht="15.75" hidden="1" outlineLevel="1">
      <c r="B165" s="1159"/>
      <c r="C165" s="831">
        <v>1</v>
      </c>
      <c r="D165" s="832" t="s">
        <v>2323</v>
      </c>
      <c r="E165" s="832"/>
      <c r="F165" s="865">
        <v>-1</v>
      </c>
      <c r="G165" s="865"/>
      <c r="H165" s="865"/>
      <c r="I165" s="865"/>
      <c r="J165" s="865"/>
      <c r="K165" s="865"/>
      <c r="L165" s="865">
        <v>-1.5</v>
      </c>
      <c r="M165" s="865">
        <v>2.5</v>
      </c>
      <c r="N165" s="865"/>
      <c r="O165" s="856">
        <f>SUM(F165:N165)</f>
        <v>0</v>
      </c>
      <c r="P165" s="1158"/>
    </row>
    <row r="166" spans="2:25" ht="15.75" hidden="1" outlineLevel="1">
      <c r="B166" s="1159"/>
      <c r="C166" s="831">
        <v>2</v>
      </c>
      <c r="D166" s="832" t="s">
        <v>2324</v>
      </c>
      <c r="E166" s="832"/>
      <c r="F166" s="865">
        <v>-1</v>
      </c>
      <c r="G166" s="865"/>
      <c r="H166" s="865"/>
      <c r="I166" s="865"/>
      <c r="J166" s="865"/>
      <c r="K166" s="865"/>
      <c r="L166" s="865">
        <v>-5</v>
      </c>
      <c r="M166" s="865">
        <v>6</v>
      </c>
      <c r="N166" s="865"/>
      <c r="O166" s="856">
        <f>SUM(F166:N166)</f>
        <v>0</v>
      </c>
      <c r="P166" s="1158"/>
    </row>
    <row r="167" spans="2:25" ht="15.75" hidden="1" outlineLevel="1">
      <c r="B167" s="1159"/>
      <c r="C167" s="899">
        <v>3</v>
      </c>
      <c r="D167" s="900" t="s">
        <v>1837</v>
      </c>
      <c r="E167" s="900"/>
      <c r="F167" s="916"/>
      <c r="G167" s="916"/>
      <c r="H167" s="916"/>
      <c r="I167" s="916"/>
      <c r="J167" s="916"/>
      <c r="K167" s="916">
        <v>-1</v>
      </c>
      <c r="L167" s="916">
        <v>0.3</v>
      </c>
      <c r="M167" s="916">
        <v>0.7</v>
      </c>
      <c r="N167" s="916"/>
      <c r="O167" s="918">
        <f>SUM(F167:N167)</f>
        <v>0</v>
      </c>
      <c r="P167" s="1158"/>
    </row>
    <row r="168" spans="2:25" hidden="1" outlineLevel="1">
      <c r="B168" s="1157"/>
      <c r="C168" s="864"/>
      <c r="D168" s="864"/>
      <c r="E168" s="864"/>
      <c r="F168" s="864"/>
      <c r="G168" s="864"/>
      <c r="H168" s="864"/>
      <c r="I168" s="864"/>
      <c r="J168" s="864"/>
      <c r="K168" s="864"/>
      <c r="L168" s="864"/>
      <c r="M168" s="864"/>
      <c r="N168" s="864"/>
      <c r="O168" s="864"/>
      <c r="P168" s="1158"/>
    </row>
    <row r="169" spans="2:25" hidden="1" outlineLevel="1">
      <c r="B169" s="1157"/>
      <c r="C169" s="864"/>
      <c r="D169" s="864"/>
      <c r="E169" s="864"/>
      <c r="F169" s="864"/>
      <c r="G169" s="864"/>
      <c r="H169" s="864"/>
      <c r="I169" s="864"/>
      <c r="J169" s="864"/>
      <c r="K169" s="864"/>
      <c r="L169" s="864"/>
      <c r="M169" s="864"/>
      <c r="N169" s="864"/>
      <c r="O169" s="864"/>
      <c r="P169" s="1158"/>
    </row>
    <row r="170" spans="2:25" hidden="1" outlineLevel="1">
      <c r="B170" s="1157"/>
      <c r="C170" s="869" t="s">
        <v>1610</v>
      </c>
      <c r="D170" s="832"/>
      <c r="E170" s="870"/>
      <c r="F170" s="847"/>
      <c r="G170" s="848"/>
      <c r="H170" s="864"/>
      <c r="I170" s="864"/>
      <c r="J170" s="864"/>
      <c r="K170" s="864"/>
      <c r="L170" s="864"/>
      <c r="M170" s="864"/>
      <c r="N170" s="864"/>
      <c r="O170" s="864"/>
      <c r="P170" s="1158"/>
    </row>
    <row r="171" spans="2:25" ht="5.25" hidden="1" customHeight="1" outlineLevel="1">
      <c r="B171" s="1157"/>
      <c r="C171" s="831"/>
      <c r="D171" s="832"/>
      <c r="E171" s="832"/>
      <c r="F171" s="847"/>
      <c r="G171" s="848"/>
      <c r="H171" s="864"/>
      <c r="I171" s="864"/>
      <c r="J171" s="864"/>
      <c r="K171" s="864"/>
      <c r="L171" s="864"/>
      <c r="M171" s="864"/>
      <c r="N171" s="864"/>
      <c r="O171" s="864"/>
      <c r="P171" s="1158"/>
    </row>
    <row r="172" spans="2:25" ht="15.75" hidden="1" outlineLevel="1">
      <c r="B172" s="1159"/>
      <c r="C172" s="766" t="s">
        <v>83</v>
      </c>
      <c r="D172" s="766" t="s">
        <v>1252</v>
      </c>
      <c r="E172" s="766" t="s">
        <v>442</v>
      </c>
      <c r="F172" s="923">
        <v>2007</v>
      </c>
      <c r="G172" s="924" t="s">
        <v>1251</v>
      </c>
      <c r="H172" s="1500" t="s">
        <v>1253</v>
      </c>
      <c r="I172" s="2084"/>
      <c r="J172" s="864"/>
      <c r="K172" s="864"/>
      <c r="L172" s="864"/>
      <c r="M172" s="864"/>
      <c r="N172" s="864"/>
      <c r="O172" s="864"/>
      <c r="P172" s="1158"/>
    </row>
    <row r="173" spans="2:25" ht="15.75" hidden="1" outlineLevel="1">
      <c r="B173" s="1159"/>
      <c r="C173" s="831">
        <v>1</v>
      </c>
      <c r="D173" s="832" t="str">
        <f t="shared" ref="D173:D185" si="15">INDEX($D$77:$D$89, MATCH($C173, $C$77:$C$89, 0))</f>
        <v>Gas boiler (old)</v>
      </c>
      <c r="E173" s="832" t="s">
        <v>1611</v>
      </c>
      <c r="F173" s="1257">
        <v>0.67</v>
      </c>
      <c r="G173" s="881">
        <v>0.9</v>
      </c>
      <c r="H173" s="1502">
        <v>2007</v>
      </c>
      <c r="I173" s="847"/>
      <c r="J173" s="864"/>
      <c r="K173" s="864"/>
      <c r="L173" s="864"/>
      <c r="M173" s="864"/>
      <c r="N173" s="864"/>
      <c r="O173" s="864"/>
      <c r="P173" s="1158"/>
      <c r="S173"/>
      <c r="V173"/>
      <c r="W173"/>
      <c r="X173"/>
      <c r="Y173"/>
    </row>
    <row r="174" spans="2:25" ht="15.75" hidden="1" outlineLevel="1">
      <c r="B174" s="1159"/>
      <c r="C174" s="831">
        <v>2</v>
      </c>
      <c r="D174" s="832" t="str">
        <f t="shared" si="15"/>
        <v>Gas boiler (new)</v>
      </c>
      <c r="E174" s="832"/>
      <c r="F174" s="1257">
        <v>0.15</v>
      </c>
      <c r="G174" s="881">
        <v>0.9</v>
      </c>
      <c r="H174" s="1502">
        <v>2007</v>
      </c>
      <c r="I174" s="847"/>
      <c r="J174" s="864"/>
      <c r="K174" s="864"/>
      <c r="L174" s="864"/>
      <c r="M174" s="864"/>
      <c r="N174" s="864"/>
      <c r="O174" s="864"/>
      <c r="P174" s="1158"/>
      <c r="S174"/>
      <c r="V174"/>
      <c r="W174"/>
      <c r="X174"/>
      <c r="Y174"/>
    </row>
    <row r="175" spans="2:25" ht="15.75" hidden="1" outlineLevel="1">
      <c r="B175" s="1159"/>
      <c r="C175" s="831">
        <v>3</v>
      </c>
      <c r="D175" s="832" t="str">
        <f t="shared" si="15"/>
        <v>Resisitive heating</v>
      </c>
      <c r="E175" s="832" t="s">
        <v>1609</v>
      </c>
      <c r="F175" s="1257">
        <v>0.1</v>
      </c>
      <c r="G175" s="881">
        <v>1</v>
      </c>
      <c r="H175" s="1502">
        <v>2007</v>
      </c>
      <c r="I175" s="847"/>
      <c r="J175" s="864"/>
      <c r="K175" s="864"/>
      <c r="L175" s="864"/>
      <c r="M175" s="864"/>
      <c r="N175" s="864"/>
      <c r="O175" s="864"/>
      <c r="P175" s="1158"/>
      <c r="S175"/>
      <c r="V175"/>
      <c r="W175"/>
      <c r="X175"/>
      <c r="Y175"/>
    </row>
    <row r="176" spans="2:25" ht="15.75" hidden="1" outlineLevel="1">
      <c r="B176" s="1159"/>
      <c r="C176" s="831">
        <v>4</v>
      </c>
      <c r="D176" s="832" t="str">
        <f t="shared" si="15"/>
        <v>Oil-fired boiler</v>
      </c>
      <c r="E176" s="832"/>
      <c r="F176" s="1257">
        <v>0.04</v>
      </c>
      <c r="G176" s="881">
        <v>0.74</v>
      </c>
      <c r="H176" s="1502">
        <v>2007</v>
      </c>
      <c r="I176" s="847"/>
      <c r="J176" s="864"/>
      <c r="K176" s="864"/>
      <c r="L176" s="864"/>
      <c r="M176" s="864"/>
      <c r="N176" s="864"/>
      <c r="O176" s="864"/>
      <c r="P176" s="1158"/>
      <c r="S176"/>
      <c r="V176"/>
      <c r="W176"/>
      <c r="X176"/>
      <c r="Y176"/>
    </row>
    <row r="177" spans="2:25" ht="15.75" hidden="1" outlineLevel="1">
      <c r="B177" s="1159"/>
      <c r="C177" s="831">
        <v>5</v>
      </c>
      <c r="D177" s="832" t="str">
        <f t="shared" si="15"/>
        <v>Solid-fuel boiler</v>
      </c>
      <c r="E177" s="832"/>
      <c r="F177" s="1257">
        <v>0.04</v>
      </c>
      <c r="G177" s="881">
        <v>0.74</v>
      </c>
      <c r="H177" s="1502">
        <v>2007</v>
      </c>
      <c r="I177" s="847"/>
      <c r="J177" s="864"/>
      <c r="K177" s="864"/>
      <c r="L177" s="864"/>
      <c r="M177" s="864"/>
      <c r="N177" s="864"/>
      <c r="O177" s="864"/>
      <c r="P177" s="1158"/>
      <c r="S177"/>
      <c r="V177"/>
      <c r="W177"/>
      <c r="X177"/>
      <c r="Y177"/>
    </row>
    <row r="178" spans="2:25" ht="15.75" hidden="1" outlineLevel="1">
      <c r="B178" s="1159"/>
      <c r="C178" s="831">
        <v>6</v>
      </c>
      <c r="D178" s="832" t="str">
        <f t="shared" si="15"/>
        <v>Stirling engine μCHP</v>
      </c>
      <c r="E178" s="832"/>
      <c r="F178" s="1257">
        <v>0</v>
      </c>
      <c r="G178" s="882">
        <v>0.9</v>
      </c>
      <c r="H178" s="1502">
        <v>2015</v>
      </c>
      <c r="I178" s="1091"/>
      <c r="J178" s="864"/>
      <c r="K178" s="864"/>
      <c r="L178" s="864"/>
      <c r="M178" s="864"/>
      <c r="N178" s="864"/>
      <c r="O178" s="864"/>
      <c r="P178" s="1158"/>
      <c r="S178"/>
      <c r="V178"/>
      <c r="W178"/>
      <c r="X178"/>
      <c r="Y178"/>
    </row>
    <row r="179" spans="2:25" ht="15.75" hidden="1" outlineLevel="1">
      <c r="B179" s="1159"/>
      <c r="C179" s="831">
        <v>7</v>
      </c>
      <c r="D179" s="1084" t="str">
        <f t="shared" si="15"/>
        <v>Fuel-cell μCHP</v>
      </c>
      <c r="E179" s="832"/>
      <c r="F179" s="1257">
        <v>0</v>
      </c>
      <c r="G179" s="882">
        <v>0.9</v>
      </c>
      <c r="H179" s="1502">
        <v>2015</v>
      </c>
      <c r="I179" s="1091"/>
      <c r="J179" s="864"/>
      <c r="K179" s="864"/>
      <c r="L179" s="864"/>
      <c r="M179" s="864"/>
      <c r="N179" s="864"/>
      <c r="O179" s="864"/>
      <c r="P179" s="1158"/>
    </row>
    <row r="180" spans="2:25" ht="15.75" hidden="1" outlineLevel="1">
      <c r="B180" s="1159"/>
      <c r="C180" s="831">
        <v>8</v>
      </c>
      <c r="D180" s="832" t="str">
        <f t="shared" si="15"/>
        <v>Air-source heat pump</v>
      </c>
      <c r="E180" s="832"/>
      <c r="F180" s="1257">
        <v>0</v>
      </c>
      <c r="G180" s="882">
        <v>1</v>
      </c>
      <c r="H180" s="1502">
        <v>2015</v>
      </c>
      <c r="I180" s="1091"/>
      <c r="J180" s="864"/>
      <c r="K180" s="864"/>
      <c r="L180" s="864"/>
      <c r="M180" s="864"/>
      <c r="N180" s="864"/>
      <c r="O180" s="864"/>
      <c r="P180" s="1158"/>
      <c r="S180"/>
      <c r="V180"/>
      <c r="W180"/>
      <c r="X180"/>
      <c r="Y180"/>
    </row>
    <row r="181" spans="2:25" ht="15.75" hidden="1" outlineLevel="1">
      <c r="B181" s="1159"/>
      <c r="C181" s="831">
        <v>9</v>
      </c>
      <c r="D181" s="832" t="str">
        <f t="shared" si="15"/>
        <v>Ground-source heat pump</v>
      </c>
      <c r="E181" s="832"/>
      <c r="F181" s="1257">
        <v>0</v>
      </c>
      <c r="G181" s="882">
        <v>0.28999999999999998</v>
      </c>
      <c r="H181" s="1502">
        <v>2015</v>
      </c>
      <c r="I181" s="1091"/>
      <c r="J181" s="864"/>
      <c r="K181" s="864"/>
      <c r="L181" s="864"/>
      <c r="M181" s="864"/>
      <c r="N181" s="864"/>
      <c r="O181" s="864"/>
      <c r="P181" s="1158"/>
      <c r="S181"/>
      <c r="V181"/>
      <c r="W181"/>
      <c r="X181"/>
      <c r="Y181"/>
    </row>
    <row r="182" spans="2:25" ht="15.75" hidden="1" outlineLevel="1">
      <c r="B182" s="1159"/>
      <c r="C182" s="831">
        <v>10</v>
      </c>
      <c r="D182" s="832" t="str">
        <f t="shared" si="15"/>
        <v>Geothermal</v>
      </c>
      <c r="E182" s="832"/>
      <c r="F182" s="1257">
        <v>0</v>
      </c>
      <c r="G182" s="882">
        <v>0.01</v>
      </c>
      <c r="H182" s="1502">
        <v>2015</v>
      </c>
      <c r="I182" s="1091"/>
      <c r="J182" s="864"/>
      <c r="K182" s="864"/>
      <c r="L182" s="864"/>
      <c r="M182" s="864"/>
      <c r="N182" s="864"/>
      <c r="O182" s="864"/>
      <c r="P182" s="1158"/>
      <c r="S182"/>
      <c r="V182"/>
      <c r="W182"/>
      <c r="X182"/>
      <c r="Y182"/>
    </row>
    <row r="183" spans="2:25" ht="15.75" hidden="1" outlineLevel="1">
      <c r="B183" s="1159"/>
      <c r="C183" s="831">
        <v>11</v>
      </c>
      <c r="D183" s="832" t="str">
        <f t="shared" si="15"/>
        <v>Community scale gas CHP</v>
      </c>
      <c r="E183" s="832"/>
      <c r="F183" s="1257">
        <v>0</v>
      </c>
      <c r="G183" s="882">
        <v>0.68</v>
      </c>
      <c r="H183" s="1502">
        <v>2015</v>
      </c>
      <c r="I183" s="1091"/>
      <c r="J183" s="864"/>
      <c r="K183" s="864"/>
      <c r="L183" s="864"/>
      <c r="M183" s="864"/>
      <c r="N183" s="864"/>
      <c r="O183" s="864"/>
      <c r="P183" s="1158"/>
    </row>
    <row r="184" spans="2:25" ht="15.75" hidden="1" outlineLevel="1">
      <c r="B184" s="1159"/>
      <c r="C184" s="831">
        <v>12</v>
      </c>
      <c r="D184" s="832" t="str">
        <f t="shared" si="15"/>
        <v>Community scale solid-fuel CHP</v>
      </c>
      <c r="E184" s="832"/>
      <c r="F184" s="1257">
        <v>0</v>
      </c>
      <c r="G184" s="882">
        <v>0.68</v>
      </c>
      <c r="H184" s="1502">
        <v>2015</v>
      </c>
      <c r="I184" s="1091"/>
      <c r="J184" s="864"/>
      <c r="K184" s="864"/>
      <c r="L184" s="864"/>
      <c r="M184" s="864"/>
      <c r="N184" s="864"/>
      <c r="O184" s="864"/>
      <c r="P184" s="1158"/>
    </row>
    <row r="185" spans="2:25" ht="15.75" hidden="1" outlineLevel="1">
      <c r="B185" s="1159"/>
      <c r="C185" s="769">
        <v>13</v>
      </c>
      <c r="D185" s="770" t="str">
        <f t="shared" si="15"/>
        <v>District heating from power stations</v>
      </c>
      <c r="E185" s="770"/>
      <c r="F185" s="846">
        <v>0</v>
      </c>
      <c r="G185" s="883">
        <v>0.4</v>
      </c>
      <c r="H185" s="2083">
        <v>2015</v>
      </c>
      <c r="I185" s="1091"/>
      <c r="J185" s="864"/>
      <c r="K185" s="864"/>
      <c r="L185" s="864"/>
      <c r="M185" s="864"/>
      <c r="N185" s="864"/>
      <c r="O185" s="864"/>
      <c r="P185" s="1158"/>
      <c r="S185"/>
      <c r="V185"/>
      <c r="W185"/>
      <c r="X185"/>
      <c r="Y185"/>
    </row>
    <row r="186" spans="2:25" ht="15.75" hidden="1" outlineLevel="1">
      <c r="B186" s="1159"/>
      <c r="C186" s="831"/>
      <c r="D186" s="832" t="s">
        <v>148</v>
      </c>
      <c r="E186" s="832"/>
      <c r="F186" s="865">
        <f>SUM(F173:F185)</f>
        <v>1</v>
      </c>
      <c r="G186" s="865"/>
      <c r="H186" s="864"/>
      <c r="I186" s="864"/>
      <c r="J186" s="864"/>
      <c r="K186" s="864"/>
      <c r="L186" s="864"/>
      <c r="M186" s="864"/>
      <c r="N186" s="864"/>
      <c r="O186" s="864"/>
      <c r="P186" s="1158"/>
    </row>
    <row r="187" spans="2:25" hidden="1" outlineLevel="1">
      <c r="B187" s="1157"/>
      <c r="C187" s="864"/>
      <c r="D187" s="864"/>
      <c r="E187" s="864"/>
      <c r="F187" s="864"/>
      <c r="G187" s="864"/>
      <c r="H187" s="864"/>
      <c r="I187" s="864"/>
      <c r="J187" s="864"/>
      <c r="K187" s="864"/>
      <c r="L187" s="864"/>
      <c r="M187" s="864"/>
      <c r="N187" s="864"/>
      <c r="O187" s="864"/>
      <c r="P187" s="1158"/>
    </row>
    <row r="188" spans="2:25" ht="15.75" hidden="1" outlineLevel="1">
      <c r="B188" s="1159"/>
      <c r="C188" s="766" t="s">
        <v>83</v>
      </c>
      <c r="D188" s="766" t="s">
        <v>1252</v>
      </c>
      <c r="E188" s="766" t="s">
        <v>442</v>
      </c>
      <c r="F188" s="923">
        <v>2007</v>
      </c>
      <c r="G188" s="924" t="s">
        <v>1251</v>
      </c>
      <c r="H188" s="1500" t="s">
        <v>1253</v>
      </c>
      <c r="I188" s="864"/>
      <c r="J188" s="864"/>
      <c r="K188" s="864"/>
      <c r="L188" s="864"/>
      <c r="M188" s="864"/>
      <c r="N188" s="864"/>
      <c r="O188" s="864"/>
      <c r="P188" s="1158"/>
    </row>
    <row r="189" spans="2:25" ht="15.75" hidden="1" outlineLevel="1">
      <c r="B189" s="1159"/>
      <c r="C189" s="831">
        <v>1</v>
      </c>
      <c r="D189" s="832" t="str">
        <f>INDEX($D$95:$D$97, MATCH($C189, $C$95:$C$97, 0))</f>
        <v>Electric air conditioner (old)</v>
      </c>
      <c r="E189" s="832"/>
      <c r="F189" s="1257">
        <v>0</v>
      </c>
      <c r="G189" s="881">
        <v>1</v>
      </c>
      <c r="H189" s="1502">
        <v>2007</v>
      </c>
      <c r="I189" s="864"/>
      <c r="J189" s="864"/>
      <c r="K189" s="864"/>
      <c r="L189" s="864"/>
      <c r="M189" s="864"/>
      <c r="N189" s="864"/>
      <c r="O189" s="864"/>
      <c r="P189" s="1158"/>
    </row>
    <row r="190" spans="2:25" ht="15.75" hidden="1" outlineLevel="1">
      <c r="B190" s="1159"/>
      <c r="C190" s="831">
        <v>2</v>
      </c>
      <c r="D190" s="832" t="str">
        <f>INDEX($D$95:$D$97, MATCH($C190, $C$95:$C$97, 0))</f>
        <v>Electric air conditioner (new)</v>
      </c>
      <c r="E190" s="832"/>
      <c r="F190" s="1257">
        <v>0</v>
      </c>
      <c r="G190" s="881">
        <v>1</v>
      </c>
      <c r="H190" s="1502">
        <v>2007</v>
      </c>
      <c r="I190" s="864"/>
      <c r="J190" s="864"/>
      <c r="K190" s="864"/>
      <c r="L190" s="864"/>
      <c r="M190" s="864"/>
      <c r="N190" s="864"/>
      <c r="O190" s="864"/>
      <c r="P190" s="1158"/>
    </row>
    <row r="191" spans="2:25" ht="15.75" hidden="1" outlineLevel="1">
      <c r="B191" s="1159"/>
      <c r="C191" s="899">
        <v>3</v>
      </c>
      <c r="D191" s="900" t="str">
        <f>INDEX($D$95:$D$97, MATCH($C191, $C$95:$C$97, 0))</f>
        <v>Absorption chiller</v>
      </c>
      <c r="E191" s="900"/>
      <c r="F191" s="2081">
        <v>0</v>
      </c>
      <c r="G191" s="2085">
        <v>1</v>
      </c>
      <c r="H191" s="2083">
        <v>2015</v>
      </c>
      <c r="I191" s="864"/>
      <c r="J191" s="864"/>
      <c r="K191" s="864"/>
      <c r="L191" s="864"/>
      <c r="M191" s="864"/>
      <c r="N191" s="864"/>
      <c r="O191" s="864"/>
      <c r="P191" s="1158"/>
    </row>
    <row r="192" spans="2:25" ht="15.75" hidden="1" outlineLevel="1">
      <c r="B192" s="1159"/>
      <c r="C192" s="864"/>
      <c r="D192" s="864" t="s">
        <v>148</v>
      </c>
      <c r="E192" s="864"/>
      <c r="F192" s="2086">
        <f>SUM(F$189:F$191)</f>
        <v>0</v>
      </c>
      <c r="G192" s="864"/>
      <c r="H192" s="864"/>
      <c r="I192" s="864"/>
      <c r="J192" s="864"/>
      <c r="K192" s="864"/>
      <c r="L192" s="864"/>
      <c r="M192" s="864"/>
      <c r="N192" s="864"/>
      <c r="O192" s="864"/>
      <c r="P192" s="1158"/>
    </row>
    <row r="193" spans="2:25" hidden="1" outlineLevel="1">
      <c r="B193" s="1157"/>
      <c r="C193" s="864"/>
      <c r="D193" s="864"/>
      <c r="E193" s="864"/>
      <c r="F193" s="864"/>
      <c r="G193" s="864"/>
      <c r="H193" s="864"/>
      <c r="I193" s="864"/>
      <c r="J193" s="864"/>
      <c r="K193" s="864"/>
      <c r="L193" s="864"/>
      <c r="M193" s="864"/>
      <c r="N193" s="864"/>
      <c r="O193" s="864"/>
      <c r="P193" s="1158"/>
    </row>
    <row r="194" spans="2:25" hidden="1" outlineLevel="1">
      <c r="B194" s="1157"/>
      <c r="C194" s="866" t="s">
        <v>1857</v>
      </c>
      <c r="D194" s="864"/>
      <c r="E194" s="867"/>
      <c r="F194" s="864"/>
      <c r="G194" s="864"/>
      <c r="H194" s="864"/>
      <c r="I194" s="864"/>
      <c r="J194" s="864"/>
      <c r="K194" s="864"/>
      <c r="L194" s="864"/>
      <c r="M194" s="864"/>
      <c r="N194" s="864"/>
      <c r="O194" s="867" t="s">
        <v>1299</v>
      </c>
      <c r="P194" s="1158"/>
    </row>
    <row r="195" spans="2:25" ht="5.25" hidden="1" customHeight="1" outlineLevel="1">
      <c r="B195" s="1157"/>
      <c r="C195" s="864"/>
      <c r="D195" s="864"/>
      <c r="E195" s="864"/>
      <c r="F195" s="864"/>
      <c r="G195" s="864"/>
      <c r="H195" s="864"/>
      <c r="I195" s="864"/>
      <c r="J195" s="864"/>
      <c r="K195" s="864"/>
      <c r="L195" s="864"/>
      <c r="M195" s="864"/>
      <c r="N195" s="864"/>
      <c r="O195" s="864"/>
      <c r="P195" s="1158"/>
    </row>
    <row r="196" spans="2:25" ht="15.75" hidden="1" outlineLevel="1">
      <c r="B196" s="1159"/>
      <c r="C196" s="871"/>
      <c r="D196" s="871" t="s">
        <v>79</v>
      </c>
      <c r="E196" s="871" t="s">
        <v>442</v>
      </c>
      <c r="F196" s="931">
        <v>2007</v>
      </c>
      <c r="G196" s="932">
        <v>2010</v>
      </c>
      <c r="H196" s="931">
        <v>2015</v>
      </c>
      <c r="I196" s="931">
        <v>2020</v>
      </c>
      <c r="J196" s="931">
        <v>2025</v>
      </c>
      <c r="K196" s="931">
        <v>2030</v>
      </c>
      <c r="L196" s="931">
        <v>2035</v>
      </c>
      <c r="M196" s="931">
        <v>2040</v>
      </c>
      <c r="N196" s="931">
        <v>2045</v>
      </c>
      <c r="O196" s="931">
        <v>2050</v>
      </c>
      <c r="P196" s="1158"/>
    </row>
    <row r="197" spans="2:25" ht="15.75" hidden="1" outlineLevel="1">
      <c r="B197" s="1159"/>
      <c r="C197" s="889"/>
      <c r="D197" s="889" t="s">
        <v>1855</v>
      </c>
      <c r="E197" s="889"/>
      <c r="F197" s="2090">
        <v>1300000</v>
      </c>
      <c r="G197" s="1589">
        <f>$F197*(INDEX(Global.Assumptions[Households], MATCH(G$196, Global.Assumptions[Year], 0))/INDEX(Global.Assumptions[Households], MATCH($F$196, Global.Assumptions[Year], 0)))</f>
        <v>1343668.450922719</v>
      </c>
      <c r="H197" s="1589">
        <f>$F197*(INDEX(Global.Assumptions[Households], MATCH(H$196, Global.Assumptions[Year], 0))/INDEX(Global.Assumptions[Households], MATCH($F$196, Global.Assumptions[Year], 0)))</f>
        <v>1421121.5470037553</v>
      </c>
      <c r="I197" s="1589">
        <f>$F197*(INDEX(Global.Assumptions[Households], MATCH(I$196, Global.Assumptions[Year], 0))/INDEX(Global.Assumptions[Households], MATCH($F$196, Global.Assumptions[Year], 0)))</f>
        <v>1497785.9353520768</v>
      </c>
      <c r="J197" s="1589">
        <f>$F197*(INDEX(Global.Assumptions[Households], MATCH(J$196, Global.Assumptions[Year], 0))/INDEX(Global.Assumptions[Households], MATCH($F$196, Global.Assumptions[Year], 0)))</f>
        <v>1569168.976983865</v>
      </c>
      <c r="K197" s="1589">
        <f>$F197*(INDEX(Global.Assumptions[Households], MATCH(K$196, Global.Assumptions[Year], 0))/INDEX(Global.Assumptions[Households], MATCH($F$196, Global.Assumptions[Year], 0)))</f>
        <v>1634561.8333038944</v>
      </c>
      <c r="L197" s="1589">
        <f>$F197*(INDEX(Global.Assumptions[Households], MATCH(L$196, Global.Assumptions[Year], 0))/INDEX(Global.Assumptions[Households], MATCH($F$196, Global.Assumptions[Year], 0)))</f>
        <v>1717940.9143122735</v>
      </c>
      <c r="M197" s="1589">
        <f>$F197*(INDEX(Global.Assumptions[Households], MATCH(M$196, Global.Assumptions[Year], 0))/INDEX(Global.Assumptions[Households], MATCH($F$196, Global.Assumptions[Year], 0)))</f>
        <v>1805573.1664201827</v>
      </c>
      <c r="N197" s="1589">
        <f>$F197*(INDEX(Global.Assumptions[Households], MATCH(N$196, Global.Assumptions[Year], 0))/INDEX(Global.Assumptions[Households], MATCH($F$196, Global.Assumptions[Year], 0)))</f>
        <v>1897675.5440984915</v>
      </c>
      <c r="O197" s="1589">
        <f>$F197*(INDEX(Global.Assumptions[Households], MATCH(O$196, Global.Assumptions[Year], 0))/INDEX(Global.Assumptions[Households], MATCH($F$196, Global.Assumptions[Year], 0)))</f>
        <v>1994476.0686765001</v>
      </c>
      <c r="P197" s="1158"/>
    </row>
    <row r="198" spans="2:25" ht="15.75" hidden="1" outlineLevel="1">
      <c r="B198" s="1159"/>
      <c r="C198" s="886"/>
      <c r="D198" s="886" t="s">
        <v>1856</v>
      </c>
      <c r="E198" s="886"/>
      <c r="F198" s="2091">
        <v>1300000</v>
      </c>
      <c r="G198" s="1590">
        <f>$F198*(INDEX(Global.Assumptions[Households], MATCH(G$196, Global.Assumptions[Year], 0))/INDEX(Global.Assumptions[Households], MATCH($F$196, Global.Assumptions[Year], 0)))</f>
        <v>1343668.450922719</v>
      </c>
      <c r="H198" s="1590">
        <f>$F198*(INDEX(Global.Assumptions[Households], MATCH(H$196, Global.Assumptions[Year], 0))/INDEX(Global.Assumptions[Households], MATCH($F$196, Global.Assumptions[Year], 0)))</f>
        <v>1421121.5470037553</v>
      </c>
      <c r="I198" s="1590">
        <f>$F198*(INDEX(Global.Assumptions[Households], MATCH(I$196, Global.Assumptions[Year], 0))/INDEX(Global.Assumptions[Households], MATCH($F$196, Global.Assumptions[Year], 0)))</f>
        <v>1497785.9353520768</v>
      </c>
      <c r="J198" s="1590">
        <f>$F198*(INDEX(Global.Assumptions[Households], MATCH(J$196, Global.Assumptions[Year], 0))/INDEX(Global.Assumptions[Households], MATCH($F$196, Global.Assumptions[Year], 0)))</f>
        <v>1569168.976983865</v>
      </c>
      <c r="K198" s="1590">
        <f>$F198*(INDEX(Global.Assumptions[Households], MATCH(K$196, Global.Assumptions[Year], 0))/INDEX(Global.Assumptions[Households], MATCH($F$196, Global.Assumptions[Year], 0)))</f>
        <v>1634561.8333038944</v>
      </c>
      <c r="L198" s="1590">
        <f>$F198*(INDEX(Global.Assumptions[Households], MATCH(L$196, Global.Assumptions[Year], 0))/INDEX(Global.Assumptions[Households], MATCH($F$196, Global.Assumptions[Year], 0)))</f>
        <v>1717940.9143122735</v>
      </c>
      <c r="M198" s="1590">
        <f>$F198*(INDEX(Global.Assumptions[Households], MATCH(M$196, Global.Assumptions[Year], 0))/INDEX(Global.Assumptions[Households], MATCH($F$196, Global.Assumptions[Year], 0)))</f>
        <v>1805573.1664201827</v>
      </c>
      <c r="N198" s="1590">
        <f>$F198*(INDEX(Global.Assumptions[Households], MATCH(N$196, Global.Assumptions[Year], 0))/INDEX(Global.Assumptions[Households], MATCH($F$196, Global.Assumptions[Year], 0)))</f>
        <v>1897675.5440984915</v>
      </c>
      <c r="O198" s="1590">
        <f>$F198*(INDEX(Global.Assumptions[Households], MATCH(O$196, Global.Assumptions[Year], 0))/INDEX(Global.Assumptions[Households], MATCH($F$196, Global.Assumptions[Year], 0)))</f>
        <v>1994476.0686765001</v>
      </c>
      <c r="P198" s="1158"/>
    </row>
    <row r="199" spans="2:25" hidden="1" outlineLevel="1">
      <c r="B199" s="1157"/>
      <c r="C199" s="864"/>
      <c r="D199" s="864"/>
      <c r="E199" s="864"/>
      <c r="F199" s="864"/>
      <c r="G199" s="864"/>
      <c r="H199" s="864"/>
      <c r="I199" s="864"/>
      <c r="J199" s="864"/>
      <c r="K199" s="864"/>
      <c r="L199" s="864"/>
      <c r="M199" s="864"/>
      <c r="N199" s="864"/>
      <c r="O199" s="864"/>
      <c r="P199" s="1158"/>
    </row>
    <row r="200" spans="2:25" hidden="1" outlineLevel="1">
      <c r="B200" s="1163"/>
      <c r="C200" s="864" t="s">
        <v>442</v>
      </c>
      <c r="D200" s="868"/>
      <c r="E200" s="864"/>
      <c r="F200" s="864"/>
      <c r="G200" s="864"/>
      <c r="H200" s="864"/>
      <c r="I200" s="864"/>
      <c r="J200" s="864"/>
      <c r="K200" s="864"/>
      <c r="L200" s="864"/>
      <c r="M200" s="864"/>
      <c r="N200" s="864"/>
      <c r="O200" s="864"/>
      <c r="P200" s="1158"/>
    </row>
    <row r="201" spans="2:25" hidden="1" outlineLevel="1">
      <c r="B201" s="1163"/>
      <c r="C201" s="867" t="s">
        <v>109</v>
      </c>
      <c r="D201" s="868" t="s">
        <v>857</v>
      </c>
      <c r="E201" s="864"/>
      <c r="F201" s="864"/>
      <c r="G201" s="864"/>
      <c r="H201" s="864"/>
      <c r="I201" s="864"/>
      <c r="J201" s="864"/>
      <c r="K201" s="864"/>
      <c r="L201" s="864"/>
      <c r="M201" s="864"/>
      <c r="N201" s="864"/>
      <c r="O201" s="864"/>
      <c r="P201" s="1158"/>
    </row>
    <row r="202" spans="2:25" s="715" customFormat="1" hidden="1" outlineLevel="1">
      <c r="B202" s="1225"/>
      <c r="C202" s="1251"/>
      <c r="D202" s="1259" t="s">
        <v>836</v>
      </c>
      <c r="E202" s="1228"/>
      <c r="F202" s="1228"/>
      <c r="G202" s="1228"/>
      <c r="H202" s="1228"/>
      <c r="I202" s="1228"/>
      <c r="J202" s="1228"/>
      <c r="K202" s="1228"/>
      <c r="L202" s="1228"/>
      <c r="M202" s="1228"/>
      <c r="N202" s="1228"/>
      <c r="O202" s="1228"/>
      <c r="P202" s="1229"/>
      <c r="Y202" s="121"/>
    </row>
    <row r="203" spans="2:25" s="715" customFormat="1" hidden="1" outlineLevel="1">
      <c r="B203" s="1225"/>
      <c r="C203" s="1251"/>
      <c r="D203" s="868" t="s">
        <v>1358</v>
      </c>
      <c r="E203" s="1228"/>
      <c r="F203" s="1228"/>
      <c r="G203" s="1228"/>
      <c r="H203" s="1228"/>
      <c r="I203" s="1228"/>
      <c r="J203" s="1228"/>
      <c r="K203" s="1228"/>
      <c r="L203" s="1228"/>
      <c r="M203" s="1228"/>
      <c r="N203" s="1228"/>
      <c r="O203" s="1228"/>
      <c r="P203" s="1229"/>
    </row>
    <row r="204" spans="2:25" s="715" customFormat="1" hidden="1" outlineLevel="1">
      <c r="B204" s="1225"/>
      <c r="C204" s="867" t="s">
        <v>117</v>
      </c>
      <c r="D204" s="868" t="s">
        <v>1292</v>
      </c>
      <c r="E204" s="1228"/>
      <c r="F204" s="1228"/>
      <c r="G204" s="1228"/>
      <c r="H204" s="1228"/>
      <c r="I204" s="1228"/>
      <c r="J204" s="1228"/>
      <c r="K204" s="1228"/>
      <c r="L204" s="1228"/>
      <c r="M204" s="1228"/>
      <c r="N204" s="1228"/>
      <c r="O204" s="1228"/>
      <c r="P204" s="1229"/>
    </row>
    <row r="205" spans="2:25" s="715" customFormat="1" hidden="1" outlineLevel="1">
      <c r="B205" s="1225"/>
      <c r="C205" s="867" t="s">
        <v>118</v>
      </c>
      <c r="D205" s="868" t="s">
        <v>1293</v>
      </c>
      <c r="E205" s="1228"/>
      <c r="F205" s="1228"/>
      <c r="G205" s="1228"/>
      <c r="H205" s="1228"/>
      <c r="I205" s="1228"/>
      <c r="J205" s="1228"/>
      <c r="K205" s="1228"/>
      <c r="L205" s="1228"/>
      <c r="M205" s="1228"/>
      <c r="N205" s="1228"/>
      <c r="O205" s="1228"/>
      <c r="P205" s="1229"/>
    </row>
    <row r="206" spans="2:25" s="715" customFormat="1" hidden="1" outlineLevel="1">
      <c r="B206" s="1225"/>
      <c r="C206" s="867" t="s">
        <v>440</v>
      </c>
      <c r="D206" s="868" t="s">
        <v>1318</v>
      </c>
      <c r="E206" s="1228"/>
      <c r="F206" s="1228"/>
      <c r="G206" s="1228"/>
      <c r="H206" s="1228"/>
      <c r="I206" s="1228"/>
      <c r="J206" s="1228"/>
      <c r="K206" s="1228"/>
      <c r="L206" s="1228"/>
      <c r="M206" s="1228"/>
      <c r="N206" s="1228"/>
      <c r="O206" s="1228"/>
      <c r="P206" s="1229"/>
    </row>
    <row r="207" spans="2:25" s="715" customFormat="1" hidden="1" outlineLevel="1">
      <c r="B207" s="1225"/>
      <c r="C207" s="867" t="s">
        <v>454</v>
      </c>
      <c r="D207" s="868" t="s">
        <v>1307</v>
      </c>
      <c r="E207" s="1228"/>
      <c r="F207" s="1228"/>
      <c r="G207" s="1228"/>
      <c r="H207" s="1228"/>
      <c r="I207" s="1228"/>
      <c r="J207" s="1228"/>
      <c r="K207" s="1228"/>
      <c r="L207" s="1228"/>
      <c r="M207" s="1228"/>
      <c r="N207" s="1228"/>
      <c r="O207" s="1228"/>
      <c r="P207" s="1229"/>
    </row>
    <row r="208" spans="2:25" s="715" customFormat="1" hidden="1" outlineLevel="1">
      <c r="B208" s="1225"/>
      <c r="C208" s="867" t="s">
        <v>462</v>
      </c>
      <c r="D208" s="868" t="s">
        <v>1317</v>
      </c>
      <c r="E208" s="1228"/>
      <c r="F208" s="1228"/>
      <c r="G208" s="1228"/>
      <c r="H208" s="1228"/>
      <c r="I208" s="1228"/>
      <c r="J208" s="1228"/>
      <c r="K208" s="1228"/>
      <c r="L208" s="1228"/>
      <c r="M208" s="1228"/>
      <c r="N208" s="1228"/>
      <c r="O208" s="1228"/>
      <c r="P208" s="1229"/>
    </row>
    <row r="209" spans="1:25" s="715" customFormat="1" hidden="1" outlineLevel="1">
      <c r="B209" s="1225"/>
      <c r="C209" s="867" t="s">
        <v>464</v>
      </c>
      <c r="D209" s="868" t="s">
        <v>1612</v>
      </c>
      <c r="E209" s="1228"/>
      <c r="F209" s="1228"/>
      <c r="G209" s="1228"/>
      <c r="H209" s="1228"/>
      <c r="I209" s="1228"/>
      <c r="J209" s="1228"/>
      <c r="K209" s="1228"/>
      <c r="L209" s="1228"/>
      <c r="M209" s="1228"/>
      <c r="N209" s="1228"/>
      <c r="O209" s="1228"/>
      <c r="P209" s="1229"/>
    </row>
    <row r="210" spans="1:25" s="715" customFormat="1" hidden="1" outlineLevel="1">
      <c r="B210" s="1225"/>
      <c r="C210" s="867" t="s">
        <v>1611</v>
      </c>
      <c r="D210" s="868" t="s">
        <v>1294</v>
      </c>
      <c r="E210" s="1228"/>
      <c r="F210" s="1228"/>
      <c r="G210" s="1228"/>
      <c r="H210" s="1228"/>
      <c r="I210" s="1228"/>
      <c r="J210" s="1228"/>
      <c r="K210" s="1228"/>
      <c r="L210" s="1228"/>
      <c r="M210" s="1228"/>
      <c r="N210" s="1228"/>
      <c r="O210" s="1228"/>
      <c r="P210" s="1229"/>
    </row>
    <row r="211" spans="1:25" s="715" customFormat="1" hidden="1" outlineLevel="1">
      <c r="B211" s="1225"/>
      <c r="C211" s="867" t="s">
        <v>1609</v>
      </c>
      <c r="D211" s="868" t="s">
        <v>1613</v>
      </c>
      <c r="E211" s="1228"/>
      <c r="F211" s="1228"/>
      <c r="G211" s="1228"/>
      <c r="H211" s="1228"/>
      <c r="I211" s="1228"/>
      <c r="J211" s="1228"/>
      <c r="K211" s="1228"/>
      <c r="L211" s="1228"/>
      <c r="M211" s="1228"/>
      <c r="N211" s="1228"/>
      <c r="O211" s="1228"/>
      <c r="P211" s="1229"/>
    </row>
    <row r="212" spans="1:25" hidden="1" outlineLevel="1">
      <c r="B212" s="1164"/>
      <c r="C212" s="1165"/>
      <c r="D212" s="868"/>
      <c r="E212" s="1165"/>
      <c r="F212" s="1165"/>
      <c r="G212" s="1165"/>
      <c r="H212" s="1165"/>
      <c r="I212" s="1165"/>
      <c r="J212" s="1165"/>
      <c r="K212" s="1165"/>
      <c r="L212" s="1165"/>
      <c r="M212" s="1165"/>
      <c r="N212" s="1165"/>
      <c r="O212" s="1165"/>
      <c r="P212" s="1166"/>
      <c r="V212" s="715"/>
      <c r="W212" s="715"/>
      <c r="X212" s="715"/>
      <c r="Y212" s="715"/>
    </row>
    <row r="213" spans="1:25">
      <c r="V213" s="715"/>
      <c r="W213" s="715"/>
      <c r="X213" s="715"/>
      <c r="Y213" s="715"/>
    </row>
    <row r="214" spans="1:25" ht="22.5" collapsed="1">
      <c r="A214" s="1171"/>
      <c r="B214" s="1236" t="s">
        <v>817</v>
      </c>
      <c r="C214" s="1264"/>
      <c r="D214" s="1264"/>
      <c r="E214" s="1264"/>
      <c r="F214" s="1264"/>
      <c r="G214" s="1264"/>
      <c r="H214" s="1264"/>
      <c r="I214" s="1264"/>
      <c r="J214" s="1264"/>
      <c r="K214" s="1264"/>
      <c r="L214" s="1264"/>
      <c r="M214" s="1264"/>
      <c r="N214" s="1264"/>
      <c r="O214" s="1264"/>
      <c r="P214" s="1265"/>
      <c r="V214" s="715"/>
      <c r="W214" s="715"/>
      <c r="X214" s="715"/>
    </row>
    <row r="215" spans="1:25" hidden="1" outlineLevel="1">
      <c r="B215" s="1157"/>
      <c r="C215" s="864"/>
      <c r="D215" s="864"/>
      <c r="E215" s="864"/>
      <c r="F215" s="864"/>
      <c r="G215" s="864"/>
      <c r="H215" s="864"/>
      <c r="I215" s="864"/>
      <c r="J215" s="864"/>
      <c r="K215" s="864"/>
      <c r="L215" s="864"/>
      <c r="M215" s="864"/>
      <c r="N215" s="864"/>
      <c r="O215" s="864"/>
      <c r="P215" s="1158"/>
    </row>
    <row r="216" spans="1:25" hidden="1" outlineLevel="1">
      <c r="B216" s="1157"/>
      <c r="C216" s="869" t="s">
        <v>820</v>
      </c>
      <c r="D216" s="832"/>
      <c r="E216" s="870"/>
      <c r="F216" s="847"/>
      <c r="G216" s="848"/>
      <c r="H216" s="864"/>
      <c r="I216" s="864"/>
      <c r="J216" s="864"/>
      <c r="K216" s="864"/>
      <c r="L216" s="864"/>
      <c r="M216" s="864"/>
      <c r="N216" s="864"/>
      <c r="O216" s="867" t="s">
        <v>820</v>
      </c>
      <c r="P216" s="1158"/>
    </row>
    <row r="217" spans="1:25" ht="5.25" hidden="1" customHeight="1" outlineLevel="1">
      <c r="B217" s="1157"/>
      <c r="C217" s="831"/>
      <c r="D217" s="832"/>
      <c r="E217" s="832"/>
      <c r="F217" s="847"/>
      <c r="G217" s="848"/>
      <c r="H217" s="864"/>
      <c r="I217" s="864"/>
      <c r="J217" s="864"/>
      <c r="K217" s="864"/>
      <c r="L217" s="864"/>
      <c r="M217" s="864"/>
      <c r="N217" s="864"/>
      <c r="O217" s="864"/>
      <c r="P217" s="1158"/>
    </row>
    <row r="218" spans="1:25" ht="15.75" hidden="1" outlineLevel="1">
      <c r="B218" s="1159"/>
      <c r="C218" s="766"/>
      <c r="D218" s="766" t="s">
        <v>79</v>
      </c>
      <c r="E218" s="766" t="s">
        <v>442</v>
      </c>
      <c r="F218" s="1513">
        <v>2007</v>
      </c>
      <c r="G218" s="1514">
        <v>2010</v>
      </c>
      <c r="H218" s="1515">
        <v>2015</v>
      </c>
      <c r="I218" s="1515">
        <v>2020</v>
      </c>
      <c r="J218" s="1515">
        <v>2025</v>
      </c>
      <c r="K218" s="1515">
        <v>2030</v>
      </c>
      <c r="L218" s="1515">
        <v>2035</v>
      </c>
      <c r="M218" s="1515">
        <v>2040</v>
      </c>
      <c r="N218" s="1515">
        <v>2045</v>
      </c>
      <c r="O218" s="1515">
        <v>2050</v>
      </c>
      <c r="P218" s="1158"/>
    </row>
    <row r="219" spans="1:25" ht="15.75" hidden="1" outlineLevel="1">
      <c r="B219" s="1159"/>
      <c r="C219" s="1516"/>
      <c r="D219" s="833" t="s">
        <v>1256</v>
      </c>
      <c r="E219" s="833"/>
      <c r="F219" s="1504">
        <f>INDEX(Global.Assumptions[Households], MATCH(F$218, Global.Assumptions[Year], 0))</f>
        <v>26042600</v>
      </c>
      <c r="G219" s="1505">
        <f>INDEX(Global.Assumptions[Households], MATCH(G$218, Global.Assumptions[Year], 0))</f>
        <v>26917400</v>
      </c>
      <c r="H219" s="1506">
        <f>INDEX(Global.Assumptions[Households], MATCH(H$218, Global.Assumptions[Year], 0))</f>
        <v>28469000</v>
      </c>
      <c r="I219" s="1506">
        <f>INDEX(Global.Assumptions[Households], MATCH(I$218, Global.Assumptions[Year], 0))</f>
        <v>30004800</v>
      </c>
      <c r="J219" s="1506">
        <f>INDEX(Global.Assumptions[Households], MATCH(J$218, Global.Assumptions[Year], 0))</f>
        <v>31434800</v>
      </c>
      <c r="K219" s="1506">
        <f>INDEX(Global.Assumptions[Households], MATCH(K$218, Global.Assumptions[Year], 0))</f>
        <v>32744800</v>
      </c>
      <c r="L219" s="1506">
        <f>INDEX(Global.Assumptions[Households], MATCH(L$218, Global.Assumptions[Year], 0))</f>
        <v>34415113.888514474</v>
      </c>
      <c r="M219" s="1506">
        <f>INDEX(Global.Assumptions[Households], MATCH(M$218, Global.Assumptions[Year], 0))</f>
        <v>36170630.572164804</v>
      </c>
      <c r="N219" s="1506">
        <f>INDEX(Global.Assumptions[Households], MATCH(N$218, Global.Assumptions[Year], 0))</f>
        <v>38015696.24979952</v>
      </c>
      <c r="O219" s="1506">
        <f>INDEX(Global.Assumptions[Households], MATCH(O$218, Global.Assumptions[Year], 0))</f>
        <v>39954878.82008817</v>
      </c>
      <c r="P219" s="1158"/>
    </row>
    <row r="220" spans="1:25" ht="15.75" hidden="1" outlineLevel="1">
      <c r="B220" s="1159"/>
      <c r="C220" s="899"/>
      <c r="D220" s="900" t="s">
        <v>1257</v>
      </c>
      <c r="E220" s="900"/>
      <c r="F220" s="1518" t="s">
        <v>651</v>
      </c>
      <c r="G220" s="1519">
        <f>G219-F219</f>
        <v>874800</v>
      </c>
      <c r="H220" s="1517">
        <f>H219-G219</f>
        <v>1551600</v>
      </c>
      <c r="I220" s="1517">
        <f t="shared" ref="I220:O220" si="16">I219-H219</f>
        <v>1535800</v>
      </c>
      <c r="J220" s="1517">
        <f t="shared" si="16"/>
        <v>1430000</v>
      </c>
      <c r="K220" s="1517">
        <f t="shared" si="16"/>
        <v>1310000</v>
      </c>
      <c r="L220" s="1517">
        <f t="shared" si="16"/>
        <v>1670313.888514474</v>
      </c>
      <c r="M220" s="1517">
        <f t="shared" si="16"/>
        <v>1755516.6836503297</v>
      </c>
      <c r="N220" s="1517">
        <f t="shared" si="16"/>
        <v>1845065.677634716</v>
      </c>
      <c r="O220" s="1517">
        <f t="shared" si="16"/>
        <v>1939182.5702886507</v>
      </c>
      <c r="P220" s="1158"/>
    </row>
    <row r="221" spans="1:25" hidden="1" outlineLevel="1">
      <c r="B221" s="1157"/>
      <c r="C221" s="864"/>
      <c r="D221" s="864"/>
      <c r="E221" s="864"/>
      <c r="F221" s="864"/>
      <c r="G221" s="864"/>
      <c r="H221" s="864"/>
      <c r="I221" s="864"/>
      <c r="J221" s="864"/>
      <c r="K221" s="864"/>
      <c r="L221" s="864"/>
      <c r="M221" s="864"/>
      <c r="N221" s="864"/>
      <c r="O221" s="864"/>
      <c r="P221" s="1158"/>
    </row>
    <row r="222" spans="1:25" hidden="1" outlineLevel="1">
      <c r="B222" s="1157"/>
      <c r="C222" s="869" t="s">
        <v>1296</v>
      </c>
      <c r="D222" s="832"/>
      <c r="E222" s="870"/>
      <c r="F222" s="847"/>
      <c r="G222" s="864"/>
      <c r="H222" s="864"/>
      <c r="I222" s="864"/>
      <c r="J222" s="864"/>
      <c r="K222" s="864"/>
      <c r="L222" s="864"/>
      <c r="M222" s="864"/>
      <c r="N222" s="864"/>
      <c r="O222" s="864"/>
      <c r="P222" s="1158"/>
    </row>
    <row r="223" spans="1:25" ht="5.25" hidden="1" customHeight="1" outlineLevel="1">
      <c r="B223" s="1157"/>
      <c r="C223" s="831"/>
      <c r="D223" s="832"/>
      <c r="E223" s="832"/>
      <c r="F223" s="847"/>
      <c r="G223" s="864"/>
      <c r="H223" s="864"/>
      <c r="I223" s="864"/>
      <c r="J223" s="864"/>
      <c r="K223" s="864"/>
      <c r="L223" s="864"/>
      <c r="M223" s="864"/>
      <c r="N223" s="864"/>
      <c r="O223" s="864"/>
      <c r="P223" s="1158"/>
    </row>
    <row r="224" spans="1:25" ht="15.75" hidden="1" outlineLevel="1">
      <c r="B224" s="1159"/>
      <c r="C224" s="766" t="s">
        <v>83</v>
      </c>
      <c r="D224" s="766" t="s">
        <v>1252</v>
      </c>
      <c r="E224" s="766" t="s">
        <v>442</v>
      </c>
      <c r="F224" s="923" t="s">
        <v>1295</v>
      </c>
      <c r="G224" s="864"/>
      <c r="H224" s="864"/>
      <c r="I224" s="864"/>
      <c r="J224" s="864"/>
      <c r="K224" s="864"/>
      <c r="L224" s="864"/>
      <c r="M224" s="864"/>
      <c r="N224" s="864"/>
      <c r="O224" s="864"/>
      <c r="P224" s="1158"/>
    </row>
    <row r="225" spans="2:16" ht="15.75" hidden="1" outlineLevel="1">
      <c r="B225" s="1159"/>
      <c r="C225" s="831">
        <v>1</v>
      </c>
      <c r="D225" s="832" t="str">
        <f t="shared" ref="D225:D237" si="17">INDEX($D$77:$D$89, MATCH($C225, $C$77:$C$89, 0))</f>
        <v>Gas boiler (old)</v>
      </c>
      <c r="E225" s="832"/>
      <c r="F225" s="1556">
        <f t="shared" ref="F225:F237" si="18">INDEX($E77:$T77, MATCH($E$23, $E$76:$T$76, 0))</f>
        <v>0</v>
      </c>
      <c r="G225" s="864"/>
      <c r="H225" s="864"/>
      <c r="I225" s="864"/>
      <c r="J225" s="864"/>
      <c r="K225" s="864"/>
      <c r="L225" s="864"/>
      <c r="M225" s="864"/>
      <c r="N225" s="864"/>
      <c r="O225" s="864"/>
      <c r="P225" s="1158"/>
    </row>
    <row r="226" spans="2:16" ht="15.75" hidden="1" outlineLevel="1">
      <c r="B226" s="1159"/>
      <c r="C226" s="831">
        <v>2</v>
      </c>
      <c r="D226" s="832" t="str">
        <f t="shared" si="17"/>
        <v>Gas boiler (new)</v>
      </c>
      <c r="E226" s="832"/>
      <c r="F226" s="919">
        <f t="shared" si="18"/>
        <v>0.9</v>
      </c>
      <c r="G226" s="864"/>
      <c r="H226" s="864"/>
      <c r="I226" s="864"/>
      <c r="J226" s="864"/>
      <c r="K226" s="864"/>
      <c r="L226" s="864"/>
      <c r="M226" s="864"/>
      <c r="N226" s="864"/>
      <c r="O226" s="864"/>
      <c r="P226" s="1158"/>
    </row>
    <row r="227" spans="2:16" ht="15.75" hidden="1" outlineLevel="1">
      <c r="B227" s="1159"/>
      <c r="C227" s="831">
        <v>3</v>
      </c>
      <c r="D227" s="832" t="str">
        <f t="shared" si="17"/>
        <v>Resisitive heating</v>
      </c>
      <c r="E227" s="832"/>
      <c r="F227" s="1257">
        <f t="shared" si="18"/>
        <v>0.1</v>
      </c>
      <c r="G227" s="864"/>
      <c r="H227" s="864"/>
      <c r="I227" s="864"/>
      <c r="J227" s="864"/>
      <c r="K227" s="864"/>
      <c r="L227" s="864"/>
      <c r="M227" s="864"/>
      <c r="N227" s="864"/>
      <c r="O227" s="864"/>
      <c r="P227" s="1158"/>
    </row>
    <row r="228" spans="2:16" ht="15.75" hidden="1" outlineLevel="1">
      <c r="B228" s="1159"/>
      <c r="C228" s="831">
        <v>4</v>
      </c>
      <c r="D228" s="832" t="str">
        <f t="shared" si="17"/>
        <v>Oil-fired boiler</v>
      </c>
      <c r="E228" s="832"/>
      <c r="F228" s="1257">
        <f t="shared" si="18"/>
        <v>0</v>
      </c>
      <c r="G228" s="864"/>
      <c r="H228" s="864"/>
      <c r="I228" s="864"/>
      <c r="J228" s="864"/>
      <c r="K228" s="864"/>
      <c r="L228" s="864"/>
      <c r="M228" s="864"/>
      <c r="N228" s="864"/>
      <c r="O228" s="864"/>
      <c r="P228" s="1158"/>
    </row>
    <row r="229" spans="2:16" ht="15.75" hidden="1" outlineLevel="1">
      <c r="B229" s="1159"/>
      <c r="C229" s="831">
        <v>5</v>
      </c>
      <c r="D229" s="832" t="str">
        <f t="shared" si="17"/>
        <v>Solid-fuel boiler</v>
      </c>
      <c r="E229" s="832"/>
      <c r="F229" s="1257">
        <f t="shared" si="18"/>
        <v>0</v>
      </c>
      <c r="G229" s="864"/>
      <c r="H229" s="864"/>
      <c r="I229" s="864"/>
      <c r="J229" s="864"/>
      <c r="K229" s="864"/>
      <c r="L229" s="864"/>
      <c r="M229" s="864"/>
      <c r="N229" s="864"/>
      <c r="O229" s="864"/>
      <c r="P229" s="1158"/>
    </row>
    <row r="230" spans="2:16" ht="15.75" hidden="1" outlineLevel="1">
      <c r="B230" s="1159"/>
      <c r="C230" s="831">
        <v>6</v>
      </c>
      <c r="D230" s="832" t="str">
        <f t="shared" si="17"/>
        <v>Stirling engine μCHP</v>
      </c>
      <c r="E230" s="832"/>
      <c r="F230" s="1257">
        <f t="shared" si="18"/>
        <v>0</v>
      </c>
      <c r="G230" s="864"/>
      <c r="H230" s="864"/>
      <c r="I230" s="864"/>
      <c r="J230" s="864"/>
      <c r="K230" s="864"/>
      <c r="L230" s="864"/>
      <c r="M230" s="864"/>
      <c r="N230" s="864"/>
      <c r="O230" s="864"/>
      <c r="P230" s="1158"/>
    </row>
    <row r="231" spans="2:16" ht="15.75" hidden="1" outlineLevel="1">
      <c r="B231" s="1159"/>
      <c r="C231" s="831">
        <v>7</v>
      </c>
      <c r="D231" s="1084" t="str">
        <f t="shared" si="17"/>
        <v>Fuel-cell μCHP</v>
      </c>
      <c r="E231" s="832"/>
      <c r="F231" s="1257">
        <f t="shared" si="18"/>
        <v>0</v>
      </c>
      <c r="G231" s="864"/>
      <c r="H231" s="864"/>
      <c r="I231" s="864"/>
      <c r="J231" s="864"/>
      <c r="K231" s="864"/>
      <c r="L231" s="864"/>
      <c r="M231" s="864"/>
      <c r="N231" s="864"/>
      <c r="O231" s="864"/>
      <c r="P231" s="1158"/>
    </row>
    <row r="232" spans="2:16" ht="15.75" hidden="1" outlineLevel="1">
      <c r="B232" s="1159"/>
      <c r="C232" s="831">
        <v>8</v>
      </c>
      <c r="D232" s="832" t="str">
        <f t="shared" si="17"/>
        <v>Air-source heat pump</v>
      </c>
      <c r="E232" s="832"/>
      <c r="F232" s="1257">
        <f t="shared" si="18"/>
        <v>0</v>
      </c>
      <c r="G232" s="864"/>
      <c r="H232" s="864"/>
      <c r="I232" s="864"/>
      <c r="J232" s="864"/>
      <c r="K232" s="864"/>
      <c r="L232" s="864"/>
      <c r="M232" s="864"/>
      <c r="N232" s="864"/>
      <c r="O232" s="864"/>
      <c r="P232" s="1158"/>
    </row>
    <row r="233" spans="2:16" ht="15.75" hidden="1" outlineLevel="1">
      <c r="B233" s="1159"/>
      <c r="C233" s="831">
        <v>9</v>
      </c>
      <c r="D233" s="832" t="str">
        <f t="shared" si="17"/>
        <v>Ground-source heat pump</v>
      </c>
      <c r="E233" s="832"/>
      <c r="F233" s="1257">
        <f t="shared" si="18"/>
        <v>0</v>
      </c>
      <c r="G233" s="864"/>
      <c r="H233" s="864"/>
      <c r="I233" s="864"/>
      <c r="J233" s="864"/>
      <c r="K233" s="864"/>
      <c r="L233" s="864"/>
      <c r="M233" s="864"/>
      <c r="N233" s="864"/>
      <c r="O233" s="864"/>
      <c r="P233" s="1158"/>
    </row>
    <row r="234" spans="2:16" ht="15.75" hidden="1" outlineLevel="1">
      <c r="B234" s="1159"/>
      <c r="C234" s="831">
        <v>10</v>
      </c>
      <c r="D234" s="832" t="str">
        <f t="shared" si="17"/>
        <v>Geothermal</v>
      </c>
      <c r="E234" s="832"/>
      <c r="F234" s="1257">
        <f t="shared" si="18"/>
        <v>0</v>
      </c>
      <c r="G234" s="864"/>
      <c r="H234" s="864"/>
      <c r="I234" s="864"/>
      <c r="J234" s="864"/>
      <c r="K234" s="864"/>
      <c r="L234" s="864"/>
      <c r="M234" s="864"/>
      <c r="N234" s="864"/>
      <c r="O234" s="864"/>
      <c r="P234" s="1158"/>
    </row>
    <row r="235" spans="2:16" ht="15.75" hidden="1" outlineLevel="1">
      <c r="B235" s="1159"/>
      <c r="C235" s="831">
        <v>11</v>
      </c>
      <c r="D235" s="832" t="str">
        <f t="shared" si="17"/>
        <v>Community scale gas CHP</v>
      </c>
      <c r="E235" s="832"/>
      <c r="F235" s="1257">
        <f t="shared" si="18"/>
        <v>0</v>
      </c>
      <c r="G235" s="864"/>
      <c r="H235" s="864"/>
      <c r="I235" s="864"/>
      <c r="J235" s="864"/>
      <c r="K235" s="864"/>
      <c r="L235" s="864"/>
      <c r="M235" s="864"/>
      <c r="N235" s="864"/>
      <c r="O235" s="864"/>
      <c r="P235" s="1158"/>
    </row>
    <row r="236" spans="2:16" ht="15.75" hidden="1" outlineLevel="1">
      <c r="B236" s="1159"/>
      <c r="C236" s="831">
        <v>12</v>
      </c>
      <c r="D236" s="832" t="str">
        <f t="shared" si="17"/>
        <v>Community scale solid-fuel CHP</v>
      </c>
      <c r="E236" s="832"/>
      <c r="F236" s="1257">
        <f t="shared" si="18"/>
        <v>0</v>
      </c>
      <c r="G236" s="864"/>
      <c r="H236" s="864"/>
      <c r="I236" s="864"/>
      <c r="J236" s="864"/>
      <c r="K236" s="864"/>
      <c r="L236" s="864"/>
      <c r="M236" s="864"/>
      <c r="N236" s="864"/>
      <c r="O236" s="864"/>
      <c r="P236" s="1158"/>
    </row>
    <row r="237" spans="2:16" ht="15.75" hidden="1" outlineLevel="1">
      <c r="B237" s="1159"/>
      <c r="C237" s="769">
        <v>13</v>
      </c>
      <c r="D237" s="770" t="str">
        <f t="shared" si="17"/>
        <v>District heating from power stations</v>
      </c>
      <c r="E237" s="770"/>
      <c r="F237" s="846">
        <f t="shared" si="18"/>
        <v>0</v>
      </c>
      <c r="G237" s="864"/>
      <c r="H237" s="864"/>
      <c r="I237" s="864"/>
      <c r="J237" s="864"/>
      <c r="K237" s="864"/>
      <c r="L237" s="864"/>
      <c r="M237" s="864"/>
      <c r="N237" s="864"/>
      <c r="O237" s="864"/>
      <c r="P237" s="1158"/>
    </row>
    <row r="238" spans="2:16" ht="15.75" hidden="1" outlineLevel="1">
      <c r="B238" s="1159"/>
      <c r="C238" s="831"/>
      <c r="D238" s="832"/>
      <c r="E238" s="832"/>
      <c r="F238" s="865"/>
      <c r="G238" s="864"/>
      <c r="H238" s="864"/>
      <c r="I238" s="864"/>
      <c r="J238" s="864"/>
      <c r="K238" s="864"/>
      <c r="L238" s="864"/>
      <c r="M238" s="864"/>
      <c r="N238" s="864"/>
      <c r="O238" s="864"/>
      <c r="P238" s="1158"/>
    </row>
    <row r="239" spans="2:16" ht="15.75" hidden="1" outlineLevel="1">
      <c r="B239" s="1159"/>
      <c r="C239" s="766" t="s">
        <v>83</v>
      </c>
      <c r="D239" s="766" t="s">
        <v>1252</v>
      </c>
      <c r="E239" s="766" t="s">
        <v>442</v>
      </c>
      <c r="F239" s="923" t="s">
        <v>1295</v>
      </c>
      <c r="G239" s="864"/>
      <c r="H239" s="864"/>
      <c r="I239" s="864"/>
      <c r="J239" s="864"/>
      <c r="K239" s="864"/>
      <c r="L239" s="864"/>
      <c r="M239" s="864"/>
      <c r="N239" s="864"/>
      <c r="O239" s="864"/>
      <c r="P239" s="1158"/>
    </row>
    <row r="240" spans="2:16" ht="15.75" hidden="1" outlineLevel="1">
      <c r="B240" s="1159"/>
      <c r="C240" s="831">
        <v>1</v>
      </c>
      <c r="D240" s="832" t="str">
        <f>INDEX($D$95:$D$97, MATCH($C240, $C$95:$C$97, 0))</f>
        <v>Electric air conditioner (old)</v>
      </c>
      <c r="E240" s="832"/>
      <c r="F240" s="1556">
        <f>INDEX($E95:$T95, MATCH($E$23, $E$94:$T$94, 0))</f>
        <v>0</v>
      </c>
      <c r="G240" s="864"/>
      <c r="H240" s="864"/>
      <c r="I240" s="864"/>
      <c r="J240" s="864"/>
      <c r="K240" s="864"/>
      <c r="L240" s="864"/>
      <c r="M240" s="864"/>
      <c r="N240" s="864"/>
      <c r="O240" s="864"/>
      <c r="P240" s="1158"/>
    </row>
    <row r="241" spans="2:16" ht="15.75" hidden="1" outlineLevel="1">
      <c r="B241" s="1159"/>
      <c r="C241" s="831">
        <v>2</v>
      </c>
      <c r="D241" s="832" t="str">
        <f>INDEX($D$95:$D$97, MATCH($C241, $C$95:$C$97, 0))</f>
        <v>Electric air conditioner (new)</v>
      </c>
      <c r="E241" s="832"/>
      <c r="F241" s="1257">
        <f>INDEX($E96:$T96, MATCH($E$23, $E$94:$T$94, 0))</f>
        <v>1</v>
      </c>
      <c r="G241" s="864"/>
      <c r="H241" s="864"/>
      <c r="I241" s="864"/>
      <c r="J241" s="864"/>
      <c r="K241" s="864"/>
      <c r="L241" s="864"/>
      <c r="M241" s="864"/>
      <c r="N241" s="864"/>
      <c r="O241" s="864"/>
      <c r="P241" s="1158"/>
    </row>
    <row r="242" spans="2:16" ht="15.75" hidden="1" outlineLevel="1">
      <c r="B242" s="1159"/>
      <c r="C242" s="899">
        <v>3</v>
      </c>
      <c r="D242" s="900" t="str">
        <f>INDEX($D$95:$D$97, MATCH($C242, $C$95:$C$97, 0))</f>
        <v>Absorption chiller</v>
      </c>
      <c r="E242" s="900"/>
      <c r="F242" s="2081">
        <f>INDEX($E97:$T97, MATCH($E$23, $E$94:$T$94, 0))</f>
        <v>0</v>
      </c>
      <c r="G242" s="864"/>
      <c r="H242" s="864"/>
      <c r="I242" s="864"/>
      <c r="J242" s="864"/>
      <c r="K242" s="864"/>
      <c r="L242" s="864"/>
      <c r="M242" s="864"/>
      <c r="N242" s="864"/>
      <c r="O242" s="864"/>
      <c r="P242" s="1158"/>
    </row>
    <row r="243" spans="2:16" ht="15.75" hidden="1" outlineLevel="1">
      <c r="B243" s="1159"/>
      <c r="C243" s="831"/>
      <c r="D243" s="832"/>
      <c r="E243" s="832"/>
      <c r="F243" s="865"/>
      <c r="G243" s="864"/>
      <c r="H243" s="864"/>
      <c r="I243" s="864"/>
      <c r="J243" s="864"/>
      <c r="K243" s="864"/>
      <c r="L243" s="864"/>
      <c r="M243" s="864"/>
      <c r="N243" s="864"/>
      <c r="O243" s="864"/>
      <c r="P243" s="1158"/>
    </row>
    <row r="244" spans="2:16" ht="15.75" hidden="1" outlineLevel="1">
      <c r="B244" s="2098"/>
      <c r="C244" s="2099"/>
      <c r="D244" s="2100"/>
      <c r="E244" s="2100"/>
      <c r="F244" s="2101"/>
      <c r="G244" s="1221"/>
      <c r="H244" s="1221"/>
      <c r="I244" s="1221"/>
      <c r="J244" s="1221"/>
      <c r="K244" s="1221"/>
      <c r="L244" s="1221"/>
      <c r="M244" s="1221"/>
      <c r="N244" s="1221"/>
      <c r="O244" s="1221"/>
      <c r="P244" s="1222"/>
    </row>
    <row r="245" spans="2:16" hidden="1" outlineLevel="1">
      <c r="B245" s="1157"/>
      <c r="C245" s="869" t="s">
        <v>1254</v>
      </c>
      <c r="D245" s="832"/>
      <c r="E245" s="870"/>
      <c r="F245" s="847"/>
      <c r="G245" s="848"/>
      <c r="H245" s="864"/>
      <c r="I245" s="864"/>
      <c r="J245" s="864"/>
      <c r="K245" s="864"/>
      <c r="L245" s="864"/>
      <c r="M245" s="864"/>
      <c r="N245" s="864"/>
      <c r="O245" s="867" t="s">
        <v>1255</v>
      </c>
      <c r="P245" s="1158"/>
    </row>
    <row r="246" spans="2:16" ht="5.25" hidden="1" customHeight="1" outlineLevel="1">
      <c r="B246" s="1157"/>
      <c r="C246" s="831"/>
      <c r="D246" s="832"/>
      <c r="E246" s="832"/>
      <c r="F246" s="847"/>
      <c r="G246" s="848"/>
      <c r="H246" s="864"/>
      <c r="I246" s="864"/>
      <c r="J246" s="864"/>
      <c r="K246" s="864"/>
      <c r="L246" s="864"/>
      <c r="M246" s="864"/>
      <c r="N246" s="864"/>
      <c r="O246" s="864"/>
      <c r="P246" s="1158"/>
    </row>
    <row r="247" spans="2:16" ht="15.75" hidden="1" outlineLevel="1">
      <c r="B247" s="1159"/>
      <c r="C247" s="766" t="s">
        <v>83</v>
      </c>
      <c r="D247" s="766" t="s">
        <v>1252</v>
      </c>
      <c r="E247" s="766" t="s">
        <v>442</v>
      </c>
      <c r="F247" s="923">
        <v>2007</v>
      </c>
      <c r="G247" s="932">
        <v>2010</v>
      </c>
      <c r="H247" s="931">
        <v>2015</v>
      </c>
      <c r="I247" s="931">
        <v>2020</v>
      </c>
      <c r="J247" s="931">
        <v>2025</v>
      </c>
      <c r="K247" s="931">
        <v>2030</v>
      </c>
      <c r="L247" s="931">
        <v>2035</v>
      </c>
      <c r="M247" s="931">
        <v>2040</v>
      </c>
      <c r="N247" s="931">
        <v>2045</v>
      </c>
      <c r="O247" s="931">
        <v>2050</v>
      </c>
      <c r="P247" s="1158"/>
    </row>
    <row r="248" spans="2:16" ht="15.75" hidden="1" outlineLevel="1">
      <c r="B248" s="1159"/>
      <c r="C248" s="831">
        <v>1</v>
      </c>
      <c r="D248" s="832" t="str">
        <f t="shared" ref="D248:D260" si="19">INDEX($D$77:$D$89, MATCH($C248, $C$77:$C$89, 0))</f>
        <v>Gas boiler (old)</v>
      </c>
      <c r="E248" s="832"/>
      <c r="F248" s="1503">
        <f>INDEX($F$173:$F$185, MATCH($C248,$C$173:$C$185, 0))</f>
        <v>0.67</v>
      </c>
      <c r="G248" s="1527">
        <f t="shared" ref="G248:G260" si="20">G273/G$286</f>
        <v>0.57292524538031164</v>
      </c>
      <c r="H248" s="1528">
        <f t="shared" ref="H248:O248" si="21">H273/H$286</f>
        <v>0.4377217649358488</v>
      </c>
      <c r="I248" s="1528">
        <f t="shared" si="21"/>
        <v>0.33406237848054049</v>
      </c>
      <c r="J248" s="1528">
        <f t="shared" si="21"/>
        <v>0.25447638906460407</v>
      </c>
      <c r="K248" s="1528">
        <f t="shared" si="21"/>
        <v>0.19350236340326959</v>
      </c>
      <c r="L248" s="1528">
        <f t="shared" si="21"/>
        <v>0.14754993986957293</v>
      </c>
      <c r="M248" s="1528">
        <f t="shared" si="21"/>
        <v>0.11251017492816175</v>
      </c>
      <c r="N248" s="1528">
        <f t="shared" si="21"/>
        <v>8.5791559614020158E-2</v>
      </c>
      <c r="O248" s="1528">
        <f t="shared" si="21"/>
        <v>6.5418009577404818E-2</v>
      </c>
      <c r="P248" s="1158"/>
    </row>
    <row r="249" spans="2:16" ht="15.75" hidden="1" outlineLevel="1">
      <c r="B249" s="1159"/>
      <c r="C249" s="831">
        <v>2</v>
      </c>
      <c r="D249" s="832" t="str">
        <f t="shared" si="19"/>
        <v>Gas boiler (new)</v>
      </c>
      <c r="E249" s="832"/>
      <c r="F249" s="1257">
        <f t="shared" ref="F249:F260" si="22">INDEX($F$173:$F$185, MATCH($C249,$C$173:$C$185, 0))</f>
        <v>0.15</v>
      </c>
      <c r="G249" s="781">
        <f t="shared" si="20"/>
        <v>0.25866577009666608</v>
      </c>
      <c r="H249" s="865">
        <f t="shared" ref="H249:O260" si="23">H274/H$286</f>
        <v>0.41001294969867663</v>
      </c>
      <c r="I249" s="865">
        <f t="shared" si="23"/>
        <v>0.52604957632775329</v>
      </c>
      <c r="J249" s="1529">
        <f t="shared" si="23"/>
        <v>0.61513837045007014</v>
      </c>
      <c r="K249" s="1529">
        <f t="shared" si="23"/>
        <v>0.68339287678738481</v>
      </c>
      <c r="L249" s="1529">
        <f t="shared" si="23"/>
        <v>0.73483215686241832</v>
      </c>
      <c r="M249" s="1529">
        <f t="shared" si="23"/>
        <v>0.7740557743341473</v>
      </c>
      <c r="N249" s="1529">
        <f t="shared" si="23"/>
        <v>0.80396467207385791</v>
      </c>
      <c r="O249" s="1529">
        <f t="shared" si="23"/>
        <v>0.82677088480141259</v>
      </c>
      <c r="P249" s="1158"/>
    </row>
    <row r="250" spans="2:16" ht="15.75" hidden="1" outlineLevel="1">
      <c r="B250" s="1159"/>
      <c r="C250" s="831">
        <v>3</v>
      </c>
      <c r="D250" s="832" t="str">
        <f t="shared" si="19"/>
        <v>Resisitive heating</v>
      </c>
      <c r="E250" s="832"/>
      <c r="F250" s="1257">
        <f t="shared" si="22"/>
        <v>0.1</v>
      </c>
      <c r="G250" s="781">
        <f t="shared" si="20"/>
        <v>0.1</v>
      </c>
      <c r="H250" s="865">
        <f t="shared" si="23"/>
        <v>9.9999999999999992E-2</v>
      </c>
      <c r="I250" s="865">
        <f t="shared" si="23"/>
        <v>0.1</v>
      </c>
      <c r="J250" s="1529">
        <f t="shared" si="23"/>
        <v>0.1</v>
      </c>
      <c r="K250" s="1529">
        <f t="shared" si="23"/>
        <v>0.1</v>
      </c>
      <c r="L250" s="1529">
        <f t="shared" si="23"/>
        <v>0.1</v>
      </c>
      <c r="M250" s="1529">
        <f t="shared" si="23"/>
        <v>0.1</v>
      </c>
      <c r="N250" s="1529">
        <f t="shared" si="23"/>
        <v>9.9999999999999992E-2</v>
      </c>
      <c r="O250" s="1529">
        <f t="shared" si="23"/>
        <v>9.9999999999999992E-2</v>
      </c>
      <c r="P250" s="1158"/>
    </row>
    <row r="251" spans="2:16" ht="15.75" hidden="1" outlineLevel="1">
      <c r="B251" s="1159"/>
      <c r="C251" s="831">
        <v>4</v>
      </c>
      <c r="D251" s="832" t="str">
        <f t="shared" si="19"/>
        <v>Oil-fired boiler</v>
      </c>
      <c r="E251" s="832"/>
      <c r="F251" s="1257">
        <f t="shared" si="22"/>
        <v>0.04</v>
      </c>
      <c r="G251" s="781">
        <f t="shared" si="20"/>
        <v>3.4204492261511142E-2</v>
      </c>
      <c r="H251" s="865">
        <f t="shared" si="23"/>
        <v>2.6132642682737243E-2</v>
      </c>
      <c r="I251" s="865">
        <f t="shared" si="23"/>
        <v>1.9944022595853161E-2</v>
      </c>
      <c r="J251" s="1529">
        <f t="shared" si="23"/>
        <v>1.5192620242662928E-2</v>
      </c>
      <c r="K251" s="1529">
        <f t="shared" si="23"/>
        <v>1.155237990467281E-2</v>
      </c>
      <c r="L251" s="1529">
        <f t="shared" si="23"/>
        <v>8.8089516340043514E-3</v>
      </c>
      <c r="M251" s="1529">
        <f t="shared" si="23"/>
        <v>6.7170253688454765E-3</v>
      </c>
      <c r="N251" s="1529">
        <f t="shared" si="23"/>
        <v>5.1218841560609039E-3</v>
      </c>
      <c r="O251" s="1529">
        <f t="shared" si="23"/>
        <v>3.905552810591332E-3</v>
      </c>
      <c r="P251" s="1158"/>
    </row>
    <row r="252" spans="2:16" ht="15.75" hidden="1" outlineLevel="1">
      <c r="B252" s="1159"/>
      <c r="C252" s="831">
        <v>5</v>
      </c>
      <c r="D252" s="832" t="str">
        <f t="shared" si="19"/>
        <v>Solid-fuel boiler</v>
      </c>
      <c r="E252" s="832"/>
      <c r="F252" s="1257">
        <f t="shared" si="22"/>
        <v>0.04</v>
      </c>
      <c r="G252" s="781">
        <f t="shared" si="20"/>
        <v>3.4204492261511142E-2</v>
      </c>
      <c r="H252" s="865">
        <f t="shared" si="23"/>
        <v>2.6132642682737243E-2</v>
      </c>
      <c r="I252" s="865">
        <f t="shared" si="23"/>
        <v>1.9944022595853161E-2</v>
      </c>
      <c r="J252" s="1529">
        <f t="shared" si="23"/>
        <v>1.5192620242662928E-2</v>
      </c>
      <c r="K252" s="1529">
        <f t="shared" si="23"/>
        <v>1.155237990467281E-2</v>
      </c>
      <c r="L252" s="1529">
        <f t="shared" si="23"/>
        <v>8.8089516340043514E-3</v>
      </c>
      <c r="M252" s="1529">
        <f t="shared" si="23"/>
        <v>6.7170253688454765E-3</v>
      </c>
      <c r="N252" s="1529">
        <f t="shared" si="23"/>
        <v>5.1218841560609039E-3</v>
      </c>
      <c r="O252" s="1529">
        <f t="shared" si="23"/>
        <v>3.905552810591332E-3</v>
      </c>
      <c r="P252" s="1158"/>
    </row>
    <row r="253" spans="2:16" ht="15.75" hidden="1" outlineLevel="1">
      <c r="B253" s="1159"/>
      <c r="C253" s="831">
        <v>6</v>
      </c>
      <c r="D253" s="832" t="str">
        <f t="shared" si="19"/>
        <v>Stirling engine μCHP</v>
      </c>
      <c r="E253" s="832"/>
      <c r="F253" s="1257">
        <f t="shared" si="22"/>
        <v>0</v>
      </c>
      <c r="G253" s="879">
        <f t="shared" si="20"/>
        <v>0</v>
      </c>
      <c r="H253" s="865">
        <f t="shared" si="23"/>
        <v>0</v>
      </c>
      <c r="I253" s="875">
        <f t="shared" si="23"/>
        <v>0</v>
      </c>
      <c r="J253" s="1529">
        <f t="shared" si="23"/>
        <v>0</v>
      </c>
      <c r="K253" s="1529">
        <f t="shared" si="23"/>
        <v>0</v>
      </c>
      <c r="L253" s="1529">
        <f t="shared" si="23"/>
        <v>0</v>
      </c>
      <c r="M253" s="1529">
        <f t="shared" si="23"/>
        <v>0</v>
      </c>
      <c r="N253" s="1529">
        <f t="shared" si="23"/>
        <v>0</v>
      </c>
      <c r="O253" s="1529">
        <f t="shared" si="23"/>
        <v>0</v>
      </c>
      <c r="P253" s="1158"/>
    </row>
    <row r="254" spans="2:16" ht="15.75" hidden="1" outlineLevel="1">
      <c r="B254" s="1159"/>
      <c r="C254" s="831">
        <v>7</v>
      </c>
      <c r="D254" s="1084" t="str">
        <f t="shared" si="19"/>
        <v>Fuel-cell μCHP</v>
      </c>
      <c r="E254" s="832"/>
      <c r="F254" s="1257">
        <f t="shared" si="22"/>
        <v>0</v>
      </c>
      <c r="G254" s="879">
        <f t="shared" si="20"/>
        <v>0</v>
      </c>
      <c r="H254" s="865">
        <f t="shared" si="23"/>
        <v>0</v>
      </c>
      <c r="I254" s="875">
        <f t="shared" si="23"/>
        <v>0</v>
      </c>
      <c r="J254" s="1529">
        <f t="shared" si="23"/>
        <v>0</v>
      </c>
      <c r="K254" s="1529">
        <f t="shared" si="23"/>
        <v>0</v>
      </c>
      <c r="L254" s="1529">
        <f t="shared" si="23"/>
        <v>0</v>
      </c>
      <c r="M254" s="1529">
        <f t="shared" si="23"/>
        <v>0</v>
      </c>
      <c r="N254" s="1529">
        <f t="shared" si="23"/>
        <v>0</v>
      </c>
      <c r="O254" s="1529">
        <f t="shared" si="23"/>
        <v>0</v>
      </c>
      <c r="P254" s="1158"/>
    </row>
    <row r="255" spans="2:16" ht="15.75" hidden="1" outlineLevel="1">
      <c r="B255" s="1159"/>
      <c r="C255" s="831">
        <v>8</v>
      </c>
      <c r="D255" s="832" t="str">
        <f t="shared" si="19"/>
        <v>Air-source heat pump</v>
      </c>
      <c r="E255" s="832"/>
      <c r="F255" s="1257">
        <f t="shared" si="22"/>
        <v>0</v>
      </c>
      <c r="G255" s="879">
        <f t="shared" si="20"/>
        <v>0</v>
      </c>
      <c r="H255" s="865">
        <f t="shared" si="23"/>
        <v>0</v>
      </c>
      <c r="I255" s="875">
        <f t="shared" si="23"/>
        <v>0</v>
      </c>
      <c r="J255" s="1529">
        <f t="shared" si="23"/>
        <v>0</v>
      </c>
      <c r="K255" s="1529">
        <f t="shared" si="23"/>
        <v>0</v>
      </c>
      <c r="L255" s="1529">
        <f t="shared" si="23"/>
        <v>0</v>
      </c>
      <c r="M255" s="1529">
        <f t="shared" si="23"/>
        <v>0</v>
      </c>
      <c r="N255" s="1529">
        <f t="shared" si="23"/>
        <v>0</v>
      </c>
      <c r="O255" s="1529">
        <f t="shared" si="23"/>
        <v>0</v>
      </c>
      <c r="P255" s="1158"/>
    </row>
    <row r="256" spans="2:16" ht="15.75" hidden="1" outlineLevel="1">
      <c r="B256" s="1159"/>
      <c r="C256" s="831">
        <v>9</v>
      </c>
      <c r="D256" s="832" t="str">
        <f t="shared" si="19"/>
        <v>Ground-source heat pump</v>
      </c>
      <c r="E256" s="832"/>
      <c r="F256" s="1257">
        <f t="shared" si="22"/>
        <v>0</v>
      </c>
      <c r="G256" s="879">
        <f t="shared" si="20"/>
        <v>0</v>
      </c>
      <c r="H256" s="865">
        <f t="shared" si="23"/>
        <v>0</v>
      </c>
      <c r="I256" s="875">
        <f t="shared" si="23"/>
        <v>0</v>
      </c>
      <c r="J256" s="1529">
        <f t="shared" si="23"/>
        <v>0</v>
      </c>
      <c r="K256" s="1529">
        <f t="shared" si="23"/>
        <v>0</v>
      </c>
      <c r="L256" s="1529">
        <f t="shared" si="23"/>
        <v>0</v>
      </c>
      <c r="M256" s="1529">
        <f t="shared" si="23"/>
        <v>0</v>
      </c>
      <c r="N256" s="1529">
        <f t="shared" si="23"/>
        <v>0</v>
      </c>
      <c r="O256" s="1529">
        <f t="shared" si="23"/>
        <v>0</v>
      </c>
      <c r="P256" s="1158"/>
    </row>
    <row r="257" spans="2:16" ht="15.75" hidden="1" outlineLevel="1">
      <c r="B257" s="1159"/>
      <c r="C257" s="831">
        <v>10</v>
      </c>
      <c r="D257" s="832" t="str">
        <f t="shared" si="19"/>
        <v>Geothermal</v>
      </c>
      <c r="E257" s="832"/>
      <c r="F257" s="1257">
        <f t="shared" si="22"/>
        <v>0</v>
      </c>
      <c r="G257" s="879">
        <f t="shared" si="20"/>
        <v>0</v>
      </c>
      <c r="H257" s="865">
        <f t="shared" si="23"/>
        <v>0</v>
      </c>
      <c r="I257" s="875">
        <f t="shared" si="23"/>
        <v>0</v>
      </c>
      <c r="J257" s="1529">
        <f t="shared" si="23"/>
        <v>0</v>
      </c>
      <c r="K257" s="1529">
        <f t="shared" si="23"/>
        <v>0</v>
      </c>
      <c r="L257" s="1529">
        <f t="shared" si="23"/>
        <v>0</v>
      </c>
      <c r="M257" s="1529">
        <f t="shared" si="23"/>
        <v>0</v>
      </c>
      <c r="N257" s="1529">
        <f t="shared" si="23"/>
        <v>0</v>
      </c>
      <c r="O257" s="1529">
        <f t="shared" si="23"/>
        <v>0</v>
      </c>
      <c r="P257" s="1158"/>
    </row>
    <row r="258" spans="2:16" ht="15.75" hidden="1" outlineLevel="1">
      <c r="B258" s="1159"/>
      <c r="C258" s="831">
        <v>11</v>
      </c>
      <c r="D258" s="832" t="str">
        <f t="shared" si="19"/>
        <v>Community scale gas CHP</v>
      </c>
      <c r="E258" s="832"/>
      <c r="F258" s="1257">
        <f t="shared" si="22"/>
        <v>0</v>
      </c>
      <c r="G258" s="879">
        <f t="shared" si="20"/>
        <v>0</v>
      </c>
      <c r="H258" s="865">
        <f t="shared" si="23"/>
        <v>0</v>
      </c>
      <c r="I258" s="875">
        <f t="shared" si="23"/>
        <v>0</v>
      </c>
      <c r="J258" s="1529">
        <f t="shared" si="23"/>
        <v>0</v>
      </c>
      <c r="K258" s="1529">
        <f t="shared" si="23"/>
        <v>0</v>
      </c>
      <c r="L258" s="1529">
        <f t="shared" si="23"/>
        <v>0</v>
      </c>
      <c r="M258" s="1529">
        <f t="shared" si="23"/>
        <v>0</v>
      </c>
      <c r="N258" s="1529">
        <f t="shared" si="23"/>
        <v>0</v>
      </c>
      <c r="O258" s="1529">
        <f t="shared" si="23"/>
        <v>0</v>
      </c>
      <c r="P258" s="1158"/>
    </row>
    <row r="259" spans="2:16" ht="15.75" hidden="1" outlineLevel="1">
      <c r="B259" s="1159"/>
      <c r="C259" s="831">
        <v>12</v>
      </c>
      <c r="D259" s="832" t="str">
        <f t="shared" si="19"/>
        <v>Community scale solid-fuel CHP</v>
      </c>
      <c r="E259" s="832"/>
      <c r="F259" s="1257">
        <f t="shared" si="22"/>
        <v>0</v>
      </c>
      <c r="G259" s="879">
        <f t="shared" si="20"/>
        <v>0</v>
      </c>
      <c r="H259" s="865">
        <f t="shared" si="23"/>
        <v>0</v>
      </c>
      <c r="I259" s="875">
        <f t="shared" si="23"/>
        <v>0</v>
      </c>
      <c r="J259" s="1529">
        <f t="shared" si="23"/>
        <v>0</v>
      </c>
      <c r="K259" s="1529">
        <f t="shared" si="23"/>
        <v>0</v>
      </c>
      <c r="L259" s="1529">
        <f t="shared" si="23"/>
        <v>0</v>
      </c>
      <c r="M259" s="1529">
        <f t="shared" si="23"/>
        <v>0</v>
      </c>
      <c r="N259" s="1529">
        <f t="shared" si="23"/>
        <v>0</v>
      </c>
      <c r="O259" s="1529">
        <f t="shared" si="23"/>
        <v>0</v>
      </c>
      <c r="P259" s="1158"/>
    </row>
    <row r="260" spans="2:16" ht="15.75" hidden="1" outlineLevel="1">
      <c r="B260" s="1159"/>
      <c r="C260" s="769">
        <v>13</v>
      </c>
      <c r="D260" s="770" t="str">
        <f t="shared" si="19"/>
        <v>District heating from power stations</v>
      </c>
      <c r="E260" s="770"/>
      <c r="F260" s="846">
        <f t="shared" si="22"/>
        <v>0</v>
      </c>
      <c r="G260" s="1530">
        <f t="shared" si="20"/>
        <v>0</v>
      </c>
      <c r="H260" s="916">
        <f t="shared" si="23"/>
        <v>0</v>
      </c>
      <c r="I260" s="1531">
        <f t="shared" si="23"/>
        <v>0</v>
      </c>
      <c r="J260" s="1532">
        <f t="shared" si="23"/>
        <v>0</v>
      </c>
      <c r="K260" s="1532">
        <f t="shared" si="23"/>
        <v>0</v>
      </c>
      <c r="L260" s="1532">
        <f t="shared" si="23"/>
        <v>0</v>
      </c>
      <c r="M260" s="1532">
        <f t="shared" si="23"/>
        <v>0</v>
      </c>
      <c r="N260" s="1532">
        <f t="shared" si="23"/>
        <v>0</v>
      </c>
      <c r="O260" s="1532">
        <f t="shared" si="23"/>
        <v>0</v>
      </c>
      <c r="P260" s="1158"/>
    </row>
    <row r="261" spans="2:16" ht="15.75" hidden="1" outlineLevel="1">
      <c r="B261" s="1159"/>
      <c r="C261" s="831"/>
      <c r="D261" s="832" t="s">
        <v>148</v>
      </c>
      <c r="E261" s="832"/>
      <c r="F261" s="865">
        <f>SUM(F248:F260)</f>
        <v>1</v>
      </c>
      <c r="G261" s="865">
        <f t="shared" ref="G261:O261" si="24">SUM(G248:G260)</f>
        <v>0.99999999999999989</v>
      </c>
      <c r="H261" s="1529">
        <f t="shared" si="24"/>
        <v>1</v>
      </c>
      <c r="I261" s="1529">
        <f t="shared" si="24"/>
        <v>1.0000000000000002</v>
      </c>
      <c r="J261" s="1529">
        <f t="shared" si="24"/>
        <v>0.99999999999999989</v>
      </c>
      <c r="K261" s="1529">
        <f t="shared" si="24"/>
        <v>1</v>
      </c>
      <c r="L261" s="1529">
        <f t="shared" si="24"/>
        <v>0.99999999999999989</v>
      </c>
      <c r="M261" s="1529">
        <f t="shared" si="24"/>
        <v>0.99999999999999989</v>
      </c>
      <c r="N261" s="1529">
        <f t="shared" si="24"/>
        <v>0.99999999999999978</v>
      </c>
      <c r="O261" s="1529">
        <f t="shared" si="24"/>
        <v>1</v>
      </c>
      <c r="P261" s="1158"/>
    </row>
    <row r="262" spans="2:16" hidden="1" outlineLevel="1">
      <c r="B262" s="1157"/>
      <c r="C262" s="864"/>
      <c r="D262" s="864"/>
      <c r="E262" s="864"/>
      <c r="F262" s="864"/>
      <c r="G262" s="864"/>
      <c r="H262" s="864"/>
      <c r="I262" s="864"/>
      <c r="J262" s="864"/>
      <c r="K262" s="864"/>
      <c r="L262" s="864"/>
      <c r="M262" s="864"/>
      <c r="N262" s="864"/>
      <c r="O262" s="864"/>
      <c r="P262" s="1158"/>
    </row>
    <row r="263" spans="2:16" ht="15.75" hidden="1" outlineLevel="1">
      <c r="B263" s="1159"/>
      <c r="C263" s="766" t="s">
        <v>83</v>
      </c>
      <c r="D263" s="766" t="s">
        <v>1252</v>
      </c>
      <c r="E263" s="766" t="s">
        <v>442</v>
      </c>
      <c r="F263" s="923">
        <v>2007</v>
      </c>
      <c r="G263" s="932">
        <v>2010</v>
      </c>
      <c r="H263" s="931">
        <v>2015</v>
      </c>
      <c r="I263" s="931">
        <v>2020</v>
      </c>
      <c r="J263" s="931">
        <v>2025</v>
      </c>
      <c r="K263" s="931">
        <v>2030</v>
      </c>
      <c r="L263" s="931">
        <v>2035</v>
      </c>
      <c r="M263" s="931">
        <v>2040</v>
      </c>
      <c r="N263" s="931">
        <v>2045</v>
      </c>
      <c r="O263" s="931">
        <v>2050</v>
      </c>
      <c r="P263" s="1158"/>
    </row>
    <row r="264" spans="2:16" ht="15.75" hidden="1" outlineLevel="1">
      <c r="B264" s="1159"/>
      <c r="C264" s="831">
        <v>1</v>
      </c>
      <c r="D264" s="832" t="str">
        <f>INDEX($D$95:$D$97, MATCH($C264, $C$95:$C$97, 0))</f>
        <v>Electric air conditioner (old)</v>
      </c>
      <c r="E264" s="832"/>
      <c r="F264" s="1503">
        <f>INDEX($F$189:$F$191, MATCH($C264,$C$189:$C$191, 0))</f>
        <v>0</v>
      </c>
      <c r="G264" s="2106">
        <f t="shared" ref="G264:O264" si="25">G289/G$292</f>
        <v>0</v>
      </c>
      <c r="H264" s="1528">
        <f t="shared" si="25"/>
        <v>0</v>
      </c>
      <c r="I264" s="1528">
        <f t="shared" si="25"/>
        <v>0</v>
      </c>
      <c r="J264" s="1528">
        <f t="shared" si="25"/>
        <v>0</v>
      </c>
      <c r="K264" s="1528">
        <f t="shared" si="25"/>
        <v>0</v>
      </c>
      <c r="L264" s="1528">
        <f t="shared" si="25"/>
        <v>0</v>
      </c>
      <c r="M264" s="1528">
        <f t="shared" si="25"/>
        <v>0</v>
      </c>
      <c r="N264" s="1528">
        <f t="shared" si="25"/>
        <v>0</v>
      </c>
      <c r="O264" s="1528">
        <f t="shared" si="25"/>
        <v>0</v>
      </c>
      <c r="P264" s="1158"/>
    </row>
    <row r="265" spans="2:16" ht="15.75" hidden="1" outlineLevel="1">
      <c r="B265" s="1159"/>
      <c r="C265" s="831">
        <v>2</v>
      </c>
      <c r="D265" s="832" t="str">
        <f>INDEX($D$95:$D$97, MATCH($C265, $C$95:$C$97, 0))</f>
        <v>Electric air conditioner (new)</v>
      </c>
      <c r="E265" s="832"/>
      <c r="F265" s="1257">
        <f>INDEX($F$189:$F$191, MATCH($C265,$C$189:$C$191, 0))</f>
        <v>0</v>
      </c>
      <c r="G265" s="781">
        <f t="shared" ref="G265:O265" si="26">G290/G$292</f>
        <v>1</v>
      </c>
      <c r="H265" s="865">
        <f t="shared" si="26"/>
        <v>1</v>
      </c>
      <c r="I265" s="865">
        <f t="shared" si="26"/>
        <v>1</v>
      </c>
      <c r="J265" s="1529">
        <f t="shared" si="26"/>
        <v>1</v>
      </c>
      <c r="K265" s="1529">
        <f t="shared" si="26"/>
        <v>1</v>
      </c>
      <c r="L265" s="1529">
        <f t="shared" si="26"/>
        <v>1</v>
      </c>
      <c r="M265" s="1529">
        <f t="shared" si="26"/>
        <v>1</v>
      </c>
      <c r="N265" s="1529">
        <f t="shared" si="26"/>
        <v>1</v>
      </c>
      <c r="O265" s="1529">
        <f t="shared" si="26"/>
        <v>1</v>
      </c>
      <c r="P265" s="1158"/>
    </row>
    <row r="266" spans="2:16" ht="15.75" hidden="1" outlineLevel="1">
      <c r="B266" s="1159"/>
      <c r="C266" s="831">
        <v>3</v>
      </c>
      <c r="D266" s="832" t="str">
        <f>INDEX($D$95:$D$97, MATCH($C266, $C$95:$C$97, 0))</f>
        <v>Absorption chiller</v>
      </c>
      <c r="E266" s="832"/>
      <c r="F266" s="1257">
        <f>INDEX($F$189:$F$191, MATCH($C266,$C$189:$C$191, 0))</f>
        <v>0</v>
      </c>
      <c r="G266" s="781">
        <f t="shared" ref="G266:O266" si="27">G291/G$292</f>
        <v>0</v>
      </c>
      <c r="H266" s="865">
        <f t="shared" si="27"/>
        <v>0</v>
      </c>
      <c r="I266" s="865">
        <f t="shared" si="27"/>
        <v>0</v>
      </c>
      <c r="J266" s="1529">
        <f t="shared" si="27"/>
        <v>0</v>
      </c>
      <c r="K266" s="1529">
        <f t="shared" si="27"/>
        <v>0</v>
      </c>
      <c r="L266" s="1529">
        <f t="shared" si="27"/>
        <v>0</v>
      </c>
      <c r="M266" s="1529">
        <f t="shared" si="27"/>
        <v>0</v>
      </c>
      <c r="N266" s="1529">
        <f t="shared" si="27"/>
        <v>0</v>
      </c>
      <c r="O266" s="1529">
        <f t="shared" si="27"/>
        <v>0</v>
      </c>
      <c r="P266" s="1158"/>
    </row>
    <row r="267" spans="2:16" ht="15.75" hidden="1" outlineLevel="1">
      <c r="B267" s="1159"/>
      <c r="C267" s="2476"/>
      <c r="D267" s="2477"/>
      <c r="E267" s="2477"/>
      <c r="F267" s="2479">
        <f t="shared" ref="F267:O267" si="28">SUM(F264:F266)</f>
        <v>0</v>
      </c>
      <c r="G267" s="2479">
        <f t="shared" si="28"/>
        <v>1</v>
      </c>
      <c r="H267" s="2479">
        <f t="shared" si="28"/>
        <v>1</v>
      </c>
      <c r="I267" s="2479">
        <f t="shared" si="28"/>
        <v>1</v>
      </c>
      <c r="J267" s="2479">
        <f t="shared" si="28"/>
        <v>1</v>
      </c>
      <c r="K267" s="2479">
        <f t="shared" si="28"/>
        <v>1</v>
      </c>
      <c r="L267" s="2479">
        <f t="shared" si="28"/>
        <v>1</v>
      </c>
      <c r="M267" s="2479">
        <f t="shared" si="28"/>
        <v>1</v>
      </c>
      <c r="N267" s="2479">
        <f t="shared" si="28"/>
        <v>1</v>
      </c>
      <c r="O267" s="2479">
        <f t="shared" si="28"/>
        <v>1</v>
      </c>
      <c r="P267" s="1158"/>
    </row>
    <row r="268" spans="2:16" hidden="1" outlineLevel="1">
      <c r="B268" s="1157"/>
      <c r="C268" s="864"/>
      <c r="D268" s="864"/>
      <c r="E268" s="864"/>
      <c r="F268" s="864"/>
      <c r="G268" s="864"/>
      <c r="H268" s="864"/>
      <c r="I268" s="864"/>
      <c r="J268" s="864"/>
      <c r="K268" s="864"/>
      <c r="L268" s="864"/>
      <c r="M268" s="864"/>
      <c r="N268" s="864"/>
      <c r="O268" s="864"/>
      <c r="P268" s="1158"/>
    </row>
    <row r="269" spans="2:16" hidden="1" outlineLevel="1">
      <c r="B269" s="1220"/>
      <c r="C269" s="1221"/>
      <c r="D269" s="1221"/>
      <c r="E269" s="1221"/>
      <c r="F269" s="1221"/>
      <c r="G269" s="1221"/>
      <c r="H269" s="1221"/>
      <c r="I269" s="1221"/>
      <c r="J269" s="1221"/>
      <c r="K269" s="1221"/>
      <c r="L269" s="1221"/>
      <c r="M269" s="1221"/>
      <c r="N269" s="1221"/>
      <c r="O269" s="1221"/>
      <c r="P269" s="1222"/>
    </row>
    <row r="270" spans="2:16" hidden="1" outlineLevel="1">
      <c r="B270" s="1157"/>
      <c r="C270" s="869" t="s">
        <v>1300</v>
      </c>
      <c r="D270" s="832"/>
      <c r="E270" s="870"/>
      <c r="F270" s="847"/>
      <c r="G270" s="848"/>
      <c r="H270" s="864"/>
      <c r="I270" s="864"/>
      <c r="J270" s="864"/>
      <c r="K270" s="864"/>
      <c r="L270" s="864"/>
      <c r="M270" s="864"/>
      <c r="N270" s="864"/>
      <c r="O270" s="867" t="s">
        <v>820</v>
      </c>
      <c r="P270" s="1158"/>
    </row>
    <row r="271" spans="2:16" ht="5.25" hidden="1" customHeight="1" outlineLevel="1">
      <c r="B271" s="1157"/>
      <c r="C271" s="831"/>
      <c r="D271" s="832"/>
      <c r="E271" s="832"/>
      <c r="F271" s="847"/>
      <c r="G271" s="848"/>
      <c r="H271" s="864"/>
      <c r="I271" s="864"/>
      <c r="J271" s="864"/>
      <c r="K271" s="864"/>
      <c r="L271" s="864"/>
      <c r="M271" s="864"/>
      <c r="N271" s="864"/>
      <c r="O271" s="864"/>
      <c r="P271" s="1158"/>
    </row>
    <row r="272" spans="2:16" ht="15.75" hidden="1" outlineLevel="1">
      <c r="B272" s="1159"/>
      <c r="C272" s="766" t="s">
        <v>83</v>
      </c>
      <c r="D272" s="766" t="s">
        <v>1252</v>
      </c>
      <c r="E272" s="766" t="s">
        <v>442</v>
      </c>
      <c r="F272" s="1520">
        <v>2007</v>
      </c>
      <c r="G272" s="1515">
        <v>2010</v>
      </c>
      <c r="H272" s="1515">
        <v>2015</v>
      </c>
      <c r="I272" s="1515">
        <v>2020</v>
      </c>
      <c r="J272" s="1515">
        <v>2025</v>
      </c>
      <c r="K272" s="1515">
        <v>2030</v>
      </c>
      <c r="L272" s="1515">
        <v>2035</v>
      </c>
      <c r="M272" s="1515">
        <v>2040</v>
      </c>
      <c r="N272" s="1515">
        <v>2045</v>
      </c>
      <c r="O272" s="1515">
        <v>2050</v>
      </c>
      <c r="P272" s="1158"/>
    </row>
    <row r="273" spans="2:16" ht="15.75" hidden="1" outlineLevel="1">
      <c r="B273" s="1159"/>
      <c r="C273" s="831">
        <v>1</v>
      </c>
      <c r="D273" s="832" t="str">
        <f t="shared" ref="D273:D285" si="29">INDEX($D$77:$D$89, MATCH($C273, $C$77:$C$89, 0))</f>
        <v>Gas boiler (old)</v>
      </c>
      <c r="E273" s="832"/>
      <c r="F273" s="1504">
        <f t="shared" ref="F273:F279" si="30">F248*F$219</f>
        <v>17448542</v>
      </c>
      <c r="G273" s="1506">
        <f t="shared" ref="G273:O273" si="31">F273+G322+G347-G372</f>
        <v>15421658</v>
      </c>
      <c r="H273" s="1506">
        <f t="shared" si="31"/>
        <v>12461500.925958682</v>
      </c>
      <c r="I273" s="1506">
        <f t="shared" si="31"/>
        <v>10023474.853832921</v>
      </c>
      <c r="J273" s="1506">
        <f t="shared" si="31"/>
        <v>7999414.3949680142</v>
      </c>
      <c r="K273" s="1506">
        <f t="shared" si="31"/>
        <v>6336196.1891673822</v>
      </c>
      <c r="L273" s="1506">
        <f t="shared" si="31"/>
        <v>5077947.9848548146</v>
      </c>
      <c r="M273" s="1506">
        <f t="shared" si="31"/>
        <v>4069563.9729361772</v>
      </c>
      <c r="N273" s="1506">
        <f t="shared" si="31"/>
        <v>3261425.8710831581</v>
      </c>
      <c r="O273" s="1506">
        <f t="shared" si="31"/>
        <v>2613768.6453165761</v>
      </c>
      <c r="P273" s="1158"/>
    </row>
    <row r="274" spans="2:16" ht="15.75" hidden="1" outlineLevel="1">
      <c r="B274" s="1159"/>
      <c r="C274" s="831">
        <v>2</v>
      </c>
      <c r="D274" s="832" t="str">
        <f t="shared" si="29"/>
        <v>Gas boiler (new)</v>
      </c>
      <c r="E274" s="832"/>
      <c r="F274" s="1521">
        <f t="shared" si="30"/>
        <v>3906390</v>
      </c>
      <c r="G274" s="1507">
        <f t="shared" ref="G274:O274" si="32">F274+G323+G348-G373</f>
        <v>6962610</v>
      </c>
      <c r="H274" s="1507">
        <f t="shared" si="32"/>
        <v>11672658.664971627</v>
      </c>
      <c r="I274" s="1507">
        <f t="shared" si="32"/>
        <v>15784012.327798972</v>
      </c>
      <c r="J274" s="1507">
        <f t="shared" si="32"/>
        <v>19336751.647423863</v>
      </c>
      <c r="K274" s="1507">
        <f t="shared" si="32"/>
        <v>22377563.071827557</v>
      </c>
      <c r="L274" s="1507">
        <f t="shared" si="32"/>
        <v>25289332.367362861</v>
      </c>
      <c r="M274" s="1507">
        <f t="shared" si="32"/>
        <v>27998085.455691408</v>
      </c>
      <c r="N274" s="1507">
        <f t="shared" si="32"/>
        <v>30563276.769129463</v>
      </c>
      <c r="O274" s="1507">
        <f t="shared" si="32"/>
        <v>33033530.514217511</v>
      </c>
      <c r="P274" s="1158"/>
    </row>
    <row r="275" spans="2:16" ht="15.75" hidden="1" outlineLevel="1">
      <c r="B275" s="1159"/>
      <c r="C275" s="831">
        <v>3</v>
      </c>
      <c r="D275" s="832" t="str">
        <f t="shared" si="29"/>
        <v>Resisitive heating</v>
      </c>
      <c r="E275" s="832"/>
      <c r="F275" s="1521">
        <f t="shared" si="30"/>
        <v>2604260</v>
      </c>
      <c r="G275" s="1507">
        <f t="shared" ref="G275:O275" si="33">F275+G324+G349-G374</f>
        <v>2691740</v>
      </c>
      <c r="H275" s="1507">
        <f t="shared" si="33"/>
        <v>2846900</v>
      </c>
      <c r="I275" s="1507">
        <f t="shared" si="33"/>
        <v>3000480</v>
      </c>
      <c r="J275" s="1507">
        <f t="shared" si="33"/>
        <v>3143480</v>
      </c>
      <c r="K275" s="1507">
        <f t="shared" si="33"/>
        <v>3274480</v>
      </c>
      <c r="L275" s="1507">
        <f t="shared" si="33"/>
        <v>3441511.3888514475</v>
      </c>
      <c r="M275" s="1507">
        <f t="shared" si="33"/>
        <v>3617063.0572164804</v>
      </c>
      <c r="N275" s="1507">
        <f t="shared" si="33"/>
        <v>3801569.6249799514</v>
      </c>
      <c r="O275" s="1507">
        <f t="shared" si="33"/>
        <v>3995487.8820088161</v>
      </c>
      <c r="P275" s="1158"/>
    </row>
    <row r="276" spans="2:16" ht="15.75" hidden="1" outlineLevel="1">
      <c r="B276" s="1159"/>
      <c r="C276" s="831">
        <v>4</v>
      </c>
      <c r="D276" s="832" t="str">
        <f t="shared" si="29"/>
        <v>Oil-fired boiler</v>
      </c>
      <c r="E276" s="832"/>
      <c r="F276" s="1521">
        <f t="shared" si="30"/>
        <v>1041704</v>
      </c>
      <c r="G276" s="1507">
        <f t="shared" ref="G276:O276" si="34">F276+G325+G350-G375</f>
        <v>920696</v>
      </c>
      <c r="H276" s="1507">
        <f t="shared" si="34"/>
        <v>743970.20453484671</v>
      </c>
      <c r="I276" s="1507">
        <f t="shared" si="34"/>
        <v>598416.40918405494</v>
      </c>
      <c r="J276" s="1507">
        <f t="shared" si="34"/>
        <v>477576.97880406055</v>
      </c>
      <c r="K276" s="1507">
        <f t="shared" si="34"/>
        <v>378280.36950253026</v>
      </c>
      <c r="L276" s="1507">
        <f t="shared" si="34"/>
        <v>303161.07372267544</v>
      </c>
      <c r="M276" s="1507">
        <f t="shared" si="34"/>
        <v>242959.04316036875</v>
      </c>
      <c r="N276" s="1507">
        <f t="shared" si="34"/>
        <v>194711.9923034721</v>
      </c>
      <c r="O276" s="1507">
        <f t="shared" si="34"/>
        <v>156045.88927263141</v>
      </c>
      <c r="P276" s="1158"/>
    </row>
    <row r="277" spans="2:16" ht="15.75" hidden="1" outlineLevel="1">
      <c r="B277" s="1159"/>
      <c r="C277" s="831">
        <v>5</v>
      </c>
      <c r="D277" s="832" t="str">
        <f t="shared" si="29"/>
        <v>Solid-fuel boiler</v>
      </c>
      <c r="E277" s="832"/>
      <c r="F277" s="1521">
        <f t="shared" si="30"/>
        <v>1041704</v>
      </c>
      <c r="G277" s="1507">
        <f t="shared" ref="G277:O277" si="35">F277+G326+G351-G376</f>
        <v>920696</v>
      </c>
      <c r="H277" s="1507">
        <f t="shared" si="35"/>
        <v>743970.20453484671</v>
      </c>
      <c r="I277" s="1507">
        <f t="shared" si="35"/>
        <v>598416.40918405494</v>
      </c>
      <c r="J277" s="1507">
        <f t="shared" si="35"/>
        <v>477576.97880406055</v>
      </c>
      <c r="K277" s="1507">
        <f t="shared" si="35"/>
        <v>378280.36950253026</v>
      </c>
      <c r="L277" s="1507">
        <f t="shared" si="35"/>
        <v>303161.07372267544</v>
      </c>
      <c r="M277" s="1507">
        <f t="shared" si="35"/>
        <v>242959.04316036875</v>
      </c>
      <c r="N277" s="1507">
        <f t="shared" si="35"/>
        <v>194711.9923034721</v>
      </c>
      <c r="O277" s="1507">
        <f t="shared" si="35"/>
        <v>156045.88927263141</v>
      </c>
      <c r="P277" s="1158"/>
    </row>
    <row r="278" spans="2:16" ht="15.75" hidden="1" outlineLevel="1">
      <c r="B278" s="1159"/>
      <c r="C278" s="831">
        <v>6</v>
      </c>
      <c r="D278" s="832" t="str">
        <f t="shared" si="29"/>
        <v>Stirling engine μCHP</v>
      </c>
      <c r="E278" s="832"/>
      <c r="F278" s="1521">
        <f t="shared" si="30"/>
        <v>0</v>
      </c>
      <c r="G278" s="1509">
        <f t="shared" ref="G278:O278" si="36">F278+G327+G352-G377</f>
        <v>0</v>
      </c>
      <c r="H278" s="1509">
        <f t="shared" si="36"/>
        <v>0</v>
      </c>
      <c r="I278" s="1509">
        <f t="shared" si="36"/>
        <v>0</v>
      </c>
      <c r="J278" s="1509">
        <f t="shared" si="36"/>
        <v>0</v>
      </c>
      <c r="K278" s="1509">
        <f t="shared" si="36"/>
        <v>0</v>
      </c>
      <c r="L278" s="1509">
        <f t="shared" si="36"/>
        <v>0</v>
      </c>
      <c r="M278" s="1509">
        <f t="shared" si="36"/>
        <v>0</v>
      </c>
      <c r="N278" s="1509">
        <f t="shared" si="36"/>
        <v>0</v>
      </c>
      <c r="O278" s="1509">
        <f t="shared" si="36"/>
        <v>0</v>
      </c>
      <c r="P278" s="1158"/>
    </row>
    <row r="279" spans="2:16" ht="15.75" hidden="1" outlineLevel="1">
      <c r="B279" s="1159"/>
      <c r="C279" s="831">
        <v>7</v>
      </c>
      <c r="D279" s="1084" t="str">
        <f t="shared" si="29"/>
        <v>Fuel-cell μCHP</v>
      </c>
      <c r="E279" s="832"/>
      <c r="F279" s="1521">
        <f t="shared" si="30"/>
        <v>0</v>
      </c>
      <c r="G279" s="1509">
        <f t="shared" ref="G279:O279" si="37">F279+G328+G353-G378</f>
        <v>0</v>
      </c>
      <c r="H279" s="1509">
        <f t="shared" si="37"/>
        <v>0</v>
      </c>
      <c r="I279" s="1509">
        <f t="shared" si="37"/>
        <v>0</v>
      </c>
      <c r="J279" s="1509">
        <f t="shared" si="37"/>
        <v>0</v>
      </c>
      <c r="K279" s="1509">
        <f t="shared" si="37"/>
        <v>0</v>
      </c>
      <c r="L279" s="1509">
        <f t="shared" si="37"/>
        <v>0</v>
      </c>
      <c r="M279" s="1509">
        <f t="shared" si="37"/>
        <v>0</v>
      </c>
      <c r="N279" s="1509">
        <f t="shared" si="37"/>
        <v>0</v>
      </c>
      <c r="O279" s="1509">
        <f t="shared" si="37"/>
        <v>0</v>
      </c>
      <c r="P279" s="1158"/>
    </row>
    <row r="280" spans="2:16" ht="15.75" hidden="1" outlineLevel="1">
      <c r="B280" s="1159"/>
      <c r="C280" s="831">
        <v>8</v>
      </c>
      <c r="D280" s="832" t="str">
        <f t="shared" si="29"/>
        <v>Air-source heat pump</v>
      </c>
      <c r="E280" s="832"/>
      <c r="F280" s="1521">
        <f t="shared" ref="F280:F285" si="38">F255*F$219</f>
        <v>0</v>
      </c>
      <c r="G280" s="1509">
        <f t="shared" ref="G280:O280" si="39">F280+G329+G354-G379</f>
        <v>0</v>
      </c>
      <c r="H280" s="1509">
        <f t="shared" si="39"/>
        <v>0</v>
      </c>
      <c r="I280" s="1509">
        <f t="shared" si="39"/>
        <v>0</v>
      </c>
      <c r="J280" s="1509">
        <f t="shared" si="39"/>
        <v>0</v>
      </c>
      <c r="K280" s="1509">
        <f t="shared" si="39"/>
        <v>0</v>
      </c>
      <c r="L280" s="1509">
        <f t="shared" si="39"/>
        <v>0</v>
      </c>
      <c r="M280" s="1509">
        <f t="shared" si="39"/>
        <v>0</v>
      </c>
      <c r="N280" s="1509">
        <f t="shared" si="39"/>
        <v>0</v>
      </c>
      <c r="O280" s="1509">
        <f t="shared" si="39"/>
        <v>0</v>
      </c>
      <c r="P280" s="1158"/>
    </row>
    <row r="281" spans="2:16" ht="15.75" hidden="1" outlineLevel="1">
      <c r="B281" s="1159"/>
      <c r="C281" s="831">
        <v>9</v>
      </c>
      <c r="D281" s="832" t="str">
        <f t="shared" si="29"/>
        <v>Ground-source heat pump</v>
      </c>
      <c r="E281" s="832"/>
      <c r="F281" s="1521">
        <f t="shared" si="38"/>
        <v>0</v>
      </c>
      <c r="G281" s="1509">
        <f t="shared" ref="G281:O281" si="40">F281+G330+G355-G380</f>
        <v>0</v>
      </c>
      <c r="H281" s="1509">
        <f t="shared" si="40"/>
        <v>0</v>
      </c>
      <c r="I281" s="1509">
        <f t="shared" si="40"/>
        <v>0</v>
      </c>
      <c r="J281" s="1509">
        <f t="shared" si="40"/>
        <v>0</v>
      </c>
      <c r="K281" s="1509">
        <f t="shared" si="40"/>
        <v>0</v>
      </c>
      <c r="L281" s="1509">
        <f t="shared" si="40"/>
        <v>0</v>
      </c>
      <c r="M281" s="1509">
        <f t="shared" si="40"/>
        <v>0</v>
      </c>
      <c r="N281" s="1509">
        <f t="shared" si="40"/>
        <v>0</v>
      </c>
      <c r="O281" s="1509">
        <f t="shared" si="40"/>
        <v>0</v>
      </c>
      <c r="P281" s="1158"/>
    </row>
    <row r="282" spans="2:16" ht="15.75" hidden="1" outlineLevel="1">
      <c r="B282" s="1159"/>
      <c r="C282" s="831">
        <v>10</v>
      </c>
      <c r="D282" s="832" t="str">
        <f t="shared" si="29"/>
        <v>Geothermal</v>
      </c>
      <c r="E282" s="832"/>
      <c r="F282" s="1521">
        <f t="shared" si="38"/>
        <v>0</v>
      </c>
      <c r="G282" s="1509">
        <f t="shared" ref="G282:O282" si="41">F282+G331+G356-G381</f>
        <v>0</v>
      </c>
      <c r="H282" s="1509">
        <f t="shared" si="41"/>
        <v>0</v>
      </c>
      <c r="I282" s="1509">
        <f t="shared" si="41"/>
        <v>0</v>
      </c>
      <c r="J282" s="1509">
        <f t="shared" si="41"/>
        <v>0</v>
      </c>
      <c r="K282" s="1509">
        <f t="shared" si="41"/>
        <v>0</v>
      </c>
      <c r="L282" s="1509">
        <f t="shared" si="41"/>
        <v>0</v>
      </c>
      <c r="M282" s="1509">
        <f t="shared" si="41"/>
        <v>0</v>
      </c>
      <c r="N282" s="1509">
        <f t="shared" si="41"/>
        <v>0</v>
      </c>
      <c r="O282" s="1509">
        <f t="shared" si="41"/>
        <v>0</v>
      </c>
      <c r="P282" s="1158"/>
    </row>
    <row r="283" spans="2:16" ht="15.75" hidden="1" outlineLevel="1">
      <c r="B283" s="1159"/>
      <c r="C283" s="831">
        <v>11</v>
      </c>
      <c r="D283" s="832" t="str">
        <f t="shared" si="29"/>
        <v>Community scale gas CHP</v>
      </c>
      <c r="E283" s="832"/>
      <c r="F283" s="1521">
        <f t="shared" si="38"/>
        <v>0</v>
      </c>
      <c r="G283" s="1509">
        <f t="shared" ref="G283:O283" si="42">F283+G332+G357-G382</f>
        <v>0</v>
      </c>
      <c r="H283" s="1509">
        <f t="shared" si="42"/>
        <v>0</v>
      </c>
      <c r="I283" s="1509">
        <f t="shared" si="42"/>
        <v>0</v>
      </c>
      <c r="J283" s="1509">
        <f t="shared" si="42"/>
        <v>0</v>
      </c>
      <c r="K283" s="1509">
        <f t="shared" si="42"/>
        <v>0</v>
      </c>
      <c r="L283" s="1509">
        <f t="shared" si="42"/>
        <v>0</v>
      </c>
      <c r="M283" s="1509">
        <f t="shared" si="42"/>
        <v>0</v>
      </c>
      <c r="N283" s="1509">
        <f t="shared" si="42"/>
        <v>0</v>
      </c>
      <c r="O283" s="1509">
        <f t="shared" si="42"/>
        <v>0</v>
      </c>
      <c r="P283" s="1158"/>
    </row>
    <row r="284" spans="2:16" ht="15.75" hidden="1" outlineLevel="1">
      <c r="B284" s="1159"/>
      <c r="C284" s="831">
        <v>12</v>
      </c>
      <c r="D284" s="832" t="str">
        <f t="shared" si="29"/>
        <v>Community scale solid-fuel CHP</v>
      </c>
      <c r="E284" s="832"/>
      <c r="F284" s="1521">
        <f t="shared" si="38"/>
        <v>0</v>
      </c>
      <c r="G284" s="1509">
        <f t="shared" ref="G284:O284" si="43">F284+G333+G358-G383</f>
        <v>0</v>
      </c>
      <c r="H284" s="1509">
        <f t="shared" si="43"/>
        <v>0</v>
      </c>
      <c r="I284" s="1509">
        <f t="shared" si="43"/>
        <v>0</v>
      </c>
      <c r="J284" s="1509">
        <f t="shared" si="43"/>
        <v>0</v>
      </c>
      <c r="K284" s="1509">
        <f t="shared" si="43"/>
        <v>0</v>
      </c>
      <c r="L284" s="1509">
        <f t="shared" si="43"/>
        <v>0</v>
      </c>
      <c r="M284" s="1509">
        <f t="shared" si="43"/>
        <v>0</v>
      </c>
      <c r="N284" s="1509">
        <f t="shared" si="43"/>
        <v>0</v>
      </c>
      <c r="O284" s="1509">
        <f t="shared" si="43"/>
        <v>0</v>
      </c>
      <c r="P284" s="1158"/>
    </row>
    <row r="285" spans="2:16" ht="15.75" hidden="1" outlineLevel="1">
      <c r="B285" s="1159"/>
      <c r="C285" s="769">
        <v>13</v>
      </c>
      <c r="D285" s="770" t="str">
        <f t="shared" si="29"/>
        <v>District heating from power stations</v>
      </c>
      <c r="E285" s="770"/>
      <c r="F285" s="1522">
        <f t="shared" si="38"/>
        <v>0</v>
      </c>
      <c r="G285" s="1511">
        <f t="shared" ref="G285:O285" si="44">F285+G334+G359-G384</f>
        <v>0</v>
      </c>
      <c r="H285" s="1511">
        <f t="shared" si="44"/>
        <v>0</v>
      </c>
      <c r="I285" s="1511">
        <f t="shared" si="44"/>
        <v>0</v>
      </c>
      <c r="J285" s="1511">
        <f t="shared" si="44"/>
        <v>0</v>
      </c>
      <c r="K285" s="1511">
        <f t="shared" si="44"/>
        <v>0</v>
      </c>
      <c r="L285" s="1511">
        <f t="shared" si="44"/>
        <v>0</v>
      </c>
      <c r="M285" s="1511">
        <f t="shared" si="44"/>
        <v>0</v>
      </c>
      <c r="N285" s="1511">
        <f t="shared" si="44"/>
        <v>0</v>
      </c>
      <c r="O285" s="1511">
        <f t="shared" si="44"/>
        <v>0</v>
      </c>
      <c r="P285" s="1158"/>
    </row>
    <row r="286" spans="2:16" ht="15.75" hidden="1" outlineLevel="1">
      <c r="B286" s="1159"/>
      <c r="C286" s="831"/>
      <c r="D286" s="832" t="s">
        <v>148</v>
      </c>
      <c r="E286" s="832"/>
      <c r="F286" s="1507">
        <f>SUM(F273:F285)</f>
        <v>26042600</v>
      </c>
      <c r="G286" s="1507">
        <f t="shared" ref="G286:O286" si="45">SUM(G273:G285)</f>
        <v>26917400</v>
      </c>
      <c r="H286" s="1507">
        <f t="shared" si="45"/>
        <v>28469000.000000004</v>
      </c>
      <c r="I286" s="1507">
        <f t="shared" si="45"/>
        <v>30004800</v>
      </c>
      <c r="J286" s="1507">
        <f t="shared" si="45"/>
        <v>31434799.999999996</v>
      </c>
      <c r="K286" s="1507">
        <f t="shared" si="45"/>
        <v>32744800</v>
      </c>
      <c r="L286" s="1507">
        <f t="shared" si="45"/>
        <v>34415113.888514474</v>
      </c>
      <c r="M286" s="1507">
        <f t="shared" si="45"/>
        <v>36170630.572164804</v>
      </c>
      <c r="N286" s="1507">
        <f t="shared" si="45"/>
        <v>38015696.24979952</v>
      </c>
      <c r="O286" s="1507">
        <f t="shared" si="45"/>
        <v>39954878.820088163</v>
      </c>
      <c r="P286" s="1158"/>
    </row>
    <row r="287" spans="2:16" ht="15.75" hidden="1" outlineLevel="1">
      <c r="B287" s="1159"/>
      <c r="C287" s="831"/>
      <c r="D287" s="832"/>
      <c r="E287" s="832"/>
      <c r="F287" s="1507"/>
      <c r="G287" s="1507"/>
      <c r="H287" s="1507"/>
      <c r="I287" s="1507"/>
      <c r="J287" s="1507"/>
      <c r="K287" s="1507"/>
      <c r="L287" s="1507"/>
      <c r="M287" s="1507"/>
      <c r="N287" s="1507"/>
      <c r="O287" s="1507"/>
      <c r="P287" s="1158"/>
    </row>
    <row r="288" spans="2:16" ht="15.75" hidden="1" outlineLevel="1">
      <c r="B288" s="1159"/>
      <c r="C288" s="766" t="s">
        <v>83</v>
      </c>
      <c r="D288" s="766" t="s">
        <v>1252</v>
      </c>
      <c r="E288" s="766" t="s">
        <v>442</v>
      </c>
      <c r="F288" s="923">
        <v>2007</v>
      </c>
      <c r="G288" s="932">
        <v>2010</v>
      </c>
      <c r="H288" s="931">
        <v>2015</v>
      </c>
      <c r="I288" s="931">
        <v>2020</v>
      </c>
      <c r="J288" s="931">
        <v>2025</v>
      </c>
      <c r="K288" s="931">
        <v>2030</v>
      </c>
      <c r="L288" s="931">
        <v>2035</v>
      </c>
      <c r="M288" s="931">
        <v>2040</v>
      </c>
      <c r="N288" s="931">
        <v>2045</v>
      </c>
      <c r="O288" s="931">
        <v>2050</v>
      </c>
      <c r="P288" s="1158"/>
    </row>
    <row r="289" spans="2:21" ht="15.75" hidden="1" outlineLevel="1">
      <c r="B289" s="1159"/>
      <c r="C289" s="831">
        <v>1</v>
      </c>
      <c r="D289" s="832" t="str">
        <f>INDEX($D$95:$D$97, MATCH($C289, $C$95:$C$97, 0))</f>
        <v>Electric air conditioner (old)</v>
      </c>
      <c r="E289" s="832"/>
      <c r="F289" s="1504">
        <f>F264*F$219</f>
        <v>0</v>
      </c>
      <c r="G289" s="2112">
        <f t="shared" ref="G289:O289" si="46">F289+G338+G363-G388</f>
        <v>0</v>
      </c>
      <c r="H289" s="2113">
        <f t="shared" si="46"/>
        <v>0</v>
      </c>
      <c r="I289" s="2113">
        <f t="shared" si="46"/>
        <v>0</v>
      </c>
      <c r="J289" s="2113">
        <f t="shared" si="46"/>
        <v>0</v>
      </c>
      <c r="K289" s="2113">
        <f t="shared" si="46"/>
        <v>0</v>
      </c>
      <c r="L289" s="2113">
        <f t="shared" si="46"/>
        <v>0</v>
      </c>
      <c r="M289" s="2113">
        <f t="shared" si="46"/>
        <v>0</v>
      </c>
      <c r="N289" s="2113">
        <f t="shared" si="46"/>
        <v>0</v>
      </c>
      <c r="O289" s="2113">
        <f t="shared" si="46"/>
        <v>0</v>
      </c>
      <c r="P289" s="1158"/>
    </row>
    <row r="290" spans="2:21" ht="15.75" hidden="1" outlineLevel="1">
      <c r="B290" s="1159"/>
      <c r="C290" s="831">
        <v>2</v>
      </c>
      <c r="D290" s="832" t="str">
        <f>INDEX($D$95:$D$97, MATCH($C290, $C$95:$C$97, 0))</f>
        <v>Electric air conditioner (new)</v>
      </c>
      <c r="E290" s="832"/>
      <c r="F290" s="1557">
        <f>F265*F$219</f>
        <v>0</v>
      </c>
      <c r="G290" s="2114">
        <f t="shared" ref="G290:O290" si="47">F290+G339+G364-G389</f>
        <v>3900000</v>
      </c>
      <c r="H290" s="2115">
        <f t="shared" si="47"/>
        <v>9869744.8866288327</v>
      </c>
      <c r="I290" s="2115">
        <f t="shared" si="47"/>
        <v>15044389.770398628</v>
      </c>
      <c r="J290" s="2116">
        <f t="shared" si="47"/>
        <v>19495375.529898487</v>
      </c>
      <c r="K290" s="2116">
        <f t="shared" si="47"/>
        <v>23287790.76243674</v>
      </c>
      <c r="L290" s="2116">
        <f t="shared" si="47"/>
        <v>26836087.045447581</v>
      </c>
      <c r="M290" s="2116">
        <f t="shared" si="47"/>
        <v>30096654.493155576</v>
      </c>
      <c r="N290" s="2116">
        <f t="shared" si="47"/>
        <v>33147896.442212708</v>
      </c>
      <c r="O290" s="2116">
        <f t="shared" si="47"/>
        <v>36053731.588272378</v>
      </c>
      <c r="P290" s="1158"/>
    </row>
    <row r="291" spans="2:21" ht="15.75" hidden="1" outlineLevel="1">
      <c r="B291" s="1159"/>
      <c r="C291" s="899">
        <v>3</v>
      </c>
      <c r="D291" s="900" t="str">
        <f>INDEX($D$95:$D$97, MATCH($C291, $C$95:$C$97, 0))</f>
        <v>Absorption chiller</v>
      </c>
      <c r="E291" s="900"/>
      <c r="F291" s="2093">
        <f>F266*F$219</f>
        <v>0</v>
      </c>
      <c r="G291" s="2117">
        <f t="shared" ref="G291:O291" si="48">F291+G340+G365-G390</f>
        <v>0</v>
      </c>
      <c r="H291" s="2118">
        <f t="shared" si="48"/>
        <v>0</v>
      </c>
      <c r="I291" s="2118">
        <f t="shared" si="48"/>
        <v>0</v>
      </c>
      <c r="J291" s="2119">
        <f t="shared" si="48"/>
        <v>0</v>
      </c>
      <c r="K291" s="2119">
        <f t="shared" si="48"/>
        <v>0</v>
      </c>
      <c r="L291" s="2119">
        <f t="shared" si="48"/>
        <v>0</v>
      </c>
      <c r="M291" s="2119">
        <f t="shared" si="48"/>
        <v>0</v>
      </c>
      <c r="N291" s="2119">
        <f t="shared" si="48"/>
        <v>0</v>
      </c>
      <c r="O291" s="2119">
        <f t="shared" si="48"/>
        <v>0</v>
      </c>
      <c r="P291" s="1158"/>
    </row>
    <row r="292" spans="2:21" hidden="1" outlineLevel="1">
      <c r="B292" s="1157"/>
      <c r="C292" s="831"/>
      <c r="D292" s="832" t="s">
        <v>148</v>
      </c>
      <c r="E292" s="832"/>
      <c r="F292" s="2107">
        <f t="shared" ref="F292:O292" si="49">SUM(F289:F291)</f>
        <v>0</v>
      </c>
      <c r="G292" s="2115">
        <f t="shared" si="49"/>
        <v>3900000</v>
      </c>
      <c r="H292" s="2115">
        <f t="shared" si="49"/>
        <v>9869744.8866288327</v>
      </c>
      <c r="I292" s="2115">
        <f t="shared" si="49"/>
        <v>15044389.770398628</v>
      </c>
      <c r="J292" s="2115">
        <f t="shared" si="49"/>
        <v>19495375.529898487</v>
      </c>
      <c r="K292" s="2115">
        <f t="shared" si="49"/>
        <v>23287790.76243674</v>
      </c>
      <c r="L292" s="2115">
        <f t="shared" si="49"/>
        <v>26836087.045447581</v>
      </c>
      <c r="M292" s="2115">
        <f t="shared" si="49"/>
        <v>30096654.493155576</v>
      </c>
      <c r="N292" s="2115">
        <f t="shared" si="49"/>
        <v>33147896.442212708</v>
      </c>
      <c r="O292" s="2115">
        <f t="shared" si="49"/>
        <v>36053731.588272378</v>
      </c>
      <c r="P292" s="1158"/>
    </row>
    <row r="293" spans="2:21" hidden="1" outlineLevel="1">
      <c r="B293" s="1157"/>
      <c r="C293" s="831"/>
      <c r="D293" s="832"/>
      <c r="E293" s="832"/>
      <c r="F293" s="1257"/>
      <c r="G293" s="1257"/>
      <c r="H293" s="1257"/>
      <c r="I293" s="1257"/>
      <c r="J293" s="1257"/>
      <c r="K293" s="1257"/>
      <c r="L293" s="1257"/>
      <c r="M293" s="1257"/>
      <c r="N293" s="1257"/>
      <c r="O293" s="1257"/>
      <c r="P293" s="1158"/>
    </row>
    <row r="294" spans="2:21" s="2102" customFormat="1" hidden="1" outlineLevel="1">
      <c r="B294" s="1220"/>
      <c r="C294" s="2099"/>
      <c r="D294" s="2100"/>
      <c r="E294" s="2100"/>
      <c r="F294" s="2103"/>
      <c r="G294" s="2103"/>
      <c r="H294" s="2103"/>
      <c r="I294" s="2103"/>
      <c r="J294" s="2103"/>
      <c r="K294" s="2103"/>
      <c r="L294" s="2103"/>
      <c r="M294" s="2103"/>
      <c r="N294" s="2103"/>
      <c r="O294" s="2103"/>
      <c r="P294" s="1222"/>
    </row>
    <row r="295" spans="2:21" hidden="1" outlineLevel="1">
      <c r="B295" s="1157"/>
      <c r="C295" s="869" t="s">
        <v>1298</v>
      </c>
      <c r="D295" s="832"/>
      <c r="E295" s="870"/>
      <c r="F295" s="847"/>
      <c r="G295" s="864"/>
      <c r="H295" s="864"/>
      <c r="I295" s="864"/>
      <c r="J295" s="864"/>
      <c r="K295" s="864"/>
      <c r="L295" s="864"/>
      <c r="M295" s="864"/>
      <c r="N295" s="864"/>
      <c r="O295" s="864"/>
      <c r="P295" s="1158"/>
    </row>
    <row r="296" spans="2:21" ht="5.25" hidden="1" customHeight="1" outlineLevel="1">
      <c r="B296" s="1157"/>
      <c r="C296" s="831"/>
      <c r="D296" s="832"/>
      <c r="E296" s="832"/>
      <c r="F296" s="847"/>
      <c r="G296" s="864"/>
      <c r="H296" s="864"/>
      <c r="I296" s="864"/>
      <c r="J296" s="864"/>
      <c r="K296" s="864"/>
      <c r="L296" s="864"/>
      <c r="M296" s="864"/>
      <c r="N296" s="864"/>
      <c r="O296" s="864"/>
      <c r="P296" s="1158"/>
    </row>
    <row r="297" spans="2:21" ht="15.75" hidden="1" outlineLevel="1">
      <c r="B297" s="1159"/>
      <c r="C297" s="766" t="s">
        <v>83</v>
      </c>
      <c r="D297" s="766" t="s">
        <v>1252</v>
      </c>
      <c r="E297" s="766" t="s">
        <v>442</v>
      </c>
      <c r="F297" s="1520">
        <v>2007</v>
      </c>
      <c r="G297" s="1515">
        <v>2010</v>
      </c>
      <c r="H297" s="1515">
        <v>2015</v>
      </c>
      <c r="I297" s="1515">
        <v>2020</v>
      </c>
      <c r="J297" s="1515">
        <v>2025</v>
      </c>
      <c r="K297" s="1515">
        <v>2030</v>
      </c>
      <c r="L297" s="1515">
        <v>2035</v>
      </c>
      <c r="M297" s="1515">
        <v>2040</v>
      </c>
      <c r="N297" s="1515">
        <v>2045</v>
      </c>
      <c r="O297" s="1515">
        <v>2050</v>
      </c>
      <c r="P297" s="1158"/>
    </row>
    <row r="298" spans="2:21" ht="15.75" hidden="1" outlineLevel="1">
      <c r="B298" s="1159"/>
      <c r="C298" s="831">
        <v>1</v>
      </c>
      <c r="D298" s="832" t="str">
        <f t="shared" ref="D298:D310" si="50">INDEX($D$77:$D$89, MATCH($C298, $C$77:$C$89, 0))</f>
        <v>Gas boiler (old)</v>
      </c>
      <c r="E298" s="832"/>
      <c r="F298" s="1560">
        <f t="shared" ref="F298:O298" si="51">(F$297&gt;=$H173)*1</f>
        <v>1</v>
      </c>
      <c r="G298" s="1561">
        <f t="shared" si="51"/>
        <v>1</v>
      </c>
      <c r="H298" s="1561">
        <f t="shared" si="51"/>
        <v>1</v>
      </c>
      <c r="I298" s="1561">
        <f t="shared" si="51"/>
        <v>1</v>
      </c>
      <c r="J298" s="1561">
        <f t="shared" si="51"/>
        <v>1</v>
      </c>
      <c r="K298" s="1561">
        <f t="shared" si="51"/>
        <v>1</v>
      </c>
      <c r="L298" s="1561">
        <f t="shared" si="51"/>
        <v>1</v>
      </c>
      <c r="M298" s="1561">
        <f t="shared" si="51"/>
        <v>1</v>
      </c>
      <c r="N298" s="1561">
        <f t="shared" si="51"/>
        <v>1</v>
      </c>
      <c r="O298" s="1561">
        <f t="shared" si="51"/>
        <v>1</v>
      </c>
      <c r="P298" s="1158"/>
    </row>
    <row r="299" spans="2:21" ht="15.75" hidden="1" outlineLevel="1">
      <c r="B299" s="1159"/>
      <c r="C299" s="831">
        <v>2</v>
      </c>
      <c r="D299" s="832" t="str">
        <f t="shared" si="50"/>
        <v>Gas boiler (new)</v>
      </c>
      <c r="E299" s="832"/>
      <c r="F299" s="1549">
        <f t="shared" ref="F299:O299" si="52">(F$297&gt;=$H174)*1</f>
        <v>1</v>
      </c>
      <c r="G299" s="1558">
        <f t="shared" si="52"/>
        <v>1</v>
      </c>
      <c r="H299" s="1558">
        <f t="shared" si="52"/>
        <v>1</v>
      </c>
      <c r="I299" s="1558">
        <f t="shared" si="52"/>
        <v>1</v>
      </c>
      <c r="J299" s="1562">
        <f t="shared" si="52"/>
        <v>1</v>
      </c>
      <c r="K299" s="1562">
        <f t="shared" si="52"/>
        <v>1</v>
      </c>
      <c r="L299" s="1562">
        <f t="shared" si="52"/>
        <v>1</v>
      </c>
      <c r="M299" s="1562">
        <f t="shared" si="52"/>
        <v>1</v>
      </c>
      <c r="N299" s="1562">
        <f t="shared" si="52"/>
        <v>1</v>
      </c>
      <c r="O299" s="1562">
        <f t="shared" si="52"/>
        <v>1</v>
      </c>
      <c r="P299" s="1158"/>
      <c r="S299" s="28"/>
      <c r="T299" s="28"/>
      <c r="U299" s="28"/>
    </row>
    <row r="300" spans="2:21" ht="15.75" hidden="1" outlineLevel="1">
      <c r="B300" s="1159"/>
      <c r="C300" s="831">
        <v>3</v>
      </c>
      <c r="D300" s="832" t="str">
        <f t="shared" si="50"/>
        <v>Resisitive heating</v>
      </c>
      <c r="E300" s="832"/>
      <c r="F300" s="1549">
        <f t="shared" ref="F300:O300" si="53">(F$297&gt;=$H175)*1</f>
        <v>1</v>
      </c>
      <c r="G300" s="1558">
        <f t="shared" si="53"/>
        <v>1</v>
      </c>
      <c r="H300" s="1558">
        <f t="shared" si="53"/>
        <v>1</v>
      </c>
      <c r="I300" s="1558">
        <f t="shared" si="53"/>
        <v>1</v>
      </c>
      <c r="J300" s="1562">
        <f t="shared" si="53"/>
        <v>1</v>
      </c>
      <c r="K300" s="1562">
        <f t="shared" si="53"/>
        <v>1</v>
      </c>
      <c r="L300" s="1562">
        <f t="shared" si="53"/>
        <v>1</v>
      </c>
      <c r="M300" s="1562">
        <f t="shared" si="53"/>
        <v>1</v>
      </c>
      <c r="N300" s="1562">
        <f t="shared" si="53"/>
        <v>1</v>
      </c>
      <c r="O300" s="1562">
        <f t="shared" si="53"/>
        <v>1</v>
      </c>
      <c r="P300" s="1158"/>
    </row>
    <row r="301" spans="2:21" ht="15.75" hidden="1" outlineLevel="1">
      <c r="B301" s="1159"/>
      <c r="C301" s="831">
        <v>4</v>
      </c>
      <c r="D301" s="832" t="str">
        <f t="shared" si="50"/>
        <v>Oil-fired boiler</v>
      </c>
      <c r="E301" s="832"/>
      <c r="F301" s="1549">
        <f t="shared" ref="F301:O301" si="54">(F$297&gt;=$H176)*1</f>
        <v>1</v>
      </c>
      <c r="G301" s="1558">
        <f t="shared" si="54"/>
        <v>1</v>
      </c>
      <c r="H301" s="1558">
        <f t="shared" si="54"/>
        <v>1</v>
      </c>
      <c r="I301" s="1558">
        <f t="shared" si="54"/>
        <v>1</v>
      </c>
      <c r="J301" s="1562">
        <f t="shared" si="54"/>
        <v>1</v>
      </c>
      <c r="K301" s="1562">
        <f t="shared" si="54"/>
        <v>1</v>
      </c>
      <c r="L301" s="1562">
        <f t="shared" si="54"/>
        <v>1</v>
      </c>
      <c r="M301" s="1562">
        <f t="shared" si="54"/>
        <v>1</v>
      </c>
      <c r="N301" s="1562">
        <f t="shared" si="54"/>
        <v>1</v>
      </c>
      <c r="O301" s="1562">
        <f t="shared" si="54"/>
        <v>1</v>
      </c>
      <c r="P301" s="1158"/>
    </row>
    <row r="302" spans="2:21" ht="15.75" hidden="1" outlineLevel="1">
      <c r="B302" s="1159"/>
      <c r="C302" s="831">
        <v>5</v>
      </c>
      <c r="D302" s="832" t="str">
        <f t="shared" si="50"/>
        <v>Solid-fuel boiler</v>
      </c>
      <c r="E302" s="832"/>
      <c r="F302" s="1549">
        <f t="shared" ref="F302:O302" si="55">(F$297&gt;=$H177)*1</f>
        <v>1</v>
      </c>
      <c r="G302" s="1558">
        <f t="shared" si="55"/>
        <v>1</v>
      </c>
      <c r="H302" s="1558">
        <f t="shared" si="55"/>
        <v>1</v>
      </c>
      <c r="I302" s="1558">
        <f t="shared" si="55"/>
        <v>1</v>
      </c>
      <c r="J302" s="1562">
        <f t="shared" si="55"/>
        <v>1</v>
      </c>
      <c r="K302" s="1562">
        <f t="shared" si="55"/>
        <v>1</v>
      </c>
      <c r="L302" s="1562">
        <f t="shared" si="55"/>
        <v>1</v>
      </c>
      <c r="M302" s="1562">
        <f t="shared" si="55"/>
        <v>1</v>
      </c>
      <c r="N302" s="1562">
        <f t="shared" si="55"/>
        <v>1</v>
      </c>
      <c r="O302" s="1562">
        <f t="shared" si="55"/>
        <v>1</v>
      </c>
      <c r="P302" s="1158"/>
    </row>
    <row r="303" spans="2:21" ht="15.75" hidden="1" outlineLevel="1">
      <c r="B303" s="1159"/>
      <c r="C303" s="831">
        <v>6</v>
      </c>
      <c r="D303" s="832" t="str">
        <f t="shared" si="50"/>
        <v>Stirling engine μCHP</v>
      </c>
      <c r="E303" s="832"/>
      <c r="F303" s="1549">
        <f t="shared" ref="F303:O303" si="56">(F$297&gt;=$H178)*1</f>
        <v>0</v>
      </c>
      <c r="G303" s="1558">
        <f t="shared" si="56"/>
        <v>0</v>
      </c>
      <c r="H303" s="1558">
        <f t="shared" si="56"/>
        <v>1</v>
      </c>
      <c r="I303" s="1558">
        <f t="shared" si="56"/>
        <v>1</v>
      </c>
      <c r="J303" s="1562">
        <f t="shared" si="56"/>
        <v>1</v>
      </c>
      <c r="K303" s="1562">
        <f t="shared" si="56"/>
        <v>1</v>
      </c>
      <c r="L303" s="1562">
        <f t="shared" si="56"/>
        <v>1</v>
      </c>
      <c r="M303" s="1562">
        <f t="shared" si="56"/>
        <v>1</v>
      </c>
      <c r="N303" s="1562">
        <f t="shared" si="56"/>
        <v>1</v>
      </c>
      <c r="O303" s="1562">
        <f t="shared" si="56"/>
        <v>1</v>
      </c>
      <c r="P303" s="1158"/>
    </row>
    <row r="304" spans="2:21" ht="15.75" hidden="1" outlineLevel="1">
      <c r="B304" s="1159"/>
      <c r="C304" s="831">
        <v>7</v>
      </c>
      <c r="D304" s="1084" t="str">
        <f t="shared" si="50"/>
        <v>Fuel-cell μCHP</v>
      </c>
      <c r="E304" s="832"/>
      <c r="F304" s="1549">
        <f t="shared" ref="F304:O304" si="57">(F$297&gt;=$H179)*1</f>
        <v>0</v>
      </c>
      <c r="G304" s="1558">
        <f t="shared" si="57"/>
        <v>0</v>
      </c>
      <c r="H304" s="1558">
        <f t="shared" si="57"/>
        <v>1</v>
      </c>
      <c r="I304" s="1558">
        <f t="shared" si="57"/>
        <v>1</v>
      </c>
      <c r="J304" s="1562">
        <f t="shared" si="57"/>
        <v>1</v>
      </c>
      <c r="K304" s="1562">
        <f t="shared" si="57"/>
        <v>1</v>
      </c>
      <c r="L304" s="1562">
        <f t="shared" si="57"/>
        <v>1</v>
      </c>
      <c r="M304" s="1562">
        <f t="shared" si="57"/>
        <v>1</v>
      </c>
      <c r="N304" s="1562">
        <f t="shared" si="57"/>
        <v>1</v>
      </c>
      <c r="O304" s="1562">
        <f t="shared" si="57"/>
        <v>1</v>
      </c>
      <c r="P304" s="1158"/>
    </row>
    <row r="305" spans="2:18" ht="15.75" hidden="1" outlineLevel="1">
      <c r="B305" s="1159"/>
      <c r="C305" s="831">
        <v>8</v>
      </c>
      <c r="D305" s="832" t="str">
        <f t="shared" si="50"/>
        <v>Air-source heat pump</v>
      </c>
      <c r="E305" s="832"/>
      <c r="F305" s="1549">
        <f t="shared" ref="F305:O305" si="58">(F$297&gt;=$H180)*1</f>
        <v>0</v>
      </c>
      <c r="G305" s="1558">
        <f t="shared" si="58"/>
        <v>0</v>
      </c>
      <c r="H305" s="1558">
        <f t="shared" si="58"/>
        <v>1</v>
      </c>
      <c r="I305" s="1558">
        <f t="shared" si="58"/>
        <v>1</v>
      </c>
      <c r="J305" s="1562">
        <f t="shared" si="58"/>
        <v>1</v>
      </c>
      <c r="K305" s="1562">
        <f t="shared" si="58"/>
        <v>1</v>
      </c>
      <c r="L305" s="1562">
        <f t="shared" si="58"/>
        <v>1</v>
      </c>
      <c r="M305" s="1562">
        <f t="shared" si="58"/>
        <v>1</v>
      </c>
      <c r="N305" s="1562">
        <f t="shared" si="58"/>
        <v>1</v>
      </c>
      <c r="O305" s="1562">
        <f t="shared" si="58"/>
        <v>1</v>
      </c>
      <c r="P305" s="1158"/>
    </row>
    <row r="306" spans="2:18" ht="15.75" hidden="1" outlineLevel="1">
      <c r="B306" s="1159"/>
      <c r="C306" s="831">
        <v>9</v>
      </c>
      <c r="D306" s="832" t="str">
        <f t="shared" si="50"/>
        <v>Ground-source heat pump</v>
      </c>
      <c r="E306" s="832"/>
      <c r="F306" s="1549">
        <f t="shared" ref="F306:O306" si="59">(F$297&gt;=$H181)*1</f>
        <v>0</v>
      </c>
      <c r="G306" s="1558">
        <f t="shared" si="59"/>
        <v>0</v>
      </c>
      <c r="H306" s="1558">
        <f t="shared" si="59"/>
        <v>1</v>
      </c>
      <c r="I306" s="1558">
        <f t="shared" si="59"/>
        <v>1</v>
      </c>
      <c r="J306" s="1562">
        <f t="shared" si="59"/>
        <v>1</v>
      </c>
      <c r="K306" s="1562">
        <f t="shared" si="59"/>
        <v>1</v>
      </c>
      <c r="L306" s="1562">
        <f t="shared" si="59"/>
        <v>1</v>
      </c>
      <c r="M306" s="1562">
        <f t="shared" si="59"/>
        <v>1</v>
      </c>
      <c r="N306" s="1562">
        <f t="shared" si="59"/>
        <v>1</v>
      </c>
      <c r="O306" s="1562">
        <f t="shared" si="59"/>
        <v>1</v>
      </c>
      <c r="P306" s="1158"/>
    </row>
    <row r="307" spans="2:18" ht="15.75" hidden="1" outlineLevel="1">
      <c r="B307" s="1159"/>
      <c r="C307" s="831">
        <v>10</v>
      </c>
      <c r="D307" s="832" t="str">
        <f t="shared" si="50"/>
        <v>Geothermal</v>
      </c>
      <c r="E307" s="832"/>
      <c r="F307" s="1549">
        <f t="shared" ref="F307:O307" si="60">(F$297&gt;=$H182)*1</f>
        <v>0</v>
      </c>
      <c r="G307" s="1558">
        <f t="shared" si="60"/>
        <v>0</v>
      </c>
      <c r="H307" s="1558">
        <f t="shared" si="60"/>
        <v>1</v>
      </c>
      <c r="I307" s="1558">
        <f t="shared" si="60"/>
        <v>1</v>
      </c>
      <c r="J307" s="1562">
        <f t="shared" si="60"/>
        <v>1</v>
      </c>
      <c r="K307" s="1562">
        <f t="shared" si="60"/>
        <v>1</v>
      </c>
      <c r="L307" s="1562">
        <f t="shared" si="60"/>
        <v>1</v>
      </c>
      <c r="M307" s="1562">
        <f t="shared" si="60"/>
        <v>1</v>
      </c>
      <c r="N307" s="1562">
        <f t="shared" si="60"/>
        <v>1</v>
      </c>
      <c r="O307" s="1562">
        <f t="shared" si="60"/>
        <v>1</v>
      </c>
      <c r="P307" s="1158"/>
    </row>
    <row r="308" spans="2:18" ht="15.75" hidden="1" outlineLevel="1">
      <c r="B308" s="1159"/>
      <c r="C308" s="831">
        <v>11</v>
      </c>
      <c r="D308" s="832" t="str">
        <f t="shared" si="50"/>
        <v>Community scale gas CHP</v>
      </c>
      <c r="E308" s="832"/>
      <c r="F308" s="1549">
        <f t="shared" ref="F308:O308" si="61">(F$297&gt;=$H183)*1</f>
        <v>0</v>
      </c>
      <c r="G308" s="1558">
        <f t="shared" si="61"/>
        <v>0</v>
      </c>
      <c r="H308" s="1558">
        <f t="shared" si="61"/>
        <v>1</v>
      </c>
      <c r="I308" s="1558">
        <f t="shared" si="61"/>
        <v>1</v>
      </c>
      <c r="J308" s="1562">
        <f t="shared" si="61"/>
        <v>1</v>
      </c>
      <c r="K308" s="1562">
        <f t="shared" si="61"/>
        <v>1</v>
      </c>
      <c r="L308" s="1562">
        <f t="shared" si="61"/>
        <v>1</v>
      </c>
      <c r="M308" s="1562">
        <f t="shared" si="61"/>
        <v>1</v>
      </c>
      <c r="N308" s="1562">
        <f t="shared" si="61"/>
        <v>1</v>
      </c>
      <c r="O308" s="1562">
        <f t="shared" si="61"/>
        <v>1</v>
      </c>
      <c r="P308" s="1158"/>
    </row>
    <row r="309" spans="2:18" ht="15.75" hidden="1" outlineLevel="1">
      <c r="B309" s="1159"/>
      <c r="C309" s="831">
        <v>12</v>
      </c>
      <c r="D309" s="832" t="str">
        <f t="shared" si="50"/>
        <v>Community scale solid-fuel CHP</v>
      </c>
      <c r="E309" s="832"/>
      <c r="F309" s="1549">
        <f t="shared" ref="F309:O309" si="62">(F$297&gt;=$H184)*1</f>
        <v>0</v>
      </c>
      <c r="G309" s="1558">
        <f t="shared" si="62"/>
        <v>0</v>
      </c>
      <c r="H309" s="1558">
        <f t="shared" si="62"/>
        <v>1</v>
      </c>
      <c r="I309" s="1558">
        <f t="shared" si="62"/>
        <v>1</v>
      </c>
      <c r="J309" s="1562">
        <f t="shared" si="62"/>
        <v>1</v>
      </c>
      <c r="K309" s="1562">
        <f t="shared" si="62"/>
        <v>1</v>
      </c>
      <c r="L309" s="1562">
        <f t="shared" si="62"/>
        <v>1</v>
      </c>
      <c r="M309" s="1562">
        <f t="shared" si="62"/>
        <v>1</v>
      </c>
      <c r="N309" s="1562">
        <f t="shared" si="62"/>
        <v>1</v>
      </c>
      <c r="O309" s="1562">
        <f t="shared" si="62"/>
        <v>1</v>
      </c>
      <c r="P309" s="1158"/>
    </row>
    <row r="310" spans="2:18" ht="15.75" hidden="1" outlineLevel="1">
      <c r="B310" s="1159"/>
      <c r="C310" s="769">
        <v>13</v>
      </c>
      <c r="D310" s="770" t="str">
        <f t="shared" si="50"/>
        <v>District heating from power stations</v>
      </c>
      <c r="E310" s="770"/>
      <c r="F310" s="1550">
        <f t="shared" ref="F310:O310" si="63">(F$297&gt;=$H185)*1</f>
        <v>0</v>
      </c>
      <c r="G310" s="1563">
        <f t="shared" si="63"/>
        <v>0</v>
      </c>
      <c r="H310" s="1563">
        <f t="shared" si="63"/>
        <v>1</v>
      </c>
      <c r="I310" s="1563">
        <f t="shared" si="63"/>
        <v>1</v>
      </c>
      <c r="J310" s="1564">
        <f t="shared" si="63"/>
        <v>1</v>
      </c>
      <c r="K310" s="1564">
        <f t="shared" si="63"/>
        <v>1</v>
      </c>
      <c r="L310" s="1564">
        <f t="shared" si="63"/>
        <v>1</v>
      </c>
      <c r="M310" s="1564">
        <f t="shared" si="63"/>
        <v>1</v>
      </c>
      <c r="N310" s="1564">
        <f t="shared" si="63"/>
        <v>1</v>
      </c>
      <c r="O310" s="1564">
        <f t="shared" si="63"/>
        <v>1</v>
      </c>
      <c r="P310" s="1158"/>
    </row>
    <row r="311" spans="2:18" ht="15.75" hidden="1" outlineLevel="1">
      <c r="B311" s="1159"/>
      <c r="C311" s="831"/>
      <c r="D311" s="832"/>
      <c r="E311" s="832"/>
      <c r="F311" s="865"/>
      <c r="G311" s="865"/>
      <c r="H311" s="865"/>
      <c r="I311" s="865"/>
      <c r="J311" s="865"/>
      <c r="K311" s="865"/>
      <c r="L311" s="865"/>
      <c r="M311" s="865"/>
      <c r="N311" s="865"/>
      <c r="O311" s="865"/>
      <c r="P311" s="1158"/>
    </row>
    <row r="312" spans="2:18" ht="15.75" hidden="1" outlineLevel="1">
      <c r="B312" s="1159"/>
      <c r="C312" s="766" t="s">
        <v>83</v>
      </c>
      <c r="D312" s="766" t="s">
        <v>1252</v>
      </c>
      <c r="E312" s="766" t="s">
        <v>442</v>
      </c>
      <c r="F312" s="923">
        <v>2007</v>
      </c>
      <c r="G312" s="932">
        <v>2010</v>
      </c>
      <c r="H312" s="931">
        <v>2015</v>
      </c>
      <c r="I312" s="931">
        <v>2020</v>
      </c>
      <c r="J312" s="931">
        <v>2025</v>
      </c>
      <c r="K312" s="931">
        <v>2030</v>
      </c>
      <c r="L312" s="931">
        <v>2035</v>
      </c>
      <c r="M312" s="931">
        <v>2040</v>
      </c>
      <c r="N312" s="931">
        <v>2045</v>
      </c>
      <c r="O312" s="931">
        <v>2050</v>
      </c>
      <c r="P312" s="1158"/>
    </row>
    <row r="313" spans="2:18" ht="15.75" hidden="1" outlineLevel="1">
      <c r="B313" s="1159"/>
      <c r="C313" s="831">
        <v>1</v>
      </c>
      <c r="D313" s="832" t="str">
        <f>INDEX($D$95:$D$97, MATCH($C313, $C$95:$C$97, 0))</f>
        <v>Electric air conditioner (old)</v>
      </c>
      <c r="E313" s="832"/>
      <c r="F313" s="2094">
        <f t="shared" ref="F313:O313" si="64">(F$312&gt;=$H189)*1</f>
        <v>1</v>
      </c>
      <c r="G313" s="2095">
        <f t="shared" si="64"/>
        <v>1</v>
      </c>
      <c r="H313" s="890">
        <f t="shared" si="64"/>
        <v>1</v>
      </c>
      <c r="I313" s="890">
        <f t="shared" si="64"/>
        <v>1</v>
      </c>
      <c r="J313" s="890">
        <f t="shared" si="64"/>
        <v>1</v>
      </c>
      <c r="K313" s="890">
        <f t="shared" si="64"/>
        <v>1</v>
      </c>
      <c r="L313" s="890">
        <f t="shared" si="64"/>
        <v>1</v>
      </c>
      <c r="M313" s="890">
        <f t="shared" si="64"/>
        <v>1</v>
      </c>
      <c r="N313" s="890">
        <f t="shared" si="64"/>
        <v>1</v>
      </c>
      <c r="O313" s="890">
        <f t="shared" si="64"/>
        <v>1</v>
      </c>
      <c r="P313" s="1158"/>
    </row>
    <row r="314" spans="2:18" ht="15.75" hidden="1" outlineLevel="1">
      <c r="B314" s="1159"/>
      <c r="C314" s="831">
        <v>2</v>
      </c>
      <c r="D314" s="832" t="str">
        <f>INDEX($D$95:$D$97, MATCH($C314, $C$95:$C$97, 0))</f>
        <v>Electric air conditioner (new)</v>
      </c>
      <c r="E314" s="832"/>
      <c r="F314" s="847">
        <f t="shared" ref="F314:O314" si="65">(F$312&gt;=$H190)*1</f>
        <v>1</v>
      </c>
      <c r="G314" s="856">
        <f t="shared" si="65"/>
        <v>1</v>
      </c>
      <c r="H314" s="847">
        <f t="shared" si="65"/>
        <v>1</v>
      </c>
      <c r="I314" s="847">
        <f t="shared" si="65"/>
        <v>1</v>
      </c>
      <c r="J314" s="2096">
        <f t="shared" si="65"/>
        <v>1</v>
      </c>
      <c r="K314" s="2096">
        <f t="shared" si="65"/>
        <v>1</v>
      </c>
      <c r="L314" s="2096">
        <f t="shared" si="65"/>
        <v>1</v>
      </c>
      <c r="M314" s="2096">
        <f t="shared" si="65"/>
        <v>1</v>
      </c>
      <c r="N314" s="2096">
        <f t="shared" si="65"/>
        <v>1</v>
      </c>
      <c r="O314" s="2096">
        <f t="shared" si="65"/>
        <v>1</v>
      </c>
      <c r="P314" s="1158"/>
    </row>
    <row r="315" spans="2:18" ht="15.75" hidden="1" outlineLevel="1">
      <c r="B315" s="1159"/>
      <c r="C315" s="899">
        <v>3</v>
      </c>
      <c r="D315" s="900" t="str">
        <f>INDEX($D$95:$D$97, MATCH($C315, $C$95:$C$97, 0))</f>
        <v>Absorption chiller</v>
      </c>
      <c r="E315" s="900"/>
      <c r="F315" s="901">
        <f t="shared" ref="F315:O315" si="66">(F$312&gt;=$H191)*1</f>
        <v>0</v>
      </c>
      <c r="G315" s="918">
        <f t="shared" si="66"/>
        <v>0</v>
      </c>
      <c r="H315" s="901">
        <f t="shared" si="66"/>
        <v>1</v>
      </c>
      <c r="I315" s="901">
        <f t="shared" si="66"/>
        <v>1</v>
      </c>
      <c r="J315" s="2097">
        <f t="shared" si="66"/>
        <v>1</v>
      </c>
      <c r="K315" s="2097">
        <f t="shared" si="66"/>
        <v>1</v>
      </c>
      <c r="L315" s="2097">
        <f t="shared" si="66"/>
        <v>1</v>
      </c>
      <c r="M315" s="2097">
        <f t="shared" si="66"/>
        <v>1</v>
      </c>
      <c r="N315" s="2097">
        <f t="shared" si="66"/>
        <v>1</v>
      </c>
      <c r="O315" s="2097">
        <f t="shared" si="66"/>
        <v>1</v>
      </c>
      <c r="P315" s="1158"/>
    </row>
    <row r="316" spans="2:18" ht="15.75" hidden="1" outlineLevel="1">
      <c r="B316" s="1159"/>
      <c r="C316" s="831"/>
      <c r="D316" s="832"/>
      <c r="E316" s="832"/>
      <c r="F316" s="847"/>
      <c r="G316" s="847"/>
      <c r="H316" s="847"/>
      <c r="I316" s="847"/>
      <c r="J316" s="2096"/>
      <c r="K316" s="2096"/>
      <c r="L316" s="2096"/>
      <c r="M316" s="2096"/>
      <c r="N316" s="2096"/>
      <c r="O316" s="2096"/>
      <c r="P316" s="1158"/>
    </row>
    <row r="317" spans="2:18" ht="15.75" hidden="1" outlineLevel="1">
      <c r="B317" s="1159"/>
      <c r="C317" s="831"/>
      <c r="D317" s="832"/>
      <c r="E317" s="832"/>
      <c r="F317" s="1257"/>
      <c r="G317" s="1257"/>
      <c r="H317" s="1257"/>
      <c r="I317" s="1257"/>
      <c r="J317" s="1257"/>
      <c r="K317" s="1257"/>
      <c r="L317" s="1257"/>
      <c r="M317" s="1257"/>
      <c r="N317" s="1257"/>
      <c r="O317" s="1257"/>
      <c r="P317" s="1158"/>
    </row>
    <row r="318" spans="2:18" s="2102" customFormat="1" ht="15.75" hidden="1" outlineLevel="1">
      <c r="B318" s="2098"/>
      <c r="C318" s="2099"/>
      <c r="D318" s="2100"/>
      <c r="E318" s="2100"/>
      <c r="F318" s="2103"/>
      <c r="G318" s="2103"/>
      <c r="H318" s="2103"/>
      <c r="I318" s="2103"/>
      <c r="J318" s="2103"/>
      <c r="K318" s="2103"/>
      <c r="L318" s="2103"/>
      <c r="M318" s="2103"/>
      <c r="N318" s="2103"/>
      <c r="O318" s="2103"/>
      <c r="P318" s="1222"/>
    </row>
    <row r="319" spans="2:18" hidden="1" outlineLevel="1">
      <c r="B319" s="1157"/>
      <c r="C319" s="869" t="s">
        <v>1301</v>
      </c>
      <c r="D319" s="832"/>
      <c r="E319" s="870"/>
      <c r="F319" s="847"/>
      <c r="G319" s="864"/>
      <c r="H319" s="864"/>
      <c r="I319" s="864"/>
      <c r="J319" s="864"/>
      <c r="K319" s="864"/>
      <c r="L319" s="864"/>
      <c r="M319" s="864"/>
      <c r="N319" s="864"/>
      <c r="O319" s="867" t="s">
        <v>1303</v>
      </c>
      <c r="P319" s="1158"/>
      <c r="R319" s="1559"/>
    </row>
    <row r="320" spans="2:18" ht="5.25" hidden="1" customHeight="1" outlineLevel="1">
      <c r="B320" s="1157"/>
      <c r="C320" s="831"/>
      <c r="D320" s="832"/>
      <c r="E320" s="832"/>
      <c r="F320" s="847"/>
      <c r="G320" s="864"/>
      <c r="H320" s="864"/>
      <c r="I320" s="864"/>
      <c r="J320" s="864"/>
      <c r="K320" s="864"/>
      <c r="L320" s="864"/>
      <c r="M320" s="864"/>
      <c r="N320" s="864"/>
      <c r="O320" s="864"/>
      <c r="P320" s="1158"/>
    </row>
    <row r="321" spans="2:16" ht="15.75" hidden="1" outlineLevel="1">
      <c r="B321" s="1159"/>
      <c r="C321" s="766" t="s">
        <v>83</v>
      </c>
      <c r="D321" s="766" t="s">
        <v>1252</v>
      </c>
      <c r="E321" s="766" t="s">
        <v>442</v>
      </c>
      <c r="F321" s="1520">
        <v>2007</v>
      </c>
      <c r="G321" s="1515">
        <v>2010</v>
      </c>
      <c r="H321" s="1515">
        <v>2015</v>
      </c>
      <c r="I321" s="1515">
        <v>2020</v>
      </c>
      <c r="J321" s="1515">
        <v>2025</v>
      </c>
      <c r="K321" s="1515">
        <v>2030</v>
      </c>
      <c r="L321" s="1515">
        <v>2035</v>
      </c>
      <c r="M321" s="1515">
        <v>2040</v>
      </c>
      <c r="N321" s="1515">
        <v>2045</v>
      </c>
      <c r="O321" s="1515">
        <v>2050</v>
      </c>
      <c r="P321" s="1158"/>
    </row>
    <row r="322" spans="2:16" ht="15.75" hidden="1" outlineLevel="1">
      <c r="B322" s="1159"/>
      <c r="C322" s="831">
        <v>1</v>
      </c>
      <c r="D322" s="832" t="str">
        <f t="shared" ref="D322:D334" si="67">INDEX($D$77:$D$89, MATCH($C322, $C$77:$C$89, 0))</f>
        <v>Gas boiler (old)</v>
      </c>
      <c r="E322" s="832"/>
      <c r="F322" s="1540"/>
      <c r="G322" s="1533">
        <f t="shared" ref="G322:O322" si="68">(F298*$F225*G$220)/SUMPRODUCT(F$298:F$310,$F$225:$F$237)</f>
        <v>0</v>
      </c>
      <c r="H322" s="1533">
        <f t="shared" si="68"/>
        <v>0</v>
      </c>
      <c r="I322" s="1533">
        <f t="shared" si="68"/>
        <v>0</v>
      </c>
      <c r="J322" s="1533">
        <f t="shared" si="68"/>
        <v>0</v>
      </c>
      <c r="K322" s="1533">
        <f t="shared" si="68"/>
        <v>0</v>
      </c>
      <c r="L322" s="1533">
        <f t="shared" si="68"/>
        <v>0</v>
      </c>
      <c r="M322" s="1533">
        <f t="shared" si="68"/>
        <v>0</v>
      </c>
      <c r="N322" s="1533">
        <f t="shared" si="68"/>
        <v>0</v>
      </c>
      <c r="O322" s="1533">
        <f t="shared" si="68"/>
        <v>0</v>
      </c>
      <c r="P322" s="1158"/>
    </row>
    <row r="323" spans="2:16" ht="15.75" hidden="1" outlineLevel="1">
      <c r="B323" s="1159"/>
      <c r="C323" s="831">
        <v>2</v>
      </c>
      <c r="D323" s="832" t="str">
        <f t="shared" si="67"/>
        <v>Gas boiler (new)</v>
      </c>
      <c r="E323" s="832"/>
      <c r="F323" s="1521"/>
      <c r="G323" s="1523">
        <f t="shared" ref="G323:O323" si="69">(F299*$F226*G$220)/SUMPRODUCT(F$298:F$310,$F$225:$F$237)</f>
        <v>787320</v>
      </c>
      <c r="H323" s="1523">
        <f t="shared" si="69"/>
        <v>1396440</v>
      </c>
      <c r="I323" s="1523">
        <f t="shared" si="69"/>
        <v>1382220</v>
      </c>
      <c r="J323" s="1524">
        <f t="shared" si="69"/>
        <v>1287000</v>
      </c>
      <c r="K323" s="1524">
        <f t="shared" si="69"/>
        <v>1179000</v>
      </c>
      <c r="L323" s="1524">
        <f t="shared" si="69"/>
        <v>1503282.4996630268</v>
      </c>
      <c r="M323" s="1524">
        <f t="shared" si="69"/>
        <v>1579965.0152852968</v>
      </c>
      <c r="N323" s="1524">
        <f t="shared" si="69"/>
        <v>1660559.1098712445</v>
      </c>
      <c r="O323" s="1524">
        <f t="shared" si="69"/>
        <v>1745264.3132597858</v>
      </c>
      <c r="P323" s="1158"/>
    </row>
    <row r="324" spans="2:16" ht="15.75" hidden="1" outlineLevel="1">
      <c r="B324" s="1159"/>
      <c r="C324" s="831">
        <v>3</v>
      </c>
      <c r="D324" s="832" t="str">
        <f t="shared" si="67"/>
        <v>Resisitive heating</v>
      </c>
      <c r="E324" s="832"/>
      <c r="F324" s="1521"/>
      <c r="G324" s="1523">
        <f t="shared" ref="G324:O324" si="70">(F300*$F227*G$220)/SUMPRODUCT(F$298:F$310,$F$225:$F$237)</f>
        <v>87480</v>
      </c>
      <c r="H324" s="1523">
        <f t="shared" si="70"/>
        <v>155160</v>
      </c>
      <c r="I324" s="1523">
        <f t="shared" si="70"/>
        <v>153580</v>
      </c>
      <c r="J324" s="1524">
        <f t="shared" si="70"/>
        <v>143000</v>
      </c>
      <c r="K324" s="1524">
        <f t="shared" si="70"/>
        <v>131000</v>
      </c>
      <c r="L324" s="1524">
        <f t="shared" si="70"/>
        <v>167031.38885144741</v>
      </c>
      <c r="M324" s="1524">
        <f t="shared" si="70"/>
        <v>175551.66836503299</v>
      </c>
      <c r="N324" s="1524">
        <f t="shared" si="70"/>
        <v>184506.56776347163</v>
      </c>
      <c r="O324" s="1524">
        <f t="shared" si="70"/>
        <v>193918.25702886507</v>
      </c>
      <c r="P324" s="1158"/>
    </row>
    <row r="325" spans="2:16" ht="15.75" hidden="1" outlineLevel="1">
      <c r="B325" s="1159"/>
      <c r="C325" s="831">
        <v>4</v>
      </c>
      <c r="D325" s="832" t="str">
        <f t="shared" si="67"/>
        <v>Oil-fired boiler</v>
      </c>
      <c r="E325" s="832"/>
      <c r="F325" s="1521"/>
      <c r="G325" s="1523">
        <f t="shared" ref="G325:O325" si="71">(F301*$F228*G$220)/SUMPRODUCT(F$298:F$310,$F$225:$F$237)</f>
        <v>0</v>
      </c>
      <c r="H325" s="1523">
        <f t="shared" si="71"/>
        <v>0</v>
      </c>
      <c r="I325" s="1523">
        <f t="shared" si="71"/>
        <v>0</v>
      </c>
      <c r="J325" s="1524">
        <f t="shared" si="71"/>
        <v>0</v>
      </c>
      <c r="K325" s="1524">
        <f t="shared" si="71"/>
        <v>0</v>
      </c>
      <c r="L325" s="1524">
        <f t="shared" si="71"/>
        <v>0</v>
      </c>
      <c r="M325" s="1524">
        <f t="shared" si="71"/>
        <v>0</v>
      </c>
      <c r="N325" s="1524">
        <f t="shared" si="71"/>
        <v>0</v>
      </c>
      <c r="O325" s="1524">
        <f t="shared" si="71"/>
        <v>0</v>
      </c>
      <c r="P325" s="1158"/>
    </row>
    <row r="326" spans="2:16" ht="15.75" hidden="1" outlineLevel="1">
      <c r="B326" s="1159"/>
      <c r="C326" s="831">
        <v>5</v>
      </c>
      <c r="D326" s="832" t="str">
        <f t="shared" si="67"/>
        <v>Solid-fuel boiler</v>
      </c>
      <c r="E326" s="832"/>
      <c r="F326" s="1521"/>
      <c r="G326" s="1523">
        <f t="shared" ref="G326:O326" si="72">(F302*$F229*G$220)/SUMPRODUCT(F$298:F$310,$F$225:$F$237)</f>
        <v>0</v>
      </c>
      <c r="H326" s="1523">
        <f t="shared" si="72"/>
        <v>0</v>
      </c>
      <c r="I326" s="1523">
        <f t="shared" si="72"/>
        <v>0</v>
      </c>
      <c r="J326" s="1524">
        <f t="shared" si="72"/>
        <v>0</v>
      </c>
      <c r="K326" s="1524">
        <f t="shared" si="72"/>
        <v>0</v>
      </c>
      <c r="L326" s="1524">
        <f t="shared" si="72"/>
        <v>0</v>
      </c>
      <c r="M326" s="1524">
        <f t="shared" si="72"/>
        <v>0</v>
      </c>
      <c r="N326" s="1524">
        <f t="shared" si="72"/>
        <v>0</v>
      </c>
      <c r="O326" s="1524">
        <f t="shared" si="72"/>
        <v>0</v>
      </c>
      <c r="P326" s="1158"/>
    </row>
    <row r="327" spans="2:16" ht="15.75" hidden="1" outlineLevel="1">
      <c r="B327" s="1159"/>
      <c r="C327" s="831">
        <v>6</v>
      </c>
      <c r="D327" s="832" t="str">
        <f t="shared" si="67"/>
        <v>Stirling engine μCHP</v>
      </c>
      <c r="E327" s="832"/>
      <c r="F327" s="1521"/>
      <c r="G327" s="1523">
        <f t="shared" ref="G327:O327" si="73">(F303*$F230*G$220)/SUMPRODUCT(F$298:F$310,$F$225:$F$237)</f>
        <v>0</v>
      </c>
      <c r="H327" s="1523">
        <f t="shared" si="73"/>
        <v>0</v>
      </c>
      <c r="I327" s="1523">
        <f t="shared" si="73"/>
        <v>0</v>
      </c>
      <c r="J327" s="1524">
        <f t="shared" si="73"/>
        <v>0</v>
      </c>
      <c r="K327" s="1524">
        <f t="shared" si="73"/>
        <v>0</v>
      </c>
      <c r="L327" s="1524">
        <f t="shared" si="73"/>
        <v>0</v>
      </c>
      <c r="M327" s="1524">
        <f t="shared" si="73"/>
        <v>0</v>
      </c>
      <c r="N327" s="1524">
        <f t="shared" si="73"/>
        <v>0</v>
      </c>
      <c r="O327" s="1524">
        <f t="shared" si="73"/>
        <v>0</v>
      </c>
      <c r="P327" s="1158"/>
    </row>
    <row r="328" spans="2:16" ht="15.75" hidden="1" outlineLevel="1">
      <c r="B328" s="1159"/>
      <c r="C328" s="831">
        <v>7</v>
      </c>
      <c r="D328" s="1084" t="str">
        <f t="shared" si="67"/>
        <v>Fuel-cell μCHP</v>
      </c>
      <c r="E328" s="832"/>
      <c r="F328" s="1521"/>
      <c r="G328" s="1523">
        <f t="shared" ref="G328:O328" si="74">(F304*$F231*G$220)/SUMPRODUCT(F$298:F$310,$F$225:$F$237)</f>
        <v>0</v>
      </c>
      <c r="H328" s="1523">
        <f t="shared" si="74"/>
        <v>0</v>
      </c>
      <c r="I328" s="1523">
        <f t="shared" si="74"/>
        <v>0</v>
      </c>
      <c r="J328" s="1524">
        <f t="shared" si="74"/>
        <v>0</v>
      </c>
      <c r="K328" s="1524">
        <f t="shared" si="74"/>
        <v>0</v>
      </c>
      <c r="L328" s="1524">
        <f t="shared" si="74"/>
        <v>0</v>
      </c>
      <c r="M328" s="1524">
        <f t="shared" si="74"/>
        <v>0</v>
      </c>
      <c r="N328" s="1524">
        <f t="shared" si="74"/>
        <v>0</v>
      </c>
      <c r="O328" s="1524">
        <f t="shared" si="74"/>
        <v>0</v>
      </c>
      <c r="P328" s="1158"/>
    </row>
    <row r="329" spans="2:16" ht="15.75" hidden="1" outlineLevel="1">
      <c r="B329" s="1159"/>
      <c r="C329" s="831">
        <v>8</v>
      </c>
      <c r="D329" s="832" t="str">
        <f t="shared" si="67"/>
        <v>Air-source heat pump</v>
      </c>
      <c r="E329" s="832"/>
      <c r="F329" s="1521"/>
      <c r="G329" s="1523">
        <f t="shared" ref="G329:O329" si="75">(F305*$F232*G$220)/SUMPRODUCT(F$298:F$310,$F$225:$F$237)</f>
        <v>0</v>
      </c>
      <c r="H329" s="1523">
        <f t="shared" si="75"/>
        <v>0</v>
      </c>
      <c r="I329" s="1523">
        <f t="shared" si="75"/>
        <v>0</v>
      </c>
      <c r="J329" s="1524">
        <f t="shared" si="75"/>
        <v>0</v>
      </c>
      <c r="K329" s="1524">
        <f t="shared" si="75"/>
        <v>0</v>
      </c>
      <c r="L329" s="1524">
        <f t="shared" si="75"/>
        <v>0</v>
      </c>
      <c r="M329" s="1524">
        <f t="shared" si="75"/>
        <v>0</v>
      </c>
      <c r="N329" s="1524">
        <f t="shared" si="75"/>
        <v>0</v>
      </c>
      <c r="O329" s="1524">
        <f t="shared" si="75"/>
        <v>0</v>
      </c>
      <c r="P329" s="1158"/>
    </row>
    <row r="330" spans="2:16" ht="15.75" hidden="1" outlineLevel="1">
      <c r="B330" s="1159"/>
      <c r="C330" s="831">
        <v>9</v>
      </c>
      <c r="D330" s="832" t="str">
        <f t="shared" si="67"/>
        <v>Ground-source heat pump</v>
      </c>
      <c r="E330" s="832"/>
      <c r="F330" s="1521"/>
      <c r="G330" s="1523">
        <f t="shared" ref="G330:O330" si="76">(F306*$F233*G$220)/SUMPRODUCT(F$298:F$310,$F$225:$F$237)</f>
        <v>0</v>
      </c>
      <c r="H330" s="1523">
        <f t="shared" si="76"/>
        <v>0</v>
      </c>
      <c r="I330" s="1523">
        <f t="shared" si="76"/>
        <v>0</v>
      </c>
      <c r="J330" s="1524">
        <f t="shared" si="76"/>
        <v>0</v>
      </c>
      <c r="K330" s="1524">
        <f t="shared" si="76"/>
        <v>0</v>
      </c>
      <c r="L330" s="1524">
        <f t="shared" si="76"/>
        <v>0</v>
      </c>
      <c r="M330" s="1524">
        <f t="shared" si="76"/>
        <v>0</v>
      </c>
      <c r="N330" s="1524">
        <f t="shared" si="76"/>
        <v>0</v>
      </c>
      <c r="O330" s="1524">
        <f t="shared" si="76"/>
        <v>0</v>
      </c>
      <c r="P330" s="1158"/>
    </row>
    <row r="331" spans="2:16" ht="15.75" hidden="1" outlineLevel="1">
      <c r="B331" s="1159"/>
      <c r="C331" s="831">
        <v>10</v>
      </c>
      <c r="D331" s="832" t="str">
        <f t="shared" si="67"/>
        <v>Geothermal</v>
      </c>
      <c r="E331" s="832"/>
      <c r="F331" s="1521"/>
      <c r="G331" s="1523">
        <f t="shared" ref="G331:O331" si="77">(F307*$F234*G$220)/SUMPRODUCT(F$298:F$310,$F$225:$F$237)</f>
        <v>0</v>
      </c>
      <c r="H331" s="1523">
        <f t="shared" si="77"/>
        <v>0</v>
      </c>
      <c r="I331" s="1523">
        <f t="shared" si="77"/>
        <v>0</v>
      </c>
      <c r="J331" s="1524">
        <f t="shared" si="77"/>
        <v>0</v>
      </c>
      <c r="K331" s="1524">
        <f t="shared" si="77"/>
        <v>0</v>
      </c>
      <c r="L331" s="1524">
        <f t="shared" si="77"/>
        <v>0</v>
      </c>
      <c r="M331" s="1524">
        <f t="shared" si="77"/>
        <v>0</v>
      </c>
      <c r="N331" s="1524">
        <f t="shared" si="77"/>
        <v>0</v>
      </c>
      <c r="O331" s="1524">
        <f t="shared" si="77"/>
        <v>0</v>
      </c>
      <c r="P331" s="1158"/>
    </row>
    <row r="332" spans="2:16" ht="15.75" hidden="1" outlineLevel="1">
      <c r="B332" s="1159"/>
      <c r="C332" s="831">
        <v>11</v>
      </c>
      <c r="D332" s="832" t="str">
        <f t="shared" si="67"/>
        <v>Community scale gas CHP</v>
      </c>
      <c r="E332" s="832"/>
      <c r="F332" s="1521"/>
      <c r="G332" s="1523">
        <f t="shared" ref="G332:O332" si="78">(F308*$F235*G$220)/SUMPRODUCT(F$298:F$310,$F$225:$F$237)</f>
        <v>0</v>
      </c>
      <c r="H332" s="1523">
        <f t="shared" si="78"/>
        <v>0</v>
      </c>
      <c r="I332" s="1523">
        <f t="shared" si="78"/>
        <v>0</v>
      </c>
      <c r="J332" s="1524">
        <f t="shared" si="78"/>
        <v>0</v>
      </c>
      <c r="K332" s="1524">
        <f t="shared" si="78"/>
        <v>0</v>
      </c>
      <c r="L332" s="1524">
        <f t="shared" si="78"/>
        <v>0</v>
      </c>
      <c r="M332" s="1524">
        <f t="shared" si="78"/>
        <v>0</v>
      </c>
      <c r="N332" s="1524">
        <f t="shared" si="78"/>
        <v>0</v>
      </c>
      <c r="O332" s="1524">
        <f t="shared" si="78"/>
        <v>0</v>
      </c>
      <c r="P332" s="1158"/>
    </row>
    <row r="333" spans="2:16" ht="15.75" hidden="1" outlineLevel="1">
      <c r="B333" s="1159"/>
      <c r="C333" s="831">
        <v>12</v>
      </c>
      <c r="D333" s="832" t="str">
        <f t="shared" si="67"/>
        <v>Community scale solid-fuel CHP</v>
      </c>
      <c r="E333" s="832"/>
      <c r="F333" s="1521"/>
      <c r="G333" s="1523">
        <f t="shared" ref="G333:O333" si="79">(F309*$F236*G$220)/SUMPRODUCT(F$298:F$310,$F$225:$F$237)</f>
        <v>0</v>
      </c>
      <c r="H333" s="1523">
        <f t="shared" si="79"/>
        <v>0</v>
      </c>
      <c r="I333" s="1523">
        <f t="shared" si="79"/>
        <v>0</v>
      </c>
      <c r="J333" s="1524">
        <f t="shared" si="79"/>
        <v>0</v>
      </c>
      <c r="K333" s="1524">
        <f t="shared" si="79"/>
        <v>0</v>
      </c>
      <c r="L333" s="1524">
        <f t="shared" si="79"/>
        <v>0</v>
      </c>
      <c r="M333" s="1524">
        <f t="shared" si="79"/>
        <v>0</v>
      </c>
      <c r="N333" s="1524">
        <f t="shared" si="79"/>
        <v>0</v>
      </c>
      <c r="O333" s="1524">
        <f t="shared" si="79"/>
        <v>0</v>
      </c>
      <c r="P333" s="1158"/>
    </row>
    <row r="334" spans="2:16" ht="15.75" hidden="1" outlineLevel="1">
      <c r="B334" s="1159"/>
      <c r="C334" s="769">
        <v>13</v>
      </c>
      <c r="D334" s="770" t="str">
        <f t="shared" si="67"/>
        <v>District heating from power stations</v>
      </c>
      <c r="E334" s="770"/>
      <c r="F334" s="1522"/>
      <c r="G334" s="1525">
        <f t="shared" ref="G334:O334" si="80">(F310*$F237*G$220)/SUMPRODUCT(F$298:F$310,$F$225:$F$237)</f>
        <v>0</v>
      </c>
      <c r="H334" s="1525">
        <f t="shared" si="80"/>
        <v>0</v>
      </c>
      <c r="I334" s="1525">
        <f t="shared" si="80"/>
        <v>0</v>
      </c>
      <c r="J334" s="1526">
        <f t="shared" si="80"/>
        <v>0</v>
      </c>
      <c r="K334" s="1526">
        <f t="shared" si="80"/>
        <v>0</v>
      </c>
      <c r="L334" s="1526">
        <f t="shared" si="80"/>
        <v>0</v>
      </c>
      <c r="M334" s="1526">
        <f t="shared" si="80"/>
        <v>0</v>
      </c>
      <c r="N334" s="1526">
        <f t="shared" si="80"/>
        <v>0</v>
      </c>
      <c r="O334" s="1526">
        <f t="shared" si="80"/>
        <v>0</v>
      </c>
      <c r="P334" s="1158"/>
    </row>
    <row r="335" spans="2:16" ht="15.75" hidden="1" outlineLevel="1">
      <c r="B335" s="1159"/>
      <c r="C335" s="831"/>
      <c r="D335" s="832" t="s">
        <v>1297</v>
      </c>
      <c r="E335" s="832"/>
      <c r="F335" s="1557"/>
      <c r="G335" s="1557">
        <f t="shared" ref="G335:O335" si="81">SUM(G$322:G$334)</f>
        <v>874800</v>
      </c>
      <c r="H335" s="1557">
        <f t="shared" si="81"/>
        <v>1551600</v>
      </c>
      <c r="I335" s="1557">
        <f t="shared" si="81"/>
        <v>1535800</v>
      </c>
      <c r="J335" s="1557">
        <f t="shared" si="81"/>
        <v>1430000</v>
      </c>
      <c r="K335" s="1557">
        <f t="shared" si="81"/>
        <v>1310000</v>
      </c>
      <c r="L335" s="1557">
        <f t="shared" si="81"/>
        <v>1670313.8885144743</v>
      </c>
      <c r="M335" s="1557">
        <f t="shared" si="81"/>
        <v>1755516.6836503297</v>
      </c>
      <c r="N335" s="1557">
        <f t="shared" si="81"/>
        <v>1845065.677634716</v>
      </c>
      <c r="O335" s="1557">
        <f t="shared" si="81"/>
        <v>1939182.5702886509</v>
      </c>
      <c r="P335" s="1158"/>
    </row>
    <row r="336" spans="2:16" ht="15.75" hidden="1" outlineLevel="1">
      <c r="B336" s="1159"/>
      <c r="C336" s="831"/>
      <c r="D336" s="832"/>
      <c r="E336" s="832"/>
      <c r="F336" s="1557"/>
      <c r="G336" s="1557"/>
      <c r="H336" s="1557"/>
      <c r="I336" s="1557"/>
      <c r="J336" s="1557"/>
      <c r="K336" s="1557"/>
      <c r="L336" s="1557"/>
      <c r="M336" s="1557"/>
      <c r="N336" s="1557"/>
      <c r="O336" s="1557"/>
      <c r="P336" s="1158"/>
    </row>
    <row r="337" spans="2:16" ht="15.75" hidden="1" outlineLevel="1">
      <c r="B337" s="1159"/>
      <c r="C337" s="766" t="s">
        <v>83</v>
      </c>
      <c r="D337" s="766" t="s">
        <v>1252</v>
      </c>
      <c r="E337" s="766" t="s">
        <v>442</v>
      </c>
      <c r="F337" s="923">
        <v>2007</v>
      </c>
      <c r="G337" s="932">
        <v>2010</v>
      </c>
      <c r="H337" s="931">
        <v>2015</v>
      </c>
      <c r="I337" s="931">
        <v>2020</v>
      </c>
      <c r="J337" s="931">
        <v>2025</v>
      </c>
      <c r="K337" s="931">
        <v>2030</v>
      </c>
      <c r="L337" s="931">
        <v>2035</v>
      </c>
      <c r="M337" s="931">
        <v>2040</v>
      </c>
      <c r="N337" s="931">
        <v>2045</v>
      </c>
      <c r="O337" s="931">
        <v>2050</v>
      </c>
      <c r="P337" s="1158"/>
    </row>
    <row r="338" spans="2:16" ht="15.75" hidden="1" outlineLevel="1">
      <c r="B338" s="1159"/>
      <c r="C338" s="831">
        <v>1</v>
      </c>
      <c r="D338" s="832" t="str">
        <f>INDEX($D$95:$D$97, MATCH($C338, $C$95:$C$97, 0))</f>
        <v>Electric air conditioner (old)</v>
      </c>
      <c r="E338" s="832"/>
      <c r="F338" s="1503"/>
      <c r="G338" s="2112">
        <f t="shared" ref="G338:O338" si="82">(F313*$F240*G$220)/SUMPRODUCT(F$313:F$315,$F$240:$F$242)</f>
        <v>0</v>
      </c>
      <c r="H338" s="2113">
        <f t="shared" si="82"/>
        <v>0</v>
      </c>
      <c r="I338" s="2113">
        <f t="shared" si="82"/>
        <v>0</v>
      </c>
      <c r="J338" s="2113">
        <f t="shared" si="82"/>
        <v>0</v>
      </c>
      <c r="K338" s="2113">
        <f t="shared" si="82"/>
        <v>0</v>
      </c>
      <c r="L338" s="2113">
        <f t="shared" si="82"/>
        <v>0</v>
      </c>
      <c r="M338" s="2113">
        <f t="shared" si="82"/>
        <v>0</v>
      </c>
      <c r="N338" s="2113">
        <f t="shared" si="82"/>
        <v>0</v>
      </c>
      <c r="O338" s="2113">
        <f t="shared" si="82"/>
        <v>0</v>
      </c>
      <c r="P338" s="2121"/>
    </row>
    <row r="339" spans="2:16" ht="15.75" hidden="1" outlineLevel="1">
      <c r="B339" s="1159"/>
      <c r="C339" s="831">
        <v>2</v>
      </c>
      <c r="D339" s="832" t="str">
        <f>INDEX($D$95:$D$97, MATCH($C339, $C$95:$C$97, 0))</f>
        <v>Electric air conditioner (new)</v>
      </c>
      <c r="E339" s="832"/>
      <c r="F339" s="1257"/>
      <c r="G339" s="2108">
        <f t="shared" ref="G339:O339" si="83">(F314*$F241*G$220)/SUMPRODUCT(F$313:F$315,$F$240:$F$242)</f>
        <v>874800</v>
      </c>
      <c r="H339" s="1557">
        <f t="shared" si="83"/>
        <v>1551600</v>
      </c>
      <c r="I339" s="1557">
        <f t="shared" si="83"/>
        <v>1535800</v>
      </c>
      <c r="J339" s="2109">
        <f t="shared" si="83"/>
        <v>1430000</v>
      </c>
      <c r="K339" s="2109">
        <f t="shared" si="83"/>
        <v>1310000</v>
      </c>
      <c r="L339" s="2109">
        <f t="shared" si="83"/>
        <v>1670313.888514474</v>
      </c>
      <c r="M339" s="2109">
        <f t="shared" si="83"/>
        <v>1755516.6836503297</v>
      </c>
      <c r="N339" s="2109">
        <f t="shared" si="83"/>
        <v>1845065.677634716</v>
      </c>
      <c r="O339" s="2109">
        <f t="shared" si="83"/>
        <v>1939182.5702886507</v>
      </c>
      <c r="P339" s="1158"/>
    </row>
    <row r="340" spans="2:16" ht="15.75" hidden="1" outlineLevel="1">
      <c r="B340" s="1159"/>
      <c r="C340" s="899">
        <v>3</v>
      </c>
      <c r="D340" s="900" t="str">
        <f>INDEX($D$95:$D$97, MATCH($C340, $C$95:$C$97, 0))</f>
        <v>Absorption chiller</v>
      </c>
      <c r="E340" s="900"/>
      <c r="F340" s="2081"/>
      <c r="G340" s="2110">
        <f t="shared" ref="G340:O340" si="84">(F315*$F242*G$220)/SUMPRODUCT(F$313:F$315,$F$240:$F$242)</f>
        <v>0</v>
      </c>
      <c r="H340" s="2093">
        <f t="shared" si="84"/>
        <v>0</v>
      </c>
      <c r="I340" s="2093">
        <f t="shared" si="84"/>
        <v>0</v>
      </c>
      <c r="J340" s="2111">
        <f t="shared" si="84"/>
        <v>0</v>
      </c>
      <c r="K340" s="2111">
        <f t="shared" si="84"/>
        <v>0</v>
      </c>
      <c r="L340" s="2111">
        <f t="shared" si="84"/>
        <v>0</v>
      </c>
      <c r="M340" s="2111">
        <f t="shared" si="84"/>
        <v>0</v>
      </c>
      <c r="N340" s="2111">
        <f t="shared" si="84"/>
        <v>0</v>
      </c>
      <c r="O340" s="2111">
        <f t="shared" si="84"/>
        <v>0</v>
      </c>
      <c r="P340" s="1158"/>
    </row>
    <row r="341" spans="2:16" ht="15.75" hidden="1" outlineLevel="1">
      <c r="B341" s="1159"/>
      <c r="C341" s="831"/>
      <c r="D341" s="832" t="s">
        <v>1297</v>
      </c>
      <c r="E341" s="832"/>
      <c r="F341" s="2092"/>
      <c r="G341" s="1565">
        <f t="shared" ref="G341:O341" si="85">SUM(G338:G340)</f>
        <v>874800</v>
      </c>
      <c r="H341" s="1565">
        <f t="shared" si="85"/>
        <v>1551600</v>
      </c>
      <c r="I341" s="1565">
        <f t="shared" si="85"/>
        <v>1535800</v>
      </c>
      <c r="J341" s="1565">
        <f t="shared" si="85"/>
        <v>1430000</v>
      </c>
      <c r="K341" s="1565">
        <f t="shared" si="85"/>
        <v>1310000</v>
      </c>
      <c r="L341" s="1565">
        <f t="shared" si="85"/>
        <v>1670313.888514474</v>
      </c>
      <c r="M341" s="1565">
        <f t="shared" si="85"/>
        <v>1755516.6836503297</v>
      </c>
      <c r="N341" s="1565">
        <f t="shared" si="85"/>
        <v>1845065.677634716</v>
      </c>
      <c r="O341" s="1565">
        <f t="shared" si="85"/>
        <v>1939182.5702886507</v>
      </c>
      <c r="P341" s="1158"/>
    </row>
    <row r="342" spans="2:16" ht="15.75" hidden="1" outlineLevel="1">
      <c r="B342" s="1159"/>
      <c r="C342" s="831"/>
      <c r="D342" s="832"/>
      <c r="E342" s="832"/>
      <c r="F342" s="1557"/>
      <c r="G342" s="1557"/>
      <c r="H342" s="1557"/>
      <c r="I342" s="1557"/>
      <c r="J342" s="1557"/>
      <c r="K342" s="1557"/>
      <c r="L342" s="1557"/>
      <c r="M342" s="1557"/>
      <c r="N342" s="1557"/>
      <c r="O342" s="1557"/>
      <c r="P342" s="1158"/>
    </row>
    <row r="343" spans="2:16" s="2102" customFormat="1" ht="15.75" hidden="1" outlineLevel="1">
      <c r="B343" s="2098"/>
      <c r="C343" s="2099"/>
      <c r="D343" s="2100"/>
      <c r="E343" s="2100"/>
      <c r="F343" s="2104"/>
      <c r="G343" s="2104"/>
      <c r="H343" s="2104"/>
      <c r="I343" s="2104"/>
      <c r="J343" s="2104"/>
      <c r="K343" s="2104"/>
      <c r="L343" s="2104"/>
      <c r="M343" s="2104"/>
      <c r="N343" s="2104"/>
      <c r="O343" s="2104"/>
      <c r="P343" s="1222"/>
    </row>
    <row r="344" spans="2:16" ht="15.75" hidden="1" outlineLevel="1">
      <c r="B344" s="1159"/>
      <c r="C344" s="869" t="s">
        <v>1302</v>
      </c>
      <c r="D344" s="832"/>
      <c r="E344" s="870"/>
      <c r="F344" s="847"/>
      <c r="G344" s="864"/>
      <c r="H344" s="864"/>
      <c r="I344" s="864"/>
      <c r="J344" s="864"/>
      <c r="K344" s="864"/>
      <c r="L344" s="864"/>
      <c r="M344" s="864"/>
      <c r="N344" s="864"/>
      <c r="O344" s="867" t="s">
        <v>1303</v>
      </c>
      <c r="P344" s="1158"/>
    </row>
    <row r="345" spans="2:16" ht="5.25" hidden="1" customHeight="1" outlineLevel="1">
      <c r="B345" s="1159"/>
      <c r="C345" s="831"/>
      <c r="D345" s="832"/>
      <c r="E345" s="832"/>
      <c r="F345" s="847"/>
      <c r="G345" s="864"/>
      <c r="H345" s="864"/>
      <c r="I345" s="864"/>
      <c r="J345" s="864"/>
      <c r="K345" s="864"/>
      <c r="L345" s="864"/>
      <c r="M345" s="864"/>
      <c r="N345" s="864"/>
      <c r="O345" s="864"/>
      <c r="P345" s="1158"/>
    </row>
    <row r="346" spans="2:16" ht="15.75" hidden="1" outlineLevel="1">
      <c r="B346" s="1159"/>
      <c r="C346" s="766" t="s">
        <v>83</v>
      </c>
      <c r="D346" s="766" t="s">
        <v>1252</v>
      </c>
      <c r="E346" s="766" t="s">
        <v>442</v>
      </c>
      <c r="F346" s="1520">
        <v>2007</v>
      </c>
      <c r="G346" s="1515">
        <v>2010</v>
      </c>
      <c r="H346" s="1515">
        <v>2015</v>
      </c>
      <c r="I346" s="1515">
        <v>2020</v>
      </c>
      <c r="J346" s="1515">
        <v>2025</v>
      </c>
      <c r="K346" s="1515">
        <v>2030</v>
      </c>
      <c r="L346" s="1515">
        <v>2035</v>
      </c>
      <c r="M346" s="1515">
        <v>2040</v>
      </c>
      <c r="N346" s="1515">
        <v>2045</v>
      </c>
      <c r="O346" s="1515">
        <v>2050</v>
      </c>
      <c r="P346" s="1158"/>
    </row>
    <row r="347" spans="2:16" ht="15.75" hidden="1" outlineLevel="1">
      <c r="B347" s="1159"/>
      <c r="C347" s="831">
        <v>1</v>
      </c>
      <c r="D347" s="832" t="str">
        <f t="shared" ref="D347:D359" si="86">INDEX($D$77:$D$89, MATCH($C347, $C$77:$C$89, 0))</f>
        <v>Gas boiler (old)</v>
      </c>
      <c r="E347" s="832"/>
      <c r="F347" s="1504"/>
      <c r="G347" s="1539">
        <f t="shared" ref="G347:O347" si="87">(F298*$F225*(F$197*(G$196-F$196)-G$220)/SUMPRODUCT(F$298:F$310,$F$225:$F$237))</f>
        <v>0</v>
      </c>
      <c r="H347" s="1539">
        <f t="shared" si="87"/>
        <v>0</v>
      </c>
      <c r="I347" s="1539">
        <f t="shared" si="87"/>
        <v>0</v>
      </c>
      <c r="J347" s="1539">
        <f t="shared" si="87"/>
        <v>0</v>
      </c>
      <c r="K347" s="1539">
        <f t="shared" si="87"/>
        <v>0</v>
      </c>
      <c r="L347" s="1539">
        <f t="shared" si="87"/>
        <v>0</v>
      </c>
      <c r="M347" s="1539">
        <f t="shared" si="87"/>
        <v>0</v>
      </c>
      <c r="N347" s="1539">
        <f t="shared" si="87"/>
        <v>0</v>
      </c>
      <c r="O347" s="1539">
        <f t="shared" si="87"/>
        <v>0</v>
      </c>
      <c r="P347" s="1158"/>
    </row>
    <row r="348" spans="2:16" ht="15.75" hidden="1" outlineLevel="1">
      <c r="B348" s="1159"/>
      <c r="C348" s="831">
        <v>2</v>
      </c>
      <c r="D348" s="832" t="str">
        <f t="shared" si="86"/>
        <v>Gas boiler (new)</v>
      </c>
      <c r="E348" s="832"/>
      <c r="F348" s="1521"/>
      <c r="G348" s="1507">
        <f t="shared" ref="G348:O348" si="88">(F299*$F226*(F$197*(G$196-F$196)-G$220)/SUMPRODUCT(F$298:F$310,$F$225:$F$237))</f>
        <v>2722680</v>
      </c>
      <c r="H348" s="1507">
        <f t="shared" si="88"/>
        <v>4650068.0291522359</v>
      </c>
      <c r="I348" s="1507">
        <f t="shared" si="88"/>
        <v>5012826.9615168991</v>
      </c>
      <c r="J348" s="1507">
        <f t="shared" si="88"/>
        <v>5453036.709084346</v>
      </c>
      <c r="K348" s="1507">
        <f t="shared" si="88"/>
        <v>5882260.396427393</v>
      </c>
      <c r="L348" s="1507">
        <f t="shared" si="88"/>
        <v>5852245.7502044989</v>
      </c>
      <c r="M348" s="1507">
        <f t="shared" si="88"/>
        <v>6150769.0991199352</v>
      </c>
      <c r="N348" s="1507">
        <f t="shared" si="88"/>
        <v>6464520.1390195778</v>
      </c>
      <c r="O348" s="1507">
        <f t="shared" si="88"/>
        <v>6794275.6351834266</v>
      </c>
      <c r="P348" s="1158"/>
    </row>
    <row r="349" spans="2:16" ht="15.75" hidden="1" outlineLevel="1">
      <c r="B349" s="1159"/>
      <c r="C349" s="831">
        <v>3</v>
      </c>
      <c r="D349" s="832" t="str">
        <f t="shared" si="86"/>
        <v>Resisitive heating</v>
      </c>
      <c r="E349" s="832"/>
      <c r="F349" s="1521"/>
      <c r="G349" s="1507">
        <f t="shared" ref="G349:O349" si="89">(F300*$F227*(F$197*(G$196-F$196)-G$220)/SUMPRODUCT(F$298:F$310,$F$225:$F$237))</f>
        <v>302520</v>
      </c>
      <c r="H349" s="1507">
        <f t="shared" si="89"/>
        <v>516674.22546135954</v>
      </c>
      <c r="I349" s="1507">
        <f t="shared" si="89"/>
        <v>556980.77350187767</v>
      </c>
      <c r="J349" s="1507">
        <f t="shared" si="89"/>
        <v>605892.96767603839</v>
      </c>
      <c r="K349" s="1507">
        <f t="shared" si="89"/>
        <v>653584.48849193251</v>
      </c>
      <c r="L349" s="1507">
        <f t="shared" si="89"/>
        <v>650249.52780049993</v>
      </c>
      <c r="M349" s="1507">
        <f t="shared" si="89"/>
        <v>683418.78879110387</v>
      </c>
      <c r="N349" s="1507">
        <f t="shared" si="89"/>
        <v>718280.01544661971</v>
      </c>
      <c r="O349" s="1507">
        <f t="shared" si="89"/>
        <v>754919.51502038073</v>
      </c>
      <c r="P349" s="1158"/>
    </row>
    <row r="350" spans="2:16" ht="15.75" hidden="1" outlineLevel="1">
      <c r="B350" s="1159"/>
      <c r="C350" s="831">
        <v>4</v>
      </c>
      <c r="D350" s="832" t="str">
        <f t="shared" si="86"/>
        <v>Oil-fired boiler</v>
      </c>
      <c r="E350" s="832"/>
      <c r="F350" s="1521"/>
      <c r="G350" s="1507">
        <f t="shared" ref="G350:O350" si="90">(F301*$F228*(F$197*(G$196-F$196)-G$220)/SUMPRODUCT(F$298:F$310,$F$225:$F$237))</f>
        <v>0</v>
      </c>
      <c r="H350" s="1507">
        <f t="shared" si="90"/>
        <v>0</v>
      </c>
      <c r="I350" s="1507">
        <f t="shared" si="90"/>
        <v>0</v>
      </c>
      <c r="J350" s="1507">
        <f t="shared" si="90"/>
        <v>0</v>
      </c>
      <c r="K350" s="1507">
        <f t="shared" si="90"/>
        <v>0</v>
      </c>
      <c r="L350" s="1507">
        <f t="shared" si="90"/>
        <v>0</v>
      </c>
      <c r="M350" s="1507">
        <f t="shared" si="90"/>
        <v>0</v>
      </c>
      <c r="N350" s="1507">
        <f t="shared" si="90"/>
        <v>0</v>
      </c>
      <c r="O350" s="1507">
        <f t="shared" si="90"/>
        <v>0</v>
      </c>
      <c r="P350" s="1158"/>
    </row>
    <row r="351" spans="2:16" ht="15.75" hidden="1" outlineLevel="1">
      <c r="B351" s="1159"/>
      <c r="C351" s="831">
        <v>5</v>
      </c>
      <c r="D351" s="832" t="str">
        <f t="shared" si="86"/>
        <v>Solid-fuel boiler</v>
      </c>
      <c r="E351" s="832"/>
      <c r="F351" s="1521"/>
      <c r="G351" s="1507">
        <f t="shared" ref="G351:O351" si="91">(F302*$F229*(F$197*(G$196-F$196)-G$220)/SUMPRODUCT(F$298:F$310,$F$225:$F$237))</f>
        <v>0</v>
      </c>
      <c r="H351" s="1507">
        <f t="shared" si="91"/>
        <v>0</v>
      </c>
      <c r="I351" s="1507">
        <f t="shared" si="91"/>
        <v>0</v>
      </c>
      <c r="J351" s="1507">
        <f t="shared" si="91"/>
        <v>0</v>
      </c>
      <c r="K351" s="1507">
        <f t="shared" si="91"/>
        <v>0</v>
      </c>
      <c r="L351" s="1507">
        <f t="shared" si="91"/>
        <v>0</v>
      </c>
      <c r="M351" s="1507">
        <f t="shared" si="91"/>
        <v>0</v>
      </c>
      <c r="N351" s="1507">
        <f t="shared" si="91"/>
        <v>0</v>
      </c>
      <c r="O351" s="1507">
        <f t="shared" si="91"/>
        <v>0</v>
      </c>
      <c r="P351" s="1158"/>
    </row>
    <row r="352" spans="2:16" ht="15.75" hidden="1" outlineLevel="1">
      <c r="B352" s="1159"/>
      <c r="C352" s="831">
        <v>6</v>
      </c>
      <c r="D352" s="832" t="str">
        <f t="shared" si="86"/>
        <v>Stirling engine μCHP</v>
      </c>
      <c r="E352" s="832"/>
      <c r="F352" s="1521"/>
      <c r="G352" s="1507">
        <f t="shared" ref="G352:O352" si="92">(F303*$F230*(F$197*(G$196-F$196)-G$220)/SUMPRODUCT(F$298:F$310,$F$225:$F$237))</f>
        <v>0</v>
      </c>
      <c r="H352" s="1507">
        <f t="shared" si="92"/>
        <v>0</v>
      </c>
      <c r="I352" s="1507">
        <f t="shared" si="92"/>
        <v>0</v>
      </c>
      <c r="J352" s="1507">
        <f t="shared" si="92"/>
        <v>0</v>
      </c>
      <c r="K352" s="1507">
        <f t="shared" si="92"/>
        <v>0</v>
      </c>
      <c r="L352" s="1507">
        <f t="shared" si="92"/>
        <v>0</v>
      </c>
      <c r="M352" s="1507">
        <f t="shared" si="92"/>
        <v>0</v>
      </c>
      <c r="N352" s="1507">
        <f t="shared" si="92"/>
        <v>0</v>
      </c>
      <c r="O352" s="1507">
        <f t="shared" si="92"/>
        <v>0</v>
      </c>
      <c r="P352" s="1158"/>
    </row>
    <row r="353" spans="2:16" ht="15.75" hidden="1" outlineLevel="1">
      <c r="B353" s="1159"/>
      <c r="C353" s="831">
        <v>7</v>
      </c>
      <c r="D353" s="1084" t="str">
        <f t="shared" si="86"/>
        <v>Fuel-cell μCHP</v>
      </c>
      <c r="E353" s="832"/>
      <c r="F353" s="1521"/>
      <c r="G353" s="1507">
        <f t="shared" ref="G353:O353" si="93">(F304*$F231*(F$197*(G$196-F$196)-G$220)/SUMPRODUCT(F$298:F$310,$F$225:$F$237))</f>
        <v>0</v>
      </c>
      <c r="H353" s="1507">
        <f t="shared" si="93"/>
        <v>0</v>
      </c>
      <c r="I353" s="1507">
        <f t="shared" si="93"/>
        <v>0</v>
      </c>
      <c r="J353" s="1507">
        <f t="shared" si="93"/>
        <v>0</v>
      </c>
      <c r="K353" s="1507">
        <f t="shared" si="93"/>
        <v>0</v>
      </c>
      <c r="L353" s="1507">
        <f t="shared" si="93"/>
        <v>0</v>
      </c>
      <c r="M353" s="1507">
        <f t="shared" si="93"/>
        <v>0</v>
      </c>
      <c r="N353" s="1507">
        <f t="shared" si="93"/>
        <v>0</v>
      </c>
      <c r="O353" s="1507">
        <f t="shared" si="93"/>
        <v>0</v>
      </c>
      <c r="P353" s="1158"/>
    </row>
    <row r="354" spans="2:16" ht="15.75" hidden="1" outlineLevel="1">
      <c r="B354" s="1159"/>
      <c r="C354" s="831">
        <v>8</v>
      </c>
      <c r="D354" s="832" t="str">
        <f t="shared" si="86"/>
        <v>Air-source heat pump</v>
      </c>
      <c r="E354" s="832"/>
      <c r="F354" s="1521"/>
      <c r="G354" s="1507">
        <f t="shared" ref="G354:O354" si="94">(F305*$F232*(F$197*(G$196-F$196)-G$220)/SUMPRODUCT(F$298:F$310,$F$225:$F$237))</f>
        <v>0</v>
      </c>
      <c r="H354" s="1507">
        <f t="shared" si="94"/>
        <v>0</v>
      </c>
      <c r="I354" s="1507">
        <f t="shared" si="94"/>
        <v>0</v>
      </c>
      <c r="J354" s="1507">
        <f t="shared" si="94"/>
        <v>0</v>
      </c>
      <c r="K354" s="1507">
        <f t="shared" si="94"/>
        <v>0</v>
      </c>
      <c r="L354" s="1507">
        <f t="shared" si="94"/>
        <v>0</v>
      </c>
      <c r="M354" s="1507">
        <f t="shared" si="94"/>
        <v>0</v>
      </c>
      <c r="N354" s="1507">
        <f t="shared" si="94"/>
        <v>0</v>
      </c>
      <c r="O354" s="1507">
        <f t="shared" si="94"/>
        <v>0</v>
      </c>
      <c r="P354" s="1158"/>
    </row>
    <row r="355" spans="2:16" ht="15.75" hidden="1" outlineLevel="1">
      <c r="B355" s="1159"/>
      <c r="C355" s="831">
        <v>9</v>
      </c>
      <c r="D355" s="832" t="str">
        <f t="shared" si="86"/>
        <v>Ground-source heat pump</v>
      </c>
      <c r="E355" s="832"/>
      <c r="F355" s="1521"/>
      <c r="G355" s="1507">
        <f t="shared" ref="G355:O355" si="95">(F306*$F233*(F$197*(G$196-F$196)-G$220)/SUMPRODUCT(F$298:F$310,$F$225:$F$237))</f>
        <v>0</v>
      </c>
      <c r="H355" s="1507">
        <f t="shared" si="95"/>
        <v>0</v>
      </c>
      <c r="I355" s="1507">
        <f t="shared" si="95"/>
        <v>0</v>
      </c>
      <c r="J355" s="1507">
        <f t="shared" si="95"/>
        <v>0</v>
      </c>
      <c r="K355" s="1507">
        <f t="shared" si="95"/>
        <v>0</v>
      </c>
      <c r="L355" s="1507">
        <f t="shared" si="95"/>
        <v>0</v>
      </c>
      <c r="M355" s="1507">
        <f t="shared" si="95"/>
        <v>0</v>
      </c>
      <c r="N355" s="1507">
        <f t="shared" si="95"/>
        <v>0</v>
      </c>
      <c r="O355" s="1507">
        <f t="shared" si="95"/>
        <v>0</v>
      </c>
      <c r="P355" s="1158"/>
    </row>
    <row r="356" spans="2:16" ht="15.75" hidden="1" outlineLevel="1">
      <c r="B356" s="1159"/>
      <c r="C356" s="831">
        <v>10</v>
      </c>
      <c r="D356" s="832" t="str">
        <f t="shared" si="86"/>
        <v>Geothermal</v>
      </c>
      <c r="E356" s="832"/>
      <c r="F356" s="1521"/>
      <c r="G356" s="1507">
        <f t="shared" ref="G356:O356" si="96">(F307*$F234*(F$197*(G$196-F$196)-G$220)/SUMPRODUCT(F$298:F$310,$F$225:$F$237))</f>
        <v>0</v>
      </c>
      <c r="H356" s="1507">
        <f t="shared" si="96"/>
        <v>0</v>
      </c>
      <c r="I356" s="1507">
        <f t="shared" si="96"/>
        <v>0</v>
      </c>
      <c r="J356" s="1507">
        <f t="shared" si="96"/>
        <v>0</v>
      </c>
      <c r="K356" s="1507">
        <f t="shared" si="96"/>
        <v>0</v>
      </c>
      <c r="L356" s="1507">
        <f t="shared" si="96"/>
        <v>0</v>
      </c>
      <c r="M356" s="1507">
        <f t="shared" si="96"/>
        <v>0</v>
      </c>
      <c r="N356" s="1507">
        <f t="shared" si="96"/>
        <v>0</v>
      </c>
      <c r="O356" s="1507">
        <f t="shared" si="96"/>
        <v>0</v>
      </c>
      <c r="P356" s="1158"/>
    </row>
    <row r="357" spans="2:16" ht="15.75" hidden="1" outlineLevel="1">
      <c r="B357" s="1159"/>
      <c r="C357" s="831">
        <v>11</v>
      </c>
      <c r="D357" s="832" t="str">
        <f t="shared" si="86"/>
        <v>Community scale gas CHP</v>
      </c>
      <c r="E357" s="832"/>
      <c r="F357" s="1521"/>
      <c r="G357" s="1507">
        <f t="shared" ref="G357:O357" si="97">(F308*$F235*(F$197*(G$196-F$196)-G$220)/SUMPRODUCT(F$298:F$310,$F$225:$F$237))</f>
        <v>0</v>
      </c>
      <c r="H357" s="1507">
        <f t="shared" si="97"/>
        <v>0</v>
      </c>
      <c r="I357" s="1507">
        <f t="shared" si="97"/>
        <v>0</v>
      </c>
      <c r="J357" s="1507">
        <f t="shared" si="97"/>
        <v>0</v>
      </c>
      <c r="K357" s="1507">
        <f t="shared" si="97"/>
        <v>0</v>
      </c>
      <c r="L357" s="1507">
        <f t="shared" si="97"/>
        <v>0</v>
      </c>
      <c r="M357" s="1507">
        <f t="shared" si="97"/>
        <v>0</v>
      </c>
      <c r="N357" s="1507">
        <f t="shared" si="97"/>
        <v>0</v>
      </c>
      <c r="O357" s="1507">
        <f t="shared" si="97"/>
        <v>0</v>
      </c>
      <c r="P357" s="1158"/>
    </row>
    <row r="358" spans="2:16" ht="15.75" hidden="1" outlineLevel="1">
      <c r="B358" s="1159"/>
      <c r="C358" s="831">
        <v>12</v>
      </c>
      <c r="D358" s="832" t="str">
        <f t="shared" si="86"/>
        <v>Community scale solid-fuel CHP</v>
      </c>
      <c r="E358" s="832"/>
      <c r="F358" s="1521"/>
      <c r="G358" s="1507">
        <f t="shared" ref="G358:O358" si="98">(F309*$F236*(F$197*(G$196-F$196)-G$220)/SUMPRODUCT(F$298:F$310,$F$225:$F$237))</f>
        <v>0</v>
      </c>
      <c r="H358" s="1507">
        <f t="shared" si="98"/>
        <v>0</v>
      </c>
      <c r="I358" s="1507">
        <f t="shared" si="98"/>
        <v>0</v>
      </c>
      <c r="J358" s="1507">
        <f t="shared" si="98"/>
        <v>0</v>
      </c>
      <c r="K358" s="1507">
        <f t="shared" si="98"/>
        <v>0</v>
      </c>
      <c r="L358" s="1507">
        <f t="shared" si="98"/>
        <v>0</v>
      </c>
      <c r="M358" s="1507">
        <f t="shared" si="98"/>
        <v>0</v>
      </c>
      <c r="N358" s="1507">
        <f t="shared" si="98"/>
        <v>0</v>
      </c>
      <c r="O358" s="1507">
        <f t="shared" si="98"/>
        <v>0</v>
      </c>
      <c r="P358" s="1158"/>
    </row>
    <row r="359" spans="2:16" ht="15.75" hidden="1" outlineLevel="1">
      <c r="B359" s="1159"/>
      <c r="C359" s="769">
        <v>13</v>
      </c>
      <c r="D359" s="770" t="str">
        <f t="shared" si="86"/>
        <v>District heating from power stations</v>
      </c>
      <c r="E359" s="770"/>
      <c r="F359" s="1522"/>
      <c r="G359" s="1812">
        <f t="shared" ref="G359:O359" si="99">(F310*$F237*(F$197*(G$196-F$196)-G$220)/SUMPRODUCT(F$298:F$310,$F$225:$F$237))</f>
        <v>0</v>
      </c>
      <c r="H359" s="1510">
        <f t="shared" si="99"/>
        <v>0</v>
      </c>
      <c r="I359" s="1510">
        <f t="shared" si="99"/>
        <v>0</v>
      </c>
      <c r="J359" s="1510">
        <f t="shared" si="99"/>
        <v>0</v>
      </c>
      <c r="K359" s="1510">
        <f t="shared" si="99"/>
        <v>0</v>
      </c>
      <c r="L359" s="1510">
        <f t="shared" si="99"/>
        <v>0</v>
      </c>
      <c r="M359" s="1510">
        <f t="shared" si="99"/>
        <v>0</v>
      </c>
      <c r="N359" s="1510">
        <f t="shared" si="99"/>
        <v>0</v>
      </c>
      <c r="O359" s="1510">
        <f t="shared" si="99"/>
        <v>0</v>
      </c>
      <c r="P359" s="1158"/>
    </row>
    <row r="360" spans="2:16" ht="15.75" hidden="1" outlineLevel="1">
      <c r="B360" s="1159"/>
      <c r="C360" s="831"/>
      <c r="D360" s="832" t="s">
        <v>1304</v>
      </c>
      <c r="E360" s="832"/>
      <c r="F360" s="1507"/>
      <c r="G360" s="1507">
        <f>SUM(G347:G359)</f>
        <v>3025200</v>
      </c>
      <c r="H360" s="1507">
        <f t="shared" ref="H360:O360" si="100">SUM(H347:H359)</f>
        <v>5166742.2546135951</v>
      </c>
      <c r="I360" s="1507">
        <f t="shared" si="100"/>
        <v>5569807.7350187767</v>
      </c>
      <c r="J360" s="1507">
        <f t="shared" si="100"/>
        <v>6058929.6767603848</v>
      </c>
      <c r="K360" s="1507">
        <f t="shared" si="100"/>
        <v>6535844.8849193258</v>
      </c>
      <c r="L360" s="1507">
        <f t="shared" si="100"/>
        <v>6502495.2780049983</v>
      </c>
      <c r="M360" s="1507">
        <f t="shared" si="100"/>
        <v>6834187.8879110394</v>
      </c>
      <c r="N360" s="1507">
        <f t="shared" si="100"/>
        <v>7182800.1544661978</v>
      </c>
      <c r="O360" s="1507">
        <f t="shared" si="100"/>
        <v>7549195.1502038073</v>
      </c>
      <c r="P360" s="1158"/>
    </row>
    <row r="361" spans="2:16" ht="15.75" hidden="1" outlineLevel="1">
      <c r="B361" s="1159"/>
      <c r="C361" s="831"/>
      <c r="D361" s="832"/>
      <c r="E361" s="832"/>
      <c r="F361" s="1507"/>
      <c r="G361" s="1507"/>
      <c r="H361" s="1507"/>
      <c r="I361" s="1507"/>
      <c r="J361" s="1507"/>
      <c r="K361" s="1507"/>
      <c r="L361" s="1507"/>
      <c r="M361" s="1507"/>
      <c r="N361" s="1507"/>
      <c r="O361" s="1507"/>
      <c r="P361" s="1158"/>
    </row>
    <row r="362" spans="2:16" ht="15.75" hidden="1" outlineLevel="1">
      <c r="B362" s="1159"/>
      <c r="C362" s="766" t="s">
        <v>83</v>
      </c>
      <c r="D362" s="766" t="s">
        <v>1252</v>
      </c>
      <c r="E362" s="766" t="s">
        <v>442</v>
      </c>
      <c r="F362" s="923">
        <v>2007</v>
      </c>
      <c r="G362" s="932">
        <v>2010</v>
      </c>
      <c r="H362" s="931">
        <v>2015</v>
      </c>
      <c r="I362" s="931">
        <v>2020</v>
      </c>
      <c r="J362" s="931">
        <v>2025</v>
      </c>
      <c r="K362" s="931">
        <v>2030</v>
      </c>
      <c r="L362" s="931">
        <v>2035</v>
      </c>
      <c r="M362" s="931">
        <v>2040</v>
      </c>
      <c r="N362" s="931">
        <v>2045</v>
      </c>
      <c r="O362" s="931">
        <v>2050</v>
      </c>
      <c r="P362" s="1158"/>
    </row>
    <row r="363" spans="2:16" ht="15.75" hidden="1" outlineLevel="1">
      <c r="B363" s="1159"/>
      <c r="C363" s="831">
        <v>1</v>
      </c>
      <c r="D363" s="832" t="str">
        <f>INDEX($D$95:$D$97, MATCH($C363, $C$95:$C$97, 0))</f>
        <v>Electric air conditioner (old)</v>
      </c>
      <c r="E363" s="832"/>
      <c r="F363" s="1503"/>
      <c r="G363" s="2112">
        <f t="shared" ref="G363:O363" si="101">MAX((F313*$F240*(F$198*(G$196-F$196)-G$220)/SUMPRODUCT(F$313:F$315,$F$240:$F$242)), 0)</f>
        <v>0</v>
      </c>
      <c r="H363" s="2113">
        <f t="shared" si="101"/>
        <v>0</v>
      </c>
      <c r="I363" s="2113">
        <f t="shared" si="101"/>
        <v>0</v>
      </c>
      <c r="J363" s="2113">
        <f t="shared" si="101"/>
        <v>0</v>
      </c>
      <c r="K363" s="2113">
        <f t="shared" si="101"/>
        <v>0</v>
      </c>
      <c r="L363" s="2113">
        <f t="shared" si="101"/>
        <v>0</v>
      </c>
      <c r="M363" s="2113">
        <f t="shared" si="101"/>
        <v>0</v>
      </c>
      <c r="N363" s="2113">
        <f t="shared" si="101"/>
        <v>0</v>
      </c>
      <c r="O363" s="2113">
        <f t="shared" si="101"/>
        <v>0</v>
      </c>
      <c r="P363" s="1158"/>
    </row>
    <row r="364" spans="2:16" ht="15.75" hidden="1" outlineLevel="1">
      <c r="B364" s="1159"/>
      <c r="C364" s="831">
        <v>2</v>
      </c>
      <c r="D364" s="832" t="str">
        <f>INDEX($D$95:$D$97, MATCH($C364, $C$95:$C$97, 0))</f>
        <v>Electric air conditioner (new)</v>
      </c>
      <c r="E364" s="832"/>
      <c r="F364" s="1257"/>
      <c r="G364" s="2114">
        <f t="shared" ref="G364:O364" si="102">MAX((F314*$F241*(F$198*(G$196-F$196)-G$220)/SUMPRODUCT(F$313:F$315,$F$240:$F$242)), 0)</f>
        <v>3025200</v>
      </c>
      <c r="H364" s="2115">
        <f t="shared" si="102"/>
        <v>5166742.2546135951</v>
      </c>
      <c r="I364" s="2115">
        <f t="shared" si="102"/>
        <v>5569807.7350187767</v>
      </c>
      <c r="J364" s="2116">
        <f t="shared" si="102"/>
        <v>6058929.6767603839</v>
      </c>
      <c r="K364" s="2116">
        <f t="shared" si="102"/>
        <v>6535844.8849193249</v>
      </c>
      <c r="L364" s="2116">
        <f t="shared" si="102"/>
        <v>6502495.2780049983</v>
      </c>
      <c r="M364" s="2116">
        <f t="shared" si="102"/>
        <v>6834187.8879110385</v>
      </c>
      <c r="N364" s="2116">
        <f t="shared" si="102"/>
        <v>7182800.1544661969</v>
      </c>
      <c r="O364" s="2116">
        <f t="shared" si="102"/>
        <v>7549195.1502038073</v>
      </c>
      <c r="P364" s="1158"/>
    </row>
    <row r="365" spans="2:16" ht="15.75" hidden="1" outlineLevel="1">
      <c r="B365" s="1159"/>
      <c r="C365" s="899">
        <v>3</v>
      </c>
      <c r="D365" s="900" t="str">
        <f>INDEX($D$95:$D$97, MATCH($C365, $C$95:$C$97, 0))</f>
        <v>Absorption chiller</v>
      </c>
      <c r="E365" s="900"/>
      <c r="F365" s="2081"/>
      <c r="G365" s="2117">
        <f t="shared" ref="G365:O365" si="103">MAX((F315*$F242*(F$198*(G$196-F$196)-G$220)/SUMPRODUCT(F$313:F$315,$F$240:$F$242)), 0)</f>
        <v>0</v>
      </c>
      <c r="H365" s="2118">
        <f t="shared" si="103"/>
        <v>0</v>
      </c>
      <c r="I365" s="2118">
        <f t="shared" si="103"/>
        <v>0</v>
      </c>
      <c r="J365" s="2119">
        <f t="shared" si="103"/>
        <v>0</v>
      </c>
      <c r="K365" s="2119">
        <f t="shared" si="103"/>
        <v>0</v>
      </c>
      <c r="L365" s="2119">
        <f t="shared" si="103"/>
        <v>0</v>
      </c>
      <c r="M365" s="2119">
        <f t="shared" si="103"/>
        <v>0</v>
      </c>
      <c r="N365" s="2119">
        <f t="shared" si="103"/>
        <v>0</v>
      </c>
      <c r="O365" s="2119">
        <f t="shared" si="103"/>
        <v>0</v>
      </c>
      <c r="P365" s="1158"/>
    </row>
    <row r="366" spans="2:16" ht="15.75" hidden="1" outlineLevel="1">
      <c r="B366" s="1159"/>
      <c r="C366" s="831"/>
      <c r="D366" s="832" t="s">
        <v>1304</v>
      </c>
      <c r="E366" s="832"/>
      <c r="F366" s="2092"/>
      <c r="G366" s="2120">
        <f t="shared" ref="G366:O366" si="104">SUM(G363:G365)</f>
        <v>3025200</v>
      </c>
      <c r="H366" s="2120">
        <f t="shared" si="104"/>
        <v>5166742.2546135951</v>
      </c>
      <c r="I366" s="2120">
        <f t="shared" si="104"/>
        <v>5569807.7350187767</v>
      </c>
      <c r="J366" s="2120">
        <f t="shared" si="104"/>
        <v>6058929.6767603839</v>
      </c>
      <c r="K366" s="2120">
        <f t="shared" si="104"/>
        <v>6535844.8849193249</v>
      </c>
      <c r="L366" s="2120">
        <f t="shared" si="104"/>
        <v>6502495.2780049983</v>
      </c>
      <c r="M366" s="2120">
        <f t="shared" si="104"/>
        <v>6834187.8879110385</v>
      </c>
      <c r="N366" s="2120">
        <f t="shared" si="104"/>
        <v>7182800.1544661969</v>
      </c>
      <c r="O366" s="2120">
        <f t="shared" si="104"/>
        <v>7549195.1502038073</v>
      </c>
      <c r="P366" s="1158"/>
    </row>
    <row r="367" spans="2:16" ht="15.75" hidden="1" outlineLevel="1">
      <c r="B367" s="1159"/>
      <c r="C367" s="831"/>
      <c r="D367" s="832"/>
      <c r="E367" s="832"/>
      <c r="F367" s="1507"/>
      <c r="G367" s="1507"/>
      <c r="H367" s="1507"/>
      <c r="I367" s="1507"/>
      <c r="J367" s="1507"/>
      <c r="K367" s="1507"/>
      <c r="L367" s="1507"/>
      <c r="M367" s="1507"/>
      <c r="N367" s="1507"/>
      <c r="O367" s="1507"/>
      <c r="P367" s="1158"/>
    </row>
    <row r="368" spans="2:16" s="2102" customFormat="1" ht="15.75" hidden="1" outlineLevel="1">
      <c r="B368" s="2098"/>
      <c r="C368" s="2099"/>
      <c r="D368" s="2100"/>
      <c r="E368" s="2100"/>
      <c r="F368" s="2105"/>
      <c r="G368" s="2105"/>
      <c r="H368" s="2105"/>
      <c r="I368" s="2105"/>
      <c r="J368" s="2105"/>
      <c r="K368" s="2105"/>
      <c r="L368" s="2105"/>
      <c r="M368" s="2105"/>
      <c r="N368" s="2105"/>
      <c r="O368" s="2105"/>
      <c r="P368" s="1222"/>
    </row>
    <row r="369" spans="2:16" hidden="1" outlineLevel="1">
      <c r="B369" s="1157"/>
      <c r="C369" s="869" t="s">
        <v>1305</v>
      </c>
      <c r="D369" s="832"/>
      <c r="E369" s="870"/>
      <c r="F369" s="847"/>
      <c r="G369" s="864"/>
      <c r="H369" s="864"/>
      <c r="I369" s="864"/>
      <c r="J369" s="864"/>
      <c r="K369" s="864"/>
      <c r="L369" s="864"/>
      <c r="M369" s="864"/>
      <c r="N369" s="864"/>
      <c r="O369" s="867" t="s">
        <v>1303</v>
      </c>
      <c r="P369" s="1158"/>
    </row>
    <row r="370" spans="2:16" ht="5.25" hidden="1" customHeight="1" outlineLevel="1">
      <c r="B370" s="1157"/>
      <c r="C370" s="831"/>
      <c r="D370" s="832"/>
      <c r="E370" s="832"/>
      <c r="F370" s="847"/>
      <c r="G370" s="864"/>
      <c r="H370" s="864"/>
      <c r="I370" s="864"/>
      <c r="J370" s="864"/>
      <c r="K370" s="864"/>
      <c r="L370" s="864"/>
      <c r="M370" s="864"/>
      <c r="N370" s="864"/>
      <c r="O370" s="864"/>
      <c r="P370" s="1158"/>
    </row>
    <row r="371" spans="2:16" ht="15.75" hidden="1" outlineLevel="1">
      <c r="B371" s="1159"/>
      <c r="C371" s="766" t="s">
        <v>83</v>
      </c>
      <c r="D371" s="766" t="s">
        <v>1252</v>
      </c>
      <c r="E371" s="766" t="s">
        <v>442</v>
      </c>
      <c r="F371" s="1520">
        <v>2007</v>
      </c>
      <c r="G371" s="1515">
        <v>2010</v>
      </c>
      <c r="H371" s="1515">
        <v>2015</v>
      </c>
      <c r="I371" s="1515">
        <v>2020</v>
      </c>
      <c r="J371" s="1515">
        <v>2025</v>
      </c>
      <c r="K371" s="1515">
        <v>2030</v>
      </c>
      <c r="L371" s="1515">
        <v>2035</v>
      </c>
      <c r="M371" s="1515">
        <v>2040</v>
      </c>
      <c r="N371" s="1515">
        <v>2045</v>
      </c>
      <c r="O371" s="1515">
        <v>2050</v>
      </c>
      <c r="P371" s="1158"/>
    </row>
    <row r="372" spans="2:16" ht="15.75" hidden="1" outlineLevel="1">
      <c r="B372" s="1159"/>
      <c r="C372" s="831">
        <v>1</v>
      </c>
      <c r="D372" s="832" t="str">
        <f t="shared" ref="D372:D384" si="105">INDEX($D$77:$D$89, MATCH($C372, $C$77:$C$89, 0))</f>
        <v>Gas boiler (old)</v>
      </c>
      <c r="E372" s="832"/>
      <c r="F372" s="1504"/>
      <c r="G372" s="1506">
        <f t="shared" ref="G372:O372" si="106">G$360/F$286*F273</f>
        <v>2026884</v>
      </c>
      <c r="H372" s="1506">
        <f t="shared" si="106"/>
        <v>2960157.0740413181</v>
      </c>
      <c r="I372" s="1506">
        <f t="shared" si="106"/>
        <v>2438026.0721257613</v>
      </c>
      <c r="J372" s="1506">
        <f t="shared" si="106"/>
        <v>2024060.4588649063</v>
      </c>
      <c r="K372" s="1506">
        <f t="shared" si="106"/>
        <v>1663218.2058006325</v>
      </c>
      <c r="L372" s="1506">
        <f t="shared" si="106"/>
        <v>1258248.2043125676</v>
      </c>
      <c r="M372" s="1506">
        <f t="shared" si="106"/>
        <v>1008384.0119186374</v>
      </c>
      <c r="N372" s="1506">
        <f t="shared" si="106"/>
        <v>808138.10185301909</v>
      </c>
      <c r="O372" s="1506">
        <f t="shared" si="106"/>
        <v>647657.22576658183</v>
      </c>
      <c r="P372" s="1158"/>
    </row>
    <row r="373" spans="2:16" ht="15.75" hidden="1" outlineLevel="1">
      <c r="B373" s="1159"/>
      <c r="C373" s="831">
        <v>2</v>
      </c>
      <c r="D373" s="832" t="str">
        <f t="shared" si="105"/>
        <v>Gas boiler (new)</v>
      </c>
      <c r="E373" s="832"/>
      <c r="F373" s="1521"/>
      <c r="G373" s="1507">
        <f t="shared" ref="G373:O373" si="107">G$360/F$286*F274</f>
        <v>453780</v>
      </c>
      <c r="H373" s="1507">
        <f t="shared" si="107"/>
        <v>1336459.3641806103</v>
      </c>
      <c r="I373" s="1507">
        <f t="shared" si="107"/>
        <v>2283693.298689554</v>
      </c>
      <c r="J373" s="1508">
        <f t="shared" si="107"/>
        <v>3187297.3894594517</v>
      </c>
      <c r="K373" s="1508">
        <f t="shared" si="107"/>
        <v>4020448.9720237004</v>
      </c>
      <c r="L373" s="1508">
        <f t="shared" si="107"/>
        <v>4443758.9543322213</v>
      </c>
      <c r="M373" s="1508">
        <f t="shared" si="107"/>
        <v>5021981.0260766847</v>
      </c>
      <c r="N373" s="1508">
        <f t="shared" si="107"/>
        <v>5559887.9354527658</v>
      </c>
      <c r="O373" s="1508">
        <f t="shared" si="107"/>
        <v>6069286.2033551624</v>
      </c>
      <c r="P373" s="1158"/>
    </row>
    <row r="374" spans="2:16" ht="15.75" hidden="1" outlineLevel="1">
      <c r="B374" s="1159"/>
      <c r="C374" s="831">
        <v>3</v>
      </c>
      <c r="D374" s="832" t="str">
        <f t="shared" si="105"/>
        <v>Resisitive heating</v>
      </c>
      <c r="E374" s="832"/>
      <c r="F374" s="1521"/>
      <c r="G374" s="1507">
        <f t="shared" ref="G374:O374" si="108">G$360/F$286*F275</f>
        <v>302520</v>
      </c>
      <c r="H374" s="1507">
        <f t="shared" si="108"/>
        <v>516674.22546135949</v>
      </c>
      <c r="I374" s="1507">
        <f t="shared" si="108"/>
        <v>556980.77350187756</v>
      </c>
      <c r="J374" s="1508">
        <f t="shared" si="108"/>
        <v>605892.9676760385</v>
      </c>
      <c r="K374" s="1508">
        <f t="shared" si="108"/>
        <v>653584.48849193263</v>
      </c>
      <c r="L374" s="1508">
        <f t="shared" si="108"/>
        <v>650249.52780049981</v>
      </c>
      <c r="M374" s="1508">
        <f t="shared" si="108"/>
        <v>683418.78879110399</v>
      </c>
      <c r="N374" s="1508">
        <f t="shared" si="108"/>
        <v>718280.01544661983</v>
      </c>
      <c r="O374" s="1508">
        <f t="shared" si="108"/>
        <v>754919.51502038061</v>
      </c>
      <c r="P374" s="1158"/>
    </row>
    <row r="375" spans="2:16" ht="15.75" hidden="1" outlineLevel="1">
      <c r="B375" s="1159"/>
      <c r="C375" s="831">
        <v>4</v>
      </c>
      <c r="D375" s="832" t="str">
        <f t="shared" si="105"/>
        <v>Oil-fired boiler</v>
      </c>
      <c r="E375" s="832"/>
      <c r="F375" s="1521"/>
      <c r="G375" s="1507">
        <f t="shared" ref="G375:O375" si="109">G$360/F$286*F276</f>
        <v>121008</v>
      </c>
      <c r="H375" s="1507">
        <f t="shared" si="109"/>
        <v>176725.79546515332</v>
      </c>
      <c r="I375" s="1507">
        <f t="shared" si="109"/>
        <v>145553.79535079174</v>
      </c>
      <c r="J375" s="1508">
        <f t="shared" si="109"/>
        <v>120839.4303799944</v>
      </c>
      <c r="K375" s="1508">
        <f t="shared" si="109"/>
        <v>99296.609301530305</v>
      </c>
      <c r="L375" s="1508">
        <f t="shared" si="109"/>
        <v>75119.295779854787</v>
      </c>
      <c r="M375" s="1508">
        <f t="shared" si="109"/>
        <v>60202.030562306703</v>
      </c>
      <c r="N375" s="1508">
        <f t="shared" si="109"/>
        <v>48247.050856896654</v>
      </c>
      <c r="O375" s="1508">
        <f t="shared" si="109"/>
        <v>38666.103030840699</v>
      </c>
      <c r="P375" s="1158"/>
    </row>
    <row r="376" spans="2:16" ht="15.75" hidden="1" outlineLevel="1">
      <c r="B376" s="1159"/>
      <c r="C376" s="831">
        <v>5</v>
      </c>
      <c r="D376" s="832" t="str">
        <f t="shared" si="105"/>
        <v>Solid-fuel boiler</v>
      </c>
      <c r="E376" s="832"/>
      <c r="F376" s="1521"/>
      <c r="G376" s="1507">
        <f t="shared" ref="G376:O376" si="110">G$360/F$286*F277</f>
        <v>121008</v>
      </c>
      <c r="H376" s="1507">
        <f t="shared" si="110"/>
        <v>176725.79546515332</v>
      </c>
      <c r="I376" s="1507">
        <f t="shared" si="110"/>
        <v>145553.79535079174</v>
      </c>
      <c r="J376" s="1508">
        <f t="shared" si="110"/>
        <v>120839.4303799944</v>
      </c>
      <c r="K376" s="1508">
        <f t="shared" si="110"/>
        <v>99296.609301530305</v>
      </c>
      <c r="L376" s="1508">
        <f t="shared" si="110"/>
        <v>75119.295779854787</v>
      </c>
      <c r="M376" s="1508">
        <f t="shared" si="110"/>
        <v>60202.030562306703</v>
      </c>
      <c r="N376" s="1508">
        <f t="shared" si="110"/>
        <v>48247.050856896654</v>
      </c>
      <c r="O376" s="1508">
        <f t="shared" si="110"/>
        <v>38666.103030840699</v>
      </c>
      <c r="P376" s="1158"/>
    </row>
    <row r="377" spans="2:16" ht="15.75" hidden="1" outlineLevel="1">
      <c r="B377" s="1159"/>
      <c r="C377" s="831">
        <v>6</v>
      </c>
      <c r="D377" s="832" t="str">
        <f t="shared" si="105"/>
        <v>Stirling engine μCHP</v>
      </c>
      <c r="E377" s="832"/>
      <c r="F377" s="1521"/>
      <c r="G377" s="1507">
        <f t="shared" ref="G377:O377" si="111">G$360/F$286*F278</f>
        <v>0</v>
      </c>
      <c r="H377" s="1507">
        <f t="shared" si="111"/>
        <v>0</v>
      </c>
      <c r="I377" s="1507">
        <f t="shared" si="111"/>
        <v>0</v>
      </c>
      <c r="J377" s="1508">
        <f t="shared" si="111"/>
        <v>0</v>
      </c>
      <c r="K377" s="1508">
        <f t="shared" si="111"/>
        <v>0</v>
      </c>
      <c r="L377" s="1508">
        <f t="shared" si="111"/>
        <v>0</v>
      </c>
      <c r="M377" s="1508">
        <f t="shared" si="111"/>
        <v>0</v>
      </c>
      <c r="N377" s="1508">
        <f t="shared" si="111"/>
        <v>0</v>
      </c>
      <c r="O377" s="1508">
        <f t="shared" si="111"/>
        <v>0</v>
      </c>
      <c r="P377" s="1158"/>
    </row>
    <row r="378" spans="2:16" ht="15.75" hidden="1" outlineLevel="1">
      <c r="B378" s="1159"/>
      <c r="C378" s="831">
        <v>7</v>
      </c>
      <c r="D378" s="1084" t="str">
        <f t="shared" si="105"/>
        <v>Fuel-cell μCHP</v>
      </c>
      <c r="E378" s="832"/>
      <c r="F378" s="1521"/>
      <c r="G378" s="1507">
        <f t="shared" ref="G378:O378" si="112">G$360/F$286*F279</f>
        <v>0</v>
      </c>
      <c r="H378" s="1507">
        <f t="shared" si="112"/>
        <v>0</v>
      </c>
      <c r="I378" s="1507">
        <f t="shared" si="112"/>
        <v>0</v>
      </c>
      <c r="J378" s="1508">
        <f t="shared" si="112"/>
        <v>0</v>
      </c>
      <c r="K378" s="1508">
        <f t="shared" si="112"/>
        <v>0</v>
      </c>
      <c r="L378" s="1508">
        <f t="shared" si="112"/>
        <v>0</v>
      </c>
      <c r="M378" s="1508">
        <f t="shared" si="112"/>
        <v>0</v>
      </c>
      <c r="N378" s="1508">
        <f t="shared" si="112"/>
        <v>0</v>
      </c>
      <c r="O378" s="1508">
        <f t="shared" si="112"/>
        <v>0</v>
      </c>
      <c r="P378" s="1158"/>
    </row>
    <row r="379" spans="2:16" ht="15.75" hidden="1" outlineLevel="1">
      <c r="B379" s="1159"/>
      <c r="C379" s="831">
        <v>8</v>
      </c>
      <c r="D379" s="832" t="str">
        <f t="shared" si="105"/>
        <v>Air-source heat pump</v>
      </c>
      <c r="E379" s="832"/>
      <c r="F379" s="1521"/>
      <c r="G379" s="1509">
        <f t="shared" ref="G379:O379" si="113">G$360/F$286*F280</f>
        <v>0</v>
      </c>
      <c r="H379" s="1507">
        <f t="shared" si="113"/>
        <v>0</v>
      </c>
      <c r="I379" s="1509">
        <f t="shared" si="113"/>
        <v>0</v>
      </c>
      <c r="J379" s="1508">
        <f t="shared" si="113"/>
        <v>0</v>
      </c>
      <c r="K379" s="1508">
        <f t="shared" si="113"/>
        <v>0</v>
      </c>
      <c r="L379" s="1508">
        <f t="shared" si="113"/>
        <v>0</v>
      </c>
      <c r="M379" s="1508">
        <f t="shared" si="113"/>
        <v>0</v>
      </c>
      <c r="N379" s="1508">
        <f t="shared" si="113"/>
        <v>0</v>
      </c>
      <c r="O379" s="1508">
        <f t="shared" si="113"/>
        <v>0</v>
      </c>
      <c r="P379" s="1158"/>
    </row>
    <row r="380" spans="2:16" ht="15.75" hidden="1" outlineLevel="1">
      <c r="B380" s="1159"/>
      <c r="C380" s="831">
        <v>9</v>
      </c>
      <c r="D380" s="832" t="str">
        <f t="shared" si="105"/>
        <v>Ground-source heat pump</v>
      </c>
      <c r="E380" s="832"/>
      <c r="F380" s="1521"/>
      <c r="G380" s="1509">
        <f t="shared" ref="G380:O380" si="114">G$360/F$286*F281</f>
        <v>0</v>
      </c>
      <c r="H380" s="1507">
        <f t="shared" si="114"/>
        <v>0</v>
      </c>
      <c r="I380" s="1509">
        <f t="shared" si="114"/>
        <v>0</v>
      </c>
      <c r="J380" s="1508">
        <f t="shared" si="114"/>
        <v>0</v>
      </c>
      <c r="K380" s="1508">
        <f t="shared" si="114"/>
        <v>0</v>
      </c>
      <c r="L380" s="1508">
        <f t="shared" si="114"/>
        <v>0</v>
      </c>
      <c r="M380" s="1508">
        <f t="shared" si="114"/>
        <v>0</v>
      </c>
      <c r="N380" s="1508">
        <f t="shared" si="114"/>
        <v>0</v>
      </c>
      <c r="O380" s="1508">
        <f t="shared" si="114"/>
        <v>0</v>
      </c>
      <c r="P380" s="1158"/>
    </row>
    <row r="381" spans="2:16" ht="15.75" hidden="1" outlineLevel="1">
      <c r="B381" s="1159"/>
      <c r="C381" s="831">
        <v>10</v>
      </c>
      <c r="D381" s="832" t="str">
        <f t="shared" si="105"/>
        <v>Geothermal</v>
      </c>
      <c r="E381" s="832"/>
      <c r="F381" s="1521"/>
      <c r="G381" s="1509">
        <f t="shared" ref="G381:O381" si="115">G$360/F$286*F282</f>
        <v>0</v>
      </c>
      <c r="H381" s="1507">
        <f t="shared" si="115"/>
        <v>0</v>
      </c>
      <c r="I381" s="1509">
        <f t="shared" si="115"/>
        <v>0</v>
      </c>
      <c r="J381" s="1508">
        <f t="shared" si="115"/>
        <v>0</v>
      </c>
      <c r="K381" s="1508">
        <f t="shared" si="115"/>
        <v>0</v>
      </c>
      <c r="L381" s="1508">
        <f t="shared" si="115"/>
        <v>0</v>
      </c>
      <c r="M381" s="1508">
        <f t="shared" si="115"/>
        <v>0</v>
      </c>
      <c r="N381" s="1508">
        <f t="shared" si="115"/>
        <v>0</v>
      </c>
      <c r="O381" s="1508">
        <f t="shared" si="115"/>
        <v>0</v>
      </c>
      <c r="P381" s="1158"/>
    </row>
    <row r="382" spans="2:16" ht="15.75" hidden="1" outlineLevel="1">
      <c r="B382" s="1159"/>
      <c r="C382" s="831">
        <v>11</v>
      </c>
      <c r="D382" s="832" t="str">
        <f t="shared" si="105"/>
        <v>Community scale gas CHP</v>
      </c>
      <c r="E382" s="832"/>
      <c r="F382" s="1521"/>
      <c r="G382" s="1509">
        <f t="shared" ref="G382:O382" si="116">G$360/F$286*F283</f>
        <v>0</v>
      </c>
      <c r="H382" s="1507">
        <f t="shared" si="116"/>
        <v>0</v>
      </c>
      <c r="I382" s="1509">
        <f t="shared" si="116"/>
        <v>0</v>
      </c>
      <c r="J382" s="1508">
        <f t="shared" si="116"/>
        <v>0</v>
      </c>
      <c r="K382" s="1508">
        <f t="shared" si="116"/>
        <v>0</v>
      </c>
      <c r="L382" s="1508">
        <f t="shared" si="116"/>
        <v>0</v>
      </c>
      <c r="M382" s="1508">
        <f t="shared" si="116"/>
        <v>0</v>
      </c>
      <c r="N382" s="1508">
        <f t="shared" si="116"/>
        <v>0</v>
      </c>
      <c r="O382" s="1508">
        <f t="shared" si="116"/>
        <v>0</v>
      </c>
      <c r="P382" s="1158"/>
    </row>
    <row r="383" spans="2:16" ht="15.75" hidden="1" outlineLevel="1">
      <c r="B383" s="1159"/>
      <c r="C383" s="831">
        <v>12</v>
      </c>
      <c r="D383" s="832" t="str">
        <f t="shared" si="105"/>
        <v>Community scale solid-fuel CHP</v>
      </c>
      <c r="E383" s="832"/>
      <c r="F383" s="1521"/>
      <c r="G383" s="1509">
        <f t="shared" ref="G383:O383" si="117">G$360/F$286*F284</f>
        <v>0</v>
      </c>
      <c r="H383" s="1507">
        <f t="shared" si="117"/>
        <v>0</v>
      </c>
      <c r="I383" s="1509">
        <f t="shared" si="117"/>
        <v>0</v>
      </c>
      <c r="J383" s="1508">
        <f t="shared" si="117"/>
        <v>0</v>
      </c>
      <c r="K383" s="1508">
        <f t="shared" si="117"/>
        <v>0</v>
      </c>
      <c r="L383" s="1508">
        <f t="shared" si="117"/>
        <v>0</v>
      </c>
      <c r="M383" s="1508">
        <f t="shared" si="117"/>
        <v>0</v>
      </c>
      <c r="N383" s="1508">
        <f t="shared" si="117"/>
        <v>0</v>
      </c>
      <c r="O383" s="1508">
        <f t="shared" si="117"/>
        <v>0</v>
      </c>
      <c r="P383" s="1158"/>
    </row>
    <row r="384" spans="2:16" ht="15.75" hidden="1" outlineLevel="1">
      <c r="B384" s="1159"/>
      <c r="C384" s="769">
        <v>13</v>
      </c>
      <c r="D384" s="770" t="str">
        <f t="shared" si="105"/>
        <v>District heating from power stations</v>
      </c>
      <c r="E384" s="770"/>
      <c r="F384" s="1522"/>
      <c r="G384" s="1511">
        <f t="shared" ref="G384:O384" si="118">G$360/F$286*F285</f>
        <v>0</v>
      </c>
      <c r="H384" s="1510">
        <f t="shared" si="118"/>
        <v>0</v>
      </c>
      <c r="I384" s="1511">
        <f t="shared" si="118"/>
        <v>0</v>
      </c>
      <c r="J384" s="1512">
        <f t="shared" si="118"/>
        <v>0</v>
      </c>
      <c r="K384" s="1512">
        <f t="shared" si="118"/>
        <v>0</v>
      </c>
      <c r="L384" s="1512">
        <f t="shared" si="118"/>
        <v>0</v>
      </c>
      <c r="M384" s="1512">
        <f t="shared" si="118"/>
        <v>0</v>
      </c>
      <c r="N384" s="1512">
        <f t="shared" si="118"/>
        <v>0</v>
      </c>
      <c r="O384" s="1512">
        <f t="shared" si="118"/>
        <v>0</v>
      </c>
      <c r="P384" s="1158"/>
    </row>
    <row r="385" spans="1:24" ht="15.75" hidden="1" outlineLevel="1">
      <c r="B385" s="1159"/>
      <c r="C385" s="864"/>
      <c r="D385" s="864" t="s">
        <v>1306</v>
      </c>
      <c r="E385" s="864"/>
      <c r="F385" s="864"/>
      <c r="G385" s="1565">
        <f t="shared" ref="G385:O385" si="119">SUM(G372:G384)</f>
        <v>3025200</v>
      </c>
      <c r="H385" s="1501">
        <f t="shared" si="119"/>
        <v>5166742.2546135951</v>
      </c>
      <c r="I385" s="1501">
        <f t="shared" si="119"/>
        <v>5569807.7350187767</v>
      </c>
      <c r="J385" s="1501">
        <f t="shared" si="119"/>
        <v>6058929.6767603857</v>
      </c>
      <c r="K385" s="1501">
        <f t="shared" si="119"/>
        <v>6535844.8849193277</v>
      </c>
      <c r="L385" s="1501">
        <f t="shared" si="119"/>
        <v>6502495.2780049983</v>
      </c>
      <c r="M385" s="1501">
        <f t="shared" si="119"/>
        <v>6834187.8879110394</v>
      </c>
      <c r="N385" s="1501">
        <f t="shared" si="119"/>
        <v>7182800.1544661988</v>
      </c>
      <c r="O385" s="1501">
        <f t="shared" si="119"/>
        <v>7549195.1502038063</v>
      </c>
      <c r="P385" s="1158"/>
    </row>
    <row r="386" spans="1:24" ht="15.75" hidden="1" outlineLevel="1">
      <c r="B386" s="1159"/>
      <c r="C386" s="864"/>
      <c r="D386" s="864"/>
      <c r="E386" s="864"/>
      <c r="F386" s="864"/>
      <c r="G386" s="1565"/>
      <c r="H386" s="1501"/>
      <c r="I386" s="1501"/>
      <c r="J386" s="1501"/>
      <c r="K386" s="1501"/>
      <c r="L386" s="1501"/>
      <c r="M386" s="1501"/>
      <c r="N386" s="1501"/>
      <c r="O386" s="1501"/>
      <c r="P386" s="1158"/>
    </row>
    <row r="387" spans="1:24" ht="15.75" hidden="1" outlineLevel="1">
      <c r="B387" s="1159"/>
      <c r="C387" s="766" t="s">
        <v>83</v>
      </c>
      <c r="D387" s="766" t="s">
        <v>1252</v>
      </c>
      <c r="E387" s="766" t="s">
        <v>442</v>
      </c>
      <c r="F387" s="923">
        <v>2007</v>
      </c>
      <c r="G387" s="932">
        <v>2010</v>
      </c>
      <c r="H387" s="931">
        <v>2015</v>
      </c>
      <c r="I387" s="931">
        <v>2020</v>
      </c>
      <c r="J387" s="931">
        <v>2025</v>
      </c>
      <c r="K387" s="931">
        <v>2030</v>
      </c>
      <c r="L387" s="931">
        <v>2035</v>
      </c>
      <c r="M387" s="931">
        <v>2040</v>
      </c>
      <c r="N387" s="931">
        <v>2045</v>
      </c>
      <c r="O387" s="931">
        <v>2050</v>
      </c>
      <c r="P387" s="1158"/>
    </row>
    <row r="388" spans="1:24" ht="15.75" hidden="1" outlineLevel="1">
      <c r="B388" s="1159"/>
      <c r="C388" s="831">
        <v>1</v>
      </c>
      <c r="D388" s="832" t="str">
        <f>INDEX($D$95:$D$97, MATCH($C388, $C$95:$C$97, 0))</f>
        <v>Electric air conditioner (old)</v>
      </c>
      <c r="E388" s="832"/>
      <c r="F388" s="1503"/>
      <c r="G388" s="2112">
        <f t="shared" ref="G388:O388" si="120">G$366/F$219*F289</f>
        <v>0</v>
      </c>
      <c r="H388" s="2113">
        <f t="shared" si="120"/>
        <v>0</v>
      </c>
      <c r="I388" s="2113">
        <f t="shared" si="120"/>
        <v>0</v>
      </c>
      <c r="J388" s="2113">
        <f t="shared" si="120"/>
        <v>0</v>
      </c>
      <c r="K388" s="2113">
        <f t="shared" si="120"/>
        <v>0</v>
      </c>
      <c r="L388" s="2113">
        <f t="shared" si="120"/>
        <v>0</v>
      </c>
      <c r="M388" s="2113">
        <f t="shared" si="120"/>
        <v>0</v>
      </c>
      <c r="N388" s="2113">
        <f t="shared" si="120"/>
        <v>0</v>
      </c>
      <c r="O388" s="2113">
        <f t="shared" si="120"/>
        <v>0</v>
      </c>
      <c r="P388" s="1158"/>
    </row>
    <row r="389" spans="1:24" ht="15.75" hidden="1" outlineLevel="1">
      <c r="B389" s="1159"/>
      <c r="C389" s="831">
        <v>2</v>
      </c>
      <c r="D389" s="832" t="str">
        <f>INDEX($D$95:$D$97, MATCH($C389, $C$95:$C$97, 0))</f>
        <v>Electric air conditioner (new)</v>
      </c>
      <c r="E389" s="832"/>
      <c r="F389" s="1257"/>
      <c r="G389" s="2114">
        <f t="shared" ref="G389:O389" si="121">G$366/F$219*F290</f>
        <v>0</v>
      </c>
      <c r="H389" s="2115">
        <f t="shared" si="121"/>
        <v>748597.36798476148</v>
      </c>
      <c r="I389" s="2115">
        <f t="shared" si="121"/>
        <v>1930962.8512489828</v>
      </c>
      <c r="J389" s="2116">
        <f t="shared" si="121"/>
        <v>3037943.9172605244</v>
      </c>
      <c r="K389" s="2116">
        <f t="shared" si="121"/>
        <v>4053429.6523810681</v>
      </c>
      <c r="L389" s="2116">
        <f t="shared" si="121"/>
        <v>4624512.8835086282</v>
      </c>
      <c r="M389" s="2116">
        <f t="shared" si="121"/>
        <v>5329137.1238533696</v>
      </c>
      <c r="N389" s="2116">
        <f t="shared" si="121"/>
        <v>5976623.8830437791</v>
      </c>
      <c r="O389" s="2116">
        <f t="shared" si="121"/>
        <v>6582542.5744327875</v>
      </c>
      <c r="P389" s="1158"/>
    </row>
    <row r="390" spans="1:24" ht="15.75" hidden="1" outlineLevel="1">
      <c r="B390" s="1159"/>
      <c r="C390" s="899">
        <v>3</v>
      </c>
      <c r="D390" s="900" t="str">
        <f>INDEX($D$95:$D$97, MATCH($C390, $C$95:$C$97, 0))</f>
        <v>Absorption chiller</v>
      </c>
      <c r="E390" s="900"/>
      <c r="F390" s="2081"/>
      <c r="G390" s="2117">
        <f t="shared" ref="G390:O390" si="122">G$366/F$219*F291</f>
        <v>0</v>
      </c>
      <c r="H390" s="2118">
        <f t="shared" si="122"/>
        <v>0</v>
      </c>
      <c r="I390" s="2118">
        <f t="shared" si="122"/>
        <v>0</v>
      </c>
      <c r="J390" s="2119">
        <f t="shared" si="122"/>
        <v>0</v>
      </c>
      <c r="K390" s="2119">
        <f t="shared" si="122"/>
        <v>0</v>
      </c>
      <c r="L390" s="2119">
        <f t="shared" si="122"/>
        <v>0</v>
      </c>
      <c r="M390" s="2119">
        <f t="shared" si="122"/>
        <v>0</v>
      </c>
      <c r="N390" s="2119">
        <f t="shared" si="122"/>
        <v>0</v>
      </c>
      <c r="O390" s="2119">
        <f t="shared" si="122"/>
        <v>0</v>
      </c>
      <c r="P390" s="1158"/>
    </row>
    <row r="391" spans="1:24" ht="15.75" hidden="1" outlineLevel="1">
      <c r="B391" s="1159"/>
      <c r="C391" s="864"/>
      <c r="D391" s="864" t="s">
        <v>1306</v>
      </c>
      <c r="E391" s="864"/>
      <c r="F391" s="2092"/>
      <c r="G391" s="2120">
        <f t="shared" ref="G391:O391" si="123">SUM(G388:G390)</f>
        <v>0</v>
      </c>
      <c r="H391" s="2120">
        <f t="shared" si="123"/>
        <v>748597.36798476148</v>
      </c>
      <c r="I391" s="2120">
        <f t="shared" si="123"/>
        <v>1930962.8512489828</v>
      </c>
      <c r="J391" s="2120">
        <f t="shared" si="123"/>
        <v>3037943.9172605244</v>
      </c>
      <c r="K391" s="2120">
        <f t="shared" si="123"/>
        <v>4053429.6523810681</v>
      </c>
      <c r="L391" s="2120">
        <f t="shared" si="123"/>
        <v>4624512.8835086282</v>
      </c>
      <c r="M391" s="2120">
        <f t="shared" si="123"/>
        <v>5329137.1238533696</v>
      </c>
      <c r="N391" s="2120">
        <f t="shared" si="123"/>
        <v>5976623.8830437791</v>
      </c>
      <c r="O391" s="2120">
        <f t="shared" si="123"/>
        <v>6582542.5744327875</v>
      </c>
      <c r="P391" s="1158"/>
    </row>
    <row r="392" spans="1:24" ht="15.75" hidden="1" outlineLevel="1">
      <c r="B392" s="1159"/>
      <c r="C392" s="864"/>
      <c r="D392" s="864"/>
      <c r="E392" s="864"/>
      <c r="F392" s="864"/>
      <c r="G392" s="1565"/>
      <c r="H392" s="1501"/>
      <c r="I392" s="1501"/>
      <c r="J392" s="1501"/>
      <c r="K392" s="1501"/>
      <c r="L392" s="1501"/>
      <c r="M392" s="1501"/>
      <c r="N392" s="1501"/>
      <c r="O392" s="1501"/>
      <c r="P392" s="1158"/>
    </row>
    <row r="393" spans="1:24" hidden="1" outlineLevel="1">
      <c r="B393" s="1164"/>
      <c r="C393" s="1285"/>
      <c r="D393" s="1165"/>
      <c r="E393" s="1261"/>
      <c r="F393" s="1165"/>
      <c r="G393" s="1165"/>
      <c r="H393" s="1165"/>
      <c r="I393" s="1165"/>
      <c r="J393" s="1165"/>
      <c r="K393" s="1165"/>
      <c r="L393" s="1165"/>
      <c r="M393" s="1165"/>
      <c r="N393" s="1165"/>
      <c r="O393" s="1165"/>
      <c r="P393" s="1166"/>
    </row>
    <row r="394" spans="1:24">
      <c r="B394"/>
      <c r="C394"/>
      <c r="D394"/>
      <c r="E394"/>
      <c r="F394"/>
      <c r="G394"/>
      <c r="H394"/>
      <c r="I394"/>
      <c r="J394"/>
      <c r="K394"/>
      <c r="L394"/>
      <c r="M394"/>
      <c r="N394"/>
      <c r="O394"/>
      <c r="P394"/>
      <c r="X394" s="715"/>
    </row>
    <row r="395" spans="1:24" ht="18" collapsed="1">
      <c r="A395" s="767"/>
      <c r="B395" s="809" t="s">
        <v>732</v>
      </c>
      <c r="C395"/>
      <c r="D395"/>
      <c r="E395"/>
      <c r="F395"/>
      <c r="G395"/>
      <c r="H395"/>
      <c r="I395"/>
      <c r="J395"/>
      <c r="K395"/>
      <c r="L395"/>
      <c r="M395"/>
      <c r="N395"/>
      <c r="O395"/>
      <c r="P395"/>
    </row>
    <row r="396" spans="1:24" s="24" customFormat="1" hidden="1" outlineLevel="1">
      <c r="B396" s="731">
        <v>1</v>
      </c>
      <c r="C396" s="121" t="s">
        <v>1308</v>
      </c>
    </row>
    <row r="397" spans="1:24" s="24" customFormat="1" hidden="1" outlineLevel="1">
      <c r="B397" s="731">
        <v>2</v>
      </c>
      <c r="C397" s="121" t="s">
        <v>1313</v>
      </c>
    </row>
    <row r="398" spans="1:24" s="24" customFormat="1" hidden="1" outlineLevel="1">
      <c r="B398" s="731">
        <v>3</v>
      </c>
      <c r="C398" s="121" t="s">
        <v>1315</v>
      </c>
    </row>
    <row r="399" spans="1:24" s="24" customFormat="1" hidden="1" outlineLevel="1">
      <c r="B399" s="731">
        <v>4</v>
      </c>
      <c r="C399" s="121" t="s">
        <v>1314</v>
      </c>
    </row>
    <row r="400" spans="1:24" s="24" customFormat="1" hidden="1" outlineLevel="1">
      <c r="B400" s="731">
        <v>5</v>
      </c>
      <c r="C400" s="121" t="s">
        <v>1631</v>
      </c>
    </row>
    <row r="401" spans="1:16" s="24" customFormat="1" hidden="1" outlineLevel="1">
      <c r="B401" s="731">
        <v>6</v>
      </c>
      <c r="C401" s="121" t="s">
        <v>1316</v>
      </c>
    </row>
    <row r="402" spans="1:16" s="24" customFormat="1" hidden="1" outlineLevel="1">
      <c r="B402" s="731">
        <v>7</v>
      </c>
      <c r="C402" s="121" t="s">
        <v>1174</v>
      </c>
    </row>
    <row r="403" spans="1:16" s="24" customFormat="1" hidden="1" outlineLevel="1">
      <c r="B403" s="731"/>
      <c r="C403" s="121"/>
    </row>
    <row r="404" spans="1:16" s="743" customFormat="1" hidden="1" outlineLevel="1">
      <c r="B404" s="862">
        <v>1</v>
      </c>
      <c r="C404" s="731" t="s">
        <v>1605</v>
      </c>
      <c r="D404" s="731"/>
      <c r="E404" s="862"/>
      <c r="F404" s="861">
        <v>2007</v>
      </c>
      <c r="G404" s="861">
        <v>2010</v>
      </c>
      <c r="H404" s="861">
        <v>2015</v>
      </c>
      <c r="I404" s="861">
        <v>2020</v>
      </c>
      <c r="J404" s="861">
        <v>2025</v>
      </c>
      <c r="K404" s="861">
        <v>2030</v>
      </c>
      <c r="L404" s="861">
        <v>2035</v>
      </c>
      <c r="M404" s="861">
        <v>2040</v>
      </c>
      <c r="N404" s="861">
        <v>2045</v>
      </c>
      <c r="O404" s="861">
        <v>2050</v>
      </c>
      <c r="P404" s="121"/>
    </row>
    <row r="405" spans="1:16" s="743" customFormat="1" hidden="1" outlineLevel="2">
      <c r="B405" s="862"/>
      <c r="C405" s="731"/>
      <c r="D405" s="731"/>
      <c r="E405" s="862"/>
      <c r="F405" s="783"/>
      <c r="G405" s="783"/>
      <c r="H405" s="783"/>
      <c r="I405" s="783"/>
      <c r="J405" s="783"/>
      <c r="K405" s="783"/>
      <c r="L405" s="783"/>
      <c r="M405" s="783"/>
      <c r="N405" s="783"/>
      <c r="O405" s="783"/>
      <c r="P405" s="121"/>
    </row>
    <row r="406" spans="1:16" s="743" customFormat="1" hidden="1" outlineLevel="2">
      <c r="B406" s="862"/>
      <c r="C406" s="121" t="s">
        <v>1310</v>
      </c>
      <c r="D406" s="731"/>
      <c r="E406" s="1566"/>
      <c r="F406" s="1567">
        <f>INDEX(F$69:F$72, MATCH($E$8, $C69:$C$72, 0))</f>
        <v>4.0400000000000003E-6</v>
      </c>
      <c r="G406" s="1567">
        <f>INDEX(G$69:G$72, MATCH($E$8, $C69:$C$72, 0))</f>
        <v>4.1562372937950012E-6</v>
      </c>
      <c r="H406" s="1567">
        <f>INDEX(H$69:H$72, MATCH($E$8, $C69:$C$72, 0))</f>
        <v>4.3574453735330769E-6</v>
      </c>
      <c r="I406" s="1567">
        <f>INDEX(I$69:I$72, MATCH($E$8, $C69:$C$72, 0))</f>
        <v>4.5683941606682795E-6</v>
      </c>
      <c r="J406" s="1567">
        <f>INDEX(J$69:J$72, MATCH($E$8, $C69:$C$72, 0))</f>
        <v>4.789555213702236E-6</v>
      </c>
      <c r="K406" s="1567">
        <f>INDEX(K$69:K$72, MATCH($E$8, $C69:$C$72, 0))</f>
        <v>5.0214229198092126E-6</v>
      </c>
      <c r="L406" s="1567">
        <f>INDEX(L$69:L$72, MATCH($E$8, $C69:$C$72, 0))</f>
        <v>5.2645155999976037E-6</v>
      </c>
      <c r="M406" s="1567">
        <f>INDEX(M$69:M$72, MATCH($E$8, $C69:$C$72, 0))</f>
        <v>5.5193766677735158E-6</v>
      </c>
      <c r="N406" s="1567">
        <f>INDEX(N$69:N$72, MATCH($E$8, $C69:$C$72, 0))</f>
        <v>5.7865758438965483E-6</v>
      </c>
      <c r="O406" s="1567">
        <f>INDEX(O$69:O$72, MATCH($E$8, $C69:$C$72, 0))</f>
        <v>6.0667104299432579E-6</v>
      </c>
      <c r="P406" s="121"/>
    </row>
    <row r="407" spans="1:16" s="743" customFormat="1" hidden="1" outlineLevel="2">
      <c r="B407" s="1566" t="s">
        <v>838</v>
      </c>
      <c r="C407" s="121" t="s">
        <v>856</v>
      </c>
      <c r="D407" s="121"/>
      <c r="E407" s="121"/>
      <c r="F407" s="28">
        <f>INDEX(Global.Assumptions[Households], MATCH(F$404,Global.Assumptions[Year], 0))</f>
        <v>26042600</v>
      </c>
      <c r="G407" s="28">
        <f>INDEX(Global.Assumptions[Households], MATCH(G$404,Global.Assumptions[Year], 0))</f>
        <v>26917400</v>
      </c>
      <c r="H407" s="28">
        <f>INDEX(Global.Assumptions[Households], MATCH(H$404,Global.Assumptions[Year], 0))</f>
        <v>28469000</v>
      </c>
      <c r="I407" s="28">
        <f>INDEX(Global.Assumptions[Households], MATCH(I$404,Global.Assumptions[Year], 0))</f>
        <v>30004800</v>
      </c>
      <c r="J407" s="28">
        <f>INDEX(Global.Assumptions[Households], MATCH(J$404,Global.Assumptions[Year], 0))</f>
        <v>31434800</v>
      </c>
      <c r="K407" s="28">
        <f>INDEX(Global.Assumptions[Households], MATCH(K$404,Global.Assumptions[Year], 0))</f>
        <v>32744800</v>
      </c>
      <c r="L407" s="28">
        <f>INDEX(Global.Assumptions[Households], MATCH(L$404,Global.Assumptions[Year], 0))</f>
        <v>34415113.888514474</v>
      </c>
      <c r="M407" s="28">
        <f>INDEX(Global.Assumptions[Households], MATCH(M$404,Global.Assumptions[Year], 0))</f>
        <v>36170630.572164804</v>
      </c>
      <c r="N407" s="28">
        <f>INDEX(Global.Assumptions[Households], MATCH(N$404,Global.Assumptions[Year], 0))</f>
        <v>38015696.24979952</v>
      </c>
      <c r="O407" s="28">
        <f>INDEX(Global.Assumptions[Households], MATCH(O$404,Global.Assumptions[Year], 0))</f>
        <v>39954878.82008817</v>
      </c>
      <c r="P407" s="121"/>
    </row>
    <row r="408" spans="1:16" s="743" customFormat="1" hidden="1" outlineLevel="2">
      <c r="B408" s="1566"/>
      <c r="C408" s="121"/>
      <c r="D408" s="121"/>
      <c r="E408" s="121"/>
      <c r="F408" s="28"/>
      <c r="G408" s="28"/>
      <c r="H408" s="28"/>
      <c r="I408" s="28"/>
      <c r="J408" s="28"/>
      <c r="K408" s="28"/>
      <c r="L408" s="28"/>
      <c r="M408" s="28"/>
      <c r="N408" s="28"/>
      <c r="O408" s="28"/>
      <c r="P408" s="121"/>
    </row>
    <row r="409" spans="1:16" s="743" customFormat="1" ht="15.75" hidden="1" outlineLevel="2">
      <c r="A409" s="753"/>
      <c r="B409" s="1577" t="s">
        <v>840</v>
      </c>
      <c r="C409" s="1572" t="s">
        <v>1309</v>
      </c>
      <c r="D409" s="1572"/>
      <c r="E409" s="1573"/>
      <c r="F409" s="843">
        <f>F406*F407</f>
        <v>105.21210400000001</v>
      </c>
      <c r="G409" s="843">
        <f t="shared" ref="G409:O409" si="124">G406*G407</f>
        <v>111.87510173199756</v>
      </c>
      <c r="H409" s="843">
        <f t="shared" si="124"/>
        <v>124.05211233911317</v>
      </c>
      <c r="I409" s="843">
        <f t="shared" si="124"/>
        <v>137.0737531120196</v>
      </c>
      <c r="J409" s="843">
        <f t="shared" si="124"/>
        <v>150.55871023168706</v>
      </c>
      <c r="K409" s="843">
        <f t="shared" si="124"/>
        <v>164.42548922456871</v>
      </c>
      <c r="L409" s="843">
        <f t="shared" si="124"/>
        <v>181.17890394177863</v>
      </c>
      <c r="M409" s="843">
        <f t="shared" si="124"/>
        <v>199.63933443866182</v>
      </c>
      <c r="N409" s="843">
        <f t="shared" si="124"/>
        <v>219.98070960799851</v>
      </c>
      <c r="O409" s="843">
        <f t="shared" si="124"/>
        <v>242.39468006494786</v>
      </c>
    </row>
    <row r="410" spans="1:16" s="743" customFormat="1" hidden="1" outlineLevel="2">
      <c r="B410" s="1578" t="s">
        <v>862</v>
      </c>
      <c r="C410" s="121" t="s">
        <v>1333</v>
      </c>
      <c r="D410" s="731"/>
      <c r="E410" s="1574"/>
      <c r="F410" s="823">
        <f t="shared" ref="F410:O410" ca="1" si="125">MIN(F$36, F$409)</f>
        <v>0</v>
      </c>
      <c r="G410" s="823">
        <f t="shared" ca="1" si="125"/>
        <v>0</v>
      </c>
      <c r="H410" s="823">
        <f t="shared" ca="1" si="125"/>
        <v>0</v>
      </c>
      <c r="I410" s="823">
        <f t="shared" ca="1" si="125"/>
        <v>0</v>
      </c>
      <c r="J410" s="823">
        <f t="shared" ca="1" si="125"/>
        <v>0</v>
      </c>
      <c r="K410" s="823">
        <f t="shared" ca="1" si="125"/>
        <v>0</v>
      </c>
      <c r="L410" s="823">
        <f t="shared" ca="1" si="125"/>
        <v>0</v>
      </c>
      <c r="M410" s="823">
        <f t="shared" ca="1" si="125"/>
        <v>0</v>
      </c>
      <c r="N410" s="823">
        <f t="shared" ca="1" si="125"/>
        <v>0</v>
      </c>
      <c r="O410" s="823">
        <f t="shared" ca="1" si="125"/>
        <v>0</v>
      </c>
      <c r="P410" s="121"/>
    </row>
    <row r="411" spans="1:16" hidden="1" outlineLevel="2"/>
    <row r="412" spans="1:16" s="743" customFormat="1" ht="15.75" hidden="1" outlineLevel="2">
      <c r="A412" s="753"/>
      <c r="B412" s="862" t="s">
        <v>840</v>
      </c>
      <c r="C412" s="1570" t="s">
        <v>1312</v>
      </c>
      <c r="D412" s="1570"/>
      <c r="E412" s="1571" t="str">
        <f>Preferences.EnergyUnits</f>
        <v>TWh</v>
      </c>
      <c r="F412" s="1568">
        <f ca="1">F$409-F$410</f>
        <v>105.21210400000001</v>
      </c>
      <c r="G412" s="1568">
        <f t="shared" ref="G412:O412" ca="1" si="126">G$409-G$410</f>
        <v>111.87510173199756</v>
      </c>
      <c r="H412" s="1568">
        <f t="shared" ca="1" si="126"/>
        <v>124.05211233911317</v>
      </c>
      <c r="I412" s="1568">
        <f t="shared" ca="1" si="126"/>
        <v>137.0737531120196</v>
      </c>
      <c r="J412" s="1568">
        <f t="shared" ca="1" si="126"/>
        <v>150.55871023168706</v>
      </c>
      <c r="K412" s="1568">
        <f t="shared" ca="1" si="126"/>
        <v>164.42548922456871</v>
      </c>
      <c r="L412" s="1568">
        <f t="shared" ca="1" si="126"/>
        <v>181.17890394177863</v>
      </c>
      <c r="M412" s="1568">
        <f t="shared" ca="1" si="126"/>
        <v>199.63933443866182</v>
      </c>
      <c r="N412" s="1568">
        <f t="shared" ca="1" si="126"/>
        <v>219.98070960799851</v>
      </c>
      <c r="O412" s="1568">
        <f t="shared" ca="1" si="126"/>
        <v>242.39468006494786</v>
      </c>
      <c r="P412" s="121"/>
    </row>
    <row r="413" spans="1:16" s="743" customFormat="1" hidden="1" outlineLevel="2">
      <c r="B413" s="862"/>
      <c r="C413" s="731"/>
      <c r="D413" s="731"/>
      <c r="E413" s="862"/>
      <c r="F413" s="783"/>
      <c r="G413" s="783"/>
      <c r="H413" s="783"/>
      <c r="I413" s="783"/>
      <c r="J413" s="783"/>
      <c r="K413" s="783"/>
      <c r="L413" s="783"/>
      <c r="M413" s="783"/>
      <c r="N413" s="783"/>
      <c r="O413" s="783"/>
      <c r="P413" s="121"/>
    </row>
    <row r="414" spans="1:16" s="743" customFormat="1" hidden="1" outlineLevel="2">
      <c r="B414" s="862"/>
      <c r="C414" s="731"/>
      <c r="D414" s="731"/>
      <c r="E414" s="862"/>
      <c r="F414" s="783"/>
      <c r="G414" s="783"/>
      <c r="H414" s="783"/>
      <c r="I414" s="783"/>
      <c r="J414" s="783"/>
      <c r="K414" s="783"/>
      <c r="L414" s="783"/>
      <c r="M414" s="783"/>
      <c r="N414" s="783"/>
      <c r="O414" s="783"/>
      <c r="P414" s="121"/>
    </row>
    <row r="415" spans="1:16" s="743" customFormat="1" hidden="1" outlineLevel="1">
      <c r="B415" s="731">
        <v>2</v>
      </c>
      <c r="C415" s="731" t="s">
        <v>1625</v>
      </c>
      <c r="D415" s="121"/>
      <c r="E415" s="862"/>
      <c r="F415" s="861">
        <v>2007</v>
      </c>
      <c r="G415" s="861">
        <v>2010</v>
      </c>
      <c r="H415" s="861">
        <v>2015</v>
      </c>
      <c r="I415" s="861">
        <v>2020</v>
      </c>
      <c r="J415" s="861">
        <v>2025</v>
      </c>
      <c r="K415" s="861">
        <v>2030</v>
      </c>
      <c r="L415" s="861">
        <v>2035</v>
      </c>
      <c r="M415" s="861">
        <v>2040</v>
      </c>
      <c r="N415" s="861">
        <v>2045</v>
      </c>
      <c r="O415" s="861">
        <v>2050</v>
      </c>
      <c r="P415" s="121"/>
    </row>
    <row r="416" spans="1:16" s="743" customFormat="1" hidden="1" outlineLevel="2">
      <c r="B416" s="121"/>
      <c r="C416" s="121"/>
      <c r="D416" s="121"/>
      <c r="E416" s="121"/>
      <c r="F416" s="121"/>
      <c r="G416" s="121"/>
      <c r="H416" s="121"/>
      <c r="I416" s="121"/>
      <c r="J416" s="121"/>
      <c r="K416" s="121"/>
      <c r="L416" s="121"/>
      <c r="M416" s="121"/>
      <c r="N416" s="121"/>
      <c r="O416" s="121"/>
      <c r="P416" s="121"/>
    </row>
    <row r="417" spans="2:17" s="743" customFormat="1" hidden="1" outlineLevel="2">
      <c r="B417" s="20">
        <v>1</v>
      </c>
      <c r="C417" s="121" t="str">
        <f t="shared" ref="C417:C428" si="127">INDEX($D$77:$D$89, MATCH($B417, $C$77:$C$89, 0))</f>
        <v>Gas boiler (old)</v>
      </c>
      <c r="D417" s="121"/>
      <c r="E417" s="121"/>
      <c r="F417" s="27">
        <f t="array" aca="1" ref="F417:F429" ca="1">F$412*F$248:F$260</f>
        <v>70.492109680000013</v>
      </c>
      <c r="G417" s="27">
        <f t="array" aca="1" ref="G417:G429" ca="1">G$412*G$248:G$260</f>
        <v>64.096070111752027</v>
      </c>
      <c r="H417" s="27">
        <f t="array" aca="1" ref="H417:H429" ca="1">H$412*H$248:H$260</f>
        <v>54.300309557096803</v>
      </c>
      <c r="I417" s="27">
        <f t="array" aca="1" ref="I417:I429" ca="1">I$412*I$248:I$260</f>
        <v>45.791183991855654</v>
      </c>
      <c r="J417" s="27">
        <f t="array" aca="1" ref="J417:J429" ca="1">J$412*J$248:J$260</f>
        <v>38.313636921983779</v>
      </c>
      <c r="K417" s="27">
        <f t="array" aca="1" ref="K417:K429" ca="1">K$412*K$248:K$260</f>
        <v>31.816720768692882</v>
      </c>
      <c r="L417" s="27">
        <f t="array" aca="1" ref="L417:L429" ca="1">L$412*L$248:L$260</f>
        <v>26.732936382244567</v>
      </c>
      <c r="M417" s="27">
        <f t="array" aca="1" ref="M417:M429" ca="1">M$412*M$248:M$260</f>
        <v>22.461456440235626</v>
      </c>
      <c r="N417" s="27">
        <f t="array" aca="1" ref="N417:N429" ca="1">N$412*N$248:N$260</f>
        <v>18.872488162269061</v>
      </c>
      <c r="O417" s="27">
        <f t="array" aca="1" ref="O417:O429" ca="1">O$412*O$248:O$260</f>
        <v>15.856977502000737</v>
      </c>
      <c r="P417" s="121"/>
      <c r="Q417" s="27"/>
    </row>
    <row r="418" spans="2:17" s="743" customFormat="1" hidden="1" outlineLevel="2">
      <c r="B418" s="20">
        <v>2</v>
      </c>
      <c r="C418" s="121" t="str">
        <f t="shared" si="127"/>
        <v>Gas boiler (new)</v>
      </c>
      <c r="D418" s="121"/>
      <c r="E418" s="121"/>
      <c r="F418" s="27">
        <f ca="1"/>
        <v>15.781815600000002</v>
      </c>
      <c r="G418" s="27">
        <f ca="1"/>
        <v>28.938259344150008</v>
      </c>
      <c r="H418" s="27">
        <f ca="1"/>
        <v>50.862972496511389</v>
      </c>
      <c r="I418" s="27">
        <f ca="1"/>
        <v>72.107589750232961</v>
      </c>
      <c r="J418" s="27">
        <f ca="1"/>
        <v>92.614439668984275</v>
      </c>
      <c r="K418" s="27">
        <f ca="1"/>
        <v>112.36720809835116</v>
      </c>
      <c r="L418" s="27">
        <f ca="1"/>
        <v>133.13608476150608</v>
      </c>
      <c r="M418" s="27">
        <f ca="1"/>
        <v>154.53197960647216</v>
      </c>
      <c r="N418" s="27">
        <f ca="1"/>
        <v>176.85671906256908</v>
      </c>
      <c r="O418" s="27">
        <f ca="1"/>
        <v>200.40486410845227</v>
      </c>
      <c r="P418" s="121"/>
    </row>
    <row r="419" spans="2:17" s="743" customFormat="1" hidden="1" outlineLevel="2">
      <c r="B419" s="20">
        <v>3</v>
      </c>
      <c r="C419" s="121" t="str">
        <f t="shared" si="127"/>
        <v>Resisitive heating</v>
      </c>
      <c r="D419" s="121"/>
      <c r="E419" s="121"/>
      <c r="F419" s="27">
        <f ca="1"/>
        <v>10.521210400000001</v>
      </c>
      <c r="G419" s="27">
        <f ca="1"/>
        <v>11.187510173199756</v>
      </c>
      <c r="H419" s="27">
        <f ca="1"/>
        <v>12.405211233911315</v>
      </c>
      <c r="I419" s="27">
        <f ca="1"/>
        <v>13.707375311201961</v>
      </c>
      <c r="J419" s="27">
        <f ca="1"/>
        <v>15.055871023168706</v>
      </c>
      <c r="K419" s="27">
        <f ca="1"/>
        <v>16.442548922456872</v>
      </c>
      <c r="L419" s="27">
        <f ca="1"/>
        <v>18.117890394177863</v>
      </c>
      <c r="M419" s="27">
        <f ca="1"/>
        <v>19.963933443866182</v>
      </c>
      <c r="N419" s="27">
        <f ca="1"/>
        <v>21.998070960799847</v>
      </c>
      <c r="O419" s="27">
        <f ca="1"/>
        <v>24.239468006494786</v>
      </c>
      <c r="P419" s="121"/>
    </row>
    <row r="420" spans="2:17" s="743" customFormat="1" hidden="1" outlineLevel="2">
      <c r="B420" s="20">
        <v>4</v>
      </c>
      <c r="C420" s="121" t="str">
        <f t="shared" si="127"/>
        <v>Oil-fired boiler</v>
      </c>
      <c r="D420" s="121"/>
      <c r="E420" s="121"/>
      <c r="F420" s="27">
        <f ca="1"/>
        <v>4.2084841600000003</v>
      </c>
      <c r="G420" s="27">
        <f ca="1"/>
        <v>3.8266310514478823</v>
      </c>
      <c r="H420" s="27">
        <f ca="1"/>
        <v>3.2418095257968242</v>
      </c>
      <c r="I420" s="27">
        <f ca="1"/>
        <v>2.7338020293645164</v>
      </c>
      <c r="J420" s="27">
        <f ca="1"/>
        <v>2.2873813087751511</v>
      </c>
      <c r="K420" s="27">
        <f ca="1"/>
        <v>1.8995057175339032</v>
      </c>
      <c r="L420" s="27">
        <f ca="1"/>
        <v>1.5959962019250482</v>
      </c>
      <c r="M420" s="27">
        <f ca="1"/>
        <v>1.3409824740439178</v>
      </c>
      <c r="N420" s="27">
        <f ca="1"/>
        <v>1.1267157111802422</v>
      </c>
      <c r="O420" s="27">
        <f ca="1"/>
        <v>0.94668522400004385</v>
      </c>
      <c r="P420" s="121"/>
    </row>
    <row r="421" spans="2:17" s="743" customFormat="1" hidden="1" outlineLevel="2">
      <c r="B421" s="20">
        <v>5</v>
      </c>
      <c r="C421" s="121" t="str">
        <f t="shared" si="127"/>
        <v>Solid-fuel boiler</v>
      </c>
      <c r="D421" s="121"/>
      <c r="E421" s="121"/>
      <c r="F421" s="27">
        <f ca="1"/>
        <v>4.2084841600000003</v>
      </c>
      <c r="G421" s="27">
        <f ca="1"/>
        <v>3.8266310514478823</v>
      </c>
      <c r="H421" s="27">
        <f ca="1"/>
        <v>3.2418095257968242</v>
      </c>
      <c r="I421" s="27">
        <f ca="1"/>
        <v>2.7338020293645164</v>
      </c>
      <c r="J421" s="27">
        <f ca="1"/>
        <v>2.2873813087751511</v>
      </c>
      <c r="K421" s="27">
        <f ca="1"/>
        <v>1.8995057175339032</v>
      </c>
      <c r="L421" s="27">
        <f ca="1"/>
        <v>1.5959962019250482</v>
      </c>
      <c r="M421" s="27">
        <f ca="1"/>
        <v>1.3409824740439178</v>
      </c>
      <c r="N421" s="27">
        <f ca="1"/>
        <v>1.1267157111802422</v>
      </c>
      <c r="O421" s="27">
        <f ca="1"/>
        <v>0.94668522400004385</v>
      </c>
      <c r="P421" s="121"/>
    </row>
    <row r="422" spans="2:17" s="743" customFormat="1" hidden="1" outlineLevel="2">
      <c r="B422" s="20">
        <v>6</v>
      </c>
      <c r="C422" s="121" t="str">
        <f t="shared" si="127"/>
        <v>Stirling engine μCHP</v>
      </c>
      <c r="D422" s="121"/>
      <c r="E422" s="121"/>
      <c r="F422" s="27">
        <f ca="1"/>
        <v>0</v>
      </c>
      <c r="G422" s="27">
        <f ca="1"/>
        <v>0</v>
      </c>
      <c r="H422" s="27">
        <f ca="1"/>
        <v>0</v>
      </c>
      <c r="I422" s="27">
        <f ca="1"/>
        <v>0</v>
      </c>
      <c r="J422" s="27">
        <f ca="1"/>
        <v>0</v>
      </c>
      <c r="K422" s="27">
        <f ca="1"/>
        <v>0</v>
      </c>
      <c r="L422" s="27">
        <f ca="1"/>
        <v>0</v>
      </c>
      <c r="M422" s="27">
        <f ca="1"/>
        <v>0</v>
      </c>
      <c r="N422" s="27">
        <f ca="1"/>
        <v>0</v>
      </c>
      <c r="O422" s="27">
        <f ca="1"/>
        <v>0</v>
      </c>
      <c r="P422" s="121"/>
    </row>
    <row r="423" spans="2:17" s="743" customFormat="1" hidden="1" outlineLevel="2">
      <c r="B423" s="20">
        <v>7</v>
      </c>
      <c r="C423" s="121" t="str">
        <f t="shared" si="127"/>
        <v>Fuel-cell μCHP</v>
      </c>
      <c r="D423" s="121"/>
      <c r="E423" s="121"/>
      <c r="F423" s="27">
        <f ca="1"/>
        <v>0</v>
      </c>
      <c r="G423" s="27">
        <f ca="1"/>
        <v>0</v>
      </c>
      <c r="H423" s="27">
        <f ca="1"/>
        <v>0</v>
      </c>
      <c r="I423" s="27">
        <f ca="1"/>
        <v>0</v>
      </c>
      <c r="J423" s="27">
        <f ca="1"/>
        <v>0</v>
      </c>
      <c r="K423" s="27">
        <f ca="1"/>
        <v>0</v>
      </c>
      <c r="L423" s="27">
        <f ca="1"/>
        <v>0</v>
      </c>
      <c r="M423" s="27">
        <f ca="1"/>
        <v>0</v>
      </c>
      <c r="N423" s="27">
        <f ca="1"/>
        <v>0</v>
      </c>
      <c r="O423" s="27">
        <f ca="1"/>
        <v>0</v>
      </c>
      <c r="P423" s="121"/>
    </row>
    <row r="424" spans="2:17" s="743" customFormat="1" hidden="1" outlineLevel="2">
      <c r="B424" s="20">
        <v>8</v>
      </c>
      <c r="C424" s="121" t="str">
        <f t="shared" si="127"/>
        <v>Air-source heat pump</v>
      </c>
      <c r="D424" s="121"/>
      <c r="E424" s="121"/>
      <c r="F424" s="27">
        <f ca="1"/>
        <v>0</v>
      </c>
      <c r="G424" s="27">
        <f ca="1"/>
        <v>0</v>
      </c>
      <c r="H424" s="27">
        <f ca="1"/>
        <v>0</v>
      </c>
      <c r="I424" s="27">
        <f ca="1"/>
        <v>0</v>
      </c>
      <c r="J424" s="27">
        <f ca="1"/>
        <v>0</v>
      </c>
      <c r="K424" s="27">
        <f ca="1"/>
        <v>0</v>
      </c>
      <c r="L424" s="27">
        <f ca="1"/>
        <v>0</v>
      </c>
      <c r="M424" s="27">
        <f ca="1"/>
        <v>0</v>
      </c>
      <c r="N424" s="27">
        <f ca="1"/>
        <v>0</v>
      </c>
      <c r="O424" s="27">
        <f ca="1"/>
        <v>0</v>
      </c>
      <c r="P424" s="121"/>
    </row>
    <row r="425" spans="2:17" s="743" customFormat="1" hidden="1" outlineLevel="2">
      <c r="B425" s="20">
        <v>9</v>
      </c>
      <c r="C425" s="121" t="str">
        <f t="shared" si="127"/>
        <v>Ground-source heat pump</v>
      </c>
      <c r="D425" s="121"/>
      <c r="E425" s="121"/>
      <c r="F425" s="27">
        <f ca="1"/>
        <v>0</v>
      </c>
      <c r="G425" s="27">
        <f ca="1"/>
        <v>0</v>
      </c>
      <c r="H425" s="27">
        <f ca="1"/>
        <v>0</v>
      </c>
      <c r="I425" s="27">
        <f ca="1"/>
        <v>0</v>
      </c>
      <c r="J425" s="27">
        <f ca="1"/>
        <v>0</v>
      </c>
      <c r="K425" s="27">
        <f ca="1"/>
        <v>0</v>
      </c>
      <c r="L425" s="27">
        <f ca="1"/>
        <v>0</v>
      </c>
      <c r="M425" s="27">
        <f ca="1"/>
        <v>0</v>
      </c>
      <c r="N425" s="27">
        <f ca="1"/>
        <v>0</v>
      </c>
      <c r="O425" s="27">
        <f ca="1"/>
        <v>0</v>
      </c>
      <c r="P425" s="121"/>
    </row>
    <row r="426" spans="2:17" s="743" customFormat="1" hidden="1" outlineLevel="2">
      <c r="B426" s="20">
        <v>10</v>
      </c>
      <c r="C426" s="121" t="str">
        <f t="shared" si="127"/>
        <v>Geothermal</v>
      </c>
      <c r="D426" s="121"/>
      <c r="E426" s="121"/>
      <c r="F426" s="27">
        <f ca="1"/>
        <v>0</v>
      </c>
      <c r="G426" s="27">
        <f ca="1"/>
        <v>0</v>
      </c>
      <c r="H426" s="27">
        <f ca="1"/>
        <v>0</v>
      </c>
      <c r="I426" s="27">
        <f ca="1"/>
        <v>0</v>
      </c>
      <c r="J426" s="27">
        <f ca="1"/>
        <v>0</v>
      </c>
      <c r="K426" s="27">
        <f ca="1"/>
        <v>0</v>
      </c>
      <c r="L426" s="27">
        <f ca="1"/>
        <v>0</v>
      </c>
      <c r="M426" s="27">
        <f ca="1"/>
        <v>0</v>
      </c>
      <c r="N426" s="27">
        <f ca="1"/>
        <v>0</v>
      </c>
      <c r="O426" s="27">
        <f ca="1"/>
        <v>0</v>
      </c>
      <c r="P426" s="121"/>
    </row>
    <row r="427" spans="2:17" s="743" customFormat="1" hidden="1" outlineLevel="2">
      <c r="B427" s="20">
        <v>11</v>
      </c>
      <c r="C427" s="121" t="str">
        <f t="shared" si="127"/>
        <v>Community scale gas CHP</v>
      </c>
      <c r="D427" s="121"/>
      <c r="E427" s="121"/>
      <c r="F427" s="27">
        <f ca="1"/>
        <v>0</v>
      </c>
      <c r="G427" s="27">
        <f ca="1"/>
        <v>0</v>
      </c>
      <c r="H427" s="27">
        <f ca="1"/>
        <v>0</v>
      </c>
      <c r="I427" s="27">
        <f ca="1"/>
        <v>0</v>
      </c>
      <c r="J427" s="27">
        <f ca="1"/>
        <v>0</v>
      </c>
      <c r="K427" s="27">
        <f ca="1"/>
        <v>0</v>
      </c>
      <c r="L427" s="27">
        <f ca="1"/>
        <v>0</v>
      </c>
      <c r="M427" s="27">
        <f ca="1"/>
        <v>0</v>
      </c>
      <c r="N427" s="27">
        <f ca="1"/>
        <v>0</v>
      </c>
      <c r="O427" s="27">
        <f ca="1"/>
        <v>0</v>
      </c>
      <c r="P427" s="121"/>
    </row>
    <row r="428" spans="2:17" s="743" customFormat="1" hidden="1" outlineLevel="2">
      <c r="B428" s="20">
        <v>12</v>
      </c>
      <c r="C428" s="121" t="str">
        <f t="shared" si="127"/>
        <v>Community scale solid-fuel CHP</v>
      </c>
      <c r="D428" s="121"/>
      <c r="E428" s="121"/>
      <c r="F428" s="27">
        <f ca="1"/>
        <v>0</v>
      </c>
      <c r="G428" s="27">
        <f ca="1"/>
        <v>0</v>
      </c>
      <c r="H428" s="27">
        <f ca="1"/>
        <v>0</v>
      </c>
      <c r="I428" s="27">
        <f ca="1"/>
        <v>0</v>
      </c>
      <c r="J428" s="27">
        <f ca="1"/>
        <v>0</v>
      </c>
      <c r="K428" s="27">
        <f ca="1"/>
        <v>0</v>
      </c>
      <c r="L428" s="27">
        <f ca="1"/>
        <v>0</v>
      </c>
      <c r="M428" s="27">
        <f ca="1"/>
        <v>0</v>
      </c>
      <c r="N428" s="27">
        <f ca="1"/>
        <v>0</v>
      </c>
      <c r="O428" s="27">
        <f ca="1"/>
        <v>0</v>
      </c>
      <c r="P428" s="121"/>
    </row>
    <row r="429" spans="2:17" s="743" customFormat="1" hidden="1" outlineLevel="2">
      <c r="B429" s="20">
        <v>13</v>
      </c>
      <c r="C429" s="121" t="str">
        <f>INDEX($D$77:$D$89, MATCH($B429, $C$77:$C$89, 0))</f>
        <v>District heating from power stations</v>
      </c>
      <c r="D429" s="121"/>
      <c r="E429" s="121"/>
      <c r="F429" s="27">
        <f ca="1"/>
        <v>0</v>
      </c>
      <c r="G429" s="27">
        <f ca="1"/>
        <v>0</v>
      </c>
      <c r="H429" s="27">
        <f ca="1"/>
        <v>0</v>
      </c>
      <c r="I429" s="27">
        <f ca="1"/>
        <v>0</v>
      </c>
      <c r="J429" s="27">
        <f ca="1"/>
        <v>0</v>
      </c>
      <c r="K429" s="27">
        <f ca="1"/>
        <v>0</v>
      </c>
      <c r="L429" s="27">
        <f ca="1"/>
        <v>0</v>
      </c>
      <c r="M429" s="27">
        <f ca="1"/>
        <v>0</v>
      </c>
      <c r="N429" s="27">
        <f ca="1"/>
        <v>0</v>
      </c>
      <c r="O429" s="27">
        <f ca="1"/>
        <v>0</v>
      </c>
      <c r="P429" s="121"/>
    </row>
    <row r="430" spans="2:17" s="743" customFormat="1" hidden="1" outlineLevel="2">
      <c r="B430" s="20"/>
      <c r="C430" s="121"/>
      <c r="D430" s="121"/>
      <c r="E430" s="862" t="str">
        <f>Preferences.EnergyUnits</f>
        <v>TWh</v>
      </c>
      <c r="F430" s="1579">
        <f t="shared" ref="F430:O430" ca="1" si="128">SUM(F417:F429)</f>
        <v>105.21210400000001</v>
      </c>
      <c r="G430" s="1579">
        <f t="shared" ca="1" si="128"/>
        <v>111.87510173199755</v>
      </c>
      <c r="H430" s="1579">
        <f t="shared" ca="1" si="128"/>
        <v>124.05211233911315</v>
      </c>
      <c r="I430" s="1579">
        <f t="shared" ca="1" si="128"/>
        <v>137.0737531120196</v>
      </c>
      <c r="J430" s="1579">
        <f t="shared" ca="1" si="128"/>
        <v>150.55871023168703</v>
      </c>
      <c r="K430" s="1579">
        <f t="shared" ca="1" si="128"/>
        <v>164.42548922456874</v>
      </c>
      <c r="L430" s="1579">
        <f t="shared" ca="1" si="128"/>
        <v>181.17890394177863</v>
      </c>
      <c r="M430" s="1579">
        <f t="shared" ca="1" si="128"/>
        <v>199.63933443866182</v>
      </c>
      <c r="N430" s="1579">
        <f t="shared" ca="1" si="128"/>
        <v>219.98070960799851</v>
      </c>
      <c r="O430" s="1579">
        <f t="shared" ca="1" si="128"/>
        <v>242.39468006494789</v>
      </c>
      <c r="P430" s="121"/>
    </row>
    <row r="431" spans="2:17" s="743" customFormat="1" hidden="1" outlineLevel="2">
      <c r="B431" s="121"/>
      <c r="C431" s="121"/>
      <c r="D431" s="121"/>
      <c r="E431" s="121"/>
      <c r="F431" s="121"/>
      <c r="G431" s="121"/>
      <c r="H431" s="121"/>
      <c r="I431" s="121"/>
      <c r="J431" s="121"/>
      <c r="K431" s="121"/>
      <c r="L431" s="121"/>
      <c r="M431" s="121"/>
      <c r="N431" s="121"/>
      <c r="O431" s="121"/>
      <c r="P431" s="121"/>
    </row>
    <row r="432" spans="2:17" s="743" customFormat="1" hidden="1" outlineLevel="2">
      <c r="B432" s="731"/>
      <c r="C432" s="731" t="s">
        <v>876</v>
      </c>
      <c r="D432" s="121"/>
      <c r="E432" s="862"/>
      <c r="F432" s="121"/>
      <c r="G432" s="121"/>
      <c r="H432" s="121"/>
      <c r="I432" s="121"/>
      <c r="J432" s="121"/>
      <c r="K432" s="121"/>
      <c r="L432" s="121"/>
      <c r="M432" s="121"/>
      <c r="N432" s="121"/>
      <c r="O432" s="121"/>
      <c r="P432" s="121"/>
    </row>
    <row r="433" spans="1:25" s="743" customFormat="1" hidden="1" outlineLevel="2">
      <c r="B433" s="121"/>
      <c r="C433" s="121"/>
      <c r="D433" s="121"/>
      <c r="E433" s="121"/>
      <c r="F433" s="27"/>
      <c r="G433" s="121"/>
      <c r="H433" s="121"/>
      <c r="I433" s="121"/>
      <c r="J433" s="121"/>
      <c r="K433" s="121"/>
      <c r="L433" s="121"/>
      <c r="M433" s="121"/>
      <c r="N433" s="121"/>
      <c r="O433" s="121"/>
      <c r="P433" s="121"/>
    </row>
    <row r="434" spans="1:25" s="743" customFormat="1" hidden="1" outlineLevel="2">
      <c r="B434" s="20" t="s">
        <v>45</v>
      </c>
      <c r="C434" s="743" t="str">
        <f>INDEX(Vectors[Description], MATCH($B434, Vectors[Code], 0))</f>
        <v>Electricity (delivered to end user)</v>
      </c>
      <c r="D434" s="121"/>
      <c r="E434" s="121"/>
      <c r="F434" s="27">
        <f t="array" aca="1" ref="F434" ca="1">SUM(F$417:F$429/$M$147:$M$159*($B434=$F$146:$N$146)*($F$147:$N$159))</f>
        <v>-10.521210400000001</v>
      </c>
      <c r="G434" s="27">
        <f t="array" aca="1" ref="G434" ca="1">SUM(G$417:G$429/$M$147:$M$159*($B434=$F$146:$N$146)*($F$147:$N$159))</f>
        <v>-11.187510173199756</v>
      </c>
      <c r="H434" s="27">
        <f t="array" aca="1" ref="H434" ca="1">SUM(H$417:H$429/$M$147:$M$159*($B434=$F$146:$N$146)*($F$147:$N$159))</f>
        <v>-12.405211233911315</v>
      </c>
      <c r="I434" s="27">
        <f t="array" aca="1" ref="I434" ca="1">SUM(I$417:I$429/$M$147:$M$159*($B434=$F$146:$N$146)*($F$147:$N$159))</f>
        <v>-13.707375311201961</v>
      </c>
      <c r="J434" s="27">
        <f t="array" aca="1" ref="J434" ca="1">SUM(J$417:J$429/$M$147:$M$159*($B434=$F$146:$N$146)*($F$147:$N$159))</f>
        <v>-15.055871023168706</v>
      </c>
      <c r="K434" s="27">
        <f t="array" aca="1" ref="K434" ca="1">SUM(K$417:K$429/$M$147:$M$159*($B434=$F$146:$N$146)*($F$147:$N$159))</f>
        <v>-16.442548922456872</v>
      </c>
      <c r="L434" s="27">
        <f t="array" aca="1" ref="L434" ca="1">SUM(L$417:L$429/$M$147:$M$159*($B434=$F$146:$N$146)*($F$147:$N$159))</f>
        <v>-18.117890394177863</v>
      </c>
      <c r="M434" s="27">
        <f t="array" aca="1" ref="M434" ca="1">SUM(M$417:M$429/$M$147:$M$159*($B434=$F$146:$N$146)*($F$147:$N$159))</f>
        <v>-19.963933443866182</v>
      </c>
      <c r="N434" s="27">
        <f t="array" aca="1" ref="N434" ca="1">SUM(N$417:N$429/$M$147:$M$159*($B434=$F$146:$N$146)*($F$147:$N$159))</f>
        <v>-21.998070960799847</v>
      </c>
      <c r="O434" s="27">
        <f t="array" aca="1" ref="O434" ca="1">SUM(O$417:O$429/$M$147:$M$159*($B434=$F$146:$N$146)*($F$147:$N$159))</f>
        <v>-24.239468006494786</v>
      </c>
      <c r="P434" s="121"/>
      <c r="Q434" s="27"/>
      <c r="R434" s="27"/>
      <c r="S434" s="27"/>
      <c r="T434" s="27"/>
      <c r="U434" s="27"/>
      <c r="V434" s="27"/>
      <c r="W434" s="27"/>
      <c r="X434" s="27"/>
      <c r="Y434" s="27"/>
    </row>
    <row r="435" spans="1:25" s="743" customFormat="1" hidden="1" outlineLevel="2">
      <c r="B435" s="20" t="s">
        <v>46</v>
      </c>
      <c r="C435" s="743" t="str">
        <f>INDEX(Vectors[Description], MATCH($B435, Vectors[Code], 0))</f>
        <v>Electricity (supplied to grid)</v>
      </c>
      <c r="D435" s="121"/>
      <c r="E435" s="121"/>
      <c r="F435" s="27">
        <f t="array" aca="1" ref="F435" ca="1">SUM(F$417:F$429/$M$147:$M$159*($B435=$F$146:$N$146)*($F$147:$N$159))</f>
        <v>0</v>
      </c>
      <c r="G435" s="27">
        <f t="array" aca="1" ref="G435" ca="1">SUM(G$417:G$429/$M$147:$M$159*($B435=$F$146:$N$146)*($F$147:$N$159))</f>
        <v>0</v>
      </c>
      <c r="H435" s="27">
        <f t="array" aca="1" ref="H435" ca="1">SUM(H$417:H$429/$M$147:$M$159*($B435=$F$146:$N$146)*($F$147:$N$159))</f>
        <v>0</v>
      </c>
      <c r="I435" s="27">
        <f t="array" aca="1" ref="I435" ca="1">SUM(I$417:I$429/$M$147:$M$159*($B435=$F$146:$N$146)*($F$147:$N$159))</f>
        <v>0</v>
      </c>
      <c r="J435" s="27">
        <f t="array" aca="1" ref="J435" ca="1">SUM(J$417:J$429/$M$147:$M$159*($B435=$F$146:$N$146)*($F$147:$N$159))</f>
        <v>0</v>
      </c>
      <c r="K435" s="27">
        <f t="array" aca="1" ref="K435" ca="1">SUM(K$417:K$429/$M$147:$M$159*($B435=$F$146:$N$146)*($F$147:$N$159))</f>
        <v>0</v>
      </c>
      <c r="L435" s="27">
        <f t="array" aca="1" ref="L435" ca="1">SUM(L$417:L$429/$M$147:$M$159*($B435=$F$146:$N$146)*($F$147:$N$159))</f>
        <v>0</v>
      </c>
      <c r="M435" s="27">
        <f t="array" aca="1" ref="M435" ca="1">SUM(M$417:M$429/$M$147:$M$159*($B435=$F$146:$N$146)*($F$147:$N$159))</f>
        <v>0</v>
      </c>
      <c r="N435" s="27">
        <f t="array" aca="1" ref="N435" ca="1">SUM(N$417:N$429/$M$147:$M$159*($B435=$F$146:$N$146)*($F$147:$N$159))</f>
        <v>0</v>
      </c>
      <c r="O435" s="27">
        <f t="array" aca="1" ref="O435" ca="1">SUM(O$417:O$429/$M$147:$M$159*($B435=$F$146:$N$146)*($F$147:$N$159))</f>
        <v>0</v>
      </c>
      <c r="P435" s="121"/>
      <c r="R435" s="27"/>
      <c r="V435" s="27"/>
      <c r="W435" s="27"/>
      <c r="X435" s="27"/>
      <c r="Y435" s="27"/>
    </row>
    <row r="436" spans="1:25" s="743" customFormat="1" hidden="1" outlineLevel="2">
      <c r="B436" s="20" t="s">
        <v>47</v>
      </c>
      <c r="C436" s="743" t="str">
        <f>INDEX(Vectors[Description], MATCH($B436, Vectors[Code], 0))</f>
        <v>Solid hydrocarbons</v>
      </c>
      <c r="D436" s="121"/>
      <c r="E436" s="121"/>
      <c r="F436" s="27">
        <f t="array" aca="1" ref="F436" ca="1">SUM(F$417:F$429/$M$147:$M$159*($B436=$F$146:$N$146)*($F$147:$N$159))</f>
        <v>-4.8373381149425292</v>
      </c>
      <c r="G436" s="27">
        <f t="array" aca="1" ref="G436" ca="1">SUM(G$417:G$429/$M$147:$M$159*($B436=$F$146:$N$146)*($F$147:$N$159))</f>
        <v>-4.3984264959171062</v>
      </c>
      <c r="H436" s="27">
        <f t="array" aca="1" ref="H436" ca="1">SUM(H$417:H$429/$M$147:$M$159*($B436=$F$146:$N$146)*($F$147:$N$159))</f>
        <v>-3.7262178457434763</v>
      </c>
      <c r="I436" s="27">
        <f t="array" aca="1" ref="I436" ca="1">SUM(I$417:I$429/$M$147:$M$159*($B436=$F$146:$N$146)*($F$147:$N$159))</f>
        <v>-3.1423011831776053</v>
      </c>
      <c r="J436" s="27">
        <f t="array" aca="1" ref="J436" ca="1">SUM(J$417:J$429/$M$147:$M$159*($B436=$F$146:$N$146)*($F$147:$N$159))</f>
        <v>-2.6291739181323575</v>
      </c>
      <c r="K436" s="27">
        <f t="array" aca="1" ref="K436" ca="1">SUM(K$417:K$429/$M$147:$M$159*($B436=$F$146:$N$146)*($F$147:$N$159))</f>
        <v>-2.1833399052113829</v>
      </c>
      <c r="L436" s="27">
        <f t="array" aca="1" ref="L436" ca="1">SUM(L$417:L$429/$M$147:$M$159*($B436=$F$146:$N$146)*($F$147:$N$159))</f>
        <v>-1.8344783930172968</v>
      </c>
      <c r="M436" s="27">
        <f t="array" aca="1" ref="M436" ca="1">SUM(M$417:M$429/$M$147:$M$159*($B436=$F$146:$N$146)*($F$147:$N$159))</f>
        <v>-1.5413591655677217</v>
      </c>
      <c r="N436" s="27">
        <f t="array" aca="1" ref="N436" ca="1">SUM(N$417:N$429/$M$147:$M$159*($B436=$F$146:$N$146)*($F$147:$N$159))</f>
        <v>-1.2950755300922323</v>
      </c>
      <c r="O436" s="27">
        <f t="array" aca="1" ref="O436" ca="1">SUM(O$417:O$429/$M$147:$M$159*($B436=$F$146:$N$146)*($F$147:$N$159))</f>
        <v>-1.0881439356322342</v>
      </c>
      <c r="P436" s="121"/>
      <c r="V436" s="27"/>
      <c r="W436" s="27"/>
      <c r="X436" s="27"/>
      <c r="Y436" s="27"/>
    </row>
    <row r="437" spans="1:25" s="743" customFormat="1" hidden="1" outlineLevel="2">
      <c r="B437" s="20" t="s">
        <v>49</v>
      </c>
      <c r="C437" s="743" t="str">
        <f>INDEX(Vectors[Description], MATCH($B437, Vectors[Code], 0))</f>
        <v>Liquid hydrocarbons</v>
      </c>
      <c r="D437" s="121"/>
      <c r="E437" s="121"/>
      <c r="F437" s="27">
        <f t="array" aca="1" ref="F437" ca="1">SUM(F$417:F$429/$M$147:$M$159*($B437=$F$146:$N$146)*($F$147:$N$159))</f>
        <v>-4.338643463917526</v>
      </c>
      <c r="G437" s="27">
        <f t="array" aca="1" ref="G437" ca="1">SUM(G$417:G$429/$M$147:$M$159*($B437=$F$146:$N$146)*($F$147:$N$159))</f>
        <v>-3.9449804654101879</v>
      </c>
      <c r="H437" s="27">
        <f t="array" aca="1" ref="H437" ca="1">SUM(H$417:H$429/$M$147:$M$159*($B437=$F$146:$N$146)*($F$147:$N$159))</f>
        <v>-3.3420716760792004</v>
      </c>
      <c r="I437" s="27">
        <f t="array" aca="1" ref="I437" ca="1">SUM(I$417:I$429/$M$147:$M$159*($B437=$F$146:$N$146)*($F$147:$N$159))</f>
        <v>-2.8183526075922849</v>
      </c>
      <c r="J437" s="27">
        <f t="array" aca="1" ref="J437" ca="1">SUM(J$417:J$429/$M$147:$M$159*($B437=$F$146:$N$146)*($F$147:$N$159))</f>
        <v>-2.3581250605929394</v>
      </c>
      <c r="K437" s="27">
        <f t="array" aca="1" ref="K437" ca="1">SUM(K$417:K$429/$M$147:$M$159*($B437=$F$146:$N$146)*($F$147:$N$159))</f>
        <v>-1.9582533170452612</v>
      </c>
      <c r="L437" s="27">
        <f t="array" aca="1" ref="L437" ca="1">SUM(L$417:L$429/$M$147:$M$159*($B437=$F$146:$N$146)*($F$147:$N$159))</f>
        <v>-1.6453569092010807</v>
      </c>
      <c r="M437" s="27">
        <f t="array" aca="1" ref="M437" ca="1">SUM(M$417:M$429/$M$147:$M$159*($B437=$F$146:$N$146)*($F$147:$N$159))</f>
        <v>-1.3824561588081627</v>
      </c>
      <c r="N437" s="27">
        <f t="array" aca="1" ref="N437" ca="1">SUM(N$417:N$429/$M$147:$M$159*($B437=$F$146:$N$146)*($F$147:$N$159))</f>
        <v>-1.1615625888456105</v>
      </c>
      <c r="O437" s="27">
        <f t="array" aca="1" ref="O437" ca="1">SUM(O$417:O$429/$M$147:$M$159*($B437=$F$146:$N$146)*($F$147:$N$159))</f>
        <v>-0.97596414845365342</v>
      </c>
      <c r="P437" s="121"/>
      <c r="W437" s="27"/>
      <c r="X437" s="27"/>
      <c r="Y437" s="27"/>
    </row>
    <row r="438" spans="1:25" s="743" customFormat="1" hidden="1" outlineLevel="2">
      <c r="B438" s="20" t="s">
        <v>50</v>
      </c>
      <c r="C438" s="743" t="str">
        <f>INDEX(Vectors[Description], MATCH($B438, Vectors[Code], 0))</f>
        <v>Gaseous hydrocarbons</v>
      </c>
      <c r="D438" s="121"/>
      <c r="E438" s="121"/>
      <c r="F438" s="27">
        <f t="array" aca="1" ref="F438" ca="1">SUM(F$417:F$429/$M$147:$M$159*($B438=$F$146:$N$146)*($F$147:$N$159))</f>
        <v>-110.09543040023136</v>
      </c>
      <c r="G438" s="27">
        <f t="array" aca="1" ref="G438" ca="1">SUM(G$417:G$429/$M$147:$M$159*($B438=$F$146:$N$146)*($F$147:$N$159))</f>
        <v>-116.13721935113989</v>
      </c>
      <c r="H438" s="27">
        <f t="array" aca="1" ref="H438" ca="1">SUM(H$417:H$429/$M$147:$M$159*($B438=$F$146:$N$146)*($F$147:$N$159))</f>
        <v>-127.34115210281485</v>
      </c>
      <c r="I438" s="27">
        <f t="array" aca="1" ref="I438" ca="1">SUM(I$417:I$429/$M$147:$M$159*($B438=$F$146:$N$146)*($F$147:$N$159))</f>
        <v>-139.49066749966121</v>
      </c>
      <c r="J438" s="27">
        <f t="array" aca="1" ref="J438" ca="1">SUM(J$417:J$429/$M$147:$M$159*($B438=$F$146:$N$146)*($F$147:$N$159))</f>
        <v>-152.18678968686132</v>
      </c>
      <c r="K438" s="27">
        <f t="array" aca="1" ref="K438" ca="1">SUM(K$417:K$429/$M$147:$M$159*($B438=$F$146:$N$146)*($F$147:$N$159))</f>
        <v>-165.34455473432246</v>
      </c>
      <c r="L438" s="27">
        <f t="array" aca="1" ref="L438" ca="1">SUM(L$417:L$429/$M$147:$M$159*($B438=$F$146:$N$146)*($F$147:$N$159))</f>
        <v>-181.47830614023596</v>
      </c>
      <c r="M438" s="27">
        <f t="array" aca="1" ref="M438" ca="1">SUM(M$417:M$429/$M$147:$M$159*($B438=$F$146:$N$146)*($F$147:$N$159))</f>
        <v>-199.36991015259292</v>
      </c>
      <c r="N438" s="27">
        <f t="array" aca="1" ref="N438" ca="1">SUM(N$417:N$429/$M$147:$M$159*($B438=$F$146:$N$146)*($F$147:$N$159))</f>
        <v>-219.18026419204358</v>
      </c>
      <c r="O438" s="27">
        <f t="array" aca="1" ref="O438" ca="1">SUM(O$417:O$429/$M$147:$M$159*($B438=$F$146:$N$146)*($F$147:$N$159))</f>
        <v>-241.0895694754835</v>
      </c>
      <c r="P438" s="121"/>
      <c r="Q438" s="27"/>
      <c r="W438" s="27"/>
      <c r="X438" s="27"/>
      <c r="Y438" s="27"/>
    </row>
    <row r="439" spans="1:25" s="743" customFormat="1" hidden="1" outlineLevel="2">
      <c r="B439" s="20" t="s">
        <v>753</v>
      </c>
      <c r="C439" s="743" t="str">
        <f>INDEX(Vectors[Description], MATCH($B439, Vectors[Code], 0))</f>
        <v>Heat transport</v>
      </c>
      <c r="D439" s="121"/>
      <c r="E439" s="121"/>
      <c r="F439" s="27">
        <f t="array" aca="1" ref="F439" ca="1">SUM(F$417:F$429/$M$147:$M$159*($B439=$F$146:$N$146)*($F$147:$N$159))</f>
        <v>0</v>
      </c>
      <c r="G439" s="27">
        <f t="array" aca="1" ref="G439" ca="1">SUM(G$417:G$429/$M$147:$M$159*($B439=$F$146:$N$146)*($F$147:$N$159))</f>
        <v>0</v>
      </c>
      <c r="H439" s="27">
        <f t="array" aca="1" ref="H439" ca="1">SUM(H$417:H$429/$M$147:$M$159*($B439=$F$146:$N$146)*($F$147:$N$159))</f>
        <v>0</v>
      </c>
      <c r="I439" s="27">
        <f t="array" aca="1" ref="I439" ca="1">SUM(I$417:I$429/$M$147:$M$159*($B439=$F$146:$N$146)*($F$147:$N$159))</f>
        <v>0</v>
      </c>
      <c r="J439" s="27">
        <f t="array" aca="1" ref="J439" ca="1">SUM(J$417:J$429/$M$147:$M$159*($B439=$F$146:$N$146)*($F$147:$N$159))</f>
        <v>0</v>
      </c>
      <c r="K439" s="27">
        <f t="array" aca="1" ref="K439" ca="1">SUM(K$417:K$429/$M$147:$M$159*($B439=$F$146:$N$146)*($F$147:$N$159))</f>
        <v>0</v>
      </c>
      <c r="L439" s="27">
        <f t="array" aca="1" ref="L439" ca="1">SUM(L$417:L$429/$M$147:$M$159*($B439=$F$146:$N$146)*($F$147:$N$159))</f>
        <v>0</v>
      </c>
      <c r="M439" s="27">
        <f t="array" aca="1" ref="M439" ca="1">SUM(M$417:M$429/$M$147:$M$159*($B439=$F$146:$N$146)*($F$147:$N$159))</f>
        <v>0</v>
      </c>
      <c r="N439" s="27">
        <f t="array" aca="1" ref="N439" ca="1">SUM(N$417:N$429/$M$147:$M$159*($B439=$F$146:$N$146)*($F$147:$N$159))</f>
        <v>0</v>
      </c>
      <c r="O439" s="27">
        <f t="array" aca="1" ref="O439" ca="1">SUM(O$417:O$429/$M$147:$M$159*($B439=$F$146:$N$146)*($F$147:$N$159))</f>
        <v>0</v>
      </c>
      <c r="P439" s="121"/>
      <c r="W439" s="27"/>
      <c r="X439" s="27"/>
      <c r="Y439" s="27"/>
    </row>
    <row r="440" spans="1:25" s="743" customFormat="1" hidden="1" outlineLevel="2">
      <c r="B440" s="20" t="s">
        <v>104</v>
      </c>
      <c r="C440" s="743" t="str">
        <f>INDEX(Vectors[Description], MATCH($B440, Vectors[Code], 0))</f>
        <v>Environmental heat</v>
      </c>
      <c r="D440" s="121"/>
      <c r="E440" s="121"/>
      <c r="F440" s="27">
        <f t="array" aca="1" ref="F440" ca="1">SUM(F$417:F$429/$M$147:$M$159*($B440=$F$146:$N$146)*($F$147:$N$159))</f>
        <v>0</v>
      </c>
      <c r="G440" s="27">
        <f t="array" aca="1" ref="G440" ca="1">SUM(G$417:G$429/$M$147:$M$159*($B440=$F$146:$N$146)*($F$147:$N$159))</f>
        <v>0</v>
      </c>
      <c r="H440" s="27">
        <f t="array" aca="1" ref="H440" ca="1">SUM(H$417:H$429/$M$147:$M$159*($B440=$F$146:$N$146)*($F$147:$N$159))</f>
        <v>0</v>
      </c>
      <c r="I440" s="27">
        <f t="array" aca="1" ref="I440" ca="1">SUM(I$417:I$429/$M$147:$M$159*($B440=$F$146:$N$146)*($F$147:$N$159))</f>
        <v>0</v>
      </c>
      <c r="J440" s="27">
        <f t="array" aca="1" ref="J440" ca="1">SUM(J$417:J$429/$M$147:$M$159*($B440=$F$146:$N$146)*($F$147:$N$159))</f>
        <v>0</v>
      </c>
      <c r="K440" s="27">
        <f t="array" aca="1" ref="K440" ca="1">SUM(K$417:K$429/$M$147:$M$159*($B440=$F$146:$N$146)*($F$147:$N$159))</f>
        <v>0</v>
      </c>
      <c r="L440" s="27">
        <f t="array" aca="1" ref="L440" ca="1">SUM(L$417:L$429/$M$147:$M$159*($B440=$F$146:$N$146)*($F$147:$N$159))</f>
        <v>0</v>
      </c>
      <c r="M440" s="27">
        <f t="array" aca="1" ref="M440" ca="1">SUM(M$417:M$429/$M$147:$M$159*($B440=$F$146:$N$146)*($F$147:$N$159))</f>
        <v>0</v>
      </c>
      <c r="N440" s="27">
        <f t="array" aca="1" ref="N440" ca="1">SUM(N$417:N$429/$M$147:$M$159*($B440=$F$146:$N$146)*($F$147:$N$159))</f>
        <v>0</v>
      </c>
      <c r="O440" s="27">
        <f t="array" aca="1" ref="O440" ca="1">SUM(O$417:O$429/$M$147:$M$159*($B440=$F$146:$N$146)*($F$147:$N$159))</f>
        <v>0</v>
      </c>
      <c r="P440" s="121"/>
      <c r="W440" s="27"/>
      <c r="X440" s="27"/>
      <c r="Y440" s="27"/>
    </row>
    <row r="441" spans="1:25" s="743" customFormat="1" hidden="1" outlineLevel="2">
      <c r="B441" s="20" t="s">
        <v>6</v>
      </c>
      <c r="C441" s="743" t="str">
        <f>INDEX(Vectors[Description], MATCH($B441, Vectors[Code], 0))</f>
        <v>Heating and cooling</v>
      </c>
      <c r="D441" s="121"/>
      <c r="E441" s="121"/>
      <c r="F441" s="27">
        <f t="array" aca="1" ref="F441" ca="1">SUM(F$417:F$429/$M$147:$M$159*($B441=$F$146:$N$146)*($F$147:$N$159))</f>
        <v>105.21210400000001</v>
      </c>
      <c r="G441" s="27">
        <f t="array" aca="1" ref="G441" ca="1">SUM(G$417:G$429/$M$147:$M$159*($B441=$F$146:$N$146)*($F$147:$N$159))</f>
        <v>111.87510173199755</v>
      </c>
      <c r="H441" s="27">
        <f t="array" aca="1" ref="H441" ca="1">SUM(H$417:H$429/$M$147:$M$159*($B441=$F$146:$N$146)*($F$147:$N$159))</f>
        <v>124.05211233911315</v>
      </c>
      <c r="I441" s="27">
        <f t="array" aca="1" ref="I441" ca="1">SUM(I$417:I$429/$M$147:$M$159*($B441=$F$146:$N$146)*($F$147:$N$159))</f>
        <v>137.0737531120196</v>
      </c>
      <c r="J441" s="27">
        <f t="array" aca="1" ref="J441" ca="1">SUM(J$417:J$429/$M$147:$M$159*($B441=$F$146:$N$146)*($F$147:$N$159))</f>
        <v>150.55871023168703</v>
      </c>
      <c r="K441" s="27">
        <f t="array" aca="1" ref="K441" ca="1">SUM(K$417:K$429/$M$147:$M$159*($B441=$F$146:$N$146)*($F$147:$N$159))</f>
        <v>164.42548922456874</v>
      </c>
      <c r="L441" s="27">
        <f t="array" aca="1" ref="L441" ca="1">SUM(L$417:L$429/$M$147:$M$159*($B441=$F$146:$N$146)*($F$147:$N$159))</f>
        <v>181.17890394177863</v>
      </c>
      <c r="M441" s="27">
        <f t="array" aca="1" ref="M441" ca="1">SUM(M$417:M$429/$M$147:$M$159*($B441=$F$146:$N$146)*($F$147:$N$159))</f>
        <v>199.63933443866182</v>
      </c>
      <c r="N441" s="27">
        <f t="array" aca="1" ref="N441" ca="1">SUM(N$417:N$429/$M$147:$M$159*($B441=$F$146:$N$146)*($F$147:$N$159))</f>
        <v>219.98070960799851</v>
      </c>
      <c r="O441" s="27">
        <f t="array" aca="1" ref="O441" ca="1">SUM(O$417:O$429/$M$147:$M$159*($B441=$F$146:$N$146)*($F$147:$N$159))</f>
        <v>242.39468006494789</v>
      </c>
      <c r="P441" s="121"/>
      <c r="W441" s="27"/>
      <c r="X441" s="27"/>
      <c r="Y441" s="27"/>
    </row>
    <row r="442" spans="1:25" s="743" customFormat="1" hidden="1" outlineLevel="2">
      <c r="B442" s="20" t="s">
        <v>34</v>
      </c>
      <c r="C442" s="743" t="str">
        <f>INDEX(Vectors[Description], MATCH($B442, Vectors[Code], 0))</f>
        <v>Conversion losses</v>
      </c>
      <c r="D442" s="121"/>
      <c r="E442" s="121"/>
      <c r="F442" s="27">
        <f t="array" aca="1" ref="F442" ca="1">SUM(F$417:F$429/$M$147:$M$159*($B442=$F$146:$N$146)*($F$147:$N$159))</f>
        <v>24.580518379091405</v>
      </c>
      <c r="G442" s="27">
        <f t="array" aca="1" ref="G442" ca="1">SUM(G$417:G$429/$M$147:$M$159*($B442=$F$146:$N$146)*($F$147:$N$159))</f>
        <v>23.793034753669389</v>
      </c>
      <c r="H442" s="27">
        <f t="array" aca="1" ref="H442" ca="1">SUM(H$417:H$429/$M$147:$M$159*($B442=$F$146:$N$146)*($F$147:$N$159))</f>
        <v>22.762540519435682</v>
      </c>
      <c r="I442" s="27">
        <f t="array" aca="1" ref="I442" ca="1">SUM(I$417:I$429/$M$147:$M$159*($B442=$F$146:$N$146)*($F$147:$N$159))</f>
        <v>22.084943489613458</v>
      </c>
      <c r="J442" s="27">
        <f t="array" aca="1" ref="J442" ca="1">SUM(J$417:J$429/$M$147:$M$159*($B442=$F$146:$N$146)*($F$147:$N$159))</f>
        <v>21.671249457068257</v>
      </c>
      <c r="K442" s="27">
        <f t="array" aca="1" ref="K442" ca="1">SUM(K$417:K$429/$M$147:$M$159*($B442=$F$146:$N$146)*($F$147:$N$159))</f>
        <v>21.503207654467243</v>
      </c>
      <c r="L442" s="27">
        <f t="array" aca="1" ref="L442" ca="1">SUM(L$417:L$429/$M$147:$M$159*($B442=$F$146:$N$146)*($F$147:$N$159))</f>
        <v>21.897127894853575</v>
      </c>
      <c r="M442" s="27">
        <f t="array" aca="1" ref="M442" ca="1">SUM(M$417:M$429/$M$147:$M$159*($B442=$F$146:$N$146)*($F$147:$N$159))</f>
        <v>22.618324482173179</v>
      </c>
      <c r="N442" s="27">
        <f t="array" aca="1" ref="N442" ca="1">SUM(N$417:N$429/$M$147:$M$159*($B442=$F$146:$N$146)*($F$147:$N$159))</f>
        <v>23.654263663782807</v>
      </c>
      <c r="O442" s="27">
        <f t="array" aca="1" ref="O442" ca="1">SUM(O$417:O$429/$M$147:$M$159*($B442=$F$146:$N$146)*($F$147:$N$159))</f>
        <v>24.998465501116303</v>
      </c>
      <c r="P442" s="121"/>
      <c r="W442" s="27"/>
      <c r="X442" s="27"/>
      <c r="Y442" s="27"/>
    </row>
    <row r="443" spans="1:25" s="743" customFormat="1" hidden="1" outlineLevel="2">
      <c r="B443" s="20"/>
      <c r="D443" s="121"/>
      <c r="E443" s="862" t="str">
        <f>Preferences.EnergyUnits</f>
        <v>TWh</v>
      </c>
      <c r="F443" s="1579">
        <f t="shared" ref="F443:O443" ca="1" si="129">SUM(F434:F442)</f>
        <v>0</v>
      </c>
      <c r="G443" s="1579">
        <f t="shared" ca="1" si="129"/>
        <v>0</v>
      </c>
      <c r="H443" s="1579">
        <f t="shared" ca="1" si="129"/>
        <v>0</v>
      </c>
      <c r="I443" s="1579">
        <f t="shared" ca="1" si="129"/>
        <v>0</v>
      </c>
      <c r="J443" s="1579">
        <f t="shared" ca="1" si="129"/>
        <v>-2.8421709430404007E-14</v>
      </c>
      <c r="K443" s="1579">
        <f t="shared" ca="1" si="129"/>
        <v>0</v>
      </c>
      <c r="L443" s="1579">
        <f t="shared" ca="1" si="129"/>
        <v>0</v>
      </c>
      <c r="M443" s="1579">
        <f t="shared" ca="1" si="129"/>
        <v>0</v>
      </c>
      <c r="N443" s="1579">
        <f t="shared" ca="1" si="129"/>
        <v>4.9737991503207013E-14</v>
      </c>
      <c r="O443" s="1579">
        <f t="shared" ca="1" si="129"/>
        <v>3.1974423109204508E-14</v>
      </c>
      <c r="P443" s="121"/>
      <c r="W443" s="27"/>
      <c r="X443" s="27"/>
      <c r="Y443" s="27"/>
    </row>
    <row r="444" spans="1:25" s="743" customFormat="1" hidden="1" outlineLevel="2">
      <c r="B444" s="862"/>
      <c r="C444" s="731"/>
      <c r="D444" s="731"/>
      <c r="E444" s="862"/>
      <c r="F444" s="783"/>
      <c r="G444" s="783"/>
      <c r="H444" s="783"/>
      <c r="I444" s="783"/>
      <c r="J444" s="783"/>
      <c r="K444" s="783"/>
      <c r="L444" s="783"/>
      <c r="M444" s="783"/>
      <c r="N444" s="783"/>
      <c r="O444" s="783"/>
      <c r="P444" s="121"/>
    </row>
    <row r="445" spans="1:25" hidden="1" outlineLevel="2">
      <c r="B445"/>
      <c r="C445"/>
      <c r="D445"/>
      <c r="E445"/>
      <c r="F445"/>
      <c r="G445"/>
      <c r="H445"/>
      <c r="I445"/>
      <c r="J445"/>
      <c r="K445"/>
      <c r="L445"/>
      <c r="M445"/>
      <c r="N445"/>
      <c r="O445"/>
      <c r="P445"/>
    </row>
    <row r="446" spans="1:25" hidden="1" outlineLevel="1">
      <c r="A446" s="731"/>
      <c r="B446" s="731">
        <v>3</v>
      </c>
      <c r="C446" s="731" t="s">
        <v>1606</v>
      </c>
      <c r="F446" s="861">
        <v>2007</v>
      </c>
      <c r="G446" s="861">
        <v>2010</v>
      </c>
      <c r="H446" s="861">
        <v>2015</v>
      </c>
      <c r="I446" s="861">
        <v>2020</v>
      </c>
      <c r="J446" s="861">
        <v>2025</v>
      </c>
      <c r="K446" s="861">
        <v>2030</v>
      </c>
      <c r="L446" s="861">
        <v>2035</v>
      </c>
      <c r="M446" s="861">
        <v>2040</v>
      </c>
      <c r="N446" s="861">
        <v>2045</v>
      </c>
      <c r="O446" s="861">
        <v>2050</v>
      </c>
    </row>
    <row r="447" spans="1:25" hidden="1" outlineLevel="2"/>
    <row r="448" spans="1:25" hidden="1" outlineLevel="2">
      <c r="C448" s="121" t="s">
        <v>842</v>
      </c>
      <c r="D448"/>
      <c r="E448" s="20" t="s">
        <v>832</v>
      </c>
      <c r="F448" s="27">
        <f t="shared" ref="F448:O448" si="130">INDEX(F$45:F$48, MATCH($E$8, $C$45:$C$48, 0))-F$110</f>
        <v>11.9</v>
      </c>
      <c r="G448" s="27">
        <f t="shared" si="130"/>
        <v>13.871053276455832</v>
      </c>
      <c r="H448" s="27">
        <f t="shared" si="130"/>
        <v>14.13974051935255</v>
      </c>
      <c r="I448" s="27">
        <f t="shared" si="130"/>
        <v>14.423876419953583</v>
      </c>
      <c r="J448" s="27">
        <f t="shared" si="130"/>
        <v>14.723916003007229</v>
      </c>
      <c r="K448" s="27">
        <f t="shared" si="130"/>
        <v>15.040327695560251</v>
      </c>
      <c r="L448" s="27">
        <f t="shared" si="130"/>
        <v>14.784513742071887</v>
      </c>
      <c r="M448" s="27">
        <f t="shared" si="130"/>
        <v>14.528699788583516</v>
      </c>
      <c r="N448" s="27">
        <f t="shared" si="130"/>
        <v>14.272885835095146</v>
      </c>
      <c r="O448" s="27">
        <f t="shared" si="130"/>
        <v>14.017071881606775</v>
      </c>
      <c r="P448"/>
    </row>
    <row r="449" spans="2:16" hidden="1" outlineLevel="2">
      <c r="B449" s="1566" t="s">
        <v>838</v>
      </c>
      <c r="C449" s="121" t="s">
        <v>839</v>
      </c>
      <c r="D449"/>
      <c r="E449" s="20" t="s">
        <v>833</v>
      </c>
      <c r="F449" s="27">
        <f t="shared" ref="F449:O449" si="131">INDEX(F$61:F$64, MATCH($E$9, $C$61:$C$64, 0))</f>
        <v>246.8</v>
      </c>
      <c r="G449" s="27">
        <f t="shared" si="131"/>
        <v>235.51651316253574</v>
      </c>
      <c r="H449" s="27">
        <f t="shared" si="131"/>
        <v>228.57966832477237</v>
      </c>
      <c r="I449" s="27">
        <f t="shared" si="131"/>
        <v>221.98107741792347</v>
      </c>
      <c r="J449" s="27">
        <f t="shared" si="131"/>
        <v>216.04511488698378</v>
      </c>
      <c r="K449" s="27">
        <f t="shared" si="131"/>
        <v>210.58160855249241</v>
      </c>
      <c r="L449" s="27">
        <f t="shared" si="131"/>
        <v>205.29562003513962</v>
      </c>
      <c r="M449" s="27">
        <f t="shared" si="131"/>
        <v>200.19758311821826</v>
      </c>
      <c r="N449" s="27">
        <f t="shared" si="131"/>
        <v>195.29588631147317</v>
      </c>
      <c r="O449" s="27">
        <f t="shared" si="131"/>
        <v>190.59690348893147</v>
      </c>
      <c r="P449"/>
    </row>
    <row r="450" spans="2:16" s="743" customFormat="1" hidden="1" outlineLevel="2">
      <c r="B450" s="1566" t="s">
        <v>838</v>
      </c>
      <c r="C450" s="121" t="s">
        <v>858</v>
      </c>
      <c r="D450"/>
      <c r="E450" s="20" t="s">
        <v>711</v>
      </c>
      <c r="F450" s="28">
        <f>(31+31+28.25)*24*60*60</f>
        <v>7797600</v>
      </c>
      <c r="G450"/>
      <c r="H450"/>
      <c r="I450"/>
      <c r="J450"/>
      <c r="K450"/>
      <c r="L450"/>
      <c r="M450"/>
      <c r="N450"/>
      <c r="O450"/>
      <c r="P450"/>
    </row>
    <row r="451" spans="2:16" s="834" customFormat="1" hidden="1" outlineLevel="2">
      <c r="B451" s="1575" t="s">
        <v>840</v>
      </c>
      <c r="C451" s="731" t="s">
        <v>864</v>
      </c>
      <c r="D451" s="731"/>
      <c r="E451" s="862" t="s">
        <v>84</v>
      </c>
      <c r="F451" s="863">
        <f>F448*F449*$F450</f>
        <v>22900927392</v>
      </c>
      <c r="G451" s="863">
        <f t="shared" ref="G451:O451" si="132">G448*G449*$F450</f>
        <v>25473683923.144878</v>
      </c>
      <c r="H451" s="863">
        <f t="shared" si="132"/>
        <v>25202289207.997746</v>
      </c>
      <c r="I451" s="863">
        <f t="shared" si="132"/>
        <v>24966571113.997574</v>
      </c>
      <c r="J451" s="863">
        <f t="shared" si="132"/>
        <v>24804400498.458073</v>
      </c>
      <c r="K451" s="863">
        <f t="shared" si="132"/>
        <v>24696686595.085606</v>
      </c>
      <c r="L451" s="863">
        <f t="shared" si="132"/>
        <v>23667243671.456753</v>
      </c>
      <c r="M451" s="863">
        <f t="shared" si="132"/>
        <v>22680181886.091331</v>
      </c>
      <c r="N451" s="863">
        <f t="shared" si="132"/>
        <v>21735310091.087013</v>
      </c>
      <c r="O451" s="863">
        <f t="shared" si="132"/>
        <v>20832150008.41309</v>
      </c>
      <c r="P451" s="731"/>
    </row>
    <row r="452" spans="2:16" s="743" customFormat="1" hidden="1" outlineLevel="2">
      <c r="B452" s="1566"/>
      <c r="C452" s="121"/>
      <c r="D452" s="121"/>
      <c r="E452" s="20"/>
      <c r="F452" s="121"/>
      <c r="G452" s="121"/>
      <c r="H452" s="121"/>
      <c r="I452" s="121"/>
      <c r="J452" s="121"/>
      <c r="K452" s="121"/>
      <c r="L452" s="121"/>
      <c r="M452" s="121"/>
      <c r="N452" s="121"/>
      <c r="O452" s="121"/>
      <c r="P452" s="121"/>
    </row>
    <row r="453" spans="2:16" s="743" customFormat="1" hidden="1" outlineLevel="2">
      <c r="B453" s="20"/>
      <c r="C453" s="121" t="s">
        <v>859</v>
      </c>
      <c r="D453" s="121"/>
      <c r="E453" s="20" t="s">
        <v>832</v>
      </c>
      <c r="F453" s="27">
        <f t="shared" ref="F453:O453" si="133">INDEX(F$45:F$48, MATCH($E$8, $C$45:$C$48, 0))-F$111</f>
        <v>8.4</v>
      </c>
      <c r="G453" s="27">
        <f t="shared" si="133"/>
        <v>9.6263586558309822</v>
      </c>
      <c r="H453" s="27">
        <f t="shared" si="133"/>
        <v>10.015674667030888</v>
      </c>
      <c r="I453" s="27">
        <f t="shared" si="133"/>
        <v>10.420439335935109</v>
      </c>
      <c r="J453" s="27">
        <f t="shared" si="133"/>
        <v>10.841107687291943</v>
      </c>
      <c r="K453" s="27">
        <f t="shared" si="133"/>
        <v>11.278148148148153</v>
      </c>
      <c r="L453" s="27">
        <f t="shared" si="133"/>
        <v>11.142962962962978</v>
      </c>
      <c r="M453" s="27">
        <f t="shared" si="133"/>
        <v>11.007777777777795</v>
      </c>
      <c r="N453" s="27">
        <f t="shared" si="133"/>
        <v>10.872592592592612</v>
      </c>
      <c r="O453" s="27">
        <f t="shared" si="133"/>
        <v>10.73740740740743</v>
      </c>
      <c r="P453" s="121"/>
    </row>
    <row r="454" spans="2:16" s="743" customFormat="1" hidden="1" outlineLevel="2">
      <c r="B454" s="1566" t="s">
        <v>838</v>
      </c>
      <c r="C454" s="121" t="s">
        <v>839</v>
      </c>
      <c r="D454" s="121"/>
      <c r="E454" s="20" t="s">
        <v>833</v>
      </c>
      <c r="F454" s="27">
        <f t="shared" ref="F454:O454" si="134">INDEX(F$61:F$64, MATCH($E$9, $C$61:$C$64, 0))</f>
        <v>246.8</v>
      </c>
      <c r="G454" s="27">
        <f t="shared" si="134"/>
        <v>235.51651316253574</v>
      </c>
      <c r="H454" s="27">
        <f t="shared" si="134"/>
        <v>228.57966832477237</v>
      </c>
      <c r="I454" s="27">
        <f t="shared" si="134"/>
        <v>221.98107741792347</v>
      </c>
      <c r="J454" s="27">
        <f t="shared" si="134"/>
        <v>216.04511488698378</v>
      </c>
      <c r="K454" s="27">
        <f t="shared" si="134"/>
        <v>210.58160855249241</v>
      </c>
      <c r="L454" s="27">
        <f t="shared" si="134"/>
        <v>205.29562003513962</v>
      </c>
      <c r="M454" s="27">
        <f t="shared" si="134"/>
        <v>200.19758311821826</v>
      </c>
      <c r="N454" s="27">
        <f t="shared" si="134"/>
        <v>195.29588631147317</v>
      </c>
      <c r="O454" s="27">
        <f t="shared" si="134"/>
        <v>190.59690348893147</v>
      </c>
      <c r="P454" s="121"/>
    </row>
    <row r="455" spans="2:16" s="743" customFormat="1" hidden="1" outlineLevel="2">
      <c r="B455" s="1566" t="s">
        <v>838</v>
      </c>
      <c r="C455" s="121" t="s">
        <v>868</v>
      </c>
      <c r="D455" s="121"/>
      <c r="E455" s="20" t="s">
        <v>711</v>
      </c>
      <c r="F455" s="28">
        <f>(31+30+31)*24*60*60</f>
        <v>7948800</v>
      </c>
      <c r="G455" s="121"/>
      <c r="H455" s="121"/>
      <c r="I455" s="121"/>
      <c r="J455" s="121"/>
      <c r="K455" s="121"/>
      <c r="L455" s="121"/>
      <c r="M455" s="121"/>
      <c r="N455" s="121"/>
      <c r="O455" s="121"/>
      <c r="P455" s="121"/>
    </row>
    <row r="456" spans="2:16" s="834" customFormat="1" hidden="1" outlineLevel="2">
      <c r="B456" s="1575" t="s">
        <v>840</v>
      </c>
      <c r="C456" s="731" t="s">
        <v>865</v>
      </c>
      <c r="D456" s="731"/>
      <c r="E456" s="862" t="s">
        <v>84</v>
      </c>
      <c r="F456" s="863">
        <f t="shared" ref="F456:O456" si="135">F453*F454*$F455</f>
        <v>16478816256.000002</v>
      </c>
      <c r="G456" s="863">
        <f t="shared" si="135"/>
        <v>18021252479.622707</v>
      </c>
      <c r="H456" s="863">
        <f t="shared" si="135"/>
        <v>18197820512.325897</v>
      </c>
      <c r="I456" s="863">
        <f t="shared" si="135"/>
        <v>18386690021.702789</v>
      </c>
      <c r="J456" s="863">
        <f t="shared" si="135"/>
        <v>18617427826.608086</v>
      </c>
      <c r="K456" s="863">
        <f t="shared" si="135"/>
        <v>18878166134.622059</v>
      </c>
      <c r="L456" s="863">
        <f t="shared" si="135"/>
        <v>18183686727.766533</v>
      </c>
      <c r="M456" s="863">
        <f t="shared" si="135"/>
        <v>17517013050.969753</v>
      </c>
      <c r="N456" s="863">
        <f t="shared" si="135"/>
        <v>16878264177.51951</v>
      </c>
      <c r="O456" s="863">
        <f t="shared" si="135"/>
        <v>16267351176.716204</v>
      </c>
      <c r="P456" s="731"/>
    </row>
    <row r="457" spans="2:16" s="743" customFormat="1" hidden="1" outlineLevel="2">
      <c r="B457" s="1566"/>
      <c r="C457" s="121"/>
      <c r="D457" s="121"/>
      <c r="E457" s="20"/>
      <c r="F457" s="121"/>
      <c r="G457" s="121"/>
      <c r="H457" s="121"/>
      <c r="I457" s="121"/>
      <c r="J457" s="121"/>
      <c r="K457" s="121"/>
      <c r="L457" s="121"/>
      <c r="M457" s="121"/>
      <c r="N457" s="121"/>
      <c r="O457" s="121"/>
      <c r="P457" s="121"/>
    </row>
    <row r="458" spans="2:16" s="743" customFormat="1" hidden="1" outlineLevel="2">
      <c r="B458" s="20"/>
      <c r="C458" s="121" t="s">
        <v>860</v>
      </c>
      <c r="D458" s="121"/>
      <c r="E458" s="20" t="s">
        <v>832</v>
      </c>
      <c r="F458" s="27">
        <f t="shared" ref="F458:O458" si="136">INDEX(F$45:F$48, MATCH($E$8, $C$45:$C$48, 0))-F$112</f>
        <v>3.4000000000000004</v>
      </c>
      <c r="G458" s="27">
        <f t="shared" si="136"/>
        <v>3.5539813948490693</v>
      </c>
      <c r="H458" s="27">
        <f t="shared" si="136"/>
        <v>3.822668637745787</v>
      </c>
      <c r="I458" s="27">
        <f t="shared" si="136"/>
        <v>4.1068045383468199</v>
      </c>
      <c r="J458" s="27">
        <f t="shared" si="136"/>
        <v>4.4068441214004661</v>
      </c>
      <c r="K458" s="27">
        <f t="shared" si="136"/>
        <v>4.7232558139534877</v>
      </c>
      <c r="L458" s="27">
        <f t="shared" si="136"/>
        <v>4.467441860465124</v>
      </c>
      <c r="M458" s="27">
        <f t="shared" si="136"/>
        <v>4.2116279069767533</v>
      </c>
      <c r="N458" s="27">
        <f t="shared" si="136"/>
        <v>3.9558139534883807</v>
      </c>
      <c r="O458" s="27">
        <f t="shared" si="136"/>
        <v>3.7000000000000099</v>
      </c>
      <c r="P458" s="121"/>
    </row>
    <row r="459" spans="2:16" s="743" customFormat="1" hidden="1" outlineLevel="2">
      <c r="B459" s="1566" t="s">
        <v>838</v>
      </c>
      <c r="C459" s="121" t="s">
        <v>839</v>
      </c>
      <c r="D459" s="121"/>
      <c r="E459" s="20" t="s">
        <v>833</v>
      </c>
      <c r="F459" s="27">
        <f t="shared" ref="F459:O459" si="137">INDEX(F$61:F$64, MATCH($E$9, $C$61:$C$64, 0))</f>
        <v>246.8</v>
      </c>
      <c r="G459" s="27">
        <f t="shared" si="137"/>
        <v>235.51651316253574</v>
      </c>
      <c r="H459" s="27">
        <f t="shared" si="137"/>
        <v>228.57966832477237</v>
      </c>
      <c r="I459" s="27">
        <f t="shared" si="137"/>
        <v>221.98107741792347</v>
      </c>
      <c r="J459" s="27">
        <f t="shared" si="137"/>
        <v>216.04511488698378</v>
      </c>
      <c r="K459" s="27">
        <f t="shared" si="137"/>
        <v>210.58160855249241</v>
      </c>
      <c r="L459" s="27">
        <f t="shared" si="137"/>
        <v>205.29562003513962</v>
      </c>
      <c r="M459" s="27">
        <f t="shared" si="137"/>
        <v>200.19758311821826</v>
      </c>
      <c r="N459" s="27">
        <f t="shared" si="137"/>
        <v>195.29588631147317</v>
      </c>
      <c r="O459" s="27">
        <f t="shared" si="137"/>
        <v>190.59690348893147</v>
      </c>
      <c r="P459" s="121"/>
    </row>
    <row r="460" spans="2:16" s="743" customFormat="1" hidden="1" outlineLevel="2">
      <c r="B460" s="1566" t="s">
        <v>838</v>
      </c>
      <c r="C460" s="121" t="s">
        <v>869</v>
      </c>
      <c r="D460" s="121"/>
      <c r="E460" s="20" t="s">
        <v>711</v>
      </c>
      <c r="F460" s="28">
        <f>(30+31+31)*24*60*60</f>
        <v>7948800</v>
      </c>
      <c r="G460" s="121"/>
      <c r="H460" s="121"/>
      <c r="I460" s="121"/>
      <c r="J460" s="121"/>
      <c r="K460" s="121"/>
      <c r="L460" s="121"/>
      <c r="M460" s="121"/>
      <c r="N460" s="121"/>
      <c r="O460" s="121"/>
      <c r="P460" s="121"/>
    </row>
    <row r="461" spans="2:16" s="834" customFormat="1" hidden="1" outlineLevel="2">
      <c r="B461" s="1575" t="s">
        <v>840</v>
      </c>
      <c r="C461" s="731" t="s">
        <v>866</v>
      </c>
      <c r="D461" s="731"/>
      <c r="E461" s="862" t="s">
        <v>84</v>
      </c>
      <c r="F461" s="863">
        <f>F458*F459*$F460</f>
        <v>6669997056.000001</v>
      </c>
      <c r="G461" s="863">
        <f t="shared" ref="G461:O461" si="138">G458*G459*$F460</f>
        <v>6653314956.8099031</v>
      </c>
      <c r="H461" s="863">
        <f t="shared" si="138"/>
        <v>6945536876.9897614</v>
      </c>
      <c r="I461" s="863">
        <f t="shared" si="138"/>
        <v>7246387565.0526066</v>
      </c>
      <c r="J461" s="863">
        <f t="shared" si="138"/>
        <v>7567870806.1776962</v>
      </c>
      <c r="K461" s="863">
        <f t="shared" si="138"/>
        <v>7906121357.9442472</v>
      </c>
      <c r="L461" s="863">
        <f t="shared" si="138"/>
        <v>7290212085.8891888</v>
      </c>
      <c r="M461" s="863">
        <f t="shared" si="138"/>
        <v>6702092148.0878258</v>
      </c>
      <c r="N461" s="863">
        <f t="shared" si="138"/>
        <v>6140878762.4014015</v>
      </c>
      <c r="O461" s="863">
        <f t="shared" si="138"/>
        <v>5605561665.8754435</v>
      </c>
      <c r="P461" s="731"/>
    </row>
    <row r="462" spans="2:16" s="743" customFormat="1" hidden="1" outlineLevel="2">
      <c r="B462" s="1566"/>
      <c r="C462" s="121"/>
      <c r="D462" s="121"/>
      <c r="E462" s="20"/>
      <c r="F462" s="121"/>
      <c r="G462" s="121"/>
      <c r="H462" s="121"/>
      <c r="I462" s="121"/>
      <c r="J462" s="121"/>
      <c r="K462" s="121"/>
      <c r="L462" s="121"/>
      <c r="M462" s="121"/>
      <c r="N462" s="121"/>
      <c r="O462" s="121"/>
      <c r="P462" s="121"/>
    </row>
    <row r="463" spans="2:16" s="743" customFormat="1" hidden="1" outlineLevel="2">
      <c r="B463" s="20"/>
      <c r="C463" s="121" t="s">
        <v>861</v>
      </c>
      <c r="D463" s="121"/>
      <c r="E463" s="20" t="s">
        <v>832</v>
      </c>
      <c r="F463" s="27">
        <f t="shared" ref="F463:O463" si="139">INDEX(F$45:F$48, MATCH($E$8, $C$45:$C$48, 0))-F$113</f>
        <v>7.6</v>
      </c>
      <c r="G463" s="27">
        <f t="shared" si="139"/>
        <v>7.8086325576397666</v>
      </c>
      <c r="H463" s="27">
        <f t="shared" si="139"/>
        <v>8.1684050718543144</v>
      </c>
      <c r="I463" s="27">
        <f t="shared" si="139"/>
        <v>8.5436262437731774</v>
      </c>
      <c r="J463" s="27">
        <f t="shared" si="139"/>
        <v>8.9347510981446536</v>
      </c>
      <c r="K463" s="27">
        <f t="shared" si="139"/>
        <v>9.3422480620155053</v>
      </c>
      <c r="L463" s="27">
        <f t="shared" si="139"/>
        <v>9.1775193798449717</v>
      </c>
      <c r="M463" s="27">
        <f t="shared" si="139"/>
        <v>9.012790697674431</v>
      </c>
      <c r="N463" s="27">
        <f t="shared" si="139"/>
        <v>8.8480620155038903</v>
      </c>
      <c r="O463" s="27">
        <f t="shared" si="139"/>
        <v>8.6833333333333496</v>
      </c>
      <c r="P463" s="121"/>
    </row>
    <row r="464" spans="2:16" s="743" customFormat="1" hidden="1" outlineLevel="2">
      <c r="B464" s="1566" t="s">
        <v>838</v>
      </c>
      <c r="C464" s="121" t="s">
        <v>839</v>
      </c>
      <c r="D464" s="121"/>
      <c r="E464" s="20" t="s">
        <v>833</v>
      </c>
      <c r="F464" s="27">
        <f t="shared" ref="F464:O464" si="140">INDEX(F$61:F$64, MATCH($E$9, $C$61:$C$64, 0))</f>
        <v>246.8</v>
      </c>
      <c r="G464" s="27">
        <f t="shared" si="140"/>
        <v>235.51651316253574</v>
      </c>
      <c r="H464" s="27">
        <f t="shared" si="140"/>
        <v>228.57966832477237</v>
      </c>
      <c r="I464" s="27">
        <f t="shared" si="140"/>
        <v>221.98107741792347</v>
      </c>
      <c r="J464" s="27">
        <f t="shared" si="140"/>
        <v>216.04511488698378</v>
      </c>
      <c r="K464" s="27">
        <f t="shared" si="140"/>
        <v>210.58160855249241</v>
      </c>
      <c r="L464" s="27">
        <f t="shared" si="140"/>
        <v>205.29562003513962</v>
      </c>
      <c r="M464" s="27">
        <f t="shared" si="140"/>
        <v>200.19758311821826</v>
      </c>
      <c r="N464" s="27">
        <f t="shared" si="140"/>
        <v>195.29588631147317</v>
      </c>
      <c r="O464" s="27">
        <f t="shared" si="140"/>
        <v>190.59690348893147</v>
      </c>
      <c r="P464" s="121"/>
    </row>
    <row r="465" spans="1:16" s="743" customFormat="1" hidden="1" outlineLevel="2">
      <c r="B465" s="1566" t="s">
        <v>838</v>
      </c>
      <c r="C465" s="121" t="s">
        <v>870</v>
      </c>
      <c r="D465" s="121"/>
      <c r="E465" s="20" t="s">
        <v>711</v>
      </c>
      <c r="F465" s="28">
        <f>(30+31+30)*24*60*60</f>
        <v>7862400</v>
      </c>
      <c r="G465" s="121"/>
      <c r="H465" s="121"/>
      <c r="I465" s="121"/>
      <c r="J465" s="121"/>
      <c r="K465" s="121"/>
      <c r="L465" s="121"/>
      <c r="M465" s="121"/>
      <c r="N465" s="121"/>
      <c r="O465" s="121"/>
      <c r="P465" s="121"/>
    </row>
    <row r="466" spans="1:16" s="834" customFormat="1" hidden="1" outlineLevel="2">
      <c r="B466" s="1575" t="s">
        <v>840</v>
      </c>
      <c r="C466" s="731" t="s">
        <v>867</v>
      </c>
      <c r="D466" s="731"/>
      <c r="E466" s="862" t="s">
        <v>84</v>
      </c>
      <c r="F466" s="863">
        <f>F463*F464*$F465</f>
        <v>14747346432</v>
      </c>
      <c r="G466" s="863">
        <f t="shared" ref="G466:O466" si="141">G463*G464*$F465</f>
        <v>14459440381.176285</v>
      </c>
      <c r="H466" s="863">
        <f t="shared" si="141"/>
        <v>14680133306.618383</v>
      </c>
      <c r="I466" s="863">
        <f t="shared" si="141"/>
        <v>14911225255.040455</v>
      </c>
      <c r="J466" s="863">
        <f t="shared" si="141"/>
        <v>15176864056.420158</v>
      </c>
      <c r="K466" s="863">
        <f t="shared" si="141"/>
        <v>15467743741.248201</v>
      </c>
      <c r="L466" s="863">
        <f t="shared" si="141"/>
        <v>14813583468.228025</v>
      </c>
      <c r="M466" s="863">
        <f t="shared" si="141"/>
        <v>14186434283.918362</v>
      </c>
      <c r="N466" s="863">
        <f t="shared" si="141"/>
        <v>13586149468.042051</v>
      </c>
      <c r="O466" s="863">
        <f t="shared" si="141"/>
        <v>13012401299.491795</v>
      </c>
      <c r="P466" s="731"/>
    </row>
    <row r="467" spans="1:16" s="743" customFormat="1" hidden="1" outlineLevel="2">
      <c r="B467" s="1566"/>
      <c r="C467" s="121"/>
      <c r="D467" s="121"/>
      <c r="E467" s="20"/>
      <c r="F467" s="121"/>
      <c r="G467" s="121"/>
      <c r="H467" s="121"/>
      <c r="I467" s="121"/>
      <c r="J467" s="121"/>
      <c r="K467" s="121"/>
      <c r="L467" s="121"/>
      <c r="M467" s="121"/>
      <c r="N467" s="121"/>
      <c r="O467" s="121"/>
      <c r="P467" s="121"/>
    </row>
    <row r="468" spans="1:16" s="743" customFormat="1" ht="15.75" hidden="1" outlineLevel="2">
      <c r="A468" s="753"/>
      <c r="B468" s="1123"/>
      <c r="C468" s="1572" t="s">
        <v>863</v>
      </c>
      <c r="D468" s="1591"/>
      <c r="E468" s="1573" t="s">
        <v>84</v>
      </c>
      <c r="F468" s="1592">
        <f>(F$451+F$456+F$461+F$466)</f>
        <v>60797087136</v>
      </c>
      <c r="G468" s="1592">
        <f t="shared" ref="G468:O468" si="142">(G$451+G$456+G$461+G$466)</f>
        <v>64607691740.753777</v>
      </c>
      <c r="H468" s="1592">
        <f t="shared" si="142"/>
        <v>65025779903.931786</v>
      </c>
      <c r="I468" s="1592">
        <f t="shared" si="142"/>
        <v>65510873955.793427</v>
      </c>
      <c r="J468" s="1592">
        <f t="shared" si="142"/>
        <v>66166563187.664017</v>
      </c>
      <c r="K468" s="1592">
        <f t="shared" si="142"/>
        <v>66948717828.900108</v>
      </c>
      <c r="L468" s="1592">
        <f t="shared" si="142"/>
        <v>63954725953.3405</v>
      </c>
      <c r="M468" s="1592">
        <f t="shared" si="142"/>
        <v>61085721369.067276</v>
      </c>
      <c r="N468" s="1592">
        <f t="shared" si="142"/>
        <v>58340602499.049973</v>
      </c>
      <c r="O468" s="1592">
        <f t="shared" si="142"/>
        <v>55717464150.496536</v>
      </c>
    </row>
    <row r="469" spans="1:16" s="743" customFormat="1" hidden="1" outlineLevel="2">
      <c r="B469" s="1566"/>
      <c r="C469" s="731"/>
      <c r="D469" s="121"/>
      <c r="E469" s="20"/>
      <c r="F469" s="863"/>
      <c r="G469" s="863"/>
      <c r="H469" s="863"/>
      <c r="I469" s="863"/>
      <c r="J469" s="863"/>
      <c r="K469" s="863"/>
      <c r="L469" s="863"/>
      <c r="M469" s="863"/>
      <c r="N469" s="863"/>
      <c r="O469" s="863"/>
      <c r="P469" s="121"/>
    </row>
    <row r="470" spans="1:16" s="743" customFormat="1" hidden="1" outlineLevel="2">
      <c r="B470" s="1566"/>
      <c r="C470" s="731" t="s">
        <v>1321</v>
      </c>
      <c r="D470" s="121"/>
      <c r="E470" s="1599"/>
      <c r="F470" s="863"/>
      <c r="G470" s="863"/>
      <c r="H470" s="863"/>
      <c r="I470" s="863"/>
      <c r="J470" s="863"/>
      <c r="K470" s="863"/>
      <c r="L470" s="863"/>
      <c r="M470" s="863"/>
      <c r="N470" s="863"/>
      <c r="O470" s="1598" t="s">
        <v>84</v>
      </c>
      <c r="P470" s="121"/>
    </row>
    <row r="471" spans="1:16" s="743" customFormat="1" hidden="1" outlineLevel="2">
      <c r="B471" s="1566"/>
      <c r="C471" s="24" t="s">
        <v>15</v>
      </c>
      <c r="D471" s="121"/>
      <c r="E471" s="1555" t="s">
        <v>1170</v>
      </c>
      <c r="F471" s="2473" t="s">
        <v>2315</v>
      </c>
      <c r="G471" s="1593"/>
      <c r="H471" s="1593"/>
      <c r="I471" s="1593"/>
      <c r="J471" s="1593"/>
      <c r="K471" s="1593"/>
      <c r="L471" s="1593"/>
      <c r="M471" s="1593"/>
      <c r="N471" s="1593"/>
      <c r="O471" s="1593"/>
      <c r="P471" s="1593"/>
    </row>
    <row r="472" spans="1:16" s="743" customFormat="1" hidden="1" outlineLevel="2">
      <c r="B472" s="1566"/>
      <c r="C472" s="24" t="s">
        <v>1320</v>
      </c>
      <c r="D472" s="121"/>
      <c r="E472" s="1555" t="s">
        <v>1170</v>
      </c>
      <c r="F472" s="2473" t="s">
        <v>2315</v>
      </c>
      <c r="G472" s="1593"/>
      <c r="H472" s="1593"/>
      <c r="I472" s="1593"/>
      <c r="J472" s="1593"/>
      <c r="K472" s="1593"/>
      <c r="L472" s="1593"/>
      <c r="M472" s="1593"/>
      <c r="N472" s="1593"/>
      <c r="O472" s="1593"/>
      <c r="P472" s="1593"/>
    </row>
    <row r="473" spans="1:16" s="743" customFormat="1" hidden="1" outlineLevel="2">
      <c r="B473" s="1566"/>
      <c r="C473" s="24" t="s">
        <v>116</v>
      </c>
      <c r="D473" s="121"/>
      <c r="E473" s="1555" t="s">
        <v>1170</v>
      </c>
      <c r="F473" s="2473" t="s">
        <v>2315</v>
      </c>
      <c r="G473" s="1593"/>
      <c r="H473" s="1593"/>
      <c r="I473" s="1593"/>
      <c r="J473" s="1593"/>
      <c r="K473" s="1593"/>
      <c r="L473" s="1593"/>
      <c r="M473" s="1593"/>
      <c r="N473" s="1593"/>
      <c r="O473" s="1593"/>
      <c r="P473" s="1593"/>
    </row>
    <row r="474" spans="1:16" s="743" customFormat="1" hidden="1" outlineLevel="2">
      <c r="B474" s="1566"/>
      <c r="C474" s="24" t="s">
        <v>71</v>
      </c>
      <c r="D474" s="121"/>
      <c r="E474" s="1555" t="s">
        <v>1323</v>
      </c>
      <c r="F474" s="2473" t="s">
        <v>2315</v>
      </c>
      <c r="G474" s="1593"/>
      <c r="H474" s="1593"/>
      <c r="I474" s="1593"/>
      <c r="J474" s="1593"/>
      <c r="K474" s="1593"/>
      <c r="L474" s="1593"/>
      <c r="M474" s="1593"/>
      <c r="N474" s="1593"/>
      <c r="O474" s="1593"/>
      <c r="P474" s="1593"/>
    </row>
    <row r="475" spans="1:16" s="743" customFormat="1" hidden="1" outlineLevel="2">
      <c r="B475" s="1566"/>
      <c r="C475" s="24" t="s">
        <v>204</v>
      </c>
      <c r="D475" s="121"/>
      <c r="E475" s="1555" t="s">
        <v>1324</v>
      </c>
      <c r="F475" s="2473" t="s">
        <v>2315</v>
      </c>
      <c r="G475" s="1593"/>
      <c r="H475" s="1593"/>
      <c r="I475" s="1593"/>
      <c r="J475" s="1593"/>
      <c r="K475" s="1593"/>
      <c r="L475" s="1593"/>
      <c r="M475" s="1593"/>
      <c r="N475" s="1593"/>
      <c r="O475" s="1593"/>
      <c r="P475" s="1593"/>
    </row>
    <row r="476" spans="1:16" s="743" customFormat="1" ht="15.75" hidden="1" outlineLevel="2">
      <c r="A476" s="753"/>
      <c r="B476" s="22"/>
      <c r="C476" s="1572" t="s">
        <v>1325</v>
      </c>
      <c r="D476" s="1591"/>
      <c r="E476" s="2474" t="s">
        <v>2314</v>
      </c>
      <c r="F476" s="1592">
        <f t="shared" ref="F476:O476" si="143">$F$123/$F$468*F$468</f>
        <v>32476408683.15794</v>
      </c>
      <c r="G476" s="1592">
        <f t="shared" si="143"/>
        <v>34511946211.412773</v>
      </c>
      <c r="H476" s="1592">
        <f t="shared" si="143"/>
        <v>34735279313.253433</v>
      </c>
      <c r="I476" s="1592">
        <f t="shared" si="143"/>
        <v>34994405423.07489</v>
      </c>
      <c r="J476" s="1592">
        <f t="shared" si="143"/>
        <v>35344659562.977028</v>
      </c>
      <c r="K476" s="1592">
        <f t="shared" si="143"/>
        <v>35762468622.239853</v>
      </c>
      <c r="L476" s="1592">
        <f t="shared" si="143"/>
        <v>34163146873.037945</v>
      </c>
      <c r="M476" s="1592">
        <f t="shared" si="143"/>
        <v>32630590466.440975</v>
      </c>
      <c r="N476" s="1592">
        <f t="shared" si="143"/>
        <v>31164210965.279957</v>
      </c>
      <c r="O476" s="1592">
        <f t="shared" si="143"/>
        <v>29762990659.288662</v>
      </c>
      <c r="P476" s="1594"/>
    </row>
    <row r="477" spans="1:16" s="743" customFormat="1" hidden="1" outlineLevel="2">
      <c r="B477" s="1566"/>
      <c r="C477" s="731"/>
      <c r="D477" s="121"/>
      <c r="E477" s="20"/>
      <c r="F477" s="863"/>
      <c r="G477" s="863"/>
      <c r="H477" s="863"/>
      <c r="I477" s="863"/>
      <c r="J477" s="863"/>
      <c r="K477" s="863"/>
      <c r="L477" s="863"/>
      <c r="M477" s="863"/>
      <c r="N477" s="863"/>
      <c r="O477" s="863"/>
      <c r="P477" s="121"/>
    </row>
    <row r="478" spans="1:16" s="743" customFormat="1" hidden="1" outlineLevel="2">
      <c r="B478" s="1566"/>
      <c r="C478" s="731" t="s">
        <v>1322</v>
      </c>
      <c r="D478" s="121"/>
      <c r="E478" s="20"/>
      <c r="F478" s="863">
        <f>F$468-F$476</f>
        <v>28320678452.84206</v>
      </c>
      <c r="G478" s="863">
        <f t="shared" ref="G478:O478" si="144">G$468-G$476</f>
        <v>30095745529.341003</v>
      </c>
      <c r="H478" s="863">
        <f t="shared" si="144"/>
        <v>30290500590.678352</v>
      </c>
      <c r="I478" s="863">
        <f t="shared" si="144"/>
        <v>30516468532.718536</v>
      </c>
      <c r="J478" s="863">
        <f t="shared" si="144"/>
        <v>30821903624.686989</v>
      </c>
      <c r="K478" s="863">
        <f t="shared" si="144"/>
        <v>31186249206.660255</v>
      </c>
      <c r="L478" s="863">
        <f t="shared" si="144"/>
        <v>29791579080.302555</v>
      </c>
      <c r="M478" s="863">
        <f t="shared" si="144"/>
        <v>28455130902.626301</v>
      </c>
      <c r="N478" s="863">
        <f t="shared" si="144"/>
        <v>27176391533.770016</v>
      </c>
      <c r="O478" s="863">
        <f t="shared" si="144"/>
        <v>25954473491.207874</v>
      </c>
      <c r="P478" s="121"/>
    </row>
    <row r="479" spans="1:16" s="743" customFormat="1" hidden="1" outlineLevel="2">
      <c r="B479" s="1566" t="s">
        <v>838</v>
      </c>
      <c r="C479" s="121" t="s">
        <v>856</v>
      </c>
      <c r="D479"/>
      <c r="E479"/>
      <c r="F479" s="28">
        <f>INDEX(Global.Assumptions[Households], MATCH(F$446,Global.Assumptions[Year], 0))</f>
        <v>26042600</v>
      </c>
      <c r="G479" s="28">
        <f>INDEX(Global.Assumptions[Households], MATCH(G$446,Global.Assumptions[Year], 0))</f>
        <v>26917400</v>
      </c>
      <c r="H479" s="28">
        <f>INDEX(Global.Assumptions[Households], MATCH(H$446,Global.Assumptions[Year], 0))</f>
        <v>28469000</v>
      </c>
      <c r="I479" s="28">
        <f>INDEX(Global.Assumptions[Households], MATCH(I$446,Global.Assumptions[Year], 0))</f>
        <v>30004800</v>
      </c>
      <c r="J479" s="28">
        <f>INDEX(Global.Assumptions[Households], MATCH(J$446,Global.Assumptions[Year], 0))</f>
        <v>31434800</v>
      </c>
      <c r="K479" s="28">
        <f>INDEX(Global.Assumptions[Households], MATCH(K$446,Global.Assumptions[Year], 0))</f>
        <v>32744800</v>
      </c>
      <c r="L479" s="28">
        <f>INDEX(Global.Assumptions[Households], MATCH(L$446,Global.Assumptions[Year], 0))</f>
        <v>34415113.888514474</v>
      </c>
      <c r="M479" s="28">
        <f>INDEX(Global.Assumptions[Households], MATCH(M$446,Global.Assumptions[Year], 0))</f>
        <v>36170630.572164804</v>
      </c>
      <c r="N479" s="28">
        <f>INDEX(Global.Assumptions[Households], MATCH(N$446,Global.Assumptions[Year], 0))</f>
        <v>38015696.24979952</v>
      </c>
      <c r="O479" s="28">
        <f>INDEX(Global.Assumptions[Households], MATCH(O$446,Global.Assumptions[Year], 0))</f>
        <v>39954878.82008817</v>
      </c>
      <c r="P479"/>
    </row>
    <row r="480" spans="1:16" s="743" customFormat="1" hidden="1" outlineLevel="2">
      <c r="B480" s="862" t="s">
        <v>840</v>
      </c>
      <c r="C480" s="731" t="s">
        <v>841</v>
      </c>
      <c r="D480" s="731"/>
      <c r="E480" s="862" t="s">
        <v>84</v>
      </c>
      <c r="F480" s="863">
        <f>F$478*F479</f>
        <v>7.3754410067598464E+17</v>
      </c>
      <c r="G480" s="863">
        <f t="shared" ref="G480:O480" si="145">G$478*G479</f>
        <v>8.1009922071148352E+17</v>
      </c>
      <c r="H480" s="863">
        <f t="shared" si="145"/>
        <v>8.6234026131602202E+17</v>
      </c>
      <c r="I480" s="863">
        <f t="shared" si="145"/>
        <v>9.1564053503051315E+17</v>
      </c>
      <c r="J480" s="863">
        <f t="shared" si="145"/>
        <v>9.6888037606131059E+17</v>
      </c>
      <c r="K480" s="863">
        <f t="shared" si="145"/>
        <v>1.0211874930222487E+18</v>
      </c>
      <c r="L480" s="863">
        <f t="shared" si="145"/>
        <v>1.0252805869672977E+18</v>
      </c>
      <c r="M480" s="863">
        <f t="shared" si="145"/>
        <v>1.0292400277614863E+18</v>
      </c>
      <c r="N480" s="863">
        <f t="shared" si="145"/>
        <v>1.0331294457134243E+18</v>
      </c>
      <c r="O480" s="863">
        <f t="shared" si="145"/>
        <v>1.0370078431804014E+18</v>
      </c>
      <c r="P480"/>
    </row>
    <row r="481" spans="1:17" s="743" customFormat="1" hidden="1" outlineLevel="2">
      <c r="B481" s="20"/>
      <c r="C481"/>
      <c r="D481"/>
      <c r="E481"/>
      <c r="F481"/>
      <c r="G481"/>
      <c r="H481"/>
      <c r="I481"/>
      <c r="J481"/>
      <c r="K481"/>
      <c r="L481"/>
      <c r="M481"/>
      <c r="N481"/>
      <c r="O481"/>
      <c r="P481"/>
    </row>
    <row r="482" spans="1:17" s="743" customFormat="1" ht="15.75" hidden="1" outlineLevel="2">
      <c r="A482" s="753"/>
      <c r="B482" s="1576"/>
      <c r="C482" s="1568" t="s">
        <v>1311</v>
      </c>
      <c r="D482" s="1568"/>
      <c r="E482" s="1569" t="str">
        <f>Preferences.EnergyUnits</f>
        <v>TWh</v>
      </c>
      <c r="F482" s="1568">
        <f>MAX(F$480, 0)/Preferences.Unit.Energy</f>
        <v>204.87336129888465</v>
      </c>
      <c r="G482" s="1568">
        <f t="shared" ref="G482:O482" si="146">MAX(G$480, 0)/Preferences.Unit.Energy</f>
        <v>225.02756130874545</v>
      </c>
      <c r="H482" s="1568">
        <f t="shared" si="146"/>
        <v>239.53896147667282</v>
      </c>
      <c r="I482" s="1568">
        <f t="shared" si="146"/>
        <v>254.34459306403147</v>
      </c>
      <c r="J482" s="1568">
        <f t="shared" si="146"/>
        <v>269.13343779480851</v>
      </c>
      <c r="K482" s="1568">
        <f t="shared" si="146"/>
        <v>283.66319250618022</v>
      </c>
      <c r="L482" s="1568">
        <f t="shared" si="146"/>
        <v>284.8001630464716</v>
      </c>
      <c r="M482" s="1568">
        <f t="shared" si="146"/>
        <v>285.90000771152404</v>
      </c>
      <c r="N482" s="1568">
        <f t="shared" si="146"/>
        <v>286.98040158706232</v>
      </c>
      <c r="O482" s="1568">
        <f t="shared" si="146"/>
        <v>288.05773421677821</v>
      </c>
    </row>
    <row r="483" spans="1:17" s="743" customFormat="1" hidden="1" outlineLevel="2">
      <c r="B483" s="862"/>
      <c r="C483" s="731"/>
      <c r="D483" s="731"/>
      <c r="E483" s="862"/>
      <c r="F483" s="783"/>
      <c r="G483" s="783"/>
      <c r="H483" s="783"/>
      <c r="I483" s="783"/>
      <c r="J483" s="783"/>
      <c r="K483" s="783"/>
      <c r="L483" s="783"/>
      <c r="M483" s="783"/>
      <c r="N483" s="783"/>
      <c r="O483" s="783"/>
      <c r="P483" s="121"/>
    </row>
    <row r="484" spans="1:17" s="743" customFormat="1" hidden="1" outlineLevel="2">
      <c r="B484" s="862"/>
      <c r="C484" s="731"/>
      <c r="D484" s="731"/>
      <c r="E484" s="862"/>
      <c r="F484" s="783"/>
      <c r="G484" s="783"/>
      <c r="H484" s="783"/>
      <c r="I484" s="783"/>
      <c r="J484" s="783"/>
      <c r="K484" s="783"/>
      <c r="L484" s="783"/>
      <c r="M484" s="783"/>
      <c r="N484" s="783"/>
      <c r="O484" s="783"/>
      <c r="P484" s="121"/>
    </row>
    <row r="485" spans="1:17" s="743" customFormat="1" hidden="1" outlineLevel="1">
      <c r="B485" s="731">
        <v>4</v>
      </c>
      <c r="C485" s="731" t="s">
        <v>1607</v>
      </c>
      <c r="D485"/>
      <c r="E485" s="862"/>
      <c r="F485" s="861">
        <v>2007</v>
      </c>
      <c r="G485" s="861">
        <v>2010</v>
      </c>
      <c r="H485" s="861">
        <v>2015</v>
      </c>
      <c r="I485" s="861">
        <v>2020</v>
      </c>
      <c r="J485" s="861">
        <v>2025</v>
      </c>
      <c r="K485" s="861">
        <v>2030</v>
      </c>
      <c r="L485" s="861">
        <v>2035</v>
      </c>
      <c r="M485" s="861">
        <v>2040</v>
      </c>
      <c r="N485" s="861">
        <v>2045</v>
      </c>
      <c r="O485" s="861">
        <v>2050</v>
      </c>
      <c r="P485"/>
    </row>
    <row r="486" spans="1:17" s="743" customFormat="1" hidden="1" outlineLevel="2">
      <c r="B486"/>
      <c r="C486"/>
      <c r="D486"/>
      <c r="E486"/>
      <c r="F486"/>
      <c r="G486"/>
      <c r="H486"/>
      <c r="I486"/>
      <c r="J486"/>
      <c r="K486"/>
      <c r="L486"/>
      <c r="M486"/>
      <c r="N486"/>
      <c r="O486"/>
      <c r="P486"/>
    </row>
    <row r="487" spans="1:17" s="743" customFormat="1" hidden="1" outlineLevel="2">
      <c r="B487" s="20">
        <v>1</v>
      </c>
      <c r="C487" t="str">
        <f t="shared" ref="C487:C499" si="147">INDEX($D$77:$D$89, MATCH($B487, $C$77:$C$89, 0))</f>
        <v>Gas boiler (old)</v>
      </c>
      <c r="D487"/>
      <c r="E487"/>
      <c r="F487" s="27">
        <f t="array" ref="F487:F499">F$482*F$248:F$260</f>
        <v>137.26515207025273</v>
      </c>
      <c r="G487" s="27">
        <f t="array" ref="G487:G499">G$482*G$248:G$260</f>
        <v>128.92397078014611</v>
      </c>
      <c r="H487" s="27">
        <f t="array" ref="H487:H499">H$482*H$248:H$260</f>
        <v>104.85141698846952</v>
      </c>
      <c r="I487" s="27">
        <f t="array" ref="I487:I499">I$482*I$248:I$260</f>
        <v>84.966959712635528</v>
      </c>
      <c r="J487" s="27">
        <f t="array" ref="J487:J499">J$482*J$248:J$260</f>
        <v>68.488105426566108</v>
      </c>
      <c r="K487" s="27">
        <f t="array" ref="K487:K499">K$482*K$248:K$260</f>
        <v>54.889498160462509</v>
      </c>
      <c r="L487" s="27">
        <f t="array" ref="L487:L499">L$482*L$248:L$260</f>
        <v>42.02224693235145</v>
      </c>
      <c r="M487" s="27">
        <f t="array" ref="M487:M499">M$482*M$248:M$260</f>
        <v>32.166659879586362</v>
      </c>
      <c r="N487" s="27">
        <f t="array" ref="N487:N499">N$482*N$248:N$260</f>
        <v>24.620496230811902</v>
      </c>
      <c r="O487" s="27">
        <f t="array" ref="O487:O499">O$482*O$248:O$260</f>
        <v>18.844163615838728</v>
      </c>
      <c r="P487"/>
      <c r="Q487" s="27"/>
    </row>
    <row r="488" spans="1:17" s="743" customFormat="1" hidden="1" outlineLevel="2">
      <c r="B488" s="20">
        <v>2</v>
      </c>
      <c r="C488" t="str">
        <f t="shared" si="147"/>
        <v>Gas boiler (new)</v>
      </c>
      <c r="D488"/>
      <c r="E488"/>
      <c r="F488" s="27">
        <v>30.731004194832696</v>
      </c>
      <c r="G488" s="27">
        <v>58.206927438901381</v>
      </c>
      <c r="H488" s="27">
        <v>98.214076162808297</v>
      </c>
      <c r="I488" s="27">
        <v>133.79786542258859</v>
      </c>
      <c r="J488" s="27">
        <v>165.55430435872384</v>
      </c>
      <c r="K488" s="27">
        <v>193.85340516549223</v>
      </c>
      <c r="L488" s="27">
        <v>209.28031808620713</v>
      </c>
      <c r="M488" s="27">
        <v>221.30255185128243</v>
      </c>
      <c r="N488" s="27">
        <v>230.7221044535666</v>
      </c>
      <c r="O488" s="27">
        <v>238.15774779229588</v>
      </c>
      <c r="P488"/>
    </row>
    <row r="489" spans="1:17" s="743" customFormat="1" hidden="1" outlineLevel="2">
      <c r="B489" s="20">
        <v>3</v>
      </c>
      <c r="C489" t="str">
        <f t="shared" si="147"/>
        <v>Resisitive heating</v>
      </c>
      <c r="D489"/>
      <c r="E489"/>
      <c r="F489" s="27">
        <v>20.487336129888465</v>
      </c>
      <c r="G489" s="27">
        <v>22.502756130874545</v>
      </c>
      <c r="H489" s="27">
        <v>23.95389614766728</v>
      </c>
      <c r="I489" s="27">
        <v>25.434459306403149</v>
      </c>
      <c r="J489" s="27">
        <v>26.913343779480854</v>
      </c>
      <c r="K489" s="27">
        <v>28.366319250618023</v>
      </c>
      <c r="L489" s="27">
        <v>28.480016304647162</v>
      </c>
      <c r="M489" s="27">
        <v>28.590000771152404</v>
      </c>
      <c r="N489" s="27">
        <v>28.698040158706231</v>
      </c>
      <c r="O489" s="27">
        <v>28.80577342167782</v>
      </c>
      <c r="P489"/>
    </row>
    <row r="490" spans="1:17" s="743" customFormat="1" hidden="1" outlineLevel="2">
      <c r="B490" s="20">
        <v>4</v>
      </c>
      <c r="C490" t="str">
        <f t="shared" si="147"/>
        <v>Oil-fired boiler</v>
      </c>
      <c r="D490"/>
      <c r="E490"/>
      <c r="F490" s="27">
        <v>8.1949344519553868</v>
      </c>
      <c r="G490" s="27">
        <v>7.6969534794117074</v>
      </c>
      <c r="H490" s="27">
        <v>6.2597860888638523</v>
      </c>
      <c r="I490" s="27">
        <v>5.072654311202121</v>
      </c>
      <c r="J490" s="27">
        <v>4.0888421150188723</v>
      </c>
      <c r="K490" s="27">
        <v>3.2769849648037312</v>
      </c>
      <c r="L490" s="27">
        <v>2.5087908616329218</v>
      </c>
      <c r="M490" s="27">
        <v>1.9203976047514244</v>
      </c>
      <c r="N490" s="27">
        <v>1.4698803719887701</v>
      </c>
      <c r="O490" s="27">
        <v>1.1250246934829091</v>
      </c>
      <c r="P490"/>
    </row>
    <row r="491" spans="1:17" s="743" customFormat="1" hidden="1" outlineLevel="2">
      <c r="B491" s="20">
        <v>5</v>
      </c>
      <c r="C491" t="str">
        <f t="shared" si="147"/>
        <v>Solid-fuel boiler</v>
      </c>
      <c r="D491"/>
      <c r="E491"/>
      <c r="F491" s="27">
        <v>8.1949344519553868</v>
      </c>
      <c r="G491" s="27">
        <v>7.6969534794117074</v>
      </c>
      <c r="H491" s="27">
        <v>6.2597860888638523</v>
      </c>
      <c r="I491" s="27">
        <v>5.072654311202121</v>
      </c>
      <c r="J491" s="27">
        <v>4.0888421150188723</v>
      </c>
      <c r="K491" s="27">
        <v>3.2769849648037312</v>
      </c>
      <c r="L491" s="27">
        <v>2.5087908616329218</v>
      </c>
      <c r="M491" s="27">
        <v>1.9203976047514244</v>
      </c>
      <c r="N491" s="27">
        <v>1.4698803719887701</v>
      </c>
      <c r="O491" s="27">
        <v>1.1250246934829091</v>
      </c>
      <c r="P491"/>
    </row>
    <row r="492" spans="1:17" s="743" customFormat="1" hidden="1" outlineLevel="2">
      <c r="B492" s="20">
        <v>6</v>
      </c>
      <c r="C492" t="str">
        <f t="shared" si="147"/>
        <v>Stirling engine μCHP</v>
      </c>
      <c r="D492"/>
      <c r="E492"/>
      <c r="F492" s="27">
        <v>0</v>
      </c>
      <c r="G492" s="27">
        <v>0</v>
      </c>
      <c r="H492" s="27">
        <v>0</v>
      </c>
      <c r="I492" s="27">
        <v>0</v>
      </c>
      <c r="J492" s="27">
        <v>0</v>
      </c>
      <c r="K492" s="27">
        <v>0</v>
      </c>
      <c r="L492" s="27">
        <v>0</v>
      </c>
      <c r="M492" s="27">
        <v>0</v>
      </c>
      <c r="N492" s="27">
        <v>0</v>
      </c>
      <c r="O492" s="27">
        <v>0</v>
      </c>
      <c r="P492"/>
    </row>
    <row r="493" spans="1:17" s="743" customFormat="1" hidden="1" outlineLevel="2">
      <c r="B493" s="20">
        <v>7</v>
      </c>
      <c r="C493" s="121" t="str">
        <f t="shared" si="147"/>
        <v>Fuel-cell μCHP</v>
      </c>
      <c r="D493" s="121"/>
      <c r="E493" s="121"/>
      <c r="F493" s="27">
        <v>0</v>
      </c>
      <c r="G493" s="27">
        <v>0</v>
      </c>
      <c r="H493" s="27">
        <v>0</v>
      </c>
      <c r="I493" s="27">
        <v>0</v>
      </c>
      <c r="J493" s="27">
        <v>0</v>
      </c>
      <c r="K493" s="27">
        <v>0</v>
      </c>
      <c r="L493" s="27">
        <v>0</v>
      </c>
      <c r="M493" s="27">
        <v>0</v>
      </c>
      <c r="N493" s="27">
        <v>0</v>
      </c>
      <c r="O493" s="27">
        <v>0</v>
      </c>
      <c r="P493" s="121"/>
    </row>
    <row r="494" spans="1:17" s="743" customFormat="1" hidden="1" outlineLevel="2">
      <c r="B494" s="20">
        <v>8</v>
      </c>
      <c r="C494" t="str">
        <f t="shared" si="147"/>
        <v>Air-source heat pump</v>
      </c>
      <c r="D494"/>
      <c r="E494"/>
      <c r="F494" s="27">
        <v>0</v>
      </c>
      <c r="G494" s="27">
        <v>0</v>
      </c>
      <c r="H494" s="27">
        <v>0</v>
      </c>
      <c r="I494" s="27">
        <v>0</v>
      </c>
      <c r="J494" s="27">
        <v>0</v>
      </c>
      <c r="K494" s="27">
        <v>0</v>
      </c>
      <c r="L494" s="27">
        <v>0</v>
      </c>
      <c r="M494" s="27">
        <v>0</v>
      </c>
      <c r="N494" s="27">
        <v>0</v>
      </c>
      <c r="O494" s="27">
        <v>0</v>
      </c>
      <c r="P494"/>
    </row>
    <row r="495" spans="1:17" s="743" customFormat="1" hidden="1" outlineLevel="2">
      <c r="B495" s="20">
        <v>9</v>
      </c>
      <c r="C495" t="str">
        <f t="shared" si="147"/>
        <v>Ground-source heat pump</v>
      </c>
      <c r="D495"/>
      <c r="E495"/>
      <c r="F495" s="27">
        <v>0</v>
      </c>
      <c r="G495" s="27">
        <v>0</v>
      </c>
      <c r="H495" s="27">
        <v>0</v>
      </c>
      <c r="I495" s="27">
        <v>0</v>
      </c>
      <c r="J495" s="27">
        <v>0</v>
      </c>
      <c r="K495" s="27">
        <v>0</v>
      </c>
      <c r="L495" s="27">
        <v>0</v>
      </c>
      <c r="M495" s="27">
        <v>0</v>
      </c>
      <c r="N495" s="27">
        <v>0</v>
      </c>
      <c r="O495" s="27">
        <v>0</v>
      </c>
      <c r="P495"/>
    </row>
    <row r="496" spans="1:17" s="743" customFormat="1" hidden="1" outlineLevel="2">
      <c r="B496" s="20">
        <v>10</v>
      </c>
      <c r="C496" t="str">
        <f t="shared" si="147"/>
        <v>Geothermal</v>
      </c>
      <c r="D496"/>
      <c r="E496"/>
      <c r="F496" s="27">
        <v>0</v>
      </c>
      <c r="G496" s="27">
        <v>0</v>
      </c>
      <c r="H496" s="27">
        <v>0</v>
      </c>
      <c r="I496" s="27">
        <v>0</v>
      </c>
      <c r="J496" s="27">
        <v>0</v>
      </c>
      <c r="K496" s="27">
        <v>0</v>
      </c>
      <c r="L496" s="27">
        <v>0</v>
      </c>
      <c r="M496" s="27">
        <v>0</v>
      </c>
      <c r="N496" s="27">
        <v>0</v>
      </c>
      <c r="O496" s="27">
        <v>0</v>
      </c>
      <c r="P496"/>
    </row>
    <row r="497" spans="2:25" s="743" customFormat="1" hidden="1" outlineLevel="2">
      <c r="B497" s="20">
        <v>11</v>
      </c>
      <c r="C497" s="121" t="str">
        <f t="shared" si="147"/>
        <v>Community scale gas CHP</v>
      </c>
      <c r="D497" s="121"/>
      <c r="E497" s="121"/>
      <c r="F497" s="27">
        <v>0</v>
      </c>
      <c r="G497" s="27">
        <v>0</v>
      </c>
      <c r="H497" s="27">
        <v>0</v>
      </c>
      <c r="I497" s="27">
        <v>0</v>
      </c>
      <c r="J497" s="27">
        <v>0</v>
      </c>
      <c r="K497" s="27">
        <v>0</v>
      </c>
      <c r="L497" s="27">
        <v>0</v>
      </c>
      <c r="M497" s="27">
        <v>0</v>
      </c>
      <c r="N497" s="27">
        <v>0</v>
      </c>
      <c r="O497" s="27">
        <v>0</v>
      </c>
      <c r="P497" s="121"/>
    </row>
    <row r="498" spans="2:25" s="743" customFormat="1" hidden="1" outlineLevel="2">
      <c r="B498" s="20">
        <v>12</v>
      </c>
      <c r="C498" s="121" t="str">
        <f t="shared" si="147"/>
        <v>Community scale solid-fuel CHP</v>
      </c>
      <c r="D498" s="121"/>
      <c r="E498" s="121"/>
      <c r="F498" s="27">
        <v>0</v>
      </c>
      <c r="G498" s="27">
        <v>0</v>
      </c>
      <c r="H498" s="27">
        <v>0</v>
      </c>
      <c r="I498" s="27">
        <v>0</v>
      </c>
      <c r="J498" s="27">
        <v>0</v>
      </c>
      <c r="K498" s="27">
        <v>0</v>
      </c>
      <c r="L498" s="27">
        <v>0</v>
      </c>
      <c r="M498" s="27">
        <v>0</v>
      </c>
      <c r="N498" s="27">
        <v>0</v>
      </c>
      <c r="O498" s="27">
        <v>0</v>
      </c>
      <c r="P498" s="121"/>
    </row>
    <row r="499" spans="2:25" s="743" customFormat="1" hidden="1" outlineLevel="2">
      <c r="B499" s="20">
        <v>11</v>
      </c>
      <c r="C499" t="str">
        <f t="shared" si="147"/>
        <v>Community scale gas CHP</v>
      </c>
      <c r="D499"/>
      <c r="E499"/>
      <c r="F499" s="27">
        <v>0</v>
      </c>
      <c r="G499" s="27">
        <v>0</v>
      </c>
      <c r="H499" s="27">
        <v>0</v>
      </c>
      <c r="I499" s="27">
        <v>0</v>
      </c>
      <c r="J499" s="27">
        <v>0</v>
      </c>
      <c r="K499" s="27">
        <v>0</v>
      </c>
      <c r="L499" s="27">
        <v>0</v>
      </c>
      <c r="M499" s="27">
        <v>0</v>
      </c>
      <c r="N499" s="27">
        <v>0</v>
      </c>
      <c r="O499" s="27">
        <v>0</v>
      </c>
      <c r="P499"/>
    </row>
    <row r="500" spans="2:25" s="743" customFormat="1" hidden="1" outlineLevel="2">
      <c r="B500" s="20"/>
      <c r="C500" s="121"/>
      <c r="D500" s="121"/>
      <c r="E500" s="862" t="str">
        <f>Preferences.EnergyUnits</f>
        <v>TWh</v>
      </c>
      <c r="F500" s="1579">
        <f>SUM(F487:F499)</f>
        <v>204.87336129888467</v>
      </c>
      <c r="G500" s="1579">
        <f t="shared" ref="G500:O500" si="148">SUM(G487:G499)</f>
        <v>225.02756130874548</v>
      </c>
      <c r="H500" s="1579">
        <f t="shared" si="148"/>
        <v>239.5389614766728</v>
      </c>
      <c r="I500" s="1579">
        <f t="shared" si="148"/>
        <v>254.34459306403147</v>
      </c>
      <c r="J500" s="1579">
        <f t="shared" si="148"/>
        <v>269.13343779480851</v>
      </c>
      <c r="K500" s="1579">
        <f t="shared" si="148"/>
        <v>283.66319250618017</v>
      </c>
      <c r="L500" s="1579">
        <f t="shared" si="148"/>
        <v>284.8001630464716</v>
      </c>
      <c r="M500" s="1579">
        <f t="shared" si="148"/>
        <v>285.90000771152404</v>
      </c>
      <c r="N500" s="1579">
        <f t="shared" si="148"/>
        <v>286.98040158706232</v>
      </c>
      <c r="O500" s="1579">
        <f t="shared" si="148"/>
        <v>288.05773421677821</v>
      </c>
      <c r="P500" s="121"/>
    </row>
    <row r="501" spans="2:25" s="743" customFormat="1" hidden="1" outlineLevel="2">
      <c r="B501"/>
      <c r="C501"/>
      <c r="D501"/>
      <c r="E501"/>
      <c r="F501"/>
      <c r="G501"/>
      <c r="H501"/>
      <c r="I501"/>
      <c r="J501"/>
      <c r="K501"/>
      <c r="L501"/>
      <c r="M501"/>
      <c r="N501"/>
      <c r="O501"/>
      <c r="P501"/>
    </row>
    <row r="502" spans="2:25" s="743" customFormat="1" hidden="1" outlineLevel="2">
      <c r="B502" s="731"/>
      <c r="C502" s="731" t="s">
        <v>876</v>
      </c>
      <c r="D502"/>
      <c r="F502"/>
      <c r="G502"/>
      <c r="H502"/>
      <c r="I502"/>
      <c r="J502"/>
      <c r="K502"/>
      <c r="L502"/>
      <c r="M502"/>
      <c r="N502"/>
      <c r="O502"/>
      <c r="P502"/>
    </row>
    <row r="503" spans="2:25" s="743" customFormat="1" hidden="1" outlineLevel="2">
      <c r="B503"/>
      <c r="C503"/>
      <c r="D503"/>
      <c r="E503"/>
      <c r="F503" s="27"/>
      <c r="G503"/>
      <c r="H503"/>
      <c r="I503"/>
      <c r="J503"/>
      <c r="K503"/>
      <c r="L503"/>
      <c r="M503"/>
      <c r="N503"/>
      <c r="O503"/>
      <c r="P503"/>
    </row>
    <row r="504" spans="2:25" s="743" customFormat="1" hidden="1" outlineLevel="2">
      <c r="B504" s="20" t="s">
        <v>45</v>
      </c>
      <c r="C504" s="743" t="str">
        <f>INDEX(Vectors[Description], MATCH($B504, Vectors[Code], 0))</f>
        <v>Electricity (delivered to end user)</v>
      </c>
      <c r="D504"/>
      <c r="E504"/>
      <c r="F504" s="27">
        <f t="array" ref="F504">SUM(F$487:F$499/$M$129:$M$141*($B504=$F$128:$N$128)*($F$129:$N$141))</f>
        <v>-20.487336129888465</v>
      </c>
      <c r="G504" s="27">
        <f t="array" ref="G504">SUM(G$487:G$499/$M$129:$M$141*($B504=$F$128:$N$128)*($F$129:$N$141))</f>
        <v>-22.502756130874545</v>
      </c>
      <c r="H504" s="27">
        <f t="array" ref="H504">SUM(H$487:H$499/$M$129:$M$141*($B504=$F$128:$N$128)*($F$129:$N$141))</f>
        <v>-23.95389614766728</v>
      </c>
      <c r="I504" s="27">
        <f t="array" ref="I504">SUM(I$487:I$499/$M$129:$M$141*($B504=$F$128:$N$128)*($F$129:$N$141))</f>
        <v>-25.434459306403149</v>
      </c>
      <c r="J504" s="27">
        <f t="array" ref="J504">SUM(J$487:J$499/$M$129:$M$141*($B504=$F$128:$N$128)*($F$129:$N$141))</f>
        <v>-26.913343779480854</v>
      </c>
      <c r="K504" s="27">
        <f t="array" ref="K504">SUM(K$487:K$499/$M$129:$M$141*($B504=$F$128:$N$128)*($F$129:$N$141))</f>
        <v>-28.366319250618023</v>
      </c>
      <c r="L504" s="27">
        <f t="array" ref="L504">SUM(L$487:L$499/$M$129:$M$141*($B504=$F$128:$N$128)*($F$129:$N$141))</f>
        <v>-28.480016304647162</v>
      </c>
      <c r="M504" s="27">
        <f t="array" ref="M504">SUM(M$487:M$499/$M$129:$M$141*($B504=$F$128:$N$128)*($F$129:$N$141))</f>
        <v>-28.590000771152404</v>
      </c>
      <c r="N504" s="27">
        <f t="array" ref="N504">SUM(N$487:N$499/$M$129:$M$141*($B504=$F$128:$N$128)*($F$129:$N$141))</f>
        <v>-28.698040158706231</v>
      </c>
      <c r="O504" s="27">
        <f t="array" ref="O504">SUM(O$487:O$499/$M$129:$M$141*($B504=$F$128:$N$128)*($F$129:$N$141))</f>
        <v>-28.80577342167782</v>
      </c>
      <c r="P504"/>
      <c r="Q504" s="27"/>
      <c r="R504" s="27"/>
      <c r="S504" s="27"/>
      <c r="T504" s="27"/>
      <c r="U504" s="27"/>
      <c r="V504" s="27"/>
      <c r="W504" s="27"/>
      <c r="X504" s="27"/>
      <c r="Y504" s="27"/>
    </row>
    <row r="505" spans="2:25" s="743" customFormat="1" hidden="1" outlineLevel="2">
      <c r="B505" s="20" t="s">
        <v>46</v>
      </c>
      <c r="C505" s="743" t="str">
        <f>INDEX(Vectors[Description], MATCH($B505, Vectors[Code], 0))</f>
        <v>Electricity (supplied to grid)</v>
      </c>
      <c r="D505"/>
      <c r="E505"/>
      <c r="F505" s="27">
        <f t="array" ref="F505">SUM(F$487:F$499/$M$129:$M$141*($B505=$F$128:$N$128)*($F$129:$N$141))</f>
        <v>0</v>
      </c>
      <c r="G505" s="27">
        <f t="array" ref="G505">SUM(G$487:G$499/$M$129:$M$141*($B505=$F$128:$N$128)*($F$129:$N$141))</f>
        <v>0</v>
      </c>
      <c r="H505" s="27">
        <f t="array" ref="H505">SUM(H$487:H$499/$M$129:$M$141*($B505=$F$128:$N$128)*($F$129:$N$141))</f>
        <v>0</v>
      </c>
      <c r="I505" s="27">
        <f t="array" ref="I505">SUM(I$487:I$499/$M$129:$M$141*($B505=$F$128:$N$128)*($F$129:$N$141))</f>
        <v>0</v>
      </c>
      <c r="J505" s="27">
        <f t="array" ref="J505">SUM(J$487:J$499/$M$129:$M$141*($B505=$F$128:$N$128)*($F$129:$N$141))</f>
        <v>0</v>
      </c>
      <c r="K505" s="27">
        <f t="array" ref="K505">SUM(K$487:K$499/$M$129:$M$141*($B505=$F$128:$N$128)*($F$129:$N$141))</f>
        <v>0</v>
      </c>
      <c r="L505" s="27">
        <f t="array" ref="L505">SUM(L$487:L$499/$M$129:$M$141*($B505=$F$128:$N$128)*($F$129:$N$141))</f>
        <v>0</v>
      </c>
      <c r="M505" s="27">
        <f t="array" ref="M505">SUM(M$487:M$499/$M$129:$M$141*($B505=$F$128:$N$128)*($F$129:$N$141))</f>
        <v>0</v>
      </c>
      <c r="N505" s="27">
        <f t="array" ref="N505">SUM(N$487:N$499/$M$129:$M$141*($B505=$F$128:$N$128)*($F$129:$N$141))</f>
        <v>0</v>
      </c>
      <c r="O505" s="27">
        <f t="array" ref="O505">SUM(O$487:O$499/$M$129:$M$141*($B505=$F$128:$N$128)*($F$129:$N$141))</f>
        <v>0</v>
      </c>
      <c r="P505"/>
      <c r="R505" s="27"/>
      <c r="V505" s="27"/>
      <c r="W505" s="27"/>
      <c r="X505" s="27"/>
      <c r="Y505" s="27"/>
    </row>
    <row r="506" spans="2:25" s="743" customFormat="1" hidden="1" outlineLevel="2">
      <c r="B506" s="20" t="s">
        <v>47</v>
      </c>
      <c r="C506" s="743" t="str">
        <f>INDEX(Vectors[Description], MATCH($B506, Vectors[Code], 0))</f>
        <v>Solid hydrocarbons</v>
      </c>
      <c r="D506"/>
      <c r="E506"/>
      <c r="F506" s="27">
        <f t="array" ref="F506">SUM(F$487:F$499/$M$129:$M$141*($B506=$F$128:$N$128)*($F$129:$N$141))</f>
        <v>-9.4194648873050415</v>
      </c>
      <c r="G506" s="27">
        <f t="array" ref="G506">SUM(G$487:G$499/$M$129:$M$141*($B506=$F$128:$N$128)*($F$129:$N$141))</f>
        <v>-8.8470729648410433</v>
      </c>
      <c r="H506" s="27">
        <f t="array" ref="H506">SUM(H$487:H$499/$M$129:$M$141*($B506=$F$128:$N$128)*($F$129:$N$141))</f>
        <v>-7.1951564239814392</v>
      </c>
      <c r="I506" s="27">
        <f t="array" ref="I506">SUM(I$487:I$499/$M$129:$M$141*($B506=$F$128:$N$128)*($F$129:$N$141))</f>
        <v>-5.8306371393127829</v>
      </c>
      <c r="J506" s="27">
        <f t="array" ref="J506">SUM(J$487:J$499/$M$129:$M$141*($B506=$F$128:$N$128)*($F$129:$N$141))</f>
        <v>-4.6998185230101983</v>
      </c>
      <c r="K506" s="27">
        <f t="array" ref="K506">SUM(K$487:K$499/$M$129:$M$141*($B506=$F$128:$N$128)*($F$129:$N$141))</f>
        <v>-3.7666493848318749</v>
      </c>
      <c r="L506" s="27">
        <f t="array" ref="L506">SUM(L$487:L$499/$M$129:$M$141*($B506=$F$128:$N$128)*($F$129:$N$141))</f>
        <v>-2.8836676570493354</v>
      </c>
      <c r="M506" s="27">
        <f t="array" ref="M506">SUM(M$487:M$499/$M$129:$M$141*($B506=$F$128:$N$128)*($F$129:$N$141))</f>
        <v>-2.2073535686797983</v>
      </c>
      <c r="N506" s="27">
        <f t="array" ref="N506">SUM(N$487:N$499/$M$129:$M$141*($B506=$F$128:$N$128)*($F$129:$N$141))</f>
        <v>-1.6895176689526092</v>
      </c>
      <c r="O506" s="27">
        <f t="array" ref="O506">SUM(O$487:O$499/$M$129:$M$141*($B506=$F$128:$N$128)*($F$129:$N$141))</f>
        <v>-1.2931318315895508</v>
      </c>
      <c r="P506"/>
      <c r="V506" s="27"/>
      <c r="W506" s="27"/>
      <c r="X506" s="27"/>
      <c r="Y506" s="27"/>
    </row>
    <row r="507" spans="2:25" s="743" customFormat="1" hidden="1" outlineLevel="2">
      <c r="B507" s="20" t="s">
        <v>49</v>
      </c>
      <c r="C507" s="743" t="str">
        <f>INDEX(Vectors[Description], MATCH($B507, Vectors[Code], 0))</f>
        <v>Liquid hydrocarbons</v>
      </c>
      <c r="D507"/>
      <c r="E507"/>
      <c r="F507" s="27">
        <f t="array" ref="F507">SUM(F$487:F$499/$M$129:$M$141*($B507=$F$128:$N$128)*($F$129:$N$141))</f>
        <v>-8.4483860329436986</v>
      </c>
      <c r="G507" s="27">
        <f t="array" ref="G507">SUM(G$487:G$499/$M$129:$M$141*($B507=$F$128:$N$128)*($F$129:$N$141))</f>
        <v>-7.9350035870223792</v>
      </c>
      <c r="H507" s="27">
        <f t="array" ref="H507">SUM(H$487:H$499/$M$129:$M$141*($B507=$F$128:$N$128)*($F$129:$N$141))</f>
        <v>-6.4533877204781982</v>
      </c>
      <c r="I507" s="27">
        <f t="array" ref="I507">SUM(I$487:I$499/$M$129:$M$141*($B507=$F$128:$N$128)*($F$129:$N$141))</f>
        <v>-5.2295405270124959</v>
      </c>
      <c r="J507" s="27">
        <f t="array" ref="J507">SUM(J$487:J$499/$M$129:$M$141*($B507=$F$128:$N$128)*($F$129:$N$141))</f>
        <v>-4.2153011495039925</v>
      </c>
      <c r="K507" s="27">
        <f t="array" ref="K507">SUM(K$487:K$499/$M$129:$M$141*($B507=$F$128:$N$128)*($F$129:$N$141))</f>
        <v>-3.3783350152615785</v>
      </c>
      <c r="L507" s="27">
        <f t="array" ref="L507">SUM(L$487:L$499/$M$129:$M$141*($B507=$F$128:$N$128)*($F$129:$N$141))</f>
        <v>-2.5863823315803316</v>
      </c>
      <c r="M507" s="27">
        <f t="array" ref="M507">SUM(M$487:M$499/$M$129:$M$141*($B507=$F$128:$N$128)*($F$129:$N$141))</f>
        <v>-1.9797913451045612</v>
      </c>
      <c r="N507" s="27">
        <f t="array" ref="N507">SUM(N$487:N$499/$M$129:$M$141*($B507=$F$128:$N$128)*($F$129:$N$141))</f>
        <v>-1.5153405896791445</v>
      </c>
      <c r="O507" s="27">
        <f t="array" ref="O507">SUM(O$487:O$499/$M$129:$M$141*($B507=$F$128:$N$128)*($F$129:$N$141))</f>
        <v>-1.1598192716318652</v>
      </c>
      <c r="P507"/>
      <c r="W507" s="27"/>
      <c r="X507" s="27"/>
      <c r="Y507" s="27"/>
    </row>
    <row r="508" spans="2:25" s="743" customFormat="1" hidden="1" outlineLevel="2">
      <c r="B508" s="20" t="s">
        <v>50</v>
      </c>
      <c r="C508" s="743" t="str">
        <f>INDEX(Vectors[Description], MATCH($B508, Vectors[Code], 0))</f>
        <v>Gaseous hydrocarbons</v>
      </c>
      <c r="D508"/>
      <c r="E508"/>
      <c r="F508" s="27">
        <f t="array" ref="F508">SUM(F$487:F$499/$M$129:$M$141*($B508=$F$128:$N$128)*($F$129:$N$141))</f>
        <v>-214.3823764777369</v>
      </c>
      <c r="G508" s="27">
        <f t="array" ref="G508">SUM(G$487:G$499/$M$129:$M$141*($B508=$F$128:$N$128)*($F$129:$N$141))</f>
        <v>-233.60046018435224</v>
      </c>
      <c r="H508" s="27">
        <f t="array" ref="H508">SUM(H$487:H$499/$M$129:$M$141*($B508=$F$128:$N$128)*($F$129:$N$141))</f>
        <v>-245.88994699716827</v>
      </c>
      <c r="I508" s="27">
        <f t="array" ref="I508">SUM(I$487:I$499/$M$129:$M$141*($B508=$F$128:$N$128)*($F$129:$N$141))</f>
        <v>-258.82925254434014</v>
      </c>
      <c r="J508" s="27">
        <f t="array" ref="J508">SUM(J$487:J$499/$M$129:$M$141*($B508=$F$128:$N$128)*($F$129:$N$141))</f>
        <v>-272.04373518045873</v>
      </c>
      <c r="K508" s="27">
        <f t="array" ref="K508">SUM(K$487:K$499/$M$129:$M$141*($B508=$F$128:$N$128)*($F$129:$N$141))</f>
        <v>-285.24874385742476</v>
      </c>
      <c r="L508" s="27">
        <f t="array" ref="L508">SUM(L$487:L$499/$M$129:$M$141*($B508=$F$128:$N$128)*($F$129:$N$141))</f>
        <v>-285.27080169745119</v>
      </c>
      <c r="M508" s="27">
        <f t="array" ref="M508">SUM(M$487:M$499/$M$129:$M$141*($B508=$F$128:$N$128)*($F$129:$N$141))</f>
        <v>-285.51416989213163</v>
      </c>
      <c r="N508" s="27">
        <f t="array" ref="N508">SUM(N$487:N$499/$M$129:$M$141*($B508=$F$128:$N$128)*($F$129:$N$141))</f>
        <v>-285.93616390218256</v>
      </c>
      <c r="O508" s="27">
        <f t="array" ref="O508">SUM(O$487:O$499/$M$129:$M$141*($B508=$F$128:$N$128)*($F$129:$N$141))</f>
        <v>-286.50676288686827</v>
      </c>
      <c r="P508"/>
      <c r="Q508" s="27"/>
      <c r="W508" s="27"/>
      <c r="X508" s="27"/>
      <c r="Y508" s="27"/>
    </row>
    <row r="509" spans="2:25" s="743" customFormat="1" hidden="1" outlineLevel="2">
      <c r="B509" s="20" t="s">
        <v>753</v>
      </c>
      <c r="C509" s="743" t="str">
        <f>INDEX(Vectors[Description], MATCH($B509, Vectors[Code], 0))</f>
        <v>Heat transport</v>
      </c>
      <c r="D509"/>
      <c r="E509"/>
      <c r="F509" s="27">
        <f t="array" ref="F509">SUM(F$487:F$499/$M$129:$M$141*($B509=$F$128:$N$128)*($F$129:$N$141))</f>
        <v>0</v>
      </c>
      <c r="G509" s="27">
        <f t="array" ref="G509">SUM(G$487:G$499/$M$129:$M$141*($B509=$F$128:$N$128)*($F$129:$N$141))</f>
        <v>0</v>
      </c>
      <c r="H509" s="27">
        <f t="array" ref="H509">SUM(H$487:H$499/$M$129:$M$141*($B509=$F$128:$N$128)*($F$129:$N$141))</f>
        <v>0</v>
      </c>
      <c r="I509" s="27">
        <f t="array" ref="I509">SUM(I$487:I$499/$M$129:$M$141*($B509=$F$128:$N$128)*($F$129:$N$141))</f>
        <v>0</v>
      </c>
      <c r="J509" s="27">
        <f t="array" ref="J509">SUM(J$487:J$499/$M$129:$M$141*($B509=$F$128:$N$128)*($F$129:$N$141))</f>
        <v>0</v>
      </c>
      <c r="K509" s="27">
        <f t="array" ref="K509">SUM(K$487:K$499/$M$129:$M$141*($B509=$F$128:$N$128)*($F$129:$N$141))</f>
        <v>0</v>
      </c>
      <c r="L509" s="27">
        <f t="array" ref="L509">SUM(L$487:L$499/$M$129:$M$141*($B509=$F$128:$N$128)*($F$129:$N$141))</f>
        <v>0</v>
      </c>
      <c r="M509" s="27">
        <f t="array" ref="M509">SUM(M$487:M$499/$M$129:$M$141*($B509=$F$128:$N$128)*($F$129:$N$141))</f>
        <v>0</v>
      </c>
      <c r="N509" s="27">
        <f t="array" ref="N509">SUM(N$487:N$499/$M$129:$M$141*($B509=$F$128:$N$128)*($F$129:$N$141))</f>
        <v>0</v>
      </c>
      <c r="O509" s="27">
        <f t="array" ref="O509">SUM(O$487:O$499/$M$129:$M$141*($B509=$F$128:$N$128)*($F$129:$N$141))</f>
        <v>0</v>
      </c>
      <c r="P509"/>
      <c r="W509" s="27"/>
      <c r="X509" s="27"/>
      <c r="Y509" s="27"/>
    </row>
    <row r="510" spans="2:25" s="743" customFormat="1" hidden="1" outlineLevel="2">
      <c r="B510" s="20" t="s">
        <v>104</v>
      </c>
      <c r="C510" s="743" t="str">
        <f>INDEX(Vectors[Description], MATCH($B510, Vectors[Code], 0))</f>
        <v>Environmental heat</v>
      </c>
      <c r="D510"/>
      <c r="E510"/>
      <c r="F510" s="27">
        <f t="array" ref="F510">SUM(F$487:F$499/$M$129:$M$141*($B510=$F$128:$N$128)*($F$129:$N$141))</f>
        <v>0</v>
      </c>
      <c r="G510" s="27">
        <f t="array" ref="G510">SUM(G$487:G$499/$M$129:$M$141*($B510=$F$128:$N$128)*($F$129:$N$141))</f>
        <v>0</v>
      </c>
      <c r="H510" s="27">
        <f t="array" ref="H510">SUM(H$487:H$499/$M$129:$M$141*($B510=$F$128:$N$128)*($F$129:$N$141))</f>
        <v>0</v>
      </c>
      <c r="I510" s="27">
        <f t="array" ref="I510">SUM(I$487:I$499/$M$129:$M$141*($B510=$F$128:$N$128)*($F$129:$N$141))</f>
        <v>0</v>
      </c>
      <c r="J510" s="27">
        <f t="array" ref="J510">SUM(J$487:J$499/$M$129:$M$141*($B510=$F$128:$N$128)*($F$129:$N$141))</f>
        <v>0</v>
      </c>
      <c r="K510" s="27">
        <f t="array" ref="K510">SUM(K$487:K$499/$M$129:$M$141*($B510=$F$128:$N$128)*($F$129:$N$141))</f>
        <v>0</v>
      </c>
      <c r="L510" s="27">
        <f t="array" ref="L510">SUM(L$487:L$499/$M$129:$M$141*($B510=$F$128:$N$128)*($F$129:$N$141))</f>
        <v>0</v>
      </c>
      <c r="M510" s="27">
        <f t="array" ref="M510">SUM(M$487:M$499/$M$129:$M$141*($B510=$F$128:$N$128)*($F$129:$N$141))</f>
        <v>0</v>
      </c>
      <c r="N510" s="27">
        <f t="array" ref="N510">SUM(N$487:N$499/$M$129:$M$141*($B510=$F$128:$N$128)*($F$129:$N$141))</f>
        <v>0</v>
      </c>
      <c r="O510" s="27">
        <f t="array" ref="O510">SUM(O$487:O$499/$M$129:$M$141*($B510=$F$128:$N$128)*($F$129:$N$141))</f>
        <v>0</v>
      </c>
      <c r="P510"/>
      <c r="W510" s="27"/>
      <c r="X510" s="27"/>
      <c r="Y510" s="27"/>
    </row>
    <row r="511" spans="2:25" s="743" customFormat="1" hidden="1" outlineLevel="2">
      <c r="B511" s="20" t="s">
        <v>6</v>
      </c>
      <c r="C511" s="743" t="str">
        <f>INDEX(Vectors[Description], MATCH($B511, Vectors[Code], 0))</f>
        <v>Heating and cooling</v>
      </c>
      <c r="D511" s="121"/>
      <c r="E511" s="121"/>
      <c r="F511" s="27">
        <f t="array" ref="F511">SUM(F$487:F$499/$M$129:$M$141*($B511=$F$128:$N$128)*($F$129:$N$141))</f>
        <v>204.87336129888465</v>
      </c>
      <c r="G511" s="27">
        <f t="array" ref="G511">SUM(G$487:G$499/$M$129:$M$141*($B511=$F$128:$N$128)*($F$129:$N$141))</f>
        <v>225.02756130874548</v>
      </c>
      <c r="H511" s="27">
        <f t="array" ref="H511">SUM(H$487:H$499/$M$129:$M$141*($B511=$F$128:$N$128)*($F$129:$N$141))</f>
        <v>239.5389614766728</v>
      </c>
      <c r="I511" s="27">
        <f t="array" ref="I511">SUM(I$487:I$499/$M$129:$M$141*($B511=$F$128:$N$128)*($F$129:$N$141))</f>
        <v>254.34459306403147</v>
      </c>
      <c r="J511" s="27">
        <f t="array" ref="J511">SUM(J$487:J$499/$M$129:$M$141*($B511=$F$128:$N$128)*($F$129:$N$141))</f>
        <v>269.13343779480851</v>
      </c>
      <c r="K511" s="27">
        <f t="array" ref="K511">SUM(K$487:K$499/$M$129:$M$141*($B511=$F$128:$N$128)*($F$129:$N$141))</f>
        <v>283.66319250618017</v>
      </c>
      <c r="L511" s="27">
        <f t="array" ref="L511">SUM(L$487:L$499/$M$129:$M$141*($B511=$F$128:$N$128)*($F$129:$N$141))</f>
        <v>284.8001630464716</v>
      </c>
      <c r="M511" s="27">
        <f t="array" ref="M511">SUM(M$487:M$499/$M$129:$M$141*($B511=$F$128:$N$128)*($F$129:$N$141))</f>
        <v>285.90000771152404</v>
      </c>
      <c r="N511" s="27">
        <f t="array" ref="N511">SUM(N$487:N$499/$M$129:$M$141*($B511=$F$128:$N$128)*($F$129:$N$141))</f>
        <v>286.98040158706232</v>
      </c>
      <c r="O511" s="27">
        <f t="array" ref="O511">SUM(O$487:O$499/$M$129:$M$141*($B511=$F$128:$N$128)*($F$129:$N$141))</f>
        <v>288.05773421677821</v>
      </c>
      <c r="P511" s="121"/>
      <c r="W511" s="27"/>
      <c r="X511" s="27"/>
      <c r="Y511" s="27"/>
    </row>
    <row r="512" spans="2:25" s="743" customFormat="1" hidden="1" outlineLevel="2">
      <c r="B512" s="20" t="s">
        <v>34</v>
      </c>
      <c r="C512" s="743" t="str">
        <f>INDEX(Vectors[Description], MATCH($B512, Vectors[Code], 0))</f>
        <v>Conversion losses</v>
      </c>
      <c r="D512"/>
      <c r="E512"/>
      <c r="F512" s="27">
        <f t="array" ref="F512">SUM(F$487:F$499/$M$129:$M$141*($B512=$F$128:$N$128)*($F$129:$N$141))</f>
        <v>47.864202228989427</v>
      </c>
      <c r="G512" s="27">
        <f t="array" ref="G512">SUM(G$487:G$499/$M$129:$M$141*($B512=$F$128:$N$128)*($F$129:$N$141))</f>
        <v>47.857731558344753</v>
      </c>
      <c r="H512" s="27">
        <f t="array" ref="H512">SUM(H$487:H$499/$M$129:$M$141*($B512=$F$128:$N$128)*($F$129:$N$141))</f>
        <v>43.953425812622378</v>
      </c>
      <c r="I512" s="27">
        <f t="array" ref="I512">SUM(I$487:I$499/$M$129:$M$141*($B512=$F$128:$N$128)*($F$129:$N$141))</f>
        <v>40.979296453037087</v>
      </c>
      <c r="J512" s="27">
        <f t="array" ref="J512">SUM(J$487:J$499/$M$129:$M$141*($B512=$F$128:$N$128)*($F$129:$N$141))</f>
        <v>38.738760837645252</v>
      </c>
      <c r="K512" s="27">
        <f t="array" ref="K512">SUM(K$487:K$499/$M$129:$M$141*($B512=$F$128:$N$128)*($F$129:$N$141))</f>
        <v>37.09685500195603</v>
      </c>
      <c r="L512" s="27">
        <f t="array" ref="L512">SUM(L$487:L$499/$M$129:$M$141*($B512=$F$128:$N$128)*($F$129:$N$141))</f>
        <v>34.420704944256421</v>
      </c>
      <c r="M512" s="27">
        <f t="array" ref="M512">SUM(M$487:M$499/$M$129:$M$141*($B512=$F$128:$N$128)*($F$129:$N$141))</f>
        <v>32.391307865544348</v>
      </c>
      <c r="N512" s="27">
        <f t="array" ref="N512">SUM(N$487:N$499/$M$129:$M$141*($B512=$F$128:$N$128)*($F$129:$N$141))</f>
        <v>30.858660732458251</v>
      </c>
      <c r="O512" s="27">
        <f t="array" ref="O512">SUM(O$487:O$499/$M$129:$M$141*($B512=$F$128:$N$128)*($F$129:$N$141))</f>
        <v>29.70775319498928</v>
      </c>
      <c r="P512"/>
      <c r="W512" s="27"/>
      <c r="X512" s="27"/>
      <c r="Y512" s="27"/>
    </row>
    <row r="513" spans="2:25" s="743" customFormat="1" hidden="1" outlineLevel="2">
      <c r="B513" s="20"/>
      <c r="D513" s="121"/>
      <c r="E513" s="862" t="str">
        <f>Preferences.EnergyUnits</f>
        <v>TWh</v>
      </c>
      <c r="F513" s="1579">
        <f>SUM(F504:F512)</f>
        <v>0</v>
      </c>
      <c r="G513" s="1579">
        <f t="shared" ref="G513:O513" si="149">SUM(G504:G512)</f>
        <v>0</v>
      </c>
      <c r="H513" s="1579">
        <f t="shared" si="149"/>
        <v>0</v>
      </c>
      <c r="I513" s="1579">
        <f t="shared" si="149"/>
        <v>0</v>
      </c>
      <c r="J513" s="1579">
        <f t="shared" si="149"/>
        <v>0</v>
      </c>
      <c r="K513" s="1579">
        <f t="shared" si="149"/>
        <v>0</v>
      </c>
      <c r="L513" s="1579">
        <f t="shared" si="149"/>
        <v>0</v>
      </c>
      <c r="M513" s="1579">
        <f t="shared" si="149"/>
        <v>0</v>
      </c>
      <c r="N513" s="1579">
        <f t="shared" si="149"/>
        <v>0</v>
      </c>
      <c r="O513" s="1579">
        <f t="shared" si="149"/>
        <v>0</v>
      </c>
      <c r="P513" s="121"/>
      <c r="W513" s="27"/>
      <c r="X513" s="27"/>
      <c r="Y513" s="27"/>
    </row>
    <row r="514" spans="2:25" s="743" customFormat="1" hidden="1" outlineLevel="2">
      <c r="B514"/>
      <c r="C514"/>
      <c r="D514"/>
      <c r="E514"/>
      <c r="F514" s="27"/>
      <c r="G514"/>
      <c r="H514"/>
      <c r="I514"/>
      <c r="J514"/>
      <c r="K514"/>
      <c r="L514"/>
      <c r="M514"/>
      <c r="N514"/>
      <c r="O514"/>
      <c r="P514"/>
      <c r="W514" s="27"/>
      <c r="X514" s="27"/>
      <c r="Y514" s="27"/>
    </row>
    <row r="515" spans="2:25" s="743" customFormat="1" hidden="1" outlineLevel="2">
      <c r="B515" s="121"/>
      <c r="C515" s="121"/>
      <c r="D515" s="121"/>
      <c r="E515" s="121"/>
      <c r="F515" s="27"/>
      <c r="G515" s="121"/>
      <c r="H515" s="121"/>
      <c r="I515" s="121"/>
      <c r="J515" s="121"/>
      <c r="K515" s="121"/>
      <c r="L515" s="121"/>
      <c r="M515" s="121"/>
      <c r="N515" s="121"/>
      <c r="O515" s="121"/>
      <c r="P515" s="121"/>
      <c r="W515" s="27"/>
      <c r="X515" s="27"/>
      <c r="Y515" s="27"/>
    </row>
    <row r="516" spans="2:25" s="743" customFormat="1" hidden="1" outlineLevel="1">
      <c r="B516" s="731">
        <v>5</v>
      </c>
      <c r="C516" s="731" t="s">
        <v>1635</v>
      </c>
      <c r="D516" s="121"/>
      <c r="E516" s="862"/>
      <c r="F516" s="861">
        <v>2007</v>
      </c>
      <c r="G516" s="861">
        <v>2010</v>
      </c>
      <c r="H516" s="861">
        <v>2015</v>
      </c>
      <c r="I516" s="861">
        <v>2020</v>
      </c>
      <c r="J516" s="861">
        <v>2025</v>
      </c>
      <c r="K516" s="861">
        <v>2030</v>
      </c>
      <c r="L516" s="861">
        <v>2035</v>
      </c>
      <c r="M516" s="861">
        <v>2040</v>
      </c>
      <c r="N516" s="861">
        <v>2045</v>
      </c>
      <c r="O516" s="861">
        <v>2050</v>
      </c>
      <c r="P516" s="121"/>
      <c r="W516" s="27"/>
      <c r="X516" s="27"/>
      <c r="Y516" s="27"/>
    </row>
    <row r="517" spans="2:25" s="743" customFormat="1" hidden="1" outlineLevel="2">
      <c r="B517" s="121"/>
      <c r="C517" s="121"/>
      <c r="D517" s="121"/>
      <c r="E517" s="121"/>
      <c r="F517" s="27"/>
      <c r="G517" s="121"/>
      <c r="H517" s="121"/>
      <c r="I517" s="121"/>
      <c r="J517" s="121"/>
      <c r="K517" s="121"/>
      <c r="L517" s="121"/>
      <c r="M517" s="121"/>
      <c r="N517" s="121"/>
      <c r="O517" s="121"/>
      <c r="P517" s="121"/>
      <c r="W517" s="27"/>
      <c r="X517" s="27"/>
      <c r="Y517" s="27"/>
    </row>
    <row r="518" spans="2:25" s="743" customFormat="1" hidden="1" outlineLevel="2">
      <c r="B518" s="121"/>
      <c r="C518" s="731" t="s">
        <v>1847</v>
      </c>
      <c r="D518" s="121"/>
      <c r="E518" s="862" t="str">
        <f>Preferences.EnergyUnits</f>
        <v>TWh</v>
      </c>
      <c r="F518" s="943">
        <f t="shared" ref="F518:O518" si="150">INDEX(F$53:F$56, MATCH($E$8, $C$53:$C$56, 0))</f>
        <v>0</v>
      </c>
      <c r="G518" s="943">
        <f t="shared" si="150"/>
        <v>1.08</v>
      </c>
      <c r="H518" s="943">
        <f t="shared" si="150"/>
        <v>3.37</v>
      </c>
      <c r="I518" s="943">
        <f t="shared" si="150"/>
        <v>6.4</v>
      </c>
      <c r="J518" s="943">
        <f t="shared" si="150"/>
        <v>10.25</v>
      </c>
      <c r="K518" s="943">
        <f t="shared" si="150"/>
        <v>15.05</v>
      </c>
      <c r="L518" s="943">
        <f t="shared" si="150"/>
        <v>21.13</v>
      </c>
      <c r="M518" s="943">
        <f t="shared" si="150"/>
        <v>28.7</v>
      </c>
      <c r="N518" s="943">
        <f t="shared" si="150"/>
        <v>38.020000000000003</v>
      </c>
      <c r="O518" s="943">
        <f t="shared" si="150"/>
        <v>49.73</v>
      </c>
      <c r="P518" s="121"/>
      <c r="W518" s="27"/>
      <c r="X518" s="27"/>
      <c r="Y518" s="27"/>
    </row>
    <row r="519" spans="2:25" s="743" customFormat="1" hidden="1" outlineLevel="2">
      <c r="B519" s="121"/>
      <c r="C519" s="121">
        <v>1</v>
      </c>
      <c r="D519" s="121" t="str">
        <f>INDEX($D$95:$D$97, MATCH($C519, $C$95:$C$97, 0))</f>
        <v>Electric air conditioner (old)</v>
      </c>
      <c r="E519" s="862"/>
      <c r="F519" s="925">
        <f t="array" ref="F519:F521">F$518*F264:F266</f>
        <v>0</v>
      </c>
      <c r="G519" s="925">
        <f t="array" ref="G519:G521">G$518*G264:G266</f>
        <v>0</v>
      </c>
      <c r="H519" s="925">
        <f t="array" ref="H519:H521">H$518*H264:H266</f>
        <v>0</v>
      </c>
      <c r="I519" s="925">
        <f t="array" ref="I519:I521">I$518*I264:I266</f>
        <v>0</v>
      </c>
      <c r="J519" s="925">
        <f t="array" ref="J519:J521">J$518*J264:J266</f>
        <v>0</v>
      </c>
      <c r="K519" s="925">
        <f t="array" ref="K519:K521">K$518*K264:K266</f>
        <v>0</v>
      </c>
      <c r="L519" s="925">
        <f t="array" ref="L519:L521">L$518*L264:L266</f>
        <v>0</v>
      </c>
      <c r="M519" s="925">
        <f t="array" ref="M519:M521">M$518*M264:M266</f>
        <v>0</v>
      </c>
      <c r="N519" s="925">
        <f t="array" ref="N519:N521">N$518*N264:N266</f>
        <v>0</v>
      </c>
      <c r="O519" s="925">
        <f t="array" ref="O519:O521">O$518*O264:O266</f>
        <v>0</v>
      </c>
      <c r="P519" s="121"/>
      <c r="W519" s="27"/>
      <c r="X519" s="27"/>
      <c r="Y519" s="27"/>
    </row>
    <row r="520" spans="2:25" s="743" customFormat="1" hidden="1" outlineLevel="2">
      <c r="B520" s="121"/>
      <c r="C520" s="121">
        <v>2</v>
      </c>
      <c r="D520" s="121" t="str">
        <f>INDEX($D$95:$D$97, MATCH($C520, $C$95:$C$97, 0))</f>
        <v>Electric air conditioner (new)</v>
      </c>
      <c r="E520" s="862"/>
      <c r="F520" s="925">
        <v>0</v>
      </c>
      <c r="G520" s="925">
        <v>1.08</v>
      </c>
      <c r="H520" s="925">
        <v>3.37</v>
      </c>
      <c r="I520" s="925">
        <v>6.4</v>
      </c>
      <c r="J520" s="925">
        <v>10.25</v>
      </c>
      <c r="K520" s="925">
        <v>15.05</v>
      </c>
      <c r="L520" s="925">
        <v>21.13</v>
      </c>
      <c r="M520" s="925">
        <v>28.7</v>
      </c>
      <c r="N520" s="925">
        <v>38.020000000000003</v>
      </c>
      <c r="O520" s="925">
        <v>49.73</v>
      </c>
      <c r="P520" s="121"/>
      <c r="W520" s="27"/>
      <c r="X520" s="27"/>
      <c r="Y520" s="27"/>
    </row>
    <row r="521" spans="2:25" s="743" customFormat="1" hidden="1" outlineLevel="2">
      <c r="B521" s="121"/>
      <c r="C521" s="121">
        <v>3</v>
      </c>
      <c r="D521" s="121" t="str">
        <f>INDEX($D$95:$D$97, MATCH($C521, $C$95:$C$97, 0))</f>
        <v>Absorption chiller</v>
      </c>
      <c r="E521" s="862"/>
      <c r="F521" s="925">
        <v>0</v>
      </c>
      <c r="G521" s="925">
        <v>0</v>
      </c>
      <c r="H521" s="925">
        <v>0</v>
      </c>
      <c r="I521" s="925">
        <v>0</v>
      </c>
      <c r="J521" s="925">
        <v>0</v>
      </c>
      <c r="K521" s="925">
        <v>0</v>
      </c>
      <c r="L521" s="925">
        <v>0</v>
      </c>
      <c r="M521" s="925">
        <v>0</v>
      </c>
      <c r="N521" s="925">
        <v>0</v>
      </c>
      <c r="O521" s="925">
        <v>0</v>
      </c>
      <c r="P521" s="121"/>
      <c r="W521" s="27"/>
      <c r="X521" s="27"/>
      <c r="Y521" s="27"/>
    </row>
    <row r="522" spans="2:25" s="743" customFormat="1" hidden="1" outlineLevel="2">
      <c r="B522" s="121"/>
      <c r="C522" s="121"/>
      <c r="D522" s="121"/>
      <c r="E522" s="862"/>
      <c r="F522" s="2087">
        <f t="shared" ref="F522:O522" si="151">SUM(F519:F521)</f>
        <v>0</v>
      </c>
      <c r="G522" s="2087">
        <f t="shared" si="151"/>
        <v>1.08</v>
      </c>
      <c r="H522" s="2087">
        <f t="shared" si="151"/>
        <v>3.37</v>
      </c>
      <c r="I522" s="2087">
        <f t="shared" si="151"/>
        <v>6.4</v>
      </c>
      <c r="J522" s="2087">
        <f t="shared" si="151"/>
        <v>10.25</v>
      </c>
      <c r="K522" s="2087">
        <f t="shared" si="151"/>
        <v>15.05</v>
      </c>
      <c r="L522" s="2087">
        <f t="shared" si="151"/>
        <v>21.13</v>
      </c>
      <c r="M522" s="2087">
        <f t="shared" si="151"/>
        <v>28.7</v>
      </c>
      <c r="N522" s="2087">
        <f t="shared" si="151"/>
        <v>38.020000000000003</v>
      </c>
      <c r="O522" s="2087">
        <f t="shared" si="151"/>
        <v>49.73</v>
      </c>
      <c r="P522" s="121"/>
      <c r="W522" s="27"/>
      <c r="X522" s="27"/>
      <c r="Y522" s="27"/>
    </row>
    <row r="523" spans="2:25" s="743" customFormat="1" hidden="1" outlineLevel="2">
      <c r="B523" s="121"/>
      <c r="C523" s="121"/>
      <c r="D523" s="121"/>
      <c r="E523" s="862"/>
      <c r="F523" s="925"/>
      <c r="G523" s="925"/>
      <c r="H523" s="925"/>
      <c r="I523" s="925"/>
      <c r="J523" s="925"/>
      <c r="K523" s="925"/>
      <c r="L523" s="925"/>
      <c r="M523" s="925"/>
      <c r="N523" s="925"/>
      <c r="O523" s="925"/>
      <c r="P523" s="121"/>
      <c r="W523" s="27"/>
      <c r="X523" s="27"/>
      <c r="Y523" s="27"/>
    </row>
    <row r="524" spans="2:25" s="743" customFormat="1" hidden="1" outlineLevel="2">
      <c r="B524" s="121"/>
      <c r="C524" s="731" t="s">
        <v>1851</v>
      </c>
      <c r="D524" s="121"/>
      <c r="E524" s="862"/>
      <c r="F524" s="943"/>
      <c r="G524" s="943"/>
      <c r="H524" s="943"/>
      <c r="I524" s="943"/>
      <c r="J524" s="943"/>
      <c r="K524" s="943"/>
      <c r="L524" s="943"/>
      <c r="M524" s="943"/>
      <c r="N524" s="943"/>
      <c r="O524" s="943"/>
      <c r="P524" s="121"/>
      <c r="W524" s="27"/>
      <c r="X524" s="27"/>
      <c r="Y524" s="27"/>
    </row>
    <row r="525" spans="2:25" s="743" customFormat="1" hidden="1" outlineLevel="2">
      <c r="B525" s="121"/>
      <c r="C525" s="121"/>
      <c r="D525" s="121"/>
      <c r="E525" s="20"/>
      <c r="F525" s="925"/>
      <c r="G525" s="925"/>
      <c r="H525" s="925"/>
      <c r="I525" s="925"/>
      <c r="J525" s="925"/>
      <c r="K525" s="925"/>
      <c r="L525" s="925"/>
      <c r="M525" s="925"/>
      <c r="N525" s="925"/>
      <c r="O525" s="925"/>
      <c r="P525" s="121"/>
      <c r="W525" s="27"/>
      <c r="X525" s="27"/>
      <c r="Y525" s="27"/>
    </row>
    <row r="526" spans="2:25" s="743" customFormat="1" hidden="1" outlineLevel="2">
      <c r="B526" s="20" t="s">
        <v>45</v>
      </c>
      <c r="C526" s="743" t="str">
        <f>INDEX(Vectors[Description], MATCH($B526, Vectors[Code], 0))</f>
        <v>Electricity (delivered to end user)</v>
      </c>
      <c r="D526" s="121"/>
      <c r="E526" s="20"/>
      <c r="F526" s="27">
        <f t="array" ref="F526">SUM(F$519:F$521/$M$165:$M$167*($B526=$F$164:$N$164)*($F$165:$N$167))</f>
        <v>0</v>
      </c>
      <c r="G526" s="27">
        <f t="array" ref="G526">SUM(G$519:G$521/$M$165:$M$167*($B526=$F$164:$N$164)*($F$165:$N$167))</f>
        <v>-0.18000000000000002</v>
      </c>
      <c r="H526" s="27">
        <f t="array" ref="H526">SUM(H$519:H$521/$M$165:$M$167*($B526=$F$164:$N$164)*($F$165:$N$167))</f>
        <v>-0.56166666666666665</v>
      </c>
      <c r="I526" s="27">
        <f t="array" ref="I526">SUM(I$519:I$521/$M$165:$M$167*($B526=$F$164:$N$164)*($F$165:$N$167))</f>
        <v>-1.0666666666666667</v>
      </c>
      <c r="J526" s="27">
        <f t="array" ref="J526">SUM(J$519:J$521/$M$165:$M$167*($B526=$F$164:$N$164)*($F$165:$N$167))</f>
        <v>-1.7083333333333333</v>
      </c>
      <c r="K526" s="27">
        <f t="array" ref="K526">SUM(K$519:K$521/$M$165:$M$167*($B526=$F$164:$N$164)*($F$165:$N$167))</f>
        <v>-2.5083333333333333</v>
      </c>
      <c r="L526" s="27">
        <f t="array" ref="L526">SUM(L$519:L$521/$M$165:$M$167*($B526=$F$164:$N$164)*($F$165:$N$167))</f>
        <v>-3.5216666666666665</v>
      </c>
      <c r="M526" s="27">
        <f t="array" ref="M526">SUM(M$519:M$521/$M$165:$M$167*($B526=$F$164:$N$164)*($F$165:$N$167))</f>
        <v>-4.7833333333333332</v>
      </c>
      <c r="N526" s="27">
        <f t="array" ref="N526">SUM(N$519:N$521/$M$165:$M$167*($B526=$F$164:$N$164)*($F$165:$N$167))</f>
        <v>-6.3366666666666669</v>
      </c>
      <c r="O526" s="27">
        <f t="array" ref="O526">SUM(O$519:O$521/$M$165:$M$167*($B526=$F$164:$N$164)*($F$165:$N$167))</f>
        <v>-8.2883333333333322</v>
      </c>
      <c r="P526" s="121"/>
      <c r="W526" s="27"/>
      <c r="X526" s="27"/>
      <c r="Y526" s="27"/>
    </row>
    <row r="527" spans="2:25" s="743" customFormat="1" hidden="1" outlineLevel="2">
      <c r="B527" s="20" t="s">
        <v>46</v>
      </c>
      <c r="C527" s="743" t="str">
        <f>INDEX(Vectors[Description], MATCH($B527, Vectors[Code], 0))</f>
        <v>Electricity (supplied to grid)</v>
      </c>
      <c r="D527" s="121"/>
      <c r="E527" s="20"/>
      <c r="F527" s="27">
        <f t="array" ref="F527">SUM(F$519:F$521/$M$165:$M$167*($B527=$F$164:$N$164)*($F$165:$N$167))</f>
        <v>0</v>
      </c>
      <c r="G527" s="27">
        <f t="array" ref="G527">SUM(G$519:G$521/$M$165:$M$167*($B527=$F$164:$N$164)*($F$165:$N$167))</f>
        <v>0</v>
      </c>
      <c r="H527" s="27">
        <f t="array" ref="H527">SUM(H$519:H$521/$M$165:$M$167*($B527=$F$164:$N$164)*($F$165:$N$167))</f>
        <v>0</v>
      </c>
      <c r="I527" s="27">
        <f t="array" ref="I527">SUM(I$519:I$521/$M$165:$M$167*($B527=$F$164:$N$164)*($F$165:$N$167))</f>
        <v>0</v>
      </c>
      <c r="J527" s="27">
        <f t="array" ref="J527">SUM(J$519:J$521/$M$165:$M$167*($B527=$F$164:$N$164)*($F$165:$N$167))</f>
        <v>0</v>
      </c>
      <c r="K527" s="27">
        <f t="array" ref="K527">SUM(K$519:K$521/$M$165:$M$167*($B527=$F$164:$N$164)*($F$165:$N$167))</f>
        <v>0</v>
      </c>
      <c r="L527" s="27">
        <f t="array" ref="L527">SUM(L$519:L$521/$M$165:$M$167*($B527=$F$164:$N$164)*($F$165:$N$167))</f>
        <v>0</v>
      </c>
      <c r="M527" s="27">
        <f t="array" ref="M527">SUM(M$519:M$521/$M$165:$M$167*($B527=$F$164:$N$164)*($F$165:$N$167))</f>
        <v>0</v>
      </c>
      <c r="N527" s="27">
        <f t="array" ref="N527">SUM(N$519:N$521/$M$165:$M$167*($B527=$F$164:$N$164)*($F$165:$N$167))</f>
        <v>0</v>
      </c>
      <c r="O527" s="27">
        <f t="array" ref="O527">SUM(O$519:O$521/$M$165:$M$167*($B527=$F$164:$N$164)*($F$165:$N$167))</f>
        <v>0</v>
      </c>
      <c r="P527" s="121"/>
      <c r="W527" s="27"/>
      <c r="X527" s="27"/>
      <c r="Y527" s="27"/>
    </row>
    <row r="528" spans="2:25" s="743" customFormat="1" hidden="1" outlineLevel="2">
      <c r="B528" s="20" t="s">
        <v>47</v>
      </c>
      <c r="C528" s="743" t="str">
        <f>INDEX(Vectors[Description], MATCH($B528, Vectors[Code], 0))</f>
        <v>Solid hydrocarbons</v>
      </c>
      <c r="D528" s="121"/>
      <c r="E528" s="20"/>
      <c r="F528" s="27">
        <f t="array" ref="F528">SUM(F$519:F$521/$M$165:$M$167*($B528=$F$164:$N$164)*($F$165:$N$167))</f>
        <v>0</v>
      </c>
      <c r="G528" s="27">
        <f t="array" ref="G528">SUM(G$519:G$521/$M$165:$M$167*($B528=$F$164:$N$164)*($F$165:$N$167))</f>
        <v>0</v>
      </c>
      <c r="H528" s="27">
        <f t="array" ref="H528">SUM(H$519:H$521/$M$165:$M$167*($B528=$F$164:$N$164)*($F$165:$N$167))</f>
        <v>0</v>
      </c>
      <c r="I528" s="27">
        <f t="array" ref="I528">SUM(I$519:I$521/$M$165:$M$167*($B528=$F$164:$N$164)*($F$165:$N$167))</f>
        <v>0</v>
      </c>
      <c r="J528" s="27">
        <f t="array" ref="J528">SUM(J$519:J$521/$M$165:$M$167*($B528=$F$164:$N$164)*($F$165:$N$167))</f>
        <v>0</v>
      </c>
      <c r="K528" s="27">
        <f t="array" ref="K528">SUM(K$519:K$521/$M$165:$M$167*($B528=$F$164:$N$164)*($F$165:$N$167))</f>
        <v>0</v>
      </c>
      <c r="L528" s="27">
        <f t="array" ref="L528">SUM(L$519:L$521/$M$165:$M$167*($B528=$F$164:$N$164)*($F$165:$N$167))</f>
        <v>0</v>
      </c>
      <c r="M528" s="27">
        <f t="array" ref="M528">SUM(M$519:M$521/$M$165:$M$167*($B528=$F$164:$N$164)*($F$165:$N$167))</f>
        <v>0</v>
      </c>
      <c r="N528" s="27">
        <f t="array" ref="N528">SUM(N$519:N$521/$M$165:$M$167*($B528=$F$164:$N$164)*($F$165:$N$167))</f>
        <v>0</v>
      </c>
      <c r="O528" s="27">
        <f t="array" ref="O528">SUM(O$519:O$521/$M$165:$M$167*($B528=$F$164:$N$164)*($F$165:$N$167))</f>
        <v>0</v>
      </c>
      <c r="P528" s="121"/>
      <c r="W528" s="27"/>
      <c r="X528" s="27"/>
      <c r="Y528" s="27"/>
    </row>
    <row r="529" spans="2:25" s="743" customFormat="1" hidden="1" outlineLevel="2">
      <c r="B529" s="20" t="s">
        <v>49</v>
      </c>
      <c r="C529" s="743" t="str">
        <f>INDEX(Vectors[Description], MATCH($B529, Vectors[Code], 0))</f>
        <v>Liquid hydrocarbons</v>
      </c>
      <c r="D529" s="121"/>
      <c r="E529" s="20"/>
      <c r="F529" s="27">
        <f t="array" ref="F529">SUM(F$519:F$521/$M$165:$M$167*($B529=$F$164:$N$164)*($F$165:$N$167))</f>
        <v>0</v>
      </c>
      <c r="G529" s="27">
        <f t="array" ref="G529">SUM(G$519:G$521/$M$165:$M$167*($B529=$F$164:$N$164)*($F$165:$N$167))</f>
        <v>0</v>
      </c>
      <c r="H529" s="27">
        <f t="array" ref="H529">SUM(H$519:H$521/$M$165:$M$167*($B529=$F$164:$N$164)*($F$165:$N$167))</f>
        <v>0</v>
      </c>
      <c r="I529" s="27">
        <f t="array" ref="I529">SUM(I$519:I$521/$M$165:$M$167*($B529=$F$164:$N$164)*($F$165:$N$167))</f>
        <v>0</v>
      </c>
      <c r="J529" s="27">
        <f t="array" ref="J529">SUM(J$519:J$521/$M$165:$M$167*($B529=$F$164:$N$164)*($F$165:$N$167))</f>
        <v>0</v>
      </c>
      <c r="K529" s="27">
        <f t="array" ref="K529">SUM(K$519:K$521/$M$165:$M$167*($B529=$F$164:$N$164)*($F$165:$N$167))</f>
        <v>0</v>
      </c>
      <c r="L529" s="27">
        <f t="array" ref="L529">SUM(L$519:L$521/$M$165:$M$167*($B529=$F$164:$N$164)*($F$165:$N$167))</f>
        <v>0</v>
      </c>
      <c r="M529" s="27">
        <f t="array" ref="M529">SUM(M$519:M$521/$M$165:$M$167*($B529=$F$164:$N$164)*($F$165:$N$167))</f>
        <v>0</v>
      </c>
      <c r="N529" s="27">
        <f t="array" ref="N529">SUM(N$519:N$521/$M$165:$M$167*($B529=$F$164:$N$164)*($F$165:$N$167))</f>
        <v>0</v>
      </c>
      <c r="O529" s="27">
        <f t="array" ref="O529">SUM(O$519:O$521/$M$165:$M$167*($B529=$F$164:$N$164)*($F$165:$N$167))</f>
        <v>0</v>
      </c>
      <c r="P529" s="121"/>
      <c r="W529" s="27"/>
      <c r="X529" s="27"/>
      <c r="Y529" s="27"/>
    </row>
    <row r="530" spans="2:25" s="743" customFormat="1" hidden="1" outlineLevel="2">
      <c r="B530" s="20" t="s">
        <v>50</v>
      </c>
      <c r="C530" s="743" t="str">
        <f>INDEX(Vectors[Description], MATCH($B530, Vectors[Code], 0))</f>
        <v>Gaseous hydrocarbons</v>
      </c>
      <c r="D530" s="121"/>
      <c r="E530" s="20"/>
      <c r="F530" s="27">
        <f t="array" ref="F530">SUM(F$519:F$521/$M$165:$M$167*($B530=$F$164:$N$164)*($F$165:$N$167))</f>
        <v>0</v>
      </c>
      <c r="G530" s="27">
        <f t="array" ref="G530">SUM(G$519:G$521/$M$165:$M$167*($B530=$F$164:$N$164)*($F$165:$N$167))</f>
        <v>0</v>
      </c>
      <c r="H530" s="27">
        <f t="array" ref="H530">SUM(H$519:H$521/$M$165:$M$167*($B530=$F$164:$N$164)*($F$165:$N$167))</f>
        <v>0</v>
      </c>
      <c r="I530" s="27">
        <f t="array" ref="I530">SUM(I$519:I$521/$M$165:$M$167*($B530=$F$164:$N$164)*($F$165:$N$167))</f>
        <v>0</v>
      </c>
      <c r="J530" s="27">
        <f t="array" ref="J530">SUM(J$519:J$521/$M$165:$M$167*($B530=$F$164:$N$164)*($F$165:$N$167))</f>
        <v>0</v>
      </c>
      <c r="K530" s="27">
        <f t="array" ref="K530">SUM(K$519:K$521/$M$165:$M$167*($B530=$F$164:$N$164)*($F$165:$N$167))</f>
        <v>0</v>
      </c>
      <c r="L530" s="27">
        <f t="array" ref="L530">SUM(L$519:L$521/$M$165:$M$167*($B530=$F$164:$N$164)*($F$165:$N$167))</f>
        <v>0</v>
      </c>
      <c r="M530" s="27">
        <f t="array" ref="M530">SUM(M$519:M$521/$M$165:$M$167*($B530=$F$164:$N$164)*($F$165:$N$167))</f>
        <v>0</v>
      </c>
      <c r="N530" s="27">
        <f t="array" ref="N530">SUM(N$519:N$521/$M$165:$M$167*($B530=$F$164:$N$164)*($F$165:$N$167))</f>
        <v>0</v>
      </c>
      <c r="O530" s="27">
        <f t="array" ref="O530">SUM(O$519:O$521/$M$165:$M$167*($B530=$F$164:$N$164)*($F$165:$N$167))</f>
        <v>0</v>
      </c>
      <c r="P530" s="121"/>
      <c r="W530" s="27"/>
      <c r="X530" s="27"/>
      <c r="Y530" s="27"/>
    </row>
    <row r="531" spans="2:25" s="743" customFormat="1" hidden="1" outlineLevel="2">
      <c r="B531" s="20" t="s">
        <v>753</v>
      </c>
      <c r="C531" s="743" t="str">
        <f>INDEX(Vectors[Description], MATCH($B531, Vectors[Code], 0))</f>
        <v>Heat transport</v>
      </c>
      <c r="D531" s="121"/>
      <c r="E531" s="20"/>
      <c r="F531" s="27">
        <f t="array" ref="F531">SUM(F$519:F$521/$M$165:$M$167*($B531=$F$164:$N$164)*($F$165:$N$167))</f>
        <v>0</v>
      </c>
      <c r="G531" s="27">
        <f t="array" ref="G531">SUM(G$519:G$521/$M$165:$M$167*($B531=$F$164:$N$164)*($F$165:$N$167))</f>
        <v>0</v>
      </c>
      <c r="H531" s="27">
        <f t="array" ref="H531">SUM(H$519:H$521/$M$165:$M$167*($B531=$F$164:$N$164)*($F$165:$N$167))</f>
        <v>0</v>
      </c>
      <c r="I531" s="27">
        <f t="array" ref="I531">SUM(I$519:I$521/$M$165:$M$167*($B531=$F$164:$N$164)*($F$165:$N$167))</f>
        <v>0</v>
      </c>
      <c r="J531" s="27">
        <f t="array" ref="J531">SUM(J$519:J$521/$M$165:$M$167*($B531=$F$164:$N$164)*($F$165:$N$167))</f>
        <v>0</v>
      </c>
      <c r="K531" s="27">
        <f t="array" ref="K531">SUM(K$519:K$521/$M$165:$M$167*($B531=$F$164:$N$164)*($F$165:$N$167))</f>
        <v>0</v>
      </c>
      <c r="L531" s="27">
        <f t="array" ref="L531">SUM(L$519:L$521/$M$165:$M$167*($B531=$F$164:$N$164)*($F$165:$N$167))</f>
        <v>0</v>
      </c>
      <c r="M531" s="27">
        <f t="array" ref="M531">SUM(M$519:M$521/$M$165:$M$167*($B531=$F$164:$N$164)*($F$165:$N$167))</f>
        <v>0</v>
      </c>
      <c r="N531" s="27">
        <f t="array" ref="N531">SUM(N$519:N$521/$M$165:$M$167*($B531=$F$164:$N$164)*($F$165:$N$167))</f>
        <v>0</v>
      </c>
      <c r="O531" s="27">
        <f t="array" ref="O531">SUM(O$519:O$521/$M$165:$M$167*($B531=$F$164:$N$164)*($F$165:$N$167))</f>
        <v>0</v>
      </c>
      <c r="P531" s="121"/>
      <c r="W531" s="27"/>
      <c r="X531" s="27"/>
      <c r="Y531" s="27"/>
    </row>
    <row r="532" spans="2:25" s="743" customFormat="1" hidden="1" outlineLevel="2">
      <c r="B532" s="20" t="s">
        <v>104</v>
      </c>
      <c r="C532" s="743" t="str">
        <f>INDEX(Vectors[Description], MATCH($B532, Vectors[Code], 0))</f>
        <v>Environmental heat</v>
      </c>
      <c r="D532" s="121"/>
      <c r="E532" s="20"/>
      <c r="F532" s="27">
        <f t="array" ref="F532">SUM(F$519:F$521/$M$165:$M$167*($B532=$F$164:$N$164)*($F$165:$N$167))</f>
        <v>0</v>
      </c>
      <c r="G532" s="27">
        <f t="array" ref="G532">SUM(G$519:G$521/$M$165:$M$167*($B532=$F$164:$N$164)*($F$165:$N$167))</f>
        <v>-0.90000000000000013</v>
      </c>
      <c r="H532" s="27">
        <f t="array" ref="H532">SUM(H$519:H$521/$M$165:$M$167*($B532=$F$164:$N$164)*($F$165:$N$167))</f>
        <v>-2.8083333333333331</v>
      </c>
      <c r="I532" s="27">
        <f t="array" ref="I532">SUM(I$519:I$521/$M$165:$M$167*($B532=$F$164:$N$164)*($F$165:$N$167))</f>
        <v>-5.333333333333333</v>
      </c>
      <c r="J532" s="27">
        <f t="array" ref="J532">SUM(J$519:J$521/$M$165:$M$167*($B532=$F$164:$N$164)*($F$165:$N$167))</f>
        <v>-8.5416666666666661</v>
      </c>
      <c r="K532" s="27">
        <f t="array" ref="K532">SUM(K$519:K$521/$M$165:$M$167*($B532=$F$164:$N$164)*($F$165:$N$167))</f>
        <v>-12.541666666666666</v>
      </c>
      <c r="L532" s="27">
        <f t="array" ref="L532">SUM(L$519:L$521/$M$165:$M$167*($B532=$F$164:$N$164)*($F$165:$N$167))</f>
        <v>-17.608333333333334</v>
      </c>
      <c r="M532" s="27">
        <f t="array" ref="M532">SUM(M$519:M$521/$M$165:$M$167*($B532=$F$164:$N$164)*($F$165:$N$167))</f>
        <v>-23.916666666666664</v>
      </c>
      <c r="N532" s="27">
        <f t="array" ref="N532">SUM(N$519:N$521/$M$165:$M$167*($B532=$F$164:$N$164)*($F$165:$N$167))</f>
        <v>-31.683333333333334</v>
      </c>
      <c r="O532" s="27">
        <f t="array" ref="O532">SUM(O$519:O$521/$M$165:$M$167*($B532=$F$164:$N$164)*($F$165:$N$167))</f>
        <v>-41.441666666666663</v>
      </c>
      <c r="P532" s="121"/>
      <c r="W532" s="27"/>
      <c r="X532" s="27"/>
      <c r="Y532" s="27"/>
    </row>
    <row r="533" spans="2:25" s="743" customFormat="1" hidden="1" outlineLevel="2">
      <c r="B533" s="20" t="s">
        <v>6</v>
      </c>
      <c r="C533" s="743" t="str">
        <f>INDEX(Vectors[Description], MATCH($B533, Vectors[Code], 0))</f>
        <v>Heating and cooling</v>
      </c>
      <c r="D533" s="121"/>
      <c r="E533" s="20"/>
      <c r="F533" s="27">
        <f t="array" ref="F533">SUM(F$519:F$521/$M$165:$M$167*($B533=$F$164:$N$164)*($F$165:$N$167))</f>
        <v>0</v>
      </c>
      <c r="G533" s="27">
        <f t="array" ref="G533">SUM(G$519:G$521/$M$165:$M$167*($B533=$F$164:$N$164)*($F$165:$N$167))</f>
        <v>1.08</v>
      </c>
      <c r="H533" s="27">
        <f t="array" ref="H533">SUM(H$519:H$521/$M$165:$M$167*($B533=$F$164:$N$164)*($F$165:$N$167))</f>
        <v>3.37</v>
      </c>
      <c r="I533" s="27">
        <f t="array" ref="I533">SUM(I$519:I$521/$M$165:$M$167*($B533=$F$164:$N$164)*($F$165:$N$167))</f>
        <v>6.4</v>
      </c>
      <c r="J533" s="27">
        <f t="array" ref="J533">SUM(J$519:J$521/$M$165:$M$167*($B533=$F$164:$N$164)*($F$165:$N$167))</f>
        <v>10.25</v>
      </c>
      <c r="K533" s="27">
        <f t="array" ref="K533">SUM(K$519:K$521/$M$165:$M$167*($B533=$F$164:$N$164)*($F$165:$N$167))</f>
        <v>15.05</v>
      </c>
      <c r="L533" s="27">
        <f t="array" ref="L533">SUM(L$519:L$521/$M$165:$M$167*($B533=$F$164:$N$164)*($F$165:$N$167))</f>
        <v>21.13</v>
      </c>
      <c r="M533" s="27">
        <f t="array" ref="M533">SUM(M$519:M$521/$M$165:$M$167*($B533=$F$164:$N$164)*($F$165:$N$167))</f>
        <v>28.7</v>
      </c>
      <c r="N533" s="27">
        <f t="array" ref="N533">SUM(N$519:N$521/$M$165:$M$167*($B533=$F$164:$N$164)*($F$165:$N$167))</f>
        <v>38.020000000000003</v>
      </c>
      <c r="O533" s="27">
        <f t="array" ref="O533">SUM(O$519:O$521/$M$165:$M$167*($B533=$F$164:$N$164)*($F$165:$N$167))</f>
        <v>49.72999999999999</v>
      </c>
      <c r="P533" s="121"/>
      <c r="W533" s="27"/>
      <c r="X533" s="27"/>
      <c r="Y533" s="27"/>
    </row>
    <row r="534" spans="2:25" s="743" customFormat="1" hidden="1" outlineLevel="2">
      <c r="B534" s="20" t="s">
        <v>34</v>
      </c>
      <c r="C534" s="743" t="str">
        <f>INDEX(Vectors[Description], MATCH($B534, Vectors[Code], 0))</f>
        <v>Conversion losses</v>
      </c>
      <c r="D534" s="121"/>
      <c r="E534" s="20"/>
      <c r="F534" s="27">
        <f t="array" ref="F534">SUM(F$519:F$521/$M$165:$M$167*($B534=$F$164:$N$164)*($F$165:$N$167))</f>
        <v>0</v>
      </c>
      <c r="G534" s="27">
        <f t="array" ref="G534">SUM(G$519:G$521/$M$165:$M$167*($B534=$F$164:$N$164)*($F$165:$N$167))</f>
        <v>0</v>
      </c>
      <c r="H534" s="27">
        <f t="array" ref="H534">SUM(H$519:H$521/$M$165:$M$167*($B534=$F$164:$N$164)*($F$165:$N$167))</f>
        <v>0</v>
      </c>
      <c r="I534" s="27">
        <f t="array" ref="I534">SUM(I$519:I$521/$M$165:$M$167*($B534=$F$164:$N$164)*($F$165:$N$167))</f>
        <v>0</v>
      </c>
      <c r="J534" s="27">
        <f t="array" ref="J534">SUM(J$519:J$521/$M$165:$M$167*($B534=$F$164:$N$164)*($F$165:$N$167))</f>
        <v>0</v>
      </c>
      <c r="K534" s="27">
        <f t="array" ref="K534">SUM(K$519:K$521/$M$165:$M$167*($B534=$F$164:$N$164)*($F$165:$N$167))</f>
        <v>0</v>
      </c>
      <c r="L534" s="27">
        <f t="array" ref="L534">SUM(L$519:L$521/$M$165:$M$167*($B534=$F$164:$N$164)*($F$165:$N$167))</f>
        <v>0</v>
      </c>
      <c r="M534" s="27">
        <f t="array" ref="M534">SUM(M$519:M$521/$M$165:$M$167*($B534=$F$164:$N$164)*($F$165:$N$167))</f>
        <v>0</v>
      </c>
      <c r="N534" s="27">
        <f t="array" ref="N534">SUM(N$519:N$521/$M$165:$M$167*($B534=$F$164:$N$164)*($F$165:$N$167))</f>
        <v>0</v>
      </c>
      <c r="O534" s="27">
        <f t="array" ref="O534">SUM(O$519:O$521/$M$165:$M$167*($B534=$F$164:$N$164)*($F$165:$N$167))</f>
        <v>0</v>
      </c>
      <c r="P534" s="121"/>
      <c r="W534" s="27"/>
      <c r="X534" s="27"/>
      <c r="Y534" s="27"/>
    </row>
    <row r="535" spans="2:25" s="743" customFormat="1" hidden="1" outlineLevel="2">
      <c r="B535" s="20"/>
      <c r="D535" s="121"/>
      <c r="E535" s="862" t="str">
        <f>Preferences.EnergyUnits</f>
        <v>TWh</v>
      </c>
      <c r="F535" s="1579">
        <f>SUM(F526:F534)</f>
        <v>0</v>
      </c>
      <c r="G535" s="1579">
        <f t="shared" ref="G535:O535" si="152">SUM(G526:G534)</f>
        <v>0</v>
      </c>
      <c r="H535" s="1579">
        <f t="shared" si="152"/>
        <v>4.4408920985006262E-16</v>
      </c>
      <c r="I535" s="1579">
        <f t="shared" si="152"/>
        <v>8.8817841970012523E-16</v>
      </c>
      <c r="J535" s="1579">
        <f t="shared" si="152"/>
        <v>0</v>
      </c>
      <c r="K535" s="1579">
        <f t="shared" si="152"/>
        <v>1.7763568394002505E-15</v>
      </c>
      <c r="L535" s="1579">
        <f t="shared" si="152"/>
        <v>-3.5527136788005009E-15</v>
      </c>
      <c r="M535" s="1579">
        <f t="shared" si="152"/>
        <v>3.5527136788005009E-15</v>
      </c>
      <c r="N535" s="1579">
        <f t="shared" si="152"/>
        <v>0</v>
      </c>
      <c r="O535" s="1579">
        <f t="shared" si="152"/>
        <v>-7.1054273576010019E-15</v>
      </c>
      <c r="P535" s="121"/>
      <c r="W535" s="27"/>
      <c r="X535" s="27"/>
      <c r="Y535" s="27"/>
    </row>
    <row r="536" spans="2:25" s="743" customFormat="1" hidden="1" outlineLevel="2">
      <c r="B536" s="20"/>
      <c r="D536" s="121"/>
      <c r="E536" s="20"/>
      <c r="F536" s="925"/>
      <c r="G536" s="925"/>
      <c r="H536" s="925"/>
      <c r="I536" s="925"/>
      <c r="J536" s="925"/>
      <c r="K536" s="925"/>
      <c r="L536" s="925"/>
      <c r="M536" s="925"/>
      <c r="N536" s="925"/>
      <c r="O536" s="925"/>
      <c r="P536" s="121"/>
      <c r="W536" s="27"/>
      <c r="X536" s="27"/>
      <c r="Y536" s="27"/>
    </row>
    <row r="537" spans="2:25" s="743" customFormat="1" hidden="1" outlineLevel="2">
      <c r="B537" s="121"/>
      <c r="C537" s="731" t="s">
        <v>1852</v>
      </c>
      <c r="D537" s="121"/>
      <c r="E537" s="862"/>
      <c r="F537" s="943"/>
      <c r="G537" s="943"/>
      <c r="H537" s="943"/>
      <c r="I537" s="943"/>
      <c r="J537" s="943"/>
      <c r="K537" s="943"/>
      <c r="L537" s="943"/>
      <c r="M537" s="943"/>
      <c r="N537" s="943"/>
      <c r="O537" s="943"/>
      <c r="P537" s="121"/>
      <c r="W537" s="27"/>
      <c r="X537" s="27"/>
      <c r="Y537" s="27"/>
    </row>
    <row r="538" spans="2:25" s="743" customFormat="1" hidden="1" outlineLevel="2">
      <c r="B538" s="121"/>
      <c r="C538" s="121"/>
      <c r="D538" s="121"/>
      <c r="E538" s="20"/>
      <c r="F538" s="925"/>
      <c r="G538" s="925"/>
      <c r="H538" s="925"/>
      <c r="I538" s="925"/>
      <c r="J538" s="925"/>
      <c r="K538" s="925"/>
      <c r="L538" s="925"/>
      <c r="M538" s="925"/>
      <c r="N538" s="925"/>
      <c r="O538" s="925"/>
      <c r="P538" s="121"/>
      <c r="W538" s="27"/>
      <c r="X538" s="27"/>
      <c r="Y538" s="27"/>
    </row>
    <row r="539" spans="2:25" s="743" customFormat="1" hidden="1" outlineLevel="2">
      <c r="B539" s="20" t="s">
        <v>45</v>
      </c>
      <c r="C539" s="743" t="str">
        <f>INDEX(Vectors[Description], MATCH($B539, Vectors[Code], 0))</f>
        <v>Electricity (delivered to end user)</v>
      </c>
      <c r="D539" s="121"/>
      <c r="E539" s="20"/>
      <c r="F539" s="27">
        <f>F526</f>
        <v>0</v>
      </c>
      <c r="G539" s="27">
        <f t="shared" ref="G539:O539" si="153">G526</f>
        <v>-0.18000000000000002</v>
      </c>
      <c r="H539" s="27">
        <f t="shared" si="153"/>
        <v>-0.56166666666666665</v>
      </c>
      <c r="I539" s="27">
        <f t="shared" si="153"/>
        <v>-1.0666666666666667</v>
      </c>
      <c r="J539" s="27">
        <f t="shared" si="153"/>
        <v>-1.7083333333333333</v>
      </c>
      <c r="K539" s="27">
        <f t="shared" si="153"/>
        <v>-2.5083333333333333</v>
      </c>
      <c r="L539" s="27">
        <f t="shared" si="153"/>
        <v>-3.5216666666666665</v>
      </c>
      <c r="M539" s="27">
        <f t="shared" si="153"/>
        <v>-4.7833333333333332</v>
      </c>
      <c r="N539" s="27">
        <f t="shared" si="153"/>
        <v>-6.3366666666666669</v>
      </c>
      <c r="O539" s="27">
        <f t="shared" si="153"/>
        <v>-8.2883333333333322</v>
      </c>
      <c r="P539" s="121"/>
      <c r="W539" s="27"/>
      <c r="X539" s="27"/>
      <c r="Y539" s="27"/>
    </row>
    <row r="540" spans="2:25" s="743" customFormat="1" hidden="1" outlineLevel="2">
      <c r="B540" s="20" t="s">
        <v>46</v>
      </c>
      <c r="C540" s="743" t="str">
        <f>INDEX(Vectors[Description], MATCH($B540, Vectors[Code], 0))</f>
        <v>Electricity (supplied to grid)</v>
      </c>
      <c r="D540" s="121"/>
      <c r="E540" s="20"/>
      <c r="F540" s="27">
        <f t="shared" ref="F540:O544" si="154">F527</f>
        <v>0</v>
      </c>
      <c r="G540" s="27">
        <f t="shared" si="154"/>
        <v>0</v>
      </c>
      <c r="H540" s="27">
        <f t="shared" si="154"/>
        <v>0</v>
      </c>
      <c r="I540" s="27">
        <f t="shared" si="154"/>
        <v>0</v>
      </c>
      <c r="J540" s="27">
        <f t="shared" si="154"/>
        <v>0</v>
      </c>
      <c r="K540" s="27">
        <f t="shared" si="154"/>
        <v>0</v>
      </c>
      <c r="L540" s="27">
        <f t="shared" si="154"/>
        <v>0</v>
      </c>
      <c r="M540" s="27">
        <f t="shared" si="154"/>
        <v>0</v>
      </c>
      <c r="N540" s="27">
        <f t="shared" si="154"/>
        <v>0</v>
      </c>
      <c r="O540" s="27">
        <f t="shared" si="154"/>
        <v>0</v>
      </c>
      <c r="P540" s="121"/>
      <c r="W540" s="27"/>
      <c r="X540" s="27"/>
      <c r="Y540" s="27"/>
    </row>
    <row r="541" spans="2:25" s="743" customFormat="1" hidden="1" outlineLevel="2">
      <c r="B541" s="20" t="s">
        <v>47</v>
      </c>
      <c r="C541" s="743" t="str">
        <f>INDEX(Vectors[Description], MATCH($B541, Vectors[Code], 0))</f>
        <v>Solid hydrocarbons</v>
      </c>
      <c r="D541" s="121"/>
      <c r="E541" s="20"/>
      <c r="F541" s="27">
        <f t="shared" si="154"/>
        <v>0</v>
      </c>
      <c r="G541" s="27">
        <f t="shared" si="154"/>
        <v>0</v>
      </c>
      <c r="H541" s="27">
        <f t="shared" si="154"/>
        <v>0</v>
      </c>
      <c r="I541" s="27">
        <f t="shared" si="154"/>
        <v>0</v>
      </c>
      <c r="J541" s="27">
        <f t="shared" si="154"/>
        <v>0</v>
      </c>
      <c r="K541" s="27">
        <f t="shared" si="154"/>
        <v>0</v>
      </c>
      <c r="L541" s="27">
        <f t="shared" si="154"/>
        <v>0</v>
      </c>
      <c r="M541" s="27">
        <f t="shared" si="154"/>
        <v>0</v>
      </c>
      <c r="N541" s="27">
        <f t="shared" si="154"/>
        <v>0</v>
      </c>
      <c r="O541" s="27">
        <f t="shared" si="154"/>
        <v>0</v>
      </c>
      <c r="P541" s="121"/>
      <c r="W541" s="27"/>
      <c r="X541" s="27"/>
      <c r="Y541" s="27"/>
    </row>
    <row r="542" spans="2:25" s="743" customFormat="1" hidden="1" outlineLevel="2">
      <c r="B542" s="20" t="s">
        <v>49</v>
      </c>
      <c r="C542" s="743" t="str">
        <f>INDEX(Vectors[Description], MATCH($B542, Vectors[Code], 0))</f>
        <v>Liquid hydrocarbons</v>
      </c>
      <c r="D542" s="121"/>
      <c r="E542" s="20"/>
      <c r="F542" s="27">
        <f t="shared" si="154"/>
        <v>0</v>
      </c>
      <c r="G542" s="27">
        <f t="shared" si="154"/>
        <v>0</v>
      </c>
      <c r="H542" s="27">
        <f t="shared" si="154"/>
        <v>0</v>
      </c>
      <c r="I542" s="27">
        <f t="shared" si="154"/>
        <v>0</v>
      </c>
      <c r="J542" s="27">
        <f t="shared" si="154"/>
        <v>0</v>
      </c>
      <c r="K542" s="27">
        <f t="shared" si="154"/>
        <v>0</v>
      </c>
      <c r="L542" s="27">
        <f t="shared" si="154"/>
        <v>0</v>
      </c>
      <c r="M542" s="27">
        <f t="shared" si="154"/>
        <v>0</v>
      </c>
      <c r="N542" s="27">
        <f t="shared" si="154"/>
        <v>0</v>
      </c>
      <c r="O542" s="27">
        <f t="shared" si="154"/>
        <v>0</v>
      </c>
      <c r="P542" s="121"/>
      <c r="W542" s="27"/>
      <c r="X542" s="27"/>
      <c r="Y542" s="27"/>
    </row>
    <row r="543" spans="2:25" s="743" customFormat="1" hidden="1" outlineLevel="2">
      <c r="B543" s="20" t="s">
        <v>50</v>
      </c>
      <c r="C543" s="743" t="str">
        <f>INDEX(Vectors[Description], MATCH($B543, Vectors[Code], 0))</f>
        <v>Gaseous hydrocarbons</v>
      </c>
      <c r="D543" s="121"/>
      <c r="E543" s="20"/>
      <c r="F543" s="27">
        <f t="shared" si="154"/>
        <v>0</v>
      </c>
      <c r="G543" s="27">
        <f t="shared" si="154"/>
        <v>0</v>
      </c>
      <c r="H543" s="27">
        <f t="shared" si="154"/>
        <v>0</v>
      </c>
      <c r="I543" s="27">
        <f t="shared" si="154"/>
        <v>0</v>
      </c>
      <c r="J543" s="27">
        <f t="shared" si="154"/>
        <v>0</v>
      </c>
      <c r="K543" s="27">
        <f t="shared" si="154"/>
        <v>0</v>
      </c>
      <c r="L543" s="27">
        <f t="shared" si="154"/>
        <v>0</v>
      </c>
      <c r="M543" s="27">
        <f t="shared" si="154"/>
        <v>0</v>
      </c>
      <c r="N543" s="27">
        <f t="shared" si="154"/>
        <v>0</v>
      </c>
      <c r="O543" s="27">
        <f t="shared" si="154"/>
        <v>0</v>
      </c>
      <c r="P543" s="121"/>
      <c r="W543" s="27"/>
      <c r="X543" s="27"/>
      <c r="Y543" s="27"/>
    </row>
    <row r="544" spans="2:25" s="743" customFormat="1" hidden="1" outlineLevel="2">
      <c r="B544" s="20" t="s">
        <v>753</v>
      </c>
      <c r="C544" s="743" t="str">
        <f>INDEX(Vectors[Description], MATCH($B544, Vectors[Code], 0))</f>
        <v>Heat transport</v>
      </c>
      <c r="D544" s="121"/>
      <c r="E544" s="20"/>
      <c r="F544" s="27">
        <f t="shared" si="154"/>
        <v>0</v>
      </c>
      <c r="G544" s="27">
        <f t="shared" si="154"/>
        <v>0</v>
      </c>
      <c r="H544" s="27">
        <f t="shared" si="154"/>
        <v>0</v>
      </c>
      <c r="I544" s="27">
        <f t="shared" si="154"/>
        <v>0</v>
      </c>
      <c r="J544" s="27">
        <f t="shared" si="154"/>
        <v>0</v>
      </c>
      <c r="K544" s="27">
        <f t="shared" si="154"/>
        <v>0</v>
      </c>
      <c r="L544" s="27">
        <f t="shared" si="154"/>
        <v>0</v>
      </c>
      <c r="M544" s="27">
        <f t="shared" si="154"/>
        <v>0</v>
      </c>
      <c r="N544" s="27">
        <f t="shared" si="154"/>
        <v>0</v>
      </c>
      <c r="O544" s="27">
        <f t="shared" si="154"/>
        <v>0</v>
      </c>
      <c r="P544" s="121"/>
      <c r="W544" s="27"/>
      <c r="X544" s="27"/>
      <c r="Y544" s="27"/>
    </row>
    <row r="545" spans="2:25" s="743" customFormat="1" hidden="1" outlineLevel="2">
      <c r="B545" s="20" t="s">
        <v>104</v>
      </c>
      <c r="C545" s="743" t="str">
        <f>INDEX(Vectors[Description], MATCH($B545, Vectors[Code], 0))</f>
        <v>Environmental heat</v>
      </c>
      <c r="D545" s="121"/>
      <c r="E545" s="20"/>
      <c r="F545" s="27">
        <v>0</v>
      </c>
      <c r="G545" s="27">
        <v>0</v>
      </c>
      <c r="H545" s="27">
        <v>0</v>
      </c>
      <c r="I545" s="27">
        <v>0</v>
      </c>
      <c r="J545" s="27">
        <v>0</v>
      </c>
      <c r="K545" s="27">
        <v>0</v>
      </c>
      <c r="L545" s="27">
        <v>0</v>
      </c>
      <c r="M545" s="27">
        <v>0</v>
      </c>
      <c r="N545" s="27">
        <v>0</v>
      </c>
      <c r="O545" s="27">
        <v>0</v>
      </c>
      <c r="P545" s="121"/>
      <c r="W545" s="27"/>
      <c r="X545" s="27"/>
      <c r="Y545" s="27"/>
    </row>
    <row r="546" spans="2:25" s="743" customFormat="1" hidden="1" outlineLevel="2">
      <c r="B546" s="20" t="s">
        <v>6</v>
      </c>
      <c r="C546" s="743" t="str">
        <f>INDEX(Vectors[Description], MATCH($B546, Vectors[Code], 0))</f>
        <v>Heating and cooling</v>
      </c>
      <c r="D546" s="121"/>
      <c r="E546" s="20"/>
      <c r="F546" s="2089">
        <f>-SUM(F539:F545)-F547</f>
        <v>0</v>
      </c>
      <c r="G546" s="2089">
        <f t="shared" ref="G546:O546" si="155">-SUM(G539:G545)-G547</f>
        <v>0.18000000000000002</v>
      </c>
      <c r="H546" s="2089">
        <f t="shared" si="155"/>
        <v>0.56166666666666665</v>
      </c>
      <c r="I546" s="2089">
        <f t="shared" si="155"/>
        <v>1.0666666666666667</v>
      </c>
      <c r="J546" s="2089">
        <f t="shared" si="155"/>
        <v>1.7083333333333333</v>
      </c>
      <c r="K546" s="2089">
        <f t="shared" si="155"/>
        <v>2.5083333333333333</v>
      </c>
      <c r="L546" s="2089">
        <f t="shared" si="155"/>
        <v>3.5216666666666665</v>
      </c>
      <c r="M546" s="2089">
        <f t="shared" si="155"/>
        <v>4.7833333333333332</v>
      </c>
      <c r="N546" s="2089">
        <f t="shared" si="155"/>
        <v>6.3366666666666669</v>
      </c>
      <c r="O546" s="2089">
        <f t="shared" si="155"/>
        <v>8.2883333333333322</v>
      </c>
      <c r="P546" s="121"/>
      <c r="W546" s="27"/>
      <c r="X546" s="27"/>
      <c r="Y546" s="27"/>
    </row>
    <row r="547" spans="2:25" s="743" customFormat="1" hidden="1" outlineLevel="2">
      <c r="B547" s="20" t="s">
        <v>34</v>
      </c>
      <c r="C547" s="743" t="str">
        <f>INDEX(Vectors[Description], MATCH($B547, Vectors[Code], 0))</f>
        <v>Conversion losses</v>
      </c>
      <c r="D547" s="121"/>
      <c r="E547" s="20"/>
      <c r="F547" s="27">
        <f t="shared" ref="F547:O547" si="156">F534</f>
        <v>0</v>
      </c>
      <c r="G547" s="27">
        <f t="shared" si="156"/>
        <v>0</v>
      </c>
      <c r="H547" s="27">
        <f t="shared" si="156"/>
        <v>0</v>
      </c>
      <c r="I547" s="27">
        <f t="shared" si="156"/>
        <v>0</v>
      </c>
      <c r="J547" s="27">
        <f t="shared" si="156"/>
        <v>0</v>
      </c>
      <c r="K547" s="27">
        <f t="shared" si="156"/>
        <v>0</v>
      </c>
      <c r="L547" s="27">
        <f t="shared" si="156"/>
        <v>0</v>
      </c>
      <c r="M547" s="27">
        <f t="shared" si="156"/>
        <v>0</v>
      </c>
      <c r="N547" s="27">
        <f t="shared" si="156"/>
        <v>0</v>
      </c>
      <c r="O547" s="27">
        <f t="shared" si="156"/>
        <v>0</v>
      </c>
      <c r="P547" s="121"/>
      <c r="W547" s="27"/>
      <c r="X547" s="27"/>
      <c r="Y547" s="27"/>
    </row>
    <row r="548" spans="2:25" s="743" customFormat="1" hidden="1" outlineLevel="2">
      <c r="B548" s="20"/>
      <c r="D548" s="121"/>
      <c r="E548" s="862" t="str">
        <f>Preferences.EnergyUnits</f>
        <v>TWh</v>
      </c>
      <c r="F548" s="1579">
        <f>SUM(F539:F547)</f>
        <v>0</v>
      </c>
      <c r="G548" s="1579">
        <f t="shared" ref="G548:O548" si="157">SUM(G539:G547)</f>
        <v>0</v>
      </c>
      <c r="H548" s="1579">
        <f t="shared" si="157"/>
        <v>0</v>
      </c>
      <c r="I548" s="1579">
        <f t="shared" si="157"/>
        <v>0</v>
      </c>
      <c r="J548" s="1579">
        <f t="shared" si="157"/>
        <v>0</v>
      </c>
      <c r="K548" s="1579">
        <f t="shared" si="157"/>
        <v>0</v>
      </c>
      <c r="L548" s="1579">
        <f t="shared" si="157"/>
        <v>0</v>
      </c>
      <c r="M548" s="1579">
        <f t="shared" si="157"/>
        <v>0</v>
      </c>
      <c r="N548" s="1579">
        <f t="shared" si="157"/>
        <v>0</v>
      </c>
      <c r="O548" s="1579">
        <f t="shared" si="157"/>
        <v>0</v>
      </c>
      <c r="P548" s="121"/>
      <c r="W548" s="27"/>
      <c r="X548" s="27"/>
      <c r="Y548" s="27"/>
    </row>
    <row r="549" spans="2:25" s="743" customFormat="1" hidden="1" outlineLevel="2">
      <c r="B549" s="121"/>
      <c r="C549" s="121"/>
      <c r="D549" s="121"/>
      <c r="E549" s="121"/>
      <c r="F549" s="27"/>
      <c r="G549" s="121"/>
      <c r="H549" s="121"/>
      <c r="I549" s="121"/>
      <c r="J549" s="121"/>
      <c r="K549" s="121"/>
      <c r="L549" s="121"/>
      <c r="M549" s="121"/>
      <c r="N549" s="121"/>
      <c r="O549" s="121"/>
      <c r="P549" s="121"/>
      <c r="W549" s="27"/>
      <c r="X549" s="27"/>
      <c r="Y549" s="27"/>
    </row>
    <row r="550" spans="2:25" s="743" customFormat="1" hidden="1" outlineLevel="2">
      <c r="B550" s="121"/>
      <c r="C550" s="121"/>
      <c r="D550" s="121"/>
      <c r="E550" s="121"/>
      <c r="F550" s="27"/>
      <c r="G550" s="121"/>
      <c r="H550" s="121"/>
      <c r="I550" s="121"/>
      <c r="J550" s="121"/>
      <c r="K550" s="121"/>
      <c r="L550" s="121"/>
      <c r="M550" s="121"/>
      <c r="N550" s="121"/>
      <c r="O550" s="121"/>
      <c r="P550" s="121"/>
      <c r="W550" s="27"/>
      <c r="X550" s="27"/>
      <c r="Y550" s="27"/>
    </row>
    <row r="551" spans="2:25" s="743" customFormat="1" hidden="1" outlineLevel="1">
      <c r="B551" s="731">
        <v>5</v>
      </c>
      <c r="C551" s="731" t="s">
        <v>1608</v>
      </c>
      <c r="D551" s="121"/>
      <c r="F551" s="861">
        <v>2007</v>
      </c>
      <c r="G551" s="861">
        <v>2010</v>
      </c>
      <c r="H551" s="861">
        <v>2015</v>
      </c>
      <c r="I551" s="861">
        <v>2020</v>
      </c>
      <c r="J551" s="861">
        <v>2025</v>
      </c>
      <c r="K551" s="861">
        <v>2030</v>
      </c>
      <c r="L551" s="861">
        <v>2035</v>
      </c>
      <c r="M551" s="861">
        <v>2040</v>
      </c>
      <c r="N551" s="861">
        <v>2045</v>
      </c>
      <c r="O551" s="861">
        <v>2050</v>
      </c>
      <c r="P551" s="121"/>
      <c r="W551" s="27"/>
      <c r="X551" s="27"/>
      <c r="Y551" s="27"/>
    </row>
    <row r="552" spans="2:25" s="743" customFormat="1" hidden="1" outlineLevel="2">
      <c r="B552" s="121"/>
      <c r="C552" s="121"/>
      <c r="D552" s="121"/>
      <c r="E552" s="121"/>
      <c r="F552" s="27"/>
      <c r="G552" s="121"/>
      <c r="H552" s="121"/>
      <c r="I552" s="121"/>
      <c r="J552" s="121"/>
      <c r="K552" s="121"/>
      <c r="L552" s="121"/>
      <c r="M552" s="121"/>
      <c r="N552" s="121"/>
      <c r="O552" s="121"/>
      <c r="P552" s="121"/>
      <c r="W552" s="27"/>
      <c r="X552" s="27"/>
      <c r="Y552" s="27"/>
    </row>
    <row r="553" spans="2:25" s="743" customFormat="1" hidden="1" outlineLevel="2">
      <c r="B553" s="20" t="s">
        <v>45</v>
      </c>
      <c r="C553" s="743" t="str">
        <f>INDEX(Vectors[Description], MATCH($B553, Vectors[Code], 0))</f>
        <v>Electricity (delivered to end user)</v>
      </c>
      <c r="D553" s="121"/>
      <c r="E553" s="121"/>
      <c r="F553" s="27">
        <f t="shared" ref="F553:O553" ca="1" si="158">F434+F504+F539</f>
        <v>-31.008546529888466</v>
      </c>
      <c r="G553" s="27">
        <f t="shared" ca="1" si="158"/>
        <v>-33.870266304074299</v>
      </c>
      <c r="H553" s="27">
        <f t="shared" ca="1" si="158"/>
        <v>-36.920774048245264</v>
      </c>
      <c r="I553" s="27">
        <f t="shared" ca="1" si="158"/>
        <v>-40.208501284271783</v>
      </c>
      <c r="J553" s="27">
        <f t="shared" ca="1" si="158"/>
        <v>-43.677548135982896</v>
      </c>
      <c r="K553" s="27">
        <f t="shared" ca="1" si="158"/>
        <v>-47.317201506408232</v>
      </c>
      <c r="L553" s="27">
        <f t="shared" ca="1" si="158"/>
        <v>-50.119573365491696</v>
      </c>
      <c r="M553" s="27">
        <f t="shared" ca="1" si="158"/>
        <v>-53.337267548351917</v>
      </c>
      <c r="N553" s="27">
        <f t="shared" ca="1" si="158"/>
        <v>-57.032777786172744</v>
      </c>
      <c r="O553" s="27">
        <f t="shared" ca="1" si="158"/>
        <v>-61.333574761505936</v>
      </c>
      <c r="P553" s="121"/>
      <c r="W553" s="27"/>
      <c r="X553" s="27"/>
      <c r="Y553" s="27"/>
    </row>
    <row r="554" spans="2:25" s="743" customFormat="1" hidden="1" outlineLevel="2">
      <c r="B554" s="20" t="s">
        <v>46</v>
      </c>
      <c r="C554" s="743" t="str">
        <f>INDEX(Vectors[Description], MATCH($B554, Vectors[Code], 0))</f>
        <v>Electricity (supplied to grid)</v>
      </c>
      <c r="D554" s="121"/>
      <c r="E554" s="121"/>
      <c r="F554" s="27">
        <f t="shared" ref="F554:O554" ca="1" si="159">F435+F505+F540</f>
        <v>0</v>
      </c>
      <c r="G554" s="27">
        <f t="shared" ca="1" si="159"/>
        <v>0</v>
      </c>
      <c r="H554" s="27">
        <f t="shared" ca="1" si="159"/>
        <v>0</v>
      </c>
      <c r="I554" s="27">
        <f t="shared" ca="1" si="159"/>
        <v>0</v>
      </c>
      <c r="J554" s="27">
        <f t="shared" ca="1" si="159"/>
        <v>0</v>
      </c>
      <c r="K554" s="27">
        <f t="shared" ca="1" si="159"/>
        <v>0</v>
      </c>
      <c r="L554" s="27">
        <f t="shared" ca="1" si="159"/>
        <v>0</v>
      </c>
      <c r="M554" s="27">
        <f t="shared" ca="1" si="159"/>
        <v>0</v>
      </c>
      <c r="N554" s="27">
        <f t="shared" ca="1" si="159"/>
        <v>0</v>
      </c>
      <c r="O554" s="27">
        <f t="shared" ca="1" si="159"/>
        <v>0</v>
      </c>
      <c r="P554" s="121"/>
      <c r="W554" s="27"/>
      <c r="X554" s="27"/>
      <c r="Y554" s="27"/>
    </row>
    <row r="555" spans="2:25" s="743" customFormat="1" hidden="1" outlineLevel="2">
      <c r="B555" s="20" t="s">
        <v>47</v>
      </c>
      <c r="C555" s="743" t="str">
        <f>INDEX(Vectors[Description], MATCH($B555, Vectors[Code], 0))</f>
        <v>Solid hydrocarbons</v>
      </c>
      <c r="D555" s="121"/>
      <c r="E555" s="121"/>
      <c r="F555" s="27">
        <f t="shared" ref="F555:O555" ca="1" si="160">F436+F506+F541</f>
        <v>-14.256803002247571</v>
      </c>
      <c r="G555" s="27">
        <f t="shared" ca="1" si="160"/>
        <v>-13.24549946075815</v>
      </c>
      <c r="H555" s="27">
        <f t="shared" ca="1" si="160"/>
        <v>-10.921374269724915</v>
      </c>
      <c r="I555" s="27">
        <f t="shared" ca="1" si="160"/>
        <v>-8.9729383224903891</v>
      </c>
      <c r="J555" s="27">
        <f t="shared" ca="1" si="160"/>
        <v>-7.3289924411425558</v>
      </c>
      <c r="K555" s="27">
        <f t="shared" ca="1" si="160"/>
        <v>-5.9499892900432574</v>
      </c>
      <c r="L555" s="27">
        <f t="shared" ca="1" si="160"/>
        <v>-4.7181460500666326</v>
      </c>
      <c r="M555" s="27">
        <f t="shared" ca="1" si="160"/>
        <v>-3.7487127342475199</v>
      </c>
      <c r="N555" s="27">
        <f t="shared" ca="1" si="160"/>
        <v>-2.9845931990448413</v>
      </c>
      <c r="O555" s="27">
        <f t="shared" ca="1" si="160"/>
        <v>-2.3812757672217852</v>
      </c>
      <c r="P555" s="121"/>
      <c r="W555" s="27"/>
      <c r="X555" s="27"/>
      <c r="Y555" s="27"/>
    </row>
    <row r="556" spans="2:25" s="743" customFormat="1" hidden="1" outlineLevel="2">
      <c r="B556" s="20" t="s">
        <v>49</v>
      </c>
      <c r="C556" s="743" t="str">
        <f>INDEX(Vectors[Description], MATCH($B556, Vectors[Code], 0))</f>
        <v>Liquid hydrocarbons</v>
      </c>
      <c r="D556" s="121"/>
      <c r="E556" s="121"/>
      <c r="F556" s="27">
        <f t="shared" ref="F556:O556" ca="1" si="161">F437+F507+F542</f>
        <v>-12.787029496861225</v>
      </c>
      <c r="G556" s="27">
        <f t="shared" ca="1" si="161"/>
        <v>-11.879984052432567</v>
      </c>
      <c r="H556" s="27">
        <f t="shared" ca="1" si="161"/>
        <v>-9.7954593965573977</v>
      </c>
      <c r="I556" s="27">
        <f t="shared" ca="1" si="161"/>
        <v>-8.0478931346047808</v>
      </c>
      <c r="J556" s="27">
        <f t="shared" ca="1" si="161"/>
        <v>-6.5734262100969314</v>
      </c>
      <c r="K556" s="27">
        <f t="shared" ca="1" si="161"/>
        <v>-5.3365883323068397</v>
      </c>
      <c r="L556" s="27">
        <f t="shared" ca="1" si="161"/>
        <v>-4.2317392407814118</v>
      </c>
      <c r="M556" s="27">
        <f t="shared" ca="1" si="161"/>
        <v>-3.362247503912724</v>
      </c>
      <c r="N556" s="27">
        <f t="shared" ca="1" si="161"/>
        <v>-2.6769031785247552</v>
      </c>
      <c r="O556" s="27">
        <f t="shared" ca="1" si="161"/>
        <v>-2.1357834200855184</v>
      </c>
      <c r="P556" s="121"/>
      <c r="W556" s="27"/>
      <c r="X556" s="27"/>
      <c r="Y556" s="27"/>
    </row>
    <row r="557" spans="2:25" s="743" customFormat="1" hidden="1" outlineLevel="2">
      <c r="B557" s="20" t="s">
        <v>50</v>
      </c>
      <c r="C557" s="743" t="str">
        <f>INDEX(Vectors[Description], MATCH($B557, Vectors[Code], 0))</f>
        <v>Gaseous hydrocarbons</v>
      </c>
      <c r="D557" s="121"/>
      <c r="E557" s="121"/>
      <c r="F557" s="27">
        <f t="shared" ref="F557:O557" ca="1" si="162">F438+F508+F543</f>
        <v>-324.47780687796825</v>
      </c>
      <c r="G557" s="27">
        <f t="shared" ca="1" si="162"/>
        <v>-349.73767953549213</v>
      </c>
      <c r="H557" s="27">
        <f t="shared" ca="1" si="162"/>
        <v>-373.23109909998311</v>
      </c>
      <c r="I557" s="27">
        <f t="shared" ca="1" si="162"/>
        <v>-398.31992004400138</v>
      </c>
      <c r="J557" s="27">
        <f t="shared" ca="1" si="162"/>
        <v>-424.23052486732001</v>
      </c>
      <c r="K557" s="27">
        <f t="shared" ca="1" si="162"/>
        <v>-450.59329859174721</v>
      </c>
      <c r="L557" s="27">
        <f t="shared" ca="1" si="162"/>
        <v>-466.74910783768712</v>
      </c>
      <c r="M557" s="27">
        <f t="shared" ca="1" si="162"/>
        <v>-484.88408004472456</v>
      </c>
      <c r="N557" s="27">
        <f t="shared" ca="1" si="162"/>
        <v>-505.11642809422614</v>
      </c>
      <c r="O557" s="27">
        <f t="shared" ca="1" si="162"/>
        <v>-527.59633236235175</v>
      </c>
      <c r="P557" s="121"/>
      <c r="W557" s="27"/>
      <c r="X557" s="27"/>
      <c r="Y557" s="27"/>
    </row>
    <row r="558" spans="2:25" s="743" customFormat="1" hidden="1" outlineLevel="2">
      <c r="B558" s="20" t="s">
        <v>753</v>
      </c>
      <c r="C558" s="743" t="str">
        <f>INDEX(Vectors[Description], MATCH($B558, Vectors[Code], 0))</f>
        <v>Heat transport</v>
      </c>
      <c r="D558" s="121"/>
      <c r="E558" s="121"/>
      <c r="F558" s="27">
        <f t="shared" ref="F558:O558" ca="1" si="163">F439+F509+F544</f>
        <v>0</v>
      </c>
      <c r="G558" s="27">
        <f t="shared" ca="1" si="163"/>
        <v>0</v>
      </c>
      <c r="H558" s="27">
        <f t="shared" ca="1" si="163"/>
        <v>0</v>
      </c>
      <c r="I558" s="27">
        <f t="shared" ca="1" si="163"/>
        <v>0</v>
      </c>
      <c r="J558" s="27">
        <f t="shared" ca="1" si="163"/>
        <v>0</v>
      </c>
      <c r="K558" s="27">
        <f t="shared" ca="1" si="163"/>
        <v>0</v>
      </c>
      <c r="L558" s="27">
        <f t="shared" ca="1" si="163"/>
        <v>0</v>
      </c>
      <c r="M558" s="27">
        <f t="shared" ca="1" si="163"/>
        <v>0</v>
      </c>
      <c r="N558" s="27">
        <f t="shared" ca="1" si="163"/>
        <v>0</v>
      </c>
      <c r="O558" s="27">
        <f t="shared" ca="1" si="163"/>
        <v>0</v>
      </c>
      <c r="P558" s="121"/>
      <c r="W558" s="27"/>
      <c r="X558" s="27"/>
      <c r="Y558" s="27"/>
    </row>
    <row r="559" spans="2:25" s="743" customFormat="1" hidden="1" outlineLevel="2">
      <c r="B559" s="20" t="s">
        <v>104</v>
      </c>
      <c r="C559" s="743" t="str">
        <f>INDEX(Vectors[Description], MATCH($B559, Vectors[Code], 0))</f>
        <v>Environmental heat</v>
      </c>
      <c r="D559" s="121"/>
      <c r="E559" s="121"/>
      <c r="F559" s="27">
        <f t="shared" ref="F559:O559" ca="1" si="164">F440+F510+F545</f>
        <v>0</v>
      </c>
      <c r="G559" s="27">
        <f t="shared" ca="1" si="164"/>
        <v>0</v>
      </c>
      <c r="H559" s="27">
        <f t="shared" ca="1" si="164"/>
        <v>0</v>
      </c>
      <c r="I559" s="27">
        <f t="shared" ca="1" si="164"/>
        <v>0</v>
      </c>
      <c r="J559" s="27">
        <f t="shared" ca="1" si="164"/>
        <v>0</v>
      </c>
      <c r="K559" s="27">
        <f t="shared" ca="1" si="164"/>
        <v>0</v>
      </c>
      <c r="L559" s="27">
        <f t="shared" ca="1" si="164"/>
        <v>0</v>
      </c>
      <c r="M559" s="27">
        <f t="shared" ca="1" si="164"/>
        <v>0</v>
      </c>
      <c r="N559" s="27">
        <f t="shared" ca="1" si="164"/>
        <v>0</v>
      </c>
      <c r="O559" s="27">
        <f t="shared" ca="1" si="164"/>
        <v>0</v>
      </c>
      <c r="P559" s="121"/>
      <c r="W559" s="27"/>
      <c r="X559" s="27"/>
      <c r="Y559" s="27"/>
    </row>
    <row r="560" spans="2:25" s="743" customFormat="1" hidden="1" outlineLevel="2">
      <c r="B560" s="20" t="s">
        <v>6</v>
      </c>
      <c r="C560" s="743" t="str">
        <f>INDEX(Vectors[Description], MATCH($B560, Vectors[Code], 0))</f>
        <v>Heating and cooling</v>
      </c>
      <c r="D560" s="121"/>
      <c r="E560" s="121"/>
      <c r="F560" s="27">
        <f t="shared" ref="F560:O560" ca="1" si="165">F441+F511+F546</f>
        <v>310.08546529888463</v>
      </c>
      <c r="G560" s="27">
        <f t="shared" ca="1" si="165"/>
        <v>337.08266304074306</v>
      </c>
      <c r="H560" s="27">
        <f t="shared" ca="1" si="165"/>
        <v>364.1527404824526</v>
      </c>
      <c r="I560" s="27">
        <f t="shared" ca="1" si="165"/>
        <v>392.48501284271771</v>
      </c>
      <c r="J560" s="27">
        <f t="shared" ca="1" si="165"/>
        <v>421.40048135982886</v>
      </c>
      <c r="K560" s="27">
        <f t="shared" ca="1" si="165"/>
        <v>450.59701506408226</v>
      </c>
      <c r="L560" s="27">
        <f t="shared" ca="1" si="165"/>
        <v>469.50073365491687</v>
      </c>
      <c r="M560" s="27">
        <f t="shared" ca="1" si="165"/>
        <v>490.32267548351922</v>
      </c>
      <c r="N560" s="27">
        <f t="shared" ca="1" si="165"/>
        <v>513.29777786172747</v>
      </c>
      <c r="O560" s="27">
        <f t="shared" ca="1" si="165"/>
        <v>538.74074761505938</v>
      </c>
      <c r="P560" s="121"/>
      <c r="W560" s="27"/>
      <c r="X560" s="27"/>
      <c r="Y560" s="27"/>
    </row>
    <row r="561" spans="1:25" s="743" customFormat="1" hidden="1" outlineLevel="2">
      <c r="B561" s="20" t="s">
        <v>34</v>
      </c>
      <c r="C561" s="743" t="str">
        <f>INDEX(Vectors[Description], MATCH($B561, Vectors[Code], 0))</f>
        <v>Conversion losses</v>
      </c>
      <c r="D561" s="121"/>
      <c r="E561" s="121"/>
      <c r="F561" s="27">
        <f t="shared" ref="F561:O561" ca="1" si="166">F442+F512+F547</f>
        <v>72.444720608080829</v>
      </c>
      <c r="G561" s="27">
        <f t="shared" ca="1" si="166"/>
        <v>71.650766312014142</v>
      </c>
      <c r="H561" s="27">
        <f t="shared" ca="1" si="166"/>
        <v>66.715966332058059</v>
      </c>
      <c r="I561" s="27">
        <f t="shared" ca="1" si="166"/>
        <v>63.064239942650545</v>
      </c>
      <c r="J561" s="27">
        <f t="shared" ca="1" si="166"/>
        <v>60.410010294713508</v>
      </c>
      <c r="K561" s="27">
        <f t="shared" ca="1" si="166"/>
        <v>58.600062656423276</v>
      </c>
      <c r="L561" s="27">
        <f t="shared" ca="1" si="166"/>
        <v>56.317832839109997</v>
      </c>
      <c r="M561" s="27">
        <f t="shared" ca="1" si="166"/>
        <v>55.009632347717528</v>
      </c>
      <c r="N561" s="27">
        <f t="shared" ca="1" si="166"/>
        <v>54.512924396241061</v>
      </c>
      <c r="O561" s="27">
        <f t="shared" ca="1" si="166"/>
        <v>54.70621869610558</v>
      </c>
      <c r="P561" s="121"/>
      <c r="W561" s="27"/>
      <c r="X561" s="27"/>
      <c r="Y561" s="27"/>
    </row>
    <row r="562" spans="1:25" s="743" customFormat="1" hidden="1" outlineLevel="2">
      <c r="B562" s="121"/>
      <c r="C562" s="121"/>
      <c r="D562" s="121"/>
      <c r="E562" s="862" t="str">
        <f>Preferences.EnergyUnits</f>
        <v>TWh</v>
      </c>
      <c r="F562" s="1579">
        <f t="shared" ref="F562:O562" ca="1" si="167">SUM(F553:F561)</f>
        <v>0</v>
      </c>
      <c r="G562" s="1579">
        <f t="shared" ca="1" si="167"/>
        <v>0</v>
      </c>
      <c r="H562" s="1579">
        <f t="shared" ca="1" si="167"/>
        <v>0</v>
      </c>
      <c r="I562" s="1579">
        <f t="shared" ca="1" si="167"/>
        <v>-5.6843418860808015E-14</v>
      </c>
      <c r="J562" s="1579">
        <f t="shared" ca="1" si="167"/>
        <v>0</v>
      </c>
      <c r="K562" s="1579">
        <f t="shared" ca="1" si="167"/>
        <v>0</v>
      </c>
      <c r="L562" s="1579">
        <f t="shared" ca="1" si="167"/>
        <v>0</v>
      </c>
      <c r="M562" s="1579">
        <f t="shared" ca="1" si="167"/>
        <v>7.1054273576010019E-14</v>
      </c>
      <c r="N562" s="1579">
        <f t="shared" ca="1" si="167"/>
        <v>0</v>
      </c>
      <c r="O562" s="1579">
        <f t="shared" ca="1" si="167"/>
        <v>0</v>
      </c>
      <c r="P562" s="121"/>
      <c r="W562" s="27"/>
      <c r="X562" s="27"/>
      <c r="Y562" s="27"/>
    </row>
    <row r="563" spans="1:25" s="743" customFormat="1" hidden="1" outlineLevel="2">
      <c r="B563" s="121"/>
      <c r="C563" s="121"/>
      <c r="D563" s="121"/>
      <c r="E563" s="121"/>
      <c r="F563" s="27"/>
      <c r="G563" s="121"/>
      <c r="H563" s="121"/>
      <c r="I563" s="121"/>
      <c r="J563" s="121"/>
      <c r="K563" s="121"/>
      <c r="L563" s="121"/>
      <c r="M563" s="121"/>
      <c r="N563" s="121"/>
      <c r="O563" s="121"/>
      <c r="P563" s="121"/>
      <c r="W563" s="27"/>
      <c r="X563" s="27"/>
      <c r="Y563" s="27"/>
    </row>
    <row r="564" spans="1:25" s="743" customFormat="1" hidden="1" outlineLevel="1">
      <c r="B564" s="862">
        <v>6</v>
      </c>
      <c r="C564" s="1288" t="s">
        <v>1175</v>
      </c>
      <c r="D564" s="121"/>
      <c r="E564" s="121"/>
      <c r="F564" s="861">
        <v>2007</v>
      </c>
      <c r="G564" s="861">
        <v>2010</v>
      </c>
      <c r="H564" s="861">
        <v>2015</v>
      </c>
      <c r="I564" s="861">
        <v>2020</v>
      </c>
      <c r="J564" s="861">
        <v>2025</v>
      </c>
      <c r="K564" s="861">
        <v>2030</v>
      </c>
      <c r="L564" s="861">
        <v>2035</v>
      </c>
      <c r="M564" s="861">
        <v>2040</v>
      </c>
      <c r="N564" s="861">
        <v>2045</v>
      </c>
      <c r="O564" s="861">
        <v>2050</v>
      </c>
      <c r="P564" s="121"/>
      <c r="W564" s="27"/>
      <c r="X564" s="27"/>
      <c r="Y564" s="27"/>
    </row>
    <row r="565" spans="1:25" s="743" customFormat="1" hidden="1" outlineLevel="2">
      <c r="B565" s="121"/>
      <c r="C565" s="121" t="s">
        <v>1055</v>
      </c>
      <c r="D565" s="121"/>
      <c r="E565" s="121" t="s">
        <v>1075</v>
      </c>
      <c r="F565" s="840">
        <f t="array" aca="1" ref="F565" ca="1">-SUM(F$553:F$561*SUMIFS(EF[CO2], EF[Vector], $B$553:$B$561))</f>
        <v>67.291769164453711</v>
      </c>
      <c r="G565" s="840">
        <f t="array" aca="1" ref="G565" ca="1">-SUM(G$553:G$561*SUMIFS(EF[CO2], EF[Vector], $B$553:$B$561))</f>
        <v>71.401342881552196</v>
      </c>
      <c r="H565" s="840">
        <f t="array" aca="1" ref="H565" ca="1">-SUM(H$553:H$561*SUMIFS(EF[CO2], EF[Vector], $B$553:$B$561))</f>
        <v>74.487170358611493</v>
      </c>
      <c r="I565" s="840">
        <f t="array" aca="1" ref="I565" ca="1">-SUM(I$553:I$561*SUMIFS(EF[CO2], EF[Vector], $B$553:$B$561))</f>
        <v>78.066503575074478</v>
      </c>
      <c r="J565" s="840">
        <f t="array" aca="1" ref="J565" ca="1">-SUM(J$553:J$561*SUMIFS(EF[CO2], EF[Vector], $B$553:$B$561))</f>
        <v>81.959102799983015</v>
      </c>
      <c r="K565" s="840">
        <f t="array" aca="1" ref="K565" ca="1">-SUM(K$553:K$561*SUMIFS(EF[CO2], EF[Vector], $B$553:$B$561))</f>
        <v>86.075910725291507</v>
      </c>
      <c r="L565" s="840">
        <f t="array" aca="1" ref="L565" ca="1">-SUM(L$553:L$561*SUMIFS(EF[CO2], EF[Vector], $B$553:$B$561))</f>
        <v>88.392959635750302</v>
      </c>
      <c r="M565" s="840">
        <f t="array" aca="1" ref="M565" ca="1">-SUM(M$553:M$561*SUMIFS(EF[CO2], EF[Vector], $B$553:$B$561))</f>
        <v>91.213836126355716</v>
      </c>
      <c r="N565" s="840">
        <f t="array" aca="1" ref="N565" ca="1">-SUM(N$553:N$561*SUMIFS(EF[CO2], EF[Vector], $B$553:$B$561))</f>
        <v>94.529903269274598</v>
      </c>
      <c r="O565" s="840">
        <f t="array" aca="1" ref="O565" ca="1">-SUM(O$553:O$561*SUMIFS(EF[CO2], EF[Vector], $B$553:$B$561))</f>
        <v>98.345103945998389</v>
      </c>
      <c r="P565" s="121"/>
      <c r="W565" s="27"/>
      <c r="X565" s="27"/>
      <c r="Y565" s="27"/>
    </row>
    <row r="566" spans="1:25" s="743" customFormat="1" hidden="1" outlineLevel="2">
      <c r="B566" s="121"/>
      <c r="C566" s="121" t="s">
        <v>1056</v>
      </c>
      <c r="D566" s="121"/>
      <c r="E566" s="121"/>
      <c r="F566" s="840">
        <f t="array" aca="1" ref="F566" ca="1">-SUM(F$553:F$561*SUMIFS(EF[CH4], EF[Vector], $B$553:$B$561))</f>
        <v>0.13655504882378258</v>
      </c>
      <c r="G566" s="840">
        <f t="array" aca="1" ref="G566" ca="1">-SUM(G$553:G$561*SUMIFS(EF[CH4], EF[Vector], $B$553:$B$561))</f>
        <v>0.14467419365392858</v>
      </c>
      <c r="H566" s="840">
        <f t="array" aca="1" ref="H566" ca="1">-SUM(H$553:H$561*SUMIFS(EF[CH4], EF[Vector], $B$553:$B$561))</f>
        <v>0.15058750508556185</v>
      </c>
      <c r="I566" s="840">
        <f t="array" aca="1" ref="I566" ca="1">-SUM(I$553:I$561*SUMIFS(EF[CH4], EF[Vector], $B$553:$B$561))</f>
        <v>0.15753403987318462</v>
      </c>
      <c r="J566" s="840">
        <f t="array" aca="1" ref="J566" ca="1">-SUM(J$553:J$561*SUMIFS(EF[CH4], EF[Vector], $B$553:$B$561))</f>
        <v>0.16514417169133105</v>
      </c>
      <c r="K566" s="840">
        <f t="array" aca="1" ref="K566" ca="1">-SUM(K$553:K$561*SUMIFS(EF[CH4], EF[Vector], $B$553:$B$561))</f>
        <v>0.17323475492537049</v>
      </c>
      <c r="L566" s="840">
        <f t="array" aca="1" ref="L566" ca="1">-SUM(L$553:L$561*SUMIFS(EF[CH4], EF[Vector], $B$553:$B$561))</f>
        <v>0.1777349812978771</v>
      </c>
      <c r="M566" s="840">
        <f t="array" aca="1" ref="M566" ca="1">-SUM(M$553:M$561*SUMIFS(EF[CH4], EF[Vector], $B$553:$B$561))</f>
        <v>0.18327585450958264</v>
      </c>
      <c r="N566" s="840">
        <f t="array" aca="1" ref="N566" ca="1">-SUM(N$553:N$561*SUMIFS(EF[CH4], EF[Vector], $B$553:$B$561))</f>
        <v>0.18983337525230914</v>
      </c>
      <c r="O566" s="840">
        <f t="array" aca="1" ref="O566" ca="1">-SUM(O$553:O$561*SUMIFS(EF[CH4], EF[Vector], $B$553:$B$561))</f>
        <v>0.19741023407249442</v>
      </c>
      <c r="P566" s="121"/>
      <c r="W566" s="27"/>
      <c r="X566" s="27"/>
      <c r="Y566" s="27"/>
    </row>
    <row r="567" spans="1:25" s="743" customFormat="1" hidden="1" outlineLevel="2">
      <c r="B567" s="121"/>
      <c r="C567" s="121" t="s">
        <v>1057</v>
      </c>
      <c r="D567" s="121"/>
      <c r="E567" s="121"/>
      <c r="F567" s="840">
        <f t="array" aca="1" ref="F567" ca="1">-SUM(F$553:F$561*SUMIFS(EF[N2O], EF[Vector], $B$553:$B$561))</f>
        <v>0.22513176941521534</v>
      </c>
      <c r="G567" s="840">
        <f t="array" aca="1" ref="G567" ca="1">-SUM(G$553:G$561*SUMIFS(EF[N2O], EF[Vector], $B$553:$B$561))</f>
        <v>0.22831293410791412</v>
      </c>
      <c r="H567" s="840">
        <f t="array" aca="1" ref="H567" ca="1">-SUM(H$553:H$561*SUMIFS(EF[N2O], EF[Vector], $B$553:$B$561))</f>
        <v>0.22191511760357396</v>
      </c>
      <c r="I567" s="840">
        <f t="array" aca="1" ref="I567" ca="1">-SUM(I$553:I$561*SUMIFS(EF[N2O], EF[Vector], $B$553:$B$561))</f>
        <v>0.21869086210235725</v>
      </c>
      <c r="J567" s="840">
        <f t="array" aca="1" ref="J567" ca="1">-SUM(J$553:J$561*SUMIFS(EF[N2O], EF[Vector], $B$553:$B$561))</f>
        <v>0.21785178134152855</v>
      </c>
      <c r="K567" s="840">
        <f t="array" aca="1" ref="K567" ca="1">-SUM(K$553:K$561*SUMIFS(EF[N2O], EF[Vector], $B$553:$B$561))</f>
        <v>0.21898380526794403</v>
      </c>
      <c r="L567" s="840">
        <f t="array" aca="1" ref="L567" ca="1">-SUM(L$553:L$561*SUMIFS(EF[N2O], EF[Vector], $B$553:$B$561))</f>
        <v>0.21706203390655926</v>
      </c>
      <c r="M567" s="840">
        <f t="array" aca="1" ref="M567" ca="1">-SUM(M$553:M$561*SUMIFS(EF[N2O], EF[Vector], $B$553:$B$561))</f>
        <v>0.21769998125795353</v>
      </c>
      <c r="N567" s="840">
        <f t="array" aca="1" ref="N567" ca="1">-SUM(N$553:N$561*SUMIFS(EF[N2O], EF[Vector], $B$553:$B$561))</f>
        <v>0.22055841580978625</v>
      </c>
      <c r="O567" s="840">
        <f t="array" aca="1" ref="O567" ca="1">-SUM(O$553:O$561*SUMIFS(EF[N2O], EF[Vector], $B$553:$B$561))</f>
        <v>0.22539589246766653</v>
      </c>
      <c r="P567" s="121"/>
      <c r="W567" s="27"/>
      <c r="X567" s="27"/>
      <c r="Y567" s="27"/>
    </row>
    <row r="568" spans="1:25" s="743" customFormat="1" hidden="1" outlineLevel="2">
      <c r="B568" s="121"/>
      <c r="C568" s="121"/>
      <c r="D568" s="121"/>
      <c r="E568" s="121"/>
      <c r="F568" s="840"/>
      <c r="G568" s="840"/>
      <c r="H568" s="840"/>
      <c r="I568" s="840"/>
      <c r="J568" s="840"/>
      <c r="K568" s="840"/>
      <c r="L568" s="840"/>
      <c r="M568" s="840"/>
      <c r="N568" s="840"/>
      <c r="O568" s="840"/>
      <c r="P568" s="121"/>
      <c r="W568" s="27"/>
      <c r="X568" s="27"/>
      <c r="Y568" s="27"/>
    </row>
    <row r="569" spans="1:25" s="743" customFormat="1" hidden="1" outlineLevel="1">
      <c r="B569" s="121"/>
      <c r="C569" s="121"/>
      <c r="D569" s="121"/>
      <c r="E569" s="121"/>
      <c r="F569" s="27"/>
      <c r="G569" s="121"/>
      <c r="H569" s="121"/>
      <c r="I569" s="121"/>
      <c r="J569" s="121"/>
      <c r="K569" s="121"/>
      <c r="L569" s="121"/>
      <c r="M569" s="121"/>
      <c r="N569" s="121"/>
      <c r="O569" s="121"/>
      <c r="P569" s="121"/>
      <c r="W569" s="27"/>
      <c r="X569" s="27"/>
      <c r="Y569" s="27"/>
    </row>
    <row r="570" spans="1:25" s="743" customFormat="1">
      <c r="F570" s="27"/>
      <c r="W570" s="27"/>
      <c r="X570" s="27"/>
      <c r="Y570" s="27"/>
    </row>
    <row r="571" spans="1:25" ht="22.5" collapsed="1">
      <c r="A571" s="1171"/>
      <c r="B571" s="1231" t="s">
        <v>683</v>
      </c>
      <c r="C571" s="1286"/>
      <c r="D571" s="1183"/>
      <c r="E571" s="1183"/>
      <c r="F571" s="1183"/>
      <c r="G571" s="1183"/>
      <c r="H571" s="1183"/>
      <c r="I571" s="1183"/>
      <c r="J571" s="1183"/>
      <c r="K571" s="1183"/>
      <c r="L571" s="1183"/>
      <c r="M571" s="1183"/>
      <c r="N571" s="1183"/>
      <c r="O571" s="1183"/>
      <c r="P571" s="1185"/>
      <c r="W571" s="27"/>
      <c r="X571" s="27"/>
      <c r="Y571" s="27"/>
    </row>
    <row r="572" spans="1:25" hidden="1" outlineLevel="1">
      <c r="B572" s="1287"/>
      <c r="C572" s="1580"/>
      <c r="D572" s="1580"/>
      <c r="E572" s="1580"/>
      <c r="F572" s="1580"/>
      <c r="G572" s="1580"/>
      <c r="H572" s="1580"/>
      <c r="I572" s="1580"/>
      <c r="J572" s="1580"/>
      <c r="K572" s="1580"/>
      <c r="L572" s="1580"/>
      <c r="M572" s="1580"/>
      <c r="N572" s="1580"/>
      <c r="O572" s="1580"/>
      <c r="P572" s="1581"/>
      <c r="W572" s="27"/>
      <c r="X572" s="27"/>
      <c r="Y572" s="27"/>
    </row>
    <row r="573" spans="1:25" hidden="1" outlineLevel="1">
      <c r="B573" s="1172"/>
      <c r="C573" s="1186" t="s">
        <v>730</v>
      </c>
      <c r="D573" s="1174"/>
      <c r="E573" s="1175"/>
      <c r="F573" s="1174"/>
      <c r="G573" s="1175"/>
      <c r="H573" s="1174"/>
      <c r="I573" s="1174"/>
      <c r="J573" s="1174"/>
      <c r="K573" s="1174"/>
      <c r="L573" s="1174"/>
      <c r="M573" s="1174"/>
      <c r="N573" s="1174"/>
      <c r="O573" s="1175" t="str">
        <f>Preferences.EnergyUnits</f>
        <v>TWh</v>
      </c>
      <c r="P573" s="1176"/>
      <c r="W573" s="27"/>
      <c r="X573" s="27"/>
      <c r="Y573" s="27"/>
    </row>
    <row r="574" spans="1:25" ht="6" hidden="1" customHeight="1" outlineLevel="1">
      <c r="B574" s="1172"/>
      <c r="C574" s="1174"/>
      <c r="D574" s="1174"/>
      <c r="E574" s="1174"/>
      <c r="F574" s="1174"/>
      <c r="G574" s="1174"/>
      <c r="H574" s="1174"/>
      <c r="I574" s="1174"/>
      <c r="J574" s="1174"/>
      <c r="K574" s="1174"/>
      <c r="L574" s="1174"/>
      <c r="M574" s="1174"/>
      <c r="N574" s="1174"/>
      <c r="O574" s="1174"/>
      <c r="P574" s="1176"/>
      <c r="W574" s="27"/>
      <c r="X574" s="27"/>
      <c r="Y574" s="27"/>
    </row>
    <row r="575" spans="1:25" ht="15.75" hidden="1" outlineLevel="1">
      <c r="A575" s="3"/>
      <c r="B575" s="1177"/>
      <c r="C575" s="1188" t="s">
        <v>78</v>
      </c>
      <c r="D575" s="1188" t="s">
        <v>418</v>
      </c>
      <c r="E575" s="1188" t="s">
        <v>442</v>
      </c>
      <c r="F575" s="1188" t="s">
        <v>691</v>
      </c>
      <c r="G575" s="1188" t="s">
        <v>692</v>
      </c>
      <c r="H575" s="1189" t="s">
        <v>721</v>
      </c>
      <c r="I575" s="1189" t="s">
        <v>722</v>
      </c>
      <c r="J575" s="1189" t="s">
        <v>723</v>
      </c>
      <c r="K575" s="1189" t="s">
        <v>724</v>
      </c>
      <c r="L575" s="1189" t="s">
        <v>725</v>
      </c>
      <c r="M575" s="1189" t="s">
        <v>726</v>
      </c>
      <c r="N575" s="1189" t="s">
        <v>727</v>
      </c>
      <c r="O575" s="1189" t="s">
        <v>728</v>
      </c>
      <c r="P575" s="1176"/>
    </row>
    <row r="576" spans="1:25" ht="15.75" hidden="1" outlineLevel="1">
      <c r="A576" s="3"/>
      <c r="B576" s="1177"/>
      <c r="C576" s="765" t="s">
        <v>45</v>
      </c>
      <c r="D576" s="765" t="str">
        <f>INDEX(Vectors[Description], MATCH([Vector], Vectors[Code], 0))</f>
        <v>Electricity (delivered to end user)</v>
      </c>
      <c r="E576" s="765"/>
      <c r="F576" s="953">
        <f ca="1">INDEX(F$553:F$561, MATCH([Vector], $B$553:$B$561, 0))</f>
        <v>-31.008546529888466</v>
      </c>
      <c r="G576" s="953">
        <f ca="1">INDEX(G$553:G$561, MATCH([Vector], $B$553:$B$561, 0))</f>
        <v>-33.870266304074299</v>
      </c>
      <c r="H576" s="953">
        <f ca="1">INDEX(H$553:H$561, MATCH([Vector], $B$553:$B$561, 0))</f>
        <v>-36.920774048245264</v>
      </c>
      <c r="I576" s="953">
        <f ca="1">INDEX(I$553:I$561, MATCH([Vector], $B$553:$B$561, 0))</f>
        <v>-40.208501284271783</v>
      </c>
      <c r="J576" s="953">
        <f ca="1">INDEX(J$553:J$561, MATCH([Vector], $B$553:$B$561, 0))</f>
        <v>-43.677548135982896</v>
      </c>
      <c r="K576" s="953">
        <f ca="1">INDEX(K$553:K$561, MATCH([Vector], $B$553:$B$561, 0))</f>
        <v>-47.317201506408232</v>
      </c>
      <c r="L576" s="953">
        <f ca="1">INDEX(L$553:L$561, MATCH([Vector], $B$553:$B$561, 0))</f>
        <v>-50.119573365491696</v>
      </c>
      <c r="M576" s="953">
        <f ca="1">INDEX(M$553:M$561, MATCH([Vector], $B$553:$B$561, 0))</f>
        <v>-53.337267548351917</v>
      </c>
      <c r="N576" s="953">
        <f ca="1">INDEX(N$553:N$561, MATCH([Vector], $B$553:$B$561, 0))</f>
        <v>-57.032777786172744</v>
      </c>
      <c r="O576" s="953">
        <f ca="1">INDEX(O$553:O$561, MATCH([Vector], $B$553:$B$561, 0))</f>
        <v>-61.333574761505936</v>
      </c>
      <c r="P576" s="1176"/>
    </row>
    <row r="577" spans="1:17" ht="15.75" hidden="1" outlineLevel="1">
      <c r="A577" s="3"/>
      <c r="B577" s="1177"/>
      <c r="C577" s="765" t="s">
        <v>46</v>
      </c>
      <c r="D577" s="765" t="str">
        <f>INDEX(Vectors[Description], MATCH([Vector], Vectors[Code], 0))</f>
        <v>Electricity (supplied to grid)</v>
      </c>
      <c r="E577" s="765"/>
      <c r="F577" s="953">
        <f ca="1">INDEX(F$553:F$561, MATCH([Vector], $B$553:$B$561, 0))</f>
        <v>0</v>
      </c>
      <c r="G577" s="953">
        <f ca="1">INDEX(G$553:G$561, MATCH([Vector], $B$553:$B$561, 0))</f>
        <v>0</v>
      </c>
      <c r="H577" s="953">
        <f ca="1">INDEX(H$553:H$561, MATCH([Vector], $B$553:$B$561, 0))</f>
        <v>0</v>
      </c>
      <c r="I577" s="953">
        <f ca="1">INDEX(I$553:I$561, MATCH([Vector], $B$553:$B$561, 0))</f>
        <v>0</v>
      </c>
      <c r="J577" s="953">
        <f ca="1">INDEX(J$553:J$561, MATCH([Vector], $B$553:$B$561, 0))</f>
        <v>0</v>
      </c>
      <c r="K577" s="953">
        <f ca="1">INDEX(K$553:K$561, MATCH([Vector], $B$553:$B$561, 0))</f>
        <v>0</v>
      </c>
      <c r="L577" s="953">
        <f ca="1">INDEX(L$553:L$561, MATCH([Vector], $B$553:$B$561, 0))</f>
        <v>0</v>
      </c>
      <c r="M577" s="953">
        <f ca="1">INDEX(M$553:M$561, MATCH([Vector], $B$553:$B$561, 0))</f>
        <v>0</v>
      </c>
      <c r="N577" s="953">
        <f ca="1">INDEX(N$553:N$561, MATCH([Vector], $B$553:$B$561, 0))</f>
        <v>0</v>
      </c>
      <c r="O577" s="953">
        <f ca="1">INDEX(O$553:O$561, MATCH([Vector], $B$553:$B$561, 0))</f>
        <v>0</v>
      </c>
      <c r="P577" s="1176"/>
    </row>
    <row r="578" spans="1:17" ht="15.75" hidden="1" outlineLevel="1">
      <c r="A578" s="3"/>
      <c r="B578" s="1177"/>
      <c r="C578" s="765" t="s">
        <v>47</v>
      </c>
      <c r="D578" s="765" t="str">
        <f>INDEX(Vectors[Description], MATCH([Vector], Vectors[Code], 0))</f>
        <v>Solid hydrocarbons</v>
      </c>
      <c r="E578" s="765"/>
      <c r="F578" s="953">
        <f ca="1">INDEX(F$553:F$561, MATCH([Vector], $B$553:$B$561, 0))</f>
        <v>-14.256803002247571</v>
      </c>
      <c r="G578" s="953">
        <f ca="1">INDEX(G$553:G$561, MATCH([Vector], $B$553:$B$561, 0))</f>
        <v>-13.24549946075815</v>
      </c>
      <c r="H578" s="953">
        <f ca="1">INDEX(H$553:H$561, MATCH([Vector], $B$553:$B$561, 0))</f>
        <v>-10.921374269724915</v>
      </c>
      <c r="I578" s="953">
        <f ca="1">INDEX(I$553:I$561, MATCH([Vector], $B$553:$B$561, 0))</f>
        <v>-8.9729383224903891</v>
      </c>
      <c r="J578" s="953">
        <f ca="1">INDEX(J$553:J$561, MATCH([Vector], $B$553:$B$561, 0))</f>
        <v>-7.3289924411425558</v>
      </c>
      <c r="K578" s="953">
        <f ca="1">INDEX(K$553:K$561, MATCH([Vector], $B$553:$B$561, 0))</f>
        <v>-5.9499892900432574</v>
      </c>
      <c r="L578" s="953">
        <f ca="1">INDEX(L$553:L$561, MATCH([Vector], $B$553:$B$561, 0))</f>
        <v>-4.7181460500666326</v>
      </c>
      <c r="M578" s="953">
        <f ca="1">INDEX(M$553:M$561, MATCH([Vector], $B$553:$B$561, 0))</f>
        <v>-3.7487127342475199</v>
      </c>
      <c r="N578" s="953">
        <f ca="1">INDEX(N$553:N$561, MATCH([Vector], $B$553:$B$561, 0))</f>
        <v>-2.9845931990448413</v>
      </c>
      <c r="O578" s="953">
        <f ca="1">INDEX(O$553:O$561, MATCH([Vector], $B$553:$B$561, 0))</f>
        <v>-2.3812757672217852</v>
      </c>
      <c r="P578" s="1176"/>
    </row>
    <row r="579" spans="1:17" ht="15.75" hidden="1" outlineLevel="1">
      <c r="A579" s="3"/>
      <c r="B579" s="1177"/>
      <c r="C579" s="765" t="s">
        <v>49</v>
      </c>
      <c r="D579" s="765" t="str">
        <f>INDEX(Vectors[Description], MATCH([Vector], Vectors[Code], 0))</f>
        <v>Liquid hydrocarbons</v>
      </c>
      <c r="E579" s="765"/>
      <c r="F579" s="953">
        <f ca="1">INDEX(F$553:F$561, MATCH([Vector], $B$553:$B$561, 0))</f>
        <v>-12.787029496861225</v>
      </c>
      <c r="G579" s="953">
        <f ca="1">INDEX(G$553:G$561, MATCH([Vector], $B$553:$B$561, 0))</f>
        <v>-11.879984052432567</v>
      </c>
      <c r="H579" s="953">
        <f ca="1">INDEX(H$553:H$561, MATCH([Vector], $B$553:$B$561, 0))</f>
        <v>-9.7954593965573977</v>
      </c>
      <c r="I579" s="953">
        <f ca="1">INDEX(I$553:I$561, MATCH([Vector], $B$553:$B$561, 0))</f>
        <v>-8.0478931346047808</v>
      </c>
      <c r="J579" s="953">
        <f ca="1">INDEX(J$553:J$561, MATCH([Vector], $B$553:$B$561, 0))</f>
        <v>-6.5734262100969314</v>
      </c>
      <c r="K579" s="953">
        <f ca="1">INDEX(K$553:K$561, MATCH([Vector], $B$553:$B$561, 0))</f>
        <v>-5.3365883323068397</v>
      </c>
      <c r="L579" s="953">
        <f ca="1">INDEX(L$553:L$561, MATCH([Vector], $B$553:$B$561, 0))</f>
        <v>-4.2317392407814118</v>
      </c>
      <c r="M579" s="953">
        <f ca="1">INDEX(M$553:M$561, MATCH([Vector], $B$553:$B$561, 0))</f>
        <v>-3.362247503912724</v>
      </c>
      <c r="N579" s="953">
        <f ca="1">INDEX(N$553:N$561, MATCH([Vector], $B$553:$B$561, 0))</f>
        <v>-2.6769031785247552</v>
      </c>
      <c r="O579" s="953">
        <f ca="1">INDEX(O$553:O$561, MATCH([Vector], $B$553:$B$561, 0))</f>
        <v>-2.1357834200855184</v>
      </c>
      <c r="P579" s="1176"/>
    </row>
    <row r="580" spans="1:17" ht="15.75" hidden="1" outlineLevel="1">
      <c r="A580" s="3"/>
      <c r="B580" s="1177"/>
      <c r="C580" s="765" t="s">
        <v>50</v>
      </c>
      <c r="D580" s="765" t="str">
        <f>INDEX(Vectors[Description], MATCH([Vector], Vectors[Code], 0))</f>
        <v>Gaseous hydrocarbons</v>
      </c>
      <c r="E580" s="765"/>
      <c r="F580" s="953">
        <f ca="1">INDEX(F$553:F$561, MATCH([Vector], $B$553:$B$561, 0))</f>
        <v>-324.47780687796825</v>
      </c>
      <c r="G580" s="953">
        <f ca="1">INDEX(G$553:G$561, MATCH([Vector], $B$553:$B$561, 0))</f>
        <v>-349.73767953549213</v>
      </c>
      <c r="H580" s="953">
        <f ca="1">INDEX(H$553:H$561, MATCH([Vector], $B$553:$B$561, 0))</f>
        <v>-373.23109909998311</v>
      </c>
      <c r="I580" s="953">
        <f ca="1">INDEX(I$553:I$561, MATCH([Vector], $B$553:$B$561, 0))</f>
        <v>-398.31992004400138</v>
      </c>
      <c r="J580" s="953">
        <f ca="1">INDEX(J$553:J$561, MATCH([Vector], $B$553:$B$561, 0))</f>
        <v>-424.23052486732001</v>
      </c>
      <c r="K580" s="953">
        <f ca="1">INDEX(K$553:K$561, MATCH([Vector], $B$553:$B$561, 0))</f>
        <v>-450.59329859174721</v>
      </c>
      <c r="L580" s="953">
        <f ca="1">INDEX(L$553:L$561, MATCH([Vector], $B$553:$B$561, 0))</f>
        <v>-466.74910783768712</v>
      </c>
      <c r="M580" s="953">
        <f ca="1">INDEX(M$553:M$561, MATCH([Vector], $B$553:$B$561, 0))</f>
        <v>-484.88408004472456</v>
      </c>
      <c r="N580" s="953">
        <f ca="1">INDEX(N$553:N$561, MATCH([Vector], $B$553:$B$561, 0))</f>
        <v>-505.11642809422614</v>
      </c>
      <c r="O580" s="953">
        <f ca="1">INDEX(O$553:O$561, MATCH([Vector], $B$553:$B$561, 0))</f>
        <v>-527.59633236235175</v>
      </c>
      <c r="P580" s="1176"/>
    </row>
    <row r="581" spans="1:17" ht="15.75" hidden="1" outlineLevel="1">
      <c r="A581" s="3"/>
      <c r="B581" s="1177"/>
      <c r="C581" s="765" t="s">
        <v>753</v>
      </c>
      <c r="D581" s="765" t="str">
        <f>INDEX(Vectors[Description], MATCH([Vector], Vectors[Code], 0))</f>
        <v>Heat transport</v>
      </c>
      <c r="E581" s="765"/>
      <c r="F581" s="953">
        <f ca="1">INDEX(F$553:F$561, MATCH([Vector], $B$553:$B$561, 0))</f>
        <v>0</v>
      </c>
      <c r="G581" s="953">
        <f ca="1">INDEX(G$553:G$561, MATCH([Vector], $B$553:$B$561, 0))</f>
        <v>0</v>
      </c>
      <c r="H581" s="953">
        <f ca="1">INDEX(H$553:H$561, MATCH([Vector], $B$553:$B$561, 0))</f>
        <v>0</v>
      </c>
      <c r="I581" s="953">
        <f ca="1">INDEX(I$553:I$561, MATCH([Vector], $B$553:$B$561, 0))</f>
        <v>0</v>
      </c>
      <c r="J581" s="953">
        <f ca="1">INDEX(J$553:J$561, MATCH([Vector], $B$553:$B$561, 0))</f>
        <v>0</v>
      </c>
      <c r="K581" s="953">
        <f ca="1">INDEX(K$553:K$561, MATCH([Vector], $B$553:$B$561, 0))</f>
        <v>0</v>
      </c>
      <c r="L581" s="953">
        <f ca="1">INDEX(L$553:L$561, MATCH([Vector], $B$553:$B$561, 0))</f>
        <v>0</v>
      </c>
      <c r="M581" s="953">
        <f ca="1">INDEX(M$553:M$561, MATCH([Vector], $B$553:$B$561, 0))</f>
        <v>0</v>
      </c>
      <c r="N581" s="953">
        <f ca="1">INDEX(N$553:N$561, MATCH([Vector], $B$553:$B$561, 0))</f>
        <v>0</v>
      </c>
      <c r="O581" s="953">
        <f ca="1">INDEX(O$553:O$561, MATCH([Vector], $B$553:$B$561, 0))</f>
        <v>0</v>
      </c>
      <c r="P581" s="1176"/>
    </row>
    <row r="582" spans="1:17" ht="15.75" hidden="1" outlineLevel="1">
      <c r="A582" s="3"/>
      <c r="B582" s="1177"/>
      <c r="C582" s="765" t="s">
        <v>1331</v>
      </c>
      <c r="D582" s="765" t="str">
        <f>INDEX(Vectors[Description], MATCH([Vector], Vectors[Code], 0))</f>
        <v>Domestic solar thermal</v>
      </c>
      <c r="E582" s="765"/>
      <c r="F582" s="953">
        <f ca="1">-F$410</f>
        <v>0</v>
      </c>
      <c r="G582" s="953">
        <f t="shared" ref="G582:O582" ca="1" si="168">-G$410</f>
        <v>0</v>
      </c>
      <c r="H582" s="953">
        <f t="shared" ca="1" si="168"/>
        <v>0</v>
      </c>
      <c r="I582" s="953">
        <f t="shared" ca="1" si="168"/>
        <v>0</v>
      </c>
      <c r="J582" s="953">
        <f t="shared" ca="1" si="168"/>
        <v>0</v>
      </c>
      <c r="K582" s="953">
        <f t="shared" ca="1" si="168"/>
        <v>0</v>
      </c>
      <c r="L582" s="953">
        <f t="shared" ca="1" si="168"/>
        <v>0</v>
      </c>
      <c r="M582" s="953">
        <f t="shared" ca="1" si="168"/>
        <v>0</v>
      </c>
      <c r="N582" s="953">
        <f t="shared" ca="1" si="168"/>
        <v>0</v>
      </c>
      <c r="O582" s="953">
        <f t="shared" ca="1" si="168"/>
        <v>0</v>
      </c>
      <c r="P582" s="1176"/>
    </row>
    <row r="583" spans="1:17" ht="15.75" hidden="1" outlineLevel="1">
      <c r="A583" s="3"/>
      <c r="B583" s="1177"/>
      <c r="C583" s="765" t="s">
        <v>104</v>
      </c>
      <c r="D583" s="765" t="str">
        <f>INDEX(Vectors[Description], MATCH([Vector], Vectors[Code], 0))</f>
        <v>Environmental heat</v>
      </c>
      <c r="E583" s="765"/>
      <c r="F583" s="953">
        <f ca="1">INDEX(F$553:F$561, MATCH([Vector], $B$553:$B$561, 0))</f>
        <v>0</v>
      </c>
      <c r="G583" s="953">
        <f ca="1">INDEX(G$553:G$561, MATCH([Vector], $B$553:$B$561, 0))</f>
        <v>0</v>
      </c>
      <c r="H583" s="953">
        <f ca="1">INDEX(H$553:H$561, MATCH([Vector], $B$553:$B$561, 0))</f>
        <v>0</v>
      </c>
      <c r="I583" s="953">
        <f ca="1">INDEX(I$553:I$561, MATCH([Vector], $B$553:$B$561, 0))</f>
        <v>0</v>
      </c>
      <c r="J583" s="953">
        <f ca="1">INDEX(J$553:J$561, MATCH([Vector], $B$553:$B$561, 0))</f>
        <v>0</v>
      </c>
      <c r="K583" s="953">
        <f ca="1">INDEX(K$553:K$561, MATCH([Vector], $B$553:$B$561, 0))</f>
        <v>0</v>
      </c>
      <c r="L583" s="953">
        <f ca="1">INDEX(L$553:L$561, MATCH([Vector], $B$553:$B$561, 0))</f>
        <v>0</v>
      </c>
      <c r="M583" s="953">
        <f ca="1">INDEX(M$553:M$561, MATCH([Vector], $B$553:$B$561, 0))</f>
        <v>0</v>
      </c>
      <c r="N583" s="953">
        <f ca="1">INDEX(N$553:N$561, MATCH([Vector], $B$553:$B$561, 0))</f>
        <v>0</v>
      </c>
      <c r="O583" s="953">
        <f ca="1">INDEX(O$553:O$561, MATCH([Vector], $B$553:$B$561, 0))</f>
        <v>0</v>
      </c>
      <c r="P583" s="1176"/>
    </row>
    <row r="584" spans="1:17" ht="15.75" hidden="1" outlineLevel="1">
      <c r="A584" s="3"/>
      <c r="B584" s="1177"/>
      <c r="C584" s="765" t="s">
        <v>6</v>
      </c>
      <c r="D584" s="765" t="str">
        <f>INDEX(Vectors[Description], MATCH([Vector], Vectors[Code], 0))</f>
        <v>Heating and cooling</v>
      </c>
      <c r="E584" s="765"/>
      <c r="F584" s="953">
        <f t="shared" ref="F584:O584" ca="1" si="169">F$560+F$561+F$410</f>
        <v>382.53018590696547</v>
      </c>
      <c r="G584" s="953">
        <f t="shared" ca="1" si="169"/>
        <v>408.73342935275718</v>
      </c>
      <c r="H584" s="953">
        <f t="shared" ca="1" si="169"/>
        <v>430.86870681451069</v>
      </c>
      <c r="I584" s="953">
        <f t="shared" ca="1" si="169"/>
        <v>455.54925278536825</v>
      </c>
      <c r="J584" s="953">
        <f t="shared" ca="1" si="169"/>
        <v>481.81049165454237</v>
      </c>
      <c r="K584" s="953">
        <f t="shared" ca="1" si="169"/>
        <v>509.19707772050555</v>
      </c>
      <c r="L584" s="953">
        <f t="shared" ca="1" si="169"/>
        <v>525.81856649402687</v>
      </c>
      <c r="M584" s="953">
        <f t="shared" ca="1" si="169"/>
        <v>545.33230783123679</v>
      </c>
      <c r="N584" s="953">
        <f t="shared" ca="1" si="169"/>
        <v>567.8107022579685</v>
      </c>
      <c r="O584" s="953">
        <f t="shared" ca="1" si="169"/>
        <v>593.44696631116494</v>
      </c>
      <c r="P584" s="1176"/>
    </row>
    <row r="585" spans="1:17" ht="15.75" hidden="1" outlineLevel="1">
      <c r="A585" s="3"/>
      <c r="B585" s="1177"/>
      <c r="C585" s="765" t="s">
        <v>148</v>
      </c>
      <c r="D585" s="765"/>
      <c r="E585" s="765"/>
      <c r="F585" s="1459">
        <f>SUBTOTAL(109,[2007])</f>
        <v>0</v>
      </c>
      <c r="G585" s="1459">
        <f>SUBTOTAL(109,[2010])</f>
        <v>0</v>
      </c>
      <c r="H585" s="1459">
        <f>SUBTOTAL(109,[2015])</f>
        <v>0</v>
      </c>
      <c r="I585" s="1459">
        <f>SUBTOTAL(109,[2020])</f>
        <v>0</v>
      </c>
      <c r="J585" s="1459">
        <f>SUBTOTAL(109,[2025])</f>
        <v>0</v>
      </c>
      <c r="K585" s="1459">
        <f>SUBTOTAL(109,[2030])</f>
        <v>0</v>
      </c>
      <c r="L585" s="1459">
        <f>SUBTOTAL(109,[2035])</f>
        <v>0</v>
      </c>
      <c r="M585" s="1459">
        <f>SUBTOTAL(109,[2040])</f>
        <v>0</v>
      </c>
      <c r="N585" s="1459">
        <f>SUBTOTAL(109,[2045])</f>
        <v>0</v>
      </c>
      <c r="O585" s="1459">
        <f>SUBTOTAL(109,[2050])</f>
        <v>0</v>
      </c>
      <c r="P585" s="1176"/>
    </row>
    <row r="586" spans="1:17" ht="15.75" hidden="1" outlineLevel="1">
      <c r="A586" s="3"/>
      <c r="B586" s="1178"/>
      <c r="C586" s="1179"/>
      <c r="D586" s="1179"/>
      <c r="E586" s="1179"/>
      <c r="F586" s="1179"/>
      <c r="G586" s="1179"/>
      <c r="H586" s="1179"/>
      <c r="I586" s="1179"/>
      <c r="J586" s="1179"/>
      <c r="K586" s="1179"/>
      <c r="L586" s="1179"/>
      <c r="M586" s="1179"/>
      <c r="N586" s="1179"/>
      <c r="O586" s="1179"/>
      <c r="P586" s="1181"/>
    </row>
    <row r="587" spans="1:17" ht="15.75" hidden="1" outlineLevel="1">
      <c r="A587" s="3"/>
      <c r="B587" s="1582"/>
      <c r="P587" s="1583"/>
    </row>
    <row r="588" spans="1:17" ht="15.75" hidden="1" outlineLevel="1">
      <c r="C588" s="1584"/>
      <c r="D588" s="1585"/>
      <c r="E588" s="1585"/>
      <c r="F588" s="1585"/>
      <c r="G588" s="1585"/>
      <c r="H588" s="1585"/>
      <c r="I588" s="1585"/>
      <c r="J588" s="1585"/>
      <c r="K588" s="1585"/>
      <c r="L588" s="1585"/>
      <c r="M588" s="1585"/>
      <c r="N588" s="1585"/>
      <c r="O588" s="1585"/>
      <c r="P588" s="1586"/>
      <c r="Q588" s="1586"/>
    </row>
    <row r="589" spans="1:17" ht="22.5" hidden="1" outlineLevel="1">
      <c r="A589" s="1171"/>
      <c r="B589" s="1249" t="s">
        <v>902</v>
      </c>
      <c r="C589" s="1198"/>
      <c r="D589" s="1199"/>
      <c r="E589" s="1199"/>
      <c r="F589" s="1199"/>
      <c r="G589" s="1199"/>
      <c r="H589" s="1199"/>
      <c r="I589" s="1199"/>
      <c r="J589" s="1199"/>
      <c r="K589" s="1199"/>
      <c r="L589" s="1199"/>
      <c r="M589" s="1199"/>
      <c r="N589" s="1199"/>
      <c r="O589" s="1199"/>
      <c r="P589" s="1200"/>
    </row>
    <row r="590" spans="1:17" ht="12.75" hidden="1" customHeight="1" outlineLevel="1">
      <c r="A590" s="1171"/>
      <c r="B590" s="1207"/>
      <c r="C590" s="1208"/>
      <c r="D590" s="1208"/>
      <c r="E590" s="1208"/>
      <c r="F590" s="1208"/>
      <c r="G590" s="1208"/>
      <c r="H590" s="1208"/>
      <c r="I590" s="1208"/>
      <c r="J590" s="1208"/>
      <c r="K590" s="1208"/>
      <c r="L590" s="1208"/>
      <c r="M590" s="1208"/>
      <c r="N590" s="1208"/>
      <c r="O590" s="1208"/>
      <c r="P590" s="1209"/>
    </row>
    <row r="591" spans="1:17" ht="14.25" hidden="1" outlineLevel="1">
      <c r="B591" s="1210"/>
      <c r="C591" s="1201" t="s">
        <v>1073</v>
      </c>
      <c r="D591" s="1202"/>
      <c r="E591" s="1203"/>
      <c r="F591" s="1202"/>
      <c r="G591" s="1203"/>
      <c r="H591" s="1202"/>
      <c r="I591" s="1202"/>
      <c r="J591" s="1202"/>
      <c r="K591" s="1202"/>
      <c r="L591" s="1202"/>
      <c r="M591" s="1202"/>
      <c r="N591" s="1202"/>
      <c r="O591" s="1203" t="s">
        <v>1076</v>
      </c>
      <c r="P591" s="1211"/>
    </row>
    <row r="592" spans="1:17" ht="5.25" hidden="1" customHeight="1" outlineLevel="1">
      <c r="B592" s="1210"/>
      <c r="C592" s="1202"/>
      <c r="D592" s="1202"/>
      <c r="E592" s="1202"/>
      <c r="F592" s="1202"/>
      <c r="G592" s="1202"/>
      <c r="H592" s="1202"/>
      <c r="I592" s="1202"/>
      <c r="J592" s="1202"/>
      <c r="K592" s="1202"/>
      <c r="L592" s="1202"/>
      <c r="M592" s="1202"/>
      <c r="N592" s="1202"/>
      <c r="O592" s="1202"/>
      <c r="P592" s="1211"/>
    </row>
    <row r="593" spans="2:16" ht="18" hidden="1" customHeight="1" outlineLevel="1">
      <c r="B593" s="1210"/>
      <c r="C593" s="1269" t="s">
        <v>1072</v>
      </c>
      <c r="D593" s="1269" t="s">
        <v>1042</v>
      </c>
      <c r="E593" s="1269" t="s">
        <v>442</v>
      </c>
      <c r="F593" s="1269" t="s">
        <v>691</v>
      </c>
      <c r="G593" s="1269" t="s">
        <v>692</v>
      </c>
      <c r="H593" s="1269" t="s">
        <v>721</v>
      </c>
      <c r="I593" s="1269" t="s">
        <v>722</v>
      </c>
      <c r="J593" s="1269" t="s">
        <v>723</v>
      </c>
      <c r="K593" s="1269" t="s">
        <v>724</v>
      </c>
      <c r="L593" s="1269" t="s">
        <v>725</v>
      </c>
      <c r="M593" s="1269" t="s">
        <v>726</v>
      </c>
      <c r="N593" s="1269" t="s">
        <v>727</v>
      </c>
      <c r="O593" s="1269" t="s">
        <v>728</v>
      </c>
      <c r="P593" s="1211"/>
    </row>
    <row r="594" spans="2:16" ht="15.75" hidden="1" outlineLevel="1">
      <c r="B594" s="1212"/>
      <c r="C594" s="1206" t="s">
        <v>1055</v>
      </c>
      <c r="D594" s="1216" t="s">
        <v>1065</v>
      </c>
      <c r="E594" s="1206" t="str">
        <f>INDEX(IPCC[Sector_description], MATCH([IPCC Sector], IPCC[Sector_code], 0))</f>
        <v>Fuel Combustion</v>
      </c>
      <c r="F594" s="1268">
        <f ca="1">F$565</f>
        <v>67.291769164453711</v>
      </c>
      <c r="G594" s="1268">
        <f t="shared" ref="G594:O594" ca="1" si="170">G$565</f>
        <v>71.401342881552196</v>
      </c>
      <c r="H594" s="1268">
        <f t="shared" ca="1" si="170"/>
        <v>74.487170358611493</v>
      </c>
      <c r="I594" s="1268">
        <f t="shared" ca="1" si="170"/>
        <v>78.066503575074478</v>
      </c>
      <c r="J594" s="1268">
        <f t="shared" ca="1" si="170"/>
        <v>81.959102799983015</v>
      </c>
      <c r="K594" s="1268">
        <f t="shared" ca="1" si="170"/>
        <v>86.075910725291507</v>
      </c>
      <c r="L594" s="1268">
        <f t="shared" ca="1" si="170"/>
        <v>88.392959635750302</v>
      </c>
      <c r="M594" s="1268">
        <f t="shared" ca="1" si="170"/>
        <v>91.213836126355716</v>
      </c>
      <c r="N594" s="1268">
        <f t="shared" ca="1" si="170"/>
        <v>94.529903269274598</v>
      </c>
      <c r="O594" s="1268">
        <f t="shared" ca="1" si="170"/>
        <v>98.345103945998389</v>
      </c>
      <c r="P594" s="1211"/>
    </row>
    <row r="595" spans="2:16" ht="15.75" hidden="1" outlineLevel="1">
      <c r="B595" s="1212"/>
      <c r="C595" s="1206" t="s">
        <v>1056</v>
      </c>
      <c r="D595" s="1216" t="s">
        <v>1065</v>
      </c>
      <c r="E595" s="1206" t="str">
        <f>INDEX(IPCC[Sector_description], MATCH([IPCC Sector], IPCC[Sector_code], 0))</f>
        <v>Fuel Combustion</v>
      </c>
      <c r="F595" s="1268">
        <f ca="1">F$566</f>
        <v>0.13655504882378258</v>
      </c>
      <c r="G595" s="1268">
        <f t="shared" ref="G595:O595" ca="1" si="171">G$566</f>
        <v>0.14467419365392858</v>
      </c>
      <c r="H595" s="1268">
        <f t="shared" ca="1" si="171"/>
        <v>0.15058750508556185</v>
      </c>
      <c r="I595" s="1268">
        <f t="shared" ca="1" si="171"/>
        <v>0.15753403987318462</v>
      </c>
      <c r="J595" s="1268">
        <f t="shared" ca="1" si="171"/>
        <v>0.16514417169133105</v>
      </c>
      <c r="K595" s="1268">
        <f t="shared" ca="1" si="171"/>
        <v>0.17323475492537049</v>
      </c>
      <c r="L595" s="1268">
        <f t="shared" ca="1" si="171"/>
        <v>0.1777349812978771</v>
      </c>
      <c r="M595" s="1268">
        <f t="shared" ca="1" si="171"/>
        <v>0.18327585450958264</v>
      </c>
      <c r="N595" s="1268">
        <f t="shared" ca="1" si="171"/>
        <v>0.18983337525230914</v>
      </c>
      <c r="O595" s="1268">
        <f t="shared" ca="1" si="171"/>
        <v>0.19741023407249442</v>
      </c>
      <c r="P595" s="1211"/>
    </row>
    <row r="596" spans="2:16" ht="15.75" hidden="1" outlineLevel="1">
      <c r="B596" s="1212"/>
      <c r="C596" s="1206" t="s">
        <v>1057</v>
      </c>
      <c r="D596" s="1216" t="s">
        <v>1065</v>
      </c>
      <c r="E596" s="1206" t="str">
        <f>INDEX(IPCC[Sector_description], MATCH([IPCC Sector], IPCC[Sector_code], 0))</f>
        <v>Fuel Combustion</v>
      </c>
      <c r="F596" s="1268">
        <f ca="1">F$567</f>
        <v>0.22513176941521534</v>
      </c>
      <c r="G596" s="1268">
        <f t="shared" ref="G596:O596" ca="1" si="172">G$567</f>
        <v>0.22831293410791412</v>
      </c>
      <c r="H596" s="1268">
        <f t="shared" ca="1" si="172"/>
        <v>0.22191511760357396</v>
      </c>
      <c r="I596" s="1268">
        <f t="shared" ca="1" si="172"/>
        <v>0.21869086210235725</v>
      </c>
      <c r="J596" s="1268">
        <f t="shared" ca="1" si="172"/>
        <v>0.21785178134152855</v>
      </c>
      <c r="K596" s="1268">
        <f t="shared" ca="1" si="172"/>
        <v>0.21898380526794403</v>
      </c>
      <c r="L596" s="1268">
        <f t="shared" ca="1" si="172"/>
        <v>0.21706203390655926</v>
      </c>
      <c r="M596" s="1268">
        <f t="shared" ca="1" si="172"/>
        <v>0.21769998125795353</v>
      </c>
      <c r="N596" s="1268">
        <f t="shared" ca="1" si="172"/>
        <v>0.22055841580978625</v>
      </c>
      <c r="O596" s="1268">
        <f t="shared" ca="1" si="172"/>
        <v>0.22539589246766653</v>
      </c>
      <c r="P596" s="1211"/>
    </row>
    <row r="597" spans="2:16" ht="15.75" hidden="1" outlineLevel="1">
      <c r="B597" s="1212"/>
      <c r="C597" s="1206" t="s">
        <v>148</v>
      </c>
      <c r="D597" s="1206"/>
      <c r="E597" s="1206"/>
      <c r="F597" s="1278">
        <f>SUBTOTAL(109,[2007])</f>
        <v>0</v>
      </c>
      <c r="G597" s="1278">
        <f>SUBTOTAL(109,[2010])</f>
        <v>0</v>
      </c>
      <c r="H597" s="1278">
        <f>SUBTOTAL(109,[2015])</f>
        <v>0</v>
      </c>
      <c r="I597" s="1278">
        <f>SUBTOTAL(109,[2020])</f>
        <v>0</v>
      </c>
      <c r="J597" s="1278">
        <f>SUBTOTAL(109,[2025])</f>
        <v>0</v>
      </c>
      <c r="K597" s="1278">
        <f>SUBTOTAL(109,[2030])</f>
        <v>0</v>
      </c>
      <c r="L597" s="1278">
        <f>SUBTOTAL(109,[2035])</f>
        <v>0</v>
      </c>
      <c r="M597" s="1278">
        <f>SUBTOTAL(109,[2040])</f>
        <v>0</v>
      </c>
      <c r="N597" s="1278">
        <f>SUBTOTAL(109,[2045])</f>
        <v>0</v>
      </c>
      <c r="O597" s="1278">
        <f>SUBTOTAL(109,[2050])</f>
        <v>0</v>
      </c>
      <c r="P597" s="1211"/>
    </row>
    <row r="598" spans="2:16" ht="15.75" hidden="1" outlineLevel="1">
      <c r="B598" s="1270"/>
      <c r="C598" s="1214"/>
      <c r="D598" s="1214"/>
      <c r="E598" s="1214"/>
      <c r="F598" s="1214"/>
      <c r="G598" s="1214"/>
      <c r="H598" s="1214"/>
      <c r="I598" s="1214"/>
      <c r="J598" s="1214"/>
      <c r="K598" s="1214"/>
      <c r="L598" s="1214"/>
      <c r="M598" s="1214"/>
      <c r="N598" s="1214"/>
      <c r="O598" s="1214"/>
      <c r="P598" s="1215"/>
    </row>
    <row r="599" spans="2:16" hidden="1" outlineLevel="1"/>
  </sheetData>
  <pageMargins left="0.7" right="0.7" top="0.75" bottom="0.75" header="0.3" footer="0.3"/>
  <pageSetup paperSize="9" orientation="portrait" r:id="rId1"/>
  <ignoredErrors>
    <ignoredError sqref="F583:O583 F576:O580 F585:O585 F584:O584 F582:O582 F581 G581:O581" calculatedColumn="1"/>
    <ignoredError sqref="F90 G90:I90 G286:O286 F186 J90:O90 P90:T90" formulaRange="1"/>
  </ignoredErrors>
  <drawing r:id="rId2"/>
  <tableParts count="2">
    <tablePart r:id="rId3"/>
    <tablePart r:id="rId4"/>
  </tableParts>
</worksheet>
</file>

<file path=xl/worksheets/sheet37.xml><?xml version="1.0" encoding="utf-8"?>
<worksheet xmlns="http://schemas.openxmlformats.org/spreadsheetml/2006/main" xmlns:r="http://schemas.openxmlformats.org/officeDocument/2006/relationships">
  <sheetPr codeName="Sheet38">
    <tabColor theme="9"/>
    <outlinePr summaryBelow="0"/>
    <pageSetUpPr autoPageBreaks="0"/>
  </sheetPr>
  <dimension ref="A1:U346"/>
  <sheetViews>
    <sheetView showGridLines="0" zoomScale="80" zoomScaleNormal="80" workbookViewId="0">
      <pane ySplit="2" topLeftCell="A3" activePane="bottomLeft" state="frozen"/>
      <selection pane="bottomLeft"/>
    </sheetView>
  </sheetViews>
  <sheetFormatPr defaultRowHeight="12.75" outlineLevelRow="2"/>
  <cols>
    <col min="1" max="1" width="5.85546875" style="121" customWidth="1"/>
    <col min="2" max="2" width="3.28515625" style="121" customWidth="1"/>
    <col min="3" max="3" width="9.140625" style="121"/>
    <col min="4" max="4" width="28.140625" style="121" bestFit="1" customWidth="1"/>
    <col min="5" max="5" width="11.140625" style="121" customWidth="1"/>
    <col min="6" max="6" width="9.140625" style="121" customWidth="1"/>
    <col min="7" max="15" width="9.140625" style="121"/>
    <col min="16" max="16" width="9.140625" style="121" customWidth="1"/>
    <col min="17" max="20" width="9.140625" style="121"/>
    <col min="21" max="21" width="2.140625" style="121" customWidth="1"/>
    <col min="22" max="16384" width="9.140625" style="121"/>
  </cols>
  <sheetData>
    <row r="1" spans="1:16" ht="21">
      <c r="A1" s="790" t="s">
        <v>676</v>
      </c>
      <c r="B1" s="790" t="str">
        <f>INDEX(Workstreams[Workstream], MATCH($A1, Workstreams[Code], 0))</f>
        <v>Heating</v>
      </c>
      <c r="C1" s="790"/>
    </row>
    <row r="2" spans="1:16" s="743" customFormat="1" ht="19.5" customHeight="1">
      <c r="A2" s="10" t="s">
        <v>945</v>
      </c>
      <c r="B2" s="10" t="str">
        <f>INDEX(Modules[Module], MATCH($A2, Modules[Code], 0))</f>
        <v>Commercial heating and cooling</v>
      </c>
      <c r="C2" s="10"/>
    </row>
    <row r="4" spans="1:16" ht="22.5" collapsed="1">
      <c r="A4" s="1171"/>
      <c r="B4" s="1231" t="s">
        <v>1353</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t="5.25" hidden="1" customHeight="1" outlineLevel="1">
      <c r="B6" s="1172"/>
      <c r="C6" s="1173"/>
      <c r="D6" s="1174"/>
      <c r="E6" s="1175"/>
      <c r="F6" s="1174"/>
      <c r="G6" s="1174"/>
      <c r="H6" s="1174"/>
      <c r="I6" s="1174"/>
      <c r="J6" s="1174"/>
      <c r="K6" s="1174"/>
      <c r="L6" s="1174"/>
      <c r="M6" s="1174"/>
      <c r="N6" s="1174"/>
      <c r="O6" s="1174"/>
      <c r="P6" s="1176"/>
    </row>
    <row r="7" spans="1:16" ht="15.75" hidden="1" outlineLevel="1">
      <c r="B7" s="1177"/>
      <c r="C7" s="1174"/>
      <c r="D7" s="922" t="s">
        <v>830</v>
      </c>
      <c r="E7" s="922" t="s">
        <v>1352</v>
      </c>
      <c r="F7" s="1174"/>
      <c r="G7" s="1174"/>
      <c r="H7" s="1174"/>
      <c r="I7" s="1174"/>
      <c r="J7" s="1174"/>
      <c r="K7" s="1174"/>
      <c r="L7" s="1174"/>
      <c r="M7" s="1174"/>
      <c r="N7" s="1174"/>
      <c r="O7" s="1174"/>
      <c r="P7" s="1176"/>
    </row>
    <row r="8" spans="1:16" ht="15.75" hidden="1" outlineLevel="1">
      <c r="B8" s="1177"/>
      <c r="C8" s="1174"/>
      <c r="D8" s="1291" t="s">
        <v>1842</v>
      </c>
      <c r="E8" s="1291">
        <f>IX.c.Scenario.Demand</f>
        <v>1</v>
      </c>
      <c r="F8" s="1174"/>
      <c r="G8" s="1174"/>
      <c r="H8" s="1174"/>
      <c r="I8" s="1174"/>
      <c r="J8" s="1174"/>
      <c r="K8" s="1174"/>
      <c r="L8" s="1174"/>
      <c r="M8" s="1174"/>
      <c r="N8" s="1174"/>
      <c r="O8" s="1174"/>
      <c r="P8" s="1176"/>
    </row>
    <row r="9" spans="1:16" ht="15.75" hidden="1" outlineLevel="1">
      <c r="B9" s="1177"/>
      <c r="C9" s="1174"/>
      <c r="D9" s="765" t="s">
        <v>1863</v>
      </c>
      <c r="E9" s="765">
        <f>IX.c.Scenario.Electrification</f>
        <v>1</v>
      </c>
      <c r="F9" s="1174"/>
      <c r="G9" s="1174"/>
      <c r="H9" s="1174"/>
      <c r="I9" s="1174"/>
      <c r="J9" s="1174"/>
      <c r="K9" s="1174"/>
      <c r="L9" s="1174"/>
      <c r="M9" s="1174"/>
      <c r="N9" s="1174"/>
      <c r="O9" s="1174"/>
      <c r="P9" s="1176"/>
    </row>
    <row r="10" spans="1:16" ht="15.75" hidden="1" outlineLevel="1">
      <c r="B10" s="1177"/>
      <c r="C10" s="1174"/>
      <c r="D10" s="1292" t="s">
        <v>1864</v>
      </c>
      <c r="E10" s="1292">
        <f>IX.c.Scenario.Fuel</f>
        <v>1</v>
      </c>
      <c r="F10" s="1174"/>
      <c r="G10" s="1174"/>
      <c r="H10" s="1174"/>
      <c r="I10" s="1174"/>
      <c r="J10" s="1174"/>
      <c r="K10" s="1174"/>
      <c r="L10" s="1174"/>
      <c r="M10" s="1174"/>
      <c r="N10" s="1174"/>
      <c r="O10" s="1174"/>
      <c r="P10" s="1176"/>
    </row>
    <row r="11" spans="1:16" ht="15.75" hidden="1" outlineLevel="1">
      <c r="B11" s="1177"/>
      <c r="C11" s="1174"/>
      <c r="D11" s="765"/>
      <c r="E11" s="765"/>
      <c r="F11" s="1174"/>
      <c r="G11" s="1174"/>
      <c r="H11" s="1174"/>
      <c r="I11" s="1174"/>
      <c r="J11" s="1174"/>
      <c r="K11" s="1174"/>
      <c r="L11" s="1174"/>
      <c r="M11" s="1174"/>
      <c r="N11" s="1174"/>
      <c r="O11" s="1174"/>
      <c r="P11" s="1176"/>
    </row>
    <row r="12" spans="1:16" ht="15.75" hidden="1" outlineLevel="1">
      <c r="B12" s="1177"/>
      <c r="C12" s="1844" t="s">
        <v>1858</v>
      </c>
      <c r="D12" s="765"/>
      <c r="E12" s="765"/>
      <c r="F12" s="953"/>
      <c r="G12" s="765"/>
      <c r="H12" s="765"/>
      <c r="I12" s="1174"/>
      <c r="J12" s="1174"/>
      <c r="K12" s="1174"/>
      <c r="L12" s="1174"/>
      <c r="M12" s="1174"/>
      <c r="N12" s="1174"/>
      <c r="O12" s="1174"/>
      <c r="P12" s="1176"/>
    </row>
    <row r="13" spans="1:16" ht="15.75" hidden="1" outlineLevel="1">
      <c r="B13" s="1177"/>
      <c r="C13" s="765"/>
      <c r="D13" s="765"/>
      <c r="E13" s="765"/>
      <c r="F13" s="953"/>
      <c r="G13" s="765"/>
      <c r="H13" s="765"/>
      <c r="I13" s="1174"/>
      <c r="J13" s="1174"/>
      <c r="K13" s="1174"/>
      <c r="L13" s="1174"/>
      <c r="M13" s="1174"/>
      <c r="N13" s="1174"/>
      <c r="O13" s="1174"/>
      <c r="P13" s="1176"/>
    </row>
    <row r="14" spans="1:16" ht="15.75" hidden="1" outlineLevel="1">
      <c r="B14" s="1177"/>
      <c r="C14" s="2122"/>
      <c r="D14" s="2122"/>
      <c r="E14" s="2123" t="s">
        <v>1860</v>
      </c>
      <c r="F14" s="2124"/>
      <c r="G14" s="2123"/>
      <c r="H14" s="2123"/>
      <c r="I14" s="1174"/>
      <c r="J14" s="1174"/>
      <c r="K14" s="1174"/>
      <c r="L14" s="1174"/>
      <c r="M14" s="1174"/>
      <c r="N14" s="1174"/>
      <c r="O14" s="1174"/>
      <c r="P14" s="1176"/>
    </row>
    <row r="15" spans="1:16" ht="15.75" hidden="1" outlineLevel="1">
      <c r="B15" s="1177"/>
      <c r="C15" s="765"/>
      <c r="D15" s="765"/>
      <c r="E15" s="2127">
        <v>1</v>
      </c>
      <c r="F15" s="2127">
        <v>2</v>
      </c>
      <c r="G15" s="2127">
        <v>3</v>
      </c>
      <c r="H15" s="2127">
        <v>4</v>
      </c>
      <c r="I15" s="1174"/>
      <c r="J15" s="1174"/>
      <c r="K15" s="1174"/>
      <c r="L15" s="1174"/>
      <c r="M15" s="1174"/>
      <c r="N15" s="1174"/>
      <c r="O15" s="1174"/>
      <c r="P15" s="1176"/>
    </row>
    <row r="16" spans="1:16" ht="15.75" hidden="1" outlineLevel="1">
      <c r="B16" s="1177"/>
      <c r="C16" s="2128" t="s">
        <v>1862</v>
      </c>
      <c r="D16" s="2128"/>
      <c r="E16" s="2129" t="s">
        <v>14</v>
      </c>
      <c r="F16" s="2130" t="s">
        <v>1455</v>
      </c>
      <c r="G16" s="2129" t="s">
        <v>1829</v>
      </c>
      <c r="H16" s="2129" t="s">
        <v>1853</v>
      </c>
      <c r="I16" s="1174"/>
      <c r="J16" s="1174"/>
      <c r="K16" s="1174"/>
      <c r="L16" s="1174"/>
      <c r="M16" s="1174"/>
      <c r="N16" s="1174"/>
      <c r="O16" s="1174"/>
      <c r="P16" s="1176"/>
    </row>
    <row r="17" spans="1:16" ht="15.75" hidden="1" outlineLevel="1">
      <c r="B17" s="1177"/>
      <c r="C17" s="765">
        <v>1</v>
      </c>
      <c r="D17" s="765" t="s">
        <v>2332</v>
      </c>
      <c r="E17" s="2125">
        <v>9</v>
      </c>
      <c r="F17" s="2125">
        <v>6</v>
      </c>
      <c r="G17" s="2125">
        <v>15</v>
      </c>
      <c r="H17" s="2125">
        <v>7</v>
      </c>
      <c r="I17" s="1174"/>
      <c r="J17" s="1174"/>
      <c r="K17" s="1174"/>
      <c r="L17" s="1174"/>
      <c r="M17" s="1174"/>
      <c r="N17" s="1174"/>
      <c r="O17" s="1174"/>
      <c r="P17" s="1176"/>
    </row>
    <row r="18" spans="1:16" ht="15.75" hidden="1" outlineLevel="1">
      <c r="B18" s="1177"/>
      <c r="C18" s="765">
        <v>2</v>
      </c>
      <c r="D18" s="765" t="s">
        <v>1830</v>
      </c>
      <c r="E18" s="2125">
        <v>11</v>
      </c>
      <c r="F18" s="2125">
        <v>5</v>
      </c>
      <c r="G18" s="2125">
        <v>14</v>
      </c>
      <c r="H18" s="2125">
        <v>12</v>
      </c>
      <c r="I18" s="1174"/>
      <c r="J18" s="1174"/>
      <c r="K18" s="1174"/>
      <c r="L18" s="1174"/>
      <c r="M18" s="1174"/>
      <c r="N18" s="1174"/>
      <c r="O18" s="1174"/>
      <c r="P18" s="1176"/>
    </row>
    <row r="19" spans="1:16" ht="15.75" hidden="1" outlineLevel="1">
      <c r="B19" s="1177"/>
      <c r="C19" s="765">
        <v>3</v>
      </c>
      <c r="D19" s="765" t="s">
        <v>1831</v>
      </c>
      <c r="E19" s="2125">
        <v>10</v>
      </c>
      <c r="F19" s="2125">
        <v>8</v>
      </c>
      <c r="G19" s="2125">
        <v>13</v>
      </c>
      <c r="H19" s="2125">
        <v>16</v>
      </c>
      <c r="I19" s="1174"/>
      <c r="J19" s="1174"/>
      <c r="K19" s="1174"/>
      <c r="L19" s="1174"/>
      <c r="M19" s="1174"/>
      <c r="N19" s="1174"/>
      <c r="O19" s="1174"/>
      <c r="P19" s="1176"/>
    </row>
    <row r="20" spans="1:16" ht="15.75" hidden="1" outlineLevel="1">
      <c r="B20" s="1177"/>
      <c r="C20" s="1292">
        <v>4</v>
      </c>
      <c r="D20" s="1292" t="s">
        <v>1832</v>
      </c>
      <c r="E20" s="2126">
        <v>3</v>
      </c>
      <c r="F20" s="2126">
        <v>2</v>
      </c>
      <c r="G20" s="2126">
        <v>4</v>
      </c>
      <c r="H20" s="2126">
        <v>1</v>
      </c>
      <c r="I20" s="1174"/>
      <c r="J20" s="1174"/>
      <c r="K20" s="1174"/>
      <c r="L20" s="1174"/>
      <c r="M20" s="1174"/>
      <c r="N20" s="1174"/>
      <c r="O20" s="1174"/>
      <c r="P20" s="1176"/>
    </row>
    <row r="21" spans="1:16" ht="15.75" hidden="1" outlineLevel="1">
      <c r="B21" s="1177"/>
      <c r="C21" s="765"/>
      <c r="D21" s="765"/>
      <c r="E21" s="765"/>
      <c r="F21" s="953"/>
      <c r="G21" s="765"/>
      <c r="H21" s="765"/>
      <c r="I21" s="1174"/>
      <c r="J21" s="1174"/>
      <c r="K21" s="1174"/>
      <c r="L21" s="1174"/>
      <c r="M21" s="1174"/>
      <c r="N21" s="1174"/>
      <c r="O21" s="1174"/>
      <c r="P21" s="1176"/>
    </row>
    <row r="22" spans="1:16" ht="15.75" hidden="1" outlineLevel="1">
      <c r="B22" s="1177"/>
      <c r="C22" s="765"/>
      <c r="D22" s="765" t="s">
        <v>1861</v>
      </c>
      <c r="E22" s="765">
        <f>INDEX($E$17:$H$20, MATCH($E$9, $C$17:$C$20, 0), MATCH($E$10, $E$15:$H$15, 0))</f>
        <v>9</v>
      </c>
      <c r="F22" s="953"/>
      <c r="G22" s="765"/>
      <c r="H22" s="765"/>
      <c r="I22" s="1174"/>
      <c r="J22" s="1174"/>
      <c r="K22" s="1174"/>
      <c r="L22" s="1174"/>
      <c r="M22" s="1174"/>
      <c r="N22" s="1174"/>
      <c r="O22" s="1174"/>
      <c r="P22" s="1176"/>
    </row>
    <row r="23" spans="1:16" ht="15.75" hidden="1" outlineLevel="1">
      <c r="B23" s="1177"/>
      <c r="C23" s="1174"/>
      <c r="D23" s="765"/>
      <c r="E23" s="765"/>
      <c r="F23" s="1174"/>
      <c r="G23" s="1174"/>
      <c r="H23" s="1174"/>
      <c r="I23" s="1174"/>
      <c r="J23" s="1174"/>
      <c r="K23" s="1174"/>
      <c r="L23" s="1174"/>
      <c r="M23" s="1174"/>
      <c r="N23" s="1174"/>
      <c r="O23" s="1174"/>
      <c r="P23" s="1176"/>
    </row>
    <row r="24" spans="1:16" hidden="1" outlineLevel="1">
      <c r="B24" s="1192"/>
      <c r="C24" s="1180"/>
      <c r="D24" s="1180"/>
      <c r="E24" s="1180"/>
      <c r="F24" s="1180"/>
      <c r="G24" s="1180"/>
      <c r="H24" s="1180"/>
      <c r="I24" s="1180"/>
      <c r="J24" s="1180"/>
      <c r="K24" s="1180"/>
      <c r="L24" s="1180"/>
      <c r="M24" s="1180"/>
      <c r="N24" s="1180"/>
      <c r="O24" s="1180"/>
      <c r="P24" s="1181"/>
    </row>
    <row r="26" spans="1:16" s="743" customFormat="1" ht="22.5" collapsed="1">
      <c r="A26" s="1170"/>
      <c r="B26" s="1236" t="s">
        <v>1354</v>
      </c>
      <c r="C26" s="1167"/>
      <c r="D26" s="1167"/>
      <c r="E26" s="1167"/>
      <c r="F26" s="1167"/>
      <c r="G26" s="1167"/>
      <c r="H26" s="1167"/>
      <c r="I26" s="1167"/>
      <c r="J26" s="1167"/>
      <c r="K26" s="1167"/>
      <c r="L26" s="1167"/>
      <c r="M26" s="1167"/>
      <c r="N26" s="1167"/>
      <c r="O26" s="1167"/>
      <c r="P26" s="1168"/>
    </row>
    <row r="27" spans="1:16" hidden="1" outlineLevel="1">
      <c r="B27" s="1157"/>
      <c r="C27" s="864"/>
      <c r="D27" s="864"/>
      <c r="E27" s="864"/>
      <c r="F27" s="864"/>
      <c r="G27" s="864"/>
      <c r="H27" s="864"/>
      <c r="I27" s="864"/>
      <c r="J27" s="864"/>
      <c r="K27" s="864"/>
      <c r="L27" s="864"/>
      <c r="M27" s="864"/>
      <c r="N27" s="864"/>
      <c r="O27" s="864"/>
      <c r="P27" s="1158"/>
    </row>
    <row r="28" spans="1:16" hidden="1" outlineLevel="1">
      <c r="B28" s="1157"/>
      <c r="C28" s="866" t="s">
        <v>1840</v>
      </c>
      <c r="D28" s="864"/>
      <c r="E28" s="1256"/>
      <c r="F28" s="864"/>
      <c r="G28" s="864"/>
      <c r="H28" s="864"/>
      <c r="I28" s="864"/>
      <c r="J28" s="864"/>
      <c r="K28" s="864"/>
      <c r="L28" s="864"/>
      <c r="M28" s="864"/>
      <c r="N28" s="864"/>
      <c r="O28" s="1256" t="str">
        <f>Preferences.EnergyUnits</f>
        <v>TWh</v>
      </c>
      <c r="P28" s="1158"/>
    </row>
    <row r="29" spans="1:16" ht="6" hidden="1" customHeight="1" outlineLevel="1">
      <c r="B29" s="1157"/>
      <c r="C29" s="864"/>
      <c r="D29" s="864"/>
      <c r="E29" s="864"/>
      <c r="F29" s="864"/>
      <c r="G29" s="864"/>
      <c r="H29" s="864"/>
      <c r="I29" s="864"/>
      <c r="J29" s="864"/>
      <c r="K29" s="864"/>
      <c r="L29" s="864"/>
      <c r="M29" s="864"/>
      <c r="N29" s="864"/>
      <c r="O29" s="864"/>
      <c r="P29" s="1158"/>
    </row>
    <row r="30" spans="1:16" hidden="1" outlineLevel="1">
      <c r="B30" s="1157"/>
      <c r="C30" s="766" t="s">
        <v>1352</v>
      </c>
      <c r="D30" s="766" t="s">
        <v>80</v>
      </c>
      <c r="E30" s="1813" t="s">
        <v>442</v>
      </c>
      <c r="F30" s="923">
        <v>2007</v>
      </c>
      <c r="G30" s="924">
        <v>2010</v>
      </c>
      <c r="H30" s="923">
        <v>2015</v>
      </c>
      <c r="I30" s="923">
        <v>2020</v>
      </c>
      <c r="J30" s="923">
        <v>2025</v>
      </c>
      <c r="K30" s="923">
        <v>2030</v>
      </c>
      <c r="L30" s="923">
        <v>2035</v>
      </c>
      <c r="M30" s="923">
        <v>2040</v>
      </c>
      <c r="N30" s="923">
        <v>2045</v>
      </c>
      <c r="O30" s="923">
        <v>2050</v>
      </c>
      <c r="P30" s="1158"/>
    </row>
    <row r="31" spans="1:16" ht="15.75" hidden="1" outlineLevel="1">
      <c r="B31" s="1159"/>
      <c r="C31" s="831">
        <v>1</v>
      </c>
      <c r="D31" s="832" t="s">
        <v>114</v>
      </c>
      <c r="E31" s="1814"/>
      <c r="F31" s="847">
        <f>(Unit.TWh)*74.58316889692</f>
        <v>74.58316889692</v>
      </c>
      <c r="G31" s="856">
        <f>(Unit.TWh)*76.8600065854207</f>
        <v>76.860006585420706</v>
      </c>
      <c r="H31" s="847">
        <f>(Unit.TWh)*80.9259230171452</f>
        <v>80.925923017145195</v>
      </c>
      <c r="I31" s="847">
        <f>(Unit.TWh)*85.3524568692281</f>
        <v>85.352456869228106</v>
      </c>
      <c r="J31" s="847">
        <f>(Unit.TWh)*90.1663299607495</f>
        <v>90.166329960749493</v>
      </c>
      <c r="K31" s="847">
        <f>(Unit.TWh)*95.3963576978315</f>
        <v>95.396357697831505</v>
      </c>
      <c r="L31" s="847">
        <f>(Unit.TWh)*101.07361017105</f>
        <v>101.07361017105001</v>
      </c>
      <c r="M31" s="847">
        <f>(Unit.TWh)*107.231585720509</f>
        <v>107.231585720509</v>
      </c>
      <c r="N31" s="847">
        <f>(Unit.TWh)*113.906397931695</f>
        <v>113.906397931695</v>
      </c>
      <c r="O31" s="847">
        <f>(Unit.TWh)*121.136977099682</f>
        <v>121.136977099682</v>
      </c>
      <c r="P31" s="1158"/>
    </row>
    <row r="32" spans="1:16" ht="15.75" hidden="1" outlineLevel="1">
      <c r="B32" s="1159"/>
      <c r="C32" s="831">
        <v>2</v>
      </c>
      <c r="D32" s="832" t="s">
        <v>114</v>
      </c>
      <c r="E32" s="1814"/>
      <c r="F32" s="1091">
        <f>(Unit.TWh)*74.58316889692</f>
        <v>74.58316889692</v>
      </c>
      <c r="G32" s="857">
        <f>(Unit.TWh)*73.3072279558897</f>
        <v>73.307227955889701</v>
      </c>
      <c r="H32" s="1091">
        <f>(Unit.TWh)*72.7597171491555</f>
        <v>72.759717149155506</v>
      </c>
      <c r="I32" s="1091">
        <f>(Unit.TWh)*73.7225957008822</f>
        <v>73.722595700882195</v>
      </c>
      <c r="J32" s="1091">
        <f>(Unit.TWh)*75.8243640717134</f>
        <v>75.824364071713404</v>
      </c>
      <c r="K32" s="1091">
        <f>(Unit.TWh)*78.8215196405253</f>
        <v>78.821519640525295</v>
      </c>
      <c r="L32" s="1091">
        <f>(Unit.TWh)*82.5580691548708</f>
        <v>82.558069154870793</v>
      </c>
      <c r="M32" s="1091">
        <f>(Unit.TWh)*86.9381105873798</f>
        <v>86.938110587379796</v>
      </c>
      <c r="N32" s="1091">
        <f>(Unit.TWh)*91.9072861592382</f>
        <v>91.907286159238197</v>
      </c>
      <c r="O32" s="1091">
        <f>(Unit.TWh)*97.4402584622101</f>
        <v>97.440258462210096</v>
      </c>
      <c r="P32" s="1158"/>
    </row>
    <row r="33" spans="2:16" ht="15.75" hidden="1" outlineLevel="1">
      <c r="B33" s="1159"/>
      <c r="C33" s="831">
        <v>3</v>
      </c>
      <c r="D33" s="832" t="s">
        <v>114</v>
      </c>
      <c r="E33" s="1814"/>
      <c r="F33" s="1091">
        <f>(Unit.TWh)*74.58316889692</f>
        <v>74.58316889692</v>
      </c>
      <c r="G33" s="857">
        <f>(Unit.TWh)*73.2402316234502</f>
        <v>73.2402316234502</v>
      </c>
      <c r="H33" s="1091">
        <f>(Unit.TWh)*71.6401914223568</f>
        <v>71.640191422356807</v>
      </c>
      <c r="I33" s="1091">
        <f>(Unit.TWh)*70.7607913764419</f>
        <v>70.760791376441901</v>
      </c>
      <c r="J33" s="1091">
        <f>(Unit.TWh)*70.5288175310861</f>
        <v>70.528817531086105</v>
      </c>
      <c r="K33" s="1091">
        <f>(Unit.TWh)*70.8861422375935</f>
        <v>70.886142237593504</v>
      </c>
      <c r="L33" s="1091">
        <f>(Unit.TWh)*71.7875237501121</f>
        <v>71.787523750112101</v>
      </c>
      <c r="M33" s="1091">
        <f>(Unit.TWh)*73.1987827394885</f>
        <v>73.198782739488493</v>
      </c>
      <c r="N33" s="1091">
        <f>(Unit.TWh)*75.0952959624006</f>
        <v>75.095295962400598</v>
      </c>
      <c r="O33" s="1091">
        <f>(Unit.TWh)*77.4607571520934</f>
        <v>77.460757152093393</v>
      </c>
      <c r="P33" s="1158"/>
    </row>
    <row r="34" spans="2:16" ht="15.75" hidden="1" outlineLevel="1">
      <c r="B34" s="1159"/>
      <c r="C34" s="769">
        <v>4</v>
      </c>
      <c r="D34" s="770" t="s">
        <v>114</v>
      </c>
      <c r="E34" s="1815"/>
      <c r="F34" s="859">
        <f>(Unit.TWh)*74.58316889692</f>
        <v>74.58316889692</v>
      </c>
      <c r="G34" s="858">
        <f>(Unit.TWh)*72.9361528023079</f>
        <v>72.936152802307902</v>
      </c>
      <c r="H34" s="859">
        <f>(Unit.TWh)*70.3647862909562</f>
        <v>70.364786290956204</v>
      </c>
      <c r="I34" s="859">
        <f>(Unit.TWh)*68.0020681362155</f>
        <v>68.002068136215499</v>
      </c>
      <c r="J34" s="859">
        <f>(Unit.TWh)*65.8392253394299</f>
        <v>65.839225339429902</v>
      </c>
      <c r="K34" s="859">
        <f>(Unit.TWh)*63.8684979633475</f>
        <v>63.868497963347501</v>
      </c>
      <c r="L34" s="859">
        <f>(Unit.TWh)*62.0830975936987</f>
        <v>62.083097593698703</v>
      </c>
      <c r="M34" s="859">
        <f>(Unit.TWh)*60.4771712134987</f>
        <v>60.4771712134987</v>
      </c>
      <c r="N34" s="859">
        <f>(Unit.TWh)*59.0457702845553</f>
        <v>59.045770284555303</v>
      </c>
      <c r="O34" s="859">
        <f>(Unit.TWh)*57.7848248599978</f>
        <v>57.784824859997798</v>
      </c>
      <c r="P34" s="1158"/>
    </row>
    <row r="35" spans="2:16" hidden="1" outlineLevel="1">
      <c r="B35" s="1157"/>
      <c r="C35" s="864"/>
      <c r="D35" s="864"/>
      <c r="E35" s="1816"/>
      <c r="F35" s="864"/>
      <c r="G35" s="864"/>
      <c r="H35" s="864"/>
      <c r="I35" s="864"/>
      <c r="J35" s="864"/>
      <c r="K35" s="864"/>
      <c r="L35" s="864"/>
      <c r="M35" s="864"/>
      <c r="N35" s="864"/>
      <c r="O35" s="864"/>
      <c r="P35" s="1158"/>
    </row>
    <row r="36" spans="2:16" hidden="1" outlineLevel="1">
      <c r="B36" s="1157"/>
      <c r="C36" s="866" t="s">
        <v>1841</v>
      </c>
      <c r="D36" s="864"/>
      <c r="E36" s="1817"/>
      <c r="F36" s="864"/>
      <c r="G36" s="864"/>
      <c r="H36" s="864"/>
      <c r="I36" s="864"/>
      <c r="J36" s="864"/>
      <c r="K36" s="864"/>
      <c r="L36" s="864"/>
      <c r="M36" s="864"/>
      <c r="N36" s="864"/>
      <c r="O36" s="1256" t="str">
        <f>Preferences.EnergyUnits</f>
        <v>TWh</v>
      </c>
      <c r="P36" s="1158"/>
    </row>
    <row r="37" spans="2:16" ht="6" hidden="1" customHeight="1" outlineLevel="1">
      <c r="B37" s="1157"/>
      <c r="C37" s="864"/>
      <c r="D37" s="864"/>
      <c r="E37" s="1816"/>
      <c r="F37" s="864"/>
      <c r="G37" s="864"/>
      <c r="H37" s="864"/>
      <c r="I37" s="864"/>
      <c r="J37" s="864"/>
      <c r="K37" s="864"/>
      <c r="L37" s="864"/>
      <c r="M37" s="864"/>
      <c r="N37" s="864"/>
      <c r="O37" s="864"/>
      <c r="P37" s="1158"/>
    </row>
    <row r="38" spans="2:16" hidden="1" outlineLevel="1">
      <c r="B38" s="1157"/>
      <c r="C38" s="766" t="s">
        <v>1352</v>
      </c>
      <c r="D38" s="766" t="s">
        <v>80</v>
      </c>
      <c r="E38" s="1813" t="s">
        <v>442</v>
      </c>
      <c r="F38" s="923">
        <v>2007</v>
      </c>
      <c r="G38" s="924">
        <v>2010</v>
      </c>
      <c r="H38" s="923">
        <v>2015</v>
      </c>
      <c r="I38" s="923">
        <v>2020</v>
      </c>
      <c r="J38" s="923">
        <v>2025</v>
      </c>
      <c r="K38" s="923">
        <v>2030</v>
      </c>
      <c r="L38" s="923">
        <v>2035</v>
      </c>
      <c r="M38" s="923">
        <v>2040</v>
      </c>
      <c r="N38" s="923">
        <v>2045</v>
      </c>
      <c r="O38" s="923">
        <v>2050</v>
      </c>
      <c r="P38" s="1158"/>
    </row>
    <row r="39" spans="2:16" ht="15.75" hidden="1" outlineLevel="1">
      <c r="B39" s="1159"/>
      <c r="C39" s="831">
        <v>1</v>
      </c>
      <c r="D39" s="832" t="s">
        <v>1626</v>
      </c>
      <c r="E39" s="1814"/>
      <c r="F39" s="847">
        <f>(Unit.TWh)*13.4986017390997</f>
        <v>13.4986017390997</v>
      </c>
      <c r="G39" s="856">
        <f>(Unit.TWh)*13.9106803036901</f>
        <v>13.9106803036901</v>
      </c>
      <c r="H39" s="847">
        <f>(Unit.TWh)*14.6465592885608</f>
        <v>14.6465592885608</v>
      </c>
      <c r="I39" s="847">
        <f>(Unit.TWh)*15.4477054243129</f>
        <v>15.4477054243129</v>
      </c>
      <c r="J39" s="847">
        <f>(Unit.TWh)*16.3189550191756</f>
        <v>16.318955019175601</v>
      </c>
      <c r="K39" s="847">
        <f>(Unit.TWh)*17.2655232939144</f>
        <v>17.265523293914399</v>
      </c>
      <c r="L39" s="847">
        <f>(Unit.TWh)*18.2930335384069</f>
        <v>18.293033538406899</v>
      </c>
      <c r="M39" s="847">
        <f>(Unit.TWh)*19.4075485247056</f>
        <v>19.4075485247056</v>
      </c>
      <c r="N39" s="847">
        <f>(Unit.TWh)*20.6156043509015</f>
        <v>20.615604350901499</v>
      </c>
      <c r="O39" s="847">
        <f>(Unit.TWh)*21.9242469035741</f>
        <v>21.924246903574101</v>
      </c>
      <c r="P39" s="1158"/>
    </row>
    <row r="40" spans="2:16" ht="15.75" hidden="1" outlineLevel="1">
      <c r="B40" s="1159"/>
      <c r="C40" s="831">
        <v>2</v>
      </c>
      <c r="D40" s="832" t="s">
        <v>1626</v>
      </c>
      <c r="E40" s="1814"/>
      <c r="F40" s="1091">
        <f>(Unit.TWh)*13.4986017390997</f>
        <v>13.4986017390997</v>
      </c>
      <c r="G40" s="857">
        <f>(Unit.TWh)*13.589176508018</f>
        <v>13.589176508017999</v>
      </c>
      <c r="H40" s="1091">
        <f>(Unit.TWh)*13.9075697661135</f>
        <v>13.9075697661135</v>
      </c>
      <c r="I40" s="1091">
        <f>(Unit.TWh)*14.3952771987873</f>
        <v>14.3952771987873</v>
      </c>
      <c r="J40" s="1091">
        <f>(Unit.TWh)*15.021098622383</f>
        <v>15.021098622383001</v>
      </c>
      <c r="K40" s="1091">
        <f>(Unit.TWh)*15.7656062138633</f>
        <v>15.7656062138633</v>
      </c>
      <c r="L40" s="1091">
        <f>(Unit.TWh)*16.6174952242143</f>
        <v>16.617495224214299</v>
      </c>
      <c r="M40" s="1091">
        <f>(Unit.TWh)*17.5711185179366</f>
        <v>17.571118517936601</v>
      </c>
      <c r="N40" s="1091">
        <f>(Unit.TWh)*18.6248251119504</f>
        <v>18.6248251119504</v>
      </c>
      <c r="O40" s="1091">
        <f>(Unit.TWh)*19.7798450757782</f>
        <v>19.779845075778201</v>
      </c>
      <c r="P40" s="1158"/>
    </row>
    <row r="41" spans="2:16" ht="15.75" hidden="1" outlineLevel="1">
      <c r="B41" s="1159"/>
      <c r="C41" s="831">
        <v>3</v>
      </c>
      <c r="D41" s="832" t="s">
        <v>1626</v>
      </c>
      <c r="E41" s="1814"/>
      <c r="F41" s="1091">
        <f>(Unit.TWh)*13.4986017390997</f>
        <v>13.4986017390997</v>
      </c>
      <c r="G41" s="857">
        <f>(Unit.TWh)*13.4943764847806</f>
        <v>13.4943764847806</v>
      </c>
      <c r="H41" s="1091">
        <f>(Unit.TWh)*13.5821115625244</f>
        <v>13.5821115625244</v>
      </c>
      <c r="I41" s="1091">
        <f>(Unit.TWh)*13.7804575049037</f>
        <v>13.780457504903699</v>
      </c>
      <c r="J41" s="1091">
        <f>(Unit.TWh)*14.0823604848925</f>
        <v>14.082360484892501</v>
      </c>
      <c r="K41" s="1091">
        <f>(Unit.TWh)*14.4827257296042</f>
        <v>14.4827257296042</v>
      </c>
      <c r="L41" s="1091">
        <f>(Unit.TWh)*14.9781627185696</f>
        <v>14.9781627185696</v>
      </c>
      <c r="M41" s="1091">
        <f>(Unit.TWh)*15.5667766873945</f>
        <v>15.566776687394499</v>
      </c>
      <c r="N41" s="1091">
        <f>(Unit.TWh)*16.2479992899845</f>
        <v>16.247999289984499</v>
      </c>
      <c r="O41" s="1091">
        <f>(Unit.TWh)*17.0224524632861</f>
        <v>17.022452463286101</v>
      </c>
      <c r="P41" s="1158"/>
    </row>
    <row r="42" spans="2:16" ht="15.75" hidden="1" outlineLevel="1">
      <c r="B42" s="1159"/>
      <c r="C42" s="769">
        <v>4</v>
      </c>
      <c r="D42" s="770" t="s">
        <v>1626</v>
      </c>
      <c r="E42" s="1815"/>
      <c r="F42" s="859">
        <f>(Unit.TWh)*13.4986017390997</f>
        <v>13.4986017390997</v>
      </c>
      <c r="G42" s="858">
        <f>(Unit.TWh)*13.4854254143347</f>
        <v>13.485425414334699</v>
      </c>
      <c r="H42" s="859">
        <f>(Unit.TWh)*13.5067317014574</f>
        <v>13.506731701457401</v>
      </c>
      <c r="I42" s="859">
        <f>(Unit.TWh)*13.582672969482</f>
        <v>13.582672969481999</v>
      </c>
      <c r="J42" s="859">
        <f>(Unit.TWh)*13.7141490835819</f>
        <v>13.7141490835819</v>
      </c>
      <c r="K42" s="859">
        <f>(Unit.TWh)*13.9023575868051</f>
        <v>13.902357586805101</v>
      </c>
      <c r="L42" s="859">
        <f>(Unit.TWh)*14.1488004747922</f>
        <v>14.1488004747922</v>
      </c>
      <c r="M42" s="859">
        <f>(Unit.TWh)*14.4552926636921</f>
        <v>14.4552926636921</v>
      </c>
      <c r="N42" s="859">
        <f>(Unit.TWh)*14.823972197474</f>
        <v>14.823972197473999</v>
      </c>
      <c r="O42" s="859">
        <f>(Unit.TWh)*15.2573122505424</f>
        <v>15.2573122505424</v>
      </c>
      <c r="P42" s="1158"/>
    </row>
    <row r="43" spans="2:16" hidden="1" outlineLevel="1">
      <c r="B43" s="1157"/>
      <c r="C43" s="864"/>
      <c r="D43" s="864"/>
      <c r="E43" s="1816"/>
      <c r="F43" s="864"/>
      <c r="G43" s="864"/>
      <c r="H43" s="864"/>
      <c r="I43" s="864"/>
      <c r="J43" s="864"/>
      <c r="K43" s="864"/>
      <c r="L43" s="864"/>
      <c r="M43" s="864"/>
      <c r="N43" s="864"/>
      <c r="O43" s="864"/>
      <c r="P43" s="1158"/>
    </row>
    <row r="44" spans="2:16" hidden="1" outlineLevel="1">
      <c r="B44" s="1157"/>
      <c r="C44" s="866" t="s">
        <v>1848</v>
      </c>
      <c r="D44" s="864"/>
      <c r="E44" s="1817"/>
      <c r="F44" s="864"/>
      <c r="G44" s="864"/>
      <c r="H44" s="864"/>
      <c r="I44" s="864"/>
      <c r="J44" s="864"/>
      <c r="K44" s="864"/>
      <c r="L44" s="864"/>
      <c r="M44" s="864"/>
      <c r="N44" s="864"/>
      <c r="O44" s="1256" t="str">
        <f>Preferences.EnergyUnits</f>
        <v>TWh</v>
      </c>
      <c r="P44" s="1158"/>
    </row>
    <row r="45" spans="2:16" ht="6" hidden="1" customHeight="1" outlineLevel="1">
      <c r="B45" s="1157"/>
      <c r="C45" s="864"/>
      <c r="D45" s="864"/>
      <c r="E45" s="1816"/>
      <c r="F45" s="864"/>
      <c r="G45" s="864"/>
      <c r="H45" s="864"/>
      <c r="I45" s="864"/>
      <c r="J45" s="864"/>
      <c r="K45" s="864"/>
      <c r="L45" s="864"/>
      <c r="M45" s="864"/>
      <c r="N45" s="864"/>
      <c r="O45" s="864"/>
      <c r="P45" s="1158"/>
    </row>
    <row r="46" spans="2:16" hidden="1" outlineLevel="1">
      <c r="B46" s="1157"/>
      <c r="C46" s="766" t="s">
        <v>1352</v>
      </c>
      <c r="D46" s="766" t="s">
        <v>80</v>
      </c>
      <c r="E46" s="1813" t="s">
        <v>442</v>
      </c>
      <c r="F46" s="923">
        <v>2007</v>
      </c>
      <c r="G46" s="924">
        <v>2010</v>
      </c>
      <c r="H46" s="923">
        <v>2015</v>
      </c>
      <c r="I46" s="923">
        <v>2020</v>
      </c>
      <c r="J46" s="923">
        <v>2025</v>
      </c>
      <c r="K46" s="923">
        <v>2030</v>
      </c>
      <c r="L46" s="923">
        <v>2035</v>
      </c>
      <c r="M46" s="923">
        <v>2040</v>
      </c>
      <c r="N46" s="923">
        <v>2045</v>
      </c>
      <c r="O46" s="923">
        <v>2050</v>
      </c>
      <c r="P46" s="1158"/>
    </row>
    <row r="47" spans="2:16" ht="15.75" hidden="1" outlineLevel="1">
      <c r="B47" s="1159"/>
      <c r="C47" s="831">
        <v>1</v>
      </c>
      <c r="D47" s="832" t="s">
        <v>1627</v>
      </c>
      <c r="E47" s="919"/>
      <c r="F47" s="847">
        <f>(Unit.TWh)*27.3383594076098</f>
        <v>27.338359407609801</v>
      </c>
      <c r="G47" s="856">
        <f>(Unit.TWh)*33.1372515019417</f>
        <v>33.137251501941698</v>
      </c>
      <c r="H47" s="847">
        <f>(Unit.TWh)*42.5738132201972</f>
        <v>42.573813220197202</v>
      </c>
      <c r="I47" s="847">
        <f>(Unit.TWh)*51.7461605105854</f>
        <v>51.746160510585398</v>
      </c>
      <c r="J47" s="847">
        <f>(Unit.TWh)*60.678842883752</f>
        <v>60.678842883751997</v>
      </c>
      <c r="K47" s="847">
        <f>(Unit.TWh)*69.3966897023379</f>
        <v>69.396689702337895</v>
      </c>
      <c r="L47" s="847">
        <f>(Unit.TWh)*77.9248843268687</f>
        <v>77.924884326868707</v>
      </c>
      <c r="M47" s="847">
        <f>(Unit.TWh)*86.28904238305</f>
        <v>86.289042383050003</v>
      </c>
      <c r="N47" s="847">
        <f>(Unit.TWh)*94.5152945164599</f>
        <v>94.515294516459903</v>
      </c>
      <c r="O47" s="847">
        <f>(Unit.TWh)*102.630374027547</f>
        <v>102.63037402754701</v>
      </c>
      <c r="P47" s="1158"/>
    </row>
    <row r="48" spans="2:16" ht="15.75" hidden="1" outlineLevel="1">
      <c r="B48" s="1159"/>
      <c r="C48" s="831">
        <v>2</v>
      </c>
      <c r="D48" s="832" t="s">
        <v>1627</v>
      </c>
      <c r="E48" s="919"/>
      <c r="F48" s="1091">
        <f>(Unit.TWh)*27.3383594076098</f>
        <v>27.338359407609801</v>
      </c>
      <c r="G48" s="857">
        <f>(Unit.TWh)*28.0851336618032</f>
        <v>28.085133661803201</v>
      </c>
      <c r="H48" s="1091">
        <f>(Unit.TWh)*29.6674825652936</f>
        <v>29.6674825652936</v>
      </c>
      <c r="I48" s="1091">
        <f>(Unit.TWh)*31.5958908981683</f>
        <v>31.5958908981683</v>
      </c>
      <c r="J48" s="1091">
        <f>(Unit.TWh)*33.8017416237787</f>
        <v>33.801741623778703</v>
      </c>
      <c r="K48" s="1091">
        <f>(Unit.TWh)*36.2348378736764</f>
        <v>36.234837873676398</v>
      </c>
      <c r="L48" s="1091">
        <f>(Unit.TWh)*38.8601534376792</f>
        <v>38.860153437679202</v>
      </c>
      <c r="M48" s="1091">
        <f>(Unit.TWh)*41.6548576964565</f>
        <v>41.654857696456503</v>
      </c>
      <c r="N48" s="1091">
        <f>(Unit.TWh)*44.6057822331694</f>
        <v>44.6057822331694</v>
      </c>
      <c r="O48" s="1091">
        <f>(Unit.TWh)*47.7073610184674</f>
        <v>47.707361018467402</v>
      </c>
      <c r="P48" s="1158"/>
    </row>
    <row r="49" spans="2:21" ht="15.75" hidden="1" outlineLevel="1">
      <c r="B49" s="1159"/>
      <c r="C49" s="831">
        <v>3</v>
      </c>
      <c r="D49" s="832" t="s">
        <v>1627</v>
      </c>
      <c r="E49" s="919"/>
      <c r="F49" s="1091">
        <f>(Unit.TWh)*27.3383594076098</f>
        <v>27.338359407609801</v>
      </c>
      <c r="G49" s="857">
        <f>(Unit.TWh)*26.8249754625228</f>
        <v>26.824975462522801</v>
      </c>
      <c r="H49" s="1091">
        <f>(Unit.TWh)*26.2068403875262</f>
        <v>26.206840387526199</v>
      </c>
      <c r="I49" s="1091">
        <f>(Unit.TWh)*25.8566066864865</f>
        <v>25.856606686486501</v>
      </c>
      <c r="J49" s="1091">
        <f>(Unit.TWh)*25.7467610824646</f>
        <v>25.746761082464602</v>
      </c>
      <c r="K49" s="1091">
        <f>(Unit.TWh)*25.85545991269</f>
        <v>25.855459912690002</v>
      </c>
      <c r="L49" s="1091">
        <f>(Unit.TWh)*26.1656942720847</f>
        <v>26.1656942720847</v>
      </c>
      <c r="M49" s="1091">
        <f>(Unit.TWh)*26.6645988489774</f>
        <v>26.664598848977398</v>
      </c>
      <c r="N49" s="1091">
        <f>(Unit.TWh)*27.3428814954583</f>
        <v>27.3428814954583</v>
      </c>
      <c r="O49" s="1091">
        <f>(Unit.TWh)*28.194354373061</f>
        <v>28.194354373061</v>
      </c>
      <c r="P49" s="1158"/>
    </row>
    <row r="50" spans="2:21" ht="15.75" hidden="1" outlineLevel="1">
      <c r="B50" s="1159"/>
      <c r="C50" s="769">
        <v>4</v>
      </c>
      <c r="D50" s="770" t="s">
        <v>1627</v>
      </c>
      <c r="E50" s="778"/>
      <c r="F50" s="859">
        <f>(Unit.TWh)*27.3383594076098</f>
        <v>27.338359407609801</v>
      </c>
      <c r="G50" s="858">
        <f>(Unit.TWh)*25.9791667292486</f>
        <v>25.9791667292486</v>
      </c>
      <c r="H50" s="859">
        <f>(Unit.TWh)*23.8651871337185</f>
        <v>23.8651871337185</v>
      </c>
      <c r="I50" s="859">
        <f>(Unit.TWh)*21.9293098163796</f>
        <v>21.9293098163796</v>
      </c>
      <c r="J50" s="859">
        <f>(Unit.TWh)*20.1598263317811</f>
        <v>20.159826331781101</v>
      </c>
      <c r="K50" s="859">
        <f>(Unit.TWh)*18.5461369850595</f>
        <v>18.546136985059501</v>
      </c>
      <c r="L50" s="859">
        <f>(Unit.TWh)*17.0786712751316</f>
        <v>17.078671275131601</v>
      </c>
      <c r="M50" s="859">
        <f>(Unit.TWh)*15.7488158510862</f>
        <v>15.748815851086199</v>
      </c>
      <c r="N50" s="859">
        <f>(Unit.TWh)*14.548849440246</f>
        <v>14.548849440246</v>
      </c>
      <c r="O50" s="859">
        <f>(Unit.TWh)*13.4718842557399</f>
        <v>13.4718842557399</v>
      </c>
      <c r="P50" s="1158"/>
    </row>
    <row r="51" spans="2:21" hidden="1" outlineLevel="1">
      <c r="B51" s="1157"/>
      <c r="C51" s="864"/>
      <c r="D51" s="864"/>
      <c r="E51" s="864"/>
      <c r="F51" s="864"/>
      <c r="G51" s="864"/>
      <c r="H51" s="864"/>
      <c r="I51" s="864"/>
      <c r="J51" s="864"/>
      <c r="K51" s="864"/>
      <c r="L51" s="864"/>
      <c r="M51" s="864"/>
      <c r="N51" s="864"/>
      <c r="O51" s="864"/>
      <c r="P51" s="864"/>
      <c r="Q51" s="2430"/>
      <c r="R51" s="2430"/>
      <c r="S51" s="2430"/>
      <c r="T51" s="2430"/>
      <c r="U51" s="2431"/>
    </row>
    <row r="52" spans="2:21" ht="15.75" hidden="1" outlineLevel="1">
      <c r="B52" s="1159"/>
      <c r="C52" s="869" t="s">
        <v>1835</v>
      </c>
      <c r="D52" s="832"/>
      <c r="E52" s="870"/>
      <c r="F52" s="847"/>
      <c r="G52" s="848"/>
      <c r="H52" s="848"/>
      <c r="I52" s="848"/>
      <c r="J52" s="848"/>
      <c r="K52" s="848"/>
      <c r="L52" s="848"/>
      <c r="M52" s="848"/>
      <c r="N52" s="848"/>
      <c r="O52" s="870"/>
      <c r="P52" s="870"/>
      <c r="Q52" s="870"/>
      <c r="R52" s="870"/>
      <c r="S52" s="870"/>
      <c r="T52" s="870" t="s">
        <v>844</v>
      </c>
      <c r="U52" s="2421"/>
    </row>
    <row r="53" spans="2:21" ht="5.25" hidden="1" customHeight="1" outlineLevel="1">
      <c r="B53" s="1159"/>
      <c r="C53" s="831"/>
      <c r="D53" s="832"/>
      <c r="E53" s="832"/>
      <c r="F53" s="847"/>
      <c r="G53" s="848"/>
      <c r="H53" s="848"/>
      <c r="I53" s="848"/>
      <c r="J53" s="848"/>
      <c r="K53" s="848"/>
      <c r="L53" s="848"/>
      <c r="M53" s="848"/>
      <c r="N53" s="848"/>
      <c r="O53" s="848"/>
      <c r="P53" s="848"/>
      <c r="Q53" s="848"/>
      <c r="R53" s="848"/>
      <c r="S53" s="848"/>
      <c r="T53" s="848"/>
      <c r="U53" s="2422"/>
    </row>
    <row r="54" spans="2:21" ht="15.75" hidden="1" outlineLevel="1">
      <c r="B54" s="1159"/>
      <c r="C54" s="766" t="s">
        <v>83</v>
      </c>
      <c r="D54" s="766" t="s">
        <v>831</v>
      </c>
      <c r="E54" s="766">
        <v>9</v>
      </c>
      <c r="F54" s="923">
        <v>1</v>
      </c>
      <c r="G54" s="923">
        <v>3</v>
      </c>
      <c r="H54" s="923">
        <v>11</v>
      </c>
      <c r="I54" s="923">
        <v>2</v>
      </c>
      <c r="J54" s="923">
        <v>5</v>
      </c>
      <c r="K54" s="923">
        <v>4</v>
      </c>
      <c r="L54" s="923">
        <v>13</v>
      </c>
      <c r="M54" s="923">
        <v>10</v>
      </c>
      <c r="N54" s="923">
        <v>8</v>
      </c>
      <c r="O54" s="923">
        <v>16</v>
      </c>
      <c r="P54" s="923">
        <v>7</v>
      </c>
      <c r="Q54" s="923">
        <v>15</v>
      </c>
      <c r="R54" s="923">
        <v>6</v>
      </c>
      <c r="S54" s="923">
        <v>14</v>
      </c>
      <c r="T54" s="923">
        <v>12</v>
      </c>
      <c r="U54" s="2423"/>
    </row>
    <row r="55" spans="2:21" ht="15.75" hidden="1" outlineLevel="1">
      <c r="B55" s="1159"/>
      <c r="C55" s="831">
        <v>1</v>
      </c>
      <c r="D55" s="832" t="s">
        <v>1285</v>
      </c>
      <c r="E55" s="865"/>
      <c r="F55" s="1257"/>
      <c r="G55" s="1257"/>
      <c r="H55" s="1257"/>
      <c r="I55" s="1257"/>
      <c r="J55" s="1257"/>
      <c r="K55" s="1257"/>
      <c r="L55" s="1257"/>
      <c r="M55" s="1257"/>
      <c r="N55" s="1257"/>
      <c r="O55" s="1257"/>
      <c r="P55" s="1257"/>
      <c r="Q55" s="1257"/>
      <c r="R55" s="1257"/>
      <c r="S55" s="1257"/>
      <c r="T55" s="1257"/>
      <c r="U55" s="2131"/>
    </row>
    <row r="56" spans="2:21" ht="15.75" hidden="1" outlineLevel="1">
      <c r="B56" s="1159"/>
      <c r="C56" s="831">
        <v>2</v>
      </c>
      <c r="D56" s="832" t="s">
        <v>1286</v>
      </c>
      <c r="E56" s="865">
        <v>0.9</v>
      </c>
      <c r="F56" s="1257">
        <v>1E-3</v>
      </c>
      <c r="G56" s="1257">
        <v>1E-3</v>
      </c>
      <c r="H56" s="1257">
        <v>1E-3</v>
      </c>
      <c r="I56" s="1257">
        <v>1E-3</v>
      </c>
      <c r="J56" s="1257">
        <v>1E-3</v>
      </c>
      <c r="K56" s="1257">
        <v>1E-3</v>
      </c>
      <c r="L56" s="1257">
        <v>1E-3</v>
      </c>
      <c r="M56" s="1257">
        <v>1E-3</v>
      </c>
      <c r="N56" s="1257">
        <v>1E-3</v>
      </c>
      <c r="O56" s="1257">
        <v>1E-3</v>
      </c>
      <c r="P56" s="1257">
        <v>1E-3</v>
      </c>
      <c r="Q56" s="1257">
        <v>1E-3</v>
      </c>
      <c r="R56" s="1257">
        <v>1E-3</v>
      </c>
      <c r="S56" s="1257">
        <v>1E-3</v>
      </c>
      <c r="T56" s="1257">
        <v>1E-3</v>
      </c>
      <c r="U56" s="2131"/>
    </row>
    <row r="57" spans="2:21" ht="15.75" hidden="1" outlineLevel="1">
      <c r="B57" s="1159"/>
      <c r="C57" s="831">
        <v>3</v>
      </c>
      <c r="D57" s="832" t="s">
        <v>845</v>
      </c>
      <c r="E57" s="865">
        <v>0.1</v>
      </c>
      <c r="F57" s="1257">
        <v>0.1</v>
      </c>
      <c r="G57" s="1257"/>
      <c r="H57" s="1257">
        <v>0.1</v>
      </c>
      <c r="I57" s="1257"/>
      <c r="J57" s="1257"/>
      <c r="K57" s="1257">
        <v>7.0000000000000007E-2</v>
      </c>
      <c r="L57" s="1257"/>
      <c r="M57" s="1257"/>
      <c r="N57" s="1257"/>
      <c r="O57" s="1257"/>
      <c r="P57" s="1257"/>
      <c r="Q57" s="1257"/>
      <c r="R57" s="1257"/>
      <c r="S57" s="1257"/>
      <c r="T57" s="1257"/>
      <c r="U57" s="2131"/>
    </row>
    <row r="58" spans="2:21" ht="15.75" hidden="1" outlineLevel="1">
      <c r="B58" s="1159"/>
      <c r="C58" s="831">
        <v>4</v>
      </c>
      <c r="D58" s="832" t="s">
        <v>847</v>
      </c>
      <c r="E58" s="865"/>
      <c r="F58" s="1257"/>
      <c r="G58" s="1257"/>
      <c r="H58" s="1257"/>
      <c r="I58" s="1257"/>
      <c r="J58" s="1257"/>
      <c r="K58" s="1257"/>
      <c r="L58" s="1257"/>
      <c r="M58" s="1257"/>
      <c r="N58" s="1257"/>
      <c r="O58" s="1257"/>
      <c r="P58" s="1257"/>
      <c r="Q58" s="1257"/>
      <c r="R58" s="1257"/>
      <c r="S58" s="1257"/>
      <c r="T58" s="1257"/>
      <c r="U58" s="2131"/>
    </row>
    <row r="59" spans="2:21" ht="15.75" hidden="1" outlineLevel="1">
      <c r="B59" s="1159"/>
      <c r="C59" s="831">
        <v>5</v>
      </c>
      <c r="D59" s="832" t="s">
        <v>846</v>
      </c>
      <c r="E59" s="865"/>
      <c r="F59" s="1257"/>
      <c r="G59" s="1257"/>
      <c r="H59" s="1257"/>
      <c r="I59" s="1257"/>
      <c r="J59" s="1257">
        <v>0.1</v>
      </c>
      <c r="K59" s="1257"/>
      <c r="L59" s="1257"/>
      <c r="M59" s="1257"/>
      <c r="N59" s="1257"/>
      <c r="O59" s="1257">
        <v>0.1</v>
      </c>
      <c r="P59" s="1257">
        <v>0.1</v>
      </c>
      <c r="Q59" s="1257">
        <v>0.1</v>
      </c>
      <c r="R59" s="1257">
        <v>0.05</v>
      </c>
      <c r="S59" s="1257">
        <v>0.15</v>
      </c>
      <c r="T59" s="1257">
        <v>0.05</v>
      </c>
      <c r="U59" s="2131"/>
    </row>
    <row r="60" spans="2:21" ht="15.75" hidden="1" outlineLevel="1">
      <c r="B60" s="1159"/>
      <c r="C60" s="831">
        <v>6</v>
      </c>
      <c r="D60" s="832" t="s">
        <v>1288</v>
      </c>
      <c r="E60" s="865"/>
      <c r="F60" s="1257"/>
      <c r="G60" s="1088"/>
      <c r="H60" s="1088"/>
      <c r="I60" s="1088"/>
      <c r="J60" s="1088"/>
      <c r="K60" s="1088"/>
      <c r="L60" s="1088"/>
      <c r="M60" s="1088">
        <v>0.1</v>
      </c>
      <c r="N60" s="1088"/>
      <c r="O60" s="1088"/>
      <c r="P60" s="1088">
        <v>0.19</v>
      </c>
      <c r="Q60" s="1088">
        <v>0.19</v>
      </c>
      <c r="R60" s="1088">
        <v>0.24</v>
      </c>
      <c r="S60" s="1088"/>
      <c r="T60" s="1088"/>
      <c r="U60" s="2132"/>
    </row>
    <row r="61" spans="2:21" ht="15.75" hidden="1" outlineLevel="1">
      <c r="B61" s="1159"/>
      <c r="C61" s="831">
        <v>7</v>
      </c>
      <c r="D61" s="1084" t="s">
        <v>1624</v>
      </c>
      <c r="E61" s="865"/>
      <c r="F61" s="1257"/>
      <c r="G61" s="1088"/>
      <c r="H61" s="1088">
        <v>0.9</v>
      </c>
      <c r="I61" s="1088"/>
      <c r="J61" s="1088"/>
      <c r="K61" s="1088"/>
      <c r="L61" s="1088"/>
      <c r="M61" s="1088">
        <v>0.2</v>
      </c>
      <c r="N61" s="1088"/>
      <c r="O61" s="1088"/>
      <c r="P61" s="1088"/>
      <c r="Q61" s="1088"/>
      <c r="R61" s="1088"/>
      <c r="S61" s="1088"/>
      <c r="T61" s="1088">
        <v>0.16</v>
      </c>
      <c r="U61" s="2132"/>
    </row>
    <row r="62" spans="2:21" ht="15.75" hidden="1" outlineLevel="1">
      <c r="B62" s="1159"/>
      <c r="C62" s="831">
        <v>8</v>
      </c>
      <c r="D62" s="832" t="s">
        <v>1289</v>
      </c>
      <c r="E62" s="865"/>
      <c r="F62" s="1257">
        <v>0.6</v>
      </c>
      <c r="G62" s="1088">
        <v>0.55000000000000004</v>
      </c>
      <c r="H62" s="1088"/>
      <c r="I62" s="1088">
        <v>0.5</v>
      </c>
      <c r="J62" s="1088"/>
      <c r="K62" s="1088">
        <v>0.6</v>
      </c>
      <c r="L62" s="1088">
        <v>0.57999999999999996</v>
      </c>
      <c r="M62" s="1088"/>
      <c r="N62" s="1088">
        <v>0.18</v>
      </c>
      <c r="O62" s="1088">
        <v>0.25</v>
      </c>
      <c r="P62" s="1088"/>
      <c r="Q62" s="1088"/>
      <c r="R62" s="1088"/>
      <c r="S62" s="1088">
        <v>0.14000000000000001</v>
      </c>
      <c r="T62" s="1088"/>
      <c r="U62" s="2132"/>
    </row>
    <row r="63" spans="2:21" ht="15.75" hidden="1" outlineLevel="1">
      <c r="B63" s="1159"/>
      <c r="C63" s="831">
        <v>9</v>
      </c>
      <c r="D63" s="832" t="s">
        <v>1290</v>
      </c>
      <c r="E63" s="865"/>
      <c r="F63" s="1257">
        <v>0.3</v>
      </c>
      <c r="G63" s="1088">
        <v>0.3</v>
      </c>
      <c r="H63" s="1088">
        <v>0</v>
      </c>
      <c r="I63" s="1088">
        <v>0.3</v>
      </c>
      <c r="J63" s="1088">
        <v>0.2</v>
      </c>
      <c r="K63" s="1088">
        <v>0.3</v>
      </c>
      <c r="L63" s="1088">
        <v>0.3</v>
      </c>
      <c r="M63" s="1088">
        <v>0.3</v>
      </c>
      <c r="N63" s="1088">
        <v>0.3</v>
      </c>
      <c r="O63" s="1088">
        <v>0.25</v>
      </c>
      <c r="P63" s="1088"/>
      <c r="Q63" s="1088"/>
      <c r="R63" s="1088"/>
      <c r="S63" s="1088">
        <v>0.2</v>
      </c>
      <c r="T63" s="1088">
        <v>0.25</v>
      </c>
      <c r="U63" s="2132"/>
    </row>
    <row r="64" spans="2:21" ht="15.75" hidden="1" outlineLevel="1">
      <c r="B64" s="1159"/>
      <c r="C64" s="831">
        <v>10</v>
      </c>
      <c r="D64" s="832" t="s">
        <v>3</v>
      </c>
      <c r="E64" s="865"/>
      <c r="F64" s="1257"/>
      <c r="G64" s="1088"/>
      <c r="H64" s="1088"/>
      <c r="I64" s="1464"/>
      <c r="J64" s="1088"/>
      <c r="K64" s="1088"/>
      <c r="L64" s="1088">
        <v>0.01</v>
      </c>
      <c r="M64" s="1088"/>
      <c r="N64" s="1088"/>
      <c r="O64" s="1088"/>
      <c r="P64" s="1088">
        <v>0.01</v>
      </c>
      <c r="Q64" s="1088">
        <v>0.01</v>
      </c>
      <c r="R64" s="1088">
        <v>0.01</v>
      </c>
      <c r="S64" s="1088"/>
      <c r="T64" s="1088">
        <v>0.01</v>
      </c>
      <c r="U64" s="2132"/>
    </row>
    <row r="65" spans="2:21" ht="15.75" hidden="1" outlineLevel="1">
      <c r="B65" s="1159"/>
      <c r="C65" s="831">
        <v>11</v>
      </c>
      <c r="D65" s="832" t="s">
        <v>1827</v>
      </c>
      <c r="E65" s="865"/>
      <c r="F65" s="1257"/>
      <c r="G65" s="1088">
        <v>0.15</v>
      </c>
      <c r="H65" s="1088"/>
      <c r="I65" s="1088"/>
      <c r="J65" s="1088"/>
      <c r="K65" s="1088"/>
      <c r="L65" s="1088"/>
      <c r="M65" s="1088">
        <v>0.33</v>
      </c>
      <c r="N65" s="1088"/>
      <c r="O65" s="1088">
        <v>0.13</v>
      </c>
      <c r="P65" s="1088">
        <v>0.3</v>
      </c>
      <c r="Q65" s="1088">
        <v>0.24</v>
      </c>
      <c r="R65" s="1088"/>
      <c r="S65" s="1088">
        <v>0.15</v>
      </c>
      <c r="T65" s="1088">
        <v>0.23</v>
      </c>
      <c r="U65" s="2132"/>
    </row>
    <row r="66" spans="2:21" ht="15.75" hidden="1" outlineLevel="1">
      <c r="B66" s="1159"/>
      <c r="C66" s="831">
        <v>12</v>
      </c>
      <c r="D66" s="832" t="s">
        <v>1828</v>
      </c>
      <c r="E66" s="865"/>
      <c r="F66" s="1257"/>
      <c r="G66" s="1088"/>
      <c r="H66" s="1088"/>
      <c r="I66" s="1088">
        <v>0.2</v>
      </c>
      <c r="J66" s="1088">
        <v>0.7</v>
      </c>
      <c r="K66" s="1088"/>
      <c r="L66" s="1088"/>
      <c r="M66" s="1088"/>
      <c r="N66" s="1088">
        <v>0.45</v>
      </c>
      <c r="O66" s="1088">
        <v>0.2</v>
      </c>
      <c r="P66" s="1088">
        <v>0.33</v>
      </c>
      <c r="Q66" s="1088">
        <v>0.35</v>
      </c>
      <c r="R66" s="1088">
        <v>0.63</v>
      </c>
      <c r="S66" s="1088">
        <v>0.25</v>
      </c>
      <c r="T66" s="1088">
        <v>0.23</v>
      </c>
      <c r="U66" s="2132"/>
    </row>
    <row r="67" spans="2:21" ht="15.75" hidden="1" outlineLevel="1">
      <c r="B67" s="1159"/>
      <c r="C67" s="769">
        <v>13</v>
      </c>
      <c r="D67" s="770" t="s">
        <v>1291</v>
      </c>
      <c r="E67" s="777"/>
      <c r="F67" s="846"/>
      <c r="G67" s="884"/>
      <c r="H67" s="884"/>
      <c r="I67" s="884"/>
      <c r="J67" s="884"/>
      <c r="K67" s="884">
        <v>0.03</v>
      </c>
      <c r="L67" s="884">
        <v>0.11</v>
      </c>
      <c r="M67" s="884">
        <v>7.0000000000000007E-2</v>
      </c>
      <c r="N67" s="884">
        <v>7.0000000000000007E-2</v>
      </c>
      <c r="O67" s="884">
        <v>7.0000000000000007E-2</v>
      </c>
      <c r="P67" s="884">
        <v>7.0000000000000007E-2</v>
      </c>
      <c r="Q67" s="884">
        <v>0.11</v>
      </c>
      <c r="R67" s="884">
        <v>7.0000000000000007E-2</v>
      </c>
      <c r="S67" s="884">
        <v>0.11</v>
      </c>
      <c r="T67" s="884">
        <v>7.0000000000000007E-2</v>
      </c>
      <c r="U67" s="2132"/>
    </row>
    <row r="68" spans="2:21" ht="15.75" hidden="1" outlineLevel="1">
      <c r="B68" s="1159"/>
      <c r="C68" s="831"/>
      <c r="D68" s="832" t="s">
        <v>148</v>
      </c>
      <c r="E68" s="1254">
        <v>1</v>
      </c>
      <c r="F68" s="865">
        <f t="shared" ref="F68:T68" si="0">SUM(F55:F67)</f>
        <v>1.0009999999999999</v>
      </c>
      <c r="G68" s="865">
        <f t="shared" si="0"/>
        <v>1.0009999999999999</v>
      </c>
      <c r="H68" s="865">
        <f t="shared" si="0"/>
        <v>1.0010000000000001</v>
      </c>
      <c r="I68" s="865">
        <f t="shared" si="0"/>
        <v>1.0009999999999999</v>
      </c>
      <c r="J68" s="865">
        <f t="shared" si="0"/>
        <v>1.0009999999999999</v>
      </c>
      <c r="K68" s="865">
        <f t="shared" si="0"/>
        <v>1.0010000000000001</v>
      </c>
      <c r="L68" s="865">
        <f t="shared" si="0"/>
        <v>1.0010000000000001</v>
      </c>
      <c r="M68" s="865">
        <f t="shared" si="0"/>
        <v>1.0010000000000001</v>
      </c>
      <c r="N68" s="865">
        <f t="shared" si="0"/>
        <v>1.0010000000000001</v>
      </c>
      <c r="O68" s="865">
        <f t="shared" si="0"/>
        <v>1.0010000000000001</v>
      </c>
      <c r="P68" s="865">
        <f t="shared" si="0"/>
        <v>1.0010000000000001</v>
      </c>
      <c r="Q68" s="865">
        <f t="shared" si="0"/>
        <v>1.0010000000000001</v>
      </c>
      <c r="R68" s="865">
        <f t="shared" si="0"/>
        <v>1.0010000000000001</v>
      </c>
      <c r="S68" s="865">
        <f t="shared" si="0"/>
        <v>1.0010000000000001</v>
      </c>
      <c r="T68" s="865">
        <f t="shared" si="0"/>
        <v>1.0010000000000001</v>
      </c>
      <c r="U68" s="2424"/>
    </row>
    <row r="69" spans="2:21" ht="15.75" hidden="1" outlineLevel="1">
      <c r="B69" s="1159"/>
      <c r="C69" s="831"/>
      <c r="D69" s="832"/>
      <c r="E69" s="832"/>
      <c r="F69" s="865"/>
      <c r="G69" s="865"/>
      <c r="H69" s="865"/>
      <c r="I69" s="865"/>
      <c r="J69" s="865"/>
      <c r="K69" s="865"/>
      <c r="L69" s="865"/>
      <c r="M69" s="865"/>
      <c r="N69" s="865"/>
      <c r="O69" s="865"/>
      <c r="P69" s="865"/>
      <c r="Q69" s="865"/>
      <c r="R69" s="865"/>
      <c r="S69" s="865"/>
      <c r="T69" s="865"/>
      <c r="U69" s="2424"/>
    </row>
    <row r="70" spans="2:21" ht="15.75" hidden="1" outlineLevel="1">
      <c r="B70" s="1159"/>
      <c r="C70" s="869" t="s">
        <v>1836</v>
      </c>
      <c r="D70" s="832"/>
      <c r="E70" s="832"/>
      <c r="F70" s="865"/>
      <c r="G70" s="865"/>
      <c r="H70" s="865"/>
      <c r="I70" s="865"/>
      <c r="J70" s="865"/>
      <c r="K70" s="865"/>
      <c r="L70" s="865"/>
      <c r="M70" s="865"/>
      <c r="N70" s="865"/>
      <c r="O70" s="865"/>
      <c r="P70" s="864"/>
      <c r="Q70" s="864"/>
      <c r="R70" s="864"/>
      <c r="S70" s="864"/>
      <c r="T70" s="867" t="s">
        <v>844</v>
      </c>
      <c r="U70" s="1158"/>
    </row>
    <row r="71" spans="2:21" ht="6" hidden="1" customHeight="1" outlineLevel="1">
      <c r="B71" s="1159"/>
      <c r="C71" s="831"/>
      <c r="D71" s="832"/>
      <c r="E71" s="832"/>
      <c r="F71" s="865"/>
      <c r="G71" s="865"/>
      <c r="H71" s="865"/>
      <c r="I71" s="865"/>
      <c r="J71" s="865"/>
      <c r="K71" s="865"/>
      <c r="L71" s="865"/>
      <c r="M71" s="865"/>
      <c r="N71" s="865"/>
      <c r="O71" s="865"/>
      <c r="P71" s="864"/>
      <c r="Q71" s="864"/>
      <c r="R71" s="864"/>
      <c r="S71" s="864"/>
      <c r="T71" s="864"/>
      <c r="U71" s="1158"/>
    </row>
    <row r="72" spans="2:21" ht="15.75" hidden="1" outlineLevel="1">
      <c r="B72" s="1159"/>
      <c r="C72" s="766" t="s">
        <v>83</v>
      </c>
      <c r="D72" s="766" t="s">
        <v>831</v>
      </c>
      <c r="E72" s="766">
        <v>9</v>
      </c>
      <c r="F72" s="923">
        <v>1</v>
      </c>
      <c r="G72" s="923">
        <v>3</v>
      </c>
      <c r="H72" s="923">
        <v>11</v>
      </c>
      <c r="I72" s="923">
        <v>2</v>
      </c>
      <c r="J72" s="923">
        <v>5</v>
      </c>
      <c r="K72" s="923">
        <v>4</v>
      </c>
      <c r="L72" s="923">
        <v>13</v>
      </c>
      <c r="M72" s="923">
        <v>10</v>
      </c>
      <c r="N72" s="923">
        <v>8</v>
      </c>
      <c r="O72" s="923">
        <v>16</v>
      </c>
      <c r="P72" s="923">
        <v>7</v>
      </c>
      <c r="Q72" s="923">
        <v>15</v>
      </c>
      <c r="R72" s="923">
        <v>6</v>
      </c>
      <c r="S72" s="923">
        <v>14</v>
      </c>
      <c r="T72" s="923">
        <v>12</v>
      </c>
      <c r="U72" s="1158"/>
    </row>
    <row r="73" spans="2:21" ht="15.75" hidden="1" outlineLevel="1">
      <c r="B73" s="1159"/>
      <c r="C73" s="831">
        <v>1</v>
      </c>
      <c r="D73" s="832" t="s">
        <v>2323</v>
      </c>
      <c r="E73" s="865"/>
      <c r="F73" s="1257"/>
      <c r="G73" s="1257"/>
      <c r="H73" s="1257"/>
      <c r="I73" s="1257"/>
      <c r="J73" s="1257"/>
      <c r="K73" s="1257"/>
      <c r="L73" s="1257"/>
      <c r="M73" s="1257"/>
      <c r="N73" s="1257"/>
      <c r="O73" s="1257"/>
      <c r="P73" s="1257"/>
      <c r="Q73" s="1257"/>
      <c r="R73" s="1257"/>
      <c r="S73" s="1257"/>
      <c r="T73" s="1257"/>
      <c r="U73" s="1158"/>
    </row>
    <row r="74" spans="2:21" ht="15.75" hidden="1" outlineLevel="1">
      <c r="B74" s="1159"/>
      <c r="C74" s="831">
        <v>2</v>
      </c>
      <c r="D74" s="832" t="s">
        <v>2324</v>
      </c>
      <c r="E74" s="865">
        <v>1</v>
      </c>
      <c r="F74" s="1257">
        <v>1</v>
      </c>
      <c r="G74" s="1257">
        <v>1</v>
      </c>
      <c r="H74" s="1257">
        <v>1</v>
      </c>
      <c r="I74" s="1257">
        <v>1</v>
      </c>
      <c r="J74" s="1257">
        <v>1</v>
      </c>
      <c r="K74" s="1257">
        <v>0.97</v>
      </c>
      <c r="L74" s="1257">
        <v>0.88</v>
      </c>
      <c r="M74" s="1257">
        <v>0.93</v>
      </c>
      <c r="N74" s="1257">
        <v>0.93</v>
      </c>
      <c r="O74" s="1257">
        <v>0.93</v>
      </c>
      <c r="P74" s="1257">
        <v>0.92</v>
      </c>
      <c r="Q74" s="1257">
        <v>0.88</v>
      </c>
      <c r="R74" s="1257">
        <v>0.92</v>
      </c>
      <c r="S74" s="1257">
        <v>0.89</v>
      </c>
      <c r="T74" s="1257">
        <v>0.92</v>
      </c>
      <c r="U74" s="1158"/>
    </row>
    <row r="75" spans="2:21" ht="15.75" hidden="1" outlineLevel="1">
      <c r="B75" s="1159"/>
      <c r="C75" s="831">
        <v>3</v>
      </c>
      <c r="D75" s="832" t="s">
        <v>1837</v>
      </c>
      <c r="E75" s="865"/>
      <c r="F75" s="1257"/>
      <c r="G75" s="1257"/>
      <c r="H75" s="865"/>
      <c r="I75" s="1257"/>
      <c r="J75" s="865"/>
      <c r="K75" s="1257">
        <v>0.03</v>
      </c>
      <c r="L75" s="1257">
        <v>0.12</v>
      </c>
      <c r="M75" s="865">
        <v>7.0000000000000007E-2</v>
      </c>
      <c r="N75" s="865">
        <v>7.0000000000000007E-2</v>
      </c>
      <c r="O75" s="1257">
        <v>7.0000000000000007E-2</v>
      </c>
      <c r="P75" s="1257">
        <v>0.08</v>
      </c>
      <c r="Q75" s="1257">
        <v>0.12</v>
      </c>
      <c r="R75" s="1257">
        <v>0.08</v>
      </c>
      <c r="S75" s="1257">
        <v>0.11</v>
      </c>
      <c r="T75" s="1257">
        <v>0.08</v>
      </c>
      <c r="U75" s="1158"/>
    </row>
    <row r="76" spans="2:21" ht="15.75" hidden="1" outlineLevel="1">
      <c r="B76" s="1159"/>
      <c r="C76" s="2476"/>
      <c r="D76" s="2477" t="s">
        <v>148</v>
      </c>
      <c r="E76" s="2478">
        <f t="shared" ref="E76:T76" si="1">SUM(E$73:E$75)</f>
        <v>1</v>
      </c>
      <c r="F76" s="2478">
        <f t="shared" si="1"/>
        <v>1</v>
      </c>
      <c r="G76" s="2478">
        <f t="shared" si="1"/>
        <v>1</v>
      </c>
      <c r="H76" s="2478">
        <f t="shared" si="1"/>
        <v>1</v>
      </c>
      <c r="I76" s="2478">
        <f t="shared" si="1"/>
        <v>1</v>
      </c>
      <c r="J76" s="2478">
        <f t="shared" si="1"/>
        <v>1</v>
      </c>
      <c r="K76" s="2478">
        <f t="shared" si="1"/>
        <v>1</v>
      </c>
      <c r="L76" s="2478">
        <f t="shared" si="1"/>
        <v>1</v>
      </c>
      <c r="M76" s="2478">
        <f t="shared" si="1"/>
        <v>1</v>
      </c>
      <c r="N76" s="2478">
        <f t="shared" si="1"/>
        <v>1</v>
      </c>
      <c r="O76" s="2478">
        <f t="shared" si="1"/>
        <v>1</v>
      </c>
      <c r="P76" s="2478">
        <f t="shared" si="1"/>
        <v>1</v>
      </c>
      <c r="Q76" s="2478">
        <f t="shared" si="1"/>
        <v>1</v>
      </c>
      <c r="R76" s="2478">
        <f t="shared" si="1"/>
        <v>1</v>
      </c>
      <c r="S76" s="2478">
        <f t="shared" si="1"/>
        <v>1</v>
      </c>
      <c r="T76" s="2478">
        <f t="shared" si="1"/>
        <v>1</v>
      </c>
      <c r="U76" s="1158"/>
    </row>
    <row r="77" spans="2:21" ht="15.75" hidden="1" outlineLevel="1">
      <c r="B77" s="1159"/>
      <c r="C77" s="831"/>
      <c r="D77" s="832"/>
      <c r="E77" s="832"/>
      <c r="F77" s="865"/>
      <c r="G77" s="865"/>
      <c r="H77" s="865"/>
      <c r="I77" s="865"/>
      <c r="J77" s="865"/>
      <c r="K77" s="865"/>
      <c r="L77" s="865"/>
      <c r="M77" s="865"/>
      <c r="N77" s="865"/>
      <c r="O77" s="865"/>
      <c r="P77" s="864"/>
      <c r="Q77" s="1165"/>
      <c r="R77" s="1165"/>
      <c r="S77" s="1165"/>
      <c r="T77" s="1165"/>
      <c r="U77" s="1166"/>
    </row>
    <row r="78" spans="2:21" hidden="1" outlineLevel="1">
      <c r="B78" s="1157"/>
      <c r="C78" s="864"/>
      <c r="D78" s="864"/>
      <c r="E78" s="864"/>
      <c r="F78" s="864"/>
      <c r="G78" s="864"/>
      <c r="H78" s="864"/>
      <c r="I78" s="864"/>
      <c r="J78" s="864"/>
      <c r="K78" s="864"/>
      <c r="L78" s="864"/>
      <c r="M78" s="864"/>
      <c r="N78" s="864"/>
      <c r="O78" s="864"/>
      <c r="P78" s="1158"/>
    </row>
    <row r="79" spans="2:21" hidden="1" outlineLevel="1">
      <c r="B79" s="1163"/>
      <c r="C79" s="1227" t="s">
        <v>717</v>
      </c>
      <c r="D79" s="868" t="s">
        <v>899</v>
      </c>
      <c r="E79" s="864"/>
      <c r="F79" s="864"/>
      <c r="G79" s="864"/>
      <c r="H79" s="864"/>
      <c r="I79" s="864"/>
      <c r="J79" s="864"/>
      <c r="K79" s="864"/>
      <c r="L79" s="864"/>
      <c r="M79" s="864"/>
      <c r="N79" s="864"/>
      <c r="O79" s="864"/>
      <c r="P79" s="1158"/>
    </row>
    <row r="80" spans="2:21" hidden="1" outlineLevel="1">
      <c r="B80" s="1163"/>
      <c r="C80" s="1226" t="s">
        <v>109</v>
      </c>
      <c r="D80" s="868" t="s">
        <v>1849</v>
      </c>
      <c r="E80" s="864"/>
      <c r="F80" s="864"/>
      <c r="G80" s="864"/>
      <c r="H80" s="864"/>
      <c r="I80" s="864"/>
      <c r="J80" s="864"/>
      <c r="K80" s="864"/>
      <c r="L80" s="864"/>
      <c r="M80" s="864"/>
      <c r="N80" s="864"/>
      <c r="O80" s="864"/>
      <c r="P80" s="1158"/>
    </row>
    <row r="81" spans="1:16" hidden="1" outlineLevel="1">
      <c r="B81" s="1163"/>
      <c r="C81" s="1226"/>
      <c r="D81" s="868" t="s">
        <v>1850</v>
      </c>
      <c r="E81" s="864"/>
      <c r="F81" s="864"/>
      <c r="G81" s="864"/>
      <c r="H81" s="864"/>
      <c r="I81" s="864"/>
      <c r="J81" s="864"/>
      <c r="K81" s="864"/>
      <c r="L81" s="864"/>
      <c r="M81" s="864"/>
      <c r="N81" s="864"/>
      <c r="O81" s="864"/>
      <c r="P81" s="1158"/>
    </row>
    <row r="82" spans="1:16" ht="15.75" hidden="1" outlineLevel="1">
      <c r="B82" s="1193"/>
      <c r="C82" s="1194"/>
      <c r="D82" s="1195"/>
      <c r="E82" s="1195"/>
      <c r="F82" s="1196"/>
      <c r="G82" s="1197"/>
      <c r="H82" s="1197"/>
      <c r="I82" s="1197"/>
      <c r="J82" s="1197"/>
      <c r="K82" s="1197"/>
      <c r="L82" s="1197"/>
      <c r="M82" s="1197"/>
      <c r="N82" s="1197"/>
      <c r="O82" s="1197"/>
      <c r="P82" s="1166"/>
    </row>
    <row r="84" spans="1:16" s="743" customFormat="1" ht="22.5" collapsed="1">
      <c r="A84" s="1170"/>
      <c r="B84" s="1236" t="s">
        <v>786</v>
      </c>
      <c r="C84" s="1167"/>
      <c r="D84" s="1167"/>
      <c r="E84" s="1167"/>
      <c r="F84" s="1167"/>
      <c r="G84" s="1167"/>
      <c r="H84" s="1167"/>
      <c r="I84" s="1167"/>
      <c r="J84" s="1167"/>
      <c r="K84" s="1167"/>
      <c r="L84" s="1167"/>
      <c r="M84" s="1167"/>
      <c r="N84" s="1167"/>
      <c r="O84" s="1167"/>
      <c r="P84" s="1168"/>
    </row>
    <row r="85" spans="1:16" hidden="1" outlineLevel="1">
      <c r="B85" s="1157"/>
      <c r="C85" s="864"/>
      <c r="D85" s="864"/>
      <c r="E85" s="864"/>
      <c r="F85" s="864"/>
      <c r="G85" s="864"/>
      <c r="H85" s="864"/>
      <c r="I85" s="864"/>
      <c r="J85" s="864"/>
      <c r="K85" s="864"/>
      <c r="L85" s="864"/>
      <c r="M85" s="864"/>
      <c r="N85" s="864"/>
      <c r="O85" s="864"/>
      <c r="P85" s="1158"/>
    </row>
    <row r="86" spans="1:16" hidden="1" outlineLevel="1">
      <c r="B86" s="1157"/>
      <c r="C86" s="866" t="s">
        <v>1843</v>
      </c>
      <c r="D86" s="864"/>
      <c r="E86" s="864"/>
      <c r="F86" s="864"/>
      <c r="G86" s="864"/>
      <c r="H86" s="864"/>
      <c r="I86" s="864"/>
      <c r="J86" s="864"/>
      <c r="K86" s="864"/>
      <c r="L86" s="864"/>
      <c r="M86" s="864"/>
      <c r="N86" s="864"/>
      <c r="O86" s="867" t="s">
        <v>1629</v>
      </c>
      <c r="P86" s="1158"/>
    </row>
    <row r="87" spans="1:16" ht="5.25" hidden="1" customHeight="1" outlineLevel="1">
      <c r="B87" s="1157"/>
      <c r="C87" s="864"/>
      <c r="D87" s="864"/>
      <c r="E87" s="864"/>
      <c r="F87" s="864"/>
      <c r="G87" s="864"/>
      <c r="H87" s="864"/>
      <c r="I87" s="864"/>
      <c r="J87" s="864"/>
      <c r="K87" s="864"/>
      <c r="L87" s="864"/>
      <c r="M87" s="864"/>
      <c r="N87" s="864"/>
      <c r="O87" s="864"/>
      <c r="P87" s="1158"/>
    </row>
    <row r="88" spans="1:16" ht="15.75" hidden="1" outlineLevel="1">
      <c r="B88" s="1159"/>
      <c r="C88" s="766"/>
      <c r="D88" s="766" t="s">
        <v>79</v>
      </c>
      <c r="E88" s="771"/>
      <c r="F88" s="923">
        <v>2007</v>
      </c>
      <c r="G88" s="924">
        <v>2010</v>
      </c>
      <c r="H88" s="923">
        <v>2015</v>
      </c>
      <c r="I88" s="923">
        <v>2020</v>
      </c>
      <c r="J88" s="923">
        <v>2025</v>
      </c>
      <c r="K88" s="923">
        <v>2030</v>
      </c>
      <c r="L88" s="923">
        <v>2035</v>
      </c>
      <c r="M88" s="923">
        <v>2040</v>
      </c>
      <c r="N88" s="923">
        <v>2045</v>
      </c>
      <c r="O88" s="923">
        <v>2050</v>
      </c>
      <c r="P88" s="1158"/>
    </row>
    <row r="89" spans="1:16" ht="15.75" hidden="1" outlineLevel="1">
      <c r="B89" s="1159"/>
      <c r="C89" s="899"/>
      <c r="D89" s="900" t="s">
        <v>1628</v>
      </c>
      <c r="E89" s="920"/>
      <c r="F89" s="916">
        <v>0</v>
      </c>
      <c r="G89" s="917">
        <v>0.01</v>
      </c>
      <c r="H89" s="916">
        <v>0.04</v>
      </c>
      <c r="I89" s="916">
        <v>0.08</v>
      </c>
      <c r="J89" s="916">
        <v>0.08</v>
      </c>
      <c r="K89" s="916">
        <v>0.08</v>
      </c>
      <c r="L89" s="916">
        <v>0.08</v>
      </c>
      <c r="M89" s="916">
        <v>0.08</v>
      </c>
      <c r="N89" s="916">
        <v>0.08</v>
      </c>
      <c r="O89" s="916">
        <v>0.08</v>
      </c>
      <c r="P89" s="1158"/>
    </row>
    <row r="90" spans="1:16" hidden="1" outlineLevel="1">
      <c r="B90" s="1157"/>
      <c r="C90" s="864"/>
      <c r="D90" s="864"/>
      <c r="E90" s="864"/>
      <c r="F90" s="864"/>
      <c r="G90" s="864"/>
      <c r="H90" s="864"/>
      <c r="I90" s="864"/>
      <c r="J90" s="864"/>
      <c r="K90" s="864"/>
      <c r="L90" s="864"/>
      <c r="M90" s="864"/>
      <c r="N90" s="864"/>
      <c r="O90" s="864"/>
      <c r="P90" s="1158"/>
    </row>
    <row r="91" spans="1:16" hidden="1" outlineLevel="1">
      <c r="B91" s="1157"/>
      <c r="C91" s="866" t="s">
        <v>1283</v>
      </c>
      <c r="D91" s="864"/>
      <c r="E91" s="864"/>
      <c r="F91" s="864"/>
      <c r="G91" s="867"/>
      <c r="H91" s="864"/>
      <c r="I91" s="864"/>
      <c r="J91" s="864"/>
      <c r="K91" s="864"/>
      <c r="L91" s="864"/>
      <c r="M91" s="864"/>
      <c r="N91" s="864"/>
      <c r="O91" s="867" t="s">
        <v>1287</v>
      </c>
      <c r="P91" s="1158"/>
    </row>
    <row r="92" spans="1:16" ht="5.25" hidden="1" customHeight="1" outlineLevel="1">
      <c r="B92" s="1157"/>
      <c r="C92" s="864"/>
      <c r="D92" s="864"/>
      <c r="E92" s="864"/>
      <c r="F92" s="864"/>
      <c r="G92" s="864"/>
      <c r="H92" s="864"/>
      <c r="I92" s="864"/>
      <c r="J92" s="864"/>
      <c r="K92" s="864"/>
      <c r="L92" s="864"/>
      <c r="M92" s="864"/>
      <c r="N92" s="864"/>
      <c r="O92" s="864"/>
      <c r="P92" s="1158"/>
    </row>
    <row r="93" spans="1:16" ht="33.75" hidden="1" outlineLevel="1">
      <c r="B93" s="1157"/>
      <c r="C93" s="871"/>
      <c r="D93" s="871"/>
      <c r="E93" s="871"/>
      <c r="F93" s="874" t="str">
        <f>INDEX(Vectors[Description], MATCH(F94, Vectors[Code], 0))</f>
        <v>Electricity (delivered to end user)</v>
      </c>
      <c r="G93" s="874" t="str">
        <f>INDEX(Vectors[Description], MATCH(G94, Vectors[Code], 0))</f>
        <v>Electricity (supplied to grid)</v>
      </c>
      <c r="H93" s="874" t="str">
        <f>INDEX(Vectors[Description], MATCH(H94, Vectors[Code], 0))</f>
        <v>Solid hydrocarbons</v>
      </c>
      <c r="I93" s="874" t="str">
        <f>INDEX(Vectors[Description], MATCH(I94, Vectors[Code], 0))</f>
        <v>Liquid hydrocarbons</v>
      </c>
      <c r="J93" s="874" t="str">
        <f>INDEX(Vectors[Description], MATCH(J94, Vectors[Code], 0))</f>
        <v>Gaseous hydrocarbons</v>
      </c>
      <c r="K93" s="874" t="str">
        <f>INDEX(Vectors[Description], MATCH(K94, Vectors[Code], 0))</f>
        <v>Heat transport</v>
      </c>
      <c r="L93" s="874" t="str">
        <f>INDEX(Vectors[Description], MATCH(L94, Vectors[Code], 0))</f>
        <v>Environmental heat</v>
      </c>
      <c r="M93" s="874" t="str">
        <f>INDEX(Vectors[Description], MATCH(M94, Vectors[Code], 0))</f>
        <v>Heating and cooling</v>
      </c>
      <c r="N93" s="874" t="str">
        <f>INDEX(Vectors[Description], MATCH(N94, Vectors[Code], 0))</f>
        <v>Conversion losses</v>
      </c>
      <c r="O93" s="877" t="s">
        <v>849</v>
      </c>
      <c r="P93" s="1158"/>
    </row>
    <row r="94" spans="1:16" ht="15.75" hidden="1" outlineLevel="1">
      <c r="B94" s="1159"/>
      <c r="C94" s="872" t="s">
        <v>83</v>
      </c>
      <c r="D94" s="872" t="s">
        <v>831</v>
      </c>
      <c r="E94" s="872" t="s">
        <v>442</v>
      </c>
      <c r="F94" s="873" t="s">
        <v>45</v>
      </c>
      <c r="G94" s="873" t="s">
        <v>46</v>
      </c>
      <c r="H94" s="873" t="s">
        <v>47</v>
      </c>
      <c r="I94" s="873" t="s">
        <v>49</v>
      </c>
      <c r="J94" s="873" t="s">
        <v>50</v>
      </c>
      <c r="K94" s="873" t="s">
        <v>753</v>
      </c>
      <c r="L94" s="873" t="s">
        <v>104</v>
      </c>
      <c r="M94" s="873" t="s">
        <v>6</v>
      </c>
      <c r="N94" s="873" t="s">
        <v>34</v>
      </c>
      <c r="O94" s="878"/>
      <c r="P94" s="1158"/>
    </row>
    <row r="95" spans="1:16" ht="15.75" hidden="1" outlineLevel="1">
      <c r="B95" s="1159"/>
      <c r="C95" s="831">
        <v>1</v>
      </c>
      <c r="D95" s="832" t="str">
        <f>INDEX($D$55:$D$67, MATCH($C95, $C$55:$C$67, 0))</f>
        <v>Gas boiler (old)</v>
      </c>
      <c r="E95" s="832"/>
      <c r="F95" s="865"/>
      <c r="G95" s="865"/>
      <c r="H95" s="865"/>
      <c r="I95" s="865"/>
      <c r="J95" s="865">
        <v>-1</v>
      </c>
      <c r="K95" s="865"/>
      <c r="L95" s="865"/>
      <c r="M95" s="865">
        <v>0.76</v>
      </c>
      <c r="N95" s="865">
        <v>0.24</v>
      </c>
      <c r="O95" s="856">
        <f t="shared" ref="O95:O107" si="2">SUM(F95:N95)</f>
        <v>0</v>
      </c>
      <c r="P95" s="1158"/>
    </row>
    <row r="96" spans="1:16" ht="15.75" hidden="1" outlineLevel="1">
      <c r="B96" s="1159"/>
      <c r="C96" s="831">
        <v>2</v>
      </c>
      <c r="D96" s="832" t="str">
        <f t="shared" ref="D96:D107" si="3">INDEX($D$55:$D$67, MATCH($C96, $C$55:$C$67, 0))</f>
        <v>Gas boiler (new)</v>
      </c>
      <c r="E96" s="832"/>
      <c r="F96" s="865"/>
      <c r="G96" s="865"/>
      <c r="H96" s="865"/>
      <c r="I96" s="865"/>
      <c r="J96" s="865">
        <v>-1</v>
      </c>
      <c r="K96" s="865"/>
      <c r="L96" s="865"/>
      <c r="M96" s="865">
        <v>0.91</v>
      </c>
      <c r="N96" s="865">
        <v>0.09</v>
      </c>
      <c r="O96" s="856">
        <f t="shared" si="2"/>
        <v>0</v>
      </c>
      <c r="P96" s="1158"/>
    </row>
    <row r="97" spans="2:16" ht="15.75" hidden="1" outlineLevel="1">
      <c r="B97" s="1159"/>
      <c r="C97" s="831">
        <v>3</v>
      </c>
      <c r="D97" s="832" t="str">
        <f t="shared" si="3"/>
        <v>Resisitive heating</v>
      </c>
      <c r="E97" s="832"/>
      <c r="F97" s="865">
        <v>-1</v>
      </c>
      <c r="G97" s="865"/>
      <c r="H97" s="865"/>
      <c r="I97" s="865"/>
      <c r="J97" s="865"/>
      <c r="K97" s="865"/>
      <c r="L97" s="865"/>
      <c r="M97" s="865">
        <v>1</v>
      </c>
      <c r="N97" s="865">
        <v>0</v>
      </c>
      <c r="O97" s="856">
        <f t="shared" si="2"/>
        <v>0</v>
      </c>
      <c r="P97" s="1158"/>
    </row>
    <row r="98" spans="2:16" ht="15.75" hidden="1" outlineLevel="1">
      <c r="B98" s="1159"/>
      <c r="C98" s="831">
        <v>4</v>
      </c>
      <c r="D98" s="832" t="str">
        <f t="shared" si="3"/>
        <v>Oil-fired boiler</v>
      </c>
      <c r="E98" s="832"/>
      <c r="F98" s="865"/>
      <c r="G98" s="865"/>
      <c r="H98" s="865"/>
      <c r="I98" s="865">
        <v>-1</v>
      </c>
      <c r="J98" s="865"/>
      <c r="K98" s="865"/>
      <c r="L98" s="865"/>
      <c r="M98" s="865">
        <v>0.97</v>
      </c>
      <c r="N98" s="865">
        <v>0.03</v>
      </c>
      <c r="O98" s="856">
        <f t="shared" si="2"/>
        <v>-2.7755575615628914E-17</v>
      </c>
      <c r="P98" s="1158"/>
    </row>
    <row r="99" spans="2:16" ht="15.75" hidden="1" outlineLevel="1">
      <c r="B99" s="1159"/>
      <c r="C99" s="831">
        <v>5</v>
      </c>
      <c r="D99" s="832" t="str">
        <f t="shared" si="3"/>
        <v>Solid-fuel boiler</v>
      </c>
      <c r="E99" s="832"/>
      <c r="F99" s="865"/>
      <c r="G99" s="865"/>
      <c r="H99" s="865">
        <v>-1</v>
      </c>
      <c r="I99" s="865"/>
      <c r="J99" s="865"/>
      <c r="K99" s="865"/>
      <c r="L99" s="865"/>
      <c r="M99" s="865">
        <v>0.87</v>
      </c>
      <c r="N99" s="865">
        <v>0.13</v>
      </c>
      <c r="O99" s="856">
        <f t="shared" si="2"/>
        <v>0</v>
      </c>
      <c r="P99" s="1158"/>
    </row>
    <row r="100" spans="2:16" ht="15.75" hidden="1" outlineLevel="1">
      <c r="B100" s="1159"/>
      <c r="C100" s="831">
        <v>6</v>
      </c>
      <c r="D100" s="832" t="str">
        <f t="shared" si="3"/>
        <v>Stirling engine μCHP</v>
      </c>
      <c r="E100" s="832"/>
      <c r="F100" s="865"/>
      <c r="G100" s="865">
        <v>0.22500000000000001</v>
      </c>
      <c r="H100" s="865"/>
      <c r="I100" s="865"/>
      <c r="J100" s="865">
        <v>-1</v>
      </c>
      <c r="K100" s="865"/>
      <c r="L100" s="865"/>
      <c r="M100" s="865">
        <v>0.63</v>
      </c>
      <c r="N100" s="865">
        <v>0.14499999999999999</v>
      </c>
      <c r="O100" s="856">
        <f t="shared" si="2"/>
        <v>0</v>
      </c>
      <c r="P100" s="1158"/>
    </row>
    <row r="101" spans="2:16" ht="15.75" hidden="1" outlineLevel="1">
      <c r="B101" s="1159"/>
      <c r="C101" s="831">
        <v>7</v>
      </c>
      <c r="D101" s="832" t="str">
        <f t="shared" si="3"/>
        <v>Fuel-cell μCHP</v>
      </c>
      <c r="E101" s="832"/>
      <c r="F101" s="865"/>
      <c r="G101" s="865">
        <v>0.45</v>
      </c>
      <c r="H101" s="865"/>
      <c r="I101" s="865"/>
      <c r="J101" s="865">
        <v>-1</v>
      </c>
      <c r="K101" s="865"/>
      <c r="L101" s="865"/>
      <c r="M101" s="865">
        <v>0.45</v>
      </c>
      <c r="N101" s="865">
        <v>0.1</v>
      </c>
      <c r="O101" s="856">
        <f t="shared" si="2"/>
        <v>0</v>
      </c>
      <c r="P101" s="1158"/>
    </row>
    <row r="102" spans="2:16" ht="15.75" hidden="1" outlineLevel="1">
      <c r="B102" s="1159"/>
      <c r="C102" s="831">
        <v>8</v>
      </c>
      <c r="D102" s="832" t="str">
        <f t="shared" si="3"/>
        <v>Air-source heat pump</v>
      </c>
      <c r="E102" s="832"/>
      <c r="F102" s="865">
        <v>-1</v>
      </c>
      <c r="G102" s="865"/>
      <c r="H102" s="865"/>
      <c r="I102" s="865"/>
      <c r="J102" s="865"/>
      <c r="K102" s="865"/>
      <c r="L102" s="865">
        <v>-2</v>
      </c>
      <c r="M102" s="865">
        <v>3</v>
      </c>
      <c r="N102" s="865"/>
      <c r="O102" s="856">
        <f t="shared" si="2"/>
        <v>0</v>
      </c>
      <c r="P102" s="1158"/>
    </row>
    <row r="103" spans="2:16" ht="15.75" hidden="1" outlineLevel="1">
      <c r="B103" s="1159"/>
      <c r="C103" s="831">
        <v>9</v>
      </c>
      <c r="D103" s="832" t="str">
        <f t="shared" si="3"/>
        <v>Ground-source heat pump</v>
      </c>
      <c r="E103" s="832"/>
      <c r="F103" s="865">
        <v>-1</v>
      </c>
      <c r="G103" s="865"/>
      <c r="H103" s="865"/>
      <c r="I103" s="865"/>
      <c r="J103" s="865"/>
      <c r="K103" s="865"/>
      <c r="L103" s="865">
        <v>-3</v>
      </c>
      <c r="M103" s="865">
        <v>4</v>
      </c>
      <c r="N103" s="865"/>
      <c r="O103" s="856">
        <f t="shared" si="2"/>
        <v>0</v>
      </c>
      <c r="P103" s="1158"/>
    </row>
    <row r="104" spans="2:16" ht="15.75" hidden="1" outlineLevel="1">
      <c r="B104" s="1159"/>
      <c r="C104" s="831">
        <v>10</v>
      </c>
      <c r="D104" s="832" t="str">
        <f t="shared" si="3"/>
        <v>Geothermal</v>
      </c>
      <c r="E104" s="832"/>
      <c r="F104" s="865"/>
      <c r="G104" s="865"/>
      <c r="H104" s="865"/>
      <c r="I104" s="865"/>
      <c r="J104" s="865"/>
      <c r="K104" s="865"/>
      <c r="L104" s="865">
        <v>-1</v>
      </c>
      <c r="M104" s="865">
        <v>0.85</v>
      </c>
      <c r="N104" s="865">
        <v>0.15</v>
      </c>
      <c r="O104" s="856">
        <f t="shared" si="2"/>
        <v>0</v>
      </c>
      <c r="P104" s="1158"/>
    </row>
    <row r="105" spans="2:16" ht="15.75" hidden="1" outlineLevel="1">
      <c r="B105" s="1159"/>
      <c r="C105" s="831">
        <v>11</v>
      </c>
      <c r="D105" s="832" t="str">
        <f t="shared" si="3"/>
        <v>Community scale gas CHP</v>
      </c>
      <c r="E105" s="832"/>
      <c r="F105" s="865"/>
      <c r="G105" s="865">
        <v>0.38</v>
      </c>
      <c r="H105" s="865"/>
      <c r="I105" s="865"/>
      <c r="J105" s="865">
        <v>-1</v>
      </c>
      <c r="K105" s="865"/>
      <c r="L105" s="865"/>
      <c r="M105" s="865">
        <v>0.38</v>
      </c>
      <c r="N105" s="865">
        <v>0.24</v>
      </c>
      <c r="O105" s="856">
        <f t="shared" si="2"/>
        <v>0</v>
      </c>
      <c r="P105" s="1158"/>
    </row>
    <row r="106" spans="2:16" ht="15.75" hidden="1" outlineLevel="1">
      <c r="B106" s="1159"/>
      <c r="C106" s="831">
        <v>12</v>
      </c>
      <c r="D106" s="832" t="str">
        <f t="shared" si="3"/>
        <v>Community scale solid-fuel CHP</v>
      </c>
      <c r="E106" s="832"/>
      <c r="F106" s="865"/>
      <c r="G106" s="865">
        <v>0.17</v>
      </c>
      <c r="H106" s="865">
        <v>-1</v>
      </c>
      <c r="I106" s="865"/>
      <c r="J106" s="865"/>
      <c r="K106" s="865"/>
      <c r="L106" s="865"/>
      <c r="M106" s="865">
        <v>0.56999999999999995</v>
      </c>
      <c r="N106" s="865">
        <v>0.26</v>
      </c>
      <c r="O106" s="856">
        <f t="shared" si="2"/>
        <v>0</v>
      </c>
      <c r="P106" s="1158"/>
    </row>
    <row r="107" spans="2:16" ht="15.75" hidden="1" outlineLevel="1">
      <c r="B107" s="1159"/>
      <c r="C107" s="769">
        <v>13</v>
      </c>
      <c r="D107" s="770" t="str">
        <f t="shared" si="3"/>
        <v>District heating from power stations</v>
      </c>
      <c r="E107" s="770"/>
      <c r="F107" s="777"/>
      <c r="G107" s="876"/>
      <c r="H107" s="876"/>
      <c r="I107" s="876"/>
      <c r="J107" s="876"/>
      <c r="K107" s="876">
        <v>-1</v>
      </c>
      <c r="L107" s="876"/>
      <c r="M107" s="876">
        <v>0.9</v>
      </c>
      <c r="N107" s="876">
        <v>0.1</v>
      </c>
      <c r="O107" s="858">
        <f t="shared" si="2"/>
        <v>0</v>
      </c>
      <c r="P107" s="1158"/>
    </row>
    <row r="108" spans="2:16" hidden="1" outlineLevel="1">
      <c r="B108" s="1157"/>
      <c r="C108" s="864"/>
      <c r="D108" s="864"/>
      <c r="E108" s="864"/>
      <c r="F108" s="864"/>
      <c r="G108" s="864"/>
      <c r="H108" s="864"/>
      <c r="I108" s="864"/>
      <c r="J108" s="864"/>
      <c r="K108" s="864"/>
      <c r="L108" s="864"/>
      <c r="M108" s="864"/>
      <c r="N108" s="864"/>
      <c r="O108" s="864"/>
      <c r="P108" s="1158"/>
    </row>
    <row r="109" spans="2:16" hidden="1" outlineLevel="1">
      <c r="B109" s="1157"/>
      <c r="C109" s="866" t="s">
        <v>1284</v>
      </c>
      <c r="D109" s="864"/>
      <c r="E109" s="864"/>
      <c r="F109" s="864"/>
      <c r="G109" s="867"/>
      <c r="H109" s="864"/>
      <c r="I109" s="864"/>
      <c r="J109" s="864"/>
      <c r="K109" s="864"/>
      <c r="L109" s="864"/>
      <c r="M109" s="864"/>
      <c r="N109" s="864"/>
      <c r="O109" s="867" t="s">
        <v>1287</v>
      </c>
      <c r="P109" s="1158"/>
    </row>
    <row r="110" spans="2:16" ht="5.25" hidden="1" customHeight="1" outlineLevel="1">
      <c r="B110" s="1157"/>
      <c r="C110" s="864"/>
      <c r="D110" s="864"/>
      <c r="E110" s="864"/>
      <c r="F110" s="864"/>
      <c r="G110" s="864"/>
      <c r="H110" s="864"/>
      <c r="I110" s="864"/>
      <c r="J110" s="864"/>
      <c r="K110" s="864"/>
      <c r="L110" s="864"/>
      <c r="M110" s="864"/>
      <c r="N110" s="864"/>
      <c r="O110" s="864"/>
      <c r="P110" s="1158"/>
    </row>
    <row r="111" spans="2:16" ht="33.75" hidden="1" outlineLevel="1">
      <c r="B111" s="1157"/>
      <c r="C111" s="871"/>
      <c r="D111" s="871"/>
      <c r="E111" s="871"/>
      <c r="F111" s="874" t="str">
        <f>INDEX(Vectors[Description], MATCH(F112, Vectors[Code], 0))</f>
        <v>Electricity (delivered to end user)</v>
      </c>
      <c r="G111" s="874" t="str">
        <f>INDEX(Vectors[Description], MATCH(G112, Vectors[Code], 0))</f>
        <v>Electricity (supplied to grid)</v>
      </c>
      <c r="H111" s="874" t="str">
        <f>INDEX(Vectors[Description], MATCH(H112, Vectors[Code], 0))</f>
        <v>Solid hydrocarbons</v>
      </c>
      <c r="I111" s="874" t="str">
        <f>INDEX(Vectors[Description], MATCH(I112, Vectors[Code], 0))</f>
        <v>Liquid hydrocarbons</v>
      </c>
      <c r="J111" s="874" t="str">
        <f>INDEX(Vectors[Description], MATCH(J112, Vectors[Code], 0))</f>
        <v>Gaseous hydrocarbons</v>
      </c>
      <c r="K111" s="874" t="str">
        <f>INDEX(Vectors[Description], MATCH(K112, Vectors[Code], 0))</f>
        <v>Heat transport</v>
      </c>
      <c r="L111" s="874" t="str">
        <f>INDEX(Vectors[Description], MATCH(L112, Vectors[Code], 0))</f>
        <v>Environmental heat</v>
      </c>
      <c r="M111" s="874" t="str">
        <f>INDEX(Vectors[Description], MATCH(M112, Vectors[Code], 0))</f>
        <v>Heating and cooling</v>
      </c>
      <c r="N111" s="874" t="str">
        <f>INDEX(Vectors[Description], MATCH(N112, Vectors[Code], 0))</f>
        <v>Conversion losses</v>
      </c>
      <c r="O111" s="877" t="s">
        <v>849</v>
      </c>
      <c r="P111" s="1158"/>
    </row>
    <row r="112" spans="2:16" ht="15.75" hidden="1" outlineLevel="1">
      <c r="B112" s="1159"/>
      <c r="C112" s="872" t="s">
        <v>83</v>
      </c>
      <c r="D112" s="872" t="s">
        <v>831</v>
      </c>
      <c r="E112" s="872" t="s">
        <v>442</v>
      </c>
      <c r="F112" s="873" t="s">
        <v>45</v>
      </c>
      <c r="G112" s="873" t="s">
        <v>46</v>
      </c>
      <c r="H112" s="873" t="s">
        <v>47</v>
      </c>
      <c r="I112" s="873" t="s">
        <v>49</v>
      </c>
      <c r="J112" s="873" t="s">
        <v>50</v>
      </c>
      <c r="K112" s="873" t="s">
        <v>753</v>
      </c>
      <c r="L112" s="873" t="s">
        <v>104</v>
      </c>
      <c r="M112" s="873" t="s">
        <v>6</v>
      </c>
      <c r="N112" s="873" t="s">
        <v>34</v>
      </c>
      <c r="O112" s="878"/>
      <c r="P112" s="1158"/>
    </row>
    <row r="113" spans="2:16" ht="15.75" hidden="1" outlineLevel="1">
      <c r="B113" s="1159"/>
      <c r="C113" s="831">
        <v>1</v>
      </c>
      <c r="D113" s="832" t="str">
        <f t="shared" ref="D113:D125" si="4">INDEX($D$55:$D$67, MATCH($C113, $C$55:$C$67, 0))</f>
        <v>Gas boiler (old)</v>
      </c>
      <c r="E113" s="832"/>
      <c r="F113" s="865"/>
      <c r="G113" s="865"/>
      <c r="H113" s="865"/>
      <c r="I113" s="865"/>
      <c r="J113" s="865">
        <v>-1</v>
      </c>
      <c r="K113" s="865"/>
      <c r="L113" s="865"/>
      <c r="M113" s="865">
        <v>0.76</v>
      </c>
      <c r="N113" s="865">
        <v>0.24</v>
      </c>
      <c r="O113" s="856">
        <f t="shared" ref="O113:O125" si="5">SUM(F113:N113)</f>
        <v>0</v>
      </c>
      <c r="P113" s="1158"/>
    </row>
    <row r="114" spans="2:16" ht="15.75" hidden="1" outlineLevel="1">
      <c r="B114" s="1159"/>
      <c r="C114" s="831">
        <v>2</v>
      </c>
      <c r="D114" s="832" t="str">
        <f t="shared" si="4"/>
        <v>Gas boiler (new)</v>
      </c>
      <c r="E114" s="832"/>
      <c r="F114" s="865"/>
      <c r="G114" s="865"/>
      <c r="H114" s="865"/>
      <c r="I114" s="865"/>
      <c r="J114" s="865">
        <v>-1</v>
      </c>
      <c r="K114" s="865"/>
      <c r="L114" s="865"/>
      <c r="M114" s="865">
        <v>0.91</v>
      </c>
      <c r="N114" s="865">
        <v>0.09</v>
      </c>
      <c r="O114" s="856">
        <f t="shared" si="5"/>
        <v>0</v>
      </c>
      <c r="P114" s="1158"/>
    </row>
    <row r="115" spans="2:16" ht="15.75" hidden="1" outlineLevel="1">
      <c r="B115" s="1159"/>
      <c r="C115" s="831">
        <v>3</v>
      </c>
      <c r="D115" s="832" t="str">
        <f t="shared" si="4"/>
        <v>Resisitive heating</v>
      </c>
      <c r="E115" s="832"/>
      <c r="F115" s="865">
        <v>-1</v>
      </c>
      <c r="G115" s="865"/>
      <c r="H115" s="865"/>
      <c r="I115" s="865"/>
      <c r="J115" s="865"/>
      <c r="K115" s="865"/>
      <c r="L115" s="865"/>
      <c r="M115" s="865">
        <v>1</v>
      </c>
      <c r="N115" s="865">
        <v>0</v>
      </c>
      <c r="O115" s="856">
        <f t="shared" si="5"/>
        <v>0</v>
      </c>
      <c r="P115" s="1158"/>
    </row>
    <row r="116" spans="2:16" ht="15.75" hidden="1" outlineLevel="1">
      <c r="B116" s="1159"/>
      <c r="C116" s="831">
        <v>4</v>
      </c>
      <c r="D116" s="832" t="str">
        <f t="shared" si="4"/>
        <v>Oil-fired boiler</v>
      </c>
      <c r="E116" s="832"/>
      <c r="F116" s="865"/>
      <c r="G116" s="865"/>
      <c r="H116" s="865"/>
      <c r="I116" s="865">
        <v>-1</v>
      </c>
      <c r="J116" s="865"/>
      <c r="K116" s="865"/>
      <c r="L116" s="865"/>
      <c r="M116" s="865">
        <v>0.97</v>
      </c>
      <c r="N116" s="865">
        <v>0.03</v>
      </c>
      <c r="O116" s="856">
        <f t="shared" si="5"/>
        <v>-2.7755575615628914E-17</v>
      </c>
      <c r="P116" s="1158"/>
    </row>
    <row r="117" spans="2:16" ht="15.75" hidden="1" outlineLevel="1">
      <c r="B117" s="1159"/>
      <c r="C117" s="831">
        <v>5</v>
      </c>
      <c r="D117" s="832" t="str">
        <f t="shared" si="4"/>
        <v>Solid-fuel boiler</v>
      </c>
      <c r="E117" s="832"/>
      <c r="F117" s="865"/>
      <c r="G117" s="865"/>
      <c r="H117" s="865">
        <v>-1</v>
      </c>
      <c r="I117" s="865"/>
      <c r="J117" s="865"/>
      <c r="K117" s="865"/>
      <c r="L117" s="865"/>
      <c r="M117" s="865">
        <v>0.87</v>
      </c>
      <c r="N117" s="865">
        <v>0.13</v>
      </c>
      <c r="O117" s="856">
        <f t="shared" si="5"/>
        <v>0</v>
      </c>
      <c r="P117" s="1158"/>
    </row>
    <row r="118" spans="2:16" ht="15.75" hidden="1" outlineLevel="1">
      <c r="B118" s="1159"/>
      <c r="C118" s="831">
        <v>6</v>
      </c>
      <c r="D118" s="832" t="str">
        <f t="shared" si="4"/>
        <v>Stirling engine μCHP</v>
      </c>
      <c r="E118" s="832"/>
      <c r="F118" s="865"/>
      <c r="G118" s="865">
        <v>0.22500000000000001</v>
      </c>
      <c r="H118" s="865"/>
      <c r="I118" s="865"/>
      <c r="J118" s="865">
        <v>-1</v>
      </c>
      <c r="K118" s="865"/>
      <c r="L118" s="865"/>
      <c r="M118" s="865">
        <v>0.63</v>
      </c>
      <c r="N118" s="865">
        <v>0.14499999999999999</v>
      </c>
      <c r="O118" s="856">
        <f t="shared" si="5"/>
        <v>0</v>
      </c>
      <c r="P118" s="1158"/>
    </row>
    <row r="119" spans="2:16" ht="15.75" hidden="1" outlineLevel="1">
      <c r="B119" s="1159"/>
      <c r="C119" s="831">
        <v>7</v>
      </c>
      <c r="D119" s="1084" t="str">
        <f t="shared" si="4"/>
        <v>Fuel-cell μCHP</v>
      </c>
      <c r="E119" s="832"/>
      <c r="F119" s="865"/>
      <c r="G119" s="865">
        <v>0.45</v>
      </c>
      <c r="H119" s="865"/>
      <c r="I119" s="865"/>
      <c r="J119" s="865">
        <v>-1</v>
      </c>
      <c r="K119" s="865"/>
      <c r="L119" s="865"/>
      <c r="M119" s="865">
        <v>0.45</v>
      </c>
      <c r="N119" s="865">
        <v>0.1</v>
      </c>
      <c r="O119" s="856">
        <f t="shared" si="5"/>
        <v>0</v>
      </c>
      <c r="P119" s="1158"/>
    </row>
    <row r="120" spans="2:16" ht="15.75" hidden="1" outlineLevel="1">
      <c r="B120" s="1159"/>
      <c r="C120" s="831">
        <v>8</v>
      </c>
      <c r="D120" s="832" t="str">
        <f t="shared" si="4"/>
        <v>Air-source heat pump</v>
      </c>
      <c r="E120" s="832"/>
      <c r="F120" s="865">
        <v>-1</v>
      </c>
      <c r="G120" s="865"/>
      <c r="H120" s="865"/>
      <c r="I120" s="865"/>
      <c r="J120" s="865"/>
      <c r="K120" s="865"/>
      <c r="L120" s="865">
        <v>-1</v>
      </c>
      <c r="M120" s="865">
        <v>2</v>
      </c>
      <c r="N120" s="865"/>
      <c r="O120" s="856">
        <f t="shared" si="5"/>
        <v>0</v>
      </c>
      <c r="P120" s="1158"/>
    </row>
    <row r="121" spans="2:16" ht="15.75" hidden="1" outlineLevel="1">
      <c r="B121" s="1159"/>
      <c r="C121" s="831">
        <v>9</v>
      </c>
      <c r="D121" s="832" t="str">
        <f t="shared" si="4"/>
        <v>Ground-source heat pump</v>
      </c>
      <c r="E121" s="832"/>
      <c r="F121" s="865">
        <v>-1</v>
      </c>
      <c r="G121" s="865"/>
      <c r="H121" s="865"/>
      <c r="I121" s="865"/>
      <c r="J121" s="865"/>
      <c r="K121" s="865"/>
      <c r="L121" s="865">
        <v>-2</v>
      </c>
      <c r="M121" s="865">
        <v>3</v>
      </c>
      <c r="N121" s="865"/>
      <c r="O121" s="856">
        <f t="shared" si="5"/>
        <v>0</v>
      </c>
      <c r="P121" s="1158"/>
    </row>
    <row r="122" spans="2:16" ht="15.75" hidden="1" outlineLevel="1">
      <c r="B122" s="1159"/>
      <c r="C122" s="831">
        <v>10</v>
      </c>
      <c r="D122" s="832" t="str">
        <f t="shared" si="4"/>
        <v>Geothermal</v>
      </c>
      <c r="E122" s="832"/>
      <c r="F122" s="865"/>
      <c r="G122" s="865"/>
      <c r="H122" s="865"/>
      <c r="I122" s="865"/>
      <c r="J122" s="865"/>
      <c r="K122" s="865"/>
      <c r="L122" s="865">
        <v>-1</v>
      </c>
      <c r="M122" s="865">
        <v>0.85</v>
      </c>
      <c r="N122" s="865">
        <v>0.15</v>
      </c>
      <c r="O122" s="856">
        <f t="shared" si="5"/>
        <v>0</v>
      </c>
      <c r="P122" s="1158"/>
    </row>
    <row r="123" spans="2:16" ht="15.75" hidden="1" outlineLevel="1">
      <c r="B123" s="1159"/>
      <c r="C123" s="831">
        <v>11</v>
      </c>
      <c r="D123" s="832" t="str">
        <f t="shared" si="4"/>
        <v>Community scale gas CHP</v>
      </c>
      <c r="E123" s="832"/>
      <c r="F123" s="865"/>
      <c r="G123" s="865">
        <v>0.38</v>
      </c>
      <c r="H123" s="865"/>
      <c r="I123" s="865"/>
      <c r="J123" s="865">
        <v>-1</v>
      </c>
      <c r="K123" s="865"/>
      <c r="L123" s="865"/>
      <c r="M123" s="865">
        <v>0.38</v>
      </c>
      <c r="N123" s="865">
        <v>0.24</v>
      </c>
      <c r="O123" s="856">
        <f t="shared" si="5"/>
        <v>0</v>
      </c>
      <c r="P123" s="1158"/>
    </row>
    <row r="124" spans="2:16" ht="15.75" hidden="1" outlineLevel="1">
      <c r="B124" s="1159"/>
      <c r="C124" s="831">
        <v>12</v>
      </c>
      <c r="D124" s="832" t="str">
        <f t="shared" si="4"/>
        <v>Community scale solid-fuel CHP</v>
      </c>
      <c r="E124" s="832"/>
      <c r="F124" s="865"/>
      <c r="G124" s="865">
        <v>0.17</v>
      </c>
      <c r="H124" s="865">
        <v>-1</v>
      </c>
      <c r="I124" s="865"/>
      <c r="J124" s="865"/>
      <c r="K124" s="865"/>
      <c r="L124" s="865"/>
      <c r="M124" s="865">
        <v>0.56999999999999995</v>
      </c>
      <c r="N124" s="865">
        <v>0.26</v>
      </c>
      <c r="O124" s="856">
        <f t="shared" si="5"/>
        <v>0</v>
      </c>
      <c r="P124" s="1158"/>
    </row>
    <row r="125" spans="2:16" ht="15.75" hidden="1" outlineLevel="1">
      <c r="B125" s="1159"/>
      <c r="C125" s="769">
        <v>13</v>
      </c>
      <c r="D125" s="770" t="str">
        <f t="shared" si="4"/>
        <v>District heating from power stations</v>
      </c>
      <c r="E125" s="770"/>
      <c r="F125" s="777"/>
      <c r="G125" s="876"/>
      <c r="H125" s="876"/>
      <c r="I125" s="876"/>
      <c r="J125" s="876"/>
      <c r="K125" s="876">
        <v>-1</v>
      </c>
      <c r="L125" s="876"/>
      <c r="M125" s="876">
        <v>0.9</v>
      </c>
      <c r="N125" s="876">
        <v>0.1</v>
      </c>
      <c r="O125" s="858">
        <f t="shared" si="5"/>
        <v>0</v>
      </c>
      <c r="P125" s="1158"/>
    </row>
    <row r="126" spans="2:16" hidden="1" outlineLevel="1">
      <c r="B126" s="1157"/>
      <c r="C126" s="864"/>
      <c r="D126" s="864"/>
      <c r="E126" s="864"/>
      <c r="F126" s="864"/>
      <c r="G126" s="864"/>
      <c r="H126" s="864"/>
      <c r="I126" s="864"/>
      <c r="J126" s="864"/>
      <c r="K126" s="864"/>
      <c r="L126" s="864"/>
      <c r="M126" s="864"/>
      <c r="N126" s="864"/>
      <c r="O126" s="864"/>
      <c r="P126" s="1158"/>
    </row>
    <row r="127" spans="2:16" hidden="1" outlineLevel="1">
      <c r="B127" s="1157"/>
      <c r="C127" s="866" t="s">
        <v>1838</v>
      </c>
      <c r="D127" s="864"/>
      <c r="E127" s="864"/>
      <c r="F127" s="864"/>
      <c r="G127" s="867"/>
      <c r="H127" s="864"/>
      <c r="I127" s="864"/>
      <c r="J127" s="864"/>
      <c r="K127" s="864"/>
      <c r="L127" s="864"/>
      <c r="M127" s="864"/>
      <c r="N127" s="864"/>
      <c r="O127" s="867" t="s">
        <v>1287</v>
      </c>
      <c r="P127" s="1158"/>
    </row>
    <row r="128" spans="2:16" ht="5.25" hidden="1" customHeight="1" outlineLevel="1">
      <c r="B128" s="1157"/>
      <c r="C128" s="864"/>
      <c r="D128" s="864"/>
      <c r="E128" s="864"/>
      <c r="F128" s="864"/>
      <c r="G128" s="864"/>
      <c r="H128" s="864"/>
      <c r="I128" s="864"/>
      <c r="J128" s="864"/>
      <c r="K128" s="864"/>
      <c r="L128" s="864"/>
      <c r="M128" s="864"/>
      <c r="N128" s="864"/>
      <c r="O128" s="864"/>
      <c r="P128" s="1158"/>
    </row>
    <row r="129" spans="2:16" ht="33.75" hidden="1" outlineLevel="1">
      <c r="B129" s="1157"/>
      <c r="C129" s="871"/>
      <c r="D129" s="871"/>
      <c r="E129" s="871"/>
      <c r="F129" s="874" t="str">
        <f>INDEX(Vectors[Description], MATCH(F$130, Vectors[Code], 0))</f>
        <v>Electricity (delivered to end user)</v>
      </c>
      <c r="G129" s="874" t="str">
        <f>INDEX(Vectors[Description], MATCH(G$130, Vectors[Code], 0))</f>
        <v>Electricity (supplied to grid)</v>
      </c>
      <c r="H129" s="874" t="str">
        <f>INDEX(Vectors[Description], MATCH(H$130, Vectors[Code], 0))</f>
        <v>Solid hydrocarbons</v>
      </c>
      <c r="I129" s="874" t="str">
        <f>INDEX(Vectors[Description], MATCH(I$130, Vectors[Code], 0))</f>
        <v>Liquid hydrocarbons</v>
      </c>
      <c r="J129" s="874" t="str">
        <f>INDEX(Vectors[Description], MATCH(J$130, Vectors[Code], 0))</f>
        <v>Gaseous hydrocarbons</v>
      </c>
      <c r="K129" s="874" t="str">
        <f>INDEX(Vectors[Description], MATCH(K$130, Vectors[Code], 0))</f>
        <v>Heat transport</v>
      </c>
      <c r="L129" s="874" t="str">
        <f>INDEX(Vectors[Description], MATCH(L$130, Vectors[Code], 0))</f>
        <v>Environmental heat</v>
      </c>
      <c r="M129" s="874" t="str">
        <f>INDEX(Vectors[Description], MATCH(M$130, Vectors[Code], 0))</f>
        <v>Heating and cooling</v>
      </c>
      <c r="N129" s="874" t="str">
        <f>INDEX(Vectors[Description], MATCH(N$130, Vectors[Code], 0))</f>
        <v>Conversion losses</v>
      </c>
      <c r="O129" s="877" t="s">
        <v>849</v>
      </c>
      <c r="P129" s="1158"/>
    </row>
    <row r="130" spans="2:16" hidden="1" outlineLevel="1">
      <c r="B130" s="1157"/>
      <c r="C130" s="872" t="s">
        <v>83</v>
      </c>
      <c r="D130" s="872" t="s">
        <v>831</v>
      </c>
      <c r="E130" s="872" t="s">
        <v>442</v>
      </c>
      <c r="F130" s="873" t="s">
        <v>45</v>
      </c>
      <c r="G130" s="873" t="s">
        <v>46</v>
      </c>
      <c r="H130" s="873" t="s">
        <v>47</v>
      </c>
      <c r="I130" s="873" t="s">
        <v>49</v>
      </c>
      <c r="J130" s="873" t="s">
        <v>50</v>
      </c>
      <c r="K130" s="873" t="s">
        <v>753</v>
      </c>
      <c r="L130" s="873" t="s">
        <v>104</v>
      </c>
      <c r="M130" s="873" t="s">
        <v>6</v>
      </c>
      <c r="N130" s="873" t="s">
        <v>34</v>
      </c>
      <c r="O130" s="878"/>
      <c r="P130" s="1158"/>
    </row>
    <row r="131" spans="2:16" ht="15.75" hidden="1" outlineLevel="1">
      <c r="B131" s="1159"/>
      <c r="C131" s="831">
        <v>1</v>
      </c>
      <c r="D131" s="832" t="str">
        <f>INDEX($D$73:$D$75, MATCH($C131, $C$73:$C$75, 0))</f>
        <v>Electric air conditioner (old)</v>
      </c>
      <c r="E131" s="832"/>
      <c r="F131" s="865">
        <v>-1</v>
      </c>
      <c r="G131" s="865"/>
      <c r="H131" s="865"/>
      <c r="I131" s="865"/>
      <c r="J131" s="865"/>
      <c r="K131" s="865"/>
      <c r="L131" s="865">
        <v>-1.5</v>
      </c>
      <c r="M131" s="865">
        <v>2.5</v>
      </c>
      <c r="N131" s="865"/>
      <c r="O131" s="856">
        <f>SUM(F131:N131)</f>
        <v>0</v>
      </c>
      <c r="P131" s="1158"/>
    </row>
    <row r="132" spans="2:16" ht="15.75" hidden="1" outlineLevel="1">
      <c r="B132" s="1159"/>
      <c r="C132" s="831">
        <v>2</v>
      </c>
      <c r="D132" s="832" t="str">
        <f>INDEX($D$73:$D$75, MATCH($C132, $C$73:$C$75, 0))</f>
        <v>Electric air conditioner (new)</v>
      </c>
      <c r="E132" s="832"/>
      <c r="F132" s="865">
        <v>-1</v>
      </c>
      <c r="G132" s="865"/>
      <c r="H132" s="865"/>
      <c r="I132" s="865"/>
      <c r="J132" s="865"/>
      <c r="K132" s="865"/>
      <c r="L132" s="865">
        <v>-5</v>
      </c>
      <c r="M132" s="865">
        <v>6</v>
      </c>
      <c r="N132" s="865"/>
      <c r="O132" s="856">
        <f>SUM(F132:N132)</f>
        <v>0</v>
      </c>
      <c r="P132" s="1158"/>
    </row>
    <row r="133" spans="2:16" ht="15.75" hidden="1" outlineLevel="1">
      <c r="B133" s="1159"/>
      <c r="C133" s="899">
        <v>3</v>
      </c>
      <c r="D133" s="900" t="str">
        <f>INDEX($D$73:$D$75, MATCH($C133, $C$73:$C$75, 0))</f>
        <v>Absorption chiller</v>
      </c>
      <c r="E133" s="900"/>
      <c r="F133" s="916"/>
      <c r="G133" s="916"/>
      <c r="H133" s="916"/>
      <c r="I133" s="916"/>
      <c r="J133" s="916"/>
      <c r="K133" s="916">
        <v>-1</v>
      </c>
      <c r="L133" s="916">
        <v>0.3</v>
      </c>
      <c r="M133" s="916">
        <v>0.7</v>
      </c>
      <c r="N133" s="916"/>
      <c r="O133" s="918">
        <f>SUM(F133:N133)</f>
        <v>0</v>
      </c>
      <c r="P133" s="1158"/>
    </row>
    <row r="134" spans="2:16" hidden="1" outlineLevel="1">
      <c r="B134" s="1157"/>
      <c r="C134" s="864"/>
      <c r="D134" s="864"/>
      <c r="E134" s="864"/>
      <c r="F134" s="864"/>
      <c r="G134" s="864"/>
      <c r="H134" s="864"/>
      <c r="I134" s="864"/>
      <c r="J134" s="864"/>
      <c r="K134" s="864"/>
      <c r="L134" s="864"/>
      <c r="M134" s="864"/>
      <c r="N134" s="864"/>
      <c r="O134" s="864"/>
      <c r="P134" s="1158"/>
    </row>
    <row r="135" spans="2:16" hidden="1" outlineLevel="1">
      <c r="B135" s="1157"/>
      <c r="C135" s="869" t="s">
        <v>1638</v>
      </c>
      <c r="D135" s="832"/>
      <c r="E135" s="870"/>
      <c r="F135" s="847"/>
      <c r="G135" s="848"/>
      <c r="H135" s="864"/>
      <c r="I135" s="864"/>
      <c r="J135" s="864"/>
      <c r="K135" s="864"/>
      <c r="L135" s="864"/>
      <c r="M135" s="864"/>
      <c r="N135" s="864"/>
      <c r="O135" s="864"/>
      <c r="P135" s="1158"/>
    </row>
    <row r="136" spans="2:16" ht="5.25" hidden="1" customHeight="1" outlineLevel="1">
      <c r="B136" s="1157"/>
      <c r="C136" s="831"/>
      <c r="D136" s="832"/>
      <c r="E136" s="832"/>
      <c r="F136" s="847"/>
      <c r="G136" s="848"/>
      <c r="H136" s="864"/>
      <c r="I136" s="864"/>
      <c r="J136" s="864"/>
      <c r="K136" s="864"/>
      <c r="L136" s="864"/>
      <c r="M136" s="864"/>
      <c r="N136" s="864"/>
      <c r="O136" s="864"/>
      <c r="P136" s="1158"/>
    </row>
    <row r="137" spans="2:16" ht="15.75" hidden="1" outlineLevel="1">
      <c r="B137" s="1159"/>
      <c r="C137" s="766" t="s">
        <v>83</v>
      </c>
      <c r="D137" s="766" t="s">
        <v>1252</v>
      </c>
      <c r="E137" s="766" t="s">
        <v>442</v>
      </c>
      <c r="F137" s="923">
        <v>2007</v>
      </c>
      <c r="G137" s="924" t="s">
        <v>1251</v>
      </c>
      <c r="H137" s="1500" t="s">
        <v>1253</v>
      </c>
      <c r="I137" s="2084"/>
      <c r="J137" s="864"/>
      <c r="K137" s="864"/>
      <c r="L137" s="864"/>
      <c r="M137" s="864"/>
      <c r="N137" s="864"/>
      <c r="O137" s="864"/>
      <c r="P137" s="1158"/>
    </row>
    <row r="138" spans="2:16" ht="15.75" hidden="1" outlineLevel="1">
      <c r="B138" s="1159"/>
      <c r="C138" s="831">
        <v>1</v>
      </c>
      <c r="D138" s="832" t="str">
        <f t="shared" ref="D138:D150" si="6">INDEX($D$55:$D$67, MATCH($C138, $C$55:$C$67, 0))</f>
        <v>Gas boiler (old)</v>
      </c>
      <c r="E138" s="832"/>
      <c r="F138" s="1257">
        <v>0.55000000000000004</v>
      </c>
      <c r="G138" s="881">
        <v>0.9</v>
      </c>
      <c r="H138" s="1502">
        <v>2007</v>
      </c>
      <c r="I138" s="847"/>
      <c r="J138" s="864"/>
      <c r="K138" s="864"/>
      <c r="L138" s="864"/>
      <c r="M138" s="864"/>
      <c r="N138" s="864"/>
      <c r="O138" s="864"/>
      <c r="P138" s="1158"/>
    </row>
    <row r="139" spans="2:16" ht="15.75" hidden="1" outlineLevel="1">
      <c r="B139" s="1159"/>
      <c r="C139" s="831">
        <v>2</v>
      </c>
      <c r="D139" s="832" t="str">
        <f t="shared" si="6"/>
        <v>Gas boiler (new)</v>
      </c>
      <c r="E139" s="832"/>
      <c r="F139" s="1257">
        <v>0.15</v>
      </c>
      <c r="G139" s="881">
        <v>0.9</v>
      </c>
      <c r="H139" s="1502">
        <v>2007</v>
      </c>
      <c r="I139" s="847"/>
      <c r="J139" s="864"/>
      <c r="K139" s="864"/>
      <c r="L139" s="864"/>
      <c r="M139" s="864"/>
      <c r="N139" s="864"/>
      <c r="O139" s="864"/>
      <c r="P139" s="1158"/>
    </row>
    <row r="140" spans="2:16" ht="15.75" hidden="1" outlineLevel="1">
      <c r="B140" s="1159"/>
      <c r="C140" s="831">
        <v>3</v>
      </c>
      <c r="D140" s="832" t="str">
        <f t="shared" si="6"/>
        <v>Resisitive heating</v>
      </c>
      <c r="E140" s="832"/>
      <c r="F140" s="1257">
        <v>0.2</v>
      </c>
      <c r="G140" s="881">
        <v>1</v>
      </c>
      <c r="H140" s="1502">
        <v>2015</v>
      </c>
      <c r="I140" s="847"/>
      <c r="J140" s="864"/>
      <c r="K140" s="864"/>
      <c r="L140" s="864"/>
      <c r="M140" s="864"/>
      <c r="N140" s="864"/>
      <c r="O140" s="864"/>
      <c r="P140" s="1158"/>
    </row>
    <row r="141" spans="2:16" ht="15.75" hidden="1" outlineLevel="1">
      <c r="B141" s="1159"/>
      <c r="C141" s="831">
        <v>4</v>
      </c>
      <c r="D141" s="832" t="str">
        <f t="shared" si="6"/>
        <v>Oil-fired boiler</v>
      </c>
      <c r="E141" s="832"/>
      <c r="F141" s="1257">
        <v>0.1</v>
      </c>
      <c r="G141" s="881">
        <v>0.74</v>
      </c>
      <c r="H141" s="1502">
        <v>2007</v>
      </c>
      <c r="I141" s="847"/>
      <c r="J141" s="864"/>
      <c r="K141" s="864"/>
      <c r="L141" s="864"/>
      <c r="M141" s="864"/>
      <c r="N141" s="864"/>
      <c r="O141" s="864"/>
      <c r="P141" s="1158"/>
    </row>
    <row r="142" spans="2:16" ht="15.75" hidden="1" outlineLevel="1">
      <c r="B142" s="1159"/>
      <c r="C142" s="831">
        <v>5</v>
      </c>
      <c r="D142" s="832" t="str">
        <f t="shared" si="6"/>
        <v>Solid-fuel boiler</v>
      </c>
      <c r="E142" s="832"/>
      <c r="F142" s="1257">
        <v>0</v>
      </c>
      <c r="G142" s="881">
        <v>0.74</v>
      </c>
      <c r="H142" s="1502">
        <v>2007</v>
      </c>
      <c r="I142" s="847"/>
      <c r="J142" s="864"/>
      <c r="K142" s="864"/>
      <c r="L142" s="864"/>
      <c r="M142" s="864"/>
      <c r="N142" s="864"/>
      <c r="O142" s="864"/>
      <c r="P142" s="1158"/>
    </row>
    <row r="143" spans="2:16" ht="15.75" hidden="1" outlineLevel="1">
      <c r="B143" s="1159"/>
      <c r="C143" s="831">
        <v>6</v>
      </c>
      <c r="D143" s="832" t="str">
        <f t="shared" si="6"/>
        <v>Stirling engine μCHP</v>
      </c>
      <c r="E143" s="832"/>
      <c r="F143" s="1257">
        <v>0</v>
      </c>
      <c r="G143" s="882">
        <v>0.9</v>
      </c>
      <c r="H143" s="1502">
        <v>2015</v>
      </c>
      <c r="I143" s="1091"/>
      <c r="J143" s="864"/>
      <c r="K143" s="864"/>
      <c r="L143" s="864"/>
      <c r="M143" s="864"/>
      <c r="N143" s="864"/>
      <c r="O143" s="864"/>
      <c r="P143" s="1158"/>
    </row>
    <row r="144" spans="2:16" ht="15.75" hidden="1" outlineLevel="1">
      <c r="B144" s="1159"/>
      <c r="C144" s="831">
        <v>7</v>
      </c>
      <c r="D144" s="1084" t="str">
        <f t="shared" si="6"/>
        <v>Fuel-cell μCHP</v>
      </c>
      <c r="E144" s="832"/>
      <c r="F144" s="1257">
        <v>0</v>
      </c>
      <c r="G144" s="882">
        <v>0.9</v>
      </c>
      <c r="H144" s="1502">
        <v>2015</v>
      </c>
      <c r="I144" s="1091"/>
      <c r="J144" s="864"/>
      <c r="K144" s="864"/>
      <c r="L144" s="864"/>
      <c r="M144" s="864"/>
      <c r="N144" s="864"/>
      <c r="O144" s="864"/>
      <c r="P144" s="1158"/>
    </row>
    <row r="145" spans="2:16" ht="15.75" hidden="1" outlineLevel="1">
      <c r="B145" s="1159"/>
      <c r="C145" s="831">
        <v>8</v>
      </c>
      <c r="D145" s="832" t="str">
        <f t="shared" si="6"/>
        <v>Air-source heat pump</v>
      </c>
      <c r="E145" s="832"/>
      <c r="F145" s="1257">
        <v>0</v>
      </c>
      <c r="G145" s="882">
        <v>1</v>
      </c>
      <c r="H145" s="1502">
        <v>2015</v>
      </c>
      <c r="I145" s="1091"/>
      <c r="J145" s="864"/>
      <c r="K145" s="864"/>
      <c r="L145" s="864"/>
      <c r="M145" s="864"/>
      <c r="N145" s="864"/>
      <c r="O145" s="864"/>
      <c r="P145" s="1158"/>
    </row>
    <row r="146" spans="2:16" ht="15.75" hidden="1" outlineLevel="1">
      <c r="B146" s="1159"/>
      <c r="C146" s="831">
        <v>9</v>
      </c>
      <c r="D146" s="832" t="str">
        <f t="shared" si="6"/>
        <v>Ground-source heat pump</v>
      </c>
      <c r="E146" s="832"/>
      <c r="F146" s="1257">
        <v>0</v>
      </c>
      <c r="G146" s="882">
        <v>0.28999999999999998</v>
      </c>
      <c r="H146" s="1502">
        <v>2015</v>
      </c>
      <c r="I146" s="1091"/>
      <c r="J146" s="864"/>
      <c r="K146" s="864"/>
      <c r="L146" s="864"/>
      <c r="M146" s="864"/>
      <c r="N146" s="864"/>
      <c r="O146" s="864"/>
      <c r="P146" s="1158"/>
    </row>
    <row r="147" spans="2:16" ht="15.75" hidden="1" outlineLevel="1">
      <c r="B147" s="1159"/>
      <c r="C147" s="831">
        <v>10</v>
      </c>
      <c r="D147" s="832" t="str">
        <f t="shared" si="6"/>
        <v>Geothermal</v>
      </c>
      <c r="E147" s="832"/>
      <c r="F147" s="1257">
        <v>0</v>
      </c>
      <c r="G147" s="882">
        <v>0.01</v>
      </c>
      <c r="H147" s="1502">
        <v>2015</v>
      </c>
      <c r="I147" s="1091"/>
      <c r="J147" s="864"/>
      <c r="K147" s="864"/>
      <c r="L147" s="864"/>
      <c r="M147" s="864"/>
      <c r="N147" s="864"/>
      <c r="O147" s="864"/>
      <c r="P147" s="1158"/>
    </row>
    <row r="148" spans="2:16" ht="15.75" hidden="1" outlineLevel="1">
      <c r="B148" s="1159"/>
      <c r="C148" s="831">
        <v>11</v>
      </c>
      <c r="D148" s="832" t="str">
        <f t="shared" si="6"/>
        <v>Community scale gas CHP</v>
      </c>
      <c r="E148" s="832"/>
      <c r="F148" s="1257">
        <v>0</v>
      </c>
      <c r="G148" s="882">
        <v>0.68</v>
      </c>
      <c r="H148" s="1502">
        <v>2010</v>
      </c>
      <c r="I148" s="1091"/>
      <c r="J148" s="864"/>
      <c r="K148" s="864"/>
      <c r="L148" s="864"/>
      <c r="M148" s="864"/>
      <c r="N148" s="864"/>
      <c r="O148" s="864"/>
      <c r="P148" s="1158"/>
    </row>
    <row r="149" spans="2:16" ht="15.75" hidden="1" outlineLevel="1">
      <c r="B149" s="1159"/>
      <c r="C149" s="831">
        <v>12</v>
      </c>
      <c r="D149" s="832" t="str">
        <f t="shared" si="6"/>
        <v>Community scale solid-fuel CHP</v>
      </c>
      <c r="E149" s="832"/>
      <c r="F149" s="1257">
        <v>0</v>
      </c>
      <c r="G149" s="882">
        <v>0.68</v>
      </c>
      <c r="H149" s="1502">
        <v>2010</v>
      </c>
      <c r="I149" s="1091"/>
      <c r="J149" s="864"/>
      <c r="K149" s="864"/>
      <c r="L149" s="864"/>
      <c r="M149" s="864"/>
      <c r="N149" s="864"/>
      <c r="O149" s="864"/>
      <c r="P149" s="1158"/>
    </row>
    <row r="150" spans="2:16" ht="15.75" hidden="1" outlineLevel="1">
      <c r="B150" s="1159"/>
      <c r="C150" s="769">
        <v>13</v>
      </c>
      <c r="D150" s="770" t="str">
        <f t="shared" si="6"/>
        <v>District heating from power stations</v>
      </c>
      <c r="E150" s="770"/>
      <c r="F150" s="846">
        <v>0</v>
      </c>
      <c r="G150" s="883">
        <v>0.4</v>
      </c>
      <c r="H150" s="2083">
        <v>2015</v>
      </c>
      <c r="I150" s="1091"/>
      <c r="J150" s="864"/>
      <c r="K150" s="864"/>
      <c r="L150" s="864"/>
      <c r="M150" s="864"/>
      <c r="N150" s="864"/>
      <c r="O150" s="864"/>
      <c r="P150" s="1158"/>
    </row>
    <row r="151" spans="2:16" ht="15.75" hidden="1" outlineLevel="1">
      <c r="B151" s="1159"/>
      <c r="C151" s="831"/>
      <c r="D151" s="832" t="s">
        <v>148</v>
      </c>
      <c r="E151" s="832"/>
      <c r="F151" s="865">
        <f>SUM(F138:F150)</f>
        <v>1.0000000000000002</v>
      </c>
      <c r="G151" s="865"/>
      <c r="H151" s="864"/>
      <c r="I151" s="864"/>
      <c r="J151" s="864"/>
      <c r="K151" s="864"/>
      <c r="L151" s="864"/>
      <c r="M151" s="864"/>
      <c r="N151" s="864"/>
      <c r="O151" s="864"/>
      <c r="P151" s="1158"/>
    </row>
    <row r="152" spans="2:16" hidden="1" outlineLevel="1">
      <c r="B152" s="1157"/>
      <c r="C152" s="864"/>
      <c r="D152" s="864"/>
      <c r="E152" s="864"/>
      <c r="F152" s="864"/>
      <c r="G152" s="864"/>
      <c r="H152" s="864"/>
      <c r="I152" s="864"/>
      <c r="J152" s="864"/>
      <c r="K152" s="864"/>
      <c r="L152" s="864"/>
      <c r="M152" s="864"/>
      <c r="N152" s="864"/>
      <c r="O152" s="864"/>
      <c r="P152" s="1158"/>
    </row>
    <row r="153" spans="2:16" ht="15.75" hidden="1" outlineLevel="1">
      <c r="B153" s="1159"/>
      <c r="C153" s="766" t="s">
        <v>83</v>
      </c>
      <c r="D153" s="766" t="s">
        <v>1252</v>
      </c>
      <c r="E153" s="766" t="s">
        <v>442</v>
      </c>
      <c r="F153" s="923">
        <v>2007</v>
      </c>
      <c r="G153" s="924" t="s">
        <v>1251</v>
      </c>
      <c r="H153" s="1500" t="s">
        <v>1253</v>
      </c>
      <c r="I153" s="864"/>
      <c r="J153" s="864"/>
      <c r="K153" s="864"/>
      <c r="L153" s="864"/>
      <c r="M153" s="864"/>
      <c r="N153" s="864"/>
      <c r="O153" s="864"/>
      <c r="P153" s="1158"/>
    </row>
    <row r="154" spans="2:16" ht="15.75" hidden="1" outlineLevel="1">
      <c r="B154" s="1159"/>
      <c r="C154" s="831">
        <v>1</v>
      </c>
      <c r="D154" s="832" t="str">
        <f>INDEX($D$73:$D$75, MATCH($C154, $C$73:$C$75, 0))</f>
        <v>Electric air conditioner (old)</v>
      </c>
      <c r="E154" s="832"/>
      <c r="F154" s="1257">
        <v>1</v>
      </c>
      <c r="G154" s="881">
        <v>1</v>
      </c>
      <c r="H154" s="1502">
        <v>2007</v>
      </c>
      <c r="I154" s="864"/>
      <c r="J154" s="864"/>
      <c r="K154" s="864"/>
      <c r="L154" s="864"/>
      <c r="M154" s="864"/>
      <c r="N154" s="864"/>
      <c r="O154" s="864"/>
      <c r="P154" s="1158"/>
    </row>
    <row r="155" spans="2:16" ht="15.75" hidden="1" outlineLevel="1">
      <c r="B155" s="1159"/>
      <c r="C155" s="831">
        <v>2</v>
      </c>
      <c r="D155" s="832" t="str">
        <f>INDEX($D$73:$D$75, MATCH($C155, $C$73:$C$75, 0))</f>
        <v>Electric air conditioner (new)</v>
      </c>
      <c r="E155" s="832"/>
      <c r="F155" s="1257">
        <v>0</v>
      </c>
      <c r="G155" s="881">
        <v>1</v>
      </c>
      <c r="H155" s="1502">
        <v>2010</v>
      </c>
      <c r="I155" s="864"/>
      <c r="J155" s="864"/>
      <c r="K155" s="864"/>
      <c r="L155" s="864"/>
      <c r="M155" s="864"/>
      <c r="N155" s="864"/>
      <c r="O155" s="864"/>
      <c r="P155" s="1158"/>
    </row>
    <row r="156" spans="2:16" ht="15.75" hidden="1" outlineLevel="1">
      <c r="B156" s="1159"/>
      <c r="C156" s="899">
        <v>3</v>
      </c>
      <c r="D156" s="900" t="str">
        <f>INDEX($D$73:$D$75, MATCH($C156, $C$73:$C$75, 0))</f>
        <v>Absorption chiller</v>
      </c>
      <c r="E156" s="900"/>
      <c r="F156" s="2081">
        <v>0</v>
      </c>
      <c r="G156" s="2085">
        <v>1</v>
      </c>
      <c r="H156" s="2083">
        <v>2015</v>
      </c>
      <c r="I156" s="864"/>
      <c r="J156" s="864"/>
      <c r="K156" s="864"/>
      <c r="L156" s="864"/>
      <c r="M156" s="864"/>
      <c r="N156" s="864"/>
      <c r="O156" s="864"/>
      <c r="P156" s="1158"/>
    </row>
    <row r="157" spans="2:16" hidden="1" outlineLevel="1">
      <c r="B157" s="1157"/>
      <c r="C157" s="864"/>
      <c r="D157" s="864" t="s">
        <v>148</v>
      </c>
      <c r="E157" s="864"/>
      <c r="F157" s="2086">
        <f>SUM(F$154:F$156)</f>
        <v>1</v>
      </c>
      <c r="G157" s="864"/>
      <c r="H157" s="864"/>
      <c r="I157" s="864"/>
      <c r="J157" s="864"/>
      <c r="K157" s="864"/>
      <c r="L157" s="864"/>
      <c r="M157" s="864"/>
      <c r="N157" s="864"/>
      <c r="O157" s="864"/>
      <c r="P157" s="1158"/>
    </row>
    <row r="158" spans="2:16" hidden="1" outlineLevel="1">
      <c r="B158" s="1157"/>
      <c r="C158" s="864"/>
      <c r="D158" s="864"/>
      <c r="E158" s="864"/>
      <c r="F158" s="864"/>
      <c r="G158" s="864"/>
      <c r="H158" s="864"/>
      <c r="I158" s="864"/>
      <c r="J158" s="864"/>
      <c r="K158" s="864"/>
      <c r="L158" s="864"/>
      <c r="M158" s="864"/>
      <c r="N158" s="864"/>
      <c r="O158" s="864"/>
      <c r="P158" s="1158"/>
    </row>
    <row r="159" spans="2:16" hidden="1" outlineLevel="1">
      <c r="B159" s="1157"/>
      <c r="C159" s="864"/>
      <c r="D159" s="864"/>
      <c r="E159" s="864"/>
      <c r="F159" s="864"/>
      <c r="G159" s="864"/>
      <c r="H159" s="864"/>
      <c r="I159" s="864"/>
      <c r="J159" s="864"/>
      <c r="K159" s="864"/>
      <c r="L159" s="864"/>
      <c r="M159" s="864"/>
      <c r="N159" s="864"/>
      <c r="O159" s="864"/>
      <c r="P159" s="1158"/>
    </row>
    <row r="160" spans="2:16" hidden="1" outlineLevel="1">
      <c r="B160" s="1157"/>
      <c r="C160" s="864" t="s">
        <v>717</v>
      </c>
      <c r="D160" s="864" t="s">
        <v>1630</v>
      </c>
      <c r="E160" s="864"/>
      <c r="F160" s="864"/>
      <c r="G160" s="864"/>
      <c r="H160" s="864"/>
      <c r="I160" s="864"/>
      <c r="J160" s="864"/>
      <c r="K160" s="864"/>
      <c r="L160" s="864"/>
      <c r="M160" s="864"/>
      <c r="N160" s="864"/>
      <c r="O160" s="864"/>
      <c r="P160" s="1158"/>
    </row>
    <row r="161" spans="1:21" hidden="1" outlineLevel="1">
      <c r="B161" s="1157"/>
      <c r="C161" s="867" t="s">
        <v>109</v>
      </c>
      <c r="D161" s="864" t="s">
        <v>1639</v>
      </c>
      <c r="E161" s="864"/>
      <c r="F161" s="864"/>
      <c r="G161" s="864"/>
      <c r="H161" s="864"/>
      <c r="I161" s="864"/>
      <c r="J161" s="864"/>
      <c r="K161" s="864"/>
      <c r="L161" s="864"/>
      <c r="M161" s="864"/>
      <c r="N161" s="864"/>
      <c r="O161" s="864"/>
      <c r="P161" s="1158"/>
    </row>
    <row r="162" spans="1:21" hidden="1" outlineLevel="1">
      <c r="B162" s="1157"/>
      <c r="C162" s="867"/>
      <c r="D162" s="864"/>
      <c r="E162" s="864"/>
      <c r="F162" s="864"/>
      <c r="G162" s="864"/>
      <c r="H162" s="864"/>
      <c r="I162" s="864"/>
      <c r="J162" s="864"/>
      <c r="K162" s="864"/>
      <c r="L162" s="864"/>
      <c r="M162" s="864"/>
      <c r="N162" s="864"/>
      <c r="O162" s="864"/>
      <c r="P162" s="1158"/>
    </row>
    <row r="163" spans="1:21" s="715" customFormat="1" hidden="1" outlineLevel="1">
      <c r="B163" s="1260"/>
      <c r="C163" s="1261"/>
      <c r="D163" s="1224"/>
      <c r="E163" s="1262"/>
      <c r="F163" s="1262"/>
      <c r="G163" s="1262"/>
      <c r="H163" s="1262"/>
      <c r="I163" s="1262"/>
      <c r="J163" s="1262"/>
      <c r="K163" s="1262"/>
      <c r="L163" s="1262"/>
      <c r="M163" s="1262"/>
      <c r="N163" s="1262"/>
      <c r="O163" s="1262"/>
      <c r="P163" s="1263"/>
    </row>
    <row r="164" spans="1:21">
      <c r="S164" s="715"/>
      <c r="T164" s="715"/>
      <c r="U164" s="715"/>
    </row>
    <row r="165" spans="1:21" ht="22.5" collapsed="1">
      <c r="A165" s="1171"/>
      <c r="B165" s="1236" t="s">
        <v>817</v>
      </c>
      <c r="C165" s="1264"/>
      <c r="D165" s="1264"/>
      <c r="E165" s="1264"/>
      <c r="F165" s="1264"/>
      <c r="G165" s="1264"/>
      <c r="H165" s="1264"/>
      <c r="I165" s="1264"/>
      <c r="J165" s="1264"/>
      <c r="K165" s="1264"/>
      <c r="L165" s="1264"/>
      <c r="M165" s="1264"/>
      <c r="N165" s="1264"/>
      <c r="O165" s="1264"/>
      <c r="P165" s="1265"/>
      <c r="S165" s="715"/>
      <c r="T165" s="715"/>
    </row>
    <row r="166" spans="1:21" hidden="1" outlineLevel="1">
      <c r="B166" s="1157"/>
      <c r="C166" s="864"/>
      <c r="D166" s="864"/>
      <c r="E166" s="864"/>
      <c r="F166" s="864"/>
      <c r="G166" s="864"/>
      <c r="H166" s="864"/>
      <c r="I166" s="864"/>
      <c r="J166" s="864"/>
      <c r="K166" s="864"/>
      <c r="L166" s="864"/>
      <c r="M166" s="864"/>
      <c r="N166" s="864"/>
      <c r="O166" s="864"/>
      <c r="P166" s="1158"/>
    </row>
    <row r="167" spans="1:21" hidden="1" outlineLevel="1">
      <c r="B167" s="1157"/>
      <c r="C167" s="1659" t="s">
        <v>1844</v>
      </c>
      <c r="D167" s="832"/>
      <c r="E167" s="1254"/>
      <c r="F167" s="1614"/>
      <c r="G167" s="1615"/>
      <c r="H167" s="1615"/>
      <c r="I167" s="1615"/>
      <c r="J167" s="1615"/>
      <c r="K167" s="934"/>
      <c r="L167" s="934"/>
      <c r="M167" s="934"/>
      <c r="N167" s="934"/>
      <c r="O167" s="934" t="s">
        <v>1685</v>
      </c>
      <c r="P167" s="1158"/>
    </row>
    <row r="168" spans="1:21" ht="5.25" hidden="1" customHeight="1" outlineLevel="1">
      <c r="B168" s="1157"/>
      <c r="C168" s="1619"/>
      <c r="D168" s="832"/>
      <c r="E168" s="1254"/>
      <c r="F168" s="1614"/>
      <c r="G168" s="1615"/>
      <c r="H168" s="1615"/>
      <c r="I168" s="1615"/>
      <c r="J168" s="1615"/>
      <c r="K168" s="934"/>
      <c r="L168" s="934"/>
      <c r="M168" s="934"/>
      <c r="N168" s="934"/>
      <c r="O168" s="934"/>
      <c r="P168" s="1158"/>
    </row>
    <row r="169" spans="1:21" ht="15.75" hidden="1" outlineLevel="1">
      <c r="B169" s="1159"/>
      <c r="C169" s="766" t="s">
        <v>83</v>
      </c>
      <c r="D169" s="766" t="s">
        <v>1252</v>
      </c>
      <c r="E169" s="766" t="s">
        <v>1424</v>
      </c>
      <c r="F169" s="923">
        <v>2007</v>
      </c>
      <c r="G169" s="924">
        <v>2010</v>
      </c>
      <c r="H169" s="923">
        <v>2015</v>
      </c>
      <c r="I169" s="923">
        <v>2020</v>
      </c>
      <c r="J169" s="923">
        <v>2025</v>
      </c>
      <c r="K169" s="923">
        <v>2030</v>
      </c>
      <c r="L169" s="923">
        <v>2035</v>
      </c>
      <c r="M169" s="923">
        <v>2040</v>
      </c>
      <c r="N169" s="923">
        <v>2045</v>
      </c>
      <c r="O169" s="923">
        <v>2050</v>
      </c>
      <c r="P169" s="1158"/>
    </row>
    <row r="170" spans="1:21" ht="15.75" hidden="1" outlineLevel="1">
      <c r="B170" s="1159"/>
      <c r="C170" s="831">
        <v>1</v>
      </c>
      <c r="D170" s="832" t="str">
        <f t="shared" ref="D170:D182" si="7">INDEX($D$55:$D$67, MATCH($C170, $C$55:$C$67, 0))</f>
        <v>Gas boiler (old)</v>
      </c>
      <c r="E170" s="1649">
        <f>INDEX($E55:$T55, MATCH($E$22, $E$54:$T$54, 0))</f>
        <v>0</v>
      </c>
      <c r="F170" s="1663">
        <f t="array" ref="F170:F182">$F$138:$F$150</f>
        <v>0.55000000000000004</v>
      </c>
      <c r="G170" s="1654">
        <f t="shared" ref="G170:O170" si="8">F170+F$89*(G$169-F$169)*(-F170+$E170/SUM($E$170:$E$182))</f>
        <v>0.55000000000000004</v>
      </c>
      <c r="H170" s="1655">
        <f t="shared" si="8"/>
        <v>0.52250000000000008</v>
      </c>
      <c r="I170" s="1655">
        <f t="shared" si="8"/>
        <v>0.41800000000000004</v>
      </c>
      <c r="J170" s="1655">
        <f t="shared" si="8"/>
        <v>0.25080000000000002</v>
      </c>
      <c r="K170" s="1655">
        <f t="shared" si="8"/>
        <v>0.15048</v>
      </c>
      <c r="L170" s="1655">
        <f t="shared" si="8"/>
        <v>9.0288000000000007E-2</v>
      </c>
      <c r="M170" s="1655">
        <f t="shared" si="8"/>
        <v>5.41728E-2</v>
      </c>
      <c r="N170" s="1655">
        <f t="shared" si="8"/>
        <v>3.250368E-2</v>
      </c>
      <c r="O170" s="1655">
        <f t="shared" si="8"/>
        <v>1.9502208E-2</v>
      </c>
      <c r="P170" s="1158"/>
    </row>
    <row r="171" spans="1:21" ht="15.75" hidden="1" outlineLevel="1">
      <c r="B171" s="1159"/>
      <c r="C171" s="831">
        <v>2</v>
      </c>
      <c r="D171" s="832" t="str">
        <f t="shared" si="7"/>
        <v>Gas boiler (new)</v>
      </c>
      <c r="E171" s="1254">
        <f t="shared" ref="E171:E182" si="9">INDEX($E56:$T56, MATCH($E$22, $E$54:$T$54, 0))</f>
        <v>0.9</v>
      </c>
      <c r="F171" s="1664">
        <v>0.15</v>
      </c>
      <c r="G171" s="1668">
        <f t="shared" ref="G171:O171" si="10">F171+F$89*(G$169-F$169)*(-F171+$E171/SUM($E$170:$E$182))</f>
        <v>0.15</v>
      </c>
      <c r="H171" s="1664">
        <f t="shared" si="10"/>
        <v>0.1875</v>
      </c>
      <c r="I171" s="1664">
        <f t="shared" si="10"/>
        <v>0.33</v>
      </c>
      <c r="J171" s="1664">
        <f t="shared" si="10"/>
        <v>0.55800000000000005</v>
      </c>
      <c r="K171" s="1664">
        <f t="shared" si="10"/>
        <v>0.69480000000000008</v>
      </c>
      <c r="L171" s="1664">
        <f t="shared" si="10"/>
        <v>0.77688000000000001</v>
      </c>
      <c r="M171" s="1664">
        <f t="shared" si="10"/>
        <v>0.82612799999999997</v>
      </c>
      <c r="N171" s="1664">
        <f t="shared" si="10"/>
        <v>0.85567680000000002</v>
      </c>
      <c r="O171" s="1664">
        <f t="shared" si="10"/>
        <v>0.87340607999999997</v>
      </c>
      <c r="P171" s="1158"/>
    </row>
    <row r="172" spans="1:21" ht="15.75" hidden="1" outlineLevel="1">
      <c r="B172" s="1159"/>
      <c r="C172" s="831">
        <v>3</v>
      </c>
      <c r="D172" s="832" t="str">
        <f t="shared" si="7"/>
        <v>Resisitive heating</v>
      </c>
      <c r="E172" s="1254">
        <f t="shared" si="9"/>
        <v>0.1</v>
      </c>
      <c r="F172" s="1664">
        <v>0.2</v>
      </c>
      <c r="G172" s="1668">
        <f t="shared" ref="G172:O172" si="11">F172+F$89*(G$169-F$169)*(-F172+$E172/SUM($E$170:$E$182))</f>
        <v>0.2</v>
      </c>
      <c r="H172" s="1664">
        <f t="shared" si="11"/>
        <v>0.19500000000000001</v>
      </c>
      <c r="I172" s="1664">
        <f t="shared" si="11"/>
        <v>0.17599999999999999</v>
      </c>
      <c r="J172" s="1664">
        <f t="shared" si="11"/>
        <v>0.14560000000000001</v>
      </c>
      <c r="K172" s="1664">
        <f t="shared" si="11"/>
        <v>0.12736</v>
      </c>
      <c r="L172" s="1664">
        <f t="shared" si="11"/>
        <v>0.11641600000000001</v>
      </c>
      <c r="M172" s="1664">
        <f t="shared" si="11"/>
        <v>0.10984960000000001</v>
      </c>
      <c r="N172" s="1664">
        <f t="shared" si="11"/>
        <v>0.10590976000000001</v>
      </c>
      <c r="O172" s="1664">
        <f t="shared" si="11"/>
        <v>0.10354585600000001</v>
      </c>
      <c r="P172" s="1158"/>
    </row>
    <row r="173" spans="1:21" ht="15.75" hidden="1" outlineLevel="1">
      <c r="B173" s="1159"/>
      <c r="C173" s="831">
        <v>4</v>
      </c>
      <c r="D173" s="832" t="str">
        <f t="shared" si="7"/>
        <v>Oil-fired boiler</v>
      </c>
      <c r="E173" s="1254">
        <f t="shared" si="9"/>
        <v>0</v>
      </c>
      <c r="F173" s="1664">
        <v>0.1</v>
      </c>
      <c r="G173" s="1668">
        <f t="shared" ref="G173:O173" si="12">F173+F$89*(G$169-F$169)*(-F173+$E173/SUM($E$170:$E$182))</f>
        <v>0.1</v>
      </c>
      <c r="H173" s="1664">
        <f t="shared" si="12"/>
        <v>9.5000000000000001E-2</v>
      </c>
      <c r="I173" s="1664">
        <f t="shared" si="12"/>
        <v>7.5999999999999998E-2</v>
      </c>
      <c r="J173" s="1664">
        <f t="shared" si="12"/>
        <v>4.5600000000000002E-2</v>
      </c>
      <c r="K173" s="1664">
        <f t="shared" si="12"/>
        <v>2.7359999999999999E-2</v>
      </c>
      <c r="L173" s="1664">
        <f t="shared" si="12"/>
        <v>1.6416E-2</v>
      </c>
      <c r="M173" s="1664">
        <f t="shared" si="12"/>
        <v>9.8496E-3</v>
      </c>
      <c r="N173" s="1664">
        <f t="shared" si="12"/>
        <v>5.90976E-3</v>
      </c>
      <c r="O173" s="1664">
        <f t="shared" si="12"/>
        <v>3.545856E-3</v>
      </c>
      <c r="P173" s="1158"/>
    </row>
    <row r="174" spans="1:21" ht="15.75" hidden="1" outlineLevel="1">
      <c r="B174" s="1159"/>
      <c r="C174" s="831">
        <v>5</v>
      </c>
      <c r="D174" s="832" t="str">
        <f t="shared" si="7"/>
        <v>Solid-fuel boiler</v>
      </c>
      <c r="E174" s="1254">
        <f t="shared" si="9"/>
        <v>0</v>
      </c>
      <c r="F174" s="1664">
        <v>0</v>
      </c>
      <c r="G174" s="1668">
        <f t="shared" ref="G174:O174" si="13">F174+F$89*(G$169-F$169)*(-F174+$E174/SUM($E$170:$E$182))</f>
        <v>0</v>
      </c>
      <c r="H174" s="1664">
        <f t="shared" si="13"/>
        <v>0</v>
      </c>
      <c r="I174" s="1664">
        <f t="shared" si="13"/>
        <v>0</v>
      </c>
      <c r="J174" s="1664">
        <f t="shared" si="13"/>
        <v>0</v>
      </c>
      <c r="K174" s="1664">
        <f t="shared" si="13"/>
        <v>0</v>
      </c>
      <c r="L174" s="1664">
        <f t="shared" si="13"/>
        <v>0</v>
      </c>
      <c r="M174" s="1664">
        <f t="shared" si="13"/>
        <v>0</v>
      </c>
      <c r="N174" s="1664">
        <f t="shared" si="13"/>
        <v>0</v>
      </c>
      <c r="O174" s="1664">
        <f t="shared" si="13"/>
        <v>0</v>
      </c>
      <c r="P174" s="1158"/>
    </row>
    <row r="175" spans="1:21" ht="15.75" hidden="1" outlineLevel="1">
      <c r="B175" s="1159"/>
      <c r="C175" s="831">
        <v>6</v>
      </c>
      <c r="D175" s="832" t="str">
        <f t="shared" si="7"/>
        <v>Stirling engine μCHP</v>
      </c>
      <c r="E175" s="1254">
        <f t="shared" si="9"/>
        <v>0</v>
      </c>
      <c r="F175" s="1664">
        <v>0</v>
      </c>
      <c r="G175" s="1668">
        <f t="shared" ref="G175:O175" si="14">F175+F$89*(G$169-F$169)*(-F175+$E175/SUM($E$170:$E$182))</f>
        <v>0</v>
      </c>
      <c r="H175" s="1664">
        <f t="shared" si="14"/>
        <v>0</v>
      </c>
      <c r="I175" s="1664">
        <f t="shared" si="14"/>
        <v>0</v>
      </c>
      <c r="J175" s="1664">
        <f t="shared" si="14"/>
        <v>0</v>
      </c>
      <c r="K175" s="1664">
        <f t="shared" si="14"/>
        <v>0</v>
      </c>
      <c r="L175" s="1664">
        <f t="shared" si="14"/>
        <v>0</v>
      </c>
      <c r="M175" s="1664">
        <f t="shared" si="14"/>
        <v>0</v>
      </c>
      <c r="N175" s="1664">
        <f t="shared" si="14"/>
        <v>0</v>
      </c>
      <c r="O175" s="1664">
        <f t="shared" si="14"/>
        <v>0</v>
      </c>
      <c r="P175" s="1158"/>
    </row>
    <row r="176" spans="1:21" ht="15.75" hidden="1" outlineLevel="1">
      <c r="B176" s="1159"/>
      <c r="C176" s="831">
        <v>7</v>
      </c>
      <c r="D176" s="1084" t="str">
        <f t="shared" si="7"/>
        <v>Fuel-cell μCHP</v>
      </c>
      <c r="E176" s="1254">
        <f t="shared" si="9"/>
        <v>0</v>
      </c>
      <c r="F176" s="1664">
        <v>0</v>
      </c>
      <c r="G176" s="1668">
        <f t="shared" ref="G176:O176" si="15">F176+F$89*(G$169-F$169)*(-F176+$E176/SUM($E$170:$E$182))</f>
        <v>0</v>
      </c>
      <c r="H176" s="1664">
        <f t="shared" si="15"/>
        <v>0</v>
      </c>
      <c r="I176" s="1664">
        <f t="shared" si="15"/>
        <v>0</v>
      </c>
      <c r="J176" s="1664">
        <f t="shared" si="15"/>
        <v>0</v>
      </c>
      <c r="K176" s="1664">
        <f t="shared" si="15"/>
        <v>0</v>
      </c>
      <c r="L176" s="1664">
        <f t="shared" si="15"/>
        <v>0</v>
      </c>
      <c r="M176" s="1664">
        <f t="shared" si="15"/>
        <v>0</v>
      </c>
      <c r="N176" s="1664">
        <f t="shared" si="15"/>
        <v>0</v>
      </c>
      <c r="O176" s="1664">
        <f t="shared" si="15"/>
        <v>0</v>
      </c>
      <c r="P176" s="1158"/>
    </row>
    <row r="177" spans="1:20" ht="15.75" hidden="1" outlineLevel="1">
      <c r="B177" s="1159"/>
      <c r="C177" s="831">
        <v>8</v>
      </c>
      <c r="D177" s="832" t="str">
        <f t="shared" si="7"/>
        <v>Air-source heat pump</v>
      </c>
      <c r="E177" s="1254">
        <f t="shared" si="9"/>
        <v>0</v>
      </c>
      <c r="F177" s="1664">
        <v>0</v>
      </c>
      <c r="G177" s="1668">
        <f t="shared" ref="G177:O177" si="16">F177+F$89*(G$169-F$169)*(-F177+$E177/SUM($E$170:$E$182))</f>
        <v>0</v>
      </c>
      <c r="H177" s="1664">
        <f t="shared" si="16"/>
        <v>0</v>
      </c>
      <c r="I177" s="1664">
        <f t="shared" si="16"/>
        <v>0</v>
      </c>
      <c r="J177" s="1664">
        <f t="shared" si="16"/>
        <v>0</v>
      </c>
      <c r="K177" s="1664">
        <f t="shared" si="16"/>
        <v>0</v>
      </c>
      <c r="L177" s="1664">
        <f t="shared" si="16"/>
        <v>0</v>
      </c>
      <c r="M177" s="1664">
        <f t="shared" si="16"/>
        <v>0</v>
      </c>
      <c r="N177" s="1664">
        <f t="shared" si="16"/>
        <v>0</v>
      </c>
      <c r="O177" s="1664">
        <f t="shared" si="16"/>
        <v>0</v>
      </c>
      <c r="P177" s="1158"/>
    </row>
    <row r="178" spans="1:20" ht="15.75" hidden="1" outlineLevel="1">
      <c r="B178" s="1159"/>
      <c r="C178" s="831">
        <v>9</v>
      </c>
      <c r="D178" s="832" t="str">
        <f t="shared" si="7"/>
        <v>Ground-source heat pump</v>
      </c>
      <c r="E178" s="1254">
        <f t="shared" si="9"/>
        <v>0</v>
      </c>
      <c r="F178" s="1664">
        <v>0</v>
      </c>
      <c r="G178" s="1668">
        <f t="shared" ref="G178:O178" si="17">F178+F$89*(G$169-F$169)*(-F178+$E178/SUM($E$170:$E$182))</f>
        <v>0</v>
      </c>
      <c r="H178" s="1664">
        <f t="shared" si="17"/>
        <v>0</v>
      </c>
      <c r="I178" s="1664">
        <f t="shared" si="17"/>
        <v>0</v>
      </c>
      <c r="J178" s="1664">
        <f t="shared" si="17"/>
        <v>0</v>
      </c>
      <c r="K178" s="1664">
        <f t="shared" si="17"/>
        <v>0</v>
      </c>
      <c r="L178" s="1664">
        <f t="shared" si="17"/>
        <v>0</v>
      </c>
      <c r="M178" s="1664">
        <f t="shared" si="17"/>
        <v>0</v>
      </c>
      <c r="N178" s="1664">
        <f t="shared" si="17"/>
        <v>0</v>
      </c>
      <c r="O178" s="1664">
        <f t="shared" si="17"/>
        <v>0</v>
      </c>
      <c r="P178" s="1158"/>
    </row>
    <row r="179" spans="1:20" ht="15.75" hidden="1" outlineLevel="1">
      <c r="B179" s="1159"/>
      <c r="C179" s="831">
        <v>10</v>
      </c>
      <c r="D179" s="832" t="str">
        <f t="shared" si="7"/>
        <v>Geothermal</v>
      </c>
      <c r="E179" s="1254">
        <f t="shared" si="9"/>
        <v>0</v>
      </c>
      <c r="F179" s="1664">
        <v>0</v>
      </c>
      <c r="G179" s="1668">
        <f t="shared" ref="G179:O179" si="18">F179+F$89*(G$169-F$169)*(-F179+$E179/SUM($E$170:$E$182))</f>
        <v>0</v>
      </c>
      <c r="H179" s="1664">
        <f t="shared" si="18"/>
        <v>0</v>
      </c>
      <c r="I179" s="1664">
        <f t="shared" si="18"/>
        <v>0</v>
      </c>
      <c r="J179" s="1664">
        <f t="shared" si="18"/>
        <v>0</v>
      </c>
      <c r="K179" s="1664">
        <f t="shared" si="18"/>
        <v>0</v>
      </c>
      <c r="L179" s="1664">
        <f t="shared" si="18"/>
        <v>0</v>
      </c>
      <c r="M179" s="1664">
        <f t="shared" si="18"/>
        <v>0</v>
      </c>
      <c r="N179" s="1664">
        <f t="shared" si="18"/>
        <v>0</v>
      </c>
      <c r="O179" s="1664">
        <f t="shared" si="18"/>
        <v>0</v>
      </c>
      <c r="P179" s="1158"/>
    </row>
    <row r="180" spans="1:20" ht="15.75" hidden="1" outlineLevel="1">
      <c r="B180" s="1159"/>
      <c r="C180" s="831">
        <v>11</v>
      </c>
      <c r="D180" s="832" t="str">
        <f t="shared" si="7"/>
        <v>Community scale gas CHP</v>
      </c>
      <c r="E180" s="1254">
        <f t="shared" si="9"/>
        <v>0</v>
      </c>
      <c r="F180" s="1664">
        <v>0</v>
      </c>
      <c r="G180" s="1668">
        <f t="shared" ref="G180:O180" si="19">F180+F$89*(G$169-F$169)*(-F180+$E180/SUM($E$170:$E$182))</f>
        <v>0</v>
      </c>
      <c r="H180" s="1664">
        <f t="shared" si="19"/>
        <v>0</v>
      </c>
      <c r="I180" s="1664">
        <f t="shared" si="19"/>
        <v>0</v>
      </c>
      <c r="J180" s="1664">
        <f t="shared" si="19"/>
        <v>0</v>
      </c>
      <c r="K180" s="1664">
        <f t="shared" si="19"/>
        <v>0</v>
      </c>
      <c r="L180" s="1664">
        <f t="shared" si="19"/>
        <v>0</v>
      </c>
      <c r="M180" s="1664">
        <f t="shared" si="19"/>
        <v>0</v>
      </c>
      <c r="N180" s="1664">
        <f t="shared" si="19"/>
        <v>0</v>
      </c>
      <c r="O180" s="1664">
        <f t="shared" si="19"/>
        <v>0</v>
      </c>
      <c r="P180" s="1158"/>
    </row>
    <row r="181" spans="1:20" ht="15.75" hidden="1" outlineLevel="1">
      <c r="B181" s="1159"/>
      <c r="C181" s="831">
        <v>12</v>
      </c>
      <c r="D181" s="832" t="str">
        <f t="shared" si="7"/>
        <v>Community scale solid-fuel CHP</v>
      </c>
      <c r="E181" s="1254">
        <f t="shared" si="9"/>
        <v>0</v>
      </c>
      <c r="F181" s="1664">
        <v>0</v>
      </c>
      <c r="G181" s="1668">
        <f t="shared" ref="G181:O181" si="20">F181+F$89*(G$169-F$169)*(-F181+$E181/SUM($E$170:$E$182))</f>
        <v>0</v>
      </c>
      <c r="H181" s="1664">
        <f t="shared" si="20"/>
        <v>0</v>
      </c>
      <c r="I181" s="1664">
        <f t="shared" si="20"/>
        <v>0</v>
      </c>
      <c r="J181" s="1664">
        <f t="shared" si="20"/>
        <v>0</v>
      </c>
      <c r="K181" s="1664">
        <f t="shared" si="20"/>
        <v>0</v>
      </c>
      <c r="L181" s="1664">
        <f t="shared" si="20"/>
        <v>0</v>
      </c>
      <c r="M181" s="1664">
        <f t="shared" si="20"/>
        <v>0</v>
      </c>
      <c r="N181" s="1664">
        <f t="shared" si="20"/>
        <v>0</v>
      </c>
      <c r="O181" s="1664">
        <f t="shared" si="20"/>
        <v>0</v>
      </c>
      <c r="P181" s="1158"/>
    </row>
    <row r="182" spans="1:20" ht="15.75" hidden="1" outlineLevel="1">
      <c r="B182" s="1159"/>
      <c r="C182" s="769">
        <v>13</v>
      </c>
      <c r="D182" s="770" t="str">
        <f t="shared" si="7"/>
        <v>District heating from power stations</v>
      </c>
      <c r="E182" s="1461">
        <f t="shared" si="9"/>
        <v>0</v>
      </c>
      <c r="F182" s="1818">
        <v>0</v>
      </c>
      <c r="G182" s="1819">
        <f t="shared" ref="G182:O182" si="21">F182+F$89*(G$169-F$169)*(-F182+$E182/SUM($E$170:$E$182))</f>
        <v>0</v>
      </c>
      <c r="H182" s="1818">
        <f t="shared" si="21"/>
        <v>0</v>
      </c>
      <c r="I182" s="1818">
        <f t="shared" si="21"/>
        <v>0</v>
      </c>
      <c r="J182" s="1818">
        <f t="shared" si="21"/>
        <v>0</v>
      </c>
      <c r="K182" s="1818">
        <f t="shared" si="21"/>
        <v>0</v>
      </c>
      <c r="L182" s="1818">
        <f t="shared" si="21"/>
        <v>0</v>
      </c>
      <c r="M182" s="1818">
        <f t="shared" si="21"/>
        <v>0</v>
      </c>
      <c r="N182" s="1818">
        <f t="shared" si="21"/>
        <v>0</v>
      </c>
      <c r="O182" s="1818">
        <f t="shared" si="21"/>
        <v>0</v>
      </c>
      <c r="P182" s="1158"/>
    </row>
    <row r="183" spans="1:20" hidden="1" outlineLevel="1">
      <c r="B183" s="1157"/>
      <c r="C183" s="864"/>
      <c r="D183" s="864"/>
      <c r="E183" s="864"/>
      <c r="F183" s="864"/>
      <c r="G183" s="864"/>
      <c r="H183" s="864"/>
      <c r="I183" s="864"/>
      <c r="J183" s="864"/>
      <c r="K183" s="864"/>
      <c r="L183" s="864"/>
      <c r="M183" s="864"/>
      <c r="N183" s="864"/>
      <c r="O183" s="864"/>
      <c r="P183" s="1158"/>
    </row>
    <row r="184" spans="1:20" hidden="1" outlineLevel="1">
      <c r="B184" s="1157"/>
      <c r="C184" s="1659" t="s">
        <v>1845</v>
      </c>
      <c r="D184" s="832"/>
      <c r="E184" s="1254"/>
      <c r="F184" s="1614"/>
      <c r="G184" s="1615"/>
      <c r="H184" s="1615"/>
      <c r="I184" s="1615"/>
      <c r="J184" s="1615"/>
      <c r="K184" s="934"/>
      <c r="L184" s="934"/>
      <c r="M184" s="934"/>
      <c r="N184" s="934"/>
      <c r="O184" s="934" t="s">
        <v>1846</v>
      </c>
      <c r="P184" s="1158"/>
    </row>
    <row r="185" spans="1:20" ht="5.25" hidden="1" customHeight="1" outlineLevel="1">
      <c r="B185" s="1157"/>
      <c r="C185" s="1619"/>
      <c r="D185" s="832"/>
      <c r="E185" s="1254"/>
      <c r="F185" s="1614"/>
      <c r="G185" s="1615"/>
      <c r="H185" s="1615"/>
      <c r="I185" s="1615"/>
      <c r="J185" s="1615"/>
      <c r="K185" s="934"/>
      <c r="L185" s="934"/>
      <c r="M185" s="934"/>
      <c r="N185" s="934"/>
      <c r="O185" s="934"/>
      <c r="P185" s="1158"/>
    </row>
    <row r="186" spans="1:20" ht="15.75" hidden="1" outlineLevel="1">
      <c r="B186" s="1159"/>
      <c r="C186" s="766" t="s">
        <v>83</v>
      </c>
      <c r="D186" s="766" t="s">
        <v>1252</v>
      </c>
      <c r="E186" s="766" t="s">
        <v>1424</v>
      </c>
      <c r="F186" s="923">
        <v>2007</v>
      </c>
      <c r="G186" s="924">
        <v>2010</v>
      </c>
      <c r="H186" s="923">
        <v>2015</v>
      </c>
      <c r="I186" s="923">
        <v>2020</v>
      </c>
      <c r="J186" s="923">
        <v>2025</v>
      </c>
      <c r="K186" s="923">
        <v>2030</v>
      </c>
      <c r="L186" s="923">
        <v>2035</v>
      </c>
      <c r="M186" s="923">
        <v>2040</v>
      </c>
      <c r="N186" s="923">
        <v>2045</v>
      </c>
      <c r="O186" s="923">
        <v>2050</v>
      </c>
      <c r="P186" s="1158"/>
    </row>
    <row r="187" spans="1:20" ht="15.75" hidden="1" outlineLevel="1">
      <c r="B187" s="1159"/>
      <c r="C187" s="831">
        <v>1</v>
      </c>
      <c r="D187" s="832" t="str">
        <f>INDEX($D$73:$D$75, MATCH($C187, $C$73:$C$75, 0))</f>
        <v>Electric air conditioner (old)</v>
      </c>
      <c r="E187" s="1649">
        <f>INDEX($E73:$T73, MATCH($E$22, $E$72:$T$72, 0))</f>
        <v>0</v>
      </c>
      <c r="F187" s="1663">
        <f t="array" ref="F187:F189">$F$154:$F$156</f>
        <v>1</v>
      </c>
      <c r="G187" s="1667">
        <f t="shared" ref="G187:O187" si="22">F187+F$89*(G$186-F$186)*(-F187+$E187/SUM($E$187:$E$189))</f>
        <v>1</v>
      </c>
      <c r="H187" s="1655">
        <f t="shared" si="22"/>
        <v>0.95</v>
      </c>
      <c r="I187" s="1655">
        <f t="shared" si="22"/>
        <v>0.76</v>
      </c>
      <c r="J187" s="1655">
        <f t="shared" si="22"/>
        <v>0.45599999999999996</v>
      </c>
      <c r="K187" s="1655">
        <f t="shared" si="22"/>
        <v>0.27359999999999995</v>
      </c>
      <c r="L187" s="1655">
        <f t="shared" si="22"/>
        <v>0.16415999999999997</v>
      </c>
      <c r="M187" s="1655">
        <f t="shared" si="22"/>
        <v>9.8495999999999986E-2</v>
      </c>
      <c r="N187" s="1655">
        <f t="shared" si="22"/>
        <v>5.9097599999999986E-2</v>
      </c>
      <c r="O187" s="1655">
        <f t="shared" si="22"/>
        <v>3.5458559999999986E-2</v>
      </c>
      <c r="P187" s="1158"/>
    </row>
    <row r="188" spans="1:20" ht="15.75" hidden="1" outlineLevel="1">
      <c r="B188" s="1159"/>
      <c r="C188" s="831">
        <v>2</v>
      </c>
      <c r="D188" s="832" t="str">
        <f>INDEX($D$73:$D$75, MATCH($C188, $C$73:$C$75, 0))</f>
        <v>Electric air conditioner (new)</v>
      </c>
      <c r="E188" s="1254">
        <f>INDEX($E74:$T74, MATCH($E$22, $E$72:$T$72, 0))</f>
        <v>1</v>
      </c>
      <c r="F188" s="1664">
        <v>0</v>
      </c>
      <c r="G188" s="1668">
        <f t="shared" ref="G188:O188" si="23">F188+F$89*(G$186-F$186)*(-F188+$E188/SUM($E$187:$E$189))</f>
        <v>0</v>
      </c>
      <c r="H188" s="1664">
        <f t="shared" si="23"/>
        <v>0.05</v>
      </c>
      <c r="I188" s="1664">
        <f t="shared" si="23"/>
        <v>0.24</v>
      </c>
      <c r="J188" s="1664">
        <f t="shared" si="23"/>
        <v>0.54400000000000004</v>
      </c>
      <c r="K188" s="1664">
        <f t="shared" si="23"/>
        <v>0.72640000000000005</v>
      </c>
      <c r="L188" s="1664">
        <f t="shared" si="23"/>
        <v>0.83584000000000003</v>
      </c>
      <c r="M188" s="1664">
        <f t="shared" si="23"/>
        <v>0.90150399999999997</v>
      </c>
      <c r="N188" s="1664">
        <f t="shared" si="23"/>
        <v>0.94090240000000003</v>
      </c>
      <c r="O188" s="1664">
        <f t="shared" si="23"/>
        <v>0.96454143999999997</v>
      </c>
      <c r="P188" s="1158"/>
    </row>
    <row r="189" spans="1:20" ht="15.75" hidden="1" outlineLevel="1">
      <c r="B189" s="1159"/>
      <c r="C189" s="899">
        <v>3</v>
      </c>
      <c r="D189" s="900" t="str">
        <f>INDEX($D$73:$D$75, MATCH($C189, $C$73:$C$75, 0))</f>
        <v>Absorption chiller</v>
      </c>
      <c r="E189" s="1461">
        <f>INDEX($E75:$T75, MATCH($E$22, $E$72:$T$72, 0))</f>
        <v>0</v>
      </c>
      <c r="F189" s="1818">
        <v>0</v>
      </c>
      <c r="G189" s="1819">
        <f t="shared" ref="G189:O189" si="24">F189+F$89*(G$186-F$186)*(-F189+$E189/SUM($E$187:$E$189))</f>
        <v>0</v>
      </c>
      <c r="H189" s="1818">
        <f t="shared" si="24"/>
        <v>0</v>
      </c>
      <c r="I189" s="1818">
        <f t="shared" si="24"/>
        <v>0</v>
      </c>
      <c r="J189" s="1818">
        <f t="shared" si="24"/>
        <v>0</v>
      </c>
      <c r="K189" s="1818">
        <f t="shared" si="24"/>
        <v>0</v>
      </c>
      <c r="L189" s="1818">
        <f t="shared" si="24"/>
        <v>0</v>
      </c>
      <c r="M189" s="1818">
        <f t="shared" si="24"/>
        <v>0</v>
      </c>
      <c r="N189" s="1818">
        <f t="shared" si="24"/>
        <v>0</v>
      </c>
      <c r="O189" s="1818">
        <f t="shared" si="24"/>
        <v>0</v>
      </c>
      <c r="P189" s="1158"/>
    </row>
    <row r="190" spans="1:20" hidden="1" outlineLevel="1">
      <c r="B190" s="1164"/>
      <c r="C190" s="1165"/>
      <c r="D190" s="1165"/>
      <c r="E190" s="1165"/>
      <c r="F190" s="1165"/>
      <c r="G190" s="1165"/>
      <c r="H190" s="1165"/>
      <c r="I190" s="1165"/>
      <c r="J190" s="1165"/>
      <c r="K190" s="1165"/>
      <c r="L190" s="1165"/>
      <c r="M190" s="1165"/>
      <c r="N190" s="1165"/>
      <c r="O190" s="1165"/>
      <c r="P190" s="1166"/>
    </row>
    <row r="191" spans="1:20">
      <c r="T191" s="715"/>
    </row>
    <row r="192" spans="1:20" ht="18" collapsed="1">
      <c r="A192" s="767"/>
      <c r="B192" s="809" t="s">
        <v>732</v>
      </c>
    </row>
    <row r="193" spans="2:16" s="24" customFormat="1" hidden="1" outlineLevel="1">
      <c r="B193" s="731">
        <v>1</v>
      </c>
      <c r="C193" s="121" t="s">
        <v>1633</v>
      </c>
    </row>
    <row r="194" spans="2:16" s="24" customFormat="1" hidden="1" outlineLevel="1">
      <c r="B194" s="731">
        <v>2</v>
      </c>
      <c r="C194" s="121" t="s">
        <v>1634</v>
      </c>
    </row>
    <row r="195" spans="2:16" s="24" customFormat="1" hidden="1" outlineLevel="1">
      <c r="B195" s="731">
        <v>3</v>
      </c>
      <c r="C195" s="121" t="s">
        <v>1631</v>
      </c>
    </row>
    <row r="196" spans="2:16" s="24" customFormat="1" hidden="1" outlineLevel="1">
      <c r="B196" s="731">
        <v>4</v>
      </c>
      <c r="C196" s="121" t="s">
        <v>1559</v>
      </c>
    </row>
    <row r="197" spans="2:16" s="24" customFormat="1" hidden="1" outlineLevel="1">
      <c r="B197" s="731">
        <v>5</v>
      </c>
      <c r="C197" s="121" t="s">
        <v>1174</v>
      </c>
    </row>
    <row r="198" spans="2:16" hidden="1" outlineLevel="1"/>
    <row r="199" spans="2:16" hidden="1" outlineLevel="1">
      <c r="B199" s="731">
        <v>1</v>
      </c>
      <c r="C199" s="731" t="s">
        <v>1605</v>
      </c>
    </row>
    <row r="200" spans="2:16" hidden="1" outlineLevel="2">
      <c r="F200" s="861">
        <v>2007</v>
      </c>
      <c r="G200" s="861">
        <v>2010</v>
      </c>
      <c r="H200" s="861">
        <v>2015</v>
      </c>
      <c r="I200" s="861">
        <v>2020</v>
      </c>
      <c r="J200" s="861">
        <v>2025</v>
      </c>
      <c r="K200" s="861">
        <v>2030</v>
      </c>
      <c r="L200" s="861">
        <v>2035</v>
      </c>
      <c r="M200" s="861">
        <v>2040</v>
      </c>
      <c r="N200" s="861">
        <v>2045</v>
      </c>
      <c r="O200" s="861">
        <v>2050</v>
      </c>
    </row>
    <row r="201" spans="2:16" hidden="1" outlineLevel="2">
      <c r="B201" s="20"/>
      <c r="F201" s="925"/>
      <c r="G201" s="925"/>
      <c r="H201" s="925"/>
      <c r="I201" s="925"/>
      <c r="J201" s="925"/>
      <c r="K201" s="925"/>
      <c r="L201" s="925"/>
      <c r="M201" s="925"/>
      <c r="N201" s="925"/>
      <c r="O201" s="925"/>
    </row>
    <row r="202" spans="2:16" hidden="1" outlineLevel="2">
      <c r="B202" s="20"/>
      <c r="C202" s="731" t="s">
        <v>1632</v>
      </c>
      <c r="E202" s="731" t="str">
        <f>Preferences.EnergyUnits</f>
        <v>TWh</v>
      </c>
      <c r="F202" s="943">
        <f>INDEX(F$39:F$42, MATCH($E$8, $C$39:$C$42, 0))</f>
        <v>13.4986017390997</v>
      </c>
      <c r="G202" s="943">
        <f t="shared" ref="G202:O202" si="25">INDEX(G$39:G$42, MATCH($E$8, $C$39:$C$42, 0))</f>
        <v>13.9106803036901</v>
      </c>
      <c r="H202" s="943">
        <f t="shared" si="25"/>
        <v>14.6465592885608</v>
      </c>
      <c r="I202" s="943">
        <f t="shared" si="25"/>
        <v>15.4477054243129</v>
      </c>
      <c r="J202" s="943">
        <f t="shared" si="25"/>
        <v>16.318955019175601</v>
      </c>
      <c r="K202" s="943">
        <f t="shared" si="25"/>
        <v>17.265523293914399</v>
      </c>
      <c r="L202" s="943">
        <f t="shared" si="25"/>
        <v>18.293033538406899</v>
      </c>
      <c r="M202" s="943">
        <f t="shared" si="25"/>
        <v>19.4075485247056</v>
      </c>
      <c r="N202" s="943">
        <f t="shared" si="25"/>
        <v>20.615604350901499</v>
      </c>
      <c r="O202" s="943">
        <f t="shared" si="25"/>
        <v>21.924246903574101</v>
      </c>
    </row>
    <row r="203" spans="2:16" hidden="1" outlineLevel="2">
      <c r="B203" s="20"/>
      <c r="C203" s="121">
        <v>1</v>
      </c>
      <c r="D203" s="121" t="str">
        <f t="shared" ref="D203:D215" si="26">INDEX($D$55:$D$67, MATCH($C203, $C$55:$C$67, 0))</f>
        <v>Gas boiler (old)</v>
      </c>
      <c r="F203" s="925">
        <f t="array" ref="F203:F215">F$202*F$170:F$182</f>
        <v>7.424230956504835</v>
      </c>
      <c r="G203" s="925">
        <f t="array" ref="G203:G215">G$202*G$170:G$182</f>
        <v>7.6508741670295555</v>
      </c>
      <c r="H203" s="925">
        <f t="array" ref="H203:H215">H$202*H$170:H$182</f>
        <v>7.6528272282730194</v>
      </c>
      <c r="I203" s="925">
        <f t="array" ref="I203:I215">I$202*I$170:I$182</f>
        <v>6.457140867362793</v>
      </c>
      <c r="J203" s="925">
        <f t="array" ref="J203:J215">J$202*J$170:J$182</f>
        <v>4.0927939188092406</v>
      </c>
      <c r="K203" s="925">
        <f t="array" ref="K203:K215">K$202*K$170:K$182</f>
        <v>2.5981159452682387</v>
      </c>
      <c r="L203" s="925">
        <f t="array" ref="L203:L215">L$202*L$170:L$182</f>
        <v>1.6516414121156822</v>
      </c>
      <c r="M203" s="925">
        <f t="array" ref="M203:M215">M$202*M$170:M$182</f>
        <v>1.0513612447191716</v>
      </c>
      <c r="N203" s="925">
        <f t="array" ref="N203:N215">N$202*N$170:N$182</f>
        <v>0.67008300682831001</v>
      </c>
      <c r="O203" s="925">
        <f t="array" ref="O203:O215">O$202*O$170:O$182</f>
        <v>0.42757122335685804</v>
      </c>
      <c r="P203" s="925"/>
    </row>
    <row r="204" spans="2:16" hidden="1" outlineLevel="2">
      <c r="B204" s="20"/>
      <c r="C204" s="121">
        <v>2</v>
      </c>
      <c r="D204" s="121" t="str">
        <f t="shared" si="26"/>
        <v>Gas boiler (new)</v>
      </c>
      <c r="E204" s="20"/>
      <c r="F204" s="925">
        <v>2.0247902608649548</v>
      </c>
      <c r="G204" s="925">
        <v>2.0866020455535148</v>
      </c>
      <c r="H204" s="925">
        <v>2.7462298666051499</v>
      </c>
      <c r="I204" s="925">
        <v>5.0977427900232577</v>
      </c>
      <c r="J204" s="925">
        <v>9.1059769006999858</v>
      </c>
      <c r="K204" s="925">
        <v>11.996085584611725</v>
      </c>
      <c r="L204" s="925">
        <v>14.211491895317552</v>
      </c>
      <c r="M204" s="925">
        <v>16.033119247617986</v>
      </c>
      <c r="N204" s="925">
        <v>17.640294361045473</v>
      </c>
      <c r="O204" s="925">
        <v>19.148770545002794</v>
      </c>
    </row>
    <row r="205" spans="2:16" hidden="1" outlineLevel="2">
      <c r="C205" s="121">
        <v>3</v>
      </c>
      <c r="D205" s="121" t="str">
        <f t="shared" si="26"/>
        <v>Resisitive heating</v>
      </c>
      <c r="E205" s="20"/>
      <c r="F205" s="925">
        <v>2.6997203478199401</v>
      </c>
      <c r="G205" s="925">
        <v>2.7821360607380203</v>
      </c>
      <c r="H205" s="925">
        <v>2.8560790612693561</v>
      </c>
      <c r="I205" s="925">
        <v>2.7187961546790702</v>
      </c>
      <c r="J205" s="925">
        <v>2.3760398507919676</v>
      </c>
      <c r="K205" s="925">
        <v>2.1989370467129379</v>
      </c>
      <c r="L205" s="925">
        <v>2.1296017924071777</v>
      </c>
      <c r="M205" s="925">
        <v>2.1319114424195003</v>
      </c>
      <c r="N205" s="925">
        <v>2.1833937090589335</v>
      </c>
      <c r="O205" s="925">
        <v>2.2701649127859298</v>
      </c>
    </row>
    <row r="206" spans="2:16" hidden="1" outlineLevel="2">
      <c r="C206" s="121">
        <v>4</v>
      </c>
      <c r="D206" s="121" t="str">
        <f t="shared" si="26"/>
        <v>Oil-fired boiler</v>
      </c>
      <c r="E206" s="20"/>
      <c r="F206" s="925">
        <v>1.34986017390997</v>
      </c>
      <c r="G206" s="925">
        <v>1.3910680303690102</v>
      </c>
      <c r="H206" s="925">
        <v>1.391423132413276</v>
      </c>
      <c r="I206" s="925">
        <v>1.1740256122477803</v>
      </c>
      <c r="J206" s="925">
        <v>0.74414434887440739</v>
      </c>
      <c r="K206" s="925">
        <v>0.47238471732149795</v>
      </c>
      <c r="L206" s="925">
        <v>0.30029843856648764</v>
      </c>
      <c r="M206" s="925">
        <v>0.19115658994894028</v>
      </c>
      <c r="N206" s="925">
        <v>0.12183327396878364</v>
      </c>
      <c r="O206" s="925">
        <v>7.7740222428519648E-2</v>
      </c>
    </row>
    <row r="207" spans="2:16" hidden="1" outlineLevel="2">
      <c r="C207" s="121">
        <v>5</v>
      </c>
      <c r="D207" s="121" t="str">
        <f t="shared" si="26"/>
        <v>Solid-fuel boiler</v>
      </c>
      <c r="E207" s="20"/>
      <c r="F207" s="925">
        <v>0</v>
      </c>
      <c r="G207" s="925">
        <v>0</v>
      </c>
      <c r="H207" s="925">
        <v>0</v>
      </c>
      <c r="I207" s="925">
        <v>0</v>
      </c>
      <c r="J207" s="925">
        <v>0</v>
      </c>
      <c r="K207" s="925">
        <v>0</v>
      </c>
      <c r="L207" s="925">
        <v>0</v>
      </c>
      <c r="M207" s="925">
        <v>0</v>
      </c>
      <c r="N207" s="925">
        <v>0</v>
      </c>
      <c r="O207" s="925">
        <v>0</v>
      </c>
    </row>
    <row r="208" spans="2:16" hidden="1" outlineLevel="2">
      <c r="C208" s="121">
        <v>6</v>
      </c>
      <c r="D208" s="121" t="str">
        <f t="shared" si="26"/>
        <v>Stirling engine μCHP</v>
      </c>
      <c r="E208" s="20"/>
      <c r="F208" s="925">
        <v>0</v>
      </c>
      <c r="G208" s="925">
        <v>0</v>
      </c>
      <c r="H208" s="925">
        <v>0</v>
      </c>
      <c r="I208" s="925">
        <v>0</v>
      </c>
      <c r="J208" s="925">
        <v>0</v>
      </c>
      <c r="K208" s="925">
        <v>0</v>
      </c>
      <c r="L208" s="925">
        <v>0</v>
      </c>
      <c r="M208" s="925">
        <v>0</v>
      </c>
      <c r="N208" s="925">
        <v>0</v>
      </c>
      <c r="O208" s="925">
        <v>0</v>
      </c>
    </row>
    <row r="209" spans="2:17" hidden="1" outlineLevel="2">
      <c r="C209" s="121">
        <v>7</v>
      </c>
      <c r="D209" s="121" t="str">
        <f t="shared" si="26"/>
        <v>Fuel-cell μCHP</v>
      </c>
      <c r="E209" s="20"/>
      <c r="F209" s="925">
        <v>0</v>
      </c>
      <c r="G209" s="925">
        <v>0</v>
      </c>
      <c r="H209" s="925">
        <v>0</v>
      </c>
      <c r="I209" s="925">
        <v>0</v>
      </c>
      <c r="J209" s="925">
        <v>0</v>
      </c>
      <c r="K209" s="925">
        <v>0</v>
      </c>
      <c r="L209" s="925">
        <v>0</v>
      </c>
      <c r="M209" s="925">
        <v>0</v>
      </c>
      <c r="N209" s="925">
        <v>0</v>
      </c>
      <c r="O209" s="925">
        <v>0</v>
      </c>
    </row>
    <row r="210" spans="2:17" hidden="1" outlineLevel="2">
      <c r="C210" s="121">
        <v>8</v>
      </c>
      <c r="D210" s="121" t="str">
        <f t="shared" si="26"/>
        <v>Air-source heat pump</v>
      </c>
      <c r="E210" s="20"/>
      <c r="F210" s="925">
        <v>0</v>
      </c>
      <c r="G210" s="925">
        <v>0</v>
      </c>
      <c r="H210" s="925">
        <v>0</v>
      </c>
      <c r="I210" s="925">
        <v>0</v>
      </c>
      <c r="J210" s="925">
        <v>0</v>
      </c>
      <c r="K210" s="925">
        <v>0</v>
      </c>
      <c r="L210" s="925">
        <v>0</v>
      </c>
      <c r="M210" s="925">
        <v>0</v>
      </c>
      <c r="N210" s="925">
        <v>0</v>
      </c>
      <c r="O210" s="925">
        <v>0</v>
      </c>
    </row>
    <row r="211" spans="2:17" hidden="1" outlineLevel="2">
      <c r="C211" s="121">
        <v>9</v>
      </c>
      <c r="D211" s="121" t="str">
        <f t="shared" si="26"/>
        <v>Ground-source heat pump</v>
      </c>
      <c r="E211" s="20"/>
      <c r="F211" s="925">
        <v>0</v>
      </c>
      <c r="G211" s="925">
        <v>0</v>
      </c>
      <c r="H211" s="925">
        <v>0</v>
      </c>
      <c r="I211" s="925">
        <v>0</v>
      </c>
      <c r="J211" s="925">
        <v>0</v>
      </c>
      <c r="K211" s="925">
        <v>0</v>
      </c>
      <c r="L211" s="925">
        <v>0</v>
      </c>
      <c r="M211" s="925">
        <v>0</v>
      </c>
      <c r="N211" s="925">
        <v>0</v>
      </c>
      <c r="O211" s="925">
        <v>0</v>
      </c>
    </row>
    <row r="212" spans="2:17" hidden="1" outlineLevel="2">
      <c r="C212" s="121">
        <v>10</v>
      </c>
      <c r="D212" s="121" t="str">
        <f t="shared" si="26"/>
        <v>Geothermal</v>
      </c>
      <c r="E212" s="20"/>
      <c r="F212" s="925">
        <v>0</v>
      </c>
      <c r="G212" s="925">
        <v>0</v>
      </c>
      <c r="H212" s="925">
        <v>0</v>
      </c>
      <c r="I212" s="925">
        <v>0</v>
      </c>
      <c r="J212" s="925">
        <v>0</v>
      </c>
      <c r="K212" s="925">
        <v>0</v>
      </c>
      <c r="L212" s="925">
        <v>0</v>
      </c>
      <c r="M212" s="925">
        <v>0</v>
      </c>
      <c r="N212" s="925">
        <v>0</v>
      </c>
      <c r="O212" s="925">
        <v>0</v>
      </c>
    </row>
    <row r="213" spans="2:17" hidden="1" outlineLevel="2">
      <c r="C213" s="121">
        <v>11</v>
      </c>
      <c r="D213" s="121" t="str">
        <f t="shared" si="26"/>
        <v>Community scale gas CHP</v>
      </c>
      <c r="E213" s="20"/>
      <c r="F213" s="925">
        <v>0</v>
      </c>
      <c r="G213" s="925">
        <v>0</v>
      </c>
      <c r="H213" s="925">
        <v>0</v>
      </c>
      <c r="I213" s="925">
        <v>0</v>
      </c>
      <c r="J213" s="925">
        <v>0</v>
      </c>
      <c r="K213" s="925">
        <v>0</v>
      </c>
      <c r="L213" s="925">
        <v>0</v>
      </c>
      <c r="M213" s="925">
        <v>0</v>
      </c>
      <c r="N213" s="925">
        <v>0</v>
      </c>
      <c r="O213" s="925">
        <v>0</v>
      </c>
    </row>
    <row r="214" spans="2:17" hidden="1" outlineLevel="2">
      <c r="C214" s="121">
        <v>12</v>
      </c>
      <c r="D214" s="121" t="str">
        <f t="shared" si="26"/>
        <v>Community scale solid-fuel CHP</v>
      </c>
      <c r="E214" s="20"/>
      <c r="F214" s="925">
        <v>0</v>
      </c>
      <c r="G214" s="925">
        <v>0</v>
      </c>
      <c r="H214" s="925">
        <v>0</v>
      </c>
      <c r="I214" s="925">
        <v>0</v>
      </c>
      <c r="J214" s="925">
        <v>0</v>
      </c>
      <c r="K214" s="925">
        <v>0</v>
      </c>
      <c r="L214" s="925">
        <v>0</v>
      </c>
      <c r="M214" s="925">
        <v>0</v>
      </c>
      <c r="N214" s="925">
        <v>0</v>
      </c>
      <c r="O214" s="925">
        <v>0</v>
      </c>
    </row>
    <row r="215" spans="2:17" hidden="1" outlineLevel="2">
      <c r="C215" s="121">
        <v>13</v>
      </c>
      <c r="D215" s="121" t="str">
        <f t="shared" si="26"/>
        <v>District heating from power stations</v>
      </c>
      <c r="E215" s="20"/>
      <c r="F215" s="925">
        <v>0</v>
      </c>
      <c r="G215" s="925">
        <v>0</v>
      </c>
      <c r="H215" s="925">
        <v>0</v>
      </c>
      <c r="I215" s="925">
        <v>0</v>
      </c>
      <c r="J215" s="925">
        <v>0</v>
      </c>
      <c r="K215" s="925">
        <v>0</v>
      </c>
      <c r="L215" s="925">
        <v>0</v>
      </c>
      <c r="M215" s="925">
        <v>0</v>
      </c>
      <c r="N215" s="925">
        <v>0</v>
      </c>
      <c r="O215" s="925">
        <v>0</v>
      </c>
    </row>
    <row r="216" spans="2:17" hidden="1" outlineLevel="2">
      <c r="E216" s="20"/>
      <c r="F216" s="2087">
        <f>SUM(F203:F215)</f>
        <v>13.498601739099701</v>
      </c>
      <c r="G216" s="2087">
        <f t="shared" ref="G216:O216" si="27">SUM(G203:G215)</f>
        <v>13.9106803036901</v>
      </c>
      <c r="H216" s="2087">
        <f t="shared" si="27"/>
        <v>14.646559288560802</v>
      </c>
      <c r="I216" s="2087">
        <f t="shared" si="27"/>
        <v>15.4477054243129</v>
      </c>
      <c r="J216" s="2087">
        <f t="shared" si="27"/>
        <v>16.318955019175601</v>
      </c>
      <c r="K216" s="2087">
        <f t="shared" si="27"/>
        <v>17.265523293914399</v>
      </c>
      <c r="L216" s="2087">
        <f t="shared" si="27"/>
        <v>18.293033538406899</v>
      </c>
      <c r="M216" s="2087">
        <f t="shared" si="27"/>
        <v>19.407548524705597</v>
      </c>
      <c r="N216" s="2087">
        <f t="shared" si="27"/>
        <v>20.615604350901499</v>
      </c>
      <c r="O216" s="2087">
        <f t="shared" si="27"/>
        <v>21.924246903574101</v>
      </c>
      <c r="P216" s="2088"/>
    </row>
    <row r="217" spans="2:17" hidden="1" outlineLevel="2">
      <c r="E217" s="20"/>
      <c r="F217" s="925"/>
      <c r="G217" s="925"/>
      <c r="H217" s="925"/>
      <c r="I217" s="925"/>
      <c r="J217" s="925"/>
      <c r="K217" s="925"/>
      <c r="L217" s="925"/>
      <c r="M217" s="925"/>
      <c r="N217" s="925"/>
      <c r="O217" s="925"/>
    </row>
    <row r="218" spans="2:17" hidden="1" outlineLevel="2">
      <c r="B218" s="731"/>
      <c r="C218" s="731" t="s">
        <v>876</v>
      </c>
      <c r="E218" s="862"/>
    </row>
    <row r="219" spans="2:17" hidden="1" outlineLevel="2">
      <c r="F219" s="27"/>
    </row>
    <row r="220" spans="2:17" hidden="1" outlineLevel="2">
      <c r="B220" s="20" t="s">
        <v>45</v>
      </c>
      <c r="C220" s="743" t="str">
        <f>INDEX(Vectors[Description], MATCH($B220, Vectors[Code], 0))</f>
        <v>Electricity (delivered to end user)</v>
      </c>
      <c r="F220" s="27">
        <f t="array" ref="F220">SUM(F$203:F$215/$M$113:$M$125*($B220=$F$112:$N$112)*($F$113:$N$125))</f>
        <v>-2.6997203478199401</v>
      </c>
      <c r="G220" s="27">
        <f t="array" ref="G220">SUM(G$203:G$215/$M$113:$M$125*($B220=$F$112:$N$112)*($F$113:$N$125))</f>
        <v>-2.7821360607380203</v>
      </c>
      <c r="H220" s="27">
        <f t="array" ref="H220">SUM(H$203:H$215/$M$113:$M$125*($B220=$F$112:$N$112)*($F$113:$N$125))</f>
        <v>-2.8560790612693561</v>
      </c>
      <c r="I220" s="27">
        <f t="array" ref="I220">SUM(I$203:I$215/$M$113:$M$125*($B220=$F$112:$N$112)*($F$113:$N$125))</f>
        <v>-2.7187961546790702</v>
      </c>
      <c r="J220" s="27">
        <f t="array" ref="J220">SUM(J$203:J$215/$M$113:$M$125*($B220=$F$112:$N$112)*($F$113:$N$125))</f>
        <v>-2.3760398507919676</v>
      </c>
      <c r="K220" s="27">
        <f t="array" ref="K220">SUM(K$203:K$215/$M$113:$M$125*($B220=$F$112:$N$112)*($F$113:$N$125))</f>
        <v>-2.1989370467129379</v>
      </c>
      <c r="L220" s="27">
        <f t="array" ref="L220">SUM(L$203:L$215/$M$113:$M$125*($B220=$F$112:$N$112)*($F$113:$N$125))</f>
        <v>-2.1296017924071777</v>
      </c>
      <c r="M220" s="27">
        <f t="array" ref="M220">SUM(M$203:M$215/$M$113:$M$125*($B220=$F$112:$N$112)*($F$113:$N$125))</f>
        <v>-2.1319114424195003</v>
      </c>
      <c r="N220" s="27">
        <f t="array" ref="N220">SUM(N$203:N$215/$M$113:$M$125*($B220=$F$112:$N$112)*($F$113:$N$125))</f>
        <v>-2.1833937090589335</v>
      </c>
      <c r="O220" s="27">
        <f t="array" ref="O220">SUM(O$203:O$215/$M$113:$M$125*($B220=$F$112:$N$112)*($F$113:$N$125))</f>
        <v>-2.2701649127859298</v>
      </c>
      <c r="Q220" s="27"/>
    </row>
    <row r="221" spans="2:17" hidden="1" outlineLevel="2">
      <c r="B221" s="20" t="s">
        <v>46</v>
      </c>
      <c r="C221" s="743" t="str">
        <f>INDEX(Vectors[Description], MATCH($B221, Vectors[Code], 0))</f>
        <v>Electricity (supplied to grid)</v>
      </c>
      <c r="F221" s="27">
        <f t="array" ref="F221">SUM(F$203:F$215/$M$113:$M$125*($B221=$F$112:$N$112)*($F$113:$N$125))</f>
        <v>0</v>
      </c>
      <c r="G221" s="27">
        <f t="array" ref="G221">SUM(G$203:G$215/$M$113:$M$125*($B221=$F$112:$N$112)*($F$113:$N$125))</f>
        <v>0</v>
      </c>
      <c r="H221" s="27">
        <f t="array" ref="H221">SUM(H$203:H$215/$M$113:$M$125*($B221=$F$112:$N$112)*($F$113:$N$125))</f>
        <v>0</v>
      </c>
      <c r="I221" s="27">
        <f t="array" ref="I221">SUM(I$203:I$215/$M$113:$M$125*($B221=$F$112:$N$112)*($F$113:$N$125))</f>
        <v>0</v>
      </c>
      <c r="J221" s="27">
        <f t="array" ref="J221">SUM(J$203:J$215/$M$113:$M$125*($B221=$F$112:$N$112)*($F$113:$N$125))</f>
        <v>0</v>
      </c>
      <c r="K221" s="27">
        <f t="array" ref="K221">SUM(K$203:K$215/$M$113:$M$125*($B221=$F$112:$N$112)*($F$113:$N$125))</f>
        <v>0</v>
      </c>
      <c r="L221" s="27">
        <f t="array" ref="L221">SUM(L$203:L$215/$M$113:$M$125*($B221=$F$112:$N$112)*($F$113:$N$125))</f>
        <v>0</v>
      </c>
      <c r="M221" s="27">
        <f t="array" ref="M221">SUM(M$203:M$215/$M$113:$M$125*($B221=$F$112:$N$112)*($F$113:$N$125))</f>
        <v>0</v>
      </c>
      <c r="N221" s="27">
        <f t="array" ref="N221">SUM(N$203:N$215/$M$113:$M$125*($B221=$F$112:$N$112)*($F$113:$N$125))</f>
        <v>0</v>
      </c>
      <c r="O221" s="27">
        <f t="array" ref="O221">SUM(O$203:O$215/$M$113:$M$125*($B221=$F$112:$N$112)*($F$113:$N$125))</f>
        <v>0</v>
      </c>
    </row>
    <row r="222" spans="2:17" hidden="1" outlineLevel="2">
      <c r="B222" s="20" t="s">
        <v>47</v>
      </c>
      <c r="C222" s="743" t="str">
        <f>INDEX(Vectors[Description], MATCH($B222, Vectors[Code], 0))</f>
        <v>Solid hydrocarbons</v>
      </c>
      <c r="F222" s="27">
        <f t="array" ref="F222">SUM(F$203:F$215/$M$113:$M$125*($B222=$F$112:$N$112)*($F$113:$N$125))</f>
        <v>0</v>
      </c>
      <c r="G222" s="27">
        <f t="array" ref="G222">SUM(G$203:G$215/$M$113:$M$125*($B222=$F$112:$N$112)*($F$113:$N$125))</f>
        <v>0</v>
      </c>
      <c r="H222" s="27">
        <f t="array" ref="H222">SUM(H$203:H$215/$M$113:$M$125*($B222=$F$112:$N$112)*($F$113:$N$125))</f>
        <v>0</v>
      </c>
      <c r="I222" s="27">
        <f t="array" ref="I222">SUM(I$203:I$215/$M$113:$M$125*($B222=$F$112:$N$112)*($F$113:$N$125))</f>
        <v>0</v>
      </c>
      <c r="J222" s="27">
        <f t="array" ref="J222">SUM(J$203:J$215/$M$113:$M$125*($B222=$F$112:$N$112)*($F$113:$N$125))</f>
        <v>0</v>
      </c>
      <c r="K222" s="27">
        <f t="array" ref="K222">SUM(K$203:K$215/$M$113:$M$125*($B222=$F$112:$N$112)*($F$113:$N$125))</f>
        <v>0</v>
      </c>
      <c r="L222" s="27">
        <f t="array" ref="L222">SUM(L$203:L$215/$M$113:$M$125*($B222=$F$112:$N$112)*($F$113:$N$125))</f>
        <v>0</v>
      </c>
      <c r="M222" s="27">
        <f t="array" ref="M222">SUM(M$203:M$215/$M$113:$M$125*($B222=$F$112:$N$112)*($F$113:$N$125))</f>
        <v>0</v>
      </c>
      <c r="N222" s="27">
        <f t="array" ref="N222">SUM(N$203:N$215/$M$113:$M$125*($B222=$F$112:$N$112)*($F$113:$N$125))</f>
        <v>0</v>
      </c>
      <c r="O222" s="27">
        <f t="array" ref="O222">SUM(O$203:O$215/$M$113:$M$125*($B222=$F$112:$N$112)*($F$113:$N$125))</f>
        <v>0</v>
      </c>
    </row>
    <row r="223" spans="2:17" hidden="1" outlineLevel="2">
      <c r="B223" s="20" t="s">
        <v>49</v>
      </c>
      <c r="C223" s="743" t="str">
        <f>INDEX(Vectors[Description], MATCH($B223, Vectors[Code], 0))</f>
        <v>Liquid hydrocarbons</v>
      </c>
      <c r="F223" s="27">
        <f t="array" ref="F223">SUM(F$203:F$215/$M$113:$M$125*($B223=$F$112:$N$112)*($F$113:$N$125))</f>
        <v>-1.3916084267113094</v>
      </c>
      <c r="G223" s="27">
        <f t="array" ref="G223">SUM(G$203:G$215/$M$113:$M$125*($B223=$F$112:$N$112)*($F$113:$N$125))</f>
        <v>-1.4340907529577425</v>
      </c>
      <c r="H223" s="27">
        <f t="array" ref="H223">SUM(H$203:H$215/$M$113:$M$125*($B223=$F$112:$N$112)*($F$113:$N$125))</f>
        <v>-1.4344568375394597</v>
      </c>
      <c r="I223" s="27">
        <f t="array" ref="I223">SUM(I$203:I$215/$M$113:$M$125*($B223=$F$112:$N$112)*($F$113:$N$125))</f>
        <v>-1.2103356827296705</v>
      </c>
      <c r="J223" s="27">
        <f t="array" ref="J223">SUM(J$203:J$215/$M$113:$M$125*($B223=$F$112:$N$112)*($F$113:$N$125))</f>
        <v>-0.76715912255093544</v>
      </c>
      <c r="K223" s="27">
        <f t="array" ref="K223">SUM(K$203:K$215/$M$113:$M$125*($B223=$F$112:$N$112)*($F$113:$N$125))</f>
        <v>-0.4869945539396886</v>
      </c>
      <c r="L223" s="27">
        <f t="array" ref="L223">SUM(L$203:L$215/$M$113:$M$125*($B223=$F$112:$N$112)*($F$113:$N$125))</f>
        <v>-0.30958601914070893</v>
      </c>
      <c r="M223" s="27">
        <f t="array" ref="M223">SUM(M$203:M$215/$M$113:$M$125*($B223=$F$112:$N$112)*($F$113:$N$125))</f>
        <v>-0.1970686494318972</v>
      </c>
      <c r="N223" s="27">
        <f t="array" ref="N223">SUM(N$203:N$215/$M$113:$M$125*($B223=$F$112:$N$112)*($F$113:$N$125))</f>
        <v>-0.12560131336988004</v>
      </c>
      <c r="O223" s="27">
        <f t="array" ref="O223">SUM(O$203:O$215/$M$113:$M$125*($B223=$F$112:$N$112)*($F$113:$N$125))</f>
        <v>-8.0144559204659432E-2</v>
      </c>
    </row>
    <row r="224" spans="2:17" hidden="1" outlineLevel="2">
      <c r="B224" s="20" t="s">
        <v>50</v>
      </c>
      <c r="C224" s="743" t="str">
        <f>INDEX(Vectors[Description], MATCH($B224, Vectors[Code], 0))</f>
        <v>Gaseous hydrocarbons</v>
      </c>
      <c r="F224" s="27">
        <f t="array" ref="F224">SUM(F$203:F$215/$M$113:$M$125*($B224=$F$112:$N$112)*($F$113:$N$125))</f>
        <v>-11.993769185478261</v>
      </c>
      <c r="G224" s="27">
        <f t="array" ref="G224">SUM(G$203:G$215/$M$113:$M$125*($B224=$F$112:$N$112)*($F$113:$N$125))</f>
        <v>-12.359908974287979</v>
      </c>
      <c r="H224" s="27">
        <f t="array" ref="H224">SUM(H$203:H$215/$M$113:$M$125*($B224=$F$112:$N$112)*($F$113:$N$125))</f>
        <v>-13.08734452913297</v>
      </c>
      <c r="I224" s="27">
        <f t="array" ref="I224">SUM(I$203:I$215/$M$113:$M$125*($B224=$F$112:$N$112)*($F$113:$N$125))</f>
        <v>-14.098153137243807</v>
      </c>
      <c r="J224" s="27">
        <f t="array" ref="J224">SUM(J$203:J$215/$M$113:$M$125*($B224=$F$112:$N$112)*($F$113:$N$125))</f>
        <v>-15.391823179075185</v>
      </c>
      <c r="K224" s="27">
        <f t="array" ref="K224">SUM(K$203:K$215/$M$113:$M$125*($B224=$F$112:$N$112)*($F$113:$N$125))</f>
        <v>-16.601085243636508</v>
      </c>
      <c r="L224" s="27">
        <f t="array" ref="L224">SUM(L$203:L$215/$M$113:$M$125*($B224=$F$112:$N$112)*($F$113:$N$125))</f>
        <v>-17.790236445151258</v>
      </c>
      <c r="M224" s="27">
        <f t="array" ref="M224">SUM(M$203:M$215/$M$113:$M$125*($B224=$F$112:$N$112)*($F$113:$N$125))</f>
        <v>-19.00218241886078</v>
      </c>
      <c r="N224" s="27">
        <f t="array" ref="N224">SUM(N$203:N$215/$M$113:$M$125*($B224=$F$112:$N$112)*($F$113:$N$125))</f>
        <v>-20.266627025171083</v>
      </c>
      <c r="O224" s="27">
        <f t="array" ref="O224">SUM(O$203:O$215/$M$113:$M$125*($B224=$F$112:$N$112)*($F$113:$N$125))</f>
        <v>-21.605198709451798</v>
      </c>
    </row>
    <row r="225" spans="2:15" hidden="1" outlineLevel="2">
      <c r="B225" s="20" t="s">
        <v>753</v>
      </c>
      <c r="C225" s="743" t="str">
        <f>INDEX(Vectors[Description], MATCH($B225, Vectors[Code], 0))</f>
        <v>Heat transport</v>
      </c>
      <c r="F225" s="27">
        <f t="array" ref="F225">SUM(F$203:F$215/$M$113:$M$125*($B225=$F$112:$N$112)*($F$113:$N$125))</f>
        <v>0</v>
      </c>
      <c r="G225" s="27">
        <f t="array" ref="G225">SUM(G$203:G$215/$M$113:$M$125*($B225=$F$112:$N$112)*($F$113:$N$125))</f>
        <v>0</v>
      </c>
      <c r="H225" s="27">
        <f t="array" ref="H225">SUM(H$203:H$215/$M$113:$M$125*($B225=$F$112:$N$112)*($F$113:$N$125))</f>
        <v>0</v>
      </c>
      <c r="I225" s="27">
        <f t="array" ref="I225">SUM(I$203:I$215/$M$113:$M$125*($B225=$F$112:$N$112)*($F$113:$N$125))</f>
        <v>0</v>
      </c>
      <c r="J225" s="27">
        <f t="array" ref="J225">SUM(J$203:J$215/$M$113:$M$125*($B225=$F$112:$N$112)*($F$113:$N$125))</f>
        <v>0</v>
      </c>
      <c r="K225" s="27">
        <f t="array" ref="K225">SUM(K$203:K$215/$M$113:$M$125*($B225=$F$112:$N$112)*($F$113:$N$125))</f>
        <v>0</v>
      </c>
      <c r="L225" s="27">
        <f t="array" ref="L225">SUM(L$203:L$215/$M$113:$M$125*($B225=$F$112:$N$112)*($F$113:$N$125))</f>
        <v>0</v>
      </c>
      <c r="M225" s="27">
        <f t="array" ref="M225">SUM(M$203:M$215/$M$113:$M$125*($B225=$F$112:$N$112)*($F$113:$N$125))</f>
        <v>0</v>
      </c>
      <c r="N225" s="27">
        <f t="array" ref="N225">SUM(N$203:N$215/$M$113:$M$125*($B225=$F$112:$N$112)*($F$113:$N$125))</f>
        <v>0</v>
      </c>
      <c r="O225" s="27">
        <f t="array" ref="O225">SUM(O$203:O$215/$M$113:$M$125*($B225=$F$112:$N$112)*($F$113:$N$125))</f>
        <v>0</v>
      </c>
    </row>
    <row r="226" spans="2:15" hidden="1" outlineLevel="2">
      <c r="B226" s="20" t="s">
        <v>104</v>
      </c>
      <c r="C226" s="743" t="str">
        <f>INDEX(Vectors[Description], MATCH($B226, Vectors[Code], 0))</f>
        <v>Environmental heat</v>
      </c>
      <c r="F226" s="27">
        <f t="array" ref="F226">SUM(F$203:F$215/$M$113:$M$125*($B226=$F$112:$N$112)*($F$113:$N$125))</f>
        <v>0</v>
      </c>
      <c r="G226" s="27">
        <f t="array" ref="G226">SUM(G$203:G$215/$M$113:$M$125*($B226=$F$112:$N$112)*($F$113:$N$125))</f>
        <v>0</v>
      </c>
      <c r="H226" s="27">
        <f t="array" ref="H226">SUM(H$203:H$215/$M$113:$M$125*($B226=$F$112:$N$112)*($F$113:$N$125))</f>
        <v>0</v>
      </c>
      <c r="I226" s="27">
        <f t="array" ref="I226">SUM(I$203:I$215/$M$113:$M$125*($B226=$F$112:$N$112)*($F$113:$N$125))</f>
        <v>0</v>
      </c>
      <c r="J226" s="27">
        <f t="array" ref="J226">SUM(J$203:J$215/$M$113:$M$125*($B226=$F$112:$N$112)*($F$113:$N$125))</f>
        <v>0</v>
      </c>
      <c r="K226" s="27">
        <f t="array" ref="K226">SUM(K$203:K$215/$M$113:$M$125*($B226=$F$112:$N$112)*($F$113:$N$125))</f>
        <v>0</v>
      </c>
      <c r="L226" s="27">
        <f t="array" ref="L226">SUM(L$203:L$215/$M$113:$M$125*($B226=$F$112:$N$112)*($F$113:$N$125))</f>
        <v>0</v>
      </c>
      <c r="M226" s="27">
        <f t="array" ref="M226">SUM(M$203:M$215/$M$113:$M$125*($B226=$F$112:$N$112)*($F$113:$N$125))</f>
        <v>0</v>
      </c>
      <c r="N226" s="27">
        <f t="array" ref="N226">SUM(N$203:N$215/$M$113:$M$125*($B226=$F$112:$N$112)*($F$113:$N$125))</f>
        <v>0</v>
      </c>
      <c r="O226" s="27">
        <f t="array" ref="O226">SUM(O$203:O$215/$M$113:$M$125*($B226=$F$112:$N$112)*($F$113:$N$125))</f>
        <v>0</v>
      </c>
    </row>
    <row r="227" spans="2:15" hidden="1" outlineLevel="2">
      <c r="B227" s="20" t="s">
        <v>6</v>
      </c>
      <c r="C227" s="743" t="str">
        <f>INDEX(Vectors[Description], MATCH($B227, Vectors[Code], 0))</f>
        <v>Heating and cooling</v>
      </c>
      <c r="F227" s="27">
        <f t="array" ref="F227">SUM(F$203:F$215/$M$113:$M$125*($B227=$F$112:$N$112)*($F$113:$N$125))</f>
        <v>13.498601739099701</v>
      </c>
      <c r="G227" s="27">
        <f t="array" ref="G227">SUM(G$203:G$215/$M$113:$M$125*($B227=$F$112:$N$112)*($F$113:$N$125))</f>
        <v>13.9106803036901</v>
      </c>
      <c r="H227" s="27">
        <f t="array" ref="H227">SUM(H$203:H$215/$M$113:$M$125*($B227=$F$112:$N$112)*($F$113:$N$125))</f>
        <v>14.646559288560802</v>
      </c>
      <c r="I227" s="27">
        <f t="array" ref="I227">SUM(I$203:I$215/$M$113:$M$125*($B227=$F$112:$N$112)*($F$113:$N$125))</f>
        <v>15.4477054243129</v>
      </c>
      <c r="J227" s="27">
        <f t="array" ref="J227">SUM(J$203:J$215/$M$113:$M$125*($B227=$F$112:$N$112)*($F$113:$N$125))</f>
        <v>16.318955019175601</v>
      </c>
      <c r="K227" s="27">
        <f t="array" ref="K227">SUM(K$203:K$215/$M$113:$M$125*($B227=$F$112:$N$112)*($F$113:$N$125))</f>
        <v>17.265523293914399</v>
      </c>
      <c r="L227" s="27">
        <f t="array" ref="L227">SUM(L$203:L$215/$M$113:$M$125*($B227=$F$112:$N$112)*($F$113:$N$125))</f>
        <v>18.293033538406899</v>
      </c>
      <c r="M227" s="27">
        <f t="array" ref="M227">SUM(M$203:M$215/$M$113:$M$125*($B227=$F$112:$N$112)*($F$113:$N$125))</f>
        <v>19.407548524705597</v>
      </c>
      <c r="N227" s="27">
        <f t="array" ref="N227">SUM(N$203:N$215/$M$113:$M$125*($B227=$F$112:$N$112)*($F$113:$N$125))</f>
        <v>20.615604350901499</v>
      </c>
      <c r="O227" s="27">
        <f t="array" ref="O227">SUM(O$203:O$215/$M$113:$M$125*($B227=$F$112:$N$112)*($F$113:$N$125))</f>
        <v>21.924246903574101</v>
      </c>
    </row>
    <row r="228" spans="2:15" hidden="1" outlineLevel="2">
      <c r="B228" s="20" t="s">
        <v>34</v>
      </c>
      <c r="C228" s="743" t="str">
        <f>INDEX(Vectors[Description], MATCH($B228, Vectors[Code], 0))</f>
        <v>Conversion losses</v>
      </c>
      <c r="F228" s="27">
        <f t="array" ref="F228">SUM(F$203:F$215/$M$113:$M$125*($B228=$F$112:$N$112)*($F$113:$N$125))</f>
        <v>2.5864962209098104</v>
      </c>
      <c r="G228" s="27">
        <f t="array" ref="G228">SUM(G$203:G$215/$M$113:$M$125*($B228=$F$112:$N$112)*($F$113:$N$125))</f>
        <v>2.6654554842936418</v>
      </c>
      <c r="H228" s="27">
        <f t="array" ref="H228">SUM(H$203:H$215/$M$113:$M$125*($B228=$F$112:$N$112)*($F$113:$N$125))</f>
        <v>2.7313211393809844</v>
      </c>
      <c r="I228" s="27">
        <f t="array" ref="I228">SUM(I$203:I$215/$M$113:$M$125*($B228=$F$112:$N$112)*($F$113:$N$125))</f>
        <v>2.579579550339647</v>
      </c>
      <c r="J228" s="27">
        <f t="array" ref="J228">SUM(J$203:J$215/$M$113:$M$125*($B228=$F$112:$N$112)*($F$113:$N$125))</f>
        <v>2.2160671332424866</v>
      </c>
      <c r="K228" s="27">
        <f t="array" ref="K228">SUM(K$203:K$215/$M$113:$M$125*($B228=$F$112:$N$112)*($F$113:$N$125))</f>
        <v>2.0214935503747338</v>
      </c>
      <c r="L228" s="27">
        <f t="array" ref="L228">SUM(L$203:L$215/$M$113:$M$125*($B228=$F$112:$N$112)*($F$113:$N$125))</f>
        <v>1.9363907182922451</v>
      </c>
      <c r="M228" s="27">
        <f t="array" ref="M228">SUM(M$203:M$215/$M$113:$M$125*($B228=$F$112:$N$112)*($F$113:$N$125))</f>
        <v>1.9236139860065791</v>
      </c>
      <c r="N228" s="27">
        <f t="array" ref="N228">SUM(N$203:N$215/$M$113:$M$125*($B228=$F$112:$N$112)*($F$113:$N$125))</f>
        <v>1.9600176966983973</v>
      </c>
      <c r="O228" s="27">
        <f t="array" ref="O228">SUM(O$203:O$215/$M$113:$M$125*($B228=$F$112:$N$112)*($F$113:$N$125))</f>
        <v>2.0312612778682868</v>
      </c>
    </row>
    <row r="229" spans="2:15" hidden="1" outlineLevel="2">
      <c r="B229" s="20"/>
      <c r="C229" s="743"/>
      <c r="E229" s="862" t="str">
        <f>Preferences.EnergyUnits</f>
        <v>TWh</v>
      </c>
      <c r="F229" s="1579">
        <f>SUM(F220:F228)</f>
        <v>0</v>
      </c>
      <c r="G229" s="1579">
        <f t="shared" ref="G229:O229" si="28">SUM(G220:G228)</f>
        <v>0</v>
      </c>
      <c r="H229" s="1579">
        <f t="shared" si="28"/>
        <v>0</v>
      </c>
      <c r="I229" s="1579">
        <f t="shared" si="28"/>
        <v>0</v>
      </c>
      <c r="J229" s="1579">
        <f t="shared" si="28"/>
        <v>0</v>
      </c>
      <c r="K229" s="1579">
        <f t="shared" si="28"/>
        <v>0</v>
      </c>
      <c r="L229" s="1579">
        <f t="shared" si="28"/>
        <v>0</v>
      </c>
      <c r="M229" s="1579">
        <f t="shared" si="28"/>
        <v>-3.5527136788005009E-15</v>
      </c>
      <c r="N229" s="1579">
        <f t="shared" si="28"/>
        <v>0</v>
      </c>
      <c r="O229" s="1579">
        <f t="shared" si="28"/>
        <v>0</v>
      </c>
    </row>
    <row r="230" spans="2:15" hidden="1" outlineLevel="2">
      <c r="E230" s="20"/>
      <c r="F230" s="925"/>
      <c r="G230" s="925"/>
      <c r="H230" s="925"/>
      <c r="I230" s="925"/>
      <c r="J230" s="925"/>
      <c r="K230" s="925"/>
      <c r="L230" s="925"/>
      <c r="M230" s="925"/>
      <c r="N230" s="925"/>
      <c r="O230" s="925"/>
    </row>
    <row r="231" spans="2:15" hidden="1" outlineLevel="1">
      <c r="B231" s="731">
        <v>2</v>
      </c>
      <c r="C231" s="731" t="s">
        <v>1606</v>
      </c>
    </row>
    <row r="232" spans="2:15" hidden="1" outlineLevel="2">
      <c r="F232" s="861">
        <v>2007</v>
      </c>
      <c r="G232" s="861">
        <v>2010</v>
      </c>
      <c r="H232" s="861">
        <v>2015</v>
      </c>
      <c r="I232" s="861">
        <v>2020</v>
      </c>
      <c r="J232" s="861">
        <v>2025</v>
      </c>
      <c r="K232" s="861">
        <v>2030</v>
      </c>
      <c r="L232" s="861">
        <v>2035</v>
      </c>
      <c r="M232" s="861">
        <v>2040</v>
      </c>
      <c r="N232" s="861">
        <v>2045</v>
      </c>
      <c r="O232" s="861">
        <v>2050</v>
      </c>
    </row>
    <row r="233" spans="2:15" hidden="1" outlineLevel="2">
      <c r="B233" s="20"/>
      <c r="F233" s="925"/>
      <c r="G233" s="925"/>
      <c r="H233" s="925"/>
      <c r="I233" s="925"/>
      <c r="J233" s="925"/>
      <c r="K233" s="925"/>
      <c r="L233" s="925"/>
      <c r="M233" s="925"/>
      <c r="N233" s="925"/>
      <c r="O233" s="925"/>
    </row>
    <row r="234" spans="2:15" hidden="1" outlineLevel="2">
      <c r="B234" s="20"/>
      <c r="C234" s="731" t="s">
        <v>1839</v>
      </c>
      <c r="E234" s="862" t="str">
        <f>Preferences.EnergyUnits</f>
        <v>TWh</v>
      </c>
      <c r="F234" s="943">
        <f>INDEX(F$31:F$34, MATCH($E$8, $C$31:$C$34, 0))</f>
        <v>74.58316889692</v>
      </c>
      <c r="G234" s="943">
        <f t="shared" ref="G234:O234" si="29">INDEX(G$31:G$34, MATCH($E$8, $C$31:$C$34, 0))</f>
        <v>76.860006585420706</v>
      </c>
      <c r="H234" s="943">
        <f t="shared" si="29"/>
        <v>80.925923017145195</v>
      </c>
      <c r="I234" s="943">
        <f t="shared" si="29"/>
        <v>85.352456869228106</v>
      </c>
      <c r="J234" s="943">
        <f t="shared" si="29"/>
        <v>90.166329960749493</v>
      </c>
      <c r="K234" s="943">
        <f t="shared" si="29"/>
        <v>95.396357697831505</v>
      </c>
      <c r="L234" s="943">
        <f t="shared" si="29"/>
        <v>101.07361017105001</v>
      </c>
      <c r="M234" s="943">
        <f t="shared" si="29"/>
        <v>107.231585720509</v>
      </c>
      <c r="N234" s="943">
        <f t="shared" si="29"/>
        <v>113.906397931695</v>
      </c>
      <c r="O234" s="943">
        <f t="shared" si="29"/>
        <v>121.136977099682</v>
      </c>
    </row>
    <row r="235" spans="2:15" hidden="1" outlineLevel="2">
      <c r="B235" s="20"/>
      <c r="C235" s="121">
        <v>1</v>
      </c>
      <c r="D235" s="121" t="str">
        <f t="shared" ref="D235:D247" si="30">INDEX($D$55:$D$67, MATCH($C235, $C$55:$C$67, 0))</f>
        <v>Gas boiler (old)</v>
      </c>
      <c r="E235" s="20"/>
      <c r="F235" s="925">
        <f t="array" ref="F235:F247">F$234*F170:F182</f>
        <v>41.020742893306</v>
      </c>
      <c r="G235" s="925">
        <f t="array" ref="G235:G247">G$234*G170:G182</f>
        <v>42.273003621981388</v>
      </c>
      <c r="H235" s="925">
        <f t="array" ref="H235:H247">H$234*H170:H182</f>
        <v>42.283794776458372</v>
      </c>
      <c r="I235" s="925">
        <f t="array" ref="I235:I247">I$234*I170:I182</f>
        <v>35.677326971337351</v>
      </c>
      <c r="J235" s="925">
        <f t="array" ref="J235:J247">J$234*J170:J182</f>
        <v>22.613715554155974</v>
      </c>
      <c r="K235" s="925">
        <f t="array" ref="K235:K247">K$234*K170:K182</f>
        <v>14.355243906369685</v>
      </c>
      <c r="L235" s="925">
        <f t="array" ref="L235:L247">L$234*L170:L182</f>
        <v>9.1257341151237643</v>
      </c>
      <c r="M235" s="925">
        <f t="array" ref="M235:M247">M$234*M170:M182</f>
        <v>5.80903524691999</v>
      </c>
      <c r="N235" s="925">
        <f t="array" ref="N235:N247">N$234*N170:N182</f>
        <v>3.7023771083244759</v>
      </c>
      <c r="O235" s="925">
        <f t="array" ref="O235:O247">O$234*O170:O182</f>
        <v>2.3624385238892351</v>
      </c>
    </row>
    <row r="236" spans="2:15" hidden="1" outlineLevel="2">
      <c r="B236" s="20"/>
      <c r="C236" s="121">
        <v>2</v>
      </c>
      <c r="D236" s="121" t="str">
        <f t="shared" si="30"/>
        <v>Gas boiler (new)</v>
      </c>
      <c r="E236" s="20"/>
      <c r="F236" s="925">
        <v>11.187475334538</v>
      </c>
      <c r="G236" s="925">
        <v>11.529000987813106</v>
      </c>
      <c r="H236" s="925">
        <v>15.173610565714725</v>
      </c>
      <c r="I236" s="925">
        <v>28.166310766845278</v>
      </c>
      <c r="J236" s="925">
        <v>50.312812118098222</v>
      </c>
      <c r="K236" s="925">
        <v>66.281389328453344</v>
      </c>
      <c r="L236" s="925">
        <v>78.522066269685325</v>
      </c>
      <c r="M236" s="925">
        <v>88.587015448112652</v>
      </c>
      <c r="N236" s="925">
        <v>97.467062081719391</v>
      </c>
      <c r="O236" s="925">
        <v>105.80177231168302</v>
      </c>
    </row>
    <row r="237" spans="2:15" hidden="1" outlineLevel="2">
      <c r="C237" s="731">
        <v>3</v>
      </c>
      <c r="D237" s="121" t="str">
        <f t="shared" si="30"/>
        <v>Resisitive heating</v>
      </c>
      <c r="E237" s="20"/>
      <c r="F237" s="925">
        <v>14.916633779384</v>
      </c>
      <c r="G237" s="925">
        <v>15.372001317084141</v>
      </c>
      <c r="H237" s="925">
        <v>15.780554988343313</v>
      </c>
      <c r="I237" s="925">
        <v>15.022032408984145</v>
      </c>
      <c r="J237" s="925">
        <v>13.128217642285128</v>
      </c>
      <c r="K237" s="925">
        <v>12.149680116395821</v>
      </c>
      <c r="L237" s="925">
        <v>11.766585401672959</v>
      </c>
      <c r="M237" s="925">
        <v>11.779346798763626</v>
      </c>
      <c r="N237" s="925">
        <v>12.063799267410314</v>
      </c>
      <c r="O237" s="925">
        <v>12.54323198703897</v>
      </c>
    </row>
    <row r="238" spans="2:15" hidden="1" outlineLevel="2">
      <c r="C238" s="121">
        <v>4</v>
      </c>
      <c r="D238" s="121" t="str">
        <f t="shared" si="30"/>
        <v>Oil-fired boiler</v>
      </c>
      <c r="E238" s="20"/>
      <c r="F238" s="925">
        <v>7.458316889692</v>
      </c>
      <c r="G238" s="925">
        <v>7.6860006585420706</v>
      </c>
      <c r="H238" s="925">
        <v>7.6879626866287936</v>
      </c>
      <c r="I238" s="925">
        <v>6.4867867220613356</v>
      </c>
      <c r="J238" s="925">
        <v>4.1115846462101766</v>
      </c>
      <c r="K238" s="925">
        <v>2.6100443466126699</v>
      </c>
      <c r="L238" s="925">
        <v>1.6592243845679568</v>
      </c>
      <c r="M238" s="925">
        <v>1.0561882267127254</v>
      </c>
      <c r="N238" s="925">
        <v>0.67315947424081379</v>
      </c>
      <c r="O238" s="925">
        <v>0.42953427707077002</v>
      </c>
    </row>
    <row r="239" spans="2:15" hidden="1" outlineLevel="2">
      <c r="C239" s="121">
        <v>5</v>
      </c>
      <c r="D239" s="121" t="str">
        <f t="shared" si="30"/>
        <v>Solid-fuel boiler</v>
      </c>
      <c r="E239" s="20"/>
      <c r="F239" s="925">
        <v>0</v>
      </c>
      <c r="G239" s="925">
        <v>0</v>
      </c>
      <c r="H239" s="925">
        <v>0</v>
      </c>
      <c r="I239" s="925">
        <v>0</v>
      </c>
      <c r="J239" s="925">
        <v>0</v>
      </c>
      <c r="K239" s="925">
        <v>0</v>
      </c>
      <c r="L239" s="925">
        <v>0</v>
      </c>
      <c r="M239" s="925">
        <v>0</v>
      </c>
      <c r="N239" s="925">
        <v>0</v>
      </c>
      <c r="O239" s="925">
        <v>0</v>
      </c>
    </row>
    <row r="240" spans="2:15" hidden="1" outlineLevel="2">
      <c r="C240" s="121">
        <v>6</v>
      </c>
      <c r="D240" s="121" t="str">
        <f t="shared" si="30"/>
        <v>Stirling engine μCHP</v>
      </c>
      <c r="E240" s="20"/>
      <c r="F240" s="925">
        <v>0</v>
      </c>
      <c r="G240" s="925">
        <v>0</v>
      </c>
      <c r="H240" s="925">
        <v>0</v>
      </c>
      <c r="I240" s="925">
        <v>0</v>
      </c>
      <c r="J240" s="925">
        <v>0</v>
      </c>
      <c r="K240" s="925">
        <v>0</v>
      </c>
      <c r="L240" s="925">
        <v>0</v>
      </c>
      <c r="M240" s="925">
        <v>0</v>
      </c>
      <c r="N240" s="925">
        <v>0</v>
      </c>
      <c r="O240" s="925">
        <v>0</v>
      </c>
    </row>
    <row r="241" spans="2:15" hidden="1" outlineLevel="2">
      <c r="C241" s="121">
        <v>7</v>
      </c>
      <c r="D241" s="121" t="str">
        <f t="shared" si="30"/>
        <v>Fuel-cell μCHP</v>
      </c>
      <c r="E241" s="20"/>
      <c r="F241" s="925">
        <v>0</v>
      </c>
      <c r="G241" s="925">
        <v>0</v>
      </c>
      <c r="H241" s="925">
        <v>0</v>
      </c>
      <c r="I241" s="925">
        <v>0</v>
      </c>
      <c r="J241" s="925">
        <v>0</v>
      </c>
      <c r="K241" s="925">
        <v>0</v>
      </c>
      <c r="L241" s="925">
        <v>0</v>
      </c>
      <c r="M241" s="925">
        <v>0</v>
      </c>
      <c r="N241" s="925">
        <v>0</v>
      </c>
      <c r="O241" s="925">
        <v>0</v>
      </c>
    </row>
    <row r="242" spans="2:15" hidden="1" outlineLevel="2">
      <c r="C242" s="121">
        <v>8</v>
      </c>
      <c r="D242" s="121" t="str">
        <f t="shared" si="30"/>
        <v>Air-source heat pump</v>
      </c>
      <c r="E242" s="20"/>
      <c r="F242" s="925">
        <v>0</v>
      </c>
      <c r="G242" s="925">
        <v>0</v>
      </c>
      <c r="H242" s="925">
        <v>0</v>
      </c>
      <c r="I242" s="925">
        <v>0</v>
      </c>
      <c r="J242" s="925">
        <v>0</v>
      </c>
      <c r="K242" s="925">
        <v>0</v>
      </c>
      <c r="L242" s="925">
        <v>0</v>
      </c>
      <c r="M242" s="925">
        <v>0</v>
      </c>
      <c r="N242" s="925">
        <v>0</v>
      </c>
      <c r="O242" s="925">
        <v>0</v>
      </c>
    </row>
    <row r="243" spans="2:15" hidden="1" outlineLevel="2">
      <c r="C243" s="121">
        <v>9</v>
      </c>
      <c r="D243" s="121" t="str">
        <f t="shared" si="30"/>
        <v>Ground-source heat pump</v>
      </c>
      <c r="E243" s="20"/>
      <c r="F243" s="925">
        <v>0</v>
      </c>
      <c r="G243" s="925">
        <v>0</v>
      </c>
      <c r="H243" s="925">
        <v>0</v>
      </c>
      <c r="I243" s="925">
        <v>0</v>
      </c>
      <c r="J243" s="925">
        <v>0</v>
      </c>
      <c r="K243" s="925">
        <v>0</v>
      </c>
      <c r="L243" s="925">
        <v>0</v>
      </c>
      <c r="M243" s="925">
        <v>0</v>
      </c>
      <c r="N243" s="925">
        <v>0</v>
      </c>
      <c r="O243" s="925">
        <v>0</v>
      </c>
    </row>
    <row r="244" spans="2:15" hidden="1" outlineLevel="2">
      <c r="C244" s="121">
        <v>10</v>
      </c>
      <c r="D244" s="121" t="str">
        <f t="shared" si="30"/>
        <v>Geothermal</v>
      </c>
      <c r="E244" s="20"/>
      <c r="F244" s="925">
        <v>0</v>
      </c>
      <c r="G244" s="925">
        <v>0</v>
      </c>
      <c r="H244" s="925">
        <v>0</v>
      </c>
      <c r="I244" s="925">
        <v>0</v>
      </c>
      <c r="J244" s="925">
        <v>0</v>
      </c>
      <c r="K244" s="925">
        <v>0</v>
      </c>
      <c r="L244" s="925">
        <v>0</v>
      </c>
      <c r="M244" s="925">
        <v>0</v>
      </c>
      <c r="N244" s="925">
        <v>0</v>
      </c>
      <c r="O244" s="925">
        <v>0</v>
      </c>
    </row>
    <row r="245" spans="2:15" hidden="1" outlineLevel="2">
      <c r="C245" s="121">
        <v>11</v>
      </c>
      <c r="D245" s="121" t="str">
        <f t="shared" si="30"/>
        <v>Community scale gas CHP</v>
      </c>
      <c r="E245" s="20"/>
      <c r="F245" s="925">
        <v>0</v>
      </c>
      <c r="G245" s="925">
        <v>0</v>
      </c>
      <c r="H245" s="925">
        <v>0</v>
      </c>
      <c r="I245" s="925">
        <v>0</v>
      </c>
      <c r="J245" s="925">
        <v>0</v>
      </c>
      <c r="K245" s="925">
        <v>0</v>
      </c>
      <c r="L245" s="925">
        <v>0</v>
      </c>
      <c r="M245" s="925">
        <v>0</v>
      </c>
      <c r="N245" s="925">
        <v>0</v>
      </c>
      <c r="O245" s="925">
        <v>0</v>
      </c>
    </row>
    <row r="246" spans="2:15" hidden="1" outlineLevel="2">
      <c r="C246" s="121">
        <v>12</v>
      </c>
      <c r="D246" s="121" t="str">
        <f t="shared" si="30"/>
        <v>Community scale solid-fuel CHP</v>
      </c>
      <c r="E246" s="20"/>
      <c r="F246" s="925">
        <v>0</v>
      </c>
      <c r="G246" s="925">
        <v>0</v>
      </c>
      <c r="H246" s="925">
        <v>0</v>
      </c>
      <c r="I246" s="925">
        <v>0</v>
      </c>
      <c r="J246" s="925">
        <v>0</v>
      </c>
      <c r="K246" s="925">
        <v>0</v>
      </c>
      <c r="L246" s="925">
        <v>0</v>
      </c>
      <c r="M246" s="925">
        <v>0</v>
      </c>
      <c r="N246" s="925">
        <v>0</v>
      </c>
      <c r="O246" s="925">
        <v>0</v>
      </c>
    </row>
    <row r="247" spans="2:15" hidden="1" outlineLevel="2">
      <c r="C247" s="121">
        <v>13</v>
      </c>
      <c r="D247" s="121" t="str">
        <f t="shared" si="30"/>
        <v>District heating from power stations</v>
      </c>
      <c r="E247" s="20"/>
      <c r="F247" s="925">
        <v>0</v>
      </c>
      <c r="G247" s="925">
        <v>0</v>
      </c>
      <c r="H247" s="925">
        <v>0</v>
      </c>
      <c r="I247" s="925">
        <v>0</v>
      </c>
      <c r="J247" s="925">
        <v>0</v>
      </c>
      <c r="K247" s="925">
        <v>0</v>
      </c>
      <c r="L247" s="925">
        <v>0</v>
      </c>
      <c r="M247" s="925">
        <v>0</v>
      </c>
      <c r="N247" s="925">
        <v>0</v>
      </c>
      <c r="O247" s="925">
        <v>0</v>
      </c>
    </row>
    <row r="248" spans="2:15" hidden="1" outlineLevel="2">
      <c r="E248" s="20"/>
      <c r="F248" s="2087">
        <f t="shared" ref="F248:O248" si="31">SUM(F235:F247)</f>
        <v>74.58316889692</v>
      </c>
      <c r="G248" s="2087">
        <f t="shared" si="31"/>
        <v>76.860006585420706</v>
      </c>
      <c r="H248" s="2087">
        <f t="shared" si="31"/>
        <v>80.925923017145209</v>
      </c>
      <c r="I248" s="2087">
        <f t="shared" si="31"/>
        <v>85.352456869228121</v>
      </c>
      <c r="J248" s="2087">
        <f t="shared" si="31"/>
        <v>90.166329960749493</v>
      </c>
      <c r="K248" s="2087">
        <f t="shared" si="31"/>
        <v>95.396357697831505</v>
      </c>
      <c r="L248" s="2087">
        <f t="shared" si="31"/>
        <v>101.07361017105001</v>
      </c>
      <c r="M248" s="2087">
        <f t="shared" si="31"/>
        <v>107.23158572050899</v>
      </c>
      <c r="N248" s="2087">
        <f t="shared" si="31"/>
        <v>113.906397931695</v>
      </c>
      <c r="O248" s="2087">
        <f t="shared" si="31"/>
        <v>121.136977099682</v>
      </c>
    </row>
    <row r="249" spans="2:15" hidden="1" outlineLevel="2">
      <c r="E249" s="20"/>
      <c r="F249" s="925"/>
      <c r="G249" s="925"/>
      <c r="H249" s="925"/>
      <c r="I249" s="925"/>
      <c r="J249" s="925"/>
      <c r="K249" s="925"/>
      <c r="L249" s="925"/>
      <c r="M249" s="925"/>
      <c r="N249" s="925"/>
      <c r="O249" s="925"/>
    </row>
    <row r="250" spans="2:15" hidden="1" outlineLevel="2">
      <c r="B250" s="731"/>
      <c r="C250" s="731" t="s">
        <v>876</v>
      </c>
      <c r="E250" s="862"/>
    </row>
    <row r="251" spans="2:15" hidden="1" outlineLevel="2">
      <c r="E251" s="20"/>
      <c r="F251" s="27"/>
    </row>
    <row r="252" spans="2:15" hidden="1" outlineLevel="2">
      <c r="B252" s="20" t="s">
        <v>45</v>
      </c>
      <c r="C252" s="743" t="str">
        <f>INDEX(Vectors[Description], MATCH($B252, Vectors[Code], 0))</f>
        <v>Electricity (delivered to end user)</v>
      </c>
      <c r="E252" s="20"/>
      <c r="F252" s="27">
        <f t="array" ref="F252">SUM(F$235:F$247/$M$95:$M$107*($B252=$F$94:$N$94)*($F$95:$N$107))</f>
        <v>-14.916633779384</v>
      </c>
      <c r="G252" s="27">
        <f t="array" ref="G252">SUM(G$235:G$247/$M$95:$M$107*($B252=$F$94:$N$94)*($F$95:$N$107))</f>
        <v>-15.372001317084141</v>
      </c>
      <c r="H252" s="27">
        <f t="array" ref="H252">SUM(H$235:H$247/$M$95:$M$107*($B252=$F$94:$N$94)*($F$95:$N$107))</f>
        <v>-15.780554988343313</v>
      </c>
      <c r="I252" s="27">
        <f t="array" ref="I252">SUM(I$235:I$247/$M$95:$M$107*($B252=$F$94:$N$94)*($F$95:$N$107))</f>
        <v>-15.022032408984145</v>
      </c>
      <c r="J252" s="27">
        <f t="array" ref="J252">SUM(J$235:J$247/$M$95:$M$107*($B252=$F$94:$N$94)*($F$95:$N$107))</f>
        <v>-13.128217642285128</v>
      </c>
      <c r="K252" s="27">
        <f t="array" ref="K252">SUM(K$235:K$247/$M$95:$M$107*($B252=$F$94:$N$94)*($F$95:$N$107))</f>
        <v>-12.149680116395821</v>
      </c>
      <c r="L252" s="27">
        <f t="array" ref="L252">SUM(L$235:L$247/$M$95:$M$107*($B252=$F$94:$N$94)*($F$95:$N$107))</f>
        <v>-11.766585401672959</v>
      </c>
      <c r="M252" s="27">
        <f t="array" ref="M252">SUM(M$235:M$247/$M$95:$M$107*($B252=$F$94:$N$94)*($F$95:$N$107))</f>
        <v>-11.779346798763626</v>
      </c>
      <c r="N252" s="27">
        <f t="array" ref="N252">SUM(N$235:N$247/$M$95:$M$107*($B252=$F$94:$N$94)*($F$95:$N$107))</f>
        <v>-12.063799267410314</v>
      </c>
      <c r="O252" s="27">
        <f t="array" ref="O252">SUM(O$235:O$247/$M$95:$M$107*($B252=$F$94:$N$94)*($F$95:$N$107))</f>
        <v>-12.54323198703897</v>
      </c>
    </row>
    <row r="253" spans="2:15" hidden="1" outlineLevel="2">
      <c r="B253" s="20" t="s">
        <v>46</v>
      </c>
      <c r="C253" s="743" t="str">
        <f>INDEX(Vectors[Description], MATCH($B253, Vectors[Code], 0))</f>
        <v>Electricity (supplied to grid)</v>
      </c>
      <c r="E253" s="20"/>
      <c r="F253" s="27">
        <f t="array" ref="F253">SUM(F$235:F$247/$M$95:$M$107*($B253=$F$94:$N$94)*($F$95:$N$107))</f>
        <v>0</v>
      </c>
      <c r="G253" s="27">
        <f t="array" ref="G253">SUM(G$235:G$247/$M$95:$M$107*($B253=$F$94:$N$94)*($F$95:$N$107))</f>
        <v>0</v>
      </c>
      <c r="H253" s="27">
        <f t="array" ref="H253">SUM(H$235:H$247/$M$95:$M$107*($B253=$F$94:$N$94)*($F$95:$N$107))</f>
        <v>0</v>
      </c>
      <c r="I253" s="27">
        <f t="array" ref="I253">SUM(I$235:I$247/$M$95:$M$107*($B253=$F$94:$N$94)*($F$95:$N$107))</f>
        <v>0</v>
      </c>
      <c r="J253" s="27">
        <f t="array" ref="J253">SUM(J$235:J$247/$M$95:$M$107*($B253=$F$94:$N$94)*($F$95:$N$107))</f>
        <v>0</v>
      </c>
      <c r="K253" s="27">
        <f t="array" ref="K253">SUM(K$235:K$247/$M$95:$M$107*($B253=$F$94:$N$94)*($F$95:$N$107))</f>
        <v>0</v>
      </c>
      <c r="L253" s="27">
        <f t="array" ref="L253">SUM(L$235:L$247/$M$95:$M$107*($B253=$F$94:$N$94)*($F$95:$N$107))</f>
        <v>0</v>
      </c>
      <c r="M253" s="27">
        <f t="array" ref="M253">SUM(M$235:M$247/$M$95:$M$107*($B253=$F$94:$N$94)*($F$95:$N$107))</f>
        <v>0</v>
      </c>
      <c r="N253" s="27">
        <f t="array" ref="N253">SUM(N$235:N$247/$M$95:$M$107*($B253=$F$94:$N$94)*($F$95:$N$107))</f>
        <v>0</v>
      </c>
      <c r="O253" s="27">
        <f t="array" ref="O253">SUM(O$235:O$247/$M$95:$M$107*($B253=$F$94:$N$94)*($F$95:$N$107))</f>
        <v>0</v>
      </c>
    </row>
    <row r="254" spans="2:15" hidden="1" outlineLevel="2">
      <c r="B254" s="20" t="s">
        <v>47</v>
      </c>
      <c r="C254" s="743" t="str">
        <f>INDEX(Vectors[Description], MATCH($B254, Vectors[Code], 0))</f>
        <v>Solid hydrocarbons</v>
      </c>
      <c r="E254" s="20"/>
      <c r="F254" s="27">
        <f t="array" ref="F254">SUM(F$235:F$247/$M$95:$M$107*($B254=$F$94:$N$94)*($F$95:$N$107))</f>
        <v>0</v>
      </c>
      <c r="G254" s="27">
        <f t="array" ref="G254">SUM(G$235:G$247/$M$95:$M$107*($B254=$F$94:$N$94)*($F$95:$N$107))</f>
        <v>0</v>
      </c>
      <c r="H254" s="27">
        <f t="array" ref="H254">SUM(H$235:H$247/$M$95:$M$107*($B254=$F$94:$N$94)*($F$95:$N$107))</f>
        <v>0</v>
      </c>
      <c r="I254" s="27">
        <f t="array" ref="I254">SUM(I$235:I$247/$M$95:$M$107*($B254=$F$94:$N$94)*($F$95:$N$107))</f>
        <v>0</v>
      </c>
      <c r="J254" s="27">
        <f t="array" ref="J254">SUM(J$235:J$247/$M$95:$M$107*($B254=$F$94:$N$94)*($F$95:$N$107))</f>
        <v>0</v>
      </c>
      <c r="K254" s="27">
        <f t="array" ref="K254">SUM(K$235:K$247/$M$95:$M$107*($B254=$F$94:$N$94)*($F$95:$N$107))</f>
        <v>0</v>
      </c>
      <c r="L254" s="27">
        <f t="array" ref="L254">SUM(L$235:L$247/$M$95:$M$107*($B254=$F$94:$N$94)*($F$95:$N$107))</f>
        <v>0</v>
      </c>
      <c r="M254" s="27">
        <f t="array" ref="M254">SUM(M$235:M$247/$M$95:$M$107*($B254=$F$94:$N$94)*($F$95:$N$107))</f>
        <v>0</v>
      </c>
      <c r="N254" s="27">
        <f t="array" ref="N254">SUM(N$235:N$247/$M$95:$M$107*($B254=$F$94:$N$94)*($F$95:$N$107))</f>
        <v>0</v>
      </c>
      <c r="O254" s="27">
        <f t="array" ref="O254">SUM(O$235:O$247/$M$95:$M$107*($B254=$F$94:$N$94)*($F$95:$N$107))</f>
        <v>0</v>
      </c>
    </row>
    <row r="255" spans="2:15" hidden="1" outlineLevel="2">
      <c r="B255" s="20" t="s">
        <v>49</v>
      </c>
      <c r="C255" s="743" t="str">
        <f>INDEX(Vectors[Description], MATCH($B255, Vectors[Code], 0))</f>
        <v>Liquid hydrocarbons</v>
      </c>
      <c r="E255" s="20"/>
      <c r="F255" s="27">
        <f t="array" ref="F255">SUM(F$235:F$247/$M$95:$M$107*($B255=$F$94:$N$94)*($F$95:$N$107))</f>
        <v>-7.6889864842185567</v>
      </c>
      <c r="G255" s="27">
        <f t="array" ref="G255">SUM(G$235:G$247/$M$95:$M$107*($B255=$F$94:$N$94)*($F$95:$N$107))</f>
        <v>-7.9237120191155368</v>
      </c>
      <c r="H255" s="27">
        <f t="array" ref="H255">SUM(H$235:H$247/$M$95:$M$107*($B255=$F$94:$N$94)*($F$95:$N$107))</f>
        <v>-7.9257347284832926</v>
      </c>
      <c r="I255" s="27">
        <f t="array" ref="I255">SUM(I$235:I$247/$M$95:$M$107*($B255=$F$94:$N$94)*($F$95:$N$107))</f>
        <v>-6.6874089918158104</v>
      </c>
      <c r="J255" s="27">
        <f t="array" ref="J255">SUM(J$235:J$247/$M$95:$M$107*($B255=$F$94:$N$94)*($F$95:$N$107))</f>
        <v>-4.2387470579486362</v>
      </c>
      <c r="K255" s="27">
        <f t="array" ref="K255">SUM(K$235:K$247/$M$95:$M$107*($B255=$F$94:$N$94)*($F$95:$N$107))</f>
        <v>-2.6907673676419277</v>
      </c>
      <c r="L255" s="27">
        <f t="array" ref="L255">SUM(L$235:L$247/$M$95:$M$107*($B255=$F$94:$N$94)*($F$95:$N$107))</f>
        <v>-1.7105406026473782</v>
      </c>
      <c r="M255" s="27">
        <f t="array" ref="M255">SUM(M$235:M$247/$M$95:$M$107*($B255=$F$94:$N$94)*($F$95:$N$107))</f>
        <v>-1.0888538419718818</v>
      </c>
      <c r="N255" s="27">
        <f t="array" ref="N255">SUM(N$235:N$247/$M$95:$M$107*($B255=$F$94:$N$94)*($F$95:$N$107))</f>
        <v>-0.69397883942351934</v>
      </c>
      <c r="O255" s="27">
        <f t="array" ref="O255">SUM(O$235:O$247/$M$95:$M$107*($B255=$F$94:$N$94)*($F$95:$N$107))</f>
        <v>-0.44281884234100005</v>
      </c>
    </row>
    <row r="256" spans="2:15" hidden="1" outlineLevel="2">
      <c r="B256" s="20" t="s">
        <v>50</v>
      </c>
      <c r="C256" s="743" t="str">
        <f>INDEX(Vectors[Description], MATCH($B256, Vectors[Code], 0))</f>
        <v>Gaseous hydrocarbons</v>
      </c>
      <c r="E256" s="20"/>
      <c r="F256" s="27">
        <f t="array" ref="F256">SUM(F$235:F$247/$M$95:$M$107*($B256=$F$94:$N$94)*($F$95:$N$107))</f>
        <v>-66.268590640771166</v>
      </c>
      <c r="G256" s="27">
        <f t="array" ref="G256">SUM(G$235:G$247/$M$95:$M$107*($B256=$F$94:$N$94)*($F$95:$N$107))</f>
        <v>-68.29160504155729</v>
      </c>
      <c r="H256" s="27">
        <f t="array" ref="H256">SUM(H$235:H$247/$M$95:$M$107*($B256=$F$94:$N$94)*($F$95:$N$107))</f>
        <v>-72.31086939924856</v>
      </c>
      <c r="I256" s="27">
        <f t="array" ref="I256">SUM(I$235:I$247/$M$95:$M$107*($B256=$F$94:$N$94)*($F$95:$N$107))</f>
        <v>-77.895841131751595</v>
      </c>
      <c r="J256" s="27">
        <f t="array" ref="J256">SUM(J$235:J$247/$M$95:$M$107*($B256=$F$94:$N$94)*($F$95:$N$107))</f>
        <v>-85.043693412429988</v>
      </c>
      <c r="K256" s="27">
        <f t="array" ref="K256">SUM(K$235:K$247/$M$95:$M$107*($B256=$F$94:$N$94)*($F$95:$N$107))</f>
        <v>-91.725170393899575</v>
      </c>
      <c r="L256" s="27">
        <f t="array" ref="L256">SUM(L$235:L$247/$M$95:$M$107*($B256=$F$94:$N$94)*($F$95:$N$107))</f>
        <v>-98.295529800062852</v>
      </c>
      <c r="M256" s="27">
        <f t="array" ref="M256">SUM(M$235:M$247/$M$95:$M$107*($B256=$F$94:$N$94)*($F$95:$N$107))</f>
        <v>-104.99183605445749</v>
      </c>
      <c r="N256" s="27">
        <f t="array" ref="N256">SUM(N$235:N$247/$M$95:$M$107*($B256=$F$94:$N$94)*($F$95:$N$107))</f>
        <v>-111.97821045500579</v>
      </c>
      <c r="O256" s="27">
        <f t="array" ref="O256">SUM(O$235:O$247/$M$95:$M$107*($B256=$F$94:$N$94)*($F$95:$N$107))</f>
        <v>-119.37415560095185</v>
      </c>
    </row>
    <row r="257" spans="2:17" hidden="1" outlineLevel="2">
      <c r="B257" s="20" t="s">
        <v>753</v>
      </c>
      <c r="C257" s="743" t="str">
        <f>INDEX(Vectors[Description], MATCH($B257, Vectors[Code], 0))</f>
        <v>Heat transport</v>
      </c>
      <c r="E257" s="20"/>
      <c r="F257" s="27">
        <f t="array" ref="F257">SUM(F$235:F$247/$M$95:$M$107*($B257=$F$94:$N$94)*($F$95:$N$107))</f>
        <v>0</v>
      </c>
      <c r="G257" s="27">
        <f t="array" ref="G257">SUM(G$235:G$247/$M$95:$M$107*($B257=$F$94:$N$94)*($F$95:$N$107))</f>
        <v>0</v>
      </c>
      <c r="H257" s="27">
        <f t="array" ref="H257">SUM(H$235:H$247/$M$95:$M$107*($B257=$F$94:$N$94)*($F$95:$N$107))</f>
        <v>0</v>
      </c>
      <c r="I257" s="27">
        <f t="array" ref="I257">SUM(I$235:I$247/$M$95:$M$107*($B257=$F$94:$N$94)*($F$95:$N$107))</f>
        <v>0</v>
      </c>
      <c r="J257" s="27">
        <f t="array" ref="J257">SUM(J$235:J$247/$M$95:$M$107*($B257=$F$94:$N$94)*($F$95:$N$107))</f>
        <v>0</v>
      </c>
      <c r="K257" s="27">
        <f t="array" ref="K257">SUM(K$235:K$247/$M$95:$M$107*($B257=$F$94:$N$94)*($F$95:$N$107))</f>
        <v>0</v>
      </c>
      <c r="L257" s="27">
        <f t="array" ref="L257">SUM(L$235:L$247/$M$95:$M$107*($B257=$F$94:$N$94)*($F$95:$N$107))</f>
        <v>0</v>
      </c>
      <c r="M257" s="27">
        <f t="array" ref="M257">SUM(M$235:M$247/$M$95:$M$107*($B257=$F$94:$N$94)*($F$95:$N$107))</f>
        <v>0</v>
      </c>
      <c r="N257" s="27">
        <f t="array" ref="N257">SUM(N$235:N$247/$M$95:$M$107*($B257=$F$94:$N$94)*($F$95:$N$107))</f>
        <v>0</v>
      </c>
      <c r="O257" s="27">
        <f t="array" ref="O257">SUM(O$235:O$247/$M$95:$M$107*($B257=$F$94:$N$94)*($F$95:$N$107))</f>
        <v>0</v>
      </c>
    </row>
    <row r="258" spans="2:17" hidden="1" outlineLevel="2">
      <c r="B258" s="20" t="s">
        <v>104</v>
      </c>
      <c r="C258" s="743" t="str">
        <f>INDEX(Vectors[Description], MATCH($B258, Vectors[Code], 0))</f>
        <v>Environmental heat</v>
      </c>
      <c r="E258" s="20"/>
      <c r="F258" s="27">
        <f t="array" ref="F258">SUM(F$235:F$247/$M$95:$M$107*($B258=$F$94:$N$94)*($F$95:$N$107))</f>
        <v>0</v>
      </c>
      <c r="G258" s="27">
        <f t="array" ref="G258">SUM(G$235:G$247/$M$95:$M$107*($B258=$F$94:$N$94)*($F$95:$N$107))</f>
        <v>0</v>
      </c>
      <c r="H258" s="27">
        <f t="array" ref="H258">SUM(H$235:H$247/$M$95:$M$107*($B258=$F$94:$N$94)*($F$95:$N$107))</f>
        <v>0</v>
      </c>
      <c r="I258" s="27">
        <f t="array" ref="I258">SUM(I$235:I$247/$M$95:$M$107*($B258=$F$94:$N$94)*($F$95:$N$107))</f>
        <v>0</v>
      </c>
      <c r="J258" s="27">
        <f t="array" ref="J258">SUM(J$235:J$247/$M$95:$M$107*($B258=$F$94:$N$94)*($F$95:$N$107))</f>
        <v>0</v>
      </c>
      <c r="K258" s="27">
        <f t="array" ref="K258">SUM(K$235:K$247/$M$95:$M$107*($B258=$F$94:$N$94)*($F$95:$N$107))</f>
        <v>0</v>
      </c>
      <c r="L258" s="27">
        <f t="array" ref="L258">SUM(L$235:L$247/$M$95:$M$107*($B258=$F$94:$N$94)*($F$95:$N$107))</f>
        <v>0</v>
      </c>
      <c r="M258" s="27">
        <f t="array" ref="M258">SUM(M$235:M$247/$M$95:$M$107*($B258=$F$94:$N$94)*($F$95:$N$107))</f>
        <v>0</v>
      </c>
      <c r="N258" s="27">
        <f t="array" ref="N258">SUM(N$235:N$247/$M$95:$M$107*($B258=$F$94:$N$94)*($F$95:$N$107))</f>
        <v>0</v>
      </c>
      <c r="O258" s="27">
        <f t="array" ref="O258">SUM(O$235:O$247/$M$95:$M$107*($B258=$F$94:$N$94)*($F$95:$N$107))</f>
        <v>0</v>
      </c>
    </row>
    <row r="259" spans="2:17" hidden="1" outlineLevel="2">
      <c r="B259" s="20" t="s">
        <v>6</v>
      </c>
      <c r="C259" s="743" t="str">
        <f>INDEX(Vectors[Description], MATCH($B259, Vectors[Code], 0))</f>
        <v>Heating and cooling</v>
      </c>
      <c r="E259" s="20"/>
      <c r="F259" s="27">
        <f t="array" ref="F259">SUM(F$235:F$247/$M$95:$M$107*($B259=$F$94:$N$94)*($F$95:$N$107))</f>
        <v>74.58316889692</v>
      </c>
      <c r="G259" s="27">
        <f t="array" ref="G259">SUM(G$235:G$247/$M$95:$M$107*($B259=$F$94:$N$94)*($F$95:$N$107))</f>
        <v>76.860006585420706</v>
      </c>
      <c r="H259" s="27">
        <f t="array" ref="H259">SUM(H$235:H$247/$M$95:$M$107*($B259=$F$94:$N$94)*($F$95:$N$107))</f>
        <v>80.925923017145209</v>
      </c>
      <c r="I259" s="27">
        <f t="array" ref="I259">SUM(I$235:I$247/$M$95:$M$107*($B259=$F$94:$N$94)*($F$95:$N$107))</f>
        <v>85.352456869228121</v>
      </c>
      <c r="J259" s="27">
        <f t="array" ref="J259">SUM(J$235:J$247/$M$95:$M$107*($B259=$F$94:$N$94)*($F$95:$N$107))</f>
        <v>90.166329960749493</v>
      </c>
      <c r="K259" s="27">
        <f t="array" ref="K259">SUM(K$235:K$247/$M$95:$M$107*($B259=$F$94:$N$94)*($F$95:$N$107))</f>
        <v>95.396357697831505</v>
      </c>
      <c r="L259" s="27">
        <f t="array" ref="L259">SUM(L$235:L$247/$M$95:$M$107*($B259=$F$94:$N$94)*($F$95:$N$107))</f>
        <v>101.07361017105001</v>
      </c>
      <c r="M259" s="27">
        <f t="array" ref="M259">SUM(M$235:M$247/$M$95:$M$107*($B259=$F$94:$N$94)*($F$95:$N$107))</f>
        <v>107.23158572050899</v>
      </c>
      <c r="N259" s="27">
        <f t="array" ref="N259">SUM(N$235:N$247/$M$95:$M$107*($B259=$F$94:$N$94)*($F$95:$N$107))</f>
        <v>113.906397931695</v>
      </c>
      <c r="O259" s="27">
        <f t="array" ref="O259">SUM(O$235:O$247/$M$95:$M$107*($B259=$F$94:$N$94)*($F$95:$N$107))</f>
        <v>121.136977099682</v>
      </c>
    </row>
    <row r="260" spans="2:17" hidden="1" outlineLevel="2">
      <c r="B260" s="20" t="s">
        <v>34</v>
      </c>
      <c r="C260" s="743" t="str">
        <f>INDEX(Vectors[Description], MATCH($B260, Vectors[Code], 0))</f>
        <v>Conversion losses</v>
      </c>
      <c r="E260" s="20"/>
      <c r="F260" s="27">
        <f t="array" ref="F260">SUM(F$235:F$247/$M$95:$M$107*($B260=$F$94:$N$94)*($F$95:$N$107))</f>
        <v>14.291042007453724</v>
      </c>
      <c r="G260" s="27">
        <f t="array" ref="G260">SUM(G$235:G$247/$M$95:$M$107*($B260=$F$94:$N$94)*($F$95:$N$107))</f>
        <v>14.727311792336264</v>
      </c>
      <c r="H260" s="27">
        <f t="array" ref="H260">SUM(H$235:H$247/$M$95:$M$107*($B260=$F$94:$N$94)*($F$95:$N$107))</f>
        <v>15.091236098929969</v>
      </c>
      <c r="I260" s="27">
        <f t="array" ref="I260">SUM(I$235:I$247/$M$95:$M$107*($B260=$F$94:$N$94)*($F$95:$N$107))</f>
        <v>14.252825663323437</v>
      </c>
      <c r="J260" s="27">
        <f t="array" ref="J260">SUM(J$235:J$247/$M$95:$M$107*($B260=$F$94:$N$94)*($F$95:$N$107))</f>
        <v>12.244328151914258</v>
      </c>
      <c r="K260" s="27">
        <f t="array" ref="K260">SUM(K$235:K$247/$M$95:$M$107*($B260=$F$94:$N$94)*($F$95:$N$107))</f>
        <v>11.169260180105814</v>
      </c>
      <c r="L260" s="27">
        <f t="array" ref="L260">SUM(L$235:L$247/$M$95:$M$107*($B260=$F$94:$N$94)*($F$95:$N$107))</f>
        <v>10.699045633333188</v>
      </c>
      <c r="M260" s="27">
        <f t="array" ref="M260">SUM(M$235:M$247/$M$95:$M$107*($B260=$F$94:$N$94)*($F$95:$N$107))</f>
        <v>10.628450974684014</v>
      </c>
      <c r="N260" s="27">
        <f t="array" ref="N260">SUM(N$235:N$247/$M$95:$M$107*($B260=$F$94:$N$94)*($F$95:$N$107))</f>
        <v>10.829590630144637</v>
      </c>
      <c r="O260" s="27">
        <f t="array" ref="O260">SUM(O$235:O$247/$M$95:$M$107*($B260=$F$94:$N$94)*($F$95:$N$107))</f>
        <v>11.223229330649824</v>
      </c>
    </row>
    <row r="261" spans="2:17" hidden="1" outlineLevel="2">
      <c r="B261" s="20"/>
      <c r="C261" s="743"/>
      <c r="E261" s="862" t="str">
        <f>Preferences.EnergyUnits</f>
        <v>TWh</v>
      </c>
      <c r="F261" s="1579">
        <f>SUM(F252:F260)</f>
        <v>0</v>
      </c>
      <c r="G261" s="1579">
        <f t="shared" ref="G261:O261" si="32">SUM(G252:G260)</f>
        <v>0</v>
      </c>
      <c r="H261" s="1579">
        <f t="shared" si="32"/>
        <v>1.4210854715202004E-14</v>
      </c>
      <c r="I261" s="1579">
        <f t="shared" si="32"/>
        <v>0</v>
      </c>
      <c r="J261" s="1579">
        <f t="shared" si="32"/>
        <v>0</v>
      </c>
      <c r="K261" s="1579">
        <f t="shared" si="32"/>
        <v>0</v>
      </c>
      <c r="L261" s="1579">
        <f t="shared" si="32"/>
        <v>0</v>
      </c>
      <c r="M261" s="1579">
        <f t="shared" si="32"/>
        <v>0</v>
      </c>
      <c r="N261" s="1579">
        <f t="shared" si="32"/>
        <v>0</v>
      </c>
      <c r="O261" s="1579">
        <f t="shared" si="32"/>
        <v>0</v>
      </c>
    </row>
    <row r="262" spans="2:17" hidden="1" outlineLevel="2">
      <c r="E262" s="20"/>
      <c r="F262" s="925"/>
      <c r="G262" s="925"/>
      <c r="H262" s="925"/>
      <c r="I262" s="925"/>
      <c r="J262" s="925"/>
      <c r="K262" s="925"/>
      <c r="L262" s="925"/>
      <c r="M262" s="925"/>
      <c r="N262" s="925"/>
      <c r="O262" s="925"/>
    </row>
    <row r="263" spans="2:17" hidden="1" outlineLevel="2">
      <c r="E263" s="20"/>
      <c r="F263" s="925"/>
      <c r="G263" s="925"/>
      <c r="H263" s="925"/>
      <c r="I263" s="925"/>
      <c r="J263" s="925"/>
      <c r="K263" s="925"/>
      <c r="L263" s="925"/>
      <c r="M263" s="925"/>
      <c r="N263" s="925"/>
      <c r="O263" s="925"/>
    </row>
    <row r="264" spans="2:17" hidden="1" outlineLevel="1">
      <c r="B264" s="731">
        <v>3</v>
      </c>
      <c r="C264" s="731" t="s">
        <v>1635</v>
      </c>
      <c r="E264" s="20"/>
    </row>
    <row r="265" spans="2:17" hidden="1" outlineLevel="2">
      <c r="E265" s="20"/>
      <c r="F265" s="861">
        <v>2007</v>
      </c>
      <c r="G265" s="861">
        <v>2010</v>
      </c>
      <c r="H265" s="861">
        <v>2015</v>
      </c>
      <c r="I265" s="861">
        <v>2020</v>
      </c>
      <c r="J265" s="861">
        <v>2025</v>
      </c>
      <c r="K265" s="861">
        <v>2030</v>
      </c>
      <c r="L265" s="861">
        <v>2035</v>
      </c>
      <c r="M265" s="861">
        <v>2040</v>
      </c>
      <c r="N265" s="861">
        <v>2045</v>
      </c>
      <c r="O265" s="861">
        <v>2050</v>
      </c>
    </row>
    <row r="266" spans="2:17" hidden="1" outlineLevel="2">
      <c r="E266" s="20"/>
      <c r="F266" s="925"/>
      <c r="G266" s="925"/>
      <c r="H266" s="925"/>
      <c r="I266" s="925"/>
      <c r="J266" s="925"/>
      <c r="K266" s="925"/>
      <c r="L266" s="925"/>
      <c r="M266" s="925"/>
      <c r="N266" s="925"/>
      <c r="O266" s="925"/>
    </row>
    <row r="267" spans="2:17" hidden="1" outlineLevel="2">
      <c r="C267" s="731" t="s">
        <v>1847</v>
      </c>
      <c r="E267" s="862" t="str">
        <f>Preferences.EnergyUnits</f>
        <v>TWh</v>
      </c>
      <c r="F267" s="943">
        <f>INDEX(F$47:F$50, MATCH($E$8, $C$47:$C$50, 0))</f>
        <v>27.338359407609801</v>
      </c>
      <c r="G267" s="943">
        <f t="shared" ref="G267:O267" si="33">INDEX(G$47:G$50, MATCH($E$8, $C$47:$C$50, 0))</f>
        <v>33.137251501941698</v>
      </c>
      <c r="H267" s="943">
        <f t="shared" si="33"/>
        <v>42.573813220197202</v>
      </c>
      <c r="I267" s="943">
        <f t="shared" si="33"/>
        <v>51.746160510585398</v>
      </c>
      <c r="J267" s="943">
        <f t="shared" si="33"/>
        <v>60.678842883751997</v>
      </c>
      <c r="K267" s="943">
        <f t="shared" si="33"/>
        <v>69.396689702337895</v>
      </c>
      <c r="L267" s="943">
        <f t="shared" si="33"/>
        <v>77.924884326868707</v>
      </c>
      <c r="M267" s="943">
        <f t="shared" si="33"/>
        <v>86.289042383050003</v>
      </c>
      <c r="N267" s="943">
        <f t="shared" si="33"/>
        <v>94.515294516459903</v>
      </c>
      <c r="O267" s="943">
        <f t="shared" si="33"/>
        <v>102.63037402754701</v>
      </c>
    </row>
    <row r="268" spans="2:17" hidden="1" outlineLevel="2">
      <c r="C268" s="121">
        <v>1</v>
      </c>
      <c r="D268" s="121" t="str">
        <f>INDEX($D$73:$D$75, MATCH($C268, $C$73:$C$75, 0))</f>
        <v>Electric air conditioner (old)</v>
      </c>
      <c r="E268" s="862"/>
      <c r="F268" s="925">
        <f t="array" ref="F268:F270">F$267*F$187:F$189</f>
        <v>27.338359407609801</v>
      </c>
      <c r="G268" s="925">
        <f t="array" ref="G268:G270">G$267*G$187:G$189</f>
        <v>33.137251501941698</v>
      </c>
      <c r="H268" s="925">
        <f t="array" ref="H268:H270">H$267*H$187:H$189</f>
        <v>40.44512255918734</v>
      </c>
      <c r="I268" s="925">
        <f t="array" ref="I268:I270">I$267*I$187:I$189</f>
        <v>39.327081988044903</v>
      </c>
      <c r="J268" s="925">
        <f t="array" ref="J268:J270">J$267*J$187:J$189</f>
        <v>27.669552354990909</v>
      </c>
      <c r="K268" s="925">
        <f t="array" ref="K268:K270">K$267*K$187:K$189</f>
        <v>18.986934302559646</v>
      </c>
      <c r="L268" s="925">
        <f t="array" ref="L268:L270">L$267*L$187:L$189</f>
        <v>12.792149011098765</v>
      </c>
      <c r="M268" s="925">
        <f t="array" ref="M268:M270">M$267*M$187:M$189</f>
        <v>8.4991255185608914</v>
      </c>
      <c r="N268" s="925">
        <f t="array" ref="N268:N270">N$267*N$187:N$189</f>
        <v>5.5856270692159393</v>
      </c>
      <c r="O268" s="925">
        <f t="array" ref="O268:O270">O$267*O$187:O$189</f>
        <v>3.6391252752782157</v>
      </c>
      <c r="Q268" s="121">
        <f t="array" ref="Q268">Q$267*Q$187:Q$189</f>
        <v>0</v>
      </c>
    </row>
    <row r="269" spans="2:17" hidden="1" outlineLevel="2">
      <c r="C269" s="121">
        <v>2</v>
      </c>
      <c r="D269" s="121" t="str">
        <f>INDEX($D$73:$D$75, MATCH($C269, $C$73:$C$75, 0))</f>
        <v>Electric air conditioner (new)</v>
      </c>
      <c r="E269" s="862"/>
      <c r="F269" s="925">
        <v>0</v>
      </c>
      <c r="G269" s="925">
        <v>0</v>
      </c>
      <c r="H269" s="925">
        <v>2.1286906610098604</v>
      </c>
      <c r="I269" s="925">
        <v>12.419078522540495</v>
      </c>
      <c r="J269" s="925">
        <v>33.009290528761092</v>
      </c>
      <c r="K269" s="925">
        <v>50.409755399778248</v>
      </c>
      <c r="L269" s="925">
        <v>65.132735315769949</v>
      </c>
      <c r="M269" s="925">
        <v>77.789916864489101</v>
      </c>
      <c r="N269" s="925">
        <v>88.929667447243972</v>
      </c>
      <c r="O269" s="925">
        <v>98.991248752268788</v>
      </c>
    </row>
    <row r="270" spans="2:17" hidden="1" outlineLevel="2">
      <c r="C270" s="121">
        <v>3</v>
      </c>
      <c r="D270" s="121" t="str">
        <f>INDEX($D$73:$D$75, MATCH($C270, $C$73:$C$75, 0))</f>
        <v>Absorption chiller</v>
      </c>
      <c r="E270" s="862"/>
      <c r="F270" s="925">
        <v>0</v>
      </c>
      <c r="G270" s="925">
        <v>0</v>
      </c>
      <c r="H270" s="925">
        <v>0</v>
      </c>
      <c r="I270" s="925">
        <v>0</v>
      </c>
      <c r="J270" s="925">
        <v>0</v>
      </c>
      <c r="K270" s="925">
        <v>0</v>
      </c>
      <c r="L270" s="925">
        <v>0</v>
      </c>
      <c r="M270" s="925">
        <v>0</v>
      </c>
      <c r="N270" s="925">
        <v>0</v>
      </c>
      <c r="O270" s="925">
        <v>0</v>
      </c>
    </row>
    <row r="271" spans="2:17" hidden="1" outlineLevel="2">
      <c r="E271" s="862"/>
      <c r="F271" s="2087">
        <f t="shared" ref="F271:O271" si="34">SUM(F268:F270)</f>
        <v>27.338359407609801</v>
      </c>
      <c r="G271" s="2087">
        <f t="shared" si="34"/>
        <v>33.137251501941698</v>
      </c>
      <c r="H271" s="2087">
        <f t="shared" si="34"/>
        <v>42.573813220197202</v>
      </c>
      <c r="I271" s="2087">
        <f t="shared" si="34"/>
        <v>51.746160510585398</v>
      </c>
      <c r="J271" s="2087">
        <f t="shared" si="34"/>
        <v>60.678842883751997</v>
      </c>
      <c r="K271" s="2087">
        <f t="shared" si="34"/>
        <v>69.396689702337895</v>
      </c>
      <c r="L271" s="2087">
        <f t="shared" si="34"/>
        <v>77.924884326868721</v>
      </c>
      <c r="M271" s="2087">
        <f t="shared" si="34"/>
        <v>86.289042383049988</v>
      </c>
      <c r="N271" s="2087">
        <f t="shared" si="34"/>
        <v>94.515294516459917</v>
      </c>
      <c r="O271" s="2087">
        <f t="shared" si="34"/>
        <v>102.63037402754701</v>
      </c>
    </row>
    <row r="272" spans="2:17" hidden="1" outlineLevel="2">
      <c r="E272" s="862"/>
      <c r="F272" s="925"/>
      <c r="G272" s="925"/>
      <c r="H272" s="925"/>
      <c r="I272" s="925"/>
      <c r="J272" s="925"/>
      <c r="K272" s="925"/>
      <c r="L272" s="925"/>
      <c r="M272" s="925"/>
      <c r="N272" s="925"/>
      <c r="O272" s="925"/>
    </row>
    <row r="273" spans="2:15" hidden="1" outlineLevel="2">
      <c r="C273" s="731" t="s">
        <v>1851</v>
      </c>
      <c r="E273" s="862"/>
      <c r="F273" s="943"/>
      <c r="G273" s="943"/>
      <c r="H273" s="943"/>
      <c r="I273" s="943"/>
      <c r="J273" s="943"/>
      <c r="K273" s="943"/>
      <c r="L273" s="943"/>
      <c r="M273" s="943"/>
      <c r="N273" s="943"/>
      <c r="O273" s="943"/>
    </row>
    <row r="274" spans="2:15" hidden="1" outlineLevel="2">
      <c r="E274" s="20"/>
      <c r="F274" s="925"/>
      <c r="G274" s="925"/>
      <c r="H274" s="925"/>
      <c r="I274" s="925"/>
      <c r="J274" s="925"/>
      <c r="K274" s="925"/>
      <c r="L274" s="925"/>
      <c r="M274" s="925"/>
      <c r="N274" s="925"/>
      <c r="O274" s="925"/>
    </row>
    <row r="275" spans="2:15" hidden="1" outlineLevel="2">
      <c r="B275" s="20" t="s">
        <v>45</v>
      </c>
      <c r="C275" s="743" t="str">
        <f>INDEX(Vectors[Description], MATCH($B275, Vectors[Code], 0))</f>
        <v>Electricity (delivered to end user)</v>
      </c>
      <c r="E275" s="20"/>
      <c r="F275" s="27">
        <f t="array" ref="F275">SUM(F$268:F$270/$M$131:$M$133*($B275=$F$130:$N$130)*($F$131:$N$133))</f>
        <v>-10.935343763043921</v>
      </c>
      <c r="G275" s="27">
        <f t="array" ref="G275">SUM(G$268:G$270/$M$131:$M$133*($B275=$F$130:$N$130)*($F$131:$N$133))</f>
        <v>-13.254900600776679</v>
      </c>
      <c r="H275" s="27">
        <f t="array" ref="H275">SUM(H$268:H$270/$M$131:$M$133*($B275=$F$130:$N$130)*($F$131:$N$133))</f>
        <v>-16.532830800509913</v>
      </c>
      <c r="I275" s="27">
        <f t="array" ref="I275">SUM(I$268:I$270/$M$131:$M$133*($B275=$F$130:$N$130)*($F$131:$N$133))</f>
        <v>-17.800679215641377</v>
      </c>
      <c r="J275" s="27">
        <f t="array" ref="J275">SUM(J$268:J$270/$M$131:$M$133*($B275=$F$130:$N$130)*($F$131:$N$133))</f>
        <v>-16.569369363456545</v>
      </c>
      <c r="K275" s="27">
        <f t="array" ref="K275">SUM(K$268:K$270/$M$131:$M$133*($B275=$F$130:$N$130)*($F$131:$N$133))</f>
        <v>-15.996399620986899</v>
      </c>
      <c r="L275" s="27">
        <f t="array" ref="L275">SUM(L$268:L$270/$M$131:$M$133*($B275=$F$130:$N$130)*($F$131:$N$133))</f>
        <v>-15.972315490401165</v>
      </c>
      <c r="M275" s="27">
        <f t="array" ref="M275">SUM(M$268:M$270/$M$131:$M$133*($B275=$F$130:$N$130)*($F$131:$N$133))</f>
        <v>-16.364636351505872</v>
      </c>
      <c r="N275" s="27">
        <f t="array" ref="N275">SUM(N$268:N$270/$M$131:$M$133*($B275=$F$130:$N$130)*($F$131:$N$133))</f>
        <v>-17.055862068893703</v>
      </c>
      <c r="O275" s="27">
        <f t="array" ref="O275">SUM(O$268:O$270/$M$131:$M$133*($B275=$F$130:$N$130)*($F$131:$N$133))</f>
        <v>-17.95419156882275</v>
      </c>
    </row>
    <row r="276" spans="2:15" hidden="1" outlineLevel="2">
      <c r="B276" s="20" t="s">
        <v>46</v>
      </c>
      <c r="C276" s="743" t="str">
        <f>INDEX(Vectors[Description], MATCH($B276, Vectors[Code], 0))</f>
        <v>Electricity (supplied to grid)</v>
      </c>
      <c r="E276" s="20"/>
      <c r="F276" s="27">
        <f t="array" ref="F276">SUM(F$268:F$270/$M$131:$M$133*($B276=$F$130:$N$130)*($F$131:$N$133))</f>
        <v>0</v>
      </c>
      <c r="G276" s="27">
        <f t="array" ref="G276">SUM(G$268:G$270/$M$131:$M$133*($B276=$F$130:$N$130)*($F$131:$N$133))</f>
        <v>0</v>
      </c>
      <c r="H276" s="27">
        <f t="array" ref="H276">SUM(H$268:H$270/$M$131:$M$133*($B276=$F$130:$N$130)*($F$131:$N$133))</f>
        <v>0</v>
      </c>
      <c r="I276" s="27">
        <f t="array" ref="I276">SUM(I$268:I$270/$M$131:$M$133*($B276=$F$130:$N$130)*($F$131:$N$133))</f>
        <v>0</v>
      </c>
      <c r="J276" s="27">
        <f t="array" ref="J276">SUM(J$268:J$270/$M$131:$M$133*($B276=$F$130:$N$130)*($F$131:$N$133))</f>
        <v>0</v>
      </c>
      <c r="K276" s="27">
        <f t="array" ref="K276">SUM(K$268:K$270/$M$131:$M$133*($B276=$F$130:$N$130)*($F$131:$N$133))</f>
        <v>0</v>
      </c>
      <c r="L276" s="27">
        <f t="array" ref="L276">SUM(L$268:L$270/$M$131:$M$133*($B276=$F$130:$N$130)*($F$131:$N$133))</f>
        <v>0</v>
      </c>
      <c r="M276" s="27">
        <f t="array" ref="M276">SUM(M$268:M$270/$M$131:$M$133*($B276=$F$130:$N$130)*($F$131:$N$133))</f>
        <v>0</v>
      </c>
      <c r="N276" s="27">
        <f t="array" ref="N276">SUM(N$268:N$270/$M$131:$M$133*($B276=$F$130:$N$130)*($F$131:$N$133))</f>
        <v>0</v>
      </c>
      <c r="O276" s="27">
        <f t="array" ref="O276">SUM(O$268:O$270/$M$131:$M$133*($B276=$F$130:$N$130)*($F$131:$N$133))</f>
        <v>0</v>
      </c>
    </row>
    <row r="277" spans="2:15" hidden="1" outlineLevel="2">
      <c r="B277" s="20" t="s">
        <v>47</v>
      </c>
      <c r="C277" s="743" t="str">
        <f>INDEX(Vectors[Description], MATCH($B277, Vectors[Code], 0))</f>
        <v>Solid hydrocarbons</v>
      </c>
      <c r="E277" s="20"/>
      <c r="F277" s="27">
        <f t="array" ref="F277">SUM(F$268:F$270/$M$131:$M$133*($B277=$F$130:$N$130)*($F$131:$N$133))</f>
        <v>0</v>
      </c>
      <c r="G277" s="27">
        <f t="array" ref="G277">SUM(G$268:G$270/$M$131:$M$133*($B277=$F$130:$N$130)*($F$131:$N$133))</f>
        <v>0</v>
      </c>
      <c r="H277" s="27">
        <f t="array" ref="H277">SUM(H$268:H$270/$M$131:$M$133*($B277=$F$130:$N$130)*($F$131:$N$133))</f>
        <v>0</v>
      </c>
      <c r="I277" s="27">
        <f t="array" ref="I277">SUM(I$268:I$270/$M$131:$M$133*($B277=$F$130:$N$130)*($F$131:$N$133))</f>
        <v>0</v>
      </c>
      <c r="J277" s="27">
        <f t="array" ref="J277">SUM(J$268:J$270/$M$131:$M$133*($B277=$F$130:$N$130)*($F$131:$N$133))</f>
        <v>0</v>
      </c>
      <c r="K277" s="27">
        <f t="array" ref="K277">SUM(K$268:K$270/$M$131:$M$133*($B277=$F$130:$N$130)*($F$131:$N$133))</f>
        <v>0</v>
      </c>
      <c r="L277" s="27">
        <f t="array" ref="L277">SUM(L$268:L$270/$M$131:$M$133*($B277=$F$130:$N$130)*($F$131:$N$133))</f>
        <v>0</v>
      </c>
      <c r="M277" s="27">
        <f t="array" ref="M277">SUM(M$268:M$270/$M$131:$M$133*($B277=$F$130:$N$130)*($F$131:$N$133))</f>
        <v>0</v>
      </c>
      <c r="N277" s="27">
        <f t="array" ref="N277">SUM(N$268:N$270/$M$131:$M$133*($B277=$F$130:$N$130)*($F$131:$N$133))</f>
        <v>0</v>
      </c>
      <c r="O277" s="27">
        <f t="array" ref="O277">SUM(O$268:O$270/$M$131:$M$133*($B277=$F$130:$N$130)*($F$131:$N$133))</f>
        <v>0</v>
      </c>
    </row>
    <row r="278" spans="2:15" hidden="1" outlineLevel="2">
      <c r="B278" s="20" t="s">
        <v>49</v>
      </c>
      <c r="C278" s="743" t="str">
        <f>INDEX(Vectors[Description], MATCH($B278, Vectors[Code], 0))</f>
        <v>Liquid hydrocarbons</v>
      </c>
      <c r="E278" s="20"/>
      <c r="F278" s="27">
        <f t="array" ref="F278">SUM(F$268:F$270/$M$131:$M$133*($B278=$F$130:$N$130)*($F$131:$N$133))</f>
        <v>0</v>
      </c>
      <c r="G278" s="27">
        <f t="array" ref="G278">SUM(G$268:G$270/$M$131:$M$133*($B278=$F$130:$N$130)*($F$131:$N$133))</f>
        <v>0</v>
      </c>
      <c r="H278" s="27">
        <f t="array" ref="H278">SUM(H$268:H$270/$M$131:$M$133*($B278=$F$130:$N$130)*($F$131:$N$133))</f>
        <v>0</v>
      </c>
      <c r="I278" s="27">
        <f t="array" ref="I278">SUM(I$268:I$270/$M$131:$M$133*($B278=$F$130:$N$130)*($F$131:$N$133))</f>
        <v>0</v>
      </c>
      <c r="J278" s="27">
        <f t="array" ref="J278">SUM(J$268:J$270/$M$131:$M$133*($B278=$F$130:$N$130)*($F$131:$N$133))</f>
        <v>0</v>
      </c>
      <c r="K278" s="27">
        <f t="array" ref="K278">SUM(K$268:K$270/$M$131:$M$133*($B278=$F$130:$N$130)*($F$131:$N$133))</f>
        <v>0</v>
      </c>
      <c r="L278" s="27">
        <f t="array" ref="L278">SUM(L$268:L$270/$M$131:$M$133*($B278=$F$130:$N$130)*($F$131:$N$133))</f>
        <v>0</v>
      </c>
      <c r="M278" s="27">
        <f t="array" ref="M278">SUM(M$268:M$270/$M$131:$M$133*($B278=$F$130:$N$130)*($F$131:$N$133))</f>
        <v>0</v>
      </c>
      <c r="N278" s="27">
        <f t="array" ref="N278">SUM(N$268:N$270/$M$131:$M$133*($B278=$F$130:$N$130)*($F$131:$N$133))</f>
        <v>0</v>
      </c>
      <c r="O278" s="27">
        <f t="array" ref="O278">SUM(O$268:O$270/$M$131:$M$133*($B278=$F$130:$N$130)*($F$131:$N$133))</f>
        <v>0</v>
      </c>
    </row>
    <row r="279" spans="2:15" hidden="1" outlineLevel="2">
      <c r="B279" s="20" t="s">
        <v>50</v>
      </c>
      <c r="C279" s="743" t="str">
        <f>INDEX(Vectors[Description], MATCH($B279, Vectors[Code], 0))</f>
        <v>Gaseous hydrocarbons</v>
      </c>
      <c r="E279" s="20"/>
      <c r="F279" s="27">
        <f t="array" ref="F279">SUM(F$268:F$270/$M$131:$M$133*($B279=$F$130:$N$130)*($F$131:$N$133))</f>
        <v>0</v>
      </c>
      <c r="G279" s="27">
        <f t="array" ref="G279">SUM(G$268:G$270/$M$131:$M$133*($B279=$F$130:$N$130)*($F$131:$N$133))</f>
        <v>0</v>
      </c>
      <c r="H279" s="27">
        <f t="array" ref="H279">SUM(H$268:H$270/$M$131:$M$133*($B279=$F$130:$N$130)*($F$131:$N$133))</f>
        <v>0</v>
      </c>
      <c r="I279" s="27">
        <f t="array" ref="I279">SUM(I$268:I$270/$M$131:$M$133*($B279=$F$130:$N$130)*($F$131:$N$133))</f>
        <v>0</v>
      </c>
      <c r="J279" s="27">
        <f t="array" ref="J279">SUM(J$268:J$270/$M$131:$M$133*($B279=$F$130:$N$130)*($F$131:$N$133))</f>
        <v>0</v>
      </c>
      <c r="K279" s="27">
        <f t="array" ref="K279">SUM(K$268:K$270/$M$131:$M$133*($B279=$F$130:$N$130)*($F$131:$N$133))</f>
        <v>0</v>
      </c>
      <c r="L279" s="27">
        <f t="array" ref="L279">SUM(L$268:L$270/$M$131:$M$133*($B279=$F$130:$N$130)*($F$131:$N$133))</f>
        <v>0</v>
      </c>
      <c r="M279" s="27">
        <f t="array" ref="M279">SUM(M$268:M$270/$M$131:$M$133*($B279=$F$130:$N$130)*($F$131:$N$133))</f>
        <v>0</v>
      </c>
      <c r="N279" s="27">
        <f t="array" ref="N279">SUM(N$268:N$270/$M$131:$M$133*($B279=$F$130:$N$130)*($F$131:$N$133))</f>
        <v>0</v>
      </c>
      <c r="O279" s="27">
        <f t="array" ref="O279">SUM(O$268:O$270/$M$131:$M$133*($B279=$F$130:$N$130)*($F$131:$N$133))</f>
        <v>0</v>
      </c>
    </row>
    <row r="280" spans="2:15" hidden="1" outlineLevel="2">
      <c r="B280" s="20" t="s">
        <v>753</v>
      </c>
      <c r="C280" s="743" t="str">
        <f>INDEX(Vectors[Description], MATCH($B280, Vectors[Code], 0))</f>
        <v>Heat transport</v>
      </c>
      <c r="E280" s="20"/>
      <c r="F280" s="27">
        <f t="array" ref="F280">SUM(F$268:F$270/$M$131:$M$133*($B280=$F$130:$N$130)*($F$131:$N$133))</f>
        <v>0</v>
      </c>
      <c r="G280" s="27">
        <f t="array" ref="G280">SUM(G$268:G$270/$M$131:$M$133*($B280=$F$130:$N$130)*($F$131:$N$133))</f>
        <v>0</v>
      </c>
      <c r="H280" s="27">
        <f t="array" ref="H280">SUM(H$268:H$270/$M$131:$M$133*($B280=$F$130:$N$130)*($F$131:$N$133))</f>
        <v>0</v>
      </c>
      <c r="I280" s="27">
        <f t="array" ref="I280">SUM(I$268:I$270/$M$131:$M$133*($B280=$F$130:$N$130)*($F$131:$N$133))</f>
        <v>0</v>
      </c>
      <c r="J280" s="27">
        <f t="array" ref="J280">SUM(J$268:J$270/$M$131:$M$133*($B280=$F$130:$N$130)*($F$131:$N$133))</f>
        <v>0</v>
      </c>
      <c r="K280" s="27">
        <f t="array" ref="K280">SUM(K$268:K$270/$M$131:$M$133*($B280=$F$130:$N$130)*($F$131:$N$133))</f>
        <v>0</v>
      </c>
      <c r="L280" s="27">
        <f t="array" ref="L280">SUM(L$268:L$270/$M$131:$M$133*($B280=$F$130:$N$130)*($F$131:$N$133))</f>
        <v>0</v>
      </c>
      <c r="M280" s="27">
        <f t="array" ref="M280">SUM(M$268:M$270/$M$131:$M$133*($B280=$F$130:$N$130)*($F$131:$N$133))</f>
        <v>0</v>
      </c>
      <c r="N280" s="27">
        <f t="array" ref="N280">SUM(N$268:N$270/$M$131:$M$133*($B280=$F$130:$N$130)*($F$131:$N$133))</f>
        <v>0</v>
      </c>
      <c r="O280" s="27">
        <f t="array" ref="O280">SUM(O$268:O$270/$M$131:$M$133*($B280=$F$130:$N$130)*($F$131:$N$133))</f>
        <v>0</v>
      </c>
    </row>
    <row r="281" spans="2:15" hidden="1" outlineLevel="2">
      <c r="B281" s="20" t="s">
        <v>104</v>
      </c>
      <c r="C281" s="743" t="str">
        <f>INDEX(Vectors[Description], MATCH($B281, Vectors[Code], 0))</f>
        <v>Environmental heat</v>
      </c>
      <c r="E281" s="20"/>
      <c r="F281" s="27">
        <f t="array" ref="F281">SUM(F$268:F$270/$M$131:$M$133*($B281=$F$130:$N$130)*($F$131:$N$133))</f>
        <v>-16.403015644565883</v>
      </c>
      <c r="G281" s="27">
        <f t="array" ref="G281">SUM(G$268:G$270/$M$131:$M$133*($B281=$F$130:$N$130)*($F$131:$N$133))</f>
        <v>-19.882350901165019</v>
      </c>
      <c r="H281" s="27">
        <f t="array" ref="H281">SUM(H$268:H$270/$M$131:$M$133*($B281=$F$130:$N$130)*($F$131:$N$133))</f>
        <v>-26.040982419687289</v>
      </c>
      <c r="I281" s="27">
        <f t="array" ref="I281">SUM(I$268:I$270/$M$131:$M$133*($B281=$F$130:$N$130)*($F$131:$N$133))</f>
        <v>-33.945481294944017</v>
      </c>
      <c r="J281" s="27">
        <f t="array" ref="J281">SUM(J$268:J$270/$M$131:$M$133*($B281=$F$130:$N$130)*($F$131:$N$133))</f>
        <v>-44.109473520295452</v>
      </c>
      <c r="K281" s="27">
        <f t="array" ref="K281">SUM(K$268:K$270/$M$131:$M$133*($B281=$F$130:$N$130)*($F$131:$N$133))</f>
        <v>-53.400290081351002</v>
      </c>
      <c r="L281" s="27">
        <f t="array" ref="L281">SUM(L$268:L$270/$M$131:$M$133*($B281=$F$130:$N$130)*($F$131:$N$133))</f>
        <v>-61.952568836467556</v>
      </c>
      <c r="M281" s="27">
        <f t="array" ref="M281">SUM(M$268:M$270/$M$131:$M$133*($B281=$F$130:$N$130)*($F$131:$N$133))</f>
        <v>-69.924406031544109</v>
      </c>
      <c r="N281" s="27">
        <f t="array" ref="N281">SUM(N$268:N$270/$M$131:$M$133*($B281=$F$130:$N$130)*($F$131:$N$133))</f>
        <v>-77.459432447566215</v>
      </c>
      <c r="O281" s="27">
        <f t="array" ref="O281">SUM(O$268:O$270/$M$131:$M$133*($B281=$F$130:$N$130)*($F$131:$N$133))</f>
        <v>-84.676182458724242</v>
      </c>
    </row>
    <row r="282" spans="2:15" hidden="1" outlineLevel="2">
      <c r="B282" s="20" t="s">
        <v>6</v>
      </c>
      <c r="C282" s="743" t="str">
        <f>INDEX(Vectors[Description], MATCH($B282, Vectors[Code], 0))</f>
        <v>Heating and cooling</v>
      </c>
      <c r="E282" s="20"/>
      <c r="F282" s="27">
        <f t="array" ref="F282">SUM(F$268:F$270/$M$131:$M$133*($B282=$F$130:$N$130)*($F$131:$N$133))</f>
        <v>27.338359407609801</v>
      </c>
      <c r="G282" s="27">
        <f t="array" ref="G282">SUM(G$268:G$270/$M$131:$M$133*($B282=$F$130:$N$130)*($F$131:$N$133))</f>
        <v>33.137251501941698</v>
      </c>
      <c r="H282" s="27">
        <f t="array" ref="H282">SUM(H$268:H$270/$M$131:$M$133*($B282=$F$130:$N$130)*($F$131:$N$133))</f>
        <v>42.573813220197202</v>
      </c>
      <c r="I282" s="27">
        <f t="array" ref="I282">SUM(I$268:I$270/$M$131:$M$133*($B282=$F$130:$N$130)*($F$131:$N$133))</f>
        <v>51.746160510585398</v>
      </c>
      <c r="J282" s="27">
        <f t="array" ref="J282">SUM(J$268:J$270/$M$131:$M$133*($B282=$F$130:$N$130)*($F$131:$N$133))</f>
        <v>60.678842883751997</v>
      </c>
      <c r="K282" s="27">
        <f t="array" ref="K282">SUM(K$268:K$270/$M$131:$M$133*($B282=$F$130:$N$130)*($F$131:$N$133))</f>
        <v>69.396689702337895</v>
      </c>
      <c r="L282" s="27">
        <f t="array" ref="L282">SUM(L$268:L$270/$M$131:$M$133*($B282=$F$130:$N$130)*($F$131:$N$133))</f>
        <v>77.924884326868721</v>
      </c>
      <c r="M282" s="27">
        <f t="array" ref="M282">SUM(M$268:M$270/$M$131:$M$133*($B282=$F$130:$N$130)*($F$131:$N$133))</f>
        <v>86.289042383049988</v>
      </c>
      <c r="N282" s="27">
        <f t="array" ref="N282">SUM(N$268:N$270/$M$131:$M$133*($B282=$F$130:$N$130)*($F$131:$N$133))</f>
        <v>94.515294516459917</v>
      </c>
      <c r="O282" s="27">
        <f t="array" ref="O282">SUM(O$268:O$270/$M$131:$M$133*($B282=$F$130:$N$130)*($F$131:$N$133))</f>
        <v>102.63037402754701</v>
      </c>
    </row>
    <row r="283" spans="2:15" hidden="1" outlineLevel="2">
      <c r="B283" s="20" t="s">
        <v>34</v>
      </c>
      <c r="C283" s="743" t="str">
        <f>INDEX(Vectors[Description], MATCH($B283, Vectors[Code], 0))</f>
        <v>Conversion losses</v>
      </c>
      <c r="E283" s="20"/>
      <c r="F283" s="27">
        <f t="array" ref="F283">SUM(F$268:F$270/$M$131:$M$133*($B283=$F$130:$N$130)*($F$131:$N$133))</f>
        <v>0</v>
      </c>
      <c r="G283" s="27">
        <f t="array" ref="G283">SUM(G$268:G$270/$M$131:$M$133*($B283=$F$130:$N$130)*($F$131:$N$133))</f>
        <v>0</v>
      </c>
      <c r="H283" s="27">
        <f t="array" ref="H283">SUM(H$268:H$270/$M$131:$M$133*($B283=$F$130:$N$130)*($F$131:$N$133))</f>
        <v>0</v>
      </c>
      <c r="I283" s="27">
        <f t="array" ref="I283">SUM(I$268:I$270/$M$131:$M$133*($B283=$F$130:$N$130)*($F$131:$N$133))</f>
        <v>0</v>
      </c>
      <c r="J283" s="27">
        <f t="array" ref="J283">SUM(J$268:J$270/$M$131:$M$133*($B283=$F$130:$N$130)*($F$131:$N$133))</f>
        <v>0</v>
      </c>
      <c r="K283" s="27">
        <f t="array" ref="K283">SUM(K$268:K$270/$M$131:$M$133*($B283=$F$130:$N$130)*($F$131:$N$133))</f>
        <v>0</v>
      </c>
      <c r="L283" s="27">
        <f t="array" ref="L283">SUM(L$268:L$270/$M$131:$M$133*($B283=$F$130:$N$130)*($F$131:$N$133))</f>
        <v>0</v>
      </c>
      <c r="M283" s="27">
        <f t="array" ref="M283">SUM(M$268:M$270/$M$131:$M$133*($B283=$F$130:$N$130)*($F$131:$N$133))</f>
        <v>0</v>
      </c>
      <c r="N283" s="27">
        <f t="array" ref="N283">SUM(N$268:N$270/$M$131:$M$133*($B283=$F$130:$N$130)*($F$131:$N$133))</f>
        <v>0</v>
      </c>
      <c r="O283" s="27">
        <f t="array" ref="O283">SUM(O$268:O$270/$M$131:$M$133*($B283=$F$130:$N$130)*($F$131:$N$133))</f>
        <v>0</v>
      </c>
    </row>
    <row r="284" spans="2:15" hidden="1" outlineLevel="2">
      <c r="B284" s="20"/>
      <c r="C284" s="743"/>
      <c r="E284" s="862" t="str">
        <f>Preferences.EnergyUnits</f>
        <v>TWh</v>
      </c>
      <c r="F284" s="1579">
        <f>SUM(F275:F283)</f>
        <v>-3.5527136788005009E-15</v>
      </c>
      <c r="G284" s="1579">
        <f t="shared" ref="G284:O284" si="35">SUM(G275:G283)</f>
        <v>0</v>
      </c>
      <c r="H284" s="1579">
        <f t="shared" si="35"/>
        <v>0</v>
      </c>
      <c r="I284" s="1579">
        <f t="shared" si="35"/>
        <v>0</v>
      </c>
      <c r="J284" s="1579">
        <f t="shared" si="35"/>
        <v>0</v>
      </c>
      <c r="K284" s="1579">
        <f t="shared" si="35"/>
        <v>-1.4210854715202004E-14</v>
      </c>
      <c r="L284" s="1579">
        <f t="shared" si="35"/>
        <v>0</v>
      </c>
      <c r="M284" s="1579">
        <f t="shared" si="35"/>
        <v>1.4210854715202004E-14</v>
      </c>
      <c r="N284" s="1579">
        <f t="shared" si="35"/>
        <v>0</v>
      </c>
      <c r="O284" s="1579">
        <f t="shared" si="35"/>
        <v>1.4210854715202004E-14</v>
      </c>
    </row>
    <row r="285" spans="2:15" hidden="1" outlineLevel="2">
      <c r="B285" s="20"/>
      <c r="C285" s="743"/>
      <c r="E285" s="20"/>
      <c r="F285" s="925"/>
      <c r="G285" s="925"/>
      <c r="H285" s="925"/>
      <c r="I285" s="925"/>
      <c r="J285" s="925"/>
      <c r="K285" s="925"/>
      <c r="L285" s="925"/>
      <c r="M285" s="925"/>
      <c r="N285" s="925"/>
      <c r="O285" s="925"/>
    </row>
    <row r="286" spans="2:15" hidden="1" outlineLevel="2">
      <c r="C286" s="731" t="s">
        <v>1852</v>
      </c>
      <c r="E286" s="862"/>
      <c r="F286" s="943"/>
      <c r="G286" s="943"/>
      <c r="H286" s="943"/>
      <c r="I286" s="943"/>
      <c r="J286" s="943"/>
      <c r="K286" s="943"/>
      <c r="L286" s="943"/>
      <c r="M286" s="943"/>
      <c r="N286" s="943"/>
      <c r="O286" s="943"/>
    </row>
    <row r="287" spans="2:15" hidden="1" outlineLevel="2">
      <c r="E287" s="20"/>
      <c r="F287" s="925"/>
      <c r="G287" s="925"/>
      <c r="H287" s="925"/>
      <c r="I287" s="925"/>
      <c r="J287" s="925"/>
      <c r="K287" s="925"/>
      <c r="L287" s="925"/>
      <c r="M287" s="925"/>
      <c r="N287" s="925"/>
      <c r="O287" s="925"/>
    </row>
    <row r="288" spans="2:15" hidden="1" outlineLevel="2">
      <c r="B288" s="20" t="s">
        <v>45</v>
      </c>
      <c r="C288" s="743" t="str">
        <f>INDEX(Vectors[Description], MATCH($B288, Vectors[Code], 0))</f>
        <v>Electricity (delivered to end user)</v>
      </c>
      <c r="E288" s="20"/>
      <c r="F288" s="27">
        <f>F275</f>
        <v>-10.935343763043921</v>
      </c>
      <c r="G288" s="27">
        <f t="shared" ref="G288:O288" si="36">G275</f>
        <v>-13.254900600776679</v>
      </c>
      <c r="H288" s="27">
        <f t="shared" si="36"/>
        <v>-16.532830800509913</v>
      </c>
      <c r="I288" s="27">
        <f t="shared" si="36"/>
        <v>-17.800679215641377</v>
      </c>
      <c r="J288" s="27">
        <f t="shared" si="36"/>
        <v>-16.569369363456545</v>
      </c>
      <c r="K288" s="27">
        <f t="shared" si="36"/>
        <v>-15.996399620986899</v>
      </c>
      <c r="L288" s="27">
        <f t="shared" si="36"/>
        <v>-15.972315490401165</v>
      </c>
      <c r="M288" s="27">
        <f t="shared" si="36"/>
        <v>-16.364636351505872</v>
      </c>
      <c r="N288" s="27">
        <f t="shared" si="36"/>
        <v>-17.055862068893703</v>
      </c>
      <c r="O288" s="27">
        <f t="shared" si="36"/>
        <v>-17.95419156882275</v>
      </c>
    </row>
    <row r="289" spans="2:20" hidden="1" outlineLevel="2">
      <c r="B289" s="20" t="s">
        <v>46</v>
      </c>
      <c r="C289" s="743" t="str">
        <f>INDEX(Vectors[Description], MATCH($B289, Vectors[Code], 0))</f>
        <v>Electricity (supplied to grid)</v>
      </c>
      <c r="E289" s="20"/>
      <c r="F289" s="27">
        <f t="shared" ref="F289:O289" si="37">F276</f>
        <v>0</v>
      </c>
      <c r="G289" s="27">
        <f t="shared" si="37"/>
        <v>0</v>
      </c>
      <c r="H289" s="27">
        <f t="shared" si="37"/>
        <v>0</v>
      </c>
      <c r="I289" s="27">
        <f t="shared" si="37"/>
        <v>0</v>
      </c>
      <c r="J289" s="27">
        <f t="shared" si="37"/>
        <v>0</v>
      </c>
      <c r="K289" s="27">
        <f t="shared" si="37"/>
        <v>0</v>
      </c>
      <c r="L289" s="27">
        <f t="shared" si="37"/>
        <v>0</v>
      </c>
      <c r="M289" s="27">
        <f t="shared" si="37"/>
        <v>0</v>
      </c>
      <c r="N289" s="27">
        <f t="shared" si="37"/>
        <v>0</v>
      </c>
      <c r="O289" s="27">
        <f t="shared" si="37"/>
        <v>0</v>
      </c>
    </row>
    <row r="290" spans="2:20" hidden="1" outlineLevel="2">
      <c r="B290" s="20" t="s">
        <v>47</v>
      </c>
      <c r="C290" s="743" t="str">
        <f>INDEX(Vectors[Description], MATCH($B290, Vectors[Code], 0))</f>
        <v>Solid hydrocarbons</v>
      </c>
      <c r="E290" s="20"/>
      <c r="F290" s="27">
        <f t="shared" ref="F290:O290" si="38">F277</f>
        <v>0</v>
      </c>
      <c r="G290" s="27">
        <f t="shared" si="38"/>
        <v>0</v>
      </c>
      <c r="H290" s="27">
        <f t="shared" si="38"/>
        <v>0</v>
      </c>
      <c r="I290" s="27">
        <f t="shared" si="38"/>
        <v>0</v>
      </c>
      <c r="J290" s="27">
        <f t="shared" si="38"/>
        <v>0</v>
      </c>
      <c r="K290" s="27">
        <f t="shared" si="38"/>
        <v>0</v>
      </c>
      <c r="L290" s="27">
        <f t="shared" si="38"/>
        <v>0</v>
      </c>
      <c r="M290" s="27">
        <f t="shared" si="38"/>
        <v>0</v>
      </c>
      <c r="N290" s="27">
        <f t="shared" si="38"/>
        <v>0</v>
      </c>
      <c r="O290" s="27">
        <f t="shared" si="38"/>
        <v>0</v>
      </c>
    </row>
    <row r="291" spans="2:20" hidden="1" outlineLevel="2">
      <c r="B291" s="20" t="s">
        <v>49</v>
      </c>
      <c r="C291" s="743" t="str">
        <f>INDEX(Vectors[Description], MATCH($B291, Vectors[Code], 0))</f>
        <v>Liquid hydrocarbons</v>
      </c>
      <c r="E291" s="20"/>
      <c r="F291" s="27">
        <f t="shared" ref="F291:O291" si="39">F278</f>
        <v>0</v>
      </c>
      <c r="G291" s="27">
        <f t="shared" si="39"/>
        <v>0</v>
      </c>
      <c r="H291" s="27">
        <f t="shared" si="39"/>
        <v>0</v>
      </c>
      <c r="I291" s="27">
        <f t="shared" si="39"/>
        <v>0</v>
      </c>
      <c r="J291" s="27">
        <f t="shared" si="39"/>
        <v>0</v>
      </c>
      <c r="K291" s="27">
        <f t="shared" si="39"/>
        <v>0</v>
      </c>
      <c r="L291" s="27">
        <f t="shared" si="39"/>
        <v>0</v>
      </c>
      <c r="M291" s="27">
        <f t="shared" si="39"/>
        <v>0</v>
      </c>
      <c r="N291" s="27">
        <f t="shared" si="39"/>
        <v>0</v>
      </c>
      <c r="O291" s="27">
        <f t="shared" si="39"/>
        <v>0</v>
      </c>
    </row>
    <row r="292" spans="2:20" hidden="1" outlineLevel="2">
      <c r="B292" s="20" t="s">
        <v>50</v>
      </c>
      <c r="C292" s="743" t="str">
        <f>INDEX(Vectors[Description], MATCH($B292, Vectors[Code], 0))</f>
        <v>Gaseous hydrocarbons</v>
      </c>
      <c r="E292" s="20"/>
      <c r="F292" s="27">
        <f t="shared" ref="F292:O292" si="40">F279</f>
        <v>0</v>
      </c>
      <c r="G292" s="27">
        <f t="shared" si="40"/>
        <v>0</v>
      </c>
      <c r="H292" s="27">
        <f t="shared" si="40"/>
        <v>0</v>
      </c>
      <c r="I292" s="27">
        <f t="shared" si="40"/>
        <v>0</v>
      </c>
      <c r="J292" s="27">
        <f t="shared" si="40"/>
        <v>0</v>
      </c>
      <c r="K292" s="27">
        <f t="shared" si="40"/>
        <v>0</v>
      </c>
      <c r="L292" s="27">
        <f t="shared" si="40"/>
        <v>0</v>
      </c>
      <c r="M292" s="27">
        <f t="shared" si="40"/>
        <v>0</v>
      </c>
      <c r="N292" s="27">
        <f t="shared" si="40"/>
        <v>0</v>
      </c>
      <c r="O292" s="27">
        <f t="shared" si="40"/>
        <v>0</v>
      </c>
    </row>
    <row r="293" spans="2:20" hidden="1" outlineLevel="2">
      <c r="B293" s="20" t="s">
        <v>753</v>
      </c>
      <c r="C293" s="743" t="str">
        <f>INDEX(Vectors[Description], MATCH($B293, Vectors[Code], 0))</f>
        <v>Heat transport</v>
      </c>
      <c r="E293" s="20"/>
      <c r="F293" s="27">
        <f t="shared" ref="F293:O293" si="41">F280</f>
        <v>0</v>
      </c>
      <c r="G293" s="27">
        <f t="shared" si="41"/>
        <v>0</v>
      </c>
      <c r="H293" s="27">
        <f t="shared" si="41"/>
        <v>0</v>
      </c>
      <c r="I293" s="27">
        <f t="shared" si="41"/>
        <v>0</v>
      </c>
      <c r="J293" s="27">
        <f t="shared" si="41"/>
        <v>0</v>
      </c>
      <c r="K293" s="27">
        <f t="shared" si="41"/>
        <v>0</v>
      </c>
      <c r="L293" s="27">
        <f t="shared" si="41"/>
        <v>0</v>
      </c>
      <c r="M293" s="27">
        <f t="shared" si="41"/>
        <v>0</v>
      </c>
      <c r="N293" s="27">
        <f t="shared" si="41"/>
        <v>0</v>
      </c>
      <c r="O293" s="27">
        <f t="shared" si="41"/>
        <v>0</v>
      </c>
    </row>
    <row r="294" spans="2:20" hidden="1" outlineLevel="2">
      <c r="B294" s="20" t="s">
        <v>104</v>
      </c>
      <c r="C294" s="743" t="str">
        <f>INDEX(Vectors[Description], MATCH($B294, Vectors[Code], 0))</f>
        <v>Environmental heat</v>
      </c>
      <c r="E294" s="20"/>
      <c r="F294" s="27">
        <v>0</v>
      </c>
      <c r="G294" s="27">
        <v>0</v>
      </c>
      <c r="H294" s="27">
        <v>0</v>
      </c>
      <c r="I294" s="27">
        <v>0</v>
      </c>
      <c r="J294" s="27">
        <v>0</v>
      </c>
      <c r="K294" s="27">
        <v>0</v>
      </c>
      <c r="L294" s="27">
        <v>0</v>
      </c>
      <c r="M294" s="27">
        <v>0</v>
      </c>
      <c r="N294" s="27">
        <v>0</v>
      </c>
      <c r="O294" s="27">
        <v>0</v>
      </c>
    </row>
    <row r="295" spans="2:20" hidden="1" outlineLevel="2">
      <c r="B295" s="20" t="s">
        <v>6</v>
      </c>
      <c r="C295" s="743" t="str">
        <f>INDEX(Vectors[Description], MATCH($B295, Vectors[Code], 0))</f>
        <v>Heating and cooling</v>
      </c>
      <c r="E295" s="20"/>
      <c r="F295" s="2089">
        <f>-SUM(F$288:F$294)-F296</f>
        <v>10.935343763043921</v>
      </c>
      <c r="G295" s="2089">
        <f t="shared" ref="G295:O295" si="42">-SUM(G$288:G$294)-G296</f>
        <v>13.254900600776679</v>
      </c>
      <c r="H295" s="2089">
        <f t="shared" si="42"/>
        <v>16.532830800509913</v>
      </c>
      <c r="I295" s="2089">
        <f t="shared" si="42"/>
        <v>17.800679215641377</v>
      </c>
      <c r="J295" s="2089">
        <f t="shared" si="42"/>
        <v>16.569369363456545</v>
      </c>
      <c r="K295" s="2089">
        <f t="shared" si="42"/>
        <v>15.996399620986899</v>
      </c>
      <c r="L295" s="2089">
        <f t="shared" si="42"/>
        <v>15.972315490401165</v>
      </c>
      <c r="M295" s="2089">
        <f t="shared" si="42"/>
        <v>16.364636351505872</v>
      </c>
      <c r="N295" s="2089">
        <f t="shared" si="42"/>
        <v>17.055862068893703</v>
      </c>
      <c r="O295" s="2089">
        <f t="shared" si="42"/>
        <v>17.95419156882275</v>
      </c>
    </row>
    <row r="296" spans="2:20" hidden="1" outlineLevel="2">
      <c r="B296" s="20" t="s">
        <v>34</v>
      </c>
      <c r="C296" s="743" t="str">
        <f>INDEX(Vectors[Description], MATCH($B296, Vectors[Code], 0))</f>
        <v>Conversion losses</v>
      </c>
      <c r="E296" s="20"/>
      <c r="F296" s="27">
        <f t="shared" ref="F296:O296" si="43">F283</f>
        <v>0</v>
      </c>
      <c r="G296" s="27">
        <f t="shared" si="43"/>
        <v>0</v>
      </c>
      <c r="H296" s="27">
        <f t="shared" si="43"/>
        <v>0</v>
      </c>
      <c r="I296" s="27">
        <f t="shared" si="43"/>
        <v>0</v>
      </c>
      <c r="J296" s="27">
        <f t="shared" si="43"/>
        <v>0</v>
      </c>
      <c r="K296" s="27">
        <f t="shared" si="43"/>
        <v>0</v>
      </c>
      <c r="L296" s="27">
        <f t="shared" si="43"/>
        <v>0</v>
      </c>
      <c r="M296" s="27">
        <f t="shared" si="43"/>
        <v>0</v>
      </c>
      <c r="N296" s="27">
        <f t="shared" si="43"/>
        <v>0</v>
      </c>
      <c r="O296" s="27">
        <f t="shared" si="43"/>
        <v>0</v>
      </c>
    </row>
    <row r="297" spans="2:20" hidden="1" outlineLevel="2">
      <c r="B297" s="20"/>
      <c r="C297" s="743"/>
      <c r="E297" s="862" t="str">
        <f>Preferences.EnergyUnits</f>
        <v>TWh</v>
      </c>
      <c r="F297" s="1579">
        <f>SUM(F288:F296)</f>
        <v>0</v>
      </c>
      <c r="G297" s="1579">
        <f t="shared" ref="G297:O297" si="44">SUM(G288:G296)</f>
        <v>0</v>
      </c>
      <c r="H297" s="1579">
        <f t="shared" si="44"/>
        <v>0</v>
      </c>
      <c r="I297" s="1579">
        <f t="shared" si="44"/>
        <v>0</v>
      </c>
      <c r="J297" s="1579">
        <f t="shared" si="44"/>
        <v>0</v>
      </c>
      <c r="K297" s="1579">
        <f t="shared" si="44"/>
        <v>0</v>
      </c>
      <c r="L297" s="1579">
        <f t="shared" si="44"/>
        <v>0</v>
      </c>
      <c r="M297" s="1579">
        <f t="shared" si="44"/>
        <v>0</v>
      </c>
      <c r="N297" s="1579">
        <f t="shared" si="44"/>
        <v>0</v>
      </c>
      <c r="O297" s="1579">
        <f t="shared" si="44"/>
        <v>0</v>
      </c>
    </row>
    <row r="298" spans="2:20" hidden="1" outlineLevel="2">
      <c r="B298" s="20"/>
      <c r="C298" s="743"/>
      <c r="E298" s="20"/>
      <c r="F298" s="925"/>
      <c r="G298" s="925"/>
      <c r="H298" s="925"/>
      <c r="I298" s="925"/>
      <c r="J298" s="925"/>
      <c r="K298" s="925"/>
      <c r="L298" s="925"/>
      <c r="M298" s="925"/>
      <c r="N298" s="925"/>
      <c r="O298" s="925"/>
    </row>
    <row r="299" spans="2:20" hidden="1" outlineLevel="1">
      <c r="B299" s="731">
        <v>4</v>
      </c>
      <c r="C299" s="731" t="s">
        <v>1608</v>
      </c>
      <c r="E299" s="862"/>
      <c r="F299" s="925"/>
      <c r="G299" s="925"/>
      <c r="H299" s="925"/>
      <c r="I299" s="925"/>
      <c r="J299" s="925"/>
      <c r="K299" s="925"/>
      <c r="L299" s="925"/>
      <c r="M299" s="925"/>
      <c r="N299" s="925"/>
      <c r="O299" s="925"/>
    </row>
    <row r="300" spans="2:20" hidden="1" outlineLevel="2">
      <c r="E300" s="20"/>
      <c r="F300" s="925"/>
      <c r="G300" s="925"/>
      <c r="H300" s="925"/>
      <c r="I300" s="925"/>
      <c r="J300" s="925"/>
      <c r="K300" s="925"/>
      <c r="L300" s="925"/>
      <c r="M300" s="925"/>
      <c r="N300" s="925"/>
      <c r="O300" s="925"/>
    </row>
    <row r="301" spans="2:20" hidden="1" outlineLevel="2">
      <c r="B301" s="20" t="s">
        <v>45</v>
      </c>
      <c r="C301" s="743" t="str">
        <f>INDEX(Vectors[Description], MATCH($B301, Vectors[Code], 0))</f>
        <v>Electricity (delivered to end user)</v>
      </c>
      <c r="E301" s="20"/>
      <c r="F301" s="925">
        <f t="shared" ref="F301:O309" si="45">SUMIFS(F$220:F$228, $B$220:$B$228, $B301)+SUMIFS(F$252:F$260, $B$252:$B$260, $B301)+SUMIFS(F$288:F$296, $B$288:$B$296, $B301)</f>
        <v>-28.551697890247862</v>
      </c>
      <c r="G301" s="925">
        <f t="shared" si="45"/>
        <v>-31.409037978598839</v>
      </c>
      <c r="H301" s="925">
        <f t="shared" si="45"/>
        <v>-35.16946485012258</v>
      </c>
      <c r="I301" s="925">
        <f t="shared" si="45"/>
        <v>-35.541507779304595</v>
      </c>
      <c r="J301" s="925">
        <f t="shared" si="45"/>
        <v>-32.073626856533636</v>
      </c>
      <c r="K301" s="925">
        <f t="shared" si="45"/>
        <v>-30.345016784095659</v>
      </c>
      <c r="L301" s="925">
        <f t="shared" si="45"/>
        <v>-29.8685026844813</v>
      </c>
      <c r="M301" s="925">
        <f t="shared" si="45"/>
        <v>-30.275894592688999</v>
      </c>
      <c r="N301" s="925">
        <f t="shared" si="45"/>
        <v>-31.303055045362949</v>
      </c>
      <c r="O301" s="925">
        <f t="shared" si="45"/>
        <v>-32.767588468647652</v>
      </c>
      <c r="T301" s="20"/>
    </row>
    <row r="302" spans="2:20" hidden="1" outlineLevel="2">
      <c r="B302" s="20" t="s">
        <v>46</v>
      </c>
      <c r="C302" s="743" t="str">
        <f>INDEX(Vectors[Description], MATCH($B302, Vectors[Code], 0))</f>
        <v>Electricity (supplied to grid)</v>
      </c>
      <c r="E302" s="20"/>
      <c r="F302" s="925">
        <f t="shared" si="45"/>
        <v>0</v>
      </c>
      <c r="G302" s="925">
        <f t="shared" si="45"/>
        <v>0</v>
      </c>
      <c r="H302" s="925">
        <f t="shared" si="45"/>
        <v>0</v>
      </c>
      <c r="I302" s="925">
        <f t="shared" si="45"/>
        <v>0</v>
      </c>
      <c r="J302" s="925">
        <f t="shared" si="45"/>
        <v>0</v>
      </c>
      <c r="K302" s="925">
        <f t="shared" si="45"/>
        <v>0</v>
      </c>
      <c r="L302" s="925">
        <f t="shared" si="45"/>
        <v>0</v>
      </c>
      <c r="M302" s="925">
        <f t="shared" si="45"/>
        <v>0</v>
      </c>
      <c r="N302" s="925">
        <f t="shared" si="45"/>
        <v>0</v>
      </c>
      <c r="O302" s="925">
        <f t="shared" si="45"/>
        <v>0</v>
      </c>
      <c r="T302" s="20"/>
    </row>
    <row r="303" spans="2:20" hidden="1" outlineLevel="2">
      <c r="B303" s="20" t="s">
        <v>47</v>
      </c>
      <c r="C303" s="743" t="str">
        <f>INDEX(Vectors[Description], MATCH($B303, Vectors[Code], 0))</f>
        <v>Solid hydrocarbons</v>
      </c>
      <c r="E303" s="20"/>
      <c r="F303" s="925">
        <f t="shared" si="45"/>
        <v>0</v>
      </c>
      <c r="G303" s="925">
        <f t="shared" si="45"/>
        <v>0</v>
      </c>
      <c r="H303" s="925">
        <f t="shared" si="45"/>
        <v>0</v>
      </c>
      <c r="I303" s="925">
        <f t="shared" si="45"/>
        <v>0</v>
      </c>
      <c r="J303" s="925">
        <f t="shared" si="45"/>
        <v>0</v>
      </c>
      <c r="K303" s="925">
        <f t="shared" si="45"/>
        <v>0</v>
      </c>
      <c r="L303" s="925">
        <f t="shared" si="45"/>
        <v>0</v>
      </c>
      <c r="M303" s="925">
        <f t="shared" si="45"/>
        <v>0</v>
      </c>
      <c r="N303" s="925">
        <f t="shared" si="45"/>
        <v>0</v>
      </c>
      <c r="O303" s="925">
        <f t="shared" si="45"/>
        <v>0</v>
      </c>
      <c r="T303" s="20"/>
    </row>
    <row r="304" spans="2:20" hidden="1" outlineLevel="2">
      <c r="B304" s="20" t="s">
        <v>49</v>
      </c>
      <c r="C304" s="743" t="str">
        <f>INDEX(Vectors[Description], MATCH($B304, Vectors[Code], 0))</f>
        <v>Liquid hydrocarbons</v>
      </c>
      <c r="E304" s="20"/>
      <c r="F304" s="925">
        <f t="shared" si="45"/>
        <v>-9.0805949109298663</v>
      </c>
      <c r="G304" s="925">
        <f t="shared" si="45"/>
        <v>-9.3578027720732795</v>
      </c>
      <c r="H304" s="925">
        <f t="shared" si="45"/>
        <v>-9.3601915660227526</v>
      </c>
      <c r="I304" s="925">
        <f t="shared" si="45"/>
        <v>-7.8977446745454811</v>
      </c>
      <c r="J304" s="925">
        <f t="shared" si="45"/>
        <v>-5.0059061804995713</v>
      </c>
      <c r="K304" s="925">
        <f t="shared" si="45"/>
        <v>-3.1777619215816162</v>
      </c>
      <c r="L304" s="925">
        <f t="shared" si="45"/>
        <v>-2.0201266217880871</v>
      </c>
      <c r="M304" s="925">
        <f t="shared" si="45"/>
        <v>-1.285922491403779</v>
      </c>
      <c r="N304" s="925">
        <f t="shared" si="45"/>
        <v>-0.81958015279339935</v>
      </c>
      <c r="O304" s="925">
        <f t="shared" si="45"/>
        <v>-0.52296340154565946</v>
      </c>
      <c r="T304" s="20"/>
    </row>
    <row r="305" spans="1:21" hidden="1" outlineLevel="2">
      <c r="B305" s="20" t="s">
        <v>50</v>
      </c>
      <c r="C305" s="743" t="str">
        <f>INDEX(Vectors[Description], MATCH($B305, Vectors[Code], 0))</f>
        <v>Gaseous hydrocarbons</v>
      </c>
      <c r="E305" s="20"/>
      <c r="F305" s="925">
        <f t="shared" si="45"/>
        <v>-78.262359826249423</v>
      </c>
      <c r="G305" s="925">
        <f t="shared" si="45"/>
        <v>-80.651514015845265</v>
      </c>
      <c r="H305" s="925">
        <f t="shared" si="45"/>
        <v>-85.398213928381523</v>
      </c>
      <c r="I305" s="925">
        <f t="shared" si="45"/>
        <v>-91.993994268995408</v>
      </c>
      <c r="J305" s="925">
        <f t="shared" si="45"/>
        <v>-100.43551659150518</v>
      </c>
      <c r="K305" s="925">
        <f t="shared" si="45"/>
        <v>-108.32625563753608</v>
      </c>
      <c r="L305" s="925">
        <f t="shared" si="45"/>
        <v>-116.0857662452141</v>
      </c>
      <c r="M305" s="925">
        <f t="shared" si="45"/>
        <v>-123.99401847331828</v>
      </c>
      <c r="N305" s="925">
        <f t="shared" si="45"/>
        <v>-132.24483748017687</v>
      </c>
      <c r="O305" s="925">
        <f t="shared" si="45"/>
        <v>-140.97935431040366</v>
      </c>
      <c r="T305" s="20"/>
    </row>
    <row r="306" spans="1:21" hidden="1" outlineLevel="2">
      <c r="B306" s="20" t="s">
        <v>753</v>
      </c>
      <c r="C306" s="743" t="str">
        <f>INDEX(Vectors[Description], MATCH($B306, Vectors[Code], 0))</f>
        <v>Heat transport</v>
      </c>
      <c r="E306" s="20"/>
      <c r="F306" s="925">
        <f t="shared" si="45"/>
        <v>0</v>
      </c>
      <c r="G306" s="925">
        <f t="shared" si="45"/>
        <v>0</v>
      </c>
      <c r="H306" s="925">
        <f t="shared" si="45"/>
        <v>0</v>
      </c>
      <c r="I306" s="925">
        <f t="shared" si="45"/>
        <v>0</v>
      </c>
      <c r="J306" s="925">
        <f t="shared" si="45"/>
        <v>0</v>
      </c>
      <c r="K306" s="925">
        <f t="shared" si="45"/>
        <v>0</v>
      </c>
      <c r="L306" s="925">
        <f t="shared" si="45"/>
        <v>0</v>
      </c>
      <c r="M306" s="925">
        <f t="shared" si="45"/>
        <v>0</v>
      </c>
      <c r="N306" s="925">
        <f t="shared" si="45"/>
        <v>0</v>
      </c>
      <c r="O306" s="925">
        <f t="shared" si="45"/>
        <v>0</v>
      </c>
      <c r="T306" s="20"/>
    </row>
    <row r="307" spans="1:21" hidden="1" outlineLevel="2">
      <c r="B307" s="20" t="s">
        <v>104</v>
      </c>
      <c r="C307" s="743" t="str">
        <f>INDEX(Vectors[Description], MATCH($B307, Vectors[Code], 0))</f>
        <v>Environmental heat</v>
      </c>
      <c r="E307" s="20"/>
      <c r="F307" s="925">
        <f t="shared" si="45"/>
        <v>0</v>
      </c>
      <c r="G307" s="925">
        <f t="shared" si="45"/>
        <v>0</v>
      </c>
      <c r="H307" s="925">
        <f t="shared" si="45"/>
        <v>0</v>
      </c>
      <c r="I307" s="925">
        <f t="shared" si="45"/>
        <v>0</v>
      </c>
      <c r="J307" s="925">
        <f t="shared" si="45"/>
        <v>0</v>
      </c>
      <c r="K307" s="925">
        <f t="shared" si="45"/>
        <v>0</v>
      </c>
      <c r="L307" s="925">
        <f t="shared" si="45"/>
        <v>0</v>
      </c>
      <c r="M307" s="925">
        <f t="shared" si="45"/>
        <v>0</v>
      </c>
      <c r="N307" s="925">
        <f t="shared" si="45"/>
        <v>0</v>
      </c>
      <c r="O307" s="925">
        <f t="shared" si="45"/>
        <v>0</v>
      </c>
      <c r="T307" s="20"/>
    </row>
    <row r="308" spans="1:21" hidden="1" outlineLevel="2">
      <c r="B308" s="20" t="s">
        <v>6</v>
      </c>
      <c r="C308" s="743" t="str">
        <f>INDEX(Vectors[Description], MATCH($B308, Vectors[Code], 0))</f>
        <v>Heating and cooling</v>
      </c>
      <c r="E308" s="20"/>
      <c r="F308" s="925">
        <f t="shared" si="45"/>
        <v>99.017114399063615</v>
      </c>
      <c r="G308" s="925">
        <f t="shared" si="45"/>
        <v>104.02558748988749</v>
      </c>
      <c r="H308" s="925">
        <f t="shared" si="45"/>
        <v>112.10531310621593</v>
      </c>
      <c r="I308" s="925">
        <f t="shared" si="45"/>
        <v>118.6008415091824</v>
      </c>
      <c r="J308" s="925">
        <f t="shared" si="45"/>
        <v>123.05465434338164</v>
      </c>
      <c r="K308" s="925">
        <f t="shared" si="45"/>
        <v>128.6582806127328</v>
      </c>
      <c r="L308" s="925">
        <f t="shared" si="45"/>
        <v>135.33895919985807</v>
      </c>
      <c r="M308" s="925">
        <f t="shared" si="45"/>
        <v>143.00377059672047</v>
      </c>
      <c r="N308" s="925">
        <f t="shared" si="45"/>
        <v>151.57786435149021</v>
      </c>
      <c r="O308" s="925">
        <f t="shared" si="45"/>
        <v>161.01541557207884</v>
      </c>
      <c r="T308" s="20"/>
    </row>
    <row r="309" spans="1:21" hidden="1" outlineLevel="2">
      <c r="B309" s="20" t="s">
        <v>34</v>
      </c>
      <c r="C309" s="743" t="str">
        <f>INDEX(Vectors[Description], MATCH($B309, Vectors[Code], 0))</f>
        <v>Conversion losses</v>
      </c>
      <c r="E309" s="20"/>
      <c r="F309" s="925">
        <f t="shared" si="45"/>
        <v>16.877538228363534</v>
      </c>
      <c r="G309" s="925">
        <f t="shared" si="45"/>
        <v>17.392767276629908</v>
      </c>
      <c r="H309" s="925">
        <f t="shared" si="45"/>
        <v>17.822557238310953</v>
      </c>
      <c r="I309" s="925">
        <f t="shared" si="45"/>
        <v>16.832405213663083</v>
      </c>
      <c r="J309" s="925">
        <f t="shared" si="45"/>
        <v>14.460395285156745</v>
      </c>
      <c r="K309" s="925">
        <f t="shared" si="45"/>
        <v>13.190753730480548</v>
      </c>
      <c r="L309" s="925">
        <f t="shared" si="45"/>
        <v>12.635436351625433</v>
      </c>
      <c r="M309" s="925">
        <f t="shared" si="45"/>
        <v>12.552064960690593</v>
      </c>
      <c r="N309" s="925">
        <f t="shared" si="45"/>
        <v>12.789608326843034</v>
      </c>
      <c r="O309" s="925">
        <f t="shared" si="45"/>
        <v>13.254490608518111</v>
      </c>
      <c r="T309" s="20"/>
    </row>
    <row r="310" spans="1:21" hidden="1" outlineLevel="2">
      <c r="B310" s="20"/>
      <c r="C310" s="743"/>
      <c r="E310" s="862" t="str">
        <f>Preferences.EnergyUnits</f>
        <v>TWh</v>
      </c>
      <c r="F310" s="1820">
        <f t="shared" ref="F310:O310" si="46">SUM(F301:F309)</f>
        <v>0</v>
      </c>
      <c r="G310" s="1820">
        <f t="shared" si="46"/>
        <v>0</v>
      </c>
      <c r="H310" s="1820">
        <f t="shared" si="46"/>
        <v>0</v>
      </c>
      <c r="I310" s="1820">
        <f t="shared" si="46"/>
        <v>0</v>
      </c>
      <c r="J310" s="1820">
        <f t="shared" si="46"/>
        <v>0</v>
      </c>
      <c r="K310" s="1820">
        <f t="shared" si="46"/>
        <v>-1.7763568394002505E-14</v>
      </c>
      <c r="L310" s="1820">
        <f t="shared" si="46"/>
        <v>0</v>
      </c>
      <c r="M310" s="1820">
        <f t="shared" si="46"/>
        <v>0</v>
      </c>
      <c r="N310" s="1820">
        <f t="shared" si="46"/>
        <v>0</v>
      </c>
      <c r="O310" s="1820">
        <f t="shared" si="46"/>
        <v>-4.2632564145606011E-14</v>
      </c>
    </row>
    <row r="311" spans="1:21" hidden="1" outlineLevel="2">
      <c r="E311" s="20"/>
      <c r="F311" s="925"/>
      <c r="G311" s="925"/>
      <c r="H311" s="925"/>
      <c r="I311" s="925"/>
      <c r="J311" s="925"/>
      <c r="K311" s="925"/>
      <c r="L311" s="925"/>
      <c r="M311" s="925"/>
      <c r="N311" s="925"/>
      <c r="O311" s="925"/>
    </row>
    <row r="312" spans="1:21" hidden="1" outlineLevel="1">
      <c r="B312" s="731">
        <v>5</v>
      </c>
      <c r="C312" s="731" t="s">
        <v>1175</v>
      </c>
      <c r="E312" s="20"/>
      <c r="F312" s="925"/>
      <c r="G312" s="925"/>
      <c r="H312" s="925"/>
      <c r="I312" s="925"/>
      <c r="J312" s="925"/>
      <c r="K312" s="925"/>
      <c r="L312" s="925"/>
      <c r="M312" s="925"/>
      <c r="N312" s="925"/>
      <c r="O312" s="925"/>
    </row>
    <row r="313" spans="1:21" hidden="1" outlineLevel="1">
      <c r="E313" s="20"/>
      <c r="F313" s="925"/>
      <c r="G313" s="925"/>
      <c r="H313" s="925"/>
      <c r="I313" s="925"/>
      <c r="J313" s="925"/>
      <c r="K313" s="925"/>
      <c r="L313" s="925"/>
      <c r="M313" s="925"/>
      <c r="N313" s="925"/>
      <c r="O313" s="925"/>
    </row>
    <row r="314" spans="1:21" hidden="1" outlineLevel="1">
      <c r="B314" s="121" t="s">
        <v>902</v>
      </c>
      <c r="E314" s="20"/>
      <c r="F314" s="925"/>
      <c r="G314" s="925"/>
      <c r="H314" s="925"/>
      <c r="I314" s="925"/>
      <c r="J314" s="925"/>
      <c r="K314" s="925"/>
      <c r="L314" s="925"/>
      <c r="M314" s="925"/>
      <c r="N314" s="925"/>
      <c r="O314" s="925"/>
    </row>
    <row r="315" spans="1:21" hidden="1" outlineLevel="1">
      <c r="C315" s="121" t="s">
        <v>1055</v>
      </c>
      <c r="E315" s="20" t="s">
        <v>1075</v>
      </c>
      <c r="F315" s="840">
        <f t="array" ref="F315">-SUM(F$301:F$309*SUMIFS(EF[CO2], EF[Vector], $B$301:$B$309))</f>
        <v>16.670422935762357</v>
      </c>
      <c r="G315" s="840">
        <f t="array" ref="G315">-SUM(G$301:G$309*SUMIFS(EF[CO2], EF[Vector], $B$301:$B$309))</f>
        <v>17.179329271933845</v>
      </c>
      <c r="H315" s="840">
        <f t="array" ref="H315">-SUM(H$301:H$309*SUMIFS(EF[CO2], EF[Vector], $B$301:$B$309))</f>
        <v>18.053319254327885</v>
      </c>
      <c r="I315" s="840">
        <f t="array" ref="I315">-SUM(I$301:I$309*SUMIFS(EF[CO2], EF[Vector], $B$301:$B$309))</f>
        <v>18.901331114131523</v>
      </c>
      <c r="J315" s="840">
        <f t="array" ref="J315">-SUM(J$301:J$309*SUMIFS(EF[CO2], EF[Vector], $B$301:$B$309))</f>
        <v>19.731611597961841</v>
      </c>
      <c r="K315" s="840">
        <f t="array" ref="K315">-SUM(K$301:K$309*SUMIFS(EF[CO2], EF[Vector], $B$301:$B$309))</f>
        <v>20.726471517702041</v>
      </c>
      <c r="L315" s="840">
        <f t="array" ref="L315">-SUM(L$301:L$309*SUMIFS(EF[CO2], EF[Vector], $B$301:$B$309))</f>
        <v>21.864812644566413</v>
      </c>
      <c r="M315" s="840">
        <f t="array" ref="M315">-SUM(M$301:M$309*SUMIFS(EF[CO2], EF[Vector], $B$301:$B$309))</f>
        <v>23.136380021941505</v>
      </c>
      <c r="N315" s="840">
        <f t="array" ref="N315">-SUM(N$301:N$309*SUMIFS(EF[CO2], EF[Vector], $B$301:$B$309))</f>
        <v>24.537945134550888</v>
      </c>
      <c r="O315" s="840">
        <f t="array" ref="O315">-SUM(O$301:O$309*SUMIFS(EF[CO2], EF[Vector], $B$301:$B$309))</f>
        <v>26.070942043500683</v>
      </c>
    </row>
    <row r="316" spans="1:21" hidden="1" outlineLevel="1">
      <c r="C316" s="121" t="s">
        <v>1056</v>
      </c>
      <c r="E316" s="20"/>
      <c r="F316" s="840">
        <f t="array" ref="F316">-SUM(F$301:F$309*SUMIFS(EF[CH4], EF[Vector], $B$301:$B$309))</f>
        <v>3.1691470049996472E-2</v>
      </c>
      <c r="G316" s="840">
        <f t="array" ref="G316">-SUM(G$301:G$309*SUMIFS(EF[CH4], EF[Vector], $B$301:$B$309))</f>
        <v>3.2658931401947748E-2</v>
      </c>
      <c r="H316" s="840">
        <f t="array" ref="H316">-SUM(H$301:H$309*SUMIFS(EF[CH4], EF[Vector], $B$301:$B$309))</f>
        <v>3.4410378264801728E-2</v>
      </c>
      <c r="I316" s="840">
        <f t="array" ref="I316">-SUM(I$301:I$309*SUMIFS(EF[CH4], EF[Vector], $B$301:$B$309))</f>
        <v>3.6387884239927212E-2</v>
      </c>
      <c r="J316" s="840">
        <f t="array" ref="J316">-SUM(J$301:J$309*SUMIFS(EF[CH4], EF[Vector], $B$301:$B$309))</f>
        <v>3.8601249959483386E-2</v>
      </c>
      <c r="K316" s="840">
        <f t="array" ref="K316">-SUM(K$301:K$309*SUMIFS(EF[CH4], EF[Vector], $B$301:$B$309))</f>
        <v>4.0942546614003247E-2</v>
      </c>
      <c r="L316" s="840">
        <f t="array" ref="L316">-SUM(L$301:L$309*SUMIFS(EF[CH4], EF[Vector], $B$301:$B$309))</f>
        <v>4.34441381429264E-2</v>
      </c>
      <c r="M316" s="840">
        <f t="array" ref="M316">-SUM(M$301:M$309*SUMIFS(EF[CH4], EF[Vector], $B$301:$B$309))</f>
        <v>4.6132381888665371E-2</v>
      </c>
      <c r="N316" s="840">
        <f t="array" ref="N316">-SUM(N$301:N$309*SUMIFS(EF[CH4], EF[Vector], $B$301:$B$309))</f>
        <v>4.9030344671768492E-2</v>
      </c>
      <c r="O316" s="840">
        <f t="array" ref="O316">-SUM(O$301:O$309*SUMIFS(EF[CH4], EF[Vector], $B$301:$B$309))</f>
        <v>5.2159534405262074E-2</v>
      </c>
    </row>
    <row r="317" spans="1:21" hidden="1" outlineLevel="1">
      <c r="C317" s="121" t="s">
        <v>1057</v>
      </c>
      <c r="E317" s="20"/>
      <c r="F317" s="840">
        <f t="array" ref="F317">-SUM(F$301:F$309*SUMIFS(EF[N2O], EF[Vector], $B$301:$B$309))</f>
        <v>7.1890492881915569E-2</v>
      </c>
      <c r="G317" s="840">
        <f t="array" ref="G317">-SUM(G$301:G$309*SUMIFS(EF[N2O], EF[Vector], $B$301:$B$309))</f>
        <v>7.4085129903368269E-2</v>
      </c>
      <c r="H317" s="840">
        <f t="array" ref="H317">-SUM(H$301:H$309*SUMIFS(EF[N2O], EF[Vector], $B$301:$B$309))</f>
        <v>7.5978841297249272E-2</v>
      </c>
      <c r="I317" s="840">
        <f t="array" ref="I317">-SUM(I$301:I$309*SUMIFS(EF[N2O], EF[Vector], $B$301:$B$309))</f>
        <v>7.2017214807104074E-2</v>
      </c>
      <c r="J317" s="840">
        <f t="array" ref="J317">-SUM(J$301:J$309*SUMIFS(EF[N2O], EF[Vector], $B$301:$B$309))</f>
        <v>6.2358354025685014E-2</v>
      </c>
      <c r="K317" s="840">
        <f t="array" ref="K317">-SUM(K$301:K$309*SUMIFS(EF[N2O], EF[Vector], $B$301:$B$309))</f>
        <v>5.7265512961339554E-2</v>
      </c>
      <c r="L317" s="840">
        <f t="array" ref="L317">-SUM(L$301:L$309*SUMIFS(EF[N2O], EF[Vector], $B$301:$B$309))</f>
        <v>5.5136572465139151E-2</v>
      </c>
      <c r="M317" s="840">
        <f t="array" ref="M317">-SUM(M$301:M$309*SUMIFS(EF[N2O], EF[Vector], $B$301:$B$309))</f>
        <v>5.4971234821976758E-2</v>
      </c>
      <c r="N317" s="840">
        <f t="array" ref="N317">-SUM(N$301:N$309*SUMIFS(EF[N2O], EF[Vector], $B$301:$B$309))</f>
        <v>5.6146635489782944E-2</v>
      </c>
      <c r="O317" s="840">
        <f t="array" ref="O317">-SUM(O$301:O$309*SUMIFS(EF[N2O], EF[Vector], $B$301:$B$309))</f>
        <v>5.8277341836730404E-2</v>
      </c>
    </row>
    <row r="318" spans="1:21" hidden="1" outlineLevel="1">
      <c r="E318" s="20"/>
      <c r="F318" s="925"/>
      <c r="G318" s="925"/>
      <c r="H318" s="925"/>
      <c r="I318" s="925"/>
      <c r="J318" s="925"/>
      <c r="K318" s="925"/>
      <c r="L318" s="925"/>
      <c r="M318" s="925"/>
      <c r="N318" s="925"/>
      <c r="O318" s="925"/>
    </row>
    <row r="319" spans="1:21" s="743" customFormat="1">
      <c r="F319" s="27"/>
      <c r="S319" s="27"/>
      <c r="T319" s="27"/>
      <c r="U319" s="27"/>
    </row>
    <row r="320" spans="1:21" ht="22.5" collapsed="1">
      <c r="A320" s="1171"/>
      <c r="B320" s="1231" t="s">
        <v>683</v>
      </c>
      <c r="C320" s="1183"/>
      <c r="D320" s="1183"/>
      <c r="E320" s="1183"/>
      <c r="F320" s="1183"/>
      <c r="G320" s="1183"/>
      <c r="H320" s="1183"/>
      <c r="I320" s="1183"/>
      <c r="J320" s="1183"/>
      <c r="K320" s="1183"/>
      <c r="L320" s="1183"/>
      <c r="M320" s="1183"/>
      <c r="N320" s="1183"/>
      <c r="O320" s="1183"/>
      <c r="P320" s="1185"/>
      <c r="S320" s="27"/>
      <c r="T320" s="27"/>
      <c r="U320" s="27"/>
    </row>
    <row r="321" spans="1:21" hidden="1" outlineLevel="1">
      <c r="B321" s="1172"/>
      <c r="C321" s="1174"/>
      <c r="D321" s="1174"/>
      <c r="E321" s="1174"/>
      <c r="F321" s="1174"/>
      <c r="G321" s="1174"/>
      <c r="H321" s="1174"/>
      <c r="I321" s="1174"/>
      <c r="J321" s="1174"/>
      <c r="K321" s="1174"/>
      <c r="L321" s="1174"/>
      <c r="M321" s="1174"/>
      <c r="N321" s="1174"/>
      <c r="O321" s="1174"/>
      <c r="P321" s="1176"/>
      <c r="S321" s="27"/>
      <c r="T321" s="27"/>
      <c r="U321" s="27"/>
    </row>
    <row r="322" spans="1:21" hidden="1" outlineLevel="1">
      <c r="B322" s="1172"/>
      <c r="C322" s="1186" t="s">
        <v>730</v>
      </c>
      <c r="D322" s="1174"/>
      <c r="E322" s="1175"/>
      <c r="F322" s="1174"/>
      <c r="G322" s="1175"/>
      <c r="H322" s="1174"/>
      <c r="I322" s="1174"/>
      <c r="J322" s="1174"/>
      <c r="K322" s="1174"/>
      <c r="L322" s="1174"/>
      <c r="M322" s="1174"/>
      <c r="N322" s="1174"/>
      <c r="O322" s="1175" t="str">
        <f>Preferences.EnergyUnits</f>
        <v>TWh</v>
      </c>
      <c r="P322" s="1176"/>
      <c r="S322" s="27"/>
      <c r="T322" s="27"/>
      <c r="U322" s="27"/>
    </row>
    <row r="323" spans="1:21" ht="6" hidden="1" customHeight="1" outlineLevel="1">
      <c r="B323" s="1172"/>
      <c r="C323" s="1174"/>
      <c r="D323" s="1174"/>
      <c r="E323" s="1174"/>
      <c r="F323" s="1174"/>
      <c r="G323" s="1174"/>
      <c r="H323" s="1174"/>
      <c r="I323" s="1174"/>
      <c r="J323" s="1174"/>
      <c r="K323" s="1174"/>
      <c r="L323" s="1174"/>
      <c r="M323" s="1174"/>
      <c r="N323" s="1174"/>
      <c r="O323" s="1174"/>
      <c r="P323" s="1176"/>
      <c r="S323" s="27"/>
      <c r="T323" s="27"/>
      <c r="U323" s="27"/>
    </row>
    <row r="324" spans="1:21" ht="15.75" hidden="1" outlineLevel="1">
      <c r="A324" s="3"/>
      <c r="B324" s="1177"/>
      <c r="C324" s="1188" t="s">
        <v>78</v>
      </c>
      <c r="D324" s="1188" t="s">
        <v>418</v>
      </c>
      <c r="E324" s="1188" t="s">
        <v>442</v>
      </c>
      <c r="F324" s="1188" t="s">
        <v>691</v>
      </c>
      <c r="G324" s="1188" t="s">
        <v>692</v>
      </c>
      <c r="H324" s="1189" t="s">
        <v>721</v>
      </c>
      <c r="I324" s="1189" t="s">
        <v>722</v>
      </c>
      <c r="J324" s="1189" t="s">
        <v>723</v>
      </c>
      <c r="K324" s="1189" t="s">
        <v>724</v>
      </c>
      <c r="L324" s="1189" t="s">
        <v>725</v>
      </c>
      <c r="M324" s="1189" t="s">
        <v>726</v>
      </c>
      <c r="N324" s="1189" t="s">
        <v>727</v>
      </c>
      <c r="O324" s="1189" t="s">
        <v>728</v>
      </c>
      <c r="P324" s="1176"/>
    </row>
    <row r="325" spans="1:21" ht="15.75" hidden="1" outlineLevel="1">
      <c r="A325" s="3"/>
      <c r="B325" s="1177"/>
      <c r="C325" s="1188" t="s">
        <v>45</v>
      </c>
      <c r="D325" s="1188" t="str">
        <f>INDEX(Vectors[Description], MATCH([Vector], Vectors[Code], 0))</f>
        <v>Electricity (delivered to end user)</v>
      </c>
      <c r="E325" s="1188"/>
      <c r="F325" s="1266">
        <f>F301</f>
        <v>-28.551697890247862</v>
      </c>
      <c r="G325" s="1266">
        <f t="shared" ref="G325:O325" si="47">G301</f>
        <v>-31.409037978598839</v>
      </c>
      <c r="H325" s="1266">
        <f t="shared" si="47"/>
        <v>-35.16946485012258</v>
      </c>
      <c r="I325" s="1266">
        <f t="shared" si="47"/>
        <v>-35.541507779304595</v>
      </c>
      <c r="J325" s="1266">
        <f t="shared" si="47"/>
        <v>-32.073626856533636</v>
      </c>
      <c r="K325" s="1266">
        <f t="shared" si="47"/>
        <v>-30.345016784095659</v>
      </c>
      <c r="L325" s="1266">
        <f t="shared" si="47"/>
        <v>-29.8685026844813</v>
      </c>
      <c r="M325" s="1266">
        <f t="shared" si="47"/>
        <v>-30.275894592688999</v>
      </c>
      <c r="N325" s="1266">
        <f t="shared" si="47"/>
        <v>-31.303055045362949</v>
      </c>
      <c r="O325" s="1266">
        <f t="shared" si="47"/>
        <v>-32.767588468647652</v>
      </c>
      <c r="P325" s="1176"/>
    </row>
    <row r="326" spans="1:21" ht="15.75" hidden="1" outlineLevel="1">
      <c r="A326" s="3"/>
      <c r="B326" s="1177"/>
      <c r="C326" s="1188" t="s">
        <v>46</v>
      </c>
      <c r="D326" s="1188" t="str">
        <f>INDEX(Vectors[Description], MATCH([Vector], Vectors[Code], 0))</f>
        <v>Electricity (supplied to grid)</v>
      </c>
      <c r="E326" s="1188"/>
      <c r="F326" s="1266">
        <f t="shared" ref="F326:O331" si="48">F302</f>
        <v>0</v>
      </c>
      <c r="G326" s="1266">
        <f t="shared" si="48"/>
        <v>0</v>
      </c>
      <c r="H326" s="1266">
        <f t="shared" si="48"/>
        <v>0</v>
      </c>
      <c r="I326" s="1266">
        <f t="shared" si="48"/>
        <v>0</v>
      </c>
      <c r="J326" s="1266">
        <f t="shared" si="48"/>
        <v>0</v>
      </c>
      <c r="K326" s="1266">
        <f t="shared" si="48"/>
        <v>0</v>
      </c>
      <c r="L326" s="1266">
        <f t="shared" si="48"/>
        <v>0</v>
      </c>
      <c r="M326" s="1266">
        <f t="shared" si="48"/>
        <v>0</v>
      </c>
      <c r="N326" s="1266">
        <f t="shared" si="48"/>
        <v>0</v>
      </c>
      <c r="O326" s="1266">
        <f t="shared" si="48"/>
        <v>0</v>
      </c>
      <c r="P326" s="1176"/>
    </row>
    <row r="327" spans="1:21" ht="15.75" hidden="1" outlineLevel="1">
      <c r="A327" s="3"/>
      <c r="B327" s="1177"/>
      <c r="C327" s="1188" t="s">
        <v>47</v>
      </c>
      <c r="D327" s="1188" t="str">
        <f>INDEX(Vectors[Description], MATCH([Vector], Vectors[Code], 0))</f>
        <v>Solid hydrocarbons</v>
      </c>
      <c r="E327" s="1188"/>
      <c r="F327" s="1266">
        <f t="shared" si="48"/>
        <v>0</v>
      </c>
      <c r="G327" s="1266">
        <f t="shared" si="48"/>
        <v>0</v>
      </c>
      <c r="H327" s="1266">
        <f t="shared" si="48"/>
        <v>0</v>
      </c>
      <c r="I327" s="1266">
        <f t="shared" si="48"/>
        <v>0</v>
      </c>
      <c r="J327" s="1266">
        <f t="shared" si="48"/>
        <v>0</v>
      </c>
      <c r="K327" s="1266">
        <f t="shared" si="48"/>
        <v>0</v>
      </c>
      <c r="L327" s="1266">
        <f t="shared" si="48"/>
        <v>0</v>
      </c>
      <c r="M327" s="1266">
        <f t="shared" si="48"/>
        <v>0</v>
      </c>
      <c r="N327" s="1266">
        <f t="shared" si="48"/>
        <v>0</v>
      </c>
      <c r="O327" s="1266">
        <f t="shared" si="48"/>
        <v>0</v>
      </c>
      <c r="P327" s="1176"/>
    </row>
    <row r="328" spans="1:21" ht="15.75" hidden="1" outlineLevel="1">
      <c r="A328" s="3"/>
      <c r="B328" s="1177"/>
      <c r="C328" s="765" t="s">
        <v>49</v>
      </c>
      <c r="D328" s="765" t="str">
        <f>INDEX(Vectors[Description], MATCH([Vector], Vectors[Code], 0))</f>
        <v>Liquid hydrocarbons</v>
      </c>
      <c r="E328" s="765"/>
      <c r="F328" s="1266">
        <f t="shared" si="48"/>
        <v>-9.0805949109298663</v>
      </c>
      <c r="G328" s="1266">
        <f t="shared" si="48"/>
        <v>-9.3578027720732795</v>
      </c>
      <c r="H328" s="1266">
        <f t="shared" si="48"/>
        <v>-9.3601915660227526</v>
      </c>
      <c r="I328" s="1266">
        <f t="shared" si="48"/>
        <v>-7.8977446745454811</v>
      </c>
      <c r="J328" s="1266">
        <f t="shared" si="48"/>
        <v>-5.0059061804995713</v>
      </c>
      <c r="K328" s="1266">
        <f t="shared" si="48"/>
        <v>-3.1777619215816162</v>
      </c>
      <c r="L328" s="1266">
        <f t="shared" si="48"/>
        <v>-2.0201266217880871</v>
      </c>
      <c r="M328" s="1266">
        <f t="shared" si="48"/>
        <v>-1.285922491403779</v>
      </c>
      <c r="N328" s="1266">
        <f t="shared" si="48"/>
        <v>-0.81958015279339935</v>
      </c>
      <c r="O328" s="1266">
        <f t="shared" si="48"/>
        <v>-0.52296340154565946</v>
      </c>
      <c r="P328" s="1176"/>
    </row>
    <row r="329" spans="1:21" ht="15.75" hidden="1" outlineLevel="1">
      <c r="A329" s="3"/>
      <c r="B329" s="1177"/>
      <c r="C329" s="765" t="s">
        <v>50</v>
      </c>
      <c r="D329" s="765" t="str">
        <f>INDEX(Vectors[Description], MATCH([Vector], Vectors[Code], 0))</f>
        <v>Gaseous hydrocarbons</v>
      </c>
      <c r="E329" s="765"/>
      <c r="F329" s="1266">
        <f t="shared" si="48"/>
        <v>-78.262359826249423</v>
      </c>
      <c r="G329" s="1266">
        <f t="shared" si="48"/>
        <v>-80.651514015845265</v>
      </c>
      <c r="H329" s="1266">
        <f t="shared" si="48"/>
        <v>-85.398213928381523</v>
      </c>
      <c r="I329" s="1266">
        <f t="shared" si="48"/>
        <v>-91.993994268995408</v>
      </c>
      <c r="J329" s="1266">
        <f t="shared" si="48"/>
        <v>-100.43551659150518</v>
      </c>
      <c r="K329" s="1266">
        <f t="shared" si="48"/>
        <v>-108.32625563753608</v>
      </c>
      <c r="L329" s="1266">
        <f t="shared" si="48"/>
        <v>-116.0857662452141</v>
      </c>
      <c r="M329" s="1266">
        <f t="shared" si="48"/>
        <v>-123.99401847331828</v>
      </c>
      <c r="N329" s="1266">
        <f t="shared" si="48"/>
        <v>-132.24483748017687</v>
      </c>
      <c r="O329" s="1266">
        <f t="shared" si="48"/>
        <v>-140.97935431040366</v>
      </c>
      <c r="P329" s="1176"/>
    </row>
    <row r="330" spans="1:21" ht="15.75" hidden="1" outlineLevel="1">
      <c r="A330" s="3"/>
      <c r="B330" s="1177"/>
      <c r="C330" s="765" t="s">
        <v>753</v>
      </c>
      <c r="D330" s="765" t="str">
        <f>INDEX(Vectors[Description], MATCH([Vector], Vectors[Code], 0))</f>
        <v>Heat transport</v>
      </c>
      <c r="E330" s="765"/>
      <c r="F330" s="1266">
        <f t="shared" si="48"/>
        <v>0</v>
      </c>
      <c r="G330" s="1266">
        <f t="shared" si="48"/>
        <v>0</v>
      </c>
      <c r="H330" s="1266">
        <f t="shared" si="48"/>
        <v>0</v>
      </c>
      <c r="I330" s="1266">
        <f t="shared" si="48"/>
        <v>0</v>
      </c>
      <c r="J330" s="1266">
        <f t="shared" si="48"/>
        <v>0</v>
      </c>
      <c r="K330" s="1266">
        <f t="shared" si="48"/>
        <v>0</v>
      </c>
      <c r="L330" s="1266">
        <f t="shared" si="48"/>
        <v>0</v>
      </c>
      <c r="M330" s="1266">
        <f t="shared" si="48"/>
        <v>0</v>
      </c>
      <c r="N330" s="1266">
        <f t="shared" si="48"/>
        <v>0</v>
      </c>
      <c r="O330" s="1266">
        <f t="shared" si="48"/>
        <v>0</v>
      </c>
      <c r="P330" s="1176"/>
    </row>
    <row r="331" spans="1:21" ht="15.75" hidden="1" outlineLevel="1">
      <c r="A331" s="3"/>
      <c r="B331" s="1177"/>
      <c r="C331" s="765" t="s">
        <v>104</v>
      </c>
      <c r="D331" s="765" t="str">
        <f>INDEX(Vectors[Description], MATCH([Vector], Vectors[Code], 0))</f>
        <v>Environmental heat</v>
      </c>
      <c r="E331" s="765"/>
      <c r="F331" s="1266">
        <f t="shared" si="48"/>
        <v>0</v>
      </c>
      <c r="G331" s="1266">
        <f t="shared" si="48"/>
        <v>0</v>
      </c>
      <c r="H331" s="1266">
        <f t="shared" si="48"/>
        <v>0</v>
      </c>
      <c r="I331" s="1266">
        <f t="shared" si="48"/>
        <v>0</v>
      </c>
      <c r="J331" s="1266">
        <f t="shared" si="48"/>
        <v>0</v>
      </c>
      <c r="K331" s="1266">
        <f t="shared" si="48"/>
        <v>0</v>
      </c>
      <c r="L331" s="1266">
        <f t="shared" si="48"/>
        <v>0</v>
      </c>
      <c r="M331" s="1266">
        <f t="shared" si="48"/>
        <v>0</v>
      </c>
      <c r="N331" s="1266">
        <f t="shared" si="48"/>
        <v>0</v>
      </c>
      <c r="O331" s="1266">
        <f t="shared" si="48"/>
        <v>0</v>
      </c>
      <c r="P331" s="1176"/>
    </row>
    <row r="332" spans="1:21" ht="15.75" hidden="1" outlineLevel="1">
      <c r="A332" s="3"/>
      <c r="B332" s="1177"/>
      <c r="C332" s="765" t="s">
        <v>6</v>
      </c>
      <c r="D332" s="765" t="str">
        <f>INDEX(Vectors[Description], MATCH([Vector], Vectors[Code], 0))</f>
        <v>Heating and cooling</v>
      </c>
      <c r="E332" s="765"/>
      <c r="F332" s="1266">
        <f>F308+F309</f>
        <v>115.89465262742715</v>
      </c>
      <c r="G332" s="1266">
        <f t="shared" ref="G332:O332" si="49">G308+G309</f>
        <v>121.4183547665174</v>
      </c>
      <c r="H332" s="1266">
        <f t="shared" si="49"/>
        <v>129.92787034452689</v>
      </c>
      <c r="I332" s="1266">
        <f t="shared" si="49"/>
        <v>135.4332467228455</v>
      </c>
      <c r="J332" s="1266">
        <f t="shared" si="49"/>
        <v>137.51504962853838</v>
      </c>
      <c r="K332" s="1266">
        <f t="shared" si="49"/>
        <v>141.84903434321333</v>
      </c>
      <c r="L332" s="1266">
        <f t="shared" si="49"/>
        <v>147.9743955514835</v>
      </c>
      <c r="M332" s="1266">
        <f t="shared" si="49"/>
        <v>155.55583555741106</v>
      </c>
      <c r="N332" s="1266">
        <f t="shared" si="49"/>
        <v>164.36747267833323</v>
      </c>
      <c r="O332" s="1266">
        <f t="shared" si="49"/>
        <v>174.26990618059693</v>
      </c>
      <c r="P332" s="1176"/>
    </row>
    <row r="333" spans="1:21" ht="15.75" hidden="1" outlineLevel="1">
      <c r="A333" s="3"/>
      <c r="B333" s="1177"/>
      <c r="C333" s="765" t="s">
        <v>148</v>
      </c>
      <c r="D333" s="765"/>
      <c r="E333" s="765"/>
      <c r="F333" s="1459">
        <f>SUBTOTAL(109,[2007])</f>
        <v>0</v>
      </c>
      <c r="G333" s="1459">
        <f>SUBTOTAL(109,[2010])</f>
        <v>0</v>
      </c>
      <c r="H333" s="1459">
        <f>SUBTOTAL(109,[2015])</f>
        <v>0</v>
      </c>
      <c r="I333" s="1459">
        <f>SUBTOTAL(109,[2020])</f>
        <v>0</v>
      </c>
      <c r="J333" s="1459">
        <f>SUBTOTAL(109,[2025])</f>
        <v>0</v>
      </c>
      <c r="K333" s="1459">
        <f>SUBTOTAL(109,[2030])</f>
        <v>0</v>
      </c>
      <c r="L333" s="1459">
        <f>SUBTOTAL(109,[2035])</f>
        <v>0</v>
      </c>
      <c r="M333" s="1459">
        <f>SUBTOTAL(109,[2040])</f>
        <v>0</v>
      </c>
      <c r="N333" s="1459">
        <f>SUBTOTAL(109,[2045])</f>
        <v>0</v>
      </c>
      <c r="O333" s="1459">
        <f>SUBTOTAL(109,[2050])</f>
        <v>0</v>
      </c>
      <c r="P333" s="1176"/>
    </row>
    <row r="334" spans="1:21" ht="15.75" hidden="1" outlineLevel="1">
      <c r="A334" s="3"/>
      <c r="B334" s="1178"/>
      <c r="C334" s="1179"/>
      <c r="D334" s="1179"/>
      <c r="E334" s="1179"/>
      <c r="F334" s="1289"/>
      <c r="G334" s="1179"/>
      <c r="H334" s="1179"/>
      <c r="I334" s="1179"/>
      <c r="J334" s="1179"/>
      <c r="K334" s="1179"/>
      <c r="L334" s="1179"/>
      <c r="M334" s="1179"/>
      <c r="N334" s="1179"/>
      <c r="O334" s="1179"/>
      <c r="P334" s="1181"/>
    </row>
    <row r="335" spans="1:21" hidden="1" outlineLevel="1"/>
    <row r="336" spans="1:21" ht="22.5" hidden="1" outlineLevel="1">
      <c r="A336" s="1171"/>
      <c r="B336" s="1249" t="s">
        <v>902</v>
      </c>
      <c r="C336" s="1198"/>
      <c r="D336" s="1199"/>
      <c r="E336" s="1199"/>
      <c r="F336" s="1199"/>
      <c r="G336" s="1199"/>
      <c r="H336" s="1199"/>
      <c r="I336" s="1199"/>
      <c r="J336" s="1199"/>
      <c r="K336" s="1199"/>
      <c r="L336" s="1199"/>
      <c r="M336" s="1199"/>
      <c r="N336" s="1199"/>
      <c r="O336" s="1199"/>
      <c r="P336" s="1200"/>
    </row>
    <row r="337" spans="2:16" hidden="1" outlineLevel="1">
      <c r="B337" s="1207"/>
      <c r="C337" s="1208"/>
      <c r="D337" s="1208"/>
      <c r="E337" s="1208"/>
      <c r="F337" s="1208"/>
      <c r="G337" s="1208"/>
      <c r="H337" s="1208"/>
      <c r="I337" s="1208"/>
      <c r="J337" s="1208"/>
      <c r="K337" s="1208"/>
      <c r="L337" s="1208"/>
      <c r="M337" s="1208"/>
      <c r="N337" s="1208"/>
      <c r="O337" s="1208"/>
      <c r="P337" s="1209"/>
    </row>
    <row r="338" spans="2:16" ht="14.25" hidden="1" outlineLevel="1">
      <c r="B338" s="1210"/>
      <c r="C338" s="1201" t="s">
        <v>1073</v>
      </c>
      <c r="D338" s="1202"/>
      <c r="E338" s="1203"/>
      <c r="F338" s="1202"/>
      <c r="G338" s="1203"/>
      <c r="H338" s="1202"/>
      <c r="I338" s="1202"/>
      <c r="J338" s="1202"/>
      <c r="K338" s="1202"/>
      <c r="L338" s="1202"/>
      <c r="M338" s="1202"/>
      <c r="N338" s="1202"/>
      <c r="O338" s="1203" t="s">
        <v>1076</v>
      </c>
      <c r="P338" s="1211"/>
    </row>
    <row r="339" spans="2:16" ht="5.25" hidden="1" customHeight="1" outlineLevel="1">
      <c r="B339" s="1210"/>
      <c r="C339" s="1202"/>
      <c r="D339" s="1202"/>
      <c r="E339" s="1202"/>
      <c r="F339" s="1202"/>
      <c r="G339" s="1202"/>
      <c r="H339" s="1202"/>
      <c r="I339" s="1202"/>
      <c r="J339" s="1202"/>
      <c r="K339" s="1202"/>
      <c r="L339" s="1202"/>
      <c r="M339" s="1202"/>
      <c r="N339" s="1202"/>
      <c r="O339" s="1202"/>
      <c r="P339" s="1211"/>
    </row>
    <row r="340" spans="2:16" ht="15.75" hidden="1" outlineLevel="1">
      <c r="B340" s="1212"/>
      <c r="C340" s="1269" t="s">
        <v>1072</v>
      </c>
      <c r="D340" s="1269" t="s">
        <v>1042</v>
      </c>
      <c r="E340" s="1269" t="s">
        <v>442</v>
      </c>
      <c r="F340" s="1269" t="s">
        <v>691</v>
      </c>
      <c r="G340" s="1269" t="s">
        <v>692</v>
      </c>
      <c r="H340" s="1269" t="s">
        <v>721</v>
      </c>
      <c r="I340" s="1269" t="s">
        <v>722</v>
      </c>
      <c r="J340" s="1269" t="s">
        <v>723</v>
      </c>
      <c r="K340" s="1269" t="s">
        <v>724</v>
      </c>
      <c r="L340" s="1269" t="s">
        <v>725</v>
      </c>
      <c r="M340" s="1269" t="s">
        <v>726</v>
      </c>
      <c r="N340" s="1269" t="s">
        <v>727</v>
      </c>
      <c r="O340" s="1269" t="s">
        <v>728</v>
      </c>
      <c r="P340" s="1211"/>
    </row>
    <row r="341" spans="2:16" ht="15.75" hidden="1" outlineLevel="1">
      <c r="B341" s="1212"/>
      <c r="C341" s="1206" t="s">
        <v>1055</v>
      </c>
      <c r="D341" s="1216" t="s">
        <v>1065</v>
      </c>
      <c r="E341" s="1206" t="str">
        <f>INDEX(IPCC[Sector_description], MATCH([IPCC Sector], IPCC[Sector_code], 0))</f>
        <v>Fuel Combustion</v>
      </c>
      <c r="F341" s="1268">
        <f>F$315</f>
        <v>16.670422935762357</v>
      </c>
      <c r="G341" s="1268">
        <f t="shared" ref="G341:O341" si="50">G$315</f>
        <v>17.179329271933845</v>
      </c>
      <c r="H341" s="1268">
        <f t="shared" si="50"/>
        <v>18.053319254327885</v>
      </c>
      <c r="I341" s="1268">
        <f t="shared" si="50"/>
        <v>18.901331114131523</v>
      </c>
      <c r="J341" s="1268">
        <f t="shared" si="50"/>
        <v>19.731611597961841</v>
      </c>
      <c r="K341" s="1268">
        <f t="shared" si="50"/>
        <v>20.726471517702041</v>
      </c>
      <c r="L341" s="1268">
        <f t="shared" si="50"/>
        <v>21.864812644566413</v>
      </c>
      <c r="M341" s="1268">
        <f t="shared" si="50"/>
        <v>23.136380021941505</v>
      </c>
      <c r="N341" s="1268">
        <f t="shared" si="50"/>
        <v>24.537945134550888</v>
      </c>
      <c r="O341" s="1268">
        <f t="shared" si="50"/>
        <v>26.070942043500683</v>
      </c>
      <c r="P341" s="1211"/>
    </row>
    <row r="342" spans="2:16" ht="15.75" hidden="1" outlineLevel="1">
      <c r="B342" s="1212"/>
      <c r="C342" s="1206" t="s">
        <v>1056</v>
      </c>
      <c r="D342" s="1216" t="s">
        <v>1065</v>
      </c>
      <c r="E342" s="1206" t="str">
        <f>INDEX(IPCC[Sector_description], MATCH([IPCC Sector], IPCC[Sector_code], 0))</f>
        <v>Fuel Combustion</v>
      </c>
      <c r="F342" s="1268">
        <f>F$316</f>
        <v>3.1691470049996472E-2</v>
      </c>
      <c r="G342" s="1268">
        <f t="shared" ref="G342:O342" si="51">G$316</f>
        <v>3.2658931401947748E-2</v>
      </c>
      <c r="H342" s="1268">
        <f t="shared" si="51"/>
        <v>3.4410378264801728E-2</v>
      </c>
      <c r="I342" s="1268">
        <f t="shared" si="51"/>
        <v>3.6387884239927212E-2</v>
      </c>
      <c r="J342" s="1268">
        <f t="shared" si="51"/>
        <v>3.8601249959483386E-2</v>
      </c>
      <c r="K342" s="1268">
        <f t="shared" si="51"/>
        <v>4.0942546614003247E-2</v>
      </c>
      <c r="L342" s="1268">
        <f t="shared" si="51"/>
        <v>4.34441381429264E-2</v>
      </c>
      <c r="M342" s="1268">
        <f t="shared" si="51"/>
        <v>4.6132381888665371E-2</v>
      </c>
      <c r="N342" s="1268">
        <f t="shared" si="51"/>
        <v>4.9030344671768492E-2</v>
      </c>
      <c r="O342" s="1268">
        <f t="shared" si="51"/>
        <v>5.2159534405262074E-2</v>
      </c>
      <c r="P342" s="1211"/>
    </row>
    <row r="343" spans="2:16" ht="15.75" hidden="1" outlineLevel="1">
      <c r="B343" s="1212"/>
      <c r="C343" s="1206" t="s">
        <v>1057</v>
      </c>
      <c r="D343" s="1216" t="s">
        <v>1065</v>
      </c>
      <c r="E343" s="1206" t="str">
        <f>INDEX(IPCC[Sector_description], MATCH([IPCC Sector], IPCC[Sector_code], 0))</f>
        <v>Fuel Combustion</v>
      </c>
      <c r="F343" s="1268">
        <f>F$317</f>
        <v>7.1890492881915569E-2</v>
      </c>
      <c r="G343" s="1268">
        <f t="shared" ref="G343:O343" si="52">G$317</f>
        <v>7.4085129903368269E-2</v>
      </c>
      <c r="H343" s="1268">
        <f t="shared" si="52"/>
        <v>7.5978841297249272E-2</v>
      </c>
      <c r="I343" s="1268">
        <f t="shared" si="52"/>
        <v>7.2017214807104074E-2</v>
      </c>
      <c r="J343" s="1268">
        <f t="shared" si="52"/>
        <v>6.2358354025685014E-2</v>
      </c>
      <c r="K343" s="1268">
        <f t="shared" si="52"/>
        <v>5.7265512961339554E-2</v>
      </c>
      <c r="L343" s="1268">
        <f t="shared" si="52"/>
        <v>5.5136572465139151E-2</v>
      </c>
      <c r="M343" s="1268">
        <f t="shared" si="52"/>
        <v>5.4971234821976758E-2</v>
      </c>
      <c r="N343" s="1268">
        <f t="shared" si="52"/>
        <v>5.6146635489782944E-2</v>
      </c>
      <c r="O343" s="1268">
        <f t="shared" si="52"/>
        <v>5.8277341836730404E-2</v>
      </c>
      <c r="P343" s="1211"/>
    </row>
    <row r="344" spans="2:16" ht="15.75" hidden="1" outlineLevel="1">
      <c r="B344" s="1212"/>
      <c r="C344" s="1206" t="s">
        <v>148</v>
      </c>
      <c r="D344" s="1206"/>
      <c r="E344" s="1206"/>
      <c r="F344" s="1278">
        <f>SUBTOTAL(109,[2007])</f>
        <v>0</v>
      </c>
      <c r="G344" s="1278">
        <f>SUBTOTAL(109,[2010])</f>
        <v>0</v>
      </c>
      <c r="H344" s="1278">
        <f>SUBTOTAL(109,[2015])</f>
        <v>0</v>
      </c>
      <c r="I344" s="1278">
        <f>SUBTOTAL(109,[2020])</f>
        <v>0</v>
      </c>
      <c r="J344" s="1278">
        <f>SUBTOTAL(109,[2025])</f>
        <v>0</v>
      </c>
      <c r="K344" s="1278">
        <f>SUBTOTAL(109,[2030])</f>
        <v>0</v>
      </c>
      <c r="L344" s="1278">
        <f>SUBTOTAL(109,[2035])</f>
        <v>0</v>
      </c>
      <c r="M344" s="1278">
        <f>SUBTOTAL(109,[2040])</f>
        <v>0</v>
      </c>
      <c r="N344" s="1278">
        <f>SUBTOTAL(109,[2045])</f>
        <v>0</v>
      </c>
      <c r="O344" s="1278">
        <f>SUBTOTAL(109,[2050])</f>
        <v>0</v>
      </c>
      <c r="P344" s="1211"/>
    </row>
    <row r="345" spans="2:16" ht="15.75" hidden="1" outlineLevel="1">
      <c r="B345" s="1270"/>
      <c r="C345" s="1214"/>
      <c r="D345" s="1214"/>
      <c r="E345" s="1214"/>
      <c r="F345" s="1214"/>
      <c r="G345" s="1214"/>
      <c r="H345" s="1214"/>
      <c r="I345" s="1214"/>
      <c r="J345" s="1214"/>
      <c r="K345" s="1214"/>
      <c r="L345" s="1214"/>
      <c r="M345" s="1214"/>
      <c r="N345" s="1214"/>
      <c r="O345" s="1214"/>
      <c r="P345" s="1215"/>
    </row>
    <row r="346" spans="2:16" hidden="1" outlineLevel="1"/>
  </sheetData>
  <pageMargins left="0.7" right="0.7" top="0.75" bottom="0.75" header="0.3" footer="0.3"/>
  <pageSetup paperSize="9" orientation="portrait" r:id="rId1"/>
  <ignoredErrors>
    <ignoredError sqref="F325:F331 F332:O332" calculatedColumn="1"/>
    <ignoredError sqref="F151 F68:T68" formulaRange="1"/>
  </ignoredErrors>
  <drawing r:id="rId2"/>
  <tableParts count="2">
    <tablePart r:id="rId3"/>
    <tablePart r:id="rId4"/>
  </tableParts>
</worksheet>
</file>

<file path=xl/worksheets/sheet38.xml><?xml version="1.0" encoding="utf-8"?>
<worksheet xmlns="http://schemas.openxmlformats.org/spreadsheetml/2006/main" xmlns:r="http://schemas.openxmlformats.org/officeDocument/2006/relationships">
  <sheetPr codeName="Sheet16">
    <tabColor theme="9"/>
    <outlinePr summaryBelow="0"/>
    <pageSetUpPr autoPageBreaks="0"/>
  </sheetPr>
  <dimension ref="A1:S115"/>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3.28515625" style="121" customWidth="1"/>
    <col min="3" max="3" width="9.140625" style="121"/>
    <col min="4" max="4" width="28.140625" style="121" bestFit="1" customWidth="1"/>
    <col min="5" max="5" width="11.140625" style="121" customWidth="1"/>
    <col min="6" max="6" width="9.140625" style="121" customWidth="1"/>
    <col min="7" max="15" width="9.140625" style="121"/>
    <col min="16" max="16" width="2" style="121" customWidth="1"/>
    <col min="17" max="17" width="2.28515625" style="121" customWidth="1"/>
    <col min="18" max="16384" width="9.140625" style="121"/>
  </cols>
  <sheetData>
    <row r="1" spans="1:18" ht="21">
      <c r="A1" s="790" t="s">
        <v>677</v>
      </c>
      <c r="B1" s="790" t="str">
        <f>INDEX(Workstreams[Workstream], MATCH($A1, Workstreams[Code], 0))</f>
        <v>Lighting and appliances</v>
      </c>
      <c r="C1" s="790"/>
    </row>
    <row r="2" spans="1:18" s="743" customFormat="1" ht="19.5" customHeight="1">
      <c r="A2" s="10" t="s">
        <v>950</v>
      </c>
      <c r="B2" s="10" t="str">
        <f>INDEX(Modules[Module], MATCH($A2, Modules[Code], 0))</f>
        <v>Domestic lighting, appliances, and cooking</v>
      </c>
      <c r="C2" s="10"/>
    </row>
    <row r="4" spans="1:18" ht="22.5" collapsed="1">
      <c r="A4" s="1171"/>
      <c r="B4" s="1231" t="s">
        <v>1353</v>
      </c>
      <c r="C4" s="1183"/>
      <c r="D4" s="1183"/>
      <c r="E4" s="1183"/>
      <c r="F4" s="1183"/>
      <c r="G4" s="1183"/>
      <c r="H4" s="1183"/>
      <c r="I4" s="1183"/>
      <c r="J4" s="1183"/>
      <c r="K4" s="1183"/>
      <c r="L4" s="1183"/>
      <c r="M4" s="1183"/>
      <c r="N4" s="1183"/>
      <c r="O4" s="1183"/>
      <c r="P4" s="1185"/>
    </row>
    <row r="5" spans="1:18" hidden="1" outlineLevel="1">
      <c r="B5" s="1172"/>
      <c r="C5" s="1174"/>
      <c r="D5" s="1174"/>
      <c r="E5" s="1174"/>
      <c r="F5" s="1174"/>
      <c r="G5" s="1174"/>
      <c r="H5" s="1174"/>
      <c r="I5" s="1174"/>
      <c r="J5" s="1174"/>
      <c r="K5" s="1174"/>
      <c r="L5" s="1174"/>
      <c r="M5" s="1174"/>
      <c r="N5" s="1174"/>
      <c r="O5" s="1174"/>
      <c r="P5" s="1176"/>
    </row>
    <row r="6" spans="1:18" ht="5.25" hidden="1" customHeight="1" outlineLevel="1">
      <c r="B6" s="1172"/>
      <c r="C6" s="1173"/>
      <c r="D6" s="1174"/>
      <c r="E6" s="1175"/>
      <c r="F6" s="1174"/>
      <c r="G6" s="1174"/>
      <c r="H6" s="1174"/>
      <c r="I6" s="1174"/>
      <c r="J6" s="1174"/>
      <c r="K6" s="1174"/>
      <c r="L6" s="1174"/>
      <c r="M6" s="1174"/>
      <c r="N6" s="1174"/>
      <c r="O6" s="1174"/>
      <c r="P6" s="1176"/>
    </row>
    <row r="7" spans="1:18" ht="15.75" hidden="1" outlineLevel="1">
      <c r="B7" s="1177"/>
      <c r="C7" s="1174"/>
      <c r="D7" s="922" t="s">
        <v>830</v>
      </c>
      <c r="E7" s="922" t="s">
        <v>1352</v>
      </c>
      <c r="F7" s="1174"/>
      <c r="G7" s="1174"/>
      <c r="H7" s="1174"/>
      <c r="I7" s="1174"/>
      <c r="J7" s="1174"/>
      <c r="K7" s="1174"/>
      <c r="L7" s="1174"/>
      <c r="M7" s="1174"/>
      <c r="N7" s="1174"/>
      <c r="O7" s="1174"/>
      <c r="P7" s="1176"/>
    </row>
    <row r="8" spans="1:18" ht="15.75" hidden="1" outlineLevel="1">
      <c r="B8" s="1177"/>
      <c r="C8" s="1174"/>
      <c r="D8" s="1291" t="s">
        <v>1351</v>
      </c>
      <c r="E8" s="1291">
        <f>X.a.Scenario.Demand</f>
        <v>1</v>
      </c>
      <c r="F8" s="1174"/>
      <c r="G8" s="1174"/>
      <c r="H8" s="1174"/>
      <c r="I8" s="1174"/>
      <c r="J8" s="1174"/>
      <c r="K8" s="1174"/>
      <c r="L8" s="1174"/>
      <c r="M8" s="1174"/>
      <c r="N8" s="1174"/>
      <c r="O8" s="1174"/>
      <c r="P8" s="1176"/>
    </row>
    <row r="9" spans="1:18" ht="15.75" hidden="1" outlineLevel="1">
      <c r="B9" s="1177"/>
      <c r="C9" s="1174"/>
      <c r="D9" s="1292" t="s">
        <v>1640</v>
      </c>
      <c r="E9" s="1292">
        <f>MIN(X.a.Scenario.Technology,2)</f>
        <v>1</v>
      </c>
      <c r="F9" s="1174"/>
      <c r="G9" s="1174"/>
      <c r="H9" s="1174"/>
      <c r="I9" s="1174"/>
      <c r="J9" s="1174"/>
      <c r="K9" s="1174"/>
      <c r="L9" s="1174"/>
      <c r="M9" s="1174"/>
      <c r="N9" s="1174"/>
      <c r="O9" s="1174"/>
      <c r="P9" s="1176"/>
    </row>
    <row r="10" spans="1:18" ht="15.75" hidden="1" outlineLevel="1">
      <c r="B10" s="1177"/>
      <c r="C10" s="1174"/>
      <c r="D10" s="765"/>
      <c r="E10" s="765"/>
      <c r="F10" s="1174"/>
      <c r="G10" s="1174"/>
      <c r="H10" s="1174"/>
      <c r="I10" s="1174"/>
      <c r="J10" s="1174"/>
      <c r="K10" s="1174"/>
      <c r="L10" s="1174"/>
      <c r="M10" s="1174"/>
      <c r="N10" s="1174"/>
      <c r="O10" s="1174"/>
      <c r="P10" s="1176"/>
    </row>
    <row r="11" spans="1:18" hidden="1" outlineLevel="1">
      <c r="B11" s="1192"/>
      <c r="C11" s="1180"/>
      <c r="D11" s="1180"/>
      <c r="E11" s="1180"/>
      <c r="F11" s="1180"/>
      <c r="G11" s="1180"/>
      <c r="H11" s="1180"/>
      <c r="I11" s="1180"/>
      <c r="J11" s="1180"/>
      <c r="K11" s="1180"/>
      <c r="L11" s="1180"/>
      <c r="M11" s="1180"/>
      <c r="N11" s="1180"/>
      <c r="O11" s="1180"/>
      <c r="P11" s="1181"/>
    </row>
    <row r="13" spans="1:18" s="743" customFormat="1" ht="22.5" collapsed="1">
      <c r="A13" s="1170"/>
      <c r="B13" s="1236" t="s">
        <v>1354</v>
      </c>
      <c r="C13" s="1167"/>
      <c r="D13" s="1167"/>
      <c r="E13" s="1167"/>
      <c r="F13" s="1167"/>
      <c r="G13" s="1167"/>
      <c r="H13" s="1167"/>
      <c r="I13" s="1167"/>
      <c r="J13" s="1167"/>
      <c r="K13" s="1167"/>
      <c r="L13" s="1167"/>
      <c r="M13" s="1167"/>
      <c r="N13" s="1167"/>
      <c r="O13" s="1167"/>
      <c r="P13" s="1168"/>
    </row>
    <row r="14" spans="1:18" hidden="1" outlineLevel="1">
      <c r="B14" s="1157"/>
      <c r="C14" s="864"/>
      <c r="D14" s="864"/>
      <c r="E14" s="864"/>
      <c r="F14" s="864"/>
      <c r="G14" s="864"/>
      <c r="H14" s="864"/>
      <c r="I14" s="864"/>
      <c r="J14" s="864"/>
      <c r="K14" s="864"/>
      <c r="L14" s="864"/>
      <c r="M14" s="864"/>
      <c r="N14" s="864"/>
      <c r="O14" s="864"/>
      <c r="P14" s="1158"/>
    </row>
    <row r="15" spans="1:18" hidden="1" outlineLevel="1">
      <c r="B15" s="1157"/>
      <c r="C15" s="866" t="s">
        <v>1641</v>
      </c>
      <c r="D15" s="864"/>
      <c r="E15" s="1256"/>
      <c r="F15" s="864"/>
      <c r="G15" s="864"/>
      <c r="H15" s="864"/>
      <c r="I15" s="864"/>
      <c r="J15" s="864"/>
      <c r="K15" s="864"/>
      <c r="L15" s="864"/>
      <c r="M15" s="864"/>
      <c r="N15" s="864"/>
      <c r="O15" s="1256" t="str">
        <f>Preferences.EnergyUnits</f>
        <v>TWh</v>
      </c>
      <c r="P15" s="1158"/>
      <c r="R15" s="1822"/>
    </row>
    <row r="16" spans="1:18" ht="5.25" hidden="1" customHeight="1" outlineLevel="1">
      <c r="B16" s="1157"/>
      <c r="C16" s="864"/>
      <c r="D16" s="864"/>
      <c r="E16" s="864"/>
      <c r="F16" s="864"/>
      <c r="G16" s="864"/>
      <c r="H16" s="864"/>
      <c r="I16" s="864"/>
      <c r="J16" s="864"/>
      <c r="K16" s="864"/>
      <c r="L16" s="864"/>
      <c r="M16" s="864"/>
      <c r="N16" s="864"/>
      <c r="O16" s="864"/>
      <c r="P16" s="1158"/>
      <c r="R16" s="903"/>
    </row>
    <row r="17" spans="2:18" ht="15.75" hidden="1" outlineLevel="1">
      <c r="B17" s="1159"/>
      <c r="C17" s="766" t="s">
        <v>1352</v>
      </c>
      <c r="D17" s="766" t="s">
        <v>80</v>
      </c>
      <c r="E17" s="766" t="s">
        <v>442</v>
      </c>
      <c r="F17" s="923">
        <v>2007</v>
      </c>
      <c r="G17" s="924">
        <v>2010</v>
      </c>
      <c r="H17" s="923">
        <v>2015</v>
      </c>
      <c r="I17" s="923">
        <v>2020</v>
      </c>
      <c r="J17" s="923">
        <v>2025</v>
      </c>
      <c r="K17" s="923">
        <v>2030</v>
      </c>
      <c r="L17" s="923">
        <v>2035</v>
      </c>
      <c r="M17" s="923">
        <v>2040</v>
      </c>
      <c r="N17" s="923">
        <v>2045</v>
      </c>
      <c r="O17" s="923">
        <v>2050</v>
      </c>
      <c r="P17" s="1158"/>
      <c r="R17" s="903"/>
    </row>
    <row r="18" spans="2:18" ht="15.75" hidden="1" outlineLevel="1">
      <c r="B18" s="1159"/>
      <c r="C18" s="831">
        <v>1</v>
      </c>
      <c r="D18" s="832" t="s">
        <v>71</v>
      </c>
      <c r="E18" s="1254"/>
      <c r="F18" s="933">
        <f>(Unit.TJ)*0.0101178995158651</f>
        <v>2.810527643295861E-6</v>
      </c>
      <c r="G18" s="926">
        <f>(Unit.TJ)*0.00987637801515303</f>
        <v>2.7434383375425084E-6</v>
      </c>
      <c r="H18" s="933">
        <f>(Unit.TJ)*0.00960373845082339</f>
        <v>2.6677051252287194E-6</v>
      </c>
      <c r="I18" s="933">
        <f>(Unit.TJ)*0.00935049376956751</f>
        <v>2.5973593804354193E-6</v>
      </c>
      <c r="J18" s="933">
        <f>(Unit.TJ)*0.00911986795381652</f>
        <v>2.5332966538379222E-6</v>
      </c>
      <c r="K18" s="933">
        <f>(Unit.TJ)*0.00890935418890713</f>
        <v>2.4748206080297586E-6</v>
      </c>
      <c r="L18" s="933">
        <f>(Unit.TJ)*0.00869494590348422</f>
        <v>2.4152627509678391E-6</v>
      </c>
      <c r="M18" s="933">
        <f>(Unit.TJ)*0.00848609510378021</f>
        <v>2.357248639938947E-6</v>
      </c>
      <c r="N18" s="933">
        <f>(Unit.TJ)*0.00828608057332732</f>
        <v>2.3016890481464774E-6</v>
      </c>
      <c r="O18" s="933">
        <f>(Unit.TJ)*0.00809452303778228</f>
        <v>2.2484786216061889E-6</v>
      </c>
      <c r="P18" s="1158"/>
      <c r="R18" s="1823"/>
    </row>
    <row r="19" spans="2:18" ht="15.75" hidden="1" outlineLevel="1">
      <c r="B19" s="1159"/>
      <c r="C19" s="831">
        <v>2</v>
      </c>
      <c r="D19" s="832" t="s">
        <v>71</v>
      </c>
      <c r="E19" s="832"/>
      <c r="F19" s="933">
        <f>(Unit.TJ)*0.0101178995158651</f>
        <v>2.810527643295861E-6</v>
      </c>
      <c r="G19" s="927">
        <f>(Unit.TJ)*0.0090278604094803</f>
        <v>2.5077390026334167E-6</v>
      </c>
      <c r="H19" s="934">
        <f>(Unit.TJ)*0.00845943005020142</f>
        <v>2.3498416806115056E-6</v>
      </c>
      <c r="I19" s="934">
        <f>(Unit.TJ)*0.00796609323236846</f>
        <v>2.2128036756579054E-6</v>
      </c>
      <c r="J19" s="934">
        <f>(Unit.TJ)*0.0075579191678134</f>
        <v>2.0994219910592779E-6</v>
      </c>
      <c r="K19" s="934">
        <f>(Unit.TJ)*0.00723246750730464</f>
        <v>2.0090187520290668E-6</v>
      </c>
      <c r="L19" s="934">
        <f>(Unit.TJ)*0.00708288118228831</f>
        <v>1.9674669950800862E-6</v>
      </c>
      <c r="M19" s="934">
        <f>(Unit.TJ)*0.00693577455022102</f>
        <v>1.9266040417280613E-6</v>
      </c>
      <c r="N19" s="934">
        <f>(Unit.TJ)*0.00679930939725533</f>
        <v>1.8886970547931472E-6</v>
      </c>
      <c r="O19" s="934">
        <f>(Unit.TJ)*0.0066725454080023</f>
        <v>1.8534848355561943E-6</v>
      </c>
      <c r="P19" s="1158"/>
      <c r="R19" s="1823"/>
    </row>
    <row r="20" spans="2:18" ht="15.75" hidden="1" outlineLevel="1">
      <c r="B20" s="1159"/>
      <c r="C20" s="831">
        <v>3</v>
      </c>
      <c r="D20" s="832" t="s">
        <v>71</v>
      </c>
      <c r="E20" s="832"/>
      <c r="F20" s="933">
        <f>(Unit.TJ)*0.0101178995158651</f>
        <v>2.810527643295861E-6</v>
      </c>
      <c r="G20" s="927">
        <f>(Unit.TJ)*0.00808968873081128</f>
        <v>2.2471357585586889E-6</v>
      </c>
      <c r="H20" s="934">
        <f>(Unit.TJ)*0.00711111126732672</f>
        <v>1.975308685368533E-6</v>
      </c>
      <c r="I20" s="934">
        <f>(Unit.TJ)*0.00627558955419543</f>
        <v>1.7432193206098416E-6</v>
      </c>
      <c r="J20" s="934">
        <f>(Unit.TJ)*0.00557403118814267</f>
        <v>1.5483419967062973E-6</v>
      </c>
      <c r="K20" s="934">
        <f>(Unit.TJ)*0.00501006922990301</f>
        <v>1.3916858971952804E-6</v>
      </c>
      <c r="L20" s="934">
        <f>(Unit.TJ)*0.00467992616898291</f>
        <v>1.2999794913841418E-6</v>
      </c>
      <c r="M20" s="934">
        <f>(Unit.TJ)*0.0043850598638514</f>
        <v>1.2180721844031666E-6</v>
      </c>
      <c r="N20" s="934">
        <f>(Unit.TJ)*0.00412589713976059</f>
        <v>1.1460825388223861E-6</v>
      </c>
      <c r="O20" s="934">
        <f>(Unit.TJ)*0.00389791890138556</f>
        <v>1.0827552503848779E-6</v>
      </c>
      <c r="P20" s="1158"/>
      <c r="R20" s="1823"/>
    </row>
    <row r="21" spans="2:18" ht="15.75" hidden="1" outlineLevel="1">
      <c r="B21" s="1159"/>
      <c r="C21" s="769">
        <v>4</v>
      </c>
      <c r="D21" s="770" t="s">
        <v>71</v>
      </c>
      <c r="E21" s="770"/>
      <c r="F21" s="928">
        <f>(Unit.TJ)*0.0101178995158651</f>
        <v>2.810527643295861E-6</v>
      </c>
      <c r="G21" s="929">
        <f>(Unit.TJ)*0.0074399122196957</f>
        <v>2.0666422832488053E-6</v>
      </c>
      <c r="H21" s="930">
        <f>(Unit.TJ)*0.00647703872138757</f>
        <v>1.7991774226076584E-6</v>
      </c>
      <c r="I21" s="930">
        <f>(Unit.TJ)*0.00566745355494775</f>
        <v>1.5742926541521529E-6</v>
      </c>
      <c r="J21" s="930">
        <f>(Unit.TJ)*0.00499629613747338</f>
        <v>1.38786003818705E-6</v>
      </c>
      <c r="K21" s="930">
        <f>(Unit.TJ)*0.00443614825027583</f>
        <v>1.2322634028543971E-6</v>
      </c>
      <c r="L21" s="930">
        <f>(Unit.TJ)*0.00391720335148382</f>
        <v>1.0881120420788387E-6</v>
      </c>
      <c r="M21" s="930">
        <f>(Unit.TJ)*0.00345618426401447</f>
        <v>9.6005118444846401E-7</v>
      </c>
      <c r="N21" s="930">
        <f>(Unit.TJ)*0.00305266584274663</f>
        <v>8.4796273409628604E-7</v>
      </c>
      <c r="O21" s="930">
        <f>(Unit.TJ)*0.00269884586224119</f>
        <v>7.4967940617810831E-7</v>
      </c>
      <c r="P21" s="1158"/>
      <c r="R21" s="1823"/>
    </row>
    <row r="22" spans="2:18" ht="15.75" hidden="1" outlineLevel="1">
      <c r="B22" s="1159"/>
      <c r="C22" s="831"/>
      <c r="D22" s="832"/>
      <c r="E22" s="832"/>
      <c r="F22" s="847"/>
      <c r="G22" s="848"/>
      <c r="H22" s="848"/>
      <c r="I22" s="848"/>
      <c r="J22" s="848"/>
      <c r="K22" s="848"/>
      <c r="L22" s="848"/>
      <c r="M22" s="848"/>
      <c r="N22" s="848"/>
      <c r="O22" s="848"/>
      <c r="P22" s="1158"/>
    </row>
    <row r="23" spans="2:18" ht="15.75" hidden="1" outlineLevel="1">
      <c r="B23" s="1159"/>
      <c r="C23" s="866" t="s">
        <v>1642</v>
      </c>
      <c r="D23" s="864"/>
      <c r="E23" s="1256"/>
      <c r="F23" s="864"/>
      <c r="G23" s="864"/>
      <c r="H23" s="864"/>
      <c r="I23" s="864"/>
      <c r="J23" s="864"/>
      <c r="K23" s="864"/>
      <c r="L23" s="864"/>
      <c r="M23" s="864"/>
      <c r="N23" s="864"/>
      <c r="O23" s="1256" t="str">
        <f>Preferences.EnergyUnits</f>
        <v>TWh</v>
      </c>
      <c r="P23" s="1158"/>
    </row>
    <row r="24" spans="2:18" ht="5.25" hidden="1" customHeight="1" outlineLevel="1">
      <c r="B24" s="1159"/>
      <c r="C24" s="864"/>
      <c r="D24" s="864"/>
      <c r="E24" s="864"/>
      <c r="F24" s="864"/>
      <c r="G24" s="864"/>
      <c r="H24" s="864"/>
      <c r="I24" s="864"/>
      <c r="J24" s="864"/>
      <c r="K24" s="864"/>
      <c r="L24" s="864"/>
      <c r="M24" s="864"/>
      <c r="N24" s="864"/>
      <c r="O24" s="864"/>
      <c r="P24" s="1158"/>
    </row>
    <row r="25" spans="2:18" ht="15.75" hidden="1" outlineLevel="1">
      <c r="B25" s="1159"/>
      <c r="C25" s="766" t="s">
        <v>1352</v>
      </c>
      <c r="D25" s="766" t="s">
        <v>80</v>
      </c>
      <c r="E25" s="766" t="s">
        <v>442</v>
      </c>
      <c r="F25" s="923">
        <v>2007</v>
      </c>
      <c r="G25" s="924">
        <v>2010</v>
      </c>
      <c r="H25" s="923">
        <v>2015</v>
      </c>
      <c r="I25" s="923">
        <v>2020</v>
      </c>
      <c r="J25" s="923">
        <v>2025</v>
      </c>
      <c r="K25" s="923">
        <v>2030</v>
      </c>
      <c r="L25" s="923">
        <v>2035</v>
      </c>
      <c r="M25" s="923">
        <v>2040</v>
      </c>
      <c r="N25" s="923">
        <v>2045</v>
      </c>
      <c r="O25" s="923">
        <v>2050</v>
      </c>
      <c r="P25" s="1158"/>
    </row>
    <row r="26" spans="2:18" ht="15.75" hidden="1" outlineLevel="1">
      <c r="B26" s="1159"/>
      <c r="C26" s="831">
        <v>1</v>
      </c>
      <c r="D26" s="832" t="s">
        <v>116</v>
      </c>
      <c r="E26" s="1254"/>
      <c r="F26" s="933">
        <f>(Unit.TJ)*0.00297855868082182</f>
        <v>8.2737741133939447E-7</v>
      </c>
      <c r="G26" s="926">
        <f>(Unit.TJ)*0.00288174183627429</f>
        <v>8.0048384340952502E-7</v>
      </c>
      <c r="H26" s="933">
        <f>(Unit.TJ)*0.00272471148825299</f>
        <v>7.5686430229249721E-7</v>
      </c>
      <c r="I26" s="933">
        <f>(Unit.TJ)*0.00258514541637161</f>
        <v>7.1809594899211389E-7</v>
      </c>
      <c r="J26" s="933">
        <f>(Unit.TJ)*0.00246742545726886</f>
        <v>6.853959603524611E-7</v>
      </c>
      <c r="K26" s="933">
        <f>(Unit.TJ)*0.0023686236758181</f>
        <v>6.5795102106058338E-7</v>
      </c>
      <c r="L26" s="933">
        <f>(Unit.TJ)*0.0022584179142464</f>
        <v>6.2733830951288889E-7</v>
      </c>
      <c r="M26" s="933">
        <f>(Unit.TJ)*0.00214909234808598</f>
        <v>5.9697009669055008E-7</v>
      </c>
      <c r="N26" s="933">
        <f>(Unit.TJ)*0.00204505901740638</f>
        <v>5.6807194927955E-7</v>
      </c>
      <c r="O26" s="933">
        <f>(Unit.TJ)*0.00194606173550427</f>
        <v>5.4057270430674159E-7</v>
      </c>
      <c r="P26" s="1158"/>
      <c r="R26" s="1823"/>
    </row>
    <row r="27" spans="2:18" ht="15.75" hidden="1" outlineLevel="1">
      <c r="B27" s="1159"/>
      <c r="C27" s="831">
        <v>2</v>
      </c>
      <c r="D27" s="832" t="s">
        <v>116</v>
      </c>
      <c r="E27" s="832"/>
      <c r="F27" s="933">
        <f>(Unit.TJ)*0.00297855868082182</f>
        <v>8.2737741133939447E-7</v>
      </c>
      <c r="G27" s="927">
        <f>(Unit.TJ)*0.00286063658416174</f>
        <v>7.9462127337826105E-7</v>
      </c>
      <c r="H27" s="934">
        <f>(Unit.TJ)*0.00267182187589148</f>
        <v>7.4217274330318886E-7</v>
      </c>
      <c r="I27" s="934">
        <f>(Unit.TJ)*0.00250409797818719</f>
        <v>6.9558277171866387E-7</v>
      </c>
      <c r="J27" s="934">
        <f>(Unit.TJ)*0.00236096605388615</f>
        <v>6.5582390385726386E-7</v>
      </c>
      <c r="K27" s="934">
        <f>(Unit.TJ)*0.00223883005892912</f>
        <v>6.218972385914223E-7</v>
      </c>
      <c r="L27" s="934">
        <f>(Unit.TJ)*0.00210867056048923</f>
        <v>5.8574182235811944E-7</v>
      </c>
      <c r="M27" s="934">
        <f>(Unit.TJ)*0.00198216071353415</f>
        <v>5.5060019820393054E-7</v>
      </c>
      <c r="N27" s="934">
        <f>(Unit.TJ)*0.00186324083424709</f>
        <v>5.1756689840196946E-7</v>
      </c>
      <c r="O27" s="934">
        <f>(Unit.TJ)*0.00175145556195384</f>
        <v>4.8651543387606669E-7</v>
      </c>
      <c r="P27" s="1158"/>
      <c r="R27" s="1823"/>
    </row>
    <row r="28" spans="2:18" ht="15.75" hidden="1" outlineLevel="1">
      <c r="B28" s="1159"/>
      <c r="C28" s="831">
        <v>3</v>
      </c>
      <c r="D28" s="832" t="s">
        <v>116</v>
      </c>
      <c r="E28" s="832"/>
      <c r="F28" s="933">
        <f>(Unit.TJ)*0.00297855868082182</f>
        <v>8.2737741133939447E-7</v>
      </c>
      <c r="G28" s="927">
        <f>(Unit.TJ)*0.00286063658416174</f>
        <v>7.9462127337826105E-7</v>
      </c>
      <c r="H28" s="934">
        <f>(Unit.TJ)*0.00267182187589148</f>
        <v>7.4217274330318886E-7</v>
      </c>
      <c r="I28" s="934">
        <f>(Unit.TJ)*0.00250409797818719</f>
        <v>6.9558277171866387E-7</v>
      </c>
      <c r="J28" s="934">
        <f>(Unit.TJ)*0.00236096605388615</f>
        <v>6.5582390385726386E-7</v>
      </c>
      <c r="K28" s="934">
        <f>(Unit.TJ)*0.00223883005892912</f>
        <v>6.218972385914223E-7</v>
      </c>
      <c r="L28" s="934">
        <f>(Unit.TJ)*0.00210867056048923</f>
        <v>5.8574182235811944E-7</v>
      </c>
      <c r="M28" s="934">
        <f>(Unit.TJ)*0.00198216071353415</f>
        <v>5.5060019820393054E-7</v>
      </c>
      <c r="N28" s="934">
        <f>(Unit.TJ)*0.00186324083424709</f>
        <v>5.1756689840196946E-7</v>
      </c>
      <c r="O28" s="934">
        <f>(Unit.TJ)*0.00175145556195384</f>
        <v>4.8651543387606669E-7</v>
      </c>
      <c r="P28" s="1158"/>
      <c r="R28" s="1823"/>
    </row>
    <row r="29" spans="2:18" ht="15.75" hidden="1" outlineLevel="1">
      <c r="B29" s="1159"/>
      <c r="C29" s="769">
        <v>4</v>
      </c>
      <c r="D29" s="770" t="s">
        <v>116</v>
      </c>
      <c r="E29" s="770"/>
      <c r="F29" s="928">
        <f>(Unit.TJ)*0.00297855868082182</f>
        <v>8.2737741133939447E-7</v>
      </c>
      <c r="G29" s="929">
        <f>(Unit.TJ)*0.00286063658416174</f>
        <v>7.9462127337826105E-7</v>
      </c>
      <c r="H29" s="930">
        <f>(Unit.TJ)*0.00267182187589148</f>
        <v>7.4217274330318886E-7</v>
      </c>
      <c r="I29" s="930">
        <f>(Unit.TJ)*0.00250409797818719</f>
        <v>6.9558277171866387E-7</v>
      </c>
      <c r="J29" s="930">
        <f>(Unit.TJ)*0.00236096605388615</f>
        <v>6.5582390385726386E-7</v>
      </c>
      <c r="K29" s="930">
        <f>(Unit.TJ)*0.00223883005892912</f>
        <v>6.218972385914223E-7</v>
      </c>
      <c r="L29" s="930">
        <f>(Unit.TJ)*0.00210867056048923</f>
        <v>5.8574182235811944E-7</v>
      </c>
      <c r="M29" s="930">
        <f>(Unit.TJ)*0.00198216071353415</f>
        <v>5.5060019820393054E-7</v>
      </c>
      <c r="N29" s="930">
        <f>(Unit.TJ)*0.00186324083424709</f>
        <v>5.1756689840196946E-7</v>
      </c>
      <c r="O29" s="930">
        <f>(Unit.TJ)*0.00175145556195384</f>
        <v>4.8651543387606669E-7</v>
      </c>
      <c r="P29" s="1158"/>
      <c r="R29" s="1823"/>
    </row>
    <row r="30" spans="2:18" ht="15.75" hidden="1" outlineLevel="1">
      <c r="B30" s="1159"/>
      <c r="C30" s="831"/>
      <c r="D30" s="832"/>
      <c r="E30" s="832"/>
      <c r="F30" s="847"/>
      <c r="G30" s="848"/>
      <c r="H30" s="848"/>
      <c r="I30" s="848"/>
      <c r="J30" s="848"/>
      <c r="K30" s="848"/>
      <c r="L30" s="848"/>
      <c r="M30" s="848"/>
      <c r="N30" s="848"/>
      <c r="O30" s="848"/>
      <c r="P30" s="1158"/>
    </row>
    <row r="31" spans="2:18" ht="15.75" hidden="1" outlineLevel="1">
      <c r="B31" s="1159"/>
      <c r="C31" s="869" t="s">
        <v>1643</v>
      </c>
      <c r="D31" s="832"/>
      <c r="E31" s="832"/>
      <c r="F31" s="847"/>
      <c r="G31" s="848"/>
      <c r="H31" s="848"/>
      <c r="I31" s="848"/>
      <c r="J31" s="848"/>
      <c r="K31" s="848"/>
      <c r="L31" s="848"/>
      <c r="M31" s="848"/>
      <c r="N31" s="848"/>
      <c r="O31" s="848"/>
      <c r="P31" s="1158"/>
    </row>
    <row r="32" spans="2:18" ht="51.75" hidden="1" customHeight="1" outlineLevel="1">
      <c r="B32" s="1159"/>
      <c r="C32" s="831"/>
      <c r="D32" s="832"/>
      <c r="E32" s="832"/>
      <c r="F32" s="847"/>
      <c r="G32" s="874" t="str">
        <f>INDEX(Vectors[Description], MATCH(G33, Vectors[Code], 0))</f>
        <v>Electricity (delivered to end user)</v>
      </c>
      <c r="H32" s="874" t="str">
        <f>INDEX(Vectors[Description], MATCH(H33, Vectors[Code], 0))</f>
        <v>Gaseous hydrocarbons</v>
      </c>
      <c r="I32" s="848"/>
      <c r="J32" s="848"/>
      <c r="K32" s="848"/>
      <c r="L32" s="848"/>
      <c r="M32" s="848"/>
      <c r="N32" s="848"/>
      <c r="O32" s="848"/>
      <c r="P32" s="1158"/>
    </row>
    <row r="33" spans="1:18" ht="15.75" hidden="1" outlineLevel="1">
      <c r="B33" s="1159"/>
      <c r="C33" s="766" t="s">
        <v>1352</v>
      </c>
      <c r="D33" s="766" t="s">
        <v>79</v>
      </c>
      <c r="E33" s="766" t="s">
        <v>442</v>
      </c>
      <c r="F33" s="1545" t="s">
        <v>1645</v>
      </c>
      <c r="G33" s="1458" t="s">
        <v>45</v>
      </c>
      <c r="H33" s="1458" t="s">
        <v>50</v>
      </c>
      <c r="I33" s="848"/>
      <c r="J33" s="848"/>
      <c r="K33" s="848"/>
      <c r="L33" s="848"/>
      <c r="M33" s="848"/>
      <c r="N33" s="848"/>
      <c r="O33" s="848"/>
      <c r="P33" s="1158"/>
    </row>
    <row r="34" spans="1:18" ht="15.75" hidden="1" outlineLevel="1">
      <c r="B34" s="1159"/>
      <c r="C34" s="831">
        <v>1</v>
      </c>
      <c r="D34" s="832" t="s">
        <v>1644</v>
      </c>
      <c r="E34" s="1254"/>
      <c r="F34" s="1824"/>
      <c r="G34" s="865">
        <f>$F$47</f>
        <v>0.628</v>
      </c>
      <c r="H34" s="865">
        <f>1-G34</f>
        <v>0.372</v>
      </c>
      <c r="I34" s="933"/>
      <c r="J34" s="933"/>
      <c r="K34" s="933"/>
      <c r="L34" s="933"/>
      <c r="M34" s="933"/>
      <c r="N34" s="933"/>
      <c r="O34" s="933"/>
      <c r="P34" s="1158"/>
    </row>
    <row r="35" spans="1:18" ht="15.75" hidden="1" outlineLevel="1">
      <c r="B35" s="1159"/>
      <c r="C35" s="899">
        <v>2</v>
      </c>
      <c r="D35" s="900" t="s">
        <v>918</v>
      </c>
      <c r="E35" s="900"/>
      <c r="F35" s="1825"/>
      <c r="G35" s="916">
        <v>1</v>
      </c>
      <c r="H35" s="916">
        <v>0</v>
      </c>
      <c r="I35" s="934"/>
      <c r="J35" s="934"/>
      <c r="K35" s="934"/>
      <c r="L35" s="934"/>
      <c r="M35" s="934"/>
      <c r="N35" s="934"/>
      <c r="O35" s="934"/>
      <c r="P35" s="1158"/>
    </row>
    <row r="36" spans="1:18" ht="15.75" hidden="1" outlineLevel="1">
      <c r="B36" s="1159"/>
      <c r="C36" s="831"/>
      <c r="D36" s="832"/>
      <c r="E36" s="832"/>
      <c r="F36" s="933"/>
      <c r="G36" s="934"/>
      <c r="H36" s="934"/>
      <c r="I36" s="934"/>
      <c r="J36" s="934"/>
      <c r="K36" s="934"/>
      <c r="L36" s="934"/>
      <c r="M36" s="934"/>
      <c r="N36" s="934"/>
      <c r="O36" s="934"/>
      <c r="P36" s="1158"/>
    </row>
    <row r="37" spans="1:18" ht="15.75" hidden="1" outlineLevel="1">
      <c r="B37" s="1159"/>
      <c r="C37" s="831"/>
      <c r="D37" s="832"/>
      <c r="E37" s="832"/>
      <c r="F37" s="933"/>
      <c r="G37" s="934"/>
      <c r="H37" s="934"/>
      <c r="I37" s="934"/>
      <c r="J37" s="934"/>
      <c r="K37" s="934"/>
      <c r="L37" s="934"/>
      <c r="M37" s="934"/>
      <c r="N37" s="934"/>
      <c r="O37" s="934"/>
      <c r="P37" s="1158"/>
    </row>
    <row r="38" spans="1:18" hidden="1" outlineLevel="1">
      <c r="B38" s="1163"/>
      <c r="C38" s="1227" t="s">
        <v>717</v>
      </c>
      <c r="D38" s="868" t="s">
        <v>899</v>
      </c>
      <c r="E38" s="864"/>
      <c r="F38" s="864"/>
      <c r="G38" s="864"/>
      <c r="H38" s="864"/>
      <c r="I38" s="864"/>
      <c r="J38" s="864"/>
      <c r="K38" s="864"/>
      <c r="L38" s="864"/>
      <c r="M38" s="864"/>
      <c r="N38" s="864"/>
      <c r="O38" s="864"/>
      <c r="P38" s="1158"/>
      <c r="R38" s="1107"/>
    </row>
    <row r="39" spans="1:18" hidden="1" outlineLevel="1">
      <c r="B39" s="1163"/>
      <c r="C39" s="1227"/>
      <c r="D39" s="868" t="s">
        <v>1359</v>
      </c>
      <c r="E39" s="864"/>
      <c r="F39" s="864"/>
      <c r="G39" s="864"/>
      <c r="H39" s="864"/>
      <c r="I39" s="864"/>
      <c r="J39" s="864"/>
      <c r="K39" s="864"/>
      <c r="L39" s="864"/>
      <c r="M39" s="864"/>
      <c r="N39" s="864"/>
      <c r="O39" s="864"/>
      <c r="P39" s="1158"/>
      <c r="R39" s="1107"/>
    </row>
    <row r="40" spans="1:18" hidden="1" outlineLevel="1">
      <c r="B40" s="1163"/>
      <c r="C40" s="1227"/>
      <c r="D40" s="868"/>
      <c r="E40" s="864"/>
      <c r="F40" s="864"/>
      <c r="G40" s="864"/>
      <c r="H40" s="864"/>
      <c r="I40" s="864"/>
      <c r="J40" s="864"/>
      <c r="K40" s="864"/>
      <c r="L40" s="864"/>
      <c r="M40" s="864"/>
      <c r="N40" s="864"/>
      <c r="O40" s="864"/>
      <c r="P40" s="1158"/>
    </row>
    <row r="42" spans="1:18" s="743" customFormat="1" ht="22.5" collapsed="1">
      <c r="A42" s="1170"/>
      <c r="B42" s="1236" t="s">
        <v>786</v>
      </c>
      <c r="C42" s="1167"/>
      <c r="D42" s="1167"/>
      <c r="E42" s="1167"/>
      <c r="F42" s="1167"/>
      <c r="G42" s="1167"/>
      <c r="H42" s="1167"/>
      <c r="I42" s="1167"/>
      <c r="J42" s="1167"/>
      <c r="K42" s="1167"/>
      <c r="L42" s="1167"/>
      <c r="M42" s="1167"/>
      <c r="N42" s="1167"/>
      <c r="O42" s="1167"/>
      <c r="P42" s="1168"/>
    </row>
    <row r="43" spans="1:18" hidden="1" outlineLevel="1">
      <c r="B43" s="1157"/>
      <c r="C43" s="864"/>
      <c r="D43" s="864"/>
      <c r="E43" s="864"/>
      <c r="F43" s="864"/>
      <c r="G43" s="864"/>
      <c r="H43" s="864"/>
      <c r="I43" s="864"/>
      <c r="J43" s="864"/>
      <c r="K43" s="864"/>
      <c r="L43" s="864"/>
      <c r="M43" s="864"/>
      <c r="N43" s="864"/>
      <c r="O43" s="864"/>
      <c r="P43" s="1158"/>
    </row>
    <row r="44" spans="1:18" hidden="1" outlineLevel="1">
      <c r="B44" s="1157"/>
      <c r="C44" s="866" t="s">
        <v>1659</v>
      </c>
      <c r="D44" s="864"/>
      <c r="E44" s="864"/>
      <c r="F44" s="848" t="s">
        <v>939</v>
      </c>
      <c r="G44" s="864"/>
      <c r="H44" s="864"/>
      <c r="I44" s="864"/>
      <c r="J44" s="864"/>
      <c r="K44" s="864"/>
      <c r="L44" s="864"/>
      <c r="M44" s="864"/>
      <c r="N44" s="864"/>
      <c r="O44" s="864"/>
      <c r="P44" s="1158"/>
    </row>
    <row r="45" spans="1:18" ht="6.75" hidden="1" customHeight="1" outlineLevel="1">
      <c r="B45" s="1157"/>
      <c r="C45" s="864"/>
      <c r="D45" s="864"/>
      <c r="E45" s="864"/>
      <c r="F45" s="864"/>
      <c r="G45" s="864"/>
      <c r="H45" s="864"/>
      <c r="I45" s="864"/>
      <c r="J45" s="864"/>
      <c r="K45" s="864"/>
      <c r="L45" s="864"/>
      <c r="M45" s="864"/>
      <c r="N45" s="864"/>
      <c r="O45" s="864"/>
      <c r="P45" s="1158"/>
    </row>
    <row r="46" spans="1:18" ht="15.75" hidden="1" outlineLevel="1">
      <c r="B46" s="1159"/>
      <c r="C46" s="766" t="s">
        <v>78</v>
      </c>
      <c r="D46" s="766" t="s">
        <v>79</v>
      </c>
      <c r="E46" s="766" t="s">
        <v>442</v>
      </c>
      <c r="F46" s="923">
        <v>2007</v>
      </c>
      <c r="G46" s="864"/>
      <c r="H46" s="864"/>
      <c r="I46" s="864"/>
      <c r="J46" s="864"/>
      <c r="K46" s="864"/>
      <c r="L46" s="864"/>
      <c r="M46" s="864"/>
      <c r="N46" s="864"/>
      <c r="O46" s="864"/>
      <c r="P46" s="1158"/>
    </row>
    <row r="47" spans="1:18" ht="15.75" hidden="1" outlineLevel="1">
      <c r="B47" s="1159"/>
      <c r="C47" s="831" t="s">
        <v>45</v>
      </c>
      <c r="D47" s="832" t="str">
        <f>INDEX(Vectors[Description], MATCH($C47, Vectors[Code], 0))</f>
        <v>Electricity (delivered to end user)</v>
      </c>
      <c r="E47" s="1254"/>
      <c r="F47" s="865">
        <v>0.628</v>
      </c>
      <c r="G47" s="864"/>
      <c r="H47" s="864"/>
      <c r="I47" s="864"/>
      <c r="J47" s="864"/>
      <c r="K47" s="864"/>
      <c r="L47" s="864"/>
      <c r="M47" s="864"/>
      <c r="N47" s="864"/>
      <c r="O47" s="864"/>
      <c r="P47" s="1158"/>
    </row>
    <row r="48" spans="1:18" ht="15.75" hidden="1" outlineLevel="1">
      <c r="B48" s="1159"/>
      <c r="C48" s="899" t="s">
        <v>50</v>
      </c>
      <c r="D48" s="900" t="str">
        <f>INDEX(Vectors[Description], MATCH($C48, Vectors[Code], 0))</f>
        <v>Gaseous hydrocarbons</v>
      </c>
      <c r="E48" s="900"/>
      <c r="F48" s="916">
        <f>1-F47</f>
        <v>0.372</v>
      </c>
      <c r="G48" s="864"/>
      <c r="H48" s="864"/>
      <c r="I48" s="864"/>
      <c r="J48" s="864"/>
      <c r="K48" s="864"/>
      <c r="L48" s="864"/>
      <c r="M48" s="864"/>
      <c r="N48" s="864"/>
      <c r="O48" s="864"/>
      <c r="P48" s="1158"/>
    </row>
    <row r="49" spans="1:19" s="715" customFormat="1" hidden="1" outlineLevel="1">
      <c r="B49" s="1260"/>
      <c r="C49" s="1261"/>
      <c r="D49" s="1224"/>
      <c r="E49" s="1262"/>
      <c r="F49" s="1262"/>
      <c r="G49" s="1262"/>
      <c r="H49" s="1262"/>
      <c r="I49" s="1262"/>
      <c r="J49" s="1262"/>
      <c r="K49" s="1262"/>
      <c r="L49" s="1262"/>
      <c r="M49" s="1262"/>
      <c r="N49" s="1262"/>
      <c r="O49" s="1262"/>
      <c r="P49" s="1263"/>
    </row>
    <row r="50" spans="1:19">
      <c r="S50" s="715"/>
    </row>
    <row r="51" spans="1:19" ht="22.5" collapsed="1">
      <c r="A51" s="1171"/>
      <c r="B51" s="1236" t="s">
        <v>817</v>
      </c>
      <c r="C51" s="1264"/>
      <c r="D51" s="1264"/>
      <c r="E51" s="1264"/>
      <c r="F51" s="1264"/>
      <c r="G51" s="1264"/>
      <c r="H51" s="1264"/>
      <c r="I51" s="1264"/>
      <c r="J51" s="1264"/>
      <c r="K51" s="1264"/>
      <c r="L51" s="1264"/>
      <c r="M51" s="1264"/>
      <c r="N51" s="1264"/>
      <c r="O51" s="1264"/>
      <c r="P51" s="1265"/>
    </row>
    <row r="52" spans="1:19" hidden="1" outlineLevel="1">
      <c r="B52" s="1157"/>
      <c r="C52" s="864"/>
      <c r="D52" s="864"/>
      <c r="E52" s="864"/>
      <c r="F52" s="864"/>
      <c r="G52" s="864"/>
      <c r="H52" s="864"/>
      <c r="I52" s="864"/>
      <c r="J52" s="864"/>
      <c r="K52" s="864"/>
      <c r="L52" s="864"/>
      <c r="M52" s="864"/>
      <c r="N52" s="864"/>
      <c r="O52" s="864"/>
      <c r="P52" s="1158"/>
    </row>
    <row r="53" spans="1:19" hidden="1" outlineLevel="1">
      <c r="B53" s="1157"/>
      <c r="C53" s="866" t="s">
        <v>1646</v>
      </c>
      <c r="D53" s="864"/>
      <c r="E53" s="864"/>
      <c r="F53" s="848"/>
      <c r="G53" s="864"/>
      <c r="H53" s="864"/>
      <c r="I53" s="864"/>
      <c r="J53" s="864"/>
      <c r="K53" s="864"/>
      <c r="L53" s="864"/>
      <c r="M53" s="864"/>
      <c r="N53" s="864"/>
      <c r="O53" s="848" t="s">
        <v>939</v>
      </c>
      <c r="P53" s="1158"/>
    </row>
    <row r="54" spans="1:19" ht="5.25" hidden="1" customHeight="1" outlineLevel="1">
      <c r="B54" s="1157"/>
      <c r="C54" s="864"/>
      <c r="D54" s="864"/>
      <c r="E54" s="864"/>
      <c r="F54" s="864"/>
      <c r="G54" s="864"/>
      <c r="H54" s="864"/>
      <c r="I54" s="864"/>
      <c r="J54" s="864"/>
      <c r="K54" s="864"/>
      <c r="L54" s="864"/>
      <c r="M54" s="864"/>
      <c r="N54" s="864"/>
      <c r="O54" s="864"/>
      <c r="P54" s="1158"/>
    </row>
    <row r="55" spans="1:19" ht="15.75" hidden="1" outlineLevel="1">
      <c r="B55" s="1159"/>
      <c r="C55" s="766" t="s">
        <v>78</v>
      </c>
      <c r="D55" s="766" t="s">
        <v>79</v>
      </c>
      <c r="E55" s="766" t="s">
        <v>442</v>
      </c>
      <c r="F55" s="923">
        <v>2007</v>
      </c>
      <c r="G55" s="924">
        <v>2010</v>
      </c>
      <c r="H55" s="923">
        <v>2015</v>
      </c>
      <c r="I55" s="923">
        <v>2020</v>
      </c>
      <c r="J55" s="923">
        <v>2025</v>
      </c>
      <c r="K55" s="923">
        <v>2030</v>
      </c>
      <c r="L55" s="923">
        <v>2035</v>
      </c>
      <c r="M55" s="923">
        <v>2040</v>
      </c>
      <c r="N55" s="923">
        <v>2045</v>
      </c>
      <c r="O55" s="923">
        <v>2050</v>
      </c>
      <c r="P55" s="1158"/>
    </row>
    <row r="56" spans="1:19" ht="15.75" hidden="1" outlineLevel="1">
      <c r="B56" s="1159"/>
      <c r="C56" s="831" t="s">
        <v>45</v>
      </c>
      <c r="D56" s="832" t="str">
        <f>INDEX(Vectors[Description], MATCH($C56, Vectors[Code], 0))</f>
        <v>Electricity (delivered to end user)</v>
      </c>
      <c r="E56" s="1254"/>
      <c r="F56" s="865">
        <f>F47</f>
        <v>0.628</v>
      </c>
      <c r="G56" s="1826">
        <f>$F56+($O56-$F56)/($O$55-$F$55)*(G$55-$F$55)</f>
        <v>0.628</v>
      </c>
      <c r="H56" s="1788">
        <f t="shared" ref="H56:N57" si="0">$F56+($O56-$F56)/($O$55-$F$55)*(H$55-$F$55)</f>
        <v>0.628</v>
      </c>
      <c r="I56" s="1788">
        <f t="shared" si="0"/>
        <v>0.628</v>
      </c>
      <c r="J56" s="1788">
        <f t="shared" si="0"/>
        <v>0.628</v>
      </c>
      <c r="K56" s="1788">
        <f t="shared" si="0"/>
        <v>0.628</v>
      </c>
      <c r="L56" s="1788">
        <f t="shared" si="0"/>
        <v>0.628</v>
      </c>
      <c r="M56" s="1788">
        <f t="shared" si="0"/>
        <v>0.628</v>
      </c>
      <c r="N56" s="1788">
        <f t="shared" si="0"/>
        <v>0.628</v>
      </c>
      <c r="O56" s="865">
        <f>INDEX($G$34:$H$35, MATCH($E$9, $C$34:$C$35, 0), MATCH($C56, $G$33:$H$33, 0))</f>
        <v>0.628</v>
      </c>
      <c r="P56" s="1158"/>
    </row>
    <row r="57" spans="1:19" ht="15.75" hidden="1" outlineLevel="1">
      <c r="B57" s="1159"/>
      <c r="C57" s="899" t="s">
        <v>50</v>
      </c>
      <c r="D57" s="900" t="str">
        <f>INDEX(Vectors[Description], MATCH($C57, Vectors[Code], 0))</f>
        <v>Gaseous hydrocarbons</v>
      </c>
      <c r="E57" s="900"/>
      <c r="F57" s="916">
        <f>F48</f>
        <v>0.372</v>
      </c>
      <c r="G57" s="1827">
        <f>$F57+($O57-$F57)/($O$55-$F$55)*(G$55-$F$55)</f>
        <v>0.372</v>
      </c>
      <c r="H57" s="1828">
        <f t="shared" si="0"/>
        <v>0.372</v>
      </c>
      <c r="I57" s="1828">
        <f t="shared" si="0"/>
        <v>0.372</v>
      </c>
      <c r="J57" s="1828">
        <f t="shared" si="0"/>
        <v>0.372</v>
      </c>
      <c r="K57" s="1828">
        <f t="shared" si="0"/>
        <v>0.372</v>
      </c>
      <c r="L57" s="1828">
        <f t="shared" si="0"/>
        <v>0.372</v>
      </c>
      <c r="M57" s="1828">
        <f t="shared" si="0"/>
        <v>0.372</v>
      </c>
      <c r="N57" s="1828">
        <f t="shared" si="0"/>
        <v>0.372</v>
      </c>
      <c r="O57" s="1531">
        <f>INDEX($G$34:$H$35, MATCH($E$9, $C$34:$C$35, 0), MATCH($C57, $G$33:$H$33, 0))</f>
        <v>0.372</v>
      </c>
      <c r="P57" s="1158"/>
    </row>
    <row r="58" spans="1:19" hidden="1" outlineLevel="1">
      <c r="B58" s="1157"/>
      <c r="C58" s="864"/>
      <c r="D58" s="864"/>
      <c r="E58" s="864"/>
      <c r="F58" s="864"/>
      <c r="G58" s="864"/>
      <c r="H58" s="864"/>
      <c r="I58" s="864"/>
      <c r="J58" s="864"/>
      <c r="K58" s="864"/>
      <c r="L58" s="864"/>
      <c r="M58" s="864"/>
      <c r="N58" s="864"/>
      <c r="O58" s="864"/>
      <c r="P58" s="1158"/>
    </row>
    <row r="60" spans="1:19" ht="18" collapsed="1">
      <c r="A60" s="767"/>
      <c r="B60" s="809" t="s">
        <v>732</v>
      </c>
    </row>
    <row r="61" spans="1:19" s="24" customFormat="1" hidden="1" outlineLevel="1">
      <c r="B61" s="731">
        <v>1</v>
      </c>
      <c r="C61" s="731" t="s">
        <v>1647</v>
      </c>
    </row>
    <row r="62" spans="1:19" s="24" customFormat="1" hidden="1" outlineLevel="1">
      <c r="B62" s="731">
        <v>2</v>
      </c>
      <c r="C62" s="731" t="s">
        <v>1648</v>
      </c>
    </row>
    <row r="63" spans="1:19" s="24" customFormat="1" hidden="1" outlineLevel="1">
      <c r="B63" s="731">
        <v>3</v>
      </c>
      <c r="C63" s="731" t="s">
        <v>1654</v>
      </c>
    </row>
    <row r="64" spans="1:19" s="24" customFormat="1" hidden="1" outlineLevel="1">
      <c r="B64" s="731">
        <v>4</v>
      </c>
      <c r="C64" s="731" t="s">
        <v>1174</v>
      </c>
    </row>
    <row r="65" spans="2:15" hidden="1" outlineLevel="1"/>
    <row r="66" spans="2:15" hidden="1" outlineLevel="1">
      <c r="B66" s="731">
        <v>1</v>
      </c>
      <c r="C66" s="731" t="s">
        <v>1649</v>
      </c>
    </row>
    <row r="67" spans="2:15" hidden="1" outlineLevel="1">
      <c r="B67" s="731"/>
      <c r="C67" s="731"/>
      <c r="F67" s="861">
        <v>2007</v>
      </c>
      <c r="G67" s="861">
        <v>2010</v>
      </c>
      <c r="H67" s="861">
        <v>2015</v>
      </c>
      <c r="I67" s="861">
        <v>2020</v>
      </c>
      <c r="J67" s="861">
        <v>2025</v>
      </c>
      <c r="K67" s="861">
        <v>2030</v>
      </c>
      <c r="L67" s="861">
        <v>2035</v>
      </c>
      <c r="M67" s="861">
        <v>2040</v>
      </c>
      <c r="N67" s="861">
        <v>2045</v>
      </c>
      <c r="O67" s="861">
        <v>2050</v>
      </c>
    </row>
    <row r="68" spans="2:15" hidden="1" outlineLevel="1">
      <c r="C68" s="24" t="s">
        <v>1651</v>
      </c>
      <c r="E68" s="20" t="str">
        <f>Preferences.EnergyUnits</f>
        <v>TWh</v>
      </c>
      <c r="F68" s="940">
        <f>INDEX(F$26:F$29, MATCH($E$8, $C$26:$C$29, 0))</f>
        <v>8.2737741133939447E-7</v>
      </c>
      <c r="G68" s="940">
        <f t="shared" ref="G68:O68" si="1">INDEX(G$26:G$29, MATCH($E$8, $C$26:$C$29, 0))</f>
        <v>8.0048384340952502E-7</v>
      </c>
      <c r="H68" s="940">
        <f t="shared" si="1"/>
        <v>7.5686430229249721E-7</v>
      </c>
      <c r="I68" s="940">
        <f t="shared" si="1"/>
        <v>7.1809594899211389E-7</v>
      </c>
      <c r="J68" s="940">
        <f t="shared" si="1"/>
        <v>6.853959603524611E-7</v>
      </c>
      <c r="K68" s="940">
        <f t="shared" si="1"/>
        <v>6.5795102106058338E-7</v>
      </c>
      <c r="L68" s="940">
        <f t="shared" si="1"/>
        <v>6.2733830951288889E-7</v>
      </c>
      <c r="M68" s="940">
        <f t="shared" si="1"/>
        <v>5.9697009669055008E-7</v>
      </c>
      <c r="N68" s="940">
        <f t="shared" si="1"/>
        <v>5.6807194927955E-7</v>
      </c>
      <c r="O68" s="940">
        <f t="shared" si="1"/>
        <v>5.4057270430674159E-7</v>
      </c>
    </row>
    <row r="69" spans="2:15" s="246" customFormat="1" hidden="1" outlineLevel="1">
      <c r="B69" s="1555" t="s">
        <v>838</v>
      </c>
      <c r="C69" s="246" t="s">
        <v>856</v>
      </c>
      <c r="E69" s="1555"/>
      <c r="F69" s="1829">
        <f>INDEX(Global.Assumptions[Households], MATCH(F$67, Global.Assumptions[Year], 0))</f>
        <v>26042600</v>
      </c>
      <c r="G69" s="1829">
        <f>INDEX(Global.Assumptions[Households], MATCH(G$67, Global.Assumptions[Year], 0))</f>
        <v>26917400</v>
      </c>
      <c r="H69" s="1829">
        <f>INDEX(Global.Assumptions[Households], MATCH(H$67, Global.Assumptions[Year], 0))</f>
        <v>28469000</v>
      </c>
      <c r="I69" s="1829">
        <f>INDEX(Global.Assumptions[Households], MATCH(I$67, Global.Assumptions[Year], 0))</f>
        <v>30004800</v>
      </c>
      <c r="J69" s="1829">
        <f>INDEX(Global.Assumptions[Households], MATCH(J$67, Global.Assumptions[Year], 0))</f>
        <v>31434800</v>
      </c>
      <c r="K69" s="1829">
        <f>INDEX(Global.Assumptions[Households], MATCH(K$67, Global.Assumptions[Year], 0))</f>
        <v>32744800</v>
      </c>
      <c r="L69" s="1829">
        <f>INDEX(Global.Assumptions[Households], MATCH(L$67, Global.Assumptions[Year], 0))</f>
        <v>34415113.888514474</v>
      </c>
      <c r="M69" s="1829">
        <f>INDEX(Global.Assumptions[Households], MATCH(M$67, Global.Assumptions[Year], 0))</f>
        <v>36170630.572164804</v>
      </c>
      <c r="N69" s="1829">
        <f>INDEX(Global.Assumptions[Households], MATCH(N$67, Global.Assumptions[Year], 0))</f>
        <v>38015696.24979952</v>
      </c>
      <c r="O69" s="1829">
        <f>INDEX(Global.Assumptions[Households], MATCH(O$67, Global.Assumptions[Year], 0))</f>
        <v>39954878.82008817</v>
      </c>
    </row>
    <row r="70" spans="2:15" s="731" customFormat="1" hidden="1" outlineLevel="1">
      <c r="B70" s="1575" t="s">
        <v>840</v>
      </c>
      <c r="C70" s="731" t="s">
        <v>1650</v>
      </c>
      <c r="E70" s="862" t="str">
        <f>Preferences.EnergyUnits</f>
        <v>TWh</v>
      </c>
      <c r="F70" s="943">
        <f>F68*F69</f>
        <v>21.547058972547315</v>
      </c>
      <c r="G70" s="943">
        <f t="shared" ref="G70:O70" si="2">G68*G69</f>
        <v>21.54694380659155</v>
      </c>
      <c r="H70" s="943">
        <f t="shared" si="2"/>
        <v>21.547169821965102</v>
      </c>
      <c r="I70" s="943">
        <f t="shared" si="2"/>
        <v>21.546325330318577</v>
      </c>
      <c r="J70" s="943">
        <f t="shared" si="2"/>
        <v>21.545284934487544</v>
      </c>
      <c r="K70" s="943">
        <f t="shared" si="2"/>
        <v>21.544474594424592</v>
      </c>
      <c r="L70" s="943">
        <f t="shared" si="2"/>
        <v>21.589919368514213</v>
      </c>
      <c r="M70" s="943">
        <f t="shared" si="2"/>
        <v>21.59278483002339</v>
      </c>
      <c r="N70" s="943">
        <f t="shared" si="2"/>
        <v>21.595650671842893</v>
      </c>
      <c r="O70" s="943">
        <f t="shared" si="2"/>
        <v>21.598516894023216</v>
      </c>
    </row>
    <row r="71" spans="2:15" hidden="1" outlineLevel="1">
      <c r="B71" s="20" t="s">
        <v>45</v>
      </c>
      <c r="C71" s="121" t="str">
        <f>INDEX(Vectors[Description], MATCH($B71, Vectors[Code], 0))</f>
        <v>Electricity (delivered to end user)</v>
      </c>
      <c r="F71" s="925">
        <f t="shared" ref="F71:O71" si="3">F$70*F56</f>
        <v>13.531553034759714</v>
      </c>
      <c r="G71" s="925">
        <f t="shared" si="3"/>
        <v>13.531480710539494</v>
      </c>
      <c r="H71" s="925">
        <f t="shared" si="3"/>
        <v>13.531622648194084</v>
      </c>
      <c r="I71" s="925">
        <f t="shared" si="3"/>
        <v>13.531092307440067</v>
      </c>
      <c r="J71" s="925">
        <f t="shared" si="3"/>
        <v>13.530438938858177</v>
      </c>
      <c r="K71" s="925">
        <f t="shared" si="3"/>
        <v>13.529930045298643</v>
      </c>
      <c r="L71" s="925">
        <f t="shared" si="3"/>
        <v>13.558469363426926</v>
      </c>
      <c r="M71" s="925">
        <f t="shared" si="3"/>
        <v>13.560268873254689</v>
      </c>
      <c r="N71" s="925">
        <f t="shared" si="3"/>
        <v>13.562068621917337</v>
      </c>
      <c r="O71" s="925">
        <f t="shared" si="3"/>
        <v>13.56386860944658</v>
      </c>
    </row>
    <row r="72" spans="2:15" hidden="1" outlineLevel="1">
      <c r="B72" s="20" t="s">
        <v>50</v>
      </c>
      <c r="C72" s="121" t="str">
        <f>INDEX(Vectors[Description], MATCH($B72, Vectors[Code], 0))</f>
        <v>Gaseous hydrocarbons</v>
      </c>
      <c r="F72" s="925">
        <f t="shared" ref="F72:O72" si="4">F$70*F57</f>
        <v>8.0155059377876015</v>
      </c>
      <c r="G72" s="925">
        <f t="shared" si="4"/>
        <v>8.0154630960520556</v>
      </c>
      <c r="H72" s="925">
        <f t="shared" si="4"/>
        <v>8.0155471737710187</v>
      </c>
      <c r="I72" s="925">
        <f t="shared" si="4"/>
        <v>8.01523302287851</v>
      </c>
      <c r="J72" s="925">
        <f t="shared" si="4"/>
        <v>8.0148459956293667</v>
      </c>
      <c r="K72" s="925">
        <f t="shared" si="4"/>
        <v>8.014544549125949</v>
      </c>
      <c r="L72" s="925">
        <f t="shared" si="4"/>
        <v>8.0314500050872866</v>
      </c>
      <c r="M72" s="925">
        <f t="shared" si="4"/>
        <v>8.0325159567687017</v>
      </c>
      <c r="N72" s="925">
        <f t="shared" si="4"/>
        <v>8.0335820499255561</v>
      </c>
      <c r="O72" s="925">
        <f t="shared" si="4"/>
        <v>8.0346482845766367</v>
      </c>
    </row>
    <row r="73" spans="2:15" hidden="1" outlineLevel="1">
      <c r="F73" s="925"/>
      <c r="G73" s="925"/>
      <c r="H73" s="925"/>
      <c r="I73" s="925"/>
      <c r="J73" s="925"/>
      <c r="K73" s="925"/>
      <c r="L73" s="925"/>
      <c r="M73" s="925"/>
      <c r="N73" s="925"/>
      <c r="O73" s="925"/>
    </row>
    <row r="74" spans="2:15" hidden="1" outlineLevel="1">
      <c r="F74" s="925"/>
      <c r="G74" s="925"/>
      <c r="H74" s="925"/>
      <c r="I74" s="925"/>
      <c r="J74" s="925"/>
      <c r="K74" s="925"/>
      <c r="L74" s="925"/>
      <c r="M74" s="925"/>
      <c r="N74" s="925"/>
      <c r="O74" s="925"/>
    </row>
    <row r="75" spans="2:15" hidden="1" outlineLevel="1">
      <c r="B75" s="731">
        <v>2</v>
      </c>
      <c r="C75" s="731" t="s">
        <v>1662</v>
      </c>
      <c r="F75" s="925"/>
      <c r="G75" s="925"/>
      <c r="H75" s="925"/>
      <c r="I75" s="925"/>
      <c r="J75" s="925"/>
      <c r="K75" s="925"/>
      <c r="L75" s="925"/>
      <c r="M75" s="925"/>
      <c r="N75" s="925"/>
      <c r="O75" s="925"/>
    </row>
    <row r="76" spans="2:15" hidden="1" outlineLevel="1">
      <c r="F76" s="861">
        <v>2007</v>
      </c>
      <c r="G76" s="861">
        <v>2010</v>
      </c>
      <c r="H76" s="861">
        <v>2015</v>
      </c>
      <c r="I76" s="861">
        <v>2020</v>
      </c>
      <c r="J76" s="861">
        <v>2025</v>
      </c>
      <c r="K76" s="861">
        <v>2030</v>
      </c>
      <c r="L76" s="861">
        <v>2035</v>
      </c>
      <c r="M76" s="861">
        <v>2040</v>
      </c>
      <c r="N76" s="861">
        <v>2045</v>
      </c>
      <c r="O76" s="861">
        <v>2050</v>
      </c>
    </row>
    <row r="77" spans="2:15" hidden="1" outlineLevel="1">
      <c r="C77" s="24" t="s">
        <v>1653</v>
      </c>
      <c r="E77" s="24" t="str">
        <f>Preferences.EnergyUnits</f>
        <v>TWh</v>
      </c>
      <c r="F77" s="940">
        <f>INDEX(F$18:F$21, MATCH($E$8, $C$18:$C$21, 0))</f>
        <v>2.810527643295861E-6</v>
      </c>
      <c r="G77" s="940">
        <f t="shared" ref="G77:O77" si="5">INDEX(G$18:G$21, MATCH($E$8, $C$18:$C$21, 0))</f>
        <v>2.7434383375425084E-6</v>
      </c>
      <c r="H77" s="940">
        <f t="shared" si="5"/>
        <v>2.6677051252287194E-6</v>
      </c>
      <c r="I77" s="940">
        <f t="shared" si="5"/>
        <v>2.5973593804354193E-6</v>
      </c>
      <c r="J77" s="940">
        <f t="shared" si="5"/>
        <v>2.5332966538379222E-6</v>
      </c>
      <c r="K77" s="940">
        <f t="shared" si="5"/>
        <v>2.4748206080297586E-6</v>
      </c>
      <c r="L77" s="940">
        <f t="shared" si="5"/>
        <v>2.4152627509678391E-6</v>
      </c>
      <c r="M77" s="940">
        <f t="shared" si="5"/>
        <v>2.357248639938947E-6</v>
      </c>
      <c r="N77" s="940">
        <f t="shared" si="5"/>
        <v>2.3016890481464774E-6</v>
      </c>
      <c r="O77" s="940">
        <f t="shared" si="5"/>
        <v>2.2484786216061889E-6</v>
      </c>
    </row>
    <row r="78" spans="2:15" hidden="1" outlineLevel="1">
      <c r="B78" s="1555" t="s">
        <v>838</v>
      </c>
      <c r="C78" s="246" t="s">
        <v>856</v>
      </c>
      <c r="F78" s="1829">
        <f>INDEX(Global.Assumptions[Households], MATCH(F$76, Global.Assumptions[Year], 0))</f>
        <v>26042600</v>
      </c>
      <c r="G78" s="1829">
        <f>INDEX(Global.Assumptions[Households], MATCH(G$76, Global.Assumptions[Year], 0))</f>
        <v>26917400</v>
      </c>
      <c r="H78" s="1829">
        <f>INDEX(Global.Assumptions[Households], MATCH(H$76, Global.Assumptions[Year], 0))</f>
        <v>28469000</v>
      </c>
      <c r="I78" s="1829">
        <f>INDEX(Global.Assumptions[Households], MATCH(I$76, Global.Assumptions[Year], 0))</f>
        <v>30004800</v>
      </c>
      <c r="J78" s="1829">
        <f>INDEX(Global.Assumptions[Households], MATCH(J$76, Global.Assumptions[Year], 0))</f>
        <v>31434800</v>
      </c>
      <c r="K78" s="1829">
        <f>INDEX(Global.Assumptions[Households], MATCH(K$76, Global.Assumptions[Year], 0))</f>
        <v>32744800</v>
      </c>
      <c r="L78" s="1829">
        <f>INDEX(Global.Assumptions[Households], MATCH(L$76, Global.Assumptions[Year], 0))</f>
        <v>34415113.888514474</v>
      </c>
      <c r="M78" s="1829">
        <f>INDEX(Global.Assumptions[Households], MATCH(M$76, Global.Assumptions[Year], 0))</f>
        <v>36170630.572164804</v>
      </c>
      <c r="N78" s="1829">
        <f>INDEX(Global.Assumptions[Households], MATCH(N$76, Global.Assumptions[Year], 0))</f>
        <v>38015696.24979952</v>
      </c>
      <c r="O78" s="1829">
        <f>INDEX(Global.Assumptions[Households], MATCH(O$76, Global.Assumptions[Year], 0))</f>
        <v>39954878.82008817</v>
      </c>
    </row>
    <row r="79" spans="2:15" hidden="1" outlineLevel="1">
      <c r="B79" s="1575" t="s">
        <v>840</v>
      </c>
      <c r="C79" s="731" t="s">
        <v>1652</v>
      </c>
      <c r="E79" s="731" t="str">
        <f>Preferences.EnergyUnits</f>
        <v>TWh</v>
      </c>
      <c r="F79" s="943">
        <f t="shared" ref="F79:O79" si="6">F77*F78</f>
        <v>73.193447203296785</v>
      </c>
      <c r="G79" s="943">
        <f t="shared" si="6"/>
        <v>73.846227106966722</v>
      </c>
      <c r="H79" s="943">
        <f t="shared" si="6"/>
        <v>75.946897210136413</v>
      </c>
      <c r="I79" s="943">
        <f t="shared" si="6"/>
        <v>77.933248738088665</v>
      </c>
      <c r="J79" s="943">
        <f t="shared" si="6"/>
        <v>79.633673654064324</v>
      </c>
      <c r="K79" s="943">
        <f t="shared" si="6"/>
        <v>81.037505845812845</v>
      </c>
      <c r="L79" s="943">
        <f t="shared" si="6"/>
        <v>83.121542645244958</v>
      </c>
      <c r="M79" s="943">
        <f t="shared" si="6"/>
        <v>85.263169721969575</v>
      </c>
      <c r="N79" s="943">
        <f t="shared" si="6"/>
        <v>87.500311715826669</v>
      </c>
      <c r="O79" s="943">
        <f t="shared" si="6"/>
        <v>89.837690855834154</v>
      </c>
    </row>
    <row r="80" spans="2:15" hidden="1" outlineLevel="1">
      <c r="B80" s="20" t="s">
        <v>45</v>
      </c>
      <c r="C80" s="121" t="str">
        <f>INDEX(Vectors[Description], MATCH($B80, Vectors[Code], 0))</f>
        <v>Electricity (delivered to end user)</v>
      </c>
      <c r="F80" s="925">
        <f>F79</f>
        <v>73.193447203296785</v>
      </c>
      <c r="G80" s="925">
        <f t="shared" ref="G80:O80" si="7">G79</f>
        <v>73.846227106966722</v>
      </c>
      <c r="H80" s="925">
        <f t="shared" si="7"/>
        <v>75.946897210136413</v>
      </c>
      <c r="I80" s="925">
        <f t="shared" si="7"/>
        <v>77.933248738088665</v>
      </c>
      <c r="J80" s="925">
        <f t="shared" si="7"/>
        <v>79.633673654064324</v>
      </c>
      <c r="K80" s="925">
        <f t="shared" si="7"/>
        <v>81.037505845812845</v>
      </c>
      <c r="L80" s="925">
        <f t="shared" si="7"/>
        <v>83.121542645244958</v>
      </c>
      <c r="M80" s="925">
        <f t="shared" si="7"/>
        <v>85.263169721969575</v>
      </c>
      <c r="N80" s="925">
        <f t="shared" si="7"/>
        <v>87.500311715826669</v>
      </c>
      <c r="O80" s="925">
        <f t="shared" si="7"/>
        <v>89.837690855834154</v>
      </c>
    </row>
    <row r="81" spans="1:19" hidden="1" outlineLevel="1">
      <c r="F81" s="925"/>
      <c r="G81" s="925"/>
      <c r="H81" s="925"/>
      <c r="I81" s="925"/>
      <c r="J81" s="925"/>
      <c r="K81" s="925"/>
      <c r="L81" s="925"/>
      <c r="M81" s="925"/>
      <c r="N81" s="925"/>
      <c r="O81" s="925"/>
    </row>
    <row r="82" spans="1:19" hidden="1" outlineLevel="1">
      <c r="B82" s="731">
        <v>3</v>
      </c>
      <c r="C82" s="731" t="s">
        <v>1655</v>
      </c>
      <c r="F82" s="925"/>
      <c r="G82" s="925"/>
      <c r="H82" s="925"/>
      <c r="I82" s="925"/>
      <c r="J82" s="925"/>
      <c r="K82" s="925"/>
      <c r="L82" s="925"/>
      <c r="M82" s="925"/>
      <c r="N82" s="925"/>
      <c r="O82" s="925"/>
    </row>
    <row r="83" spans="1:19" hidden="1" outlineLevel="1">
      <c r="B83" s="731"/>
      <c r="C83" s="731"/>
      <c r="F83" s="861">
        <v>2007</v>
      </c>
      <c r="G83" s="861">
        <v>2010</v>
      </c>
      <c r="H83" s="861">
        <v>2015</v>
      </c>
      <c r="I83" s="861">
        <v>2020</v>
      </c>
      <c r="J83" s="861">
        <v>2025</v>
      </c>
      <c r="K83" s="861">
        <v>2030</v>
      </c>
      <c r="L83" s="861">
        <v>2035</v>
      </c>
      <c r="M83" s="861">
        <v>2040</v>
      </c>
      <c r="N83" s="861">
        <v>2045</v>
      </c>
      <c r="O83" s="861">
        <v>2050</v>
      </c>
    </row>
    <row r="84" spans="1:19" hidden="1" outlineLevel="1">
      <c r="B84" s="20" t="s">
        <v>45</v>
      </c>
      <c r="C84" s="121" t="str">
        <f>INDEX(Vectors[Description], MATCH($B84, Vectors[Code], 0))</f>
        <v>Electricity (delivered to end user)</v>
      </c>
      <c r="E84" s="24" t="str">
        <f>Preferences.EnergyUnits</f>
        <v>TWh</v>
      </c>
      <c r="F84" s="925">
        <f>F71+F80</f>
        <v>86.725000238056495</v>
      </c>
      <c r="G84" s="925">
        <f t="shared" ref="G84:O84" si="8">G71+G80</f>
        <v>87.37770781750622</v>
      </c>
      <c r="H84" s="925">
        <f t="shared" si="8"/>
        <v>89.4785198583305</v>
      </c>
      <c r="I84" s="925">
        <f t="shared" si="8"/>
        <v>91.464341045528727</v>
      </c>
      <c r="J84" s="925">
        <f t="shared" si="8"/>
        <v>93.164112592922507</v>
      </c>
      <c r="K84" s="925">
        <f t="shared" si="8"/>
        <v>94.567435891111487</v>
      </c>
      <c r="L84" s="925">
        <f t="shared" si="8"/>
        <v>96.680012008671881</v>
      </c>
      <c r="M84" s="925">
        <f t="shared" si="8"/>
        <v>98.82343859522426</v>
      </c>
      <c r="N84" s="925">
        <f t="shared" si="8"/>
        <v>101.062380337744</v>
      </c>
      <c r="O84" s="925">
        <f t="shared" si="8"/>
        <v>103.40155946528074</v>
      </c>
    </row>
    <row r="85" spans="1:19" hidden="1" outlineLevel="1">
      <c r="B85" s="20" t="s">
        <v>50</v>
      </c>
      <c r="C85" s="121" t="str">
        <f>INDEX(Vectors[Description], MATCH($B85, Vectors[Code], 0))</f>
        <v>Gaseous hydrocarbons</v>
      </c>
      <c r="E85" s="24" t="str">
        <f>Preferences.EnergyUnits</f>
        <v>TWh</v>
      </c>
      <c r="F85" s="925">
        <f>F72</f>
        <v>8.0155059377876015</v>
      </c>
      <c r="G85" s="925">
        <f t="shared" ref="G85:O85" si="9">G72</f>
        <v>8.0154630960520556</v>
      </c>
      <c r="H85" s="925">
        <f t="shared" si="9"/>
        <v>8.0155471737710187</v>
      </c>
      <c r="I85" s="925">
        <f t="shared" si="9"/>
        <v>8.01523302287851</v>
      </c>
      <c r="J85" s="925">
        <f t="shared" si="9"/>
        <v>8.0148459956293667</v>
      </c>
      <c r="K85" s="925">
        <f t="shared" si="9"/>
        <v>8.014544549125949</v>
      </c>
      <c r="L85" s="925">
        <f t="shared" si="9"/>
        <v>8.0314500050872866</v>
      </c>
      <c r="M85" s="925">
        <f t="shared" si="9"/>
        <v>8.0325159567687017</v>
      </c>
      <c r="N85" s="925">
        <f t="shared" si="9"/>
        <v>8.0335820499255561</v>
      </c>
      <c r="O85" s="925">
        <f t="shared" si="9"/>
        <v>8.0346482845766367</v>
      </c>
    </row>
    <row r="86" spans="1:19" hidden="1" outlineLevel="1">
      <c r="F86" s="925"/>
      <c r="G86" s="925"/>
      <c r="H86" s="925"/>
      <c r="I86" s="925"/>
      <c r="J86" s="925"/>
      <c r="K86" s="925"/>
      <c r="L86" s="925"/>
      <c r="M86" s="925"/>
      <c r="N86" s="925"/>
      <c r="O86" s="925"/>
    </row>
    <row r="87" spans="1:19" hidden="1" outlineLevel="1">
      <c r="B87" s="731">
        <v>4</v>
      </c>
      <c r="C87" s="731" t="s">
        <v>1175</v>
      </c>
      <c r="F87" s="925"/>
      <c r="G87" s="925"/>
      <c r="H87" s="925"/>
      <c r="I87" s="925"/>
      <c r="J87" s="925"/>
      <c r="K87" s="925"/>
      <c r="L87" s="925"/>
      <c r="M87" s="925"/>
      <c r="N87" s="925"/>
      <c r="O87" s="925"/>
    </row>
    <row r="88" spans="1:19" hidden="1" outlineLevel="1">
      <c r="B88" s="731"/>
      <c r="F88" s="925"/>
      <c r="G88" s="925"/>
      <c r="H88" s="925"/>
      <c r="I88" s="925"/>
      <c r="J88" s="925"/>
      <c r="K88" s="925"/>
      <c r="L88" s="925"/>
      <c r="M88" s="925"/>
      <c r="N88" s="925"/>
      <c r="O88" s="925"/>
    </row>
    <row r="89" spans="1:19" hidden="1" outlineLevel="1">
      <c r="B89" s="731"/>
      <c r="C89" s="121" t="s">
        <v>1055</v>
      </c>
      <c r="E89" s="20" t="s">
        <v>1075</v>
      </c>
      <c r="F89" s="840">
        <f t="array" ref="F89">SUM(F$84:F$85*SUMIFS(EF[CO2], EF[Vector], $B$84:$B$85))</f>
        <v>1.4748530925529184</v>
      </c>
      <c r="G89" s="840">
        <f t="array" ref="G89">SUM(G$84:G$85*SUMIFS(EF[CO2], EF[Vector], $B$84:$B$85))</f>
        <v>1.474845209673578</v>
      </c>
      <c r="H89" s="840">
        <f t="array" ref="H89">SUM(H$84:H$85*SUMIFS(EF[CO2], EF[Vector], $B$84:$B$85))</f>
        <v>1.4748606799738673</v>
      </c>
      <c r="I89" s="840">
        <f t="array" ref="I89">SUM(I$84:I$85*SUMIFS(EF[CO2], EF[Vector], $B$84:$B$85))</f>
        <v>1.4748028762096457</v>
      </c>
      <c r="J89" s="840">
        <f t="array" ref="J89">SUM(J$84:J$85*SUMIFS(EF[CO2], EF[Vector], $B$84:$B$85))</f>
        <v>1.4747316631958032</v>
      </c>
      <c r="K89" s="840">
        <f t="array" ref="K89">SUM(K$84:K$85*SUMIFS(EF[CO2], EF[Vector], $B$84:$B$85))</f>
        <v>1.4746761970391744</v>
      </c>
      <c r="L89" s="840">
        <f t="array" ref="L89">SUM(L$84:L$85*SUMIFS(EF[CO2], EF[Vector], $B$84:$B$85))</f>
        <v>1.4777868009360604</v>
      </c>
      <c r="M89" s="840">
        <f t="array" ref="M89">SUM(M$84:M$85*SUMIFS(EF[CO2], EF[Vector], $B$84:$B$85))</f>
        <v>1.4779829360454408</v>
      </c>
      <c r="N89" s="840">
        <f t="array" ref="N89">SUM(N$84:N$85*SUMIFS(EF[CO2], EF[Vector], $B$84:$B$85))</f>
        <v>1.478179097186302</v>
      </c>
      <c r="O89" s="840">
        <f t="array" ref="O89">SUM(O$84:O$85*SUMIFS(EF[CO2], EF[Vector], $B$84:$B$85))</f>
        <v>1.478375284362101</v>
      </c>
    </row>
    <row r="90" spans="1:19" hidden="1" outlineLevel="1">
      <c r="B90" s="731"/>
      <c r="C90" s="121" t="s">
        <v>1056</v>
      </c>
      <c r="E90" s="20"/>
      <c r="F90" s="840">
        <f t="array" ref="F90">SUM(F$84:F$85*SUMIFS(EF[CH4], EF[Vector], $B$84:$B$85))</f>
        <v>2.9563219459007228E-3</v>
      </c>
      <c r="G90" s="840">
        <f t="array" ref="G90">SUM(G$84:G$85*SUMIFS(EF[CH4], EF[Vector], $B$84:$B$85))</f>
        <v>2.9563061447817444E-3</v>
      </c>
      <c r="H90" s="840">
        <f t="array" ref="H90">SUM(H$84:H$85*SUMIFS(EF[CH4], EF[Vector], $B$84:$B$85))</f>
        <v>2.9563371547775778E-3</v>
      </c>
      <c r="I90" s="840">
        <f t="array" ref="I90">SUM(I$84:I$85*SUMIFS(EF[CH4], EF[Vector], $B$84:$B$85))</f>
        <v>2.956221287958308E-3</v>
      </c>
      <c r="J90" s="840">
        <f t="array" ref="J90">SUM(J$84:J$85*SUMIFS(EF[CH4], EF[Vector], $B$84:$B$85))</f>
        <v>2.9560785424898144E-3</v>
      </c>
      <c r="K90" s="840">
        <f t="array" ref="K90">SUM(K$84:K$85*SUMIFS(EF[CH4], EF[Vector], $B$84:$B$85))</f>
        <v>2.9559673613715563E-3</v>
      </c>
      <c r="L90" s="840">
        <f t="array" ref="L90">SUM(L$84:L$85*SUMIFS(EF[CH4], EF[Vector], $B$84:$B$85))</f>
        <v>2.9622025224271234E-3</v>
      </c>
      <c r="M90" s="840">
        <f t="array" ref="M90">SUM(M$84:M$85*SUMIFS(EF[CH4], EF[Vector], $B$84:$B$85))</f>
        <v>2.9625956724507771E-3</v>
      </c>
      <c r="N90" s="840">
        <f t="array" ref="N90">SUM(N$84:N$85*SUMIFS(EF[CH4], EF[Vector], $B$84:$B$85))</f>
        <v>2.9629888746541618E-3</v>
      </c>
      <c r="O90" s="840">
        <f t="array" ref="O90">SUM(O$84:O$85*SUMIFS(EF[CH4], EF[Vector], $B$84:$B$85))</f>
        <v>2.9633821290442073E-3</v>
      </c>
    </row>
    <row r="91" spans="1:19" hidden="1" outlineLevel="1">
      <c r="B91" s="731"/>
      <c r="C91" s="121" t="s">
        <v>1057</v>
      </c>
      <c r="E91" s="20"/>
      <c r="F91" s="840">
        <f t="array" ref="F91">SUM(F$84:F$85*SUMIFS(EF[N2O], EF[Vector], $B$84:$B$85))</f>
        <v>3.1796679789373723E-3</v>
      </c>
      <c r="G91" s="840">
        <f t="array" ref="G91">SUM(G$84:G$85*SUMIFS(EF[N2O], EF[Vector], $B$84:$B$85))</f>
        <v>3.1796509840657156E-3</v>
      </c>
      <c r="H91" s="840">
        <f t="array" ref="H91">SUM(H$84:H$85*SUMIFS(EF[N2O], EF[Vector], $B$84:$B$85))</f>
        <v>3.1796843368238326E-3</v>
      </c>
      <c r="I91" s="840">
        <f t="array" ref="I91">SUM(I$84:I$85*SUMIFS(EF[N2O], EF[Vector], $B$84:$B$85))</f>
        <v>3.1795597164266656E-3</v>
      </c>
      <c r="J91" s="840">
        <f t="array" ref="J91">SUM(J$84:J$85*SUMIFS(EF[N2O], EF[Vector], $B$84:$B$85))</f>
        <v>3.1794061867355108E-3</v>
      </c>
      <c r="K91" s="840">
        <f t="array" ref="K91">SUM(K$84:K$85*SUMIFS(EF[N2O], EF[Vector], $B$84:$B$85))</f>
        <v>3.1792866060375837E-3</v>
      </c>
      <c r="L91" s="840">
        <f t="array" ref="L91">SUM(L$84:L$85*SUMIFS(EF[N2O], EF[Vector], $B$84:$B$85))</f>
        <v>3.1859928248847542E-3</v>
      </c>
      <c r="M91" s="840">
        <f t="array" ref="M91">SUM(M$84:M$85*SUMIFS(EF[N2O], EF[Vector], $B$84:$B$85))</f>
        <v>3.1864156768487847E-3</v>
      </c>
      <c r="N91" s="840">
        <f t="array" ref="N91">SUM(N$84:N$85*SUMIFS(EF[N2O], EF[Vector], $B$84:$B$85))</f>
        <v>3.1868385849346528E-3</v>
      </c>
      <c r="O91" s="840">
        <f t="array" ref="O91">SUM(O$84:O$85*SUMIFS(EF[N2O], EF[Vector], $B$84:$B$85))</f>
        <v>3.1872615491498114E-3</v>
      </c>
    </row>
    <row r="92" spans="1:19" hidden="1" outlineLevel="1">
      <c r="B92" s="731"/>
      <c r="F92" s="925"/>
      <c r="G92" s="925"/>
      <c r="H92" s="925"/>
      <c r="I92" s="925"/>
      <c r="J92" s="925"/>
      <c r="K92" s="925"/>
      <c r="L92" s="925"/>
      <c r="M92" s="925"/>
      <c r="N92" s="925"/>
      <c r="O92" s="925"/>
    </row>
    <row r="93" spans="1:19" s="743" customFormat="1">
      <c r="F93" s="27"/>
      <c r="S93" s="27"/>
    </row>
    <row r="94" spans="1:19" ht="22.5" collapsed="1">
      <c r="A94" s="1171"/>
      <c r="B94" s="1231" t="s">
        <v>683</v>
      </c>
      <c r="C94" s="1183"/>
      <c r="D94" s="1183"/>
      <c r="E94" s="1183"/>
      <c r="F94" s="1183"/>
      <c r="G94" s="1183"/>
      <c r="H94" s="1183"/>
      <c r="I94" s="1183"/>
      <c r="J94" s="1183"/>
      <c r="K94" s="1183"/>
      <c r="L94" s="1183"/>
      <c r="M94" s="1183"/>
      <c r="N94" s="1183"/>
      <c r="O94" s="1183"/>
      <c r="P94" s="1185"/>
      <c r="S94" s="27"/>
    </row>
    <row r="95" spans="1:19" hidden="1" outlineLevel="1">
      <c r="B95" s="1172"/>
      <c r="C95" s="1174"/>
      <c r="D95" s="1174"/>
      <c r="E95" s="1174"/>
      <c r="F95" s="1174"/>
      <c r="G95" s="1174"/>
      <c r="H95" s="1174"/>
      <c r="I95" s="1174"/>
      <c r="J95" s="1174"/>
      <c r="K95" s="1174"/>
      <c r="L95" s="1174"/>
      <c r="M95" s="1174"/>
      <c r="N95" s="1174"/>
      <c r="O95" s="1174"/>
      <c r="P95" s="1176"/>
      <c r="S95" s="27"/>
    </row>
    <row r="96" spans="1:19" hidden="1" outlineLevel="1">
      <c r="B96" s="1172"/>
      <c r="C96" s="1186" t="s">
        <v>730</v>
      </c>
      <c r="D96" s="1174"/>
      <c r="E96" s="1175"/>
      <c r="F96" s="1174"/>
      <c r="G96" s="1175"/>
      <c r="H96" s="1174"/>
      <c r="I96" s="1174"/>
      <c r="J96" s="1174"/>
      <c r="K96" s="1174"/>
      <c r="L96" s="1174"/>
      <c r="M96" s="1174"/>
      <c r="N96" s="1174"/>
      <c r="O96" s="1175" t="str">
        <f>Preferences.EnergyUnits</f>
        <v>TWh</v>
      </c>
      <c r="P96" s="1176"/>
      <c r="S96" s="27"/>
    </row>
    <row r="97" spans="1:19" ht="6" hidden="1" customHeight="1" outlineLevel="1">
      <c r="B97" s="1172"/>
      <c r="C97" s="1174"/>
      <c r="D97" s="1174"/>
      <c r="E97" s="1174"/>
      <c r="F97" s="1174"/>
      <c r="G97" s="1174"/>
      <c r="H97" s="1174"/>
      <c r="I97" s="1174"/>
      <c r="J97" s="1174"/>
      <c r="K97" s="1174"/>
      <c r="L97" s="1174"/>
      <c r="M97" s="1174"/>
      <c r="N97" s="1174"/>
      <c r="O97" s="1174"/>
      <c r="P97" s="1176"/>
      <c r="S97" s="27"/>
    </row>
    <row r="98" spans="1:19" ht="15.75" hidden="1" outlineLevel="1">
      <c r="A98" s="3"/>
      <c r="B98" s="1177"/>
      <c r="C98" s="1188" t="s">
        <v>78</v>
      </c>
      <c r="D98" s="1188" t="s">
        <v>418</v>
      </c>
      <c r="E98" s="1188" t="s">
        <v>442</v>
      </c>
      <c r="F98" s="1188" t="s">
        <v>691</v>
      </c>
      <c r="G98" s="1188" t="s">
        <v>692</v>
      </c>
      <c r="H98" s="1189" t="s">
        <v>721</v>
      </c>
      <c r="I98" s="1189" t="s">
        <v>722</v>
      </c>
      <c r="J98" s="1189" t="s">
        <v>723</v>
      </c>
      <c r="K98" s="1189" t="s">
        <v>724</v>
      </c>
      <c r="L98" s="1189" t="s">
        <v>725</v>
      </c>
      <c r="M98" s="1189" t="s">
        <v>726</v>
      </c>
      <c r="N98" s="1189" t="s">
        <v>727</v>
      </c>
      <c r="O98" s="1189" t="s">
        <v>728</v>
      </c>
      <c r="P98" s="1176"/>
    </row>
    <row r="99" spans="1:19" ht="15.75" hidden="1" outlineLevel="1">
      <c r="A99" s="3"/>
      <c r="B99" s="1177"/>
      <c r="C99" s="765" t="s">
        <v>57</v>
      </c>
      <c r="D99" s="765" t="str">
        <f>INDEX(Vectors[Description], MATCH([Vector], Vectors[Code], 0))</f>
        <v>Lighting &amp; appliances</v>
      </c>
      <c r="E99" s="765"/>
      <c r="F99" s="953">
        <f>F84+F85</f>
        <v>94.740506175844104</v>
      </c>
      <c r="G99" s="953">
        <f t="shared" ref="G99:O99" si="10">G84+G85</f>
        <v>95.393170913558279</v>
      </c>
      <c r="H99" s="953">
        <f t="shared" si="10"/>
        <v>97.494067032101526</v>
      </c>
      <c r="I99" s="953">
        <f t="shared" si="10"/>
        <v>99.479574068407231</v>
      </c>
      <c r="J99" s="953">
        <f t="shared" si="10"/>
        <v>101.17895858855188</v>
      </c>
      <c r="K99" s="953">
        <f t="shared" si="10"/>
        <v>102.58198044023743</v>
      </c>
      <c r="L99" s="953">
        <f t="shared" si="10"/>
        <v>104.71146201375916</v>
      </c>
      <c r="M99" s="953">
        <f t="shared" si="10"/>
        <v>106.85595455199297</v>
      </c>
      <c r="N99" s="953">
        <f t="shared" si="10"/>
        <v>109.09596238766956</v>
      </c>
      <c r="O99" s="953">
        <f t="shared" si="10"/>
        <v>111.43620774985737</v>
      </c>
      <c r="P99" s="1176"/>
    </row>
    <row r="100" spans="1:19" ht="15.75" hidden="1" outlineLevel="1">
      <c r="A100" s="3"/>
      <c r="B100" s="1177"/>
      <c r="C100" s="765" t="s">
        <v>45</v>
      </c>
      <c r="D100" s="765" t="str">
        <f>INDEX(Vectors[Description], MATCH([Vector], Vectors[Code], 0))</f>
        <v>Electricity (delivered to end user)</v>
      </c>
      <c r="E100" s="765"/>
      <c r="F100" s="953">
        <f>-F84</f>
        <v>-86.725000238056495</v>
      </c>
      <c r="G100" s="953">
        <f t="shared" ref="G100:O100" si="11">-G84</f>
        <v>-87.37770781750622</v>
      </c>
      <c r="H100" s="953">
        <f t="shared" si="11"/>
        <v>-89.4785198583305</v>
      </c>
      <c r="I100" s="953">
        <f t="shared" si="11"/>
        <v>-91.464341045528727</v>
      </c>
      <c r="J100" s="953">
        <f t="shared" si="11"/>
        <v>-93.164112592922507</v>
      </c>
      <c r="K100" s="953">
        <f t="shared" si="11"/>
        <v>-94.567435891111487</v>
      </c>
      <c r="L100" s="953">
        <f t="shared" si="11"/>
        <v>-96.680012008671881</v>
      </c>
      <c r="M100" s="953">
        <f t="shared" si="11"/>
        <v>-98.82343859522426</v>
      </c>
      <c r="N100" s="953">
        <f t="shared" si="11"/>
        <v>-101.062380337744</v>
      </c>
      <c r="O100" s="953">
        <f t="shared" si="11"/>
        <v>-103.40155946528074</v>
      </c>
      <c r="P100" s="1176"/>
    </row>
    <row r="101" spans="1:19" ht="15.75" hidden="1" outlineLevel="1">
      <c r="A101" s="3"/>
      <c r="B101" s="1177"/>
      <c r="C101" s="765" t="s">
        <v>50</v>
      </c>
      <c r="D101" s="765" t="str">
        <f>INDEX(Vectors[Description], MATCH([Vector], Vectors[Code], 0))</f>
        <v>Gaseous hydrocarbons</v>
      </c>
      <c r="E101" s="765"/>
      <c r="F101" s="953">
        <f>-F85</f>
        <v>-8.0155059377876015</v>
      </c>
      <c r="G101" s="953">
        <f t="shared" ref="G101:O101" si="12">-G85</f>
        <v>-8.0154630960520556</v>
      </c>
      <c r="H101" s="953">
        <f t="shared" si="12"/>
        <v>-8.0155471737710187</v>
      </c>
      <c r="I101" s="953">
        <f t="shared" si="12"/>
        <v>-8.01523302287851</v>
      </c>
      <c r="J101" s="953">
        <f t="shared" si="12"/>
        <v>-8.0148459956293667</v>
      </c>
      <c r="K101" s="953">
        <f t="shared" si="12"/>
        <v>-8.014544549125949</v>
      </c>
      <c r="L101" s="953">
        <f t="shared" si="12"/>
        <v>-8.0314500050872866</v>
      </c>
      <c r="M101" s="953">
        <f t="shared" si="12"/>
        <v>-8.0325159567687017</v>
      </c>
      <c r="N101" s="953">
        <f t="shared" si="12"/>
        <v>-8.0335820499255561</v>
      </c>
      <c r="O101" s="953">
        <f t="shared" si="12"/>
        <v>-8.0346482845766367</v>
      </c>
      <c r="P101" s="1176"/>
    </row>
    <row r="102" spans="1:19" ht="15.75" hidden="1" outlineLevel="1">
      <c r="A102" s="3"/>
      <c r="B102" s="1177"/>
      <c r="C102" s="765" t="s">
        <v>148</v>
      </c>
      <c r="D102" s="765"/>
      <c r="E102" s="765"/>
      <c r="F102" s="953">
        <f>SUBTOTAL(109,[2007])</f>
        <v>0</v>
      </c>
      <c r="G102" s="953">
        <f>SUBTOTAL(109,[2010])</f>
        <v>0</v>
      </c>
      <c r="H102" s="953">
        <f>SUBTOTAL(109,[2015])</f>
        <v>0</v>
      </c>
      <c r="I102" s="953">
        <f>SUBTOTAL(109,[2020])</f>
        <v>0</v>
      </c>
      <c r="J102" s="953">
        <f>SUBTOTAL(109,[2025])</f>
        <v>0</v>
      </c>
      <c r="K102" s="953">
        <f>SUBTOTAL(109,[2030])</f>
        <v>0</v>
      </c>
      <c r="L102" s="953">
        <f>SUBTOTAL(109,[2035])</f>
        <v>0</v>
      </c>
      <c r="M102" s="953">
        <f>SUBTOTAL(109,[2040])</f>
        <v>0</v>
      </c>
      <c r="N102" s="953">
        <f>SUBTOTAL(109,[2045])</f>
        <v>0</v>
      </c>
      <c r="O102" s="953">
        <f>SUBTOTAL(109,[2050])</f>
        <v>0</v>
      </c>
      <c r="P102" s="1176"/>
    </row>
    <row r="103" spans="1:19" ht="15.75" hidden="1" outlineLevel="1">
      <c r="A103" s="3"/>
      <c r="B103" s="1178"/>
      <c r="C103" s="1179"/>
      <c r="D103" s="1179"/>
      <c r="E103" s="1179"/>
      <c r="F103" s="1179"/>
      <c r="G103" s="1179"/>
      <c r="H103" s="1179"/>
      <c r="I103" s="1179"/>
      <c r="J103" s="1179"/>
      <c r="K103" s="1179"/>
      <c r="L103" s="1179"/>
      <c r="M103" s="1179"/>
      <c r="N103" s="1179"/>
      <c r="O103" s="1179"/>
      <c r="P103" s="1181"/>
    </row>
    <row r="104" spans="1:19" hidden="1" outlineLevel="1"/>
    <row r="105" spans="1:19" ht="22.5" hidden="1" outlineLevel="1">
      <c r="A105" s="1171"/>
      <c r="B105" s="1249" t="s">
        <v>902</v>
      </c>
      <c r="C105" s="1198"/>
      <c r="D105" s="1199"/>
      <c r="E105" s="1199"/>
      <c r="F105" s="1199"/>
      <c r="G105" s="1199"/>
      <c r="H105" s="1199"/>
      <c r="I105" s="1199"/>
      <c r="J105" s="1199"/>
      <c r="K105" s="1199"/>
      <c r="L105" s="1199"/>
      <c r="M105" s="1199"/>
      <c r="N105" s="1199"/>
      <c r="O105" s="1199"/>
      <c r="P105" s="1200"/>
    </row>
    <row r="106" spans="1:19" hidden="1" outlineLevel="1">
      <c r="B106" s="1207"/>
      <c r="C106" s="1208"/>
      <c r="D106" s="1208"/>
      <c r="E106" s="1208"/>
      <c r="F106" s="1208"/>
      <c r="G106" s="1208"/>
      <c r="H106" s="1208"/>
      <c r="I106" s="1208"/>
      <c r="J106" s="1208"/>
      <c r="K106" s="1208"/>
      <c r="L106" s="1208"/>
      <c r="M106" s="1208"/>
      <c r="N106" s="1208"/>
      <c r="O106" s="1208"/>
      <c r="P106" s="1209"/>
    </row>
    <row r="107" spans="1:19" ht="14.25" hidden="1" outlineLevel="1">
      <c r="B107" s="1210"/>
      <c r="C107" s="1201" t="s">
        <v>1073</v>
      </c>
      <c r="D107" s="1202"/>
      <c r="E107" s="1203"/>
      <c r="F107" s="1202"/>
      <c r="G107" s="1203"/>
      <c r="H107" s="1202"/>
      <c r="I107" s="1202"/>
      <c r="J107" s="1202"/>
      <c r="K107" s="1202"/>
      <c r="L107" s="1202"/>
      <c r="M107" s="1202"/>
      <c r="N107" s="1202"/>
      <c r="O107" s="1203" t="s">
        <v>1076</v>
      </c>
      <c r="P107" s="1211"/>
    </row>
    <row r="108" spans="1:19" ht="5.25" hidden="1" customHeight="1" outlineLevel="1">
      <c r="B108" s="1210"/>
      <c r="C108" s="1202"/>
      <c r="D108" s="1202"/>
      <c r="E108" s="1202"/>
      <c r="F108" s="1202"/>
      <c r="G108" s="1202"/>
      <c r="H108" s="1202"/>
      <c r="I108" s="1202"/>
      <c r="J108" s="1202"/>
      <c r="K108" s="1202"/>
      <c r="L108" s="1202"/>
      <c r="M108" s="1202"/>
      <c r="N108" s="1202"/>
      <c r="O108" s="1202"/>
      <c r="P108" s="1211"/>
    </row>
    <row r="109" spans="1:19" ht="15.75" hidden="1" outlineLevel="1">
      <c r="B109" s="1212"/>
      <c r="C109" s="1269" t="s">
        <v>1072</v>
      </c>
      <c r="D109" s="1269" t="s">
        <v>1042</v>
      </c>
      <c r="E109" s="1269" t="s">
        <v>442</v>
      </c>
      <c r="F109" s="1269" t="s">
        <v>691</v>
      </c>
      <c r="G109" s="1269" t="s">
        <v>692</v>
      </c>
      <c r="H109" s="1269" t="s">
        <v>721</v>
      </c>
      <c r="I109" s="1269" t="s">
        <v>722</v>
      </c>
      <c r="J109" s="1269" t="s">
        <v>723</v>
      </c>
      <c r="K109" s="1269" t="s">
        <v>724</v>
      </c>
      <c r="L109" s="1269" t="s">
        <v>725</v>
      </c>
      <c r="M109" s="1269" t="s">
        <v>726</v>
      </c>
      <c r="N109" s="1269" t="s">
        <v>727</v>
      </c>
      <c r="O109" s="1269" t="s">
        <v>728</v>
      </c>
      <c r="P109" s="1211"/>
    </row>
    <row r="110" spans="1:19" ht="15.75" hidden="1" outlineLevel="1">
      <c r="B110" s="1212"/>
      <c r="C110" s="1206" t="s">
        <v>1055</v>
      </c>
      <c r="D110" s="1216" t="s">
        <v>1065</v>
      </c>
      <c r="E110" s="1206" t="str">
        <f>INDEX(IPCC[Sector_description], MATCH([IPCC Sector], IPCC[Sector_code], 0))</f>
        <v>Fuel Combustion</v>
      </c>
      <c r="F110" s="1268">
        <f>F89</f>
        <v>1.4748530925529184</v>
      </c>
      <c r="G110" s="1268">
        <f t="shared" ref="G110:O110" si="13">G89</f>
        <v>1.474845209673578</v>
      </c>
      <c r="H110" s="1268">
        <f t="shared" si="13"/>
        <v>1.4748606799738673</v>
      </c>
      <c r="I110" s="1268">
        <f t="shared" si="13"/>
        <v>1.4748028762096457</v>
      </c>
      <c r="J110" s="1268">
        <f t="shared" si="13"/>
        <v>1.4747316631958032</v>
      </c>
      <c r="K110" s="1268">
        <f t="shared" si="13"/>
        <v>1.4746761970391744</v>
      </c>
      <c r="L110" s="1268">
        <f t="shared" si="13"/>
        <v>1.4777868009360604</v>
      </c>
      <c r="M110" s="1268">
        <f t="shared" si="13"/>
        <v>1.4779829360454408</v>
      </c>
      <c r="N110" s="1268">
        <f t="shared" si="13"/>
        <v>1.478179097186302</v>
      </c>
      <c r="O110" s="1268">
        <f t="shared" si="13"/>
        <v>1.478375284362101</v>
      </c>
      <c r="P110" s="1211"/>
    </row>
    <row r="111" spans="1:19" ht="15.75" hidden="1" outlineLevel="1">
      <c r="B111" s="1212"/>
      <c r="C111" s="1206" t="s">
        <v>1056</v>
      </c>
      <c r="D111" s="1216" t="s">
        <v>1065</v>
      </c>
      <c r="E111" s="1206" t="str">
        <f>INDEX(IPCC[Sector_description], MATCH([IPCC Sector], IPCC[Sector_code], 0))</f>
        <v>Fuel Combustion</v>
      </c>
      <c r="F111" s="1268">
        <f>F90</f>
        <v>2.9563219459007228E-3</v>
      </c>
      <c r="G111" s="1268">
        <f t="shared" ref="G111:O111" si="14">G90</f>
        <v>2.9563061447817444E-3</v>
      </c>
      <c r="H111" s="1268">
        <f t="shared" si="14"/>
        <v>2.9563371547775778E-3</v>
      </c>
      <c r="I111" s="1268">
        <f t="shared" si="14"/>
        <v>2.956221287958308E-3</v>
      </c>
      <c r="J111" s="1268">
        <f t="shared" si="14"/>
        <v>2.9560785424898144E-3</v>
      </c>
      <c r="K111" s="1268">
        <f t="shared" si="14"/>
        <v>2.9559673613715563E-3</v>
      </c>
      <c r="L111" s="1268">
        <f t="shared" si="14"/>
        <v>2.9622025224271234E-3</v>
      </c>
      <c r="M111" s="1268">
        <f t="shared" si="14"/>
        <v>2.9625956724507771E-3</v>
      </c>
      <c r="N111" s="1268">
        <f t="shared" si="14"/>
        <v>2.9629888746541618E-3</v>
      </c>
      <c r="O111" s="1268">
        <f t="shared" si="14"/>
        <v>2.9633821290442073E-3</v>
      </c>
      <c r="P111" s="1211"/>
    </row>
    <row r="112" spans="1:19" ht="15.75" hidden="1" outlineLevel="1">
      <c r="B112" s="1212"/>
      <c r="C112" s="1206" t="s">
        <v>1057</v>
      </c>
      <c r="D112" s="1216" t="s">
        <v>1065</v>
      </c>
      <c r="E112" s="1206" t="str">
        <f>INDEX(IPCC[Sector_description], MATCH([IPCC Sector], IPCC[Sector_code], 0))</f>
        <v>Fuel Combustion</v>
      </c>
      <c r="F112" s="1268">
        <f>F91</f>
        <v>3.1796679789373723E-3</v>
      </c>
      <c r="G112" s="1268">
        <f t="shared" ref="G112:O112" si="15">G91</f>
        <v>3.1796509840657156E-3</v>
      </c>
      <c r="H112" s="1268">
        <f t="shared" si="15"/>
        <v>3.1796843368238326E-3</v>
      </c>
      <c r="I112" s="1268">
        <f t="shared" si="15"/>
        <v>3.1795597164266656E-3</v>
      </c>
      <c r="J112" s="1268">
        <f t="shared" si="15"/>
        <v>3.1794061867355108E-3</v>
      </c>
      <c r="K112" s="1268">
        <f t="shared" si="15"/>
        <v>3.1792866060375837E-3</v>
      </c>
      <c r="L112" s="1268">
        <f t="shared" si="15"/>
        <v>3.1859928248847542E-3</v>
      </c>
      <c r="M112" s="1268">
        <f t="shared" si="15"/>
        <v>3.1864156768487847E-3</v>
      </c>
      <c r="N112" s="1268">
        <f t="shared" si="15"/>
        <v>3.1868385849346528E-3</v>
      </c>
      <c r="O112" s="1268">
        <f t="shared" si="15"/>
        <v>3.1872615491498114E-3</v>
      </c>
      <c r="P112" s="1211"/>
    </row>
    <row r="113" spans="2:16" ht="15.75" hidden="1" outlineLevel="1">
      <c r="B113" s="1212"/>
      <c r="C113" s="1206" t="s">
        <v>148</v>
      </c>
      <c r="D113" s="1206"/>
      <c r="E113" s="1206"/>
      <c r="F113" s="1278">
        <f>SUBTOTAL(109,[2007])</f>
        <v>0</v>
      </c>
      <c r="G113" s="1278">
        <f>SUBTOTAL(109,[2010])</f>
        <v>0</v>
      </c>
      <c r="H113" s="1278">
        <f>SUBTOTAL(109,[2015])</f>
        <v>0</v>
      </c>
      <c r="I113" s="1278">
        <f>SUBTOTAL(109,[2020])</f>
        <v>0</v>
      </c>
      <c r="J113" s="1278">
        <f>SUBTOTAL(109,[2025])</f>
        <v>0</v>
      </c>
      <c r="K113" s="1278">
        <f>SUBTOTAL(109,[2030])</f>
        <v>0</v>
      </c>
      <c r="L113" s="1278">
        <f>SUBTOTAL(109,[2035])</f>
        <v>0</v>
      </c>
      <c r="M113" s="1278">
        <f>SUBTOTAL(109,[2040])</f>
        <v>0</v>
      </c>
      <c r="N113" s="1278">
        <f>SUBTOTAL(109,[2045])</f>
        <v>0</v>
      </c>
      <c r="O113" s="1278">
        <f>SUBTOTAL(109,[2050])</f>
        <v>0</v>
      </c>
      <c r="P113" s="1211"/>
    </row>
    <row r="114" spans="2:16" ht="15.75" hidden="1" outlineLevel="1">
      <c r="B114" s="1270"/>
      <c r="C114" s="1214"/>
      <c r="D114" s="1214"/>
      <c r="E114" s="1214"/>
      <c r="F114" s="1214"/>
      <c r="G114" s="1214"/>
      <c r="H114" s="1214"/>
      <c r="I114" s="1214"/>
      <c r="J114" s="1214"/>
      <c r="K114" s="1214"/>
      <c r="L114" s="1214"/>
      <c r="M114" s="1214"/>
      <c r="N114" s="1214"/>
      <c r="O114" s="1214"/>
      <c r="P114" s="1215"/>
    </row>
    <row r="115" spans="2:16" hidden="1" outlineLevel="1"/>
  </sheetData>
  <pageMargins left="0.7" right="0.7" top="0.75" bottom="0.75" header="0.3" footer="0.3"/>
  <pageSetup paperSize="9" orientation="portrait" r:id="rId1"/>
  <ignoredErrors>
    <ignoredError sqref="F99:F101" calculatedColumn="1"/>
  </ignoredErrors>
  <tableParts count="2">
    <tablePart r:id="rId2"/>
    <tablePart r:id="rId3"/>
  </tableParts>
</worksheet>
</file>

<file path=xl/worksheets/sheet39.xml><?xml version="1.0" encoding="utf-8"?>
<worksheet xmlns="http://schemas.openxmlformats.org/spreadsheetml/2006/main" xmlns:r="http://schemas.openxmlformats.org/officeDocument/2006/relationships">
  <sheetPr codeName="Sheet39">
    <tabColor theme="9"/>
    <outlinePr summaryBelow="0"/>
    <pageSetUpPr autoPageBreaks="0"/>
  </sheetPr>
  <dimension ref="A1:S106"/>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3.28515625" style="121" customWidth="1"/>
    <col min="3" max="3" width="9.140625" style="121"/>
    <col min="4" max="4" width="28.140625" style="121" bestFit="1" customWidth="1"/>
    <col min="5" max="5" width="11.140625" style="121" customWidth="1"/>
    <col min="6" max="6" width="9.140625" style="121" customWidth="1"/>
    <col min="7" max="15" width="9.140625" style="121"/>
    <col min="16" max="16" width="2" style="121" customWidth="1"/>
    <col min="17" max="17" width="1.42578125" style="121" customWidth="1"/>
    <col min="18" max="16384" width="9.140625" style="121"/>
  </cols>
  <sheetData>
    <row r="1" spans="1:18" ht="21">
      <c r="A1" s="790" t="s">
        <v>677</v>
      </c>
      <c r="B1" s="790" t="str">
        <f>INDEX(Workstreams[Workstream], MATCH($A1, Workstreams[Code], 0))</f>
        <v>Lighting and appliances</v>
      </c>
      <c r="C1" s="790"/>
    </row>
    <row r="2" spans="1:18" s="743" customFormat="1" ht="19.5" customHeight="1">
      <c r="A2" s="10" t="s">
        <v>951</v>
      </c>
      <c r="B2" s="10" t="str">
        <f>INDEX(Modules[Module], MATCH($A2, Modules[Code], 0))</f>
        <v>Commercial lighting, appliances, and catering</v>
      </c>
      <c r="C2" s="10"/>
    </row>
    <row r="4" spans="1:18" ht="22.5" collapsed="1">
      <c r="A4" s="1171"/>
      <c r="B4" s="1231" t="s">
        <v>1353</v>
      </c>
      <c r="C4" s="1183"/>
      <c r="D4" s="1183"/>
      <c r="E4" s="1183"/>
      <c r="F4" s="1183"/>
      <c r="G4" s="1183"/>
      <c r="H4" s="1183"/>
      <c r="I4" s="1183"/>
      <c r="J4" s="1183"/>
      <c r="K4" s="1183"/>
      <c r="L4" s="1183"/>
      <c r="M4" s="1183"/>
      <c r="N4" s="1183"/>
      <c r="O4" s="1183"/>
      <c r="P4" s="1185"/>
    </row>
    <row r="5" spans="1:18" hidden="1" outlineLevel="1">
      <c r="B5" s="1172"/>
      <c r="C5" s="1174"/>
      <c r="D5" s="1174"/>
      <c r="E5" s="1174"/>
      <c r="F5" s="1174"/>
      <c r="G5" s="1174"/>
      <c r="H5" s="1174"/>
      <c r="I5" s="1174"/>
      <c r="J5" s="1174"/>
      <c r="K5" s="1174"/>
      <c r="L5" s="1174"/>
      <c r="M5" s="1174"/>
      <c r="N5" s="1174"/>
      <c r="O5" s="1174"/>
      <c r="P5" s="1176"/>
    </row>
    <row r="6" spans="1:18" ht="5.25" hidden="1" customHeight="1" outlineLevel="1">
      <c r="B6" s="1172"/>
      <c r="C6" s="1173"/>
      <c r="D6" s="1174"/>
      <c r="E6" s="1175"/>
      <c r="F6" s="1174"/>
      <c r="G6" s="1174"/>
      <c r="H6" s="1174"/>
      <c r="I6" s="1174"/>
      <c r="J6" s="1174"/>
      <c r="K6" s="1174"/>
      <c r="L6" s="1174"/>
      <c r="M6" s="1174"/>
      <c r="N6" s="1174"/>
      <c r="O6" s="1174"/>
      <c r="P6" s="1176"/>
    </row>
    <row r="7" spans="1:18" ht="15.75" hidden="1" outlineLevel="1">
      <c r="B7" s="1177"/>
      <c r="C7" s="1174"/>
      <c r="D7" s="922" t="s">
        <v>830</v>
      </c>
      <c r="E7" s="922" t="s">
        <v>1352</v>
      </c>
      <c r="F7" s="1174"/>
      <c r="G7" s="1174"/>
      <c r="H7" s="1174"/>
      <c r="I7" s="1174"/>
      <c r="J7" s="1174"/>
      <c r="K7" s="1174"/>
      <c r="L7" s="1174"/>
      <c r="M7" s="1174"/>
      <c r="N7" s="1174"/>
      <c r="O7" s="1174"/>
      <c r="P7" s="1176"/>
    </row>
    <row r="8" spans="1:18" ht="15.75" hidden="1" outlineLevel="1">
      <c r="B8" s="1177"/>
      <c r="C8" s="1174"/>
      <c r="D8" s="1291" t="s">
        <v>1351</v>
      </c>
      <c r="E8" s="1291">
        <f>X.b.Scenario.Demand</f>
        <v>1</v>
      </c>
      <c r="F8" s="1174"/>
      <c r="G8" s="1174"/>
      <c r="H8" s="1174"/>
      <c r="I8" s="1174"/>
      <c r="J8" s="1174"/>
      <c r="K8" s="1174"/>
      <c r="L8" s="1174"/>
      <c r="M8" s="1174"/>
      <c r="N8" s="1174"/>
      <c r="O8" s="1174"/>
      <c r="P8" s="1176"/>
    </row>
    <row r="9" spans="1:18" ht="15.75" hidden="1" outlineLevel="1">
      <c r="B9" s="1177"/>
      <c r="C9" s="1174"/>
      <c r="D9" s="1292" t="s">
        <v>1640</v>
      </c>
      <c r="E9" s="1292">
        <f>MIN(X.b.Scenario.Technology,2)</f>
        <v>1</v>
      </c>
      <c r="F9" s="1174"/>
      <c r="G9" s="1174"/>
      <c r="H9" s="1174"/>
      <c r="I9" s="1174"/>
      <c r="J9" s="1174"/>
      <c r="K9" s="1174"/>
      <c r="L9" s="1174"/>
      <c r="M9" s="1174"/>
      <c r="N9" s="1174"/>
      <c r="O9" s="1174"/>
      <c r="P9" s="1176"/>
    </row>
    <row r="10" spans="1:18" hidden="1" outlineLevel="1">
      <c r="B10" s="1192"/>
      <c r="C10" s="1180"/>
      <c r="D10" s="1180"/>
      <c r="E10" s="1180"/>
      <c r="F10" s="1180"/>
      <c r="G10" s="1180"/>
      <c r="H10" s="1180"/>
      <c r="I10" s="1180"/>
      <c r="J10" s="1180"/>
      <c r="K10" s="1180"/>
      <c r="L10" s="1180"/>
      <c r="M10" s="1180"/>
      <c r="N10" s="1180"/>
      <c r="O10" s="1180"/>
      <c r="P10" s="1181"/>
    </row>
    <row r="12" spans="1:18" s="743" customFormat="1" ht="22.5" collapsed="1">
      <c r="A12" s="1170"/>
      <c r="B12" s="1236" t="s">
        <v>1354</v>
      </c>
      <c r="C12" s="1167"/>
      <c r="D12" s="1167"/>
      <c r="E12" s="1167"/>
      <c r="F12" s="1167"/>
      <c r="G12" s="1167"/>
      <c r="H12" s="1167"/>
      <c r="I12" s="1167"/>
      <c r="J12" s="1167"/>
      <c r="K12" s="1167"/>
      <c r="L12" s="1167"/>
      <c r="M12" s="1167"/>
      <c r="N12" s="1167"/>
      <c r="O12" s="1167"/>
      <c r="P12" s="1168"/>
    </row>
    <row r="13" spans="1:18" hidden="1" outlineLevel="1">
      <c r="B13" s="1157"/>
      <c r="C13" s="864"/>
      <c r="D13" s="864"/>
      <c r="E13" s="864"/>
      <c r="F13" s="864"/>
      <c r="G13" s="864"/>
      <c r="H13" s="864"/>
      <c r="I13" s="864"/>
      <c r="J13" s="864"/>
      <c r="K13" s="864"/>
      <c r="L13" s="864"/>
      <c r="M13" s="864"/>
      <c r="N13" s="864"/>
      <c r="O13" s="864"/>
      <c r="P13" s="1158"/>
    </row>
    <row r="14" spans="1:18" hidden="1" outlineLevel="1">
      <c r="B14" s="1157"/>
      <c r="C14" s="866" t="s">
        <v>2269</v>
      </c>
      <c r="D14" s="864"/>
      <c r="E14" s="1256"/>
      <c r="F14" s="864"/>
      <c r="G14" s="864"/>
      <c r="H14" s="864"/>
      <c r="I14" s="864"/>
      <c r="J14" s="864"/>
      <c r="K14" s="864"/>
      <c r="L14" s="864"/>
      <c r="M14" s="864"/>
      <c r="N14" s="864"/>
      <c r="O14" s="1256" t="str">
        <f>Preferences.EnergyUnits</f>
        <v>TWh</v>
      </c>
      <c r="P14" s="1158"/>
      <c r="R14" s="1822"/>
    </row>
    <row r="15" spans="1:18" ht="5.25" hidden="1" customHeight="1" outlineLevel="1">
      <c r="B15" s="1157"/>
      <c r="C15" s="864"/>
      <c r="D15" s="864"/>
      <c r="E15" s="864"/>
      <c r="F15" s="864"/>
      <c r="G15" s="864"/>
      <c r="H15" s="864"/>
      <c r="I15" s="864"/>
      <c r="J15" s="864"/>
      <c r="K15" s="864"/>
      <c r="L15" s="864"/>
      <c r="M15" s="864"/>
      <c r="N15" s="864"/>
      <c r="O15" s="864"/>
      <c r="P15" s="1158"/>
      <c r="R15" s="903"/>
    </row>
    <row r="16" spans="1:18" hidden="1" outlineLevel="1">
      <c r="B16" s="1157"/>
      <c r="C16" s="766" t="s">
        <v>1352</v>
      </c>
      <c r="D16" s="766" t="s">
        <v>80</v>
      </c>
      <c r="E16" s="766" t="s">
        <v>442</v>
      </c>
      <c r="F16" s="923">
        <v>2007</v>
      </c>
      <c r="G16" s="924">
        <v>2010</v>
      </c>
      <c r="H16" s="923">
        <v>2015</v>
      </c>
      <c r="I16" s="923">
        <v>2020</v>
      </c>
      <c r="J16" s="923">
        <v>2025</v>
      </c>
      <c r="K16" s="923">
        <v>2030</v>
      </c>
      <c r="L16" s="923">
        <v>2035</v>
      </c>
      <c r="M16" s="923">
        <v>2040</v>
      </c>
      <c r="N16" s="923">
        <v>2045</v>
      </c>
      <c r="O16" s="923">
        <v>2050</v>
      </c>
      <c r="P16" s="1158"/>
      <c r="R16" s="903"/>
    </row>
    <row r="17" spans="2:18" ht="15.75" hidden="1" outlineLevel="1">
      <c r="B17" s="1159"/>
      <c r="C17" s="831">
        <v>1</v>
      </c>
      <c r="D17" s="832"/>
      <c r="E17" s="1254"/>
      <c r="F17" s="847">
        <f>(Unit.PJ)*212.964313944767</f>
        <v>59.156753873546393</v>
      </c>
      <c r="G17" s="856">
        <f>(Unit.PJ)*214.441756382442</f>
        <v>59.567154550678339</v>
      </c>
      <c r="H17" s="847">
        <f>(Unit.PJ)*221.995039635429</f>
        <v>61.665288787619168</v>
      </c>
      <c r="I17" s="847">
        <f>(Unit.PJ)*229.833292813757</f>
        <v>63.842581337154726</v>
      </c>
      <c r="J17" s="847">
        <f>(Unit.PJ)*237.968061676316</f>
        <v>66.10223935453223</v>
      </c>
      <c r="K17" s="847">
        <f>(Unit.PJ)*246.411391138818</f>
        <v>68.447608649671665</v>
      </c>
      <c r="L17" s="847">
        <f>(Unit.PJ)*255.175848016126</f>
        <v>70.882180004479451</v>
      </c>
      <c r="M17" s="847">
        <f>(Unit.PJ)*264.274544841453</f>
        <v>73.40959578929251</v>
      </c>
      <c r="N17" s="847">
        <f>(Unit.PJ)*273.721164814766</f>
        <v>76.03365689299055</v>
      </c>
      <c r="O17" s="847">
        <f>(Unit.PJ)*283.529987935335</f>
        <v>78.758329982037495</v>
      </c>
      <c r="P17" s="1158"/>
      <c r="R17" s="1823"/>
    </row>
    <row r="18" spans="2:18" ht="15.75" hidden="1" outlineLevel="1">
      <c r="B18" s="1159"/>
      <c r="C18" s="831">
        <v>2</v>
      </c>
      <c r="D18" s="832"/>
      <c r="E18" s="1254"/>
      <c r="F18" s="847">
        <f>(Unit.PJ)*212.964313944767</f>
        <v>59.156753873546393</v>
      </c>
      <c r="G18" s="856">
        <f>(Unit.PJ)*213.573726308742</f>
        <v>59.326035085761674</v>
      </c>
      <c r="H18" s="847">
        <f>(Unit.PJ)*216.711394051548</f>
        <v>60.197609458763338</v>
      </c>
      <c r="I18" s="847">
        <f>(Unit.PJ)*220.004865992296</f>
        <v>61.112462775637781</v>
      </c>
      <c r="J18" s="847">
        <f>(Unit.PJ)*223.460962607776</f>
        <v>62.072489613271109</v>
      </c>
      <c r="K18" s="847">
        <f>(Unit.PJ)*227.344379809555</f>
        <v>63.151216613765278</v>
      </c>
      <c r="L18" s="847">
        <f>(Unit.PJ)*232.184255667287</f>
        <v>64.495626574246387</v>
      </c>
      <c r="M18" s="847">
        <f>(Unit.PJ)*237.500959376688</f>
        <v>65.972488715746664</v>
      </c>
      <c r="N18" s="847">
        <f>(Unit.PJ)*243.047915809808</f>
        <v>67.513309947168892</v>
      </c>
      <c r="O18" s="847">
        <f>(Unit.PJ)*248.836613220261</f>
        <v>69.121281450072502</v>
      </c>
      <c r="P18" s="1158"/>
      <c r="R18" s="1823"/>
    </row>
    <row r="19" spans="2:18" ht="15.75" hidden="1" outlineLevel="1">
      <c r="B19" s="1159"/>
      <c r="C19" s="831">
        <v>3</v>
      </c>
      <c r="D19" s="832"/>
      <c r="E19" s="1254"/>
      <c r="F19" s="847">
        <f>(Unit.PJ)*212.964313944767</f>
        <v>59.156753873546393</v>
      </c>
      <c r="G19" s="856">
        <f>(Unit.PJ)*212.05697279779</f>
        <v>58.904714666052776</v>
      </c>
      <c r="H19" s="847">
        <f>(Unit.PJ)*207.860506445449</f>
        <v>57.739029568180278</v>
      </c>
      <c r="I19" s="847">
        <f>(Unit.PJ)*204.209403347135</f>
        <v>56.724834263093058</v>
      </c>
      <c r="J19" s="847">
        <f>(Unit.PJ)*201.077323938255</f>
        <v>55.854812205070836</v>
      </c>
      <c r="K19" s="847">
        <f>(Unit.PJ)*198.838620564434</f>
        <v>55.232950156787226</v>
      </c>
      <c r="L19" s="847">
        <f>(Unit.PJ)*198.167602435378</f>
        <v>55.046556232049447</v>
      </c>
      <c r="M19" s="847">
        <f>(Unit.PJ)*198.234921221223</f>
        <v>55.065255894784173</v>
      </c>
      <c r="N19" s="847">
        <f>(Unit.PJ)*198.648889572514</f>
        <v>55.180247103476113</v>
      </c>
      <c r="O19" s="847">
        <f>(Unit.PJ)*199.415458761244</f>
        <v>55.393182989234447</v>
      </c>
      <c r="P19" s="1158"/>
      <c r="R19" s="1823"/>
    </row>
    <row r="20" spans="2:18" ht="15.75" hidden="1" outlineLevel="1">
      <c r="B20" s="1159"/>
      <c r="C20" s="769">
        <v>4</v>
      </c>
      <c r="D20" s="770"/>
      <c r="E20" s="770"/>
      <c r="F20" s="901">
        <f>(Unit.PJ)*212.964313944767</f>
        <v>59.156753873546393</v>
      </c>
      <c r="G20" s="918">
        <f>(Unit.PJ)*210.218831905557</f>
        <v>58.394119973765839</v>
      </c>
      <c r="H20" s="901">
        <f>(Unit.PJ)*197.569062255878</f>
        <v>54.880295071077228</v>
      </c>
      <c r="I20" s="901">
        <f>(Unit.PJ)*186.59401381778</f>
        <v>51.831670504938891</v>
      </c>
      <c r="J20" s="901">
        <f>(Unit.PJ)*177.143193303795</f>
        <v>49.206442584387496</v>
      </c>
      <c r="K20" s="901">
        <f>(Unit.PJ)*169.083141814855</f>
        <v>46.967539393015279</v>
      </c>
      <c r="L20" s="901">
        <f>(Unit.PJ)*162.295625728754</f>
        <v>45.082118257987226</v>
      </c>
      <c r="M20" s="901">
        <f>(Unit.PJ)*156.676036389491</f>
        <v>43.521121219303055</v>
      </c>
      <c r="N20" s="901">
        <f>(Unit.PJ)*152.131974129456</f>
        <v>42.258881702626674</v>
      </c>
      <c r="O20" s="901">
        <f>(Unit.PJ)*148.581995147649</f>
        <v>41.2727764299025</v>
      </c>
      <c r="P20" s="1158">
        <v>773430.83447114623</v>
      </c>
      <c r="R20" s="1823"/>
    </row>
    <row r="21" spans="2:18" ht="15.75" hidden="1" outlineLevel="1">
      <c r="B21" s="1159"/>
      <c r="C21" s="831"/>
      <c r="D21" s="832"/>
      <c r="E21" s="832"/>
      <c r="F21" s="847"/>
      <c r="G21" s="848"/>
      <c r="H21" s="848"/>
      <c r="I21" s="848"/>
      <c r="J21" s="848"/>
      <c r="K21" s="848"/>
      <c r="L21" s="848"/>
      <c r="M21" s="848"/>
      <c r="N21" s="848"/>
      <c r="O21" s="848"/>
      <c r="P21" s="1158"/>
    </row>
    <row r="22" spans="2:18" ht="15.75" hidden="1" outlineLevel="1">
      <c r="B22" s="1159"/>
      <c r="C22" s="866" t="s">
        <v>1656</v>
      </c>
      <c r="D22" s="864"/>
      <c r="E22" s="1256"/>
      <c r="F22" s="864"/>
      <c r="G22" s="864"/>
      <c r="H22" s="864"/>
      <c r="I22" s="864"/>
      <c r="J22" s="864"/>
      <c r="K22" s="864"/>
      <c r="L22" s="864"/>
      <c r="M22" s="864"/>
      <c r="N22" s="864"/>
      <c r="O22" s="1256" t="str">
        <f>Preferences.EnergyUnits</f>
        <v>TWh</v>
      </c>
      <c r="P22" s="1158"/>
    </row>
    <row r="23" spans="2:18" ht="5.25" hidden="1" customHeight="1" outlineLevel="1">
      <c r="B23" s="1159"/>
      <c r="C23" s="864"/>
      <c r="D23" s="864"/>
      <c r="E23" s="864"/>
      <c r="F23" s="864"/>
      <c r="G23" s="864"/>
      <c r="H23" s="864"/>
      <c r="I23" s="864"/>
      <c r="J23" s="864"/>
      <c r="K23" s="864"/>
      <c r="L23" s="864"/>
      <c r="M23" s="864"/>
      <c r="N23" s="864"/>
      <c r="O23" s="864"/>
      <c r="P23" s="1158"/>
    </row>
    <row r="24" spans="2:18" ht="15.75" hidden="1" outlineLevel="1">
      <c r="B24" s="1159"/>
      <c r="C24" s="766" t="s">
        <v>1352</v>
      </c>
      <c r="D24" s="766" t="s">
        <v>80</v>
      </c>
      <c r="E24" s="766" t="s">
        <v>442</v>
      </c>
      <c r="F24" s="923">
        <v>2007</v>
      </c>
      <c r="G24" s="924">
        <v>2010</v>
      </c>
      <c r="H24" s="923">
        <v>2015</v>
      </c>
      <c r="I24" s="923">
        <v>2020</v>
      </c>
      <c r="J24" s="923">
        <v>2025</v>
      </c>
      <c r="K24" s="923">
        <v>2030</v>
      </c>
      <c r="L24" s="923">
        <v>2035</v>
      </c>
      <c r="M24" s="923">
        <v>2040</v>
      </c>
      <c r="N24" s="923">
        <v>2045</v>
      </c>
      <c r="O24" s="923">
        <v>2050</v>
      </c>
      <c r="P24" s="1158"/>
    </row>
    <row r="25" spans="2:18" ht="15.75" hidden="1" outlineLevel="1">
      <c r="B25" s="1159"/>
      <c r="C25" s="831">
        <v>1</v>
      </c>
      <c r="D25" s="832"/>
      <c r="E25" s="1254"/>
      <c r="F25" s="847">
        <f>(Unit.PJ)*80.8687512369193</f>
        <v>22.46354201025536</v>
      </c>
      <c r="G25" s="856">
        <f>(Unit.PJ)*80.8835180323192</f>
        <v>22.467643897866445</v>
      </c>
      <c r="H25" s="847">
        <f>(Unit.PJ)*80.9573924658625</f>
        <v>22.488164573850696</v>
      </c>
      <c r="I25" s="847">
        <f>(Unit.PJ)*81.0313343721378</f>
        <v>22.508703992260504</v>
      </c>
      <c r="J25" s="847">
        <f>(Unit.PJ)*81.1053438127707</f>
        <v>22.529262170214086</v>
      </c>
      <c r="K25" s="847">
        <f>(Unit.PJ)*81.1794208494435</f>
        <v>22.54983912484542</v>
      </c>
      <c r="L25" s="847">
        <f>(Unit.PJ)*81.2535655438944</f>
        <v>22.570434873303999</v>
      </c>
      <c r="M25" s="847">
        <f>(Unit.PJ)*81.3277779579184</f>
        <v>22.591049432755113</v>
      </c>
      <c r="N25" s="847">
        <f>(Unit.PJ)*81.4020581533665</f>
        <v>22.611682820379585</v>
      </c>
      <c r="O25" s="847">
        <f>(Unit.PJ)*81.4764061921466</f>
        <v>22.632335053374057</v>
      </c>
      <c r="P25" s="1158"/>
      <c r="R25" s="1823"/>
    </row>
    <row r="26" spans="2:18" ht="15.75" hidden="1" outlineLevel="1">
      <c r="B26" s="1159"/>
      <c r="C26" s="831">
        <v>2</v>
      </c>
      <c r="D26" s="832"/>
      <c r="E26" s="1254"/>
      <c r="F26" s="847">
        <f>(Unit.PJ)*80.8687512369193</f>
        <v>22.46354201025536</v>
      </c>
      <c r="G26" s="856">
        <f>(Unit.PJ)*80.7253255803678</f>
        <v>22.423701550102166</v>
      </c>
      <c r="H26" s="847">
        <f>(Unit.PJ)*80.0120038987261</f>
        <v>22.225556638535032</v>
      </c>
      <c r="I26" s="847">
        <f>(Unit.PJ)*79.3049854164563</f>
        <v>22.029162615682306</v>
      </c>
      <c r="J26" s="847">
        <f>(Unit.PJ)*78.6042144359352</f>
        <v>21.834504009982002</v>
      </c>
      <c r="K26" s="847">
        <f>(Unit.PJ)*77.9096357517063</f>
        <v>21.641565486585087</v>
      </c>
      <c r="L26" s="847">
        <f>(Unit.PJ)*77.2211946461306</f>
        <v>21.450331846147389</v>
      </c>
      <c r="M26" s="847">
        <f>(Unit.PJ)*76.5388368850768</f>
        <v>21.260788023632447</v>
      </c>
      <c r="N26" s="847">
        <f>(Unit.PJ)*75.8625087136481</f>
        <v>21.072919087124472</v>
      </c>
      <c r="O26" s="847">
        <f>(Unit.PJ)*75.1921568519476</f>
        <v>20.886710236652114</v>
      </c>
      <c r="P26" s="1158"/>
      <c r="R26" s="1823"/>
    </row>
    <row r="27" spans="2:18" ht="15.75" hidden="1" outlineLevel="1">
      <c r="B27" s="1159"/>
      <c r="C27" s="831">
        <v>3</v>
      </c>
      <c r="D27" s="832"/>
      <c r="E27" s="1254"/>
      <c r="F27" s="847">
        <f>(Unit.PJ)*80.8687512369193</f>
        <v>22.46354201025536</v>
      </c>
      <c r="G27" s="856">
        <f>(Unit.PJ)*79.8685009579158</f>
        <v>22.185694710532168</v>
      </c>
      <c r="H27" s="847">
        <f>(Unit.PJ)*75.0497958944854</f>
        <v>20.847165526245945</v>
      </c>
      <c r="I27" s="847">
        <f>(Unit.PJ)*70.5218176909539</f>
        <v>19.58939380304275</v>
      </c>
      <c r="J27" s="847">
        <f>(Unit.PJ)*66.2670259280688</f>
        <v>18.407507202241334</v>
      </c>
      <c r="K27" s="847">
        <f>(Unit.PJ)*63.0487768406945</f>
        <v>17.513549122415139</v>
      </c>
      <c r="L27" s="847">
        <f>(Unit.PJ)*63.0487768406945</f>
        <v>17.513549122415139</v>
      </c>
      <c r="M27" s="847">
        <f>(Unit.PJ)*63.0487768406945</f>
        <v>17.513549122415139</v>
      </c>
      <c r="N27" s="847">
        <f>(Unit.PJ)*63.0487768406945</f>
        <v>17.513549122415139</v>
      </c>
      <c r="O27" s="847">
        <f>(Unit.PJ)*63.0487768406945</f>
        <v>17.513549122415139</v>
      </c>
      <c r="P27" s="1158"/>
      <c r="R27" s="1823"/>
    </row>
    <row r="28" spans="2:18" ht="15.75" hidden="1" outlineLevel="1">
      <c r="B28" s="1159"/>
      <c r="C28" s="769">
        <v>4</v>
      </c>
      <c r="D28" s="770"/>
      <c r="E28" s="770"/>
      <c r="F28" s="901">
        <f>(Unit.PJ)*80.8687512369193</f>
        <v>22.46354201025536</v>
      </c>
      <c r="G28" s="918">
        <f>(Unit.PJ)*80.3033107177085</f>
        <v>22.306475199363472</v>
      </c>
      <c r="H28" s="901">
        <f>(Unit.PJ)*77.5348621879138</f>
        <v>21.537461718864947</v>
      </c>
      <c r="I28" s="901">
        <f>(Unit.PJ)*74.8618556416889</f>
        <v>20.794959900469141</v>
      </c>
      <c r="J28" s="901">
        <f>(Unit.PJ)*72.2810007262859</f>
        <v>20.078055757301637</v>
      </c>
      <c r="K28" s="901">
        <f>(Unit.PJ)*69.7891205235354</f>
        <v>19.38586681209317</v>
      </c>
      <c r="L28" s="901">
        <f>(Unit.PJ)*67.3831476392015</f>
        <v>18.717541010889306</v>
      </c>
      <c r="M28" s="901">
        <f>(Unit.PJ)*65.0601204271547</f>
        <v>18.072255674209639</v>
      </c>
      <c r="N28" s="901">
        <f>(Unit.PJ)*62.8171793437169</f>
        <v>17.449216484365806</v>
      </c>
      <c r="O28" s="901">
        <f>(Unit.PJ)*60.6515634276895</f>
        <v>16.847656507691529</v>
      </c>
      <c r="P28" s="1158"/>
      <c r="R28" s="1823"/>
    </row>
    <row r="29" spans="2:18" ht="15.75" hidden="1" outlineLevel="1">
      <c r="B29" s="1159"/>
      <c r="C29" s="831"/>
      <c r="D29" s="832"/>
      <c r="E29" s="832"/>
      <c r="F29" s="847"/>
      <c r="G29" s="848"/>
      <c r="H29" s="848"/>
      <c r="I29" s="848"/>
      <c r="J29" s="848"/>
      <c r="K29" s="848"/>
      <c r="L29" s="848"/>
      <c r="M29" s="848"/>
      <c r="N29" s="848"/>
      <c r="O29" s="848"/>
      <c r="P29" s="1158"/>
    </row>
    <row r="30" spans="2:18" ht="15.75" hidden="1" outlineLevel="1">
      <c r="B30" s="1159"/>
      <c r="C30" s="869" t="s">
        <v>1657</v>
      </c>
      <c r="D30" s="832"/>
      <c r="E30" s="832"/>
      <c r="F30" s="847"/>
      <c r="G30" s="848"/>
      <c r="H30" s="848"/>
      <c r="I30" s="848"/>
      <c r="J30" s="848"/>
      <c r="K30" s="848"/>
      <c r="L30" s="848"/>
      <c r="M30" s="848"/>
      <c r="N30" s="848"/>
      <c r="O30" s="848"/>
      <c r="P30" s="1158"/>
    </row>
    <row r="31" spans="2:18" ht="33.75" hidden="1" outlineLevel="1">
      <c r="B31" s="1159"/>
      <c r="C31" s="831"/>
      <c r="D31" s="832"/>
      <c r="E31" s="832"/>
      <c r="F31" s="847"/>
      <c r="G31" s="874" t="str">
        <f>INDEX(Vectors[Description], MATCH(G32, Vectors[Code], 0))</f>
        <v>Electricity (delivered to end user)</v>
      </c>
      <c r="H31" s="874" t="str">
        <f>INDEX(Vectors[Description], MATCH(H32, Vectors[Code], 0))</f>
        <v>Gaseous hydrocarbons</v>
      </c>
      <c r="I31" s="848"/>
      <c r="J31" s="848"/>
      <c r="K31" s="848"/>
      <c r="L31" s="848"/>
      <c r="M31" s="848"/>
      <c r="N31" s="848"/>
      <c r="O31" s="848"/>
      <c r="P31" s="1158"/>
    </row>
    <row r="32" spans="2:18" ht="15.75" hidden="1" outlineLevel="1">
      <c r="B32" s="1159"/>
      <c r="C32" s="766" t="s">
        <v>1352</v>
      </c>
      <c r="D32" s="766" t="s">
        <v>79</v>
      </c>
      <c r="E32" s="766" t="s">
        <v>442</v>
      </c>
      <c r="F32" s="1545" t="s">
        <v>1645</v>
      </c>
      <c r="G32" s="1458" t="s">
        <v>45</v>
      </c>
      <c r="H32" s="1458" t="s">
        <v>50</v>
      </c>
      <c r="I32" s="848"/>
      <c r="J32" s="848"/>
      <c r="K32" s="848"/>
      <c r="L32" s="848"/>
      <c r="M32" s="848"/>
      <c r="N32" s="848"/>
      <c r="O32" s="848"/>
      <c r="P32" s="1158"/>
    </row>
    <row r="33" spans="1:16" ht="15.75" hidden="1" outlineLevel="1">
      <c r="B33" s="1159"/>
      <c r="C33" s="831">
        <v>1</v>
      </c>
      <c r="D33" s="832" t="s">
        <v>1644</v>
      </c>
      <c r="E33" s="1254"/>
      <c r="F33" s="1824"/>
      <c r="G33" s="865">
        <f>$F$45</f>
        <v>0.6</v>
      </c>
      <c r="H33" s="865">
        <f>$F$46</f>
        <v>0.4</v>
      </c>
      <c r="I33" s="848"/>
      <c r="J33" s="848"/>
      <c r="K33" s="848"/>
      <c r="L33" s="848"/>
      <c r="M33" s="848"/>
      <c r="N33" s="848"/>
      <c r="O33" s="848"/>
      <c r="P33" s="1158"/>
    </row>
    <row r="34" spans="1:16" ht="15.75" hidden="1" outlineLevel="1">
      <c r="B34" s="1159"/>
      <c r="C34" s="899">
        <v>2</v>
      </c>
      <c r="D34" s="900" t="s">
        <v>918</v>
      </c>
      <c r="E34" s="900"/>
      <c r="F34" s="1825"/>
      <c r="G34" s="916">
        <v>1</v>
      </c>
      <c r="H34" s="916">
        <v>0</v>
      </c>
      <c r="I34" s="848"/>
      <c r="J34" s="848"/>
      <c r="K34" s="848"/>
      <c r="L34" s="848"/>
      <c r="M34" s="848"/>
      <c r="N34" s="848"/>
      <c r="O34" s="848"/>
      <c r="P34" s="1158"/>
    </row>
    <row r="35" spans="1:16" ht="15.75" hidden="1" outlineLevel="1">
      <c r="B35" s="1159"/>
      <c r="C35" s="831"/>
      <c r="D35" s="832"/>
      <c r="E35" s="832"/>
      <c r="F35" s="847"/>
      <c r="G35" s="848"/>
      <c r="H35" s="848"/>
      <c r="I35" s="848"/>
      <c r="J35" s="848"/>
      <c r="K35" s="848"/>
      <c r="L35" s="848"/>
      <c r="M35" s="848"/>
      <c r="N35" s="848"/>
      <c r="O35" s="848"/>
      <c r="P35" s="1158"/>
    </row>
    <row r="36" spans="1:16" ht="15.75" hidden="1" outlineLevel="1">
      <c r="B36" s="1159"/>
      <c r="C36" s="831"/>
      <c r="D36" s="832"/>
      <c r="E36" s="832"/>
      <c r="F36" s="847"/>
      <c r="G36" s="848"/>
      <c r="H36" s="848"/>
      <c r="I36" s="848"/>
      <c r="J36" s="848"/>
      <c r="K36" s="848"/>
      <c r="L36" s="848"/>
      <c r="M36" s="848"/>
      <c r="N36" s="848"/>
      <c r="O36" s="848"/>
      <c r="P36" s="1158"/>
    </row>
    <row r="37" spans="1:16" hidden="1" outlineLevel="1">
      <c r="B37" s="1163"/>
      <c r="C37" s="1227" t="s">
        <v>717</v>
      </c>
      <c r="D37" s="868" t="s">
        <v>899</v>
      </c>
      <c r="E37" s="864"/>
      <c r="F37" s="864"/>
      <c r="G37" s="864"/>
      <c r="H37" s="864"/>
      <c r="I37" s="864"/>
      <c r="J37" s="864"/>
      <c r="K37" s="864"/>
      <c r="L37" s="864"/>
      <c r="M37" s="864"/>
      <c r="N37" s="864"/>
      <c r="O37" s="864"/>
      <c r="P37" s="1158"/>
    </row>
    <row r="38" spans="1:16" ht="15.75" hidden="1" outlineLevel="1">
      <c r="B38" s="1193"/>
      <c r="C38" s="1194"/>
      <c r="D38" s="1195"/>
      <c r="E38" s="1195"/>
      <c r="F38" s="1196"/>
      <c r="G38" s="1197"/>
      <c r="H38" s="1197"/>
      <c r="I38" s="1197"/>
      <c r="J38" s="1197"/>
      <c r="K38" s="1197"/>
      <c r="L38" s="1197"/>
      <c r="M38" s="1197"/>
      <c r="N38" s="1197"/>
      <c r="O38" s="1197"/>
      <c r="P38" s="1166"/>
    </row>
    <row r="40" spans="1:16" s="743" customFormat="1" ht="22.5" collapsed="1">
      <c r="A40" s="1170"/>
      <c r="B40" s="1236" t="s">
        <v>786</v>
      </c>
      <c r="C40" s="1167"/>
      <c r="D40" s="1167"/>
      <c r="E40" s="1167"/>
      <c r="F40" s="1167"/>
      <c r="G40" s="1167"/>
      <c r="H40" s="1167"/>
      <c r="I40" s="1167"/>
      <c r="J40" s="1167"/>
      <c r="K40" s="1167"/>
      <c r="L40" s="1167"/>
      <c r="M40" s="1167"/>
      <c r="N40" s="1167"/>
      <c r="O40" s="1167"/>
      <c r="P40" s="1168"/>
    </row>
    <row r="41" spans="1:16" hidden="1" outlineLevel="1">
      <c r="B41" s="1157"/>
      <c r="C41" s="864"/>
      <c r="D41" s="864"/>
      <c r="E41" s="864"/>
      <c r="F41" s="864"/>
      <c r="G41" s="864"/>
      <c r="H41" s="864"/>
      <c r="I41" s="864"/>
      <c r="J41" s="864"/>
      <c r="K41" s="864"/>
      <c r="L41" s="864"/>
      <c r="M41" s="864"/>
      <c r="N41" s="864"/>
      <c r="O41" s="864"/>
      <c r="P41" s="1158"/>
    </row>
    <row r="42" spans="1:16" hidden="1" outlineLevel="1">
      <c r="B42" s="1157"/>
      <c r="C42" s="866" t="s">
        <v>1658</v>
      </c>
      <c r="D42" s="864"/>
      <c r="E42" s="1256"/>
      <c r="F42" s="867" t="s">
        <v>939</v>
      </c>
      <c r="G42" s="864"/>
      <c r="H42" s="864"/>
      <c r="I42" s="864"/>
      <c r="J42" s="864"/>
      <c r="K42" s="864"/>
      <c r="L42" s="864"/>
      <c r="M42" s="864"/>
      <c r="N42" s="864"/>
      <c r="O42" s="867"/>
      <c r="P42" s="1158"/>
    </row>
    <row r="43" spans="1:16" ht="5.25" hidden="1" customHeight="1" outlineLevel="1">
      <c r="B43" s="1157"/>
      <c r="C43" s="864"/>
      <c r="D43" s="864"/>
      <c r="E43" s="864"/>
      <c r="F43" s="864"/>
      <c r="G43" s="864"/>
      <c r="H43" s="864"/>
      <c r="I43" s="864"/>
      <c r="J43" s="864"/>
      <c r="K43" s="864"/>
      <c r="L43" s="864"/>
      <c r="M43" s="864"/>
      <c r="N43" s="864"/>
      <c r="O43" s="864"/>
      <c r="P43" s="1158"/>
    </row>
    <row r="44" spans="1:16" ht="18" hidden="1" outlineLevel="1">
      <c r="B44" s="1548"/>
      <c r="C44" s="766" t="s">
        <v>78</v>
      </c>
      <c r="D44" s="766" t="s">
        <v>1328</v>
      </c>
      <c r="E44" s="766" t="s">
        <v>442</v>
      </c>
      <c r="F44" s="923">
        <v>2007</v>
      </c>
      <c r="G44" s="1293"/>
      <c r="H44" s="1293"/>
      <c r="I44" s="1293"/>
      <c r="J44" s="1293"/>
      <c r="K44" s="1293"/>
      <c r="L44" s="1293"/>
      <c r="M44" s="1293"/>
      <c r="N44" s="1293"/>
      <c r="O44" s="1293"/>
      <c r="P44" s="1158"/>
    </row>
    <row r="45" spans="1:16" ht="18" hidden="1" outlineLevel="1">
      <c r="B45" s="1548"/>
      <c r="C45" s="831" t="s">
        <v>45</v>
      </c>
      <c r="D45" s="832" t="str">
        <f>INDEX(Vectors[Description], MATCH($C45, Vectors[Code], 0))</f>
        <v>Electricity (delivered to end user)</v>
      </c>
      <c r="E45" s="1254"/>
      <c r="F45" s="865">
        <v>0.6</v>
      </c>
      <c r="G45" s="865"/>
      <c r="H45" s="865"/>
      <c r="I45" s="865"/>
      <c r="J45" s="865"/>
      <c r="K45" s="865"/>
      <c r="L45" s="865"/>
      <c r="M45" s="865"/>
      <c r="N45" s="865"/>
      <c r="O45" s="865"/>
      <c r="P45" s="1158"/>
    </row>
    <row r="46" spans="1:16" ht="18" hidden="1" outlineLevel="1">
      <c r="B46" s="1548"/>
      <c r="C46" s="769" t="s">
        <v>50</v>
      </c>
      <c r="D46" s="770" t="str">
        <f>INDEX(Vectors[Description], MATCH($C46, Vectors[Code], 0))</f>
        <v>Gaseous hydrocarbons</v>
      </c>
      <c r="E46" s="770"/>
      <c r="F46" s="777">
        <f>1-F45</f>
        <v>0.4</v>
      </c>
      <c r="G46" s="875"/>
      <c r="H46" s="875"/>
      <c r="I46" s="875"/>
      <c r="J46" s="875"/>
      <c r="K46" s="875"/>
      <c r="L46" s="875"/>
      <c r="M46" s="875"/>
      <c r="N46" s="875"/>
      <c r="O46" s="875"/>
      <c r="P46" s="1158"/>
    </row>
    <row r="47" spans="1:16" hidden="1" outlineLevel="1">
      <c r="B47" s="1157"/>
      <c r="C47" s="864"/>
      <c r="D47" s="864"/>
      <c r="E47" s="864"/>
      <c r="F47" s="864"/>
      <c r="G47" s="864"/>
      <c r="H47" s="864"/>
      <c r="I47" s="864"/>
      <c r="J47" s="864"/>
      <c r="K47" s="864"/>
      <c r="L47" s="864"/>
      <c r="M47" s="864"/>
      <c r="N47" s="864"/>
      <c r="O47" s="864"/>
      <c r="P47" s="1158"/>
    </row>
    <row r="48" spans="1:16" hidden="1" outlineLevel="1">
      <c r="B48" s="1157"/>
      <c r="C48" s="864" t="s">
        <v>717</v>
      </c>
      <c r="D48" s="864" t="s">
        <v>1660</v>
      </c>
      <c r="E48" s="864"/>
      <c r="F48" s="864"/>
      <c r="G48" s="864"/>
      <c r="H48" s="864"/>
      <c r="I48" s="864"/>
      <c r="J48" s="864"/>
      <c r="K48" s="864"/>
      <c r="L48" s="864"/>
      <c r="M48" s="864"/>
      <c r="N48" s="864"/>
      <c r="O48" s="864"/>
      <c r="P48" s="1158"/>
    </row>
    <row r="49" spans="1:19" s="715" customFormat="1" hidden="1" outlineLevel="1">
      <c r="B49" s="1260"/>
      <c r="C49" s="1261"/>
      <c r="D49" s="1224"/>
      <c r="E49" s="1262"/>
      <c r="F49" s="1262"/>
      <c r="G49" s="1262"/>
      <c r="H49" s="1262"/>
      <c r="I49" s="1262"/>
      <c r="J49" s="1262"/>
      <c r="K49" s="1262"/>
      <c r="L49" s="1262"/>
      <c r="M49" s="1262"/>
      <c r="N49" s="1262"/>
      <c r="O49" s="1262"/>
      <c r="P49" s="1263"/>
    </row>
    <row r="50" spans="1:19">
      <c r="S50" s="715"/>
    </row>
    <row r="51" spans="1:19" ht="22.5" collapsed="1">
      <c r="A51" s="1171"/>
      <c r="B51" s="1236" t="s">
        <v>817</v>
      </c>
      <c r="C51" s="1264"/>
      <c r="D51" s="1264"/>
      <c r="E51" s="1264"/>
      <c r="F51" s="1264"/>
      <c r="G51" s="1264"/>
      <c r="H51" s="1264"/>
      <c r="I51" s="1264"/>
      <c r="J51" s="1264"/>
      <c r="K51" s="1264"/>
      <c r="L51" s="1264"/>
      <c r="M51" s="1264"/>
      <c r="N51" s="1264"/>
      <c r="O51" s="1264"/>
      <c r="P51" s="1265"/>
    </row>
    <row r="52" spans="1:19" hidden="1" outlineLevel="1">
      <c r="B52" s="1157"/>
      <c r="C52" s="864"/>
      <c r="D52" s="864"/>
      <c r="E52" s="864"/>
      <c r="F52" s="864"/>
      <c r="G52" s="864"/>
      <c r="H52" s="864"/>
      <c r="I52" s="864"/>
      <c r="J52" s="864"/>
      <c r="K52" s="864"/>
      <c r="L52" s="864"/>
      <c r="M52" s="864"/>
      <c r="N52" s="864"/>
      <c r="O52" s="864"/>
      <c r="P52" s="1158"/>
    </row>
    <row r="53" spans="1:19" hidden="1" outlineLevel="1">
      <c r="B53" s="1157"/>
      <c r="C53" s="866" t="s">
        <v>1661</v>
      </c>
      <c r="D53" s="864"/>
      <c r="E53" s="864"/>
      <c r="F53" s="848"/>
      <c r="G53" s="864"/>
      <c r="H53" s="864"/>
      <c r="I53" s="864"/>
      <c r="J53" s="864"/>
      <c r="K53" s="864"/>
      <c r="L53" s="864"/>
      <c r="M53" s="864"/>
      <c r="N53" s="864"/>
      <c r="O53" s="848" t="s">
        <v>939</v>
      </c>
      <c r="P53" s="1158"/>
    </row>
    <row r="54" spans="1:19" hidden="1" outlineLevel="1">
      <c r="B54" s="1157"/>
      <c r="C54" s="864"/>
      <c r="D54" s="864"/>
      <c r="E54" s="864"/>
      <c r="F54" s="864"/>
      <c r="G54" s="864"/>
      <c r="H54" s="864"/>
      <c r="I54" s="864"/>
      <c r="J54" s="864"/>
      <c r="K54" s="864"/>
      <c r="L54" s="864"/>
      <c r="M54" s="864"/>
      <c r="N54" s="864"/>
      <c r="O54" s="864"/>
      <c r="P54" s="1158"/>
    </row>
    <row r="55" spans="1:19" ht="15.75" hidden="1" outlineLevel="1">
      <c r="B55" s="1159"/>
      <c r="C55" s="766" t="s">
        <v>78</v>
      </c>
      <c r="D55" s="766" t="s">
        <v>79</v>
      </c>
      <c r="E55" s="766" t="s">
        <v>442</v>
      </c>
      <c r="F55" s="923">
        <v>2007</v>
      </c>
      <c r="G55" s="924">
        <v>2010</v>
      </c>
      <c r="H55" s="923">
        <v>2015</v>
      </c>
      <c r="I55" s="923">
        <v>2020</v>
      </c>
      <c r="J55" s="923">
        <v>2025</v>
      </c>
      <c r="K55" s="923">
        <v>2030</v>
      </c>
      <c r="L55" s="923">
        <v>2035</v>
      </c>
      <c r="M55" s="923">
        <v>2040</v>
      </c>
      <c r="N55" s="923">
        <v>2045</v>
      </c>
      <c r="O55" s="923">
        <v>2050</v>
      </c>
      <c r="P55" s="1158"/>
    </row>
    <row r="56" spans="1:19" ht="15.75" hidden="1" outlineLevel="1">
      <c r="B56" s="1159"/>
      <c r="C56" s="831" t="s">
        <v>45</v>
      </c>
      <c r="D56" s="832" t="str">
        <f>INDEX(Vectors[Description], MATCH($C56, Vectors[Code], 0))</f>
        <v>Electricity (delivered to end user)</v>
      </c>
      <c r="E56" s="1254"/>
      <c r="F56" s="865">
        <f>F45</f>
        <v>0.6</v>
      </c>
      <c r="G56" s="1826">
        <f>$F56+($O56-$F56)/($O$55-$F$55)*(G$55-$F$55)</f>
        <v>0.6</v>
      </c>
      <c r="H56" s="1788">
        <f t="shared" ref="H56:N57" si="0">$F56+($O56-$F56)/($O$55-$F$55)*(H$55-$F$55)</f>
        <v>0.6</v>
      </c>
      <c r="I56" s="1788">
        <f t="shared" si="0"/>
        <v>0.6</v>
      </c>
      <c r="J56" s="1788">
        <f t="shared" si="0"/>
        <v>0.6</v>
      </c>
      <c r="K56" s="1788">
        <f t="shared" si="0"/>
        <v>0.6</v>
      </c>
      <c r="L56" s="1788">
        <f t="shared" si="0"/>
        <v>0.6</v>
      </c>
      <c r="M56" s="1788">
        <f t="shared" si="0"/>
        <v>0.6</v>
      </c>
      <c r="N56" s="1788">
        <f t="shared" si="0"/>
        <v>0.6</v>
      </c>
      <c r="O56" s="865">
        <f>INDEX($G$33:$H$34, MATCH($E$9, $C$33:$C$34, 0), MATCH($C56, $G$32:$H$32, 0))</f>
        <v>0.6</v>
      </c>
      <c r="P56" s="1158"/>
    </row>
    <row r="57" spans="1:19" ht="15.75" hidden="1" outlineLevel="1">
      <c r="B57" s="1159"/>
      <c r="C57" s="899" t="s">
        <v>50</v>
      </c>
      <c r="D57" s="900" t="str">
        <f>INDEX(Vectors[Description], MATCH($C57, Vectors[Code], 0))</f>
        <v>Gaseous hydrocarbons</v>
      </c>
      <c r="E57" s="900"/>
      <c r="F57" s="916">
        <f>F46</f>
        <v>0.4</v>
      </c>
      <c r="G57" s="1827">
        <f>$F57+($O57-$F57)/($O$55-$F$55)*(G$55-$F$55)</f>
        <v>0.4</v>
      </c>
      <c r="H57" s="1828">
        <f t="shared" si="0"/>
        <v>0.4</v>
      </c>
      <c r="I57" s="1828">
        <f t="shared" si="0"/>
        <v>0.4</v>
      </c>
      <c r="J57" s="1828">
        <f t="shared" si="0"/>
        <v>0.4</v>
      </c>
      <c r="K57" s="1828">
        <f t="shared" si="0"/>
        <v>0.4</v>
      </c>
      <c r="L57" s="1828">
        <f t="shared" si="0"/>
        <v>0.4</v>
      </c>
      <c r="M57" s="1828">
        <f t="shared" si="0"/>
        <v>0.4</v>
      </c>
      <c r="N57" s="1828">
        <f t="shared" si="0"/>
        <v>0.4</v>
      </c>
      <c r="O57" s="1531">
        <f>INDEX($G$33:$H$34, MATCH($E$9, $C$33:$C$34, 0), MATCH($C57, $G$32:$H$32, 0))</f>
        <v>0.4</v>
      </c>
      <c r="P57" s="1158"/>
    </row>
    <row r="58" spans="1:19" hidden="1" outlineLevel="1">
      <c r="B58" s="1164"/>
      <c r="C58" s="1165"/>
      <c r="D58" s="1165"/>
      <c r="E58" s="1165"/>
      <c r="F58" s="1165"/>
      <c r="G58" s="1165"/>
      <c r="H58" s="1165"/>
      <c r="I58" s="1165"/>
      <c r="J58" s="1165"/>
      <c r="K58" s="1165"/>
      <c r="L58" s="1165"/>
      <c r="M58" s="1165"/>
      <c r="N58" s="1165"/>
      <c r="O58" s="1165"/>
      <c r="P58" s="1166"/>
    </row>
    <row r="60" spans="1:19" ht="18" collapsed="1">
      <c r="A60" s="767"/>
      <c r="B60" s="809" t="s">
        <v>732</v>
      </c>
    </row>
    <row r="61" spans="1:19" s="24" customFormat="1" hidden="1" outlineLevel="1">
      <c r="B61" s="731">
        <v>1</v>
      </c>
      <c r="C61" s="731" t="s">
        <v>1663</v>
      </c>
    </row>
    <row r="62" spans="1:19" hidden="1" outlineLevel="1">
      <c r="F62" s="861">
        <v>2007</v>
      </c>
      <c r="G62" s="861">
        <v>2010</v>
      </c>
      <c r="H62" s="861">
        <v>2015</v>
      </c>
      <c r="I62" s="861">
        <v>2020</v>
      </c>
      <c r="J62" s="861">
        <v>2025</v>
      </c>
      <c r="K62" s="861">
        <v>2030</v>
      </c>
      <c r="L62" s="861">
        <v>2035</v>
      </c>
      <c r="M62" s="861">
        <v>2040</v>
      </c>
      <c r="N62" s="861">
        <v>2045</v>
      </c>
      <c r="O62" s="861">
        <v>2050</v>
      </c>
    </row>
    <row r="63" spans="1:19" hidden="1" outlineLevel="1">
      <c r="B63" s="1575"/>
      <c r="C63" s="731" t="s">
        <v>1650</v>
      </c>
      <c r="D63" s="731"/>
      <c r="E63" s="862" t="str">
        <f>Preferences.EnergyUnits</f>
        <v>TWh</v>
      </c>
      <c r="F63" s="943">
        <f>INDEX(F$25:F$28, MATCH($E$8, $C$25:$C$28, 0))</f>
        <v>22.46354201025536</v>
      </c>
      <c r="G63" s="943">
        <f t="shared" ref="G63:O63" si="1">INDEX(G$25:G$28, MATCH($E$8, $C$25:$C$28, 0))</f>
        <v>22.467643897866445</v>
      </c>
      <c r="H63" s="943">
        <f t="shared" si="1"/>
        <v>22.488164573850696</v>
      </c>
      <c r="I63" s="943">
        <f t="shared" si="1"/>
        <v>22.508703992260504</v>
      </c>
      <c r="J63" s="943">
        <f t="shared" si="1"/>
        <v>22.529262170214086</v>
      </c>
      <c r="K63" s="943">
        <f t="shared" si="1"/>
        <v>22.54983912484542</v>
      </c>
      <c r="L63" s="943">
        <f t="shared" si="1"/>
        <v>22.570434873303999</v>
      </c>
      <c r="M63" s="943">
        <f t="shared" si="1"/>
        <v>22.591049432755113</v>
      </c>
      <c r="N63" s="943">
        <f t="shared" si="1"/>
        <v>22.611682820379585</v>
      </c>
      <c r="O63" s="943">
        <f t="shared" si="1"/>
        <v>22.632335053374057</v>
      </c>
    </row>
    <row r="64" spans="1:19" hidden="1" outlineLevel="1">
      <c r="B64" s="20" t="s">
        <v>45</v>
      </c>
      <c r="C64" s="121" t="str">
        <f>INDEX(Vectors[Description], MATCH($B64, Vectors[Code], 0))</f>
        <v>Electricity (delivered to end user)</v>
      </c>
      <c r="F64" s="925">
        <f>F$63*F56</f>
        <v>13.478125206153216</v>
      </c>
      <c r="G64" s="925">
        <f t="shared" ref="G64:O64" si="2">G$63*G56</f>
        <v>13.480586338719867</v>
      </c>
      <c r="H64" s="925">
        <f t="shared" si="2"/>
        <v>13.492898744310418</v>
      </c>
      <c r="I64" s="925">
        <f t="shared" si="2"/>
        <v>13.505222395356302</v>
      </c>
      <c r="J64" s="925">
        <f t="shared" si="2"/>
        <v>13.51755730212845</v>
      </c>
      <c r="K64" s="925">
        <f t="shared" si="2"/>
        <v>13.529903474907252</v>
      </c>
      <c r="L64" s="925">
        <f t="shared" si="2"/>
        <v>13.542260923982399</v>
      </c>
      <c r="M64" s="925">
        <f t="shared" si="2"/>
        <v>13.554629659653068</v>
      </c>
      <c r="N64" s="925">
        <f t="shared" si="2"/>
        <v>13.567009692227751</v>
      </c>
      <c r="O64" s="925">
        <f t="shared" si="2"/>
        <v>13.579401032024434</v>
      </c>
    </row>
    <row r="65" spans="2:15" hidden="1" outlineLevel="1">
      <c r="B65" s="20" t="s">
        <v>50</v>
      </c>
      <c r="C65" s="121" t="str">
        <f>INDEX(Vectors[Description], MATCH($B65, Vectors[Code], 0))</f>
        <v>Gaseous hydrocarbons</v>
      </c>
      <c r="F65" s="925">
        <f>F$63*F57</f>
        <v>8.9854168041021438</v>
      </c>
      <c r="G65" s="925">
        <f t="shared" ref="G65:O65" si="3">G$63*G57</f>
        <v>8.987057559146578</v>
      </c>
      <c r="H65" s="925">
        <f t="shared" si="3"/>
        <v>8.9952658295402781</v>
      </c>
      <c r="I65" s="925">
        <f t="shared" si="3"/>
        <v>9.0034815969042015</v>
      </c>
      <c r="J65" s="925">
        <f t="shared" si="3"/>
        <v>9.0117048680856353</v>
      </c>
      <c r="K65" s="925">
        <f t="shared" si="3"/>
        <v>9.0199356499381675</v>
      </c>
      <c r="L65" s="925">
        <f t="shared" si="3"/>
        <v>9.0281739493215998</v>
      </c>
      <c r="M65" s="925">
        <f t="shared" si="3"/>
        <v>9.036419773102045</v>
      </c>
      <c r="N65" s="925">
        <f t="shared" si="3"/>
        <v>9.0446731281518336</v>
      </c>
      <c r="O65" s="925">
        <f t="shared" si="3"/>
        <v>9.052934021349623</v>
      </c>
    </row>
    <row r="66" spans="2:15" hidden="1" outlineLevel="1">
      <c r="C66" s="731"/>
      <c r="E66" s="20"/>
      <c r="F66" s="943"/>
      <c r="G66" s="943"/>
      <c r="H66" s="943"/>
      <c r="I66" s="943"/>
      <c r="J66" s="943"/>
      <c r="K66" s="943"/>
      <c r="L66" s="943"/>
      <c r="M66" s="943"/>
      <c r="N66" s="943"/>
      <c r="O66" s="943"/>
    </row>
    <row r="67" spans="2:15" hidden="1" outlineLevel="1">
      <c r="C67" s="731"/>
      <c r="E67" s="20"/>
      <c r="F67" s="943"/>
      <c r="G67" s="943"/>
      <c r="H67" s="943"/>
      <c r="I67" s="943"/>
      <c r="J67" s="943"/>
      <c r="K67" s="943"/>
      <c r="L67" s="943"/>
      <c r="M67" s="943"/>
      <c r="N67" s="943"/>
      <c r="O67" s="943"/>
    </row>
    <row r="68" spans="2:15" hidden="1" outlineLevel="1">
      <c r="B68" s="731">
        <v>2</v>
      </c>
      <c r="C68" s="731" t="s">
        <v>1662</v>
      </c>
      <c r="E68" s="20"/>
      <c r="F68" s="943"/>
      <c r="G68" s="943"/>
      <c r="H68" s="943"/>
      <c r="I68" s="943"/>
      <c r="J68" s="943"/>
      <c r="K68" s="943"/>
      <c r="L68" s="943"/>
      <c r="M68" s="943"/>
      <c r="N68" s="943"/>
      <c r="O68" s="943"/>
    </row>
    <row r="69" spans="2:15" hidden="1" outlineLevel="1">
      <c r="C69" s="731"/>
      <c r="E69" s="20"/>
      <c r="F69" s="861">
        <v>2007</v>
      </c>
      <c r="G69" s="861">
        <v>2010</v>
      </c>
      <c r="H69" s="861">
        <v>2015</v>
      </c>
      <c r="I69" s="861">
        <v>2020</v>
      </c>
      <c r="J69" s="861">
        <v>2025</v>
      </c>
      <c r="K69" s="861">
        <v>2030</v>
      </c>
      <c r="L69" s="861">
        <v>2035</v>
      </c>
      <c r="M69" s="861">
        <v>2040</v>
      </c>
      <c r="N69" s="861">
        <v>2045</v>
      </c>
      <c r="O69" s="861">
        <v>2050</v>
      </c>
    </row>
    <row r="70" spans="2:15" hidden="1" outlineLevel="1">
      <c r="B70" s="1575"/>
      <c r="C70" s="731" t="s">
        <v>1652</v>
      </c>
      <c r="E70" s="862" t="str">
        <f>Preferences.EnergyUnits</f>
        <v>TWh</v>
      </c>
      <c r="F70" s="943">
        <f>INDEX(F$17:F$20, MATCH($E$8, $C$17:$C$20, 0))</f>
        <v>59.156753873546393</v>
      </c>
      <c r="G70" s="943">
        <f t="shared" ref="G70:O70" si="4">INDEX(G$17:G$20, MATCH($E$8, $C$17:$C$20, 0))</f>
        <v>59.567154550678339</v>
      </c>
      <c r="H70" s="943">
        <f t="shared" si="4"/>
        <v>61.665288787619168</v>
      </c>
      <c r="I70" s="943">
        <f t="shared" si="4"/>
        <v>63.842581337154726</v>
      </c>
      <c r="J70" s="943">
        <f t="shared" si="4"/>
        <v>66.10223935453223</v>
      </c>
      <c r="K70" s="943">
        <f t="shared" si="4"/>
        <v>68.447608649671665</v>
      </c>
      <c r="L70" s="943">
        <f t="shared" si="4"/>
        <v>70.882180004479451</v>
      </c>
      <c r="M70" s="943">
        <f t="shared" si="4"/>
        <v>73.40959578929251</v>
      </c>
      <c r="N70" s="943">
        <f t="shared" si="4"/>
        <v>76.03365689299055</v>
      </c>
      <c r="O70" s="943">
        <f t="shared" si="4"/>
        <v>78.758329982037495</v>
      </c>
    </row>
    <row r="71" spans="2:15" hidden="1" outlineLevel="1">
      <c r="B71" s="20" t="s">
        <v>45</v>
      </c>
      <c r="C71" s="121" t="str">
        <f>INDEX(Vectors[Description], MATCH($B71, Vectors[Code], 0))</f>
        <v>Electricity (delivered to end user)</v>
      </c>
      <c r="E71" s="20"/>
      <c r="F71" s="925">
        <f>F70</f>
        <v>59.156753873546393</v>
      </c>
      <c r="G71" s="925">
        <f t="shared" ref="G71:O71" si="5">G70</f>
        <v>59.567154550678339</v>
      </c>
      <c r="H71" s="925">
        <f t="shared" si="5"/>
        <v>61.665288787619168</v>
      </c>
      <c r="I71" s="925">
        <f t="shared" si="5"/>
        <v>63.842581337154726</v>
      </c>
      <c r="J71" s="925">
        <f t="shared" si="5"/>
        <v>66.10223935453223</v>
      </c>
      <c r="K71" s="925">
        <f t="shared" si="5"/>
        <v>68.447608649671665</v>
      </c>
      <c r="L71" s="925">
        <f t="shared" si="5"/>
        <v>70.882180004479451</v>
      </c>
      <c r="M71" s="925">
        <f t="shared" si="5"/>
        <v>73.40959578929251</v>
      </c>
      <c r="N71" s="925">
        <f t="shared" si="5"/>
        <v>76.03365689299055</v>
      </c>
      <c r="O71" s="925">
        <f t="shared" si="5"/>
        <v>78.758329982037495</v>
      </c>
    </row>
    <row r="72" spans="2:15" hidden="1" outlineLevel="1">
      <c r="C72" s="731"/>
      <c r="E72" s="20"/>
      <c r="F72" s="943"/>
      <c r="G72" s="943"/>
      <c r="H72" s="943"/>
      <c r="I72" s="943"/>
      <c r="J72" s="943"/>
      <c r="K72" s="943"/>
      <c r="L72" s="943"/>
      <c r="M72" s="943"/>
      <c r="N72" s="943"/>
      <c r="O72" s="943"/>
    </row>
    <row r="73" spans="2:15" hidden="1" outlineLevel="1">
      <c r="B73" s="731">
        <v>3</v>
      </c>
      <c r="C73" s="731" t="s">
        <v>1655</v>
      </c>
      <c r="E73" s="20"/>
      <c r="F73" s="925"/>
      <c r="G73" s="925"/>
      <c r="H73" s="925"/>
      <c r="I73" s="925"/>
      <c r="J73" s="925"/>
      <c r="K73" s="925"/>
      <c r="L73" s="925"/>
      <c r="M73" s="925"/>
      <c r="N73" s="925"/>
      <c r="O73" s="925"/>
    </row>
    <row r="74" spans="2:15" hidden="1" outlineLevel="1">
      <c r="B74" s="731"/>
      <c r="C74" s="731"/>
      <c r="E74" s="20"/>
      <c r="F74" s="861">
        <v>2007</v>
      </c>
      <c r="G74" s="861">
        <v>2010</v>
      </c>
      <c r="H74" s="861">
        <v>2015</v>
      </c>
      <c r="I74" s="861">
        <v>2020</v>
      </c>
      <c r="J74" s="861">
        <v>2025</v>
      </c>
      <c r="K74" s="861">
        <v>2030</v>
      </c>
      <c r="L74" s="861">
        <v>2035</v>
      </c>
      <c r="M74" s="861">
        <v>2040</v>
      </c>
      <c r="N74" s="861">
        <v>2045</v>
      </c>
      <c r="O74" s="861">
        <v>2050</v>
      </c>
    </row>
    <row r="75" spans="2:15" hidden="1" outlineLevel="1">
      <c r="B75" s="20" t="s">
        <v>45</v>
      </c>
      <c r="C75" s="121" t="str">
        <f>INDEX(Vectors[Description], MATCH($B75, Vectors[Code], 0))</f>
        <v>Electricity (delivered to end user)</v>
      </c>
      <c r="E75" s="1566" t="str">
        <f>Preferences.EnergyUnits</f>
        <v>TWh</v>
      </c>
      <c r="F75" s="925">
        <f>F64+F71</f>
        <v>72.634879079699601</v>
      </c>
      <c r="G75" s="925">
        <f t="shared" ref="G75:O75" si="6">G64+G71</f>
        <v>73.047740889398199</v>
      </c>
      <c r="H75" s="925">
        <f t="shared" si="6"/>
        <v>75.158187531929585</v>
      </c>
      <c r="I75" s="925">
        <f t="shared" si="6"/>
        <v>77.347803732511025</v>
      </c>
      <c r="J75" s="925">
        <f t="shared" si="6"/>
        <v>79.619796656660682</v>
      </c>
      <c r="K75" s="925">
        <f t="shared" si="6"/>
        <v>81.977512124578922</v>
      </c>
      <c r="L75" s="925">
        <f t="shared" si="6"/>
        <v>84.424440928461848</v>
      </c>
      <c r="M75" s="925">
        <f t="shared" si="6"/>
        <v>86.964225448945584</v>
      </c>
      <c r="N75" s="925">
        <f t="shared" si="6"/>
        <v>89.600666585218306</v>
      </c>
      <c r="O75" s="925">
        <f t="shared" si="6"/>
        <v>92.33773101406193</v>
      </c>
    </row>
    <row r="76" spans="2:15" hidden="1" outlineLevel="1">
      <c r="B76" s="20" t="s">
        <v>50</v>
      </c>
      <c r="C76" s="121" t="str">
        <f>INDEX(Vectors[Description], MATCH($B76, Vectors[Code], 0))</f>
        <v>Gaseous hydrocarbons</v>
      </c>
      <c r="E76" s="1566" t="str">
        <f>Preferences.EnergyUnits</f>
        <v>TWh</v>
      </c>
      <c r="F76" s="925">
        <f>F65</f>
        <v>8.9854168041021438</v>
      </c>
      <c r="G76" s="925">
        <f t="shared" ref="G76:O76" si="7">G65</f>
        <v>8.987057559146578</v>
      </c>
      <c r="H76" s="925">
        <f t="shared" si="7"/>
        <v>8.9952658295402781</v>
      </c>
      <c r="I76" s="925">
        <f t="shared" si="7"/>
        <v>9.0034815969042015</v>
      </c>
      <c r="J76" s="925">
        <f t="shared" si="7"/>
        <v>9.0117048680856353</v>
      </c>
      <c r="K76" s="925">
        <f t="shared" si="7"/>
        <v>9.0199356499381675</v>
      </c>
      <c r="L76" s="925">
        <f t="shared" si="7"/>
        <v>9.0281739493215998</v>
      </c>
      <c r="M76" s="925">
        <f t="shared" si="7"/>
        <v>9.036419773102045</v>
      </c>
      <c r="N76" s="925">
        <f t="shared" si="7"/>
        <v>9.0446731281518336</v>
      </c>
      <c r="O76" s="925">
        <f t="shared" si="7"/>
        <v>9.052934021349623</v>
      </c>
    </row>
    <row r="77" spans="2:15" hidden="1" outlineLevel="1">
      <c r="C77" s="731"/>
      <c r="E77" s="20"/>
      <c r="F77" s="943"/>
      <c r="G77" s="943"/>
      <c r="H77" s="943"/>
      <c r="I77" s="943"/>
      <c r="J77" s="943"/>
      <c r="K77" s="943"/>
      <c r="L77" s="943"/>
      <c r="M77" s="943"/>
      <c r="N77" s="943"/>
      <c r="O77" s="943"/>
    </row>
    <row r="78" spans="2:15" hidden="1" outlineLevel="1">
      <c r="B78" s="731">
        <v>4</v>
      </c>
      <c r="C78" s="731" t="s">
        <v>1175</v>
      </c>
      <c r="F78" s="925"/>
      <c r="G78" s="925"/>
      <c r="H78" s="925"/>
      <c r="I78" s="925"/>
      <c r="J78" s="925"/>
      <c r="K78" s="925"/>
      <c r="L78" s="925"/>
      <c r="M78" s="925"/>
      <c r="N78" s="925"/>
      <c r="O78" s="925"/>
    </row>
    <row r="79" spans="2:15" hidden="1" outlineLevel="1">
      <c r="B79" s="731"/>
      <c r="F79" s="925"/>
      <c r="G79" s="925"/>
      <c r="H79" s="925"/>
      <c r="I79" s="925"/>
      <c r="J79" s="925"/>
      <c r="K79" s="925"/>
      <c r="L79" s="925"/>
      <c r="M79" s="925"/>
      <c r="N79" s="925"/>
      <c r="O79" s="925"/>
    </row>
    <row r="80" spans="2:15" hidden="1" outlineLevel="1">
      <c r="B80" s="731"/>
      <c r="C80" s="121" t="s">
        <v>1055</v>
      </c>
      <c r="E80" s="20" t="s">
        <v>1075</v>
      </c>
      <c r="F80" s="840">
        <f t="array" ref="F80">SUM(F$75:F$76*SUMIFS(EF[CO2], EF[Vector], $B$75:$B$76))</f>
        <v>1.6533166919547941</v>
      </c>
      <c r="G80" s="840">
        <f t="array" ref="G80">SUM(G$75:G$76*SUMIFS(EF[CO2], EF[Vector], $B$75:$B$76))</f>
        <v>1.6536185908829701</v>
      </c>
      <c r="H80" s="840">
        <f t="array" ref="H80">SUM(H$75:H$76*SUMIFS(EF[CO2], EF[Vector], $B$75:$B$76))</f>
        <v>1.655128912635411</v>
      </c>
      <c r="I80" s="840">
        <f t="array" ref="I80">SUM(I$75:I$76*SUMIFS(EF[CO2], EF[Vector], $B$75:$B$76))</f>
        <v>1.6566406138303729</v>
      </c>
      <c r="J80" s="840">
        <f t="array" ref="J80">SUM(J$75:J$76*SUMIFS(EF[CO2], EF[Vector], $B$75:$B$76))</f>
        <v>1.6581536957277567</v>
      </c>
      <c r="K80" s="840">
        <f t="array" ref="K80">SUM(K$75:K$76*SUMIFS(EF[CO2], EF[Vector], $B$75:$B$76))</f>
        <v>1.6596681595886225</v>
      </c>
      <c r="L80" s="840">
        <f t="array" ref="L80">SUM(L$75:L$76*SUMIFS(EF[CO2], EF[Vector], $B$75:$B$76))</f>
        <v>1.6611840066751742</v>
      </c>
      <c r="M80" s="840">
        <f t="array" ref="M80">SUM(M$75:M$76*SUMIFS(EF[CO2], EF[Vector], $B$75:$B$76))</f>
        <v>1.662701238250776</v>
      </c>
      <c r="N80" s="840">
        <f t="array" ref="N80">SUM(N$75:N$76*SUMIFS(EF[CO2], EF[Vector], $B$75:$B$76))</f>
        <v>1.664219855579937</v>
      </c>
      <c r="O80" s="840">
        <f t="array" ref="O80">SUM(O$75:O$76*SUMIFS(EF[CO2], EF[Vector], $B$75:$B$76))</f>
        <v>1.6657398599283304</v>
      </c>
    </row>
    <row r="81" spans="1:19" hidden="1" outlineLevel="1">
      <c r="B81" s="731"/>
      <c r="C81" s="121" t="s">
        <v>1056</v>
      </c>
      <c r="E81" s="20"/>
      <c r="F81" s="840">
        <f t="array" ref="F81">SUM(F$75:F$76*SUMIFS(EF[CH4], EF[Vector], $B$75:$B$76))</f>
        <v>3.3140496803579565E-3</v>
      </c>
      <c r="G81" s="840">
        <f t="array" ref="G81">SUM(G$75:G$76*SUMIFS(EF[CH4], EF[Vector], $B$75:$B$76))</f>
        <v>3.3146548324448437E-3</v>
      </c>
      <c r="H81" s="840">
        <f t="array" ref="H81">SUM(H$75:H$76*SUMIFS(EF[CH4], EF[Vector], $B$75:$B$76))</f>
        <v>3.3176822508125831E-3</v>
      </c>
      <c r="I81" s="840">
        <f t="array" ref="I81">SUM(I$75:I$76*SUMIFS(EF[CH4], EF[Vector], $B$75:$B$76))</f>
        <v>3.3207124342531417E-3</v>
      </c>
      <c r="J81" s="840">
        <f t="array" ref="J81">SUM(J$75:J$76*SUMIFS(EF[CH4], EF[Vector], $B$75:$B$76))</f>
        <v>3.3237453852919723E-3</v>
      </c>
      <c r="K81" s="840">
        <f t="array" ref="K81">SUM(K$75:K$76*SUMIFS(EF[CH4], EF[Vector], $B$75:$B$76))</f>
        <v>3.326781106456852E-3</v>
      </c>
      <c r="L81" s="840">
        <f t="array" ref="L81">SUM(L$75:L$76*SUMIFS(EF[CH4], EF[Vector], $B$75:$B$76))</f>
        <v>3.3298196002778504E-3</v>
      </c>
      <c r="M81" s="840">
        <f t="array" ref="M81">SUM(M$75:M$76*SUMIFS(EF[CH4], EF[Vector], $B$75:$B$76))</f>
        <v>3.332860869287363E-3</v>
      </c>
      <c r="N81" s="840">
        <f t="array" ref="N81">SUM(N$75:N$76*SUMIFS(EF[CH4], EF[Vector], $B$75:$B$76))</f>
        <v>3.3359049160200807E-3</v>
      </c>
      <c r="O81" s="840">
        <f t="array" ref="O81">SUM(O$75:O$76*SUMIFS(EF[CH4], EF[Vector], $B$75:$B$76))</f>
        <v>3.3389517430130263E-3</v>
      </c>
    </row>
    <row r="82" spans="1:19" hidden="1" outlineLevel="1">
      <c r="B82" s="731"/>
      <c r="C82" s="121" t="s">
        <v>1057</v>
      </c>
      <c r="E82" s="20"/>
      <c r="F82" s="840">
        <f t="array" ref="F82">SUM(F$75:F$76*SUMIFS(EF[N2O], EF[Vector], $B$75:$B$76))</f>
        <v>3.5644215488280567E-3</v>
      </c>
      <c r="G82" s="840">
        <f t="array" ref="G82">SUM(G$75:G$76*SUMIFS(EF[N2O], EF[Vector], $B$75:$B$76))</f>
        <v>3.5650724193178997E-3</v>
      </c>
      <c r="H82" s="840">
        <f t="array" ref="H82">SUM(H$75:H$76*SUMIFS(EF[N2O], EF[Vector], $B$75:$B$76))</f>
        <v>3.568328554954986E-3</v>
      </c>
      <c r="I82" s="840">
        <f t="array" ref="I82">SUM(I$75:I$76*SUMIFS(EF[N2O], EF[Vector], $B$75:$B$76))</f>
        <v>3.5715876645623177E-3</v>
      </c>
      <c r="J82" s="840">
        <f t="array" ref="J82">SUM(J$75:J$76*SUMIFS(EF[N2O], EF[Vector], $B$75:$B$76))</f>
        <v>3.5748497508561418E-3</v>
      </c>
      <c r="K82" s="840">
        <f t="array" ref="K82">SUM(K$75:K$76*SUMIFS(EF[N2O], EF[Vector], $B$75:$B$76))</f>
        <v>3.5781148165552061E-3</v>
      </c>
      <c r="L82" s="840">
        <f t="array" ref="L82">SUM(L$75:L$76*SUMIFS(EF[N2O], EF[Vector], $B$75:$B$76))</f>
        <v>3.5813828643807221E-3</v>
      </c>
      <c r="M82" s="840">
        <f t="array" ref="M82">SUM(M$75:M$76*SUMIFS(EF[N2O], EF[Vector], $B$75:$B$76))</f>
        <v>3.5846538970564063E-3</v>
      </c>
      <c r="N82" s="840">
        <f t="array" ref="N82">SUM(N$75:N$76*SUMIFS(EF[N2O], EF[Vector], $B$75:$B$76))</f>
        <v>3.58792791730844E-3</v>
      </c>
      <c r="O82" s="840">
        <f t="array" ref="O82">SUM(O$75:O$76*SUMIFS(EF[N2O], EF[Vector], $B$75:$B$76))</f>
        <v>3.5912049278655155E-3</v>
      </c>
    </row>
    <row r="83" spans="1:19" hidden="1" outlineLevel="1">
      <c r="E83" s="20"/>
      <c r="F83" s="925"/>
      <c r="G83" s="925"/>
      <c r="H83" s="925"/>
      <c r="I83" s="925"/>
      <c r="J83" s="925"/>
      <c r="K83" s="925"/>
      <c r="L83" s="925"/>
      <c r="M83" s="925"/>
      <c r="N83" s="925"/>
      <c r="O83" s="925"/>
    </row>
    <row r="84" spans="1:19" s="743" customFormat="1">
      <c r="F84" s="27"/>
      <c r="S84" s="27"/>
    </row>
    <row r="85" spans="1:19" ht="22.5" collapsed="1">
      <c r="A85" s="1171"/>
      <c r="B85" s="1231" t="s">
        <v>683</v>
      </c>
      <c r="C85" s="1183"/>
      <c r="D85" s="1183"/>
      <c r="E85" s="1183"/>
      <c r="F85" s="1183"/>
      <c r="G85" s="1183"/>
      <c r="H85" s="1183"/>
      <c r="I85" s="1183"/>
      <c r="J85" s="1183"/>
      <c r="K85" s="1183"/>
      <c r="L85" s="1183"/>
      <c r="M85" s="1183"/>
      <c r="N85" s="1183"/>
      <c r="O85" s="1183"/>
      <c r="P85" s="1185"/>
      <c r="S85" s="27"/>
    </row>
    <row r="86" spans="1:19" hidden="1" outlineLevel="1">
      <c r="B86" s="1172"/>
      <c r="C86" s="1174"/>
      <c r="D86" s="1174"/>
      <c r="E86" s="1174"/>
      <c r="F86" s="1174"/>
      <c r="G86" s="1174"/>
      <c r="H86" s="1174"/>
      <c r="I86" s="1174"/>
      <c r="J86" s="1174"/>
      <c r="K86" s="1174"/>
      <c r="L86" s="1174"/>
      <c r="M86" s="1174"/>
      <c r="N86" s="1174"/>
      <c r="O86" s="1174"/>
      <c r="P86" s="1176"/>
      <c r="S86" s="27"/>
    </row>
    <row r="87" spans="1:19" hidden="1" outlineLevel="1">
      <c r="B87" s="1172"/>
      <c r="C87" s="1186" t="s">
        <v>730</v>
      </c>
      <c r="D87" s="1174"/>
      <c r="E87" s="1175" t="str">
        <f>Preferences.EnergyUnits</f>
        <v>TWh</v>
      </c>
      <c r="F87" s="1174"/>
      <c r="G87" s="1175"/>
      <c r="H87" s="1174"/>
      <c r="I87" s="1174"/>
      <c r="J87" s="1174"/>
      <c r="K87" s="1174"/>
      <c r="L87" s="1174"/>
      <c r="M87" s="1174"/>
      <c r="N87" s="1174"/>
      <c r="O87" s="1174"/>
      <c r="P87" s="1176"/>
      <c r="S87" s="27"/>
    </row>
    <row r="88" spans="1:19" ht="6" hidden="1" customHeight="1" outlineLevel="1">
      <c r="B88" s="1172"/>
      <c r="C88" s="1174"/>
      <c r="D88" s="1174"/>
      <c r="E88" s="1174"/>
      <c r="F88" s="1174"/>
      <c r="G88" s="1174"/>
      <c r="H88" s="1174"/>
      <c r="I88" s="1174"/>
      <c r="J88" s="1174"/>
      <c r="K88" s="1174"/>
      <c r="L88" s="1174"/>
      <c r="M88" s="1174"/>
      <c r="N88" s="1174"/>
      <c r="O88" s="1174"/>
      <c r="P88" s="1176"/>
      <c r="S88" s="27"/>
    </row>
    <row r="89" spans="1:19" ht="15.75" hidden="1" outlineLevel="1">
      <c r="A89" s="3"/>
      <c r="B89" s="1177"/>
      <c r="C89" s="1188" t="s">
        <v>78</v>
      </c>
      <c r="D89" s="1188" t="s">
        <v>418</v>
      </c>
      <c r="E89" s="1188" t="s">
        <v>442</v>
      </c>
      <c r="F89" s="1188" t="s">
        <v>691</v>
      </c>
      <c r="G89" s="1188" t="s">
        <v>692</v>
      </c>
      <c r="H89" s="1189" t="s">
        <v>721</v>
      </c>
      <c r="I89" s="1189" t="s">
        <v>722</v>
      </c>
      <c r="J89" s="1189" t="s">
        <v>723</v>
      </c>
      <c r="K89" s="1189" t="s">
        <v>724</v>
      </c>
      <c r="L89" s="1189" t="s">
        <v>725</v>
      </c>
      <c r="M89" s="1189" t="s">
        <v>726</v>
      </c>
      <c r="N89" s="1189" t="s">
        <v>727</v>
      </c>
      <c r="O89" s="1189" t="s">
        <v>728</v>
      </c>
      <c r="P89" s="1176"/>
    </row>
    <row r="90" spans="1:19" ht="15.75" hidden="1" outlineLevel="1">
      <c r="A90" s="3"/>
      <c r="B90" s="1177"/>
      <c r="C90" s="1188" t="s">
        <v>57</v>
      </c>
      <c r="D90" s="1188" t="str">
        <f>INDEX(Vectors[Description], MATCH([Vector], Vectors[Code], 0))</f>
        <v>Lighting &amp; appliances</v>
      </c>
      <c r="E90" s="1188"/>
      <c r="F90" s="1266">
        <f>F75+F76</f>
        <v>81.620295883801745</v>
      </c>
      <c r="G90" s="1266">
        <f t="shared" ref="G90:O90" si="8">G75+G76</f>
        <v>82.034798448544777</v>
      </c>
      <c r="H90" s="1266">
        <f t="shared" si="8"/>
        <v>84.153453361469857</v>
      </c>
      <c r="I90" s="1266">
        <f t="shared" si="8"/>
        <v>86.351285329415219</v>
      </c>
      <c r="J90" s="1266">
        <f t="shared" si="8"/>
        <v>88.631501524746312</v>
      </c>
      <c r="K90" s="1266">
        <f t="shared" si="8"/>
        <v>90.997447774517084</v>
      </c>
      <c r="L90" s="1266">
        <f t="shared" si="8"/>
        <v>93.452614877783446</v>
      </c>
      <c r="M90" s="1266">
        <f t="shared" si="8"/>
        <v>96.000645222047623</v>
      </c>
      <c r="N90" s="1266">
        <f t="shared" si="8"/>
        <v>98.645339713370134</v>
      </c>
      <c r="O90" s="1266">
        <f t="shared" si="8"/>
        <v>101.39066503541156</v>
      </c>
      <c r="P90" s="1176"/>
    </row>
    <row r="91" spans="1:19" ht="15.75" hidden="1" outlineLevel="1">
      <c r="A91" s="3"/>
      <c r="B91" s="1177"/>
      <c r="C91" s="1188" t="s">
        <v>45</v>
      </c>
      <c r="D91" s="1188" t="str">
        <f>INDEX(Vectors[Description], MATCH([Vector], Vectors[Code], 0))</f>
        <v>Electricity (delivered to end user)</v>
      </c>
      <c r="E91" s="1188"/>
      <c r="F91" s="1266">
        <f>-F75</f>
        <v>-72.634879079699601</v>
      </c>
      <c r="G91" s="1266">
        <f t="shared" ref="G91:O91" si="9">-G75</f>
        <v>-73.047740889398199</v>
      </c>
      <c r="H91" s="1266">
        <f t="shared" si="9"/>
        <v>-75.158187531929585</v>
      </c>
      <c r="I91" s="1266">
        <f t="shared" si="9"/>
        <v>-77.347803732511025</v>
      </c>
      <c r="J91" s="1266">
        <f t="shared" si="9"/>
        <v>-79.619796656660682</v>
      </c>
      <c r="K91" s="1266">
        <f t="shared" si="9"/>
        <v>-81.977512124578922</v>
      </c>
      <c r="L91" s="1266">
        <f t="shared" si="9"/>
        <v>-84.424440928461848</v>
      </c>
      <c r="M91" s="1266">
        <f t="shared" si="9"/>
        <v>-86.964225448945584</v>
      </c>
      <c r="N91" s="1266">
        <f t="shared" si="9"/>
        <v>-89.600666585218306</v>
      </c>
      <c r="O91" s="1266">
        <f t="shared" si="9"/>
        <v>-92.33773101406193</v>
      </c>
      <c r="P91" s="1176"/>
    </row>
    <row r="92" spans="1:19" ht="15.75" hidden="1" outlineLevel="1">
      <c r="A92" s="3"/>
      <c r="B92" s="1177"/>
      <c r="C92" s="1188" t="s">
        <v>50</v>
      </c>
      <c r="D92" s="1188" t="str">
        <f>INDEX(Vectors[Description], MATCH([Vector], Vectors[Code], 0))</f>
        <v>Gaseous hydrocarbons</v>
      </c>
      <c r="E92" s="1188"/>
      <c r="F92" s="1266">
        <f>-F76</f>
        <v>-8.9854168041021438</v>
      </c>
      <c r="G92" s="1266">
        <f t="shared" ref="G92:O92" si="10">-G76</f>
        <v>-8.987057559146578</v>
      </c>
      <c r="H92" s="1266">
        <f t="shared" si="10"/>
        <v>-8.9952658295402781</v>
      </c>
      <c r="I92" s="1266">
        <f t="shared" si="10"/>
        <v>-9.0034815969042015</v>
      </c>
      <c r="J92" s="1266">
        <f t="shared" si="10"/>
        <v>-9.0117048680856353</v>
      </c>
      <c r="K92" s="1266">
        <f t="shared" si="10"/>
        <v>-9.0199356499381675</v>
      </c>
      <c r="L92" s="1266">
        <f t="shared" si="10"/>
        <v>-9.0281739493215998</v>
      </c>
      <c r="M92" s="1266">
        <f t="shared" si="10"/>
        <v>-9.036419773102045</v>
      </c>
      <c r="N92" s="1266">
        <f t="shared" si="10"/>
        <v>-9.0446731281518336</v>
      </c>
      <c r="O92" s="1266">
        <f t="shared" si="10"/>
        <v>-9.052934021349623</v>
      </c>
      <c r="P92" s="1176"/>
    </row>
    <row r="93" spans="1:19" ht="15.75" hidden="1" outlineLevel="1">
      <c r="A93" s="3"/>
      <c r="B93" s="1177"/>
      <c r="C93" s="765" t="s">
        <v>148</v>
      </c>
      <c r="D93" s="765"/>
      <c r="E93" s="765"/>
      <c r="F93" s="1749">
        <f>SUBTOTAL(109,[2007])</f>
        <v>0</v>
      </c>
      <c r="G93" s="1749">
        <f>SUBTOTAL(109,[2010])</f>
        <v>0</v>
      </c>
      <c r="H93" s="1749">
        <f>SUBTOTAL(109,[2015])</f>
        <v>0</v>
      </c>
      <c r="I93" s="1749">
        <f>SUBTOTAL(109,[2020])</f>
        <v>0</v>
      </c>
      <c r="J93" s="1749">
        <f>SUBTOTAL(109,[2025])</f>
        <v>0</v>
      </c>
      <c r="K93" s="1749">
        <f>SUBTOTAL(109,[2030])</f>
        <v>0</v>
      </c>
      <c r="L93" s="1749">
        <f>SUBTOTAL(109,[2035])</f>
        <v>0</v>
      </c>
      <c r="M93" s="1749">
        <f>SUBTOTAL(109,[2040])</f>
        <v>0</v>
      </c>
      <c r="N93" s="1749">
        <f>SUBTOTAL(109,[2045])</f>
        <v>0</v>
      </c>
      <c r="O93" s="1749">
        <f>SUBTOTAL(109,[2050])</f>
        <v>0</v>
      </c>
      <c r="P93" s="1176"/>
    </row>
    <row r="94" spans="1:19" ht="15.75" hidden="1" outlineLevel="1">
      <c r="A94" s="3"/>
      <c r="B94" s="1178"/>
      <c r="C94" s="1179"/>
      <c r="D94" s="1179"/>
      <c r="E94" s="1179"/>
      <c r="F94" s="1289"/>
      <c r="G94" s="1179"/>
      <c r="H94" s="1179"/>
      <c r="I94" s="1179"/>
      <c r="J94" s="1179"/>
      <c r="K94" s="1179"/>
      <c r="L94" s="1179"/>
      <c r="M94" s="1179"/>
      <c r="N94" s="1179"/>
      <c r="O94" s="1179"/>
      <c r="P94" s="1181"/>
    </row>
    <row r="95" spans="1:19" hidden="1" outlineLevel="1"/>
    <row r="96" spans="1:19" ht="22.5" hidden="1" outlineLevel="1">
      <c r="A96" s="1171"/>
      <c r="B96" s="1249" t="s">
        <v>902</v>
      </c>
      <c r="C96" s="1198"/>
      <c r="D96" s="1199"/>
      <c r="E96" s="1199"/>
      <c r="F96" s="1199"/>
      <c r="G96" s="1199"/>
      <c r="H96" s="1199"/>
      <c r="I96" s="1199"/>
      <c r="J96" s="1199"/>
      <c r="K96" s="1199"/>
      <c r="L96" s="1199"/>
      <c r="M96" s="1199"/>
      <c r="N96" s="1199"/>
      <c r="O96" s="1199"/>
      <c r="P96" s="1200"/>
    </row>
    <row r="97" spans="2:16" hidden="1" outlineLevel="1">
      <c r="B97" s="1207"/>
      <c r="C97" s="1208"/>
      <c r="D97" s="1208"/>
      <c r="E97" s="1208"/>
      <c r="F97" s="1208"/>
      <c r="G97" s="1208"/>
      <c r="H97" s="1208"/>
      <c r="I97" s="1208"/>
      <c r="J97" s="1208"/>
      <c r="K97" s="1208"/>
      <c r="L97" s="1208"/>
      <c r="M97" s="1208"/>
      <c r="N97" s="1208"/>
      <c r="O97" s="1208"/>
      <c r="P97" s="1209"/>
    </row>
    <row r="98" spans="2:16" ht="14.25" hidden="1" outlineLevel="1">
      <c r="B98" s="1210"/>
      <c r="C98" s="1201" t="s">
        <v>1073</v>
      </c>
      <c r="D98" s="1202"/>
      <c r="E98" s="1203"/>
      <c r="F98" s="1202"/>
      <c r="G98" s="1203"/>
      <c r="H98" s="1202"/>
      <c r="I98" s="1202"/>
      <c r="J98" s="1202"/>
      <c r="K98" s="1202"/>
      <c r="L98" s="1202"/>
      <c r="M98" s="1202"/>
      <c r="N98" s="1202"/>
      <c r="O98" s="1203" t="s">
        <v>1076</v>
      </c>
      <c r="P98" s="1211"/>
    </row>
    <row r="99" spans="2:16" ht="5.25" hidden="1" customHeight="1" outlineLevel="1">
      <c r="B99" s="1210"/>
      <c r="C99" s="1202"/>
      <c r="D99" s="1202"/>
      <c r="E99" s="1202"/>
      <c r="F99" s="1202"/>
      <c r="G99" s="1202"/>
      <c r="H99" s="1202"/>
      <c r="I99" s="1202"/>
      <c r="J99" s="1202"/>
      <c r="K99" s="1202"/>
      <c r="L99" s="1202"/>
      <c r="M99" s="1202"/>
      <c r="N99" s="1202"/>
      <c r="O99" s="1202"/>
      <c r="P99" s="1211"/>
    </row>
    <row r="100" spans="2:16" ht="15.75" hidden="1" outlineLevel="1">
      <c r="B100" s="1212"/>
      <c r="C100" s="1269" t="s">
        <v>1072</v>
      </c>
      <c r="D100" s="1269" t="s">
        <v>1042</v>
      </c>
      <c r="E100" s="1269" t="s">
        <v>442</v>
      </c>
      <c r="F100" s="1269" t="s">
        <v>691</v>
      </c>
      <c r="G100" s="1269" t="s">
        <v>692</v>
      </c>
      <c r="H100" s="1269" t="s">
        <v>721</v>
      </c>
      <c r="I100" s="1269" t="s">
        <v>722</v>
      </c>
      <c r="J100" s="1269" t="s">
        <v>723</v>
      </c>
      <c r="K100" s="1269" t="s">
        <v>724</v>
      </c>
      <c r="L100" s="1269" t="s">
        <v>725</v>
      </c>
      <c r="M100" s="1269" t="s">
        <v>726</v>
      </c>
      <c r="N100" s="1269" t="s">
        <v>727</v>
      </c>
      <c r="O100" s="1269" t="s">
        <v>728</v>
      </c>
      <c r="P100" s="1211"/>
    </row>
    <row r="101" spans="2:16" ht="15.75" hidden="1" outlineLevel="1">
      <c r="B101" s="1212"/>
      <c r="C101" s="1206" t="s">
        <v>1055</v>
      </c>
      <c r="D101" s="1216" t="s">
        <v>1065</v>
      </c>
      <c r="E101" s="1206" t="str">
        <f>INDEX(IPCC[Sector_description], MATCH([IPCC Sector], IPCC[Sector_code], 0))</f>
        <v>Fuel Combustion</v>
      </c>
      <c r="F101" s="1268">
        <f>F80</f>
        <v>1.6533166919547941</v>
      </c>
      <c r="G101" s="1268">
        <f t="shared" ref="G101:O101" si="11">G80</f>
        <v>1.6536185908829701</v>
      </c>
      <c r="H101" s="1268">
        <f t="shared" si="11"/>
        <v>1.655128912635411</v>
      </c>
      <c r="I101" s="1268">
        <f t="shared" si="11"/>
        <v>1.6566406138303729</v>
      </c>
      <c r="J101" s="1268">
        <f t="shared" si="11"/>
        <v>1.6581536957277567</v>
      </c>
      <c r="K101" s="1268">
        <f t="shared" si="11"/>
        <v>1.6596681595886225</v>
      </c>
      <c r="L101" s="1268">
        <f t="shared" si="11"/>
        <v>1.6611840066751742</v>
      </c>
      <c r="M101" s="1268">
        <f t="shared" si="11"/>
        <v>1.662701238250776</v>
      </c>
      <c r="N101" s="1268">
        <f t="shared" si="11"/>
        <v>1.664219855579937</v>
      </c>
      <c r="O101" s="1268">
        <f t="shared" si="11"/>
        <v>1.6657398599283304</v>
      </c>
      <c r="P101" s="1211"/>
    </row>
    <row r="102" spans="2:16" ht="15.75" hidden="1" outlineLevel="1">
      <c r="B102" s="1212"/>
      <c r="C102" s="1206" t="s">
        <v>1056</v>
      </c>
      <c r="D102" s="1216" t="s">
        <v>1065</v>
      </c>
      <c r="E102" s="1206" t="str">
        <f>INDEX(IPCC[Sector_description], MATCH([IPCC Sector], IPCC[Sector_code], 0))</f>
        <v>Fuel Combustion</v>
      </c>
      <c r="F102" s="1268">
        <f>F81</f>
        <v>3.3140496803579565E-3</v>
      </c>
      <c r="G102" s="1268">
        <f t="shared" ref="G102:O102" si="12">G81</f>
        <v>3.3146548324448437E-3</v>
      </c>
      <c r="H102" s="1268">
        <f t="shared" si="12"/>
        <v>3.3176822508125831E-3</v>
      </c>
      <c r="I102" s="1268">
        <f t="shared" si="12"/>
        <v>3.3207124342531417E-3</v>
      </c>
      <c r="J102" s="1268">
        <f t="shared" si="12"/>
        <v>3.3237453852919723E-3</v>
      </c>
      <c r="K102" s="1268">
        <f t="shared" si="12"/>
        <v>3.326781106456852E-3</v>
      </c>
      <c r="L102" s="1268">
        <f t="shared" si="12"/>
        <v>3.3298196002778504E-3</v>
      </c>
      <c r="M102" s="1268">
        <f t="shared" si="12"/>
        <v>3.332860869287363E-3</v>
      </c>
      <c r="N102" s="1268">
        <f t="shared" si="12"/>
        <v>3.3359049160200807E-3</v>
      </c>
      <c r="O102" s="1268">
        <f t="shared" si="12"/>
        <v>3.3389517430130263E-3</v>
      </c>
      <c r="P102" s="1211"/>
    </row>
    <row r="103" spans="2:16" ht="15.75" hidden="1" outlineLevel="1">
      <c r="B103" s="1212"/>
      <c r="C103" s="1206" t="s">
        <v>1057</v>
      </c>
      <c r="D103" s="1216" t="s">
        <v>1065</v>
      </c>
      <c r="E103" s="1206" t="str">
        <f>INDEX(IPCC[Sector_description], MATCH([IPCC Sector], IPCC[Sector_code], 0))</f>
        <v>Fuel Combustion</v>
      </c>
      <c r="F103" s="1268">
        <f>F82</f>
        <v>3.5644215488280567E-3</v>
      </c>
      <c r="G103" s="1268">
        <f t="shared" ref="G103:O103" si="13">G82</f>
        <v>3.5650724193178997E-3</v>
      </c>
      <c r="H103" s="1268">
        <f t="shared" si="13"/>
        <v>3.568328554954986E-3</v>
      </c>
      <c r="I103" s="1268">
        <f t="shared" si="13"/>
        <v>3.5715876645623177E-3</v>
      </c>
      <c r="J103" s="1268">
        <f t="shared" si="13"/>
        <v>3.5748497508561418E-3</v>
      </c>
      <c r="K103" s="1268">
        <f t="shared" si="13"/>
        <v>3.5781148165552061E-3</v>
      </c>
      <c r="L103" s="1268">
        <f t="shared" si="13"/>
        <v>3.5813828643807221E-3</v>
      </c>
      <c r="M103" s="1268">
        <f t="shared" si="13"/>
        <v>3.5846538970564063E-3</v>
      </c>
      <c r="N103" s="1268">
        <f t="shared" si="13"/>
        <v>3.58792791730844E-3</v>
      </c>
      <c r="O103" s="1268">
        <f t="shared" si="13"/>
        <v>3.5912049278655155E-3</v>
      </c>
      <c r="P103" s="1211"/>
    </row>
    <row r="104" spans="2:16" ht="15.75" hidden="1" outlineLevel="1">
      <c r="B104" s="1212"/>
      <c r="C104" s="1206" t="s">
        <v>148</v>
      </c>
      <c r="D104" s="1206"/>
      <c r="E104" s="1206"/>
      <c r="F104" s="1278">
        <f>SUBTOTAL(109,[2007])</f>
        <v>0</v>
      </c>
      <c r="G104" s="1278">
        <f>SUBTOTAL(109,[2010])</f>
        <v>0</v>
      </c>
      <c r="H104" s="1278">
        <f>SUBTOTAL(109,[2015])</f>
        <v>0</v>
      </c>
      <c r="I104" s="1278">
        <f>SUBTOTAL(109,[2020])</f>
        <v>0</v>
      </c>
      <c r="J104" s="1278">
        <f>SUBTOTAL(109,[2025])</f>
        <v>0</v>
      </c>
      <c r="K104" s="1278">
        <f>SUBTOTAL(109,[2030])</f>
        <v>0</v>
      </c>
      <c r="L104" s="1278">
        <f>SUBTOTAL(109,[2035])</f>
        <v>0</v>
      </c>
      <c r="M104" s="1278">
        <f>SUBTOTAL(109,[2040])</f>
        <v>0</v>
      </c>
      <c r="N104" s="1278">
        <f>SUBTOTAL(109,[2045])</f>
        <v>0</v>
      </c>
      <c r="O104" s="1278">
        <f>SUBTOTAL(109,[2050])</f>
        <v>0</v>
      </c>
      <c r="P104" s="1211"/>
    </row>
    <row r="105" spans="2:16" ht="15.75" hidden="1" outlineLevel="1">
      <c r="B105" s="1270"/>
      <c r="C105" s="1214"/>
      <c r="D105" s="1214"/>
      <c r="E105" s="1214"/>
      <c r="F105" s="1214"/>
      <c r="G105" s="1214"/>
      <c r="H105" s="1214"/>
      <c r="I105" s="1214"/>
      <c r="J105" s="1214"/>
      <c r="K105" s="1214"/>
      <c r="L105" s="1214"/>
      <c r="M105" s="1214"/>
      <c r="N105" s="1214"/>
      <c r="O105" s="1214"/>
      <c r="P105" s="1215"/>
    </row>
    <row r="106" spans="2:16" hidden="1" outlineLevel="1"/>
  </sheetData>
  <pageMargins left="0.7" right="0.7" top="0.75" bottom="0.75" header="0.3" footer="0.3"/>
  <pageSetup paperSize="9" orientation="portrait" r:id="rId1"/>
  <ignoredErrors>
    <ignoredError sqref="F90:F92" calculatedColumn="1"/>
  </ignoredErrors>
  <legacyDrawing r:id="rId2"/>
  <tableParts count="2">
    <tablePart r:id="rId3"/>
    <tablePart r:id="rId4"/>
  </tableParts>
</worksheet>
</file>

<file path=xl/worksheets/sheet4.xml><?xml version="1.0" encoding="utf-8"?>
<worksheet xmlns="http://schemas.openxmlformats.org/spreadsheetml/2006/main" xmlns:r="http://schemas.openxmlformats.org/officeDocument/2006/relationships">
  <sheetPr codeName="Sheet57"/>
  <dimension ref="A2:I27"/>
  <sheetViews>
    <sheetView showGridLines="0" showRowColHeaders="0" zoomScale="80" zoomScaleNormal="80" workbookViewId="0"/>
  </sheetViews>
  <sheetFormatPr defaultRowHeight="12.75"/>
  <cols>
    <col min="2" max="2" width="32.140625" customWidth="1"/>
    <col min="3" max="3" width="88.140625" customWidth="1"/>
  </cols>
  <sheetData>
    <row r="2" spans="1:9" ht="22.5">
      <c r="B2" s="2525" t="s">
        <v>2531</v>
      </c>
    </row>
    <row r="3" spans="1:9" s="121" customFormat="1" ht="15.75">
      <c r="A3" s="3"/>
      <c r="B3" s="731"/>
    </row>
    <row r="4" spans="1:9">
      <c r="B4" s="121" t="s">
        <v>2587</v>
      </c>
    </row>
    <row r="5" spans="1:9">
      <c r="B5" s="121" t="s">
        <v>2466</v>
      </c>
    </row>
    <row r="6" spans="1:9" s="121" customFormat="1" ht="15.75">
      <c r="A6" s="3"/>
      <c r="B6" s="2579"/>
      <c r="C6" s="2524"/>
      <c r="D6" s="2524"/>
      <c r="E6"/>
      <c r="F6"/>
      <c r="G6"/>
      <c r="H6"/>
      <c r="I6"/>
    </row>
    <row r="7" spans="1:9" ht="15.75">
      <c r="A7" s="3"/>
    </row>
    <row r="8" spans="1:9" ht="25.5">
      <c r="A8" s="767"/>
      <c r="B8" s="2578" t="s">
        <v>2547</v>
      </c>
      <c r="C8" s="2577" t="s">
        <v>2549</v>
      </c>
    </row>
    <row r="9" spans="1:9" s="121" customFormat="1" ht="18">
      <c r="A9" s="767"/>
      <c r="B9" s="741"/>
      <c r="C9" s="2577"/>
    </row>
    <row r="10" spans="1:9" ht="18">
      <c r="A10" s="767"/>
      <c r="B10" s="2578" t="s">
        <v>2529</v>
      </c>
      <c r="C10" s="2577" t="s">
        <v>2550</v>
      </c>
    </row>
    <row r="11" spans="1:9" s="121" customFormat="1" ht="18">
      <c r="A11" s="767"/>
      <c r="B11" s="741"/>
      <c r="C11" s="2577"/>
    </row>
    <row r="12" spans="1:9" ht="30" customHeight="1">
      <c r="A12" s="767"/>
      <c r="B12" s="2578" t="s">
        <v>2530</v>
      </c>
      <c r="C12" s="2577" t="s">
        <v>2551</v>
      </c>
    </row>
    <row r="13" spans="1:9" ht="42.75" customHeight="1">
      <c r="A13" s="767"/>
      <c r="B13" s="741"/>
      <c r="C13" s="2580" t="s">
        <v>2552</v>
      </c>
    </row>
    <row r="14" spans="1:9" ht="18">
      <c r="A14" s="767"/>
      <c r="B14" s="741"/>
      <c r="C14" s="2577" t="s">
        <v>2553</v>
      </c>
    </row>
    <row r="15" spans="1:9" ht="18">
      <c r="A15" s="767"/>
      <c r="B15" s="741"/>
      <c r="C15" s="2577"/>
    </row>
    <row r="16" spans="1:9" ht="18">
      <c r="A16" s="767"/>
      <c r="B16" s="741"/>
      <c r="C16" s="2577"/>
    </row>
    <row r="17" spans="1:3" ht="18">
      <c r="A17" s="767"/>
      <c r="B17" s="741"/>
      <c r="C17" s="2577"/>
    </row>
    <row r="18" spans="1:3" ht="18">
      <c r="A18" s="767"/>
      <c r="B18" s="741"/>
      <c r="C18" s="2577"/>
    </row>
    <row r="19" spans="1:3" ht="18">
      <c r="A19" s="767"/>
      <c r="B19" s="741"/>
      <c r="C19" s="2577"/>
    </row>
    <row r="20" spans="1:3" ht="18">
      <c r="A20" s="767"/>
      <c r="B20" s="741"/>
      <c r="C20" s="2577"/>
    </row>
    <row r="21" spans="1:3" ht="18">
      <c r="A21" s="767"/>
      <c r="C21" s="754"/>
    </row>
    <row r="22" spans="1:3" ht="18">
      <c r="A22" s="767"/>
      <c r="C22" s="754"/>
    </row>
    <row r="23" spans="1:3" ht="18">
      <c r="A23" s="767"/>
    </row>
    <row r="24" spans="1:3" ht="18">
      <c r="A24" s="767"/>
    </row>
    <row r="25" spans="1:3" ht="18">
      <c r="A25" s="767"/>
    </row>
    <row r="26" spans="1:3" ht="18">
      <c r="A26" s="767"/>
    </row>
    <row r="27" spans="1:3" ht="18">
      <c r="A27" s="767"/>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2">
    <tabColor theme="9"/>
    <outlinePr summaryBelow="0"/>
    <pageSetUpPr autoPageBreaks="0"/>
  </sheetPr>
  <dimension ref="A1:W236"/>
  <sheetViews>
    <sheetView showGridLines="0" zoomScale="80" zoomScaleNormal="80" workbookViewId="0">
      <pane ySplit="2" topLeftCell="A10" activePane="bottomLeft" state="frozen"/>
      <selection activeCell="Q127" sqref="Q127:Z140"/>
      <selection pane="bottomLeft"/>
    </sheetView>
  </sheetViews>
  <sheetFormatPr defaultRowHeight="12.75" outlineLevelRow="2"/>
  <cols>
    <col min="1" max="1" width="5.85546875" style="121" customWidth="1"/>
    <col min="2" max="2" width="4" style="121" customWidth="1"/>
    <col min="3" max="3" width="9.140625" style="121"/>
    <col min="4" max="4" width="28.140625" style="121" bestFit="1" customWidth="1"/>
    <col min="5" max="5" width="11.140625" style="121" customWidth="1"/>
    <col min="6" max="6" width="9.140625" style="121" customWidth="1"/>
    <col min="7" max="8" width="9.140625" style="121"/>
    <col min="9" max="15" width="9.140625" style="121" customWidth="1"/>
    <col min="16" max="16" width="5.140625" style="121" bestFit="1" customWidth="1"/>
    <col min="17" max="17" width="9.140625" style="121"/>
    <col min="18" max="18" width="2.28515625" style="121" customWidth="1"/>
    <col min="19" max="28" width="11.42578125" style="121" customWidth="1"/>
    <col min="29" max="16384" width="9.140625" style="121"/>
  </cols>
  <sheetData>
    <row r="1" spans="1:18" ht="21">
      <c r="A1" s="790" t="s">
        <v>678</v>
      </c>
      <c r="B1" s="790" t="str">
        <f>INDEX(Workstreams[Workstream], MATCH($A1, Workstreams[Code], 0))</f>
        <v>Industry</v>
      </c>
      <c r="C1" s="790"/>
    </row>
    <row r="2" spans="1:18" s="743" customFormat="1" ht="19.5" customHeight="1">
      <c r="A2" s="10" t="s">
        <v>900</v>
      </c>
      <c r="B2" s="10" t="str">
        <f>INDEX(Modules[Module], MATCH($A2, Modules[Code], 0))</f>
        <v>Industrial processes</v>
      </c>
      <c r="C2" s="10"/>
    </row>
    <row r="4" spans="1:18" ht="22.5" collapsed="1">
      <c r="A4" s="1171"/>
      <c r="B4" s="1231" t="s">
        <v>1353</v>
      </c>
      <c r="C4" s="1183"/>
      <c r="D4" s="1183"/>
      <c r="E4" s="1183"/>
      <c r="F4" s="1183"/>
      <c r="G4" s="1183"/>
      <c r="H4" s="1183"/>
      <c r="I4" s="1183"/>
      <c r="J4" s="1183"/>
      <c r="K4" s="1183"/>
      <c r="L4" s="1183"/>
      <c r="M4" s="1183"/>
      <c r="N4" s="1183"/>
      <c r="O4" s="1183"/>
      <c r="P4" s="1185"/>
      <c r="R4" s="834" t="s">
        <v>442</v>
      </c>
    </row>
    <row r="5" spans="1:18" hidden="1" outlineLevel="1">
      <c r="B5" s="1172"/>
      <c r="C5" s="1174"/>
      <c r="D5" s="1174"/>
      <c r="E5" s="1174"/>
      <c r="F5" s="1174"/>
      <c r="G5" s="1174"/>
      <c r="H5" s="1174"/>
      <c r="I5" s="1174"/>
      <c r="J5" s="1174"/>
      <c r="K5" s="1174"/>
      <c r="L5" s="1174"/>
      <c r="M5" s="1174"/>
      <c r="N5" s="1174"/>
      <c r="O5" s="1174"/>
      <c r="P5" s="1176"/>
    </row>
    <row r="6" spans="1:18" ht="5.25" hidden="1" customHeight="1" outlineLevel="1">
      <c r="B6" s="1172"/>
      <c r="C6" s="1173"/>
      <c r="D6" s="1174"/>
      <c r="E6" s="1175"/>
      <c r="F6" s="1174"/>
      <c r="G6" s="1174"/>
      <c r="H6" s="1174"/>
      <c r="I6" s="1174"/>
      <c r="J6" s="1174"/>
      <c r="K6" s="1174"/>
      <c r="L6" s="1174"/>
      <c r="M6" s="1174"/>
      <c r="N6" s="1174"/>
      <c r="O6" s="1174"/>
      <c r="P6" s="1176"/>
    </row>
    <row r="7" spans="1:18" ht="15.75" hidden="1" outlineLevel="1">
      <c r="B7" s="1177"/>
      <c r="C7" s="1174"/>
      <c r="D7" s="922" t="s">
        <v>830</v>
      </c>
      <c r="E7" s="922" t="s">
        <v>1352</v>
      </c>
      <c r="F7" s="1174"/>
      <c r="G7" s="1174"/>
      <c r="H7" s="1174"/>
      <c r="I7" s="1174"/>
      <c r="J7" s="1174"/>
      <c r="K7" s="1174"/>
      <c r="L7" s="1174"/>
      <c r="M7" s="1174"/>
      <c r="N7" s="1174"/>
      <c r="O7" s="1174"/>
      <c r="P7" s="1176"/>
    </row>
    <row r="8" spans="1:18" ht="15.75" hidden="1" outlineLevel="1">
      <c r="B8" s="1177"/>
      <c r="C8" s="1174"/>
      <c r="D8" s="950" t="s">
        <v>1457</v>
      </c>
      <c r="E8" s="950">
        <f>XI.a.Scenario</f>
        <v>1</v>
      </c>
      <c r="F8" s="1174"/>
      <c r="G8" s="1174"/>
      <c r="H8" s="1174"/>
      <c r="I8" s="1174"/>
      <c r="J8" s="1174"/>
      <c r="K8" s="1174"/>
      <c r="L8" s="1174"/>
      <c r="M8" s="1174"/>
      <c r="N8" s="1174"/>
      <c r="O8" s="1174"/>
      <c r="P8" s="1176"/>
    </row>
    <row r="9" spans="1:18" hidden="1" outlineLevel="1">
      <c r="B9" s="1192"/>
      <c r="C9" s="1180"/>
      <c r="D9" s="1180"/>
      <c r="E9" s="1180"/>
      <c r="F9" s="1180"/>
      <c r="G9" s="1180"/>
      <c r="H9" s="1180"/>
      <c r="I9" s="1180"/>
      <c r="J9" s="1180"/>
      <c r="K9" s="1180"/>
      <c r="L9" s="1180"/>
      <c r="M9" s="1180"/>
      <c r="N9" s="1180"/>
      <c r="O9" s="1180"/>
      <c r="P9" s="1181"/>
    </row>
    <row r="11" spans="1:18" s="743" customFormat="1" ht="22.5" collapsed="1">
      <c r="A11" s="1170"/>
      <c r="B11" s="1236" t="s">
        <v>1354</v>
      </c>
      <c r="C11" s="1167"/>
      <c r="D11" s="1167"/>
      <c r="E11" s="1167"/>
      <c r="F11" s="1167"/>
      <c r="G11" s="1167"/>
      <c r="H11" s="1167"/>
      <c r="I11" s="1167"/>
      <c r="J11" s="1167"/>
      <c r="K11" s="1167"/>
      <c r="L11" s="1167"/>
      <c r="M11" s="1167"/>
      <c r="N11" s="1167"/>
      <c r="O11" s="1167"/>
      <c r="P11" s="1168"/>
    </row>
    <row r="12" spans="1:18" hidden="1" outlineLevel="1">
      <c r="B12" s="1157"/>
      <c r="C12" s="864"/>
      <c r="D12" s="864"/>
      <c r="E12" s="864"/>
      <c r="F12" s="864"/>
      <c r="G12" s="864"/>
      <c r="H12" s="864"/>
      <c r="I12" s="864"/>
      <c r="J12" s="864"/>
      <c r="K12" s="864"/>
      <c r="L12" s="864"/>
      <c r="M12" s="864"/>
      <c r="N12" s="864"/>
      <c r="O12" s="864"/>
      <c r="P12" s="1158"/>
    </row>
    <row r="13" spans="1:18" hidden="1" outlineLevel="1">
      <c r="B13" s="1157"/>
      <c r="C13" s="866" t="s">
        <v>1550</v>
      </c>
      <c r="D13" s="864"/>
      <c r="E13" s="1256"/>
      <c r="F13" s="2396" t="s">
        <v>2267</v>
      </c>
      <c r="G13" s="2396"/>
      <c r="H13" s="2396"/>
      <c r="I13" s="867" t="s">
        <v>1079</v>
      </c>
      <c r="J13" s="2396" t="s">
        <v>2268</v>
      </c>
      <c r="K13" s="2396"/>
      <c r="L13" s="2396"/>
      <c r="M13" s="867" t="s">
        <v>1079</v>
      </c>
      <c r="N13" s="864"/>
      <c r="O13" s="867"/>
      <c r="P13" s="1158"/>
    </row>
    <row r="14" spans="1:18" ht="5.25" hidden="1" customHeight="1" outlineLevel="1">
      <c r="B14" s="1157"/>
      <c r="C14" s="864"/>
      <c r="D14" s="864"/>
      <c r="E14" s="1760"/>
      <c r="F14" s="1759"/>
      <c r="G14" s="864"/>
      <c r="H14" s="864"/>
      <c r="I14" s="864"/>
      <c r="J14" s="1759"/>
      <c r="K14" s="864"/>
      <c r="L14" s="864"/>
      <c r="M14" s="864"/>
      <c r="N14" s="864"/>
      <c r="O14" s="864"/>
      <c r="P14" s="1158"/>
    </row>
    <row r="15" spans="1:18" ht="15.75" hidden="1" outlineLevel="1">
      <c r="B15" s="1159"/>
      <c r="C15" s="766" t="s">
        <v>43</v>
      </c>
      <c r="D15" s="766" t="s">
        <v>79</v>
      </c>
      <c r="E15" s="766" t="s">
        <v>442</v>
      </c>
      <c r="F15" s="1458">
        <v>1</v>
      </c>
      <c r="G15" s="1458">
        <v>2</v>
      </c>
      <c r="H15" s="1458">
        <v>3</v>
      </c>
      <c r="I15" s="1458">
        <v>4</v>
      </c>
      <c r="J15" s="1458">
        <v>1</v>
      </c>
      <c r="K15" s="1458">
        <v>2</v>
      </c>
      <c r="L15" s="1458">
        <v>3</v>
      </c>
      <c r="M15" s="1458">
        <v>4</v>
      </c>
      <c r="N15" s="1293"/>
      <c r="O15" s="1293"/>
      <c r="P15" s="1158"/>
    </row>
    <row r="16" spans="1:18" ht="15.75" hidden="1" outlineLevel="1">
      <c r="B16" s="1159"/>
      <c r="C16" s="831" t="s">
        <v>1164</v>
      </c>
      <c r="D16" s="832" t="s">
        <v>174</v>
      </c>
      <c r="E16" s="1254"/>
      <c r="F16" s="919">
        <v>0</v>
      </c>
      <c r="G16" s="919">
        <v>0</v>
      </c>
      <c r="H16" s="919">
        <v>1.3310779286029084E-2</v>
      </c>
      <c r="I16" s="919">
        <v>-1.0846829685525305E-2</v>
      </c>
      <c r="J16" s="919">
        <v>0</v>
      </c>
      <c r="K16" s="919">
        <v>0</v>
      </c>
      <c r="L16" s="919">
        <v>1.3310779286029084E-2</v>
      </c>
      <c r="M16" s="919">
        <v>-1.0846829685525305E-2</v>
      </c>
      <c r="N16" s="1767"/>
      <c r="O16" s="847"/>
      <c r="P16" s="1158"/>
    </row>
    <row r="17" spans="2:22" ht="15.75" hidden="1" outlineLevel="1">
      <c r="B17" s="1159"/>
      <c r="C17" s="831" t="s">
        <v>1165</v>
      </c>
      <c r="D17" s="832" t="s">
        <v>1080</v>
      </c>
      <c r="E17" s="1254"/>
      <c r="F17" s="919">
        <v>-8.0443288159370852E-3</v>
      </c>
      <c r="G17" s="1086">
        <v>-8.0443288159370852E-3</v>
      </c>
      <c r="H17" s="1086">
        <v>3.7424021705030341E-3</v>
      </c>
      <c r="I17" s="1086">
        <v>-1.1726082808074967E-2</v>
      </c>
      <c r="J17" s="919">
        <v>-8.0443288159370852E-3</v>
      </c>
      <c r="K17" s="1086">
        <v>-8.0443288159370852E-3</v>
      </c>
      <c r="L17" s="1086">
        <v>3.7424021705030341E-3</v>
      </c>
      <c r="M17" s="1086">
        <v>-1.1726082808074967E-2</v>
      </c>
      <c r="N17" s="2134"/>
      <c r="O17" s="1091"/>
      <c r="P17" s="1158"/>
    </row>
    <row r="18" spans="2:22" ht="15.75" hidden="1" outlineLevel="1">
      <c r="B18" s="1159"/>
      <c r="C18" s="831" t="s">
        <v>1166</v>
      </c>
      <c r="D18" s="832" t="s">
        <v>1081</v>
      </c>
      <c r="E18" s="1254"/>
      <c r="F18" s="919">
        <v>2.4923768380578082E-3</v>
      </c>
      <c r="G18" s="1086">
        <v>2.4923768380578082E-3</v>
      </c>
      <c r="H18" s="1086">
        <v>1.4E-2</v>
      </c>
      <c r="I18" s="1086">
        <v>0</v>
      </c>
      <c r="J18" s="919">
        <v>2.4923768380578082E-3</v>
      </c>
      <c r="K18" s="1086">
        <v>2.4923768380578082E-3</v>
      </c>
      <c r="L18" s="1086">
        <v>1.4E-2</v>
      </c>
      <c r="M18" s="1086">
        <v>0</v>
      </c>
      <c r="N18" s="2134"/>
      <c r="O18" s="1091"/>
      <c r="P18" s="1158"/>
      <c r="S18" s="743"/>
    </row>
    <row r="19" spans="2:22" ht="15.75" hidden="1" outlineLevel="1">
      <c r="B19" s="1159"/>
      <c r="C19" s="769" t="s">
        <v>1167</v>
      </c>
      <c r="D19" s="770" t="s">
        <v>123</v>
      </c>
      <c r="E19" s="770"/>
      <c r="F19" s="778">
        <v>9.7999891756610502E-3</v>
      </c>
      <c r="G19" s="1462">
        <v>9.7999891756610502E-3</v>
      </c>
      <c r="H19" s="1462">
        <v>1.7000000000000001E-2</v>
      </c>
      <c r="I19" s="1462">
        <v>-8.7738643384517312E-3</v>
      </c>
      <c r="J19" s="778">
        <v>9.7999891756610502E-3</v>
      </c>
      <c r="K19" s="1462">
        <v>9.7999891756610502E-3</v>
      </c>
      <c r="L19" s="1462">
        <v>2.5000000000000001E-2</v>
      </c>
      <c r="M19" s="1462">
        <v>-8.7738643384517312E-3</v>
      </c>
      <c r="N19" s="2134"/>
      <c r="O19" s="1091"/>
      <c r="P19" s="1158"/>
      <c r="S19" s="743"/>
    </row>
    <row r="20" spans="2:22" hidden="1" outlineLevel="1">
      <c r="B20" s="1157"/>
      <c r="C20" s="864"/>
      <c r="D20" s="864"/>
      <c r="E20" s="1760"/>
      <c r="F20" s="1759"/>
      <c r="G20" s="864"/>
      <c r="H20" s="864"/>
      <c r="I20" s="864"/>
      <c r="J20" s="864"/>
      <c r="K20" s="864"/>
      <c r="L20" s="864"/>
      <c r="M20" s="864"/>
      <c r="N20" s="864"/>
      <c r="O20" s="864"/>
      <c r="P20" s="1158"/>
      <c r="S20" s="743"/>
    </row>
    <row r="21" spans="2:22" hidden="1" outlineLevel="1">
      <c r="B21" s="1157"/>
      <c r="C21" s="866" t="s">
        <v>1549</v>
      </c>
      <c r="D21" s="864"/>
      <c r="E21" s="1758"/>
      <c r="F21" s="1759" t="s">
        <v>1352</v>
      </c>
      <c r="G21" s="864"/>
      <c r="H21" s="864"/>
      <c r="I21" s="867" t="s">
        <v>1079</v>
      </c>
      <c r="J21" s="864"/>
      <c r="K21" s="864"/>
      <c r="L21" s="864"/>
      <c r="M21" s="1250"/>
      <c r="N21" s="864"/>
      <c r="O21" s="864"/>
      <c r="P21" s="1158"/>
    </row>
    <row r="22" spans="2:22" ht="5.25" hidden="1" customHeight="1" outlineLevel="1">
      <c r="B22" s="1157"/>
      <c r="C22" s="864"/>
      <c r="D22" s="864"/>
      <c r="E22" s="1760"/>
      <c r="F22" s="1759"/>
      <c r="G22" s="864"/>
      <c r="H22" s="864"/>
      <c r="I22" s="864"/>
      <c r="J22" s="864"/>
      <c r="K22" s="864"/>
      <c r="L22" s="864"/>
      <c r="M22" s="864"/>
      <c r="N22" s="864"/>
      <c r="O22" s="864"/>
      <c r="P22" s="1158"/>
    </row>
    <row r="23" spans="2:22" ht="15.75" hidden="1" outlineLevel="1">
      <c r="B23" s="1159"/>
      <c r="C23" s="766" t="s">
        <v>43</v>
      </c>
      <c r="D23" s="766" t="s">
        <v>79</v>
      </c>
      <c r="E23" s="766" t="s">
        <v>442</v>
      </c>
      <c r="F23" s="1458">
        <v>1</v>
      </c>
      <c r="G23" s="1458">
        <v>2</v>
      </c>
      <c r="H23" s="1458">
        <v>3</v>
      </c>
      <c r="I23" s="1458">
        <v>4</v>
      </c>
      <c r="J23" s="1766"/>
      <c r="K23" s="1766"/>
      <c r="L23" s="1766"/>
      <c r="M23" s="1766"/>
      <c r="N23" s="864"/>
      <c r="O23" s="864"/>
      <c r="P23" s="1158"/>
    </row>
    <row r="24" spans="2:22" ht="15.75" hidden="1" outlineLevel="1">
      <c r="B24" s="1159"/>
      <c r="C24" s="831" t="s">
        <v>1164</v>
      </c>
      <c r="D24" s="832" t="s">
        <v>174</v>
      </c>
      <c r="E24" s="1254"/>
      <c r="F24" s="919">
        <v>-2.4472451512579374E-3</v>
      </c>
      <c r="G24" s="919">
        <v>-6.7000000000000002E-3</v>
      </c>
      <c r="H24" s="919">
        <v>-1.5990474778403541E-2</v>
      </c>
      <c r="I24" s="919">
        <v>-1.5990474778403541E-2</v>
      </c>
      <c r="J24" s="1463"/>
      <c r="K24" s="1463"/>
      <c r="L24" s="1463"/>
      <c r="M24" s="1463"/>
      <c r="N24" s="864"/>
      <c r="O24" s="864"/>
      <c r="P24" s="1158"/>
    </row>
    <row r="25" spans="2:22" ht="15.75" hidden="1" outlineLevel="1">
      <c r="B25" s="1159"/>
      <c r="C25" s="831" t="s">
        <v>1165</v>
      </c>
      <c r="D25" s="832" t="s">
        <v>1080</v>
      </c>
      <c r="E25" s="1254"/>
      <c r="F25" s="919">
        <v>-2.4472451512579374E-3</v>
      </c>
      <c r="G25" s="1086">
        <v>-5.175943317647369E-3</v>
      </c>
      <c r="H25" s="1086">
        <v>-8.2604594862157876E-3</v>
      </c>
      <c r="I25" s="1086">
        <v>-8.2604594862157876E-3</v>
      </c>
      <c r="J25" s="1463"/>
      <c r="K25" s="1464"/>
      <c r="L25" s="1464"/>
      <c r="M25" s="1464"/>
      <c r="N25" s="864"/>
      <c r="O25" s="864"/>
      <c r="P25" s="1158"/>
    </row>
    <row r="26" spans="2:22" ht="15.75" hidden="1" outlineLevel="1">
      <c r="B26" s="1159"/>
      <c r="C26" s="831" t="s">
        <v>1166</v>
      </c>
      <c r="D26" s="832" t="s">
        <v>1081</v>
      </c>
      <c r="E26" s="1254"/>
      <c r="F26" s="919">
        <v>-2.4472451512579374E-3</v>
      </c>
      <c r="G26" s="1086">
        <v>-5.175943317647369E-3</v>
      </c>
      <c r="H26" s="1086">
        <v>-8.2604594862157876E-3</v>
      </c>
      <c r="I26" s="1086">
        <v>-8.2604594862157876E-3</v>
      </c>
      <c r="J26" s="1463"/>
      <c r="K26" s="1464"/>
      <c r="L26" s="1464"/>
      <c r="M26" s="1464"/>
      <c r="N26" s="864"/>
      <c r="O26" s="864"/>
      <c r="P26" s="1158"/>
    </row>
    <row r="27" spans="2:22" ht="15.75" hidden="1" outlineLevel="1">
      <c r="B27" s="1159"/>
      <c r="C27" s="769" t="s">
        <v>1167</v>
      </c>
      <c r="D27" s="770" t="s">
        <v>123</v>
      </c>
      <c r="E27" s="770"/>
      <c r="F27" s="778">
        <v>-2.4472451512579374E-3</v>
      </c>
      <c r="G27" s="1462">
        <v>-6.2103898509814348E-3</v>
      </c>
      <c r="H27" s="1462">
        <v>-1.2987458537368601E-2</v>
      </c>
      <c r="I27" s="1462">
        <v>-1.2987458537368601E-2</v>
      </c>
      <c r="J27" s="1463"/>
      <c r="K27" s="1464"/>
      <c r="L27" s="1464"/>
      <c r="M27" s="1464"/>
      <c r="N27" s="864"/>
      <c r="O27" s="864"/>
      <c r="P27" s="1158"/>
    </row>
    <row r="28" spans="2:22" hidden="1" outlineLevel="1">
      <c r="B28" s="1157"/>
      <c r="C28" s="864"/>
      <c r="D28" s="864"/>
      <c r="E28" s="1760"/>
      <c r="F28" s="1759"/>
      <c r="G28" s="864"/>
      <c r="H28" s="864"/>
      <c r="I28" s="864"/>
      <c r="J28" s="864"/>
      <c r="K28" s="864"/>
      <c r="L28" s="864"/>
      <c r="M28" s="864"/>
      <c r="N28" s="864"/>
      <c r="O28" s="864"/>
      <c r="P28" s="864"/>
      <c r="Q28" s="1221"/>
      <c r="R28" s="1222"/>
    </row>
    <row r="29" spans="2:22" hidden="1" outlineLevel="1">
      <c r="B29" s="1157"/>
      <c r="C29" s="866" t="s">
        <v>2443</v>
      </c>
      <c r="D29" s="864"/>
      <c r="E29" s="1256"/>
      <c r="F29" s="2137" t="s">
        <v>1867</v>
      </c>
      <c r="G29" s="2138"/>
      <c r="H29" s="2138"/>
      <c r="I29" s="2138"/>
      <c r="J29" s="2137" t="s">
        <v>1865</v>
      </c>
      <c r="K29" s="2138"/>
      <c r="L29" s="2138"/>
      <c r="M29" s="2138"/>
      <c r="N29" s="2137" t="s">
        <v>1866</v>
      </c>
      <c r="O29" s="2138"/>
      <c r="P29" s="2138"/>
      <c r="Q29" s="2138"/>
      <c r="R29" s="1158"/>
    </row>
    <row r="30" spans="2:22" ht="5.25" hidden="1" customHeight="1" outlineLevel="1">
      <c r="B30" s="1157"/>
      <c r="C30" s="864"/>
      <c r="D30" s="864"/>
      <c r="E30" s="864"/>
      <c r="F30" s="1759"/>
      <c r="G30" s="864"/>
      <c r="H30" s="864"/>
      <c r="I30" s="864"/>
      <c r="J30" s="1759"/>
      <c r="K30" s="864"/>
      <c r="L30" s="864"/>
      <c r="M30" s="864"/>
      <c r="N30" s="1759"/>
      <c r="O30" s="864"/>
      <c r="P30" s="864"/>
      <c r="Q30" s="864"/>
      <c r="R30" s="1158"/>
    </row>
    <row r="31" spans="2:22" ht="15.75" hidden="1" outlineLevel="1">
      <c r="B31" s="1159"/>
      <c r="C31" s="766" t="s">
        <v>78</v>
      </c>
      <c r="D31" s="766" t="s">
        <v>79</v>
      </c>
      <c r="E31" s="2136">
        <v>2007</v>
      </c>
      <c r="F31" s="1762">
        <v>1</v>
      </c>
      <c r="G31" s="1458">
        <v>2</v>
      </c>
      <c r="H31" s="1458">
        <v>3</v>
      </c>
      <c r="I31" s="1458">
        <v>4</v>
      </c>
      <c r="J31" s="1762">
        <v>1</v>
      </c>
      <c r="K31" s="1458">
        <v>2</v>
      </c>
      <c r="L31" s="1458">
        <v>3</v>
      </c>
      <c r="M31" s="1458">
        <v>4</v>
      </c>
      <c r="N31" s="1762">
        <v>1</v>
      </c>
      <c r="O31" s="1458">
        <v>2</v>
      </c>
      <c r="P31" s="1458">
        <v>3</v>
      </c>
      <c r="Q31" s="1458">
        <v>4</v>
      </c>
      <c r="R31" s="1158"/>
    </row>
    <row r="32" spans="2:22" ht="15.75" hidden="1" outlineLevel="1">
      <c r="B32" s="1159"/>
      <c r="C32" s="831" t="s">
        <v>45</v>
      </c>
      <c r="D32" s="832" t="str">
        <f>INDEX(Vectors[Description], MATCH($C32, Vectors[Code], 0))</f>
        <v>Electricity (delivered to end user)</v>
      </c>
      <c r="E32" s="2140">
        <f>$J65/$J$70</f>
        <v>0.27990677971819372</v>
      </c>
      <c r="F32" s="865">
        <v>0.27990677971819367</v>
      </c>
      <c r="G32" s="865">
        <v>0.31590677971819364</v>
      </c>
      <c r="H32" s="865">
        <v>0.40590677971819361</v>
      </c>
      <c r="I32" s="865">
        <v>0.40590677971819361</v>
      </c>
      <c r="J32" s="865">
        <v>0.27990677971819367</v>
      </c>
      <c r="K32" s="865">
        <v>0.34590677971819361</v>
      </c>
      <c r="L32" s="865">
        <v>0.47590677971819362</v>
      </c>
      <c r="M32" s="865">
        <v>0.47590677971819362</v>
      </c>
      <c r="N32" s="865">
        <v>0.27990677971819367</v>
      </c>
      <c r="O32" s="865">
        <v>0.3909067797181936</v>
      </c>
      <c r="P32" s="865">
        <v>0.65590677971819367</v>
      </c>
      <c r="Q32" s="865">
        <v>0.65590677971819367</v>
      </c>
      <c r="R32" s="1158"/>
      <c r="S32" s="2142"/>
      <c r="T32" s="2142"/>
      <c r="U32" s="2142"/>
      <c r="V32" s="2142"/>
    </row>
    <row r="33" spans="2:22" ht="15.75" hidden="1" outlineLevel="1">
      <c r="B33" s="1159"/>
      <c r="C33" s="831" t="s">
        <v>47</v>
      </c>
      <c r="D33" s="832" t="str">
        <f>INDEX(Vectors[Description], MATCH($C33, Vectors[Code], 0))</f>
        <v>Solid hydrocarbons</v>
      </c>
      <c r="E33" s="2140">
        <f>$J66/$J$70</f>
        <v>0.13350981964367692</v>
      </c>
      <c r="F33" s="865">
        <v>0.13350981964367689</v>
      </c>
      <c r="G33" s="875">
        <v>0.13350981964367689</v>
      </c>
      <c r="H33" s="875">
        <v>0.1155098196436769</v>
      </c>
      <c r="I33" s="875">
        <v>0.1155098196436769</v>
      </c>
      <c r="J33" s="865">
        <v>0.13350981964367689</v>
      </c>
      <c r="K33" s="875">
        <v>0.13350981964367689</v>
      </c>
      <c r="L33" s="875">
        <v>0.10550981964367689</v>
      </c>
      <c r="M33" s="875">
        <v>0.10550981964367689</v>
      </c>
      <c r="N33" s="865">
        <v>0.13350981964367689</v>
      </c>
      <c r="O33" s="875">
        <v>0.13350981964367689</v>
      </c>
      <c r="P33" s="875">
        <v>9.0509819643676895E-2</v>
      </c>
      <c r="Q33" s="875">
        <v>9.0509819643676895E-2</v>
      </c>
      <c r="R33" s="1158"/>
      <c r="S33" s="2142"/>
      <c r="T33" s="2142"/>
      <c r="U33" s="2142"/>
      <c r="V33" s="2142"/>
    </row>
    <row r="34" spans="2:22" ht="15.75" hidden="1" outlineLevel="1">
      <c r="B34" s="1159"/>
      <c r="C34" s="831" t="s">
        <v>49</v>
      </c>
      <c r="D34" s="832" t="str">
        <f>INDEX(Vectors[Description], MATCH($C34, Vectors[Code], 0))</f>
        <v>Liquid hydrocarbons</v>
      </c>
      <c r="E34" s="2140">
        <f>$J67/$J$70</f>
        <v>0.19975845340254758</v>
      </c>
      <c r="F34" s="865">
        <v>0.19975845340254764</v>
      </c>
      <c r="G34" s="875">
        <v>0.18175845340254765</v>
      </c>
      <c r="H34" s="875">
        <v>0.18175845340254765</v>
      </c>
      <c r="I34" s="875">
        <v>0.18175845340254765</v>
      </c>
      <c r="J34" s="865">
        <v>0.19975845340254764</v>
      </c>
      <c r="K34" s="875">
        <v>0.17175845340254764</v>
      </c>
      <c r="L34" s="875">
        <v>0.17175845340254764</v>
      </c>
      <c r="M34" s="875">
        <v>0.17175845340254764</v>
      </c>
      <c r="N34" s="865">
        <v>0.19975845340254764</v>
      </c>
      <c r="O34" s="875">
        <v>0.15675845340254765</v>
      </c>
      <c r="P34" s="875">
        <v>0.15675845340254765</v>
      </c>
      <c r="Q34" s="875">
        <v>0.15675845340254765</v>
      </c>
      <c r="R34" s="1158"/>
      <c r="S34" s="2142"/>
      <c r="T34" s="2142"/>
      <c r="U34" s="2142"/>
      <c r="V34" s="2142"/>
    </row>
    <row r="35" spans="2:22" ht="15.75" hidden="1" outlineLevel="1">
      <c r="B35" s="1159"/>
      <c r="C35" s="831" t="s">
        <v>50</v>
      </c>
      <c r="D35" s="832" t="str">
        <f>INDEX(Vectors[Description], MATCH($C35, Vectors[Code], 0))</f>
        <v>Gaseous hydrocarbons</v>
      </c>
      <c r="E35" s="2140">
        <f>$J68/$J$70</f>
        <v>0.36722905538728695</v>
      </c>
      <c r="F35" s="865">
        <v>0.36722905538728684</v>
      </c>
      <c r="G35" s="875">
        <v>0.34922905538728677</v>
      </c>
      <c r="H35" s="875">
        <v>0.27722905538728682</v>
      </c>
      <c r="I35" s="875">
        <v>0.27722905538728682</v>
      </c>
      <c r="J35" s="865">
        <v>0.36722905538728684</v>
      </c>
      <c r="K35" s="875">
        <v>0.32922905538728681</v>
      </c>
      <c r="L35" s="875">
        <v>0.22722905538728683</v>
      </c>
      <c r="M35" s="875">
        <v>0.22722905538728683</v>
      </c>
      <c r="N35" s="865">
        <v>0.36722905538728684</v>
      </c>
      <c r="O35" s="875">
        <v>0.29922905538728678</v>
      </c>
      <c r="P35" s="875">
        <v>7.7229055387286819E-2</v>
      </c>
      <c r="Q35" s="875">
        <v>7.7229055387286819E-2</v>
      </c>
      <c r="R35" s="1158"/>
      <c r="S35" s="2142"/>
      <c r="T35" s="2142"/>
      <c r="U35" s="2142"/>
      <c r="V35" s="2142"/>
    </row>
    <row r="36" spans="2:22" ht="15.75" hidden="1" outlineLevel="1">
      <c r="B36" s="1159"/>
      <c r="C36" s="769" t="s">
        <v>753</v>
      </c>
      <c r="D36" s="770" t="str">
        <f>INDEX(Vectors[Description], MATCH($C36, Vectors[Code], 0))</f>
        <v>Heat transport</v>
      </c>
      <c r="E36" s="2141">
        <f>$J69/$J$70</f>
        <v>1.959589184829489E-2</v>
      </c>
      <c r="F36" s="777">
        <v>1.95958918482949E-2</v>
      </c>
      <c r="G36" s="876">
        <v>1.95958918482949E-2</v>
      </c>
      <c r="H36" s="876">
        <v>1.95958918482949E-2</v>
      </c>
      <c r="I36" s="2139">
        <v>1.95958918482949E-2</v>
      </c>
      <c r="J36" s="777">
        <v>1.95958918482949E-2</v>
      </c>
      <c r="K36" s="876">
        <v>1.95958918482949E-2</v>
      </c>
      <c r="L36" s="876">
        <v>1.95958918482949E-2</v>
      </c>
      <c r="M36" s="2139">
        <v>1.95958918482949E-2</v>
      </c>
      <c r="N36" s="777">
        <v>1.95958918482949E-2</v>
      </c>
      <c r="O36" s="876">
        <v>1.95958918482949E-2</v>
      </c>
      <c r="P36" s="876">
        <v>1.95958918482949E-2</v>
      </c>
      <c r="Q36" s="876">
        <v>1.95958918482949E-2</v>
      </c>
      <c r="R36" s="1158"/>
      <c r="S36" s="2142"/>
      <c r="T36" s="2142"/>
      <c r="U36" s="2142"/>
      <c r="V36" s="2142"/>
    </row>
    <row r="37" spans="2:22" hidden="1" outlineLevel="1">
      <c r="B37" s="1157"/>
      <c r="C37" s="869"/>
      <c r="D37" s="1085"/>
      <c r="E37" s="1760"/>
      <c r="F37" s="1759"/>
      <c r="G37" s="1769"/>
      <c r="H37" s="1769"/>
      <c r="I37" s="1780"/>
      <c r="J37" s="1759"/>
      <c r="K37" s="864"/>
      <c r="L37" s="864"/>
      <c r="M37" s="1760"/>
      <c r="N37" s="1759"/>
      <c r="O37" s="864"/>
      <c r="P37" s="864"/>
      <c r="Q37" s="1165"/>
      <c r="R37" s="1166"/>
    </row>
    <row r="38" spans="2:22" hidden="1" outlineLevel="1">
      <c r="B38" s="1157"/>
      <c r="C38" s="866" t="s">
        <v>1564</v>
      </c>
      <c r="D38" s="864"/>
      <c r="E38" s="1256"/>
      <c r="F38" s="1759" t="s">
        <v>1352</v>
      </c>
      <c r="G38" s="864"/>
      <c r="H38" s="864"/>
      <c r="I38" s="867" t="s">
        <v>1079</v>
      </c>
      <c r="J38" s="864"/>
      <c r="K38" s="864"/>
      <c r="L38" s="864"/>
      <c r="M38" s="864"/>
      <c r="N38" s="864"/>
      <c r="O38" s="864"/>
      <c r="P38" s="1158"/>
    </row>
    <row r="39" spans="2:22" ht="5.25" hidden="1" customHeight="1" outlineLevel="1">
      <c r="B39" s="1157"/>
      <c r="C39" s="864"/>
      <c r="D39" s="864"/>
      <c r="E39" s="864"/>
      <c r="F39" s="1759"/>
      <c r="G39" s="864"/>
      <c r="H39" s="864"/>
      <c r="I39" s="864"/>
      <c r="J39" s="864"/>
      <c r="K39" s="864"/>
      <c r="L39" s="864"/>
      <c r="M39" s="864"/>
      <c r="N39" s="864"/>
      <c r="O39" s="864"/>
      <c r="P39" s="1158"/>
    </row>
    <row r="40" spans="2:22" ht="15.75" hidden="1" outlineLevel="1">
      <c r="B40" s="1159"/>
      <c r="C40" s="766" t="s">
        <v>43</v>
      </c>
      <c r="D40" s="766" t="s">
        <v>79</v>
      </c>
      <c r="E40" s="1761"/>
      <c r="F40" s="1762">
        <v>1</v>
      </c>
      <c r="G40" s="1458">
        <v>2</v>
      </c>
      <c r="H40" s="1458">
        <v>3</v>
      </c>
      <c r="I40" s="1458">
        <v>4</v>
      </c>
      <c r="J40" s="864"/>
      <c r="K40" s="864"/>
      <c r="L40" s="864"/>
      <c r="M40" s="864"/>
      <c r="N40" s="864"/>
      <c r="O40" s="864"/>
      <c r="P40" s="1158"/>
    </row>
    <row r="41" spans="2:22" ht="15.75" hidden="1" outlineLevel="1">
      <c r="B41" s="1159"/>
      <c r="C41" s="831" t="s">
        <v>1164</v>
      </c>
      <c r="D41" s="832" t="s">
        <v>174</v>
      </c>
      <c r="E41" s="1763"/>
      <c r="F41" s="1791">
        <v>0</v>
      </c>
      <c r="G41" s="919">
        <v>-4.0000000000000001E-3</v>
      </c>
      <c r="H41" s="919">
        <v>-0.01</v>
      </c>
      <c r="I41" s="919">
        <v>-0.01</v>
      </c>
      <c r="J41" s="864"/>
      <c r="K41" s="2135"/>
      <c r="L41" s="2135"/>
      <c r="M41" s="2135"/>
      <c r="N41" s="2135"/>
      <c r="O41" s="864"/>
      <c r="P41" s="1158"/>
    </row>
    <row r="42" spans="2:22" ht="15.75" hidden="1" outlineLevel="1">
      <c r="B42" s="1159"/>
      <c r="C42" s="831" t="s">
        <v>1165</v>
      </c>
      <c r="D42" s="832" t="s">
        <v>1080</v>
      </c>
      <c r="E42" s="1763"/>
      <c r="F42" s="1791">
        <v>0</v>
      </c>
      <c r="G42" s="1086">
        <v>-2E-3</v>
      </c>
      <c r="H42" s="1086">
        <f>(1-0.25)^(1/43)-1</f>
        <v>-6.6679506523734666E-3</v>
      </c>
      <c r="I42" s="1086">
        <f>(1-0.25)^(1/43)-1</f>
        <v>-6.6679506523734666E-3</v>
      </c>
      <c r="J42" s="864"/>
      <c r="K42" s="2135"/>
      <c r="L42" s="2135"/>
      <c r="M42" s="2135"/>
      <c r="N42" s="2135"/>
      <c r="O42" s="864"/>
      <c r="P42" s="1158"/>
    </row>
    <row r="43" spans="2:22" ht="15.75" hidden="1" outlineLevel="1">
      <c r="B43" s="1159"/>
      <c r="C43" s="831" t="s">
        <v>1166</v>
      </c>
      <c r="D43" s="832" t="s">
        <v>1081</v>
      </c>
      <c r="E43" s="1763"/>
      <c r="F43" s="1791">
        <v>0</v>
      </c>
      <c r="G43" s="1086">
        <f>(1-0.05)^(1/43)-1</f>
        <v>-1.1921561279377713E-3</v>
      </c>
      <c r="H43" s="1086">
        <v>-8.0000000000000002E-3</v>
      </c>
      <c r="I43" s="1086">
        <v>-8.0000000000000002E-3</v>
      </c>
      <c r="J43" s="864"/>
      <c r="K43" s="2135"/>
      <c r="L43" s="2135"/>
      <c r="M43" s="2135"/>
      <c r="N43" s="2135"/>
      <c r="O43" s="864"/>
      <c r="P43" s="1158"/>
    </row>
    <row r="44" spans="2:22" ht="15.75" hidden="1" outlineLevel="1">
      <c r="B44" s="1159"/>
      <c r="C44" s="769" t="s">
        <v>1167</v>
      </c>
      <c r="D44" s="770" t="s">
        <v>123</v>
      </c>
      <c r="E44" s="1792"/>
      <c r="F44" s="1793">
        <f>(1-0.0168)/(1+F$19)-1</f>
        <v>-2.6341839434337544E-2</v>
      </c>
      <c r="G44" s="1744">
        <f>(1-0.0168)/(1+G$19)-1</f>
        <v>-2.6341839434337544E-2</v>
      </c>
      <c r="H44" s="1744">
        <f>(1-0.0285)/(1+H$19)-1</f>
        <v>-4.4739429695181743E-2</v>
      </c>
      <c r="I44" s="1744">
        <f>(1-0.0285)/(1+I$19)-1</f>
        <v>-1.990074207272885E-2</v>
      </c>
      <c r="J44" s="864"/>
      <c r="K44" s="2135"/>
      <c r="L44" s="2135"/>
      <c r="M44" s="2135"/>
      <c r="N44" s="2135"/>
      <c r="O44" s="864"/>
      <c r="P44" s="1158"/>
    </row>
    <row r="45" spans="2:22" ht="15.75" hidden="1" outlineLevel="1">
      <c r="B45" s="1159"/>
      <c r="C45" s="831"/>
      <c r="D45" s="832"/>
      <c r="E45" s="1794"/>
      <c r="F45" s="1764"/>
      <c r="G45" s="1464"/>
      <c r="H45" s="1464"/>
      <c r="I45" s="1464"/>
      <c r="J45" s="864"/>
      <c r="K45" s="864"/>
      <c r="L45" s="864"/>
      <c r="M45" s="864"/>
      <c r="N45" s="864"/>
      <c r="O45" s="864"/>
      <c r="P45" s="1158"/>
    </row>
    <row r="46" spans="2:22" ht="14.25" hidden="1" outlineLevel="1">
      <c r="B46" s="1157"/>
      <c r="C46" s="866" t="s">
        <v>1868</v>
      </c>
      <c r="D46" s="864"/>
      <c r="E46" s="864"/>
      <c r="F46" s="864"/>
      <c r="G46" s="864"/>
      <c r="H46" s="864"/>
      <c r="I46" s="867"/>
      <c r="J46" s="864"/>
      <c r="K46" s="864"/>
      <c r="L46" s="864"/>
      <c r="M46" s="864"/>
      <c r="N46" s="864"/>
      <c r="O46" s="867" t="s">
        <v>1574</v>
      </c>
      <c r="P46" s="1158"/>
    </row>
    <row r="47" spans="2:22" ht="5.25" hidden="1" customHeight="1" outlineLevel="1">
      <c r="B47" s="1157"/>
      <c r="C47" s="864"/>
      <c r="D47" s="864"/>
      <c r="E47" s="864"/>
      <c r="F47" s="864"/>
      <c r="G47" s="864"/>
      <c r="H47" s="864"/>
      <c r="I47" s="864"/>
      <c r="J47" s="864"/>
      <c r="K47" s="864"/>
      <c r="L47" s="864"/>
      <c r="M47" s="864"/>
      <c r="N47" s="864"/>
      <c r="O47" s="864"/>
      <c r="P47" s="1158"/>
    </row>
    <row r="48" spans="2:22" ht="15.75" hidden="1" outlineLevel="1">
      <c r="B48" s="1159"/>
      <c r="C48" s="766" t="s">
        <v>1352</v>
      </c>
      <c r="D48" s="766" t="s">
        <v>80</v>
      </c>
      <c r="E48" s="766" t="s">
        <v>442</v>
      </c>
      <c r="F48" s="923">
        <v>2007</v>
      </c>
      <c r="G48" s="924">
        <v>2010</v>
      </c>
      <c r="H48" s="923">
        <v>2015</v>
      </c>
      <c r="I48" s="923">
        <v>2020</v>
      </c>
      <c r="J48" s="923">
        <v>2025</v>
      </c>
      <c r="K48" s="923">
        <v>2030</v>
      </c>
      <c r="L48" s="923">
        <v>2035</v>
      </c>
      <c r="M48" s="923">
        <v>2040</v>
      </c>
      <c r="N48" s="923">
        <v>2045</v>
      </c>
      <c r="O48" s="923">
        <v>2050</v>
      </c>
      <c r="P48" s="1158"/>
    </row>
    <row r="49" spans="1:16" ht="15.75" hidden="1" outlineLevel="1">
      <c r="B49" s="1159"/>
      <c r="C49" s="831">
        <v>1</v>
      </c>
      <c r="D49" s="832"/>
      <c r="E49" s="1254"/>
      <c r="F49" s="865">
        <v>0</v>
      </c>
      <c r="G49" s="781">
        <v>0</v>
      </c>
      <c r="H49" s="865">
        <v>0</v>
      </c>
      <c r="I49" s="865">
        <v>0</v>
      </c>
      <c r="J49" s="865">
        <v>0</v>
      </c>
      <c r="K49" s="865">
        <v>0</v>
      </c>
      <c r="L49" s="865">
        <v>0</v>
      </c>
      <c r="M49" s="865">
        <v>0</v>
      </c>
      <c r="N49" s="865">
        <v>0</v>
      </c>
      <c r="O49" s="865">
        <v>0</v>
      </c>
      <c r="P49" s="1158"/>
    </row>
    <row r="50" spans="1:16" ht="15.75" hidden="1" outlineLevel="1">
      <c r="B50" s="1159"/>
      <c r="C50" s="831">
        <v>2</v>
      </c>
      <c r="D50" s="832"/>
      <c r="E50" s="1254"/>
      <c r="F50" s="875">
        <v>0</v>
      </c>
      <c r="G50" s="879">
        <v>0</v>
      </c>
      <c r="H50" s="875">
        <v>0</v>
      </c>
      <c r="I50" s="875">
        <v>0</v>
      </c>
      <c r="J50" s="875">
        <v>0.01</v>
      </c>
      <c r="K50" s="875">
        <v>0.02</v>
      </c>
      <c r="L50" s="875">
        <v>0.05</v>
      </c>
      <c r="M50" s="875">
        <v>0.1</v>
      </c>
      <c r="N50" s="875">
        <v>0.16</v>
      </c>
      <c r="O50" s="875">
        <v>0.24</v>
      </c>
      <c r="P50" s="1158"/>
    </row>
    <row r="51" spans="1:16" ht="15.75" hidden="1" outlineLevel="1">
      <c r="B51" s="1159"/>
      <c r="C51" s="831">
        <v>3</v>
      </c>
      <c r="D51" s="832"/>
      <c r="E51" s="1254"/>
      <c r="F51" s="875">
        <v>0</v>
      </c>
      <c r="G51" s="879">
        <v>0</v>
      </c>
      <c r="H51" s="875">
        <v>0</v>
      </c>
      <c r="I51" s="875">
        <v>0.01</v>
      </c>
      <c r="J51" s="875">
        <v>1.9085841386831674E-2</v>
      </c>
      <c r="K51" s="875">
        <v>3.6426934144329674E-2</v>
      </c>
      <c r="L51" s="875">
        <v>6.9523868728723903E-2</v>
      </c>
      <c r="M51" s="875">
        <v>0.13269215311553309</v>
      </c>
      <c r="N51" s="875">
        <v>0.25325413876402469</v>
      </c>
      <c r="O51" s="875">
        <v>0.48335683230088339</v>
      </c>
      <c r="P51" s="1158"/>
    </row>
    <row r="52" spans="1:16" ht="15.75" hidden="1" outlineLevel="1">
      <c r="B52" s="1159"/>
      <c r="C52" s="899">
        <v>4</v>
      </c>
      <c r="D52" s="900"/>
      <c r="E52" s="1461"/>
      <c r="F52" s="876">
        <v>0</v>
      </c>
      <c r="G52" s="880">
        <v>0</v>
      </c>
      <c r="H52" s="876">
        <v>0</v>
      </c>
      <c r="I52" s="876">
        <v>0.01</v>
      </c>
      <c r="J52" s="876">
        <v>1.9085841386831674E-2</v>
      </c>
      <c r="K52" s="876">
        <v>3.6426934144329674E-2</v>
      </c>
      <c r="L52" s="876">
        <v>6.9523868728723903E-2</v>
      </c>
      <c r="M52" s="876">
        <v>0.13269215311553309</v>
      </c>
      <c r="N52" s="876">
        <v>0.25325413876402469</v>
      </c>
      <c r="O52" s="876">
        <v>0.48335683230088339</v>
      </c>
      <c r="P52" s="1158"/>
    </row>
    <row r="53" spans="1:16" hidden="1" outlineLevel="1">
      <c r="B53" s="1157"/>
      <c r="C53" s="864"/>
      <c r="D53" s="864"/>
      <c r="E53" s="864"/>
      <c r="F53" s="864"/>
      <c r="G53" s="864"/>
      <c r="H53" s="864"/>
      <c r="I53" s="864"/>
      <c r="J53" s="864"/>
      <c r="K53" s="864"/>
      <c r="L53" s="864"/>
      <c r="M53" s="864"/>
      <c r="N53" s="864"/>
      <c r="O53" s="864"/>
      <c r="P53" s="1158"/>
    </row>
    <row r="54" spans="1:16" hidden="1" outlineLevel="1">
      <c r="B54" s="1157"/>
      <c r="C54" s="864" t="s">
        <v>717</v>
      </c>
      <c r="D54" s="864" t="s">
        <v>1161</v>
      </c>
      <c r="E54" s="864"/>
      <c r="F54" s="864"/>
      <c r="G54" s="864"/>
      <c r="H54" s="864"/>
      <c r="I54" s="864"/>
      <c r="J54" s="864"/>
      <c r="K54" s="864"/>
      <c r="L54" s="864"/>
      <c r="M54" s="864"/>
      <c r="N54" s="864"/>
      <c r="O54" s="864"/>
      <c r="P54" s="1158"/>
    </row>
    <row r="55" spans="1:16" hidden="1" outlineLevel="1">
      <c r="B55" s="1157"/>
      <c r="C55" s="848" t="s">
        <v>109</v>
      </c>
      <c r="D55" s="832" t="s">
        <v>1551</v>
      </c>
      <c r="E55" s="864"/>
      <c r="F55" s="864"/>
      <c r="G55" s="864"/>
      <c r="H55" s="864"/>
      <c r="I55" s="864"/>
      <c r="J55" s="864"/>
      <c r="K55" s="864"/>
      <c r="L55" s="864"/>
      <c r="M55" s="864"/>
      <c r="N55" s="864"/>
      <c r="O55" s="864"/>
      <c r="P55" s="1158"/>
    </row>
    <row r="56" spans="1:16" ht="14.25" hidden="1" outlineLevel="1">
      <c r="B56" s="1157"/>
      <c r="C56" s="867" t="s">
        <v>117</v>
      </c>
      <c r="D56" s="864" t="s">
        <v>1869</v>
      </c>
      <c r="E56" s="864"/>
      <c r="F56" s="864"/>
      <c r="G56" s="864"/>
      <c r="H56" s="864"/>
      <c r="I56" s="864"/>
      <c r="J56" s="864"/>
      <c r="K56" s="864"/>
      <c r="L56" s="864"/>
      <c r="M56" s="864"/>
      <c r="N56" s="864"/>
      <c r="O56" s="864"/>
      <c r="P56" s="1158"/>
    </row>
    <row r="57" spans="1:16" hidden="1" outlineLevel="1">
      <c r="B57" s="1157"/>
      <c r="C57" s="867"/>
      <c r="D57" s="864"/>
      <c r="E57" s="864"/>
      <c r="F57" s="864"/>
      <c r="G57" s="864"/>
      <c r="H57" s="864"/>
      <c r="I57" s="864"/>
      <c r="J57" s="864"/>
      <c r="K57" s="864"/>
      <c r="L57" s="864"/>
      <c r="M57" s="864"/>
      <c r="N57" s="864"/>
      <c r="O57" s="864"/>
      <c r="P57" s="1158"/>
    </row>
    <row r="58" spans="1:16" ht="15.75" hidden="1" outlineLevel="1">
      <c r="B58" s="1193"/>
      <c r="C58" s="1194"/>
      <c r="D58" s="1195"/>
      <c r="E58" s="1195"/>
      <c r="F58" s="1196"/>
      <c r="G58" s="1197"/>
      <c r="H58" s="1197"/>
      <c r="I58" s="1197"/>
      <c r="J58" s="1197"/>
      <c r="K58" s="1197"/>
      <c r="L58" s="1197"/>
      <c r="M58" s="1197"/>
      <c r="N58" s="1197"/>
      <c r="O58" s="1197"/>
      <c r="P58" s="1166"/>
    </row>
    <row r="60" spans="1:16" s="743" customFormat="1" ht="22.5" collapsed="1">
      <c r="A60" s="1170"/>
      <c r="B60" s="1236" t="s">
        <v>786</v>
      </c>
      <c r="C60" s="1167"/>
      <c r="D60" s="1167"/>
      <c r="E60" s="1167"/>
      <c r="F60" s="1167"/>
      <c r="G60" s="1167"/>
      <c r="H60" s="1167"/>
      <c r="I60" s="1167"/>
      <c r="J60" s="1167"/>
      <c r="K60" s="1167"/>
      <c r="L60" s="1167"/>
      <c r="M60" s="1167"/>
      <c r="N60" s="1167"/>
      <c r="O60" s="1167"/>
      <c r="P60" s="1168"/>
    </row>
    <row r="61" spans="1:16" hidden="1" outlineLevel="1">
      <c r="B61" s="1157"/>
      <c r="C61" s="864"/>
      <c r="D61" s="864"/>
      <c r="E61" s="864"/>
      <c r="F61" s="864"/>
      <c r="G61" s="864"/>
      <c r="H61" s="864"/>
      <c r="I61" s="864"/>
      <c r="J61" s="864"/>
      <c r="K61" s="864"/>
      <c r="L61" s="864"/>
      <c r="M61" s="864"/>
      <c r="N61" s="864"/>
      <c r="O61" s="864"/>
      <c r="P61" s="1158"/>
    </row>
    <row r="62" spans="1:16" hidden="1" outlineLevel="1">
      <c r="B62" s="1157"/>
      <c r="C62" s="866" t="s">
        <v>1547</v>
      </c>
      <c r="D62" s="864"/>
      <c r="E62" s="864"/>
      <c r="F62" s="864"/>
      <c r="G62" s="864"/>
      <c r="H62" s="864"/>
      <c r="I62" s="867" t="str">
        <f>Preferences.EnergyUnits</f>
        <v>TWh</v>
      </c>
      <c r="J62" s="867"/>
      <c r="K62" s="864"/>
      <c r="L62" s="864"/>
      <c r="M62" s="864"/>
      <c r="N62" s="864"/>
      <c r="O62" s="864"/>
      <c r="P62" s="1158"/>
    </row>
    <row r="63" spans="1:16" ht="5.25" hidden="1" customHeight="1" outlineLevel="1">
      <c r="B63" s="1157"/>
      <c r="C63" s="864"/>
      <c r="D63" s="864"/>
      <c r="E63" s="1760"/>
      <c r="F63" s="1759"/>
      <c r="G63" s="864"/>
      <c r="H63" s="864"/>
      <c r="I63" s="1760"/>
      <c r="J63" s="1759"/>
      <c r="K63" s="864"/>
      <c r="L63" s="864"/>
      <c r="M63" s="864"/>
      <c r="N63" s="864"/>
      <c r="O63" s="864"/>
      <c r="P63" s="1158"/>
    </row>
    <row r="64" spans="1:16" ht="15.75" hidden="1" outlineLevel="1">
      <c r="B64" s="1159"/>
      <c r="C64" s="766" t="s">
        <v>78</v>
      </c>
      <c r="D64" s="766" t="s">
        <v>79</v>
      </c>
      <c r="E64" s="1761" t="s">
        <v>442</v>
      </c>
      <c r="F64" s="1782" t="s">
        <v>174</v>
      </c>
      <c r="G64" s="923" t="s">
        <v>1080</v>
      </c>
      <c r="H64" s="923" t="s">
        <v>1081</v>
      </c>
      <c r="I64" s="1783" t="s">
        <v>123</v>
      </c>
      <c r="J64" s="1782" t="s">
        <v>148</v>
      </c>
      <c r="K64" s="864"/>
      <c r="L64" s="864"/>
      <c r="M64" s="864"/>
      <c r="N64" s="864"/>
      <c r="O64" s="864"/>
      <c r="P64" s="1158"/>
    </row>
    <row r="65" spans="2:16" ht="15.75" hidden="1" outlineLevel="1">
      <c r="B65" s="1159"/>
      <c r="C65" s="831" t="s">
        <v>45</v>
      </c>
      <c r="D65" s="832" t="str">
        <f>INDEX(Vectors[Description], MATCH($C65, Vectors[Code], 0))</f>
        <v>Electricity (delivered to end user)</v>
      </c>
      <c r="E65" s="1763"/>
      <c r="F65" s="1775">
        <f>(Unit.TWh)*22.1422411860615</f>
        <v>22.142241186061501</v>
      </c>
      <c r="G65" s="1775">
        <f>(Unit.TWh)*9.88968023125706</f>
        <v>9.88968023125706</v>
      </c>
      <c r="H65" s="1775">
        <f>(Unit.TWh)*7.83914475990987</f>
        <v>7.8391447599098703</v>
      </c>
      <c r="I65" s="1775">
        <f>(Unit.TWh)*74.5012692843445</f>
        <v>74.501269284344502</v>
      </c>
      <c r="J65" s="1775">
        <f>SUM($F65:$I65)</f>
        <v>114.37233546157293</v>
      </c>
      <c r="K65" s="864"/>
      <c r="L65" s="864"/>
      <c r="M65" s="864"/>
      <c r="N65" s="864"/>
      <c r="O65" s="864"/>
      <c r="P65" s="1158"/>
    </row>
    <row r="66" spans="2:16" ht="15.75" hidden="1" outlineLevel="1">
      <c r="B66" s="1159"/>
      <c r="C66" s="831" t="s">
        <v>47</v>
      </c>
      <c r="D66" s="832" t="str">
        <f>INDEX(Vectors[Description], MATCH($C66, Vectors[Code], 0))</f>
        <v>Solid hydrocarbons</v>
      </c>
      <c r="E66" s="1763"/>
      <c r="F66" s="1775">
        <f>(Unit.TWh)*1.06042128310934</f>
        <v>1.06042128310934</v>
      </c>
      <c r="G66" s="1091">
        <f>(Unit.TWh)*36.6599180092079</f>
        <v>36.6599180092079</v>
      </c>
      <c r="H66" s="1091">
        <f>(Unit.TWh)*8.80705092194516</f>
        <v>8.8070509219451605</v>
      </c>
      <c r="I66" s="1776">
        <f>(Unit.TWh)*8.02587889581121</f>
        <v>8.0258788958112106</v>
      </c>
      <c r="J66" s="1777">
        <f>SUM($F66:$I66)</f>
        <v>54.553269110073614</v>
      </c>
      <c r="K66" s="864"/>
      <c r="L66" s="864"/>
      <c r="M66" s="864"/>
      <c r="N66" s="864"/>
      <c r="O66" s="864"/>
      <c r="P66" s="1158"/>
    </row>
    <row r="67" spans="2:16" ht="15.75" hidden="1" outlineLevel="1">
      <c r="B67" s="1159"/>
      <c r="C67" s="831" t="s">
        <v>49</v>
      </c>
      <c r="D67" s="832" t="str">
        <f>INDEX(Vectors[Description], MATCH($C67, Vectors[Code], 0))</f>
        <v>Liquid hydrocarbons</v>
      </c>
      <c r="E67" s="1763"/>
      <c r="F67" s="1775">
        <f>(Unit.TWh)*2.23283275493224</f>
        <v>2.23283275493224</v>
      </c>
      <c r="G67" s="1091">
        <f>(Unit.TWh)*3.22385685620564</f>
        <v>3.2238568562056402</v>
      </c>
      <c r="H67" s="1091">
        <f>(Unit.TWh)*2.28621480987954</f>
        <v>2.2862148098795401</v>
      </c>
      <c r="I67" s="1776">
        <f>(Unit.TWh)*73.8801304581057</f>
        <v>73.880130458105697</v>
      </c>
      <c r="J67" s="1777">
        <f>SUM($F67:$I67)</f>
        <v>81.623034879123111</v>
      </c>
      <c r="K67" s="864"/>
      <c r="L67" s="864"/>
      <c r="M67" s="864"/>
      <c r="N67" s="864"/>
      <c r="O67" s="864"/>
      <c r="P67" s="1158"/>
    </row>
    <row r="68" spans="2:16" ht="15.75" hidden="1" outlineLevel="1">
      <c r="B68" s="1159"/>
      <c r="C68" s="831" t="s">
        <v>50</v>
      </c>
      <c r="D68" s="832" t="str">
        <f>INDEX(Vectors[Description], MATCH($C68, Vectors[Code], 0))</f>
        <v>Gaseous hydrocarbons</v>
      </c>
      <c r="E68" s="1763"/>
      <c r="F68" s="1775">
        <f>(Unit.TWh)*36.6722722492664</f>
        <v>36.672272249266399</v>
      </c>
      <c r="G68" s="1091">
        <f>(Unit.TWh)*23.6239875771023</f>
        <v>23.623987577102302</v>
      </c>
      <c r="H68" s="1091">
        <f>(Unit.TWh)*11.1870511042507</f>
        <v>11.187051104250701</v>
      </c>
      <c r="I68" s="1776">
        <f>(Unit.TWh)*78.569662978327</f>
        <v>78.569662978327003</v>
      </c>
      <c r="J68" s="1777">
        <f>SUM($F68:$I68)</f>
        <v>150.0529739089464</v>
      </c>
      <c r="K68" s="864"/>
      <c r="L68" s="864"/>
      <c r="M68" s="864"/>
      <c r="N68" s="864"/>
      <c r="O68" s="864"/>
      <c r="P68" s="1158"/>
    </row>
    <row r="69" spans="2:16" ht="15.75" hidden="1" outlineLevel="1">
      <c r="B69" s="1159"/>
      <c r="C69" s="769" t="s">
        <v>753</v>
      </c>
      <c r="D69" s="770" t="str">
        <f>INDEX(Vectors[Description], MATCH($C69, Vectors[Code], 0))</f>
        <v>Heat transport</v>
      </c>
      <c r="E69" s="1765"/>
      <c r="F69" s="1784">
        <f>(Unit.TWh)*3.20844436904557</f>
        <v>3.2084443690455702</v>
      </c>
      <c r="G69" s="859">
        <f>(Unit.TWh)*0</f>
        <v>0</v>
      </c>
      <c r="H69" s="859">
        <f>(Unit.TWh)*0</f>
        <v>0</v>
      </c>
      <c r="I69" s="1778">
        <f>(Unit.TWh)*4.79860682992261</f>
        <v>4.7986068299226101</v>
      </c>
      <c r="J69" s="1779">
        <f>SUM($F69:$I69)</f>
        <v>8.0070511989681812</v>
      </c>
      <c r="K69" s="864"/>
      <c r="L69" s="864"/>
      <c r="M69" s="864"/>
      <c r="N69" s="864"/>
      <c r="O69" s="864"/>
      <c r="P69" s="1158"/>
    </row>
    <row r="70" spans="2:16" ht="15.75" hidden="1" outlineLevel="1">
      <c r="B70" s="1159"/>
      <c r="C70" s="869" t="s">
        <v>148</v>
      </c>
      <c r="D70" s="1085"/>
      <c r="E70" s="1785"/>
      <c r="F70" s="1781">
        <f>SUM(F$65:F$69)</f>
        <v>65.316211842415044</v>
      </c>
      <c r="G70" s="1769">
        <f>SUM(G$65:G$69)</f>
        <v>73.3974426737729</v>
      </c>
      <c r="H70" s="1769">
        <f>SUM(H$65:H$69)</f>
        <v>30.119461595985271</v>
      </c>
      <c r="I70" s="1780">
        <f>SUM(I$65:I$69)</f>
        <v>239.77554844651104</v>
      </c>
      <c r="J70" s="1781">
        <f>SUM(J$65:J$69)</f>
        <v>408.60866455868421</v>
      </c>
      <c r="K70" s="864"/>
      <c r="L70" s="864"/>
      <c r="M70" s="864"/>
      <c r="N70" s="864"/>
      <c r="O70" s="864"/>
      <c r="P70" s="1158"/>
    </row>
    <row r="71" spans="2:16" hidden="1" outlineLevel="1">
      <c r="B71" s="1157"/>
      <c r="C71" s="864"/>
      <c r="D71" s="864"/>
      <c r="E71" s="864"/>
      <c r="F71" s="864"/>
      <c r="G71" s="864"/>
      <c r="H71" s="864"/>
      <c r="I71" s="864"/>
      <c r="J71" s="864"/>
      <c r="K71" s="864"/>
      <c r="L71" s="864"/>
      <c r="M71" s="864"/>
      <c r="N71" s="864"/>
      <c r="O71" s="864"/>
      <c r="P71" s="1158"/>
    </row>
    <row r="72" spans="2:16" ht="14.25" hidden="1" outlineLevel="1">
      <c r="B72" s="1157"/>
      <c r="C72" s="866" t="s">
        <v>1548</v>
      </c>
      <c r="D72" s="864"/>
      <c r="E72" s="1256"/>
      <c r="F72" s="864"/>
      <c r="G72" s="864"/>
      <c r="H72" s="864"/>
      <c r="I72" s="867" t="s">
        <v>1076</v>
      </c>
      <c r="J72" s="864"/>
      <c r="K72" s="864"/>
      <c r="L72" s="864"/>
      <c r="M72" s="864"/>
      <c r="N72" s="864"/>
      <c r="O72" s="864"/>
      <c r="P72" s="1158"/>
    </row>
    <row r="73" spans="2:16" ht="5.25" hidden="1" customHeight="1" outlineLevel="1">
      <c r="B73" s="1157"/>
      <c r="C73" s="864"/>
      <c r="D73" s="864"/>
      <c r="E73" s="1760"/>
      <c r="F73" s="1759"/>
      <c r="G73" s="864"/>
      <c r="H73" s="864"/>
      <c r="I73" s="864"/>
      <c r="J73" s="864"/>
      <c r="K73" s="864"/>
      <c r="L73" s="864"/>
      <c r="M73" s="864"/>
      <c r="N73" s="864"/>
      <c r="O73" s="864"/>
      <c r="P73" s="1158"/>
    </row>
    <row r="74" spans="2:16" ht="15.75" hidden="1" outlineLevel="1">
      <c r="B74" s="1159"/>
      <c r="C74" s="766" t="s">
        <v>43</v>
      </c>
      <c r="D74" s="766" t="s">
        <v>79</v>
      </c>
      <c r="E74" s="1761" t="s">
        <v>442</v>
      </c>
      <c r="F74" s="1782" t="s">
        <v>1055</v>
      </c>
      <c r="G74" s="923" t="s">
        <v>1056</v>
      </c>
      <c r="H74" s="923" t="s">
        <v>1057</v>
      </c>
      <c r="I74" s="923" t="s">
        <v>1058</v>
      </c>
      <c r="J74" s="864"/>
      <c r="K74" s="864"/>
      <c r="L74" s="864"/>
      <c r="M74" s="864"/>
      <c r="N74" s="864"/>
      <c r="O74" s="864"/>
      <c r="P74" s="1158"/>
    </row>
    <row r="75" spans="2:16" s="743" customFormat="1" ht="15.75" hidden="1" outlineLevel="1">
      <c r="B75" s="1161"/>
      <c r="C75" s="831" t="s">
        <v>1164</v>
      </c>
      <c r="D75" s="832" t="s">
        <v>174</v>
      </c>
      <c r="E75" s="1763"/>
      <c r="F75" s="1795">
        <v>3.0699249482245601</v>
      </c>
      <c r="G75" s="1272">
        <v>7.6208894999999999E-2</v>
      </c>
      <c r="H75" s="1272">
        <v>2.7531100000000004</v>
      </c>
      <c r="I75" s="1272">
        <v>0</v>
      </c>
      <c r="J75" s="832"/>
      <c r="K75" s="832"/>
      <c r="L75" s="832"/>
      <c r="M75" s="832"/>
      <c r="N75" s="832"/>
      <c r="O75" s="832"/>
      <c r="P75" s="1162"/>
    </row>
    <row r="76" spans="2:16" s="743" customFormat="1" ht="15.75" hidden="1" outlineLevel="1">
      <c r="B76" s="1161"/>
      <c r="C76" s="832" t="s">
        <v>1165</v>
      </c>
      <c r="D76" s="832" t="s">
        <v>1080</v>
      </c>
      <c r="E76" s="1794"/>
      <c r="F76" s="1795">
        <v>2.65796675305974</v>
      </c>
      <c r="G76" s="1272">
        <v>1.8177665240937134E-2</v>
      </c>
      <c r="H76" s="1272">
        <v>9.359210590723227E-3</v>
      </c>
      <c r="I76" s="1272">
        <v>0</v>
      </c>
      <c r="J76" s="832"/>
      <c r="K76" s="832"/>
      <c r="L76" s="832"/>
      <c r="M76" s="832"/>
      <c r="N76" s="832"/>
      <c r="O76" s="832"/>
      <c r="P76" s="1162"/>
    </row>
    <row r="77" spans="2:16" s="743" customFormat="1" ht="15.75" hidden="1" outlineLevel="1">
      <c r="B77" s="1161"/>
      <c r="C77" s="832" t="s">
        <v>1166</v>
      </c>
      <c r="D77" s="832" t="s">
        <v>1081</v>
      </c>
      <c r="E77" s="1794"/>
      <c r="F77" s="1795">
        <v>8.6677675538343308</v>
      </c>
      <c r="G77" s="1272">
        <v>1.8500882110586987E-2</v>
      </c>
      <c r="H77" s="1272">
        <v>0</v>
      </c>
      <c r="I77" s="1272">
        <v>0</v>
      </c>
      <c r="J77" s="832"/>
      <c r="K77" s="832"/>
      <c r="L77" s="832"/>
      <c r="M77" s="832"/>
      <c r="N77" s="832"/>
      <c r="O77" s="832"/>
      <c r="P77" s="1162"/>
    </row>
    <row r="78" spans="2:16" s="743" customFormat="1" ht="15.75" hidden="1" outlineLevel="1">
      <c r="B78" s="1161"/>
      <c r="C78" s="900" t="s">
        <v>1167</v>
      </c>
      <c r="D78" s="900" t="s">
        <v>123</v>
      </c>
      <c r="E78" s="1796"/>
      <c r="F78" s="1797">
        <v>0</v>
      </c>
      <c r="G78" s="1798">
        <v>0</v>
      </c>
      <c r="H78" s="1798">
        <v>0</v>
      </c>
      <c r="I78" s="1798">
        <v>10.620296151887526</v>
      </c>
      <c r="J78" s="832"/>
      <c r="K78" s="832"/>
      <c r="L78" s="832"/>
      <c r="M78" s="832"/>
      <c r="N78" s="832"/>
      <c r="O78" s="832"/>
      <c r="P78" s="1162"/>
    </row>
    <row r="79" spans="2:16" hidden="1" outlineLevel="1">
      <c r="B79" s="1157"/>
      <c r="C79" s="864"/>
      <c r="D79" s="864"/>
      <c r="E79" s="1760"/>
      <c r="F79" s="1759"/>
      <c r="G79" s="864"/>
      <c r="H79" s="864"/>
      <c r="I79" s="864"/>
      <c r="J79" s="864"/>
      <c r="K79" s="864"/>
      <c r="L79" s="864"/>
      <c r="M79" s="864"/>
      <c r="N79" s="864"/>
      <c r="O79" s="864"/>
      <c r="P79" s="1158"/>
    </row>
    <row r="80" spans="2:16" hidden="1" outlineLevel="1">
      <c r="B80" s="1157"/>
      <c r="C80" s="864" t="s">
        <v>717</v>
      </c>
      <c r="D80" s="864"/>
      <c r="E80" s="864"/>
      <c r="F80" s="864"/>
      <c r="G80" s="864"/>
      <c r="H80" s="864"/>
      <c r="I80" s="864"/>
      <c r="J80" s="864"/>
      <c r="K80" s="864"/>
      <c r="L80" s="864"/>
      <c r="M80" s="864"/>
      <c r="N80" s="864"/>
      <c r="O80" s="864"/>
      <c r="P80" s="1158"/>
    </row>
    <row r="81" spans="1:23" hidden="1" outlineLevel="1">
      <c r="B81" s="1157"/>
      <c r="C81" s="867" t="s">
        <v>109</v>
      </c>
      <c r="D81" s="864" t="s">
        <v>1160</v>
      </c>
      <c r="E81" s="864"/>
      <c r="F81" s="864"/>
      <c r="G81" s="864"/>
      <c r="H81" s="864"/>
      <c r="I81" s="864"/>
      <c r="J81" s="864"/>
      <c r="K81" s="864"/>
      <c r="L81" s="864"/>
      <c r="M81" s="864"/>
      <c r="N81" s="864"/>
      <c r="O81" s="864"/>
      <c r="P81" s="1158"/>
    </row>
    <row r="82" spans="1:23" hidden="1" outlineLevel="1">
      <c r="B82" s="1157"/>
      <c r="C82" s="867"/>
      <c r="D82" s="864" t="s">
        <v>1086</v>
      </c>
      <c r="E82" s="864"/>
      <c r="F82" s="864"/>
      <c r="G82" s="864"/>
      <c r="H82" s="864"/>
      <c r="I82" s="864"/>
      <c r="J82" s="864"/>
      <c r="K82" s="864"/>
      <c r="L82" s="864"/>
      <c r="M82" s="864"/>
      <c r="N82" s="864"/>
      <c r="O82" s="864"/>
      <c r="P82" s="1158"/>
    </row>
    <row r="83" spans="1:23" hidden="1" outlineLevel="1">
      <c r="B83" s="1157"/>
      <c r="C83" s="864"/>
      <c r="D83" s="864" t="s">
        <v>1087</v>
      </c>
      <c r="E83" s="864"/>
      <c r="F83" s="864"/>
      <c r="G83" s="864"/>
      <c r="H83" s="864"/>
      <c r="I83" s="864"/>
      <c r="J83" s="864"/>
      <c r="K83" s="864"/>
      <c r="L83" s="864"/>
      <c r="M83" s="864"/>
      <c r="N83" s="864"/>
      <c r="O83" s="864"/>
      <c r="P83" s="1158"/>
      <c r="R83" s="715"/>
      <c r="S83" s="715"/>
      <c r="T83" s="715"/>
      <c r="U83" s="715"/>
      <c r="V83" s="715"/>
      <c r="W83" s="715"/>
    </row>
    <row r="84" spans="1:23" hidden="1" outlineLevel="1">
      <c r="B84" s="1157"/>
      <c r="C84" s="867" t="s">
        <v>117</v>
      </c>
      <c r="D84" s="864" t="s">
        <v>1159</v>
      </c>
      <c r="E84" s="864"/>
      <c r="F84" s="864"/>
      <c r="G84" s="864"/>
      <c r="H84" s="864"/>
      <c r="I84" s="864"/>
      <c r="J84" s="864"/>
      <c r="K84" s="864"/>
      <c r="L84" s="864"/>
      <c r="M84" s="864"/>
      <c r="N84" s="864"/>
      <c r="O84" s="864"/>
      <c r="P84" s="1158"/>
      <c r="T84" s="715"/>
      <c r="U84" s="715"/>
      <c r="V84" s="715"/>
      <c r="W84" s="715"/>
    </row>
    <row r="85" spans="1:23" s="715" customFormat="1" hidden="1" outlineLevel="1">
      <c r="B85" s="1260"/>
      <c r="C85" s="1261"/>
      <c r="D85" s="1224"/>
      <c r="E85" s="1262"/>
      <c r="F85" s="1262"/>
      <c r="G85" s="1262"/>
      <c r="H85" s="1262"/>
      <c r="I85" s="1262"/>
      <c r="J85" s="1262"/>
      <c r="K85" s="1262"/>
      <c r="L85" s="1262"/>
      <c r="M85" s="1262"/>
      <c r="N85" s="1262"/>
      <c r="O85" s="1262"/>
      <c r="P85" s="1263"/>
      <c r="R85" s="121"/>
      <c r="S85" s="121"/>
      <c r="W85" s="121"/>
    </row>
    <row r="87" spans="1:23" ht="22.5" collapsed="1">
      <c r="A87" s="1171"/>
      <c r="B87" s="1236" t="s">
        <v>817</v>
      </c>
      <c r="C87" s="1264"/>
      <c r="D87" s="1264"/>
      <c r="E87" s="1264"/>
      <c r="F87" s="1264"/>
      <c r="G87" s="1264"/>
      <c r="H87" s="1264"/>
      <c r="I87" s="1264"/>
      <c r="J87" s="1264"/>
      <c r="K87" s="1264"/>
      <c r="L87" s="1264"/>
      <c r="M87" s="1264"/>
      <c r="N87" s="1264"/>
      <c r="O87" s="1264"/>
      <c r="P87" s="1265"/>
    </row>
    <row r="88" spans="1:23" hidden="1" outlineLevel="1">
      <c r="B88" s="1157"/>
      <c r="C88" s="864"/>
      <c r="D88" s="864"/>
      <c r="E88" s="864"/>
      <c r="F88" s="864"/>
      <c r="G88" s="864"/>
      <c r="H88" s="864"/>
      <c r="I88" s="864"/>
      <c r="J88" s="864"/>
      <c r="K88" s="864"/>
      <c r="L88" s="864"/>
      <c r="M88" s="864"/>
      <c r="N88" s="864"/>
      <c r="O88" s="864"/>
      <c r="P88" s="1158"/>
    </row>
    <row r="89" spans="1:23" hidden="1" outlineLevel="1">
      <c r="B89" s="1160">
        <v>1</v>
      </c>
      <c r="C89" s="866" t="s">
        <v>1552</v>
      </c>
      <c r="D89" s="864"/>
      <c r="E89" s="1256"/>
      <c r="F89" s="864"/>
      <c r="G89" s="864"/>
      <c r="H89" s="864"/>
      <c r="I89" s="867"/>
      <c r="J89" s="864"/>
      <c r="K89" s="864"/>
      <c r="L89" s="864"/>
      <c r="M89" s="864"/>
      <c r="N89" s="864"/>
      <c r="O89" s="867" t="s">
        <v>1553</v>
      </c>
      <c r="P89" s="1158"/>
    </row>
    <row r="90" spans="1:23" ht="5.25" hidden="1" customHeight="1" outlineLevel="1">
      <c r="B90" s="1157"/>
      <c r="C90" s="864"/>
      <c r="D90" s="864"/>
      <c r="E90" s="864"/>
      <c r="F90" s="864"/>
      <c r="G90" s="864"/>
      <c r="H90" s="864"/>
      <c r="I90" s="864"/>
      <c r="J90" s="864"/>
      <c r="K90" s="864"/>
      <c r="L90" s="864"/>
      <c r="M90" s="864"/>
      <c r="N90" s="864"/>
      <c r="O90" s="864"/>
      <c r="P90" s="1158"/>
    </row>
    <row r="91" spans="1:23" ht="15.75" hidden="1" outlineLevel="1">
      <c r="B91" s="1159"/>
      <c r="C91" s="766" t="s">
        <v>43</v>
      </c>
      <c r="D91" s="766" t="s">
        <v>79</v>
      </c>
      <c r="E91" s="766"/>
      <c r="F91" s="923">
        <v>2007</v>
      </c>
      <c r="G91" s="924">
        <v>2010</v>
      </c>
      <c r="H91" s="923">
        <v>2015</v>
      </c>
      <c r="I91" s="1545">
        <v>2020</v>
      </c>
      <c r="J91" s="924">
        <v>2025</v>
      </c>
      <c r="K91" s="923">
        <v>2030</v>
      </c>
      <c r="L91" s="923">
        <v>2035</v>
      </c>
      <c r="M91" s="923">
        <v>2040</v>
      </c>
      <c r="N91" s="923">
        <v>2045</v>
      </c>
      <c r="O91" s="923">
        <v>2050</v>
      </c>
      <c r="P91" s="1158"/>
    </row>
    <row r="92" spans="1:23" ht="15.75" hidden="1" outlineLevel="1">
      <c r="B92" s="1159"/>
      <c r="C92" s="831" t="s">
        <v>1164</v>
      </c>
      <c r="D92" s="832" t="s">
        <v>174</v>
      </c>
      <c r="E92" s="1767"/>
      <c r="F92" s="911">
        <v>100</v>
      </c>
      <c r="G92" s="895">
        <f t="shared" ref="G92:I95" si="0">F92*(1+INDEX($F16:$I16, ,MATCH($E$8, $F$15:$I$15, 0)))^(G$91-F$91)</f>
        <v>100</v>
      </c>
      <c r="H92" s="911">
        <f t="shared" si="0"/>
        <v>100</v>
      </c>
      <c r="I92" s="2397">
        <f t="shared" si="0"/>
        <v>100</v>
      </c>
      <c r="J92" s="895">
        <f t="shared" ref="J92:O92" si="1">I92*(1+INDEX($J16:$M16, ,MATCH($E$8, $J$15:$M$15, 0)))^(J$91-I$91)</f>
        <v>100</v>
      </c>
      <c r="K92" s="911">
        <f t="shared" si="1"/>
        <v>100</v>
      </c>
      <c r="L92" s="911">
        <f t="shared" si="1"/>
        <v>100</v>
      </c>
      <c r="M92" s="911">
        <f t="shared" si="1"/>
        <v>100</v>
      </c>
      <c r="N92" s="911">
        <f t="shared" si="1"/>
        <v>100</v>
      </c>
      <c r="O92" s="911">
        <f t="shared" si="1"/>
        <v>100</v>
      </c>
      <c r="P92" s="1158"/>
    </row>
    <row r="93" spans="1:23" ht="15.75" hidden="1" outlineLevel="1">
      <c r="B93" s="1159"/>
      <c r="C93" s="831" t="s">
        <v>1165</v>
      </c>
      <c r="D93" s="832" t="s">
        <v>1080</v>
      </c>
      <c r="E93" s="1767"/>
      <c r="F93" s="912">
        <v>100</v>
      </c>
      <c r="G93" s="896">
        <f t="shared" si="0"/>
        <v>97.606062667210466</v>
      </c>
      <c r="H93" s="912">
        <f t="shared" si="0"/>
        <v>93.742842378309746</v>
      </c>
      <c r="I93" s="2398">
        <f t="shared" si="0"/>
        <v>90.03252725321488</v>
      </c>
      <c r="J93" s="896">
        <f t="shared" ref="J93:O93" si="2">I93*(1+INDEX($J17:$M17, ,MATCH($E$8, $J$15:$M$15, 0)))^(J$91-I$91)</f>
        <v>86.469065348891277</v>
      </c>
      <c r="K93" s="912">
        <f t="shared" si="2"/>
        <v>83.04664425649392</v>
      </c>
      <c r="L93" s="912">
        <f t="shared" si="2"/>
        <v>79.759681620672055</v>
      </c>
      <c r="M93" s="912">
        <f t="shared" si="2"/>
        <v>76.602816034117112</v>
      </c>
      <c r="N93" s="912">
        <f t="shared" si="2"/>
        <v>73.570898292501809</v>
      </c>
      <c r="O93" s="912">
        <f t="shared" si="2"/>
        <v>70.658982995546339</v>
      </c>
      <c r="P93" s="1158"/>
    </row>
    <row r="94" spans="1:23" ht="15.75" hidden="1" outlineLevel="1">
      <c r="B94" s="1159"/>
      <c r="C94" s="831" t="s">
        <v>1166</v>
      </c>
      <c r="D94" s="832" t="s">
        <v>1081</v>
      </c>
      <c r="E94" s="1767"/>
      <c r="F94" s="912">
        <v>100</v>
      </c>
      <c r="G94" s="896">
        <f t="shared" si="0"/>
        <v>100.74957818235832</v>
      </c>
      <c r="H94" s="912">
        <f t="shared" si="0"/>
        <v>102.01138188155744</v>
      </c>
      <c r="I94" s="2398">
        <f t="shared" si="0"/>
        <v>103.28898861044696</v>
      </c>
      <c r="J94" s="896">
        <f t="shared" ref="J94:O94" si="3">I94*(1+INDEX($J18:$M18, ,MATCH($E$8, $J$15:$M$15, 0)))^(J$91-I$91)</f>
        <v>104.58259628867761</v>
      </c>
      <c r="K94" s="912">
        <f t="shared" si="3"/>
        <v>105.89240531467716</v>
      </c>
      <c r="L94" s="912">
        <f t="shared" si="3"/>
        <v>107.21861859669514</v>
      </c>
      <c r="M94" s="912">
        <f t="shared" si="3"/>
        <v>108.56144158423612</v>
      </c>
      <c r="N94" s="912">
        <f t="shared" si="3"/>
        <v>109.92108229988692</v>
      </c>
      <c r="O94" s="912">
        <f t="shared" si="3"/>
        <v>111.29775137154219</v>
      </c>
      <c r="P94" s="1158"/>
    </row>
    <row r="95" spans="1:23" ht="15.75" hidden="1" outlineLevel="1">
      <c r="B95" s="1159"/>
      <c r="C95" s="769" t="s">
        <v>1167</v>
      </c>
      <c r="D95" s="770" t="s">
        <v>123</v>
      </c>
      <c r="E95" s="1768"/>
      <c r="F95" s="898">
        <v>100</v>
      </c>
      <c r="G95" s="897">
        <f t="shared" si="0"/>
        <v>102.96890280793937</v>
      </c>
      <c r="H95" s="898">
        <f t="shared" si="0"/>
        <v>108.1142384783908</v>
      </c>
      <c r="I95" s="2399">
        <f t="shared" si="0"/>
        <v>113.51668555276775</v>
      </c>
      <c r="J95" s="897">
        <f t="shared" ref="J95:O95" si="4">I95*(1+INDEX($J19:$M19, ,MATCH($E$8, $J$15:$M$15, 0)))^(J$91-I$91)</f>
        <v>119.18909183697882</v>
      </c>
      <c r="K95" s="898">
        <f t="shared" si="4"/>
        <v>125.14494713924812</v>
      </c>
      <c r="L95" s="898">
        <f t="shared" si="4"/>
        <v>131.39841535084378</v>
      </c>
      <c r="M95" s="898">
        <f t="shared" si="4"/>
        <v>137.96436812987406</v>
      </c>
      <c r="N95" s="898">
        <f t="shared" si="4"/>
        <v>144.85842026825617</v>
      </c>
      <c r="O95" s="898">
        <f t="shared" si="4"/>
        <v>152.09696682596535</v>
      </c>
      <c r="P95" s="1158"/>
    </row>
    <row r="96" spans="1:23" hidden="1" outlineLevel="1">
      <c r="B96" s="1157"/>
      <c r="C96" s="864"/>
      <c r="D96" s="864"/>
      <c r="E96" s="864"/>
      <c r="F96" s="864"/>
      <c r="G96" s="864"/>
      <c r="H96" s="864"/>
      <c r="I96" s="864"/>
      <c r="J96" s="864"/>
      <c r="K96" s="864"/>
      <c r="L96" s="864"/>
      <c r="M96" s="864"/>
      <c r="N96" s="864"/>
      <c r="O96" s="864"/>
      <c r="P96" s="1158"/>
    </row>
    <row r="97" spans="2:16" hidden="1" outlineLevel="1">
      <c r="B97" s="1160">
        <v>2</v>
      </c>
      <c r="C97" s="866" t="s">
        <v>1163</v>
      </c>
      <c r="D97" s="864"/>
      <c r="E97" s="864"/>
      <c r="F97" s="864"/>
      <c r="G97" s="864"/>
      <c r="H97" s="864"/>
      <c r="I97" s="864"/>
      <c r="J97" s="864"/>
      <c r="K97" s="864"/>
      <c r="L97" s="864"/>
      <c r="M97" s="864"/>
      <c r="N97" s="864"/>
      <c r="O97" s="867" t="str">
        <f>Preferences.EnergyUnits &amp; " / unit output index"</f>
        <v>TWh / unit output index</v>
      </c>
      <c r="P97" s="1158"/>
    </row>
    <row r="98" spans="2:16" ht="5.25" hidden="1" customHeight="1" outlineLevel="1">
      <c r="B98" s="1157"/>
      <c r="C98" s="864"/>
      <c r="D98" s="864"/>
      <c r="E98" s="864"/>
      <c r="F98" s="864"/>
      <c r="G98" s="864"/>
      <c r="H98" s="864"/>
      <c r="I98" s="864"/>
      <c r="J98" s="864"/>
      <c r="K98" s="864"/>
      <c r="L98" s="864"/>
      <c r="M98" s="864"/>
      <c r="N98" s="864"/>
      <c r="O98" s="864"/>
      <c r="P98" s="1158"/>
    </row>
    <row r="99" spans="2:16" ht="15.75" hidden="1" outlineLevel="1">
      <c r="B99" s="1159"/>
      <c r="C99" s="766" t="s">
        <v>43</v>
      </c>
      <c r="D99" s="766" t="s">
        <v>79</v>
      </c>
      <c r="E99" s="766" t="s">
        <v>1557</v>
      </c>
      <c r="F99" s="923">
        <v>2007</v>
      </c>
      <c r="G99" s="924">
        <v>2010</v>
      </c>
      <c r="H99" s="923">
        <v>2015</v>
      </c>
      <c r="I99" s="923">
        <v>2020</v>
      </c>
      <c r="J99" s="923">
        <v>2025</v>
      </c>
      <c r="K99" s="923">
        <v>2030</v>
      </c>
      <c r="L99" s="923">
        <v>2035</v>
      </c>
      <c r="M99" s="923">
        <v>2040</v>
      </c>
      <c r="N99" s="923">
        <v>2045</v>
      </c>
      <c r="O99" s="923">
        <v>2050</v>
      </c>
      <c r="P99" s="1158"/>
    </row>
    <row r="100" spans="2:16" ht="15.75" hidden="1" outlineLevel="1">
      <c r="B100" s="1159"/>
      <c r="C100" s="831" t="s">
        <v>1164</v>
      </c>
      <c r="D100" s="832" t="s">
        <v>174</v>
      </c>
      <c r="E100" s="1767">
        <f t="array" ref="E100:E103">INDEX($F$24:$I$27, ,MATCH($E$8, $F$23:$I$23, 0))</f>
        <v>-2.4472451512579374E-3</v>
      </c>
      <c r="F100" s="1272">
        <f>INDEX($F$70:$I$70, MATCH($D100, $F$64:$I$64, 0))/100</f>
        <v>0.6531621184241504</v>
      </c>
      <c r="G100" s="907">
        <f>$F100*(1+$E100)^(G$91-$F$91)</f>
        <v>0.6483785007502203</v>
      </c>
      <c r="H100" s="1272">
        <f t="shared" ref="H100:O103" si="5">$F100*(1+$E100)^(H$91-$F$91)</f>
        <v>0.64048353157133686</v>
      </c>
      <c r="I100" s="1272">
        <f t="shared" si="5"/>
        <v>0.63268469534298055</v>
      </c>
      <c r="J100" s="1272">
        <f t="shared" si="5"/>
        <v>0.62498082150400458</v>
      </c>
      <c r="K100" s="1272">
        <f t="shared" si="5"/>
        <v>0.61737075374657879</v>
      </c>
      <c r="L100" s="1272">
        <f t="shared" si="5"/>
        <v>0.60985334984263451</v>
      </c>
      <c r="M100" s="1272">
        <f t="shared" si="5"/>
        <v>0.60242748147242264</v>
      </c>
      <c r="N100" s="1272">
        <f t="shared" si="5"/>
        <v>0.59509203405515954</v>
      </c>
      <c r="O100" s="1272">
        <f t="shared" si="5"/>
        <v>0.58784590658173419</v>
      </c>
      <c r="P100" s="1158"/>
    </row>
    <row r="101" spans="2:16" ht="15.75" hidden="1" outlineLevel="1">
      <c r="B101" s="1159"/>
      <c r="C101" s="831" t="s">
        <v>1165</v>
      </c>
      <c r="D101" s="832" t="s">
        <v>1080</v>
      </c>
      <c r="E101" s="1767">
        <v>-2.4472451512579374E-3</v>
      </c>
      <c r="F101" s="1771">
        <f>INDEX($F$70:$I$70, MATCH($D101, $F$64:$I$64, 0))/100</f>
        <v>0.73397442673772906</v>
      </c>
      <c r="G101" s="1772">
        <f>$F101*(1+$E101)^(G$91-$F$91)</f>
        <v>0.72859895724720469</v>
      </c>
      <c r="H101" s="1771">
        <f t="shared" si="5"/>
        <v>0.71972718511938505</v>
      </c>
      <c r="I101" s="1771">
        <f t="shared" si="5"/>
        <v>0.71096343996567102</v>
      </c>
      <c r="J101" s="1771">
        <f t="shared" si="5"/>
        <v>0.70230640639755104</v>
      </c>
      <c r="K101" s="1771">
        <f t="shared" si="5"/>
        <v>0.69375478504331833</v>
      </c>
      <c r="L101" s="1771">
        <f t="shared" si="5"/>
        <v>0.68530729235304189</v>
      </c>
      <c r="M101" s="1771">
        <f t="shared" si="5"/>
        <v>0.67696266040591369</v>
      </c>
      <c r="N101" s="1771">
        <f t="shared" si="5"/>
        <v>0.66871963671994095</v>
      </c>
      <c r="O101" s="1771">
        <f t="shared" si="5"/>
        <v>0.66057698406395482</v>
      </c>
      <c r="P101" s="1158"/>
    </row>
    <row r="102" spans="2:16" ht="15.75" hidden="1" outlineLevel="1">
      <c r="B102" s="1159"/>
      <c r="C102" s="831" t="s">
        <v>1166</v>
      </c>
      <c r="D102" s="832" t="s">
        <v>1081</v>
      </c>
      <c r="E102" s="1767">
        <v>-2.4472451512579374E-3</v>
      </c>
      <c r="F102" s="1771">
        <f>INDEX($F$70:$I$70, MATCH($D102, $F$64:$I$64, 0))/100</f>
        <v>0.3011946159598527</v>
      </c>
      <c r="G102" s="1772">
        <f>$F102*(1+$E102)^(G$91-$F$91)</f>
        <v>0.29898873192653752</v>
      </c>
      <c r="H102" s="1771">
        <f t="shared" si="5"/>
        <v>0.295348100997748</v>
      </c>
      <c r="I102" s="1771">
        <f t="shared" si="5"/>
        <v>0.29175180014612973</v>
      </c>
      <c r="J102" s="1771">
        <f t="shared" si="5"/>
        <v>0.28819928958729368</v>
      </c>
      <c r="K102" s="1771">
        <f t="shared" si="5"/>
        <v>0.28469003610952559</v>
      </c>
      <c r="L102" s="1771">
        <f t="shared" si="5"/>
        <v>0.28122351299375409</v>
      </c>
      <c r="M102" s="1771">
        <f t="shared" si="5"/>
        <v>0.27779919993449309</v>
      </c>
      <c r="N102" s="1771">
        <f t="shared" si="5"/>
        <v>0.27441658296174715</v>
      </c>
      <c r="O102" s="1771">
        <f t="shared" si="5"/>
        <v>0.27107515436386687</v>
      </c>
      <c r="P102" s="1158"/>
    </row>
    <row r="103" spans="2:16" ht="15.75" hidden="1" outlineLevel="1">
      <c r="B103" s="1159"/>
      <c r="C103" s="769" t="s">
        <v>1167</v>
      </c>
      <c r="D103" s="770" t="s">
        <v>123</v>
      </c>
      <c r="E103" s="1768">
        <v>-2.4472451512579374E-3</v>
      </c>
      <c r="F103" s="1773">
        <f>INDEX($F$70:$I$70, MATCH($D103, $F$64:$I$64, 0))/100</f>
        <v>2.3977554844651103</v>
      </c>
      <c r="G103" s="1774">
        <f>$F103*(1+$E103)^(G$91-$F$91)</f>
        <v>2.3801948434087628</v>
      </c>
      <c r="H103" s="1773">
        <f t="shared" si="5"/>
        <v>2.3512124436118751</v>
      </c>
      <c r="I103" s="1773">
        <f t="shared" si="5"/>
        <v>2.3225829474860094</v>
      </c>
      <c r="J103" s="1773">
        <f t="shared" si="5"/>
        <v>2.2943020579059485</v>
      </c>
      <c r="K103" s="1773">
        <f t="shared" si="5"/>
        <v>2.266365530070344</v>
      </c>
      <c r="L103" s="1773">
        <f t="shared" si="5"/>
        <v>2.2387691708645936</v>
      </c>
      <c r="M103" s="1773">
        <f t="shared" si="5"/>
        <v>2.21150883823148</v>
      </c>
      <c r="N103" s="1773">
        <f t="shared" si="5"/>
        <v>2.1845804405494724</v>
      </c>
      <c r="O103" s="1773">
        <f t="shared" si="5"/>
        <v>2.1579799360185947</v>
      </c>
      <c r="P103" s="1158"/>
    </row>
    <row r="104" spans="2:16" hidden="1" outlineLevel="1">
      <c r="B104" s="1157"/>
      <c r="C104" s="864" t="s">
        <v>148</v>
      </c>
      <c r="D104" s="864"/>
      <c r="E104" s="864"/>
      <c r="F104" s="1770">
        <f>SUM(F$100:F$103)</f>
        <v>4.0860866455868425</v>
      </c>
      <c r="G104" s="1770">
        <f t="shared" ref="G104:O104" si="6">SUM(G$100:G$103)</f>
        <v>4.0561610333327254</v>
      </c>
      <c r="H104" s="1770">
        <f t="shared" si="6"/>
        <v>4.0067712613003454</v>
      </c>
      <c r="I104" s="1770">
        <f t="shared" si="6"/>
        <v>3.9579828829407906</v>
      </c>
      <c r="J104" s="1770">
        <f t="shared" si="6"/>
        <v>3.9097885753947978</v>
      </c>
      <c r="K104" s="1770">
        <f t="shared" si="6"/>
        <v>3.8621811049697667</v>
      </c>
      <c r="L104" s="1770">
        <f t="shared" si="6"/>
        <v>3.8151533260540242</v>
      </c>
      <c r="M104" s="1770">
        <f t="shared" si="6"/>
        <v>3.7686981800443098</v>
      </c>
      <c r="N104" s="1770">
        <f t="shared" si="6"/>
        <v>3.7228086942863197</v>
      </c>
      <c r="O104" s="1770">
        <f t="shared" si="6"/>
        <v>3.6774779810281504</v>
      </c>
      <c r="P104" s="1158"/>
    </row>
    <row r="105" spans="2:16" hidden="1" outlineLevel="1">
      <c r="B105" s="1157"/>
      <c r="C105" s="864"/>
      <c r="D105" s="864"/>
      <c r="E105" s="864"/>
      <c r="F105" s="864"/>
      <c r="G105" s="864"/>
      <c r="H105" s="864"/>
      <c r="I105" s="864"/>
      <c r="J105" s="864"/>
      <c r="K105" s="864"/>
      <c r="L105" s="864"/>
      <c r="M105" s="864"/>
      <c r="N105" s="864"/>
      <c r="O105" s="864"/>
      <c r="P105" s="1158"/>
    </row>
    <row r="106" spans="2:16" hidden="1" outlineLevel="1">
      <c r="B106" s="1160">
        <v>3</v>
      </c>
      <c r="C106" s="866" t="s">
        <v>1558</v>
      </c>
      <c r="D106" s="864"/>
      <c r="E106" s="864"/>
      <c r="F106" s="864"/>
      <c r="G106" s="864"/>
      <c r="H106" s="864"/>
      <c r="I106" s="864"/>
      <c r="J106" s="864"/>
      <c r="K106" s="864"/>
      <c r="L106" s="864"/>
      <c r="M106" s="864"/>
      <c r="N106" s="864"/>
      <c r="O106" s="864"/>
      <c r="P106" s="1158"/>
    </row>
    <row r="107" spans="2:16" ht="5.25" hidden="1" customHeight="1" outlineLevel="1">
      <c r="B107" s="1157"/>
      <c r="C107" s="864"/>
      <c r="D107" s="864"/>
      <c r="E107" s="864"/>
      <c r="F107" s="864"/>
      <c r="G107" s="864"/>
      <c r="H107" s="864"/>
      <c r="I107" s="864"/>
      <c r="J107" s="864"/>
      <c r="K107" s="864"/>
      <c r="L107" s="864"/>
      <c r="M107" s="864"/>
      <c r="N107" s="864"/>
      <c r="O107" s="864"/>
      <c r="P107" s="1158"/>
    </row>
    <row r="108" spans="2:16" ht="15.75" hidden="1" outlineLevel="1">
      <c r="B108" s="1159"/>
      <c r="C108" s="766" t="s">
        <v>78</v>
      </c>
      <c r="D108" s="766" t="s">
        <v>79</v>
      </c>
      <c r="E108" s="766" t="s">
        <v>442</v>
      </c>
      <c r="F108" s="1545">
        <v>2007</v>
      </c>
      <c r="G108" s="923">
        <v>2010</v>
      </c>
      <c r="H108" s="923">
        <v>2015</v>
      </c>
      <c r="I108" s="923">
        <v>2020</v>
      </c>
      <c r="J108" s="923">
        <v>2025</v>
      </c>
      <c r="K108" s="923">
        <v>2030</v>
      </c>
      <c r="L108" s="923">
        <v>2035</v>
      </c>
      <c r="M108" s="923">
        <v>2040</v>
      </c>
      <c r="N108" s="923">
        <v>2045</v>
      </c>
      <c r="O108" s="923">
        <v>2050</v>
      </c>
      <c r="P108" s="1158"/>
    </row>
    <row r="109" spans="2:16" ht="15.75" hidden="1" outlineLevel="1">
      <c r="B109" s="1159"/>
      <c r="C109" s="831" t="s">
        <v>45</v>
      </c>
      <c r="D109" s="832" t="str">
        <f>INDEX(Vectors[Description], MATCH($C109, Vectors[Code], 0))</f>
        <v>Electricity (delivered to end user)</v>
      </c>
      <c r="E109" s="1254"/>
      <c r="F109" s="1786">
        <f>INDEX($J$65:$J$69, MATCH($C109, $C$65:$C$69, 0))/$J$70</f>
        <v>0.27990677971819372</v>
      </c>
      <c r="G109" s="1788">
        <f>$F109+($J109-$F109)/($J$108-$F$108)*(G$108-$F$108)</f>
        <v>0.27990677971819372</v>
      </c>
      <c r="H109" s="1788">
        <f t="shared" ref="H109:I113" si="7">$F109+($J109-$F109)/($J$108-$F$108)*(H$108-$F$108)</f>
        <v>0.27990677971819372</v>
      </c>
      <c r="I109" s="1788">
        <f t="shared" si="7"/>
        <v>0.27990677971819367</v>
      </c>
      <c r="J109" s="865">
        <f>INDEX($F$32:$I$36, MATCH($C109, $C$32:$C$36, 0), MATCH($E$8, $F$31:$I$31, 0))</f>
        <v>0.27990677971819367</v>
      </c>
      <c r="K109" s="1788">
        <f>$J109+($L109-$J109)/($L$108-$J$108)*(K$108-$J$108)</f>
        <v>0.27990677971819367</v>
      </c>
      <c r="L109" s="865">
        <f>INDEX($J$32:$M$36, MATCH($C109, $C$32:$C$36, 0), MATCH($E$8, $J$31:$M$31, 0))</f>
        <v>0.27990677971819367</v>
      </c>
      <c r="M109" s="1788">
        <f>$L109+($O109-$L109)/($O$108-$L$108)*(M$108-$L$108)</f>
        <v>0.27990677971819367</v>
      </c>
      <c r="N109" s="1788">
        <f>$L109+($O109-$L109)/($O$108-$L$108)*(N$108-$L$108)</f>
        <v>0.27990677971819367</v>
      </c>
      <c r="O109" s="865">
        <f>INDEX($N$32:$Q$36, MATCH($C109, $C$32:$C$36, 0), MATCH($E$8, $N$31:$Q$31, 0))</f>
        <v>0.27990677971819367</v>
      </c>
      <c r="P109" s="1158"/>
    </row>
    <row r="110" spans="2:16" ht="15.75" hidden="1" outlineLevel="1">
      <c r="B110" s="1159"/>
      <c r="C110" s="831" t="s">
        <v>47</v>
      </c>
      <c r="D110" s="832" t="str">
        <f>INDEX(Vectors[Description], MATCH($C110, Vectors[Code], 0))</f>
        <v>Solid hydrocarbons</v>
      </c>
      <c r="E110" s="1254"/>
      <c r="F110" s="1786">
        <f>INDEX($J$65:$J$69, MATCH($C110, $C$65:$C$69, 0))/$J$70</f>
        <v>0.13350981964367692</v>
      </c>
      <c r="G110" s="1789">
        <f>$F110+($J110-$F110)/($J$108-$F$108)*(G$108-$F$108)</f>
        <v>0.13350981964367692</v>
      </c>
      <c r="H110" s="1789">
        <f t="shared" si="7"/>
        <v>0.13350981964367692</v>
      </c>
      <c r="I110" s="1789">
        <f t="shared" si="7"/>
        <v>0.13350981964367689</v>
      </c>
      <c r="J110" s="875">
        <f>INDEX($F$32:$I$36, MATCH($C110, $C$32:$C$36, 0), MATCH($E$8, $F$31:$I$31, 0))</f>
        <v>0.13350981964367689</v>
      </c>
      <c r="K110" s="1789">
        <f>$J110+($L110-$J110)/($L$108-$J$108)*(K$108-$J$108)</f>
        <v>0.13350981964367689</v>
      </c>
      <c r="L110" s="875">
        <f>INDEX($J$32:$M$36, MATCH($C110, $C$32:$C$36, 0), MATCH($E$8, $J$31:$M$31, 0))</f>
        <v>0.13350981964367689</v>
      </c>
      <c r="M110" s="1789">
        <f t="shared" ref="M110:N113" si="8">$L110+($O110-$L110)/($O$108-$L$108)*(M$108-$L$108)</f>
        <v>0.13350981964367689</v>
      </c>
      <c r="N110" s="1789">
        <f t="shared" si="8"/>
        <v>0.13350981964367689</v>
      </c>
      <c r="O110" s="875">
        <f>INDEX($N$32:$Q$36, MATCH($C110, $C$32:$C$36, 0), MATCH($E$8, $N$31:$Q$31, 0))</f>
        <v>0.13350981964367689</v>
      </c>
      <c r="P110" s="1158"/>
    </row>
    <row r="111" spans="2:16" ht="15.75" hidden="1" outlineLevel="1">
      <c r="B111" s="1159"/>
      <c r="C111" s="831" t="s">
        <v>49</v>
      </c>
      <c r="D111" s="832" t="str">
        <f>INDEX(Vectors[Description], MATCH($C111, Vectors[Code], 0))</f>
        <v>Liquid hydrocarbons</v>
      </c>
      <c r="E111" s="1254"/>
      <c r="F111" s="1786">
        <f>INDEX($J$65:$J$69, MATCH($C111, $C$65:$C$69, 0))/$J$70</f>
        <v>0.19975845340254758</v>
      </c>
      <c r="G111" s="1789">
        <f>$F111+($J111-$F111)/($J$108-$F$108)*(G$108-$F$108)</f>
        <v>0.19975845340254758</v>
      </c>
      <c r="H111" s="1789">
        <f t="shared" si="7"/>
        <v>0.19975845340254761</v>
      </c>
      <c r="I111" s="1789">
        <f t="shared" si="7"/>
        <v>0.19975845340254761</v>
      </c>
      <c r="J111" s="875">
        <f>INDEX($F$32:$I$36, MATCH($C111, $C$32:$C$36, 0), MATCH($E$8, $F$31:$I$31, 0))</f>
        <v>0.19975845340254764</v>
      </c>
      <c r="K111" s="1789">
        <f>$J111+($L111-$J111)/($L$108-$J$108)*(K$108-$J$108)</f>
        <v>0.19975845340254764</v>
      </c>
      <c r="L111" s="875">
        <f>INDEX($J$32:$M$36, MATCH($C111, $C$32:$C$36, 0), MATCH($E$8, $J$31:$M$31, 0))</f>
        <v>0.19975845340254764</v>
      </c>
      <c r="M111" s="1789">
        <f t="shared" si="8"/>
        <v>0.19975845340254764</v>
      </c>
      <c r="N111" s="1789">
        <f t="shared" si="8"/>
        <v>0.19975845340254764</v>
      </c>
      <c r="O111" s="875">
        <f>INDEX($N$32:$Q$36, MATCH($C111, $C$32:$C$36, 0), MATCH($E$8, $N$31:$Q$31, 0))</f>
        <v>0.19975845340254764</v>
      </c>
      <c r="P111" s="1158"/>
    </row>
    <row r="112" spans="2:16" ht="15.75" hidden="1" outlineLevel="1">
      <c r="B112" s="1159"/>
      <c r="C112" s="831" t="s">
        <v>50</v>
      </c>
      <c r="D112" s="832" t="str">
        <f>INDEX(Vectors[Description], MATCH($C112, Vectors[Code], 0))</f>
        <v>Gaseous hydrocarbons</v>
      </c>
      <c r="E112" s="1254"/>
      <c r="F112" s="1786">
        <f>INDEX($J$65:$J$69, MATCH($C112, $C$65:$C$69, 0))/$J$70</f>
        <v>0.36722905538728695</v>
      </c>
      <c r="G112" s="1789">
        <f>$F112+($J112-$F112)/($J$108-$F$108)*(G$108-$F$108)</f>
        <v>0.36722905538728695</v>
      </c>
      <c r="H112" s="1789">
        <f t="shared" si="7"/>
        <v>0.3672290553872869</v>
      </c>
      <c r="I112" s="1789">
        <f t="shared" si="7"/>
        <v>0.3672290553872869</v>
      </c>
      <c r="J112" s="875">
        <f>INDEX($F$32:$I$36, MATCH($C112, $C$32:$C$36, 0), MATCH($E$8, $F$31:$I$31, 0))</f>
        <v>0.36722905538728684</v>
      </c>
      <c r="K112" s="1789">
        <f>$J112+($L112-$J112)/($L$108-$J$108)*(K$108-$J$108)</f>
        <v>0.36722905538728684</v>
      </c>
      <c r="L112" s="875">
        <f>INDEX($J$32:$M$36, MATCH($C112, $C$32:$C$36, 0), MATCH($E$8, $J$31:$M$31, 0))</f>
        <v>0.36722905538728684</v>
      </c>
      <c r="M112" s="1789">
        <f t="shared" si="8"/>
        <v>0.36722905538728684</v>
      </c>
      <c r="N112" s="1789">
        <f t="shared" si="8"/>
        <v>0.36722905538728684</v>
      </c>
      <c r="O112" s="875">
        <f>INDEX($N$32:$Q$36, MATCH($C112, $C$32:$C$36, 0), MATCH($E$8, $N$31:$Q$31, 0))</f>
        <v>0.36722905538728684</v>
      </c>
      <c r="P112" s="1158"/>
    </row>
    <row r="113" spans="1:23" ht="15.75" hidden="1" outlineLevel="1">
      <c r="B113" s="1159"/>
      <c r="C113" s="769" t="s">
        <v>753</v>
      </c>
      <c r="D113" s="770" t="str">
        <f>INDEX(Vectors[Description], MATCH($C113, Vectors[Code], 0))</f>
        <v>Heat transport</v>
      </c>
      <c r="E113" s="770"/>
      <c r="F113" s="1787">
        <f>INDEX($J$65:$J$69, MATCH($C113, $C$65:$C$69, 0))/$J$70</f>
        <v>1.959589184829489E-2</v>
      </c>
      <c r="G113" s="1790">
        <f>$F113+($J113-$F113)/($J$108-$F$108)*(G$108-$F$108)</f>
        <v>1.959589184829489E-2</v>
      </c>
      <c r="H113" s="1790">
        <f t="shared" si="7"/>
        <v>1.9595891848294893E-2</v>
      </c>
      <c r="I113" s="1790">
        <f t="shared" si="7"/>
        <v>1.9595891848294897E-2</v>
      </c>
      <c r="J113" s="876">
        <f>INDEX($F$32:$I$36, MATCH($C113, $C$32:$C$36, 0), MATCH($E$8, $F$31:$I$31, 0))</f>
        <v>1.95958918482949E-2</v>
      </c>
      <c r="K113" s="1790">
        <f>$J113+($L113-$J113)/($L$108-$J$108)*(K$108-$J$108)</f>
        <v>1.95958918482949E-2</v>
      </c>
      <c r="L113" s="876">
        <f>INDEX($J$32:$M$36, MATCH($C113, $C$32:$C$36, 0), MATCH($E$8, $J$31:$M$31, 0))</f>
        <v>1.95958918482949E-2</v>
      </c>
      <c r="M113" s="1790">
        <f t="shared" si="8"/>
        <v>1.95958918482949E-2</v>
      </c>
      <c r="N113" s="1790">
        <f t="shared" si="8"/>
        <v>1.95958918482949E-2</v>
      </c>
      <c r="O113" s="876">
        <f>INDEX($N$32:$Q$36, MATCH($C113, $C$32:$C$36, 0), MATCH($E$8, $N$31:$Q$31, 0))</f>
        <v>1.95958918482949E-2</v>
      </c>
      <c r="P113" s="1158"/>
    </row>
    <row r="114" spans="1:23" hidden="1" outlineLevel="1">
      <c r="B114" s="1157"/>
      <c r="C114" s="869"/>
      <c r="D114" s="1085"/>
      <c r="E114" s="1085"/>
      <c r="F114" s="1769"/>
      <c r="G114" s="1769"/>
      <c r="H114" s="1769"/>
      <c r="I114" s="1769"/>
      <c r="J114" s="864"/>
      <c r="K114" s="864"/>
      <c r="L114" s="864"/>
      <c r="M114" s="864"/>
      <c r="N114" s="864"/>
      <c r="O114" s="864"/>
      <c r="P114" s="1158"/>
    </row>
    <row r="115" spans="1:23" hidden="1" outlineLevel="1">
      <c r="B115" s="1160">
        <v>4</v>
      </c>
      <c r="C115" s="866" t="s">
        <v>1565</v>
      </c>
      <c r="D115" s="864"/>
      <c r="E115" s="864"/>
      <c r="F115" s="864"/>
      <c r="G115" s="864"/>
      <c r="H115" s="864"/>
      <c r="I115" s="864"/>
      <c r="J115" s="864"/>
      <c r="K115" s="864"/>
      <c r="L115" s="864"/>
      <c r="M115" s="864"/>
      <c r="N115" s="864"/>
      <c r="O115" s="867" t="s">
        <v>1566</v>
      </c>
      <c r="P115" s="1158"/>
    </row>
    <row r="116" spans="1:23" ht="5.25" hidden="1" customHeight="1" outlineLevel="1">
      <c r="B116" s="1157"/>
      <c r="C116" s="864"/>
      <c r="D116" s="864"/>
      <c r="E116" s="864"/>
      <c r="F116" s="864"/>
      <c r="G116" s="864"/>
      <c r="H116" s="864"/>
      <c r="I116" s="864"/>
      <c r="J116" s="864"/>
      <c r="K116" s="864"/>
      <c r="L116" s="864"/>
      <c r="M116" s="864"/>
      <c r="N116" s="864"/>
      <c r="O116" s="864"/>
      <c r="P116" s="1158"/>
    </row>
    <row r="117" spans="1:23" ht="15.75" hidden="1" outlineLevel="1">
      <c r="B117" s="1159"/>
      <c r="C117" s="766" t="s">
        <v>43</v>
      </c>
      <c r="D117" s="766" t="s">
        <v>79</v>
      </c>
      <c r="E117" s="766" t="s">
        <v>1557</v>
      </c>
      <c r="F117" s="923">
        <v>2007</v>
      </c>
      <c r="G117" s="924">
        <v>2010</v>
      </c>
      <c r="H117" s="923">
        <v>2015</v>
      </c>
      <c r="I117" s="923">
        <v>2020</v>
      </c>
      <c r="J117" s="923">
        <v>2025</v>
      </c>
      <c r="K117" s="923">
        <v>2030</v>
      </c>
      <c r="L117" s="923">
        <v>2035</v>
      </c>
      <c r="M117" s="923">
        <v>2040</v>
      </c>
      <c r="N117" s="923">
        <v>2045</v>
      </c>
      <c r="O117" s="923">
        <v>2050</v>
      </c>
      <c r="P117" s="1158"/>
    </row>
    <row r="118" spans="1:23" ht="15.75" hidden="1" outlineLevel="1">
      <c r="B118" s="1159"/>
      <c r="C118" s="831" t="s">
        <v>1164</v>
      </c>
      <c r="D118" s="832" t="s">
        <v>174</v>
      </c>
      <c r="E118" s="1767">
        <f t="array" ref="E118:E121">INDEX($F$41:$I$44, ,MATCH($E$8, $F$40:$I$40, 0))</f>
        <v>0</v>
      </c>
      <c r="F118" s="1272">
        <v>1</v>
      </c>
      <c r="G118" s="907">
        <f>$F118*(1+$E118)^(G$91-$F$91)</f>
        <v>1</v>
      </c>
      <c r="H118" s="1272">
        <f t="shared" ref="H118:O121" si="9">$F118*(1+$E118)^(H$91-$F$91)</f>
        <v>1</v>
      </c>
      <c r="I118" s="1272">
        <f t="shared" si="9"/>
        <v>1</v>
      </c>
      <c r="J118" s="1272">
        <f t="shared" si="9"/>
        <v>1</v>
      </c>
      <c r="K118" s="1272">
        <f t="shared" si="9"/>
        <v>1</v>
      </c>
      <c r="L118" s="1272">
        <f t="shared" si="9"/>
        <v>1</v>
      </c>
      <c r="M118" s="1272">
        <f t="shared" si="9"/>
        <v>1</v>
      </c>
      <c r="N118" s="1272">
        <f t="shared" si="9"/>
        <v>1</v>
      </c>
      <c r="O118" s="1272">
        <f t="shared" si="9"/>
        <v>1</v>
      </c>
      <c r="P118" s="1158"/>
    </row>
    <row r="119" spans="1:23" ht="15.75" hidden="1" outlineLevel="1">
      <c r="B119" s="1159"/>
      <c r="C119" s="831" t="s">
        <v>1165</v>
      </c>
      <c r="D119" s="832" t="s">
        <v>1080</v>
      </c>
      <c r="E119" s="1767">
        <v>0</v>
      </c>
      <c r="F119" s="1771">
        <v>1</v>
      </c>
      <c r="G119" s="1772">
        <f>$F119*(1+$E119)^(G$91-$F$91)</f>
        <v>1</v>
      </c>
      <c r="H119" s="1771">
        <f t="shared" si="9"/>
        <v>1</v>
      </c>
      <c r="I119" s="1771">
        <f t="shared" si="9"/>
        <v>1</v>
      </c>
      <c r="J119" s="1771">
        <f t="shared" si="9"/>
        <v>1</v>
      </c>
      <c r="K119" s="1771">
        <f t="shared" si="9"/>
        <v>1</v>
      </c>
      <c r="L119" s="1771">
        <f t="shared" si="9"/>
        <v>1</v>
      </c>
      <c r="M119" s="1771">
        <f t="shared" si="9"/>
        <v>1</v>
      </c>
      <c r="N119" s="1771">
        <f t="shared" si="9"/>
        <v>1</v>
      </c>
      <c r="O119" s="1771">
        <f t="shared" si="9"/>
        <v>1</v>
      </c>
      <c r="P119" s="1158"/>
    </row>
    <row r="120" spans="1:23" ht="15.75" hidden="1" outlineLevel="1">
      <c r="B120" s="1159"/>
      <c r="C120" s="831" t="s">
        <v>1166</v>
      </c>
      <c r="D120" s="832" t="s">
        <v>1081</v>
      </c>
      <c r="E120" s="1767">
        <v>0</v>
      </c>
      <c r="F120" s="1771">
        <v>1</v>
      </c>
      <c r="G120" s="1772">
        <f>$F120*(1+$E120)^(G$91-$F$91)</f>
        <v>1</v>
      </c>
      <c r="H120" s="1771">
        <f t="shared" si="9"/>
        <v>1</v>
      </c>
      <c r="I120" s="1771">
        <f t="shared" si="9"/>
        <v>1</v>
      </c>
      <c r="J120" s="1771">
        <f t="shared" si="9"/>
        <v>1</v>
      </c>
      <c r="K120" s="1771">
        <f t="shared" si="9"/>
        <v>1</v>
      </c>
      <c r="L120" s="1771">
        <f t="shared" si="9"/>
        <v>1</v>
      </c>
      <c r="M120" s="1771">
        <f t="shared" si="9"/>
        <v>1</v>
      </c>
      <c r="N120" s="1771">
        <f t="shared" si="9"/>
        <v>1</v>
      </c>
      <c r="O120" s="1771">
        <f t="shared" si="9"/>
        <v>1</v>
      </c>
      <c r="P120" s="1158"/>
    </row>
    <row r="121" spans="1:23" ht="15.75" hidden="1" outlineLevel="1">
      <c r="B121" s="1159"/>
      <c r="C121" s="769" t="s">
        <v>1167</v>
      </c>
      <c r="D121" s="770" t="s">
        <v>123</v>
      </c>
      <c r="E121" s="1768">
        <v>-2.6341839434337544E-2</v>
      </c>
      <c r="F121" s="1773">
        <v>1</v>
      </c>
      <c r="G121" s="1774">
        <f>$F121*(1+$E121)^(G$91-$F$91)</f>
        <v>0.92303788080639493</v>
      </c>
      <c r="H121" s="1773">
        <f t="shared" si="9"/>
        <v>0.80770368708160589</v>
      </c>
      <c r="I121" s="1773">
        <f t="shared" si="9"/>
        <v>0.70678057714736087</v>
      </c>
      <c r="J121" s="1773">
        <f t="shared" si="9"/>
        <v>0.61846787655221636</v>
      </c>
      <c r="K121" s="1773">
        <f t="shared" si="9"/>
        <v>0.54118990630844288</v>
      </c>
      <c r="L121" s="1773">
        <f t="shared" si="9"/>
        <v>0.47356786956001784</v>
      </c>
      <c r="M121" s="1773">
        <f t="shared" si="9"/>
        <v>0.41439525103004571</v>
      </c>
      <c r="N121" s="1773">
        <f t="shared" si="9"/>
        <v>0.36261629032349535</v>
      </c>
      <c r="O121" s="1773">
        <f t="shared" si="9"/>
        <v>0.3173071450049984</v>
      </c>
      <c r="P121" s="1158"/>
    </row>
    <row r="122" spans="1:23" hidden="1" outlineLevel="1">
      <c r="B122" s="1157"/>
      <c r="C122" s="864"/>
      <c r="D122" s="864"/>
      <c r="E122" s="864"/>
      <c r="F122" s="1770"/>
      <c r="G122" s="1770"/>
      <c r="H122" s="1770"/>
      <c r="I122" s="1770"/>
      <c r="J122" s="1770"/>
      <c r="K122" s="1770"/>
      <c r="L122" s="1770"/>
      <c r="M122" s="1770"/>
      <c r="N122" s="1770"/>
      <c r="O122" s="1770"/>
      <c r="P122" s="1158"/>
    </row>
    <row r="123" spans="1:23" hidden="1" outlineLevel="1">
      <c r="B123" s="1164"/>
      <c r="C123" s="1165"/>
      <c r="D123" s="1165"/>
      <c r="E123" s="1165"/>
      <c r="F123" s="1165"/>
      <c r="G123" s="1165"/>
      <c r="H123" s="1165"/>
      <c r="I123" s="1165"/>
      <c r="J123" s="1165"/>
      <c r="K123" s="1165"/>
      <c r="L123" s="1165"/>
      <c r="M123" s="1165"/>
      <c r="N123" s="1165"/>
      <c r="O123" s="1165"/>
      <c r="P123" s="1166"/>
    </row>
    <row r="124" spans="1:23">
      <c r="R124" s="24"/>
      <c r="S124" s="24"/>
      <c r="T124" s="24"/>
      <c r="U124" s="24"/>
      <c r="V124" s="24"/>
      <c r="W124" s="24"/>
    </row>
    <row r="125" spans="1:23" ht="18" collapsed="1">
      <c r="A125" s="767"/>
      <c r="B125" s="809" t="s">
        <v>732</v>
      </c>
      <c r="R125" s="24"/>
      <c r="S125" s="24"/>
      <c r="T125" s="24"/>
      <c r="U125" s="24"/>
      <c r="V125" s="24"/>
      <c r="W125" s="24"/>
    </row>
    <row r="126" spans="1:23" s="24" customFormat="1" hidden="1" outlineLevel="1">
      <c r="B126" s="731">
        <v>1</v>
      </c>
      <c r="C126" s="121" t="s">
        <v>1559</v>
      </c>
    </row>
    <row r="127" spans="1:23" s="24" customFormat="1" hidden="1" outlineLevel="1">
      <c r="B127" s="731">
        <v>2</v>
      </c>
      <c r="C127" s="121" t="s">
        <v>1162</v>
      </c>
    </row>
    <row r="128" spans="1:23" s="24" customFormat="1" hidden="1" outlineLevel="1">
      <c r="B128" s="731">
        <v>3</v>
      </c>
      <c r="C128" s="121" t="s">
        <v>1168</v>
      </c>
    </row>
    <row r="129" spans="2:17" s="24" customFormat="1" hidden="1" outlineLevel="1">
      <c r="B129" s="731">
        <v>4</v>
      </c>
      <c r="C129" s="121" t="s">
        <v>1571</v>
      </c>
    </row>
    <row r="130" spans="2:17" s="24" customFormat="1" hidden="1" outlineLevel="1">
      <c r="B130" s="731"/>
      <c r="C130" s="121"/>
    </row>
    <row r="131" spans="2:17" s="24" customFormat="1" hidden="1" outlineLevel="1">
      <c r="B131" s="731" t="s">
        <v>1560</v>
      </c>
      <c r="C131" s="121"/>
      <c r="E131" s="862"/>
    </row>
    <row r="132" spans="2:17" s="24" customFormat="1" hidden="1" outlineLevel="2">
      <c r="B132" s="731"/>
      <c r="C132" s="121"/>
      <c r="E132" s="862"/>
      <c r="F132" s="861">
        <v>2007</v>
      </c>
      <c r="G132" s="861">
        <v>2010</v>
      </c>
      <c r="H132" s="861">
        <v>2015</v>
      </c>
      <c r="I132" s="861">
        <v>2020</v>
      </c>
      <c r="J132" s="861">
        <v>2025</v>
      </c>
      <c r="K132" s="861">
        <v>2030</v>
      </c>
      <c r="L132" s="861">
        <v>2035</v>
      </c>
      <c r="M132" s="861">
        <v>2040</v>
      </c>
      <c r="N132" s="861">
        <v>2045</v>
      </c>
      <c r="O132" s="861">
        <v>2050</v>
      </c>
    </row>
    <row r="133" spans="2:17" s="24" customFormat="1" hidden="1" outlineLevel="2">
      <c r="B133" s="731"/>
      <c r="C133" s="246" t="s">
        <v>1561</v>
      </c>
      <c r="E133" s="862"/>
      <c r="F133" s="861"/>
      <c r="G133" s="861"/>
      <c r="H133" s="861"/>
      <c r="I133" s="861"/>
      <c r="J133" s="861"/>
      <c r="K133" s="861"/>
      <c r="L133" s="861"/>
      <c r="M133" s="861"/>
      <c r="N133" s="861"/>
      <c r="O133" s="861"/>
    </row>
    <row r="134" spans="2:17" s="24" customFormat="1" hidden="1" outlineLevel="2">
      <c r="B134" s="20" t="s">
        <v>1164</v>
      </c>
      <c r="C134" s="121" t="s">
        <v>174</v>
      </c>
      <c r="E134" s="1456"/>
      <c r="F134" s="27">
        <f t="array" ref="F134:F137">F$92:F$95*F$100:F$103</f>
        <v>65.316211842415044</v>
      </c>
      <c r="G134" s="27">
        <f t="array" ref="G134:G137">G$92:G$95*G$100:G$103</f>
        <v>64.837850075022033</v>
      </c>
      <c r="H134" s="27">
        <f t="array" ref="H134:H137">H$92:H$95*H$100:H$103</f>
        <v>64.04835315713369</v>
      </c>
      <c r="I134" s="27">
        <f t="array" ref="I134:I137">I$92:I$95*I$100:I$103</f>
        <v>63.268469534298056</v>
      </c>
      <c r="J134" s="27">
        <f t="array" ref="J134:J137">J$92:J$95*J$100:J$103</f>
        <v>62.498082150400457</v>
      </c>
      <c r="K134" s="27">
        <f t="array" ref="K134:K137">K$92:K$95*K$100:K$103</f>
        <v>61.737075374657877</v>
      </c>
      <c r="L134" s="27">
        <f t="array" ref="L134:L137">L$92:L$95*L$100:L$103</f>
        <v>60.985334984263453</v>
      </c>
      <c r="M134" s="27">
        <f t="array" ref="M134:M137">M$92:M$95*M$100:M$103</f>
        <v>60.242748147242267</v>
      </c>
      <c r="N134" s="27">
        <f t="array" ref="N134:N137">N$92:N$95*N$100:N$103</f>
        <v>59.509203405515954</v>
      </c>
      <c r="O134" s="27">
        <f t="array" ref="O134:O137">O$92:O$95*O$100:O$103</f>
        <v>58.784590658173421</v>
      </c>
    </row>
    <row r="135" spans="2:17" s="24" customFormat="1" hidden="1" outlineLevel="2">
      <c r="B135" s="20" t="s">
        <v>1165</v>
      </c>
      <c r="C135" s="121" t="s">
        <v>1080</v>
      </c>
      <c r="E135" s="1456"/>
      <c r="F135" s="27">
        <v>73.3974426737729</v>
      </c>
      <c r="G135" s="27">
        <v>71.115675480334858</v>
      </c>
      <c r="H135" s="27">
        <v>67.469272070031067</v>
      </c>
      <c r="I135" s="27">
        <v>64.009835284748675</v>
      </c>
      <c r="J135" s="27">
        <v>60.727778549734836</v>
      </c>
      <c r="K135" s="27">
        <v>57.614006834732869</v>
      </c>
      <c r="L135" s="27">
        <v>54.659891450403443</v>
      </c>
      <c r="M135" s="27">
        <v>51.857246137040704</v>
      </c>
      <c r="N135" s="27">
        <v>49.198304379321534</v>
      </c>
      <c r="O135" s="27">
        <v>46.67569788422427</v>
      </c>
    </row>
    <row r="136" spans="2:17" s="24" customFormat="1" hidden="1" outlineLevel="2">
      <c r="B136" s="20" t="s">
        <v>1166</v>
      </c>
      <c r="C136" s="121" t="s">
        <v>1081</v>
      </c>
      <c r="E136" s="1456"/>
      <c r="F136" s="27">
        <v>30.119461595985271</v>
      </c>
      <c r="G136" s="27">
        <v>30.122988622876864</v>
      </c>
      <c r="H136" s="27">
        <v>30.128867918874068</v>
      </c>
      <c r="I136" s="27">
        <v>30.134748362370992</v>
      </c>
      <c r="J136" s="27">
        <v>30.140629953591624</v>
      </c>
      <c r="K136" s="27">
        <v>30.146512692759963</v>
      </c>
      <c r="L136" s="27">
        <v>30.15239658010006</v>
      </c>
      <c r="M136" s="27">
        <v>30.158281615836003</v>
      </c>
      <c r="N136" s="27">
        <v>30.164167800191954</v>
      </c>
      <c r="O136" s="27">
        <v>30.170055133392076</v>
      </c>
    </row>
    <row r="137" spans="2:17" s="24" customFormat="1" hidden="1" outlineLevel="2">
      <c r="B137" s="20" t="s">
        <v>1167</v>
      </c>
      <c r="C137" s="121" t="s">
        <v>123</v>
      </c>
      <c r="E137" s="1456"/>
      <c r="F137" s="27">
        <v>239.77554844651104</v>
      </c>
      <c r="G137" s="27">
        <v>245.08605149491535</v>
      </c>
      <c r="H137" s="27">
        <v>254.19954284201424</v>
      </c>
      <c r="I137" s="27">
        <v>263.65191811998983</v>
      </c>
      <c r="J137" s="27">
        <v>273.45577868152162</v>
      </c>
      <c r="K137" s="27">
        <v>283.62419445886724</v>
      </c>
      <c r="L137" s="27">
        <v>294.17072138793003</v>
      </c>
      <c r="M137" s="27">
        <v>305.10941948023799</v>
      </c>
      <c r="N137" s="27">
        <v>316.45487156692769</v>
      </c>
      <c r="O137" s="27">
        <v>328.22220273971902</v>
      </c>
    </row>
    <row r="138" spans="2:17" s="22" customFormat="1" hidden="1" outlineLevel="2">
      <c r="B138" s="743"/>
      <c r="C138" s="834" t="s">
        <v>148</v>
      </c>
      <c r="E138" s="1576" t="str">
        <f>Preferences.EnergyUnits</f>
        <v>TWh</v>
      </c>
      <c r="F138" s="1801">
        <f>SUM(F134:F137)</f>
        <v>408.60866455868427</v>
      </c>
      <c r="G138" s="1801">
        <f t="shared" ref="G138:O138" si="10">SUM(G134:G137)</f>
        <v>411.16256567314912</v>
      </c>
      <c r="H138" s="1801">
        <f t="shared" si="10"/>
        <v>415.84603598805307</v>
      </c>
      <c r="I138" s="1801">
        <f t="shared" si="10"/>
        <v>421.06497130140758</v>
      </c>
      <c r="J138" s="1801">
        <f t="shared" si="10"/>
        <v>426.82226933524851</v>
      </c>
      <c r="K138" s="1801">
        <f t="shared" si="10"/>
        <v>433.12178936101793</v>
      </c>
      <c r="L138" s="1801">
        <f t="shared" si="10"/>
        <v>439.96834440269697</v>
      </c>
      <c r="M138" s="1801">
        <f t="shared" si="10"/>
        <v>447.36769538035696</v>
      </c>
      <c r="N138" s="1801">
        <f t="shared" si="10"/>
        <v>455.32654715195713</v>
      </c>
      <c r="O138" s="1801">
        <f t="shared" si="10"/>
        <v>463.85254641550875</v>
      </c>
    </row>
    <row r="139" spans="2:17" s="24" customFormat="1" hidden="1" outlineLevel="2">
      <c r="B139" s="731"/>
      <c r="C139" s="121"/>
      <c r="D139" s="731"/>
      <c r="E139" s="862"/>
      <c r="F139" s="783"/>
      <c r="G139" s="783"/>
      <c r="H139" s="783"/>
      <c r="I139" s="783"/>
      <c r="J139" s="783"/>
      <c r="K139" s="783"/>
      <c r="L139" s="783"/>
      <c r="M139" s="783"/>
      <c r="N139" s="783"/>
      <c r="O139" s="783"/>
    </row>
    <row r="140" spans="2:17" s="24" customFormat="1" hidden="1" outlineLevel="2">
      <c r="B140" s="731"/>
      <c r="C140" s="246" t="s">
        <v>1562</v>
      </c>
      <c r="D140" s="731"/>
      <c r="E140" s="862"/>
      <c r="F140" s="783"/>
      <c r="G140" s="783"/>
      <c r="H140" s="783"/>
      <c r="I140" s="783"/>
      <c r="J140" s="783"/>
      <c r="K140" s="783"/>
      <c r="L140" s="783"/>
      <c r="M140" s="783"/>
      <c r="N140" s="783"/>
      <c r="O140" s="783"/>
    </row>
    <row r="141" spans="2:17" s="24" customFormat="1" hidden="1" outlineLevel="2">
      <c r="B141" s="20" t="s">
        <v>45</v>
      </c>
      <c r="C141" s="24" t="str">
        <f>INDEX(Vectors[Description], MATCH($B141, Vectors[Code], 0))</f>
        <v>Electricity (delivered to end user)</v>
      </c>
      <c r="E141" s="1566" t="str">
        <f>Preferences.EnergyUnits</f>
        <v>TWh</v>
      </c>
      <c r="F141" s="823">
        <f t="shared" ref="F141:O145" si="11">F$138*INDEX(F$109:F$113, MATCH($B141, $C$109:$C$113, 0))</f>
        <v>114.37233546157294</v>
      </c>
      <c r="G141" s="823">
        <f t="shared" si="11"/>
        <v>115.0871896982415</v>
      </c>
      <c r="H141" s="823">
        <f t="shared" si="11"/>
        <v>116.39812479199203</v>
      </c>
      <c r="I141" s="823">
        <f t="shared" si="11"/>
        <v>117.85894016911062</v>
      </c>
      <c r="J141" s="823">
        <f t="shared" si="11"/>
        <v>119.47044692164093</v>
      </c>
      <c r="K141" s="823">
        <f t="shared" si="11"/>
        <v>121.23372528582432</v>
      </c>
      <c r="L141" s="823">
        <f t="shared" si="11"/>
        <v>123.15012245970406</v>
      </c>
      <c r="M141" s="823">
        <f t="shared" si="11"/>
        <v>125.22125096386554</v>
      </c>
      <c r="N141" s="823">
        <f t="shared" si="11"/>
        <v>127.44898753350859</v>
      </c>
      <c r="O141" s="823">
        <f t="shared" si="11"/>
        <v>129.83547253124902</v>
      </c>
    </row>
    <row r="142" spans="2:17" s="24" customFormat="1" hidden="1" outlineLevel="2">
      <c r="B142" s="20" t="s">
        <v>47</v>
      </c>
      <c r="C142" s="24" t="str">
        <f>INDEX(Vectors[Description], MATCH($B142, Vectors[Code], 0))</f>
        <v>Solid hydrocarbons</v>
      </c>
      <c r="E142" s="1566" t="str">
        <f>Preferences.EnergyUnits</f>
        <v>TWh</v>
      </c>
      <c r="F142" s="823">
        <f t="shared" si="11"/>
        <v>54.553269110073614</v>
      </c>
      <c r="G142" s="823">
        <f t="shared" si="11"/>
        <v>54.894239987253606</v>
      </c>
      <c r="H142" s="823">
        <f t="shared" si="11"/>
        <v>55.519529264302946</v>
      </c>
      <c r="I142" s="823">
        <f t="shared" si="11"/>
        <v>56.21630837672091</v>
      </c>
      <c r="J142" s="823">
        <f t="shared" si="11"/>
        <v>56.984964198853909</v>
      </c>
      <c r="K142" s="823">
        <f t="shared" si="11"/>
        <v>57.826011981336116</v>
      </c>
      <c r="L142" s="823">
        <f t="shared" si="11"/>
        <v>58.740094310131191</v>
      </c>
      <c r="M142" s="823">
        <f t="shared" si="11"/>
        <v>59.727980324638843</v>
      </c>
      <c r="N142" s="823">
        <f t="shared" si="11"/>
        <v>60.790565189235942</v>
      </c>
      <c r="O142" s="823">
        <f t="shared" si="11"/>
        <v>61.928869813194837</v>
      </c>
      <c r="Q142" s="823"/>
    </row>
    <row r="143" spans="2:17" s="24" customFormat="1" hidden="1" outlineLevel="2">
      <c r="B143" s="20" t="s">
        <v>49</v>
      </c>
      <c r="C143" s="24" t="str">
        <f>INDEX(Vectors[Description], MATCH($B143, Vectors[Code], 0))</f>
        <v>Liquid hydrocarbons</v>
      </c>
      <c r="E143" s="1566" t="str">
        <f>Preferences.EnergyUnits</f>
        <v>TWh</v>
      </c>
      <c r="F143" s="823">
        <f t="shared" si="11"/>
        <v>81.623034879123125</v>
      </c>
      <c r="G143" s="823">
        <f t="shared" si="11"/>
        <v>82.133198215891667</v>
      </c>
      <c r="H143" s="823">
        <f t="shared" si="11"/>
        <v>83.068761002553643</v>
      </c>
      <c r="I143" s="823">
        <f t="shared" si="11"/>
        <v>84.111287449157274</v>
      </c>
      <c r="J143" s="823">
        <f t="shared" si="11"/>
        <v>85.261356400174876</v>
      </c>
      <c r="K143" s="823">
        <f t="shared" si="11"/>
        <v>86.519738777700951</v>
      </c>
      <c r="L143" s="823">
        <f t="shared" si="11"/>
        <v>87.887396023962168</v>
      </c>
      <c r="M143" s="823">
        <f t="shared" si="11"/>
        <v>89.365478931442155</v>
      </c>
      <c r="N143" s="823">
        <f t="shared" si="11"/>
        <v>90.955326852197132</v>
      </c>
      <c r="O143" s="823">
        <f t="shared" si="11"/>
        <v>92.65846727879547</v>
      </c>
      <c r="Q143" s="823"/>
    </row>
    <row r="144" spans="2:17" s="24" customFormat="1" hidden="1" outlineLevel="2">
      <c r="B144" s="20" t="s">
        <v>50</v>
      </c>
      <c r="C144" s="24" t="str">
        <f>INDEX(Vectors[Description], MATCH($B144, Vectors[Code], 0))</f>
        <v>Gaseous hydrocarbons</v>
      </c>
      <c r="E144" s="1566" t="str">
        <f>Preferences.EnergyUnits</f>
        <v>TWh</v>
      </c>
      <c r="F144" s="823">
        <f t="shared" si="11"/>
        <v>150.05297390894643</v>
      </c>
      <c r="G144" s="823">
        <f t="shared" si="11"/>
        <v>150.99084060276388</v>
      </c>
      <c r="H144" s="823">
        <f t="shared" si="11"/>
        <v>152.71074698244044</v>
      </c>
      <c r="I144" s="823">
        <f t="shared" si="11"/>
        <v>154.62729166769097</v>
      </c>
      <c r="J144" s="823">
        <f t="shared" si="11"/>
        <v>156.74153878624145</v>
      </c>
      <c r="K144" s="823">
        <f t="shared" si="11"/>
        <v>159.05490557469804</v>
      </c>
      <c r="L144" s="823">
        <f t="shared" si="11"/>
        <v>161.5691595153109</v>
      </c>
      <c r="M144" s="823">
        <f t="shared" si="11"/>
        <v>164.28641618531597</v>
      </c>
      <c r="N144" s="823">
        <f t="shared" si="11"/>
        <v>167.20913780336815</v>
      </c>
      <c r="O144" s="823">
        <f t="shared" si="11"/>
        <v>170.34013245915492</v>
      </c>
      <c r="Q144" s="823"/>
    </row>
    <row r="145" spans="2:15" s="24" customFormat="1" hidden="1" outlineLevel="2">
      <c r="B145" s="20" t="s">
        <v>753</v>
      </c>
      <c r="C145" s="24" t="str">
        <f>INDEX(Vectors[Description], MATCH($B145, Vectors[Code], 0))</f>
        <v>Heat transport</v>
      </c>
      <c r="E145" s="1566" t="str">
        <f>Preferences.EnergyUnits</f>
        <v>TWh</v>
      </c>
      <c r="F145" s="823">
        <f t="shared" si="11"/>
        <v>8.007051198968183</v>
      </c>
      <c r="G145" s="823">
        <f t="shared" si="11"/>
        <v>8.0570971689984745</v>
      </c>
      <c r="H145" s="823">
        <f t="shared" si="11"/>
        <v>8.1488739467640343</v>
      </c>
      <c r="I145" s="823">
        <f t="shared" si="11"/>
        <v>8.2511436387277772</v>
      </c>
      <c r="J145" s="823">
        <f t="shared" si="11"/>
        <v>8.3639630283373272</v>
      </c>
      <c r="K145" s="823">
        <f t="shared" si="11"/>
        <v>8.4874077414584725</v>
      </c>
      <c r="L145" s="823">
        <f t="shared" si="11"/>
        <v>8.6215720935886129</v>
      </c>
      <c r="M145" s="823">
        <f t="shared" si="11"/>
        <v>8.7665689750944136</v>
      </c>
      <c r="N145" s="823">
        <f t="shared" si="11"/>
        <v>8.9225297736472999</v>
      </c>
      <c r="O145" s="823">
        <f t="shared" si="11"/>
        <v>9.0896043331144991</v>
      </c>
    </row>
    <row r="146" spans="2:15" s="24" customFormat="1" hidden="1" outlineLevel="2">
      <c r="B146" s="20"/>
      <c r="E146" s="1566"/>
      <c r="F146" s="823"/>
      <c r="G146" s="823"/>
      <c r="H146" s="823"/>
      <c r="I146" s="823"/>
      <c r="J146" s="823"/>
      <c r="K146" s="823"/>
      <c r="L146" s="823"/>
      <c r="M146" s="823"/>
      <c r="N146" s="823"/>
      <c r="O146" s="823"/>
    </row>
    <row r="147" spans="2:15" s="24" customFormat="1" hidden="1" outlineLevel="2">
      <c r="B147" s="731"/>
      <c r="C147" s="246" t="s">
        <v>1576</v>
      </c>
      <c r="D147" s="731"/>
      <c r="E147" s="862"/>
      <c r="F147" s="783"/>
      <c r="G147" s="783"/>
      <c r="H147" s="783"/>
      <c r="I147" s="783"/>
      <c r="J147" s="783"/>
      <c r="K147" s="783"/>
      <c r="L147" s="783"/>
      <c r="M147" s="783"/>
      <c r="N147" s="783"/>
      <c r="O147" s="783"/>
    </row>
    <row r="148" spans="2:15" s="24" customFormat="1" hidden="1" outlineLevel="2">
      <c r="B148" s="20" t="s">
        <v>45</v>
      </c>
      <c r="C148" s="24" t="str">
        <f>INDEX(Vectors[Description], MATCH($B148, Vectors[Code], 0))</f>
        <v>Electricity (delivered to end user)</v>
      </c>
      <c r="E148" s="1566" t="str">
        <f>Preferences.EnergyUnits</f>
        <v>TWh</v>
      </c>
      <c r="F148" s="823">
        <f>F$137*INDEX(F$109:F$113, MATCH($B148, $C$109:$C$113, 0))</f>
        <v>67.114801620826654</v>
      </c>
      <c r="G148" s="823">
        <f t="shared" ref="G148:O152" si="12">G$137*INDEX(G$109:G$113, MATCH($B148, $C$109:$C$113, 0))</f>
        <v>68.601247427789161</v>
      </c>
      <c r="H148" s="823">
        <f t="shared" si="12"/>
        <v>71.152175442745232</v>
      </c>
      <c r="I148" s="823">
        <f t="shared" si="12"/>
        <v>73.797959367491231</v>
      </c>
      <c r="J148" s="823">
        <f t="shared" si="12"/>
        <v>76.542126406075795</v>
      </c>
      <c r="K148" s="823">
        <f t="shared" si="12"/>
        <v>79.388334921148271</v>
      </c>
      <c r="L148" s="823">
        <f t="shared" si="12"/>
        <v>82.340379311073448</v>
      </c>
      <c r="M148" s="823">
        <f t="shared" si="12"/>
        <v>85.402195068400928</v>
      </c>
      <c r="N148" s="823">
        <f t="shared" si="12"/>
        <v>88.577864026433303</v>
      </c>
      <c r="O148" s="823">
        <f t="shared" si="12"/>
        <v>91.871619800886833</v>
      </c>
    </row>
    <row r="149" spans="2:15" s="24" customFormat="1" hidden="1" outlineLevel="2">
      <c r="B149" s="20" t="s">
        <v>47</v>
      </c>
      <c r="C149" s="24" t="str">
        <f>INDEX(Vectors[Description], MATCH($B149, Vectors[Code], 0))</f>
        <v>Solid hydrocarbons</v>
      </c>
      <c r="E149" s="1566" t="str">
        <f>Preferences.EnergyUnits</f>
        <v>TWh</v>
      </c>
      <c r="F149" s="823">
        <f>F$137*INDEX(F$109:F$113, MATCH($B149, $C$109:$C$113, 0))</f>
        <v>32.012390228057406</v>
      </c>
      <c r="G149" s="823">
        <f t="shared" si="12"/>
        <v>32.721394532267063</v>
      </c>
      <c r="H149" s="823">
        <f t="shared" si="12"/>
        <v>33.938135118342444</v>
      </c>
      <c r="I149" s="823">
        <f t="shared" si="12"/>
        <v>35.200120036909311</v>
      </c>
      <c r="J149" s="823">
        <f t="shared" si="12"/>
        <v>36.509031692291174</v>
      </c>
      <c r="K149" s="823">
        <f t="shared" si="12"/>
        <v>37.866615048786507</v>
      </c>
      <c r="L149" s="823">
        <f t="shared" si="12"/>
        <v>39.274679956952859</v>
      </c>
      <c r="M149" s="823">
        <f t="shared" si="12"/>
        <v>40.735103566393533</v>
      </c>
      <c r="N149" s="823">
        <f t="shared" si="12"/>
        <v>42.24983282826345</v>
      </c>
      <c r="O149" s="823">
        <f t="shared" si="12"/>
        <v>43.82088709083024</v>
      </c>
    </row>
    <row r="150" spans="2:15" s="24" customFormat="1" hidden="1" outlineLevel="2">
      <c r="B150" s="20" t="s">
        <v>49</v>
      </c>
      <c r="C150" s="24" t="str">
        <f>INDEX(Vectors[Description], MATCH($B150, Vectors[Code], 0))</f>
        <v>Liquid hydrocarbons</v>
      </c>
      <c r="E150" s="1566" t="str">
        <f>Preferences.EnergyUnits</f>
        <v>TWh</v>
      </c>
      <c r="F150" s="823">
        <f>F$137*INDEX(F$109:F$113, MATCH($B150, $C$109:$C$113, 0))</f>
        <v>47.897192721422662</v>
      </c>
      <c r="G150" s="823">
        <f t="shared" si="12"/>
        <v>48.958010597161426</v>
      </c>
      <c r="H150" s="823">
        <f t="shared" si="12"/>
        <v>50.778507533755409</v>
      </c>
      <c r="I150" s="823">
        <f t="shared" si="12"/>
        <v>52.666699400264285</v>
      </c>
      <c r="J150" s="823">
        <f t="shared" si="12"/>
        <v>54.625103423410117</v>
      </c>
      <c r="K150" s="823">
        <f t="shared" si="12"/>
        <v>56.65633043264674</v>
      </c>
      <c r="L150" s="823">
        <f t="shared" si="12"/>
        <v>58.763088340764646</v>
      </c>
      <c r="M150" s="823">
        <f t="shared" si="12"/>
        <v>60.948185753921479</v>
      </c>
      <c r="N150" s="823">
        <f t="shared" si="12"/>
        <v>63.214535715911325</v>
      </c>
      <c r="O150" s="823">
        <f t="shared" si="12"/>
        <v>65.565159591663701</v>
      </c>
    </row>
    <row r="151" spans="2:15" s="24" customFormat="1" hidden="1" outlineLevel="2">
      <c r="B151" s="20" t="s">
        <v>50</v>
      </c>
      <c r="C151" s="24" t="str">
        <f>INDEX(Vectors[Description], MATCH($B151, Vectors[Code], 0))</f>
        <v>Gaseous hydrocarbons</v>
      </c>
      <c r="E151" s="1566" t="str">
        <f>Preferences.EnergyUnits</f>
        <v>TWh</v>
      </c>
      <c r="F151" s="823">
        <f>F$137*INDEX(F$109:F$113, MATCH($B151, $C$109:$C$113, 0))</f>
        <v>88.052548160980905</v>
      </c>
      <c r="G151" s="823">
        <f t="shared" si="12"/>
        <v>90.002719179077729</v>
      </c>
      <c r="H151" s="823">
        <f t="shared" si="12"/>
        <v>93.349457997753049</v>
      </c>
      <c r="I151" s="823">
        <f t="shared" si="12"/>
        <v>96.820644842250175</v>
      </c>
      <c r="J151" s="823">
        <f t="shared" si="12"/>
        <v>100.42090729541016</v>
      </c>
      <c r="K151" s="823">
        <f t="shared" si="12"/>
        <v>104.15504501610997</v>
      </c>
      <c r="L151" s="823">
        <f t="shared" si="12"/>
        <v>108.02803613788629</v>
      </c>
      <c r="M151" s="823">
        <f t="shared" si="12"/>
        <v>112.04504390549126</v>
      </c>
      <c r="N151" s="823">
        <f t="shared" si="12"/>
        <v>116.21142355822803</v>
      </c>
      <c r="O151" s="823">
        <f t="shared" si="12"/>
        <v>120.53272946924157</v>
      </c>
    </row>
    <row r="152" spans="2:15" s="24" customFormat="1" hidden="1" outlineLevel="2">
      <c r="B152" s="20" t="s">
        <v>753</v>
      </c>
      <c r="C152" s="24" t="str">
        <f>INDEX(Vectors[Description], MATCH($B152, Vectors[Code], 0))</f>
        <v>Heat transport</v>
      </c>
      <c r="E152" s="1566" t="str">
        <f>Preferences.EnergyUnits</f>
        <v>TWh</v>
      </c>
      <c r="F152" s="823">
        <f>F$137*INDEX(F$109:F$113, MATCH($B152, $C$109:$C$113, 0))</f>
        <v>4.698615715223422</v>
      </c>
      <c r="G152" s="823">
        <f t="shared" si="12"/>
        <v>4.802679758619993</v>
      </c>
      <c r="H152" s="823">
        <f t="shared" si="12"/>
        <v>4.9812667494181158</v>
      </c>
      <c r="I152" s="823">
        <f t="shared" si="12"/>
        <v>5.1664944730748221</v>
      </c>
      <c r="J152" s="823">
        <f t="shared" si="12"/>
        <v>5.3586098643343636</v>
      </c>
      <c r="K152" s="823">
        <f t="shared" si="12"/>
        <v>5.5578690401757243</v>
      </c>
      <c r="L152" s="823">
        <f t="shared" si="12"/>
        <v>5.764537641252768</v>
      </c>
      <c r="M152" s="823">
        <f t="shared" si="12"/>
        <v>5.9788911860307845</v>
      </c>
      <c r="N152" s="823">
        <f t="shared" si="12"/>
        <v>6.2012154380915678</v>
      </c>
      <c r="O152" s="823">
        <f t="shared" si="12"/>
        <v>6.4318067870966562</v>
      </c>
    </row>
    <row r="153" spans="2:15" s="24" customFormat="1" hidden="1" outlineLevel="2">
      <c r="B153" s="731"/>
      <c r="C153" s="121"/>
      <c r="D153" s="731"/>
      <c r="E153" s="862"/>
      <c r="F153" s="783"/>
      <c r="G153" s="783"/>
      <c r="H153" s="783"/>
      <c r="I153" s="783"/>
      <c r="J153" s="783"/>
      <c r="K153" s="783"/>
      <c r="L153" s="783"/>
      <c r="M153" s="783"/>
      <c r="N153" s="783"/>
      <c r="O153" s="783"/>
    </row>
    <row r="154" spans="2:15" s="24" customFormat="1" hidden="1" outlineLevel="1">
      <c r="B154" s="731" t="s">
        <v>1563</v>
      </c>
      <c r="C154" s="121"/>
      <c r="O154" s="1457"/>
    </row>
    <row r="155" spans="2:15" s="24" customFormat="1" hidden="1" outlineLevel="2">
      <c r="B155" s="731"/>
      <c r="C155" s="121"/>
      <c r="F155" s="861">
        <v>2007</v>
      </c>
      <c r="G155" s="861">
        <v>2010</v>
      </c>
      <c r="H155" s="861">
        <v>2015</v>
      </c>
      <c r="I155" s="861">
        <v>2020</v>
      </c>
      <c r="J155" s="861">
        <v>2025</v>
      </c>
      <c r="K155" s="861">
        <v>2030</v>
      </c>
      <c r="L155" s="861">
        <v>2035</v>
      </c>
      <c r="M155" s="861">
        <v>2040</v>
      </c>
      <c r="N155" s="861">
        <v>2045</v>
      </c>
      <c r="O155" s="861">
        <v>2050</v>
      </c>
    </row>
    <row r="156" spans="2:15" s="24" customFormat="1" hidden="1" outlineLevel="2">
      <c r="B156" s="862" t="s">
        <v>1055</v>
      </c>
      <c r="C156" s="121" t="str">
        <f>INDEX(GHG[GHG_description], MATCH($B156, GHG[GHG_code], 0))</f>
        <v>CO_2</v>
      </c>
      <c r="E156" s="862"/>
      <c r="F156" s="861"/>
      <c r="G156" s="861"/>
      <c r="H156" s="861"/>
      <c r="I156" s="861"/>
      <c r="J156" s="861"/>
      <c r="K156" s="861"/>
      <c r="L156" s="861"/>
      <c r="M156" s="861"/>
      <c r="N156" s="861"/>
      <c r="O156" s="861"/>
    </row>
    <row r="157" spans="2:15" s="24" customFormat="1" hidden="1" outlineLevel="2">
      <c r="B157" s="20" t="s">
        <v>1164</v>
      </c>
      <c r="C157" s="121" t="s">
        <v>174</v>
      </c>
      <c r="E157" s="1456"/>
      <c r="F157" s="27">
        <f t="array" ref="F157:F160">$F$75:$F$78*F$118:F$121*F$92:F$95/$F$92:$F$95</f>
        <v>3.0699249482245601</v>
      </c>
      <c r="G157" s="27">
        <f t="array" ref="G157:G160">$F$75:$F$78*G$118:G$121*G$92:G$95/$F$92:$F$95</f>
        <v>3.0699249482245601</v>
      </c>
      <c r="H157" s="27">
        <f t="array" ref="H157:H160">$F$75:$F$78*H$118:H$121*H$92:H$95/$F$92:$F$95</f>
        <v>3.0699249482245601</v>
      </c>
      <c r="I157" s="27">
        <f t="array" ref="I157:I160">$F$75:$F$78*I$118:I$121*I$92:I$95/$F$92:$F$95</f>
        <v>3.0699249482245601</v>
      </c>
      <c r="J157" s="27">
        <f t="array" ref="J157:J160">$F$75:$F$78*J$118:J$121*J$92:J$95/$F$92:$F$95</f>
        <v>3.0699249482245601</v>
      </c>
      <c r="K157" s="27">
        <f t="array" ref="K157:K160">$F$75:$F$78*K$118:K$121*K$92:K$95/$F$92:$F$95</f>
        <v>3.0699249482245601</v>
      </c>
      <c r="L157" s="27">
        <f t="array" ref="L157:L160">$F$75:$F$78*L$118:L$121*L$92:L$95/$F$92:$F$95</f>
        <v>3.0699249482245601</v>
      </c>
      <c r="M157" s="27">
        <f t="array" ref="M157:M160">$F$75:$F$78*M$118:M$121*M$92:M$95/$F$92:$F$95</f>
        <v>3.0699249482245601</v>
      </c>
      <c r="N157" s="27">
        <f t="array" ref="N157:N160">$F$75:$F$78*N$118:N$121*N$92:N$95/$F$92:$F$95</f>
        <v>3.0699249482245601</v>
      </c>
      <c r="O157" s="27">
        <f t="array" ref="O157:O160">$F$75:$F$78*O$118:O$121*O$92:O$95/$F$92:$F$95</f>
        <v>3.0699249482245601</v>
      </c>
    </row>
    <row r="158" spans="2:15" s="24" customFormat="1" hidden="1" outlineLevel="2">
      <c r="B158" s="20" t="s">
        <v>1165</v>
      </c>
      <c r="C158" s="121" t="s">
        <v>1080</v>
      </c>
      <c r="E158" s="1456"/>
      <c r="F158" s="27">
        <v>2.6579667530597404</v>
      </c>
      <c r="G158" s="27">
        <v>2.5943366946651087</v>
      </c>
      <c r="H158" s="27">
        <v>2.4916535837886697</v>
      </c>
      <c r="I158" s="27">
        <v>2.3930346413299013</v>
      </c>
      <c r="J158" s="27">
        <v>2.2983190086550302</v>
      </c>
      <c r="K158" s="27">
        <v>2.2073521938694047</v>
      </c>
      <c r="L158" s="27">
        <v>2.1199858198237633</v>
      </c>
      <c r="M158" s="27">
        <v>2.0360773820943483</v>
      </c>
      <c r="N158" s="27">
        <v>1.9554900165420941</v>
      </c>
      <c r="O158" s="27">
        <v>1.8780922760717567</v>
      </c>
    </row>
    <row r="159" spans="2:15" s="24" customFormat="1" hidden="1" outlineLevel="2">
      <c r="B159" s="20" t="s">
        <v>1166</v>
      </c>
      <c r="C159" s="121" t="s">
        <v>1081</v>
      </c>
      <c r="E159" s="1456"/>
      <c r="F159" s="27">
        <v>8.6677675538343308</v>
      </c>
      <c r="G159" s="27">
        <v>8.732739248315406</v>
      </c>
      <c r="H159" s="27">
        <v>8.8421094599476699</v>
      </c>
      <c r="I159" s="27">
        <v>8.9528494414599589</v>
      </c>
      <c r="J159" s="27">
        <v>9.0649763480675443</v>
      </c>
      <c r="K159" s="27">
        <v>9.1785075498403277</v>
      </c>
      <c r="L159" s="27">
        <v>9.2934606343937229</v>
      </c>
      <c r="M159" s="27">
        <v>9.4098534096132287</v>
      </c>
      <c r="N159" s="27">
        <v>9.5277039064131301</v>
      </c>
      <c r="O159" s="27">
        <v>9.6470303815297385</v>
      </c>
    </row>
    <row r="160" spans="2:15" s="24" customFormat="1" hidden="1" outlineLevel="2">
      <c r="B160" s="20" t="s">
        <v>1167</v>
      </c>
      <c r="C160" s="121" t="s">
        <v>123</v>
      </c>
      <c r="E160" s="1456"/>
      <c r="F160" s="27">
        <v>0</v>
      </c>
      <c r="G160" s="27">
        <v>0</v>
      </c>
      <c r="H160" s="27">
        <v>0</v>
      </c>
      <c r="I160" s="27">
        <v>0</v>
      </c>
      <c r="J160" s="27">
        <v>0</v>
      </c>
      <c r="K160" s="27">
        <v>0</v>
      </c>
      <c r="L160" s="27">
        <v>0</v>
      </c>
      <c r="M160" s="27">
        <v>0</v>
      </c>
      <c r="N160" s="27">
        <v>0</v>
      </c>
      <c r="O160" s="27">
        <v>0</v>
      </c>
    </row>
    <row r="161" spans="2:15" s="24" customFormat="1" ht="14.25" hidden="1" outlineLevel="2">
      <c r="B161" s="20"/>
      <c r="C161" s="731" t="s">
        <v>1570</v>
      </c>
      <c r="E161" s="1799" t="s">
        <v>1462</v>
      </c>
      <c r="F161" s="1800">
        <f>SUM(F157:F160)</f>
        <v>14.39565925511863</v>
      </c>
      <c r="G161" s="1800">
        <f t="shared" ref="G161:O161" si="13">SUM(G157:G160)</f>
        <v>14.397000891205074</v>
      </c>
      <c r="H161" s="1800">
        <f t="shared" si="13"/>
        <v>14.403687991960901</v>
      </c>
      <c r="I161" s="1800">
        <f t="shared" si="13"/>
        <v>14.415809031014421</v>
      </c>
      <c r="J161" s="1800">
        <f t="shared" si="13"/>
        <v>14.433220304947135</v>
      </c>
      <c r="K161" s="1800">
        <f t="shared" si="13"/>
        <v>14.455784691934292</v>
      </c>
      <c r="L161" s="1800">
        <f t="shared" si="13"/>
        <v>14.483371402442046</v>
      </c>
      <c r="M161" s="1800">
        <f t="shared" si="13"/>
        <v>14.515855739932137</v>
      </c>
      <c r="N161" s="1800">
        <f t="shared" si="13"/>
        <v>14.553118871179784</v>
      </c>
      <c r="O161" s="1800">
        <f t="shared" si="13"/>
        <v>14.595047605826055</v>
      </c>
    </row>
    <row r="162" spans="2:15" s="24" customFormat="1" hidden="1" outlineLevel="2">
      <c r="B162" s="731"/>
      <c r="C162" s="121"/>
    </row>
    <row r="163" spans="2:15" s="24" customFormat="1" hidden="1" outlineLevel="2">
      <c r="B163" s="862" t="s">
        <v>1056</v>
      </c>
      <c r="C163" s="121" t="str">
        <f>INDEX(GHG[GHG_description], MATCH($B163, GHG[GHG_code], 0))</f>
        <v>CH_4</v>
      </c>
      <c r="E163" s="862"/>
    </row>
    <row r="164" spans="2:15" s="24" customFormat="1" hidden="1" outlineLevel="2">
      <c r="B164" s="20" t="s">
        <v>1164</v>
      </c>
      <c r="C164" s="121" t="s">
        <v>174</v>
      </c>
      <c r="E164" s="1456"/>
      <c r="F164" s="27">
        <f t="array" ref="F164:F167">$G$75:$G$78*F$118:F$121*F$92:F$95/$F$92:$F$95</f>
        <v>7.6208894999999999E-2</v>
      </c>
      <c r="G164" s="27">
        <f t="array" ref="G164:G167">$G$75:$G$78*G$118:G$121*G$92:G$95/$F$92:$F$95</f>
        <v>7.6208894999999999E-2</v>
      </c>
      <c r="H164" s="27">
        <f t="array" ref="H164:H167">$G$75:$G$78*H$118:H$121*H$92:H$95/$F$92:$F$95</f>
        <v>7.6208894999999999E-2</v>
      </c>
      <c r="I164" s="27">
        <f t="array" ref="I164:I167">$G$75:$G$78*I$118:I$121*I$92:I$95/$F$92:$F$95</f>
        <v>7.6208894999999999E-2</v>
      </c>
      <c r="J164" s="27">
        <f t="array" ref="J164:J167">$G$75:$G$78*J$118:J$121*J$92:J$95/$F$92:$F$95</f>
        <v>7.6208894999999999E-2</v>
      </c>
      <c r="K164" s="27">
        <f t="array" ref="K164:K167">$G$75:$G$78*K$118:K$121*K$92:K$95/$F$92:$F$95</f>
        <v>7.6208894999999999E-2</v>
      </c>
      <c r="L164" s="27">
        <f t="array" ref="L164:L167">$G$75:$G$78*L$118:L$121*L$92:L$95/$F$92:$F$95</f>
        <v>7.6208894999999999E-2</v>
      </c>
      <c r="M164" s="27">
        <f t="array" ref="M164:M167">$G$75:$G$78*M$118:M$121*M$92:M$95/$F$92:$F$95</f>
        <v>7.6208894999999999E-2</v>
      </c>
      <c r="N164" s="27">
        <f t="array" ref="N164:N167">$G$75:$G$78*N$118:N$121*N$92:N$95/$F$92:$F$95</f>
        <v>7.6208894999999999E-2</v>
      </c>
      <c r="O164" s="27">
        <f t="array" ref="O164:O167">$G$75:$G$78*O$118:O$121*O$92:O$95/$F$92:$F$95</f>
        <v>7.6208894999999999E-2</v>
      </c>
    </row>
    <row r="165" spans="2:15" s="24" customFormat="1" hidden="1" outlineLevel="2">
      <c r="B165" s="20" t="s">
        <v>1165</v>
      </c>
      <c r="C165" s="121" t="s">
        <v>1080</v>
      </c>
      <c r="E165" s="1456"/>
      <c r="F165" s="27">
        <v>1.8177665240937134E-2</v>
      </c>
      <c r="G165" s="27">
        <v>1.7742503326504833E-2</v>
      </c>
      <c r="H165" s="27">
        <v>1.7040260074868495E-2</v>
      </c>
      <c r="I165" s="27">
        <v>1.6365811412044892E-2</v>
      </c>
      <c r="J165" s="27">
        <v>1.5718057236088625E-2</v>
      </c>
      <c r="K165" s="27">
        <v>1.509594098677741E-2</v>
      </c>
      <c r="L165" s="27">
        <v>1.4498447922243028E-2</v>
      </c>
      <c r="M165" s="27">
        <v>1.3924603463812723E-2</v>
      </c>
      <c r="N165" s="27">
        <v>1.3373471606361313E-2</v>
      </c>
      <c r="O165" s="27">
        <v>1.2844153391581108E-2</v>
      </c>
    </row>
    <row r="166" spans="2:15" s="24" customFormat="1" hidden="1" outlineLevel="2">
      <c r="B166" s="20" t="s">
        <v>1166</v>
      </c>
      <c r="C166" s="121" t="s">
        <v>1081</v>
      </c>
      <c r="E166" s="1456"/>
      <c r="F166" s="27">
        <v>1.8500882110586987E-2</v>
      </c>
      <c r="G166" s="27">
        <v>1.8639560686431779E-2</v>
      </c>
      <c r="H166" s="27">
        <v>1.8873005501287635E-2</v>
      </c>
      <c r="I166" s="27">
        <v>1.9109374016036414E-2</v>
      </c>
      <c r="J166" s="27">
        <v>1.9348702847559365E-2</v>
      </c>
      <c r="K166" s="27">
        <v>1.9591029071333373E-2</v>
      </c>
      <c r="L166" s="27">
        <v>1.9836390227174462E-2</v>
      </c>
      <c r="M166" s="27">
        <v>2.0084824325053284E-2</v>
      </c>
      <c r="N166" s="27">
        <v>2.0336369850983381E-2</v>
      </c>
      <c r="O166" s="27">
        <v>2.0591065772983232E-2</v>
      </c>
    </row>
    <row r="167" spans="2:15" s="24" customFormat="1" hidden="1" outlineLevel="2">
      <c r="B167" s="20" t="s">
        <v>1167</v>
      </c>
      <c r="C167" s="121" t="s">
        <v>123</v>
      </c>
      <c r="E167" s="1456"/>
      <c r="F167" s="27">
        <v>0</v>
      </c>
      <c r="G167" s="27">
        <v>0</v>
      </c>
      <c r="H167" s="27">
        <v>0</v>
      </c>
      <c r="I167" s="27">
        <v>0</v>
      </c>
      <c r="J167" s="27">
        <v>0</v>
      </c>
      <c r="K167" s="27">
        <v>0</v>
      </c>
      <c r="L167" s="27">
        <v>0</v>
      </c>
      <c r="M167" s="27">
        <v>0</v>
      </c>
      <c r="N167" s="27">
        <v>0</v>
      </c>
      <c r="O167" s="27">
        <v>0</v>
      </c>
    </row>
    <row r="168" spans="2:15" s="24" customFormat="1" ht="14.25" hidden="1" outlineLevel="2">
      <c r="B168" s="20"/>
      <c r="C168" s="731" t="s">
        <v>1569</v>
      </c>
      <c r="E168" s="1799" t="s">
        <v>1462</v>
      </c>
      <c r="F168" s="1800">
        <f t="shared" ref="F168:O168" si="14">SUM(F164:F167)</f>
        <v>0.11288744235152412</v>
      </c>
      <c r="G168" s="1800">
        <f t="shared" si="14"/>
        <v>0.11259095901293661</v>
      </c>
      <c r="H168" s="1800">
        <f t="shared" si="14"/>
        <v>0.11212216057615614</v>
      </c>
      <c r="I168" s="1800">
        <f t="shared" si="14"/>
        <v>0.11168408042808131</v>
      </c>
      <c r="J168" s="1800">
        <f t="shared" si="14"/>
        <v>0.11127565508364799</v>
      </c>
      <c r="K168" s="1800">
        <f t="shared" si="14"/>
        <v>0.11089586505811078</v>
      </c>
      <c r="L168" s="1800">
        <f t="shared" si="14"/>
        <v>0.11054373314941748</v>
      </c>
      <c r="M168" s="1800">
        <f t="shared" si="14"/>
        <v>0.11021832278886601</v>
      </c>
      <c r="N168" s="1800">
        <f t="shared" si="14"/>
        <v>0.10991873645734471</v>
      </c>
      <c r="O168" s="1800">
        <f t="shared" si="14"/>
        <v>0.10964411416456435</v>
      </c>
    </row>
    <row r="169" spans="2:15" s="24" customFormat="1" hidden="1" outlineLevel="2">
      <c r="B169" s="731"/>
      <c r="C169" s="121"/>
    </row>
    <row r="170" spans="2:15" s="24" customFormat="1" hidden="1" outlineLevel="2">
      <c r="B170" s="862" t="s">
        <v>1057</v>
      </c>
      <c r="C170" s="121" t="str">
        <f>INDEX(GHG[GHG_description], MATCH($B170, GHG[GHG_code], 0))</f>
        <v>N_2O</v>
      </c>
      <c r="E170" s="862"/>
    </row>
    <row r="171" spans="2:15" s="24" customFormat="1" hidden="1" outlineLevel="2">
      <c r="B171" s="20" t="s">
        <v>1164</v>
      </c>
      <c r="C171" s="121" t="s">
        <v>174</v>
      </c>
      <c r="E171" s="1456"/>
      <c r="F171" s="27">
        <f t="array" ref="F171:F174">$H$75:$H$78*F$118:F$121*F$92:F$95/$F$92:$F$95</f>
        <v>2.7531100000000004</v>
      </c>
      <c r="G171" s="27">
        <f t="array" ref="G171:G174">$H$75:$H$78*G$118:G$121*G$92:G$95/$F$92:$F$95</f>
        <v>2.7531100000000004</v>
      </c>
      <c r="H171" s="27">
        <f t="array" ref="H171:H174">$H$75:$H$78*H$118:H$121*H$92:H$95/$F$92:$F$95</f>
        <v>2.7531100000000004</v>
      </c>
      <c r="I171" s="27">
        <f t="array" ref="I171:I174">$H$75:$H$78*I$118:I$121*I$92:I$95/$F$92:$F$95</f>
        <v>2.7531100000000004</v>
      </c>
      <c r="J171" s="27">
        <f t="array" ref="J171:J174">$H$75:$H$78*J$118:J$121*J$92:J$95/$F$92:$F$95</f>
        <v>2.7531100000000004</v>
      </c>
      <c r="K171" s="27">
        <f t="array" ref="K171:K174">$H$75:$H$78*K$118:K$121*K$92:K$95/$F$92:$F$95</f>
        <v>2.7531100000000004</v>
      </c>
      <c r="L171" s="27">
        <f t="array" ref="L171:L174">$H$75:$H$78*L$118:L$121*L$92:L$95/$F$92:$F$95</f>
        <v>2.7531100000000004</v>
      </c>
      <c r="M171" s="27">
        <f t="array" ref="M171:M174">$H$75:$H$78*M$118:M$121*M$92:M$95/$F$92:$F$95</f>
        <v>2.7531100000000004</v>
      </c>
      <c r="N171" s="27">
        <f t="array" ref="N171:N174">$H$75:$H$78*N$118:N$121*N$92:N$95/$F$92:$F$95</f>
        <v>2.7531100000000004</v>
      </c>
      <c r="O171" s="27">
        <f t="array" ref="O171:O174">$H$75:$H$78*O$118:O$121*O$92:O$95/$F$92:$F$95</f>
        <v>2.7531100000000004</v>
      </c>
    </row>
    <row r="172" spans="2:15" s="24" customFormat="1" hidden="1" outlineLevel="2">
      <c r="B172" s="20" t="s">
        <v>1165</v>
      </c>
      <c r="C172" s="121" t="s">
        <v>1080</v>
      </c>
      <c r="E172" s="1456"/>
      <c r="F172" s="27">
        <v>9.359210590723227E-3</v>
      </c>
      <c r="G172" s="27">
        <v>9.135156954337512E-3</v>
      </c>
      <c r="H172" s="27">
        <v>8.7735900319157473E-3</v>
      </c>
      <c r="I172" s="27">
        <v>8.4263338257786619E-3</v>
      </c>
      <c r="J172" s="27">
        <v>8.0928219218328202E-3</v>
      </c>
      <c r="K172" s="27">
        <v>7.7725103244940218E-3</v>
      </c>
      <c r="L172" s="27">
        <v>7.4648765693690663E-3</v>
      </c>
      <c r="M172" s="27">
        <v>7.1694188710573195E-3</v>
      </c>
      <c r="N172" s="27">
        <v>6.8856553046820436E-3</v>
      </c>
      <c r="O172" s="27">
        <v>6.6131230198164968E-3</v>
      </c>
    </row>
    <row r="173" spans="2:15" s="24" customFormat="1" hidden="1" outlineLevel="2">
      <c r="B173" s="20" t="s">
        <v>1166</v>
      </c>
      <c r="C173" s="121" t="s">
        <v>1081</v>
      </c>
      <c r="E173" s="1456"/>
      <c r="F173" s="27">
        <v>0</v>
      </c>
      <c r="G173" s="27">
        <v>0</v>
      </c>
      <c r="H173" s="27">
        <v>0</v>
      </c>
      <c r="I173" s="27">
        <v>0</v>
      </c>
      <c r="J173" s="27">
        <v>0</v>
      </c>
      <c r="K173" s="27">
        <v>0</v>
      </c>
      <c r="L173" s="27">
        <v>0</v>
      </c>
      <c r="M173" s="27">
        <v>0</v>
      </c>
      <c r="N173" s="27">
        <v>0</v>
      </c>
      <c r="O173" s="27">
        <v>0</v>
      </c>
    </row>
    <row r="174" spans="2:15" s="24" customFormat="1" hidden="1" outlineLevel="2">
      <c r="B174" s="20" t="s">
        <v>1167</v>
      </c>
      <c r="C174" s="121" t="s">
        <v>123</v>
      </c>
      <c r="E174" s="1456"/>
      <c r="F174" s="27">
        <v>0</v>
      </c>
      <c r="G174" s="27">
        <v>0</v>
      </c>
      <c r="H174" s="27">
        <v>0</v>
      </c>
      <c r="I174" s="27">
        <v>0</v>
      </c>
      <c r="J174" s="27">
        <v>0</v>
      </c>
      <c r="K174" s="27">
        <v>0</v>
      </c>
      <c r="L174" s="27">
        <v>0</v>
      </c>
      <c r="M174" s="27">
        <v>0</v>
      </c>
      <c r="N174" s="27">
        <v>0</v>
      </c>
      <c r="O174" s="27">
        <v>0</v>
      </c>
    </row>
    <row r="175" spans="2:15" s="24" customFormat="1" ht="14.25" hidden="1" outlineLevel="2">
      <c r="B175" s="20"/>
      <c r="C175" s="731" t="s">
        <v>1568</v>
      </c>
      <c r="E175" s="1799" t="s">
        <v>1462</v>
      </c>
      <c r="F175" s="1800">
        <f t="shared" ref="F175:O175" si="15">SUM(F171:F174)</f>
        <v>2.7624692105907238</v>
      </c>
      <c r="G175" s="1800">
        <f t="shared" si="15"/>
        <v>2.762245156954338</v>
      </c>
      <c r="H175" s="1800">
        <f t="shared" si="15"/>
        <v>2.7618835900319163</v>
      </c>
      <c r="I175" s="1800">
        <f t="shared" si="15"/>
        <v>2.761536333825779</v>
      </c>
      <c r="J175" s="1800">
        <f t="shared" si="15"/>
        <v>2.7612028219218332</v>
      </c>
      <c r="K175" s="1800">
        <f t="shared" si="15"/>
        <v>2.7608825103244943</v>
      </c>
      <c r="L175" s="1800">
        <f t="shared" si="15"/>
        <v>2.7605748765693696</v>
      </c>
      <c r="M175" s="1800">
        <f t="shared" si="15"/>
        <v>2.7602794188710575</v>
      </c>
      <c r="N175" s="1800">
        <f t="shared" si="15"/>
        <v>2.7599956553046825</v>
      </c>
      <c r="O175" s="1800">
        <f t="shared" si="15"/>
        <v>2.7597231230198167</v>
      </c>
    </row>
    <row r="176" spans="2:15" s="24" customFormat="1" hidden="1" outlineLevel="2">
      <c r="B176" s="731"/>
      <c r="C176" s="121"/>
    </row>
    <row r="177" spans="2:15" s="24" customFormat="1" hidden="1" outlineLevel="2">
      <c r="B177" s="862" t="s">
        <v>1058</v>
      </c>
      <c r="C177" s="121" t="str">
        <f>INDEX(GHG[GHG_description], MATCH($B177, GHG[GHG_code], 0))</f>
        <v>HFCs, PFCs, and SF_6</v>
      </c>
      <c r="E177" s="862"/>
    </row>
    <row r="178" spans="2:15" s="24" customFormat="1" hidden="1" outlineLevel="2">
      <c r="B178" s="20" t="s">
        <v>1164</v>
      </c>
      <c r="C178" s="121" t="s">
        <v>174</v>
      </c>
      <c r="E178" s="1456"/>
      <c r="F178" s="27">
        <f t="array" ref="F178:F181">$I$75:$I$78*F$118:F$121*F$92:F$95/$F$92:$F$95</f>
        <v>0</v>
      </c>
      <c r="G178" s="27">
        <f t="array" ref="G178:G181">$I$75:$I$78*G$118:G$121*G$92:G$95/$F$92:$F$95</f>
        <v>0</v>
      </c>
      <c r="H178" s="27">
        <f t="array" ref="H178:H181">$I$75:$I$78*H$118:H$121*H$92:H$95/$F$92:$F$95</f>
        <v>0</v>
      </c>
      <c r="I178" s="27">
        <f t="array" ref="I178:I181">$I$75:$I$78*I$118:I$121*I$92:I$95/$F$92:$F$95</f>
        <v>0</v>
      </c>
      <c r="J178" s="27">
        <f t="array" ref="J178:J181">$I$75:$I$78*J$118:J$121*J$92:J$95/$F$92:$F$95</f>
        <v>0</v>
      </c>
      <c r="K178" s="27">
        <f t="array" ref="K178:K181">$I$75:$I$78*K$118:K$121*K$92:K$95/$F$92:$F$95</f>
        <v>0</v>
      </c>
      <c r="L178" s="27">
        <f t="array" ref="L178:L181">$I$75:$I$78*L$118:L$121*L$92:L$95/$F$92:$F$95</f>
        <v>0</v>
      </c>
      <c r="M178" s="27">
        <f t="array" ref="M178:M181">$I$75:$I$78*M$118:M$121*M$92:M$95/$F$92:$F$95</f>
        <v>0</v>
      </c>
      <c r="N178" s="27">
        <f t="array" ref="N178:N181">$I$75:$I$78*N$118:N$121*N$92:N$95/$F$92:$F$95</f>
        <v>0</v>
      </c>
      <c r="O178" s="27">
        <f t="array" ref="O178:O181">$I$75:$I$78*O$118:O$121*O$92:O$95/$F$92:$F$95</f>
        <v>0</v>
      </c>
    </row>
    <row r="179" spans="2:15" s="24" customFormat="1" hidden="1" outlineLevel="2">
      <c r="B179" s="20" t="s">
        <v>1165</v>
      </c>
      <c r="C179" s="121" t="s">
        <v>1080</v>
      </c>
      <c r="E179" s="1456"/>
      <c r="F179" s="27">
        <v>0</v>
      </c>
      <c r="G179" s="27">
        <v>0</v>
      </c>
      <c r="H179" s="27">
        <v>0</v>
      </c>
      <c r="I179" s="27">
        <v>0</v>
      </c>
      <c r="J179" s="27">
        <v>0</v>
      </c>
      <c r="K179" s="27">
        <v>0</v>
      </c>
      <c r="L179" s="27">
        <v>0</v>
      </c>
      <c r="M179" s="27">
        <v>0</v>
      </c>
      <c r="N179" s="27">
        <v>0</v>
      </c>
      <c r="O179" s="27">
        <v>0</v>
      </c>
    </row>
    <row r="180" spans="2:15" s="24" customFormat="1" hidden="1" outlineLevel="2">
      <c r="B180" s="20" t="s">
        <v>1166</v>
      </c>
      <c r="C180" s="121" t="s">
        <v>1081</v>
      </c>
      <c r="E180" s="1456"/>
      <c r="F180" s="27">
        <v>0</v>
      </c>
      <c r="G180" s="27">
        <v>0</v>
      </c>
      <c r="H180" s="27">
        <v>0</v>
      </c>
      <c r="I180" s="27">
        <v>0</v>
      </c>
      <c r="J180" s="27">
        <v>0</v>
      </c>
      <c r="K180" s="27">
        <v>0</v>
      </c>
      <c r="L180" s="27">
        <v>0</v>
      </c>
      <c r="M180" s="27">
        <v>0</v>
      </c>
      <c r="N180" s="27">
        <v>0</v>
      </c>
      <c r="O180" s="27">
        <v>0</v>
      </c>
    </row>
    <row r="181" spans="2:15" s="24" customFormat="1" hidden="1" outlineLevel="2">
      <c r="B181" s="20" t="s">
        <v>1167</v>
      </c>
      <c r="C181" s="121" t="s">
        <v>123</v>
      </c>
      <c r="E181" s="1456"/>
      <c r="F181" s="27">
        <v>10.620296151887526</v>
      </c>
      <c r="G181" s="27">
        <v>10.093975285454039</v>
      </c>
      <c r="H181" s="27">
        <v>9.2740959850517761</v>
      </c>
      <c r="I181" s="27">
        <v>8.5208110687468022</v>
      </c>
      <c r="J181" s="27">
        <v>7.8287114330392287</v>
      </c>
      <c r="K181" s="27">
        <v>7.1928273268020186</v>
      </c>
      <c r="L181" s="27">
        <v>6.6085926650517584</v>
      </c>
      <c r="M181" s="27">
        <v>6.0718122413197761</v>
      </c>
      <c r="N181" s="27">
        <v>5.5786316031859631</v>
      </c>
      <c r="O181" s="27">
        <v>5.1255093746608766</v>
      </c>
    </row>
    <row r="182" spans="2:15" s="24" customFormat="1" ht="14.25" hidden="1" outlineLevel="2">
      <c r="B182" s="731"/>
      <c r="C182" s="731" t="s">
        <v>1567</v>
      </c>
      <c r="E182" s="1799" t="s">
        <v>1462</v>
      </c>
      <c r="F182" s="1800">
        <f t="shared" ref="F182:O182" si="16">SUM(F178:F181)</f>
        <v>10.620296151887526</v>
      </c>
      <c r="G182" s="1800">
        <f t="shared" si="16"/>
        <v>10.093975285454039</v>
      </c>
      <c r="H182" s="1800">
        <f t="shared" si="16"/>
        <v>9.2740959850517761</v>
      </c>
      <c r="I182" s="1800">
        <f t="shared" si="16"/>
        <v>8.5208110687468022</v>
      </c>
      <c r="J182" s="1800">
        <f t="shared" si="16"/>
        <v>7.8287114330392287</v>
      </c>
      <c r="K182" s="1800">
        <f t="shared" si="16"/>
        <v>7.1928273268020186</v>
      </c>
      <c r="L182" s="1800">
        <f t="shared" si="16"/>
        <v>6.6085926650517584</v>
      </c>
      <c r="M182" s="1800">
        <f t="shared" si="16"/>
        <v>6.0718122413197761</v>
      </c>
      <c r="N182" s="1800">
        <f t="shared" si="16"/>
        <v>5.5786316031859631</v>
      </c>
      <c r="O182" s="1800">
        <f t="shared" si="16"/>
        <v>5.1255093746608766</v>
      </c>
    </row>
    <row r="183" spans="2:15" s="24" customFormat="1" hidden="1" outlineLevel="2">
      <c r="B183" s="731"/>
      <c r="C183" s="121"/>
      <c r="E183" s="862"/>
    </row>
    <row r="184" spans="2:15" s="24" customFormat="1" hidden="1" outlineLevel="2">
      <c r="B184" s="731"/>
      <c r="C184" s="121"/>
      <c r="E184" s="1456"/>
      <c r="F184" s="27"/>
      <c r="G184" s="27"/>
      <c r="H184" s="27"/>
      <c r="I184" s="27"/>
      <c r="J184" s="27"/>
      <c r="K184" s="27"/>
      <c r="L184" s="27"/>
      <c r="M184" s="27"/>
      <c r="N184" s="27"/>
      <c r="O184" s="27"/>
    </row>
    <row r="185" spans="2:15" s="24" customFormat="1" hidden="1" outlineLevel="1">
      <c r="B185" s="731" t="s">
        <v>1169</v>
      </c>
      <c r="C185" s="731"/>
      <c r="E185" s="1456"/>
      <c r="F185" s="27"/>
      <c r="G185" s="27"/>
      <c r="H185" s="27"/>
      <c r="I185" s="27"/>
      <c r="J185" s="27"/>
      <c r="K185" s="27"/>
      <c r="L185" s="27"/>
      <c r="M185" s="27"/>
      <c r="N185" s="27"/>
    </row>
    <row r="186" spans="2:15" s="24" customFormat="1" hidden="1" outlineLevel="2">
      <c r="B186" s="731"/>
      <c r="C186" s="731"/>
      <c r="E186" s="1456"/>
      <c r="F186" s="861">
        <v>2007</v>
      </c>
      <c r="G186" s="861">
        <v>2010</v>
      </c>
      <c r="H186" s="861">
        <v>2015</v>
      </c>
      <c r="I186" s="861">
        <v>2020</v>
      </c>
      <c r="J186" s="861">
        <v>2025</v>
      </c>
      <c r="K186" s="861">
        <v>2030</v>
      </c>
      <c r="L186" s="861">
        <v>2035</v>
      </c>
      <c r="M186" s="861">
        <v>2040</v>
      </c>
      <c r="N186" s="861">
        <v>2045</v>
      </c>
      <c r="O186" s="861">
        <v>2050</v>
      </c>
    </row>
    <row r="187" spans="2:15" s="24" customFormat="1" hidden="1" outlineLevel="2">
      <c r="B187" s="731"/>
      <c r="C187" s="731"/>
      <c r="E187" s="1456"/>
      <c r="F187" s="27"/>
      <c r="G187" s="27"/>
      <c r="H187" s="27"/>
      <c r="I187" s="27"/>
      <c r="J187" s="27"/>
      <c r="K187" s="27"/>
      <c r="L187" s="27"/>
      <c r="M187" s="27"/>
      <c r="N187" s="27"/>
    </row>
    <row r="188" spans="2:15" s="24" customFormat="1" ht="14.25" hidden="1" outlineLevel="2">
      <c r="B188" s="862" t="s">
        <v>1055</v>
      </c>
      <c r="C188" s="121" t="str">
        <f>INDEX(GHG[GHG_description], MATCH($B188, GHG[GHG_code], 0))</f>
        <v>CO_2</v>
      </c>
      <c r="D188" s="731"/>
      <c r="E188" s="1802" t="s">
        <v>1572</v>
      </c>
      <c r="F188" s="840">
        <f t="array" ref="F188">SUM(F$141:F$145*SUMIFS(EF[CO2], EF[Vector], $B$141:$B$145))</f>
        <v>64.817912804929591</v>
      </c>
      <c r="G188" s="840">
        <f t="array" ref="G188">SUM(G$141:G$145*SUMIFS(EF[CO2], EF[Vector], $B$141:$B$145))</f>
        <v>65.223040140955575</v>
      </c>
      <c r="H188" s="840">
        <f t="array" ref="H188">SUM(H$141:H$145*SUMIFS(EF[CO2], EF[Vector], $B$141:$B$145))</f>
        <v>65.96598270881276</v>
      </c>
      <c r="I188" s="840">
        <f t="array" ref="I188">SUM(I$141:I$145*SUMIFS(EF[CO2], EF[Vector], $B$141:$B$145))</f>
        <v>66.793866509174478</v>
      </c>
      <c r="J188" s="840">
        <f t="array" ref="J188">SUM(J$141:J$145*SUMIFS(EF[CO2], EF[Vector], $B$141:$B$145))</f>
        <v>67.70715120995915</v>
      </c>
      <c r="K188" s="840">
        <f t="array" ref="K188">SUM(K$141:K$145*SUMIFS(EF[CO2], EF[Vector], $B$141:$B$145))</f>
        <v>68.706449010421196</v>
      </c>
      <c r="L188" s="840">
        <f t="array" ref="L188">SUM(L$141:L$145*SUMIFS(EF[CO2], EF[Vector], $B$141:$B$145))</f>
        <v>69.792523404328151</v>
      </c>
      <c r="M188" s="840">
        <f t="array" ref="M188">SUM(M$141:M$145*SUMIFS(EF[CO2], EF[Vector], $B$141:$B$145))</f>
        <v>70.966288250947429</v>
      </c>
      <c r="N188" s="840">
        <f t="array" ref="N188">SUM(N$141:N$145*SUMIFS(EF[CO2], EF[Vector], $B$141:$B$145))</f>
        <v>72.228807147153688</v>
      </c>
      <c r="O188" s="840">
        <f t="array" ref="O188">SUM(O$141:O$145*SUMIFS(EF[CO2], EF[Vector], $B$141:$B$145))</f>
        <v>73.581293094647364</v>
      </c>
    </row>
    <row r="189" spans="2:15" s="24" customFormat="1" ht="14.25" hidden="1" outlineLevel="2">
      <c r="B189" s="862" t="s">
        <v>1056</v>
      </c>
      <c r="C189" s="121" t="str">
        <f>INDEX(GHG[GHG_description], MATCH($B189, GHG[GHG_code], 0))</f>
        <v>CH_4</v>
      </c>
      <c r="E189" s="1802" t="s">
        <v>1572</v>
      </c>
      <c r="F189" s="840">
        <f t="array" ref="F189">SUM(F$141:F$145*SUMIFS(EF[CH4], EF[Vector], $B$141:$B$145))</f>
        <v>0.13010783216178268</v>
      </c>
      <c r="G189" s="840">
        <f t="array" ref="G189">SUM(G$141:G$145*SUMIFS(EF[CH4], EF[Vector], $B$141:$B$145))</f>
        <v>0.13092103698678917</v>
      </c>
      <c r="H189" s="840">
        <f t="array" ref="H189">SUM(H$141:H$145*SUMIFS(EF[CH4], EF[Vector], $B$141:$B$145))</f>
        <v>0.13241233225906232</v>
      </c>
      <c r="I189" s="840">
        <f t="array" ref="I189">SUM(I$141:I$145*SUMIFS(EF[CH4], EF[Vector], $B$141:$B$145))</f>
        <v>0.1340741285416901</v>
      </c>
      <c r="J189" s="840">
        <f t="array" ref="J189">SUM(J$141:J$145*SUMIFS(EF[CH4], EF[Vector], $B$141:$B$145))</f>
        <v>0.13590734851782882</v>
      </c>
      <c r="K189" s="840">
        <f t="array" ref="K189">SUM(K$141:K$145*SUMIFS(EF[CH4], EF[Vector], $B$141:$B$145))</f>
        <v>0.13791322104404607</v>
      </c>
      <c r="L189" s="840">
        <f t="array" ref="L189">SUM(L$141:L$145*SUMIFS(EF[CH4], EF[Vector], $B$141:$B$145))</f>
        <v>0.14009327866766813</v>
      </c>
      <c r="M189" s="840">
        <f t="array" ref="M189">SUM(M$141:M$145*SUMIFS(EF[CH4], EF[Vector], $B$141:$B$145))</f>
        <v>0.14244935576198842</v>
      </c>
      <c r="N189" s="840">
        <f t="array" ref="N189">SUM(N$141:N$145*SUMIFS(EF[CH4], EF[Vector], $B$141:$B$145))</f>
        <v>0.14498358726590976</v>
      </c>
      <c r="O189" s="840">
        <f t="array" ref="O189">SUM(O$141:O$145*SUMIFS(EF[CH4], EF[Vector], $B$141:$B$145))</f>
        <v>0.1476984080159586</v>
      </c>
    </row>
    <row r="190" spans="2:15" s="24" customFormat="1" ht="14.25" hidden="1" outlineLevel="2">
      <c r="B190" s="862" t="s">
        <v>1057</v>
      </c>
      <c r="C190" s="121" t="str">
        <f>INDEX(GHG[GHG_description], MATCH($B190, GHG[GHG_code], 0))</f>
        <v>N_2O</v>
      </c>
      <c r="E190" s="1802" t="s">
        <v>1572</v>
      </c>
      <c r="F190" s="840">
        <f t="array" ref="F190">SUM(F$141:F$145*SUMIFS(EF[N2O], EF[Vector], $B$141:$B$145))</f>
        <v>0.57551021650787848</v>
      </c>
      <c r="G190" s="840">
        <f t="array" ref="G190">SUM(G$141:G$145*SUMIFS(EF[N2O], EF[Vector], $B$141:$B$145))</f>
        <v>0.57910729192700316</v>
      </c>
      <c r="H190" s="840">
        <f t="array" ref="H190">SUM(H$141:H$145*SUMIFS(EF[N2O], EF[Vector], $B$141:$B$145))</f>
        <v>0.58570378693243763</v>
      </c>
      <c r="I190" s="840">
        <f t="array" ref="I190">SUM(I$141:I$145*SUMIFS(EF[N2O], EF[Vector], $B$141:$B$145))</f>
        <v>0.59305446461660583</v>
      </c>
      <c r="J190" s="840">
        <f t="array" ref="J190">SUM(J$141:J$145*SUMIFS(EF[N2O], EF[Vector], $B$141:$B$145))</f>
        <v>0.60116340631399934</v>
      </c>
      <c r="K190" s="840">
        <f t="array" ref="K190">SUM(K$141:K$145*SUMIFS(EF[N2O], EF[Vector], $B$141:$B$145))</f>
        <v>0.61003604766594399</v>
      </c>
      <c r="L190" s="840">
        <f t="array" ref="L190">SUM(L$141:L$145*SUMIFS(EF[N2O], EF[Vector], $B$141:$B$145))</f>
        <v>0.61967916763900055</v>
      </c>
      <c r="M190" s="840">
        <f t="array" ref="M190">SUM(M$141:M$145*SUMIFS(EF[N2O], EF[Vector], $B$141:$B$145))</f>
        <v>0.63010088027637234</v>
      </c>
      <c r="N190" s="840">
        <f t="array" ref="N190">SUM(N$141:N$145*SUMIFS(EF[N2O], EF[Vector], $B$141:$B$145))</f>
        <v>0.64131062912292414</v>
      </c>
      <c r="O190" s="840">
        <f t="array" ref="O190">SUM(O$141:O$145*SUMIFS(EF[N2O], EF[Vector], $B$141:$B$145))</f>
        <v>0.65331918427045665</v>
      </c>
    </row>
    <row r="191" spans="2:15" s="24" customFormat="1" hidden="1" outlineLevel="2">
      <c r="B191" s="862"/>
      <c r="C191" s="121"/>
      <c r="E191" s="1802"/>
      <c r="F191" s="840"/>
      <c r="G191" s="840"/>
      <c r="H191" s="840"/>
      <c r="I191" s="840"/>
      <c r="J191" s="840"/>
      <c r="K191" s="840"/>
      <c r="L191" s="840"/>
      <c r="M191" s="840"/>
      <c r="N191" s="840"/>
      <c r="O191" s="840"/>
    </row>
    <row r="192" spans="2:15" s="24" customFormat="1" ht="14.25" hidden="1" outlineLevel="2">
      <c r="B192" s="862"/>
      <c r="C192" s="121" t="s">
        <v>1577</v>
      </c>
      <c r="E192" s="1802" t="s">
        <v>1572</v>
      </c>
      <c r="F192" s="840">
        <f t="array" ref="F192">SUM(F$148:F$152*SUMIFS(EF[CO2], EF[Vector], $B$148:$B$152))</f>
        <v>38.035783232217824</v>
      </c>
      <c r="G192" s="840">
        <f t="array" ref="G192">SUM(G$148:G$152*SUMIFS(EF[CO2], EF[Vector], $B$148:$B$152))</f>
        <v>38.878192494178911</v>
      </c>
      <c r="H192" s="840">
        <f t="array" ref="H192">SUM(H$148:H$152*SUMIFS(EF[CO2], EF[Vector], $B$148:$B$152))</f>
        <v>40.323872771474882</v>
      </c>
      <c r="I192" s="840">
        <f t="array" ref="I192">SUM(I$148:I$152*SUMIFS(EF[CO2], EF[Vector], $B$148:$B$152))</f>
        <v>41.823310472408167</v>
      </c>
      <c r="J192" s="840">
        <f t="array" ref="J192">SUM(J$148:J$152*SUMIFS(EF[CO2], EF[Vector], $B$148:$B$152))</f>
        <v>43.378504559433679</v>
      </c>
      <c r="K192" s="840">
        <f t="array" ref="K192">SUM(K$148:K$152*SUMIFS(EF[CO2], EF[Vector], $B$148:$B$152))</f>
        <v>44.991528326152157</v>
      </c>
      <c r="L192" s="840">
        <f t="array" ref="L192">SUM(L$148:L$152*SUMIFS(EF[CO2], EF[Vector], $B$148:$B$152))</f>
        <v>46.664532161303711</v>
      </c>
      <c r="M192" s="840">
        <f t="array" ref="M192">SUM(M$148:M$152*SUMIFS(EF[CO2], EF[Vector], $B$148:$B$152))</f>
        <v>48.399746415539965</v>
      </c>
      <c r="N192" s="840">
        <f t="array" ref="N192">SUM(N$148:N$152*SUMIFS(EF[CO2], EF[Vector], $B$148:$B$152))</f>
        <v>50.199484374796924</v>
      </c>
      <c r="O192" s="840">
        <f t="array" ref="O192">SUM(O$148:O$152*SUMIFS(EF[CO2], EF[Vector], $B$148:$B$152))</f>
        <v>52.066145344232083</v>
      </c>
    </row>
    <row r="193" spans="1:23" s="24" customFormat="1" hidden="1" outlineLevel="2">
      <c r="B193" s="731"/>
      <c r="E193" s="1456"/>
      <c r="F193" s="840"/>
      <c r="G193" s="840"/>
      <c r="H193" s="840"/>
      <c r="I193" s="840"/>
      <c r="J193" s="840"/>
      <c r="K193" s="840"/>
      <c r="L193" s="840"/>
      <c r="M193" s="840"/>
      <c r="N193" s="840"/>
      <c r="O193" s="840"/>
    </row>
    <row r="194" spans="1:23" s="24" customFormat="1" hidden="1" outlineLevel="1">
      <c r="B194" s="731" t="s">
        <v>1573</v>
      </c>
      <c r="C194" s="121"/>
      <c r="K194" s="840"/>
      <c r="O194" s="1457"/>
    </row>
    <row r="195" spans="1:23" s="24" customFormat="1" hidden="1" outlineLevel="2">
      <c r="B195" s="731"/>
      <c r="C195" s="121"/>
      <c r="F195" s="861">
        <v>2007</v>
      </c>
      <c r="G195" s="861">
        <v>2010</v>
      </c>
      <c r="H195" s="861">
        <v>2015</v>
      </c>
      <c r="I195" s="861">
        <v>2020</v>
      </c>
      <c r="J195" s="861">
        <v>2025</v>
      </c>
      <c r="K195" s="861">
        <v>2030</v>
      </c>
      <c r="L195" s="861">
        <v>2035</v>
      </c>
      <c r="M195" s="861">
        <v>2040</v>
      </c>
      <c r="N195" s="861">
        <v>2045</v>
      </c>
      <c r="O195" s="861">
        <v>2050</v>
      </c>
    </row>
    <row r="196" spans="1:23" s="24" customFormat="1" hidden="1" outlineLevel="2">
      <c r="B196" s="731"/>
      <c r="C196" s="121"/>
      <c r="E196" s="862"/>
      <c r="F196" s="861"/>
      <c r="G196" s="861"/>
      <c r="H196" s="861"/>
      <c r="I196" s="861"/>
      <c r="J196" s="861"/>
      <c r="K196" s="861"/>
      <c r="L196" s="861"/>
      <c r="M196" s="861"/>
      <c r="N196" s="861"/>
      <c r="O196" s="1457"/>
    </row>
    <row r="197" spans="1:23" s="24" customFormat="1" ht="14.25" hidden="1" outlineLevel="2">
      <c r="B197" s="731"/>
      <c r="C197" s="121" t="s">
        <v>1581</v>
      </c>
      <c r="E197" s="1802" t="s">
        <v>1572</v>
      </c>
      <c r="F197" s="27">
        <f>F$161</f>
        <v>14.39565925511863</v>
      </c>
      <c r="G197" s="27">
        <f t="shared" ref="G197:O197" si="17">G$161</f>
        <v>14.397000891205074</v>
      </c>
      <c r="H197" s="27">
        <f t="shared" si="17"/>
        <v>14.403687991960901</v>
      </c>
      <c r="I197" s="27">
        <f t="shared" si="17"/>
        <v>14.415809031014421</v>
      </c>
      <c r="J197" s="27">
        <f t="shared" si="17"/>
        <v>14.433220304947135</v>
      </c>
      <c r="K197" s="27">
        <f t="shared" si="17"/>
        <v>14.455784691934292</v>
      </c>
      <c r="L197" s="27">
        <f t="shared" si="17"/>
        <v>14.483371402442046</v>
      </c>
      <c r="M197" s="27">
        <f t="shared" si="17"/>
        <v>14.515855739932137</v>
      </c>
      <c r="N197" s="27">
        <f t="shared" si="17"/>
        <v>14.553118871179784</v>
      </c>
      <c r="O197" s="27">
        <f t="shared" si="17"/>
        <v>14.595047605826055</v>
      </c>
    </row>
    <row r="198" spans="1:23" s="246" customFormat="1" hidden="1" outlineLevel="2">
      <c r="B198" s="1599" t="s">
        <v>838</v>
      </c>
      <c r="C198" s="246" t="s">
        <v>1575</v>
      </c>
      <c r="E198" s="1803"/>
      <c r="F198" s="1757">
        <f t="shared" ref="F198:O198" si="18">INDEX(F$49:F$52, MATCH($E$8,$C$49:$C$52, 0))</f>
        <v>0</v>
      </c>
      <c r="G198" s="1757">
        <f t="shared" si="18"/>
        <v>0</v>
      </c>
      <c r="H198" s="1757">
        <f t="shared" si="18"/>
        <v>0</v>
      </c>
      <c r="I198" s="1757">
        <f t="shared" si="18"/>
        <v>0</v>
      </c>
      <c r="J198" s="1757">
        <f t="shared" si="18"/>
        <v>0</v>
      </c>
      <c r="K198" s="1757">
        <f t="shared" si="18"/>
        <v>0</v>
      </c>
      <c r="L198" s="1757">
        <f t="shared" si="18"/>
        <v>0</v>
      </c>
      <c r="M198" s="1757">
        <f t="shared" si="18"/>
        <v>0</v>
      </c>
      <c r="N198" s="1757">
        <f t="shared" si="18"/>
        <v>0</v>
      </c>
      <c r="O198" s="1757">
        <f t="shared" si="18"/>
        <v>0</v>
      </c>
    </row>
    <row r="199" spans="1:23" s="24" customFormat="1" ht="14.25" hidden="1" outlineLevel="2">
      <c r="B199" s="1575" t="s">
        <v>840</v>
      </c>
      <c r="C199" s="731" t="s">
        <v>1580</v>
      </c>
      <c r="E199" s="1802" t="s">
        <v>1572</v>
      </c>
      <c r="F199" s="27">
        <f>F197*F198</f>
        <v>0</v>
      </c>
      <c r="G199" s="27">
        <f t="shared" ref="G199:O199" si="19">G197*G198</f>
        <v>0</v>
      </c>
      <c r="H199" s="27">
        <f t="shared" si="19"/>
        <v>0</v>
      </c>
      <c r="I199" s="27">
        <f t="shared" si="19"/>
        <v>0</v>
      </c>
      <c r="J199" s="27">
        <f t="shared" si="19"/>
        <v>0</v>
      </c>
      <c r="K199" s="27">
        <f t="shared" si="19"/>
        <v>0</v>
      </c>
      <c r="L199" s="27">
        <f t="shared" si="19"/>
        <v>0</v>
      </c>
      <c r="M199" s="27">
        <f t="shared" si="19"/>
        <v>0</v>
      </c>
      <c r="N199" s="27">
        <f t="shared" si="19"/>
        <v>0</v>
      </c>
      <c r="O199" s="27">
        <f t="shared" si="19"/>
        <v>0</v>
      </c>
    </row>
    <row r="200" spans="1:23" s="24" customFormat="1" hidden="1" outlineLevel="2">
      <c r="B200" s="1575"/>
      <c r="C200" s="121"/>
      <c r="E200" s="1802"/>
      <c r="F200" s="27"/>
      <c r="G200" s="27"/>
      <c r="H200" s="27"/>
      <c r="I200" s="27"/>
      <c r="J200" s="27"/>
      <c r="K200" s="27"/>
      <c r="L200" s="27"/>
      <c r="M200" s="27"/>
      <c r="N200" s="27"/>
      <c r="O200" s="27"/>
    </row>
    <row r="201" spans="1:23" s="24" customFormat="1" ht="14.25" hidden="1" outlineLevel="2">
      <c r="B201" s="731"/>
      <c r="C201" s="121" t="s">
        <v>1578</v>
      </c>
      <c r="E201" s="1802" t="s">
        <v>1572</v>
      </c>
      <c r="F201" s="27">
        <f>F$188-F$192</f>
        <v>26.782129572711767</v>
      </c>
      <c r="G201" s="27">
        <f t="shared" ref="G201:O201" si="20">G$188-G$192</f>
        <v>26.344847646776664</v>
      </c>
      <c r="H201" s="27">
        <f t="shared" si="20"/>
        <v>25.642109937337878</v>
      </c>
      <c r="I201" s="27">
        <f t="shared" si="20"/>
        <v>24.970556036766311</v>
      </c>
      <c r="J201" s="27">
        <f t="shared" si="20"/>
        <v>24.328646650525471</v>
      </c>
      <c r="K201" s="27">
        <f t="shared" si="20"/>
        <v>23.714920684269039</v>
      </c>
      <c r="L201" s="27">
        <f t="shared" si="20"/>
        <v>23.127991243024439</v>
      </c>
      <c r="M201" s="27">
        <f t="shared" si="20"/>
        <v>22.566541835407463</v>
      </c>
      <c r="N201" s="27">
        <f t="shared" si="20"/>
        <v>22.029322772356764</v>
      </c>
      <c r="O201" s="27">
        <f t="shared" si="20"/>
        <v>21.515147750415281</v>
      </c>
    </row>
    <row r="202" spans="1:23" s="24" customFormat="1" hidden="1" outlineLevel="2">
      <c r="B202" s="1599" t="s">
        <v>838</v>
      </c>
      <c r="C202" s="246" t="s">
        <v>1575</v>
      </c>
      <c r="D202" s="246"/>
      <c r="E202" s="1803"/>
      <c r="F202" s="1757">
        <f t="shared" ref="F202:O202" si="21">INDEX(F$49:F$52, MATCH($E$8,$C$49:$C$52, 0))</f>
        <v>0</v>
      </c>
      <c r="G202" s="1757">
        <f t="shared" si="21"/>
        <v>0</v>
      </c>
      <c r="H202" s="1757">
        <f t="shared" si="21"/>
        <v>0</v>
      </c>
      <c r="I202" s="1757">
        <f t="shared" si="21"/>
        <v>0</v>
      </c>
      <c r="J202" s="1757">
        <f t="shared" si="21"/>
        <v>0</v>
      </c>
      <c r="K202" s="1757">
        <f t="shared" si="21"/>
        <v>0</v>
      </c>
      <c r="L202" s="1757">
        <f t="shared" si="21"/>
        <v>0</v>
      </c>
      <c r="M202" s="1757">
        <f t="shared" si="21"/>
        <v>0</v>
      </c>
      <c r="N202" s="1757">
        <f t="shared" si="21"/>
        <v>0</v>
      </c>
      <c r="O202" s="1757">
        <f t="shared" si="21"/>
        <v>0</v>
      </c>
    </row>
    <row r="203" spans="1:23" s="24" customFormat="1" ht="14.25" hidden="1" outlineLevel="2">
      <c r="B203" s="1575" t="s">
        <v>840</v>
      </c>
      <c r="C203" s="731" t="s">
        <v>1579</v>
      </c>
      <c r="E203" s="1802" t="s">
        <v>1572</v>
      </c>
      <c r="F203" s="27">
        <f t="shared" ref="F203:O203" si="22">F201*F202</f>
        <v>0</v>
      </c>
      <c r="G203" s="27">
        <f t="shared" si="22"/>
        <v>0</v>
      </c>
      <c r="H203" s="27">
        <f t="shared" si="22"/>
        <v>0</v>
      </c>
      <c r="I203" s="27">
        <f t="shared" si="22"/>
        <v>0</v>
      </c>
      <c r="J203" s="27">
        <f t="shared" si="22"/>
        <v>0</v>
      </c>
      <c r="K203" s="27">
        <f t="shared" si="22"/>
        <v>0</v>
      </c>
      <c r="L203" s="27">
        <f t="shared" si="22"/>
        <v>0</v>
      </c>
      <c r="M203" s="27">
        <f t="shared" si="22"/>
        <v>0</v>
      </c>
      <c r="N203" s="27">
        <f t="shared" si="22"/>
        <v>0</v>
      </c>
      <c r="O203" s="27">
        <f t="shared" si="22"/>
        <v>0</v>
      </c>
    </row>
    <row r="204" spans="1:23" s="24" customFormat="1" hidden="1" outlineLevel="2">
      <c r="B204" s="731"/>
      <c r="C204" s="121"/>
      <c r="E204" s="1456"/>
      <c r="F204" s="27"/>
      <c r="G204" s="27"/>
      <c r="H204" s="27"/>
      <c r="I204" s="27"/>
      <c r="J204" s="27"/>
      <c r="K204" s="27"/>
      <c r="L204" s="27"/>
      <c r="M204" s="27"/>
      <c r="N204" s="27"/>
      <c r="O204" s="27"/>
    </row>
    <row r="205" spans="1:23" hidden="1" outlineLevel="1">
      <c r="B205" s="24"/>
      <c r="E205" s="20"/>
      <c r="F205" s="27"/>
      <c r="G205" s="27"/>
      <c r="H205" s="27"/>
      <c r="I205" s="27"/>
      <c r="J205" s="27"/>
      <c r="K205" s="27"/>
      <c r="L205" s="27"/>
      <c r="M205" s="27"/>
      <c r="N205" s="27"/>
      <c r="O205" s="27"/>
      <c r="U205" s="27"/>
      <c r="V205" s="27"/>
      <c r="W205" s="27"/>
    </row>
    <row r="206" spans="1:23" s="743" customFormat="1">
      <c r="F206" s="27"/>
      <c r="R206" s="121"/>
      <c r="S206" s="121"/>
      <c r="T206" s="121"/>
      <c r="U206" s="27"/>
      <c r="V206" s="27"/>
      <c r="W206" s="27"/>
    </row>
    <row r="207" spans="1:23" ht="22.5" collapsed="1">
      <c r="A207" s="1171"/>
      <c r="B207" s="1231" t="s">
        <v>683</v>
      </c>
      <c r="C207" s="1183"/>
      <c r="D207" s="1183"/>
      <c r="E207" s="1183"/>
      <c r="F207" s="1183"/>
      <c r="G207" s="1183"/>
      <c r="H207" s="1183"/>
      <c r="I207" s="1183"/>
      <c r="J207" s="1183"/>
      <c r="K207" s="1183"/>
      <c r="L207" s="1183"/>
      <c r="M207" s="1183"/>
      <c r="N207" s="1183"/>
      <c r="O207" s="1183"/>
      <c r="P207" s="1185"/>
      <c r="U207" s="27"/>
      <c r="V207" s="27"/>
      <c r="W207" s="27"/>
    </row>
    <row r="208" spans="1:23" hidden="1" outlineLevel="1">
      <c r="B208" s="1172"/>
      <c r="C208" s="1174"/>
      <c r="D208" s="1174"/>
      <c r="E208" s="1174"/>
      <c r="F208" s="1174"/>
      <c r="G208" s="1174"/>
      <c r="H208" s="1174"/>
      <c r="I208" s="1174"/>
      <c r="J208" s="1174"/>
      <c r="K208" s="1174"/>
      <c r="L208" s="1174"/>
      <c r="M208" s="1174"/>
      <c r="N208" s="1174"/>
      <c r="O208" s="1174"/>
      <c r="P208" s="1176"/>
      <c r="U208" s="27"/>
      <c r="V208" s="27"/>
      <c r="W208" s="27"/>
    </row>
    <row r="209" spans="1:16" hidden="1" outlineLevel="1">
      <c r="B209" s="1172"/>
      <c r="C209" s="1186" t="s">
        <v>730</v>
      </c>
      <c r="D209" s="1174"/>
      <c r="E209" s="1175"/>
      <c r="F209" s="1174"/>
      <c r="G209" s="1175"/>
      <c r="H209" s="1174"/>
      <c r="I209" s="1174"/>
      <c r="J209" s="1174"/>
      <c r="K209" s="1174"/>
      <c r="L209" s="1174"/>
      <c r="M209" s="1174"/>
      <c r="N209" s="1174"/>
      <c r="O209" s="1175" t="str">
        <f>Preferences.EnergyUnits</f>
        <v>TWh</v>
      </c>
      <c r="P209" s="1176"/>
    </row>
    <row r="210" spans="1:16" ht="6" hidden="1" customHeight="1" outlineLevel="1">
      <c r="B210" s="1172"/>
      <c r="C210" s="1174"/>
      <c r="D210" s="1174"/>
      <c r="E210" s="1174"/>
      <c r="F210" s="1174"/>
      <c r="G210" s="1174"/>
      <c r="H210" s="1174"/>
      <c r="I210" s="1174"/>
      <c r="J210" s="1174"/>
      <c r="K210" s="1174"/>
      <c r="L210" s="1174"/>
      <c r="M210" s="1174"/>
      <c r="N210" s="1174"/>
      <c r="O210" s="1174"/>
      <c r="P210" s="1176"/>
    </row>
    <row r="211" spans="1:16" ht="15.75" hidden="1" outlineLevel="1">
      <c r="A211" s="3"/>
      <c r="B211" s="1177"/>
      <c r="C211" s="1188" t="s">
        <v>78</v>
      </c>
      <c r="D211" s="1188" t="s">
        <v>418</v>
      </c>
      <c r="E211" s="1188" t="s">
        <v>442</v>
      </c>
      <c r="F211" s="1188" t="s">
        <v>691</v>
      </c>
      <c r="G211" s="1188" t="s">
        <v>692</v>
      </c>
      <c r="H211" s="1189" t="s">
        <v>721</v>
      </c>
      <c r="I211" s="1189" t="s">
        <v>722</v>
      </c>
      <c r="J211" s="1189" t="s">
        <v>723</v>
      </c>
      <c r="K211" s="1189" t="s">
        <v>724</v>
      </c>
      <c r="L211" s="1189" t="s">
        <v>725</v>
      </c>
      <c r="M211" s="1189" t="s">
        <v>726</v>
      </c>
      <c r="N211" s="1189" t="s">
        <v>727</v>
      </c>
      <c r="O211" s="1189" t="s">
        <v>728</v>
      </c>
      <c r="P211" s="1176"/>
    </row>
    <row r="212" spans="1:16" ht="15.75" hidden="1" outlineLevel="1">
      <c r="A212" s="3"/>
      <c r="B212" s="1177"/>
      <c r="C212" s="1188" t="s">
        <v>13</v>
      </c>
      <c r="D212" s="952" t="str">
        <f>INDEX(Vectors[Description], MATCH([Vector], Vectors[Code], 0))</f>
        <v>Industry</v>
      </c>
      <c r="E212" s="1188"/>
      <c r="F212" s="1266">
        <f>F138</f>
        <v>408.60866455868427</v>
      </c>
      <c r="G212" s="1266">
        <f t="shared" ref="G212:O212" si="23">G138</f>
        <v>411.16256567314912</v>
      </c>
      <c r="H212" s="1266">
        <f t="shared" si="23"/>
        <v>415.84603598805307</v>
      </c>
      <c r="I212" s="1266">
        <f t="shared" si="23"/>
        <v>421.06497130140758</v>
      </c>
      <c r="J212" s="1266">
        <f t="shared" si="23"/>
        <v>426.82226933524851</v>
      </c>
      <c r="K212" s="1266">
        <f t="shared" si="23"/>
        <v>433.12178936101793</v>
      </c>
      <c r="L212" s="1266">
        <f t="shared" si="23"/>
        <v>439.96834440269697</v>
      </c>
      <c r="M212" s="1266">
        <f t="shared" si="23"/>
        <v>447.36769538035696</v>
      </c>
      <c r="N212" s="1266">
        <f t="shared" si="23"/>
        <v>455.32654715195713</v>
      </c>
      <c r="O212" s="1266">
        <f t="shared" si="23"/>
        <v>463.85254641550875</v>
      </c>
      <c r="P212" s="1176"/>
    </row>
    <row r="213" spans="1:16" ht="15.75" hidden="1" outlineLevel="1">
      <c r="A213" s="3"/>
      <c r="B213" s="1177"/>
      <c r="C213" s="765" t="s">
        <v>45</v>
      </c>
      <c r="D213" s="765" t="str">
        <f>INDEX(Vectors[Description], MATCH([Vector], Vectors[Code], 0))</f>
        <v>Electricity (delivered to end user)</v>
      </c>
      <c r="E213" s="765"/>
      <c r="F213" s="953">
        <f>-F141</f>
        <v>-114.37233546157294</v>
      </c>
      <c r="G213" s="953">
        <f t="shared" ref="G213:O213" si="24">-G141</f>
        <v>-115.0871896982415</v>
      </c>
      <c r="H213" s="953">
        <f t="shared" si="24"/>
        <v>-116.39812479199203</v>
      </c>
      <c r="I213" s="953">
        <f t="shared" si="24"/>
        <v>-117.85894016911062</v>
      </c>
      <c r="J213" s="953">
        <f t="shared" si="24"/>
        <v>-119.47044692164093</v>
      </c>
      <c r="K213" s="953">
        <f t="shared" si="24"/>
        <v>-121.23372528582432</v>
      </c>
      <c r="L213" s="953">
        <f t="shared" si="24"/>
        <v>-123.15012245970406</v>
      </c>
      <c r="M213" s="953">
        <f t="shared" si="24"/>
        <v>-125.22125096386554</v>
      </c>
      <c r="N213" s="953">
        <f t="shared" si="24"/>
        <v>-127.44898753350859</v>
      </c>
      <c r="O213" s="953">
        <f t="shared" si="24"/>
        <v>-129.83547253124902</v>
      </c>
      <c r="P213" s="1176"/>
    </row>
    <row r="214" spans="1:16" ht="15.75" hidden="1" outlineLevel="1">
      <c r="A214" s="3"/>
      <c r="B214" s="1177"/>
      <c r="C214" s="765" t="s">
        <v>47</v>
      </c>
      <c r="D214" s="765" t="str">
        <f>INDEX(Vectors[Description], MATCH([Vector], Vectors[Code], 0))</f>
        <v>Solid hydrocarbons</v>
      </c>
      <c r="E214" s="765"/>
      <c r="F214" s="953">
        <f>-F142</f>
        <v>-54.553269110073614</v>
      </c>
      <c r="G214" s="953">
        <f t="shared" ref="G214:O214" si="25">-G142</f>
        <v>-54.894239987253606</v>
      </c>
      <c r="H214" s="953">
        <f t="shared" si="25"/>
        <v>-55.519529264302946</v>
      </c>
      <c r="I214" s="953">
        <f t="shared" si="25"/>
        <v>-56.21630837672091</v>
      </c>
      <c r="J214" s="953">
        <f t="shared" si="25"/>
        <v>-56.984964198853909</v>
      </c>
      <c r="K214" s="953">
        <f t="shared" si="25"/>
        <v>-57.826011981336116</v>
      </c>
      <c r="L214" s="953">
        <f t="shared" si="25"/>
        <v>-58.740094310131191</v>
      </c>
      <c r="M214" s="953">
        <f t="shared" si="25"/>
        <v>-59.727980324638843</v>
      </c>
      <c r="N214" s="953">
        <f t="shared" si="25"/>
        <v>-60.790565189235942</v>
      </c>
      <c r="O214" s="953">
        <f t="shared" si="25"/>
        <v>-61.928869813194837</v>
      </c>
      <c r="P214" s="1176"/>
    </row>
    <row r="215" spans="1:16" ht="15.75" hidden="1" outlineLevel="1">
      <c r="A215" s="3"/>
      <c r="B215" s="1177"/>
      <c r="C215" s="765" t="s">
        <v>49</v>
      </c>
      <c r="D215" s="765" t="str">
        <f>INDEX(Vectors[Description], MATCH([Vector], Vectors[Code], 0))</f>
        <v>Liquid hydrocarbons</v>
      </c>
      <c r="E215" s="765"/>
      <c r="F215" s="953">
        <f>-F143</f>
        <v>-81.623034879123125</v>
      </c>
      <c r="G215" s="953">
        <f t="shared" ref="G215:O215" si="26">-G143</f>
        <v>-82.133198215891667</v>
      </c>
      <c r="H215" s="953">
        <f t="shared" si="26"/>
        <v>-83.068761002553643</v>
      </c>
      <c r="I215" s="953">
        <f t="shared" si="26"/>
        <v>-84.111287449157274</v>
      </c>
      <c r="J215" s="953">
        <f t="shared" si="26"/>
        <v>-85.261356400174876</v>
      </c>
      <c r="K215" s="953">
        <f t="shared" si="26"/>
        <v>-86.519738777700951</v>
      </c>
      <c r="L215" s="953">
        <f t="shared" si="26"/>
        <v>-87.887396023962168</v>
      </c>
      <c r="M215" s="953">
        <f t="shared" si="26"/>
        <v>-89.365478931442155</v>
      </c>
      <c r="N215" s="953">
        <f t="shared" si="26"/>
        <v>-90.955326852197132</v>
      </c>
      <c r="O215" s="953">
        <f t="shared" si="26"/>
        <v>-92.65846727879547</v>
      </c>
      <c r="P215" s="1176"/>
    </row>
    <row r="216" spans="1:16" ht="15.75" hidden="1" outlineLevel="1">
      <c r="A216" s="3"/>
      <c r="B216" s="1177"/>
      <c r="C216" s="765" t="s">
        <v>50</v>
      </c>
      <c r="D216" s="765" t="str">
        <f>INDEX(Vectors[Description], MATCH([Vector], Vectors[Code], 0))</f>
        <v>Gaseous hydrocarbons</v>
      </c>
      <c r="E216" s="765"/>
      <c r="F216" s="953">
        <f>-F144</f>
        <v>-150.05297390894643</v>
      </c>
      <c r="G216" s="953">
        <f t="shared" ref="G216:O216" si="27">-G144</f>
        <v>-150.99084060276388</v>
      </c>
      <c r="H216" s="953">
        <f t="shared" si="27"/>
        <v>-152.71074698244044</v>
      </c>
      <c r="I216" s="953">
        <f t="shared" si="27"/>
        <v>-154.62729166769097</v>
      </c>
      <c r="J216" s="953">
        <f t="shared" si="27"/>
        <v>-156.74153878624145</v>
      </c>
      <c r="K216" s="953">
        <f t="shared" si="27"/>
        <v>-159.05490557469804</v>
      </c>
      <c r="L216" s="953">
        <f t="shared" si="27"/>
        <v>-161.5691595153109</v>
      </c>
      <c r="M216" s="953">
        <f t="shared" si="27"/>
        <v>-164.28641618531597</v>
      </c>
      <c r="N216" s="953">
        <f t="shared" si="27"/>
        <v>-167.20913780336815</v>
      </c>
      <c r="O216" s="953">
        <f t="shared" si="27"/>
        <v>-170.34013245915492</v>
      </c>
      <c r="P216" s="1176"/>
    </row>
    <row r="217" spans="1:16" ht="15.75" hidden="1" outlineLevel="1">
      <c r="A217" s="3"/>
      <c r="B217" s="1177"/>
      <c r="C217" s="765" t="s">
        <v>753</v>
      </c>
      <c r="D217" s="765" t="str">
        <f>INDEX(Vectors[Description], MATCH([Vector], Vectors[Code], 0))</f>
        <v>Heat transport</v>
      </c>
      <c r="E217" s="765"/>
      <c r="F217" s="953">
        <f>-F145</f>
        <v>-8.007051198968183</v>
      </c>
      <c r="G217" s="953">
        <f t="shared" ref="G217:O217" si="28">-G145</f>
        <v>-8.0570971689984745</v>
      </c>
      <c r="H217" s="953">
        <f t="shared" si="28"/>
        <v>-8.1488739467640343</v>
      </c>
      <c r="I217" s="953">
        <f t="shared" si="28"/>
        <v>-8.2511436387277772</v>
      </c>
      <c r="J217" s="953">
        <f t="shared" si="28"/>
        <v>-8.3639630283373272</v>
      </c>
      <c r="K217" s="953">
        <f t="shared" si="28"/>
        <v>-8.4874077414584725</v>
      </c>
      <c r="L217" s="953">
        <f t="shared" si="28"/>
        <v>-8.6215720935886129</v>
      </c>
      <c r="M217" s="953">
        <f t="shared" si="28"/>
        <v>-8.7665689750944136</v>
      </c>
      <c r="N217" s="953">
        <f t="shared" si="28"/>
        <v>-8.9225297736472999</v>
      </c>
      <c r="O217" s="953">
        <f t="shared" si="28"/>
        <v>-9.0896043331144991</v>
      </c>
      <c r="P217" s="1176"/>
    </row>
    <row r="218" spans="1:16" ht="15.75" hidden="1" outlineLevel="1">
      <c r="A218" s="3"/>
      <c r="B218" s="1177"/>
      <c r="C218" s="765" t="s">
        <v>148</v>
      </c>
      <c r="D218" s="765"/>
      <c r="E218" s="765"/>
      <c r="F218" s="1459">
        <f>SUBTOTAL(109,[2007])</f>
        <v>0</v>
      </c>
      <c r="G218" s="1459">
        <f>SUBTOTAL(109,[2010])</f>
        <v>0</v>
      </c>
      <c r="H218" s="1459">
        <f>SUBTOTAL(109,[2015])</f>
        <v>0</v>
      </c>
      <c r="I218" s="1459">
        <f>SUBTOTAL(109,[2020])</f>
        <v>0</v>
      </c>
      <c r="J218" s="1459">
        <f>SUBTOTAL(109,[2025])</f>
        <v>0</v>
      </c>
      <c r="K218" s="1459">
        <f>SUBTOTAL(109,[2030])</f>
        <v>0</v>
      </c>
      <c r="L218" s="1459">
        <f>SUBTOTAL(109,[2035])</f>
        <v>0</v>
      </c>
      <c r="M218" s="1459">
        <f>SUBTOTAL(109,[2040])</f>
        <v>0</v>
      </c>
      <c r="N218" s="1459">
        <f>SUBTOTAL(109,[2045])</f>
        <v>0</v>
      </c>
      <c r="O218" s="1459">
        <f>SUBTOTAL(109,[2050])</f>
        <v>0</v>
      </c>
      <c r="P218" s="1176"/>
    </row>
    <row r="219" spans="1:16" ht="15.75" hidden="1" outlineLevel="1">
      <c r="A219" s="3"/>
      <c r="B219" s="1178"/>
      <c r="C219" s="1179"/>
      <c r="D219" s="1179"/>
      <c r="E219" s="1179"/>
      <c r="F219" s="1179"/>
      <c r="G219" s="1179"/>
      <c r="H219" s="1179"/>
      <c r="I219" s="1179"/>
      <c r="J219" s="1179"/>
      <c r="K219" s="1179"/>
      <c r="L219" s="1179"/>
      <c r="M219" s="1179"/>
      <c r="N219" s="1179"/>
      <c r="O219" s="1179"/>
      <c r="P219" s="1181"/>
    </row>
    <row r="220" spans="1:16" hidden="1" outlineLevel="1"/>
    <row r="221" spans="1:16" ht="22.5" hidden="1" outlineLevel="1">
      <c r="A221" s="1171"/>
      <c r="B221" s="1249" t="s">
        <v>902</v>
      </c>
      <c r="C221" s="1198"/>
      <c r="D221" s="1199"/>
      <c r="E221" s="1199"/>
      <c r="F221" s="1199"/>
      <c r="G221" s="1199"/>
      <c r="H221" s="1199"/>
      <c r="I221" s="1199"/>
      <c r="J221" s="1199"/>
      <c r="K221" s="1199"/>
      <c r="L221" s="1199"/>
      <c r="M221" s="1199"/>
      <c r="N221" s="1199"/>
      <c r="O221" s="1199"/>
      <c r="P221" s="1200"/>
    </row>
    <row r="222" spans="1:16" hidden="1" outlineLevel="1">
      <c r="B222" s="1207"/>
      <c r="C222" s="1208"/>
      <c r="D222" s="1208"/>
      <c r="E222" s="1208"/>
      <c r="F222" s="1208"/>
      <c r="G222" s="1208"/>
      <c r="H222" s="1208"/>
      <c r="I222" s="1208"/>
      <c r="J222" s="1208"/>
      <c r="K222" s="1208"/>
      <c r="L222" s="1208"/>
      <c r="M222" s="1208"/>
      <c r="N222" s="1208"/>
      <c r="O222" s="1208"/>
      <c r="P222" s="1209"/>
    </row>
    <row r="223" spans="1:16" ht="14.25" hidden="1" outlineLevel="1">
      <c r="B223" s="1210"/>
      <c r="C223" s="1201" t="s">
        <v>1073</v>
      </c>
      <c r="D223" s="1202"/>
      <c r="E223" s="1203"/>
      <c r="F223" s="1202"/>
      <c r="G223" s="1203"/>
      <c r="H223" s="1202"/>
      <c r="I223" s="1202"/>
      <c r="J223" s="1202"/>
      <c r="K223" s="1202"/>
      <c r="L223" s="1202"/>
      <c r="M223" s="1202"/>
      <c r="N223" s="1202"/>
      <c r="O223" s="1203" t="s">
        <v>1076</v>
      </c>
      <c r="P223" s="1211"/>
    </row>
    <row r="224" spans="1:16" ht="5.25" hidden="1" customHeight="1" outlineLevel="1">
      <c r="B224" s="1210"/>
      <c r="C224" s="1202"/>
      <c r="D224" s="1202"/>
      <c r="E224" s="1202"/>
      <c r="F224" s="1202"/>
      <c r="G224" s="1202"/>
      <c r="H224" s="1202"/>
      <c r="I224" s="1202"/>
      <c r="J224" s="1202"/>
      <c r="K224" s="1202"/>
      <c r="L224" s="1202"/>
      <c r="M224" s="1202"/>
      <c r="N224" s="1202"/>
      <c r="O224" s="1202"/>
      <c r="P224" s="1211"/>
    </row>
    <row r="225" spans="2:16" ht="15.75" hidden="1" outlineLevel="1">
      <c r="B225" s="1212"/>
      <c r="C225" s="1269" t="s">
        <v>1072</v>
      </c>
      <c r="D225" s="1269" t="s">
        <v>1042</v>
      </c>
      <c r="E225" s="1269" t="s">
        <v>442</v>
      </c>
      <c r="F225" s="1269" t="s">
        <v>691</v>
      </c>
      <c r="G225" s="1269" t="s">
        <v>692</v>
      </c>
      <c r="H225" s="1269" t="s">
        <v>721</v>
      </c>
      <c r="I225" s="1269" t="s">
        <v>722</v>
      </c>
      <c r="J225" s="1269" t="s">
        <v>723</v>
      </c>
      <c r="K225" s="1269" t="s">
        <v>724</v>
      </c>
      <c r="L225" s="1269" t="s">
        <v>725</v>
      </c>
      <c r="M225" s="1269" t="s">
        <v>726</v>
      </c>
      <c r="N225" s="1269" t="s">
        <v>727</v>
      </c>
      <c r="O225" s="1269" t="s">
        <v>728</v>
      </c>
      <c r="P225" s="1211"/>
    </row>
    <row r="226" spans="2:16" ht="15.75" hidden="1" outlineLevel="1">
      <c r="B226" s="1212"/>
      <c r="C226" s="1206" t="s">
        <v>1055</v>
      </c>
      <c r="D226" s="1216" t="s">
        <v>1065</v>
      </c>
      <c r="E226" s="1206" t="str">
        <f>INDEX(IPCC[Sector_description], MATCH([IPCC Sector], IPCC[Sector_code], 0))</f>
        <v>Fuel Combustion</v>
      </c>
      <c r="F226" s="1268">
        <f>F188</f>
        <v>64.817912804929591</v>
      </c>
      <c r="G226" s="1268">
        <f t="shared" ref="G226:O226" si="29">G188</f>
        <v>65.223040140955575</v>
      </c>
      <c r="H226" s="1268">
        <f t="shared" si="29"/>
        <v>65.96598270881276</v>
      </c>
      <c r="I226" s="1268">
        <f t="shared" si="29"/>
        <v>66.793866509174478</v>
      </c>
      <c r="J226" s="1268">
        <f t="shared" si="29"/>
        <v>67.70715120995915</v>
      </c>
      <c r="K226" s="1268">
        <f t="shared" si="29"/>
        <v>68.706449010421196</v>
      </c>
      <c r="L226" s="1268">
        <f t="shared" si="29"/>
        <v>69.792523404328151</v>
      </c>
      <c r="M226" s="1268">
        <f t="shared" si="29"/>
        <v>70.966288250947429</v>
      </c>
      <c r="N226" s="1268">
        <f t="shared" si="29"/>
        <v>72.228807147153688</v>
      </c>
      <c r="O226" s="1268">
        <f t="shared" si="29"/>
        <v>73.581293094647364</v>
      </c>
      <c r="P226" s="1211"/>
    </row>
    <row r="227" spans="2:16" ht="15.75" hidden="1" outlineLevel="1">
      <c r="B227" s="1212"/>
      <c r="C227" s="1206" t="s">
        <v>1056</v>
      </c>
      <c r="D227" s="1216" t="s">
        <v>1065</v>
      </c>
      <c r="E227" s="1206" t="str">
        <f>INDEX(IPCC[Sector_description], MATCH([IPCC Sector], IPCC[Sector_code], 0))</f>
        <v>Fuel Combustion</v>
      </c>
      <c r="F227" s="1268">
        <f>F189</f>
        <v>0.13010783216178268</v>
      </c>
      <c r="G227" s="1268">
        <f t="shared" ref="G227:O227" si="30">G189</f>
        <v>0.13092103698678917</v>
      </c>
      <c r="H227" s="1268">
        <f t="shared" si="30"/>
        <v>0.13241233225906232</v>
      </c>
      <c r="I227" s="1268">
        <f t="shared" si="30"/>
        <v>0.1340741285416901</v>
      </c>
      <c r="J227" s="1268">
        <f t="shared" si="30"/>
        <v>0.13590734851782882</v>
      </c>
      <c r="K227" s="1268">
        <f t="shared" si="30"/>
        <v>0.13791322104404607</v>
      </c>
      <c r="L227" s="1268">
        <f t="shared" si="30"/>
        <v>0.14009327866766813</v>
      </c>
      <c r="M227" s="1268">
        <f t="shared" si="30"/>
        <v>0.14244935576198842</v>
      </c>
      <c r="N227" s="1268">
        <f t="shared" si="30"/>
        <v>0.14498358726590976</v>
      </c>
      <c r="O227" s="1268">
        <f t="shared" si="30"/>
        <v>0.1476984080159586</v>
      </c>
      <c r="P227" s="1211"/>
    </row>
    <row r="228" spans="2:16" ht="15.75" hidden="1" outlineLevel="1">
      <c r="B228" s="1212"/>
      <c r="C228" s="1206" t="s">
        <v>1057</v>
      </c>
      <c r="D228" s="1216" t="s">
        <v>1065</v>
      </c>
      <c r="E228" s="1206" t="str">
        <f>INDEX(IPCC[Sector_description], MATCH([IPCC Sector], IPCC[Sector_code], 0))</f>
        <v>Fuel Combustion</v>
      </c>
      <c r="F228" s="1268">
        <f>F190</f>
        <v>0.57551021650787848</v>
      </c>
      <c r="G228" s="1268">
        <f t="shared" ref="G228:O228" si="31">G190</f>
        <v>0.57910729192700316</v>
      </c>
      <c r="H228" s="1268">
        <f t="shared" si="31"/>
        <v>0.58570378693243763</v>
      </c>
      <c r="I228" s="1268">
        <f t="shared" si="31"/>
        <v>0.59305446461660583</v>
      </c>
      <c r="J228" s="1268">
        <f t="shared" si="31"/>
        <v>0.60116340631399934</v>
      </c>
      <c r="K228" s="1268">
        <f t="shared" si="31"/>
        <v>0.61003604766594399</v>
      </c>
      <c r="L228" s="1268">
        <f t="shared" si="31"/>
        <v>0.61967916763900055</v>
      </c>
      <c r="M228" s="1268">
        <f t="shared" si="31"/>
        <v>0.63010088027637234</v>
      </c>
      <c r="N228" s="1268">
        <f t="shared" si="31"/>
        <v>0.64131062912292414</v>
      </c>
      <c r="O228" s="1268">
        <f t="shared" si="31"/>
        <v>0.65331918427045665</v>
      </c>
      <c r="P228" s="1211"/>
    </row>
    <row r="229" spans="2:16" ht="15.75" hidden="1" outlineLevel="1">
      <c r="B229" s="1212"/>
      <c r="C229" s="1204" t="s">
        <v>1055</v>
      </c>
      <c r="D229" s="1290">
        <v>2</v>
      </c>
      <c r="E229" s="1206" t="str">
        <f>INDEX(IPCC[Sector_description], MATCH([IPCC Sector], IPCC[Sector_code], 0))</f>
        <v>Industrial Processes</v>
      </c>
      <c r="F229" s="1460">
        <f>F161</f>
        <v>14.39565925511863</v>
      </c>
      <c r="G229" s="1460">
        <f t="shared" ref="G229:O229" si="32">G161</f>
        <v>14.397000891205074</v>
      </c>
      <c r="H229" s="1460">
        <f t="shared" si="32"/>
        <v>14.403687991960901</v>
      </c>
      <c r="I229" s="1460">
        <f t="shared" si="32"/>
        <v>14.415809031014421</v>
      </c>
      <c r="J229" s="1460">
        <f t="shared" si="32"/>
        <v>14.433220304947135</v>
      </c>
      <c r="K229" s="1460">
        <f t="shared" si="32"/>
        <v>14.455784691934292</v>
      </c>
      <c r="L229" s="1460">
        <f t="shared" si="32"/>
        <v>14.483371402442046</v>
      </c>
      <c r="M229" s="1460">
        <f t="shared" si="32"/>
        <v>14.515855739932137</v>
      </c>
      <c r="N229" s="1460">
        <f t="shared" si="32"/>
        <v>14.553118871179784</v>
      </c>
      <c r="O229" s="1460">
        <f t="shared" si="32"/>
        <v>14.595047605826055</v>
      </c>
      <c r="P229" s="1211"/>
    </row>
    <row r="230" spans="2:16" ht="15.75" hidden="1" outlineLevel="1">
      <c r="B230" s="1212"/>
      <c r="C230" s="1204" t="s">
        <v>1056</v>
      </c>
      <c r="D230" s="1290">
        <v>2</v>
      </c>
      <c r="E230" s="1206" t="str">
        <f>INDEX(IPCC[Sector_description], MATCH([IPCC Sector], IPCC[Sector_code], 0))</f>
        <v>Industrial Processes</v>
      </c>
      <c r="F230" s="1460">
        <f>F168</f>
        <v>0.11288744235152412</v>
      </c>
      <c r="G230" s="1460">
        <f t="shared" ref="G230:O230" si="33">G168</f>
        <v>0.11259095901293661</v>
      </c>
      <c r="H230" s="1460">
        <f t="shared" si="33"/>
        <v>0.11212216057615614</v>
      </c>
      <c r="I230" s="1460">
        <f t="shared" si="33"/>
        <v>0.11168408042808131</v>
      </c>
      <c r="J230" s="1460">
        <f t="shared" si="33"/>
        <v>0.11127565508364799</v>
      </c>
      <c r="K230" s="1460">
        <f t="shared" si="33"/>
        <v>0.11089586505811078</v>
      </c>
      <c r="L230" s="1460">
        <f t="shared" si="33"/>
        <v>0.11054373314941748</v>
      </c>
      <c r="M230" s="1460">
        <f t="shared" si="33"/>
        <v>0.11021832278886601</v>
      </c>
      <c r="N230" s="1460">
        <f t="shared" si="33"/>
        <v>0.10991873645734471</v>
      </c>
      <c r="O230" s="1460">
        <f t="shared" si="33"/>
        <v>0.10964411416456435</v>
      </c>
      <c r="P230" s="1211"/>
    </row>
    <row r="231" spans="2:16" ht="15.75" hidden="1" outlineLevel="1">
      <c r="B231" s="1212"/>
      <c r="C231" s="1204" t="s">
        <v>1057</v>
      </c>
      <c r="D231" s="1290">
        <v>2</v>
      </c>
      <c r="E231" s="1206" t="str">
        <f>INDEX(IPCC[Sector_description], MATCH([IPCC Sector], IPCC[Sector_code], 0))</f>
        <v>Industrial Processes</v>
      </c>
      <c r="F231" s="1460">
        <f>F175</f>
        <v>2.7624692105907238</v>
      </c>
      <c r="G231" s="1460">
        <f t="shared" ref="G231:O231" si="34">G175</f>
        <v>2.762245156954338</v>
      </c>
      <c r="H231" s="1460">
        <f t="shared" si="34"/>
        <v>2.7618835900319163</v>
      </c>
      <c r="I231" s="1460">
        <f t="shared" si="34"/>
        <v>2.761536333825779</v>
      </c>
      <c r="J231" s="1460">
        <f t="shared" si="34"/>
        <v>2.7612028219218332</v>
      </c>
      <c r="K231" s="1460">
        <f t="shared" si="34"/>
        <v>2.7608825103244943</v>
      </c>
      <c r="L231" s="1460">
        <f t="shared" si="34"/>
        <v>2.7605748765693696</v>
      </c>
      <c r="M231" s="1460">
        <f t="shared" si="34"/>
        <v>2.7602794188710575</v>
      </c>
      <c r="N231" s="1460">
        <f t="shared" si="34"/>
        <v>2.7599956553046825</v>
      </c>
      <c r="O231" s="1460">
        <f t="shared" si="34"/>
        <v>2.7597231230198167</v>
      </c>
      <c r="P231" s="1211"/>
    </row>
    <row r="232" spans="2:16" ht="15.75" hidden="1" outlineLevel="1">
      <c r="B232" s="1212"/>
      <c r="C232" s="1204" t="s">
        <v>1058</v>
      </c>
      <c r="D232" s="1290">
        <v>2</v>
      </c>
      <c r="E232" s="1206" t="str">
        <f>INDEX(IPCC[Sector_description], MATCH([IPCC Sector], IPCC[Sector_code], 0))</f>
        <v>Industrial Processes</v>
      </c>
      <c r="F232" s="1460">
        <f>F182</f>
        <v>10.620296151887526</v>
      </c>
      <c r="G232" s="1460">
        <f t="shared" ref="G232:O232" si="35">G182</f>
        <v>10.093975285454039</v>
      </c>
      <c r="H232" s="1460">
        <f t="shared" si="35"/>
        <v>9.2740959850517761</v>
      </c>
      <c r="I232" s="1460">
        <f t="shared" si="35"/>
        <v>8.5208110687468022</v>
      </c>
      <c r="J232" s="1460">
        <f t="shared" si="35"/>
        <v>7.8287114330392287</v>
      </c>
      <c r="K232" s="1460">
        <f t="shared" si="35"/>
        <v>7.1928273268020186</v>
      </c>
      <c r="L232" s="1460">
        <f t="shared" si="35"/>
        <v>6.6085926650517584</v>
      </c>
      <c r="M232" s="1460">
        <f t="shared" si="35"/>
        <v>6.0718122413197761</v>
      </c>
      <c r="N232" s="1460">
        <f t="shared" si="35"/>
        <v>5.5786316031859631</v>
      </c>
      <c r="O232" s="1460">
        <f t="shared" si="35"/>
        <v>5.1255093746608766</v>
      </c>
      <c r="P232" s="1211"/>
    </row>
    <row r="233" spans="2:16" ht="15.75" hidden="1" outlineLevel="1">
      <c r="B233" s="1212"/>
      <c r="C233" s="1204" t="s">
        <v>1055</v>
      </c>
      <c r="D233" s="1290" t="s">
        <v>1078</v>
      </c>
      <c r="E233" s="1206" t="str">
        <f>INDEX(IPCC[Sector_description], MATCH([IPCC Sector], IPCC[Sector_code], 0))</f>
        <v>Carbon capture</v>
      </c>
      <c r="F233" s="1460">
        <f>-(F$199+F$203)</f>
        <v>0</v>
      </c>
      <c r="G233" s="1460">
        <f t="shared" ref="G233:O233" si="36">-(G$199+G$203)</f>
        <v>0</v>
      </c>
      <c r="H233" s="1460">
        <f t="shared" si="36"/>
        <v>0</v>
      </c>
      <c r="I233" s="1460">
        <f t="shared" si="36"/>
        <v>0</v>
      </c>
      <c r="J233" s="1460">
        <f t="shared" si="36"/>
        <v>0</v>
      </c>
      <c r="K233" s="1460">
        <f t="shared" si="36"/>
        <v>0</v>
      </c>
      <c r="L233" s="1460">
        <f t="shared" si="36"/>
        <v>0</v>
      </c>
      <c r="M233" s="1460">
        <f t="shared" si="36"/>
        <v>0</v>
      </c>
      <c r="N233" s="1460">
        <f t="shared" si="36"/>
        <v>0</v>
      </c>
      <c r="O233" s="1460">
        <f t="shared" si="36"/>
        <v>0</v>
      </c>
      <c r="P233" s="1211"/>
    </row>
    <row r="234" spans="2:16" ht="15.75" hidden="1" outlineLevel="1">
      <c r="B234" s="1212"/>
      <c r="C234" s="1206" t="s">
        <v>148</v>
      </c>
      <c r="D234" s="1206"/>
      <c r="E234" s="1206"/>
      <c r="F234" s="1278">
        <f>SUBTOTAL(109,[2007])</f>
        <v>0</v>
      </c>
      <c r="G234" s="1278">
        <f>SUBTOTAL(109,[2010])</f>
        <v>0</v>
      </c>
      <c r="H234" s="1278">
        <f>SUBTOTAL(109,[2015])</f>
        <v>0</v>
      </c>
      <c r="I234" s="1278">
        <f>SUBTOTAL(109,[2020])</f>
        <v>0</v>
      </c>
      <c r="J234" s="1278">
        <f>SUBTOTAL(109,[2025])</f>
        <v>0</v>
      </c>
      <c r="K234" s="1278">
        <f>SUBTOTAL(109,[2030])</f>
        <v>0</v>
      </c>
      <c r="L234" s="1278">
        <f>SUBTOTAL(109,[2035])</f>
        <v>0</v>
      </c>
      <c r="M234" s="1278">
        <f>SUBTOTAL(109,[2040])</f>
        <v>0</v>
      </c>
      <c r="N234" s="1278">
        <f>SUBTOTAL(109,[2045])</f>
        <v>0</v>
      </c>
      <c r="O234" s="1278">
        <f>SUBTOTAL(109,[2050])</f>
        <v>0</v>
      </c>
      <c r="P234" s="1211"/>
    </row>
    <row r="235" spans="2:16" ht="15.75" hidden="1" outlineLevel="1">
      <c r="B235" s="1212"/>
      <c r="C235" s="1202"/>
      <c r="D235" s="1202"/>
      <c r="E235" s="1202"/>
      <c r="F235" s="1202"/>
      <c r="G235" s="1202"/>
      <c r="H235" s="1202"/>
      <c r="I235" s="1202"/>
      <c r="J235" s="1202"/>
      <c r="K235" s="1202"/>
      <c r="L235" s="1202"/>
      <c r="M235" s="1202"/>
      <c r="N235" s="1202"/>
      <c r="O235" s="1202"/>
      <c r="P235" s="1211"/>
    </row>
    <row r="236" spans="2:16" hidden="1" outlineLevel="1"/>
  </sheetData>
  <pageMargins left="0.7" right="0.7" top="0.75" bottom="0.75" header="0.3" footer="0.3"/>
  <pageSetup paperSize="9" orientation="portrait" r:id="rId1"/>
  <ignoredErrors>
    <ignoredError sqref="F212:F217" calculatedColumn="1"/>
  </ignoredErrors>
  <tableParts count="2">
    <tablePart r:id="rId2"/>
    <tablePart r:id="rId3"/>
  </tableParts>
</worksheet>
</file>

<file path=xl/worksheets/sheet41.xml><?xml version="1.0" encoding="utf-8"?>
<worksheet xmlns="http://schemas.openxmlformats.org/spreadsheetml/2006/main" xmlns:r="http://schemas.openxmlformats.org/officeDocument/2006/relationships">
  <sheetPr codeName="Sheet33">
    <tabColor theme="9"/>
    <outlinePr summaryBelow="0"/>
    <pageSetUpPr autoPageBreaks="0"/>
  </sheetPr>
  <dimension ref="A1:AK363"/>
  <sheetViews>
    <sheetView showGridLines="0" zoomScale="80" zoomScaleNormal="80" workbookViewId="0">
      <pane ySplit="2" topLeftCell="A3" activePane="bottomLeft" state="frozen"/>
      <selection pane="bottomLeft"/>
    </sheetView>
  </sheetViews>
  <sheetFormatPr defaultRowHeight="12.75" outlineLevelRow="2"/>
  <cols>
    <col min="1" max="1" width="5.85546875" style="121" customWidth="1"/>
    <col min="2" max="2" width="3.28515625" style="121" customWidth="1"/>
    <col min="3" max="3" width="9.140625" style="121"/>
    <col min="4" max="4" width="28.140625" style="121" bestFit="1" customWidth="1"/>
    <col min="5" max="15" width="9.140625" style="121" customWidth="1"/>
    <col min="16" max="16" width="2" style="121" customWidth="1"/>
    <col min="17" max="17" width="9.140625" style="121"/>
    <col min="18" max="18" width="23.140625" style="121" bestFit="1" customWidth="1"/>
    <col min="19" max="19" width="9.85546875" style="121" bestFit="1" customWidth="1"/>
    <col min="20" max="20" width="11" style="121" bestFit="1" customWidth="1"/>
    <col min="21" max="21" width="9.140625" style="121"/>
    <col min="22" max="22" width="10" style="121" customWidth="1"/>
    <col min="23" max="23" width="9.140625" style="121"/>
    <col min="24" max="24" width="9" style="121" customWidth="1"/>
    <col min="25" max="25" width="9.140625" style="121"/>
    <col min="26" max="26" width="9.42578125" style="121" customWidth="1"/>
    <col min="27" max="16384" width="9.140625" style="121"/>
  </cols>
  <sheetData>
    <row r="1" spans="1:37" ht="21">
      <c r="A1" s="790" t="s">
        <v>679</v>
      </c>
      <c r="B1" s="790" t="str">
        <f>INDEX(Workstreams[Workstream], MATCH($A1, Workstreams[Code], 0))</f>
        <v>Transport</v>
      </c>
      <c r="C1" s="790"/>
    </row>
    <row r="2" spans="1:37" s="743" customFormat="1" ht="19.5" customHeight="1">
      <c r="A2" s="10" t="s">
        <v>903</v>
      </c>
      <c r="B2" s="10" t="str">
        <f>INDEX(Modules[Module], MATCH($A2, Modules[Code], 0))</f>
        <v>Domestic passenger transport</v>
      </c>
      <c r="C2" s="10"/>
    </row>
    <row r="4" spans="1:37" ht="22.5" collapsed="1">
      <c r="A4" s="1171"/>
      <c r="B4" s="1231" t="s">
        <v>1353</v>
      </c>
      <c r="C4" s="1183"/>
      <c r="D4" s="1183"/>
      <c r="E4" s="1183"/>
      <c r="F4" s="1183"/>
      <c r="G4" s="1183"/>
      <c r="H4" s="1183"/>
      <c r="I4" s="1183"/>
      <c r="J4" s="1183"/>
      <c r="K4" s="1183"/>
      <c r="L4" s="1183"/>
      <c r="M4" s="1183"/>
      <c r="N4" s="1183"/>
      <c r="O4" s="1183"/>
      <c r="P4" s="1185"/>
      <c r="R4" s="731"/>
      <c r="S4" s="731"/>
    </row>
    <row r="5" spans="1:37" hidden="1" outlineLevel="1">
      <c r="B5" s="1172"/>
      <c r="C5" s="1174"/>
      <c r="D5" s="1174"/>
      <c r="E5" s="1174"/>
      <c r="F5" s="1174"/>
      <c r="G5" s="1174"/>
      <c r="H5" s="1174"/>
      <c r="I5" s="1174"/>
      <c r="J5" s="1174"/>
      <c r="K5" s="1174"/>
      <c r="L5" s="1174"/>
      <c r="M5" s="1174"/>
      <c r="N5" s="1174"/>
      <c r="O5" s="1174"/>
      <c r="P5" s="1176"/>
    </row>
    <row r="6" spans="1:37" ht="5.25" hidden="1" customHeight="1" outlineLevel="1">
      <c r="B6" s="1172"/>
      <c r="C6" s="1173"/>
      <c r="D6" s="1174"/>
      <c r="E6" s="1175"/>
      <c r="F6" s="1174"/>
      <c r="G6" s="1174"/>
      <c r="H6" s="1174"/>
      <c r="I6" s="1174"/>
      <c r="J6" s="1174"/>
      <c r="K6" s="1174"/>
      <c r="L6" s="1174"/>
      <c r="M6" s="1174"/>
      <c r="N6" s="1174"/>
      <c r="O6" s="1174"/>
      <c r="P6" s="1176"/>
    </row>
    <row r="7" spans="1:37" ht="15.75" hidden="1" outlineLevel="1">
      <c r="B7" s="1177"/>
      <c r="C7" s="1174"/>
      <c r="D7" s="922" t="s">
        <v>830</v>
      </c>
      <c r="E7" s="922" t="s">
        <v>1352</v>
      </c>
      <c r="F7" s="1174"/>
      <c r="G7" s="1174"/>
      <c r="H7" s="1174"/>
      <c r="I7" s="1174"/>
      <c r="J7" s="1174"/>
      <c r="K7" s="1174"/>
      <c r="L7" s="1174"/>
      <c r="M7" s="1174"/>
      <c r="N7" s="1174"/>
      <c r="O7" s="1174"/>
      <c r="P7" s="1176"/>
    </row>
    <row r="8" spans="1:37" ht="15.75" hidden="1" outlineLevel="1">
      <c r="B8" s="1177"/>
      <c r="C8" s="1174"/>
      <c r="D8" s="1291" t="s">
        <v>1910</v>
      </c>
      <c r="E8" s="1291">
        <f>XII.a.Scenario.Demand</f>
        <v>1</v>
      </c>
      <c r="F8" s="1174"/>
      <c r="G8" s="1174"/>
      <c r="H8" s="1174"/>
      <c r="I8" s="1174"/>
      <c r="J8" s="1174"/>
      <c r="K8" s="1174"/>
      <c r="L8" s="1174"/>
      <c r="M8" s="1174"/>
      <c r="N8" s="1174"/>
      <c r="O8" s="1174"/>
      <c r="P8" s="1176"/>
      <c r="S8" s="1629"/>
    </row>
    <row r="9" spans="1:37" ht="15.75" hidden="1" outlineLevel="1">
      <c r="B9" s="1177"/>
      <c r="C9" s="1174"/>
      <c r="D9" s="1292" t="s">
        <v>1916</v>
      </c>
      <c r="E9" s="1292">
        <f>XII.a.Scenario.Technology</f>
        <v>1</v>
      </c>
      <c r="F9" s="1174"/>
      <c r="G9" s="1174"/>
      <c r="H9" s="1174"/>
      <c r="I9" s="1174"/>
      <c r="J9" s="1174"/>
      <c r="K9" s="1174"/>
      <c r="L9" s="1174"/>
      <c r="M9" s="1174"/>
      <c r="N9" s="1174"/>
      <c r="O9" s="1174"/>
      <c r="P9" s="1176"/>
    </row>
    <row r="10" spans="1:37" ht="15.75" hidden="1" outlineLevel="1">
      <c r="B10" s="1177"/>
      <c r="C10" s="1174"/>
      <c r="D10" s="765"/>
      <c r="E10" s="765"/>
      <c r="F10" s="1174"/>
      <c r="G10" s="1174"/>
      <c r="H10" s="1174"/>
      <c r="I10" s="1174"/>
      <c r="J10" s="1174"/>
      <c r="K10" s="1174"/>
      <c r="L10" s="1174"/>
      <c r="M10" s="1174"/>
      <c r="N10" s="1174"/>
      <c r="O10" s="1174"/>
      <c r="P10" s="1176"/>
    </row>
    <row r="12" spans="1:37" s="743" customFormat="1" ht="22.5" collapsed="1">
      <c r="A12" s="1170"/>
      <c r="B12" s="1236" t="s">
        <v>1354</v>
      </c>
      <c r="C12" s="1167"/>
      <c r="D12" s="1167"/>
      <c r="E12" s="1167"/>
      <c r="F12" s="1167"/>
      <c r="G12" s="1167"/>
      <c r="H12" s="1167"/>
      <c r="I12" s="1167"/>
      <c r="J12" s="1167"/>
      <c r="K12" s="1167"/>
      <c r="L12" s="1167"/>
      <c r="M12" s="1167"/>
      <c r="N12" s="1167"/>
      <c r="O12" s="1167"/>
      <c r="P12" s="1168"/>
      <c r="S12" s="834"/>
    </row>
    <row r="13" spans="1:37" hidden="1" outlineLevel="1">
      <c r="B13" s="1157"/>
      <c r="C13" s="864"/>
      <c r="D13" s="864"/>
      <c r="E13" s="864"/>
      <c r="F13" s="864"/>
      <c r="G13" s="864"/>
      <c r="H13" s="864"/>
      <c r="I13" s="864"/>
      <c r="J13" s="864"/>
      <c r="K13" s="864"/>
      <c r="L13" s="864"/>
      <c r="M13" s="864"/>
      <c r="N13" s="864"/>
      <c r="O13" s="864"/>
      <c r="P13" s="1158"/>
    </row>
    <row r="14" spans="1:37" hidden="1" outlineLevel="1">
      <c r="B14" s="1157"/>
      <c r="C14" s="866" t="s">
        <v>1379</v>
      </c>
      <c r="D14" s="864"/>
      <c r="E14" s="867"/>
      <c r="F14" s="864"/>
      <c r="G14" s="864"/>
      <c r="H14" s="864"/>
      <c r="I14" s="864"/>
      <c r="J14" s="864"/>
      <c r="K14" s="864"/>
      <c r="L14" s="864"/>
      <c r="M14" s="864"/>
      <c r="N14" s="864"/>
      <c r="O14" s="867" t="s">
        <v>1409</v>
      </c>
      <c r="P14" s="1158"/>
      <c r="R14" s="28"/>
    </row>
    <row r="15" spans="1:37" ht="5.25" hidden="1" customHeight="1" outlineLevel="1">
      <c r="B15" s="1157"/>
      <c r="C15" s="864"/>
      <c r="D15" s="864"/>
      <c r="E15" s="864"/>
      <c r="F15" s="864"/>
      <c r="G15" s="864"/>
      <c r="H15" s="864"/>
      <c r="I15" s="864"/>
      <c r="J15" s="864"/>
      <c r="K15" s="864"/>
      <c r="L15" s="864"/>
      <c r="M15" s="864"/>
      <c r="N15" s="864"/>
      <c r="O15" s="864"/>
      <c r="P15" s="1158"/>
    </row>
    <row r="16" spans="1:37" ht="15.75" hidden="1" outlineLevel="1">
      <c r="B16" s="1159"/>
      <c r="C16" s="766" t="s">
        <v>1352</v>
      </c>
      <c r="D16" s="766" t="s">
        <v>80</v>
      </c>
      <c r="E16" s="766" t="s">
        <v>442</v>
      </c>
      <c r="F16" s="923">
        <v>2007</v>
      </c>
      <c r="G16" s="924">
        <v>2010</v>
      </c>
      <c r="H16" s="923">
        <v>2015</v>
      </c>
      <c r="I16" s="923">
        <v>2020</v>
      </c>
      <c r="J16" s="923">
        <v>2025</v>
      </c>
      <c r="K16" s="923">
        <v>2030</v>
      </c>
      <c r="L16" s="923">
        <v>2035</v>
      </c>
      <c r="M16" s="923">
        <v>2040</v>
      </c>
      <c r="N16" s="923">
        <v>2045</v>
      </c>
      <c r="O16" s="923">
        <v>2050</v>
      </c>
      <c r="P16" s="1158"/>
      <c r="Z16" s="2150"/>
      <c r="AA16" s="2150"/>
      <c r="AB16" s="2150"/>
      <c r="AC16" s="2150"/>
      <c r="AD16" s="2150"/>
      <c r="AE16" s="2150"/>
      <c r="AF16" s="2150"/>
      <c r="AG16" s="2150"/>
      <c r="AH16" s="2150"/>
      <c r="AI16" s="2150"/>
      <c r="AJ16" s="2150"/>
      <c r="AK16" s="2150"/>
    </row>
    <row r="17" spans="2:37" ht="15.75" hidden="1" outlineLevel="1">
      <c r="B17" s="1159"/>
      <c r="C17" s="831">
        <v>1</v>
      </c>
      <c r="D17" s="832"/>
      <c r="E17" s="1254" t="s">
        <v>109</v>
      </c>
      <c r="F17" s="1630">
        <v>14104.004213212675</v>
      </c>
      <c r="G17" s="1661">
        <v>14247</v>
      </c>
      <c r="H17" s="1662">
        <v>14113</v>
      </c>
      <c r="I17" s="1662">
        <v>14427</v>
      </c>
      <c r="J17" s="1662">
        <v>14683</v>
      </c>
      <c r="K17" s="1662">
        <v>14862</v>
      </c>
      <c r="L17" s="1662">
        <v>15056</v>
      </c>
      <c r="M17" s="1662">
        <v>15152</v>
      </c>
      <c r="N17" s="1662">
        <v>15254</v>
      </c>
      <c r="O17" s="1662">
        <v>15363</v>
      </c>
      <c r="P17" s="1158"/>
      <c r="S17" s="827"/>
      <c r="T17"/>
      <c r="U17"/>
      <c r="V17"/>
      <c r="W17"/>
      <c r="X17"/>
      <c r="Y17"/>
      <c r="Z17" s="1124"/>
      <c r="AA17" s="1124"/>
      <c r="AB17" s="1124"/>
      <c r="AC17" s="1124"/>
      <c r="AD17" s="1124"/>
      <c r="AE17" s="1124"/>
      <c r="AF17" s="1124"/>
      <c r="AG17" s="1124"/>
      <c r="AH17" s="2151"/>
      <c r="AI17" s="2151"/>
      <c r="AJ17" s="2151"/>
      <c r="AK17" s="2151"/>
    </row>
    <row r="18" spans="2:37" ht="15.75" hidden="1" outlineLevel="1">
      <c r="B18" s="1159"/>
      <c r="C18" s="831">
        <v>2</v>
      </c>
      <c r="D18" s="832"/>
      <c r="E18" s="1254"/>
      <c r="F18" s="1630">
        <v>14104.004213212675</v>
      </c>
      <c r="G18" s="2152">
        <v>14079</v>
      </c>
      <c r="H18" s="2153">
        <v>14018</v>
      </c>
      <c r="I18" s="1662">
        <v>14373</v>
      </c>
      <c r="J18" s="2153">
        <v>14667</v>
      </c>
      <c r="K18" s="1662">
        <v>14792</v>
      </c>
      <c r="L18" s="2153">
        <v>14934</v>
      </c>
      <c r="M18" s="1662">
        <v>14956</v>
      </c>
      <c r="N18" s="1662">
        <v>14984</v>
      </c>
      <c r="O18" s="1662">
        <v>15023</v>
      </c>
      <c r="P18" s="1158"/>
      <c r="S18"/>
      <c r="T18"/>
      <c r="U18"/>
      <c r="V18"/>
      <c r="W18"/>
      <c r="X18"/>
      <c r="Y18"/>
      <c r="Z18" s="2151"/>
      <c r="AA18" s="2151"/>
      <c r="AB18" s="2151"/>
      <c r="AC18" s="2151"/>
      <c r="AD18" s="2151"/>
      <c r="AE18" s="2151"/>
      <c r="AF18" s="2151"/>
      <c r="AG18" s="2151"/>
      <c r="AH18" s="2151"/>
      <c r="AI18" s="2151"/>
      <c r="AJ18" s="2151"/>
      <c r="AK18" s="2151"/>
    </row>
    <row r="19" spans="2:37" ht="15.75" hidden="1" outlineLevel="1">
      <c r="B19" s="1159"/>
      <c r="C19" s="831">
        <v>3</v>
      </c>
      <c r="D19" s="832"/>
      <c r="E19" s="1254"/>
      <c r="F19" s="1630">
        <v>14104.004213212675</v>
      </c>
      <c r="G19" s="2152">
        <v>14079</v>
      </c>
      <c r="H19" s="2153">
        <v>14018</v>
      </c>
      <c r="I19" s="2153">
        <v>14373</v>
      </c>
      <c r="J19" s="2153">
        <v>14667</v>
      </c>
      <c r="K19" s="2153">
        <v>14792</v>
      </c>
      <c r="L19" s="2153">
        <v>14934</v>
      </c>
      <c r="M19" s="2153">
        <v>14956</v>
      </c>
      <c r="N19" s="2153">
        <v>14984</v>
      </c>
      <c r="O19" s="2153">
        <v>15023</v>
      </c>
      <c r="P19" s="1158"/>
      <c r="S19"/>
      <c r="T19"/>
      <c r="U19"/>
      <c r="V19"/>
      <c r="W19"/>
      <c r="X19"/>
      <c r="Y19"/>
      <c r="Z19"/>
      <c r="AA19"/>
    </row>
    <row r="20" spans="2:37" ht="15.75" hidden="1" outlineLevel="1">
      <c r="B20" s="1159"/>
      <c r="C20" s="769">
        <v>4</v>
      </c>
      <c r="D20" s="770"/>
      <c r="E20" s="770"/>
      <c r="F20" s="1631">
        <v>14104.004213212675</v>
      </c>
      <c r="G20" s="2154">
        <v>14077</v>
      </c>
      <c r="H20" s="2155">
        <v>13946</v>
      </c>
      <c r="I20" s="2155">
        <v>14150</v>
      </c>
      <c r="J20" s="2155">
        <v>14300</v>
      </c>
      <c r="K20" s="2155">
        <v>14325</v>
      </c>
      <c r="L20" s="2155">
        <v>14373</v>
      </c>
      <c r="M20" s="2155">
        <v>14331</v>
      </c>
      <c r="N20" s="2155">
        <v>14297</v>
      </c>
      <c r="O20" s="2155">
        <v>14276</v>
      </c>
      <c r="P20" s="1158"/>
      <c r="S20"/>
      <c r="T20"/>
      <c r="U20"/>
      <c r="V20"/>
      <c r="W20"/>
      <c r="X20"/>
      <c r="Y20"/>
      <c r="Z20"/>
      <c r="AA20"/>
    </row>
    <row r="21" spans="2:37" ht="15.75" hidden="1" outlineLevel="1">
      <c r="B21" s="1159"/>
      <c r="C21" s="831"/>
      <c r="D21" s="832"/>
      <c r="E21" s="832"/>
      <c r="F21" s="847"/>
      <c r="G21" s="848"/>
      <c r="H21" s="848"/>
      <c r="I21" s="848"/>
      <c r="J21" s="848"/>
      <c r="K21" s="848"/>
      <c r="L21" s="848"/>
      <c r="M21" s="848"/>
      <c r="N21" s="848"/>
      <c r="O21" s="848"/>
      <c r="P21" s="1158"/>
      <c r="S21"/>
      <c r="T21"/>
      <c r="U21"/>
      <c r="V21"/>
      <c r="W21"/>
      <c r="X21"/>
      <c r="Y21"/>
      <c r="Z21"/>
      <c r="AA21"/>
    </row>
    <row r="22" spans="2:37" ht="15.75" hidden="1" outlineLevel="1">
      <c r="B22" s="1159"/>
      <c r="C22" s="866" t="s">
        <v>1908</v>
      </c>
      <c r="D22" s="864"/>
      <c r="E22" s="867"/>
      <c r="F22" s="864"/>
      <c r="G22" s="1652" t="s">
        <v>1352</v>
      </c>
      <c r="H22" s="864"/>
      <c r="I22" s="864"/>
      <c r="J22" s="867" t="s">
        <v>1418</v>
      </c>
      <c r="K22" s="864"/>
      <c r="L22" s="864"/>
      <c r="M22" s="864"/>
      <c r="N22" s="864"/>
      <c r="O22" s="867"/>
      <c r="P22" s="1158"/>
      <c r="S22"/>
      <c r="T22"/>
      <c r="U22"/>
      <c r="V22"/>
      <c r="W22"/>
      <c r="X22"/>
      <c r="Y22"/>
      <c r="Z22"/>
      <c r="AA22"/>
    </row>
    <row r="23" spans="2:37" ht="5.25" hidden="1" customHeight="1" outlineLevel="1">
      <c r="B23" s="1159"/>
      <c r="C23" s="864"/>
      <c r="D23" s="864"/>
      <c r="E23" s="864"/>
      <c r="F23" s="864"/>
      <c r="G23" s="864"/>
      <c r="H23" s="864"/>
      <c r="I23" s="864"/>
      <c r="J23" s="864"/>
      <c r="K23" s="864"/>
      <c r="L23" s="864"/>
      <c r="M23" s="864"/>
      <c r="N23" s="864"/>
      <c r="O23" s="864"/>
      <c r="P23" s="1158"/>
      <c r="S23"/>
      <c r="T23"/>
      <c r="U23"/>
      <c r="V23"/>
      <c r="W23"/>
      <c r="X23"/>
      <c r="Y23"/>
      <c r="Z23"/>
      <c r="AA23"/>
    </row>
    <row r="24" spans="2:37" ht="15.75" hidden="1" outlineLevel="1">
      <c r="B24" s="1159"/>
      <c r="C24" s="771" t="s">
        <v>83</v>
      </c>
      <c r="D24" s="766" t="s">
        <v>1349</v>
      </c>
      <c r="E24" s="766" t="s">
        <v>442</v>
      </c>
      <c r="F24" s="923">
        <v>2007</v>
      </c>
      <c r="G24" s="924">
        <v>1</v>
      </c>
      <c r="H24" s="923">
        <v>2</v>
      </c>
      <c r="I24" s="923">
        <v>3</v>
      </c>
      <c r="J24" s="923">
        <v>4</v>
      </c>
      <c r="K24" s="1293"/>
      <c r="L24" s="1293"/>
      <c r="M24" s="1293"/>
      <c r="N24" s="1293"/>
      <c r="O24" s="1293"/>
      <c r="P24" s="1158"/>
    </row>
    <row r="25" spans="2:37" ht="15.75" hidden="1" outlineLevel="1">
      <c r="B25" s="1159"/>
      <c r="C25" s="946" t="s">
        <v>1412</v>
      </c>
      <c r="D25" s="832" t="s">
        <v>1413</v>
      </c>
      <c r="E25" s="1254" t="s">
        <v>117</v>
      </c>
      <c r="F25" s="1626">
        <v>2.1680038900835603E-2</v>
      </c>
      <c r="G25" s="1657">
        <v>2.1999999999999999E-2</v>
      </c>
      <c r="H25" s="1658">
        <v>2.1999999999999999E-2</v>
      </c>
      <c r="I25" s="1658">
        <v>2.1999999999999999E-2</v>
      </c>
      <c r="J25" s="1658">
        <v>2.1999999999999999E-2</v>
      </c>
      <c r="K25" s="865"/>
      <c r="L25" s="865"/>
      <c r="M25" s="865"/>
      <c r="N25" s="865"/>
      <c r="O25" s="865"/>
      <c r="P25" s="1158"/>
      <c r="S25" s="827"/>
    </row>
    <row r="26" spans="2:37" ht="15.75" hidden="1" outlineLevel="1">
      <c r="B26" s="1159"/>
      <c r="C26" s="946" t="s">
        <v>1367</v>
      </c>
      <c r="D26" s="832" t="s">
        <v>1360</v>
      </c>
      <c r="E26" s="1254"/>
      <c r="F26" s="1626">
        <v>5.084268859379436E-3</v>
      </c>
      <c r="G26" s="1675">
        <v>7.0000000000000001E-3</v>
      </c>
      <c r="H26" s="1676">
        <v>8.9999999999999993E-3</v>
      </c>
      <c r="I26" s="1658">
        <v>0.01</v>
      </c>
      <c r="J26" s="1676">
        <v>4.7E-2</v>
      </c>
      <c r="K26" s="865"/>
      <c r="L26" s="875"/>
      <c r="M26" s="865"/>
      <c r="N26" s="865"/>
      <c r="O26" s="865"/>
      <c r="P26" s="1158"/>
      <c r="R26" s="1456"/>
      <c r="S26" s="1456"/>
      <c r="T26" s="1456"/>
      <c r="U26" s="1456"/>
    </row>
    <row r="27" spans="2:37" ht="15.75" hidden="1" outlineLevel="1">
      <c r="B27" s="1159"/>
      <c r="C27" s="946" t="s">
        <v>1365</v>
      </c>
      <c r="D27" s="832" t="s">
        <v>1414</v>
      </c>
      <c r="E27" s="1254"/>
      <c r="F27" s="1653">
        <v>0.83210317944207202</v>
      </c>
      <c r="G27" s="2156">
        <v>0.82299999999999995</v>
      </c>
      <c r="H27" s="2157">
        <v>0.80300000000000005</v>
      </c>
      <c r="I27" s="2157">
        <v>0.73599999999999999</v>
      </c>
      <c r="J27" s="2157">
        <v>0.624</v>
      </c>
      <c r="K27" s="875"/>
      <c r="L27" s="875"/>
      <c r="M27" s="875"/>
      <c r="N27" s="875"/>
      <c r="O27" s="875"/>
      <c r="P27" s="1158"/>
      <c r="R27" s="1456"/>
      <c r="S27" s="1456"/>
      <c r="T27" s="1456"/>
      <c r="U27" s="1456"/>
    </row>
    <row r="28" spans="2:37" ht="15.75" hidden="1" outlineLevel="1">
      <c r="B28" s="1159"/>
      <c r="C28" s="946" t="s">
        <v>1366</v>
      </c>
      <c r="D28" s="832" t="s">
        <v>1415</v>
      </c>
      <c r="E28" s="1254"/>
      <c r="F28" s="1626">
        <v>5.9627670922358024E-2</v>
      </c>
      <c r="G28" s="1675">
        <v>7.1999999999999995E-2</v>
      </c>
      <c r="H28" s="1676">
        <v>8.7999999999999995E-2</v>
      </c>
      <c r="I28" s="1676">
        <v>0.13200000000000001</v>
      </c>
      <c r="J28" s="1676">
        <v>0.187</v>
      </c>
      <c r="K28" s="875"/>
      <c r="L28" s="875"/>
      <c r="M28" s="875"/>
      <c r="N28" s="875"/>
      <c r="O28" s="875"/>
      <c r="P28" s="1158"/>
      <c r="R28" s="1456"/>
      <c r="S28" s="1456"/>
      <c r="T28" s="1456"/>
      <c r="U28" s="1456"/>
    </row>
    <row r="29" spans="2:37" ht="15.75" hidden="1" outlineLevel="1">
      <c r="B29" s="1159"/>
      <c r="C29" s="946" t="s">
        <v>1368</v>
      </c>
      <c r="D29" s="832" t="s">
        <v>1416</v>
      </c>
      <c r="E29" s="1254"/>
      <c r="F29" s="1626">
        <v>7.0097236274669239E-2</v>
      </c>
      <c r="G29" s="1675">
        <v>5.5E-2</v>
      </c>
      <c r="H29" s="1676">
        <v>5.7000000000000002E-2</v>
      </c>
      <c r="I29" s="1676">
        <v>7.9000000000000001E-2</v>
      </c>
      <c r="J29" s="1676">
        <v>9.8000000000000004E-2</v>
      </c>
      <c r="K29" s="875"/>
      <c r="L29" s="875"/>
      <c r="M29" s="875"/>
      <c r="N29" s="875"/>
      <c r="O29" s="875"/>
      <c r="P29" s="1158"/>
      <c r="R29" s="1456"/>
      <c r="S29" s="1456"/>
      <c r="T29" s="1456"/>
      <c r="U29" s="1456"/>
    </row>
    <row r="30" spans="2:37" ht="15.75" hidden="1" outlineLevel="1">
      <c r="B30" s="1159"/>
      <c r="C30" s="1616" t="s">
        <v>1369</v>
      </c>
      <c r="D30" s="770" t="s">
        <v>1417</v>
      </c>
      <c r="E30" s="770"/>
      <c r="F30" s="1632">
        <v>1.1407605600685865E-2</v>
      </c>
      <c r="G30" s="1677">
        <v>2.1000000000000001E-2</v>
      </c>
      <c r="H30" s="1678">
        <v>2.1000000000000001E-2</v>
      </c>
      <c r="I30" s="1678">
        <v>2.1000000000000001E-2</v>
      </c>
      <c r="J30" s="1678">
        <v>2.1000000000000001E-2</v>
      </c>
      <c r="K30" s="875"/>
      <c r="L30" s="875"/>
      <c r="M30" s="875"/>
      <c r="N30" s="875"/>
      <c r="O30" s="875"/>
      <c r="P30" s="1158"/>
    </row>
    <row r="31" spans="2:37" hidden="1" outlineLevel="1">
      <c r="B31" s="1163"/>
      <c r="C31" s="831"/>
      <c r="D31" s="1085" t="s">
        <v>148</v>
      </c>
      <c r="E31" s="832"/>
      <c r="F31" s="1614">
        <f>SUM(F25:F30)</f>
        <v>1</v>
      </c>
      <c r="G31" s="1615">
        <f>SUM(G25:G30)</f>
        <v>1</v>
      </c>
      <c r="H31" s="1615">
        <f>SUM(H25:H30)</f>
        <v>1</v>
      </c>
      <c r="I31" s="1615">
        <f>SUM(I25:I30)</f>
        <v>1</v>
      </c>
      <c r="J31" s="1615">
        <f>SUM(J25:J30)</f>
        <v>0.99900000000000011</v>
      </c>
      <c r="K31" s="934"/>
      <c r="L31" s="934"/>
      <c r="M31" s="934"/>
      <c r="N31" s="934"/>
      <c r="O31" s="934"/>
      <c r="P31" s="1158"/>
    </row>
    <row r="32" spans="2:37" hidden="1" outlineLevel="1">
      <c r="B32" s="1163"/>
      <c r="C32" s="831"/>
      <c r="D32" s="832"/>
      <c r="E32" s="832"/>
      <c r="F32" s="933"/>
      <c r="G32" s="934"/>
      <c r="H32" s="934"/>
      <c r="I32" s="934"/>
      <c r="J32" s="934"/>
      <c r="K32" s="934"/>
      <c r="L32" s="934"/>
      <c r="M32" s="934"/>
      <c r="N32" s="934"/>
      <c r="O32" s="934"/>
      <c r="P32" s="1158"/>
    </row>
    <row r="33" spans="2:26" s="715" customFormat="1" ht="15.75" hidden="1" outlineLevel="1">
      <c r="B33" s="1617"/>
      <c r="C33" s="866" t="s">
        <v>1909</v>
      </c>
      <c r="D33" s="864"/>
      <c r="E33" s="867"/>
      <c r="F33" s="864"/>
      <c r="G33" s="1660" t="s">
        <v>1352</v>
      </c>
      <c r="H33" s="1615"/>
      <c r="I33" s="1615"/>
      <c r="J33" s="875" t="s">
        <v>1904</v>
      </c>
      <c r="K33" s="934"/>
      <c r="L33" s="934"/>
      <c r="M33" s="934"/>
      <c r="N33" s="934"/>
      <c r="O33" s="934"/>
      <c r="P33" s="1229"/>
    </row>
    <row r="34" spans="2:26" s="715" customFormat="1" ht="5.25" hidden="1" customHeight="1" outlineLevel="1">
      <c r="B34" s="1617"/>
      <c r="C34" s="864"/>
      <c r="D34" s="864"/>
      <c r="E34" s="864"/>
      <c r="F34" s="864"/>
      <c r="G34" s="1615"/>
      <c r="H34" s="1615"/>
      <c r="I34" s="1615"/>
      <c r="J34" s="1615"/>
      <c r="K34" s="934"/>
      <c r="L34" s="934"/>
      <c r="M34" s="934"/>
      <c r="N34" s="934"/>
      <c r="O34" s="934"/>
      <c r="P34" s="1229"/>
    </row>
    <row r="35" spans="2:26" s="715" customFormat="1" ht="15.75" hidden="1" outlineLevel="1">
      <c r="B35" s="1617"/>
      <c r="C35" s="771" t="s">
        <v>83</v>
      </c>
      <c r="D35" s="766" t="s">
        <v>1349</v>
      </c>
      <c r="E35" s="766" t="s">
        <v>442</v>
      </c>
      <c r="F35" s="923">
        <v>2007</v>
      </c>
      <c r="G35" s="924">
        <v>1</v>
      </c>
      <c r="H35" s="923">
        <v>2</v>
      </c>
      <c r="I35" s="923">
        <v>3</v>
      </c>
      <c r="J35" s="923">
        <v>4</v>
      </c>
      <c r="K35" s="934"/>
      <c r="L35" s="934"/>
      <c r="M35" s="934"/>
      <c r="N35" s="934"/>
      <c r="O35" s="934"/>
      <c r="P35" s="1229"/>
      <c r="R35"/>
      <c r="S35"/>
      <c r="T35"/>
      <c r="U35"/>
      <c r="V35"/>
      <c r="W35"/>
      <c r="X35"/>
      <c r="Y35"/>
      <c r="Z35"/>
    </row>
    <row r="36" spans="2:26" s="715" customFormat="1" ht="15.75" hidden="1" outlineLevel="1">
      <c r="B36" s="1617"/>
      <c r="C36" s="946" t="s">
        <v>1365</v>
      </c>
      <c r="D36" s="832" t="s">
        <v>1414</v>
      </c>
      <c r="E36" s="1254"/>
      <c r="F36" s="2166">
        <v>1.4535833325868115</v>
      </c>
      <c r="G36" s="1683">
        <f>$F36</f>
        <v>1.4535833325868115</v>
      </c>
      <c r="H36" s="1680">
        <f>$F36</f>
        <v>1.4535833325868115</v>
      </c>
      <c r="I36" s="1680">
        <f>$F36*1.04</f>
        <v>1.5117266658902839</v>
      </c>
      <c r="J36" s="1680">
        <f>$F36*1.06</f>
        <v>1.5407983325420203</v>
      </c>
      <c r="K36" s="934"/>
      <c r="L36" s="934"/>
      <c r="M36" s="934"/>
      <c r="N36" s="934"/>
      <c r="O36" s="934"/>
      <c r="P36" s="1229"/>
      <c r="R36"/>
      <c r="S36"/>
      <c r="T36"/>
      <c r="U36"/>
      <c r="V36"/>
      <c r="W36"/>
      <c r="X36"/>
      <c r="Y36"/>
      <c r="Z36"/>
    </row>
    <row r="37" spans="2:26" s="715" customFormat="1" ht="15.75" hidden="1" outlineLevel="1">
      <c r="B37" s="1617"/>
      <c r="C37" s="946" t="s">
        <v>1366</v>
      </c>
      <c r="D37" s="832" t="s">
        <v>1415</v>
      </c>
      <c r="E37" s="1254"/>
      <c r="F37" s="2166">
        <v>9.0545454545454547</v>
      </c>
      <c r="G37" s="2170">
        <f>$F37</f>
        <v>9.0545454545454547</v>
      </c>
      <c r="H37" s="1835">
        <v>12</v>
      </c>
      <c r="I37" s="540">
        <v>18</v>
      </c>
      <c r="J37" s="1835">
        <v>18</v>
      </c>
      <c r="K37" s="934"/>
      <c r="L37" s="934"/>
      <c r="M37" s="934"/>
      <c r="N37" s="934"/>
      <c r="O37" s="934"/>
      <c r="P37" s="1229"/>
      <c r="R37"/>
      <c r="S37"/>
      <c r="T37"/>
      <c r="U37"/>
      <c r="V37"/>
      <c r="W37"/>
      <c r="X37"/>
      <c r="Y37"/>
      <c r="Z37"/>
    </row>
    <row r="38" spans="2:26" s="715" customFormat="1" ht="15.75" hidden="1" outlineLevel="1">
      <c r="B38" s="1617"/>
      <c r="C38" s="946" t="s">
        <v>1368</v>
      </c>
      <c r="D38" s="832" t="s">
        <v>1416</v>
      </c>
      <c r="E38" s="1254" t="s">
        <v>1902</v>
      </c>
      <c r="F38" s="2169">
        <v>0.32418351096303916</v>
      </c>
      <c r="G38" s="2172">
        <v>0.36811506356713858</v>
      </c>
      <c r="H38" s="2173">
        <v>0.36811506356713858</v>
      </c>
      <c r="I38" s="2173">
        <v>0.40588480110308967</v>
      </c>
      <c r="J38" s="2173">
        <v>0.42190146532760275</v>
      </c>
      <c r="K38" s="934"/>
      <c r="L38" s="934"/>
      <c r="M38" s="934"/>
      <c r="N38" s="934"/>
      <c r="O38" s="934"/>
      <c r="P38" s="1229"/>
      <c r="R38"/>
      <c r="S38"/>
      <c r="T38"/>
      <c r="U38"/>
      <c r="V38"/>
      <c r="W38"/>
      <c r="X38"/>
      <c r="Y38"/>
      <c r="Z38"/>
    </row>
    <row r="39" spans="2:26" s="715" customFormat="1" ht="15.75" hidden="1" outlineLevel="1">
      <c r="B39" s="1617"/>
      <c r="C39" s="1616" t="s">
        <v>1369</v>
      </c>
      <c r="D39" s="770" t="s">
        <v>1417</v>
      </c>
      <c r="E39" s="770" t="s">
        <v>1902</v>
      </c>
      <c r="F39" s="2210">
        <f>0.651</f>
        <v>0.65100000000000002</v>
      </c>
      <c r="G39" s="2211">
        <f>$F39</f>
        <v>0.65100000000000002</v>
      </c>
      <c r="H39" s="2212">
        <f>G39</f>
        <v>0.65100000000000002</v>
      </c>
      <c r="I39" s="2212">
        <f>H39</f>
        <v>0.65100000000000002</v>
      </c>
      <c r="J39" s="2212">
        <f>I39</f>
        <v>0.65100000000000002</v>
      </c>
      <c r="K39" s="934"/>
      <c r="L39" s="934"/>
      <c r="M39" s="934"/>
      <c r="N39" s="934"/>
      <c r="O39" s="934"/>
      <c r="P39" s="1229"/>
      <c r="R39"/>
      <c r="S39"/>
      <c r="T39"/>
      <c r="U39"/>
    </row>
    <row r="40" spans="2:26" s="715" customFormat="1" ht="16.5" hidden="1" outlineLevel="1" thickBot="1">
      <c r="B40" s="1617"/>
      <c r="C40" s="831"/>
      <c r="D40" s="1085"/>
      <c r="E40" s="832"/>
      <c r="F40" s="1614"/>
      <c r="G40" s="1615"/>
      <c r="H40" s="1615"/>
      <c r="I40" s="1615"/>
      <c r="J40" s="1615"/>
      <c r="K40" s="934"/>
      <c r="L40" s="934"/>
      <c r="M40" s="934"/>
      <c r="N40" s="934"/>
      <c r="O40" s="934"/>
      <c r="P40" s="1229"/>
      <c r="R40"/>
      <c r="S40"/>
      <c r="T40"/>
      <c r="U40"/>
    </row>
    <row r="41" spans="2:26" s="715" customFormat="1" ht="15.75" hidden="1" outlineLevel="1">
      <c r="B41" s="2181"/>
      <c r="C41" s="2182"/>
      <c r="D41" s="2183"/>
      <c r="E41" s="2184"/>
      <c r="F41" s="2185"/>
      <c r="G41" s="2186"/>
      <c r="H41" s="2186"/>
      <c r="I41" s="2186"/>
      <c r="J41" s="2186"/>
      <c r="K41" s="2187"/>
      <c r="L41" s="2187"/>
      <c r="M41" s="2187"/>
      <c r="N41" s="2187"/>
      <c r="O41" s="2187"/>
      <c r="P41" s="2188"/>
      <c r="R41"/>
      <c r="S41"/>
      <c r="T41"/>
      <c r="U41"/>
    </row>
    <row r="42" spans="2:26" s="715" customFormat="1" ht="15.75" hidden="1" outlineLevel="1">
      <c r="B42" s="1617"/>
      <c r="C42" s="869" t="s">
        <v>1911</v>
      </c>
      <c r="D42" s="1085"/>
      <c r="E42" s="832"/>
      <c r="F42" s="1614"/>
      <c r="G42" s="1615"/>
      <c r="H42" s="1615"/>
      <c r="I42" s="1615"/>
      <c r="J42" s="1615"/>
      <c r="K42" s="934"/>
      <c r="L42" s="934"/>
      <c r="M42" s="934"/>
      <c r="N42" s="934"/>
      <c r="O42" s="934"/>
      <c r="P42" s="1229"/>
      <c r="R42" s="2400"/>
      <c r="S42"/>
      <c r="T42"/>
      <c r="U42"/>
    </row>
    <row r="43" spans="2:26" s="715" customFormat="1" ht="15.75" hidden="1" outlineLevel="1">
      <c r="B43" s="1617"/>
      <c r="C43" s="831"/>
      <c r="D43" s="1085"/>
      <c r="E43" s="832"/>
      <c r="F43" s="1614"/>
      <c r="G43" s="1615"/>
      <c r="H43" s="1615"/>
      <c r="I43" s="1615"/>
      <c r="J43" s="1615"/>
      <c r="K43" s="934"/>
      <c r="L43" s="934"/>
      <c r="M43" s="934"/>
      <c r="N43" s="934"/>
      <c r="O43" s="934"/>
      <c r="P43" s="1229"/>
    </row>
    <row r="44" spans="2:26" s="715" customFormat="1" ht="15.75" hidden="1" outlineLevel="1">
      <c r="B44" s="1617"/>
      <c r="C44" s="869" t="s">
        <v>1912</v>
      </c>
      <c r="D44" s="1085"/>
      <c r="E44" s="832"/>
      <c r="F44" s="1614"/>
      <c r="G44" s="1615"/>
      <c r="H44" s="1615"/>
      <c r="I44" s="1615"/>
      <c r="J44" s="1615"/>
      <c r="K44" s="934"/>
      <c r="L44" s="934"/>
      <c r="M44" s="934"/>
      <c r="N44" s="934"/>
      <c r="O44" s="934" t="s">
        <v>1429</v>
      </c>
      <c r="P44" s="1229"/>
    </row>
    <row r="45" spans="2:26" s="715" customFormat="1" ht="5.25" hidden="1" customHeight="1" outlineLevel="1">
      <c r="B45" s="1617"/>
      <c r="C45" s="1619"/>
      <c r="D45" s="832"/>
      <c r="E45" s="1254"/>
      <c r="F45" s="1614"/>
      <c r="G45" s="1615"/>
      <c r="H45" s="1615"/>
      <c r="I45" s="1615"/>
      <c r="J45" s="1615"/>
      <c r="K45" s="934"/>
      <c r="L45" s="934"/>
      <c r="M45" s="934"/>
      <c r="N45" s="934"/>
      <c r="O45" s="934"/>
      <c r="P45" s="1229"/>
    </row>
    <row r="46" spans="2:26" s="715" customFormat="1" ht="15.75" hidden="1" outlineLevel="1">
      <c r="B46" s="1617"/>
      <c r="C46" s="766" t="s">
        <v>1349</v>
      </c>
      <c r="D46" s="766" t="s">
        <v>831</v>
      </c>
      <c r="E46" s="766" t="s">
        <v>442</v>
      </c>
      <c r="F46" s="923">
        <v>2007</v>
      </c>
      <c r="G46" s="924">
        <v>2010</v>
      </c>
      <c r="H46" s="923">
        <v>2015</v>
      </c>
      <c r="I46" s="923">
        <v>2020</v>
      </c>
      <c r="J46" s="923">
        <v>2025</v>
      </c>
      <c r="K46" s="923">
        <v>2030</v>
      </c>
      <c r="L46" s="923">
        <v>2035</v>
      </c>
      <c r="M46" s="923">
        <v>2040</v>
      </c>
      <c r="N46" s="923">
        <v>2045</v>
      </c>
      <c r="O46" s="923">
        <v>2050</v>
      </c>
      <c r="P46" s="1229"/>
    </row>
    <row r="47" spans="2:26" s="715" customFormat="1" ht="15.75" hidden="1" outlineLevel="1">
      <c r="B47" s="1617"/>
      <c r="C47" s="833" t="s">
        <v>1365</v>
      </c>
      <c r="D47" s="833" t="s">
        <v>1370</v>
      </c>
      <c r="E47" s="1649"/>
      <c r="F47" s="1663">
        <v>1</v>
      </c>
      <c r="G47" s="1667">
        <v>1</v>
      </c>
      <c r="H47" s="1663">
        <v>0.996</v>
      </c>
      <c r="I47" s="1663">
        <v>0.99199999999999999</v>
      </c>
      <c r="J47" s="1663">
        <v>0.95599999999999996</v>
      </c>
      <c r="K47" s="1664">
        <v>0.92</v>
      </c>
      <c r="L47" s="1663">
        <v>0.88</v>
      </c>
      <c r="M47" s="1663">
        <v>0.84</v>
      </c>
      <c r="N47" s="1663">
        <v>0.8075</v>
      </c>
      <c r="O47" s="1663">
        <v>0.77500000000000002</v>
      </c>
      <c r="P47" s="1229"/>
    </row>
    <row r="48" spans="2:26" s="715" customFormat="1" ht="15.75" hidden="1" outlineLevel="1">
      <c r="B48" s="1617"/>
      <c r="C48" s="832" t="s">
        <v>1365</v>
      </c>
      <c r="D48" s="832" t="s">
        <v>1896</v>
      </c>
      <c r="E48" s="1254"/>
      <c r="F48" s="1664">
        <v>0</v>
      </c>
      <c r="G48" s="1668">
        <v>0</v>
      </c>
      <c r="H48" s="1664">
        <v>3.5000000000000001E-3</v>
      </c>
      <c r="I48" s="1664">
        <v>7.0000000000000001E-3</v>
      </c>
      <c r="J48" s="1664">
        <v>3.8500000000000006E-2</v>
      </c>
      <c r="K48" s="1664">
        <v>7.0000000000000007E-2</v>
      </c>
      <c r="L48" s="1664">
        <v>0.10500000000000001</v>
      </c>
      <c r="M48" s="1664">
        <v>0.14000000000000001</v>
      </c>
      <c r="N48" s="1664">
        <v>0.17</v>
      </c>
      <c r="O48" s="1664">
        <v>0.2</v>
      </c>
      <c r="P48" s="1229"/>
    </row>
    <row r="49" spans="2:16" s="715" customFormat="1" ht="15.75" hidden="1" outlineLevel="1">
      <c r="B49" s="1617"/>
      <c r="C49" s="832" t="s">
        <v>1365</v>
      </c>
      <c r="D49" s="832" t="s">
        <v>1371</v>
      </c>
      <c r="E49" s="1254"/>
      <c r="F49" s="1664">
        <v>0</v>
      </c>
      <c r="G49" s="1668">
        <v>0</v>
      </c>
      <c r="H49" s="1664">
        <v>5.0000000000000001E-4</v>
      </c>
      <c r="I49" s="1664">
        <v>1E-3</v>
      </c>
      <c r="J49" s="1664">
        <v>5.4999999999999997E-3</v>
      </c>
      <c r="K49" s="1664">
        <v>0.01</v>
      </c>
      <c r="L49" s="1664">
        <v>1.4999999999999999E-2</v>
      </c>
      <c r="M49" s="1664">
        <v>0.02</v>
      </c>
      <c r="N49" s="1664">
        <v>2.2499999999999999E-2</v>
      </c>
      <c r="O49" s="1664">
        <v>2.5000000000000001E-2</v>
      </c>
      <c r="P49" s="1229"/>
    </row>
    <row r="50" spans="2:16" s="715" customFormat="1" ht="15.75" hidden="1" outlineLevel="1">
      <c r="B50" s="1617"/>
      <c r="C50" s="1650" t="s">
        <v>1365</v>
      </c>
      <c r="D50" s="1650" t="s">
        <v>1372</v>
      </c>
      <c r="E50" s="1651"/>
      <c r="F50" s="1665">
        <v>0</v>
      </c>
      <c r="G50" s="1669">
        <v>0</v>
      </c>
      <c r="H50" s="1665">
        <v>0</v>
      </c>
      <c r="I50" s="1665">
        <v>0</v>
      </c>
      <c r="J50" s="1665">
        <v>0</v>
      </c>
      <c r="K50" s="1665">
        <v>0</v>
      </c>
      <c r="L50" s="1665">
        <v>0</v>
      </c>
      <c r="M50" s="1665">
        <v>0</v>
      </c>
      <c r="N50" s="1665">
        <v>0</v>
      </c>
      <c r="O50" s="1665">
        <v>0</v>
      </c>
      <c r="P50" s="1229"/>
    </row>
    <row r="51" spans="2:16" s="715" customFormat="1" ht="15.75" hidden="1" outlineLevel="1">
      <c r="B51" s="1617"/>
      <c r="C51" s="833" t="s">
        <v>1366</v>
      </c>
      <c r="D51" s="833" t="s">
        <v>1370</v>
      </c>
      <c r="E51" s="1649"/>
      <c r="F51" s="1663">
        <v>1</v>
      </c>
      <c r="G51" s="1667">
        <v>0.98699999999999999</v>
      </c>
      <c r="H51" s="1663">
        <v>0.93900000000000006</v>
      </c>
      <c r="I51" s="1663">
        <v>0.89100000000000001</v>
      </c>
      <c r="J51" s="1664">
        <v>0.84250000000000003</v>
      </c>
      <c r="K51" s="1664">
        <v>0.79400000000000004</v>
      </c>
      <c r="L51" s="1663">
        <v>0.746</v>
      </c>
      <c r="M51" s="1663">
        <v>0.69799999999999995</v>
      </c>
      <c r="N51" s="1663">
        <v>0.64949999999999997</v>
      </c>
      <c r="O51" s="1663">
        <v>0.60099999999999998</v>
      </c>
      <c r="P51" s="1229"/>
    </row>
    <row r="52" spans="2:16" s="715" customFormat="1" ht="15.75" hidden="1" outlineLevel="1">
      <c r="B52" s="1617"/>
      <c r="C52" s="832" t="s">
        <v>1366</v>
      </c>
      <c r="D52" s="832" t="s">
        <v>1897</v>
      </c>
      <c r="E52" s="1254"/>
      <c r="F52" s="1664">
        <v>0</v>
      </c>
      <c r="G52" s="1668">
        <v>1.0999999999999999E-2</v>
      </c>
      <c r="H52" s="1664">
        <v>5.9499999999999997E-2</v>
      </c>
      <c r="I52" s="1664">
        <v>0.108</v>
      </c>
      <c r="J52" s="1664">
        <v>0.156</v>
      </c>
      <c r="K52" s="1664">
        <v>0.20399999999999999</v>
      </c>
      <c r="L52" s="1664">
        <v>0.2525</v>
      </c>
      <c r="M52" s="1664">
        <v>0.30099999999999999</v>
      </c>
      <c r="N52" s="1664">
        <v>0.34899999999999998</v>
      </c>
      <c r="O52" s="1664">
        <v>0.39700000000000002</v>
      </c>
      <c r="P52" s="1229"/>
    </row>
    <row r="53" spans="2:16" s="715" customFormat="1" ht="15.75" hidden="1" outlineLevel="1">
      <c r="B53" s="1617"/>
      <c r="C53" s="1650" t="s">
        <v>1366</v>
      </c>
      <c r="D53" s="1650" t="s">
        <v>1371</v>
      </c>
      <c r="E53" s="1651"/>
      <c r="F53" s="1665">
        <v>0</v>
      </c>
      <c r="G53" s="1669">
        <v>0</v>
      </c>
      <c r="H53" s="1665">
        <v>1E-3</v>
      </c>
      <c r="I53" s="1665">
        <v>2E-3</v>
      </c>
      <c r="J53" s="1664">
        <v>2E-3</v>
      </c>
      <c r="K53" s="1664">
        <v>2E-3</v>
      </c>
      <c r="L53" s="1664">
        <v>2E-3</v>
      </c>
      <c r="M53" s="1665">
        <v>2E-3</v>
      </c>
      <c r="N53" s="1665">
        <v>2E-3</v>
      </c>
      <c r="O53" s="1665">
        <v>2E-3</v>
      </c>
      <c r="P53" s="1229"/>
    </row>
    <row r="54" spans="2:16" s="715" customFormat="1" ht="15.75" hidden="1" outlineLevel="1">
      <c r="B54" s="1617"/>
      <c r="C54" s="833" t="s">
        <v>1368</v>
      </c>
      <c r="D54" s="833" t="s">
        <v>1419</v>
      </c>
      <c r="E54" s="1649"/>
      <c r="F54" s="1663">
        <f>1-F55</f>
        <v>0.35</v>
      </c>
      <c r="G54" s="1667">
        <f>1-G55</f>
        <v>0.363354413782636</v>
      </c>
      <c r="H54" s="1663">
        <f t="shared" ref="H54:O54" si="0">1-H55</f>
        <v>0.363354413782636</v>
      </c>
      <c r="I54" s="1663">
        <f t="shared" si="0"/>
        <v>0.363354413782636</v>
      </c>
      <c r="J54" s="1663">
        <f t="shared" si="0"/>
        <v>0.363354413782636</v>
      </c>
      <c r="K54" s="1663">
        <f t="shared" si="0"/>
        <v>0.363354413782636</v>
      </c>
      <c r="L54" s="1663">
        <f t="shared" si="0"/>
        <v>0.363354413782636</v>
      </c>
      <c r="M54" s="1663">
        <f t="shared" si="0"/>
        <v>0.363354413782636</v>
      </c>
      <c r="N54" s="1663">
        <f t="shared" si="0"/>
        <v>0.363354413782636</v>
      </c>
      <c r="O54" s="1663">
        <f t="shared" si="0"/>
        <v>0.363354413782636</v>
      </c>
      <c r="P54" s="1229"/>
    </row>
    <row r="55" spans="2:16" s="715" customFormat="1" ht="15.75" hidden="1" outlineLevel="1">
      <c r="B55" s="1617"/>
      <c r="C55" s="1650" t="s">
        <v>1368</v>
      </c>
      <c r="D55" s="1650" t="s">
        <v>1420</v>
      </c>
      <c r="E55" s="1651"/>
      <c r="F55" s="1665">
        <v>0.65</v>
      </c>
      <c r="G55" s="1669">
        <v>0.636645586217364</v>
      </c>
      <c r="H55" s="1665">
        <v>0.636645586217364</v>
      </c>
      <c r="I55" s="1665">
        <v>0.636645586217364</v>
      </c>
      <c r="J55" s="1665">
        <v>0.636645586217364</v>
      </c>
      <c r="K55" s="1665">
        <v>0.636645586217364</v>
      </c>
      <c r="L55" s="1665">
        <v>0.636645586217364</v>
      </c>
      <c r="M55" s="1665">
        <v>0.636645586217364</v>
      </c>
      <c r="N55" s="1665">
        <v>0.636645586217364</v>
      </c>
      <c r="O55" s="1665">
        <v>0.636645586217364</v>
      </c>
      <c r="P55" s="1229"/>
    </row>
    <row r="56" spans="2:16" s="715" customFormat="1" ht="15.75" hidden="1" outlineLevel="1">
      <c r="B56" s="1617"/>
      <c r="C56" s="792" t="s">
        <v>1369</v>
      </c>
      <c r="D56" s="792" t="s">
        <v>1369</v>
      </c>
      <c r="E56" s="937"/>
      <c r="F56" s="1666">
        <v>1</v>
      </c>
      <c r="G56" s="1670">
        <f>$F56</f>
        <v>1</v>
      </c>
      <c r="H56" s="1666">
        <f t="shared" ref="H56:O56" si="1">$F56</f>
        <v>1</v>
      </c>
      <c r="I56" s="1666">
        <f t="shared" si="1"/>
        <v>1</v>
      </c>
      <c r="J56" s="1666">
        <f t="shared" si="1"/>
        <v>1</v>
      </c>
      <c r="K56" s="1666">
        <f t="shared" si="1"/>
        <v>1</v>
      </c>
      <c r="L56" s="1666">
        <f t="shared" si="1"/>
        <v>1</v>
      </c>
      <c r="M56" s="1666">
        <f t="shared" si="1"/>
        <v>1</v>
      </c>
      <c r="N56" s="1666">
        <f t="shared" si="1"/>
        <v>1</v>
      </c>
      <c r="O56" s="1666">
        <f t="shared" si="1"/>
        <v>1</v>
      </c>
      <c r="P56" s="1229"/>
    </row>
    <row r="57" spans="2:16" s="715" customFormat="1" ht="15.75" hidden="1" outlineLevel="1">
      <c r="B57" s="1617"/>
      <c r="C57" s="831"/>
      <c r="D57" s="1085"/>
      <c r="E57" s="832"/>
      <c r="F57" s="1614"/>
      <c r="G57" s="1615"/>
      <c r="H57" s="1615"/>
      <c r="I57" s="1615"/>
      <c r="J57" s="1615"/>
      <c r="K57" s="934"/>
      <c r="L57" s="934"/>
      <c r="M57" s="934"/>
      <c r="N57" s="934"/>
      <c r="O57" s="934"/>
      <c r="P57" s="1229"/>
    </row>
    <row r="58" spans="2:16" s="715" customFormat="1" ht="15.75" hidden="1" outlineLevel="1">
      <c r="B58" s="1617"/>
      <c r="C58" s="869" t="s">
        <v>1913</v>
      </c>
      <c r="D58" s="1085"/>
      <c r="E58" s="832"/>
      <c r="F58" s="1614"/>
      <c r="G58" s="1615"/>
      <c r="H58" s="1615"/>
      <c r="I58" s="1615"/>
      <c r="J58" s="1615"/>
      <c r="K58" s="934"/>
      <c r="L58" s="934"/>
      <c r="M58" s="934"/>
      <c r="N58" s="934"/>
      <c r="O58" s="934" t="s">
        <v>1429</v>
      </c>
      <c r="P58" s="1229"/>
    </row>
    <row r="59" spans="2:16" s="715" customFormat="1" ht="5.25" hidden="1" customHeight="1" outlineLevel="1">
      <c r="B59" s="1617"/>
      <c r="C59" s="1619"/>
      <c r="D59" s="832"/>
      <c r="E59" s="1254"/>
      <c r="F59" s="1614"/>
      <c r="G59" s="1615"/>
      <c r="H59" s="1615"/>
      <c r="I59" s="1615"/>
      <c r="J59" s="1615"/>
      <c r="K59" s="934"/>
      <c r="L59" s="934"/>
      <c r="M59" s="934"/>
      <c r="N59" s="934"/>
      <c r="O59" s="934"/>
      <c r="P59" s="1229"/>
    </row>
    <row r="60" spans="2:16" s="715" customFormat="1" ht="15.75" hidden="1" outlineLevel="1">
      <c r="B60" s="1617"/>
      <c r="C60" s="766" t="s">
        <v>1349</v>
      </c>
      <c r="D60" s="766" t="s">
        <v>831</v>
      </c>
      <c r="E60" s="766" t="s">
        <v>442</v>
      </c>
      <c r="F60" s="923">
        <v>2007</v>
      </c>
      <c r="G60" s="924">
        <v>2010</v>
      </c>
      <c r="H60" s="923">
        <v>2015</v>
      </c>
      <c r="I60" s="923">
        <v>2020</v>
      </c>
      <c r="J60" s="923">
        <v>2025</v>
      </c>
      <c r="K60" s="923">
        <v>2030</v>
      </c>
      <c r="L60" s="923">
        <v>2035</v>
      </c>
      <c r="M60" s="923">
        <v>2040</v>
      </c>
      <c r="N60" s="923">
        <v>2045</v>
      </c>
      <c r="O60" s="923">
        <v>2050</v>
      </c>
      <c r="P60" s="1229"/>
    </row>
    <row r="61" spans="2:16" s="715" customFormat="1" ht="15.75" hidden="1" outlineLevel="1">
      <c r="B61" s="1617"/>
      <c r="C61" s="833" t="s">
        <v>1365</v>
      </c>
      <c r="D61" s="833" t="s">
        <v>1370</v>
      </c>
      <c r="E61" s="1649"/>
      <c r="F61" s="1663">
        <v>1</v>
      </c>
      <c r="G61" s="1667">
        <v>1</v>
      </c>
      <c r="H61" s="1663">
        <v>0.98499999999999999</v>
      </c>
      <c r="I61" s="1663">
        <v>0.97</v>
      </c>
      <c r="J61" s="1663">
        <v>0.84</v>
      </c>
      <c r="K61" s="1664">
        <v>0.71</v>
      </c>
      <c r="L61" s="1663">
        <v>0.62</v>
      </c>
      <c r="M61" s="1663">
        <v>0.53</v>
      </c>
      <c r="N61" s="1663">
        <v>0.44</v>
      </c>
      <c r="O61" s="1663">
        <v>0.35</v>
      </c>
      <c r="P61" s="1229"/>
    </row>
    <row r="62" spans="2:16" s="715" customFormat="1" ht="15.75" hidden="1" outlineLevel="1">
      <c r="B62" s="1617"/>
      <c r="C62" s="832" t="s">
        <v>1365</v>
      </c>
      <c r="D62" s="832" t="s">
        <v>1896</v>
      </c>
      <c r="E62" s="1254"/>
      <c r="F62" s="1664">
        <v>0</v>
      </c>
      <c r="G62" s="1668">
        <v>0</v>
      </c>
      <c r="H62" s="1664">
        <v>5.0000000000000001E-3</v>
      </c>
      <c r="I62" s="1664">
        <v>0.01</v>
      </c>
      <c r="J62" s="1664">
        <v>0.13</v>
      </c>
      <c r="K62" s="1664">
        <v>0.25</v>
      </c>
      <c r="L62" s="1664">
        <v>0.315</v>
      </c>
      <c r="M62" s="1664">
        <v>0.38</v>
      </c>
      <c r="N62" s="1664">
        <v>0.46</v>
      </c>
      <c r="O62" s="1664">
        <v>0.54</v>
      </c>
      <c r="P62" s="1229"/>
    </row>
    <row r="63" spans="2:16" s="715" customFormat="1" ht="15.75" hidden="1" outlineLevel="1">
      <c r="B63" s="1617"/>
      <c r="C63" s="832" t="s">
        <v>1365</v>
      </c>
      <c r="D63" s="832" t="s">
        <v>1371</v>
      </c>
      <c r="E63" s="1254"/>
      <c r="F63" s="1664">
        <v>0</v>
      </c>
      <c r="G63" s="1668">
        <v>0</v>
      </c>
      <c r="H63" s="1664">
        <v>0.01</v>
      </c>
      <c r="I63" s="1664">
        <v>0.02</v>
      </c>
      <c r="J63" s="1664">
        <v>0.03</v>
      </c>
      <c r="K63" s="1664">
        <v>0.04</v>
      </c>
      <c r="L63" s="1664">
        <v>6.5000000000000002E-2</v>
      </c>
      <c r="M63" s="1664">
        <v>0.09</v>
      </c>
      <c r="N63" s="1664">
        <v>9.5000000000000001E-2</v>
      </c>
      <c r="O63" s="1664">
        <v>0.1</v>
      </c>
      <c r="P63" s="1229"/>
    </row>
    <row r="64" spans="2:16" s="715" customFormat="1" ht="15.75" hidden="1" outlineLevel="1">
      <c r="B64" s="1617"/>
      <c r="C64" s="1650" t="s">
        <v>1365</v>
      </c>
      <c r="D64" s="1650" t="s">
        <v>1372</v>
      </c>
      <c r="E64" s="1651"/>
      <c r="F64" s="1665">
        <v>0</v>
      </c>
      <c r="G64" s="1669">
        <v>0</v>
      </c>
      <c r="H64" s="1665">
        <v>0</v>
      </c>
      <c r="I64" s="1665">
        <v>0</v>
      </c>
      <c r="J64" s="1665">
        <v>0</v>
      </c>
      <c r="K64" s="1665">
        <v>0</v>
      </c>
      <c r="L64" s="1665">
        <v>0</v>
      </c>
      <c r="M64" s="1665">
        <v>0</v>
      </c>
      <c r="N64" s="1665">
        <v>5.0000000000000001E-3</v>
      </c>
      <c r="O64" s="1665">
        <v>0.01</v>
      </c>
      <c r="P64" s="1229"/>
    </row>
    <row r="65" spans="2:16" s="715" customFormat="1" ht="15.75" hidden="1" outlineLevel="1">
      <c r="B65" s="1617"/>
      <c r="C65" s="833" t="s">
        <v>1366</v>
      </c>
      <c r="D65" s="833" t="s">
        <v>1370</v>
      </c>
      <c r="E65" s="1649"/>
      <c r="F65" s="1663">
        <v>1</v>
      </c>
      <c r="G65" s="1667">
        <v>0.98899999999999999</v>
      </c>
      <c r="H65" s="1663">
        <v>0.89349999999999996</v>
      </c>
      <c r="I65" s="1663">
        <v>0.79800000000000004</v>
      </c>
      <c r="J65" s="1664">
        <v>0.44800000000000001</v>
      </c>
      <c r="K65" s="1664">
        <v>9.8000000000000004E-2</v>
      </c>
      <c r="L65" s="1663">
        <v>4.9000000000000002E-2</v>
      </c>
      <c r="M65" s="1663">
        <v>0</v>
      </c>
      <c r="N65" s="1663">
        <v>0</v>
      </c>
      <c r="O65" s="1663">
        <v>0</v>
      </c>
      <c r="P65" s="1229"/>
    </row>
    <row r="66" spans="2:16" s="715" customFormat="1" ht="15.75" hidden="1" outlineLevel="1">
      <c r="B66" s="1617"/>
      <c r="C66" s="832" t="s">
        <v>1366</v>
      </c>
      <c r="D66" s="832" t="s">
        <v>1897</v>
      </c>
      <c r="E66" s="1254"/>
      <c r="F66" s="1664">
        <v>0</v>
      </c>
      <c r="G66" s="1668">
        <v>1.0999999999999999E-2</v>
      </c>
      <c r="H66" s="1664">
        <v>0.10550000000000001</v>
      </c>
      <c r="I66" s="1664">
        <v>0.2</v>
      </c>
      <c r="J66" s="1664">
        <v>0.55000000000000004</v>
      </c>
      <c r="K66" s="1664">
        <v>0.9</v>
      </c>
      <c r="L66" s="1664">
        <v>0.94900000000000007</v>
      </c>
      <c r="M66" s="1664">
        <v>0.998</v>
      </c>
      <c r="N66" s="1664">
        <v>0.998</v>
      </c>
      <c r="O66" s="1664">
        <v>0.998</v>
      </c>
      <c r="P66" s="1229"/>
    </row>
    <row r="67" spans="2:16" s="715" customFormat="1" ht="15.75" hidden="1" outlineLevel="1">
      <c r="B67" s="1617"/>
      <c r="C67" s="1650" t="s">
        <v>1366</v>
      </c>
      <c r="D67" s="1650" t="s">
        <v>1371</v>
      </c>
      <c r="E67" s="1651"/>
      <c r="F67" s="1665">
        <v>0</v>
      </c>
      <c r="G67" s="1669">
        <v>0</v>
      </c>
      <c r="H67" s="1665">
        <v>1E-3</v>
      </c>
      <c r="I67" s="1665">
        <v>2E-3</v>
      </c>
      <c r="J67" s="1664">
        <v>2E-3</v>
      </c>
      <c r="K67" s="1664">
        <v>2E-3</v>
      </c>
      <c r="L67" s="1664">
        <v>2E-3</v>
      </c>
      <c r="M67" s="1665">
        <v>2E-3</v>
      </c>
      <c r="N67" s="1665">
        <v>2E-3</v>
      </c>
      <c r="O67" s="1665">
        <v>2E-3</v>
      </c>
      <c r="P67" s="1229"/>
    </row>
    <row r="68" spans="2:16" s="715" customFormat="1" ht="15.75" hidden="1" outlineLevel="1">
      <c r="B68" s="1617"/>
      <c r="C68" s="833" t="s">
        <v>1368</v>
      </c>
      <c r="D68" s="833" t="s">
        <v>1419</v>
      </c>
      <c r="E68" s="1649"/>
      <c r="F68" s="1663">
        <f t="shared" ref="F68:O68" si="2">1-F69</f>
        <v>0.35</v>
      </c>
      <c r="G68" s="1667">
        <f t="shared" si="2"/>
        <v>0.363354413782636</v>
      </c>
      <c r="H68" s="1663">
        <f t="shared" si="2"/>
        <v>0.363354413782636</v>
      </c>
      <c r="I68" s="1663">
        <f t="shared" si="2"/>
        <v>0.29729452126737621</v>
      </c>
      <c r="J68" s="1663">
        <f t="shared" si="2"/>
        <v>0.29729452126737621</v>
      </c>
      <c r="K68" s="1663">
        <f t="shared" si="2"/>
        <v>0.268693979915269</v>
      </c>
      <c r="L68" s="1663">
        <f t="shared" si="2"/>
        <v>0.268693979915269</v>
      </c>
      <c r="M68" s="1663">
        <f t="shared" si="2"/>
        <v>0.268693979915269</v>
      </c>
      <c r="N68" s="1663">
        <f t="shared" si="2"/>
        <v>0.268693979915269</v>
      </c>
      <c r="O68" s="1663">
        <f t="shared" si="2"/>
        <v>0.268693979915269</v>
      </c>
      <c r="P68" s="1229"/>
    </row>
    <row r="69" spans="2:16" s="715" customFormat="1" ht="15.75" hidden="1" outlineLevel="1">
      <c r="B69" s="1617"/>
      <c r="C69" s="1650" t="s">
        <v>1368</v>
      </c>
      <c r="D69" s="1650" t="s">
        <v>1420</v>
      </c>
      <c r="E69" s="1651"/>
      <c r="F69" s="1665">
        <v>0.65</v>
      </c>
      <c r="G69" s="1669">
        <v>0.636645586217364</v>
      </c>
      <c r="H69" s="1665">
        <v>0.636645586217364</v>
      </c>
      <c r="I69" s="1665">
        <v>0.70270547873262379</v>
      </c>
      <c r="J69" s="1665">
        <v>0.70270547873262379</v>
      </c>
      <c r="K69" s="1665">
        <v>0.731306020084731</v>
      </c>
      <c r="L69" s="1665">
        <v>0.731306020084731</v>
      </c>
      <c r="M69" s="1665">
        <v>0.731306020084731</v>
      </c>
      <c r="N69" s="1665">
        <v>0.731306020084731</v>
      </c>
      <c r="O69" s="1665">
        <v>0.731306020084731</v>
      </c>
      <c r="P69" s="1229"/>
    </row>
    <row r="70" spans="2:16" s="715" customFormat="1" ht="15.75" hidden="1" outlineLevel="1">
      <c r="B70" s="1617"/>
      <c r="C70" s="792" t="s">
        <v>1369</v>
      </c>
      <c r="D70" s="792" t="s">
        <v>1369</v>
      </c>
      <c r="E70" s="937"/>
      <c r="F70" s="1666">
        <v>1</v>
      </c>
      <c r="G70" s="1670">
        <f>$F70</f>
        <v>1</v>
      </c>
      <c r="H70" s="1666">
        <f t="shared" ref="H70:O70" si="3">$F70</f>
        <v>1</v>
      </c>
      <c r="I70" s="1666">
        <f t="shared" si="3"/>
        <v>1</v>
      </c>
      <c r="J70" s="1666">
        <f t="shared" si="3"/>
        <v>1</v>
      </c>
      <c r="K70" s="1666">
        <f t="shared" si="3"/>
        <v>1</v>
      </c>
      <c r="L70" s="1666">
        <f t="shared" si="3"/>
        <v>1</v>
      </c>
      <c r="M70" s="1666">
        <f t="shared" si="3"/>
        <v>1</v>
      </c>
      <c r="N70" s="1666">
        <f t="shared" si="3"/>
        <v>1</v>
      </c>
      <c r="O70" s="1666">
        <f t="shared" si="3"/>
        <v>1</v>
      </c>
      <c r="P70" s="1229"/>
    </row>
    <row r="71" spans="2:16" s="715" customFormat="1" ht="15.75" hidden="1" outlineLevel="1">
      <c r="B71" s="1617"/>
      <c r="C71" s="831"/>
      <c r="D71" s="1085"/>
      <c r="E71" s="832"/>
      <c r="F71" s="1614"/>
      <c r="G71" s="1615"/>
      <c r="H71" s="1615"/>
      <c r="I71" s="1615"/>
      <c r="J71" s="1615"/>
      <c r="K71" s="934"/>
      <c r="L71" s="934"/>
      <c r="M71" s="934"/>
      <c r="N71" s="934"/>
      <c r="O71" s="934"/>
      <c r="P71" s="1229"/>
    </row>
    <row r="72" spans="2:16" s="715" customFormat="1" ht="15.75" hidden="1" outlineLevel="1">
      <c r="B72" s="1617"/>
      <c r="C72" s="869" t="s">
        <v>1914</v>
      </c>
      <c r="D72" s="1085"/>
      <c r="E72" s="832"/>
      <c r="F72" s="1614"/>
      <c r="G72" s="1615"/>
      <c r="H72" s="1615"/>
      <c r="I72" s="1615"/>
      <c r="J72" s="1615"/>
      <c r="K72" s="934"/>
      <c r="L72" s="934"/>
      <c r="M72" s="934"/>
      <c r="N72" s="934"/>
      <c r="O72" s="934" t="s">
        <v>1429</v>
      </c>
      <c r="P72" s="1229"/>
    </row>
    <row r="73" spans="2:16" s="715" customFormat="1" ht="5.25" hidden="1" customHeight="1" outlineLevel="1">
      <c r="B73" s="1617"/>
      <c r="C73" s="1619"/>
      <c r="D73" s="832"/>
      <c r="E73" s="1254"/>
      <c r="F73" s="1614"/>
      <c r="G73" s="1615"/>
      <c r="H73" s="1615"/>
      <c r="I73" s="1615"/>
      <c r="J73" s="1615"/>
      <c r="K73" s="934"/>
      <c r="L73" s="934"/>
      <c r="M73" s="934"/>
      <c r="N73" s="934"/>
      <c r="O73" s="934"/>
      <c r="P73" s="1229"/>
    </row>
    <row r="74" spans="2:16" s="715" customFormat="1" ht="15.75" hidden="1" outlineLevel="1">
      <c r="B74" s="1617"/>
      <c r="C74" s="766" t="s">
        <v>1349</v>
      </c>
      <c r="D74" s="766" t="s">
        <v>831</v>
      </c>
      <c r="E74" s="766" t="s">
        <v>442</v>
      </c>
      <c r="F74" s="923">
        <v>2007</v>
      </c>
      <c r="G74" s="924">
        <v>2010</v>
      </c>
      <c r="H74" s="923">
        <v>2015</v>
      </c>
      <c r="I74" s="923">
        <v>2020</v>
      </c>
      <c r="J74" s="923">
        <v>2025</v>
      </c>
      <c r="K74" s="923">
        <v>2030</v>
      </c>
      <c r="L74" s="923">
        <v>2035</v>
      </c>
      <c r="M74" s="923">
        <v>2040</v>
      </c>
      <c r="N74" s="923">
        <v>2045</v>
      </c>
      <c r="O74" s="923">
        <v>2050</v>
      </c>
      <c r="P74" s="1229"/>
    </row>
    <row r="75" spans="2:16" s="715" customFormat="1" ht="15.75" hidden="1" outlineLevel="1">
      <c r="B75" s="1617"/>
      <c r="C75" s="833" t="s">
        <v>1365</v>
      </c>
      <c r="D75" s="833" t="s">
        <v>1370</v>
      </c>
      <c r="E75" s="1649"/>
      <c r="F75" s="1663">
        <v>1</v>
      </c>
      <c r="G75" s="1667">
        <v>1</v>
      </c>
      <c r="H75" s="1663">
        <v>0.98499999999999999</v>
      </c>
      <c r="I75" s="1663">
        <v>0.97</v>
      </c>
      <c r="J75" s="1663">
        <v>0.70499999999999996</v>
      </c>
      <c r="K75" s="1664">
        <v>0.44</v>
      </c>
      <c r="L75" s="1663">
        <v>0.41000000000000003</v>
      </c>
      <c r="M75" s="1663">
        <v>0.38</v>
      </c>
      <c r="N75" s="1663">
        <v>0.29000000000000004</v>
      </c>
      <c r="O75" s="1663">
        <v>0.2</v>
      </c>
      <c r="P75" s="1229"/>
    </row>
    <row r="76" spans="2:16" s="715" customFormat="1" ht="15.75" hidden="1" outlineLevel="1">
      <c r="B76" s="1617"/>
      <c r="C76" s="832" t="s">
        <v>1365</v>
      </c>
      <c r="D76" s="832" t="s">
        <v>1896</v>
      </c>
      <c r="E76" s="1254"/>
      <c r="F76" s="1664">
        <v>0</v>
      </c>
      <c r="G76" s="1668">
        <v>0</v>
      </c>
      <c r="H76" s="1664">
        <v>5.0000000000000001E-3</v>
      </c>
      <c r="I76" s="1664">
        <v>0.01</v>
      </c>
      <c r="J76" s="1664">
        <v>0.22750000000000001</v>
      </c>
      <c r="K76" s="1664">
        <v>0.44500000000000001</v>
      </c>
      <c r="L76" s="1664">
        <v>0.38250000000000001</v>
      </c>
      <c r="M76" s="1664">
        <v>0.32</v>
      </c>
      <c r="N76" s="1664">
        <v>0.32</v>
      </c>
      <c r="O76" s="1664">
        <v>0.32</v>
      </c>
      <c r="P76" s="1229"/>
    </row>
    <row r="77" spans="2:16" s="715" customFormat="1" ht="15.75" hidden="1" outlineLevel="1">
      <c r="B77" s="1617"/>
      <c r="C77" s="832" t="s">
        <v>1365</v>
      </c>
      <c r="D77" s="832" t="s">
        <v>1371</v>
      </c>
      <c r="E77" s="1254"/>
      <c r="F77" s="1664">
        <v>0</v>
      </c>
      <c r="G77" s="1668">
        <v>0</v>
      </c>
      <c r="H77" s="1664">
        <v>0.01</v>
      </c>
      <c r="I77" s="1664">
        <v>0.02</v>
      </c>
      <c r="J77" s="1664">
        <v>0.05</v>
      </c>
      <c r="K77" s="1664">
        <v>0.08</v>
      </c>
      <c r="L77" s="1664">
        <v>0.14000000000000001</v>
      </c>
      <c r="M77" s="1664">
        <v>0.2</v>
      </c>
      <c r="N77" s="1664">
        <v>0.24000000000000002</v>
      </c>
      <c r="O77" s="1664">
        <v>0.28000000000000003</v>
      </c>
      <c r="P77" s="1229"/>
    </row>
    <row r="78" spans="2:16" s="715" customFormat="1" ht="15.75" hidden="1" outlineLevel="1">
      <c r="B78" s="1617"/>
      <c r="C78" s="1650" t="s">
        <v>1365</v>
      </c>
      <c r="D78" s="1650" t="s">
        <v>1372</v>
      </c>
      <c r="E78" s="1651"/>
      <c r="F78" s="1665">
        <v>0</v>
      </c>
      <c r="G78" s="1669">
        <v>0</v>
      </c>
      <c r="H78" s="1665">
        <v>0</v>
      </c>
      <c r="I78" s="1665">
        <v>0</v>
      </c>
      <c r="J78" s="1665">
        <v>1.7500000000000002E-2</v>
      </c>
      <c r="K78" s="1665">
        <v>3.5000000000000003E-2</v>
      </c>
      <c r="L78" s="1665">
        <v>6.7500000000000004E-2</v>
      </c>
      <c r="M78" s="1665">
        <v>0.1</v>
      </c>
      <c r="N78" s="1665">
        <v>0.15000000000000002</v>
      </c>
      <c r="O78" s="1665">
        <v>0.2</v>
      </c>
      <c r="P78" s="1229"/>
    </row>
    <row r="79" spans="2:16" s="715" customFormat="1" ht="15.75" hidden="1" outlineLevel="1">
      <c r="B79" s="1617"/>
      <c r="C79" s="833" t="s">
        <v>1366</v>
      </c>
      <c r="D79" s="833" t="s">
        <v>1370</v>
      </c>
      <c r="E79" s="1649"/>
      <c r="F79" s="1663">
        <v>1</v>
      </c>
      <c r="G79" s="1667">
        <v>0.98899999999999999</v>
      </c>
      <c r="H79" s="1663">
        <v>0.71199999999999997</v>
      </c>
      <c r="I79" s="1663">
        <v>0.435</v>
      </c>
      <c r="J79" s="1664">
        <v>0.2175</v>
      </c>
      <c r="K79" s="1664">
        <v>0</v>
      </c>
      <c r="L79" s="1663">
        <v>0</v>
      </c>
      <c r="M79" s="1663">
        <v>0</v>
      </c>
      <c r="N79" s="1663">
        <v>0</v>
      </c>
      <c r="O79" s="1663">
        <v>0</v>
      </c>
      <c r="P79" s="1229"/>
    </row>
    <row r="80" spans="2:16" s="715" customFormat="1" ht="15.75" hidden="1" outlineLevel="1">
      <c r="B80" s="1617"/>
      <c r="C80" s="832" t="s">
        <v>1366</v>
      </c>
      <c r="D80" s="832" t="s">
        <v>1897</v>
      </c>
      <c r="E80" s="1254"/>
      <c r="F80" s="1664">
        <v>0</v>
      </c>
      <c r="G80" s="1668">
        <v>1.0999999999999999E-2</v>
      </c>
      <c r="H80" s="1664">
        <v>0.27100000000000002</v>
      </c>
      <c r="I80" s="1664">
        <v>0.53100000000000003</v>
      </c>
      <c r="J80" s="1664">
        <v>0.72799999999999998</v>
      </c>
      <c r="K80" s="1664">
        <v>0.92500000000000004</v>
      </c>
      <c r="L80" s="1664">
        <v>0.89250000000000007</v>
      </c>
      <c r="M80" s="1664">
        <v>0.86</v>
      </c>
      <c r="N80" s="1664">
        <v>0.82000000000000006</v>
      </c>
      <c r="O80" s="1664">
        <v>0.78</v>
      </c>
      <c r="P80" s="1229"/>
    </row>
    <row r="81" spans="2:16" s="715" customFormat="1" ht="15.75" hidden="1" outlineLevel="1">
      <c r="B81" s="1617"/>
      <c r="C81" s="1650" t="s">
        <v>1366</v>
      </c>
      <c r="D81" s="1650" t="s">
        <v>1371</v>
      </c>
      <c r="E81" s="1651"/>
      <c r="F81" s="1665">
        <v>0</v>
      </c>
      <c r="G81" s="1669">
        <v>0</v>
      </c>
      <c r="H81" s="1665">
        <v>1.7000000000000001E-2</v>
      </c>
      <c r="I81" s="1665">
        <v>3.4000000000000002E-2</v>
      </c>
      <c r="J81" s="1664">
        <v>5.45E-2</v>
      </c>
      <c r="K81" s="1664">
        <v>7.4999999999999997E-2</v>
      </c>
      <c r="L81" s="1664">
        <v>0.10750000000000001</v>
      </c>
      <c r="M81" s="1665">
        <v>0.14000000000000001</v>
      </c>
      <c r="N81" s="1665">
        <v>0.18</v>
      </c>
      <c r="O81" s="1665">
        <v>0.22</v>
      </c>
      <c r="P81" s="1229"/>
    </row>
    <row r="82" spans="2:16" s="715" customFormat="1" ht="15.75" hidden="1" outlineLevel="1">
      <c r="B82" s="1617"/>
      <c r="C82" s="833" t="s">
        <v>1368</v>
      </c>
      <c r="D82" s="833" t="s">
        <v>1419</v>
      </c>
      <c r="E82" s="1649"/>
      <c r="F82" s="1663">
        <f t="shared" ref="F82:O82" si="4">1-F83</f>
        <v>0.35</v>
      </c>
      <c r="G82" s="1667">
        <f t="shared" si="4"/>
        <v>0.363354413782636</v>
      </c>
      <c r="H82" s="1663">
        <f t="shared" si="4"/>
        <v>0.363354413782636</v>
      </c>
      <c r="I82" s="1663">
        <f t="shared" si="4"/>
        <v>0.29729452126737621</v>
      </c>
      <c r="J82" s="1663">
        <f t="shared" si="4"/>
        <v>0.28299425059132255</v>
      </c>
      <c r="K82" s="1663">
        <f t="shared" si="4"/>
        <v>0.24182458192374212</v>
      </c>
      <c r="L82" s="1663">
        <f t="shared" si="4"/>
        <v>0.21495518393221524</v>
      </c>
      <c r="M82" s="1663">
        <f t="shared" si="4"/>
        <v>0.18808578594068837</v>
      </c>
      <c r="N82" s="1663">
        <f t="shared" si="4"/>
        <v>0.16121638794916149</v>
      </c>
      <c r="O82" s="1663">
        <f t="shared" si="4"/>
        <v>0.1343469899576345</v>
      </c>
      <c r="P82" s="1229"/>
    </row>
    <row r="83" spans="2:16" s="715" customFormat="1" ht="15.75" hidden="1" outlineLevel="1">
      <c r="B83" s="1617"/>
      <c r="C83" s="1650" t="s">
        <v>1368</v>
      </c>
      <c r="D83" s="1650" t="s">
        <v>1420</v>
      </c>
      <c r="E83" s="1651"/>
      <c r="F83" s="1665">
        <v>0.65</v>
      </c>
      <c r="G83" s="1669">
        <v>0.636645586217364</v>
      </c>
      <c r="H83" s="1665">
        <v>0.636645586217364</v>
      </c>
      <c r="I83" s="1665">
        <v>0.70270547873262379</v>
      </c>
      <c r="J83" s="1665">
        <v>0.71700574940867745</v>
      </c>
      <c r="K83" s="1665">
        <v>0.75817541807625788</v>
      </c>
      <c r="L83" s="1665">
        <v>0.78504481606778476</v>
      </c>
      <c r="M83" s="1665">
        <v>0.81191421405931163</v>
      </c>
      <c r="N83" s="1665">
        <v>0.83878361205083851</v>
      </c>
      <c r="O83" s="1665">
        <v>0.8656530100423655</v>
      </c>
      <c r="P83" s="1229"/>
    </row>
    <row r="84" spans="2:16" s="715" customFormat="1" ht="15.75" hidden="1" outlineLevel="1">
      <c r="B84" s="1617"/>
      <c r="C84" s="792" t="s">
        <v>1369</v>
      </c>
      <c r="D84" s="792" t="s">
        <v>1369</v>
      </c>
      <c r="E84" s="937"/>
      <c r="F84" s="1666">
        <v>1</v>
      </c>
      <c r="G84" s="1670">
        <f>$F84</f>
        <v>1</v>
      </c>
      <c r="H84" s="1666">
        <f t="shared" ref="H84:O84" si="5">$F84</f>
        <v>1</v>
      </c>
      <c r="I84" s="1666">
        <f t="shared" si="5"/>
        <v>1</v>
      </c>
      <c r="J84" s="1666">
        <f t="shared" si="5"/>
        <v>1</v>
      </c>
      <c r="K84" s="1666">
        <f t="shared" si="5"/>
        <v>1</v>
      </c>
      <c r="L84" s="1666">
        <f t="shared" si="5"/>
        <v>1</v>
      </c>
      <c r="M84" s="1666">
        <f t="shared" si="5"/>
        <v>1</v>
      </c>
      <c r="N84" s="1666">
        <f t="shared" si="5"/>
        <v>1</v>
      </c>
      <c r="O84" s="1666">
        <f t="shared" si="5"/>
        <v>1</v>
      </c>
      <c r="P84" s="1229"/>
    </row>
    <row r="85" spans="2:16" s="715" customFormat="1" ht="15.75" hidden="1" outlineLevel="1">
      <c r="B85" s="1617"/>
      <c r="C85" s="831"/>
      <c r="D85" s="1085"/>
      <c r="E85" s="832"/>
      <c r="F85" s="1614"/>
      <c r="G85" s="1615"/>
      <c r="H85" s="1615"/>
      <c r="I85" s="1615"/>
      <c r="J85" s="1615"/>
      <c r="K85" s="934"/>
      <c r="L85" s="934"/>
      <c r="M85" s="934"/>
      <c r="N85" s="934"/>
      <c r="O85" s="934"/>
      <c r="P85" s="1229"/>
    </row>
    <row r="86" spans="2:16" s="715" customFormat="1" ht="15.75" hidden="1" outlineLevel="1">
      <c r="B86" s="1617"/>
      <c r="C86" s="869" t="s">
        <v>1915</v>
      </c>
      <c r="D86" s="1085"/>
      <c r="E86" s="832"/>
      <c r="F86" s="1614"/>
      <c r="G86" s="1615"/>
      <c r="H86" s="1615"/>
      <c r="I86" s="1615"/>
      <c r="J86" s="1615"/>
      <c r="K86" s="934"/>
      <c r="L86" s="934"/>
      <c r="M86" s="934"/>
      <c r="N86" s="934"/>
      <c r="O86" s="934" t="s">
        <v>1429</v>
      </c>
      <c r="P86" s="1229"/>
    </row>
    <row r="87" spans="2:16" s="715" customFormat="1" ht="5.25" hidden="1" customHeight="1" outlineLevel="1">
      <c r="B87" s="1617"/>
      <c r="C87" s="1619"/>
      <c r="D87" s="832"/>
      <c r="E87" s="1254"/>
      <c r="F87" s="1614"/>
      <c r="G87" s="1615"/>
      <c r="H87" s="1615"/>
      <c r="I87" s="1615"/>
      <c r="J87" s="1615"/>
      <c r="K87" s="934"/>
      <c r="L87" s="934"/>
      <c r="M87" s="934"/>
      <c r="N87" s="934"/>
      <c r="O87" s="934"/>
      <c r="P87" s="1229"/>
    </row>
    <row r="88" spans="2:16" s="715" customFormat="1" ht="15.75" hidden="1" outlineLevel="1">
      <c r="B88" s="1617"/>
      <c r="C88" s="766" t="s">
        <v>1349</v>
      </c>
      <c r="D88" s="766" t="s">
        <v>831</v>
      </c>
      <c r="E88" s="766" t="s">
        <v>442</v>
      </c>
      <c r="F88" s="923">
        <v>2007</v>
      </c>
      <c r="G88" s="924">
        <v>2010</v>
      </c>
      <c r="H88" s="923">
        <v>2015</v>
      </c>
      <c r="I88" s="923">
        <v>2020</v>
      </c>
      <c r="J88" s="923">
        <v>2025</v>
      </c>
      <c r="K88" s="923">
        <v>2030</v>
      </c>
      <c r="L88" s="923">
        <v>2035</v>
      </c>
      <c r="M88" s="923">
        <v>2040</v>
      </c>
      <c r="N88" s="923">
        <v>2045</v>
      </c>
      <c r="O88" s="923">
        <v>2050</v>
      </c>
      <c r="P88" s="1229"/>
    </row>
    <row r="89" spans="2:16" s="715" customFormat="1" ht="15.75" hidden="1" outlineLevel="1">
      <c r="B89" s="1617"/>
      <c r="C89" s="833" t="s">
        <v>1365</v>
      </c>
      <c r="D89" s="833" t="s">
        <v>1370</v>
      </c>
      <c r="E89" s="1649"/>
      <c r="F89" s="1663">
        <v>1</v>
      </c>
      <c r="G89" s="1667">
        <v>1</v>
      </c>
      <c r="H89" s="1663">
        <v>0.99</v>
      </c>
      <c r="I89" s="1663">
        <v>0.97</v>
      </c>
      <c r="J89" s="1663">
        <v>0.66</v>
      </c>
      <c r="K89" s="1664">
        <v>0.34</v>
      </c>
      <c r="L89" s="1663">
        <v>0.26</v>
      </c>
      <c r="M89" s="1663">
        <v>0.18</v>
      </c>
      <c r="N89" s="1663">
        <v>0.09</v>
      </c>
      <c r="O89" s="1663">
        <v>0</v>
      </c>
      <c r="P89" s="1229"/>
    </row>
    <row r="90" spans="2:16" s="715" customFormat="1" ht="15.75" hidden="1" outlineLevel="1">
      <c r="B90" s="1617"/>
      <c r="C90" s="832" t="s">
        <v>1365</v>
      </c>
      <c r="D90" s="832" t="s">
        <v>1896</v>
      </c>
      <c r="E90" s="1254"/>
      <c r="F90" s="1664">
        <v>0</v>
      </c>
      <c r="G90" s="1668">
        <v>0</v>
      </c>
      <c r="H90" s="1664">
        <v>0.01</v>
      </c>
      <c r="I90" s="1664">
        <v>0.01</v>
      </c>
      <c r="J90" s="1664">
        <v>0.23</v>
      </c>
      <c r="K90" s="1664">
        <v>0.44500000000000001</v>
      </c>
      <c r="L90" s="1664">
        <v>0.38250000000000001</v>
      </c>
      <c r="M90" s="1664">
        <v>0.32</v>
      </c>
      <c r="N90" s="1664">
        <v>0.16</v>
      </c>
      <c r="O90" s="1664">
        <v>0</v>
      </c>
      <c r="P90" s="1229"/>
    </row>
    <row r="91" spans="2:16" s="715" customFormat="1" ht="15.75" hidden="1" outlineLevel="1">
      <c r="B91" s="1617"/>
      <c r="C91" s="832" t="s">
        <v>1365</v>
      </c>
      <c r="D91" s="832" t="s">
        <v>1371</v>
      </c>
      <c r="E91" s="1254"/>
      <c r="F91" s="1664">
        <v>0</v>
      </c>
      <c r="G91" s="1668">
        <v>0</v>
      </c>
      <c r="H91" s="1664">
        <v>0.01</v>
      </c>
      <c r="I91" s="1664">
        <v>0.02</v>
      </c>
      <c r="J91" s="1664">
        <v>9.9999999999999992E-2</v>
      </c>
      <c r="K91" s="1664">
        <v>0.18</v>
      </c>
      <c r="L91" s="1664">
        <v>0.29000000000000004</v>
      </c>
      <c r="M91" s="1664">
        <v>0.4</v>
      </c>
      <c r="N91" s="1664">
        <v>0.60000000000000009</v>
      </c>
      <c r="O91" s="1664">
        <v>0.8</v>
      </c>
      <c r="P91" s="1229"/>
    </row>
    <row r="92" spans="2:16" s="715" customFormat="1" ht="15.75" hidden="1" outlineLevel="1">
      <c r="B92" s="1617"/>
      <c r="C92" s="1650" t="s">
        <v>1365</v>
      </c>
      <c r="D92" s="1650" t="s">
        <v>1372</v>
      </c>
      <c r="E92" s="1651"/>
      <c r="F92" s="1665">
        <v>0</v>
      </c>
      <c r="G92" s="1669">
        <v>0</v>
      </c>
      <c r="H92" s="1665">
        <v>0</v>
      </c>
      <c r="I92" s="1665">
        <v>0</v>
      </c>
      <c r="J92" s="1665">
        <v>1.7500000000000002E-2</v>
      </c>
      <c r="K92" s="1665">
        <v>3.5000000000000003E-2</v>
      </c>
      <c r="L92" s="1665">
        <v>6.7500000000000004E-2</v>
      </c>
      <c r="M92" s="1665">
        <v>0.1</v>
      </c>
      <c r="N92" s="1665">
        <v>0.15000000000000002</v>
      </c>
      <c r="O92" s="1665">
        <v>0.2</v>
      </c>
      <c r="P92" s="1229"/>
    </row>
    <row r="93" spans="2:16" s="715" customFormat="1" ht="15.75" hidden="1" outlineLevel="1">
      <c r="B93" s="1617"/>
      <c r="C93" s="833" t="s">
        <v>1366</v>
      </c>
      <c r="D93" s="833" t="s">
        <v>1370</v>
      </c>
      <c r="E93" s="1649"/>
      <c r="F93" s="1663">
        <v>1</v>
      </c>
      <c r="G93" s="1667">
        <v>0.98899999999999999</v>
      </c>
      <c r="H93" s="1663">
        <v>0.71199999999999997</v>
      </c>
      <c r="I93" s="1663">
        <v>0.435</v>
      </c>
      <c r="J93" s="1664">
        <v>0.2175</v>
      </c>
      <c r="K93" s="1664">
        <v>0</v>
      </c>
      <c r="L93" s="1663">
        <v>0</v>
      </c>
      <c r="M93" s="1663">
        <v>0</v>
      </c>
      <c r="N93" s="1663">
        <v>0</v>
      </c>
      <c r="O93" s="1663">
        <v>0</v>
      </c>
      <c r="P93" s="1229"/>
    </row>
    <row r="94" spans="2:16" s="715" customFormat="1" ht="15.75" hidden="1" outlineLevel="1">
      <c r="B94" s="1617"/>
      <c r="C94" s="832" t="s">
        <v>1366</v>
      </c>
      <c r="D94" s="832" t="s">
        <v>1897</v>
      </c>
      <c r="E94" s="1254"/>
      <c r="F94" s="1664">
        <v>0</v>
      </c>
      <c r="G94" s="1668">
        <v>1.0999999999999999E-2</v>
      </c>
      <c r="H94" s="1664">
        <v>0.27100000000000002</v>
      </c>
      <c r="I94" s="1664">
        <v>0.53100000000000003</v>
      </c>
      <c r="J94" s="1664">
        <v>0.67799999999999994</v>
      </c>
      <c r="K94" s="1664">
        <v>0.82499999999999996</v>
      </c>
      <c r="L94" s="1664">
        <v>0.74750000000000005</v>
      </c>
      <c r="M94" s="1664">
        <v>0.67</v>
      </c>
      <c r="N94" s="1664">
        <v>0.59000000000000008</v>
      </c>
      <c r="O94" s="1664">
        <v>0.51</v>
      </c>
      <c r="P94" s="1229"/>
    </row>
    <row r="95" spans="2:16" s="715" customFormat="1" ht="15.75" hidden="1" outlineLevel="1">
      <c r="B95" s="1617"/>
      <c r="C95" s="1650" t="s">
        <v>1366</v>
      </c>
      <c r="D95" s="1650" t="s">
        <v>1371</v>
      </c>
      <c r="E95" s="1651"/>
      <c r="F95" s="1665">
        <v>0</v>
      </c>
      <c r="G95" s="1669">
        <v>0</v>
      </c>
      <c r="H95" s="1665">
        <v>1.7000000000000001E-2</v>
      </c>
      <c r="I95" s="1665">
        <v>3.4000000000000002E-2</v>
      </c>
      <c r="J95" s="1664">
        <v>0.1045</v>
      </c>
      <c r="K95" s="1664">
        <v>0.17499999999999999</v>
      </c>
      <c r="L95" s="1664">
        <v>0.2525</v>
      </c>
      <c r="M95" s="1665">
        <v>0.33</v>
      </c>
      <c r="N95" s="1665">
        <v>0.41000000000000003</v>
      </c>
      <c r="O95" s="1665">
        <v>0.49</v>
      </c>
      <c r="P95" s="1228"/>
    </row>
    <row r="96" spans="2:16" s="715" customFormat="1" ht="15.75" hidden="1" outlineLevel="1">
      <c r="B96" s="1617"/>
      <c r="C96" s="833" t="s">
        <v>1368</v>
      </c>
      <c r="D96" s="833" t="s">
        <v>1419</v>
      </c>
      <c r="E96" s="1649"/>
      <c r="F96" s="1663">
        <f t="shared" ref="F96:O96" si="6">1-F97</f>
        <v>0.35</v>
      </c>
      <c r="G96" s="1667">
        <f t="shared" si="6"/>
        <v>0.363354413782636</v>
      </c>
      <c r="H96" s="1663">
        <f t="shared" si="6"/>
        <v>0.363354413782636</v>
      </c>
      <c r="I96" s="1663">
        <f t="shared" si="6"/>
        <v>0.29729452126737621</v>
      </c>
      <c r="J96" s="1663">
        <f t="shared" si="6"/>
        <v>0.268693979915269</v>
      </c>
      <c r="K96" s="1663">
        <f t="shared" si="6"/>
        <v>0.21495518393221524</v>
      </c>
      <c r="L96" s="1663">
        <f t="shared" si="6"/>
        <v>0.16121638794916149</v>
      </c>
      <c r="M96" s="1663">
        <f t="shared" si="6"/>
        <v>0.10747759196610773</v>
      </c>
      <c r="N96" s="1663">
        <f t="shared" si="6"/>
        <v>5.3738795983053977E-2</v>
      </c>
      <c r="O96" s="1663">
        <f t="shared" si="6"/>
        <v>0</v>
      </c>
      <c r="P96" s="1228"/>
    </row>
    <row r="97" spans="1:28" s="715" customFormat="1" ht="15.75" hidden="1" outlineLevel="1">
      <c r="B97" s="1617"/>
      <c r="C97" s="1650" t="s">
        <v>1368</v>
      </c>
      <c r="D97" s="1650" t="s">
        <v>1420</v>
      </c>
      <c r="E97" s="1651"/>
      <c r="F97" s="1665">
        <v>0.65</v>
      </c>
      <c r="G97" s="1669">
        <v>0.636645586217364</v>
      </c>
      <c r="H97" s="1665">
        <v>0.636645586217364</v>
      </c>
      <c r="I97" s="1665">
        <v>0.70270547873262379</v>
      </c>
      <c r="J97" s="1665">
        <v>0.731306020084731</v>
      </c>
      <c r="K97" s="1665">
        <v>0.78504481606778476</v>
      </c>
      <c r="L97" s="1665">
        <v>0.83878361205083851</v>
      </c>
      <c r="M97" s="1665">
        <v>0.89252240803389227</v>
      </c>
      <c r="N97" s="1665">
        <v>0.94626120401694602</v>
      </c>
      <c r="O97" s="1665">
        <v>1</v>
      </c>
      <c r="P97" s="1228"/>
    </row>
    <row r="98" spans="1:28" s="715" customFormat="1" ht="15.75" hidden="1" outlineLevel="1">
      <c r="B98" s="1617"/>
      <c r="C98" s="792" t="s">
        <v>1369</v>
      </c>
      <c r="D98" s="792" t="s">
        <v>1369</v>
      </c>
      <c r="E98" s="937"/>
      <c r="F98" s="1666">
        <v>1</v>
      </c>
      <c r="G98" s="1670">
        <f>$F98</f>
        <v>1</v>
      </c>
      <c r="H98" s="1666">
        <f t="shared" ref="H98:O98" si="7">$F98</f>
        <v>1</v>
      </c>
      <c r="I98" s="1666">
        <f t="shared" si="7"/>
        <v>1</v>
      </c>
      <c r="J98" s="1666">
        <f t="shared" si="7"/>
        <v>1</v>
      </c>
      <c r="K98" s="1666">
        <f t="shared" si="7"/>
        <v>1</v>
      </c>
      <c r="L98" s="1666">
        <f t="shared" si="7"/>
        <v>1</v>
      </c>
      <c r="M98" s="1666">
        <f t="shared" si="7"/>
        <v>1</v>
      </c>
      <c r="N98" s="1666">
        <f t="shared" si="7"/>
        <v>1</v>
      </c>
      <c r="O98" s="1666">
        <f t="shared" si="7"/>
        <v>1</v>
      </c>
      <c r="P98" s="1228"/>
    </row>
    <row r="99" spans="1:28" s="715" customFormat="1" ht="15.75" hidden="1" outlineLevel="1">
      <c r="B99" s="1617"/>
      <c r="C99" s="831"/>
      <c r="D99" s="1085"/>
      <c r="E99" s="832"/>
      <c r="F99" s="1614"/>
      <c r="G99" s="1615"/>
      <c r="H99" s="1615"/>
      <c r="I99" s="1615"/>
      <c r="J99" s="1615"/>
      <c r="K99" s="934"/>
      <c r="L99" s="934"/>
      <c r="M99" s="934"/>
      <c r="N99" s="934"/>
      <c r="O99" s="934"/>
      <c r="P99" s="1228"/>
    </row>
    <row r="100" spans="1:28" s="715" customFormat="1" ht="15.75" hidden="1" outlineLevel="1">
      <c r="B100" s="1617"/>
      <c r="C100" s="831"/>
      <c r="D100" s="1085"/>
      <c r="E100" s="832"/>
      <c r="F100" s="1614"/>
      <c r="G100" s="1615"/>
      <c r="H100" s="1615"/>
      <c r="I100" s="1615"/>
      <c r="J100" s="1615"/>
      <c r="K100" s="934"/>
      <c r="L100" s="934"/>
      <c r="M100" s="934"/>
      <c r="N100" s="934"/>
      <c r="O100" s="934"/>
      <c r="P100" s="1228"/>
    </row>
    <row r="101" spans="1:28" hidden="1" outlineLevel="1">
      <c r="B101" s="1163"/>
      <c r="C101" s="1227" t="s">
        <v>717</v>
      </c>
      <c r="D101" s="868"/>
      <c r="E101" s="864"/>
      <c r="F101" s="864"/>
      <c r="G101" s="864"/>
      <c r="H101" s="864"/>
      <c r="I101" s="864"/>
      <c r="J101" s="864"/>
      <c r="K101" s="864"/>
      <c r="L101" s="864"/>
      <c r="M101" s="864"/>
      <c r="N101" s="864"/>
      <c r="O101" s="864"/>
      <c r="P101" s="1158"/>
    </row>
    <row r="102" spans="1:28" hidden="1" outlineLevel="1">
      <c r="B102" s="1163"/>
      <c r="C102" s="1226" t="s">
        <v>109</v>
      </c>
      <c r="D102" s="868" t="s">
        <v>1410</v>
      </c>
      <c r="E102" s="864"/>
      <c r="F102" s="864"/>
      <c r="G102" s="864"/>
      <c r="H102" s="864"/>
      <c r="I102" s="864"/>
      <c r="J102" s="864"/>
      <c r="K102" s="864"/>
      <c r="L102" s="864"/>
      <c r="M102" s="864"/>
      <c r="N102" s="864"/>
      <c r="O102" s="864"/>
      <c r="P102" s="1158"/>
    </row>
    <row r="103" spans="1:28" hidden="1" outlineLevel="1">
      <c r="B103" s="1163"/>
      <c r="C103" s="1226" t="s">
        <v>117</v>
      </c>
      <c r="D103" s="868" t="s">
        <v>1411</v>
      </c>
      <c r="E103" s="864"/>
      <c r="F103" s="864"/>
      <c r="G103" s="864"/>
      <c r="H103" s="864"/>
      <c r="I103" s="864"/>
      <c r="J103" s="864"/>
      <c r="K103" s="864"/>
      <c r="L103" s="864"/>
      <c r="M103" s="864"/>
      <c r="N103" s="864"/>
      <c r="O103" s="864"/>
      <c r="P103" s="1158"/>
      <c r="R103"/>
      <c r="S103"/>
      <c r="T103"/>
      <c r="U103"/>
      <c r="V103"/>
      <c r="W103"/>
      <c r="X103"/>
      <c r="Y103"/>
      <c r="Z103"/>
      <c r="AA103"/>
      <c r="AB103"/>
    </row>
    <row r="104" spans="1:28" hidden="1" outlineLevel="1">
      <c r="B104" s="1163"/>
      <c r="C104" s="946" t="s">
        <v>118</v>
      </c>
      <c r="D104" s="832" t="s">
        <v>1903</v>
      </c>
      <c r="E104" s="864"/>
      <c r="F104" s="864"/>
      <c r="G104" s="864"/>
      <c r="H104" s="864"/>
      <c r="I104" s="864"/>
      <c r="J104" s="864"/>
      <c r="K104" s="864"/>
      <c r="L104" s="864"/>
      <c r="M104" s="864"/>
      <c r="N104" s="864"/>
      <c r="O104" s="864"/>
      <c r="P104" s="1158"/>
      <c r="R104"/>
      <c r="S104"/>
      <c r="T104"/>
      <c r="U104"/>
      <c r="V104"/>
      <c r="W104"/>
      <c r="X104"/>
      <c r="Y104"/>
      <c r="Z104"/>
      <c r="AA104"/>
      <c r="AB104"/>
    </row>
    <row r="105" spans="1:28" hidden="1" outlineLevel="1">
      <c r="B105" s="1163"/>
      <c r="C105" s="946"/>
      <c r="D105" s="832" t="s">
        <v>1421</v>
      </c>
      <c r="E105" s="864"/>
      <c r="F105" s="864"/>
      <c r="G105" s="864"/>
      <c r="H105" s="864"/>
      <c r="I105" s="864"/>
      <c r="J105" s="864"/>
      <c r="K105" s="864"/>
      <c r="L105" s="864"/>
      <c r="M105" s="864"/>
      <c r="N105" s="864"/>
      <c r="O105" s="864"/>
      <c r="P105" s="1158"/>
      <c r="R105"/>
      <c r="S105"/>
      <c r="T105"/>
      <c r="U105"/>
      <c r="V105"/>
      <c r="W105"/>
      <c r="X105"/>
      <c r="Y105"/>
      <c r="Z105"/>
      <c r="AA105"/>
      <c r="AB105"/>
    </row>
    <row r="106" spans="1:28" hidden="1" outlineLevel="1">
      <c r="B106" s="1163"/>
      <c r="C106" s="946" t="s">
        <v>1902</v>
      </c>
      <c r="D106" s="832" t="s">
        <v>1919</v>
      </c>
      <c r="E106" s="864"/>
      <c r="F106" s="864"/>
      <c r="G106" s="864"/>
      <c r="H106" s="864"/>
      <c r="I106" s="864"/>
      <c r="J106" s="864"/>
      <c r="K106" s="864"/>
      <c r="L106" s="864"/>
      <c r="M106" s="864"/>
      <c r="N106" s="864"/>
      <c r="O106" s="864"/>
      <c r="P106" s="1158"/>
      <c r="R106"/>
      <c r="S106"/>
      <c r="T106"/>
      <c r="U106"/>
      <c r="V106"/>
      <c r="W106"/>
      <c r="X106"/>
      <c r="Y106"/>
      <c r="Z106"/>
      <c r="AA106"/>
      <c r="AB106"/>
    </row>
    <row r="107" spans="1:28" hidden="1" outlineLevel="1">
      <c r="B107" s="1163"/>
      <c r="C107" s="946"/>
      <c r="D107" s="832" t="s">
        <v>1905</v>
      </c>
      <c r="E107" s="864"/>
      <c r="F107" s="864"/>
      <c r="G107" s="864"/>
      <c r="H107" s="864"/>
      <c r="I107" s="864"/>
      <c r="J107" s="864"/>
      <c r="K107" s="864"/>
      <c r="L107" s="864"/>
      <c r="M107" s="864"/>
      <c r="N107" s="864"/>
      <c r="O107" s="864"/>
      <c r="P107" s="1158"/>
      <c r="R107"/>
      <c r="S107"/>
      <c r="T107"/>
      <c r="U107"/>
      <c r="V107"/>
      <c r="W107"/>
      <c r="X107"/>
      <c r="Y107"/>
      <c r="Z107"/>
      <c r="AA107"/>
      <c r="AB107"/>
    </row>
    <row r="108" spans="1:28" ht="15.75" hidden="1" outlineLevel="1">
      <c r="B108" s="1193"/>
      <c r="C108" s="1194"/>
      <c r="D108" s="1195"/>
      <c r="E108" s="1195"/>
      <c r="F108" s="1196"/>
      <c r="G108" s="1197"/>
      <c r="H108" s="1197"/>
      <c r="I108" s="1197"/>
      <c r="J108" s="1197"/>
      <c r="K108" s="1197"/>
      <c r="L108" s="1197"/>
      <c r="M108" s="1197"/>
      <c r="N108" s="1197"/>
      <c r="O108" s="1197"/>
      <c r="P108" s="1166"/>
    </row>
    <row r="110" spans="1:28" s="743" customFormat="1" ht="22.5" collapsed="1">
      <c r="A110" s="1170"/>
      <c r="B110" s="1236" t="s">
        <v>786</v>
      </c>
      <c r="C110" s="1167"/>
      <c r="D110" s="1167"/>
      <c r="E110" s="1167"/>
      <c r="F110" s="1167"/>
      <c r="G110" s="1167"/>
      <c r="H110" s="1167"/>
      <c r="I110" s="1167"/>
      <c r="J110" s="1167"/>
      <c r="K110" s="1167"/>
      <c r="L110" s="1167"/>
      <c r="M110" s="1167"/>
      <c r="N110" s="1167"/>
      <c r="O110" s="1167"/>
      <c r="P110" s="1168"/>
      <c r="R110"/>
      <c r="S110"/>
      <c r="T110"/>
      <c r="U110"/>
      <c r="V110"/>
      <c r="W110"/>
      <c r="X110"/>
      <c r="Y110"/>
      <c r="Z110"/>
    </row>
    <row r="111" spans="1:28" hidden="1" outlineLevel="1">
      <c r="B111" s="1157"/>
      <c r="C111" s="864"/>
      <c r="D111" s="864"/>
      <c r="E111" s="864"/>
      <c r="F111" s="864"/>
      <c r="G111" s="864"/>
      <c r="H111" s="864"/>
      <c r="I111" s="864"/>
      <c r="J111" s="864"/>
      <c r="K111" s="864"/>
      <c r="L111" s="864"/>
      <c r="M111" s="864"/>
      <c r="N111" s="864"/>
      <c r="O111" s="864"/>
      <c r="P111" s="1158"/>
    </row>
    <row r="112" spans="1:28" s="715" customFormat="1" ht="15.75" hidden="1" outlineLevel="1">
      <c r="B112" s="1617"/>
      <c r="C112" s="1619"/>
      <c r="D112" s="832"/>
      <c r="E112" s="1254"/>
      <c r="F112" s="1614"/>
      <c r="G112" s="1615"/>
      <c r="H112" s="1615"/>
      <c r="I112" s="1615"/>
      <c r="J112" s="1615"/>
      <c r="K112" s="934"/>
      <c r="L112" s="934"/>
      <c r="M112" s="934"/>
      <c r="N112" s="934"/>
      <c r="O112" s="934"/>
      <c r="P112" s="1229"/>
    </row>
    <row r="113" spans="2:27" s="715" customFormat="1" ht="15.75" hidden="1" outlineLevel="1">
      <c r="B113" s="1617"/>
      <c r="C113" s="866" t="s">
        <v>1900</v>
      </c>
      <c r="D113" s="864"/>
      <c r="E113" s="867"/>
      <c r="F113" s="864"/>
      <c r="G113" s="1652" t="s">
        <v>63</v>
      </c>
      <c r="H113" s="864"/>
      <c r="I113" s="864"/>
      <c r="J113" s="867"/>
      <c r="K113" s="934"/>
      <c r="L113" s="934"/>
      <c r="M113" s="934"/>
      <c r="N113" s="934"/>
      <c r="O113" s="934" t="str">
        <f>Preferences.EnergyUnits &amp; " / bn vehicle-km"</f>
        <v>TWh / bn vehicle-km</v>
      </c>
      <c r="P113" s="1229"/>
    </row>
    <row r="114" spans="2:27" s="715" customFormat="1" ht="5.25" hidden="1" customHeight="1" outlineLevel="1">
      <c r="B114" s="1617"/>
      <c r="C114" s="864"/>
      <c r="D114" s="864"/>
      <c r="E114" s="864"/>
      <c r="F114" s="864"/>
      <c r="G114" s="864"/>
      <c r="H114" s="864"/>
      <c r="I114" s="864"/>
      <c r="J114" s="864"/>
      <c r="K114" s="934"/>
      <c r="L114" s="934"/>
      <c r="M114" s="934"/>
      <c r="N114" s="934"/>
      <c r="O114" s="934"/>
      <c r="P114" s="1229"/>
    </row>
    <row r="115" spans="2:27" s="715" customFormat="1" ht="15.75" hidden="1" outlineLevel="1">
      <c r="B115" s="1617"/>
      <c r="C115" s="766" t="s">
        <v>1349</v>
      </c>
      <c r="D115" s="766" t="s">
        <v>831</v>
      </c>
      <c r="E115" s="766" t="s">
        <v>442</v>
      </c>
      <c r="F115" s="923">
        <v>2007</v>
      </c>
      <c r="G115" s="924">
        <v>2010</v>
      </c>
      <c r="H115" s="923">
        <v>2015</v>
      </c>
      <c r="I115" s="923">
        <v>2020</v>
      </c>
      <c r="J115" s="923">
        <v>2025</v>
      </c>
      <c r="K115" s="923">
        <v>2030</v>
      </c>
      <c r="L115" s="923">
        <v>2035</v>
      </c>
      <c r="M115" s="923">
        <v>2040</v>
      </c>
      <c r="N115" s="923">
        <v>2045</v>
      </c>
      <c r="O115" s="923">
        <v>2050</v>
      </c>
      <c r="P115" s="1229"/>
    </row>
    <row r="116" spans="2:27" s="715" customFormat="1" ht="15.75" hidden="1" outlineLevel="1">
      <c r="B116" s="1617"/>
      <c r="C116" s="833" t="s">
        <v>1365</v>
      </c>
      <c r="D116" s="833" t="s">
        <v>1370</v>
      </c>
      <c r="E116" s="1649"/>
      <c r="F116" s="2161">
        <f>0.546297407872344*1000000000*Unit.kWh*$F$36</f>
        <v>0.79408880671861848</v>
      </c>
      <c r="G116" s="1682">
        <f>(Unit.TJ)*2520</f>
        <v>0.7</v>
      </c>
      <c r="H116" s="1679">
        <f>(Unit.TJ)*2246</f>
        <v>0.62388888888888894</v>
      </c>
      <c r="I116" s="1679">
        <f>(Unit.TJ)*1973</f>
        <v>0.54805555555555552</v>
      </c>
      <c r="J116" s="1679">
        <f>(Unit.TJ)*1696</f>
        <v>0.47111111111111109</v>
      </c>
      <c r="K116" s="1679">
        <f>(Unit.TJ)*1419</f>
        <v>0.39416666666666667</v>
      </c>
      <c r="L116" s="1679">
        <f>(Unit.TJ)*1340</f>
        <v>0.37222222222222223</v>
      </c>
      <c r="M116" s="1679">
        <f>(Unit.TJ)*1261</f>
        <v>0.3502777777777778</v>
      </c>
      <c r="N116" s="1679">
        <f>(Unit.TJ)*1206</f>
        <v>0.33500000000000002</v>
      </c>
      <c r="O116" s="1679">
        <f>(Unit.TJ)*1152</f>
        <v>0.32</v>
      </c>
      <c r="P116" s="1229"/>
    </row>
    <row r="117" spans="2:27" s="715" customFormat="1" ht="15.75" hidden="1" outlineLevel="1">
      <c r="B117" s="1617"/>
      <c r="C117" s="832" t="s">
        <v>1365</v>
      </c>
      <c r="D117" s="832" t="s">
        <v>1896</v>
      </c>
      <c r="E117" s="1254"/>
      <c r="F117" s="1656"/>
      <c r="G117" s="1683">
        <f>(Unit.TJ)*508</f>
        <v>0.1411111111111111</v>
      </c>
      <c r="H117" s="1680">
        <f>(Unit.TJ)*508</f>
        <v>0.1411111111111111</v>
      </c>
      <c r="I117" s="1680">
        <f>(Unit.TJ)*454</f>
        <v>0.12611111111111112</v>
      </c>
      <c r="J117" s="1680">
        <f>(Unit.TJ)*346</f>
        <v>9.6111111111111105E-2</v>
      </c>
      <c r="K117" s="1680">
        <f>(Unit.TJ)*277</f>
        <v>7.694444444444444E-2</v>
      </c>
      <c r="L117" s="1680">
        <f>(Unit.TJ)*247</f>
        <v>6.8611111111111109E-2</v>
      </c>
      <c r="M117" s="1680">
        <f>(Unit.TJ)*214</f>
        <v>5.9444444444444446E-2</v>
      </c>
      <c r="N117" s="1680">
        <f>(Unit.TJ)*177</f>
        <v>4.9166666666666664E-2</v>
      </c>
      <c r="O117" s="1680">
        <f>(Unit.TJ)*142</f>
        <v>3.9444444444444442E-2</v>
      </c>
      <c r="P117" s="1229"/>
      <c r="Q117" s="1637"/>
    </row>
    <row r="118" spans="2:27" s="715" customFormat="1" ht="15.75" hidden="1" outlineLevel="1">
      <c r="B118" s="1617"/>
      <c r="C118" s="833" t="s">
        <v>1366</v>
      </c>
      <c r="D118" s="833" t="s">
        <v>1370</v>
      </c>
      <c r="E118" s="1649"/>
      <c r="F118" s="2161">
        <f>0.239492423538389*1000000000*Unit.kWh*$F$37</f>
        <v>2.1684950349475951</v>
      </c>
      <c r="G118" s="1682">
        <f>(Unit.TJ)*14121</f>
        <v>3.9224999999999999</v>
      </c>
      <c r="H118" s="2163">
        <f>G118+(I118-G118)/(I$115-G$115)*(H$115-G$115)</f>
        <v>3.6413888888888888</v>
      </c>
      <c r="I118" s="1679">
        <f>(Unit.TJ)*12097</f>
        <v>3.3602777777777777</v>
      </c>
      <c r="J118" s="2163">
        <f>I118+(K118-I118)/(K$115-I$115)*(J$115-I$115)</f>
        <v>3.0791666666666666</v>
      </c>
      <c r="K118" s="1679">
        <f>(Unit.TJ)*10073</f>
        <v>2.7980555555555555</v>
      </c>
      <c r="L118" s="2163">
        <f>K118+(M118-K118)/(M$115-K$115)*(L$115-K$115)</f>
        <v>2.777222222222222</v>
      </c>
      <c r="M118" s="1679">
        <f>(Unit.TJ)*9923</f>
        <v>2.756388888888889</v>
      </c>
      <c r="N118" s="2163">
        <f>M118+(O118-M118)/(O$115-M$115)*(N$115-M$115)</f>
        <v>2.7355555555555555</v>
      </c>
      <c r="O118" s="1679">
        <f>(Unit.TJ)*9773</f>
        <v>2.714722222222222</v>
      </c>
      <c r="P118" s="1229"/>
      <c r="Q118" s="1637"/>
      <c r="R118" s="1625"/>
      <c r="S118" s="1635"/>
    </row>
    <row r="119" spans="2:27" s="715" customFormat="1" ht="15.75" hidden="1" outlineLevel="1">
      <c r="B119" s="1617"/>
      <c r="C119" s="832" t="s">
        <v>1366</v>
      </c>
      <c r="D119" s="832" t="s">
        <v>1897</v>
      </c>
      <c r="E119" s="1254"/>
      <c r="F119" s="1656"/>
      <c r="G119" s="1683">
        <f>(Unit.TJ)*9885</f>
        <v>2.7458333333333331</v>
      </c>
      <c r="H119" s="2164">
        <f>G119+(I119-G119)/(I$115-G$115)*(H$115-G$115)</f>
        <v>2.5490277777777779</v>
      </c>
      <c r="I119" s="1680">
        <f>(Unit.TJ)*8468</f>
        <v>2.3522222222222222</v>
      </c>
      <c r="J119" s="2164">
        <f>I119+(K119-I119)/(K$115-I$115)*(J$115-I$115)</f>
        <v>2.1554166666666665</v>
      </c>
      <c r="K119" s="1680">
        <f>(Unit.TJ)*7051</f>
        <v>1.9586111111111111</v>
      </c>
      <c r="L119" s="2164">
        <f>K119+(M119-K119)/(M$115-K$115)*(L$115-K$115)</f>
        <v>1.9440277777777779</v>
      </c>
      <c r="M119" s="1680">
        <f>(Unit.TJ)*6946</f>
        <v>1.9294444444444445</v>
      </c>
      <c r="N119" s="2164">
        <f>M119+(O119-M119)/(O$115-M$115)*(N$115-M$115)</f>
        <v>1.9148611111111111</v>
      </c>
      <c r="O119" s="1680">
        <f>(Unit.TJ)*6841</f>
        <v>1.9002777777777777</v>
      </c>
      <c r="P119" s="1229"/>
      <c r="Q119" s="1637"/>
      <c r="R119" s="1625"/>
      <c r="S119" s="1635"/>
    </row>
    <row r="120" spans="2:27" s="715" customFormat="1" ht="15.75" hidden="1" outlineLevel="1">
      <c r="B120" s="1617"/>
      <c r="C120" s="833" t="s">
        <v>1368</v>
      </c>
      <c r="D120" s="833" t="s">
        <v>1419</v>
      </c>
      <c r="E120" s="1649" t="s">
        <v>439</v>
      </c>
      <c r="F120" s="2177">
        <f>0.230406475694183*1000000000*Unit.kWh*$F$38</f>
        <v>7.4693980239160393E-2</v>
      </c>
      <c r="G120" s="1682">
        <f>(Constants.Density.Diesel*Constants.GCV.Diesel*1000000000)*0.0100314692759734</f>
        <v>0.1059406157140987</v>
      </c>
      <c r="H120" s="1679">
        <f>(Constants.Density.Diesel*Constants.GCV.Diesel*1000000000)*0.00952989581217476</f>
        <v>0.10064358492839408</v>
      </c>
      <c r="I120" s="1679">
        <f>(Constants.Density.Diesel*Constants.GCV.Diesel*1000000000)*0.00902832234837609</f>
        <v>9.5346554142689152E-2</v>
      </c>
      <c r="J120" s="1679">
        <f>(Constants.Density.Diesel*Constants.GCV.Diesel*1000000000)*0.00852674888457742</f>
        <v>9.0049523356984212E-2</v>
      </c>
      <c r="K120" s="1679">
        <f>(Constants.Density.Diesel*Constants.GCV.Diesel*1000000000)*0.00802517542077875</f>
        <v>8.4752492571279273E-2</v>
      </c>
      <c r="L120" s="1679">
        <f>(Constants.Density.Diesel*Constants.GCV.Diesel*1000000000)*0.00752360195698008</f>
        <v>7.9455461785574333E-2</v>
      </c>
      <c r="M120" s="1679">
        <f>(Constants.Density.Diesel*Constants.GCV.Diesel*1000000000)*0.00702202849318141</f>
        <v>7.4158430999869407E-2</v>
      </c>
      <c r="N120" s="1679">
        <f>(Constants.Density.Diesel*Constants.GCV.Diesel*1000000000)*0.00652045502938273</f>
        <v>6.886140021416437E-2</v>
      </c>
      <c r="O120" s="1679">
        <f>(Constants.Density.Diesel*Constants.GCV.Diesel*1000000000)*0.00601888156558406</f>
        <v>6.356436942845943E-2</v>
      </c>
      <c r="P120" s="1229"/>
      <c r="Q120" s="1637"/>
      <c r="R120" s="2472"/>
      <c r="U120" s="1688"/>
      <c r="V120" s="1688"/>
      <c r="W120" s="1687"/>
      <c r="X120" s="1628"/>
      <c r="Y120" s="1628"/>
      <c r="Z120" s="1627"/>
    </row>
    <row r="121" spans="2:27" s="715" customFormat="1" ht="15.75" hidden="1" outlineLevel="1">
      <c r="B121" s="1617"/>
      <c r="C121" s="792" t="s">
        <v>1369</v>
      </c>
      <c r="D121" s="792" t="s">
        <v>1369</v>
      </c>
      <c r="E121" s="937" t="s">
        <v>439</v>
      </c>
      <c r="F121" s="2176">
        <f>(2.14/0.245)*Unit.TWh/(9.5/0.651)</f>
        <v>0.59855639097744362</v>
      </c>
      <c r="G121" s="1684">
        <f t="shared" ref="G121:O121" si="8">$F121*(1-0.01)^(G$115-$F$115)</f>
        <v>0.58077866760902253</v>
      </c>
      <c r="H121" s="1681">
        <f t="shared" si="8"/>
        <v>0.5523147340903598</v>
      </c>
      <c r="I121" s="1681">
        <f t="shared" si="8"/>
        <v>0.52524581653309643</v>
      </c>
      <c r="J121" s="1681">
        <f t="shared" si="8"/>
        <v>0.49950354527457563</v>
      </c>
      <c r="K121" s="1681">
        <f t="shared" si="8"/>
        <v>0.47502290144589554</v>
      </c>
      <c r="L121" s="1681">
        <f t="shared" si="8"/>
        <v>0.45174205274967494</v>
      </c>
      <c r="M121" s="1681">
        <f t="shared" si="8"/>
        <v>0.42960219728634175</v>
      </c>
      <c r="N121" s="1681">
        <f t="shared" si="8"/>
        <v>0.40854741503448777</v>
      </c>
      <c r="O121" s="1681">
        <f t="shared" si="8"/>
        <v>0.38852452661016346</v>
      </c>
      <c r="P121" s="1229"/>
      <c r="Q121" s="1637"/>
      <c r="R121" s="2533"/>
      <c r="U121" s="1688"/>
      <c r="V121" s="1688"/>
      <c r="W121" s="1687"/>
      <c r="X121" s="1628"/>
      <c r="Y121" s="1628"/>
      <c r="Z121" s="1627"/>
    </row>
    <row r="122" spans="2:27" s="715" customFormat="1" ht="15.75" hidden="1" outlineLevel="1">
      <c r="B122" s="1617"/>
      <c r="C122" s="832"/>
      <c r="D122" s="832"/>
      <c r="E122" s="1254"/>
      <c r="F122" s="1656"/>
      <c r="G122" s="1626"/>
      <c r="H122" s="1626"/>
      <c r="I122" s="1626"/>
      <c r="J122" s="1626"/>
      <c r="K122" s="934"/>
      <c r="L122" s="934"/>
      <c r="M122" s="934"/>
      <c r="N122" s="934"/>
      <c r="O122" s="934"/>
      <c r="P122" s="1229"/>
      <c r="Q122" s="734"/>
      <c r="U122" s="1689"/>
      <c r="V122" s="1689"/>
      <c r="W122" s="1687"/>
      <c r="X122" s="1690"/>
      <c r="Y122" s="1690"/>
      <c r="Z122" s="1690"/>
    </row>
    <row r="123" spans="2:27" s="715" customFormat="1" ht="15.75" hidden="1" outlineLevel="1">
      <c r="B123" s="1617"/>
      <c r="C123" s="866" t="s">
        <v>1899</v>
      </c>
      <c r="D123" s="864"/>
      <c r="E123" s="867"/>
      <c r="F123" s="864"/>
      <c r="G123" s="1652" t="s">
        <v>5</v>
      </c>
      <c r="H123" s="864"/>
      <c r="I123" s="864"/>
      <c r="J123" s="867"/>
      <c r="K123" s="934"/>
      <c r="L123" s="934"/>
      <c r="M123" s="934"/>
      <c r="N123" s="934"/>
      <c r="O123" s="934" t="str">
        <f>Preferences.EnergyUnits &amp; " / bn vehicle-km"</f>
        <v>TWh / bn vehicle-km</v>
      </c>
      <c r="P123" s="1229"/>
      <c r="Q123" s="1637"/>
    </row>
    <row r="124" spans="2:27" s="715" customFormat="1" ht="5.25" hidden="1" customHeight="1" outlineLevel="1">
      <c r="B124" s="1617"/>
      <c r="C124" s="864"/>
      <c r="D124" s="864"/>
      <c r="E124" s="864"/>
      <c r="F124" s="864"/>
      <c r="G124" s="864"/>
      <c r="H124" s="864"/>
      <c r="I124" s="864"/>
      <c r="J124" s="864"/>
      <c r="K124" s="934"/>
      <c r="L124" s="934"/>
      <c r="M124" s="934"/>
      <c r="N124" s="934"/>
      <c r="O124" s="934"/>
      <c r="P124" s="1229"/>
    </row>
    <row r="125" spans="2:27" s="715" customFormat="1" ht="15.75" hidden="1" outlineLevel="1">
      <c r="B125" s="1617"/>
      <c r="C125" s="766" t="s">
        <v>1349</v>
      </c>
      <c r="D125" s="766" t="s">
        <v>831</v>
      </c>
      <c r="E125" s="766" t="s">
        <v>442</v>
      </c>
      <c r="F125" s="923">
        <v>2007</v>
      </c>
      <c r="G125" s="924">
        <v>2010</v>
      </c>
      <c r="H125" s="923">
        <v>2015</v>
      </c>
      <c r="I125" s="923">
        <v>2020</v>
      </c>
      <c r="J125" s="923">
        <v>2025</v>
      </c>
      <c r="K125" s="923">
        <v>2030</v>
      </c>
      <c r="L125" s="923">
        <v>2035</v>
      </c>
      <c r="M125" s="923">
        <v>2040</v>
      </c>
      <c r="N125" s="923">
        <v>2045</v>
      </c>
      <c r="O125" s="923">
        <v>2050</v>
      </c>
      <c r="P125" s="1229"/>
      <c r="R125"/>
      <c r="S125"/>
      <c r="T125"/>
      <c r="U125"/>
      <c r="V125"/>
      <c r="W125"/>
      <c r="X125"/>
      <c r="Y125"/>
      <c r="Z125"/>
      <c r="AA125"/>
    </row>
    <row r="126" spans="2:27" s="715" customFormat="1" ht="15.75" hidden="1" outlineLevel="1">
      <c r="B126" s="1617"/>
      <c r="C126" s="832" t="s">
        <v>1365</v>
      </c>
      <c r="D126" s="832" t="s">
        <v>1896</v>
      </c>
      <c r="E126" s="1254"/>
      <c r="F126" s="1656"/>
      <c r="G126" s="1683">
        <f>(Unit.TJ)*417</f>
        <v>0.11583333333333333</v>
      </c>
      <c r="H126" s="1680">
        <f>(Unit.TJ)*417</f>
        <v>0.11583333333333333</v>
      </c>
      <c r="I126" s="1680">
        <f>(Unit.TJ)*404</f>
        <v>0.11222222222222222</v>
      </c>
      <c r="J126" s="1680">
        <f>(Unit.TJ)*377</f>
        <v>0.10472222222222222</v>
      </c>
      <c r="K126" s="1680">
        <f>(Unit.TJ)*355</f>
        <v>9.8611111111111108E-2</v>
      </c>
      <c r="L126" s="1680">
        <f>(Unit.TJ)*338</f>
        <v>9.3888888888888883E-2</v>
      </c>
      <c r="M126" s="1680">
        <f>(Unit.TJ)*327</f>
        <v>9.0833333333333335E-2</v>
      </c>
      <c r="N126" s="1680">
        <f>(Unit.TJ)*324</f>
        <v>0.09</v>
      </c>
      <c r="O126" s="1680">
        <f>(Unit.TJ)*325</f>
        <v>9.0277777777777776E-2</v>
      </c>
      <c r="P126" s="1229"/>
      <c r="Q126" s="1634"/>
      <c r="R126"/>
      <c r="S126"/>
      <c r="T126"/>
      <c r="U126"/>
      <c r="V126"/>
      <c r="W126"/>
      <c r="X126"/>
      <c r="Y126"/>
      <c r="Z126"/>
      <c r="AA126"/>
    </row>
    <row r="127" spans="2:27" s="715" customFormat="1" ht="15.75" hidden="1" outlineLevel="1">
      <c r="B127" s="1617"/>
      <c r="C127" s="832" t="s">
        <v>1365</v>
      </c>
      <c r="D127" s="832" t="s">
        <v>1371</v>
      </c>
      <c r="E127" s="1254"/>
      <c r="F127" s="1656"/>
      <c r="G127" s="1683">
        <f>(Unit.TJ)*600</f>
        <v>0.16666666666666666</v>
      </c>
      <c r="H127" s="1680">
        <f>(Unit.TJ)*600</f>
        <v>0.16666666666666666</v>
      </c>
      <c r="I127" s="1680">
        <f>(Unit.TJ)*572</f>
        <v>0.15888888888888889</v>
      </c>
      <c r="J127" s="1680">
        <f>(Unit.TJ)*516</f>
        <v>0.14333333333333334</v>
      </c>
      <c r="K127" s="1680">
        <f>(Unit.TJ)*470</f>
        <v>0.13055555555555556</v>
      </c>
      <c r="L127" s="1680">
        <f>(Unit.TJ)*433</f>
        <v>0.12027777777777778</v>
      </c>
      <c r="M127" s="1680">
        <f>(Unit.TJ)*406</f>
        <v>0.11277777777777778</v>
      </c>
      <c r="N127" s="1680">
        <f>(Unit.TJ)*389</f>
        <v>0.10805555555555556</v>
      </c>
      <c r="O127" s="1680">
        <f>(Unit.TJ)*379</f>
        <v>0.10527777777777778</v>
      </c>
      <c r="P127" s="1229"/>
      <c r="Q127" s="1634"/>
      <c r="R127"/>
      <c r="S127"/>
      <c r="T127"/>
      <c r="U127"/>
      <c r="V127"/>
      <c r="W127"/>
      <c r="X127"/>
      <c r="Y127"/>
      <c r="Z127"/>
      <c r="AA127"/>
    </row>
    <row r="128" spans="2:27" s="715" customFormat="1" ht="15.75" hidden="1" outlineLevel="1">
      <c r="B128" s="1617"/>
      <c r="C128" s="833" t="s">
        <v>1366</v>
      </c>
      <c r="D128" s="833" t="s">
        <v>1371</v>
      </c>
      <c r="E128" s="1649"/>
      <c r="F128" s="2162"/>
      <c r="G128" s="1682">
        <f>(Unit.TJ)*3361</f>
        <v>0.93361111111111106</v>
      </c>
      <c r="H128" s="2163">
        <f>G128+(I128-G128)/(I$125-G$125)*(H$125-G$125)</f>
        <v>0.8666666666666667</v>
      </c>
      <c r="I128" s="1679">
        <f>(Unit.TJ)*2879</f>
        <v>0.79972222222222222</v>
      </c>
      <c r="J128" s="2163">
        <f>I128+(K128-I128)/(K$125-I$125)*(J$125-I$125)</f>
        <v>0.73277777777777775</v>
      </c>
      <c r="K128" s="1679">
        <f>(Unit.TJ)*2397</f>
        <v>0.66583333333333339</v>
      </c>
      <c r="L128" s="2163">
        <f>K128+(M128-K128)/(M$125-K$125)*(L$125-K$125)</f>
        <v>0.66097222222222229</v>
      </c>
      <c r="M128" s="1679">
        <f>(Unit.TJ)*2362</f>
        <v>0.65611111111111109</v>
      </c>
      <c r="N128" s="2163">
        <f>M128+(O128-M128)/(O$125-M$125)*(N$125-M$125)</f>
        <v>0.65111111111111108</v>
      </c>
      <c r="O128" s="1679">
        <f>(Unit.TJ)*2326</f>
        <v>0.64611111111111108</v>
      </c>
      <c r="P128" s="1229"/>
      <c r="R128"/>
      <c r="S128"/>
      <c r="T128"/>
      <c r="U128"/>
      <c r="V128"/>
      <c r="W128"/>
      <c r="X128"/>
      <c r="Y128"/>
      <c r="Z128"/>
      <c r="AA128"/>
    </row>
    <row r="129" spans="2:27" s="715" customFormat="1" ht="15.75" hidden="1" outlineLevel="1">
      <c r="B129" s="1617"/>
      <c r="C129" s="792" t="s">
        <v>1368</v>
      </c>
      <c r="D129" s="792" t="s">
        <v>1420</v>
      </c>
      <c r="E129" s="937" t="s">
        <v>439</v>
      </c>
      <c r="F129" s="2178">
        <f>0.10954818290623*1000000000*Unit.kWh*$F$38</f>
        <v>3.5513714554162835E-2</v>
      </c>
      <c r="G129" s="2179">
        <f>(1000000000*Unit.kWh)*0.0318579183353621</f>
        <v>3.1857918335362098E-2</v>
      </c>
      <c r="H129" s="2180">
        <f>(1000000000*Unit.kWh)*0.030663246397786</f>
        <v>3.0663246397786E-2</v>
      </c>
      <c r="I129" s="2180">
        <f>(1000000000*Unit.kWh)*0.02946857446021</f>
        <v>2.9468574460209999E-2</v>
      </c>
      <c r="J129" s="2180">
        <f>(1000000000*Unit.kWh)*0.0282739025226339</f>
        <v>2.8273902522633901E-2</v>
      </c>
      <c r="K129" s="2180">
        <f>(1000000000*Unit.kWh)*0.0270792305850578</f>
        <v>2.70792305850578E-2</v>
      </c>
      <c r="L129" s="2180">
        <f>(1000000000*Unit.kWh)*0.0258845586474817</f>
        <v>2.5884558647481699E-2</v>
      </c>
      <c r="M129" s="2180">
        <f>(1000000000*Unit.kWh)*0.0246898867099056</f>
        <v>2.4689886709905601E-2</v>
      </c>
      <c r="N129" s="2180">
        <f>(1000000000*Unit.kWh)*0.0234952147723296</f>
        <v>2.34952147723296E-2</v>
      </c>
      <c r="O129" s="2180">
        <f>(1000000000*Unit.kWh)*0.0223005428347535</f>
        <v>2.2300542834753499E-2</v>
      </c>
      <c r="P129" s="1229"/>
      <c r="R129" s="2472"/>
      <c r="S129"/>
      <c r="T129"/>
      <c r="U129"/>
      <c r="V129"/>
      <c r="W129"/>
      <c r="X129"/>
      <c r="Y129"/>
      <c r="Z129"/>
      <c r="AA129"/>
    </row>
    <row r="130" spans="2:27" s="715" customFormat="1" ht="15.75" hidden="1" outlineLevel="1">
      <c r="B130" s="1617"/>
      <c r="C130" s="832"/>
      <c r="D130" s="832"/>
      <c r="E130" s="1254"/>
      <c r="F130" s="1656"/>
      <c r="G130" s="1626"/>
      <c r="H130" s="1626"/>
      <c r="I130" s="1626"/>
      <c r="J130" s="1626"/>
      <c r="K130" s="934"/>
      <c r="L130" s="934"/>
      <c r="M130" s="934"/>
      <c r="N130" s="934"/>
      <c r="O130" s="934"/>
      <c r="P130" s="1229"/>
      <c r="R130"/>
      <c r="S130"/>
      <c r="T130"/>
      <c r="U130"/>
      <c r="V130"/>
      <c r="W130"/>
      <c r="X130"/>
      <c r="Y130"/>
      <c r="Z130"/>
      <c r="AA130"/>
    </row>
    <row r="131" spans="2:27" s="715" customFormat="1" ht="15.75" hidden="1" outlineLevel="1">
      <c r="B131" s="1617"/>
      <c r="C131" s="866" t="s">
        <v>1901</v>
      </c>
      <c r="D131" s="864"/>
      <c r="E131" s="867"/>
      <c r="F131" s="864"/>
      <c r="G131" s="1652" t="s">
        <v>107</v>
      </c>
      <c r="H131" s="864"/>
      <c r="I131" s="864"/>
      <c r="J131" s="867"/>
      <c r="K131" s="934"/>
      <c r="L131" s="934"/>
      <c r="M131" s="934"/>
      <c r="N131" s="934"/>
      <c r="O131" s="934" t="str">
        <f>Preferences.EnergyUnits &amp; " / bn vehicle-km"</f>
        <v>TWh / bn vehicle-km</v>
      </c>
      <c r="P131" s="1229"/>
      <c r="R131"/>
      <c r="S131"/>
      <c r="T131"/>
      <c r="U131"/>
      <c r="V131"/>
      <c r="W131"/>
      <c r="X131"/>
      <c r="Y131"/>
      <c r="Z131"/>
      <c r="AA131"/>
    </row>
    <row r="132" spans="2:27" s="715" customFormat="1" ht="5.25" hidden="1" customHeight="1" outlineLevel="1">
      <c r="B132" s="1617"/>
      <c r="C132" s="864"/>
      <c r="D132" s="864"/>
      <c r="E132" s="864"/>
      <c r="F132" s="864"/>
      <c r="G132" s="864"/>
      <c r="H132" s="864"/>
      <c r="I132" s="864"/>
      <c r="J132" s="864"/>
      <c r="K132" s="934"/>
      <c r="L132" s="934"/>
      <c r="M132" s="934"/>
      <c r="N132" s="934"/>
      <c r="O132" s="934"/>
      <c r="P132" s="1229"/>
      <c r="R132" s="2416"/>
      <c r="S132"/>
      <c r="T132"/>
      <c r="U132"/>
      <c r="V132"/>
      <c r="W132"/>
      <c r="X132"/>
      <c r="Y132"/>
      <c r="Z132"/>
      <c r="AA132"/>
    </row>
    <row r="133" spans="2:27" s="715" customFormat="1" ht="15.75" hidden="1" outlineLevel="1">
      <c r="B133" s="1617"/>
      <c r="C133" s="766" t="s">
        <v>1349</v>
      </c>
      <c r="D133" s="766" t="s">
        <v>831</v>
      </c>
      <c r="E133" s="766" t="s">
        <v>442</v>
      </c>
      <c r="F133" s="923">
        <v>2007</v>
      </c>
      <c r="G133" s="924">
        <v>2010</v>
      </c>
      <c r="H133" s="923">
        <v>2015</v>
      </c>
      <c r="I133" s="923">
        <v>2020</v>
      </c>
      <c r="J133" s="923">
        <v>2025</v>
      </c>
      <c r="K133" s="923">
        <v>2030</v>
      </c>
      <c r="L133" s="923">
        <v>2035</v>
      </c>
      <c r="M133" s="923">
        <v>2040</v>
      </c>
      <c r="N133" s="923">
        <v>2045</v>
      </c>
      <c r="O133" s="923">
        <v>2050</v>
      </c>
      <c r="P133" s="1229"/>
      <c r="S133" s="1628"/>
      <c r="V133" s="1688"/>
      <c r="W133" s="1688"/>
      <c r="X133" s="1688"/>
      <c r="Y133" s="1688"/>
      <c r="Z133" s="1688"/>
    </row>
    <row r="134" spans="2:27" s="715" customFormat="1" ht="15.75" hidden="1" outlineLevel="1">
      <c r="B134" s="1617"/>
      <c r="C134" s="792" t="s">
        <v>1365</v>
      </c>
      <c r="D134" s="792" t="s">
        <v>1372</v>
      </c>
      <c r="E134" s="937"/>
      <c r="F134" s="2165"/>
      <c r="G134" s="1684">
        <f>(Unit.TJ)*875</f>
        <v>0.24305555555555555</v>
      </c>
      <c r="H134" s="1681">
        <f>(Unit.TJ)*875</f>
        <v>0.24305555555555555</v>
      </c>
      <c r="I134" s="1681">
        <f>(Unit.TJ)*834</f>
        <v>0.23166666666666666</v>
      </c>
      <c r="J134" s="1681">
        <f>(Unit.TJ)*753</f>
        <v>0.20916666666666667</v>
      </c>
      <c r="K134" s="1681">
        <f>(Unit.TJ)*671</f>
        <v>0.18638888888888888</v>
      </c>
      <c r="L134" s="1681">
        <f>(Unit.TJ)*590</f>
        <v>0.16388888888888889</v>
      </c>
      <c r="M134" s="1681">
        <f>(Unit.TJ)*535</f>
        <v>0.14861111111111111</v>
      </c>
      <c r="N134" s="1681">
        <f>(Unit.TJ)*506</f>
        <v>0.14055555555555554</v>
      </c>
      <c r="O134" s="1681">
        <f>(Unit.TJ)*488</f>
        <v>0.13555555555555557</v>
      </c>
      <c r="P134" s="1229"/>
      <c r="S134" s="1628"/>
      <c r="V134" s="1688"/>
      <c r="W134" s="1688"/>
      <c r="X134" s="1688"/>
      <c r="Y134" s="1688"/>
      <c r="Z134" s="1688"/>
    </row>
    <row r="135" spans="2:27" s="715" customFormat="1" ht="15.75" hidden="1" outlineLevel="1">
      <c r="B135" s="1617"/>
      <c r="C135" s="832"/>
      <c r="D135" s="832"/>
      <c r="E135" s="1254"/>
      <c r="F135" s="1656"/>
      <c r="G135" s="540"/>
      <c r="H135" s="540"/>
      <c r="I135" s="540"/>
      <c r="J135" s="540"/>
      <c r="K135" s="540"/>
      <c r="L135" s="540"/>
      <c r="M135" s="540"/>
      <c r="N135" s="540"/>
      <c r="O135" s="540"/>
      <c r="P135" s="1229"/>
      <c r="S135" s="1628"/>
      <c r="V135" s="1688"/>
      <c r="W135" s="1688"/>
      <c r="X135" s="1688"/>
      <c r="Y135" s="1688"/>
      <c r="Z135" s="1688"/>
    </row>
    <row r="136" spans="2:27" s="715" customFormat="1" ht="15.75" hidden="1" outlineLevel="1">
      <c r="B136" s="1617"/>
      <c r="C136" s="1659" t="s">
        <v>1917</v>
      </c>
      <c r="D136" s="832"/>
      <c r="E136" s="1254"/>
      <c r="F136" s="1614"/>
      <c r="G136" s="1615"/>
      <c r="H136" s="1615"/>
      <c r="I136" s="1615"/>
      <c r="J136" s="1615"/>
      <c r="K136" s="934"/>
      <c r="L136" s="934"/>
      <c r="M136" s="934"/>
      <c r="N136" s="934"/>
      <c r="O136" s="934" t="str">
        <f>Preferences.EnergyUnits</f>
        <v>TWh</v>
      </c>
      <c r="P136" s="1229"/>
      <c r="S136" s="1635"/>
    </row>
    <row r="137" spans="2:27" s="715" customFormat="1" ht="5.25" hidden="1" customHeight="1" outlineLevel="1">
      <c r="B137" s="1617"/>
      <c r="C137" s="1619"/>
      <c r="D137" s="832"/>
      <c r="E137" s="1254"/>
      <c r="F137" s="1614"/>
      <c r="G137" s="1615"/>
      <c r="H137" s="1615"/>
      <c r="I137" s="1615"/>
      <c r="J137" s="1615"/>
      <c r="K137" s="934"/>
      <c r="L137" s="934"/>
      <c r="M137" s="934"/>
      <c r="N137" s="934"/>
      <c r="O137" s="934"/>
      <c r="P137" s="1229"/>
    </row>
    <row r="138" spans="2:27" s="715" customFormat="1" ht="15.75" hidden="1" outlineLevel="1">
      <c r="B138" s="1617"/>
      <c r="C138" s="766" t="s">
        <v>1349</v>
      </c>
      <c r="D138" s="766" t="s">
        <v>79</v>
      </c>
      <c r="E138" s="766" t="s">
        <v>442</v>
      </c>
      <c r="F138" s="923">
        <v>2007</v>
      </c>
      <c r="G138" s="924">
        <v>2010</v>
      </c>
      <c r="H138" s="923">
        <v>2015</v>
      </c>
      <c r="I138" s="923">
        <v>2020</v>
      </c>
      <c r="J138" s="923">
        <v>2025</v>
      </c>
      <c r="K138" s="923">
        <v>2030</v>
      </c>
      <c r="L138" s="923">
        <v>2035</v>
      </c>
      <c r="M138" s="923">
        <v>2040</v>
      </c>
      <c r="N138" s="923">
        <v>2045</v>
      </c>
      <c r="O138" s="923">
        <v>2050</v>
      </c>
      <c r="P138" s="1229"/>
      <c r="Q138" s="1634"/>
    </row>
    <row r="139" spans="2:27" s="715" customFormat="1" ht="15.75" hidden="1" outlineLevel="1">
      <c r="B139" s="1617"/>
      <c r="C139" s="792" t="s">
        <v>1368</v>
      </c>
      <c r="D139" s="792" t="s">
        <v>1432</v>
      </c>
      <c r="E139" s="937"/>
      <c r="F139" s="1691">
        <f>(8434-2900-1246)*Unit.GWh</f>
        <v>4.2880000000000003</v>
      </c>
      <c r="G139" s="1692">
        <f>F$139</f>
        <v>4.2880000000000003</v>
      </c>
      <c r="H139" s="1691">
        <f t="shared" ref="H139:O139" si="9">G$139</f>
        <v>4.2880000000000003</v>
      </c>
      <c r="I139" s="1691">
        <f t="shared" si="9"/>
        <v>4.2880000000000003</v>
      </c>
      <c r="J139" s="1691">
        <f t="shared" si="9"/>
        <v>4.2880000000000003</v>
      </c>
      <c r="K139" s="1691">
        <f t="shared" si="9"/>
        <v>4.2880000000000003</v>
      </c>
      <c r="L139" s="1691">
        <f t="shared" si="9"/>
        <v>4.2880000000000003</v>
      </c>
      <c r="M139" s="1691">
        <f t="shared" si="9"/>
        <v>4.2880000000000003</v>
      </c>
      <c r="N139" s="1691">
        <f t="shared" si="9"/>
        <v>4.2880000000000003</v>
      </c>
      <c r="O139" s="1691">
        <f t="shared" si="9"/>
        <v>4.2880000000000003</v>
      </c>
      <c r="P139" s="1229"/>
    </row>
    <row r="140" spans="2:27" s="715" customFormat="1" ht="15.75" hidden="1" outlineLevel="1">
      <c r="B140" s="1617"/>
      <c r="C140" s="1619"/>
      <c r="D140" s="832"/>
      <c r="E140" s="1254"/>
      <c r="F140" s="1614"/>
      <c r="G140" s="1615"/>
      <c r="H140" s="1615"/>
      <c r="I140" s="1615"/>
      <c r="J140" s="1615"/>
      <c r="K140" s="934"/>
      <c r="L140" s="934"/>
      <c r="M140" s="934"/>
      <c r="N140" s="934"/>
      <c r="O140" s="934"/>
      <c r="P140" s="1229"/>
    </row>
    <row r="141" spans="2:27" s="715" customFormat="1" ht="15.75" hidden="1" outlineLevel="1">
      <c r="B141" s="1617"/>
      <c r="C141" s="1619"/>
      <c r="D141" s="832"/>
      <c r="E141" s="1254"/>
      <c r="F141" s="1614"/>
      <c r="G141" s="1615"/>
      <c r="H141" s="1615"/>
      <c r="I141" s="1615"/>
      <c r="J141" s="1615"/>
      <c r="K141" s="934"/>
      <c r="L141" s="934"/>
      <c r="M141" s="934"/>
      <c r="N141" s="934"/>
      <c r="O141" s="934"/>
      <c r="P141" s="1229"/>
    </row>
    <row r="142" spans="2:27" s="715" customFormat="1" ht="15.75" hidden="1" outlineLevel="1">
      <c r="B142" s="1617"/>
      <c r="C142" s="831" t="s">
        <v>717</v>
      </c>
      <c r="D142" s="1085"/>
      <c r="E142" s="832"/>
      <c r="F142" s="1614"/>
      <c r="G142" s="1615"/>
      <c r="H142" s="1615"/>
      <c r="I142" s="1615"/>
      <c r="J142" s="1615"/>
      <c r="K142" s="934"/>
      <c r="L142" s="934"/>
      <c r="M142" s="934"/>
      <c r="N142" s="934"/>
      <c r="O142" s="934"/>
      <c r="P142" s="1229"/>
      <c r="S142" s="1635"/>
    </row>
    <row r="143" spans="2:27" s="715" customFormat="1" ht="15.75" hidden="1" outlineLevel="1">
      <c r="B143" s="1617"/>
      <c r="C143" s="946" t="s">
        <v>109</v>
      </c>
      <c r="D143" s="832" t="s">
        <v>1907</v>
      </c>
      <c r="E143" s="832"/>
      <c r="F143" s="1614"/>
      <c r="G143" s="1615"/>
      <c r="H143" s="1615"/>
      <c r="I143" s="1615"/>
      <c r="J143" s="1615"/>
      <c r="K143" s="934"/>
      <c r="L143" s="934"/>
      <c r="M143" s="934"/>
      <c r="N143" s="934"/>
      <c r="O143" s="934"/>
      <c r="P143" s="1229"/>
    </row>
    <row r="144" spans="2:27" s="715" customFormat="1" ht="15.75" hidden="1" outlineLevel="1">
      <c r="B144" s="1617"/>
      <c r="C144" s="946"/>
      <c r="D144" s="832" t="s">
        <v>1421</v>
      </c>
      <c r="E144" s="832"/>
      <c r="F144" s="1614"/>
      <c r="G144" s="1615"/>
      <c r="H144" s="1615"/>
      <c r="I144" s="1615"/>
      <c r="J144" s="1615"/>
      <c r="K144" s="934"/>
      <c r="L144" s="934"/>
      <c r="M144" s="934"/>
      <c r="N144" s="934"/>
      <c r="O144" s="934"/>
      <c r="P144" s="1229"/>
      <c r="S144" s="1627"/>
      <c r="T144" s="1627"/>
      <c r="V144" s="1627"/>
      <c r="W144" s="1627"/>
      <c r="X144" s="1686"/>
    </row>
    <row r="145" spans="1:24" s="715" customFormat="1" ht="15.75" hidden="1" outlineLevel="1">
      <c r="B145" s="1617"/>
      <c r="C145" s="946" t="s">
        <v>439</v>
      </c>
      <c r="D145" s="832" t="s">
        <v>1906</v>
      </c>
      <c r="E145" s="832"/>
      <c r="F145" s="1614"/>
      <c r="G145" s="1615"/>
      <c r="H145" s="1615"/>
      <c r="I145" s="1615"/>
      <c r="J145" s="1615"/>
      <c r="K145" s="934"/>
      <c r="L145" s="934"/>
      <c r="M145" s="934"/>
      <c r="N145" s="934"/>
      <c r="O145" s="934"/>
      <c r="P145" s="1229"/>
      <c r="S145" s="1627"/>
      <c r="T145" s="1627"/>
      <c r="V145" s="1627"/>
      <c r="W145" s="1627"/>
      <c r="X145" s="1686"/>
    </row>
    <row r="146" spans="1:24" s="715" customFormat="1" ht="15.75" hidden="1" outlineLevel="1">
      <c r="B146" s="1617"/>
      <c r="C146" s="946" t="s">
        <v>117</v>
      </c>
      <c r="D146" s="832" t="s">
        <v>1433</v>
      </c>
      <c r="E146" s="832"/>
      <c r="F146" s="1614"/>
      <c r="G146" s="1615"/>
      <c r="H146" s="1615"/>
      <c r="I146" s="1615"/>
      <c r="J146" s="1615"/>
      <c r="K146" s="934"/>
      <c r="L146" s="934"/>
      <c r="M146" s="934"/>
      <c r="N146" s="934"/>
      <c r="O146" s="934"/>
      <c r="P146" s="1229"/>
      <c r="S146" s="1627"/>
      <c r="T146" s="1627"/>
      <c r="V146" s="1627"/>
      <c r="W146" s="1627"/>
      <c r="X146" s="1686"/>
    </row>
    <row r="147" spans="1:24" s="715" customFormat="1" ht="15.75" hidden="1" outlineLevel="1">
      <c r="B147" s="1617"/>
      <c r="C147" s="946"/>
      <c r="D147" s="832" t="s">
        <v>1702</v>
      </c>
      <c r="E147" s="832"/>
      <c r="F147" s="1614"/>
      <c r="G147" s="1615"/>
      <c r="H147" s="1615"/>
      <c r="I147" s="1615"/>
      <c r="J147" s="1615"/>
      <c r="K147" s="934"/>
      <c r="L147" s="934"/>
      <c r="M147" s="934"/>
      <c r="N147" s="934"/>
      <c r="O147" s="934"/>
      <c r="P147" s="1229"/>
      <c r="S147" s="1627"/>
      <c r="T147" s="1627"/>
      <c r="V147" s="1627"/>
      <c r="W147" s="1627"/>
      <c r="X147" s="1686"/>
    </row>
    <row r="148" spans="1:24" s="715" customFormat="1" ht="15.75" hidden="1" outlineLevel="1">
      <c r="B148" s="1617"/>
      <c r="C148" s="946"/>
      <c r="D148" s="832"/>
      <c r="E148" s="832"/>
      <c r="F148" s="1614"/>
      <c r="G148" s="1615"/>
      <c r="H148" s="1615"/>
      <c r="I148" s="1615"/>
      <c r="J148" s="1615"/>
      <c r="K148" s="934"/>
      <c r="L148" s="934"/>
      <c r="M148" s="934"/>
      <c r="N148" s="934"/>
      <c r="O148" s="934"/>
      <c r="P148" s="1229"/>
      <c r="S148" s="1627"/>
      <c r="T148" s="1627"/>
      <c r="V148" s="1627"/>
      <c r="W148" s="1627"/>
      <c r="X148" s="1686"/>
    </row>
    <row r="149" spans="1:24" s="715" customFormat="1" hidden="1" outlineLevel="1">
      <c r="B149" s="121"/>
      <c r="C149" s="121"/>
      <c r="D149" s="121"/>
      <c r="E149" s="121"/>
      <c r="F149" s="121"/>
      <c r="G149" s="121"/>
      <c r="H149" s="121"/>
      <c r="I149" s="121"/>
      <c r="J149" s="121"/>
      <c r="K149" s="121"/>
      <c r="L149" s="121"/>
      <c r="M149" s="121"/>
      <c r="N149" s="121"/>
      <c r="O149" s="121"/>
      <c r="P149" s="121"/>
      <c r="R149" s="1635"/>
      <c r="V149" s="1686"/>
      <c r="W149" s="1686"/>
      <c r="X149" s="1686"/>
    </row>
    <row r="150" spans="1:24" s="715" customFormat="1" ht="22.5" hidden="1" outlineLevel="1">
      <c r="A150" s="1671"/>
      <c r="B150" s="1236" t="s">
        <v>817</v>
      </c>
      <c r="C150" s="1264"/>
      <c r="D150" s="1264"/>
      <c r="E150" s="1264"/>
      <c r="F150" s="1264"/>
      <c r="G150" s="1264"/>
      <c r="H150" s="1264"/>
      <c r="I150" s="1264"/>
      <c r="J150" s="1264"/>
      <c r="K150" s="1264"/>
      <c r="L150" s="1264"/>
      <c r="M150" s="1264"/>
      <c r="N150" s="1264"/>
      <c r="O150" s="1264"/>
      <c r="P150" s="1265"/>
    </row>
    <row r="151" spans="1:24" s="715" customFormat="1" hidden="1" outlineLevel="1">
      <c r="B151" s="1157"/>
      <c r="C151" s="864"/>
      <c r="D151" s="864"/>
      <c r="E151" s="864"/>
      <c r="F151" s="864"/>
      <c r="G151" s="864"/>
      <c r="H151" s="864"/>
      <c r="I151" s="864"/>
      <c r="J151" s="864"/>
      <c r="K151" s="864"/>
      <c r="L151" s="864"/>
      <c r="M151" s="864"/>
      <c r="N151" s="864"/>
      <c r="O151" s="864"/>
      <c r="P151" s="1158"/>
      <c r="V151" s="1686"/>
      <c r="W151" s="1686"/>
      <c r="X151" s="1686"/>
    </row>
    <row r="152" spans="1:24" s="715" customFormat="1" hidden="1" outlineLevel="1">
      <c r="B152" s="1160">
        <v>1</v>
      </c>
      <c r="C152" s="866" t="s">
        <v>1422</v>
      </c>
      <c r="D152" s="864"/>
      <c r="E152" s="867"/>
      <c r="F152" s="864"/>
      <c r="G152" s="1652"/>
      <c r="H152" s="864"/>
      <c r="I152" s="864"/>
      <c r="J152" s="867"/>
      <c r="K152" s="864"/>
      <c r="L152" s="864"/>
      <c r="M152" s="864"/>
      <c r="N152" s="864"/>
      <c r="O152" s="867" t="s">
        <v>1418</v>
      </c>
      <c r="P152" s="1158"/>
    </row>
    <row r="153" spans="1:24" s="715" customFormat="1" ht="5.25" hidden="1" customHeight="1" outlineLevel="1">
      <c r="B153" s="1160"/>
      <c r="C153" s="864"/>
      <c r="D153" s="864"/>
      <c r="E153" s="864"/>
      <c r="F153" s="864"/>
      <c r="G153" s="864"/>
      <c r="H153" s="864"/>
      <c r="I153" s="864"/>
      <c r="J153" s="864"/>
      <c r="K153" s="864"/>
      <c r="L153" s="864"/>
      <c r="M153" s="864"/>
      <c r="N153" s="864"/>
      <c r="O153" s="864"/>
      <c r="P153" s="1158"/>
    </row>
    <row r="154" spans="1:24" s="715" customFormat="1" ht="15.75" hidden="1" outlineLevel="1">
      <c r="B154" s="1672"/>
      <c r="C154" s="771" t="s">
        <v>83</v>
      </c>
      <c r="D154" s="766" t="s">
        <v>1349</v>
      </c>
      <c r="E154" s="766" t="s">
        <v>442</v>
      </c>
      <c r="F154" s="923">
        <v>2007</v>
      </c>
      <c r="G154" s="924">
        <v>2010</v>
      </c>
      <c r="H154" s="923">
        <v>2015</v>
      </c>
      <c r="I154" s="923">
        <v>2020</v>
      </c>
      <c r="J154" s="923">
        <v>2025</v>
      </c>
      <c r="K154" s="923">
        <v>2030</v>
      </c>
      <c r="L154" s="923">
        <v>2035</v>
      </c>
      <c r="M154" s="923">
        <v>2040</v>
      </c>
      <c r="N154" s="923">
        <v>2045</v>
      </c>
      <c r="O154" s="923">
        <v>2050</v>
      </c>
      <c r="P154" s="1158"/>
    </row>
    <row r="155" spans="1:24" s="715" customFormat="1" ht="15.75" hidden="1" outlineLevel="1">
      <c r="B155" s="1672"/>
      <c r="C155" s="946" t="s">
        <v>1412</v>
      </c>
      <c r="D155" s="832" t="s">
        <v>1413</v>
      </c>
      <c r="E155" s="1254"/>
      <c r="F155" s="1658">
        <f t="shared" ref="F155:F160" si="10">F25</f>
        <v>2.1680038900835603E-2</v>
      </c>
      <c r="G155" s="2189">
        <f t="shared" ref="G155:G160" si="11">$F155+($O155-$F155)/($O$154-$F$154)*(G$154-$F$154)</f>
        <v>2.1702361768219165E-2</v>
      </c>
      <c r="H155" s="2190">
        <f t="shared" ref="H155:N160" si="12">$F155+($O155-$F155)/($O$154-$F$154)*(H$154-$F$154)</f>
        <v>2.1739566547191769E-2</v>
      </c>
      <c r="I155" s="2190">
        <f t="shared" si="12"/>
        <v>2.1776771326164374E-2</v>
      </c>
      <c r="J155" s="2190">
        <f t="shared" si="12"/>
        <v>2.1813976105136978E-2</v>
      </c>
      <c r="K155" s="2191">
        <f t="shared" si="12"/>
        <v>2.1851180884109582E-2</v>
      </c>
      <c r="L155" s="2191">
        <f t="shared" si="12"/>
        <v>2.1888385663082186E-2</v>
      </c>
      <c r="M155" s="2191">
        <f t="shared" si="12"/>
        <v>2.192559044205479E-2</v>
      </c>
      <c r="N155" s="2191">
        <f t="shared" si="12"/>
        <v>2.1962795221027395E-2</v>
      </c>
      <c r="O155" s="1674">
        <f t="shared" ref="O155:O160" si="13">INDEX($G25:$J25, MATCH($E$8, $G$24:$J$24, 0))</f>
        <v>2.1999999999999999E-2</v>
      </c>
      <c r="P155" s="1158"/>
    </row>
    <row r="156" spans="1:24" s="715" customFormat="1" ht="15.75" hidden="1" outlineLevel="1">
      <c r="B156" s="1672"/>
      <c r="C156" s="946" t="s">
        <v>1367</v>
      </c>
      <c r="D156" s="832" t="s">
        <v>1360</v>
      </c>
      <c r="E156" s="1254"/>
      <c r="F156" s="1658">
        <f t="shared" si="10"/>
        <v>5.084268859379436E-3</v>
      </c>
      <c r="G156" s="2192">
        <f t="shared" si="11"/>
        <v>5.2179245203529635E-3</v>
      </c>
      <c r="H156" s="2193">
        <f t="shared" si="12"/>
        <v>5.4406839553088433E-3</v>
      </c>
      <c r="I156" s="2190">
        <f t="shared" si="12"/>
        <v>5.6634433902647231E-3</v>
      </c>
      <c r="J156" s="2193">
        <f t="shared" si="12"/>
        <v>5.886202825220602E-3</v>
      </c>
      <c r="K156" s="2191">
        <f t="shared" si="12"/>
        <v>6.1089622601764818E-3</v>
      </c>
      <c r="L156" s="2191">
        <f t="shared" si="12"/>
        <v>6.3317216951323616E-3</v>
      </c>
      <c r="M156" s="2191">
        <f t="shared" si="12"/>
        <v>6.5544811300882414E-3</v>
      </c>
      <c r="N156" s="2191">
        <f t="shared" si="12"/>
        <v>6.7772405650441203E-3</v>
      </c>
      <c r="O156" s="1674">
        <f t="shared" si="13"/>
        <v>7.0000000000000001E-3</v>
      </c>
      <c r="P156" s="1158"/>
    </row>
    <row r="157" spans="1:24" s="715" customFormat="1" ht="15.75" hidden="1" outlineLevel="1">
      <c r="B157" s="1672"/>
      <c r="C157" s="946" t="s">
        <v>1365</v>
      </c>
      <c r="D157" s="832" t="s">
        <v>1414</v>
      </c>
      <c r="E157" s="1254"/>
      <c r="F157" s="1658">
        <f t="shared" si="10"/>
        <v>0.83210317944207202</v>
      </c>
      <c r="G157" s="2192">
        <f t="shared" si="11"/>
        <v>0.83146807389960187</v>
      </c>
      <c r="H157" s="2193">
        <f t="shared" si="12"/>
        <v>0.83040956466215166</v>
      </c>
      <c r="I157" s="2193">
        <f t="shared" si="12"/>
        <v>0.82935105542470144</v>
      </c>
      <c r="J157" s="2193">
        <f t="shared" si="12"/>
        <v>0.82829254618725112</v>
      </c>
      <c r="K157" s="2191">
        <f t="shared" si="12"/>
        <v>0.82723403694980091</v>
      </c>
      <c r="L157" s="2191">
        <f t="shared" si="12"/>
        <v>0.8261755277123507</v>
      </c>
      <c r="M157" s="2191">
        <f t="shared" si="12"/>
        <v>0.82511701847490049</v>
      </c>
      <c r="N157" s="2191">
        <f t="shared" si="12"/>
        <v>0.82405850923745017</v>
      </c>
      <c r="O157" s="1674">
        <f t="shared" si="13"/>
        <v>0.82299999999999995</v>
      </c>
      <c r="P157" s="1158"/>
    </row>
    <row r="158" spans="1:24" s="715" customFormat="1" ht="15.75" hidden="1" outlineLevel="1">
      <c r="B158" s="1672"/>
      <c r="C158" s="946" t="s">
        <v>1366</v>
      </c>
      <c r="D158" s="832" t="s">
        <v>1415</v>
      </c>
      <c r="E158" s="1254"/>
      <c r="F158" s="1658">
        <f t="shared" si="10"/>
        <v>5.9627670922358024E-2</v>
      </c>
      <c r="G158" s="2192">
        <f t="shared" si="11"/>
        <v>6.0490856671960955E-2</v>
      </c>
      <c r="H158" s="2193">
        <f t="shared" si="12"/>
        <v>6.1929499587965835E-2</v>
      </c>
      <c r="I158" s="2193">
        <f t="shared" si="12"/>
        <v>6.3368142503970715E-2</v>
      </c>
      <c r="J158" s="2193">
        <f t="shared" si="12"/>
        <v>6.4806785419975588E-2</v>
      </c>
      <c r="K158" s="2191">
        <f t="shared" si="12"/>
        <v>6.6245428335980475E-2</v>
      </c>
      <c r="L158" s="2191">
        <f t="shared" si="12"/>
        <v>6.7684071251985362E-2</v>
      </c>
      <c r="M158" s="2191">
        <f t="shared" si="12"/>
        <v>6.9122714167990235E-2</v>
      </c>
      <c r="N158" s="2191">
        <f t="shared" si="12"/>
        <v>7.0561357083995108E-2</v>
      </c>
      <c r="O158" s="1674">
        <f t="shared" si="13"/>
        <v>7.1999999999999995E-2</v>
      </c>
      <c r="P158" s="1158"/>
    </row>
    <row r="159" spans="1:24" s="715" customFormat="1" ht="15.75" hidden="1" outlineLevel="1">
      <c r="B159" s="1672"/>
      <c r="C159" s="946" t="s">
        <v>1368</v>
      </c>
      <c r="D159" s="832" t="s">
        <v>1416</v>
      </c>
      <c r="E159" s="1254"/>
      <c r="F159" s="1658">
        <f t="shared" si="10"/>
        <v>7.0097236274669239E-2</v>
      </c>
      <c r="G159" s="2192">
        <f t="shared" si="11"/>
        <v>6.9043940720622546E-2</v>
      </c>
      <c r="H159" s="2193">
        <f t="shared" si="12"/>
        <v>6.7288448130544729E-2</v>
      </c>
      <c r="I159" s="2193">
        <f t="shared" si="12"/>
        <v>6.5532955540466911E-2</v>
      </c>
      <c r="J159" s="2193">
        <f t="shared" si="12"/>
        <v>6.3777462950389094E-2</v>
      </c>
      <c r="K159" s="2191">
        <f t="shared" si="12"/>
        <v>6.2021970360311277E-2</v>
      </c>
      <c r="L159" s="2191">
        <f t="shared" si="12"/>
        <v>6.0266477770233459E-2</v>
      </c>
      <c r="M159" s="2191">
        <f t="shared" si="12"/>
        <v>5.8510985180155635E-2</v>
      </c>
      <c r="N159" s="2191">
        <f t="shared" si="12"/>
        <v>5.6755492590077818E-2</v>
      </c>
      <c r="O159" s="1674">
        <f t="shared" si="13"/>
        <v>5.5E-2</v>
      </c>
      <c r="P159" s="1158"/>
    </row>
    <row r="160" spans="1:24" s="715" customFormat="1" ht="15.75" hidden="1" outlineLevel="1">
      <c r="B160" s="1672"/>
      <c r="C160" s="1616" t="s">
        <v>1369</v>
      </c>
      <c r="D160" s="770" t="s">
        <v>1417</v>
      </c>
      <c r="E160" s="770"/>
      <c r="F160" s="1673">
        <f t="shared" si="10"/>
        <v>1.1407605600685865E-2</v>
      </c>
      <c r="G160" s="2194">
        <f t="shared" si="11"/>
        <v>1.2076842419242666E-2</v>
      </c>
      <c r="H160" s="2195">
        <f t="shared" si="12"/>
        <v>1.3192237116837332E-2</v>
      </c>
      <c r="I160" s="2195">
        <f t="shared" si="12"/>
        <v>1.4307631814431999E-2</v>
      </c>
      <c r="J160" s="2195">
        <f t="shared" si="12"/>
        <v>1.5423026512026667E-2</v>
      </c>
      <c r="K160" s="2195">
        <f t="shared" si="12"/>
        <v>1.6538421209621332E-2</v>
      </c>
      <c r="L160" s="2195">
        <f t="shared" si="12"/>
        <v>1.7653815907216E-2</v>
      </c>
      <c r="M160" s="2195">
        <f t="shared" si="12"/>
        <v>1.8769210604810668E-2</v>
      </c>
      <c r="N160" s="2195">
        <f t="shared" si="12"/>
        <v>1.9884605302405337E-2</v>
      </c>
      <c r="O160" s="1678">
        <f t="shared" si="13"/>
        <v>2.1000000000000001E-2</v>
      </c>
      <c r="P160" s="1158"/>
    </row>
    <row r="161" spans="1:24" s="715" customFormat="1" hidden="1" outlineLevel="1">
      <c r="B161" s="1160"/>
      <c r="C161" s="831"/>
      <c r="D161" s="1085" t="s">
        <v>148</v>
      </c>
      <c r="E161" s="832"/>
      <c r="F161" s="1614">
        <f t="shared" ref="F161:O161" si="14">SUM(F155:F160)</f>
        <v>1</v>
      </c>
      <c r="G161" s="1615">
        <f t="shared" si="14"/>
        <v>1.0000000000000002</v>
      </c>
      <c r="H161" s="1615">
        <f t="shared" si="14"/>
        <v>1</v>
      </c>
      <c r="I161" s="1615">
        <f t="shared" si="14"/>
        <v>1.0000000000000002</v>
      </c>
      <c r="J161" s="1615">
        <f t="shared" si="14"/>
        <v>1.0000000000000002</v>
      </c>
      <c r="K161" s="1615">
        <f t="shared" si="14"/>
        <v>1</v>
      </c>
      <c r="L161" s="1615">
        <f t="shared" si="14"/>
        <v>1</v>
      </c>
      <c r="M161" s="1615">
        <f t="shared" si="14"/>
        <v>1</v>
      </c>
      <c r="N161" s="1615">
        <f t="shared" si="14"/>
        <v>1</v>
      </c>
      <c r="O161" s="1615">
        <f t="shared" si="14"/>
        <v>1</v>
      </c>
      <c r="P161" s="1158"/>
      <c r="V161" s="1686"/>
      <c r="W161" s="1686"/>
      <c r="X161" s="1686"/>
    </row>
    <row r="162" spans="1:24" s="715" customFormat="1" hidden="1" outlineLevel="1">
      <c r="B162" s="1160"/>
      <c r="C162" s="866"/>
      <c r="D162" s="864"/>
      <c r="E162" s="864"/>
      <c r="F162" s="864"/>
      <c r="G162" s="864"/>
      <c r="H162" s="864"/>
      <c r="I162" s="864"/>
      <c r="J162" s="864"/>
      <c r="K162" s="864"/>
      <c r="L162" s="864"/>
      <c r="M162" s="864"/>
      <c r="N162" s="864"/>
      <c r="O162" s="864"/>
      <c r="P162" s="1158"/>
      <c r="V162" s="1686"/>
      <c r="W162" s="1686"/>
      <c r="X162" s="1686"/>
    </row>
    <row r="163" spans="1:24" s="715" customFormat="1" hidden="1" outlineLevel="1">
      <c r="B163" s="1160">
        <v>2</v>
      </c>
      <c r="C163" s="866" t="s">
        <v>1423</v>
      </c>
      <c r="D163" s="864"/>
      <c r="E163" s="864"/>
      <c r="F163" s="864"/>
      <c r="G163" s="864"/>
      <c r="H163" s="864"/>
      <c r="I163" s="864"/>
      <c r="J163" s="864"/>
      <c r="K163" s="864"/>
      <c r="L163" s="864"/>
      <c r="M163" s="864"/>
      <c r="N163" s="864"/>
      <c r="O163" s="864"/>
      <c r="P163" s="1158"/>
      <c r="V163" s="1686"/>
      <c r="W163" s="1686"/>
      <c r="X163" s="1686"/>
    </row>
    <row r="164" spans="1:24" s="715" customFormat="1" ht="6.75" hidden="1" customHeight="1" outlineLevel="1">
      <c r="B164" s="1157"/>
      <c r="C164" s="1619"/>
      <c r="D164" s="832"/>
      <c r="E164" s="1254"/>
      <c r="F164" s="1614"/>
      <c r="G164" s="1615"/>
      <c r="H164" s="1615"/>
      <c r="I164" s="1615"/>
      <c r="J164" s="1615"/>
      <c r="K164" s="934"/>
      <c r="L164" s="934"/>
      <c r="M164" s="934"/>
      <c r="N164" s="934"/>
      <c r="O164" s="934"/>
      <c r="P164" s="1158"/>
      <c r="V164" s="1686"/>
      <c r="W164" s="1686"/>
      <c r="X164" s="1686"/>
    </row>
    <row r="165" spans="1:24" s="715" customFormat="1" hidden="1" outlineLevel="1">
      <c r="B165" s="1157"/>
      <c r="C165" s="1659" t="s">
        <v>1254</v>
      </c>
      <c r="D165" s="832"/>
      <c r="E165" s="1254"/>
      <c r="F165" s="1614"/>
      <c r="G165" s="1615"/>
      <c r="H165" s="1615"/>
      <c r="I165" s="1615"/>
      <c r="J165" s="1615"/>
      <c r="K165" s="934"/>
      <c r="L165" s="934"/>
      <c r="M165" s="934"/>
      <c r="N165" s="934"/>
      <c r="O165" s="934" t="s">
        <v>1429</v>
      </c>
      <c r="P165" s="1158"/>
    </row>
    <row r="166" spans="1:24" s="715" customFormat="1" ht="5.25" hidden="1" customHeight="1" outlineLevel="1">
      <c r="A166" s="1671"/>
      <c r="B166" s="1157"/>
      <c r="C166" s="1619"/>
      <c r="D166" s="832"/>
      <c r="E166" s="1254"/>
      <c r="F166" s="1614"/>
      <c r="G166" s="1615"/>
      <c r="H166" s="1615"/>
      <c r="I166" s="1615"/>
      <c r="J166" s="1615"/>
      <c r="K166" s="934"/>
      <c r="L166" s="934"/>
      <c r="M166" s="934"/>
      <c r="N166" s="934"/>
      <c r="O166" s="934"/>
      <c r="P166" s="1158"/>
    </row>
    <row r="167" spans="1:24" s="715" customFormat="1" ht="15.75" hidden="1" outlineLevel="1">
      <c r="B167" s="1159"/>
      <c r="C167" s="766" t="s">
        <v>1349</v>
      </c>
      <c r="D167" s="766" t="s">
        <v>831</v>
      </c>
      <c r="E167" s="766" t="s">
        <v>442</v>
      </c>
      <c r="F167" s="923">
        <v>2007</v>
      </c>
      <c r="G167" s="924">
        <v>2010</v>
      </c>
      <c r="H167" s="923">
        <v>2015</v>
      </c>
      <c r="I167" s="923">
        <v>2020</v>
      </c>
      <c r="J167" s="923">
        <v>2025</v>
      </c>
      <c r="K167" s="923">
        <v>2030</v>
      </c>
      <c r="L167" s="923">
        <v>2035</v>
      </c>
      <c r="M167" s="923">
        <v>2040</v>
      </c>
      <c r="N167" s="923">
        <v>2045</v>
      </c>
      <c r="O167" s="923">
        <v>2050</v>
      </c>
      <c r="P167" s="1158"/>
    </row>
    <row r="168" spans="1:24" s="715" customFormat="1" ht="15.75" hidden="1" outlineLevel="1">
      <c r="B168" s="1159"/>
      <c r="C168" s="833" t="s">
        <v>1365</v>
      </c>
      <c r="D168" s="833" t="s">
        <v>1370</v>
      </c>
      <c r="E168" s="1649"/>
      <c r="F168" s="1663">
        <f t="array" ref="F168:O177">CHOOSE($E$9, $F$47:$O$56, $F$61:$O$70, $F$75:$O$84, $F$89:$O$98)</f>
        <v>1</v>
      </c>
      <c r="G168" s="1667">
        <v>1</v>
      </c>
      <c r="H168" s="1663">
        <v>0.996</v>
      </c>
      <c r="I168" s="1663">
        <v>0.99199999999999999</v>
      </c>
      <c r="J168" s="1663">
        <v>0.95599999999999996</v>
      </c>
      <c r="K168" s="1664">
        <v>0.92</v>
      </c>
      <c r="L168" s="1663">
        <v>0.88</v>
      </c>
      <c r="M168" s="1663">
        <v>0.84</v>
      </c>
      <c r="N168" s="1663">
        <v>0.8075</v>
      </c>
      <c r="O168" s="1663">
        <v>0.77500000000000002</v>
      </c>
      <c r="P168" s="1158"/>
    </row>
    <row r="169" spans="1:24" s="715" customFormat="1" ht="15.75" hidden="1" outlineLevel="1">
      <c r="B169" s="1159"/>
      <c r="C169" s="832" t="s">
        <v>1365</v>
      </c>
      <c r="D169" s="832" t="s">
        <v>1896</v>
      </c>
      <c r="E169" s="1254"/>
      <c r="F169" s="1664">
        <v>0</v>
      </c>
      <c r="G169" s="1668">
        <v>0</v>
      </c>
      <c r="H169" s="1664">
        <v>3.5000000000000001E-3</v>
      </c>
      <c r="I169" s="1664">
        <v>7.0000000000000001E-3</v>
      </c>
      <c r="J169" s="1664">
        <v>3.8500000000000006E-2</v>
      </c>
      <c r="K169" s="1664">
        <v>7.0000000000000007E-2</v>
      </c>
      <c r="L169" s="1664">
        <v>0.10500000000000001</v>
      </c>
      <c r="M169" s="1664">
        <v>0.14000000000000001</v>
      </c>
      <c r="N169" s="1664">
        <v>0.17</v>
      </c>
      <c r="O169" s="1664">
        <v>0.2</v>
      </c>
      <c r="P169" s="1158"/>
    </row>
    <row r="170" spans="1:24" s="715" customFormat="1" ht="15.75" hidden="1" outlineLevel="1">
      <c r="B170" s="1159"/>
      <c r="C170" s="832" t="s">
        <v>1365</v>
      </c>
      <c r="D170" s="832" t="s">
        <v>1371</v>
      </c>
      <c r="E170" s="1254"/>
      <c r="F170" s="1664">
        <v>0</v>
      </c>
      <c r="G170" s="1668">
        <v>0</v>
      </c>
      <c r="H170" s="1664">
        <v>5.0000000000000001E-4</v>
      </c>
      <c r="I170" s="1664">
        <v>1E-3</v>
      </c>
      <c r="J170" s="1664">
        <v>5.4999999999999997E-3</v>
      </c>
      <c r="K170" s="1664">
        <v>0.01</v>
      </c>
      <c r="L170" s="1664">
        <v>1.4999999999999999E-2</v>
      </c>
      <c r="M170" s="1664">
        <v>0.02</v>
      </c>
      <c r="N170" s="1664">
        <v>2.2499999999999999E-2</v>
      </c>
      <c r="O170" s="1664">
        <v>2.5000000000000001E-2</v>
      </c>
      <c r="P170" s="1158"/>
    </row>
    <row r="171" spans="1:24" s="715" customFormat="1" ht="15.75" hidden="1" outlineLevel="1">
      <c r="B171" s="1159"/>
      <c r="C171" s="1650" t="s">
        <v>1365</v>
      </c>
      <c r="D171" s="1650" t="s">
        <v>1372</v>
      </c>
      <c r="E171" s="1651"/>
      <c r="F171" s="1665">
        <v>0</v>
      </c>
      <c r="G171" s="1669">
        <v>0</v>
      </c>
      <c r="H171" s="1665">
        <v>0</v>
      </c>
      <c r="I171" s="1665">
        <v>0</v>
      </c>
      <c r="J171" s="1665">
        <v>0</v>
      </c>
      <c r="K171" s="1665">
        <v>0</v>
      </c>
      <c r="L171" s="1665">
        <v>0</v>
      </c>
      <c r="M171" s="1665">
        <v>0</v>
      </c>
      <c r="N171" s="1665">
        <v>0</v>
      </c>
      <c r="O171" s="1665">
        <v>0</v>
      </c>
      <c r="P171" s="1158"/>
    </row>
    <row r="172" spans="1:24" s="715" customFormat="1" ht="15.75" hidden="1" outlineLevel="1">
      <c r="B172" s="1159"/>
      <c r="C172" s="833" t="s">
        <v>1366</v>
      </c>
      <c r="D172" s="833" t="s">
        <v>1370</v>
      </c>
      <c r="E172" s="1649"/>
      <c r="F172" s="1663">
        <v>1</v>
      </c>
      <c r="G172" s="1667">
        <v>0.98699999999999999</v>
      </c>
      <c r="H172" s="1663">
        <v>0.93900000000000006</v>
      </c>
      <c r="I172" s="1663">
        <v>0.89100000000000001</v>
      </c>
      <c r="J172" s="1664">
        <v>0.84250000000000003</v>
      </c>
      <c r="K172" s="1664">
        <v>0.79400000000000004</v>
      </c>
      <c r="L172" s="1663">
        <v>0.746</v>
      </c>
      <c r="M172" s="1663">
        <v>0.69799999999999995</v>
      </c>
      <c r="N172" s="1663">
        <v>0.64949999999999997</v>
      </c>
      <c r="O172" s="1663">
        <v>0.60099999999999998</v>
      </c>
      <c r="P172" s="1158"/>
    </row>
    <row r="173" spans="1:24" s="715" customFormat="1" ht="15.75" hidden="1" outlineLevel="1">
      <c r="B173" s="1159"/>
      <c r="C173" s="832" t="s">
        <v>1366</v>
      </c>
      <c r="D173" s="832" t="s">
        <v>1897</v>
      </c>
      <c r="E173" s="1254"/>
      <c r="F173" s="1664">
        <v>0</v>
      </c>
      <c r="G173" s="1668">
        <v>1.0999999999999999E-2</v>
      </c>
      <c r="H173" s="1664">
        <v>5.9499999999999997E-2</v>
      </c>
      <c r="I173" s="1664">
        <v>0.108</v>
      </c>
      <c r="J173" s="1664">
        <v>0.156</v>
      </c>
      <c r="K173" s="1664">
        <v>0.20399999999999999</v>
      </c>
      <c r="L173" s="1664">
        <v>0.2525</v>
      </c>
      <c r="M173" s="1664">
        <v>0.30099999999999999</v>
      </c>
      <c r="N173" s="1664">
        <v>0.34899999999999998</v>
      </c>
      <c r="O173" s="1664">
        <v>0.39700000000000002</v>
      </c>
      <c r="P173" s="1158"/>
    </row>
    <row r="174" spans="1:24" s="715" customFormat="1" ht="15.75" hidden="1" outlineLevel="1">
      <c r="B174" s="1159"/>
      <c r="C174" s="1650" t="s">
        <v>1366</v>
      </c>
      <c r="D174" s="1650" t="s">
        <v>1371</v>
      </c>
      <c r="E174" s="1651"/>
      <c r="F174" s="1665">
        <v>0</v>
      </c>
      <c r="G174" s="1669">
        <v>0</v>
      </c>
      <c r="H174" s="1665">
        <v>1E-3</v>
      </c>
      <c r="I174" s="1665">
        <v>2E-3</v>
      </c>
      <c r="J174" s="1664">
        <v>2E-3</v>
      </c>
      <c r="K174" s="1664">
        <v>2E-3</v>
      </c>
      <c r="L174" s="1664">
        <v>2E-3</v>
      </c>
      <c r="M174" s="1665">
        <v>2E-3</v>
      </c>
      <c r="N174" s="1665">
        <v>2E-3</v>
      </c>
      <c r="O174" s="1665">
        <v>2E-3</v>
      </c>
      <c r="P174" s="1158"/>
    </row>
    <row r="175" spans="1:24" s="715" customFormat="1" ht="15.75" hidden="1" outlineLevel="1">
      <c r="B175" s="1159"/>
      <c r="C175" s="833" t="s">
        <v>1368</v>
      </c>
      <c r="D175" s="833" t="s">
        <v>1419</v>
      </c>
      <c r="E175" s="1649"/>
      <c r="F175" s="1663">
        <v>0.35</v>
      </c>
      <c r="G175" s="1667">
        <v>0.363354413782636</v>
      </c>
      <c r="H175" s="1663">
        <v>0.363354413782636</v>
      </c>
      <c r="I175" s="1663">
        <v>0.363354413782636</v>
      </c>
      <c r="J175" s="1663">
        <v>0.363354413782636</v>
      </c>
      <c r="K175" s="1663">
        <v>0.363354413782636</v>
      </c>
      <c r="L175" s="1663">
        <v>0.363354413782636</v>
      </c>
      <c r="M175" s="1663">
        <v>0.363354413782636</v>
      </c>
      <c r="N175" s="1663">
        <v>0.363354413782636</v>
      </c>
      <c r="O175" s="1663">
        <v>0.363354413782636</v>
      </c>
      <c r="P175" s="1158"/>
    </row>
    <row r="176" spans="1:24" s="715" customFormat="1" ht="15.75" hidden="1" outlineLevel="1">
      <c r="B176" s="1159"/>
      <c r="C176" s="1650" t="s">
        <v>1368</v>
      </c>
      <c r="D176" s="1650" t="s">
        <v>1420</v>
      </c>
      <c r="E176" s="1651"/>
      <c r="F176" s="1665">
        <v>0.65</v>
      </c>
      <c r="G176" s="1669">
        <v>0.636645586217364</v>
      </c>
      <c r="H176" s="1665">
        <v>0.636645586217364</v>
      </c>
      <c r="I176" s="1665">
        <v>0.636645586217364</v>
      </c>
      <c r="J176" s="1665">
        <v>0.636645586217364</v>
      </c>
      <c r="K176" s="1665">
        <v>0.636645586217364</v>
      </c>
      <c r="L176" s="1665">
        <v>0.636645586217364</v>
      </c>
      <c r="M176" s="1665">
        <v>0.636645586217364</v>
      </c>
      <c r="N176" s="1665">
        <v>0.636645586217364</v>
      </c>
      <c r="O176" s="1665">
        <v>0.636645586217364</v>
      </c>
      <c r="P176" s="1158"/>
    </row>
    <row r="177" spans="2:16" s="715" customFormat="1" ht="15.75" hidden="1" outlineLevel="1">
      <c r="B177" s="1159"/>
      <c r="C177" s="792" t="s">
        <v>1369</v>
      </c>
      <c r="D177" s="792" t="s">
        <v>1369</v>
      </c>
      <c r="E177" s="937"/>
      <c r="F177" s="1666">
        <v>1</v>
      </c>
      <c r="G177" s="1670">
        <v>1</v>
      </c>
      <c r="H177" s="1666">
        <v>1</v>
      </c>
      <c r="I177" s="1666">
        <v>1</v>
      </c>
      <c r="J177" s="1666">
        <v>1</v>
      </c>
      <c r="K177" s="1666">
        <v>1</v>
      </c>
      <c r="L177" s="1666">
        <v>1</v>
      </c>
      <c r="M177" s="1666">
        <v>1</v>
      </c>
      <c r="N177" s="1666">
        <v>1</v>
      </c>
      <c r="O177" s="1666">
        <v>1</v>
      </c>
      <c r="P177" s="1158"/>
    </row>
    <row r="178" spans="2:16" s="715" customFormat="1" ht="15.75" hidden="1" outlineLevel="1">
      <c r="B178" s="1159"/>
      <c r="C178" s="832"/>
      <c r="D178" s="832"/>
      <c r="E178" s="1254"/>
      <c r="F178" s="1664"/>
      <c r="G178" s="1664"/>
      <c r="H178" s="1664"/>
      <c r="I178" s="1664"/>
      <c r="J178" s="1664"/>
      <c r="K178" s="1664"/>
      <c r="L178" s="1664"/>
      <c r="M178" s="1664"/>
      <c r="N178" s="1664"/>
      <c r="O178" s="1664"/>
      <c r="P178" s="1158"/>
    </row>
    <row r="179" spans="2:16" s="715" customFormat="1" hidden="1" outlineLevel="1">
      <c r="B179" s="1160">
        <v>3</v>
      </c>
      <c r="C179" s="866" t="s">
        <v>1898</v>
      </c>
      <c r="D179" s="864"/>
      <c r="E179" s="867"/>
      <c r="F179" s="864"/>
      <c r="G179" s="1660"/>
      <c r="H179" s="1615"/>
      <c r="I179" s="1615"/>
      <c r="J179" s="875"/>
      <c r="K179" s="1664"/>
      <c r="L179" s="1664"/>
      <c r="M179" s="1664"/>
      <c r="N179" s="1664"/>
      <c r="O179" s="875" t="s">
        <v>1904</v>
      </c>
      <c r="P179" s="1158"/>
    </row>
    <row r="180" spans="2:16" s="715" customFormat="1" ht="6" hidden="1" customHeight="1" outlineLevel="1">
      <c r="B180" s="1159"/>
      <c r="C180" s="864"/>
      <c r="D180" s="864"/>
      <c r="E180" s="864"/>
      <c r="F180" s="864"/>
      <c r="G180" s="1615"/>
      <c r="H180" s="1615"/>
      <c r="I180" s="1615"/>
      <c r="J180" s="1615"/>
      <c r="K180" s="1664"/>
      <c r="L180" s="1664"/>
      <c r="M180" s="1664"/>
      <c r="N180" s="1664"/>
      <c r="O180" s="1664"/>
      <c r="P180" s="1158"/>
    </row>
    <row r="181" spans="2:16" s="715" customFormat="1" ht="15.75" hidden="1" outlineLevel="1">
      <c r="B181" s="1159"/>
      <c r="C181" s="771" t="s">
        <v>83</v>
      </c>
      <c r="D181" s="766" t="s">
        <v>1349</v>
      </c>
      <c r="E181" s="766" t="s">
        <v>442</v>
      </c>
      <c r="F181" s="923">
        <v>2007</v>
      </c>
      <c r="G181" s="924">
        <v>2010</v>
      </c>
      <c r="H181" s="923">
        <v>2015</v>
      </c>
      <c r="I181" s="923">
        <v>2020</v>
      </c>
      <c r="J181" s="923">
        <v>2025</v>
      </c>
      <c r="K181" s="923">
        <v>2030</v>
      </c>
      <c r="L181" s="923">
        <v>2035</v>
      </c>
      <c r="M181" s="923">
        <v>2040</v>
      </c>
      <c r="N181" s="923">
        <v>2045</v>
      </c>
      <c r="O181" s="923">
        <v>2050</v>
      </c>
      <c r="P181" s="1158"/>
    </row>
    <row r="182" spans="2:16" s="715" customFormat="1" ht="15.75" hidden="1" outlineLevel="1">
      <c r="B182" s="1159"/>
      <c r="C182" s="946" t="s">
        <v>1365</v>
      </c>
      <c r="D182" s="832" t="s">
        <v>1414</v>
      </c>
      <c r="E182" s="1254"/>
      <c r="F182" s="1680">
        <f t="array" ref="F182:F185">$F$36:$F$39</f>
        <v>1.4535833325868115</v>
      </c>
      <c r="G182" s="2197">
        <f t="shared" ref="G182:N185" si="15">$F182+($O182-$F182)/($O$154-$F$154)*(G$154-$F$154)</f>
        <v>1.4535833325868115</v>
      </c>
      <c r="H182" s="2164">
        <f t="shared" si="15"/>
        <v>1.4535833325868115</v>
      </c>
      <c r="I182" s="2164">
        <f t="shared" si="15"/>
        <v>1.4535833325868115</v>
      </c>
      <c r="J182" s="2164">
        <f t="shared" si="15"/>
        <v>1.4535833325868115</v>
      </c>
      <c r="K182" s="2198">
        <f t="shared" si="15"/>
        <v>1.4535833325868115</v>
      </c>
      <c r="L182" s="2198">
        <f t="shared" si="15"/>
        <v>1.4535833325868115</v>
      </c>
      <c r="M182" s="2198">
        <f t="shared" si="15"/>
        <v>1.4535833325868115</v>
      </c>
      <c r="N182" s="2198">
        <f t="shared" si="15"/>
        <v>1.4535833325868115</v>
      </c>
      <c r="O182" s="1680">
        <f t="array" ref="O182:O185">INDEX($G$36:$J$39, ,MATCH($E$8, $G$35:$J$35, 0))</f>
        <v>1.4535833325868115</v>
      </c>
      <c r="P182" s="1158"/>
    </row>
    <row r="183" spans="2:16" s="715" customFormat="1" ht="15.75" hidden="1" outlineLevel="1">
      <c r="B183" s="1159"/>
      <c r="C183" s="946" t="s">
        <v>1366</v>
      </c>
      <c r="D183" s="832" t="s">
        <v>1415</v>
      </c>
      <c r="E183" s="1254"/>
      <c r="F183" s="1680">
        <v>9.0545454545454547</v>
      </c>
      <c r="G183" s="2199">
        <f t="shared" si="15"/>
        <v>9.0545454545454547</v>
      </c>
      <c r="H183" s="2200">
        <f t="shared" si="15"/>
        <v>9.0545454545454547</v>
      </c>
      <c r="I183" s="2200">
        <f t="shared" si="15"/>
        <v>9.0545454545454547</v>
      </c>
      <c r="J183" s="2200">
        <f t="shared" si="15"/>
        <v>9.0545454545454547</v>
      </c>
      <c r="K183" s="2198">
        <f t="shared" si="15"/>
        <v>9.0545454545454547</v>
      </c>
      <c r="L183" s="2198">
        <f t="shared" si="15"/>
        <v>9.0545454545454547</v>
      </c>
      <c r="M183" s="2198">
        <f t="shared" si="15"/>
        <v>9.0545454545454547</v>
      </c>
      <c r="N183" s="2198">
        <f t="shared" si="15"/>
        <v>9.0545454545454547</v>
      </c>
      <c r="O183" s="1680">
        <v>9.0545454545454547</v>
      </c>
      <c r="P183" s="1158"/>
    </row>
    <row r="184" spans="2:16" s="715" customFormat="1" ht="15.75" hidden="1" outlineLevel="1">
      <c r="B184" s="1159"/>
      <c r="C184" s="946" t="s">
        <v>1368</v>
      </c>
      <c r="D184" s="832" t="s">
        <v>1416</v>
      </c>
      <c r="E184" s="1254"/>
      <c r="F184" s="2169">
        <v>0.32418351096303916</v>
      </c>
      <c r="G184" s="2201">
        <f t="shared" si="15"/>
        <v>0.32724850300518565</v>
      </c>
      <c r="H184" s="2202">
        <f t="shared" si="15"/>
        <v>0.33235682307542974</v>
      </c>
      <c r="I184" s="2202">
        <f t="shared" si="15"/>
        <v>0.33746514314567388</v>
      </c>
      <c r="J184" s="2202">
        <f t="shared" si="15"/>
        <v>0.34257346321591797</v>
      </c>
      <c r="K184" s="2203">
        <f t="shared" si="15"/>
        <v>0.34768178328616212</v>
      </c>
      <c r="L184" s="2203">
        <f t="shared" si="15"/>
        <v>0.3527901033564062</v>
      </c>
      <c r="M184" s="2203">
        <f t="shared" si="15"/>
        <v>0.35789842342665035</v>
      </c>
      <c r="N184" s="2203">
        <f t="shared" si="15"/>
        <v>0.36300674349689444</v>
      </c>
      <c r="O184" s="2169">
        <v>0.36811506356713858</v>
      </c>
      <c r="P184" s="1158"/>
    </row>
    <row r="185" spans="2:16" s="715" customFormat="1" ht="15.75" hidden="1" outlineLevel="1">
      <c r="B185" s="1159"/>
      <c r="C185" s="1616" t="s">
        <v>1369</v>
      </c>
      <c r="D185" s="770" t="s">
        <v>1417</v>
      </c>
      <c r="E185" s="770"/>
      <c r="F185" s="2168">
        <v>0.65100000000000002</v>
      </c>
      <c r="G185" s="2204">
        <f t="shared" si="15"/>
        <v>0.65100000000000002</v>
      </c>
      <c r="H185" s="2205">
        <f t="shared" si="15"/>
        <v>0.65100000000000002</v>
      </c>
      <c r="I185" s="2205">
        <f t="shared" si="15"/>
        <v>0.65100000000000002</v>
      </c>
      <c r="J185" s="2205">
        <f t="shared" si="15"/>
        <v>0.65100000000000002</v>
      </c>
      <c r="K185" s="2205">
        <f t="shared" si="15"/>
        <v>0.65100000000000002</v>
      </c>
      <c r="L185" s="2205">
        <f t="shared" si="15"/>
        <v>0.65100000000000002</v>
      </c>
      <c r="M185" s="2205">
        <f t="shared" si="15"/>
        <v>0.65100000000000002</v>
      </c>
      <c r="N185" s="2205">
        <f t="shared" si="15"/>
        <v>0.65100000000000002</v>
      </c>
      <c r="O185" s="2206">
        <v>0.65100000000000002</v>
      </c>
      <c r="P185" s="1158"/>
    </row>
    <row r="186" spans="2:16" s="715" customFormat="1" ht="15.75" hidden="1" outlineLevel="1">
      <c r="B186" s="1159"/>
      <c r="C186" s="832"/>
      <c r="D186" s="832"/>
      <c r="E186" s="1254"/>
      <c r="F186" s="1664"/>
      <c r="G186" s="1664"/>
      <c r="H186" s="1664"/>
      <c r="I186" s="1664"/>
      <c r="J186" s="1664"/>
      <c r="K186" s="1664"/>
      <c r="L186" s="1664"/>
      <c r="M186" s="1664"/>
      <c r="N186" s="1664"/>
      <c r="O186" s="1664"/>
      <c r="P186" s="1158"/>
    </row>
    <row r="187" spans="2:16" s="715" customFormat="1" hidden="1" outlineLevel="1">
      <c r="B187" s="1160">
        <v>4</v>
      </c>
      <c r="C187" s="866" t="s">
        <v>1900</v>
      </c>
      <c r="D187" s="864"/>
      <c r="E187" s="867"/>
      <c r="F187" s="864"/>
      <c r="G187" s="1652" t="s">
        <v>63</v>
      </c>
      <c r="H187" s="864"/>
      <c r="I187" s="864"/>
      <c r="J187" s="867"/>
      <c r="K187" s="934"/>
      <c r="L187" s="934"/>
      <c r="M187" s="934"/>
      <c r="N187" s="934"/>
      <c r="O187" s="934" t="str">
        <f>Preferences.EnergyUnits &amp; " / bn passenger-km"</f>
        <v>TWh / bn passenger-km</v>
      </c>
      <c r="P187" s="1158"/>
    </row>
    <row r="188" spans="2:16" s="715" customFormat="1" ht="6" hidden="1" customHeight="1" outlineLevel="1">
      <c r="B188" s="1159"/>
      <c r="C188" s="864"/>
      <c r="D188" s="864"/>
      <c r="E188" s="864"/>
      <c r="F188" s="864"/>
      <c r="G188" s="864"/>
      <c r="H188" s="864"/>
      <c r="I188" s="864"/>
      <c r="J188" s="864"/>
      <c r="K188" s="934"/>
      <c r="L188" s="934"/>
      <c r="M188" s="934"/>
      <c r="N188" s="934"/>
      <c r="O188" s="934"/>
      <c r="P188" s="1158"/>
    </row>
    <row r="189" spans="2:16" s="715" customFormat="1" ht="15.75" hidden="1" outlineLevel="1">
      <c r="B189" s="1159"/>
      <c r="C189" s="766" t="s">
        <v>1349</v>
      </c>
      <c r="D189" s="766" t="s">
        <v>831</v>
      </c>
      <c r="E189" s="766" t="s">
        <v>442</v>
      </c>
      <c r="F189" s="923">
        <v>2007</v>
      </c>
      <c r="G189" s="924">
        <v>2010</v>
      </c>
      <c r="H189" s="923">
        <v>2015</v>
      </c>
      <c r="I189" s="923">
        <v>2020</v>
      </c>
      <c r="J189" s="923">
        <v>2025</v>
      </c>
      <c r="K189" s="923">
        <v>2030</v>
      </c>
      <c r="L189" s="923">
        <v>2035</v>
      </c>
      <c r="M189" s="923">
        <v>2040</v>
      </c>
      <c r="N189" s="923">
        <v>2045</v>
      </c>
      <c r="O189" s="923">
        <v>2050</v>
      </c>
      <c r="P189" s="1158"/>
    </row>
    <row r="190" spans="2:16" s="715" customFormat="1" ht="15.75" hidden="1" outlineLevel="1">
      <c r="B190" s="1159"/>
      <c r="C190" s="833" t="s">
        <v>1365</v>
      </c>
      <c r="D190" s="833" t="s">
        <v>1370</v>
      </c>
      <c r="E190" s="1649"/>
      <c r="F190" s="2167">
        <f>F116/INDEX(F$182:F$185, MATCH($C190, $C$182:$C$185, 0))</f>
        <v>0.54629740787234404</v>
      </c>
      <c r="G190" s="1682">
        <f t="shared" ref="G190:O190" si="16">G116/INDEX(G$182:G$185, MATCH($C190, $C$182:$C$185, 0))</f>
        <v>0.48156853776953601</v>
      </c>
      <c r="H190" s="1679">
        <f t="shared" si="16"/>
        <v>0.42920751421840397</v>
      </c>
      <c r="I190" s="1679">
        <f t="shared" si="16"/>
        <v>0.37703758929337083</v>
      </c>
      <c r="J190" s="1679">
        <f t="shared" si="16"/>
        <v>0.32410326986394172</v>
      </c>
      <c r="K190" s="1679">
        <f t="shared" si="16"/>
        <v>0.27116895043451256</v>
      </c>
      <c r="L190" s="1679">
        <f t="shared" si="16"/>
        <v>0.25607215897268981</v>
      </c>
      <c r="M190" s="1679">
        <f t="shared" si="16"/>
        <v>0.24097536751086707</v>
      </c>
      <c r="N190" s="1679">
        <f t="shared" si="16"/>
        <v>0.23046494307542084</v>
      </c>
      <c r="O190" s="1679">
        <f t="shared" si="16"/>
        <v>0.22014561726607362</v>
      </c>
      <c r="P190" s="1158"/>
    </row>
    <row r="191" spans="2:16" s="715" customFormat="1" ht="15.75" hidden="1" outlineLevel="1">
      <c r="B191" s="1159"/>
      <c r="C191" s="832" t="s">
        <v>1365</v>
      </c>
      <c r="D191" s="832" t="s">
        <v>1896</v>
      </c>
      <c r="E191" s="1254"/>
      <c r="F191" s="2171"/>
      <c r="G191" s="1683">
        <f t="shared" ref="G191:O191" si="17">G117/INDEX(G$182:G$185, MATCH($C191, $C$182:$C$185, 0))</f>
        <v>9.7078102058303292E-2</v>
      </c>
      <c r="H191" s="1680">
        <f t="shared" si="17"/>
        <v>9.7078102058303292E-2</v>
      </c>
      <c r="I191" s="1680">
        <f t="shared" si="17"/>
        <v>8.6758776248956102E-2</v>
      </c>
      <c r="J191" s="1680">
        <f t="shared" si="17"/>
        <v>6.6120124630261692E-2</v>
      </c>
      <c r="K191" s="1680">
        <f t="shared" si="17"/>
        <v>5.2934319429429159E-2</v>
      </c>
      <c r="L191" s="1680">
        <f t="shared" si="17"/>
        <v>4.7201360646458489E-2</v>
      </c>
      <c r="M191" s="1680">
        <f t="shared" si="17"/>
        <v>4.0895105985190756E-2</v>
      </c>
      <c r="N191" s="1680">
        <f t="shared" si="17"/>
        <v>3.3824456819526935E-2</v>
      </c>
      <c r="O191" s="1680">
        <f t="shared" si="17"/>
        <v>2.7136004906061155E-2</v>
      </c>
      <c r="P191" s="1158"/>
    </row>
    <row r="192" spans="2:16" s="715" customFormat="1" ht="15.75" hidden="1" outlineLevel="1">
      <c r="B192" s="1159"/>
      <c r="C192" s="833" t="s">
        <v>1366</v>
      </c>
      <c r="D192" s="833" t="s">
        <v>1370</v>
      </c>
      <c r="E192" s="1649"/>
      <c r="F192" s="2167">
        <f t="shared" ref="F192:O192" si="18">F118/INDEX(F$182:F$185, MATCH($C192, $C$182:$C$185, 0))</f>
        <v>0.23949242353838901</v>
      </c>
      <c r="G192" s="1682">
        <f t="shared" si="18"/>
        <v>0.43320783132530116</v>
      </c>
      <c r="H192" s="1679">
        <f t="shared" si="18"/>
        <v>0.40216142347166439</v>
      </c>
      <c r="I192" s="1679">
        <f t="shared" si="18"/>
        <v>0.37111501561802768</v>
      </c>
      <c r="J192" s="1679">
        <f t="shared" si="18"/>
        <v>0.34006860776439091</v>
      </c>
      <c r="K192" s="1679">
        <f t="shared" si="18"/>
        <v>0.30902219991075414</v>
      </c>
      <c r="L192" s="1679">
        <f t="shared" si="18"/>
        <v>0.30672132976349842</v>
      </c>
      <c r="M192" s="1679">
        <f t="shared" si="18"/>
        <v>0.30442045961624276</v>
      </c>
      <c r="N192" s="1679">
        <f t="shared" si="18"/>
        <v>0.30211958946898704</v>
      </c>
      <c r="O192" s="1679">
        <f t="shared" si="18"/>
        <v>0.29981871932173132</v>
      </c>
      <c r="P192" s="1158"/>
    </row>
    <row r="193" spans="2:16" s="715" customFormat="1" ht="15.75" hidden="1" outlineLevel="1">
      <c r="B193" s="1159"/>
      <c r="C193" s="832" t="s">
        <v>1366</v>
      </c>
      <c r="D193" s="832" t="s">
        <v>1897</v>
      </c>
      <c r="E193" s="1254"/>
      <c r="F193" s="2171"/>
      <c r="G193" s="1683">
        <f t="shared" ref="G193:O193" si="19">G119/INDEX(G$182:G$185, MATCH($C193, $C$182:$C$185, 0))</f>
        <v>0.30325468540829986</v>
      </c>
      <c r="H193" s="1680">
        <f t="shared" si="19"/>
        <v>0.28151913208389112</v>
      </c>
      <c r="I193" s="1680">
        <f t="shared" si="19"/>
        <v>0.25978357875948238</v>
      </c>
      <c r="J193" s="1680">
        <f t="shared" si="19"/>
        <v>0.23804802543507361</v>
      </c>
      <c r="K193" s="1680">
        <f t="shared" si="19"/>
        <v>0.21631247211066487</v>
      </c>
      <c r="L193" s="1680">
        <f t="shared" si="19"/>
        <v>0.2147018630075859</v>
      </c>
      <c r="M193" s="1680">
        <f t="shared" si="19"/>
        <v>0.21309125390450692</v>
      </c>
      <c r="N193" s="1680">
        <f t="shared" si="19"/>
        <v>0.21148064480142792</v>
      </c>
      <c r="O193" s="1680">
        <f t="shared" si="19"/>
        <v>0.20987003569834894</v>
      </c>
      <c r="P193" s="1158"/>
    </row>
    <row r="194" spans="2:16" s="715" customFormat="1" ht="15.75" hidden="1" outlineLevel="1">
      <c r="B194" s="1159"/>
      <c r="C194" s="833" t="s">
        <v>1368</v>
      </c>
      <c r="D194" s="833" t="s">
        <v>1419</v>
      </c>
      <c r="E194" s="1649" t="s">
        <v>439</v>
      </c>
      <c r="F194" s="2167">
        <f t="shared" ref="F194:O194" si="20">F120/INDEX(F$182:F$185, MATCH($C194, $C$182:$C$185, 0))</f>
        <v>0.23040647569418302</v>
      </c>
      <c r="G194" s="1682">
        <f t="shared" si="20"/>
        <v>0.32373139904759146</v>
      </c>
      <c r="H194" s="1679">
        <f t="shared" si="20"/>
        <v>0.30281786905139785</v>
      </c>
      <c r="I194" s="1679">
        <f t="shared" si="20"/>
        <v>0.28253748892083597</v>
      </c>
      <c r="J194" s="1679">
        <f t="shared" si="20"/>
        <v>0.26286193481433673</v>
      </c>
      <c r="K194" s="1679">
        <f t="shared" si="20"/>
        <v>0.24376454748428131</v>
      </c>
      <c r="L194" s="1679">
        <f t="shared" si="20"/>
        <v>0.22522021176230234</v>
      </c>
      <c r="M194" s="1679">
        <f t="shared" si="20"/>
        <v>0.20720524636529403</v>
      </c>
      <c r="N194" s="1679">
        <f t="shared" si="20"/>
        <v>0.18969730300548393</v>
      </c>
      <c r="O194" s="1679">
        <f t="shared" si="20"/>
        <v>0.17267527390078199</v>
      </c>
      <c r="P194" s="1158"/>
    </row>
    <row r="195" spans="2:16" s="715" customFormat="1" ht="15.75" hidden="1" outlineLevel="1">
      <c r="B195" s="1159"/>
      <c r="C195" s="792" t="s">
        <v>1369</v>
      </c>
      <c r="D195" s="792" t="s">
        <v>1369</v>
      </c>
      <c r="E195" s="937" t="s">
        <v>439</v>
      </c>
      <c r="F195" s="2207">
        <f t="shared" ref="F195:O195" si="21">F121/INDEX(F$182:F$185, MATCH($C195, $C$182:$C$185, 0))</f>
        <v>0.91944146079484423</v>
      </c>
      <c r="G195" s="1684">
        <f t="shared" si="21"/>
        <v>0.89213312996777649</v>
      </c>
      <c r="H195" s="1681">
        <f t="shared" si="21"/>
        <v>0.84840972978549889</v>
      </c>
      <c r="I195" s="1681">
        <f t="shared" si="21"/>
        <v>0.80682921126435703</v>
      </c>
      <c r="J195" s="1681">
        <f t="shared" si="21"/>
        <v>0.76728655188106853</v>
      </c>
      <c r="K195" s="1681">
        <f t="shared" si="21"/>
        <v>0.72968187626097625</v>
      </c>
      <c r="L195" s="1681">
        <f t="shared" si="21"/>
        <v>0.69392020391655129</v>
      </c>
      <c r="M195" s="1681">
        <f t="shared" si="21"/>
        <v>0.65991120934921921</v>
      </c>
      <c r="N195" s="1681">
        <f t="shared" si="21"/>
        <v>0.62756899390858334</v>
      </c>
      <c r="O195" s="1681">
        <f t="shared" si="21"/>
        <v>0.59681186883281634</v>
      </c>
      <c r="P195" s="1158"/>
    </row>
    <row r="196" spans="2:16" s="715" customFormat="1" ht="15.75" hidden="1" outlineLevel="1">
      <c r="B196" s="1159"/>
      <c r="C196" s="832"/>
      <c r="D196" s="832"/>
      <c r="E196" s="1254"/>
      <c r="F196" s="1656"/>
      <c r="G196" s="1626"/>
      <c r="H196" s="1626"/>
      <c r="I196" s="1626"/>
      <c r="J196" s="1626"/>
      <c r="K196" s="934"/>
      <c r="L196" s="934"/>
      <c r="M196" s="934"/>
      <c r="N196" s="934"/>
      <c r="O196" s="934"/>
      <c r="P196" s="1158"/>
    </row>
    <row r="197" spans="2:16" s="715" customFormat="1" ht="15.75" hidden="1" outlineLevel="1">
      <c r="B197" s="1159"/>
      <c r="C197" s="866" t="s">
        <v>1899</v>
      </c>
      <c r="D197" s="864"/>
      <c r="E197" s="867"/>
      <c r="F197" s="864"/>
      <c r="G197" s="1652" t="s">
        <v>5</v>
      </c>
      <c r="H197" s="864"/>
      <c r="I197" s="864"/>
      <c r="J197" s="867"/>
      <c r="K197" s="934"/>
      <c r="L197" s="934"/>
      <c r="M197" s="934"/>
      <c r="N197" s="934"/>
      <c r="O197" s="934" t="str">
        <f>Preferences.EnergyUnits &amp; " / bn passenger-km"</f>
        <v>TWh / bn passenger-km</v>
      </c>
      <c r="P197" s="1158"/>
    </row>
    <row r="198" spans="2:16" s="715" customFormat="1" ht="6" hidden="1" customHeight="1" outlineLevel="1">
      <c r="B198" s="1159"/>
      <c r="C198" s="864"/>
      <c r="D198" s="864"/>
      <c r="E198" s="864"/>
      <c r="F198" s="864"/>
      <c r="G198" s="864"/>
      <c r="H198" s="864"/>
      <c r="I198" s="864"/>
      <c r="J198" s="864"/>
      <c r="K198" s="934"/>
      <c r="L198" s="934"/>
      <c r="M198" s="934"/>
      <c r="N198" s="934"/>
      <c r="O198" s="934"/>
      <c r="P198" s="1158"/>
    </row>
    <row r="199" spans="2:16" s="715" customFormat="1" ht="15.75" hidden="1" outlineLevel="1">
      <c r="B199" s="1159"/>
      <c r="C199" s="766" t="s">
        <v>1349</v>
      </c>
      <c r="D199" s="766" t="s">
        <v>831</v>
      </c>
      <c r="E199" s="766" t="s">
        <v>442</v>
      </c>
      <c r="F199" s="923">
        <v>2007</v>
      </c>
      <c r="G199" s="924">
        <v>2010</v>
      </c>
      <c r="H199" s="923">
        <v>2015</v>
      </c>
      <c r="I199" s="923">
        <v>2020</v>
      </c>
      <c r="J199" s="923">
        <v>2025</v>
      </c>
      <c r="K199" s="923">
        <v>2030</v>
      </c>
      <c r="L199" s="923">
        <v>2035</v>
      </c>
      <c r="M199" s="923">
        <v>2040</v>
      </c>
      <c r="N199" s="923">
        <v>2045</v>
      </c>
      <c r="O199" s="923">
        <v>2050</v>
      </c>
      <c r="P199" s="1158"/>
    </row>
    <row r="200" spans="2:16" s="715" customFormat="1" ht="15.75" hidden="1" outlineLevel="1">
      <c r="B200" s="1159"/>
      <c r="C200" s="832" t="s">
        <v>1365</v>
      </c>
      <c r="D200" s="832" t="s">
        <v>1896</v>
      </c>
      <c r="E200" s="1254"/>
      <c r="F200" s="2171"/>
      <c r="G200" s="1683">
        <f t="shared" ref="G200:O200" si="22">G126/INDEX(G$182:G$185, MATCH($C200, $C$182:$C$185, 0))</f>
        <v>7.9688127083292273E-2</v>
      </c>
      <c r="H200" s="1680">
        <f t="shared" si="22"/>
        <v>7.9688127083292273E-2</v>
      </c>
      <c r="I200" s="1680">
        <f t="shared" si="22"/>
        <v>7.7203844944004979E-2</v>
      </c>
      <c r="J200" s="1680">
        <f t="shared" si="22"/>
        <v>7.2044182039331384E-2</v>
      </c>
      <c r="K200" s="1680">
        <f t="shared" si="22"/>
        <v>6.7840012265152891E-2</v>
      </c>
      <c r="L200" s="1680">
        <f t="shared" si="22"/>
        <v>6.4591335621469514E-2</v>
      </c>
      <c r="M200" s="1680">
        <f t="shared" si="22"/>
        <v>6.2489250734380275E-2</v>
      </c>
      <c r="N200" s="1680">
        <f t="shared" si="22"/>
        <v>6.19159548560832E-2</v>
      </c>
      <c r="O200" s="1680">
        <f t="shared" si="22"/>
        <v>6.2107053482182227E-2</v>
      </c>
      <c r="P200" s="1158"/>
    </row>
    <row r="201" spans="2:16" s="715" customFormat="1" ht="15.75" hidden="1" outlineLevel="1">
      <c r="B201" s="1159"/>
      <c r="C201" s="832" t="s">
        <v>1365</v>
      </c>
      <c r="D201" s="832" t="s">
        <v>1371</v>
      </c>
      <c r="E201" s="1254"/>
      <c r="F201" s="2171"/>
      <c r="G201" s="1683">
        <f t="shared" ref="G201:O201" si="23">G127/INDEX(G$182:G$185, MATCH($C201, $C$182:$C$185, 0))</f>
        <v>0.11465917565941333</v>
      </c>
      <c r="H201" s="1680">
        <f t="shared" si="23"/>
        <v>0.11465917565941333</v>
      </c>
      <c r="I201" s="1680">
        <f t="shared" si="23"/>
        <v>0.10930841412864072</v>
      </c>
      <c r="J201" s="1680">
        <f t="shared" si="23"/>
        <v>9.8606891067095484E-2</v>
      </c>
      <c r="K201" s="1680">
        <f t="shared" si="23"/>
        <v>8.9816354266540457E-2</v>
      </c>
      <c r="L201" s="1680">
        <f t="shared" si="23"/>
        <v>8.2745705100876629E-2</v>
      </c>
      <c r="M201" s="1680">
        <f t="shared" si="23"/>
        <v>7.7586042196203034E-2</v>
      </c>
      <c r="N201" s="1680">
        <f t="shared" si="23"/>
        <v>7.4337365552519657E-2</v>
      </c>
      <c r="O201" s="1680">
        <f t="shared" si="23"/>
        <v>7.2426379291529425E-2</v>
      </c>
      <c r="P201" s="1158"/>
    </row>
    <row r="202" spans="2:16" s="715" customFormat="1" ht="15.75" hidden="1" outlineLevel="1">
      <c r="B202" s="1159"/>
      <c r="C202" s="833" t="s">
        <v>1366</v>
      </c>
      <c r="D202" s="833" t="s">
        <v>1371</v>
      </c>
      <c r="E202" s="1649"/>
      <c r="F202" s="2167"/>
      <c r="G202" s="1682">
        <f t="shared" ref="F202:O203" si="24">G128/INDEX(G$182:G$185, MATCH($C202, $C$182:$C$185, 0))</f>
        <v>0.10310966086568496</v>
      </c>
      <c r="H202" s="1679">
        <f t="shared" si="24"/>
        <v>9.5716198125836677E-2</v>
      </c>
      <c r="I202" s="1679">
        <f t="shared" si="24"/>
        <v>8.8322735385988393E-2</v>
      </c>
      <c r="J202" s="1679">
        <f t="shared" si="24"/>
        <v>8.092927264614011E-2</v>
      </c>
      <c r="K202" s="1679">
        <f t="shared" si="24"/>
        <v>7.3535809906291841E-2</v>
      </c>
      <c r="L202" s="1679">
        <f t="shared" si="24"/>
        <v>7.2998940205265511E-2</v>
      </c>
      <c r="M202" s="1679">
        <f t="shared" si="24"/>
        <v>7.2462070504239182E-2</v>
      </c>
      <c r="N202" s="1679">
        <f t="shared" si="24"/>
        <v>7.1909861668897804E-2</v>
      </c>
      <c r="O202" s="1679">
        <f t="shared" si="24"/>
        <v>7.135765283355644E-2</v>
      </c>
      <c r="P202" s="1158"/>
    </row>
    <row r="203" spans="2:16" s="715" customFormat="1" ht="15.75" hidden="1" outlineLevel="1">
      <c r="B203" s="1159"/>
      <c r="C203" s="792" t="s">
        <v>1368</v>
      </c>
      <c r="D203" s="792" t="s">
        <v>1420</v>
      </c>
      <c r="E203" s="937" t="s">
        <v>439</v>
      </c>
      <c r="F203" s="2207">
        <f t="shared" si="24"/>
        <v>0.10954818290623002</v>
      </c>
      <c r="G203" s="1684">
        <f t="shared" ref="G203:O203" si="25">G129/INDEX(G$182:G$185, MATCH($C203, $C$182:$C$185, 0))</f>
        <v>9.7350845130855401E-2</v>
      </c>
      <c r="H203" s="1681">
        <f t="shared" si="25"/>
        <v>9.2260017754553073E-2</v>
      </c>
      <c r="I203" s="1681">
        <f t="shared" si="25"/>
        <v>8.7323313411036566E-2</v>
      </c>
      <c r="J203" s="1681">
        <f t="shared" si="25"/>
        <v>8.2533837435076987E-2</v>
      </c>
      <c r="K203" s="1681">
        <f t="shared" si="25"/>
        <v>7.7885100361355528E-2</v>
      </c>
      <c r="L203" s="1681">
        <f t="shared" si="25"/>
        <v>7.3370988588452049E-2</v>
      </c>
      <c r="M203" s="1681">
        <f t="shared" si="25"/>
        <v>6.8985737555129753E-2</v>
      </c>
      <c r="N203" s="1681">
        <f t="shared" si="25"/>
        <v>6.4723907181439472E-2</v>
      </c>
      <c r="O203" s="1681">
        <f t="shared" si="25"/>
        <v>6.0580359354640262E-2</v>
      </c>
      <c r="P203" s="1158"/>
    </row>
    <row r="204" spans="2:16" s="715" customFormat="1" ht="15.75" hidden="1" outlineLevel="1">
      <c r="B204" s="1159"/>
      <c r="C204" s="832"/>
      <c r="D204" s="832"/>
      <c r="E204" s="1254"/>
      <c r="F204" s="1656"/>
      <c r="G204" s="1626"/>
      <c r="H204" s="1626"/>
      <c r="I204" s="1626"/>
      <c r="J204" s="1626"/>
      <c r="K204" s="934"/>
      <c r="L204" s="934"/>
      <c r="M204" s="934"/>
      <c r="N204" s="934"/>
      <c r="O204" s="934"/>
      <c r="P204" s="1158"/>
    </row>
    <row r="205" spans="2:16" s="715" customFormat="1" ht="15.75" hidden="1" outlineLevel="1">
      <c r="B205" s="1159"/>
      <c r="C205" s="866" t="s">
        <v>1901</v>
      </c>
      <c r="D205" s="864"/>
      <c r="E205" s="867"/>
      <c r="F205" s="864"/>
      <c r="G205" s="1652" t="s">
        <v>107</v>
      </c>
      <c r="H205" s="864"/>
      <c r="I205" s="864"/>
      <c r="J205" s="867"/>
      <c r="K205" s="934"/>
      <c r="L205" s="934"/>
      <c r="M205" s="934"/>
      <c r="N205" s="934"/>
      <c r="O205" s="934" t="str">
        <f>Preferences.EnergyUnits &amp; " / bn passenger-km"</f>
        <v>TWh / bn passenger-km</v>
      </c>
      <c r="P205" s="1158"/>
    </row>
    <row r="206" spans="2:16" s="715" customFormat="1" ht="6" hidden="1" customHeight="1" outlineLevel="1">
      <c r="B206" s="1159"/>
      <c r="C206" s="864"/>
      <c r="D206" s="864"/>
      <c r="E206" s="864"/>
      <c r="F206" s="864"/>
      <c r="G206" s="864"/>
      <c r="H206" s="864"/>
      <c r="I206" s="864"/>
      <c r="J206" s="864"/>
      <c r="K206" s="934"/>
      <c r="L206" s="934"/>
      <c r="M206" s="934"/>
      <c r="N206" s="934"/>
      <c r="O206" s="934"/>
      <c r="P206" s="1158"/>
    </row>
    <row r="207" spans="2:16" s="715" customFormat="1" ht="15.75" hidden="1" outlineLevel="1">
      <c r="B207" s="1159"/>
      <c r="C207" s="766" t="s">
        <v>1349</v>
      </c>
      <c r="D207" s="766" t="s">
        <v>831</v>
      </c>
      <c r="E207" s="766" t="s">
        <v>442</v>
      </c>
      <c r="F207" s="923">
        <v>2007</v>
      </c>
      <c r="G207" s="924">
        <v>2010</v>
      </c>
      <c r="H207" s="923">
        <v>2015</v>
      </c>
      <c r="I207" s="923">
        <v>2020</v>
      </c>
      <c r="J207" s="923">
        <v>2025</v>
      </c>
      <c r="K207" s="923">
        <v>2030</v>
      </c>
      <c r="L207" s="923">
        <v>2035</v>
      </c>
      <c r="M207" s="923">
        <v>2040</v>
      </c>
      <c r="N207" s="923">
        <v>2045</v>
      </c>
      <c r="O207" s="923">
        <v>2050</v>
      </c>
      <c r="P207" s="1158"/>
    </row>
    <row r="208" spans="2:16" s="715" customFormat="1" ht="15.75" hidden="1" outlineLevel="1">
      <c r="B208" s="1159"/>
      <c r="C208" s="792" t="s">
        <v>1365</v>
      </c>
      <c r="D208" s="792" t="s">
        <v>1372</v>
      </c>
      <c r="E208" s="937"/>
      <c r="F208" s="2207"/>
      <c r="G208" s="1684">
        <f t="shared" ref="G208:O208" si="26">G134/INDEX(G$182:G$185, MATCH($C208, $C$182:$C$185, 0))</f>
        <v>0.16721129783664446</v>
      </c>
      <c r="H208" s="1681">
        <f t="shared" si="26"/>
        <v>0.16721129783664446</v>
      </c>
      <c r="I208" s="1681">
        <f t="shared" si="26"/>
        <v>0.15937625416658455</v>
      </c>
      <c r="J208" s="1681">
        <f t="shared" si="26"/>
        <v>0.14389726545256373</v>
      </c>
      <c r="K208" s="1681">
        <f t="shared" si="26"/>
        <v>0.12822717811244391</v>
      </c>
      <c r="L208" s="1681">
        <f t="shared" si="26"/>
        <v>0.11274818939842313</v>
      </c>
      <c r="M208" s="1681">
        <f t="shared" si="26"/>
        <v>0.1022377649629769</v>
      </c>
      <c r="N208" s="1681">
        <f t="shared" si="26"/>
        <v>9.6695904806105251E-2</v>
      </c>
      <c r="O208" s="1681">
        <f t="shared" si="26"/>
        <v>9.3256129536322854E-2</v>
      </c>
      <c r="P208" s="1158"/>
    </row>
    <row r="209" spans="2:16" s="715" customFormat="1" ht="15.75" hidden="1" outlineLevel="1">
      <c r="B209" s="1159"/>
      <c r="C209" s="832"/>
      <c r="D209" s="832"/>
      <c r="E209" s="1254"/>
      <c r="F209" s="1656"/>
      <c r="G209" s="540"/>
      <c r="H209" s="540"/>
      <c r="I209" s="540"/>
      <c r="J209" s="540"/>
      <c r="K209" s="540"/>
      <c r="L209" s="540"/>
      <c r="M209" s="540"/>
      <c r="N209" s="540"/>
      <c r="O209" s="540"/>
      <c r="P209" s="1158"/>
    </row>
    <row r="210" spans="2:16" s="715" customFormat="1" ht="15.75" hidden="1" outlineLevel="1">
      <c r="B210" s="1159"/>
      <c r="C210" s="831"/>
      <c r="D210" s="1085"/>
      <c r="E210" s="832"/>
      <c r="F210" s="1614"/>
      <c r="G210" s="1615"/>
      <c r="H210" s="1615"/>
      <c r="I210" s="1615"/>
      <c r="J210" s="1615"/>
      <c r="K210" s="934"/>
      <c r="L210" s="934"/>
      <c r="M210" s="934"/>
      <c r="N210" s="934"/>
      <c r="O210" s="934"/>
      <c r="P210" s="1158"/>
    </row>
    <row r="212" spans="2:16" ht="15.75" collapsed="1">
      <c r="B212" s="809" t="s">
        <v>732</v>
      </c>
    </row>
    <row r="213" spans="2:16" hidden="1" outlineLevel="1">
      <c r="B213" s="731">
        <v>1</v>
      </c>
      <c r="C213" s="121" t="s">
        <v>1425</v>
      </c>
      <c r="D213" s="24"/>
      <c r="E213" s="24"/>
      <c r="F213" s="24"/>
      <c r="G213" s="24"/>
      <c r="H213" s="24"/>
      <c r="I213" s="24"/>
      <c r="J213" s="24"/>
      <c r="K213" s="24"/>
      <c r="L213" s="24"/>
      <c r="M213" s="24"/>
      <c r="N213" s="24"/>
      <c r="O213" s="24"/>
      <c r="P213" s="24"/>
    </row>
    <row r="214" spans="2:16" hidden="1" outlineLevel="1">
      <c r="B214" s="731">
        <v>2</v>
      </c>
      <c r="C214" s="121" t="s">
        <v>1426</v>
      </c>
    </row>
    <row r="215" spans="2:16" hidden="1" outlineLevel="1">
      <c r="B215" s="731">
        <v>3</v>
      </c>
      <c r="C215" s="121" t="s">
        <v>1427</v>
      </c>
    </row>
    <row r="216" spans="2:16" hidden="1" outlineLevel="1">
      <c r="B216" s="731">
        <v>4</v>
      </c>
      <c r="C216" s="121" t="s">
        <v>1431</v>
      </c>
    </row>
    <row r="217" spans="2:16" hidden="1" outlineLevel="1"/>
    <row r="218" spans="2:16" hidden="1" outlineLevel="1">
      <c r="F218" s="861">
        <v>2007</v>
      </c>
      <c r="G218" s="861">
        <v>2010</v>
      </c>
      <c r="H218" s="861">
        <v>2015</v>
      </c>
      <c r="I218" s="861">
        <v>2020</v>
      </c>
      <c r="J218" s="861">
        <v>2025</v>
      </c>
      <c r="K218" s="861">
        <v>2030</v>
      </c>
      <c r="L218" s="861">
        <v>2035</v>
      </c>
      <c r="M218" s="861">
        <v>2040</v>
      </c>
      <c r="N218" s="861">
        <v>2045</v>
      </c>
      <c r="O218" s="861">
        <v>2050</v>
      </c>
    </row>
    <row r="219" spans="2:16" hidden="1" outlineLevel="1">
      <c r="B219" s="731">
        <v>1</v>
      </c>
      <c r="C219" s="731" t="s">
        <v>2041</v>
      </c>
      <c r="F219" s="861"/>
      <c r="G219" s="861"/>
      <c r="H219" s="861"/>
      <c r="I219" s="861"/>
      <c r="J219" s="861"/>
      <c r="K219" s="861"/>
      <c r="L219" s="861"/>
      <c r="M219" s="861"/>
      <c r="N219" s="861"/>
      <c r="O219" s="861"/>
    </row>
    <row r="220" spans="2:16" hidden="1" outlineLevel="2">
      <c r="B220" s="731"/>
      <c r="F220" s="861"/>
      <c r="G220" s="861"/>
      <c r="H220" s="861"/>
      <c r="I220" s="861"/>
      <c r="J220" s="861"/>
      <c r="K220" s="861"/>
      <c r="L220" s="861"/>
      <c r="M220" s="861"/>
      <c r="N220" s="861"/>
      <c r="O220" s="862"/>
    </row>
    <row r="221" spans="2:16" hidden="1" outlineLevel="2">
      <c r="B221" s="731"/>
      <c r="C221" s="121" t="s">
        <v>1378</v>
      </c>
      <c r="E221" s="20" t="s">
        <v>1380</v>
      </c>
      <c r="F221" s="939">
        <f t="shared" ref="F221:O221" si="27">INDEX(F$17:F$20, MATCH($E$8, $C$17:$C$20, 0))</f>
        <v>14104.004213212675</v>
      </c>
      <c r="G221" s="939">
        <f t="shared" si="27"/>
        <v>14247</v>
      </c>
      <c r="H221" s="939">
        <f t="shared" si="27"/>
        <v>14113</v>
      </c>
      <c r="I221" s="939">
        <f t="shared" si="27"/>
        <v>14427</v>
      </c>
      <c r="J221" s="939">
        <f t="shared" si="27"/>
        <v>14683</v>
      </c>
      <c r="K221" s="939">
        <f t="shared" si="27"/>
        <v>14862</v>
      </c>
      <c r="L221" s="939">
        <f t="shared" si="27"/>
        <v>15056</v>
      </c>
      <c r="M221" s="939">
        <f t="shared" si="27"/>
        <v>15152</v>
      </c>
      <c r="N221" s="939">
        <f t="shared" si="27"/>
        <v>15254</v>
      </c>
      <c r="O221" s="939">
        <f t="shared" si="27"/>
        <v>15363</v>
      </c>
    </row>
    <row r="222" spans="2:16" hidden="1" outlineLevel="2">
      <c r="B222" s="24" t="s">
        <v>838</v>
      </c>
      <c r="C222" s="121" t="s">
        <v>819</v>
      </c>
      <c r="E222" s="20" t="s">
        <v>1918</v>
      </c>
      <c r="F222" s="925">
        <f>INDEX(Global.Assumptions[Population], MATCH(F$218, Global.Assumptions[Year], 0))/1000000</f>
        <v>60.972999999999999</v>
      </c>
      <c r="G222" s="925">
        <f>INDEX(Global.Assumptions[Population], MATCH(G$218, Global.Assumptions[Year], 0))/1000000</f>
        <v>62.222403</v>
      </c>
      <c r="H222" s="925">
        <f>INDEX(Global.Assumptions[Population], MATCH(H$218, Global.Assumptions[Year], 0))/1000000</f>
        <v>64.344155999999998</v>
      </c>
      <c r="I222" s="925">
        <f>INDEX(Global.Assumptions[Population], MATCH(I$218, Global.Assumptions[Year], 0))/1000000</f>
        <v>66.521962000000002</v>
      </c>
      <c r="J222" s="925">
        <f>INDEX(Global.Assumptions[Population], MATCH(J$218, Global.Assumptions[Year], 0))/1000000</f>
        <v>68.647527999999994</v>
      </c>
      <c r="K222" s="925">
        <f>INDEX(Global.Assumptions[Population], MATCH(K$218, Global.Assumptions[Year], 0))/1000000</f>
        <v>70.575665999999998</v>
      </c>
      <c r="L222" s="925">
        <f>INDEX(Global.Assumptions[Population], MATCH(L$218, Global.Assumptions[Year], 0))/1000000</f>
        <v>72.278230000000022</v>
      </c>
      <c r="M222" s="925">
        <f>INDEX(Global.Assumptions[Population], MATCH(M$218, Global.Assumptions[Year], 0))/1000000</f>
        <v>73.853252999999995</v>
      </c>
      <c r="N222" s="925">
        <f>INDEX(Global.Assumptions[Population], MATCH(N$218, Global.Assumptions[Year], 0))/1000000</f>
        <v>75.356458000000003</v>
      </c>
      <c r="O222" s="1457">
        <f>INDEX(Global.Assumptions[Population], MATCH(O$218, Global.Assumptions[Year], 0))/1000000</f>
        <v>76.789483000000004</v>
      </c>
    </row>
    <row r="223" spans="2:16" hidden="1" outlineLevel="2">
      <c r="B223" s="806" t="s">
        <v>840</v>
      </c>
      <c r="C223" s="731" t="s">
        <v>1361</v>
      </c>
      <c r="D223" s="731"/>
      <c r="E223" s="862" t="s">
        <v>1381</v>
      </c>
      <c r="F223" s="1621">
        <f>F221*F222/1000</f>
        <v>859.96344889221643</v>
      </c>
      <c r="G223" s="1621">
        <f t="shared" ref="G223:O223" si="28">G221*G222/1000</f>
        <v>886.48257554099996</v>
      </c>
      <c r="H223" s="1621">
        <f t="shared" si="28"/>
        <v>908.08907362799994</v>
      </c>
      <c r="I223" s="1621">
        <f t="shared" si="28"/>
        <v>959.71234577400003</v>
      </c>
      <c r="J223" s="1621">
        <f t="shared" si="28"/>
        <v>1007.951653624</v>
      </c>
      <c r="K223" s="1621">
        <f t="shared" si="28"/>
        <v>1048.8955480919999</v>
      </c>
      <c r="L223" s="1621">
        <f t="shared" si="28"/>
        <v>1088.2210308800004</v>
      </c>
      <c r="M223" s="1621">
        <f t="shared" si="28"/>
        <v>1119.0244894560001</v>
      </c>
      <c r="N223" s="1621">
        <f t="shared" si="28"/>
        <v>1149.4874103320001</v>
      </c>
      <c r="O223" s="1621">
        <f t="shared" si="28"/>
        <v>1179.7168273289999</v>
      </c>
    </row>
    <row r="224" spans="2:16" hidden="1" outlineLevel="2">
      <c r="C224" s="731"/>
      <c r="D224" s="731"/>
      <c r="E224" s="862"/>
      <c r="F224" s="1621"/>
      <c r="G224" s="1621"/>
      <c r="H224" s="1621"/>
      <c r="I224" s="1621"/>
      <c r="J224" s="1621"/>
      <c r="K224" s="1621"/>
      <c r="L224" s="1621"/>
      <c r="M224" s="1621"/>
      <c r="N224" s="1621"/>
      <c r="O224" s="1621"/>
    </row>
    <row r="225" spans="1:17" hidden="1" outlineLevel="2">
      <c r="B225" s="24" t="s">
        <v>838</v>
      </c>
      <c r="C225" s="121" t="s">
        <v>1373</v>
      </c>
      <c r="E225" s="20"/>
      <c r="F225" s="940"/>
      <c r="G225" s="925"/>
      <c r="H225" s="925"/>
      <c r="I225" s="925"/>
      <c r="J225" s="925"/>
      <c r="K225" s="925"/>
      <c r="L225" s="925"/>
      <c r="M225" s="925"/>
      <c r="N225" s="925"/>
      <c r="O225" s="925"/>
    </row>
    <row r="226" spans="1:17" hidden="1" outlineLevel="2">
      <c r="B226" s="24"/>
      <c r="C226" s="20" t="s">
        <v>1412</v>
      </c>
      <c r="D226" t="s">
        <v>1413</v>
      </c>
      <c r="E226" s="20"/>
      <c r="F226" s="19">
        <f t="shared" ref="F226:O231" si="29">INDEX(F$155:F$160, MATCH($C226, $C$155:$C$160, 0))</f>
        <v>2.1680038900835603E-2</v>
      </c>
      <c r="G226" s="19">
        <f t="shared" si="29"/>
        <v>2.1702361768219165E-2</v>
      </c>
      <c r="H226" s="19">
        <f t="shared" si="29"/>
        <v>2.1739566547191769E-2</v>
      </c>
      <c r="I226" s="19">
        <f t="shared" si="29"/>
        <v>2.1776771326164374E-2</v>
      </c>
      <c r="J226" s="19">
        <f t="shared" si="29"/>
        <v>2.1813976105136978E-2</v>
      </c>
      <c r="K226" s="19">
        <f t="shared" si="29"/>
        <v>2.1851180884109582E-2</v>
      </c>
      <c r="L226" s="19">
        <f t="shared" si="29"/>
        <v>2.1888385663082186E-2</v>
      </c>
      <c r="M226" s="19">
        <f t="shared" si="29"/>
        <v>2.192559044205479E-2</v>
      </c>
      <c r="N226" s="19">
        <f t="shared" si="29"/>
        <v>2.1962795221027395E-2</v>
      </c>
      <c r="O226" s="19">
        <f t="shared" si="29"/>
        <v>2.1999999999999999E-2</v>
      </c>
    </row>
    <row r="227" spans="1:17" hidden="1" outlineLevel="2">
      <c r="B227" s="807"/>
      <c r="C227" s="20" t="s">
        <v>1367</v>
      </c>
      <c r="D227" t="s">
        <v>1360</v>
      </c>
      <c r="E227" s="862"/>
      <c r="F227" s="19">
        <f t="shared" si="29"/>
        <v>5.084268859379436E-3</v>
      </c>
      <c r="G227" s="19">
        <f t="shared" si="29"/>
        <v>5.2179245203529635E-3</v>
      </c>
      <c r="H227" s="19">
        <f t="shared" si="29"/>
        <v>5.4406839553088433E-3</v>
      </c>
      <c r="I227" s="19">
        <f t="shared" si="29"/>
        <v>5.6634433902647231E-3</v>
      </c>
      <c r="J227" s="19">
        <f t="shared" si="29"/>
        <v>5.886202825220602E-3</v>
      </c>
      <c r="K227" s="19">
        <f t="shared" si="29"/>
        <v>6.1089622601764818E-3</v>
      </c>
      <c r="L227" s="19">
        <f t="shared" si="29"/>
        <v>6.3317216951323616E-3</v>
      </c>
      <c r="M227" s="19">
        <f t="shared" si="29"/>
        <v>6.5544811300882414E-3</v>
      </c>
      <c r="N227" s="19">
        <f t="shared" si="29"/>
        <v>6.7772405650441203E-3</v>
      </c>
      <c r="O227" s="19">
        <f t="shared" si="29"/>
        <v>7.0000000000000001E-3</v>
      </c>
      <c r="P227" s="731"/>
    </row>
    <row r="228" spans="1:17" hidden="1" outlineLevel="2">
      <c r="A228" s="731"/>
      <c r="B228" s="807"/>
      <c r="C228" s="20" t="s">
        <v>1365</v>
      </c>
      <c r="D228" t="s">
        <v>1414</v>
      </c>
      <c r="E228" s="862"/>
      <c r="F228" s="19">
        <f t="shared" si="29"/>
        <v>0.83210317944207202</v>
      </c>
      <c r="G228" s="19">
        <f t="shared" si="29"/>
        <v>0.83146807389960187</v>
      </c>
      <c r="H228" s="19">
        <f t="shared" si="29"/>
        <v>0.83040956466215166</v>
      </c>
      <c r="I228" s="19">
        <f t="shared" si="29"/>
        <v>0.82935105542470144</v>
      </c>
      <c r="J228" s="19">
        <f t="shared" si="29"/>
        <v>0.82829254618725112</v>
      </c>
      <c r="K228" s="19">
        <f t="shared" si="29"/>
        <v>0.82723403694980091</v>
      </c>
      <c r="L228" s="19">
        <f t="shared" si="29"/>
        <v>0.8261755277123507</v>
      </c>
      <c r="M228" s="19">
        <f t="shared" si="29"/>
        <v>0.82511701847490049</v>
      </c>
      <c r="N228" s="19">
        <f t="shared" si="29"/>
        <v>0.82405850923745017</v>
      </c>
      <c r="O228" s="19">
        <f t="shared" si="29"/>
        <v>0.82299999999999995</v>
      </c>
      <c r="P228" s="731"/>
      <c r="Q228" s="731"/>
    </row>
    <row r="229" spans="1:17" hidden="1" outlineLevel="2">
      <c r="A229" s="731"/>
      <c r="B229" s="807"/>
      <c r="C229" s="20" t="s">
        <v>1366</v>
      </c>
      <c r="D229" t="s">
        <v>1415</v>
      </c>
      <c r="E229" s="862"/>
      <c r="F229" s="19">
        <f t="shared" si="29"/>
        <v>5.9627670922358024E-2</v>
      </c>
      <c r="G229" s="19">
        <f t="shared" si="29"/>
        <v>6.0490856671960955E-2</v>
      </c>
      <c r="H229" s="19">
        <f t="shared" si="29"/>
        <v>6.1929499587965835E-2</v>
      </c>
      <c r="I229" s="19">
        <f t="shared" si="29"/>
        <v>6.3368142503970715E-2</v>
      </c>
      <c r="J229" s="19">
        <f t="shared" si="29"/>
        <v>6.4806785419975588E-2</v>
      </c>
      <c r="K229" s="19">
        <f t="shared" si="29"/>
        <v>6.6245428335980475E-2</v>
      </c>
      <c r="L229" s="19">
        <f t="shared" si="29"/>
        <v>6.7684071251985362E-2</v>
      </c>
      <c r="M229" s="19">
        <f t="shared" si="29"/>
        <v>6.9122714167990235E-2</v>
      </c>
      <c r="N229" s="19">
        <f t="shared" si="29"/>
        <v>7.0561357083995108E-2</v>
      </c>
      <c r="O229" s="19">
        <f t="shared" si="29"/>
        <v>7.1999999999999995E-2</v>
      </c>
      <c r="P229" s="731"/>
      <c r="Q229" s="731"/>
    </row>
    <row r="230" spans="1:17" hidden="1" outlineLevel="2">
      <c r="A230" s="731"/>
      <c r="B230" s="807"/>
      <c r="C230" s="20" t="s">
        <v>1368</v>
      </c>
      <c r="D230" t="s">
        <v>1416</v>
      </c>
      <c r="E230" s="862"/>
      <c r="F230" s="19">
        <f t="shared" si="29"/>
        <v>7.0097236274669239E-2</v>
      </c>
      <c r="G230" s="19">
        <f t="shared" si="29"/>
        <v>6.9043940720622546E-2</v>
      </c>
      <c r="H230" s="19">
        <f t="shared" si="29"/>
        <v>6.7288448130544729E-2</v>
      </c>
      <c r="I230" s="19">
        <f t="shared" si="29"/>
        <v>6.5532955540466911E-2</v>
      </c>
      <c r="J230" s="19">
        <f t="shared" si="29"/>
        <v>6.3777462950389094E-2</v>
      </c>
      <c r="K230" s="19">
        <f t="shared" si="29"/>
        <v>6.2021970360311277E-2</v>
      </c>
      <c r="L230" s="19">
        <f t="shared" si="29"/>
        <v>6.0266477770233459E-2</v>
      </c>
      <c r="M230" s="19">
        <f t="shared" si="29"/>
        <v>5.8510985180155635E-2</v>
      </c>
      <c r="N230" s="19">
        <f t="shared" si="29"/>
        <v>5.6755492590077818E-2</v>
      </c>
      <c r="O230" s="19">
        <f t="shared" si="29"/>
        <v>5.5E-2</v>
      </c>
      <c r="P230" s="731"/>
      <c r="Q230" s="731"/>
    </row>
    <row r="231" spans="1:17" hidden="1" outlineLevel="2">
      <c r="A231" s="731"/>
      <c r="B231" s="807"/>
      <c r="C231" s="20" t="s">
        <v>1369</v>
      </c>
      <c r="D231" t="s">
        <v>1417</v>
      </c>
      <c r="E231" s="862"/>
      <c r="F231" s="19">
        <f t="shared" si="29"/>
        <v>1.1407605600685865E-2</v>
      </c>
      <c r="G231" s="19">
        <f t="shared" si="29"/>
        <v>1.2076842419242666E-2</v>
      </c>
      <c r="H231" s="19">
        <f t="shared" si="29"/>
        <v>1.3192237116837332E-2</v>
      </c>
      <c r="I231" s="19">
        <f t="shared" si="29"/>
        <v>1.4307631814431999E-2</v>
      </c>
      <c r="J231" s="19">
        <f t="shared" si="29"/>
        <v>1.5423026512026667E-2</v>
      </c>
      <c r="K231" s="19">
        <f t="shared" si="29"/>
        <v>1.6538421209621332E-2</v>
      </c>
      <c r="L231" s="19">
        <f t="shared" si="29"/>
        <v>1.7653815907216E-2</v>
      </c>
      <c r="M231" s="19">
        <f t="shared" si="29"/>
        <v>1.8769210604810668E-2</v>
      </c>
      <c r="N231" s="19">
        <f t="shared" si="29"/>
        <v>1.9884605302405337E-2</v>
      </c>
      <c r="O231" s="19">
        <f t="shared" si="29"/>
        <v>2.1000000000000001E-2</v>
      </c>
      <c r="P231" s="731"/>
      <c r="Q231" s="731"/>
    </row>
    <row r="232" spans="1:17" hidden="1" outlineLevel="2">
      <c r="A232" s="731"/>
      <c r="B232" s="807"/>
      <c r="C232" s="1620"/>
      <c r="D232" s="24"/>
      <c r="E232" s="862"/>
      <c r="F232" s="19"/>
      <c r="G232" s="1618"/>
      <c r="H232" s="1618"/>
      <c r="I232" s="1618"/>
      <c r="J232" s="1618"/>
      <c r="K232" s="1618"/>
      <c r="L232" s="1618"/>
      <c r="M232" s="1618"/>
      <c r="N232" s="1618"/>
      <c r="O232" s="19"/>
      <c r="P232" s="731"/>
      <c r="Q232" s="731"/>
    </row>
    <row r="233" spans="1:17" hidden="1" outlineLevel="2">
      <c r="A233" s="731"/>
      <c r="B233" s="894" t="s">
        <v>840</v>
      </c>
      <c r="C233" s="121" t="s">
        <v>1362</v>
      </c>
      <c r="D233" s="731"/>
      <c r="E233" s="731"/>
      <c r="F233" s="943"/>
      <c r="G233" s="943"/>
      <c r="H233" s="943"/>
      <c r="I233" s="943"/>
      <c r="J233" s="943"/>
      <c r="K233" s="943"/>
      <c r="L233" s="943"/>
      <c r="M233" s="943"/>
      <c r="N233" s="943"/>
      <c r="O233" s="20" t="s">
        <v>1350</v>
      </c>
      <c r="P233" s="731"/>
      <c r="Q233" s="731"/>
    </row>
    <row r="234" spans="1:17" hidden="1" outlineLevel="2">
      <c r="A234" s="731"/>
      <c r="B234" s="894"/>
      <c r="C234" s="20" t="s">
        <v>1412</v>
      </c>
      <c r="D234" s="121" t="s">
        <v>1413</v>
      </c>
      <c r="E234" s="731"/>
      <c r="F234" s="939">
        <f t="shared" ref="F234:F239" si="30">F226*F$223</f>
        <v>18.644041025280004</v>
      </c>
      <c r="G234" s="939">
        <f t="shared" ref="G234:O239" si="31">G226*G$223</f>
        <v>19.238765555613455</v>
      </c>
      <c r="H234" s="939">
        <f t="shared" si="31"/>
        <v>19.741462846913631</v>
      </c>
      <c r="I234" s="939">
        <f t="shared" si="31"/>
        <v>20.899436292817192</v>
      </c>
      <c r="J234" s="939">
        <f t="shared" si="31"/>
        <v>21.987433287287239</v>
      </c>
      <c r="K234" s="939">
        <f t="shared" si="31"/>
        <v>22.919606349895552</v>
      </c>
      <c r="L234" s="939">
        <f t="shared" si="31"/>
        <v>23.819401610578318</v>
      </c>
      <c r="M234" s="939">
        <f t="shared" si="31"/>
        <v>24.535272650441716</v>
      </c>
      <c r="N234" s="939">
        <f t="shared" si="31"/>
        <v>25.245956602270809</v>
      </c>
      <c r="O234" s="939">
        <f t="shared" si="31"/>
        <v>25.953770201237997</v>
      </c>
      <c r="P234" s="731"/>
      <c r="Q234" s="731"/>
    </row>
    <row r="235" spans="1:17" hidden="1" outlineLevel="2">
      <c r="A235" s="731"/>
      <c r="B235" s="807"/>
      <c r="C235" s="20" t="s">
        <v>1367</v>
      </c>
      <c r="D235" s="121" t="s">
        <v>1360</v>
      </c>
      <c r="E235" s="862"/>
      <c r="F235" s="939">
        <f t="shared" si="30"/>
        <v>4.3722853834072355</v>
      </c>
      <c r="G235" s="939">
        <f t="shared" si="31"/>
        <v>4.625599167781032</v>
      </c>
      <c r="H235" s="939">
        <f t="shared" si="31"/>
        <v>4.9406256528791301</v>
      </c>
      <c r="I235" s="939">
        <f t="shared" si="31"/>
        <v>5.4352765412292126</v>
      </c>
      <c r="J235" s="939">
        <f t="shared" si="31"/>
        <v>5.9330078712473666</v>
      </c>
      <c r="K235" s="939">
        <f t="shared" si="31"/>
        <v>6.4076633181611538</v>
      </c>
      <c r="L235" s="939">
        <f t="shared" si="31"/>
        <v>6.8903127103222026</v>
      </c>
      <c r="M235" s="939">
        <f t="shared" si="31"/>
        <v>7.3346249002459807</v>
      </c>
      <c r="N235" s="939">
        <f t="shared" si="31"/>
        <v>7.7903527063095472</v>
      </c>
      <c r="O235" s="939">
        <f t="shared" si="31"/>
        <v>8.2580177913029988</v>
      </c>
      <c r="P235" s="731"/>
      <c r="Q235" s="731"/>
    </row>
    <row r="236" spans="1:17" hidden="1" outlineLevel="2">
      <c r="A236" s="731"/>
      <c r="B236" s="807"/>
      <c r="C236" s="20" t="s">
        <v>1365</v>
      </c>
      <c r="D236" s="121" t="s">
        <v>1414</v>
      </c>
      <c r="E236" s="862"/>
      <c r="F236" s="939">
        <f t="shared" si="30"/>
        <v>715.57832002718305</v>
      </c>
      <c r="G236" s="939">
        <f t="shared" si="31"/>
        <v>737.08195963063361</v>
      </c>
      <c r="H236" s="939">
        <f t="shared" si="31"/>
        <v>754.08585230588403</v>
      </c>
      <c r="I236" s="939">
        <f t="shared" si="31"/>
        <v>795.93844687178296</v>
      </c>
      <c r="J236" s="939">
        <f t="shared" si="31"/>
        <v>834.87884161387308</v>
      </c>
      <c r="K236" s="939">
        <f t="shared" si="31"/>
        <v>867.68209858681917</v>
      </c>
      <c r="L236" s="939">
        <f t="shared" si="31"/>
        <v>899.0615844549626</v>
      </c>
      <c r="M236" s="939">
        <f t="shared" si="31"/>
        <v>923.32615034033256</v>
      </c>
      <c r="N236" s="939">
        <f t="shared" si="31"/>
        <v>947.24488174540511</v>
      </c>
      <c r="O236" s="939">
        <f t="shared" si="31"/>
        <v>970.90694889176689</v>
      </c>
      <c r="P236" s="731"/>
      <c r="Q236" s="731"/>
    </row>
    <row r="237" spans="1:17" hidden="1" outlineLevel="2">
      <c r="A237" s="731"/>
      <c r="B237" s="807"/>
      <c r="C237" s="20" t="s">
        <v>1366</v>
      </c>
      <c r="D237" s="121" t="s">
        <v>1415</v>
      </c>
      <c r="E237" s="862"/>
      <c r="F237" s="939">
        <f t="shared" si="30"/>
        <v>51.277617535801134</v>
      </c>
      <c r="G237" s="939">
        <f t="shared" si="31"/>
        <v>53.624090419241426</v>
      </c>
      <c r="H237" s="939">
        <f t="shared" si="31"/>
        <v>56.237501911081502</v>
      </c>
      <c r="I237" s="939">
        <f t="shared" si="31"/>
        <v>60.815188689826847</v>
      </c>
      <c r="J237" s="939">
        <f t="shared" si="31"/>
        <v>65.322106530120124</v>
      </c>
      <c r="K237" s="939">
        <f t="shared" si="31"/>
        <v>69.484534863057547</v>
      </c>
      <c r="L237" s="939">
        <f t="shared" si="31"/>
        <v>73.655229791990905</v>
      </c>
      <c r="M237" s="939">
        <f t="shared" si="31"/>
        <v>77.350009931648302</v>
      </c>
      <c r="N237" s="939">
        <f t="shared" si="31"/>
        <v>81.109391623993062</v>
      </c>
      <c r="O237" s="939">
        <f t="shared" si="31"/>
        <v>84.93961156768799</v>
      </c>
      <c r="P237" s="731"/>
      <c r="Q237" s="731"/>
    </row>
    <row r="238" spans="1:17" hidden="1" outlineLevel="2">
      <c r="A238" s="731"/>
      <c r="B238" s="807"/>
      <c r="C238" s="20" t="s">
        <v>1368</v>
      </c>
      <c r="D238" s="121" t="s">
        <v>1416</v>
      </c>
      <c r="E238" s="862"/>
      <c r="F238" s="939">
        <f t="shared" si="30"/>
        <v>60.281061064577138</v>
      </c>
      <c r="G238" s="939">
        <f t="shared" si="31"/>
        <v>61.2062503955176</v>
      </c>
      <c r="H238" s="939">
        <f t="shared" si="31"/>
        <v>61.103904528732087</v>
      </c>
      <c r="I238" s="939">
        <f t="shared" si="31"/>
        <v>62.892786487244749</v>
      </c>
      <c r="J238" s="939">
        <f t="shared" si="31"/>
        <v>64.284599244788083</v>
      </c>
      <c r="K238" s="939">
        <f t="shared" si="31"/>
        <v>65.054568594824474</v>
      </c>
      <c r="L238" s="939">
        <f t="shared" si="31"/>
        <v>65.58324856663009</v>
      </c>
      <c r="M238" s="939">
        <f t="shared" si="31"/>
        <v>65.475225318791246</v>
      </c>
      <c r="N238" s="939">
        <f t="shared" si="31"/>
        <v>65.239724199485565</v>
      </c>
      <c r="O238" s="939">
        <f t="shared" si="31"/>
        <v>64.884425503094988</v>
      </c>
      <c r="P238" s="731"/>
      <c r="Q238" s="731"/>
    </row>
    <row r="239" spans="1:17" hidden="1" outlineLevel="2">
      <c r="A239" s="731"/>
      <c r="B239" s="807"/>
      <c r="C239" s="20" t="s">
        <v>1369</v>
      </c>
      <c r="D239" s="121" t="s">
        <v>1417</v>
      </c>
      <c r="E239" s="862"/>
      <c r="F239" s="939">
        <f t="shared" si="30"/>
        <v>9.8101238559679818</v>
      </c>
      <c r="G239" s="939">
        <f t="shared" si="31"/>
        <v>10.705910372213038</v>
      </c>
      <c r="H239" s="939">
        <f t="shared" si="31"/>
        <v>11.97972638250973</v>
      </c>
      <c r="I239" s="939">
        <f t="shared" si="31"/>
        <v>13.731210891099245</v>
      </c>
      <c r="J239" s="939">
        <f t="shared" si="31"/>
        <v>15.545665076684072</v>
      </c>
      <c r="K239" s="939">
        <f t="shared" si="31"/>
        <v>17.347076379242122</v>
      </c>
      <c r="L239" s="939">
        <f t="shared" si="31"/>
        <v>19.211253745516345</v>
      </c>
      <c r="M239" s="939">
        <f t="shared" si="31"/>
        <v>21.0032063145404</v>
      </c>
      <c r="N239" s="939">
        <f t="shared" si="31"/>
        <v>22.857103454535867</v>
      </c>
      <c r="O239" s="939">
        <f t="shared" si="31"/>
        <v>24.774053373908998</v>
      </c>
      <c r="P239" s="731"/>
      <c r="Q239" s="731"/>
    </row>
    <row r="240" spans="1:17" hidden="1" outlineLevel="2">
      <c r="A240" s="731"/>
      <c r="B240" s="807"/>
      <c r="C240" s="20"/>
      <c r="E240" s="862"/>
      <c r="F240" s="2209">
        <f>SUM(F234:F239)</f>
        <v>859.96344889221655</v>
      </c>
      <c r="G240" s="2209">
        <f t="shared" ref="G240:O240" si="32">SUM(G234:G239)</f>
        <v>886.48257554100007</v>
      </c>
      <c r="H240" s="2209">
        <f t="shared" si="32"/>
        <v>908.08907362800005</v>
      </c>
      <c r="I240" s="2209">
        <f t="shared" si="32"/>
        <v>959.71234577400026</v>
      </c>
      <c r="J240" s="2209">
        <f t="shared" si="32"/>
        <v>1007.9516536239998</v>
      </c>
      <c r="K240" s="2209">
        <f t="shared" si="32"/>
        <v>1048.8955480919999</v>
      </c>
      <c r="L240" s="2209">
        <f t="shared" si="32"/>
        <v>1088.2210308800004</v>
      </c>
      <c r="M240" s="2209">
        <f t="shared" si="32"/>
        <v>1119.0244894560003</v>
      </c>
      <c r="N240" s="2209">
        <f t="shared" si="32"/>
        <v>1149.4874103320001</v>
      </c>
      <c r="O240" s="2209">
        <f t="shared" si="32"/>
        <v>1179.7168273289999</v>
      </c>
      <c r="P240" s="731"/>
      <c r="Q240" s="731"/>
    </row>
    <row r="241" spans="1:23" hidden="1" outlineLevel="2">
      <c r="A241" s="731"/>
      <c r="B241" s="807"/>
      <c r="C241" s="731"/>
      <c r="D241" s="731"/>
      <c r="E241" s="731"/>
      <c r="F241" s="943"/>
      <c r="G241" s="943"/>
      <c r="H241" s="943"/>
      <c r="I241" s="943"/>
      <c r="J241" s="943"/>
      <c r="K241" s="943"/>
      <c r="L241" s="943"/>
      <c r="M241" s="943"/>
      <c r="N241" s="943"/>
      <c r="O241" s="943"/>
      <c r="P241" s="731"/>
      <c r="Q241" s="731"/>
    </row>
    <row r="242" spans="1:23" hidden="1" outlineLevel="1">
      <c r="A242" s="731"/>
      <c r="B242" s="807">
        <v>2</v>
      </c>
      <c r="C242" s="731" t="s">
        <v>2042</v>
      </c>
      <c r="D242" s="731"/>
      <c r="E242" s="731"/>
      <c r="F242" s="943"/>
      <c r="G242" s="943"/>
      <c r="H242" s="943"/>
      <c r="I242" s="943"/>
      <c r="J242" s="943"/>
      <c r="K242" s="943"/>
      <c r="L242" s="943"/>
      <c r="M242" s="943"/>
      <c r="N242" s="943"/>
      <c r="O242" s="943"/>
      <c r="P242" s="731"/>
      <c r="Q242" s="731"/>
      <c r="W242" s="715"/>
    </row>
    <row r="243" spans="1:23" s="731" customFormat="1" hidden="1" outlineLevel="2">
      <c r="B243" s="807"/>
      <c r="F243" s="943"/>
      <c r="G243" s="943"/>
      <c r="H243" s="943"/>
      <c r="I243" s="943"/>
      <c r="J243" s="943"/>
      <c r="K243" s="943"/>
      <c r="L243" s="943"/>
      <c r="M243" s="943"/>
      <c r="N243" s="943"/>
      <c r="O243" s="943"/>
    </row>
    <row r="244" spans="1:23" s="731" customFormat="1" hidden="1" outlineLevel="2">
      <c r="B244" s="1566"/>
      <c r="C244" s="21" t="s">
        <v>1428</v>
      </c>
      <c r="D244" s="24"/>
      <c r="F244" s="943"/>
      <c r="G244" s="943"/>
      <c r="H244" s="943"/>
      <c r="I244" s="943"/>
      <c r="J244" s="943"/>
      <c r="K244" s="943"/>
      <c r="L244" s="943"/>
      <c r="M244" s="943"/>
      <c r="N244" s="943"/>
      <c r="O244" s="20" t="s">
        <v>1350</v>
      </c>
    </row>
    <row r="245" spans="1:23" s="731" customFormat="1" hidden="1" outlineLevel="2">
      <c r="B245" s="807"/>
      <c r="C245" s="1566" t="s">
        <v>1349</v>
      </c>
      <c r="D245" s="121" t="s">
        <v>831</v>
      </c>
      <c r="F245" s="943"/>
      <c r="G245" s="943"/>
      <c r="H245" s="943"/>
      <c r="I245" s="943"/>
      <c r="J245" s="943"/>
      <c r="K245" s="943"/>
      <c r="L245" s="943"/>
      <c r="M245" s="943"/>
      <c r="N245" s="943"/>
      <c r="O245" s="943"/>
    </row>
    <row r="246" spans="1:23" s="731" customFormat="1" hidden="1" outlineLevel="2">
      <c r="B246" s="807"/>
      <c r="C246" s="1566" t="s">
        <v>1365</v>
      </c>
      <c r="D246" s="1623" t="s">
        <v>1370</v>
      </c>
      <c r="F246" s="939">
        <f t="shared" ref="F246:O255" si="33">SUMIFS(F$234:F$239, $C$234:$C$239, $C246)*SUMIFS(F$168:F$177, $C$168:$C$177, $C246, $D$168:$D$177, $D246)</f>
        <v>715.57832002718305</v>
      </c>
      <c r="G246" s="939">
        <f t="shared" si="33"/>
        <v>737.08195963063361</v>
      </c>
      <c r="H246" s="939">
        <f t="shared" si="33"/>
        <v>751.06950889666052</v>
      </c>
      <c r="I246" s="939">
        <f t="shared" si="33"/>
        <v>789.57093929680866</v>
      </c>
      <c r="J246" s="939">
        <f t="shared" si="33"/>
        <v>798.14417258286267</v>
      </c>
      <c r="K246" s="939">
        <f t="shared" si="33"/>
        <v>798.26753069987365</v>
      </c>
      <c r="L246" s="939">
        <f t="shared" si="33"/>
        <v>791.17419432036706</v>
      </c>
      <c r="M246" s="939">
        <f t="shared" si="33"/>
        <v>775.59396628587933</v>
      </c>
      <c r="N246" s="939">
        <f t="shared" si="33"/>
        <v>764.90024200941457</v>
      </c>
      <c r="O246" s="939">
        <f t="shared" si="33"/>
        <v>752.45288539111937</v>
      </c>
    </row>
    <row r="247" spans="1:23" s="731" customFormat="1" hidden="1" outlineLevel="2">
      <c r="B247" s="807"/>
      <c r="C247" s="1566" t="s">
        <v>1365</v>
      </c>
      <c r="D247" s="21" t="s">
        <v>1896</v>
      </c>
      <c r="F247" s="939">
        <f t="shared" si="33"/>
        <v>0</v>
      </c>
      <c r="G247" s="939">
        <f t="shared" si="33"/>
        <v>0</v>
      </c>
      <c r="H247" s="939">
        <f t="shared" si="33"/>
        <v>2.6393004830705942</v>
      </c>
      <c r="I247" s="939">
        <f t="shared" si="33"/>
        <v>5.5715691281024808</v>
      </c>
      <c r="J247" s="939">
        <f t="shared" si="33"/>
        <v>32.142835402134118</v>
      </c>
      <c r="K247" s="939">
        <f t="shared" si="33"/>
        <v>60.737746901077344</v>
      </c>
      <c r="L247" s="939">
        <f t="shared" si="33"/>
        <v>94.401466367771079</v>
      </c>
      <c r="M247" s="939">
        <f t="shared" si="33"/>
        <v>129.26566104764657</v>
      </c>
      <c r="N247" s="939">
        <f t="shared" si="33"/>
        <v>161.03162989671887</v>
      </c>
      <c r="O247" s="939">
        <f t="shared" si="33"/>
        <v>194.18138977835338</v>
      </c>
    </row>
    <row r="248" spans="1:23" s="731" customFormat="1" hidden="1" outlineLevel="2">
      <c r="B248" s="807"/>
      <c r="C248" s="1566" t="s">
        <v>1365</v>
      </c>
      <c r="D248" s="1623" t="s">
        <v>1371</v>
      </c>
      <c r="F248" s="939">
        <f t="shared" si="33"/>
        <v>0</v>
      </c>
      <c r="G248" s="939">
        <f t="shared" si="33"/>
        <v>0</v>
      </c>
      <c r="H248" s="939">
        <f t="shared" si="33"/>
        <v>0.37704292615294205</v>
      </c>
      <c r="I248" s="939">
        <f t="shared" si="33"/>
        <v>0.79593844687178295</v>
      </c>
      <c r="J248" s="939">
        <f t="shared" si="33"/>
        <v>4.5918336288763015</v>
      </c>
      <c r="K248" s="939">
        <f t="shared" si="33"/>
        <v>8.6768209858681917</v>
      </c>
      <c r="L248" s="939">
        <f t="shared" si="33"/>
        <v>13.485923766824438</v>
      </c>
      <c r="M248" s="939">
        <f t="shared" si="33"/>
        <v>18.46652300680665</v>
      </c>
      <c r="N248" s="939">
        <f t="shared" si="33"/>
        <v>21.313009839271615</v>
      </c>
      <c r="O248" s="939">
        <f t="shared" si="33"/>
        <v>24.272673722294172</v>
      </c>
    </row>
    <row r="249" spans="1:23" s="731" customFormat="1" hidden="1" outlineLevel="2">
      <c r="B249" s="807"/>
      <c r="C249" s="1566" t="s">
        <v>1365</v>
      </c>
      <c r="D249" s="1623" t="s">
        <v>1372</v>
      </c>
      <c r="F249" s="939">
        <f t="shared" si="33"/>
        <v>0</v>
      </c>
      <c r="G249" s="939">
        <f t="shared" si="33"/>
        <v>0</v>
      </c>
      <c r="H249" s="939">
        <f t="shared" si="33"/>
        <v>0</v>
      </c>
      <c r="I249" s="939">
        <f t="shared" si="33"/>
        <v>0</v>
      </c>
      <c r="J249" s="939">
        <f t="shared" si="33"/>
        <v>0</v>
      </c>
      <c r="K249" s="939">
        <f t="shared" si="33"/>
        <v>0</v>
      </c>
      <c r="L249" s="939">
        <f t="shared" si="33"/>
        <v>0</v>
      </c>
      <c r="M249" s="939">
        <f t="shared" si="33"/>
        <v>0</v>
      </c>
      <c r="N249" s="939">
        <f t="shared" si="33"/>
        <v>0</v>
      </c>
      <c r="O249" s="939">
        <f t="shared" si="33"/>
        <v>0</v>
      </c>
    </row>
    <row r="250" spans="1:23" s="731" customFormat="1" hidden="1" outlineLevel="2">
      <c r="B250" s="807"/>
      <c r="C250" s="1566" t="s">
        <v>1366</v>
      </c>
      <c r="D250" s="1623" t="s">
        <v>1370</v>
      </c>
      <c r="F250" s="939">
        <f t="shared" si="33"/>
        <v>51.277617535801134</v>
      </c>
      <c r="G250" s="939">
        <f t="shared" si="33"/>
        <v>52.926977243791285</v>
      </c>
      <c r="H250" s="939">
        <f t="shared" si="33"/>
        <v>52.807014294505535</v>
      </c>
      <c r="I250" s="939">
        <f t="shared" si="33"/>
        <v>54.186333122635723</v>
      </c>
      <c r="J250" s="939">
        <f t="shared" si="33"/>
        <v>55.033874751626207</v>
      </c>
      <c r="K250" s="939">
        <f t="shared" si="33"/>
        <v>55.170720681267696</v>
      </c>
      <c r="L250" s="939">
        <f t="shared" si="33"/>
        <v>54.946801424825217</v>
      </c>
      <c r="M250" s="939">
        <f t="shared" si="33"/>
        <v>53.990306932290508</v>
      </c>
      <c r="N250" s="939">
        <f t="shared" si="33"/>
        <v>52.68054985978349</v>
      </c>
      <c r="O250" s="939">
        <f t="shared" si="33"/>
        <v>51.048706552180484</v>
      </c>
    </row>
    <row r="251" spans="1:23" s="731" customFormat="1" hidden="1" outlineLevel="2">
      <c r="B251" s="807"/>
      <c r="C251" s="1566" t="s">
        <v>1366</v>
      </c>
      <c r="D251" s="21" t="s">
        <v>1897</v>
      </c>
      <c r="F251" s="939">
        <f t="shared" si="33"/>
        <v>0</v>
      </c>
      <c r="G251" s="939">
        <f t="shared" si="33"/>
        <v>0.58986499461165565</v>
      </c>
      <c r="H251" s="939">
        <f t="shared" si="33"/>
        <v>3.346131363709349</v>
      </c>
      <c r="I251" s="939">
        <f t="shared" si="33"/>
        <v>6.5680403785012995</v>
      </c>
      <c r="J251" s="939">
        <f t="shared" si="33"/>
        <v>10.190248618698739</v>
      </c>
      <c r="K251" s="939">
        <f t="shared" si="33"/>
        <v>14.174845112063739</v>
      </c>
      <c r="L251" s="939">
        <f t="shared" si="33"/>
        <v>18.597945522477705</v>
      </c>
      <c r="M251" s="939">
        <f t="shared" si="33"/>
        <v>23.282352989426137</v>
      </c>
      <c r="N251" s="939">
        <f t="shared" si="33"/>
        <v>28.307177676773577</v>
      </c>
      <c r="O251" s="939">
        <f t="shared" si="33"/>
        <v>33.721025792372131</v>
      </c>
    </row>
    <row r="252" spans="1:23" s="731" customFormat="1" hidden="1" outlineLevel="2">
      <c r="B252" s="807"/>
      <c r="C252" s="1566" t="s">
        <v>1366</v>
      </c>
      <c r="D252" s="1623" t="s">
        <v>1371</v>
      </c>
      <c r="F252" s="939">
        <f t="shared" si="33"/>
        <v>0</v>
      </c>
      <c r="G252" s="939">
        <f t="shared" si="33"/>
        <v>0</v>
      </c>
      <c r="H252" s="939">
        <f t="shared" si="33"/>
        <v>5.6237501911081504E-2</v>
      </c>
      <c r="I252" s="939">
        <f t="shared" si="33"/>
        <v>0.1216303773796537</v>
      </c>
      <c r="J252" s="939">
        <f t="shared" si="33"/>
        <v>0.13064421306024024</v>
      </c>
      <c r="K252" s="939">
        <f t="shared" si="33"/>
        <v>0.13896906972611509</v>
      </c>
      <c r="L252" s="939">
        <f t="shared" si="33"/>
        <v>0.14731045958398181</v>
      </c>
      <c r="M252" s="939">
        <f t="shared" si="33"/>
        <v>0.1547000198632966</v>
      </c>
      <c r="N252" s="939">
        <f t="shared" si="33"/>
        <v>0.16221878324798614</v>
      </c>
      <c r="O252" s="939">
        <f t="shared" si="33"/>
        <v>0.16987922313537598</v>
      </c>
    </row>
    <row r="253" spans="1:23" s="731" customFormat="1" hidden="1" outlineLevel="2">
      <c r="B253" s="807"/>
      <c r="C253" s="1566" t="s">
        <v>1368</v>
      </c>
      <c r="D253" s="1623" t="s">
        <v>1419</v>
      </c>
      <c r="F253" s="939">
        <f t="shared" si="33"/>
        <v>21.098371372601996</v>
      </c>
      <c r="G253" s="939">
        <f t="shared" si="33"/>
        <v>22.239561232296531</v>
      </c>
      <c r="H253" s="939">
        <f t="shared" si="33"/>
        <v>22.202373409867604</v>
      </c>
      <c r="I253" s="939">
        <f t="shared" si="33"/>
        <v>22.852371565229305</v>
      </c>
      <c r="J253" s="939">
        <f t="shared" si="33"/>
        <v>23.35809287384166</v>
      </c>
      <c r="K253" s="939">
        <f t="shared" si="33"/>
        <v>23.637864635654729</v>
      </c>
      <c r="L253" s="939">
        <f t="shared" si="33"/>
        <v>23.829962836888779</v>
      </c>
      <c r="M253" s="939">
        <f t="shared" si="33"/>
        <v>23.790712112995401</v>
      </c>
      <c r="N253" s="939">
        <f t="shared" si="33"/>
        <v>23.70514174184493</v>
      </c>
      <c r="O253" s="939">
        <f t="shared" si="33"/>
        <v>23.576042392300195</v>
      </c>
    </row>
    <row r="254" spans="1:23" s="731" customFormat="1" hidden="1" outlineLevel="2">
      <c r="B254" s="807"/>
      <c r="C254" s="20" t="s">
        <v>1368</v>
      </c>
      <c r="D254" s="1623" t="s">
        <v>1420</v>
      </c>
      <c r="F254" s="939">
        <f t="shared" si="33"/>
        <v>39.182689691975142</v>
      </c>
      <c r="G254" s="939">
        <f t="shared" si="33"/>
        <v>38.966689163221069</v>
      </c>
      <c r="H254" s="939">
        <f t="shared" si="33"/>
        <v>38.901531118864483</v>
      </c>
      <c r="I254" s="939">
        <f t="shared" si="33"/>
        <v>40.040414922015444</v>
      </c>
      <c r="J254" s="939">
        <f t="shared" si="33"/>
        <v>40.926506370946427</v>
      </c>
      <c r="K254" s="939">
        <f t="shared" si="33"/>
        <v>41.416703959169745</v>
      </c>
      <c r="L254" s="939">
        <f t="shared" si="33"/>
        <v>41.753285729741307</v>
      </c>
      <c r="M254" s="939">
        <f t="shared" si="33"/>
        <v>41.684513205795845</v>
      </c>
      <c r="N254" s="939">
        <f t="shared" si="33"/>
        <v>41.534582457640639</v>
      </c>
      <c r="O254" s="939">
        <f t="shared" si="33"/>
        <v>41.308383110794793</v>
      </c>
    </row>
    <row r="255" spans="1:23" s="731" customFormat="1" hidden="1" outlineLevel="2">
      <c r="B255" s="807"/>
      <c r="C255" s="20" t="s">
        <v>1369</v>
      </c>
      <c r="D255" s="1623" t="s">
        <v>1369</v>
      </c>
      <c r="F255" s="939">
        <f t="shared" si="33"/>
        <v>9.8101238559679818</v>
      </c>
      <c r="G255" s="939">
        <f t="shared" si="33"/>
        <v>10.705910372213038</v>
      </c>
      <c r="H255" s="939">
        <f t="shared" si="33"/>
        <v>11.97972638250973</v>
      </c>
      <c r="I255" s="939">
        <f t="shared" si="33"/>
        <v>13.731210891099245</v>
      </c>
      <c r="J255" s="939">
        <f t="shared" si="33"/>
        <v>15.545665076684072</v>
      </c>
      <c r="K255" s="939">
        <f t="shared" si="33"/>
        <v>17.347076379242122</v>
      </c>
      <c r="L255" s="939">
        <f t="shared" si="33"/>
        <v>19.211253745516345</v>
      </c>
      <c r="M255" s="939">
        <f t="shared" si="33"/>
        <v>21.0032063145404</v>
      </c>
      <c r="N255" s="939">
        <f t="shared" si="33"/>
        <v>22.857103454535867</v>
      </c>
      <c r="O255" s="939">
        <f t="shared" si="33"/>
        <v>24.774053373908998</v>
      </c>
    </row>
    <row r="256" spans="1:23" s="731" customFormat="1" hidden="1" outlineLevel="2">
      <c r="B256" s="807"/>
      <c r="C256" s="20"/>
      <c r="D256" s="1623"/>
      <c r="F256" s="2209">
        <f>SUM(F246:F255)</f>
        <v>836.94712248352926</v>
      </c>
      <c r="G256" s="2209">
        <f t="shared" ref="G256:O256" si="34">SUM(G246:G255)</f>
        <v>862.51096263676709</v>
      </c>
      <c r="H256" s="2209">
        <f t="shared" si="34"/>
        <v>883.37886637725171</v>
      </c>
      <c r="I256" s="2209">
        <f t="shared" si="34"/>
        <v>933.4384481286437</v>
      </c>
      <c r="J256" s="2209">
        <f t="shared" si="34"/>
        <v>980.06387351873036</v>
      </c>
      <c r="K256" s="2209">
        <f t="shared" si="34"/>
        <v>1019.5682784239433</v>
      </c>
      <c r="L256" s="2209">
        <f t="shared" si="34"/>
        <v>1057.548144173996</v>
      </c>
      <c r="M256" s="2209">
        <f t="shared" si="34"/>
        <v>1087.2319419152441</v>
      </c>
      <c r="N256" s="2209">
        <f t="shared" si="34"/>
        <v>1116.4916557192316</v>
      </c>
      <c r="O256" s="2209">
        <f t="shared" si="34"/>
        <v>1145.505039336459</v>
      </c>
    </row>
    <row r="257" spans="2:15" s="731" customFormat="1" hidden="1" outlineLevel="1">
      <c r="B257" s="807">
        <v>3</v>
      </c>
      <c r="C257" s="731" t="s">
        <v>2043</v>
      </c>
      <c r="F257" s="943"/>
      <c r="G257" s="943"/>
      <c r="H257" s="943"/>
      <c r="I257" s="943"/>
      <c r="J257" s="943"/>
      <c r="K257" s="943"/>
      <c r="L257" s="943"/>
      <c r="M257" s="943"/>
      <c r="N257" s="943"/>
      <c r="O257" s="943"/>
    </row>
    <row r="258" spans="2:15" s="731" customFormat="1" hidden="1" outlineLevel="2">
      <c r="B258" s="807"/>
      <c r="F258" s="943"/>
      <c r="G258" s="943"/>
      <c r="H258" s="943"/>
      <c r="I258" s="943"/>
      <c r="J258" s="943"/>
      <c r="K258" s="943"/>
      <c r="L258" s="943"/>
      <c r="M258" s="943"/>
      <c r="N258" s="943"/>
      <c r="O258" s="943"/>
    </row>
    <row r="259" spans="2:15" s="731" customFormat="1" hidden="1" outlineLevel="2">
      <c r="B259" s="807"/>
      <c r="C259" s="731" t="s">
        <v>1430</v>
      </c>
      <c r="F259" s="943" t="s">
        <v>49</v>
      </c>
      <c r="G259" s="1685" t="str">
        <f>INDEX(Vectors[Description], MATCH(F259, Vectors[Code], 0))</f>
        <v>Liquid hydrocarbons</v>
      </c>
      <c r="H259" s="943"/>
      <c r="I259" s="943"/>
      <c r="J259" s="943"/>
      <c r="K259" s="943"/>
      <c r="L259" s="943"/>
      <c r="M259" s="943"/>
      <c r="N259" s="943"/>
      <c r="O259" s="943"/>
    </row>
    <row r="260" spans="2:15" s="731" customFormat="1" hidden="1" outlineLevel="2">
      <c r="B260" s="807"/>
      <c r="C260" s="1566" t="s">
        <v>1349</v>
      </c>
      <c r="D260" s="121" t="s">
        <v>831</v>
      </c>
      <c r="F260" s="943"/>
      <c r="G260" s="943"/>
      <c r="H260" s="943"/>
      <c r="I260" s="943"/>
      <c r="J260" s="943"/>
      <c r="K260" s="943"/>
      <c r="L260" s="943"/>
      <c r="M260" s="943"/>
      <c r="N260" s="943"/>
      <c r="O260" s="20" t="str">
        <f>Preferences.EnergyUnits</f>
        <v>TWh</v>
      </c>
    </row>
    <row r="261" spans="2:15" s="731" customFormat="1" hidden="1" outlineLevel="2">
      <c r="B261" s="807"/>
      <c r="C261" s="1566" t="s">
        <v>1365</v>
      </c>
      <c r="D261" s="1623" t="s">
        <v>1370</v>
      </c>
      <c r="E261" s="925"/>
      <c r="F261" s="925">
        <f t="array" ref="F261:F270">F$246:F$255*SUMIFS(F$190:F$195, $C$190:$C$195, $C261:$C270, $D$190:$D$195, $D261:$D270)</f>
        <v>390.91858136049677</v>
      </c>
      <c r="G261" s="925">
        <f t="array" ref="G261:G270">G$246:G$255*SUMIFS(G$190:G$195, $C$190:$C$195, $C261:$C270, $D$190:$D$195, $D261:$D270)</f>
        <v>354.95548151562838</v>
      </c>
      <c r="H261" s="925">
        <f t="array" ref="H261:H270">H$246:H$255*SUMIFS(H$190:H$195, $C$190:$C$195, $C261:$C270, $D$190:$D$195, $D261:$D270)</f>
        <v>322.36467691877311</v>
      </c>
      <c r="I261" s="925">
        <f t="array" ref="I261:I270">I$246:I$255*SUMIFS(I$190:I$195, $C$190:$C$195, $C261:$C270, $D$190:$D$195, $D261:$D270)</f>
        <v>297.69792352857115</v>
      </c>
      <c r="J261" s="925">
        <f t="array" ref="J261:J270">J$246:J$255*SUMIFS(J$190:J$195, $C$190:$C$195, $C261:$C270, $D$190:$D$195, $D261:$D270)</f>
        <v>258.68113615695603</v>
      </c>
      <c r="K261" s="925">
        <f t="array" ref="K261:K270">K$246:K$255*SUMIFS(K$190:K$195, $C$190:$C$195, $C261:$C270, $D$190:$D$195, $D261:$D270)</f>
        <v>216.46536846583476</v>
      </c>
      <c r="L261" s="925">
        <f t="array" ref="L261:L270">L$246:L$255*SUMIFS(L$190:L$195, $C$190:$C$195, $C261:$C270, $D$190:$D$195, $D261:$D270)</f>
        <v>202.59768406309482</v>
      </c>
      <c r="M261" s="925">
        <f t="array" ref="M261:M270">M$246:M$255*SUMIFS(M$190:M$195, $C$190:$C$195, $C261:$C270, $D$190:$D$195, $D261:$D270)</f>
        <v>186.89904106495081</v>
      </c>
      <c r="N261" s="925">
        <f t="array" ref="N261:N270">N$246:N$255*SUMIFS(N$190:N$195, $C$190:$C$195, $C261:$C270, $D$190:$D$195, $D261:$D270)</f>
        <v>176.28269073307536</v>
      </c>
      <c r="O261" s="925">
        <f t="array" ref="O261:O270">O$246:O$255*SUMIFS(O$190:O$195, $C$190:$C$195, $C261:$C270, $D$190:$D$195, $D261:$D270)</f>
        <v>165.64920491806612</v>
      </c>
    </row>
    <row r="262" spans="2:15" s="731" customFormat="1" hidden="1" outlineLevel="2">
      <c r="B262" s="807"/>
      <c r="C262" s="1566" t="s">
        <v>1365</v>
      </c>
      <c r="D262" s="21" t="s">
        <v>1896</v>
      </c>
      <c r="F262" s="925">
        <v>0</v>
      </c>
      <c r="G262" s="925">
        <v>0</v>
      </c>
      <c r="H262" s="925">
        <v>0.25621828165805632</v>
      </c>
      <c r="I262" s="925">
        <v>0.48338251934063459</v>
      </c>
      <c r="J262" s="925">
        <v>2.1252882827590955</v>
      </c>
      <c r="K262" s="925">
        <v>3.2151112958854493</v>
      </c>
      <c r="L262" s="925">
        <v>4.4558776595796843</v>
      </c>
      <c r="M262" s="925">
        <v>5.2863329087892508</v>
      </c>
      <c r="N262" s="925">
        <v>5.4468074120196102</v>
      </c>
      <c r="O262" s="925">
        <v>5.2693071456911706</v>
      </c>
    </row>
    <row r="263" spans="2:15" s="731" customFormat="1" hidden="1" outlineLevel="2">
      <c r="B263" s="807"/>
      <c r="C263" s="1566" t="s">
        <v>1365</v>
      </c>
      <c r="D263" s="1623" t="s">
        <v>1371</v>
      </c>
      <c r="F263" s="925">
        <v>0</v>
      </c>
      <c r="G263" s="925">
        <v>0</v>
      </c>
      <c r="H263" s="925">
        <v>0</v>
      </c>
      <c r="I263" s="925">
        <v>0</v>
      </c>
      <c r="J263" s="925">
        <v>0</v>
      </c>
      <c r="K263" s="925">
        <v>0</v>
      </c>
      <c r="L263" s="925">
        <v>0</v>
      </c>
      <c r="M263" s="925">
        <v>0</v>
      </c>
      <c r="N263" s="925">
        <v>0</v>
      </c>
      <c r="O263" s="925">
        <v>0</v>
      </c>
    </row>
    <row r="264" spans="2:15" s="731" customFormat="1" hidden="1" outlineLevel="2">
      <c r="B264" s="807"/>
      <c r="C264" s="1566" t="s">
        <v>1365</v>
      </c>
      <c r="D264" s="1623" t="s">
        <v>1372</v>
      </c>
      <c r="F264" s="925">
        <v>0</v>
      </c>
      <c r="G264" s="925">
        <v>0</v>
      </c>
      <c r="H264" s="925">
        <v>0</v>
      </c>
      <c r="I264" s="925">
        <v>0</v>
      </c>
      <c r="J264" s="925">
        <v>0</v>
      </c>
      <c r="K264" s="925">
        <v>0</v>
      </c>
      <c r="L264" s="925">
        <v>0</v>
      </c>
      <c r="M264" s="925">
        <v>0</v>
      </c>
      <c r="N264" s="925">
        <v>0</v>
      </c>
      <c r="O264" s="925">
        <v>0</v>
      </c>
    </row>
    <row r="265" spans="2:15" s="731" customFormat="1" hidden="1" outlineLevel="2">
      <c r="B265" s="807"/>
      <c r="C265" s="1566" t="s">
        <v>1366</v>
      </c>
      <c r="D265" s="1623" t="s">
        <v>1370</v>
      </c>
      <c r="F265" s="925">
        <v>12.280600896923609</v>
      </c>
      <c r="G265" s="925">
        <v>22.928381030386387</v>
      </c>
      <c r="H265" s="925">
        <v>21.236944037966875</v>
      </c>
      <c r="I265" s="925">
        <v>20.109361863090609</v>
      </c>
      <c r="J265" s="925">
        <v>18.71529316666539</v>
      </c>
      <c r="K265" s="925">
        <v>17.048977475587083</v>
      </c>
      <c r="L265" s="925">
        <v>16.85335599927328</v>
      </c>
      <c r="M265" s="925">
        <v>16.435754051149893</v>
      </c>
      <c r="N265" s="925">
        <v>15.915826096638291</v>
      </c>
      <c r="O265" s="925">
        <v>15.305357821505627</v>
      </c>
    </row>
    <row r="266" spans="2:15" s="731" customFormat="1" hidden="1" outlineLevel="2">
      <c r="B266" s="807"/>
      <c r="C266" s="1566" t="s">
        <v>1366</v>
      </c>
      <c r="D266" s="21" t="s">
        <v>1897</v>
      </c>
      <c r="F266" s="925">
        <v>0</v>
      </c>
      <c r="G266" s="925">
        <v>0.17887932337432613</v>
      </c>
      <c r="H266" s="925">
        <v>0.94199999735014295</v>
      </c>
      <c r="I266" s="925">
        <v>1.7062690349638527</v>
      </c>
      <c r="J266" s="925">
        <v>2.4257685623737211</v>
      </c>
      <c r="K266" s="925">
        <v>3.066195787976282</v>
      </c>
      <c r="L266" s="925">
        <v>3.9930135517895535</v>
      </c>
      <c r="M266" s="925">
        <v>4.961265792364161</v>
      </c>
      <c r="N266" s="925">
        <v>5.9864201875926621</v>
      </c>
      <c r="O266" s="925">
        <v>7.0770328868300849</v>
      </c>
    </row>
    <row r="267" spans="2:15" s="731" customFormat="1" hidden="1" outlineLevel="2">
      <c r="B267" s="807"/>
      <c r="C267" s="1566" t="s">
        <v>1366</v>
      </c>
      <c r="D267" s="1623" t="s">
        <v>1371</v>
      </c>
      <c r="F267" s="925">
        <v>0</v>
      </c>
      <c r="G267" s="925">
        <v>0</v>
      </c>
      <c r="H267" s="925">
        <v>0</v>
      </c>
      <c r="I267" s="925">
        <v>0</v>
      </c>
      <c r="J267" s="925">
        <v>0</v>
      </c>
      <c r="K267" s="925">
        <v>0</v>
      </c>
      <c r="L267" s="925">
        <v>0</v>
      </c>
      <c r="M267" s="925">
        <v>0</v>
      </c>
      <c r="N267" s="925">
        <v>0</v>
      </c>
      <c r="O267" s="925">
        <v>0</v>
      </c>
    </row>
    <row r="268" spans="2:15" s="731" customFormat="1" hidden="1" outlineLevel="2">
      <c r="B268" s="807"/>
      <c r="C268" s="1566" t="s">
        <v>1368</v>
      </c>
      <c r="D268" s="1623" t="s">
        <v>1419</v>
      </c>
      <c r="F268" s="925">
        <v>4.8612013908482687</v>
      </c>
      <c r="G268" s="925">
        <v>7.1996442719359335</v>
      </c>
      <c r="H268" s="925">
        <v>6.7232754038595255</v>
      </c>
      <c r="I268" s="925">
        <v>6.4566516779258016</v>
      </c>
      <c r="J268" s="925">
        <v>6.1399534863909899</v>
      </c>
      <c r="K268" s="925">
        <v>5.7620733764050716</v>
      </c>
      <c r="L268" s="925">
        <v>5.3669892764118856</v>
      </c>
      <c r="M268" s="925">
        <v>4.9295603645789967</v>
      </c>
      <c r="N268" s="925">
        <v>4.4968014557907026</v>
      </c>
      <c r="O268" s="925">
        <v>4.0709995775868837</v>
      </c>
    </row>
    <row r="269" spans="2:15" s="731" customFormat="1" hidden="1" outlineLevel="2">
      <c r="B269" s="807"/>
      <c r="C269" s="20" t="s">
        <v>1368</v>
      </c>
      <c r="D269" s="1623" t="s">
        <v>1420</v>
      </c>
      <c r="F269" s="925">
        <v>0</v>
      </c>
      <c r="G269" s="925">
        <v>0</v>
      </c>
      <c r="H269" s="925">
        <v>0</v>
      </c>
      <c r="I269" s="925">
        <v>0</v>
      </c>
      <c r="J269" s="925">
        <v>0</v>
      </c>
      <c r="K269" s="925">
        <v>0</v>
      </c>
      <c r="L269" s="925">
        <v>0</v>
      </c>
      <c r="M269" s="925">
        <v>0</v>
      </c>
      <c r="N269" s="925">
        <v>0</v>
      </c>
      <c r="O269" s="925">
        <v>0</v>
      </c>
    </row>
    <row r="270" spans="2:15" s="731" customFormat="1" hidden="1" outlineLevel="2">
      <c r="B270" s="807"/>
      <c r="C270" s="20" t="s">
        <v>1369</v>
      </c>
      <c r="D270" s="1623" t="s">
        <v>1369</v>
      </c>
      <c r="F270" s="925">
        <v>9.0198346087095516</v>
      </c>
      <c r="G270" s="925">
        <v>9.5510973295169013</v>
      </c>
      <c r="H270" s="925">
        <v>10.163716423089292</v>
      </c>
      <c r="I270" s="925">
        <v>11.078742052970153</v>
      </c>
      <c r="J270" s="925">
        <v>11.927979753386868</v>
      </c>
      <c r="K270" s="925">
        <v>12.657847240047854</v>
      </c>
      <c r="L270" s="925">
        <v>13.331077116581312</v>
      </c>
      <c r="M270" s="925">
        <v>13.860251279239513</v>
      </c>
      <c r="N270" s="925">
        <v>14.344409418627478</v>
      </c>
      <c r="O270" s="925">
        <v>14.785449092646568</v>
      </c>
    </row>
    <row r="271" spans="2:15" s="731" customFormat="1" hidden="1" outlineLevel="2">
      <c r="B271" s="807"/>
      <c r="C271" s="20"/>
      <c r="D271" s="1623"/>
      <c r="F271" s="2209">
        <f>SUM(F261:F270)</f>
        <v>417.08021825697824</v>
      </c>
      <c r="G271" s="2209">
        <f t="shared" ref="G271:O271" si="35">SUM(G261:G270)</f>
        <v>394.8134834708419</v>
      </c>
      <c r="H271" s="2209">
        <f t="shared" si="35"/>
        <v>361.68683106269697</v>
      </c>
      <c r="I271" s="2209">
        <f t="shared" si="35"/>
        <v>337.53233067686216</v>
      </c>
      <c r="J271" s="2209">
        <f t="shared" si="35"/>
        <v>300.01541940853207</v>
      </c>
      <c r="K271" s="2209">
        <f t="shared" si="35"/>
        <v>258.21557364173651</v>
      </c>
      <c r="L271" s="2209">
        <f t="shared" si="35"/>
        <v>246.59799766673052</v>
      </c>
      <c r="M271" s="2209">
        <f t="shared" si="35"/>
        <v>232.37220546107267</v>
      </c>
      <c r="N271" s="2209">
        <f t="shared" si="35"/>
        <v>222.47295530374413</v>
      </c>
      <c r="O271" s="2209">
        <f t="shared" si="35"/>
        <v>212.15735144232644</v>
      </c>
    </row>
    <row r="272" spans="2:15" s="731" customFormat="1" hidden="1" outlineLevel="2">
      <c r="B272" s="807"/>
      <c r="F272" s="943"/>
      <c r="G272" s="943"/>
      <c r="H272" s="943"/>
      <c r="I272" s="943"/>
      <c r="J272" s="943"/>
      <c r="K272" s="943"/>
      <c r="L272" s="943"/>
      <c r="M272" s="943"/>
      <c r="N272" s="943"/>
      <c r="O272" s="943"/>
    </row>
    <row r="273" spans="2:20" s="731" customFormat="1" hidden="1" outlineLevel="2">
      <c r="B273" s="807"/>
      <c r="C273" s="731" t="s">
        <v>5</v>
      </c>
      <c r="F273" s="943" t="s">
        <v>45</v>
      </c>
      <c r="G273" s="1685" t="str">
        <f>INDEX(Vectors[Description], MATCH(F273, Vectors[Code], 0))</f>
        <v>Electricity (delivered to end user)</v>
      </c>
      <c r="H273" s="943"/>
      <c r="I273" s="943"/>
      <c r="J273" s="943"/>
      <c r="K273" s="943"/>
      <c r="L273" s="943"/>
      <c r="M273" s="943"/>
      <c r="N273" s="943"/>
      <c r="O273" s="943"/>
    </row>
    <row r="274" spans="2:20" s="731" customFormat="1" hidden="1" outlineLevel="2">
      <c r="B274" s="1624"/>
      <c r="C274" s="1566" t="s">
        <v>1349</v>
      </c>
      <c r="D274" s="121"/>
      <c r="F274" s="943"/>
      <c r="G274" s="943"/>
      <c r="H274" s="943"/>
      <c r="I274" s="943"/>
      <c r="J274" s="943"/>
      <c r="K274" s="943"/>
      <c r="L274" s="943"/>
      <c r="M274" s="943"/>
      <c r="N274" s="943"/>
      <c r="O274" s="20" t="str">
        <f>Preferences.EnergyUnits</f>
        <v>TWh</v>
      </c>
    </row>
    <row r="275" spans="2:20" s="731" customFormat="1" hidden="1" outlineLevel="2">
      <c r="B275" s="1624"/>
      <c r="C275" s="1566" t="s">
        <v>1365</v>
      </c>
      <c r="D275" s="1623" t="s">
        <v>1370</v>
      </c>
      <c r="F275" s="925">
        <f t="array" ref="F275:F284">F$246:F$255*SUMIFS(F$200:F$203, $C$200:$C$203, $C275:$C284, $D$200:$D$203, $D275:$D284)</f>
        <v>0</v>
      </c>
      <c r="G275" s="925">
        <f t="array" ref="G275:G284">G$246:G$255*SUMIFS(G$200:G$203, $C$200:$C$203, $C275:$C284, $D$200:$D$203, $D275:$D284)</f>
        <v>0</v>
      </c>
      <c r="H275" s="925">
        <f t="array" ref="H275:H284">H$246:H$255*SUMIFS(H$200:H$203, $C$200:$C$203, $C275:$C284, $D$200:$D$203, $D275:$D284)</f>
        <v>0</v>
      </c>
      <c r="I275" s="925">
        <f t="array" ref="I275:I284">I$246:I$255*SUMIFS(I$200:I$203, $C$200:$C$203, $C275:$C284, $D$200:$D$203, $D275:$D284)</f>
        <v>0</v>
      </c>
      <c r="J275" s="925">
        <f t="array" ref="J275:J284">J$246:J$255*SUMIFS(J$200:J$203, $C$200:$C$203, $C275:$C284, $D$200:$D$203, $D275:$D284)</f>
        <v>0</v>
      </c>
      <c r="K275" s="925">
        <f t="array" ref="K275:K284">K$246:K$255*SUMIFS(K$200:K$203, $C$200:$C$203, $C275:$C284, $D$200:$D$203, $D275:$D284)</f>
        <v>0</v>
      </c>
      <c r="L275" s="925">
        <f t="array" ref="L275:L284">L$246:L$255*SUMIFS(L$200:L$203, $C$200:$C$203, $C275:$C284, $D$200:$D$203, $D275:$D284)</f>
        <v>0</v>
      </c>
      <c r="M275" s="925">
        <f t="array" ref="M275:M284">M$246:M$255*SUMIFS(M$200:M$203, $C$200:$C$203, $C275:$C284, $D$200:$D$203, $D275:$D284)</f>
        <v>0</v>
      </c>
      <c r="N275" s="925">
        <f t="array" ref="N275:N284">N$246:N$255*SUMIFS(N$200:N$203, $C$200:$C$203, $C275:$C284, $D$200:$D$203, $D275:$D284)</f>
        <v>0</v>
      </c>
      <c r="O275" s="925">
        <f t="array" ref="O275:O284">O$246:O$255*SUMIFS(O$200:O$203, $C$200:$C$203, $C275:$C284, $D$200:$D$203, $D275:$D284)</f>
        <v>0</v>
      </c>
    </row>
    <row r="276" spans="2:20" s="731" customFormat="1" hidden="1" outlineLevel="2">
      <c r="B276" s="807"/>
      <c r="C276" s="1566" t="s">
        <v>1365</v>
      </c>
      <c r="D276" s="21" t="s">
        <v>1896</v>
      </c>
      <c r="F276" s="925">
        <v>0</v>
      </c>
      <c r="G276" s="925">
        <v>0</v>
      </c>
      <c r="H276" s="925">
        <v>0.2103209123059242</v>
      </c>
      <c r="I276" s="925">
        <v>0.43014655906082894</v>
      </c>
      <c r="J276" s="925">
        <v>2.3157042849716158</v>
      </c>
      <c r="K276" s="925">
        <v>4.1204494947268389</v>
      </c>
      <c r="L276" s="925">
        <v>6.0975167973195683</v>
      </c>
      <c r="M276" s="925">
        <v>8.077714304551801</v>
      </c>
      <c r="N276" s="925">
        <v>9.9704271270867437</v>
      </c>
      <c r="O276" s="925">
        <v>12.060033960208667</v>
      </c>
      <c r="Q276" s="2267" t="s">
        <v>1956</v>
      </c>
      <c r="R276" s="2267"/>
      <c r="S276" s="2267"/>
      <c r="T276" s="2267"/>
    </row>
    <row r="277" spans="2:20" s="731" customFormat="1" hidden="1" outlineLevel="2">
      <c r="B277" s="807"/>
      <c r="C277" s="1566" t="s">
        <v>1365</v>
      </c>
      <c r="D277" s="1623" t="s">
        <v>1371</v>
      </c>
      <c r="F277" s="925">
        <v>0</v>
      </c>
      <c r="G277" s="925">
        <v>0</v>
      </c>
      <c r="H277" s="925">
        <v>4.3231431100909393E-2</v>
      </c>
      <c r="I277" s="925">
        <v>8.7002769371567951E-2</v>
      </c>
      <c r="J277" s="925">
        <v>0.45278643844083122</v>
      </c>
      <c r="K277" s="925">
        <v>0.77932042757409037</v>
      </c>
      <c r="L277" s="925">
        <v>1.1159022710225583</v>
      </c>
      <c r="M277" s="925">
        <v>1.4327444332232548</v>
      </c>
      <c r="N277" s="925">
        <v>1.5843530034463822</v>
      </c>
      <c r="O277" s="925">
        <v>1.7579818734304171</v>
      </c>
      <c r="P277" s="2208"/>
      <c r="Q277" s="2267" t="s">
        <v>1956</v>
      </c>
      <c r="R277" s="2267"/>
      <c r="S277" s="2267"/>
      <c r="T277" s="2267"/>
    </row>
    <row r="278" spans="2:20" s="731" customFormat="1" hidden="1" outlineLevel="2">
      <c r="B278" s="807"/>
      <c r="C278" s="1566" t="s">
        <v>1365</v>
      </c>
      <c r="D278" s="1623" t="s">
        <v>1372</v>
      </c>
      <c r="F278" s="925">
        <v>0</v>
      </c>
      <c r="G278" s="925">
        <v>0</v>
      </c>
      <c r="H278" s="925">
        <v>0</v>
      </c>
      <c r="I278" s="925">
        <v>0</v>
      </c>
      <c r="J278" s="925">
        <v>0</v>
      </c>
      <c r="K278" s="925">
        <v>0</v>
      </c>
      <c r="L278" s="925">
        <v>0</v>
      </c>
      <c r="M278" s="925">
        <v>0</v>
      </c>
      <c r="N278" s="925">
        <v>0</v>
      </c>
      <c r="O278" s="925">
        <v>0</v>
      </c>
      <c r="P278" s="2208"/>
    </row>
    <row r="279" spans="2:20" s="731" customFormat="1" hidden="1" outlineLevel="2">
      <c r="B279" s="807"/>
      <c r="C279" s="1566" t="s">
        <v>1366</v>
      </c>
      <c r="D279" s="1623" t="s">
        <v>1370</v>
      </c>
      <c r="F279" s="925">
        <v>0</v>
      </c>
      <c r="G279" s="925">
        <v>0</v>
      </c>
      <c r="H279" s="925">
        <v>0</v>
      </c>
      <c r="I279" s="925">
        <v>0</v>
      </c>
      <c r="J279" s="925">
        <v>0</v>
      </c>
      <c r="K279" s="925">
        <v>0</v>
      </c>
      <c r="L279" s="925">
        <v>0</v>
      </c>
      <c r="M279" s="925">
        <v>0</v>
      </c>
      <c r="N279" s="925">
        <v>0</v>
      </c>
      <c r="O279" s="925">
        <v>0</v>
      </c>
      <c r="P279" s="2208"/>
    </row>
    <row r="280" spans="2:20" s="731" customFormat="1" hidden="1" outlineLevel="2">
      <c r="B280" s="807"/>
      <c r="C280" s="1566" t="s">
        <v>1366</v>
      </c>
      <c r="D280" s="21" t="s">
        <v>1897</v>
      </c>
      <c r="F280" s="925">
        <v>0</v>
      </c>
      <c r="G280" s="925">
        <v>0</v>
      </c>
      <c r="H280" s="925">
        <v>0</v>
      </c>
      <c r="I280" s="925">
        <v>0</v>
      </c>
      <c r="J280" s="925">
        <v>0</v>
      </c>
      <c r="K280" s="925">
        <v>0</v>
      </c>
      <c r="L280" s="925">
        <v>0</v>
      </c>
      <c r="M280" s="925">
        <v>0</v>
      </c>
      <c r="N280" s="925">
        <v>0</v>
      </c>
      <c r="O280" s="925">
        <v>0</v>
      </c>
      <c r="P280" s="2208"/>
    </row>
    <row r="281" spans="2:20" hidden="1" outlineLevel="2">
      <c r="C281" s="1566" t="s">
        <v>1366</v>
      </c>
      <c r="D281" s="1623" t="s">
        <v>1371</v>
      </c>
      <c r="E281" s="731"/>
      <c r="F281" s="925">
        <v>0</v>
      </c>
      <c r="G281" s="925">
        <v>0</v>
      </c>
      <c r="H281" s="925">
        <v>5.3828398750231958E-3</v>
      </c>
      <c r="I281" s="925">
        <v>1.0742727636201061E-2</v>
      </c>
      <c r="J281" s="925">
        <v>1.05729411383926E-2</v>
      </c>
      <c r="K281" s="925">
        <v>1.0219203094233815E-2</v>
      </c>
      <c r="L281" s="925">
        <v>1.0753507430781271E-2</v>
      </c>
      <c r="M281" s="925">
        <v>1.12098837463414E-2</v>
      </c>
      <c r="N281" s="925">
        <v>1.1665130263459599E-2</v>
      </c>
      <c r="O281" s="925">
        <v>1.2122182628128428E-2</v>
      </c>
    </row>
    <row r="282" spans="2:20" hidden="1" outlineLevel="2">
      <c r="C282" s="1566" t="s">
        <v>1368</v>
      </c>
      <c r="D282" s="1623" t="s">
        <v>1419</v>
      </c>
      <c r="E282" s="731"/>
      <c r="F282" s="925">
        <v>0</v>
      </c>
      <c r="G282" s="925">
        <v>0</v>
      </c>
      <c r="H282" s="925">
        <v>0</v>
      </c>
      <c r="I282" s="925">
        <v>0</v>
      </c>
      <c r="J282" s="925">
        <v>0</v>
      </c>
      <c r="K282" s="925">
        <v>0</v>
      </c>
      <c r="L282" s="925">
        <v>0</v>
      </c>
      <c r="M282" s="925">
        <v>0</v>
      </c>
      <c r="N282" s="925">
        <v>0</v>
      </c>
      <c r="O282" s="925">
        <v>0</v>
      </c>
    </row>
    <row r="283" spans="2:20" hidden="1" outlineLevel="2">
      <c r="C283" s="20" t="s">
        <v>1368</v>
      </c>
      <c r="D283" s="1623" t="s">
        <v>1420</v>
      </c>
      <c r="E283" s="731"/>
      <c r="F283" s="925">
        <v>4.2923924571345466</v>
      </c>
      <c r="G283" s="925">
        <v>3.793440121990916</v>
      </c>
      <c r="H283" s="925">
        <v>3.5890559517057361</v>
      </c>
      <c r="I283" s="925">
        <v>3.4964617013430996</v>
      </c>
      <c r="J283" s="925">
        <v>3.3778216236053349</v>
      </c>
      <c r="K283" s="925">
        <v>3.2257441444964865</v>
      </c>
      <c r="L283" s="925">
        <v>3.0634798508072274</v>
      </c>
      <c r="M283" s="925">
        <v>2.8756368881283727</v>
      </c>
      <c r="N283" s="925">
        <v>2.6882804598081766</v>
      </c>
      <c r="O283" s="925">
        <v>2.5024766932111011</v>
      </c>
    </row>
    <row r="284" spans="2:20" hidden="1" outlineLevel="2">
      <c r="C284" s="20" t="s">
        <v>1369</v>
      </c>
      <c r="D284" s="1623" t="s">
        <v>1369</v>
      </c>
      <c r="E284" s="731"/>
      <c r="F284" s="925">
        <v>0</v>
      </c>
      <c r="G284" s="925">
        <v>0</v>
      </c>
      <c r="H284" s="925">
        <v>0</v>
      </c>
      <c r="I284" s="925">
        <v>0</v>
      </c>
      <c r="J284" s="925">
        <v>0</v>
      </c>
      <c r="K284" s="925">
        <v>0</v>
      </c>
      <c r="L284" s="925">
        <v>0</v>
      </c>
      <c r="M284" s="925">
        <v>0</v>
      </c>
      <c r="N284" s="925">
        <v>0</v>
      </c>
      <c r="O284" s="925">
        <v>0</v>
      </c>
    </row>
    <row r="285" spans="2:20" hidden="1" outlineLevel="2">
      <c r="C285" s="20"/>
      <c r="D285" s="1623"/>
      <c r="E285" s="731"/>
      <c r="F285" s="2209">
        <f t="shared" ref="F285:O285" si="36">SUM(F275:F284)</f>
        <v>4.2923924571345466</v>
      </c>
      <c r="G285" s="2209">
        <f t="shared" si="36"/>
        <v>3.793440121990916</v>
      </c>
      <c r="H285" s="2209">
        <f t="shared" si="36"/>
        <v>3.847991134987593</v>
      </c>
      <c r="I285" s="2209">
        <f t="shared" si="36"/>
        <v>4.0243537574116974</v>
      </c>
      <c r="J285" s="2209">
        <f t="shared" si="36"/>
        <v>6.1568852881561753</v>
      </c>
      <c r="K285" s="2209">
        <f t="shared" si="36"/>
        <v>8.1357332698916487</v>
      </c>
      <c r="L285" s="2209">
        <f t="shared" si="36"/>
        <v>10.287652426580134</v>
      </c>
      <c r="M285" s="2209">
        <f t="shared" si="36"/>
        <v>12.397305509649769</v>
      </c>
      <c r="N285" s="2209">
        <f t="shared" si="36"/>
        <v>14.254725720604762</v>
      </c>
      <c r="O285" s="2209">
        <f t="shared" si="36"/>
        <v>16.332614709478314</v>
      </c>
    </row>
    <row r="286" spans="2:20" hidden="1" outlineLevel="2"/>
    <row r="287" spans="2:20" hidden="1" outlineLevel="2">
      <c r="C287" s="731" t="s">
        <v>107</v>
      </c>
      <c r="D287" s="731"/>
      <c r="E287" s="731"/>
      <c r="F287" s="943" t="s">
        <v>1476</v>
      </c>
      <c r="G287" s="1685" t="str">
        <f>INDEX(Vectors[Description], MATCH(F287, Vectors[Code], 0))</f>
        <v>H2</v>
      </c>
      <c r="H287" s="943"/>
      <c r="I287" s="943"/>
      <c r="J287" s="943"/>
      <c r="K287" s="943"/>
      <c r="L287" s="943"/>
      <c r="M287" s="943"/>
      <c r="N287" s="943"/>
      <c r="O287" s="943"/>
    </row>
    <row r="288" spans="2:20" s="731" customFormat="1" hidden="1" outlineLevel="2">
      <c r="B288" s="807"/>
      <c r="C288" s="1566" t="s">
        <v>1349</v>
      </c>
      <c r="D288" s="121"/>
      <c r="F288" s="943"/>
      <c r="G288" s="943"/>
      <c r="H288" s="943"/>
      <c r="I288" s="943"/>
      <c r="J288" s="943"/>
      <c r="K288" s="943"/>
      <c r="L288" s="943"/>
      <c r="M288" s="943"/>
      <c r="N288" s="943"/>
      <c r="O288" s="20" t="str">
        <f>Preferences.EnergyUnits</f>
        <v>TWh</v>
      </c>
    </row>
    <row r="289" spans="1:17" s="731" customFormat="1" hidden="1" outlineLevel="2">
      <c r="B289" s="807"/>
      <c r="C289" s="1566" t="s">
        <v>1365</v>
      </c>
      <c r="D289" s="1623" t="s">
        <v>1370</v>
      </c>
      <c r="F289" s="925">
        <f t="array" ref="F289:F298">F$246:F$255*SUMIFS(F$208, $C$208, $C289:$C298, $D$208, $D289:$D298)</f>
        <v>0</v>
      </c>
      <c r="G289" s="925">
        <f t="array" ref="G289:G298">G$246:G$255*SUMIFS(G$208, $C$208, $C289:$C298, $D$208, $D289:$D298)</f>
        <v>0</v>
      </c>
      <c r="H289" s="925">
        <f t="array" ref="H289:H298">H$246:H$255*SUMIFS(H$208, $C$208, $C289:$C298, $D$208, $D289:$D298)</f>
        <v>0</v>
      </c>
      <c r="I289" s="925">
        <f t="array" ref="I289:I298">I$246:I$255*SUMIFS(I$208, $C$208, $C289:$C298, $D$208, $D289:$D298)</f>
        <v>0</v>
      </c>
      <c r="J289" s="925">
        <f t="array" ref="J289:J298">J$246:J$255*SUMIFS(J$208, $C$208, $C289:$C298, $D$208, $D289:$D298)</f>
        <v>0</v>
      </c>
      <c r="K289" s="925">
        <f t="array" ref="K289:K298">K$246:K$255*SUMIFS(K$208, $C$208, $C289:$C298, $D$208, $D289:$D298)</f>
        <v>0</v>
      </c>
      <c r="L289" s="925">
        <f t="array" ref="L289:L298">L$246:L$255*SUMIFS(L$208, $C$208, $C289:$C298, $D$208, $D289:$D298)</f>
        <v>0</v>
      </c>
      <c r="M289" s="925">
        <f t="array" ref="M289:M298">M$246:M$255*SUMIFS(M$208, $C$208, $C289:$C298, $D$208, $D289:$D298)</f>
        <v>0</v>
      </c>
      <c r="N289" s="925">
        <f t="array" ref="N289:N298">N$246:N$255*SUMIFS(N$208, $C$208, $C289:$C298, $D$208, $D289:$D298)</f>
        <v>0</v>
      </c>
      <c r="O289" s="925">
        <f t="array" ref="O289:O298">O$246:O$255*SUMIFS(O$208, $C$208, $C289:$C298, $D$208, $D289:$D298)</f>
        <v>0</v>
      </c>
    </row>
    <row r="290" spans="1:17" s="731" customFormat="1" hidden="1" outlineLevel="2">
      <c r="A290" s="121"/>
      <c r="B290" s="807"/>
      <c r="C290" s="1566" t="s">
        <v>1365</v>
      </c>
      <c r="D290" s="21" t="s">
        <v>1896</v>
      </c>
      <c r="F290" s="925">
        <v>0</v>
      </c>
      <c r="G290" s="925">
        <v>0</v>
      </c>
      <c r="H290" s="925">
        <v>0</v>
      </c>
      <c r="I290" s="925">
        <v>0</v>
      </c>
      <c r="J290" s="925">
        <v>0</v>
      </c>
      <c r="K290" s="925">
        <v>0</v>
      </c>
      <c r="L290" s="925">
        <v>0</v>
      </c>
      <c r="M290" s="925">
        <v>0</v>
      </c>
      <c r="N290" s="925">
        <v>0</v>
      </c>
      <c r="O290" s="925">
        <v>0</v>
      </c>
      <c r="Q290" s="121"/>
    </row>
    <row r="291" spans="1:17" s="731" customFormat="1" hidden="1" outlineLevel="2">
      <c r="A291" s="121"/>
      <c r="B291" s="807"/>
      <c r="C291" s="1566" t="s">
        <v>1365</v>
      </c>
      <c r="D291" s="1623" t="s">
        <v>1371</v>
      </c>
      <c r="F291" s="925">
        <v>0</v>
      </c>
      <c r="G291" s="925">
        <v>0</v>
      </c>
      <c r="H291" s="925">
        <v>0</v>
      </c>
      <c r="I291" s="925">
        <v>0</v>
      </c>
      <c r="J291" s="925">
        <v>0</v>
      </c>
      <c r="K291" s="925">
        <v>0</v>
      </c>
      <c r="L291" s="925">
        <v>0</v>
      </c>
      <c r="M291" s="925">
        <v>0</v>
      </c>
      <c r="N291" s="925">
        <v>0</v>
      </c>
      <c r="O291" s="925">
        <v>0</v>
      </c>
      <c r="Q291" s="121"/>
    </row>
    <row r="292" spans="1:17" s="731" customFormat="1" hidden="1" outlineLevel="2">
      <c r="A292" s="121"/>
      <c r="B292" s="807"/>
      <c r="C292" s="1566" t="s">
        <v>1365</v>
      </c>
      <c r="D292" s="1623" t="s">
        <v>1372</v>
      </c>
      <c r="F292" s="925">
        <v>0</v>
      </c>
      <c r="G292" s="925">
        <v>0</v>
      </c>
      <c r="H292" s="925">
        <v>0</v>
      </c>
      <c r="I292" s="925">
        <v>0</v>
      </c>
      <c r="J292" s="925">
        <v>0</v>
      </c>
      <c r="K292" s="925">
        <v>0</v>
      </c>
      <c r="L292" s="925">
        <v>0</v>
      </c>
      <c r="M292" s="925">
        <v>0</v>
      </c>
      <c r="N292" s="925">
        <v>0</v>
      </c>
      <c r="O292" s="925">
        <v>0</v>
      </c>
      <c r="Q292" s="121"/>
    </row>
    <row r="293" spans="1:17" s="731" customFormat="1" hidden="1" outlineLevel="2">
      <c r="A293" s="121"/>
      <c r="B293" s="807"/>
      <c r="C293" s="1566" t="s">
        <v>1366</v>
      </c>
      <c r="D293" s="1623" t="s">
        <v>1370</v>
      </c>
      <c r="F293" s="925">
        <v>0</v>
      </c>
      <c r="G293" s="925">
        <v>0</v>
      </c>
      <c r="H293" s="925">
        <v>0</v>
      </c>
      <c r="I293" s="925">
        <v>0</v>
      </c>
      <c r="J293" s="925">
        <v>0</v>
      </c>
      <c r="K293" s="925">
        <v>0</v>
      </c>
      <c r="L293" s="925">
        <v>0</v>
      </c>
      <c r="M293" s="925">
        <v>0</v>
      </c>
      <c r="N293" s="925">
        <v>0</v>
      </c>
      <c r="O293" s="925">
        <v>0</v>
      </c>
      <c r="Q293" s="121"/>
    </row>
    <row r="294" spans="1:17" s="731" customFormat="1" hidden="1" outlineLevel="2">
      <c r="A294" s="121"/>
      <c r="B294" s="807"/>
      <c r="C294" s="1566" t="s">
        <v>1366</v>
      </c>
      <c r="D294" s="21" t="s">
        <v>1897</v>
      </c>
      <c r="F294" s="925">
        <v>0</v>
      </c>
      <c r="G294" s="925">
        <v>0</v>
      </c>
      <c r="H294" s="925">
        <v>0</v>
      </c>
      <c r="I294" s="925">
        <v>0</v>
      </c>
      <c r="J294" s="925">
        <v>0</v>
      </c>
      <c r="K294" s="925">
        <v>0</v>
      </c>
      <c r="L294" s="925">
        <v>0</v>
      </c>
      <c r="M294" s="925">
        <v>0</v>
      </c>
      <c r="N294" s="925">
        <v>0</v>
      </c>
      <c r="O294" s="925">
        <v>0</v>
      </c>
      <c r="Q294" s="121"/>
    </row>
    <row r="295" spans="1:17" s="731" customFormat="1" hidden="1" outlineLevel="2">
      <c r="A295" s="121"/>
      <c r="B295" s="807"/>
      <c r="C295" s="1566" t="s">
        <v>1366</v>
      </c>
      <c r="D295" s="1623" t="s">
        <v>1371</v>
      </c>
      <c r="F295" s="925">
        <v>0</v>
      </c>
      <c r="G295" s="925">
        <v>0</v>
      </c>
      <c r="H295" s="925">
        <v>0</v>
      </c>
      <c r="I295" s="925">
        <v>0</v>
      </c>
      <c r="J295" s="925">
        <v>0</v>
      </c>
      <c r="K295" s="925">
        <v>0</v>
      </c>
      <c r="L295" s="925">
        <v>0</v>
      </c>
      <c r="M295" s="925">
        <v>0</v>
      </c>
      <c r="N295" s="925">
        <v>0</v>
      </c>
      <c r="O295" s="925">
        <v>0</v>
      </c>
      <c r="Q295" s="121"/>
    </row>
    <row r="296" spans="1:17" s="731" customFormat="1" hidden="1" outlineLevel="2">
      <c r="A296" s="121"/>
      <c r="B296" s="807"/>
      <c r="C296" s="1566" t="s">
        <v>1368</v>
      </c>
      <c r="D296" s="1623" t="s">
        <v>1419</v>
      </c>
      <c r="F296" s="925">
        <v>0</v>
      </c>
      <c r="G296" s="925">
        <v>0</v>
      </c>
      <c r="H296" s="925">
        <v>0</v>
      </c>
      <c r="I296" s="925">
        <v>0</v>
      </c>
      <c r="J296" s="925">
        <v>0</v>
      </c>
      <c r="K296" s="925">
        <v>0</v>
      </c>
      <c r="L296" s="925">
        <v>0</v>
      </c>
      <c r="M296" s="925">
        <v>0</v>
      </c>
      <c r="N296" s="925">
        <v>0</v>
      </c>
      <c r="O296" s="925">
        <v>0</v>
      </c>
      <c r="Q296" s="121"/>
    </row>
    <row r="297" spans="1:17" s="731" customFormat="1" hidden="1" outlineLevel="2">
      <c r="A297" s="121"/>
      <c r="B297" s="807"/>
      <c r="C297" s="20" t="s">
        <v>1368</v>
      </c>
      <c r="D297" s="1623" t="s">
        <v>1420</v>
      </c>
      <c r="F297" s="925">
        <v>0</v>
      </c>
      <c r="G297" s="925">
        <v>0</v>
      </c>
      <c r="H297" s="925">
        <v>0</v>
      </c>
      <c r="I297" s="925">
        <v>0</v>
      </c>
      <c r="J297" s="925">
        <v>0</v>
      </c>
      <c r="K297" s="925">
        <v>0</v>
      </c>
      <c r="L297" s="925">
        <v>0</v>
      </c>
      <c r="M297" s="925">
        <v>0</v>
      </c>
      <c r="N297" s="925">
        <v>0</v>
      </c>
      <c r="O297" s="925">
        <v>0</v>
      </c>
      <c r="Q297" s="121"/>
    </row>
    <row r="298" spans="1:17" s="731" customFormat="1" hidden="1" outlineLevel="2">
      <c r="A298" s="121"/>
      <c r="B298" s="807"/>
      <c r="C298" s="20" t="s">
        <v>1369</v>
      </c>
      <c r="D298" s="1623" t="s">
        <v>1369</v>
      </c>
      <c r="F298" s="925">
        <v>0</v>
      </c>
      <c r="G298" s="925">
        <v>0</v>
      </c>
      <c r="H298" s="925">
        <v>0</v>
      </c>
      <c r="I298" s="925">
        <v>0</v>
      </c>
      <c r="J298" s="925">
        <v>0</v>
      </c>
      <c r="K298" s="925">
        <v>0</v>
      </c>
      <c r="L298" s="925">
        <v>0</v>
      </c>
      <c r="M298" s="925">
        <v>0</v>
      </c>
      <c r="N298" s="925">
        <v>0</v>
      </c>
      <c r="O298" s="925">
        <v>0</v>
      </c>
      <c r="Q298" s="121"/>
    </row>
    <row r="299" spans="1:17" s="731" customFormat="1" hidden="1" outlineLevel="2">
      <c r="A299" s="121"/>
      <c r="B299" s="807"/>
      <c r="C299" s="20"/>
      <c r="D299" s="1623"/>
      <c r="F299" s="2209">
        <f t="shared" ref="F299:O299" si="37">SUM(F289:F298)</f>
        <v>0</v>
      </c>
      <c r="G299" s="2209">
        <f t="shared" si="37"/>
        <v>0</v>
      </c>
      <c r="H299" s="2209">
        <f t="shared" si="37"/>
        <v>0</v>
      </c>
      <c r="I299" s="2209">
        <f t="shared" si="37"/>
        <v>0</v>
      </c>
      <c r="J299" s="2209">
        <f t="shared" si="37"/>
        <v>0</v>
      </c>
      <c r="K299" s="2209">
        <f t="shared" si="37"/>
        <v>0</v>
      </c>
      <c r="L299" s="2209">
        <f t="shared" si="37"/>
        <v>0</v>
      </c>
      <c r="M299" s="2209">
        <f t="shared" si="37"/>
        <v>0</v>
      </c>
      <c r="N299" s="2209">
        <f t="shared" si="37"/>
        <v>0</v>
      </c>
      <c r="O299" s="2209">
        <f t="shared" si="37"/>
        <v>0</v>
      </c>
      <c r="Q299" s="121"/>
    </row>
    <row r="300" spans="1:17" s="731" customFormat="1" hidden="1" outlineLevel="2">
      <c r="A300" s="121"/>
      <c r="B300" s="807"/>
      <c r="C300" s="20"/>
      <c r="D300" s="1623"/>
      <c r="F300" s="2196"/>
      <c r="G300" s="2196"/>
      <c r="H300" s="2196"/>
      <c r="I300" s="2196"/>
      <c r="J300" s="2196"/>
      <c r="K300" s="2196"/>
      <c r="L300" s="2196"/>
      <c r="M300" s="2196"/>
      <c r="N300" s="2196"/>
      <c r="O300" s="2196"/>
      <c r="Q300" s="121"/>
    </row>
    <row r="301" spans="1:17" s="731" customFormat="1" hidden="1" outlineLevel="1">
      <c r="A301" s="121"/>
      <c r="B301" s="807">
        <v>4</v>
      </c>
      <c r="C301" s="1288" t="s">
        <v>2044</v>
      </c>
      <c r="D301" s="1623"/>
      <c r="F301" s="1621"/>
      <c r="G301" s="1621"/>
      <c r="H301" s="1621"/>
      <c r="I301" s="1621"/>
      <c r="J301" s="1621"/>
      <c r="K301" s="1621"/>
      <c r="L301" s="1621"/>
      <c r="M301" s="1621"/>
      <c r="N301" s="1621"/>
      <c r="O301" s="1621"/>
      <c r="Q301" s="121"/>
    </row>
    <row r="302" spans="1:17" s="731" customFormat="1" hidden="1" outlineLevel="2">
      <c r="A302" s="121"/>
      <c r="B302" s="807"/>
      <c r="C302" s="1566"/>
      <c r="D302" s="1623"/>
      <c r="F302" s="1621"/>
      <c r="G302" s="1621"/>
      <c r="H302" s="1621"/>
      <c r="I302" s="1621"/>
      <c r="J302" s="1621"/>
      <c r="K302" s="1621"/>
      <c r="L302" s="1621"/>
      <c r="M302" s="1621"/>
      <c r="N302" s="1621"/>
      <c r="O302" s="20" t="str">
        <f>Preferences.EnergyUnits</f>
        <v>TWh</v>
      </c>
      <c r="Q302" s="121"/>
    </row>
    <row r="303" spans="1:17" s="731" customFormat="1" hidden="1" outlineLevel="2">
      <c r="A303" s="121"/>
      <c r="B303" s="807"/>
      <c r="C303" s="121" t="s">
        <v>24</v>
      </c>
      <c r="D303" s="24"/>
      <c r="F303" s="925">
        <f>SUM(F$261:F$267)+SUM(F$275:F$281)+SUM(F$289:F$295)</f>
        <v>403.19918225742038</v>
      </c>
      <c r="G303" s="925">
        <f t="shared" ref="G303:O303" si="38">SUM(G$261:G$267)+SUM(G$275:G$281)+SUM(G$289:G$295)</f>
        <v>378.06274186938907</v>
      </c>
      <c r="H303" s="925">
        <f t="shared" si="38"/>
        <v>345.05877441902999</v>
      </c>
      <c r="I303" s="925">
        <f t="shared" si="38"/>
        <v>320.52482900203483</v>
      </c>
      <c r="J303" s="925">
        <f t="shared" si="38"/>
        <v>284.72654983330506</v>
      </c>
      <c r="K303" s="925">
        <f t="shared" si="38"/>
        <v>244.70564215067873</v>
      </c>
      <c r="L303" s="925">
        <f t="shared" si="38"/>
        <v>235.12410384951022</v>
      </c>
      <c r="M303" s="925">
        <f t="shared" si="38"/>
        <v>223.10406243877554</v>
      </c>
      <c r="N303" s="925">
        <f t="shared" si="38"/>
        <v>215.19818969012252</v>
      </c>
      <c r="O303" s="925">
        <f t="shared" si="38"/>
        <v>207.13104078836022</v>
      </c>
      <c r="Q303" s="121"/>
    </row>
    <row r="304" spans="1:17" s="731" customFormat="1" hidden="1" outlineLevel="2">
      <c r="A304" s="121"/>
      <c r="B304" s="807"/>
      <c r="C304" s="121" t="s">
        <v>25</v>
      </c>
      <c r="D304" s="24"/>
      <c r="F304" s="925">
        <f>SUM(F$268:F$269)+SUM(F$282:F$283)+SUM(F$296:F$297)</f>
        <v>9.1535938479828154</v>
      </c>
      <c r="G304" s="925">
        <f t="shared" ref="G304:O304" si="39">SUM(G$268:G$269)+SUM(G$282:G$283)+SUM(G$296:G$297)</f>
        <v>10.99308439392685</v>
      </c>
      <c r="H304" s="925">
        <f t="shared" si="39"/>
        <v>10.312331355565261</v>
      </c>
      <c r="I304" s="925">
        <f t="shared" si="39"/>
        <v>9.9531133792689008</v>
      </c>
      <c r="J304" s="925">
        <f t="shared" si="39"/>
        <v>9.5177751099963253</v>
      </c>
      <c r="K304" s="925">
        <f t="shared" si="39"/>
        <v>8.9878175209015581</v>
      </c>
      <c r="L304" s="925">
        <f t="shared" si="39"/>
        <v>8.4304691272191121</v>
      </c>
      <c r="M304" s="925">
        <f t="shared" si="39"/>
        <v>7.8051972527073694</v>
      </c>
      <c r="N304" s="925">
        <f t="shared" si="39"/>
        <v>7.1850819155988788</v>
      </c>
      <c r="O304" s="925">
        <f t="shared" si="39"/>
        <v>6.5734762707979844</v>
      </c>
      <c r="Q304" s="121"/>
    </row>
    <row r="305" spans="1:17" s="731" customFormat="1" hidden="1" outlineLevel="2">
      <c r="A305" s="121"/>
      <c r="B305" s="807"/>
      <c r="C305" s="121" t="s">
        <v>184</v>
      </c>
      <c r="D305" s="24"/>
      <c r="F305" s="925">
        <f>F$270+F$284+F$298</f>
        <v>9.0198346087095516</v>
      </c>
      <c r="G305" s="925">
        <f t="shared" ref="G305:O305" si="40">G$270+G$284+G$298</f>
        <v>9.5510973295169013</v>
      </c>
      <c r="H305" s="925">
        <f t="shared" si="40"/>
        <v>10.163716423089292</v>
      </c>
      <c r="I305" s="925">
        <f t="shared" si="40"/>
        <v>11.078742052970153</v>
      </c>
      <c r="J305" s="925">
        <f t="shared" si="40"/>
        <v>11.927979753386868</v>
      </c>
      <c r="K305" s="925">
        <f t="shared" si="40"/>
        <v>12.657847240047854</v>
      </c>
      <c r="L305" s="925">
        <f t="shared" si="40"/>
        <v>13.331077116581312</v>
      </c>
      <c r="M305" s="925">
        <f t="shared" si="40"/>
        <v>13.860251279239513</v>
      </c>
      <c r="N305" s="925">
        <f t="shared" si="40"/>
        <v>14.344409418627478</v>
      </c>
      <c r="O305" s="925">
        <f t="shared" si="40"/>
        <v>14.785449092646568</v>
      </c>
      <c r="Q305" s="121"/>
    </row>
    <row r="306" spans="1:17" s="731" customFormat="1" hidden="1" outlineLevel="2">
      <c r="A306" s="121"/>
      <c r="B306" s="121"/>
      <c r="C306" s="24"/>
      <c r="D306" s="24"/>
      <c r="E306" s="20"/>
      <c r="F306" s="943">
        <f>SUM(F303:F305)</f>
        <v>421.37261071411274</v>
      </c>
      <c r="G306" s="943">
        <f t="shared" ref="G306:O306" si="41">SUM(G303:G305)</f>
        <v>398.6069235928328</v>
      </c>
      <c r="H306" s="943">
        <f t="shared" si="41"/>
        <v>365.53482219768455</v>
      </c>
      <c r="I306" s="943">
        <f t="shared" si="41"/>
        <v>341.5566844342739</v>
      </c>
      <c r="J306" s="943">
        <f t="shared" si="41"/>
        <v>306.17230469668823</v>
      </c>
      <c r="K306" s="943">
        <f t="shared" si="41"/>
        <v>266.35130691162811</v>
      </c>
      <c r="L306" s="943">
        <f t="shared" si="41"/>
        <v>256.88565009331063</v>
      </c>
      <c r="M306" s="943">
        <f t="shared" si="41"/>
        <v>244.76951097072242</v>
      </c>
      <c r="N306" s="943">
        <f t="shared" si="41"/>
        <v>236.7276810243489</v>
      </c>
      <c r="O306" s="943">
        <f t="shared" si="41"/>
        <v>228.48996615180477</v>
      </c>
      <c r="P306" s="121"/>
      <c r="Q306" s="121"/>
    </row>
    <row r="307" spans="1:17" hidden="1" outlineLevel="2">
      <c r="C307" s="24"/>
      <c r="D307" s="24"/>
      <c r="E307" s="20"/>
      <c r="F307" s="1621"/>
      <c r="G307" s="1621"/>
      <c r="H307" s="1621"/>
      <c r="I307" s="1621"/>
      <c r="J307" s="1621"/>
      <c r="K307" s="1621"/>
      <c r="L307" s="1621"/>
      <c r="M307" s="1621"/>
      <c r="N307" s="1621"/>
      <c r="O307" s="1621"/>
    </row>
    <row r="308" spans="1:17" hidden="1" outlineLevel="2">
      <c r="C308" s="731" t="s">
        <v>1077</v>
      </c>
      <c r="D308" s="743"/>
      <c r="E308" s="743"/>
      <c r="F308" s="783"/>
      <c r="G308" s="783"/>
      <c r="H308" s="783"/>
      <c r="I308" s="783"/>
      <c r="J308" s="783"/>
      <c r="K308" s="783"/>
      <c r="L308" s="783"/>
      <c r="M308" s="783"/>
      <c r="N308" s="783"/>
      <c r="O308" s="783"/>
      <c r="P308" s="743"/>
    </row>
    <row r="309" spans="1:17" ht="14.25" hidden="1" outlineLevel="2">
      <c r="B309" s="731"/>
      <c r="C309" s="121" t="s">
        <v>1055</v>
      </c>
      <c r="D309" s="743"/>
      <c r="E309" s="743" t="s">
        <v>1076</v>
      </c>
      <c r="F309" s="823">
        <f>F$271*INDEX(EF[CO2], MATCH("V.04", EF[Vector], 0))</f>
        <v>104.27005456424456</v>
      </c>
      <c r="G309" s="823">
        <f>G$271*INDEX(EF[CO2], MATCH("V.04", EF[Vector], 0))</f>
        <v>98.703370867710476</v>
      </c>
      <c r="H309" s="823">
        <f>H$271*INDEX(EF[CO2], MATCH("V.04", EF[Vector], 0))</f>
        <v>90.421707765674242</v>
      </c>
      <c r="I309" s="823">
        <f>I$271*INDEX(EF[CO2], MATCH("V.04", EF[Vector], 0))</f>
        <v>84.38308266921554</v>
      </c>
      <c r="J309" s="823">
        <f>J$271*INDEX(EF[CO2], MATCH("V.04", EF[Vector], 0))</f>
        <v>75.003854852133017</v>
      </c>
      <c r="K309" s="823">
        <f>K$271*INDEX(EF[CO2], MATCH("V.04", EF[Vector], 0))</f>
        <v>64.553893410434128</v>
      </c>
      <c r="L309" s="823">
        <f>L$271*INDEX(EF[CO2], MATCH("V.04", EF[Vector], 0))</f>
        <v>61.64949941668263</v>
      </c>
      <c r="M309" s="823">
        <f>M$271*INDEX(EF[CO2], MATCH("V.04", EF[Vector], 0))</f>
        <v>58.093051365268167</v>
      </c>
      <c r="N309" s="823">
        <f>N$271*INDEX(EF[CO2], MATCH("V.04", EF[Vector], 0))</f>
        <v>55.618238825936032</v>
      </c>
      <c r="O309" s="823">
        <f>O$271*INDEX(EF[CO2], MATCH("V.04", EF[Vector], 0))</f>
        <v>53.039337860581611</v>
      </c>
      <c r="P309" s="743"/>
    </row>
    <row r="310" spans="1:17" ht="14.25" hidden="1" outlineLevel="2">
      <c r="B310" s="731"/>
      <c r="C310" s="121" t="s">
        <v>1056</v>
      </c>
      <c r="D310" s="743"/>
      <c r="E310" s="743" t="s">
        <v>1076</v>
      </c>
      <c r="F310" s="823">
        <f>F$271*INDEX(EF[CH4], MATCH("V.04", EF[Vector], 0))</f>
        <v>0.12981580630025488</v>
      </c>
      <c r="G310" s="823">
        <f>G$271*INDEX(EF[CH4], MATCH("V.04", EF[Vector], 0))</f>
        <v>0.12288530707395201</v>
      </c>
      <c r="H310" s="823">
        <f>H$271*INDEX(EF[CH4], MATCH("V.04", EF[Vector], 0))</f>
        <v>0.11257466920586208</v>
      </c>
      <c r="I310" s="823">
        <f>I$271*INDEX(EF[CH4], MATCH("V.04", EF[Vector], 0))</f>
        <v>0.10505660479976027</v>
      </c>
      <c r="J310" s="823">
        <f>J$271*INDEX(EF[CH4], MATCH("V.04", EF[Vector], 0))</f>
        <v>9.337950319435008E-2</v>
      </c>
      <c r="K310" s="823">
        <f>K$271*INDEX(EF[CH4], MATCH("V.04", EF[Vector], 0))</f>
        <v>8.036934245328245E-2</v>
      </c>
      <c r="L310" s="823">
        <f>L$271*INDEX(EF[CH4], MATCH("V.04", EF[Vector], 0))</f>
        <v>7.6753383396886615E-2</v>
      </c>
      <c r="M310" s="823">
        <f>M$271*INDEX(EF[CH4], MATCH("V.04", EF[Vector], 0))</f>
        <v>7.2325619612847544E-2</v>
      </c>
      <c r="N310" s="823">
        <f>N$271*INDEX(EF[CH4], MATCH("V.04", EF[Vector], 0))</f>
        <v>6.9244487771323124E-2</v>
      </c>
      <c r="O310" s="823">
        <f>O$271*INDEX(EF[CH4], MATCH("V.04", EF[Vector], 0))</f>
        <v>6.6033766250316178E-2</v>
      </c>
      <c r="P310" s="743"/>
    </row>
    <row r="311" spans="1:17" ht="14.25" hidden="1" outlineLevel="2">
      <c r="B311" s="731"/>
      <c r="C311" s="121" t="s">
        <v>1057</v>
      </c>
      <c r="D311" s="743"/>
      <c r="E311" s="743" t="s">
        <v>1076</v>
      </c>
      <c r="F311" s="823">
        <f>F$271*INDEX(EF[N2O], MATCH("V.04", EF[Vector], 0))</f>
        <v>1.8760319404027712</v>
      </c>
      <c r="G311" s="823">
        <f>G$271*INDEX(EF[N2O], MATCH("V.04", EF[Vector], 0))</f>
        <v>1.7758758940627088</v>
      </c>
      <c r="H311" s="823">
        <f>H$271*INDEX(EF[N2O], MATCH("V.04", EF[Vector], 0))</f>
        <v>1.6268718049787969</v>
      </c>
      <c r="I311" s="823">
        <f>I$271*INDEX(EF[N2O], MATCH("V.04", EF[Vector], 0))</f>
        <v>1.518224565803389</v>
      </c>
      <c r="J311" s="823">
        <f>J$271*INDEX(EF[N2O], MATCH("V.04", EF[Vector], 0))</f>
        <v>1.3494730384862186</v>
      </c>
      <c r="K311" s="823">
        <f>K$271*INDEX(EF[N2O], MATCH("V.04", EF[Vector], 0))</f>
        <v>1.1614568192319601</v>
      </c>
      <c r="L311" s="823">
        <f>L$271*INDEX(EF[N2O], MATCH("V.04", EF[Vector], 0))</f>
        <v>1.1092008199178462</v>
      </c>
      <c r="M311" s="823">
        <f>M$271*INDEX(EF[N2O], MATCH("V.04", EF[Vector], 0))</f>
        <v>1.0452130319885145</v>
      </c>
      <c r="N311" s="823">
        <f>N$271*INDEX(EF[N2O], MATCH("V.04", EF[Vector], 0))</f>
        <v>1.0006860832907389</v>
      </c>
      <c r="O311" s="823">
        <f>O$271*INDEX(EF[N2O], MATCH("V.04", EF[Vector], 0))</f>
        <v>0.95428637052220378</v>
      </c>
      <c r="P311" s="743"/>
    </row>
    <row r="312" spans="1:17" hidden="1" outlineLevel="2">
      <c r="D312" s="743"/>
      <c r="E312" s="743"/>
      <c r="F312" s="27"/>
      <c r="G312" s="743"/>
      <c r="H312" s="743"/>
      <c r="I312" s="743"/>
      <c r="J312" s="743"/>
      <c r="K312" s="743"/>
      <c r="L312" s="743"/>
      <c r="M312" s="743"/>
      <c r="N312" s="743"/>
      <c r="O312" s="743"/>
      <c r="P312" s="743"/>
    </row>
    <row r="313" spans="1:17" hidden="1" outlineLevel="1"/>
    <row r="315" spans="1:17" ht="22.5" collapsed="1">
      <c r="A315" s="1171"/>
      <c r="B315" s="1231" t="s">
        <v>683</v>
      </c>
      <c r="C315" s="1183"/>
      <c r="D315" s="1183"/>
      <c r="E315" s="1183"/>
      <c r="F315" s="1183"/>
      <c r="G315" s="1183"/>
      <c r="H315" s="1183"/>
      <c r="I315" s="1183"/>
      <c r="J315" s="1183"/>
      <c r="K315" s="1183"/>
      <c r="L315" s="1183"/>
      <c r="M315" s="1183"/>
      <c r="N315" s="1183"/>
      <c r="O315" s="1183"/>
      <c r="P315" s="1185"/>
    </row>
    <row r="316" spans="1:17" hidden="1" outlineLevel="1">
      <c r="B316" s="1172"/>
      <c r="C316" s="1174"/>
      <c r="D316" s="1174"/>
      <c r="E316" s="1174"/>
      <c r="F316" s="1174"/>
      <c r="G316" s="1174"/>
      <c r="H316" s="1174"/>
      <c r="I316" s="1174"/>
      <c r="J316" s="1174"/>
      <c r="K316" s="1174"/>
      <c r="L316" s="1174"/>
      <c r="M316" s="1174"/>
      <c r="N316" s="1174"/>
      <c r="O316" s="1174"/>
      <c r="P316" s="1176"/>
    </row>
    <row r="317" spans="1:17" hidden="1" outlineLevel="1">
      <c r="B317" s="1172"/>
      <c r="C317" s="1186" t="s">
        <v>730</v>
      </c>
      <c r="D317" s="1174"/>
      <c r="E317" s="1175"/>
      <c r="F317" s="1174"/>
      <c r="G317" s="1175"/>
      <c r="H317" s="1174"/>
      <c r="I317" s="1174"/>
      <c r="J317" s="1174"/>
      <c r="K317" s="1174"/>
      <c r="L317" s="1174"/>
      <c r="M317" s="1174"/>
      <c r="N317" s="1174"/>
      <c r="O317" s="1175" t="str">
        <f>Preferences.EnergyUnits</f>
        <v>TWh</v>
      </c>
      <c r="P317" s="1176"/>
    </row>
    <row r="318" spans="1:17" hidden="1" outlineLevel="1">
      <c r="B318" s="1172"/>
      <c r="C318" s="1174"/>
      <c r="D318" s="1174"/>
      <c r="E318" s="1174"/>
      <c r="F318" s="1174"/>
      <c r="G318" s="1174"/>
      <c r="H318" s="1174"/>
      <c r="I318" s="1174"/>
      <c r="J318" s="1174"/>
      <c r="K318" s="1174"/>
      <c r="L318" s="1174"/>
      <c r="M318" s="1174"/>
      <c r="N318" s="1174"/>
      <c r="O318" s="1174"/>
      <c r="P318" s="1176"/>
    </row>
    <row r="319" spans="1:17" ht="15.75" hidden="1" outlineLevel="1">
      <c r="B319" s="1177"/>
      <c r="C319" s="1188" t="s">
        <v>78</v>
      </c>
      <c r="D319" s="1188" t="s">
        <v>418</v>
      </c>
      <c r="E319" s="1188" t="s">
        <v>442</v>
      </c>
      <c r="F319" s="1188" t="s">
        <v>691</v>
      </c>
      <c r="G319" s="1188" t="s">
        <v>692</v>
      </c>
      <c r="H319" s="1189" t="s">
        <v>721</v>
      </c>
      <c r="I319" s="1189" t="s">
        <v>722</v>
      </c>
      <c r="J319" s="1189" t="s">
        <v>723</v>
      </c>
      <c r="K319" s="1189" t="s">
        <v>724</v>
      </c>
      <c r="L319" s="1189" t="s">
        <v>725</v>
      </c>
      <c r="M319" s="1189" t="s">
        <v>726</v>
      </c>
      <c r="N319" s="1189" t="s">
        <v>727</v>
      </c>
      <c r="O319" s="1189" t="s">
        <v>728</v>
      </c>
      <c r="P319" s="1176"/>
    </row>
    <row r="320" spans="1:17" ht="15.75" hidden="1" outlineLevel="1">
      <c r="B320" s="1177"/>
      <c r="C320" s="765" t="s">
        <v>36</v>
      </c>
      <c r="D320" s="765" t="str">
        <f>INDEX(Vectors[Description], MATCH([Vector], Vectors[Code], 0))</f>
        <v>Road transport</v>
      </c>
      <c r="E320" s="765"/>
      <c r="F320" s="953">
        <f>F303</f>
        <v>403.19918225742038</v>
      </c>
      <c r="G320" s="953">
        <f t="shared" ref="G320:O320" si="42">G303</f>
        <v>378.06274186938907</v>
      </c>
      <c r="H320" s="953">
        <f t="shared" si="42"/>
        <v>345.05877441902999</v>
      </c>
      <c r="I320" s="953">
        <f t="shared" si="42"/>
        <v>320.52482900203483</v>
      </c>
      <c r="J320" s="953">
        <f t="shared" si="42"/>
        <v>284.72654983330506</v>
      </c>
      <c r="K320" s="953">
        <f t="shared" si="42"/>
        <v>244.70564215067873</v>
      </c>
      <c r="L320" s="953">
        <f t="shared" si="42"/>
        <v>235.12410384951022</v>
      </c>
      <c r="M320" s="953">
        <f t="shared" si="42"/>
        <v>223.10406243877554</v>
      </c>
      <c r="N320" s="953">
        <f t="shared" si="42"/>
        <v>215.19818969012252</v>
      </c>
      <c r="O320" s="953">
        <f t="shared" si="42"/>
        <v>207.13104078836022</v>
      </c>
      <c r="P320" s="1176"/>
    </row>
    <row r="321" spans="1:17" ht="15.75" hidden="1" outlineLevel="1">
      <c r="B321" s="1177"/>
      <c r="C321" s="765" t="s">
        <v>37</v>
      </c>
      <c r="D321" s="765" t="str">
        <f>INDEX(Vectors[Description], MATCH([Vector], Vectors[Code], 0))</f>
        <v>Rail transport</v>
      </c>
      <c r="E321" s="765"/>
      <c r="F321" s="953">
        <f>F304+F$139</f>
        <v>13.441593847982816</v>
      </c>
      <c r="G321" s="953">
        <f t="shared" ref="G321:O321" si="43">G304+G$139</f>
        <v>15.28108439392685</v>
      </c>
      <c r="H321" s="953">
        <f t="shared" si="43"/>
        <v>14.600331355565261</v>
      </c>
      <c r="I321" s="953">
        <f t="shared" si="43"/>
        <v>14.241113379268901</v>
      </c>
      <c r="J321" s="953">
        <f t="shared" si="43"/>
        <v>13.805775109996326</v>
      </c>
      <c r="K321" s="953">
        <f t="shared" si="43"/>
        <v>13.275817520901558</v>
      </c>
      <c r="L321" s="953">
        <f t="shared" si="43"/>
        <v>12.718469127219112</v>
      </c>
      <c r="M321" s="953">
        <f t="shared" si="43"/>
        <v>12.09319725270737</v>
      </c>
      <c r="N321" s="953">
        <f t="shared" si="43"/>
        <v>11.473081915598879</v>
      </c>
      <c r="O321" s="953">
        <f t="shared" si="43"/>
        <v>10.861476270797985</v>
      </c>
      <c r="P321" s="1176"/>
      <c r="Q321" s="121" t="s">
        <v>1434</v>
      </c>
    </row>
    <row r="322" spans="1:17" ht="15.75" hidden="1" outlineLevel="1">
      <c r="B322" s="1177"/>
      <c r="C322" s="765" t="s">
        <v>38</v>
      </c>
      <c r="D322" s="765" t="str">
        <f>INDEX(Vectors[Description], MATCH([Vector], Vectors[Code], 0))</f>
        <v>Domestic aviation</v>
      </c>
      <c r="E322" s="765"/>
      <c r="F322" s="953">
        <f>F305</f>
        <v>9.0198346087095516</v>
      </c>
      <c r="G322" s="953">
        <f t="shared" ref="G322:O322" si="44">G305</f>
        <v>9.5510973295169013</v>
      </c>
      <c r="H322" s="953">
        <f t="shared" si="44"/>
        <v>10.163716423089292</v>
      </c>
      <c r="I322" s="953">
        <f t="shared" si="44"/>
        <v>11.078742052970153</v>
      </c>
      <c r="J322" s="953">
        <f t="shared" si="44"/>
        <v>11.927979753386868</v>
      </c>
      <c r="K322" s="953">
        <f t="shared" si="44"/>
        <v>12.657847240047854</v>
      </c>
      <c r="L322" s="953">
        <f t="shared" si="44"/>
        <v>13.331077116581312</v>
      </c>
      <c r="M322" s="953">
        <f t="shared" si="44"/>
        <v>13.860251279239513</v>
      </c>
      <c r="N322" s="953">
        <f t="shared" si="44"/>
        <v>14.344409418627478</v>
      </c>
      <c r="O322" s="953">
        <f t="shared" si="44"/>
        <v>14.785449092646568</v>
      </c>
      <c r="P322" s="1176"/>
    </row>
    <row r="323" spans="1:17" ht="15.75" hidden="1" outlineLevel="1">
      <c r="B323" s="1177"/>
      <c r="C323" s="765" t="s">
        <v>49</v>
      </c>
      <c r="D323" s="765" t="str">
        <f>INDEX(Vectors[Description], MATCH([Vector], Vectors[Code], 0))</f>
        <v>Liquid hydrocarbons</v>
      </c>
      <c r="E323" s="765"/>
      <c r="F323" s="953">
        <f>-F271</f>
        <v>-417.08021825697824</v>
      </c>
      <c r="G323" s="953">
        <f t="shared" ref="G323:O323" si="45">-G271</f>
        <v>-394.8134834708419</v>
      </c>
      <c r="H323" s="953">
        <f t="shared" si="45"/>
        <v>-361.68683106269697</v>
      </c>
      <c r="I323" s="953">
        <f t="shared" si="45"/>
        <v>-337.53233067686216</v>
      </c>
      <c r="J323" s="953">
        <f t="shared" si="45"/>
        <v>-300.01541940853207</v>
      </c>
      <c r="K323" s="953">
        <f t="shared" si="45"/>
        <v>-258.21557364173651</v>
      </c>
      <c r="L323" s="953">
        <f t="shared" si="45"/>
        <v>-246.59799766673052</v>
      </c>
      <c r="M323" s="953">
        <f t="shared" si="45"/>
        <v>-232.37220546107267</v>
      </c>
      <c r="N323" s="953">
        <f t="shared" si="45"/>
        <v>-222.47295530374413</v>
      </c>
      <c r="O323" s="953">
        <f t="shared" si="45"/>
        <v>-212.15735144232644</v>
      </c>
      <c r="P323" s="1176"/>
    </row>
    <row r="324" spans="1:17" ht="15.75" hidden="1" outlineLevel="1">
      <c r="B324" s="1177"/>
      <c r="C324" s="765" t="s">
        <v>45</v>
      </c>
      <c r="D324" s="765" t="str">
        <f>INDEX(Vectors[Description], MATCH([Vector], Vectors[Code], 0))</f>
        <v>Electricity (delivered to end user)</v>
      </c>
      <c r="E324" s="765"/>
      <c r="F324" s="953">
        <f>-F285-F$139</f>
        <v>-8.5803924571345469</v>
      </c>
      <c r="G324" s="953">
        <f t="shared" ref="G324:O324" si="46">-G285-G$139</f>
        <v>-8.0814401219909158</v>
      </c>
      <c r="H324" s="953">
        <f t="shared" si="46"/>
        <v>-8.1359911349875933</v>
      </c>
      <c r="I324" s="953">
        <f t="shared" si="46"/>
        <v>-8.3123537574116977</v>
      </c>
      <c r="J324" s="953">
        <f t="shared" si="46"/>
        <v>-10.444885288156176</v>
      </c>
      <c r="K324" s="953">
        <f t="shared" si="46"/>
        <v>-12.423733269891649</v>
      </c>
      <c r="L324" s="953">
        <f t="shared" si="46"/>
        <v>-14.575652426580135</v>
      </c>
      <c r="M324" s="953">
        <f t="shared" si="46"/>
        <v>-16.685305509649769</v>
      </c>
      <c r="N324" s="953">
        <f t="shared" si="46"/>
        <v>-18.542725720604764</v>
      </c>
      <c r="O324" s="953">
        <f t="shared" si="46"/>
        <v>-20.620614709478314</v>
      </c>
      <c r="P324" s="1176"/>
    </row>
    <row r="325" spans="1:17" ht="15.75" hidden="1" outlineLevel="1">
      <c r="B325" s="1177"/>
      <c r="C325" s="765" t="s">
        <v>1476</v>
      </c>
      <c r="D325" s="765" t="str">
        <f>INDEX(Vectors[Description], MATCH([Vector], Vectors[Code], 0))</f>
        <v>H2</v>
      </c>
      <c r="E325" s="765"/>
      <c r="F325" s="953">
        <f>-F$299</f>
        <v>0</v>
      </c>
      <c r="G325" s="953">
        <f t="shared" ref="G325:O325" si="47">-G$299</f>
        <v>0</v>
      </c>
      <c r="H325" s="953">
        <f t="shared" si="47"/>
        <v>0</v>
      </c>
      <c r="I325" s="953">
        <f t="shared" si="47"/>
        <v>0</v>
      </c>
      <c r="J325" s="953">
        <f t="shared" si="47"/>
        <v>0</v>
      </c>
      <c r="K325" s="953">
        <f t="shared" si="47"/>
        <v>0</v>
      </c>
      <c r="L325" s="953">
        <f t="shared" si="47"/>
        <v>0</v>
      </c>
      <c r="M325" s="953">
        <f t="shared" si="47"/>
        <v>0</v>
      </c>
      <c r="N325" s="953">
        <f t="shared" si="47"/>
        <v>0</v>
      </c>
      <c r="O325" s="953">
        <f t="shared" si="47"/>
        <v>0</v>
      </c>
      <c r="P325" s="1176"/>
    </row>
    <row r="326" spans="1:17" ht="15.75" hidden="1" outlineLevel="1">
      <c r="B326" s="1177"/>
      <c r="C326" s="765" t="s">
        <v>148</v>
      </c>
      <c r="D326" s="765"/>
      <c r="E326" s="765"/>
      <c r="F326" s="1459">
        <f>SUBTOTAL(109,[2007])</f>
        <v>0</v>
      </c>
      <c r="G326" s="1459">
        <f>SUBTOTAL(109,[2010])</f>
        <v>0</v>
      </c>
      <c r="H326" s="1459">
        <f>SUBTOTAL(109,[2015])</f>
        <v>0</v>
      </c>
      <c r="I326" s="1459">
        <f>SUBTOTAL(109,[2020])</f>
        <v>0</v>
      </c>
      <c r="J326" s="1459">
        <f>SUBTOTAL(109,[2025])</f>
        <v>0</v>
      </c>
      <c r="K326" s="1459">
        <f>SUBTOTAL(109,[2030])</f>
        <v>0</v>
      </c>
      <c r="L326" s="1459">
        <f>SUBTOTAL(109,[2035])</f>
        <v>0</v>
      </c>
      <c r="M326" s="1459">
        <f>SUBTOTAL(109,[2040])</f>
        <v>0</v>
      </c>
      <c r="N326" s="1459">
        <f>SUBTOTAL(109,[2045])</f>
        <v>0</v>
      </c>
      <c r="O326" s="1459">
        <f>SUBTOTAL(109,[2050])</f>
        <v>0</v>
      </c>
      <c r="P326" s="1176"/>
    </row>
    <row r="327" spans="1:17" ht="15.75" hidden="1" outlineLevel="1">
      <c r="A327" s="3"/>
      <c r="B327" s="1178"/>
      <c r="C327" s="1179"/>
      <c r="D327" s="1179"/>
      <c r="E327" s="1179"/>
      <c r="F327" s="1179"/>
      <c r="G327" s="1179"/>
      <c r="H327" s="1179"/>
      <c r="I327" s="1179"/>
      <c r="J327" s="1179"/>
      <c r="K327" s="1179"/>
      <c r="L327" s="1179"/>
      <c r="M327" s="1179"/>
      <c r="N327" s="1179"/>
      <c r="O327" s="1179"/>
      <c r="P327" s="1181"/>
    </row>
    <row r="328" spans="1:17" ht="15.75">
      <c r="A328" s="3"/>
    </row>
    <row r="329" spans="1:17" ht="22.5" customHeight="1" collapsed="1">
      <c r="B329" s="1249" t="s">
        <v>902</v>
      </c>
      <c r="C329" s="1198"/>
      <c r="D329" s="1199"/>
      <c r="E329" s="1199"/>
      <c r="F329" s="1199"/>
      <c r="G329" s="1199"/>
      <c r="H329" s="1199"/>
      <c r="I329" s="1199"/>
      <c r="J329" s="1199"/>
      <c r="K329" s="1199"/>
      <c r="L329" s="1199"/>
      <c r="M329" s="1199"/>
      <c r="N329" s="1199"/>
      <c r="O329" s="1199"/>
      <c r="P329" s="1200"/>
    </row>
    <row r="330" spans="1:17" hidden="1" outlineLevel="1">
      <c r="A330" s="24"/>
      <c r="B330" s="1207"/>
      <c r="C330" s="1208"/>
      <c r="D330" s="1208"/>
      <c r="E330" s="1208"/>
      <c r="F330" s="1208"/>
      <c r="G330" s="1208"/>
      <c r="H330" s="1208"/>
      <c r="I330" s="1208"/>
      <c r="J330" s="1208"/>
      <c r="K330" s="1208"/>
      <c r="L330" s="1208"/>
      <c r="M330" s="1208"/>
      <c r="N330" s="1208"/>
      <c r="O330" s="1208"/>
      <c r="P330" s="1209"/>
    </row>
    <row r="331" spans="1:17" ht="14.25" hidden="1" outlineLevel="1">
      <c r="B331" s="1210"/>
      <c r="C331" s="1201" t="s">
        <v>1073</v>
      </c>
      <c r="D331" s="1202"/>
      <c r="E331" s="1203"/>
      <c r="F331" s="1202"/>
      <c r="G331" s="1203"/>
      <c r="H331" s="1202"/>
      <c r="I331" s="1202"/>
      <c r="J331" s="1202"/>
      <c r="K331" s="1202"/>
      <c r="L331" s="1202"/>
      <c r="M331" s="1202"/>
      <c r="N331" s="1202"/>
      <c r="O331" s="1203" t="s">
        <v>1076</v>
      </c>
      <c r="P331" s="1211"/>
    </row>
    <row r="332" spans="1:17" hidden="1" outlineLevel="1">
      <c r="B332" s="1210"/>
      <c r="C332" s="1202"/>
      <c r="D332" s="1202"/>
      <c r="E332" s="1202"/>
      <c r="F332" s="1202"/>
      <c r="G332" s="1202"/>
      <c r="H332" s="1202"/>
      <c r="I332" s="1202"/>
      <c r="J332" s="1202"/>
      <c r="K332" s="1202"/>
      <c r="L332" s="1202"/>
      <c r="M332" s="1202"/>
      <c r="N332" s="1202"/>
      <c r="O332" s="1202"/>
      <c r="P332" s="1211"/>
    </row>
    <row r="333" spans="1:17" ht="22.5" hidden="1" outlineLevel="1">
      <c r="A333" s="1171"/>
      <c r="B333" s="1212"/>
      <c r="C333" s="1269" t="s">
        <v>1072</v>
      </c>
      <c r="D333" s="1269" t="s">
        <v>1042</v>
      </c>
      <c r="E333" s="1269" t="s">
        <v>442</v>
      </c>
      <c r="F333" s="1269" t="s">
        <v>691</v>
      </c>
      <c r="G333" s="1269" t="s">
        <v>692</v>
      </c>
      <c r="H333" s="1269" t="s">
        <v>721</v>
      </c>
      <c r="I333" s="1269" t="s">
        <v>722</v>
      </c>
      <c r="J333" s="1269" t="s">
        <v>723</v>
      </c>
      <c r="K333" s="1269" t="s">
        <v>724</v>
      </c>
      <c r="L333" s="1269" t="s">
        <v>725</v>
      </c>
      <c r="M333" s="1269" t="s">
        <v>726</v>
      </c>
      <c r="N333" s="1269" t="s">
        <v>727</v>
      </c>
      <c r="O333" s="1269" t="s">
        <v>728</v>
      </c>
      <c r="P333" s="1211"/>
    </row>
    <row r="334" spans="1:17" ht="15.75" hidden="1" outlineLevel="1">
      <c r="B334" s="1212"/>
      <c r="C334" s="1206" t="s">
        <v>1055</v>
      </c>
      <c r="D334" s="1216" t="s">
        <v>1065</v>
      </c>
      <c r="E334" s="1206" t="str">
        <f>INDEX(IPCC[Sector_description], MATCH([IPCC Sector], IPCC[Sector_code], 0))</f>
        <v>Fuel Combustion</v>
      </c>
      <c r="F334" s="1268">
        <f>F309</f>
        <v>104.27005456424456</v>
      </c>
      <c r="G334" s="1268">
        <f t="shared" ref="G334:O334" si="48">G$309</f>
        <v>98.703370867710476</v>
      </c>
      <c r="H334" s="1268">
        <f t="shared" si="48"/>
        <v>90.421707765674242</v>
      </c>
      <c r="I334" s="1268">
        <f t="shared" si="48"/>
        <v>84.38308266921554</v>
      </c>
      <c r="J334" s="1268">
        <f t="shared" si="48"/>
        <v>75.003854852133017</v>
      </c>
      <c r="K334" s="1268">
        <f t="shared" si="48"/>
        <v>64.553893410434128</v>
      </c>
      <c r="L334" s="1268">
        <f t="shared" si="48"/>
        <v>61.64949941668263</v>
      </c>
      <c r="M334" s="1268">
        <f t="shared" si="48"/>
        <v>58.093051365268167</v>
      </c>
      <c r="N334" s="1268">
        <f t="shared" si="48"/>
        <v>55.618238825936032</v>
      </c>
      <c r="O334" s="1268">
        <f t="shared" si="48"/>
        <v>53.039337860581611</v>
      </c>
      <c r="P334" s="1211"/>
    </row>
    <row r="335" spans="1:17" ht="15.75" hidden="1" outlineLevel="1">
      <c r="B335" s="1212"/>
      <c r="C335" s="1206" t="s">
        <v>1056</v>
      </c>
      <c r="D335" s="1216" t="s">
        <v>1065</v>
      </c>
      <c r="E335" s="1206" t="str">
        <f>INDEX(IPCC[Sector_description], MATCH([IPCC Sector], IPCC[Sector_code], 0))</f>
        <v>Fuel Combustion</v>
      </c>
      <c r="F335" s="1268">
        <f>F310</f>
        <v>0.12981580630025488</v>
      </c>
      <c r="G335" s="1268">
        <f t="shared" ref="G335:O335" si="49">G$310</f>
        <v>0.12288530707395201</v>
      </c>
      <c r="H335" s="1268">
        <f t="shared" si="49"/>
        <v>0.11257466920586208</v>
      </c>
      <c r="I335" s="1268">
        <f t="shared" si="49"/>
        <v>0.10505660479976027</v>
      </c>
      <c r="J335" s="1268">
        <f t="shared" si="49"/>
        <v>9.337950319435008E-2</v>
      </c>
      <c r="K335" s="1268">
        <f t="shared" si="49"/>
        <v>8.036934245328245E-2</v>
      </c>
      <c r="L335" s="1268">
        <f t="shared" si="49"/>
        <v>7.6753383396886615E-2</v>
      </c>
      <c r="M335" s="1268">
        <f t="shared" si="49"/>
        <v>7.2325619612847544E-2</v>
      </c>
      <c r="N335" s="1268">
        <f t="shared" si="49"/>
        <v>6.9244487771323124E-2</v>
      </c>
      <c r="O335" s="1268">
        <f t="shared" si="49"/>
        <v>6.6033766250316178E-2</v>
      </c>
      <c r="P335" s="1211"/>
    </row>
    <row r="336" spans="1:17" ht="15.75" hidden="1" outlineLevel="1">
      <c r="B336" s="1212"/>
      <c r="C336" s="1206" t="s">
        <v>1057</v>
      </c>
      <c r="D336" s="1216" t="s">
        <v>1065</v>
      </c>
      <c r="E336" s="1206" t="str">
        <f>INDEX(IPCC[Sector_description], MATCH([IPCC Sector], IPCC[Sector_code], 0))</f>
        <v>Fuel Combustion</v>
      </c>
      <c r="F336" s="1268">
        <f>F311</f>
        <v>1.8760319404027712</v>
      </c>
      <c r="G336" s="1268">
        <f t="shared" ref="G336:O336" si="50">G$311</f>
        <v>1.7758758940627088</v>
      </c>
      <c r="H336" s="1268">
        <f t="shared" si="50"/>
        <v>1.6268718049787969</v>
      </c>
      <c r="I336" s="1268">
        <f t="shared" si="50"/>
        <v>1.518224565803389</v>
      </c>
      <c r="J336" s="1268">
        <f t="shared" si="50"/>
        <v>1.3494730384862186</v>
      </c>
      <c r="K336" s="1268">
        <f t="shared" si="50"/>
        <v>1.1614568192319601</v>
      </c>
      <c r="L336" s="1268">
        <f t="shared" si="50"/>
        <v>1.1092008199178462</v>
      </c>
      <c r="M336" s="1268">
        <f t="shared" si="50"/>
        <v>1.0452130319885145</v>
      </c>
      <c r="N336" s="1268">
        <f t="shared" si="50"/>
        <v>1.0006860832907389</v>
      </c>
      <c r="O336" s="1268">
        <f t="shared" si="50"/>
        <v>0.95428637052220378</v>
      </c>
      <c r="P336" s="1211"/>
    </row>
    <row r="337" spans="1:16" ht="15.75" hidden="1" outlineLevel="1">
      <c r="B337" s="1212"/>
      <c r="C337" s="1206" t="s">
        <v>148</v>
      </c>
      <c r="D337" s="1206"/>
      <c r="E337" s="1206"/>
      <c r="F337" s="1278">
        <f>SUBTOTAL(109,[2007])</f>
        <v>0</v>
      </c>
      <c r="G337" s="1278">
        <f>SUBTOTAL(109,[2010])</f>
        <v>0</v>
      </c>
      <c r="H337" s="1278">
        <f>SUBTOTAL(109,[2015])</f>
        <v>0</v>
      </c>
      <c r="I337" s="1278">
        <f>SUBTOTAL(109,[2020])</f>
        <v>0</v>
      </c>
      <c r="J337" s="1278">
        <f>SUBTOTAL(109,[2025])</f>
        <v>0</v>
      </c>
      <c r="K337" s="1278">
        <f>SUBTOTAL(109,[2030])</f>
        <v>0</v>
      </c>
      <c r="L337" s="1278">
        <f>SUBTOTAL(109,[2035])</f>
        <v>0</v>
      </c>
      <c r="M337" s="1278">
        <f>SUBTOTAL(109,[2040])</f>
        <v>0</v>
      </c>
      <c r="N337" s="1278">
        <f>SUBTOTAL(109,[2045])</f>
        <v>0</v>
      </c>
      <c r="O337" s="1278">
        <f>SUBTOTAL(109,[2050])</f>
        <v>0</v>
      </c>
      <c r="P337" s="1211"/>
    </row>
    <row r="338" spans="1:16" ht="15.75" hidden="1" outlineLevel="1">
      <c r="B338" s="1212"/>
      <c r="C338" s="1202"/>
      <c r="D338" s="1202"/>
      <c r="E338" s="1202"/>
      <c r="F338" s="1202"/>
      <c r="G338" s="1202"/>
      <c r="H338" s="1202"/>
      <c r="I338" s="1202"/>
      <c r="J338" s="1202"/>
      <c r="K338" s="1202"/>
      <c r="L338" s="1202"/>
      <c r="M338" s="1202"/>
      <c r="N338" s="1202"/>
      <c r="O338" s="1202"/>
      <c r="P338" s="1211"/>
    </row>
    <row r="346" spans="1:16" ht="22.5">
      <c r="A346" s="1171"/>
    </row>
    <row r="350" spans="1:16" ht="5.25" customHeight="1"/>
    <row r="363" ht="5.25" customHeight="1"/>
  </sheetData>
  <conditionalFormatting sqref="G208:O209 G190:O191 G200:O201 F139:O139 G116:O117 G126:O127 G134:O135">
    <cfRule type="cellIs" dxfId="566" priority="31" operator="equal">
      <formula>TRUE</formula>
    </cfRule>
  </conditionalFormatting>
  <pageMargins left="0.7" right="0.7" top="0.75" bottom="0.75" header="0.3" footer="0.3"/>
  <pageSetup paperSize="9" orientation="portrait" r:id="rId1"/>
  <ignoredErrors>
    <ignoredError sqref="F31:J31" formulaRange="1"/>
    <ignoredError sqref="I128 K128 M128 I118:I119 K118:K119 M118:M119 F321:O321" formula="1"/>
  </ignoredErrors>
  <tableParts count="2">
    <tablePart r:id="rId2"/>
    <tablePart r:id="rId3"/>
  </tableParts>
</worksheet>
</file>

<file path=xl/worksheets/sheet42.xml><?xml version="1.0" encoding="utf-8"?>
<worksheet xmlns="http://schemas.openxmlformats.org/spreadsheetml/2006/main" xmlns:r="http://schemas.openxmlformats.org/officeDocument/2006/relationships">
  <sheetPr codeName="Sheet34">
    <tabColor theme="9"/>
    <outlinePr summaryBelow="0"/>
    <pageSetUpPr autoPageBreaks="0"/>
  </sheetPr>
  <dimension ref="A1:AI149"/>
  <sheetViews>
    <sheetView showGridLines="0" zoomScale="80" zoomScaleNormal="80" workbookViewId="0">
      <pane ySplit="2" topLeftCell="A3" activePane="bottomLeft" state="frozen"/>
      <selection pane="bottomLeft"/>
    </sheetView>
  </sheetViews>
  <sheetFormatPr defaultRowHeight="12.75" outlineLevelRow="2"/>
  <cols>
    <col min="1" max="1" width="5.85546875" style="121" customWidth="1"/>
    <col min="2" max="2" width="3.28515625" style="121" customWidth="1"/>
    <col min="3" max="3" width="9.140625" style="121"/>
    <col min="4" max="4" width="28.140625" style="121" bestFit="1" customWidth="1"/>
    <col min="5" max="5" width="11.140625" style="121" customWidth="1"/>
    <col min="6" max="6" width="9.140625" style="121" customWidth="1"/>
    <col min="7" max="15" width="9.140625" style="121"/>
    <col min="16" max="16" width="2" style="121" customWidth="1"/>
    <col min="17" max="17" width="9.140625" style="121"/>
    <col min="18" max="18" width="13" style="121" bestFit="1" customWidth="1"/>
    <col min="19" max="16384" width="9.140625" style="121"/>
  </cols>
  <sheetData>
    <row r="1" spans="1:18" ht="20.25" customHeight="1">
      <c r="A1" s="1466" t="s">
        <v>679</v>
      </c>
      <c r="B1" s="790" t="str">
        <f>INDEX(Workstreams[Workstream], MATCH($A1, Workstreams[Code], 0))</f>
        <v>Transport</v>
      </c>
      <c r="C1" s="790"/>
    </row>
    <row r="2" spans="1:18" s="743" customFormat="1" ht="19.5" customHeight="1">
      <c r="A2" s="10" t="s">
        <v>916</v>
      </c>
      <c r="B2" s="10" t="str">
        <f>INDEX(Modules[Module], MATCH($A2, Modules[Code], 0))</f>
        <v>Domestic freight</v>
      </c>
      <c r="C2" s="10"/>
    </row>
    <row r="4" spans="1:18" ht="22.5" collapsed="1">
      <c r="A4" s="1171"/>
      <c r="B4" s="1231" t="s">
        <v>1353</v>
      </c>
      <c r="C4" s="1183"/>
      <c r="D4" s="1183"/>
      <c r="E4" s="1183"/>
      <c r="F4" s="1183"/>
      <c r="G4" s="1183"/>
      <c r="H4" s="1183"/>
      <c r="I4" s="1183"/>
      <c r="J4" s="1183"/>
      <c r="K4" s="1183"/>
      <c r="L4" s="1183"/>
      <c r="M4" s="1183"/>
      <c r="N4" s="1183"/>
      <c r="O4" s="1183"/>
      <c r="P4" s="1185"/>
      <c r="R4" s="731"/>
    </row>
    <row r="5" spans="1:18" hidden="1" outlineLevel="1">
      <c r="B5" s="1172"/>
      <c r="C5" s="1174"/>
      <c r="D5" s="1174"/>
      <c r="E5" s="1174"/>
      <c r="F5" s="1174"/>
      <c r="G5" s="1174"/>
      <c r="H5" s="1174"/>
      <c r="I5" s="1174"/>
      <c r="J5" s="1174"/>
      <c r="K5" s="1174"/>
      <c r="L5" s="1174"/>
      <c r="M5" s="1174"/>
      <c r="N5" s="1174"/>
      <c r="O5" s="1174"/>
      <c r="P5" s="1176"/>
    </row>
    <row r="6" spans="1:18" ht="5.25" hidden="1" customHeight="1" outlineLevel="1">
      <c r="B6" s="1172"/>
      <c r="C6" s="1173"/>
      <c r="D6" s="1174"/>
      <c r="E6" s="1175"/>
      <c r="F6" s="1174"/>
      <c r="G6" s="1174"/>
      <c r="H6" s="1174"/>
      <c r="I6" s="1174"/>
      <c r="J6" s="1174"/>
      <c r="K6" s="1174"/>
      <c r="L6" s="1174"/>
      <c r="M6" s="1174"/>
      <c r="N6" s="1174"/>
      <c r="O6" s="1174"/>
      <c r="P6" s="1176"/>
    </row>
    <row r="7" spans="1:18" ht="15.75" hidden="1" outlineLevel="1">
      <c r="B7" s="1177"/>
      <c r="C7" s="1174"/>
      <c r="D7" s="922" t="s">
        <v>830</v>
      </c>
      <c r="E7" s="922" t="s">
        <v>1352</v>
      </c>
      <c r="F7" s="1174"/>
      <c r="G7" s="1174"/>
      <c r="H7" s="1174"/>
      <c r="I7" s="1174"/>
      <c r="J7" s="1174"/>
      <c r="K7" s="1174"/>
      <c r="L7" s="1174"/>
      <c r="M7" s="1174"/>
      <c r="N7" s="1174"/>
      <c r="O7" s="1174"/>
      <c r="P7" s="1176"/>
    </row>
    <row r="8" spans="1:18" ht="15.75" hidden="1" outlineLevel="1">
      <c r="B8" s="1177"/>
      <c r="C8" s="1174"/>
      <c r="D8" s="950" t="s">
        <v>1355</v>
      </c>
      <c r="E8" s="950">
        <f>XII.b.Scenario</f>
        <v>1</v>
      </c>
      <c r="F8" s="1174"/>
      <c r="G8" s="1174"/>
      <c r="H8" s="1174"/>
      <c r="I8" s="1174"/>
      <c r="J8" s="1174"/>
      <c r="K8" s="1174"/>
      <c r="L8" s="1174"/>
      <c r="M8" s="1174"/>
      <c r="N8" s="1174"/>
      <c r="O8" s="1174"/>
      <c r="P8" s="1176"/>
    </row>
    <row r="9" spans="1:18" hidden="1" outlineLevel="1">
      <c r="B9" s="1192"/>
      <c r="C9" s="1180"/>
      <c r="D9" s="1180"/>
      <c r="E9" s="1180"/>
      <c r="F9" s="1180"/>
      <c r="G9" s="1180"/>
      <c r="H9" s="1180"/>
      <c r="I9" s="1180"/>
      <c r="J9" s="1180"/>
      <c r="K9" s="1180"/>
      <c r="L9" s="1180"/>
      <c r="M9" s="1180"/>
      <c r="N9" s="1180"/>
      <c r="O9" s="1180"/>
      <c r="P9" s="1181"/>
    </row>
    <row r="11" spans="1:18" s="743" customFormat="1" ht="22.5" collapsed="1">
      <c r="A11" s="1170"/>
      <c r="B11" s="1236" t="s">
        <v>1354</v>
      </c>
      <c r="C11" s="1167"/>
      <c r="D11" s="1167"/>
      <c r="E11" s="1167"/>
      <c r="F11" s="1167"/>
      <c r="G11" s="1167"/>
      <c r="H11" s="1167"/>
      <c r="I11" s="1167"/>
      <c r="J11" s="1167"/>
      <c r="K11" s="1167"/>
      <c r="L11" s="1167"/>
      <c r="M11" s="1167"/>
      <c r="N11" s="1167"/>
      <c r="O11" s="1167"/>
      <c r="P11" s="1168"/>
    </row>
    <row r="12" spans="1:18" hidden="1" outlineLevel="1">
      <c r="B12" s="1157"/>
      <c r="C12" s="864"/>
      <c r="D12" s="864"/>
      <c r="E12" s="864"/>
      <c r="F12" s="864"/>
      <c r="G12" s="864"/>
      <c r="H12" s="864"/>
      <c r="I12" s="864"/>
      <c r="J12" s="864"/>
      <c r="K12" s="864"/>
      <c r="L12" s="864"/>
      <c r="M12" s="864"/>
      <c r="N12" s="864"/>
      <c r="O12" s="864"/>
      <c r="P12" s="1158"/>
    </row>
    <row r="13" spans="1:18" hidden="1" outlineLevel="1">
      <c r="B13" s="1157"/>
      <c r="C13" s="866" t="s">
        <v>1396</v>
      </c>
      <c r="D13" s="864"/>
      <c r="E13" s="867"/>
      <c r="F13" s="864"/>
      <c r="G13" s="864"/>
      <c r="H13" s="864"/>
      <c r="I13" s="864"/>
      <c r="J13" s="864"/>
      <c r="K13" s="864"/>
      <c r="L13" s="864"/>
      <c r="M13" s="864"/>
      <c r="N13" s="864"/>
      <c r="O13" s="867" t="s">
        <v>917</v>
      </c>
      <c r="P13" s="1158"/>
    </row>
    <row r="14" spans="1:18" ht="5.25" hidden="1" customHeight="1" outlineLevel="1">
      <c r="B14" s="1157"/>
      <c r="C14" s="864"/>
      <c r="D14" s="864"/>
      <c r="E14" s="864"/>
      <c r="F14" s="864"/>
      <c r="G14" s="864"/>
      <c r="H14" s="864"/>
      <c r="I14" s="864"/>
      <c r="J14" s="864"/>
      <c r="K14" s="864"/>
      <c r="L14" s="864"/>
      <c r="M14" s="864"/>
      <c r="N14" s="864"/>
      <c r="O14" s="864"/>
      <c r="P14" s="1158"/>
    </row>
    <row r="15" spans="1:18" hidden="1" outlineLevel="1">
      <c r="B15" s="1157"/>
      <c r="C15" s="766" t="s">
        <v>1352</v>
      </c>
      <c r="D15" s="766" t="s">
        <v>80</v>
      </c>
      <c r="E15" s="766" t="s">
        <v>442</v>
      </c>
      <c r="F15" s="923">
        <v>2007</v>
      </c>
      <c r="G15" s="924">
        <v>2010</v>
      </c>
      <c r="H15" s="923">
        <v>2015</v>
      </c>
      <c r="I15" s="923">
        <v>2020</v>
      </c>
      <c r="J15" s="923">
        <v>2025</v>
      </c>
      <c r="K15" s="923">
        <v>2030</v>
      </c>
      <c r="L15" s="923">
        <v>2035</v>
      </c>
      <c r="M15" s="923">
        <v>2040</v>
      </c>
      <c r="N15" s="923">
        <v>2045</v>
      </c>
      <c r="O15" s="923">
        <v>2050</v>
      </c>
      <c r="P15" s="1158"/>
    </row>
    <row r="16" spans="1:18" ht="15.75" hidden="1" outlineLevel="1">
      <c r="B16" s="1159"/>
      <c r="C16" s="831">
        <v>1</v>
      </c>
      <c r="D16" s="832" t="s">
        <v>623</v>
      </c>
      <c r="E16" s="1254" t="s">
        <v>109</v>
      </c>
      <c r="F16" s="1639">
        <f>218.7*1000000</f>
        <v>218700000</v>
      </c>
      <c r="G16" s="926">
        <v>221649964.17390409</v>
      </c>
      <c r="H16" s="933">
        <v>234323971.81582978</v>
      </c>
      <c r="I16" s="933">
        <v>246997979.45775554</v>
      </c>
      <c r="J16" s="933">
        <v>259671987.09968132</v>
      </c>
      <c r="K16" s="933">
        <v>272345994.74160701</v>
      </c>
      <c r="L16" s="933">
        <v>285020002.38353276</v>
      </c>
      <c r="M16" s="933">
        <v>297694010.02545846</v>
      </c>
      <c r="N16" s="933">
        <v>310368017.66738415</v>
      </c>
      <c r="O16" s="933">
        <v>323042025.3093099</v>
      </c>
      <c r="P16" s="1158"/>
      <c r="R16" s="827"/>
    </row>
    <row r="17" spans="1:35" ht="15.75" hidden="1" outlineLevel="1">
      <c r="B17" s="1159"/>
      <c r="C17" s="831">
        <v>2</v>
      </c>
      <c r="D17" s="832" t="s">
        <v>623</v>
      </c>
      <c r="E17" s="1254" t="s">
        <v>109</v>
      </c>
      <c r="F17" s="1639">
        <f>218.7*1000000</f>
        <v>218700000</v>
      </c>
      <c r="G17" s="927">
        <v>236950402.75704086</v>
      </c>
      <c r="H17" s="934">
        <v>246274420.77358758</v>
      </c>
      <c r="I17" s="933">
        <v>242676605.94560826</v>
      </c>
      <c r="J17" s="934">
        <v>237687505.34943798</v>
      </c>
      <c r="K17" s="933">
        <v>231307118.9850769</v>
      </c>
      <c r="L17" s="934">
        <v>241183548.34118631</v>
      </c>
      <c r="M17" s="933">
        <v>251481684.8079727</v>
      </c>
      <c r="N17" s="933">
        <v>262219534.57783452</v>
      </c>
      <c r="O17" s="933">
        <v>273415872.67764443</v>
      </c>
      <c r="P17" s="1158"/>
      <c r="R17" s="827"/>
    </row>
    <row r="18" spans="1:35" ht="15.75" hidden="1" outlineLevel="1">
      <c r="B18" s="1159"/>
      <c r="C18" s="831">
        <v>3</v>
      </c>
      <c r="D18" s="832" t="s">
        <v>623</v>
      </c>
      <c r="E18" s="1254" t="s">
        <v>109</v>
      </c>
      <c r="F18" s="1640">
        <f>218.7*1000000</f>
        <v>218700000</v>
      </c>
      <c r="G18" s="927">
        <v>231821325.00090709</v>
      </c>
      <c r="H18" s="934">
        <v>256427547.97482327</v>
      </c>
      <c r="I18" s="934">
        <v>277223529.97779608</v>
      </c>
      <c r="J18" s="934">
        <v>269691831.75900668</v>
      </c>
      <c r="K18" s="934">
        <v>256153975.89242634</v>
      </c>
      <c r="L18" s="934">
        <v>237562522.62079078</v>
      </c>
      <c r="M18" s="934">
        <v>214870032.1868358</v>
      </c>
      <c r="N18" s="934">
        <v>189029064.83329746</v>
      </c>
      <c r="O18" s="934">
        <v>160992180.80291194</v>
      </c>
      <c r="P18" s="1158"/>
    </row>
    <row r="19" spans="1:35" ht="15.75" hidden="1" outlineLevel="1">
      <c r="B19" s="1159"/>
      <c r="C19" s="769">
        <v>4</v>
      </c>
      <c r="D19" s="770" t="s">
        <v>623</v>
      </c>
      <c r="E19" s="770" t="s">
        <v>109</v>
      </c>
      <c r="F19" s="1641">
        <f>218.7*1000000</f>
        <v>218700000</v>
      </c>
      <c r="G19" s="929">
        <v>237215142.22998253</v>
      </c>
      <c r="H19" s="930">
        <v>274361990.26149905</v>
      </c>
      <c r="I19" s="930">
        <v>306350143.01480329</v>
      </c>
      <c r="J19" s="930">
        <v>277649667.07491285</v>
      </c>
      <c r="K19" s="930">
        <v>236566908.45785016</v>
      </c>
      <c r="L19" s="930">
        <v>185681214.80272144</v>
      </c>
      <c r="M19" s="930">
        <v>127571933.74863276</v>
      </c>
      <c r="N19" s="930">
        <v>64818412.934690274</v>
      </c>
      <c r="O19" s="930">
        <v>0</v>
      </c>
      <c r="P19" s="1158"/>
    </row>
    <row r="20" spans="1:35" ht="15.75" hidden="1" outlineLevel="1">
      <c r="B20" s="1159"/>
      <c r="C20" s="831"/>
      <c r="D20" s="832"/>
      <c r="E20" s="832"/>
      <c r="F20" s="847"/>
      <c r="G20" s="848"/>
      <c r="H20" s="848"/>
      <c r="I20" s="848"/>
      <c r="J20" s="848"/>
      <c r="K20" s="848"/>
      <c r="L20" s="848"/>
      <c r="M20" s="848"/>
      <c r="N20" s="848"/>
      <c r="O20" s="848"/>
      <c r="P20" s="1158"/>
    </row>
    <row r="21" spans="1:35" ht="15.75" hidden="1" outlineLevel="1">
      <c r="B21" s="1159"/>
      <c r="C21" s="866" t="s">
        <v>1397</v>
      </c>
      <c r="D21" s="864"/>
      <c r="E21" s="867"/>
      <c r="F21" s="864"/>
      <c r="G21" s="864"/>
      <c r="H21" s="864"/>
      <c r="I21" s="864"/>
      <c r="J21" s="864"/>
      <c r="K21" s="864"/>
      <c r="L21" s="864"/>
      <c r="M21" s="864"/>
      <c r="N21" s="864"/>
      <c r="O21" s="867" t="str">
        <f>Preferences.EnergyUnits</f>
        <v>TWh</v>
      </c>
      <c r="P21" s="1158"/>
    </row>
    <row r="22" spans="1:35" ht="5.25" hidden="1" customHeight="1" outlineLevel="1">
      <c r="B22" s="1159"/>
      <c r="C22" s="864"/>
      <c r="D22" s="864"/>
      <c r="E22" s="864"/>
      <c r="F22" s="864"/>
      <c r="G22" s="864"/>
      <c r="H22" s="864"/>
      <c r="I22" s="864"/>
      <c r="J22" s="864"/>
      <c r="K22" s="864"/>
      <c r="L22" s="864"/>
      <c r="M22" s="864"/>
      <c r="N22" s="864"/>
      <c r="O22" s="864"/>
      <c r="P22" s="1158"/>
    </row>
    <row r="23" spans="1:35" ht="15.75" hidden="1" outlineLevel="1">
      <c r="B23" s="1159"/>
      <c r="C23" s="766" t="s">
        <v>1352</v>
      </c>
      <c r="D23" s="766" t="s">
        <v>80</v>
      </c>
      <c r="E23" s="766" t="s">
        <v>442</v>
      </c>
      <c r="F23" s="923">
        <v>2007</v>
      </c>
      <c r="G23" s="924">
        <v>2010</v>
      </c>
      <c r="H23" s="923">
        <v>2015</v>
      </c>
      <c r="I23" s="923">
        <v>2020</v>
      </c>
      <c r="J23" s="923">
        <v>2025</v>
      </c>
      <c r="K23" s="923">
        <v>2030</v>
      </c>
      <c r="L23" s="923">
        <v>2035</v>
      </c>
      <c r="M23" s="923">
        <v>2040</v>
      </c>
      <c r="N23" s="923">
        <v>2045</v>
      </c>
      <c r="O23" s="923">
        <v>2050</v>
      </c>
      <c r="P23" s="1158"/>
    </row>
    <row r="24" spans="1:35" ht="15.75" hidden="1" outlineLevel="1">
      <c r="B24" s="1159"/>
      <c r="C24" s="831">
        <v>1</v>
      </c>
      <c r="D24" s="832" t="s">
        <v>918</v>
      </c>
      <c r="E24" s="1254" t="s">
        <v>109</v>
      </c>
      <c r="F24" s="1639">
        <f>101.2*1000000*Unit.kWh</f>
        <v>0.10120000000000001</v>
      </c>
      <c r="G24" s="926">
        <f>(Unit.kWh)*102595991.85085</f>
        <v>0.10259599185085001</v>
      </c>
      <c r="H24" s="933">
        <f>(Unit.kWh)*108462459.682662</f>
        <v>0.10846245968266201</v>
      </c>
      <c r="I24" s="933">
        <f>(Unit.kWh)*114328927.514475</f>
        <v>0.11432892751447502</v>
      </c>
      <c r="J24" s="933">
        <f>(Unit.kWh)*120195395.346288</f>
        <v>0.12019539534628801</v>
      </c>
      <c r="K24" s="933">
        <f>(Unit.kWh)*126061863.1781</f>
        <v>0.1260618631781</v>
      </c>
      <c r="L24" s="933">
        <f>(Unit.kWh)*131928331.009913</f>
        <v>0.131928331009913</v>
      </c>
      <c r="M24" s="933">
        <f>(Unit.kWh)*137794798.841725</f>
        <v>0.13779479884172499</v>
      </c>
      <c r="N24" s="933">
        <f>(Unit.kWh)*143661266.673538</f>
        <v>0.14366126667353801</v>
      </c>
      <c r="O24" s="933">
        <f>(Unit.kWh)*149527734.505351</f>
        <v>0.14952773450535101</v>
      </c>
      <c r="P24" s="1158"/>
    </row>
    <row r="25" spans="1:35" ht="15.75" hidden="1" outlineLevel="1">
      <c r="B25" s="1159"/>
      <c r="C25" s="831">
        <v>2</v>
      </c>
      <c r="D25" s="832" t="s">
        <v>918</v>
      </c>
      <c r="E25" s="1254" t="s">
        <v>109</v>
      </c>
      <c r="F25" s="1639">
        <f>101.2*1000000*Unit.kWh</f>
        <v>0.10120000000000001</v>
      </c>
      <c r="G25" s="927">
        <f>(Unit.kWh)*109678166.116208</f>
        <v>0.10967816611620801</v>
      </c>
      <c r="H25" s="934">
        <f>(Unit.kWh)*113994011.056712</f>
        <v>0.113994011056712</v>
      </c>
      <c r="I25" s="933">
        <f>(Unit.kWh)*112328676.337855</f>
        <v>0.11232867633785501</v>
      </c>
      <c r="J25" s="934">
        <f>(Unit.kWh)*110019351.696114</f>
        <v>0.11001935169611401</v>
      </c>
      <c r="K25" s="933">
        <f>(Unit.kWh)*107066037.131489</f>
        <v>0.107066037131489</v>
      </c>
      <c r="L25" s="934">
        <f>(Unit.kWh)*111637578.884322</f>
        <v>0.11163757888432201</v>
      </c>
      <c r="M25" s="933">
        <f>(Unit.kWh)*116404317.868301</f>
        <v>0.11640431786830101</v>
      </c>
      <c r="N25" s="933">
        <f>(Unit.kWh)*121374588.680617</f>
        <v>0.12137458868061701</v>
      </c>
      <c r="O25" s="933">
        <f>(Unit.kWh)*126557081.791901</f>
        <v>0.126557081791901</v>
      </c>
      <c r="P25" s="1158"/>
    </row>
    <row r="26" spans="1:35" ht="15.75" hidden="1" outlineLevel="1">
      <c r="B26" s="1159"/>
      <c r="C26" s="831">
        <v>3</v>
      </c>
      <c r="D26" s="832" t="s">
        <v>918</v>
      </c>
      <c r="E26" s="1254" t="s">
        <v>109</v>
      </c>
      <c r="F26" s="1640">
        <f>101.2*1000000*Unit.kWh</f>
        <v>0.10120000000000001</v>
      </c>
      <c r="G26" s="927">
        <f>(Unit.kWh)*107304049.695157</f>
        <v>0.10730404969515701</v>
      </c>
      <c r="H26" s="934">
        <f>(Unit.kWh)*120255387.307571</f>
        <v>0.120255387307571</v>
      </c>
      <c r="I26" s="934">
        <f>(Unit.kWh)*131883978.986792</f>
        <v>0.13188397898679199</v>
      </c>
      <c r="J26" s="934">
        <f>(Unit.kWh)*229982374.070715</f>
        <v>0.22998237407071503</v>
      </c>
      <c r="K26" s="934">
        <f>(Unit.kWh)*337850929.974897</f>
        <v>0.33785092997489707</v>
      </c>
      <c r="L26" s="934">
        <f>(Unit.kWh)*453039529.657146</f>
        <v>0.453039529657146</v>
      </c>
      <c r="M26" s="934">
        <f>(Unit.kWh)*573098056.075271</f>
        <v>0.57309805607527109</v>
      </c>
      <c r="N26" s="934">
        <f>(Unit.kWh)*695576392.187079</f>
        <v>0.69557639218707901</v>
      </c>
      <c r="O26" s="934">
        <f>(Unit.kWh)*818024420.950376</f>
        <v>0.81802442095037609</v>
      </c>
      <c r="P26" s="1158"/>
    </row>
    <row r="27" spans="1:35" ht="15.75" hidden="1" outlineLevel="1">
      <c r="B27" s="1159"/>
      <c r="C27" s="769">
        <v>4</v>
      </c>
      <c r="D27" s="770" t="s">
        <v>918</v>
      </c>
      <c r="E27" s="770" t="s">
        <v>109</v>
      </c>
      <c r="F27" s="1641">
        <f>101.2*1000000*Unit.kWh</f>
        <v>0.10120000000000001</v>
      </c>
      <c r="G27" s="929">
        <f>(Unit.kWh)*109800707.118683</f>
        <v>0.10980070711868301</v>
      </c>
      <c r="H27" s="930">
        <f>(Unit.kWh)*128666002.003076</f>
        <v>0.12866600200307601</v>
      </c>
      <c r="I27" s="930">
        <f>(Unit.kWh)*145740427.687365</f>
        <v>0.145740427687365</v>
      </c>
      <c r="J27" s="930">
        <f>(Unit.kWh)*359866708.698829</f>
        <v>0.35986670869882903</v>
      </c>
      <c r="K27" s="930">
        <f>(Unit.kWh)*605525388.650202</f>
        <v>0.60552538865020211</v>
      </c>
      <c r="L27" s="930">
        <f>(Unit.kWh)*876082027.718381</f>
        <v>0.87608202771838106</v>
      </c>
      <c r="M27" s="930">
        <f>(Unit.kWh)*1164902186.08026</f>
        <v>1.1649021860802602</v>
      </c>
      <c r="N27" s="930">
        <f>(Unit.kWh)*1465351423.91274</f>
        <v>1.4653514239127401</v>
      </c>
      <c r="O27" s="930">
        <f>(Unit.kWh)*1770795301.39271</f>
        <v>1.77079530139271</v>
      </c>
      <c r="P27" s="1158"/>
      <c r="R27"/>
      <c r="S27"/>
      <c r="T27"/>
      <c r="U27"/>
      <c r="V27"/>
      <c r="W27"/>
      <c r="X27"/>
      <c r="Y27"/>
      <c r="Z27"/>
      <c r="AA27"/>
      <c r="AB27"/>
      <c r="AC27"/>
      <c r="AD27"/>
      <c r="AE27"/>
      <c r="AF27"/>
      <c r="AG27"/>
      <c r="AH27"/>
      <c r="AI27"/>
    </row>
    <row r="28" spans="1:35" ht="15.75" hidden="1" outlineLevel="1">
      <c r="B28" s="1159"/>
      <c r="C28" s="831"/>
      <c r="D28" s="832"/>
      <c r="E28" s="832"/>
      <c r="F28" s="847"/>
      <c r="G28" s="848"/>
      <c r="H28" s="848"/>
      <c r="I28" s="848"/>
      <c r="J28" s="848"/>
      <c r="K28" s="848"/>
      <c r="L28" s="848"/>
      <c r="M28" s="848"/>
      <c r="N28" s="848"/>
      <c r="O28" s="848"/>
      <c r="P28" s="1158"/>
      <c r="R28"/>
      <c r="S28"/>
      <c r="T28"/>
      <c r="U28"/>
      <c r="V28"/>
      <c r="W28"/>
      <c r="X28"/>
      <c r="Y28"/>
      <c r="Z28"/>
      <c r="AA28"/>
      <c r="AB28"/>
      <c r="AC28"/>
      <c r="AD28"/>
      <c r="AE28"/>
      <c r="AF28"/>
      <c r="AG28"/>
      <c r="AH28"/>
      <c r="AI28"/>
    </row>
    <row r="29" spans="1:35" ht="15.75" hidden="1" outlineLevel="1">
      <c r="A29" s="2102"/>
      <c r="B29" s="2098"/>
      <c r="C29" s="2099"/>
      <c r="D29" s="2100"/>
      <c r="E29" s="2100"/>
      <c r="F29" s="2401"/>
      <c r="G29" s="2402"/>
      <c r="H29" s="2402"/>
      <c r="I29" s="2402"/>
      <c r="J29" s="2402"/>
      <c r="K29" s="2402"/>
      <c r="L29" s="2402"/>
      <c r="M29" s="2402"/>
      <c r="N29" s="2402"/>
      <c r="O29" s="2402"/>
      <c r="P29" s="1222"/>
      <c r="Q29" s="2102"/>
    </row>
    <row r="30" spans="1:35" ht="15.75" hidden="1" outlineLevel="1">
      <c r="B30" s="1159"/>
      <c r="C30" s="866" t="s">
        <v>1920</v>
      </c>
      <c r="D30" s="864"/>
      <c r="E30" s="867"/>
      <c r="F30" s="864"/>
      <c r="G30" s="864"/>
      <c r="H30" s="864"/>
      <c r="I30" s="864"/>
      <c r="J30" s="864"/>
      <c r="K30" s="864"/>
      <c r="L30" s="864"/>
      <c r="M30" s="864"/>
      <c r="N30" s="864"/>
      <c r="O30" s="867" t="s">
        <v>1382</v>
      </c>
      <c r="P30" s="1158"/>
      <c r="R30"/>
      <c r="S30"/>
      <c r="T30"/>
      <c r="U30"/>
      <c r="V30"/>
      <c r="W30"/>
      <c r="X30"/>
      <c r="Y30"/>
      <c r="Z30"/>
      <c r="AA30"/>
      <c r="AB30"/>
      <c r="AC30"/>
      <c r="AD30"/>
      <c r="AE30"/>
      <c r="AF30"/>
      <c r="AG30"/>
      <c r="AH30"/>
      <c r="AI30"/>
    </row>
    <row r="31" spans="1:35" ht="5.25" hidden="1" customHeight="1" outlineLevel="1">
      <c r="B31" s="1159"/>
      <c r="C31" s="864"/>
      <c r="D31" s="864"/>
      <c r="E31" s="864"/>
      <c r="F31" s="864"/>
      <c r="G31" s="864"/>
      <c r="H31" s="864"/>
      <c r="I31" s="864"/>
      <c r="J31" s="864"/>
      <c r="K31" s="864"/>
      <c r="L31" s="864"/>
      <c r="M31" s="864"/>
      <c r="N31" s="864"/>
      <c r="O31" s="864"/>
      <c r="P31" s="1158"/>
      <c r="R31"/>
      <c r="S31"/>
      <c r="T31"/>
      <c r="U31"/>
      <c r="V31"/>
      <c r="W31"/>
      <c r="X31"/>
      <c r="Y31"/>
      <c r="Z31"/>
      <c r="AA31"/>
      <c r="AB31"/>
      <c r="AC31"/>
      <c r="AD31"/>
      <c r="AE31"/>
      <c r="AF31"/>
      <c r="AG31"/>
      <c r="AH31"/>
      <c r="AI31"/>
    </row>
    <row r="32" spans="1:35" ht="15.75" hidden="1" outlineLevel="1">
      <c r="B32" s="1159"/>
      <c r="C32" s="766" t="s">
        <v>1352</v>
      </c>
      <c r="D32" s="766" t="s">
        <v>80</v>
      </c>
      <c r="E32" s="766" t="s">
        <v>442</v>
      </c>
      <c r="F32" s="923">
        <v>2007</v>
      </c>
      <c r="G32" s="924">
        <v>2010</v>
      </c>
      <c r="H32" s="923">
        <v>2015</v>
      </c>
      <c r="I32" s="923">
        <v>2020</v>
      </c>
      <c r="J32" s="923">
        <v>2025</v>
      </c>
      <c r="K32" s="923">
        <v>2030</v>
      </c>
      <c r="L32" s="923">
        <v>2035</v>
      </c>
      <c r="M32" s="923">
        <v>2040</v>
      </c>
      <c r="N32" s="923">
        <v>2045</v>
      </c>
      <c r="O32" s="923">
        <v>2050</v>
      </c>
      <c r="P32" s="1158"/>
      <c r="R32"/>
      <c r="S32"/>
      <c r="T32"/>
      <c r="U32"/>
      <c r="V32"/>
      <c r="W32"/>
      <c r="X32"/>
      <c r="Y32"/>
      <c r="Z32"/>
      <c r="AA32"/>
      <c r="AB32"/>
      <c r="AC32"/>
      <c r="AD32"/>
      <c r="AE32"/>
      <c r="AF32"/>
      <c r="AG32"/>
      <c r="AH32"/>
      <c r="AI32"/>
    </row>
    <row r="33" spans="2:35" ht="15.75" hidden="1" outlineLevel="1">
      <c r="B33" s="1159"/>
      <c r="C33" s="831">
        <v>1</v>
      </c>
      <c r="D33" s="832" t="s">
        <v>1398</v>
      </c>
      <c r="E33" s="1254" t="s">
        <v>109</v>
      </c>
      <c r="F33" s="1633">
        <f>29.4</f>
        <v>29.4</v>
      </c>
      <c r="G33" s="856">
        <v>28.469167920000025</v>
      </c>
      <c r="H33" s="847">
        <v>31.046209019084444</v>
      </c>
      <c r="I33" s="847">
        <v>32.411731566795552</v>
      </c>
      <c r="J33" s="847">
        <v>33.777254114506661</v>
      </c>
      <c r="K33" s="847">
        <v>35.14277666221777</v>
      </c>
      <c r="L33" s="847">
        <v>36.508299209928879</v>
      </c>
      <c r="M33" s="847">
        <v>37.873821757639995</v>
      </c>
      <c r="N33" s="847">
        <v>39.239344305351104</v>
      </c>
      <c r="O33" s="847">
        <v>40.604866853062212</v>
      </c>
      <c r="P33" s="1158">
        <v>41.970389400773321</v>
      </c>
      <c r="R33"/>
      <c r="S33"/>
      <c r="T33"/>
      <c r="U33"/>
      <c r="V33"/>
      <c r="W33"/>
      <c r="X33"/>
      <c r="Y33"/>
      <c r="Z33"/>
      <c r="AA33"/>
      <c r="AB33"/>
      <c r="AC33"/>
      <c r="AD33"/>
      <c r="AE33"/>
      <c r="AF33"/>
      <c r="AG33"/>
      <c r="AH33"/>
      <c r="AI33"/>
    </row>
    <row r="34" spans="2:35" ht="15.75" hidden="1" outlineLevel="1">
      <c r="B34" s="1159"/>
      <c r="C34" s="831">
        <v>2</v>
      </c>
      <c r="D34" s="832" t="s">
        <v>1398</v>
      </c>
      <c r="E34" s="1254" t="s">
        <v>109</v>
      </c>
      <c r="F34" s="1633">
        <f>29.4</f>
        <v>29.4</v>
      </c>
      <c r="G34" s="857">
        <v>28.469167920000025</v>
      </c>
      <c r="H34" s="1091">
        <v>30.744546474281798</v>
      </c>
      <c r="I34" s="847">
        <v>31.355912659986288</v>
      </c>
      <c r="J34" s="1091">
        <v>31.967278845690778</v>
      </c>
      <c r="K34" s="847">
        <v>32.578645031395268</v>
      </c>
      <c r="L34" s="1091">
        <v>33.190011217099759</v>
      </c>
      <c r="M34" s="847">
        <v>33.801377402804249</v>
      </c>
      <c r="N34" s="847">
        <v>34.412743588508739</v>
      </c>
      <c r="O34" s="847">
        <v>35.02410977421323</v>
      </c>
      <c r="P34" s="1158">
        <v>35.63547595991772</v>
      </c>
      <c r="R34"/>
      <c r="S34"/>
      <c r="T34"/>
      <c r="U34"/>
      <c r="V34"/>
      <c r="W34"/>
      <c r="X34"/>
      <c r="Y34"/>
      <c r="Z34"/>
      <c r="AA34"/>
      <c r="AB34"/>
      <c r="AC34"/>
      <c r="AD34"/>
      <c r="AE34"/>
      <c r="AF34"/>
      <c r="AG34"/>
      <c r="AH34"/>
      <c r="AI34"/>
    </row>
    <row r="35" spans="2:35" ht="15.75" hidden="1" outlineLevel="1">
      <c r="B35" s="1159"/>
      <c r="C35" s="831">
        <v>3</v>
      </c>
      <c r="D35" s="832" t="s">
        <v>1398</v>
      </c>
      <c r="E35" s="1254" t="s">
        <v>109</v>
      </c>
      <c r="F35" s="1644">
        <f>29.4</f>
        <v>29.4</v>
      </c>
      <c r="G35" s="857">
        <v>28.5</v>
      </c>
      <c r="H35" s="1091">
        <v>30.24885238725339</v>
      </c>
      <c r="I35" s="1091">
        <v>29.620983355386866</v>
      </c>
      <c r="J35" s="1091">
        <v>28.993114323520341</v>
      </c>
      <c r="K35" s="1091">
        <v>28.365245291653817</v>
      </c>
      <c r="L35" s="1091">
        <v>27.73737625978729</v>
      </c>
      <c r="M35" s="1091">
        <v>27.109507227920766</v>
      </c>
      <c r="N35" s="1091">
        <v>26.481638196054242</v>
      </c>
      <c r="O35" s="1091">
        <v>25.853769164187717</v>
      </c>
      <c r="P35" s="1158">
        <v>25.225900132321193</v>
      </c>
      <c r="R35"/>
      <c r="S35"/>
      <c r="T35"/>
      <c r="U35"/>
      <c r="V35"/>
      <c r="W35"/>
      <c r="X35"/>
      <c r="Y35"/>
      <c r="Z35"/>
      <c r="AA35"/>
      <c r="AB35"/>
      <c r="AC35"/>
      <c r="AD35"/>
      <c r="AE35"/>
      <c r="AF35"/>
      <c r="AG35"/>
      <c r="AH35"/>
      <c r="AI35"/>
    </row>
    <row r="36" spans="2:35" ht="15.75" hidden="1" outlineLevel="1">
      <c r="B36" s="1159"/>
      <c r="C36" s="769">
        <v>4</v>
      </c>
      <c r="D36" s="770" t="s">
        <v>1398</v>
      </c>
      <c r="E36" s="770" t="s">
        <v>109</v>
      </c>
      <c r="F36" s="1645">
        <f>29.4</f>
        <v>29.4</v>
      </c>
      <c r="G36" s="858">
        <v>25.8</v>
      </c>
      <c r="H36" s="859">
        <v>30.083165030062446</v>
      </c>
      <c r="I36" s="859">
        <v>29.041077605218561</v>
      </c>
      <c r="J36" s="859">
        <v>27.998990180374676</v>
      </c>
      <c r="K36" s="859">
        <v>26.956902755530791</v>
      </c>
      <c r="L36" s="859">
        <v>25.914815330686906</v>
      </c>
      <c r="M36" s="859">
        <v>24.748364266313786</v>
      </c>
      <c r="N36" s="859">
        <v>23.175297867771626</v>
      </c>
      <c r="O36" s="859">
        <v>21.649125403347536</v>
      </c>
      <c r="P36" s="1158">
        <v>21.74646563131137</v>
      </c>
      <c r="R36"/>
      <c r="S36"/>
      <c r="T36"/>
      <c r="U36"/>
      <c r="V36"/>
      <c r="W36"/>
      <c r="X36"/>
      <c r="Y36"/>
      <c r="Z36"/>
      <c r="AA36"/>
      <c r="AB36"/>
      <c r="AC36"/>
      <c r="AD36"/>
      <c r="AE36"/>
      <c r="AF36"/>
      <c r="AG36"/>
      <c r="AH36"/>
      <c r="AI36"/>
    </row>
    <row r="37" spans="2:35" hidden="1" outlineLevel="1">
      <c r="B37" s="1163"/>
      <c r="C37" s="831"/>
      <c r="D37" s="832"/>
      <c r="E37" s="832"/>
      <c r="F37" s="933"/>
      <c r="G37" s="934"/>
      <c r="H37" s="934"/>
      <c r="I37" s="934"/>
      <c r="J37" s="934"/>
      <c r="K37" s="934"/>
      <c r="L37" s="934"/>
      <c r="M37" s="934"/>
      <c r="N37" s="934"/>
      <c r="O37" s="934"/>
      <c r="P37" s="1158"/>
      <c r="R37"/>
      <c r="S37"/>
      <c r="T37"/>
      <c r="U37"/>
      <c r="V37"/>
      <c r="W37"/>
      <c r="X37"/>
      <c r="Y37"/>
      <c r="Z37"/>
      <c r="AA37"/>
      <c r="AB37"/>
      <c r="AC37"/>
      <c r="AD37"/>
      <c r="AE37"/>
      <c r="AF37"/>
      <c r="AG37"/>
      <c r="AH37"/>
      <c r="AI37"/>
    </row>
    <row r="38" spans="2:35" hidden="1" outlineLevel="1">
      <c r="B38" s="1163"/>
      <c r="C38" s="866" t="s">
        <v>1921</v>
      </c>
      <c r="D38" s="864"/>
      <c r="E38" s="867"/>
      <c r="F38" s="864"/>
      <c r="G38" s="864"/>
      <c r="H38" s="864"/>
      <c r="I38" s="864"/>
      <c r="J38" s="864"/>
      <c r="K38" s="864"/>
      <c r="L38" s="864"/>
      <c r="M38" s="864"/>
      <c r="N38" s="864"/>
      <c r="O38" s="867" t="s">
        <v>1382</v>
      </c>
      <c r="P38" s="1158"/>
    </row>
    <row r="39" spans="2:35" ht="5.25" hidden="1" customHeight="1" outlineLevel="1">
      <c r="B39" s="1163"/>
      <c r="C39" s="864"/>
      <c r="D39" s="864"/>
      <c r="E39" s="864"/>
      <c r="F39" s="864"/>
      <c r="G39" s="864"/>
      <c r="H39" s="864"/>
      <c r="I39" s="864"/>
      <c r="J39" s="864"/>
      <c r="K39" s="864"/>
      <c r="L39" s="864"/>
      <c r="M39" s="864"/>
      <c r="N39" s="864"/>
      <c r="O39" s="864"/>
      <c r="P39" s="1158"/>
    </row>
    <row r="40" spans="2:35" ht="15.75" hidden="1" outlineLevel="1">
      <c r="B40" s="1159"/>
      <c r="C40" s="766" t="s">
        <v>1352</v>
      </c>
      <c r="D40" s="766" t="s">
        <v>80</v>
      </c>
      <c r="E40" s="766" t="s">
        <v>442</v>
      </c>
      <c r="F40" s="923">
        <v>2007</v>
      </c>
      <c r="G40" s="924">
        <v>2010</v>
      </c>
      <c r="H40" s="923">
        <v>2015</v>
      </c>
      <c r="I40" s="923">
        <v>2020</v>
      </c>
      <c r="J40" s="923">
        <v>2025</v>
      </c>
      <c r="K40" s="923">
        <v>2030</v>
      </c>
      <c r="L40" s="923">
        <v>2035</v>
      </c>
      <c r="M40" s="923">
        <v>2040</v>
      </c>
      <c r="N40" s="923">
        <v>2045</v>
      </c>
      <c r="O40" s="923">
        <v>2050</v>
      </c>
      <c r="P40" s="1158"/>
    </row>
    <row r="41" spans="2:35" ht="15.75" hidden="1" outlineLevel="1">
      <c r="B41" s="1159"/>
      <c r="C41" s="831">
        <v>1</v>
      </c>
      <c r="D41" s="832" t="s">
        <v>918</v>
      </c>
      <c r="E41" s="1254" t="s">
        <v>109</v>
      </c>
      <c r="F41" s="1633">
        <v>0</v>
      </c>
      <c r="G41" s="856">
        <v>0</v>
      </c>
      <c r="H41" s="847">
        <v>0</v>
      </c>
      <c r="I41" s="847">
        <v>0</v>
      </c>
      <c r="J41" s="847">
        <v>0</v>
      </c>
      <c r="K41" s="847">
        <v>0</v>
      </c>
      <c r="L41" s="847">
        <v>0</v>
      </c>
      <c r="M41" s="847">
        <v>0</v>
      </c>
      <c r="N41" s="847">
        <v>0</v>
      </c>
      <c r="O41" s="847">
        <v>0</v>
      </c>
      <c r="P41" s="1158"/>
    </row>
    <row r="42" spans="2:35" ht="15.75" hidden="1" outlineLevel="1">
      <c r="B42" s="1159"/>
      <c r="C42" s="831">
        <v>2</v>
      </c>
      <c r="D42" s="832" t="s">
        <v>918</v>
      </c>
      <c r="E42" s="1254" t="s">
        <v>109</v>
      </c>
      <c r="F42" s="1633">
        <v>0</v>
      </c>
      <c r="G42" s="857">
        <v>0</v>
      </c>
      <c r="H42" s="1091">
        <v>0</v>
      </c>
      <c r="I42" s="847">
        <v>0</v>
      </c>
      <c r="J42" s="1091">
        <v>0</v>
      </c>
      <c r="K42" s="847">
        <v>0</v>
      </c>
      <c r="L42" s="1091">
        <v>0</v>
      </c>
      <c r="M42" s="847">
        <v>0</v>
      </c>
      <c r="N42" s="847">
        <v>0</v>
      </c>
      <c r="O42" s="847">
        <v>0</v>
      </c>
      <c r="P42" s="1158"/>
    </row>
    <row r="43" spans="2:35" ht="15.75" hidden="1" outlineLevel="1">
      <c r="B43" s="1159"/>
      <c r="C43" s="831">
        <v>3</v>
      </c>
      <c r="D43" s="832" t="s">
        <v>918</v>
      </c>
      <c r="E43" s="1254" t="s">
        <v>109</v>
      </c>
      <c r="F43" s="1644">
        <v>0</v>
      </c>
      <c r="G43" s="857">
        <v>0</v>
      </c>
      <c r="H43" s="1091">
        <v>0</v>
      </c>
      <c r="I43" s="1091">
        <v>0</v>
      </c>
      <c r="J43" s="1091">
        <v>0</v>
      </c>
      <c r="K43" s="1091">
        <v>0</v>
      </c>
      <c r="L43" s="1091">
        <v>0</v>
      </c>
      <c r="M43" s="1091">
        <v>0</v>
      </c>
      <c r="N43" s="1091">
        <v>0</v>
      </c>
      <c r="O43" s="1091">
        <v>0</v>
      </c>
      <c r="P43" s="1158"/>
    </row>
    <row r="44" spans="2:35" ht="15.75" hidden="1" outlineLevel="1">
      <c r="B44" s="1159"/>
      <c r="C44" s="769">
        <v>4</v>
      </c>
      <c r="D44" s="770" t="s">
        <v>918</v>
      </c>
      <c r="E44" s="770" t="s">
        <v>109</v>
      </c>
      <c r="F44" s="1645">
        <v>0</v>
      </c>
      <c r="G44" s="858">
        <v>0</v>
      </c>
      <c r="H44" s="859">
        <v>0</v>
      </c>
      <c r="I44" s="859">
        <v>0</v>
      </c>
      <c r="J44" s="859">
        <v>0</v>
      </c>
      <c r="K44" s="859">
        <v>0</v>
      </c>
      <c r="L44" s="859">
        <v>0</v>
      </c>
      <c r="M44" s="859">
        <v>0.124363639529215</v>
      </c>
      <c r="N44" s="859">
        <v>0.65534261322747522</v>
      </c>
      <c r="O44" s="859">
        <v>1.1394276528077651</v>
      </c>
      <c r="P44" s="1158"/>
    </row>
    <row r="45" spans="2:35" hidden="1" outlineLevel="1">
      <c r="B45" s="1163"/>
      <c r="C45" s="831"/>
      <c r="D45" s="832"/>
      <c r="E45" s="832"/>
      <c r="F45" s="933"/>
      <c r="G45" s="934"/>
      <c r="H45" s="934"/>
      <c r="I45" s="934"/>
      <c r="J45" s="934"/>
      <c r="K45" s="934"/>
      <c r="L45" s="934"/>
      <c r="M45" s="934"/>
      <c r="N45" s="934"/>
      <c r="O45" s="934"/>
      <c r="P45" s="1158"/>
    </row>
    <row r="46" spans="2:35" hidden="1" outlineLevel="1">
      <c r="B46" s="1163"/>
      <c r="C46" s="866" t="s">
        <v>2271</v>
      </c>
      <c r="D46" s="864"/>
      <c r="E46" s="867"/>
      <c r="F46" s="864"/>
      <c r="G46" s="864"/>
      <c r="H46" s="864"/>
      <c r="I46" s="864"/>
      <c r="J46" s="864"/>
      <c r="K46" s="864"/>
      <c r="L46" s="864"/>
      <c r="M46" s="864"/>
      <c r="N46" s="864"/>
      <c r="O46" s="867" t="str">
        <f>Preferences.EnergyUnits &amp; " / bn vehicle-km"</f>
        <v>TWh / bn vehicle-km</v>
      </c>
      <c r="P46" s="1158"/>
    </row>
    <row r="47" spans="2:35" ht="5.25" hidden="1" customHeight="1" outlineLevel="1">
      <c r="B47" s="1163"/>
      <c r="C47" s="864"/>
      <c r="D47" s="864"/>
      <c r="E47" s="864"/>
      <c r="F47" s="864"/>
      <c r="G47" s="864"/>
      <c r="H47" s="864"/>
      <c r="I47" s="864"/>
      <c r="J47" s="864"/>
      <c r="K47" s="864"/>
      <c r="L47" s="864"/>
      <c r="M47" s="864"/>
      <c r="N47" s="864"/>
      <c r="O47" s="864"/>
      <c r="P47" s="1158"/>
    </row>
    <row r="48" spans="2:35" ht="15.75" hidden="1" outlineLevel="1">
      <c r="B48" s="1159"/>
      <c r="C48" s="766" t="s">
        <v>1352</v>
      </c>
      <c r="D48" s="766" t="s">
        <v>80</v>
      </c>
      <c r="E48" s="766" t="s">
        <v>442</v>
      </c>
      <c r="F48" s="923">
        <v>2007</v>
      </c>
      <c r="G48" s="924">
        <v>2010</v>
      </c>
      <c r="H48" s="923">
        <v>2015</v>
      </c>
      <c r="I48" s="923">
        <v>2020</v>
      </c>
      <c r="J48" s="923">
        <v>2025</v>
      </c>
      <c r="K48" s="923">
        <v>2030</v>
      </c>
      <c r="L48" s="923">
        <v>2035</v>
      </c>
      <c r="M48" s="923">
        <v>2040</v>
      </c>
      <c r="N48" s="923">
        <v>2045</v>
      </c>
      <c r="O48" s="923">
        <v>2050</v>
      </c>
      <c r="P48" s="1158"/>
    </row>
    <row r="49" spans="2:35" ht="15.75" hidden="1" outlineLevel="1">
      <c r="B49" s="1159"/>
      <c r="C49" s="831">
        <v>1</v>
      </c>
      <c r="D49" s="832" t="s">
        <v>623</v>
      </c>
      <c r="E49" s="1254"/>
      <c r="F49" s="2407">
        <f>(8.3*1000000*1000)*Constants.Density.Diesel*Constants.GCV.Diesel/F$33</f>
        <v>2.9814580789475755</v>
      </c>
      <c r="G49" s="907">
        <f>(Unit.TJ)*11662</f>
        <v>3.2394444444444446</v>
      </c>
      <c r="H49" s="2164">
        <f>G49+(I49-G49)/(I$48-G$48)*(H$48-G$48)</f>
        <v>3.2220833333333334</v>
      </c>
      <c r="I49" s="1272">
        <f>(Unit.TJ)*11537</f>
        <v>3.2047222222222222</v>
      </c>
      <c r="J49" s="2164">
        <f>I49+(K49-I49)/(K$48-I$48)*(J$48-I$48)</f>
        <v>3.1873611111111111</v>
      </c>
      <c r="K49" s="1272">
        <f>(Unit.TJ)*11412</f>
        <v>3.17</v>
      </c>
      <c r="L49" s="2164">
        <f>K49+(M49-K49)/(M$48-K$48)*(L$48-K$48)</f>
        <v>3.17</v>
      </c>
      <c r="M49" s="1272">
        <f>(Unit.TJ)*11412</f>
        <v>3.17</v>
      </c>
      <c r="N49" s="2164">
        <f>M49+(O49-M49)/(O$48-M$48)*(N$48-M$48)</f>
        <v>3.17</v>
      </c>
      <c r="O49" s="1272">
        <f>(Unit.TJ)*11412</f>
        <v>3.17</v>
      </c>
      <c r="P49" s="1158"/>
    </row>
    <row r="50" spans="2:35" ht="15.75" hidden="1" outlineLevel="1">
      <c r="B50" s="1159"/>
      <c r="C50" s="831">
        <v>2</v>
      </c>
      <c r="D50" s="832" t="s">
        <v>623</v>
      </c>
      <c r="E50" s="1254"/>
      <c r="F50" s="2407">
        <f>(8.3*1000000*1000)*Constants.Density.Diesel*Constants.GCV.Diesel/F$33</f>
        <v>2.9814580789475755</v>
      </c>
      <c r="G50" s="1772">
        <f>(Unit.TJ)*11662</f>
        <v>3.2394444444444446</v>
      </c>
      <c r="H50" s="2200">
        <f t="shared" ref="H50:J52" si="0">G50+(I50-G50)/(I$48-G$48)*(H$48-G$48)</f>
        <v>2.9611111111111112</v>
      </c>
      <c r="I50" s="1272">
        <f>(Unit.TJ)*9658</f>
        <v>2.6827777777777779</v>
      </c>
      <c r="J50" s="2200">
        <f t="shared" si="0"/>
        <v>2.4044444444444446</v>
      </c>
      <c r="K50" s="1272">
        <f>(Unit.TJ)*7654</f>
        <v>2.1261111111111113</v>
      </c>
      <c r="L50" s="2200">
        <f>K50+(M50-K50)/(M$48-K$48)*(L$48-K$48)</f>
        <v>2.1261111111111113</v>
      </c>
      <c r="M50" s="1272">
        <f>(Unit.TJ)*7654</f>
        <v>2.1261111111111113</v>
      </c>
      <c r="N50" s="2200">
        <f>M50+(O50-M50)/(O$48-M$48)*(N$48-M$48)</f>
        <v>2.1261111111111113</v>
      </c>
      <c r="O50" s="1272">
        <f>(Unit.TJ)*7654</f>
        <v>2.1261111111111113</v>
      </c>
      <c r="P50" s="1158"/>
    </row>
    <row r="51" spans="2:35" ht="15.75" hidden="1" outlineLevel="1">
      <c r="B51" s="1159"/>
      <c r="C51" s="831">
        <v>3</v>
      </c>
      <c r="D51" s="832" t="s">
        <v>623</v>
      </c>
      <c r="E51" s="1254"/>
      <c r="F51" s="2408">
        <f>(8.3*1000000*1000)*Constants.Density.Diesel*Constants.GCV.Diesel/F$33</f>
        <v>2.9814580789475755</v>
      </c>
      <c r="G51" s="1772">
        <f>(Unit.TJ)*11662</f>
        <v>3.2394444444444446</v>
      </c>
      <c r="H51" s="2200">
        <f t="shared" si="0"/>
        <v>2.8176388888888892</v>
      </c>
      <c r="I51" s="1771">
        <f>(Unit.TJ)*8625</f>
        <v>2.3958333333333335</v>
      </c>
      <c r="J51" s="2200">
        <f t="shared" si="0"/>
        <v>1.9740277777777777</v>
      </c>
      <c r="K51" s="1771">
        <f>(Unit.TJ)*5588</f>
        <v>1.5522222222222222</v>
      </c>
      <c r="L51" s="2200">
        <f>K51+(M51-K51)/(M$48-K$48)*(L$48-K$48)</f>
        <v>1.5444444444444443</v>
      </c>
      <c r="M51" s="1771">
        <f>(Unit.TJ)*5532</f>
        <v>1.5366666666666666</v>
      </c>
      <c r="N51" s="2200">
        <f>M51+(O51-M51)/(O$48-M$48)*(N$48-M$48)</f>
        <v>1.528888888888889</v>
      </c>
      <c r="O51" s="1771">
        <f>(Unit.TJ)*5476</f>
        <v>1.5211111111111111</v>
      </c>
      <c r="P51" s="1158"/>
    </row>
    <row r="52" spans="2:35" ht="15.75" hidden="1" outlineLevel="1">
      <c r="B52" s="1159"/>
      <c r="C52" s="769">
        <v>4</v>
      </c>
      <c r="D52" s="770" t="s">
        <v>623</v>
      </c>
      <c r="E52" s="770"/>
      <c r="F52" s="2409">
        <f>(8.3*1000000*1000)*Constants.Density.Diesel*Constants.GCV.Diesel/F$33</f>
        <v>2.9814580789475755</v>
      </c>
      <c r="G52" s="1774">
        <f>(Unit.TJ)*11662</f>
        <v>3.2394444444444446</v>
      </c>
      <c r="H52" s="2410">
        <f t="shared" si="0"/>
        <v>2.8176388888888892</v>
      </c>
      <c r="I52" s="1773">
        <f>(Unit.TJ)*8625</f>
        <v>2.3958333333333335</v>
      </c>
      <c r="J52" s="2410">
        <f t="shared" si="0"/>
        <v>1.9740277777777777</v>
      </c>
      <c r="K52" s="1773">
        <f>(Unit.TJ)*5588</f>
        <v>1.5522222222222222</v>
      </c>
      <c r="L52" s="2410">
        <f>K52+(M52-K52)/(M$48-K$48)*(L$48-K$48)</f>
        <v>1.4984722222222222</v>
      </c>
      <c r="M52" s="1773">
        <f>(Unit.TJ)*5201</f>
        <v>1.4447222222222222</v>
      </c>
      <c r="N52" s="2410">
        <f>M52+(O52-M52)/(O$48-M$48)*(N$48-M$48)</f>
        <v>1.391111111111111</v>
      </c>
      <c r="O52" s="1773">
        <f>(Unit.TJ)*4815</f>
        <v>1.3374999999999999</v>
      </c>
      <c r="P52" s="1158"/>
    </row>
    <row r="53" spans="2:35" hidden="1" outlineLevel="1">
      <c r="B53" s="1163"/>
      <c r="C53" s="831"/>
      <c r="D53" s="832"/>
      <c r="E53" s="832"/>
      <c r="F53" s="933"/>
      <c r="G53" s="934"/>
      <c r="H53" s="934"/>
      <c r="I53" s="934"/>
      <c r="J53" s="934"/>
      <c r="K53" s="934"/>
      <c r="L53" s="934"/>
      <c r="M53" s="934"/>
      <c r="N53" s="934"/>
      <c r="O53" s="934"/>
      <c r="P53" s="1158"/>
    </row>
    <row r="54" spans="2:35" hidden="1" outlineLevel="1">
      <c r="B54" s="1163"/>
      <c r="C54" s="866" t="s">
        <v>2272</v>
      </c>
      <c r="D54" s="864"/>
      <c r="E54" s="867"/>
      <c r="F54" s="864"/>
      <c r="G54" s="864"/>
      <c r="H54" s="864"/>
      <c r="I54" s="864"/>
      <c r="J54" s="864"/>
      <c r="K54" s="864"/>
      <c r="L54" s="864"/>
      <c r="M54" s="864"/>
      <c r="N54" s="864"/>
      <c r="O54" s="867" t="str">
        <f>Preferences.EnergyUnits &amp; " / bn vehicle-km"</f>
        <v>TWh / bn vehicle-km</v>
      </c>
      <c r="P54" s="1158"/>
    </row>
    <row r="55" spans="2:35" ht="5.25" hidden="1" customHeight="1" outlineLevel="1">
      <c r="B55" s="1163"/>
      <c r="C55" s="864"/>
      <c r="D55" s="864"/>
      <c r="E55" s="864"/>
      <c r="F55" s="864"/>
      <c r="G55" s="864"/>
      <c r="H55" s="864"/>
      <c r="I55" s="864"/>
      <c r="J55" s="864"/>
      <c r="K55" s="864"/>
      <c r="L55" s="864"/>
      <c r="M55" s="864"/>
      <c r="N55" s="864"/>
      <c r="O55" s="864"/>
      <c r="P55" s="1158"/>
    </row>
    <row r="56" spans="2:35" ht="15.75" hidden="1" outlineLevel="1">
      <c r="B56" s="1159"/>
      <c r="C56" s="766" t="s">
        <v>1352</v>
      </c>
      <c r="D56" s="766" t="s">
        <v>80</v>
      </c>
      <c r="E56" s="766" t="s">
        <v>442</v>
      </c>
      <c r="F56" s="923">
        <v>2007</v>
      </c>
      <c r="G56" s="924">
        <v>2010</v>
      </c>
      <c r="H56" s="923">
        <v>2015</v>
      </c>
      <c r="I56" s="923">
        <v>2020</v>
      </c>
      <c r="J56" s="923">
        <v>2025</v>
      </c>
      <c r="K56" s="923">
        <v>2030</v>
      </c>
      <c r="L56" s="923">
        <v>2035</v>
      </c>
      <c r="M56" s="923">
        <v>2040</v>
      </c>
      <c r="N56" s="923">
        <v>2045</v>
      </c>
      <c r="O56" s="923">
        <v>2050</v>
      </c>
      <c r="P56" s="1158"/>
    </row>
    <row r="57" spans="2:35" ht="15.75" hidden="1" outlineLevel="1">
      <c r="B57" s="1159"/>
      <c r="C57" s="831">
        <v>1</v>
      </c>
      <c r="D57" s="832" t="s">
        <v>918</v>
      </c>
      <c r="E57" s="1254"/>
      <c r="F57" s="2407"/>
      <c r="G57" s="907">
        <f>G$52*(2552/10724)</f>
        <v>0.77089353060632437</v>
      </c>
      <c r="H57" s="1272">
        <f t="shared" ref="H57:O60" si="1">H$52*(2552/10724)</f>
        <v>0.67051608023540143</v>
      </c>
      <c r="I57" s="1272">
        <f t="shared" si="1"/>
        <v>0.5701386298644785</v>
      </c>
      <c r="J57" s="1272">
        <f t="shared" si="1"/>
        <v>0.46976117949355545</v>
      </c>
      <c r="K57" s="1272">
        <f t="shared" si="1"/>
        <v>0.36938372912263251</v>
      </c>
      <c r="L57" s="1272">
        <f t="shared" si="1"/>
        <v>0.35659279290480334</v>
      </c>
      <c r="M57" s="1272">
        <f t="shared" si="1"/>
        <v>0.34380185668697416</v>
      </c>
      <c r="N57" s="1272">
        <f t="shared" si="1"/>
        <v>0.33104397198391972</v>
      </c>
      <c r="O57" s="1272">
        <f t="shared" si="1"/>
        <v>0.31828608728086533</v>
      </c>
      <c r="P57" s="1158"/>
    </row>
    <row r="58" spans="2:35" ht="15.75" hidden="1" outlineLevel="1">
      <c r="B58" s="1159"/>
      <c r="C58" s="831">
        <v>2</v>
      </c>
      <c r="D58" s="832" t="s">
        <v>918</v>
      </c>
      <c r="E58" s="1254"/>
      <c r="F58" s="2407"/>
      <c r="G58" s="1772">
        <f>G$52*(2552/10724)</f>
        <v>0.77089353060632437</v>
      </c>
      <c r="H58" s="1771">
        <f t="shared" si="1"/>
        <v>0.67051608023540143</v>
      </c>
      <c r="I58" s="1272">
        <f t="shared" si="1"/>
        <v>0.5701386298644785</v>
      </c>
      <c r="J58" s="1771">
        <f t="shared" si="1"/>
        <v>0.46976117949355545</v>
      </c>
      <c r="K58" s="1272">
        <f t="shared" si="1"/>
        <v>0.36938372912263251</v>
      </c>
      <c r="L58" s="1771">
        <f t="shared" si="1"/>
        <v>0.35659279290480334</v>
      </c>
      <c r="M58" s="1272">
        <f t="shared" si="1"/>
        <v>0.34380185668697416</v>
      </c>
      <c r="N58" s="1272">
        <f t="shared" si="1"/>
        <v>0.33104397198391972</v>
      </c>
      <c r="O58" s="1272">
        <f t="shared" si="1"/>
        <v>0.31828608728086533</v>
      </c>
      <c r="P58" s="1158"/>
    </row>
    <row r="59" spans="2:35" ht="15.75" hidden="1" outlineLevel="1">
      <c r="B59" s="1159"/>
      <c r="C59" s="831">
        <v>3</v>
      </c>
      <c r="D59" s="832" t="s">
        <v>918</v>
      </c>
      <c r="E59" s="1254"/>
      <c r="F59" s="2408"/>
      <c r="G59" s="1772">
        <f>G$52*(2552/10724)</f>
        <v>0.77089353060632437</v>
      </c>
      <c r="H59" s="1771">
        <f t="shared" si="1"/>
        <v>0.67051608023540143</v>
      </c>
      <c r="I59" s="1771">
        <f t="shared" si="1"/>
        <v>0.5701386298644785</v>
      </c>
      <c r="J59" s="1771">
        <f t="shared" si="1"/>
        <v>0.46976117949355545</v>
      </c>
      <c r="K59" s="1771">
        <f t="shared" si="1"/>
        <v>0.36938372912263251</v>
      </c>
      <c r="L59" s="1771">
        <f t="shared" si="1"/>
        <v>0.35659279290480334</v>
      </c>
      <c r="M59" s="1771">
        <f t="shared" si="1"/>
        <v>0.34380185668697416</v>
      </c>
      <c r="N59" s="1771">
        <f t="shared" si="1"/>
        <v>0.33104397198391972</v>
      </c>
      <c r="O59" s="1771">
        <f t="shared" si="1"/>
        <v>0.31828608728086533</v>
      </c>
      <c r="P59" s="1158"/>
    </row>
    <row r="60" spans="2:35" ht="15.75" hidden="1" outlineLevel="1">
      <c r="B60" s="1159"/>
      <c r="C60" s="769">
        <v>4</v>
      </c>
      <c r="D60" s="770" t="s">
        <v>918</v>
      </c>
      <c r="E60" s="770"/>
      <c r="F60" s="2409"/>
      <c r="G60" s="1774">
        <f>G$52*(2552/10724)</f>
        <v>0.77089353060632437</v>
      </c>
      <c r="H60" s="1773">
        <f t="shared" si="1"/>
        <v>0.67051608023540143</v>
      </c>
      <c r="I60" s="1773">
        <f t="shared" si="1"/>
        <v>0.5701386298644785</v>
      </c>
      <c r="J60" s="1773">
        <f t="shared" si="1"/>
        <v>0.46976117949355545</v>
      </c>
      <c r="K60" s="1773">
        <f t="shared" si="1"/>
        <v>0.36938372912263251</v>
      </c>
      <c r="L60" s="1773">
        <f t="shared" si="1"/>
        <v>0.35659279290480334</v>
      </c>
      <c r="M60" s="1773">
        <f t="shared" si="1"/>
        <v>0.34380185668697416</v>
      </c>
      <c r="N60" s="1773">
        <f t="shared" si="1"/>
        <v>0.33104397198391972</v>
      </c>
      <c r="O60" s="1773">
        <f t="shared" si="1"/>
        <v>0.31828608728086533</v>
      </c>
      <c r="P60" s="1158"/>
    </row>
    <row r="61" spans="2:35" hidden="1" outlineLevel="1">
      <c r="B61" s="1163"/>
      <c r="C61" s="831"/>
      <c r="D61" s="832"/>
      <c r="E61" s="832"/>
      <c r="F61" s="933"/>
      <c r="G61" s="934"/>
      <c r="H61" s="934"/>
      <c r="I61" s="934"/>
      <c r="J61" s="934"/>
      <c r="K61" s="934"/>
      <c r="L61" s="934"/>
      <c r="M61" s="934"/>
      <c r="N61" s="934"/>
      <c r="O61" s="934"/>
      <c r="P61" s="1158"/>
    </row>
    <row r="62" spans="2:35" s="2102" customFormat="1" hidden="1" outlineLevel="1">
      <c r="B62" s="2403"/>
      <c r="C62" s="2099"/>
      <c r="D62" s="2100"/>
      <c r="E62" s="2100"/>
      <c r="F62" s="2404"/>
      <c r="G62" s="2405"/>
      <c r="H62" s="2405"/>
      <c r="I62" s="2405"/>
      <c r="J62" s="2405"/>
      <c r="K62" s="2405"/>
      <c r="L62" s="2405"/>
      <c r="M62" s="2405"/>
      <c r="N62" s="2405"/>
      <c r="O62" s="2405"/>
      <c r="P62" s="1222"/>
    </row>
    <row r="63" spans="2:35" hidden="1" outlineLevel="1">
      <c r="B63" s="1163"/>
      <c r="C63" s="866" t="s">
        <v>1386</v>
      </c>
      <c r="D63" s="864"/>
      <c r="E63" s="867"/>
      <c r="F63" s="864"/>
      <c r="G63" s="864"/>
      <c r="H63" s="864"/>
      <c r="I63" s="864"/>
      <c r="J63" s="864"/>
      <c r="K63" s="864"/>
      <c r="L63" s="864"/>
      <c r="M63" s="864"/>
      <c r="N63" s="864"/>
      <c r="O63" s="867" t="str">
        <f>Preferences.EnergyUnits</f>
        <v>TWh</v>
      </c>
      <c r="P63" s="1158"/>
      <c r="R63"/>
      <c r="S63"/>
      <c r="T63"/>
      <c r="U63"/>
      <c r="V63"/>
      <c r="W63"/>
      <c r="X63"/>
      <c r="Y63"/>
      <c r="Z63"/>
      <c r="AA63"/>
      <c r="AB63"/>
      <c r="AC63"/>
      <c r="AD63"/>
      <c r="AE63"/>
      <c r="AF63"/>
      <c r="AG63"/>
      <c r="AH63"/>
      <c r="AI63"/>
    </row>
    <row r="64" spans="2:35" ht="5.25" hidden="1" customHeight="1" outlineLevel="1">
      <c r="B64" s="1163"/>
      <c r="C64" s="864"/>
      <c r="D64" s="864"/>
      <c r="E64" s="864"/>
      <c r="F64" s="864"/>
      <c r="G64" s="864"/>
      <c r="H64" s="864"/>
      <c r="I64" s="864"/>
      <c r="J64" s="864"/>
      <c r="K64" s="864"/>
      <c r="L64" s="864"/>
      <c r="M64" s="864"/>
      <c r="N64" s="864"/>
      <c r="O64" s="864"/>
      <c r="P64" s="1158"/>
      <c r="R64"/>
      <c r="S64"/>
      <c r="T64"/>
      <c r="U64"/>
      <c r="V64"/>
      <c r="W64"/>
      <c r="X64"/>
      <c r="Y64"/>
      <c r="Z64"/>
      <c r="AA64"/>
      <c r="AB64"/>
      <c r="AC64"/>
      <c r="AD64"/>
      <c r="AE64"/>
      <c r="AF64"/>
      <c r="AG64"/>
      <c r="AH64"/>
      <c r="AI64"/>
    </row>
    <row r="65" spans="1:35" ht="15.75" hidden="1" outlineLevel="1">
      <c r="B65" s="1159"/>
      <c r="C65" s="766" t="s">
        <v>1352</v>
      </c>
      <c r="D65" s="766" t="s">
        <v>80</v>
      </c>
      <c r="E65" s="766" t="s">
        <v>442</v>
      </c>
      <c r="F65" s="923">
        <v>2007</v>
      </c>
      <c r="G65" s="924">
        <v>2010</v>
      </c>
      <c r="H65" s="923">
        <v>2015</v>
      </c>
      <c r="I65" s="923">
        <v>2020</v>
      </c>
      <c r="J65" s="923">
        <v>2025</v>
      </c>
      <c r="K65" s="923">
        <v>2030</v>
      </c>
      <c r="L65" s="923">
        <v>2035</v>
      </c>
      <c r="M65" s="923">
        <v>2040</v>
      </c>
      <c r="N65" s="923">
        <v>2045</v>
      </c>
      <c r="O65" s="923">
        <v>2050</v>
      </c>
      <c r="P65" s="1158"/>
      <c r="R65"/>
      <c r="S65"/>
      <c r="T65"/>
      <c r="U65"/>
      <c r="V65"/>
      <c r="W65"/>
      <c r="X65"/>
      <c r="Y65"/>
      <c r="Z65"/>
      <c r="AA65"/>
      <c r="AB65"/>
      <c r="AC65"/>
      <c r="AD65"/>
      <c r="AE65"/>
      <c r="AF65"/>
      <c r="AG65"/>
      <c r="AH65"/>
      <c r="AI65"/>
    </row>
    <row r="66" spans="1:35" ht="15.75" hidden="1" outlineLevel="1">
      <c r="B66" s="1159"/>
      <c r="C66" s="831">
        <v>1</v>
      </c>
      <c r="D66" s="832" t="s">
        <v>623</v>
      </c>
      <c r="E66" s="1254"/>
      <c r="F66" s="1633">
        <f>1618*Unit.ktoe</f>
        <v>18.817339999999998</v>
      </c>
      <c r="G66" s="1642">
        <f>(1000000000*Constants.GCV.Diesel)*2.10031347962382</f>
        <v>26.572895707388618</v>
      </c>
      <c r="H66" s="1633">
        <f>(1000000000*Constants.GCV.Diesel)*2.00626959247649</f>
        <v>25.383064556311584</v>
      </c>
      <c r="I66" s="1633">
        <f>(1000000000*Constants.GCV.Diesel)*1.9435736677116</f>
        <v>24.589843788926849</v>
      </c>
      <c r="J66" s="1633">
        <f>(1000000000*Constants.GCV.Diesel)*1.89669215738187</f>
        <v>23.996704956708381</v>
      </c>
      <c r="K66" s="1633">
        <f>(1000000000*Constants.GCV.Diesel)*1.87235479009297</f>
        <v>23.688791719453825</v>
      </c>
      <c r="L66" s="1633">
        <f>(1000000000*Constants.GCV.Diesel)*1.84832970724319</f>
        <v>23.384829464713203</v>
      </c>
      <c r="M66" s="1633">
        <f>(1000000000*Constants.GCV.Diesel)*1.82461290176102</f>
        <v>23.084767495533725</v>
      </c>
      <c r="N66" s="1633">
        <f>(1000000000*Constants.GCV.Diesel)*1.80120041799163</f>
        <v>22.788555765479813</v>
      </c>
      <c r="O66" s="1633">
        <f>(1000000000*Constants.GCV.Diesel)*1.77808835103708</f>
        <v>22.496144870285519</v>
      </c>
      <c r="P66" s="1158"/>
      <c r="R66"/>
      <c r="S66"/>
      <c r="T66"/>
      <c r="U66"/>
      <c r="V66"/>
      <c r="W66"/>
      <c r="X66"/>
      <c r="Y66"/>
      <c r="Z66"/>
      <c r="AA66"/>
      <c r="AB66"/>
      <c r="AC66"/>
      <c r="AD66"/>
      <c r="AE66"/>
      <c r="AF66"/>
      <c r="AG66"/>
      <c r="AH66"/>
      <c r="AI66"/>
    </row>
    <row r="67" spans="1:35" ht="15.75" hidden="1" outlineLevel="1">
      <c r="B67" s="1159"/>
      <c r="C67" s="831">
        <v>2</v>
      </c>
      <c r="D67" s="832" t="s">
        <v>623</v>
      </c>
      <c r="E67" s="1254"/>
      <c r="F67" s="1633">
        <f>F$66</f>
        <v>18.817339999999998</v>
      </c>
      <c r="G67" s="1643">
        <f>(1000000000*Constants.GCV.Diesel)*2.14257629833211</f>
        <v>27.107599447916346</v>
      </c>
      <c r="H67" s="1644">
        <f>(1000000000*Constants.GCV.Diesel)*2.14959746966516</f>
        <v>27.196430403574574</v>
      </c>
      <c r="I67" s="1633">
        <f>(1000000000*Constants.GCV.Diesel)*2.18507211890636</f>
        <v>27.645251098050831</v>
      </c>
      <c r="J67" s="1644">
        <f>(1000000000*Constants.GCV.Diesel)*2.23550434972602</f>
        <v>28.28331318871636</v>
      </c>
      <c r="K67" s="1633">
        <f>(1000000000*Constants.GCV.Diesel)*2.31169445042529</f>
        <v>29.247260532509898</v>
      </c>
      <c r="L67" s="1644">
        <f>(1000000000*Constants.GCV.Diesel)*2.38871952103844</f>
        <v>30.221771808142936</v>
      </c>
      <c r="M67" s="1633">
        <f>(1000000000*Constants.GCV.Diesel)*2.46664994158631</f>
        <v>31.207737454577007</v>
      </c>
      <c r="N67" s="1633">
        <f>(1000000000*Constants.GCV.Diesel)*2.54555995101927</f>
        <v>32.206096733453151</v>
      </c>
      <c r="O67" s="1633">
        <f>(1000000000*Constants.GCV.Diesel)*2.62552796513812</f>
        <v>33.217841751386281</v>
      </c>
      <c r="P67" s="1158"/>
      <c r="R67"/>
      <c r="S67"/>
      <c r="T67"/>
      <c r="U67"/>
      <c r="V67"/>
      <c r="W67"/>
      <c r="X67"/>
      <c r="Y67"/>
      <c r="Z67"/>
      <c r="AA67"/>
      <c r="AB67"/>
      <c r="AC67"/>
      <c r="AD67"/>
      <c r="AE67"/>
      <c r="AF67"/>
      <c r="AG67"/>
      <c r="AH67"/>
      <c r="AI67"/>
    </row>
    <row r="68" spans="1:35" ht="15.75" hidden="1" outlineLevel="1">
      <c r="B68" s="1159"/>
      <c r="C68" s="831">
        <v>3</v>
      </c>
      <c r="D68" s="832" t="s">
        <v>623</v>
      </c>
      <c r="E68" s="1254"/>
      <c r="F68" s="1644">
        <f>F$66</f>
        <v>18.817339999999998</v>
      </c>
      <c r="G68" s="1643">
        <f>(1000000000*Constants.GCV.Diesel)*2.12219245835527</f>
        <v>26.849705729156948</v>
      </c>
      <c r="H68" s="1644">
        <f>(1000000000*Constants.GCV.Diesel)*2.08046879812531</f>
        <v>26.321823352274894</v>
      </c>
      <c r="I68" s="1644">
        <f>(1000000000*Constants.GCV.Diesel)*2.06859465871172</f>
        <v>26.171593269330877</v>
      </c>
      <c r="J68" s="1644">
        <f>(1000000000*Constants.GCV.Diesel)*2.07209136114583</f>
        <v>26.215833098291089</v>
      </c>
      <c r="K68" s="1644">
        <f>(1000000000*Constants.GCV.Diesel)*2.09979591631414</f>
        <v>26.566347563036107</v>
      </c>
      <c r="L68" s="1644">
        <f>(1000000000*Constants.GCV.Diesel)*2.12808334422437</f>
        <v>26.924236458661085</v>
      </c>
      <c r="M68" s="1644">
        <f>(1000000000*Constants.GCV.Diesel)*2.15698814715343</f>
        <v>27.289936303530954</v>
      </c>
      <c r="N68" s="1644">
        <f>(1000000000*Constants.GCV.Diesel)*2.18654684990086</f>
        <v>27.663909204706563</v>
      </c>
      <c r="O68" s="1644">
        <f>(1000000000*Constants.GCV.Diesel)*2.21679816405461</f>
        <v>28.046644936214143</v>
      </c>
      <c r="P68" s="1158"/>
      <c r="R68"/>
      <c r="S68"/>
      <c r="T68"/>
      <c r="U68"/>
      <c r="V68"/>
      <c r="W68"/>
      <c r="X68"/>
      <c r="Y68"/>
      <c r="Z68"/>
      <c r="AA68"/>
      <c r="AB68"/>
      <c r="AC68"/>
      <c r="AD68"/>
      <c r="AE68"/>
      <c r="AF68"/>
      <c r="AG68"/>
      <c r="AH68"/>
      <c r="AI68"/>
    </row>
    <row r="69" spans="1:35" ht="15.75" hidden="1" outlineLevel="1">
      <c r="B69" s="1159"/>
      <c r="C69" s="769">
        <v>4</v>
      </c>
      <c r="D69" s="770" t="s">
        <v>623</v>
      </c>
      <c r="E69" s="770"/>
      <c r="F69" s="1645">
        <f>F$66</f>
        <v>18.817339999999998</v>
      </c>
      <c r="G69" s="1646">
        <f>(1000000000*Constants.GCV.Diesel)*2.14552746036813</f>
        <v>27.144937170003814</v>
      </c>
      <c r="H69" s="1645">
        <f>(1000000000*Constants.GCV.Diesel)*2.15960588374617</f>
        <v>27.32305556984198</v>
      </c>
      <c r="I69" s="1645">
        <f>(1000000000*Constants.GCV.Diesel)*2.20193566664661</f>
        <v>27.858606532706467</v>
      </c>
      <c r="J69" s="1645">
        <f>(1000000000*Constants.GCV.Diesel)*2.25916319951288</f>
        <v>28.582641909901167</v>
      </c>
      <c r="K69" s="1645">
        <f>(1000000000*Constants.GCV.Diesel)*2.34237301295663</f>
        <v>29.635401755478146</v>
      </c>
      <c r="L69" s="1645">
        <f>(1000000000*Constants.GCV.Diesel)*2.42645429481524</f>
        <v>30.699187307229483</v>
      </c>
      <c r="M69" s="1645">
        <f>(1000000000*Constants.GCV.Diesel)*2.51148261947115</f>
        <v>31.774954722510824</v>
      </c>
      <c r="N69" s="1645">
        <f>(1000000000*Constants.GCV.Diesel)*2.59753768611041</f>
        <v>32.863712345161993</v>
      </c>
      <c r="O69" s="1645">
        <f>(1000000000*Constants.GCV.Diesel)*2.68470365888967</f>
        <v>33.966525009255932</v>
      </c>
      <c r="P69" s="1158"/>
      <c r="R69"/>
      <c r="S69"/>
      <c r="T69"/>
      <c r="U69"/>
      <c r="V69"/>
      <c r="W69"/>
      <c r="X69"/>
      <c r="Y69"/>
      <c r="Z69"/>
      <c r="AA69"/>
      <c r="AB69"/>
      <c r="AC69"/>
      <c r="AD69"/>
      <c r="AE69"/>
      <c r="AF69"/>
      <c r="AG69"/>
      <c r="AH69"/>
      <c r="AI69"/>
    </row>
    <row r="70" spans="1:35" hidden="1" outlineLevel="1">
      <c r="B70" s="1163"/>
      <c r="C70" s="831"/>
      <c r="D70" s="832"/>
      <c r="E70" s="832"/>
      <c r="F70" s="933"/>
      <c r="G70" s="934"/>
      <c r="H70" s="934"/>
      <c r="I70" s="934"/>
      <c r="J70" s="934"/>
      <c r="K70" s="934"/>
      <c r="L70" s="934"/>
      <c r="M70" s="934"/>
      <c r="N70" s="934"/>
      <c r="O70" s="934"/>
      <c r="P70" s="1158"/>
      <c r="R70"/>
      <c r="S70"/>
      <c r="T70"/>
      <c r="U70"/>
      <c r="V70"/>
      <c r="W70"/>
      <c r="X70"/>
      <c r="Y70"/>
      <c r="Z70"/>
      <c r="AA70"/>
      <c r="AB70"/>
      <c r="AC70"/>
      <c r="AD70"/>
      <c r="AE70"/>
      <c r="AF70"/>
      <c r="AG70"/>
      <c r="AH70"/>
      <c r="AI70"/>
    </row>
    <row r="71" spans="1:35" hidden="1" outlineLevel="1">
      <c r="B71" s="1163"/>
      <c r="C71" s="1227" t="s">
        <v>717</v>
      </c>
      <c r="D71" s="868"/>
      <c r="E71" s="864"/>
      <c r="F71" s="864"/>
      <c r="G71" s="864"/>
      <c r="H71" s="864"/>
      <c r="I71" s="864"/>
      <c r="J71" s="864"/>
      <c r="K71" s="864"/>
      <c r="L71" s="864"/>
      <c r="M71" s="864"/>
      <c r="N71" s="864"/>
      <c r="O71" s="864"/>
      <c r="P71" s="1158"/>
      <c r="R71"/>
      <c r="S71"/>
      <c r="T71"/>
      <c r="U71"/>
      <c r="V71"/>
      <c r="W71"/>
      <c r="X71"/>
      <c r="Y71"/>
      <c r="Z71"/>
      <c r="AA71"/>
      <c r="AB71"/>
      <c r="AC71"/>
      <c r="AD71"/>
      <c r="AE71"/>
      <c r="AF71"/>
      <c r="AG71"/>
      <c r="AH71"/>
      <c r="AI71"/>
    </row>
    <row r="72" spans="1:35" hidden="1" outlineLevel="1">
      <c r="B72" s="1163"/>
      <c r="C72" s="1226" t="s">
        <v>109</v>
      </c>
      <c r="D72" s="868" t="s">
        <v>1385</v>
      </c>
      <c r="E72" s="864"/>
      <c r="F72" s="864"/>
      <c r="G72" s="864"/>
      <c r="H72" s="864"/>
      <c r="I72" s="864"/>
      <c r="J72" s="864"/>
      <c r="K72" s="864"/>
      <c r="L72" s="864"/>
      <c r="M72" s="864"/>
      <c r="N72" s="864"/>
      <c r="O72" s="864"/>
      <c r="P72" s="1158"/>
      <c r="S72"/>
      <c r="T72"/>
      <c r="U72"/>
      <c r="V72"/>
      <c r="W72"/>
      <c r="X72"/>
      <c r="Y72"/>
      <c r="Z72"/>
      <c r="AA72"/>
    </row>
    <row r="73" spans="1:35" hidden="1" outlineLevel="1">
      <c r="B73" s="1163"/>
      <c r="C73" s="1226" t="s">
        <v>117</v>
      </c>
      <c r="D73" s="864" t="s">
        <v>1922</v>
      </c>
      <c r="E73" s="864"/>
      <c r="F73" s="864"/>
      <c r="G73" s="864"/>
      <c r="H73" s="864"/>
      <c r="I73" s="864"/>
      <c r="J73" s="864"/>
      <c r="K73" s="864"/>
      <c r="L73" s="864"/>
      <c r="M73" s="864"/>
      <c r="N73" s="864"/>
      <c r="O73" s="864"/>
      <c r="P73" s="1158"/>
      <c r="S73"/>
      <c r="T73"/>
      <c r="U73"/>
      <c r="V73"/>
      <c r="W73"/>
      <c r="X73"/>
      <c r="Y73"/>
      <c r="Z73"/>
      <c r="AA73"/>
    </row>
    <row r="74" spans="1:35" ht="15.75" hidden="1" outlineLevel="1">
      <c r="B74" s="1193"/>
      <c r="C74" s="1194"/>
      <c r="D74" s="1195"/>
      <c r="E74" s="1195"/>
      <c r="F74" s="1196"/>
      <c r="G74" s="1197"/>
      <c r="H74" s="1197"/>
      <c r="I74" s="1197"/>
      <c r="J74" s="1197"/>
      <c r="K74" s="1197"/>
      <c r="L74" s="1197"/>
      <c r="M74" s="1197"/>
      <c r="N74" s="1197"/>
      <c r="O74" s="1197"/>
      <c r="P74" s="1166"/>
      <c r="S74"/>
      <c r="T74"/>
      <c r="U74"/>
      <c r="V74"/>
      <c r="W74"/>
      <c r="X74"/>
      <c r="Y74"/>
      <c r="Z74"/>
      <c r="AA74"/>
    </row>
    <row r="76" spans="1:35" s="743" customFormat="1" ht="22.5" collapsed="1">
      <c r="A76" s="1170"/>
      <c r="B76" s="1236" t="s">
        <v>786</v>
      </c>
      <c r="C76" s="1167"/>
      <c r="D76" s="1167"/>
      <c r="E76" s="1167"/>
      <c r="F76" s="1167"/>
      <c r="G76" s="1167"/>
      <c r="H76" s="1167"/>
      <c r="I76" s="1167"/>
      <c r="J76" s="1167"/>
      <c r="K76" s="1167"/>
      <c r="L76" s="1167"/>
      <c r="M76" s="1167"/>
      <c r="N76" s="1167"/>
      <c r="O76" s="1167"/>
      <c r="P76" s="1168"/>
    </row>
    <row r="77" spans="1:35" hidden="1" outlineLevel="1">
      <c r="B77" s="1157"/>
      <c r="C77" s="864"/>
      <c r="D77" s="864"/>
      <c r="E77" s="864"/>
      <c r="F77" s="864"/>
      <c r="G77" s="864"/>
      <c r="H77" s="864"/>
      <c r="I77" s="864"/>
      <c r="J77" s="864"/>
      <c r="K77" s="864"/>
      <c r="L77" s="864"/>
      <c r="M77" s="864"/>
      <c r="N77" s="864"/>
      <c r="O77" s="864"/>
      <c r="P77" s="1158"/>
    </row>
    <row r="78" spans="1:35" hidden="1" outlineLevel="1">
      <c r="B78" s="1157"/>
      <c r="C78" s="866" t="s">
        <v>1392</v>
      </c>
      <c r="D78" s="864"/>
      <c r="E78" s="867"/>
      <c r="F78" s="867" t="s">
        <v>2583</v>
      </c>
      <c r="G78" s="2604">
        <f>45.5/42.8</f>
        <v>1.0630841121495327</v>
      </c>
      <c r="H78" s="864"/>
      <c r="I78" s="864"/>
      <c r="J78" s="864"/>
      <c r="K78" s="864"/>
      <c r="L78" s="864"/>
      <c r="M78" s="864"/>
      <c r="N78" s="864"/>
      <c r="O78" s="867" t="str">
        <f>Preferences.EnergyUnits &amp; " / bn vehicle-km"</f>
        <v>TWh / bn vehicle-km</v>
      </c>
      <c r="P78" s="1158"/>
    </row>
    <row r="79" spans="1:35" ht="5.25" hidden="1" customHeight="1" outlineLevel="1">
      <c r="B79" s="1157"/>
      <c r="C79" s="864"/>
      <c r="D79" s="864"/>
      <c r="E79" s="864"/>
      <c r="F79" s="864"/>
      <c r="G79" s="864"/>
      <c r="H79" s="864"/>
      <c r="I79" s="864"/>
      <c r="J79" s="864"/>
      <c r="K79" s="864"/>
      <c r="L79" s="864"/>
      <c r="M79" s="864"/>
      <c r="N79" s="864"/>
      <c r="O79" s="864"/>
      <c r="P79" s="1158"/>
    </row>
    <row r="80" spans="1:35" ht="15.75" hidden="1" outlineLevel="1">
      <c r="B80" s="1159"/>
      <c r="C80" s="766" t="s">
        <v>78</v>
      </c>
      <c r="D80" s="766" t="s">
        <v>80</v>
      </c>
      <c r="E80" s="766" t="s">
        <v>442</v>
      </c>
      <c r="F80" s="923">
        <v>2007</v>
      </c>
      <c r="G80" s="924">
        <v>2010</v>
      </c>
      <c r="H80" s="923">
        <v>2015</v>
      </c>
      <c r="I80" s="923">
        <v>2020</v>
      </c>
      <c r="J80" s="923">
        <v>2025</v>
      </c>
      <c r="K80" s="923">
        <v>2030</v>
      </c>
      <c r="L80" s="923">
        <v>2035</v>
      </c>
      <c r="M80" s="923">
        <v>2040</v>
      </c>
      <c r="N80" s="923">
        <v>2045</v>
      </c>
      <c r="O80" s="923">
        <v>2050</v>
      </c>
      <c r="P80" s="1158"/>
    </row>
    <row r="81" spans="1:29" ht="15.75" hidden="1" outlineLevel="1">
      <c r="B81" s="1159"/>
      <c r="C81" s="1516" t="s">
        <v>49</v>
      </c>
      <c r="D81" s="833" t="str">
        <f>INDEX(Vectors[Description], MATCH($C81, Vectors[Code], 0))</f>
        <v>Liquid hydrocarbons</v>
      </c>
      <c r="E81" s="1649" t="s">
        <v>109</v>
      </c>
      <c r="F81" s="2406">
        <f>(8.3*1000000*1000)*Constants.Density.Diesel*Constants.GCV.Diesel/F$33</f>
        <v>2.9814580789475755</v>
      </c>
      <c r="G81" s="2413">
        <f>11.663*$G$78*Unit.MJ*1000000000</f>
        <v>3.4440972222222221</v>
      </c>
      <c r="H81" s="2163">
        <f>(I81-G81)/(I$80-G$80)*(H$80-G$80)+G81</f>
        <v>2.9955347871235722</v>
      </c>
      <c r="I81" s="2387">
        <f>8.625*$G$78*Unit.MJ*1000000000</f>
        <v>2.5469723520249223</v>
      </c>
      <c r="J81" s="2163">
        <f>(K81-I81)/(K$80-I$80)*(J$80-I$80)+I81</f>
        <v>2.0985575674974042</v>
      </c>
      <c r="K81" s="2387">
        <f>5.588*$G$78*Unit.MJ*1000000000</f>
        <v>1.6501427829698858</v>
      </c>
      <c r="L81" s="2163">
        <f>(M81-K81)/(M$80-K$80)*(L$80-K$80)+K81</f>
        <v>1.5930020119418482</v>
      </c>
      <c r="M81" s="2387">
        <f>5.201*$G$78*Unit.MJ*1000000000</f>
        <v>1.5358612409138108</v>
      </c>
      <c r="N81" s="2163">
        <f>(O81-M81)/(O$80-M$80)*(N$80-M$80)+M81</f>
        <v>1.4788681204569056</v>
      </c>
      <c r="O81" s="2387">
        <f>4.815*$G$78*Unit.MJ*1000000000</f>
        <v>1.4218750000000002</v>
      </c>
      <c r="P81" s="1158"/>
      <c r="Q81" s="1638"/>
      <c r="S81"/>
      <c r="T81"/>
      <c r="U81"/>
      <c r="V81"/>
      <c r="W81"/>
      <c r="X81"/>
      <c r="Y81"/>
      <c r="Z81"/>
      <c r="AA81"/>
      <c r="AB81"/>
      <c r="AC81"/>
    </row>
    <row r="82" spans="1:29" ht="15.75" hidden="1" outlineLevel="1">
      <c r="B82" s="1159"/>
      <c r="C82" s="899" t="s">
        <v>45</v>
      </c>
      <c r="D82" s="900" t="str">
        <f>INDEX(Vectors[Description], MATCH($C82, Vectors[Code], 0))</f>
        <v>Electricity (delivered to end user)</v>
      </c>
      <c r="E82" s="1461"/>
      <c r="F82" s="2219"/>
      <c r="G82" s="2411">
        <f>G81*(2552/10724)</f>
        <v>0.81959493762692193</v>
      </c>
      <c r="H82" s="2412">
        <f t="shared" ref="H82:O82" si="2">H81*(2552/10724)</f>
        <v>0.71285012837927608</v>
      </c>
      <c r="I82" s="2412">
        <f t="shared" si="2"/>
        <v>0.60610531913163013</v>
      </c>
      <c r="J82" s="2412">
        <f t="shared" si="2"/>
        <v>0.49939564642422374</v>
      </c>
      <c r="K82" s="2412">
        <f t="shared" si="2"/>
        <v>0.39268597371681729</v>
      </c>
      <c r="L82" s="2412">
        <f t="shared" si="2"/>
        <v>0.379088132644125</v>
      </c>
      <c r="M82" s="2412">
        <f t="shared" si="2"/>
        <v>0.36549029157143276</v>
      </c>
      <c r="N82" s="2412">
        <f t="shared" si="2"/>
        <v>0.35192758703898014</v>
      </c>
      <c r="O82" s="2412">
        <f t="shared" si="2"/>
        <v>0.33836488250652746</v>
      </c>
      <c r="P82" s="1158"/>
      <c r="Q82" s="1638"/>
      <c r="S82"/>
      <c r="T82"/>
      <c r="U82"/>
      <c r="V82"/>
      <c r="W82"/>
      <c r="X82"/>
      <c r="Y82"/>
      <c r="Z82"/>
      <c r="AA82"/>
      <c r="AB82"/>
      <c r="AC82"/>
    </row>
    <row r="83" spans="1:29" hidden="1" outlineLevel="1">
      <c r="B83" s="1157"/>
      <c r="C83" s="864"/>
      <c r="D83" s="864"/>
      <c r="E83" s="864"/>
      <c r="F83" s="864"/>
      <c r="G83" s="864"/>
      <c r="H83" s="864"/>
      <c r="I83" s="864"/>
      <c r="J83" s="864"/>
      <c r="K83" s="864"/>
      <c r="L83" s="864"/>
      <c r="M83" s="864"/>
      <c r="N83" s="864"/>
      <c r="O83" s="864"/>
      <c r="P83" s="1158"/>
      <c r="S83"/>
      <c r="T83"/>
      <c r="U83"/>
      <c r="V83"/>
      <c r="W83"/>
      <c r="X83"/>
      <c r="Y83"/>
      <c r="Z83"/>
      <c r="AA83"/>
      <c r="AB83"/>
      <c r="AC83"/>
    </row>
    <row r="84" spans="1:29" hidden="1" outlineLevel="1">
      <c r="B84" s="1157"/>
      <c r="C84" s="864" t="s">
        <v>717</v>
      </c>
      <c r="D84" s="864"/>
      <c r="E84" s="864"/>
      <c r="F84" s="864"/>
      <c r="G84" s="864"/>
      <c r="H84" s="864"/>
      <c r="I84" s="864"/>
      <c r="J84" s="864"/>
      <c r="K84" s="864"/>
      <c r="L84" s="864"/>
      <c r="M84" s="864"/>
      <c r="N84" s="864"/>
      <c r="O84" s="864"/>
      <c r="P84" s="1158"/>
      <c r="S84"/>
      <c r="T84"/>
      <c r="U84"/>
      <c r="V84"/>
      <c r="W84"/>
      <c r="X84"/>
      <c r="Y84"/>
      <c r="Z84"/>
      <c r="AA84"/>
      <c r="AB84"/>
      <c r="AC84"/>
    </row>
    <row r="85" spans="1:29" hidden="1" outlineLevel="1">
      <c r="B85" s="1157"/>
      <c r="C85" s="867" t="s">
        <v>2582</v>
      </c>
      <c r="D85" s="864" t="s">
        <v>2584</v>
      </c>
      <c r="E85" s="864"/>
      <c r="F85" s="864"/>
      <c r="G85" s="864"/>
      <c r="H85" s="864"/>
      <c r="I85" s="864"/>
      <c r="J85" s="864"/>
      <c r="K85" s="864"/>
      <c r="L85" s="864"/>
      <c r="M85" s="864"/>
      <c r="N85" s="864"/>
      <c r="O85" s="864"/>
      <c r="P85" s="1158"/>
    </row>
    <row r="86" spans="1:29" hidden="1" outlineLevel="1">
      <c r="B86" s="1157"/>
      <c r="C86" s="867" t="s">
        <v>109</v>
      </c>
      <c r="D86" s="864" t="s">
        <v>1394</v>
      </c>
      <c r="E86" s="864"/>
      <c r="F86" s="864"/>
      <c r="G86" s="864"/>
      <c r="H86" s="864"/>
      <c r="I86" s="864"/>
      <c r="J86" s="864"/>
      <c r="K86" s="864"/>
      <c r="L86" s="864"/>
      <c r="M86" s="864"/>
      <c r="N86" s="864"/>
      <c r="O86" s="864"/>
      <c r="P86" s="1158"/>
      <c r="S86"/>
      <c r="T86"/>
      <c r="U86"/>
      <c r="V86"/>
      <c r="W86"/>
      <c r="X86"/>
      <c r="Y86"/>
      <c r="Z86"/>
      <c r="AA86"/>
      <c r="AB86"/>
      <c r="AC86"/>
    </row>
    <row r="87" spans="1:29" hidden="1" outlineLevel="1">
      <c r="B87" s="1157"/>
      <c r="C87" s="867"/>
      <c r="D87" s="864" t="s">
        <v>1395</v>
      </c>
      <c r="E87" s="864"/>
      <c r="F87" s="864"/>
      <c r="G87" s="864"/>
      <c r="H87" s="864"/>
      <c r="I87" s="864"/>
      <c r="J87" s="864"/>
      <c r="K87" s="864"/>
      <c r="L87" s="864"/>
      <c r="M87" s="864"/>
      <c r="N87" s="864"/>
      <c r="O87" s="864"/>
      <c r="P87" s="1158"/>
    </row>
    <row r="88" spans="1:29" s="715" customFormat="1" hidden="1" outlineLevel="1">
      <c r="B88" s="1260"/>
      <c r="C88" s="1261"/>
      <c r="D88" s="1224"/>
      <c r="E88" s="1262"/>
      <c r="F88" s="1262"/>
      <c r="G88" s="1262"/>
      <c r="H88" s="1262"/>
      <c r="I88" s="1262"/>
      <c r="J88" s="1262"/>
      <c r="K88" s="1262"/>
      <c r="L88" s="1262"/>
      <c r="M88" s="1262"/>
      <c r="N88" s="1262"/>
      <c r="O88" s="1262"/>
      <c r="P88" s="1263"/>
    </row>
    <row r="89" spans="1:29">
      <c r="T89" s="715"/>
      <c r="U89" s="715"/>
      <c r="V89" s="715"/>
      <c r="W89" s="715"/>
    </row>
    <row r="90" spans="1:29" ht="22.5" collapsed="1">
      <c r="A90" s="1171"/>
      <c r="B90" s="1236" t="s">
        <v>817</v>
      </c>
      <c r="C90" s="1264"/>
      <c r="D90" s="1264"/>
      <c r="E90" s="1264"/>
      <c r="F90" s="1264"/>
      <c r="G90" s="1264"/>
      <c r="H90" s="1264"/>
      <c r="I90" s="1264"/>
      <c r="J90" s="1264"/>
      <c r="K90" s="1264"/>
      <c r="L90" s="1264"/>
      <c r="M90" s="1264"/>
      <c r="N90" s="1264"/>
      <c r="O90" s="1264"/>
      <c r="P90" s="1265"/>
      <c r="T90" s="715"/>
      <c r="U90" s="715"/>
      <c r="V90" s="715"/>
    </row>
    <row r="91" spans="1:29" hidden="1" outlineLevel="1">
      <c r="B91" s="1157"/>
      <c r="C91" s="864"/>
      <c r="D91" s="864"/>
      <c r="E91" s="864"/>
      <c r="F91" s="864"/>
      <c r="G91" s="864"/>
      <c r="H91" s="864"/>
      <c r="I91" s="864"/>
      <c r="J91" s="864"/>
      <c r="K91" s="864"/>
      <c r="L91" s="864"/>
      <c r="M91" s="864"/>
      <c r="N91" s="864"/>
      <c r="O91" s="864"/>
      <c r="P91" s="1158"/>
    </row>
    <row r="92" spans="1:29" hidden="1" outlineLevel="1">
      <c r="B92" s="1164"/>
      <c r="C92" s="1165"/>
      <c r="D92" s="1165"/>
      <c r="E92" s="1165"/>
      <c r="F92" s="1165"/>
      <c r="G92" s="1165"/>
      <c r="H92" s="1165"/>
      <c r="I92" s="1165"/>
      <c r="J92" s="1165"/>
      <c r="K92" s="1165"/>
      <c r="L92" s="1165"/>
      <c r="M92" s="1165"/>
      <c r="N92" s="1165"/>
      <c r="O92" s="1165"/>
      <c r="P92" s="1166"/>
    </row>
    <row r="93" spans="1:29">
      <c r="V93" s="715"/>
    </row>
    <row r="94" spans="1:29" ht="18" collapsed="1">
      <c r="A94" s="767"/>
      <c r="B94" s="809" t="s">
        <v>732</v>
      </c>
    </row>
    <row r="95" spans="1:29" s="24" customFormat="1" hidden="1" outlineLevel="1">
      <c r="B95" s="731">
        <v>1</v>
      </c>
      <c r="C95" s="121" t="s">
        <v>1388</v>
      </c>
    </row>
    <row r="96" spans="1:29" s="24" customFormat="1" hidden="1" outlineLevel="1">
      <c r="B96" s="731">
        <v>2</v>
      </c>
      <c r="C96" s="121" t="s">
        <v>1389</v>
      </c>
    </row>
    <row r="97" spans="2:23" s="24" customFormat="1" hidden="1" outlineLevel="1">
      <c r="B97" s="731">
        <v>3</v>
      </c>
      <c r="C97" s="121" t="s">
        <v>1390</v>
      </c>
    </row>
    <row r="98" spans="2:23" s="24" customFormat="1" hidden="1" outlineLevel="1">
      <c r="B98" s="731">
        <v>4</v>
      </c>
      <c r="C98" s="121" t="s">
        <v>1393</v>
      </c>
    </row>
    <row r="99" spans="2:23" s="24" customFormat="1" hidden="1" outlineLevel="1">
      <c r="B99" s="731">
        <v>5</v>
      </c>
      <c r="C99" s="121" t="s">
        <v>1168</v>
      </c>
    </row>
    <row r="100" spans="2:23" hidden="1" outlineLevel="1"/>
    <row r="101" spans="2:23" hidden="1" outlineLevel="1">
      <c r="B101" s="731">
        <v>1</v>
      </c>
      <c r="C101" s="731" t="s">
        <v>1554</v>
      </c>
      <c r="F101" s="861">
        <v>2007</v>
      </c>
      <c r="G101" s="861">
        <v>2010</v>
      </c>
      <c r="H101" s="861">
        <v>2015</v>
      </c>
      <c r="I101" s="861">
        <v>2020</v>
      </c>
      <c r="J101" s="861">
        <v>2025</v>
      </c>
      <c r="K101" s="861">
        <v>2030</v>
      </c>
      <c r="L101" s="861">
        <v>2035</v>
      </c>
      <c r="M101" s="861">
        <v>2040</v>
      </c>
      <c r="N101" s="861">
        <v>2045</v>
      </c>
      <c r="O101" s="861">
        <v>2050</v>
      </c>
    </row>
    <row r="102" spans="2:23" hidden="1" outlineLevel="2">
      <c r="C102" s="121" t="s">
        <v>1391</v>
      </c>
      <c r="E102" s="20" t="s">
        <v>917</v>
      </c>
      <c r="F102" s="941">
        <f>INDEX(F$16:F$19, MATCH($E$8, $C$16:$C$19, 0))</f>
        <v>218700000</v>
      </c>
      <c r="G102" s="941">
        <f t="shared" ref="G102:O102" si="3">INDEX(G$16:G$19, MATCH($E$8, $C$16:$C$19, 0))</f>
        <v>221649964.17390409</v>
      </c>
      <c r="H102" s="941">
        <f t="shared" si="3"/>
        <v>234323971.81582978</v>
      </c>
      <c r="I102" s="941">
        <f t="shared" si="3"/>
        <v>246997979.45775554</v>
      </c>
      <c r="J102" s="941">
        <f t="shared" si="3"/>
        <v>259671987.09968132</v>
      </c>
      <c r="K102" s="941">
        <f t="shared" si="3"/>
        <v>272345994.74160701</v>
      </c>
      <c r="L102" s="941">
        <f t="shared" si="3"/>
        <v>285020002.38353276</v>
      </c>
      <c r="M102" s="941">
        <f t="shared" si="3"/>
        <v>297694010.02545846</v>
      </c>
      <c r="N102" s="941">
        <f t="shared" si="3"/>
        <v>310368017.66738415</v>
      </c>
      <c r="O102" s="941">
        <f t="shared" si="3"/>
        <v>323042025.3093099</v>
      </c>
    </row>
    <row r="103" spans="2:23" s="246" customFormat="1" hidden="1" outlineLevel="2">
      <c r="B103" s="246" t="s">
        <v>838</v>
      </c>
      <c r="C103" s="246" t="s">
        <v>1036</v>
      </c>
      <c r="E103" s="1555" t="str">
        <f>Preferences.EnergyUnits &amp;" / litre"</f>
        <v>TWh / litre</v>
      </c>
      <c r="F103" s="2415">
        <f>Constants.GCV.Diesel * Constants.Density.Diesel</f>
        <v>1.0560827412175749E-8</v>
      </c>
      <c r="G103" s="1746"/>
      <c r="H103" s="1746"/>
      <c r="I103" s="1746"/>
      <c r="J103" s="1746"/>
      <c r="K103" s="1746"/>
      <c r="L103" s="1746"/>
      <c r="M103" s="1746"/>
      <c r="N103" s="1746"/>
      <c r="O103" s="1746"/>
    </row>
    <row r="104" spans="2:23" hidden="1" outlineLevel="2">
      <c r="B104" s="806" t="s">
        <v>840</v>
      </c>
      <c r="C104" s="731" t="s">
        <v>915</v>
      </c>
      <c r="D104" s="731"/>
      <c r="E104" s="862" t="str">
        <f>Preferences.EnergyUnits</f>
        <v>TWh</v>
      </c>
      <c r="F104" s="944">
        <f>F102*$F$103</f>
        <v>2.3096529550428362</v>
      </c>
      <c r="G104" s="944">
        <f t="shared" ref="G104:O104" si="4">G102*$F$103</f>
        <v>2.3408070175555391</v>
      </c>
      <c r="H104" s="944">
        <f t="shared" si="4"/>
        <v>2.4746550248825128</v>
      </c>
      <c r="I104" s="944">
        <f t="shared" si="4"/>
        <v>2.6085030322094869</v>
      </c>
      <c r="J104" s="944">
        <f t="shared" si="4"/>
        <v>2.7423510395364619</v>
      </c>
      <c r="K104" s="944">
        <f t="shared" si="4"/>
        <v>2.8761990468634355</v>
      </c>
      <c r="L104" s="944">
        <f t="shared" si="4"/>
        <v>3.0100470541904101</v>
      </c>
      <c r="M104" s="944">
        <f t="shared" si="4"/>
        <v>3.1438950615173837</v>
      </c>
      <c r="N104" s="944">
        <f t="shared" si="4"/>
        <v>3.2777430688443574</v>
      </c>
      <c r="O104" s="944">
        <f t="shared" si="4"/>
        <v>3.4115910761713319</v>
      </c>
    </row>
    <row r="105" spans="2:23" hidden="1" outlineLevel="2">
      <c r="E105" s="20"/>
      <c r="F105" s="945"/>
      <c r="G105" s="945"/>
      <c r="H105" s="945"/>
      <c r="I105" s="945"/>
      <c r="J105" s="945"/>
      <c r="K105" s="945"/>
      <c r="L105" s="945"/>
      <c r="M105" s="945"/>
      <c r="N105" s="945"/>
      <c r="O105" s="945"/>
    </row>
    <row r="106" spans="2:23" s="743" customFormat="1" hidden="1" outlineLevel="1">
      <c r="B106" s="731">
        <v>2</v>
      </c>
      <c r="C106" s="731" t="s">
        <v>1555</v>
      </c>
      <c r="E106" s="862" t="str">
        <f>Preferences.EnergyUnits</f>
        <v>TWh</v>
      </c>
      <c r="F106" s="944">
        <f>INDEX(F$24:F$27, MATCH($E$8, $C$24:$C$27, 0))</f>
        <v>0.10120000000000001</v>
      </c>
      <c r="G106" s="944">
        <f t="shared" ref="G106:O106" si="5">INDEX(G$24:G$27, MATCH($E$8, $C$24:$C$27, 0))</f>
        <v>0.10259599185085001</v>
      </c>
      <c r="H106" s="944">
        <f t="shared" si="5"/>
        <v>0.10846245968266201</v>
      </c>
      <c r="I106" s="944">
        <f t="shared" si="5"/>
        <v>0.11432892751447502</v>
      </c>
      <c r="J106" s="944">
        <f t="shared" si="5"/>
        <v>0.12019539534628801</v>
      </c>
      <c r="K106" s="944">
        <f t="shared" si="5"/>
        <v>0.1260618631781</v>
      </c>
      <c r="L106" s="944">
        <f t="shared" si="5"/>
        <v>0.131928331009913</v>
      </c>
      <c r="M106" s="944">
        <f t="shared" si="5"/>
        <v>0.13779479884172499</v>
      </c>
      <c r="N106" s="944">
        <f t="shared" si="5"/>
        <v>0.14366126667353801</v>
      </c>
      <c r="O106" s="944">
        <f t="shared" si="5"/>
        <v>0.14952773450535101</v>
      </c>
      <c r="U106" s="27"/>
      <c r="V106" s="27"/>
      <c r="W106" s="27"/>
    </row>
    <row r="107" spans="2:23" s="743" customFormat="1" hidden="1" outlineLevel="2">
      <c r="B107" s="731"/>
      <c r="C107" s="121"/>
      <c r="E107" s="731"/>
      <c r="F107" s="944"/>
      <c r="G107" s="944"/>
      <c r="H107" s="944"/>
      <c r="I107" s="944"/>
      <c r="J107" s="944"/>
      <c r="K107" s="944"/>
      <c r="L107" s="944"/>
      <c r="M107" s="944"/>
      <c r="N107" s="944"/>
      <c r="O107" s="944"/>
      <c r="U107" s="27"/>
      <c r="V107" s="27"/>
      <c r="W107" s="27"/>
    </row>
    <row r="108" spans="2:23" s="743" customFormat="1" hidden="1" outlineLevel="1">
      <c r="B108" s="731">
        <v>3</v>
      </c>
      <c r="C108" s="731" t="s">
        <v>1923</v>
      </c>
      <c r="E108" s="731"/>
      <c r="F108" s="944"/>
      <c r="G108" s="944"/>
      <c r="H108" s="944"/>
      <c r="I108" s="944"/>
      <c r="J108" s="944"/>
      <c r="K108" s="944"/>
      <c r="L108" s="944"/>
      <c r="M108" s="944"/>
      <c r="N108" s="944"/>
      <c r="O108" s="944"/>
      <c r="U108" s="27"/>
      <c r="V108" s="27"/>
      <c r="W108" s="27"/>
    </row>
    <row r="109" spans="2:23" s="743" customFormat="1" hidden="1" outlineLevel="2">
      <c r="B109" s="731"/>
      <c r="C109" s="121" t="s">
        <v>1387</v>
      </c>
      <c r="D109" s="121"/>
      <c r="E109" s="20" t="s">
        <v>1382</v>
      </c>
      <c r="F109" s="941">
        <f t="shared" ref="F109:O109" si="6">INDEX(F$33:F$36, MATCH($E$8, $C$33:$C$36, 0))</f>
        <v>29.4</v>
      </c>
      <c r="G109" s="941">
        <f t="shared" si="6"/>
        <v>28.469167920000025</v>
      </c>
      <c r="H109" s="941">
        <f t="shared" si="6"/>
        <v>31.046209019084444</v>
      </c>
      <c r="I109" s="941">
        <f t="shared" si="6"/>
        <v>32.411731566795552</v>
      </c>
      <c r="J109" s="941">
        <f t="shared" si="6"/>
        <v>33.777254114506661</v>
      </c>
      <c r="K109" s="941">
        <f t="shared" si="6"/>
        <v>35.14277666221777</v>
      </c>
      <c r="L109" s="941">
        <f t="shared" si="6"/>
        <v>36.508299209928879</v>
      </c>
      <c r="M109" s="941">
        <f t="shared" si="6"/>
        <v>37.873821757639995</v>
      </c>
      <c r="N109" s="941">
        <f t="shared" si="6"/>
        <v>39.239344305351104</v>
      </c>
      <c r="O109" s="941">
        <f t="shared" si="6"/>
        <v>40.604866853062212</v>
      </c>
      <c r="U109" s="27"/>
      <c r="V109" s="27"/>
      <c r="W109" s="27"/>
    </row>
    <row r="110" spans="2:23" s="903" customFormat="1" hidden="1" outlineLevel="2">
      <c r="B110" s="246" t="s">
        <v>838</v>
      </c>
      <c r="C110" s="246" t="s">
        <v>1274</v>
      </c>
      <c r="E110" s="246" t="str">
        <f>Preferences.EnergyUnits &amp; " / bn vehicle-km"</f>
        <v>TWh / bn vehicle-km</v>
      </c>
      <c r="F110" s="2414">
        <f>INDEX(F$49:F$52, MATCH($E$8, $C$49:$C$52, 0))</f>
        <v>2.9814580789475755</v>
      </c>
      <c r="G110" s="2414">
        <f t="shared" ref="G110:O110" si="7">INDEX(G$49:G$52, MATCH($E$8, $C$49:$C$52, 0))</f>
        <v>3.2394444444444446</v>
      </c>
      <c r="H110" s="2414">
        <f t="shared" si="7"/>
        <v>3.2220833333333334</v>
      </c>
      <c r="I110" s="2414">
        <f t="shared" si="7"/>
        <v>3.2047222222222222</v>
      </c>
      <c r="J110" s="2414">
        <f t="shared" si="7"/>
        <v>3.1873611111111111</v>
      </c>
      <c r="K110" s="2414">
        <f t="shared" si="7"/>
        <v>3.17</v>
      </c>
      <c r="L110" s="2414">
        <f t="shared" si="7"/>
        <v>3.17</v>
      </c>
      <c r="M110" s="2414">
        <f t="shared" si="7"/>
        <v>3.17</v>
      </c>
      <c r="N110" s="2414">
        <f t="shared" si="7"/>
        <v>3.17</v>
      </c>
      <c r="O110" s="2414">
        <f t="shared" si="7"/>
        <v>3.17</v>
      </c>
      <c r="U110" s="1108"/>
      <c r="V110" s="1108"/>
      <c r="W110" s="1108"/>
    </row>
    <row r="111" spans="2:23" s="743" customFormat="1" hidden="1" outlineLevel="2">
      <c r="B111" s="806" t="s">
        <v>840</v>
      </c>
      <c r="C111" s="731" t="s">
        <v>915</v>
      </c>
      <c r="E111" s="862" t="str">
        <f>Preferences.EnergyUnits</f>
        <v>TWh</v>
      </c>
      <c r="F111" s="943">
        <f>F109*F110</f>
        <v>87.654867521058719</v>
      </c>
      <c r="G111" s="943">
        <f t="shared" ref="G111:O111" si="8">G109*G110</f>
        <v>92.224287856400082</v>
      </c>
      <c r="H111" s="943">
        <f t="shared" si="8"/>
        <v>100.03347264357501</v>
      </c>
      <c r="I111" s="943">
        <f t="shared" si="8"/>
        <v>103.8705964128112</v>
      </c>
      <c r="J111" s="943">
        <f t="shared" si="8"/>
        <v>107.6603062046963</v>
      </c>
      <c r="K111" s="943">
        <f t="shared" si="8"/>
        <v>111.40260201923033</v>
      </c>
      <c r="L111" s="943">
        <f t="shared" si="8"/>
        <v>115.73130849547454</v>
      </c>
      <c r="M111" s="943">
        <f t="shared" si="8"/>
        <v>120.06001497171879</v>
      </c>
      <c r="N111" s="943">
        <f t="shared" si="8"/>
        <v>124.38872144796299</v>
      </c>
      <c r="O111" s="943">
        <f t="shared" si="8"/>
        <v>128.71742792420721</v>
      </c>
      <c r="U111" s="27"/>
      <c r="V111" s="27"/>
      <c r="W111" s="27"/>
    </row>
    <row r="112" spans="2:23" s="743" customFormat="1" hidden="1" outlineLevel="2">
      <c r="B112" s="731"/>
      <c r="C112" s="121"/>
      <c r="E112" s="731"/>
      <c r="F112" s="943"/>
      <c r="G112" s="943"/>
      <c r="H112" s="943"/>
      <c r="I112" s="943"/>
      <c r="J112" s="943"/>
      <c r="K112" s="943"/>
      <c r="L112" s="943"/>
      <c r="M112" s="943"/>
      <c r="N112" s="943"/>
      <c r="O112" s="943"/>
      <c r="U112" s="27"/>
      <c r="V112" s="27"/>
      <c r="W112" s="27"/>
    </row>
    <row r="113" spans="1:23" s="743" customFormat="1" hidden="1" outlineLevel="2">
      <c r="B113" s="731"/>
      <c r="C113" s="731" t="s">
        <v>1924</v>
      </c>
      <c r="E113" s="731"/>
      <c r="F113" s="943"/>
      <c r="G113" s="943"/>
      <c r="H113" s="943"/>
      <c r="I113" s="943"/>
      <c r="J113" s="943"/>
      <c r="K113" s="943"/>
      <c r="L113" s="943"/>
      <c r="M113" s="943"/>
      <c r="N113" s="943"/>
      <c r="O113" s="943"/>
      <c r="U113" s="27"/>
      <c r="V113" s="27"/>
      <c r="W113" s="27"/>
    </row>
    <row r="114" spans="1:23" s="743" customFormat="1" hidden="1" outlineLevel="2">
      <c r="B114" s="731"/>
      <c r="C114" s="121" t="s">
        <v>1387</v>
      </c>
      <c r="D114" s="121"/>
      <c r="E114" s="20" t="s">
        <v>1382</v>
      </c>
      <c r="F114" s="941">
        <f t="shared" ref="F114:O114" si="9">INDEX(F$41:F$44, MATCH($E$8, $C$41:$C$44, 0))</f>
        <v>0</v>
      </c>
      <c r="G114" s="941">
        <f t="shared" si="9"/>
        <v>0</v>
      </c>
      <c r="H114" s="941">
        <f t="shared" si="9"/>
        <v>0</v>
      </c>
      <c r="I114" s="941">
        <f t="shared" si="9"/>
        <v>0</v>
      </c>
      <c r="J114" s="941">
        <f t="shared" si="9"/>
        <v>0</v>
      </c>
      <c r="K114" s="941">
        <f t="shared" si="9"/>
        <v>0</v>
      </c>
      <c r="L114" s="941">
        <f t="shared" si="9"/>
        <v>0</v>
      </c>
      <c r="M114" s="941">
        <f t="shared" si="9"/>
        <v>0</v>
      </c>
      <c r="N114" s="941">
        <f t="shared" si="9"/>
        <v>0</v>
      </c>
      <c r="O114" s="941">
        <f t="shared" si="9"/>
        <v>0</v>
      </c>
      <c r="U114" s="27"/>
      <c r="V114" s="27"/>
      <c r="W114" s="27"/>
    </row>
    <row r="115" spans="1:23" s="903" customFormat="1" hidden="1" outlineLevel="2">
      <c r="B115" s="246" t="s">
        <v>838</v>
      </c>
      <c r="C115" s="246" t="s">
        <v>1274</v>
      </c>
      <c r="E115" s="246" t="str">
        <f>Preferences.EnergyUnits &amp; " / bn vehicle-km"</f>
        <v>TWh / bn vehicle-km</v>
      </c>
      <c r="F115" s="2414">
        <f>INDEX(F$57:F$60, MATCH($E$8, $C$57:$C$60, 0))</f>
        <v>0</v>
      </c>
      <c r="G115" s="2414">
        <f t="shared" ref="G115:O115" si="10">INDEX(G$57:G$60, MATCH($E$8, $C$57:$C$60, 0))</f>
        <v>0.77089353060632437</v>
      </c>
      <c r="H115" s="2414">
        <f t="shared" si="10"/>
        <v>0.67051608023540143</v>
      </c>
      <c r="I115" s="2414">
        <f t="shared" si="10"/>
        <v>0.5701386298644785</v>
      </c>
      <c r="J115" s="2414">
        <f t="shared" si="10"/>
        <v>0.46976117949355545</v>
      </c>
      <c r="K115" s="2414">
        <f t="shared" si="10"/>
        <v>0.36938372912263251</v>
      </c>
      <c r="L115" s="2414">
        <f t="shared" si="10"/>
        <v>0.35659279290480334</v>
      </c>
      <c r="M115" s="2414">
        <f t="shared" si="10"/>
        <v>0.34380185668697416</v>
      </c>
      <c r="N115" s="2414">
        <f t="shared" si="10"/>
        <v>0.33104397198391972</v>
      </c>
      <c r="O115" s="2414">
        <f t="shared" si="10"/>
        <v>0.31828608728086533</v>
      </c>
      <c r="U115" s="1108"/>
      <c r="V115" s="1108"/>
      <c r="W115" s="1108"/>
    </row>
    <row r="116" spans="1:23" s="743" customFormat="1" hidden="1" outlineLevel="2">
      <c r="B116" s="806" t="s">
        <v>840</v>
      </c>
      <c r="C116" s="731" t="s">
        <v>915</v>
      </c>
      <c r="E116" s="862" t="str">
        <f>Preferences.EnergyUnits</f>
        <v>TWh</v>
      </c>
      <c r="F116" s="943">
        <f>F114*F115</f>
        <v>0</v>
      </c>
      <c r="G116" s="943">
        <f t="shared" ref="G116:O116" si="11">G114*G115</f>
        <v>0</v>
      </c>
      <c r="H116" s="943">
        <f t="shared" si="11"/>
        <v>0</v>
      </c>
      <c r="I116" s="943">
        <f t="shared" si="11"/>
        <v>0</v>
      </c>
      <c r="J116" s="943">
        <f t="shared" si="11"/>
        <v>0</v>
      </c>
      <c r="K116" s="943">
        <f t="shared" si="11"/>
        <v>0</v>
      </c>
      <c r="L116" s="943">
        <f t="shared" si="11"/>
        <v>0</v>
      </c>
      <c r="M116" s="943">
        <f t="shared" si="11"/>
        <v>0</v>
      </c>
      <c r="N116" s="943">
        <f t="shared" si="11"/>
        <v>0</v>
      </c>
      <c r="O116" s="943">
        <f t="shared" si="11"/>
        <v>0</v>
      </c>
      <c r="U116" s="27"/>
      <c r="V116" s="27"/>
      <c r="W116" s="27"/>
    </row>
    <row r="117" spans="1:23" s="743" customFormat="1" hidden="1" outlineLevel="2">
      <c r="B117" s="731"/>
      <c r="C117" s="121"/>
      <c r="E117" s="731"/>
      <c r="F117" s="943"/>
      <c r="G117" s="943"/>
      <c r="H117" s="943"/>
      <c r="I117" s="943"/>
      <c r="J117" s="943"/>
      <c r="K117" s="943"/>
      <c r="L117" s="943"/>
      <c r="M117" s="943"/>
      <c r="N117" s="943"/>
      <c r="O117" s="943"/>
      <c r="U117" s="27"/>
      <c r="V117" s="27"/>
      <c r="W117" s="27"/>
    </row>
    <row r="118" spans="1:23" s="743" customFormat="1" hidden="1" outlineLevel="1">
      <c r="B118" s="731">
        <v>4</v>
      </c>
      <c r="C118" s="731" t="s">
        <v>2040</v>
      </c>
      <c r="E118" s="862" t="str">
        <f>Preferences.EnergyUnits</f>
        <v>TWh</v>
      </c>
      <c r="F118" s="943">
        <f t="shared" ref="F118:O118" si="12">INDEX(F$66:F$69, MATCH($E$8, $C$66:$C$69, 0))</f>
        <v>18.817339999999998</v>
      </c>
      <c r="G118" s="943">
        <f t="shared" si="12"/>
        <v>26.572895707388618</v>
      </c>
      <c r="H118" s="943">
        <f t="shared" si="12"/>
        <v>25.383064556311584</v>
      </c>
      <c r="I118" s="943">
        <f t="shared" si="12"/>
        <v>24.589843788926849</v>
      </c>
      <c r="J118" s="943">
        <f t="shared" si="12"/>
        <v>23.996704956708381</v>
      </c>
      <c r="K118" s="943">
        <f t="shared" si="12"/>
        <v>23.688791719453825</v>
      </c>
      <c r="L118" s="943">
        <f t="shared" si="12"/>
        <v>23.384829464713203</v>
      </c>
      <c r="M118" s="943">
        <f t="shared" si="12"/>
        <v>23.084767495533725</v>
      </c>
      <c r="N118" s="943">
        <f t="shared" si="12"/>
        <v>22.788555765479813</v>
      </c>
      <c r="O118" s="943">
        <f t="shared" si="12"/>
        <v>22.496144870285519</v>
      </c>
      <c r="U118" s="27"/>
      <c r="V118" s="27"/>
      <c r="W118" s="27"/>
    </row>
    <row r="119" spans="1:23" s="743" customFormat="1" hidden="1" outlineLevel="1">
      <c r="B119" s="731"/>
      <c r="C119" s="121"/>
      <c r="E119" s="731"/>
      <c r="F119" s="944"/>
      <c r="G119" s="944"/>
      <c r="H119" s="944"/>
      <c r="I119" s="944"/>
      <c r="J119" s="944"/>
      <c r="K119" s="944"/>
      <c r="L119" s="944"/>
      <c r="M119" s="944"/>
      <c r="N119" s="944"/>
      <c r="O119" s="944"/>
      <c r="U119" s="27"/>
      <c r="V119" s="27"/>
      <c r="W119" s="27"/>
    </row>
    <row r="120" spans="1:23" s="743" customFormat="1" hidden="1" outlineLevel="1">
      <c r="B120" s="834">
        <v>5</v>
      </c>
      <c r="C120" s="731" t="s">
        <v>1556</v>
      </c>
      <c r="F120" s="783"/>
      <c r="G120" s="783"/>
      <c r="H120" s="783"/>
      <c r="I120" s="783"/>
      <c r="J120" s="783"/>
      <c r="K120" s="783"/>
      <c r="L120" s="783"/>
      <c r="M120" s="783"/>
      <c r="N120" s="783"/>
      <c r="O120" s="783"/>
      <c r="U120" s="27"/>
      <c r="V120" s="27"/>
      <c r="W120" s="27"/>
    </row>
    <row r="121" spans="1:23" s="743" customFormat="1" ht="14.25" hidden="1" outlineLevel="2">
      <c r="B121" s="731"/>
      <c r="C121" s="121" t="s">
        <v>1055</v>
      </c>
      <c r="E121" s="743" t="s">
        <v>1076</v>
      </c>
      <c r="F121" s="823">
        <f>(F$104+F$111+F$118)*INDEX(EF[CO2], MATCH("V.04", EF[Vector], 0))</f>
        <v>27.195465119025389</v>
      </c>
      <c r="G121" s="823">
        <f>(G$104+G$111+G$118)*INDEX(EF[CO2], MATCH("V.04", EF[Vector], 0))</f>
        <v>30.28449764533606</v>
      </c>
      <c r="H121" s="823">
        <f>(H$104+H$111+H$118)*INDEX(EF[CO2], MATCH("V.04", EF[Vector], 0))</f>
        <v>31.972798056192275</v>
      </c>
      <c r="I121" s="823">
        <f>(I$104+I$111+I$118)*INDEX(EF[CO2], MATCH("V.04", EF[Vector], 0))</f>
        <v>32.76723580848688</v>
      </c>
      <c r="J121" s="823">
        <f>(J$104+J$111+J$118)*INDEX(EF[CO2], MATCH("V.04", EF[Vector], 0))</f>
        <v>33.599840550235285</v>
      </c>
      <c r="K121" s="823">
        <f>(K$104+K$111+K$118)*INDEX(EF[CO2], MATCH("V.04", EF[Vector], 0))</f>
        <v>34.491898196386899</v>
      </c>
      <c r="L121" s="823">
        <f>(L$104+L$111+L$118)*INDEX(EF[CO2], MATCH("V.04", EF[Vector], 0))</f>
        <v>35.531546253594534</v>
      </c>
      <c r="M121" s="823">
        <f>(M$104+M$111+M$118)*INDEX(EF[CO2], MATCH("V.04", EF[Vector], 0))</f>
        <v>36.57216938219247</v>
      </c>
      <c r="N121" s="823">
        <f>(N$104+N$111+N$118)*INDEX(EF[CO2], MATCH("V.04", EF[Vector], 0))</f>
        <v>37.613755070571791</v>
      </c>
      <c r="O121" s="823">
        <f>(O$104+O$111+O$118)*INDEX(EF[CO2], MATCH("V.04", EF[Vector], 0))</f>
        <v>38.656290967666017</v>
      </c>
      <c r="U121" s="27"/>
      <c r="V121" s="27"/>
      <c r="W121" s="27"/>
    </row>
    <row r="122" spans="1:23" s="743" customFormat="1" ht="14.25" hidden="1" outlineLevel="2">
      <c r="B122" s="731"/>
      <c r="C122" s="121" t="s">
        <v>1056</v>
      </c>
      <c r="E122" s="743" t="s">
        <v>1076</v>
      </c>
      <c r="F122" s="823">
        <f>(F$104+F$111+F$118)*INDEX(EF[CH4], MATCH("V.04", EF[Vector], 0))</f>
        <v>3.3858246712257449E-2</v>
      </c>
      <c r="G122" s="823">
        <f>(G$104+G$111+G$118)*INDEX(EF[CH4], MATCH("V.04", EF[Vector], 0))</f>
        <v>3.7704080012782477E-2</v>
      </c>
      <c r="H122" s="823">
        <f>(H$104+H$111+H$118)*INDEX(EF[CH4], MATCH("V.04", EF[Vector], 0))</f>
        <v>3.9806007359308546E-2</v>
      </c>
      <c r="I122" s="823">
        <f>(I$104+I$111+I$118)*INDEX(EF[CH4], MATCH("V.04", EF[Vector], 0))</f>
        <v>4.0795079224672764E-2</v>
      </c>
      <c r="J122" s="823">
        <f>(J$104+J$111+J$118)*INDEX(EF[CH4], MATCH("V.04", EF[Vector], 0))</f>
        <v>4.183166884123319E-2</v>
      </c>
      <c r="K122" s="823">
        <f>(K$104+K$111+K$118)*INDEX(EF[CH4], MATCH("V.04", EF[Vector], 0))</f>
        <v>4.2942277089070335E-2</v>
      </c>
      <c r="L122" s="823">
        <f>(L$104+L$111+L$118)*INDEX(EF[CH4], MATCH("V.04", EF[Vector], 0))</f>
        <v>4.4236634816022011E-2</v>
      </c>
      <c r="M122" s="823">
        <f>(M$104+M$111+M$118)*INDEX(EF[CH4], MATCH("V.04", EF[Vector], 0))</f>
        <v>4.5532206503005268E-2</v>
      </c>
      <c r="N122" s="823">
        <f>(N$104+N$111+N$118)*INDEX(EF[CH4], MATCH("V.04", EF[Vector], 0))</f>
        <v>4.6828976573116403E-2</v>
      </c>
      <c r="O122" s="823">
        <f>(O$104+O$111+O$118)*INDEX(EF[CH4], MATCH("V.04", EF[Vector], 0))</f>
        <v>4.8126929649326411E-2</v>
      </c>
      <c r="U122" s="27"/>
      <c r="V122" s="27"/>
      <c r="W122" s="27"/>
    </row>
    <row r="123" spans="1:23" s="743" customFormat="1" ht="14.25" hidden="1" outlineLevel="2">
      <c r="B123" s="731"/>
      <c r="C123" s="121" t="s">
        <v>1057</v>
      </c>
      <c r="E123" s="743" t="s">
        <v>1076</v>
      </c>
      <c r="F123" s="823">
        <f>(F$104+F$111+F$118)*INDEX(EF[N2O], MATCH("V.04", EF[Vector], 0))</f>
        <v>0.48930214346407658</v>
      </c>
      <c r="G123" s="823">
        <f>(G$104+G$111+G$118)*INDEX(EF[N2O], MATCH("V.04", EF[Vector], 0))</f>
        <v>0.54488016832001729</v>
      </c>
      <c r="H123" s="823">
        <f>(H$104+H$111+H$118)*INDEX(EF[N2O], MATCH("V.04", EF[Vector], 0))</f>
        <v>0.57525615219187665</v>
      </c>
      <c r="I123" s="823">
        <f>(I$104+I$111+I$118)*INDEX(EF[N2O], MATCH("V.04", EF[Vector], 0))</f>
        <v>0.5895497152306125</v>
      </c>
      <c r="J123" s="823">
        <f>(J$104+J$111+J$118)*INDEX(EF[N2O], MATCH("V.04", EF[Vector], 0))</f>
        <v>0.60452998061724283</v>
      </c>
      <c r="K123" s="823">
        <f>(K$104+K$111+K$118)*INDEX(EF[N2O], MATCH("V.04", EF[Vector], 0))</f>
        <v>0.62057992557847641</v>
      </c>
      <c r="L123" s="823">
        <f>(L$104+L$111+L$118)*INDEX(EF[N2O], MATCH("V.04", EF[Vector], 0))</f>
        <v>0.63928532446073638</v>
      </c>
      <c r="M123" s="823">
        <f>(M$104+M$111+M$118)*INDEX(EF[N2O], MATCH("V.04", EF[Vector], 0))</f>
        <v>0.65800826687531755</v>
      </c>
      <c r="N123" s="823">
        <f>(N$104+N$111+N$118)*INDEX(EF[N2O], MATCH("V.04", EF[Vector], 0))</f>
        <v>0.67674852771273808</v>
      </c>
      <c r="O123" s="823">
        <f>(O$104+O$111+O$118)*INDEX(EF[N2O], MATCH("V.04", EF[Vector], 0))</f>
        <v>0.69550588475200359</v>
      </c>
      <c r="U123" s="27"/>
      <c r="V123" s="27"/>
      <c r="W123" s="27"/>
    </row>
    <row r="124" spans="1:23" s="743" customFormat="1" hidden="1" outlineLevel="1">
      <c r="B124" s="731"/>
      <c r="C124" s="121"/>
      <c r="E124" s="731"/>
      <c r="F124" s="944"/>
      <c r="G124" s="944"/>
      <c r="H124" s="944"/>
      <c r="I124" s="944"/>
      <c r="J124" s="944"/>
      <c r="K124" s="944"/>
      <c r="L124" s="944"/>
      <c r="M124" s="944"/>
      <c r="N124" s="944"/>
      <c r="O124" s="944"/>
      <c r="U124" s="27"/>
      <c r="V124" s="27"/>
      <c r="W124" s="27"/>
    </row>
    <row r="125" spans="1:23">
      <c r="U125" s="27"/>
      <c r="V125" s="27"/>
      <c r="W125" s="27"/>
    </row>
    <row r="126" spans="1:23" ht="22.5" collapsed="1">
      <c r="A126" s="1171"/>
      <c r="B126" s="1231" t="s">
        <v>683</v>
      </c>
      <c r="C126" s="1183"/>
      <c r="D126" s="1183"/>
      <c r="E126" s="1183"/>
      <c r="F126" s="1183"/>
      <c r="G126" s="1183"/>
      <c r="H126" s="1183"/>
      <c r="I126" s="1183"/>
      <c r="J126" s="1183"/>
      <c r="K126" s="1183"/>
      <c r="L126" s="1183"/>
      <c r="M126" s="1183"/>
      <c r="N126" s="1183"/>
      <c r="O126" s="1183"/>
      <c r="P126" s="1185"/>
      <c r="U126" s="27"/>
      <c r="V126" s="27"/>
      <c r="W126" s="27"/>
    </row>
    <row r="127" spans="1:23" hidden="1" outlineLevel="1">
      <c r="B127" s="1172"/>
      <c r="C127" s="1174"/>
      <c r="D127" s="1174"/>
      <c r="E127" s="1174"/>
      <c r="F127" s="1174"/>
      <c r="G127" s="1174"/>
      <c r="H127" s="1174"/>
      <c r="I127" s="1174"/>
      <c r="J127" s="1174"/>
      <c r="K127" s="1174"/>
      <c r="L127" s="1174"/>
      <c r="M127" s="1174"/>
      <c r="N127" s="1174"/>
      <c r="O127" s="1174"/>
      <c r="P127" s="1176"/>
      <c r="U127" s="27"/>
      <c r="V127" s="27"/>
      <c r="W127" s="27"/>
    </row>
    <row r="128" spans="1:23" hidden="1" outlineLevel="1">
      <c r="B128" s="1172"/>
      <c r="C128" s="1186" t="s">
        <v>730</v>
      </c>
      <c r="D128" s="1174"/>
      <c r="E128" s="1175"/>
      <c r="F128" s="1174"/>
      <c r="G128" s="1175"/>
      <c r="H128" s="1174"/>
      <c r="I128" s="1174"/>
      <c r="J128" s="1174"/>
      <c r="K128" s="1174"/>
      <c r="L128" s="1174"/>
      <c r="M128" s="1174"/>
      <c r="N128" s="1174"/>
      <c r="O128" s="1175" t="str">
        <f>Preferences.EnergyUnits</f>
        <v>TWh</v>
      </c>
      <c r="P128" s="1176"/>
      <c r="U128" s="27"/>
      <c r="V128" s="27"/>
      <c r="W128" s="27"/>
    </row>
    <row r="129" spans="1:23" ht="6" hidden="1" customHeight="1" outlineLevel="1">
      <c r="B129" s="1172"/>
      <c r="C129" s="1174"/>
      <c r="D129" s="1174"/>
      <c r="E129" s="1174"/>
      <c r="F129" s="1174"/>
      <c r="G129" s="1174"/>
      <c r="H129" s="1174"/>
      <c r="I129" s="1174"/>
      <c r="J129" s="1174"/>
      <c r="K129" s="1174"/>
      <c r="L129" s="1174"/>
      <c r="M129" s="1174"/>
      <c r="N129" s="1174"/>
      <c r="O129" s="1174"/>
      <c r="P129" s="1176"/>
      <c r="U129" s="27"/>
      <c r="V129" s="27"/>
      <c r="W129" s="27"/>
    </row>
    <row r="130" spans="1:23" ht="15.75" hidden="1" outlineLevel="1">
      <c r="A130" s="3"/>
      <c r="B130" s="1177"/>
      <c r="C130" s="1188" t="s">
        <v>78</v>
      </c>
      <c r="D130" s="1188" t="s">
        <v>418</v>
      </c>
      <c r="E130" s="1188" t="s">
        <v>442</v>
      </c>
      <c r="F130" s="1188" t="s">
        <v>691</v>
      </c>
      <c r="G130" s="1188" t="s">
        <v>692</v>
      </c>
      <c r="H130" s="1189" t="s">
        <v>721</v>
      </c>
      <c r="I130" s="1189" t="s">
        <v>722</v>
      </c>
      <c r="J130" s="1189" t="s">
        <v>723</v>
      </c>
      <c r="K130" s="1189" t="s">
        <v>724</v>
      </c>
      <c r="L130" s="1189" t="s">
        <v>725</v>
      </c>
      <c r="M130" s="1189" t="s">
        <v>726</v>
      </c>
      <c r="N130" s="1189" t="s">
        <v>727</v>
      </c>
      <c r="O130" s="1189" t="s">
        <v>728</v>
      </c>
      <c r="P130" s="1176"/>
    </row>
    <row r="131" spans="1:23" ht="15.75" hidden="1" outlineLevel="1">
      <c r="A131" s="3"/>
      <c r="B131" s="1177"/>
      <c r="C131" s="765" t="s">
        <v>36</v>
      </c>
      <c r="D131" s="765" t="str">
        <f>INDEX(Vectors[Description], MATCH([Vector], Vectors[Code], 0))</f>
        <v>Road transport</v>
      </c>
      <c r="E131" s="765"/>
      <c r="F131" s="953">
        <f>F$111+F$116</f>
        <v>87.654867521058719</v>
      </c>
      <c r="G131" s="953">
        <f t="shared" ref="G131:O131" si="13">G$111</f>
        <v>92.224287856400082</v>
      </c>
      <c r="H131" s="953">
        <f t="shared" si="13"/>
        <v>100.03347264357501</v>
      </c>
      <c r="I131" s="953">
        <f t="shared" si="13"/>
        <v>103.8705964128112</v>
      </c>
      <c r="J131" s="953">
        <f t="shared" si="13"/>
        <v>107.6603062046963</v>
      </c>
      <c r="K131" s="953">
        <f t="shared" si="13"/>
        <v>111.40260201923033</v>
      </c>
      <c r="L131" s="953">
        <f t="shared" si="13"/>
        <v>115.73130849547454</v>
      </c>
      <c r="M131" s="953">
        <f t="shared" si="13"/>
        <v>120.06001497171879</v>
      </c>
      <c r="N131" s="953">
        <f t="shared" si="13"/>
        <v>124.38872144796299</v>
      </c>
      <c r="O131" s="953">
        <f t="shared" si="13"/>
        <v>128.71742792420721</v>
      </c>
      <c r="P131" s="1176"/>
    </row>
    <row r="132" spans="1:23" ht="15.75" hidden="1" outlineLevel="1">
      <c r="A132" s="3"/>
      <c r="B132" s="1177"/>
      <c r="C132" s="765" t="s">
        <v>37</v>
      </c>
      <c r="D132" s="765" t="str">
        <f>INDEX(Vectors[Description], MATCH([Vector], Vectors[Code], 0))</f>
        <v>Rail transport</v>
      </c>
      <c r="E132" s="765"/>
      <c r="F132" s="953">
        <f>F$106+F$104</f>
        <v>2.4108529550428361</v>
      </c>
      <c r="G132" s="953">
        <f t="shared" ref="G132:O132" si="14">G$106+G$104</f>
        <v>2.443403009406389</v>
      </c>
      <c r="H132" s="953">
        <f t="shared" si="14"/>
        <v>2.5831174845651748</v>
      </c>
      <c r="I132" s="953">
        <f t="shared" si="14"/>
        <v>2.7228319597239619</v>
      </c>
      <c r="J132" s="953">
        <f t="shared" si="14"/>
        <v>2.8625464348827498</v>
      </c>
      <c r="K132" s="953">
        <f t="shared" si="14"/>
        <v>3.0022609100415356</v>
      </c>
      <c r="L132" s="953">
        <f t="shared" si="14"/>
        <v>3.1419753852003232</v>
      </c>
      <c r="M132" s="953">
        <f t="shared" si="14"/>
        <v>3.2816898603591089</v>
      </c>
      <c r="N132" s="953">
        <f t="shared" si="14"/>
        <v>3.4214043355178956</v>
      </c>
      <c r="O132" s="953">
        <f t="shared" si="14"/>
        <v>3.5611188106766831</v>
      </c>
      <c r="P132" s="1176"/>
    </row>
    <row r="133" spans="1:23" ht="15.75" hidden="1" outlineLevel="1">
      <c r="A133" s="3"/>
      <c r="B133" s="1177"/>
      <c r="C133" s="765" t="s">
        <v>39</v>
      </c>
      <c r="D133" s="765" t="str">
        <f>INDEX(Vectors[Description], MATCH([Vector], Vectors[Code], 0))</f>
        <v>National navigation</v>
      </c>
      <c r="E133" s="765"/>
      <c r="F133" s="953">
        <f>F$118</f>
        <v>18.817339999999998</v>
      </c>
      <c r="G133" s="953">
        <f t="shared" ref="G133:O133" si="15">G$118</f>
        <v>26.572895707388618</v>
      </c>
      <c r="H133" s="953">
        <f t="shared" si="15"/>
        <v>25.383064556311584</v>
      </c>
      <c r="I133" s="953">
        <f t="shared" si="15"/>
        <v>24.589843788926849</v>
      </c>
      <c r="J133" s="953">
        <f t="shared" si="15"/>
        <v>23.996704956708381</v>
      </c>
      <c r="K133" s="953">
        <f t="shared" si="15"/>
        <v>23.688791719453825</v>
      </c>
      <c r="L133" s="953">
        <f t="shared" si="15"/>
        <v>23.384829464713203</v>
      </c>
      <c r="M133" s="953">
        <f t="shared" si="15"/>
        <v>23.084767495533725</v>
      </c>
      <c r="N133" s="953">
        <f t="shared" si="15"/>
        <v>22.788555765479813</v>
      </c>
      <c r="O133" s="953">
        <f t="shared" si="15"/>
        <v>22.496144870285519</v>
      </c>
      <c r="P133" s="1176"/>
    </row>
    <row r="134" spans="1:23" ht="15.75" hidden="1" outlineLevel="1">
      <c r="A134" s="3"/>
      <c r="B134" s="1177"/>
      <c r="C134" s="765" t="s">
        <v>45</v>
      </c>
      <c r="D134" s="765" t="str">
        <f>INDEX(Vectors[Description], MATCH([Vector], Vectors[Code], 0))</f>
        <v>Electricity (delivered to end user)</v>
      </c>
      <c r="E134" s="765"/>
      <c r="F134" s="953">
        <f>-F$106-F$116</f>
        <v>-0.10120000000000001</v>
      </c>
      <c r="G134" s="953">
        <f t="shared" ref="G134:O134" si="16">-G$106-G$116</f>
        <v>-0.10259599185085001</v>
      </c>
      <c r="H134" s="953">
        <f t="shared" si="16"/>
        <v>-0.10846245968266201</v>
      </c>
      <c r="I134" s="953">
        <f t="shared" si="16"/>
        <v>-0.11432892751447502</v>
      </c>
      <c r="J134" s="953">
        <f t="shared" si="16"/>
        <v>-0.12019539534628801</v>
      </c>
      <c r="K134" s="953">
        <f t="shared" si="16"/>
        <v>-0.1260618631781</v>
      </c>
      <c r="L134" s="953">
        <f t="shared" si="16"/>
        <v>-0.131928331009913</v>
      </c>
      <c r="M134" s="953">
        <f t="shared" si="16"/>
        <v>-0.13779479884172499</v>
      </c>
      <c r="N134" s="953">
        <f t="shared" si="16"/>
        <v>-0.14366126667353801</v>
      </c>
      <c r="O134" s="953">
        <f t="shared" si="16"/>
        <v>-0.14952773450535101</v>
      </c>
      <c r="P134" s="1176"/>
    </row>
    <row r="135" spans="1:23" ht="15.75" hidden="1" outlineLevel="1">
      <c r="A135" s="3"/>
      <c r="B135" s="1177"/>
      <c r="C135" s="765" t="s">
        <v>49</v>
      </c>
      <c r="D135" s="765" t="str">
        <f>INDEX(Vectors[Description], MATCH([Vector], Vectors[Code], 0))</f>
        <v>Liquid hydrocarbons</v>
      </c>
      <c r="E135" s="765"/>
      <c r="F135" s="953">
        <f>-(F$104+F$111+F$118)</f>
        <v>-108.78186047610156</v>
      </c>
      <c r="G135" s="953">
        <f t="shared" ref="G135:O135" si="17">-(G$104+G$111+G$118)</f>
        <v>-121.13799058134424</v>
      </c>
      <c r="H135" s="953">
        <f t="shared" si="17"/>
        <v>-127.8911922247691</v>
      </c>
      <c r="I135" s="953">
        <f t="shared" si="17"/>
        <v>-131.06894323394752</v>
      </c>
      <c r="J135" s="953">
        <f t="shared" si="17"/>
        <v>-134.39936220094114</v>
      </c>
      <c r="K135" s="953">
        <f t="shared" si="17"/>
        <v>-137.96759278554759</v>
      </c>
      <c r="L135" s="953">
        <f t="shared" si="17"/>
        <v>-142.12618501437814</v>
      </c>
      <c r="M135" s="953">
        <f t="shared" si="17"/>
        <v>-146.28867752876988</v>
      </c>
      <c r="N135" s="953">
        <f t="shared" si="17"/>
        <v>-150.45502028228717</v>
      </c>
      <c r="O135" s="953">
        <f t="shared" si="17"/>
        <v>-154.62516387066407</v>
      </c>
      <c r="P135" s="1176"/>
    </row>
    <row r="136" spans="1:23" ht="15.75" hidden="1" outlineLevel="1">
      <c r="A136" s="3"/>
      <c r="B136" s="1177"/>
      <c r="C136" s="765" t="s">
        <v>148</v>
      </c>
      <c r="D136" s="765"/>
      <c r="E136" s="765"/>
      <c r="F136" s="1459">
        <f>SUBTOTAL(109,[2007])</f>
        <v>0</v>
      </c>
      <c r="G136" s="1459">
        <f>SUBTOTAL(109,[2010])</f>
        <v>0</v>
      </c>
      <c r="H136" s="1459">
        <f>SUBTOTAL(109,[2015])</f>
        <v>0</v>
      </c>
      <c r="I136" s="1459">
        <f>SUBTOTAL(109,[2020])</f>
        <v>0</v>
      </c>
      <c r="J136" s="1459">
        <f>SUBTOTAL(109,[2025])</f>
        <v>0</v>
      </c>
      <c r="K136" s="1459">
        <f>SUBTOTAL(109,[2030])</f>
        <v>0</v>
      </c>
      <c r="L136" s="1459">
        <f>SUBTOTAL(109,[2035])</f>
        <v>0</v>
      </c>
      <c r="M136" s="1459">
        <f>SUBTOTAL(109,[2040])</f>
        <v>0</v>
      </c>
      <c r="N136" s="1459">
        <f>SUBTOTAL(109,[2045])</f>
        <v>0</v>
      </c>
      <c r="O136" s="1459">
        <f>SUBTOTAL(109,[2050])</f>
        <v>0</v>
      </c>
      <c r="P136" s="1176"/>
    </row>
    <row r="137" spans="1:23" ht="15.75" hidden="1" outlineLevel="1">
      <c r="A137" s="3"/>
      <c r="B137" s="1178"/>
      <c r="C137" s="1179"/>
      <c r="D137" s="1179"/>
      <c r="E137" s="1179"/>
      <c r="F137" s="1179"/>
      <c r="G137" s="1179"/>
      <c r="H137" s="1179"/>
      <c r="I137" s="1179"/>
      <c r="J137" s="1179"/>
      <c r="K137" s="1179"/>
      <c r="L137" s="1179"/>
      <c r="M137" s="1179"/>
      <c r="N137" s="1179"/>
      <c r="O137" s="1179"/>
      <c r="P137" s="1181"/>
    </row>
    <row r="138" spans="1:23" hidden="1" outlineLevel="1"/>
    <row r="139" spans="1:23" ht="22.5" hidden="1" outlineLevel="1">
      <c r="A139" s="1171"/>
      <c r="B139" s="1249" t="s">
        <v>902</v>
      </c>
      <c r="C139" s="1198"/>
      <c r="D139" s="1199"/>
      <c r="E139" s="1199"/>
      <c r="F139" s="1199"/>
      <c r="G139" s="1199"/>
      <c r="H139" s="1199"/>
      <c r="I139" s="1199"/>
      <c r="J139" s="1199"/>
      <c r="K139" s="1199"/>
      <c r="L139" s="1199"/>
      <c r="M139" s="1199"/>
      <c r="N139" s="1199"/>
      <c r="O139" s="1199"/>
      <c r="P139" s="1200"/>
    </row>
    <row r="140" spans="1:23" hidden="1" outlineLevel="1">
      <c r="B140" s="1207"/>
      <c r="C140" s="1208"/>
      <c r="D140" s="1208"/>
      <c r="E140" s="1208"/>
      <c r="F140" s="1208"/>
      <c r="G140" s="1208"/>
      <c r="H140" s="1208"/>
      <c r="I140" s="1208"/>
      <c r="J140" s="1208"/>
      <c r="K140" s="1208"/>
      <c r="L140" s="1208"/>
      <c r="M140" s="1208"/>
      <c r="N140" s="1208"/>
      <c r="O140" s="1208"/>
      <c r="P140" s="1209"/>
    </row>
    <row r="141" spans="1:23" ht="14.25" hidden="1" outlineLevel="1">
      <c r="B141" s="1210"/>
      <c r="C141" s="1201" t="s">
        <v>1073</v>
      </c>
      <c r="D141" s="1202"/>
      <c r="E141" s="1203"/>
      <c r="F141" s="1202"/>
      <c r="G141" s="1203"/>
      <c r="H141" s="1202"/>
      <c r="I141" s="1202"/>
      <c r="J141" s="1202"/>
      <c r="K141" s="1202"/>
      <c r="L141" s="1202"/>
      <c r="M141" s="1202"/>
      <c r="N141" s="1202"/>
      <c r="O141" s="1203" t="s">
        <v>1076</v>
      </c>
      <c r="P141" s="1211"/>
    </row>
    <row r="142" spans="1:23" ht="5.25" hidden="1" customHeight="1" outlineLevel="1">
      <c r="B142" s="1210"/>
      <c r="C142" s="1202"/>
      <c r="D142" s="1202"/>
      <c r="E142" s="1202"/>
      <c r="F142" s="1202"/>
      <c r="G142" s="1202"/>
      <c r="H142" s="1202"/>
      <c r="I142" s="1202"/>
      <c r="J142" s="1202"/>
      <c r="K142" s="1202"/>
      <c r="L142" s="1202"/>
      <c r="M142" s="1202"/>
      <c r="N142" s="1202"/>
      <c r="O142" s="1202"/>
      <c r="P142" s="1211"/>
    </row>
    <row r="143" spans="1:23" ht="15.75" hidden="1" outlineLevel="1">
      <c r="B143" s="1212"/>
      <c r="C143" s="1269" t="s">
        <v>1072</v>
      </c>
      <c r="D143" s="1269" t="s">
        <v>1042</v>
      </c>
      <c r="E143" s="1269" t="s">
        <v>442</v>
      </c>
      <c r="F143" s="1269" t="s">
        <v>691</v>
      </c>
      <c r="G143" s="1269" t="s">
        <v>692</v>
      </c>
      <c r="H143" s="1269" t="s">
        <v>721</v>
      </c>
      <c r="I143" s="1269" t="s">
        <v>722</v>
      </c>
      <c r="J143" s="1269" t="s">
        <v>723</v>
      </c>
      <c r="K143" s="1269" t="s">
        <v>724</v>
      </c>
      <c r="L143" s="1269" t="s">
        <v>725</v>
      </c>
      <c r="M143" s="1269" t="s">
        <v>726</v>
      </c>
      <c r="N143" s="1269" t="s">
        <v>727</v>
      </c>
      <c r="O143" s="1269" t="s">
        <v>728</v>
      </c>
      <c r="P143" s="1211"/>
    </row>
    <row r="144" spans="1:23" ht="15.75" hidden="1" outlineLevel="1">
      <c r="B144" s="1212"/>
      <c r="C144" s="1206" t="s">
        <v>1055</v>
      </c>
      <c r="D144" s="1216" t="s">
        <v>1065</v>
      </c>
      <c r="E144" s="1206" t="str">
        <f>INDEX(IPCC[Sector_description], MATCH([IPCC Sector], IPCC[Sector_code], 0))</f>
        <v>Fuel Combustion</v>
      </c>
      <c r="F144" s="1218">
        <f>F$121</f>
        <v>27.195465119025389</v>
      </c>
      <c r="G144" s="1218">
        <f t="shared" ref="G144:O144" si="18">G$121</f>
        <v>30.28449764533606</v>
      </c>
      <c r="H144" s="1218">
        <f t="shared" si="18"/>
        <v>31.972798056192275</v>
      </c>
      <c r="I144" s="1218">
        <f t="shared" si="18"/>
        <v>32.76723580848688</v>
      </c>
      <c r="J144" s="1218">
        <f t="shared" si="18"/>
        <v>33.599840550235285</v>
      </c>
      <c r="K144" s="1218">
        <f t="shared" si="18"/>
        <v>34.491898196386899</v>
      </c>
      <c r="L144" s="1218">
        <f t="shared" si="18"/>
        <v>35.531546253594534</v>
      </c>
      <c r="M144" s="1218">
        <f t="shared" si="18"/>
        <v>36.57216938219247</v>
      </c>
      <c r="N144" s="1218">
        <f t="shared" si="18"/>
        <v>37.613755070571791</v>
      </c>
      <c r="O144" s="1218">
        <f t="shared" si="18"/>
        <v>38.656290967666017</v>
      </c>
      <c r="P144" s="1211"/>
    </row>
    <row r="145" spans="2:16" ht="15.75" hidden="1" outlineLevel="1">
      <c r="B145" s="1212"/>
      <c r="C145" s="1206" t="s">
        <v>1056</v>
      </c>
      <c r="D145" s="1216" t="s">
        <v>1065</v>
      </c>
      <c r="E145" s="1206" t="str">
        <f>INDEX(IPCC[Sector_description], MATCH([IPCC Sector], IPCC[Sector_code], 0))</f>
        <v>Fuel Combustion</v>
      </c>
      <c r="F145" s="1218">
        <f>F$122</f>
        <v>3.3858246712257449E-2</v>
      </c>
      <c r="G145" s="1218">
        <f t="shared" ref="G145:O145" si="19">G$122</f>
        <v>3.7704080012782477E-2</v>
      </c>
      <c r="H145" s="1218">
        <f t="shared" si="19"/>
        <v>3.9806007359308546E-2</v>
      </c>
      <c r="I145" s="1218">
        <f t="shared" si="19"/>
        <v>4.0795079224672764E-2</v>
      </c>
      <c r="J145" s="1218">
        <f t="shared" si="19"/>
        <v>4.183166884123319E-2</v>
      </c>
      <c r="K145" s="1218">
        <f t="shared" si="19"/>
        <v>4.2942277089070335E-2</v>
      </c>
      <c r="L145" s="1218">
        <f t="shared" si="19"/>
        <v>4.4236634816022011E-2</v>
      </c>
      <c r="M145" s="1218">
        <f t="shared" si="19"/>
        <v>4.5532206503005268E-2</v>
      </c>
      <c r="N145" s="1218">
        <f t="shared" si="19"/>
        <v>4.6828976573116403E-2</v>
      </c>
      <c r="O145" s="1218">
        <f t="shared" si="19"/>
        <v>4.8126929649326411E-2</v>
      </c>
      <c r="P145" s="1211"/>
    </row>
    <row r="146" spans="2:16" ht="15.75" hidden="1" outlineLevel="1">
      <c r="B146" s="1212"/>
      <c r="C146" s="1206" t="s">
        <v>1057</v>
      </c>
      <c r="D146" s="1216" t="s">
        <v>1065</v>
      </c>
      <c r="E146" s="1206" t="str">
        <f>INDEX(IPCC[Sector_description], MATCH([IPCC Sector], IPCC[Sector_code], 0))</f>
        <v>Fuel Combustion</v>
      </c>
      <c r="F146" s="1218">
        <f>F$123</f>
        <v>0.48930214346407658</v>
      </c>
      <c r="G146" s="1218">
        <f t="shared" ref="G146:O146" si="20">G$123</f>
        <v>0.54488016832001729</v>
      </c>
      <c r="H146" s="1218">
        <f t="shared" si="20"/>
        <v>0.57525615219187665</v>
      </c>
      <c r="I146" s="1218">
        <f t="shared" si="20"/>
        <v>0.5895497152306125</v>
      </c>
      <c r="J146" s="1218">
        <f t="shared" si="20"/>
        <v>0.60452998061724283</v>
      </c>
      <c r="K146" s="1218">
        <f t="shared" si="20"/>
        <v>0.62057992557847641</v>
      </c>
      <c r="L146" s="1218">
        <f t="shared" si="20"/>
        <v>0.63928532446073638</v>
      </c>
      <c r="M146" s="1218">
        <f t="shared" si="20"/>
        <v>0.65800826687531755</v>
      </c>
      <c r="N146" s="1218">
        <f t="shared" si="20"/>
        <v>0.67674852771273808</v>
      </c>
      <c r="O146" s="1218">
        <f t="shared" si="20"/>
        <v>0.69550588475200359</v>
      </c>
      <c r="P146" s="1211"/>
    </row>
    <row r="147" spans="2:16" ht="15.75" hidden="1" outlineLevel="1">
      <c r="B147" s="1212"/>
      <c r="C147" s="1206" t="s">
        <v>148</v>
      </c>
      <c r="D147" s="1206"/>
      <c r="E147" s="1206"/>
      <c r="F147" s="1278">
        <f>SUBTOTAL(109,[2007])</f>
        <v>0</v>
      </c>
      <c r="G147" s="1278">
        <f>SUBTOTAL(109,[2010])</f>
        <v>0</v>
      </c>
      <c r="H147" s="1278">
        <f>SUBTOTAL(109,[2015])</f>
        <v>0</v>
      </c>
      <c r="I147" s="1278">
        <f>SUBTOTAL(109,[2020])</f>
        <v>0</v>
      </c>
      <c r="J147" s="1278">
        <f>SUBTOTAL(109,[2025])</f>
        <v>0</v>
      </c>
      <c r="K147" s="1278">
        <f>SUBTOTAL(109,[2030])</f>
        <v>0</v>
      </c>
      <c r="L147" s="1278">
        <f>SUBTOTAL(109,[2035])</f>
        <v>0</v>
      </c>
      <c r="M147" s="1278">
        <f>SUBTOTAL(109,[2040])</f>
        <v>0</v>
      </c>
      <c r="N147" s="1278">
        <f>SUBTOTAL(109,[2045])</f>
        <v>0</v>
      </c>
      <c r="O147" s="1278">
        <f>SUBTOTAL(109,[2050])</f>
        <v>0</v>
      </c>
      <c r="P147" s="1211"/>
    </row>
    <row r="148" spans="2:16" ht="15.75" hidden="1" outlineLevel="1">
      <c r="B148" s="1212"/>
      <c r="C148" s="1202"/>
      <c r="D148" s="1202"/>
      <c r="E148" s="1202"/>
      <c r="F148" s="1202"/>
      <c r="G148" s="1202"/>
      <c r="H148" s="1202"/>
      <c r="I148" s="1202"/>
      <c r="J148" s="1202"/>
      <c r="K148" s="1202"/>
      <c r="L148" s="1202"/>
      <c r="M148" s="1202"/>
      <c r="N148" s="1202"/>
      <c r="O148" s="1202"/>
      <c r="P148" s="1211"/>
    </row>
    <row r="149" spans="2:16" hidden="1" outlineLevel="1"/>
  </sheetData>
  <pageMargins left="0.7" right="0.7" top="0.75" bottom="0.75" header="0.3" footer="0.3"/>
  <pageSetup paperSize="9" orientation="portrait" r:id="rId1"/>
  <ignoredErrors>
    <ignoredError sqref="I81 K81 M81 I49:I52 K49:K52 M49:M52 L49:L50 N49:N50" formula="1"/>
  </ignoredErrors>
  <tableParts count="2">
    <tablePart r:id="rId2"/>
    <tablePart r:id="rId3"/>
  </tableParts>
</worksheet>
</file>

<file path=xl/worksheets/sheet43.xml><?xml version="1.0" encoding="utf-8"?>
<worksheet xmlns="http://schemas.openxmlformats.org/spreadsheetml/2006/main" xmlns:r="http://schemas.openxmlformats.org/officeDocument/2006/relationships">
  <sheetPr codeName="Sheet35">
    <tabColor theme="9"/>
    <outlinePr summaryBelow="0"/>
    <pageSetUpPr autoPageBreaks="0"/>
  </sheetPr>
  <dimension ref="A1:W76"/>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3.28515625" style="121" customWidth="1"/>
    <col min="3" max="3" width="9.140625" style="121"/>
    <col min="4" max="4" width="28.140625" style="121" bestFit="1" customWidth="1"/>
    <col min="5" max="5" width="11.140625" style="121" customWidth="1"/>
    <col min="6" max="6" width="9.140625" style="121" customWidth="1"/>
    <col min="7" max="15" width="9.140625" style="121"/>
    <col min="16" max="16" width="2" style="121" customWidth="1"/>
    <col min="17" max="17" width="9.140625" style="121"/>
    <col min="18" max="18" width="18.7109375" style="121" bestFit="1" customWidth="1"/>
    <col min="19" max="16384" width="9.140625" style="121"/>
  </cols>
  <sheetData>
    <row r="1" spans="1:18" ht="21">
      <c r="A1" s="790" t="s">
        <v>679</v>
      </c>
      <c r="B1" s="790" t="str">
        <f>INDEX(Workstreams[Workstream], MATCH($A1, Workstreams[Code], 0))</f>
        <v>Transport</v>
      </c>
      <c r="C1" s="790"/>
    </row>
    <row r="2" spans="1:18" s="743" customFormat="1" ht="19.5" customHeight="1">
      <c r="A2" s="10" t="s">
        <v>919</v>
      </c>
      <c r="B2" s="10" t="str">
        <f>INDEX(Modules[Module], MATCH($A2, Modules[Code], 0))</f>
        <v>International aviation</v>
      </c>
      <c r="C2" s="10"/>
    </row>
    <row r="4" spans="1:18" ht="22.5" collapsed="1">
      <c r="A4" s="1171"/>
      <c r="B4" s="1231" t="s">
        <v>1353</v>
      </c>
      <c r="C4" s="1183"/>
      <c r="D4" s="1183"/>
      <c r="E4" s="1183"/>
      <c r="F4" s="1183"/>
      <c r="G4" s="1183"/>
      <c r="H4" s="1183"/>
      <c r="I4" s="1183"/>
      <c r="J4" s="1183"/>
      <c r="K4" s="1183"/>
      <c r="L4" s="1183"/>
      <c r="M4" s="1183"/>
      <c r="N4" s="1183"/>
      <c r="O4" s="1183"/>
      <c r="P4" s="1185"/>
    </row>
    <row r="5" spans="1:18" hidden="1" outlineLevel="1">
      <c r="B5" s="1172"/>
      <c r="C5" s="1174"/>
      <c r="D5" s="1174"/>
      <c r="E5" s="1174"/>
      <c r="F5" s="1174"/>
      <c r="G5" s="1174"/>
      <c r="H5" s="1174"/>
      <c r="I5" s="1174"/>
      <c r="J5" s="1174"/>
      <c r="K5" s="1174"/>
      <c r="L5" s="1174"/>
      <c r="M5" s="1174"/>
      <c r="N5" s="1174"/>
      <c r="O5" s="1174"/>
      <c r="P5" s="1176"/>
    </row>
    <row r="6" spans="1:18" ht="5.25" hidden="1" customHeight="1" outlineLevel="1">
      <c r="B6" s="1172"/>
      <c r="C6" s="1173"/>
      <c r="D6" s="1174"/>
      <c r="E6" s="1175"/>
      <c r="F6" s="1174"/>
      <c r="G6" s="1174"/>
      <c r="H6" s="1174"/>
      <c r="I6" s="1174"/>
      <c r="J6" s="1174"/>
      <c r="K6" s="1174"/>
      <c r="L6" s="1174"/>
      <c r="M6" s="1174"/>
      <c r="N6" s="1174"/>
      <c r="O6" s="1174"/>
      <c r="P6" s="1176"/>
    </row>
    <row r="7" spans="1:18" ht="15.75" hidden="1" outlineLevel="1">
      <c r="B7" s="1177"/>
      <c r="C7" s="1174"/>
      <c r="D7" s="922" t="s">
        <v>830</v>
      </c>
      <c r="E7" s="922" t="s">
        <v>1352</v>
      </c>
      <c r="F7" s="1174"/>
      <c r="G7" s="1174"/>
      <c r="H7" s="1174"/>
      <c r="I7" s="1174"/>
      <c r="J7" s="1174"/>
      <c r="K7" s="1174"/>
      <c r="L7" s="1174"/>
      <c r="M7" s="1174"/>
      <c r="N7" s="1174"/>
      <c r="O7" s="1174"/>
      <c r="P7" s="1176"/>
    </row>
    <row r="8" spans="1:18" ht="15.75" hidden="1" outlineLevel="1">
      <c r="B8" s="1177"/>
      <c r="C8" s="1174"/>
      <c r="D8" s="950" t="s">
        <v>1355</v>
      </c>
      <c r="E8" s="950">
        <f>XII.c.Scenario</f>
        <v>1</v>
      </c>
      <c r="F8" s="1174"/>
      <c r="G8" s="1174"/>
      <c r="H8" s="1174"/>
      <c r="I8" s="1174"/>
      <c r="J8" s="1174"/>
      <c r="K8" s="1174"/>
      <c r="L8" s="1174"/>
      <c r="M8" s="1174"/>
      <c r="N8" s="1174"/>
      <c r="O8" s="1174"/>
      <c r="P8" s="1176"/>
    </row>
    <row r="9" spans="1:18" hidden="1" outlineLevel="1">
      <c r="B9" s="1192"/>
      <c r="C9" s="1180"/>
      <c r="D9" s="1180"/>
      <c r="E9" s="1180"/>
      <c r="F9" s="1180"/>
      <c r="G9" s="1180"/>
      <c r="H9" s="1180"/>
      <c r="I9" s="1180"/>
      <c r="J9" s="1180"/>
      <c r="K9" s="1180"/>
      <c r="L9" s="1180"/>
      <c r="M9" s="1180"/>
      <c r="N9" s="1180"/>
      <c r="O9" s="1180"/>
      <c r="P9" s="1181"/>
    </row>
    <row r="11" spans="1:18" s="743" customFormat="1" ht="22.5" collapsed="1">
      <c r="A11" s="1170"/>
      <c r="B11" s="1236" t="s">
        <v>1354</v>
      </c>
      <c r="C11" s="1167"/>
      <c r="D11" s="1167"/>
      <c r="E11" s="1167"/>
      <c r="F11" s="1167"/>
      <c r="G11" s="1167"/>
      <c r="H11" s="1167"/>
      <c r="I11" s="1167"/>
      <c r="J11" s="1167"/>
      <c r="K11" s="1167"/>
      <c r="L11" s="1167"/>
      <c r="M11" s="1167"/>
      <c r="N11" s="1167"/>
      <c r="O11" s="1167"/>
      <c r="P11" s="1168"/>
    </row>
    <row r="12" spans="1:18" hidden="1" outlineLevel="1">
      <c r="B12" s="1157"/>
      <c r="C12" s="864"/>
      <c r="D12" s="864"/>
      <c r="E12" s="864"/>
      <c r="F12" s="864"/>
      <c r="G12" s="864"/>
      <c r="H12" s="864"/>
      <c r="I12" s="864"/>
      <c r="J12" s="864"/>
      <c r="K12" s="864"/>
      <c r="L12" s="864"/>
      <c r="M12" s="864"/>
      <c r="N12" s="864"/>
      <c r="O12" s="864"/>
      <c r="P12" s="1158"/>
    </row>
    <row r="13" spans="1:18" hidden="1" outlineLevel="1">
      <c r="B13" s="1157"/>
      <c r="C13" s="866" t="s">
        <v>1400</v>
      </c>
      <c r="D13" s="864"/>
      <c r="E13" s="867"/>
      <c r="F13" s="864"/>
      <c r="G13" s="864"/>
      <c r="H13" s="864"/>
      <c r="I13" s="864"/>
      <c r="J13" s="864"/>
      <c r="K13" s="864"/>
      <c r="L13" s="864"/>
      <c r="M13" s="864"/>
      <c r="N13" s="864"/>
      <c r="O13" s="867" t="s">
        <v>1401</v>
      </c>
      <c r="P13" s="1158"/>
    </row>
    <row r="14" spans="1:18" ht="5.25" hidden="1" customHeight="1" outlineLevel="1">
      <c r="B14" s="1157"/>
      <c r="C14" s="864"/>
      <c r="D14" s="864"/>
      <c r="E14" s="864"/>
      <c r="F14" s="864"/>
      <c r="G14" s="864"/>
      <c r="H14" s="864"/>
      <c r="I14" s="864"/>
      <c r="J14" s="864"/>
      <c r="K14" s="864"/>
      <c r="L14" s="864"/>
      <c r="M14" s="864"/>
      <c r="N14" s="864"/>
      <c r="O14" s="864"/>
      <c r="P14" s="1158"/>
    </row>
    <row r="15" spans="1:18" hidden="1" outlineLevel="1">
      <c r="B15" s="1157"/>
      <c r="C15" s="766" t="s">
        <v>1352</v>
      </c>
      <c r="D15" s="766" t="s">
        <v>80</v>
      </c>
      <c r="E15" s="766" t="s">
        <v>442</v>
      </c>
      <c r="F15" s="923">
        <v>2007</v>
      </c>
      <c r="G15" s="924">
        <v>2010</v>
      </c>
      <c r="H15" s="923">
        <v>2015</v>
      </c>
      <c r="I15" s="923">
        <v>2020</v>
      </c>
      <c r="J15" s="923">
        <v>2025</v>
      </c>
      <c r="K15" s="923">
        <v>2030</v>
      </c>
      <c r="L15" s="923">
        <v>2035</v>
      </c>
      <c r="M15" s="923">
        <v>2040</v>
      </c>
      <c r="N15" s="923">
        <v>2045</v>
      </c>
      <c r="O15" s="923">
        <v>2050</v>
      </c>
      <c r="P15" s="1158"/>
    </row>
    <row r="16" spans="1:18" ht="15.75" hidden="1" outlineLevel="1">
      <c r="B16" s="1159"/>
      <c r="C16" s="831">
        <v>1</v>
      </c>
      <c r="D16" s="832" t="s">
        <v>921</v>
      </c>
      <c r="E16" s="1254" t="s">
        <v>109</v>
      </c>
      <c r="F16" s="1767">
        <v>1.3906301889727857E-3</v>
      </c>
      <c r="G16" s="2215">
        <v>2.5237878218254517E-2</v>
      </c>
      <c r="H16" s="1767">
        <v>2.2208666809577338E-2</v>
      </c>
      <c r="I16" s="1767">
        <v>7.2786179923405303E-3</v>
      </c>
      <c r="J16" s="1767">
        <v>6.6033165637391367E-3</v>
      </c>
      <c r="K16" s="1767">
        <v>3.7428983709044683E-3</v>
      </c>
      <c r="L16" s="1767">
        <v>3.3489826243737753E-5</v>
      </c>
      <c r="M16" s="1767">
        <v>-2.7616914488856059E-3</v>
      </c>
      <c r="N16" s="1767">
        <v>-2.8003607097931704E-3</v>
      </c>
      <c r="O16" s="1767"/>
      <c r="P16" s="1158"/>
      <c r="R16" s="27"/>
    </row>
    <row r="17" spans="1:18" ht="15.75" hidden="1" outlineLevel="1">
      <c r="B17" s="1159"/>
      <c r="C17" s="831">
        <v>2</v>
      </c>
      <c r="D17" s="832" t="s">
        <v>921</v>
      </c>
      <c r="E17" s="1254" t="s">
        <v>109</v>
      </c>
      <c r="F17" s="1767">
        <v>-1.0672076375201067E-3</v>
      </c>
      <c r="G17" s="2216">
        <v>2.2829099387620788E-2</v>
      </c>
      <c r="H17" s="2134">
        <v>1.81818305814343E-2</v>
      </c>
      <c r="I17" s="2134">
        <v>6.8958242599823638E-3</v>
      </c>
      <c r="J17" s="2134">
        <v>6.1507626371619661E-3</v>
      </c>
      <c r="K17" s="2134">
        <v>-1.1001248402140451E-3</v>
      </c>
      <c r="L17" s="2134">
        <v>-6.6299147006565473E-3</v>
      </c>
      <c r="M17" s="2134">
        <v>-2.8780071185396938E-3</v>
      </c>
      <c r="N17" s="2134">
        <v>-2.9200271210491069E-3</v>
      </c>
      <c r="O17" s="2134"/>
      <c r="P17" s="1158"/>
      <c r="R17" s="827"/>
    </row>
    <row r="18" spans="1:18" ht="15.75" hidden="1" outlineLevel="1">
      <c r="B18" s="1159"/>
      <c r="C18" s="831">
        <v>3</v>
      </c>
      <c r="D18" s="832" t="s">
        <v>921</v>
      </c>
      <c r="E18" s="1254" t="s">
        <v>109</v>
      </c>
      <c r="F18" s="1767">
        <v>-1.0672076375201067E-3</v>
      </c>
      <c r="G18" s="2216">
        <v>2.2829099387620788E-2</v>
      </c>
      <c r="H18" s="2134">
        <v>1.81818305814343E-2</v>
      </c>
      <c r="I18" s="2134">
        <v>6.8958242599823638E-3</v>
      </c>
      <c r="J18" s="2134">
        <v>6.1507626371619661E-3</v>
      </c>
      <c r="K18" s="2134">
        <v>-1.1001248402140451E-3</v>
      </c>
      <c r="L18" s="2134">
        <v>-6.6299147006565473E-3</v>
      </c>
      <c r="M18" s="2134">
        <v>-2.8780071185396938E-3</v>
      </c>
      <c r="N18" s="2134">
        <v>-2.9200271210491069E-3</v>
      </c>
      <c r="O18" s="2134"/>
      <c r="P18" s="1158"/>
    </row>
    <row r="19" spans="1:18" ht="15.75" hidden="1" outlineLevel="1">
      <c r="B19" s="1159"/>
      <c r="C19" s="769">
        <v>4</v>
      </c>
      <c r="D19" s="770" t="s">
        <v>921</v>
      </c>
      <c r="E19" s="770" t="s">
        <v>109</v>
      </c>
      <c r="F19" s="1768">
        <v>-4.0568342130253843E-3</v>
      </c>
      <c r="G19" s="2213">
        <v>2.0094879004418198E-2</v>
      </c>
      <c r="H19" s="2214">
        <v>1.4576863689122366E-2</v>
      </c>
      <c r="I19" s="2214">
        <v>5.3750971011798931E-3</v>
      </c>
      <c r="J19" s="2214">
        <v>3.513816953377713E-4</v>
      </c>
      <c r="K19" s="2214">
        <v>-5.9930489601390802E-3</v>
      </c>
      <c r="L19" s="2214">
        <v>-8.164153448232736E-3</v>
      </c>
      <c r="M19" s="2214">
        <v>-1.2596674666792373E-2</v>
      </c>
      <c r="N19" s="2214">
        <v>-1.3443694494282177E-2</v>
      </c>
      <c r="O19" s="2214"/>
      <c r="P19" s="1158"/>
    </row>
    <row r="20" spans="1:18" ht="15.75" hidden="1" outlineLevel="1">
      <c r="B20" s="1159"/>
      <c r="C20" s="831"/>
      <c r="D20" s="832"/>
      <c r="E20" s="832"/>
      <c r="F20" s="847"/>
      <c r="G20" s="848"/>
      <c r="H20" s="848"/>
      <c r="I20" s="848"/>
      <c r="J20" s="848"/>
      <c r="K20" s="848"/>
      <c r="L20" s="848"/>
      <c r="M20" s="848"/>
      <c r="N20" s="848"/>
      <c r="O20" s="848"/>
      <c r="P20" s="1158"/>
    </row>
    <row r="21" spans="1:18" hidden="1" outlineLevel="1">
      <c r="B21" s="1163"/>
      <c r="C21" s="1227" t="s">
        <v>717</v>
      </c>
      <c r="D21" s="868"/>
      <c r="E21" s="864"/>
      <c r="F21" s="864"/>
      <c r="G21" s="864"/>
      <c r="H21" s="864"/>
      <c r="I21" s="864"/>
      <c r="J21" s="864"/>
      <c r="K21" s="864"/>
      <c r="L21" s="864"/>
      <c r="M21" s="864"/>
      <c r="N21" s="864"/>
      <c r="O21" s="864"/>
      <c r="P21" s="1158"/>
    </row>
    <row r="22" spans="1:18" hidden="1" outlineLevel="1">
      <c r="B22" s="1163"/>
      <c r="C22" s="1226" t="s">
        <v>109</v>
      </c>
      <c r="D22" s="868" t="s">
        <v>1408</v>
      </c>
      <c r="E22" s="864"/>
      <c r="F22" s="864"/>
      <c r="G22" s="864"/>
      <c r="H22" s="864"/>
      <c r="I22" s="864"/>
      <c r="J22" s="864"/>
      <c r="K22" s="864"/>
      <c r="L22" s="864"/>
      <c r="M22" s="864"/>
      <c r="N22" s="864"/>
      <c r="O22" s="864"/>
      <c r="P22" s="1158"/>
    </row>
    <row r="23" spans="1:18" hidden="1" outlineLevel="1">
      <c r="B23" s="1163"/>
      <c r="C23" s="1226"/>
      <c r="D23" s="868" t="s">
        <v>1407</v>
      </c>
      <c r="E23" s="864"/>
      <c r="F23" s="864"/>
      <c r="G23" s="864"/>
      <c r="H23" s="864"/>
      <c r="I23" s="864"/>
      <c r="J23" s="864"/>
      <c r="K23" s="864"/>
      <c r="L23" s="864"/>
      <c r="M23" s="864"/>
      <c r="N23" s="864"/>
      <c r="O23" s="864"/>
      <c r="P23" s="1158"/>
    </row>
    <row r="24" spans="1:18" ht="15.75" hidden="1" outlineLevel="1">
      <c r="B24" s="1193"/>
      <c r="C24" s="1194"/>
      <c r="D24" s="1195"/>
      <c r="E24" s="1195"/>
      <c r="F24" s="1196"/>
      <c r="G24" s="1197"/>
      <c r="H24" s="1197"/>
      <c r="I24" s="1197"/>
      <c r="J24" s="1197"/>
      <c r="K24" s="1197"/>
      <c r="L24" s="1197"/>
      <c r="M24" s="1197"/>
      <c r="N24" s="1197"/>
      <c r="O24" s="1197"/>
      <c r="P24" s="1166"/>
    </row>
    <row r="26" spans="1:18" s="743" customFormat="1" ht="22.5" collapsed="1">
      <c r="A26" s="1170"/>
      <c r="B26" s="1236" t="s">
        <v>786</v>
      </c>
      <c r="C26" s="1167"/>
      <c r="D26" s="1167"/>
      <c r="E26" s="1167"/>
      <c r="F26" s="1167"/>
      <c r="G26" s="1167"/>
      <c r="H26" s="1167"/>
      <c r="I26" s="1167"/>
      <c r="J26" s="1167"/>
      <c r="K26" s="1167"/>
      <c r="L26" s="1167"/>
      <c r="M26" s="1167"/>
      <c r="N26" s="1167"/>
      <c r="O26" s="1167"/>
      <c r="P26" s="1168"/>
    </row>
    <row r="27" spans="1:18" hidden="1" outlineLevel="1">
      <c r="B27" s="1157"/>
      <c r="C27" s="864"/>
      <c r="D27" s="864"/>
      <c r="E27" s="864"/>
      <c r="F27" s="864"/>
      <c r="G27" s="864"/>
      <c r="H27" s="864"/>
      <c r="I27" s="864"/>
      <c r="J27" s="864"/>
      <c r="K27" s="864"/>
      <c r="L27" s="864"/>
      <c r="M27" s="864"/>
      <c r="N27" s="864"/>
      <c r="O27" s="864"/>
      <c r="P27" s="1158"/>
    </row>
    <row r="28" spans="1:18" hidden="1" outlineLevel="1">
      <c r="B28" s="1157"/>
      <c r="C28" s="866" t="s">
        <v>920</v>
      </c>
      <c r="D28" s="864"/>
      <c r="E28" s="867"/>
      <c r="F28" s="867" t="str">
        <f>Preferences.EnergyUnits</f>
        <v>TWh</v>
      </c>
      <c r="G28" s="864"/>
      <c r="H28" s="864"/>
      <c r="I28" s="864"/>
      <c r="J28" s="864"/>
      <c r="K28" s="864"/>
      <c r="L28" s="864"/>
      <c r="M28" s="864"/>
      <c r="N28" s="864"/>
      <c r="O28" s="867"/>
      <c r="P28" s="1158"/>
    </row>
    <row r="29" spans="1:18" hidden="1" outlineLevel="1">
      <c r="B29" s="1157"/>
      <c r="C29" s="864"/>
      <c r="D29" s="864"/>
      <c r="E29" s="864"/>
      <c r="F29" s="864"/>
      <c r="G29" s="864"/>
      <c r="H29" s="864"/>
      <c r="I29" s="864"/>
      <c r="J29" s="864"/>
      <c r="K29" s="864"/>
      <c r="L29" s="864"/>
      <c r="M29" s="864"/>
      <c r="N29" s="864"/>
      <c r="O29" s="864"/>
      <c r="P29" s="1158"/>
    </row>
    <row r="30" spans="1:18" ht="15.75" hidden="1" outlineLevel="1">
      <c r="B30" s="1159"/>
      <c r="C30" s="766" t="s">
        <v>78</v>
      </c>
      <c r="D30" s="766" t="s">
        <v>80</v>
      </c>
      <c r="E30" s="766" t="s">
        <v>442</v>
      </c>
      <c r="F30" s="923">
        <v>2007</v>
      </c>
      <c r="G30" s="1293"/>
      <c r="H30" s="1293"/>
      <c r="I30" s="1293"/>
      <c r="J30" s="1293"/>
      <c r="K30" s="1293"/>
      <c r="L30" s="1293"/>
      <c r="M30" s="1293"/>
      <c r="N30" s="1293"/>
      <c r="O30" s="1293"/>
      <c r="P30" s="1158"/>
    </row>
    <row r="31" spans="1:18" ht="15.75" hidden="1" outlineLevel="1">
      <c r="B31" s="1159"/>
      <c r="C31" s="791" t="s">
        <v>49</v>
      </c>
      <c r="D31" s="792" t="s">
        <v>921</v>
      </c>
      <c r="E31" s="937" t="s">
        <v>109</v>
      </c>
      <c r="F31" s="793">
        <f>-'2007 (Actual, frozen)'!$W$59</f>
        <v>152.99167541479133</v>
      </c>
      <c r="G31" s="933"/>
      <c r="H31" s="1507"/>
      <c r="I31" s="1507"/>
      <c r="J31" s="933"/>
      <c r="K31" s="933"/>
      <c r="L31" s="933"/>
      <c r="M31" s="933"/>
      <c r="N31" s="933"/>
      <c r="O31" s="933"/>
      <c r="P31" s="1158"/>
    </row>
    <row r="32" spans="1:18" hidden="1" outlineLevel="1">
      <c r="B32" s="1157"/>
      <c r="C32" s="864"/>
      <c r="D32" s="864"/>
      <c r="E32" s="864"/>
      <c r="F32" s="864"/>
      <c r="G32" s="864"/>
      <c r="H32" s="864"/>
      <c r="I32" s="864"/>
      <c r="J32" s="864"/>
      <c r="K32" s="864"/>
      <c r="L32" s="864"/>
      <c r="M32" s="864"/>
      <c r="N32" s="864"/>
      <c r="O32" s="864"/>
      <c r="P32" s="1158"/>
    </row>
    <row r="33" spans="1:23" hidden="1" outlineLevel="1">
      <c r="B33" s="1157"/>
      <c r="C33" s="864" t="s">
        <v>717</v>
      </c>
      <c r="D33" s="864"/>
      <c r="E33" s="864"/>
      <c r="F33" s="864"/>
      <c r="G33" s="864"/>
      <c r="H33" s="864"/>
      <c r="I33" s="864"/>
      <c r="J33" s="864"/>
      <c r="K33" s="864"/>
      <c r="L33" s="864"/>
      <c r="M33" s="864"/>
      <c r="N33" s="864"/>
      <c r="O33" s="864"/>
      <c r="P33" s="1158"/>
    </row>
    <row r="34" spans="1:23" hidden="1" outlineLevel="1">
      <c r="B34" s="1157"/>
      <c r="C34" s="867" t="s">
        <v>109</v>
      </c>
      <c r="D34" s="864" t="s">
        <v>1399</v>
      </c>
      <c r="E34" s="864"/>
      <c r="F34" s="864"/>
      <c r="G34" s="864"/>
      <c r="H34" s="864"/>
      <c r="I34" s="864"/>
      <c r="J34" s="864"/>
      <c r="K34" s="864"/>
      <c r="L34" s="864"/>
      <c r="M34" s="864"/>
      <c r="N34" s="864"/>
      <c r="O34" s="864"/>
      <c r="P34" s="1158"/>
    </row>
    <row r="35" spans="1:23" s="715" customFormat="1" hidden="1" outlineLevel="1">
      <c r="B35" s="1260"/>
      <c r="C35" s="1261"/>
      <c r="D35" s="1224"/>
      <c r="E35" s="1262"/>
      <c r="F35" s="1262"/>
      <c r="G35" s="1262"/>
      <c r="H35" s="1262"/>
      <c r="I35" s="1262"/>
      <c r="J35" s="1262"/>
      <c r="K35" s="1262"/>
      <c r="L35" s="1262"/>
      <c r="M35" s="1262"/>
      <c r="N35" s="1262"/>
      <c r="O35" s="1262"/>
      <c r="P35" s="1263"/>
    </row>
    <row r="36" spans="1:23">
      <c r="T36" s="715"/>
      <c r="U36" s="715"/>
      <c r="V36" s="715"/>
      <c r="W36" s="715"/>
    </row>
    <row r="37" spans="1:23" ht="22.5" collapsed="1">
      <c r="A37" s="1171"/>
      <c r="B37" s="1236" t="s">
        <v>817</v>
      </c>
      <c r="C37" s="1264"/>
      <c r="D37" s="1264"/>
      <c r="E37" s="1264"/>
      <c r="F37" s="1264"/>
      <c r="G37" s="1264"/>
      <c r="H37" s="1264"/>
      <c r="I37" s="1264"/>
      <c r="J37" s="1264"/>
      <c r="K37" s="1264"/>
      <c r="L37" s="1264"/>
      <c r="M37" s="1264"/>
      <c r="N37" s="1264"/>
      <c r="O37" s="1264"/>
      <c r="P37" s="1265"/>
      <c r="T37" s="715"/>
      <c r="U37" s="715"/>
      <c r="V37" s="715"/>
    </row>
    <row r="38" spans="1:23" hidden="1" outlineLevel="1">
      <c r="B38" s="1157"/>
      <c r="C38" s="864"/>
      <c r="D38" s="864"/>
      <c r="E38" s="864"/>
      <c r="F38" s="864"/>
      <c r="G38" s="864"/>
      <c r="H38" s="864"/>
      <c r="I38" s="864"/>
      <c r="J38" s="864"/>
      <c r="K38" s="864"/>
      <c r="L38" s="864"/>
      <c r="M38" s="864"/>
      <c r="N38" s="864"/>
      <c r="O38" s="864"/>
      <c r="P38" s="1158"/>
    </row>
    <row r="39" spans="1:23" hidden="1" outlineLevel="1">
      <c r="B39" s="1164"/>
      <c r="C39" s="1165"/>
      <c r="D39" s="1165"/>
      <c r="E39" s="1165"/>
      <c r="F39" s="1165"/>
      <c r="G39" s="1165"/>
      <c r="H39" s="1165"/>
      <c r="I39" s="1165"/>
      <c r="J39" s="1165"/>
      <c r="K39" s="1165"/>
      <c r="L39" s="1165"/>
      <c r="M39" s="1165"/>
      <c r="N39" s="1165"/>
      <c r="O39" s="1165"/>
      <c r="P39" s="1166"/>
    </row>
    <row r="40" spans="1:23">
      <c r="V40" s="715"/>
    </row>
    <row r="41" spans="1:23" ht="18" collapsed="1">
      <c r="A41" s="767"/>
      <c r="B41" s="809" t="s">
        <v>732</v>
      </c>
    </row>
    <row r="42" spans="1:23" s="24" customFormat="1" hidden="1" outlineLevel="1">
      <c r="B42" s="731">
        <v>1</v>
      </c>
      <c r="C42" s="121" t="s">
        <v>922</v>
      </c>
    </row>
    <row r="43" spans="1:23" hidden="1" outlineLevel="1">
      <c r="B43" s="731">
        <v>2</v>
      </c>
      <c r="C43" s="121" t="s">
        <v>1168</v>
      </c>
    </row>
    <row r="44" spans="1:23" hidden="1" outlineLevel="1">
      <c r="B44" s="731"/>
    </row>
    <row r="45" spans="1:23" hidden="1" outlineLevel="1">
      <c r="F45" s="861">
        <v>2007</v>
      </c>
      <c r="G45" s="861">
        <v>2010</v>
      </c>
      <c r="H45" s="861">
        <v>2015</v>
      </c>
      <c r="I45" s="861">
        <v>2020</v>
      </c>
      <c r="J45" s="861">
        <v>2025</v>
      </c>
      <c r="K45" s="861">
        <v>2030</v>
      </c>
      <c r="L45" s="861">
        <v>2035</v>
      </c>
      <c r="M45" s="861">
        <v>2040</v>
      </c>
      <c r="N45" s="861">
        <v>2045</v>
      </c>
      <c r="O45" s="861">
        <v>2050</v>
      </c>
    </row>
    <row r="46" spans="1:23" hidden="1" outlineLevel="1">
      <c r="B46" s="731" t="s">
        <v>1383</v>
      </c>
      <c r="F46" s="861"/>
      <c r="G46" s="861"/>
      <c r="H46" s="861"/>
      <c r="I46" s="861"/>
      <c r="J46" s="861"/>
      <c r="K46" s="861"/>
      <c r="L46" s="861"/>
      <c r="M46" s="861"/>
      <c r="N46" s="861"/>
      <c r="O46" s="861"/>
    </row>
    <row r="47" spans="1:23" hidden="1" outlineLevel="1">
      <c r="C47" s="121" t="s">
        <v>1402</v>
      </c>
      <c r="E47" s="121" t="s">
        <v>1403</v>
      </c>
      <c r="F47" s="1648">
        <f>INDEX(F$16:F$19, MATCH($E$8, $C$16:$C$19, 0))</f>
        <v>1.3906301889727857E-3</v>
      </c>
      <c r="G47" s="1648">
        <f t="shared" ref="G47:N47" si="0">INDEX(G$16:G$19, MATCH($E$8, $C$16:$C$19, 0))</f>
        <v>2.5237878218254517E-2</v>
      </c>
      <c r="H47" s="1648">
        <f t="shared" si="0"/>
        <v>2.2208666809577338E-2</v>
      </c>
      <c r="I47" s="1648">
        <f t="shared" si="0"/>
        <v>7.2786179923405303E-3</v>
      </c>
      <c r="J47" s="1648">
        <f t="shared" si="0"/>
        <v>6.6033165637391367E-3</v>
      </c>
      <c r="K47" s="1648">
        <f t="shared" si="0"/>
        <v>3.7428983709044683E-3</v>
      </c>
      <c r="L47" s="1648">
        <f t="shared" si="0"/>
        <v>3.3489826243737753E-5</v>
      </c>
      <c r="M47" s="1648">
        <f t="shared" si="0"/>
        <v>-2.7616914488856059E-3</v>
      </c>
      <c r="N47" s="1648">
        <f t="shared" si="0"/>
        <v>-2.8003607097931704E-3</v>
      </c>
      <c r="O47" s="1648"/>
    </row>
    <row r="48" spans="1:23" s="731" customFormat="1" hidden="1" outlineLevel="1">
      <c r="B48" s="807" t="s">
        <v>840</v>
      </c>
      <c r="C48" s="731" t="s">
        <v>915</v>
      </c>
      <c r="E48" s="731" t="str">
        <f>Preferences.EnergyUnits</f>
        <v>TWh</v>
      </c>
      <c r="F48" s="943">
        <f>F$31</f>
        <v>152.99167541479133</v>
      </c>
      <c r="G48" s="943">
        <f>F48*(1+F47)^(G$45-F$45)</f>
        <v>153.63082794362825</v>
      </c>
      <c r="H48" s="943">
        <f t="shared" ref="H48:O48" si="1">G48*(1+G47)^(H$45-G$45)</f>
        <v>174.02097069883129</v>
      </c>
      <c r="I48" s="943">
        <f t="shared" si="1"/>
        <v>194.2224288429754</v>
      </c>
      <c r="J48" s="943">
        <f t="shared" si="1"/>
        <v>201.39443053847114</v>
      </c>
      <c r="K48" s="943">
        <f t="shared" si="1"/>
        <v>208.13218382871563</v>
      </c>
      <c r="L48" s="943">
        <f t="shared" si="1"/>
        <v>212.05653906435825</v>
      </c>
      <c r="M48" s="943">
        <f t="shared" si="1"/>
        <v>212.09205012603269</v>
      </c>
      <c r="N48" s="943">
        <f t="shared" si="1"/>
        <v>209.1795176408344</v>
      </c>
      <c r="O48" s="943">
        <f t="shared" si="1"/>
        <v>206.26698515563612</v>
      </c>
    </row>
    <row r="49" spans="1:23" s="731" customFormat="1" hidden="1" outlineLevel="1">
      <c r="F49" s="942"/>
      <c r="G49" s="942"/>
      <c r="H49" s="942"/>
      <c r="I49" s="942"/>
      <c r="J49" s="942"/>
      <c r="K49" s="942"/>
      <c r="L49" s="942"/>
      <c r="M49" s="942"/>
      <c r="N49" s="942"/>
      <c r="O49" s="942"/>
    </row>
    <row r="50" spans="1:23" s="731" customFormat="1" hidden="1" outlineLevel="1">
      <c r="B50" s="731" t="s">
        <v>1384</v>
      </c>
      <c r="C50" s="121"/>
      <c r="D50" s="743"/>
      <c r="E50" s="743"/>
      <c r="F50" s="783"/>
      <c r="G50" s="783"/>
      <c r="H50" s="783"/>
      <c r="I50" s="783"/>
      <c r="J50" s="783"/>
      <c r="K50" s="783"/>
      <c r="L50" s="783"/>
      <c r="M50" s="783"/>
      <c r="N50" s="783"/>
      <c r="O50" s="783"/>
    </row>
    <row r="51" spans="1:23" s="731" customFormat="1" ht="14.25" hidden="1" outlineLevel="1">
      <c r="C51" s="121" t="s">
        <v>1055</v>
      </c>
      <c r="D51" s="743"/>
      <c r="E51" s="743" t="s">
        <v>1076</v>
      </c>
      <c r="F51" s="823">
        <f>F$48*INDEX(EF[CO2], MATCH("V.04", EF[Vector], 0))</f>
        <v>38.247918853697833</v>
      </c>
      <c r="G51" s="823">
        <f>G$48*INDEX(EF[CO2], MATCH("V.04", EF[Vector], 0))</f>
        <v>38.407706985907062</v>
      </c>
      <c r="H51" s="823">
        <f>H$48*INDEX(EF[CO2], MATCH("V.04", EF[Vector], 0))</f>
        <v>43.505242674707823</v>
      </c>
      <c r="I51" s="823">
        <f>I$48*INDEX(EF[CO2], MATCH("V.04", EF[Vector], 0))</f>
        <v>48.555607210743851</v>
      </c>
      <c r="J51" s="823">
        <f>J$48*INDEX(EF[CO2], MATCH("V.04", EF[Vector], 0))</f>
        <v>50.348607634617785</v>
      </c>
      <c r="K51" s="823">
        <f>K$48*INDEX(EF[CO2], MATCH("V.04", EF[Vector], 0))</f>
        <v>52.033045957178906</v>
      </c>
      <c r="L51" s="823">
        <f>L$48*INDEX(EF[CO2], MATCH("V.04", EF[Vector], 0))</f>
        <v>53.014134766089562</v>
      </c>
      <c r="M51" s="823">
        <f>M$48*INDEX(EF[CO2], MATCH("V.04", EF[Vector], 0))</f>
        <v>53.023012531508172</v>
      </c>
      <c r="N51" s="823">
        <f>N$48*INDEX(EF[CO2], MATCH("V.04", EF[Vector], 0))</f>
        <v>52.294879410208601</v>
      </c>
      <c r="O51" s="823">
        <f>O$48*INDEX(EF[CO2], MATCH("V.04", EF[Vector], 0))</f>
        <v>51.56674628890903</v>
      </c>
    </row>
    <row r="52" spans="1:23" s="731" customFormat="1" ht="14.25" hidden="1" outlineLevel="1">
      <c r="C52" s="121" t="s">
        <v>1056</v>
      </c>
      <c r="D52" s="743"/>
      <c r="E52" s="743" t="s">
        <v>1076</v>
      </c>
      <c r="F52" s="823">
        <f>F$48*INDEX(EF[CH4], MATCH("V.04", EF[Vector], 0))</f>
        <v>4.7618507979587513E-2</v>
      </c>
      <c r="G52" s="823">
        <f>G$48*INDEX(EF[CH4], MATCH("V.04", EF[Vector], 0))</f>
        <v>4.7817443573384216E-2</v>
      </c>
      <c r="H52" s="823">
        <f>H$48*INDEX(EF[CH4], MATCH("V.04", EF[Vector], 0))</f>
        <v>5.4163855382138699E-2</v>
      </c>
      <c r="I52" s="823">
        <f>I$48*INDEX(EF[CH4], MATCH("V.04", EF[Vector], 0))</f>
        <v>6.0451539291921062E-2</v>
      </c>
      <c r="J52" s="823">
        <f>J$48*INDEX(EF[CH4], MATCH("V.04", EF[Vector], 0))</f>
        <v>6.2683817741324602E-2</v>
      </c>
      <c r="K52" s="823">
        <f>K$48*INDEX(EF[CH4], MATCH("V.04", EF[Vector], 0))</f>
        <v>6.4780936803169833E-2</v>
      </c>
      <c r="L52" s="823">
        <f>L$48*INDEX(EF[CH4], MATCH("V.04", EF[Vector], 0))</f>
        <v>6.600238849716912E-2</v>
      </c>
      <c r="M52" s="823">
        <f>M$48*INDEX(EF[CH4], MATCH("V.04", EF[Vector], 0))</f>
        <v>6.6013441280068072E-2</v>
      </c>
      <c r="N52" s="823">
        <f>N$48*INDEX(EF[CH4], MATCH("V.04", EF[Vector], 0))</f>
        <v>6.5106918418538495E-2</v>
      </c>
      <c r="O52" s="823">
        <f>O$48*INDEX(EF[CH4], MATCH("V.04", EF[Vector], 0))</f>
        <v>6.4200395557008905E-2</v>
      </c>
    </row>
    <row r="53" spans="1:23" s="731" customFormat="1" ht="14.25" hidden="1" outlineLevel="1">
      <c r="C53" s="121" t="s">
        <v>1057</v>
      </c>
      <c r="D53" s="743"/>
      <c r="E53" s="743" t="s">
        <v>1076</v>
      </c>
      <c r="F53" s="823">
        <f>F$48*INDEX(EF[N2O], MATCH("V.04", EF[Vector], 0))</f>
        <v>0.68815843363024276</v>
      </c>
      <c r="G53" s="823">
        <f>G$48*INDEX(EF[N2O], MATCH("V.04", EF[Vector], 0))</f>
        <v>0.6910333495490516</v>
      </c>
      <c r="H53" s="823">
        <f>H$48*INDEX(EF[N2O], MATCH("V.04", EF[Vector], 0))</f>
        <v>0.7827484619032038</v>
      </c>
      <c r="I53" s="823">
        <f>I$48*INDEX(EF[N2O], MATCH("V.04", EF[Vector], 0))</f>
        <v>0.87361486856115123</v>
      </c>
      <c r="J53" s="823">
        <f>J$48*INDEX(EF[N2O], MATCH("V.04", EF[Vector], 0))</f>
        <v>0.90587462020701515</v>
      </c>
      <c r="K53" s="823">
        <f>K$48*INDEX(EF[N2O], MATCH("V.04", EF[Vector], 0))</f>
        <v>0.93618111719667674</v>
      </c>
      <c r="L53" s="823">
        <f>L$48*INDEX(EF[N2O], MATCH("V.04", EF[Vector], 0))</f>
        <v>0.95383291520886704</v>
      </c>
      <c r="M53" s="823">
        <f>M$48*INDEX(EF[N2O], MATCH("V.04", EF[Vector], 0))</f>
        <v>0.95399264440009379</v>
      </c>
      <c r="N53" s="823">
        <f>N$48*INDEX(EF[N2O], MATCH("V.04", EF[Vector], 0))</f>
        <v>0.94089203753715678</v>
      </c>
      <c r="O53" s="823">
        <f>O$48*INDEX(EF[N2O], MATCH("V.04", EF[Vector], 0))</f>
        <v>0.92779143067421976</v>
      </c>
    </row>
    <row r="54" spans="1:23" hidden="1" outlineLevel="1">
      <c r="E54" s="20"/>
      <c r="F54" s="925"/>
      <c r="G54" s="925"/>
      <c r="H54" s="925"/>
      <c r="I54" s="925"/>
      <c r="J54" s="925"/>
      <c r="K54" s="925"/>
      <c r="L54" s="925"/>
      <c r="M54" s="925"/>
      <c r="N54" s="925"/>
      <c r="O54" s="925"/>
    </row>
    <row r="55" spans="1:23">
      <c r="U55" s="27"/>
      <c r="V55" s="27"/>
      <c r="W55" s="27"/>
    </row>
    <row r="56" spans="1:23" ht="22.5" collapsed="1">
      <c r="A56" s="1171"/>
      <c r="B56" s="1231" t="s">
        <v>683</v>
      </c>
      <c r="C56" s="1183"/>
      <c r="D56" s="1183"/>
      <c r="E56" s="1183"/>
      <c r="F56" s="1183"/>
      <c r="G56" s="1183"/>
      <c r="H56" s="1183"/>
      <c r="I56" s="1183"/>
      <c r="J56" s="1183"/>
      <c r="K56" s="1183"/>
      <c r="L56" s="1183"/>
      <c r="M56" s="1183"/>
      <c r="N56" s="1183"/>
      <c r="O56" s="1183"/>
      <c r="P56" s="1185"/>
      <c r="U56" s="27"/>
      <c r="V56" s="27"/>
      <c r="W56" s="27"/>
    </row>
    <row r="57" spans="1:23" hidden="1" outlineLevel="1">
      <c r="B57" s="1172"/>
      <c r="C57" s="1174"/>
      <c r="D57" s="1174"/>
      <c r="E57" s="1174"/>
      <c r="F57" s="1174"/>
      <c r="G57" s="1174"/>
      <c r="H57" s="1174"/>
      <c r="I57" s="1174"/>
      <c r="J57" s="1174"/>
      <c r="K57" s="1174"/>
      <c r="L57" s="1174"/>
      <c r="M57" s="1174"/>
      <c r="N57" s="1174"/>
      <c r="O57" s="1174"/>
      <c r="P57" s="1176"/>
      <c r="U57" s="27"/>
      <c r="V57" s="27"/>
      <c r="W57" s="27"/>
    </row>
    <row r="58" spans="1:23" hidden="1" outlineLevel="1">
      <c r="B58" s="1172"/>
      <c r="C58" s="1186" t="s">
        <v>730</v>
      </c>
      <c r="D58" s="1174"/>
      <c r="E58" s="1175"/>
      <c r="F58" s="1174"/>
      <c r="G58" s="1175"/>
      <c r="H58" s="1174"/>
      <c r="I58" s="1174"/>
      <c r="J58" s="1174"/>
      <c r="K58" s="1174"/>
      <c r="L58" s="1174"/>
      <c r="M58" s="1174"/>
      <c r="N58" s="1174"/>
      <c r="O58" s="1175" t="str">
        <f>Preferences.EnergyUnits</f>
        <v>TWh</v>
      </c>
      <c r="P58" s="1176"/>
      <c r="U58" s="27"/>
      <c r="V58" s="27"/>
      <c r="W58" s="27"/>
    </row>
    <row r="59" spans="1:23" ht="6" hidden="1" customHeight="1" outlineLevel="1">
      <c r="B59" s="1172"/>
      <c r="C59" s="1174"/>
      <c r="D59" s="1174"/>
      <c r="E59" s="1174"/>
      <c r="F59" s="1174"/>
      <c r="G59" s="1174"/>
      <c r="H59" s="1174"/>
      <c r="I59" s="1174"/>
      <c r="J59" s="1174"/>
      <c r="K59" s="1174"/>
      <c r="L59" s="1174"/>
      <c r="M59" s="1174"/>
      <c r="N59" s="1174"/>
      <c r="O59" s="1174"/>
      <c r="P59" s="1176"/>
      <c r="U59" s="27"/>
      <c r="V59" s="27"/>
      <c r="W59" s="27"/>
    </row>
    <row r="60" spans="1:23" ht="15.75" hidden="1" outlineLevel="1">
      <c r="A60" s="3"/>
      <c r="B60" s="1177"/>
      <c r="C60" s="1188" t="s">
        <v>78</v>
      </c>
      <c r="D60" s="1188" t="s">
        <v>418</v>
      </c>
      <c r="E60" s="1188" t="s">
        <v>442</v>
      </c>
      <c r="F60" s="1188" t="s">
        <v>691</v>
      </c>
      <c r="G60" s="1188" t="s">
        <v>692</v>
      </c>
      <c r="H60" s="1189" t="s">
        <v>721</v>
      </c>
      <c r="I60" s="1189" t="s">
        <v>722</v>
      </c>
      <c r="J60" s="1189" t="s">
        <v>723</v>
      </c>
      <c r="K60" s="1189" t="s">
        <v>724</v>
      </c>
      <c r="L60" s="1189" t="s">
        <v>725</v>
      </c>
      <c r="M60" s="1189" t="s">
        <v>726</v>
      </c>
      <c r="N60" s="1189" t="s">
        <v>727</v>
      </c>
      <c r="O60" s="1189" t="s">
        <v>728</v>
      </c>
      <c r="P60" s="1176"/>
    </row>
    <row r="61" spans="1:23" ht="15.75" hidden="1" outlineLevel="1">
      <c r="A61" s="3"/>
      <c r="B61" s="1177"/>
      <c r="C61" s="765" t="s">
        <v>966</v>
      </c>
      <c r="D61" s="765" t="str">
        <f>INDEX(Vectors[Description], MATCH([Vector], Vectors[Code], 0))</f>
        <v>International aviation</v>
      </c>
      <c r="E61" s="765"/>
      <c r="F61" s="953">
        <f>F$48</f>
        <v>152.99167541479133</v>
      </c>
      <c r="G61" s="953">
        <f t="shared" ref="G61:O61" si="2">G$48</f>
        <v>153.63082794362825</v>
      </c>
      <c r="H61" s="953">
        <f t="shared" si="2"/>
        <v>174.02097069883129</v>
      </c>
      <c r="I61" s="953">
        <f t="shared" si="2"/>
        <v>194.2224288429754</v>
      </c>
      <c r="J61" s="953">
        <f t="shared" si="2"/>
        <v>201.39443053847114</v>
      </c>
      <c r="K61" s="953">
        <f t="shared" si="2"/>
        <v>208.13218382871563</v>
      </c>
      <c r="L61" s="953">
        <f t="shared" si="2"/>
        <v>212.05653906435825</v>
      </c>
      <c r="M61" s="953">
        <f t="shared" si="2"/>
        <v>212.09205012603269</v>
      </c>
      <c r="N61" s="953">
        <f t="shared" si="2"/>
        <v>209.1795176408344</v>
      </c>
      <c r="O61" s="953">
        <f t="shared" si="2"/>
        <v>206.26698515563612</v>
      </c>
      <c r="P61" s="1176"/>
    </row>
    <row r="62" spans="1:23" ht="15.75" hidden="1" outlineLevel="1">
      <c r="A62" s="3"/>
      <c r="B62" s="1177"/>
      <c r="C62" s="765" t="s">
        <v>49</v>
      </c>
      <c r="D62" s="765" t="str">
        <f>INDEX(Vectors[Description], MATCH([Vector], Vectors[Code], 0))</f>
        <v>Liquid hydrocarbons</v>
      </c>
      <c r="E62" s="765"/>
      <c r="F62" s="953">
        <f>-F$48</f>
        <v>-152.99167541479133</v>
      </c>
      <c r="G62" s="953">
        <f t="shared" ref="G62:O62" si="3">-G$48</f>
        <v>-153.63082794362825</v>
      </c>
      <c r="H62" s="953">
        <f t="shared" si="3"/>
        <v>-174.02097069883129</v>
      </c>
      <c r="I62" s="953">
        <f t="shared" si="3"/>
        <v>-194.2224288429754</v>
      </c>
      <c r="J62" s="953">
        <f t="shared" si="3"/>
        <v>-201.39443053847114</v>
      </c>
      <c r="K62" s="953">
        <f t="shared" si="3"/>
        <v>-208.13218382871563</v>
      </c>
      <c r="L62" s="953">
        <f t="shared" si="3"/>
        <v>-212.05653906435825</v>
      </c>
      <c r="M62" s="953">
        <f t="shared" si="3"/>
        <v>-212.09205012603269</v>
      </c>
      <c r="N62" s="953">
        <f t="shared" si="3"/>
        <v>-209.1795176408344</v>
      </c>
      <c r="O62" s="953">
        <f t="shared" si="3"/>
        <v>-206.26698515563612</v>
      </c>
      <c r="P62" s="1176"/>
    </row>
    <row r="63" spans="1:23" ht="15.75" hidden="1" outlineLevel="1">
      <c r="A63" s="3"/>
      <c r="B63" s="1177"/>
      <c r="C63" s="765" t="s">
        <v>148</v>
      </c>
      <c r="D63" s="765"/>
      <c r="E63" s="765"/>
      <c r="F63" s="953">
        <f>SUBTOTAL(109,[2007])</f>
        <v>0</v>
      </c>
      <c r="G63" s="953">
        <f>SUBTOTAL(109,[2010])</f>
        <v>0</v>
      </c>
      <c r="H63" s="953">
        <f>SUBTOTAL(109,[2015])</f>
        <v>0</v>
      </c>
      <c r="I63" s="953">
        <f>SUBTOTAL(109,[2020])</f>
        <v>0</v>
      </c>
      <c r="J63" s="953">
        <f>SUBTOTAL(109,[2025])</f>
        <v>0</v>
      </c>
      <c r="K63" s="953">
        <f>SUBTOTAL(109,[2030])</f>
        <v>0</v>
      </c>
      <c r="L63" s="953">
        <f>SUBTOTAL(109,[2035])</f>
        <v>0</v>
      </c>
      <c r="M63" s="953">
        <f>SUBTOTAL(109,[2040])</f>
        <v>0</v>
      </c>
      <c r="N63" s="953">
        <f>SUBTOTAL(109,[2045])</f>
        <v>0</v>
      </c>
      <c r="O63" s="953">
        <f>SUBTOTAL(109,[2050])</f>
        <v>0</v>
      </c>
      <c r="P63" s="1176"/>
    </row>
    <row r="64" spans="1:23" ht="15.75" hidden="1" outlineLevel="1">
      <c r="A64" s="3"/>
      <c r="B64" s="1178"/>
      <c r="C64" s="1179"/>
      <c r="D64" s="1179"/>
      <c r="E64" s="1179"/>
      <c r="F64" s="1179"/>
      <c r="G64" s="1179"/>
      <c r="H64" s="1179"/>
      <c r="I64" s="1179"/>
      <c r="J64" s="1179"/>
      <c r="K64" s="1179"/>
      <c r="L64" s="1179"/>
      <c r="M64" s="1179"/>
      <c r="N64" s="1179"/>
      <c r="O64" s="1179"/>
      <c r="P64" s="1181"/>
    </row>
    <row r="65" spans="1:16" hidden="1" outlineLevel="1"/>
    <row r="66" spans="1:16" ht="22.5" hidden="1" outlineLevel="1">
      <c r="A66" s="1171"/>
      <c r="B66" s="1249" t="s">
        <v>902</v>
      </c>
      <c r="C66" s="1198"/>
      <c r="D66" s="1199"/>
      <c r="E66" s="1199"/>
      <c r="F66" s="1199"/>
      <c r="G66" s="1199"/>
      <c r="H66" s="1199"/>
      <c r="I66" s="1199"/>
      <c r="J66" s="1199"/>
      <c r="K66" s="1199"/>
      <c r="L66" s="1199"/>
      <c r="M66" s="1199"/>
      <c r="N66" s="1199"/>
      <c r="O66" s="1199"/>
      <c r="P66" s="1200"/>
    </row>
    <row r="67" spans="1:16" hidden="1" outlineLevel="1">
      <c r="B67" s="1207"/>
      <c r="C67" s="1208"/>
      <c r="D67" s="1208"/>
      <c r="E67" s="1208"/>
      <c r="F67" s="1208"/>
      <c r="G67" s="1208"/>
      <c r="H67" s="1208"/>
      <c r="I67" s="1208"/>
      <c r="J67" s="1208"/>
      <c r="K67" s="1208"/>
      <c r="L67" s="1208"/>
      <c r="M67" s="1208"/>
      <c r="N67" s="1208"/>
      <c r="O67" s="1208"/>
      <c r="P67" s="1209"/>
    </row>
    <row r="68" spans="1:16" ht="14.25" hidden="1" outlineLevel="1">
      <c r="B68" s="1210"/>
      <c r="C68" s="1201" t="s">
        <v>1073</v>
      </c>
      <c r="D68" s="1202"/>
      <c r="E68" s="1203"/>
      <c r="F68" s="1202"/>
      <c r="G68" s="1203"/>
      <c r="H68" s="1202"/>
      <c r="I68" s="1202"/>
      <c r="J68" s="1202"/>
      <c r="K68" s="1202"/>
      <c r="L68" s="1202"/>
      <c r="M68" s="1202"/>
      <c r="N68" s="1202"/>
      <c r="O68" s="1203" t="s">
        <v>1076</v>
      </c>
      <c r="P68" s="1211"/>
    </row>
    <row r="69" spans="1:16" ht="5.25" hidden="1" customHeight="1" outlineLevel="1">
      <c r="B69" s="1210"/>
      <c r="C69" s="1202"/>
      <c r="D69" s="1202"/>
      <c r="E69" s="1202"/>
      <c r="F69" s="1202"/>
      <c r="G69" s="1202"/>
      <c r="H69" s="1202"/>
      <c r="I69" s="1202"/>
      <c r="J69" s="1202"/>
      <c r="K69" s="1202"/>
      <c r="L69" s="1202"/>
      <c r="M69" s="1202"/>
      <c r="N69" s="1202"/>
      <c r="O69" s="1202"/>
      <c r="P69" s="1211"/>
    </row>
    <row r="70" spans="1:16" ht="15.75" hidden="1" outlineLevel="1">
      <c r="B70" s="1212"/>
      <c r="C70" s="1269" t="s">
        <v>1072</v>
      </c>
      <c r="D70" s="1269" t="s">
        <v>1042</v>
      </c>
      <c r="E70" s="1269" t="s">
        <v>442</v>
      </c>
      <c r="F70" s="1269" t="s">
        <v>691</v>
      </c>
      <c r="G70" s="1269" t="s">
        <v>692</v>
      </c>
      <c r="H70" s="1269" t="s">
        <v>721</v>
      </c>
      <c r="I70" s="1269" t="s">
        <v>722</v>
      </c>
      <c r="J70" s="1269" t="s">
        <v>723</v>
      </c>
      <c r="K70" s="1269" t="s">
        <v>724</v>
      </c>
      <c r="L70" s="1269" t="s">
        <v>725</v>
      </c>
      <c r="M70" s="1269" t="s">
        <v>726</v>
      </c>
      <c r="N70" s="1269" t="s">
        <v>727</v>
      </c>
      <c r="O70" s="1269" t="s">
        <v>728</v>
      </c>
      <c r="P70" s="1211"/>
    </row>
    <row r="71" spans="1:16" ht="15.75" hidden="1" outlineLevel="1">
      <c r="B71" s="1212"/>
      <c r="C71" s="1206" t="s">
        <v>1055</v>
      </c>
      <c r="D71" s="1216" t="s">
        <v>1050</v>
      </c>
      <c r="E71" s="1206" t="str">
        <f>INDEX(IPCC[Sector_description], MATCH([IPCC Sector], IPCC[Sector_code], 0))</f>
        <v>International Aviation and Shipping</v>
      </c>
      <c r="F71" s="1218">
        <f>F$51</f>
        <v>38.247918853697833</v>
      </c>
      <c r="G71" s="1218">
        <f t="shared" ref="G71:O71" si="4">G$51</f>
        <v>38.407706985907062</v>
      </c>
      <c r="H71" s="1218">
        <f t="shared" si="4"/>
        <v>43.505242674707823</v>
      </c>
      <c r="I71" s="1218">
        <f t="shared" si="4"/>
        <v>48.555607210743851</v>
      </c>
      <c r="J71" s="1218">
        <f t="shared" si="4"/>
        <v>50.348607634617785</v>
      </c>
      <c r="K71" s="1218">
        <f t="shared" si="4"/>
        <v>52.033045957178906</v>
      </c>
      <c r="L71" s="1218">
        <f t="shared" si="4"/>
        <v>53.014134766089562</v>
      </c>
      <c r="M71" s="1218">
        <f t="shared" si="4"/>
        <v>53.023012531508172</v>
      </c>
      <c r="N71" s="1218">
        <f t="shared" si="4"/>
        <v>52.294879410208601</v>
      </c>
      <c r="O71" s="1218">
        <f t="shared" si="4"/>
        <v>51.56674628890903</v>
      </c>
      <c r="P71" s="1211"/>
    </row>
    <row r="72" spans="1:16" ht="15.75" hidden="1" outlineLevel="1">
      <c r="B72" s="1212"/>
      <c r="C72" s="1206" t="s">
        <v>1056</v>
      </c>
      <c r="D72" s="1216" t="s">
        <v>1050</v>
      </c>
      <c r="E72" s="1206" t="str">
        <f>INDEX(IPCC[Sector_description], MATCH([IPCC Sector], IPCC[Sector_code], 0))</f>
        <v>International Aviation and Shipping</v>
      </c>
      <c r="F72" s="1218">
        <f>F$52</f>
        <v>4.7618507979587513E-2</v>
      </c>
      <c r="G72" s="1218">
        <f t="shared" ref="G72:O72" si="5">G$52</f>
        <v>4.7817443573384216E-2</v>
      </c>
      <c r="H72" s="1218">
        <f t="shared" si="5"/>
        <v>5.4163855382138699E-2</v>
      </c>
      <c r="I72" s="1218">
        <f t="shared" si="5"/>
        <v>6.0451539291921062E-2</v>
      </c>
      <c r="J72" s="1218">
        <f t="shared" si="5"/>
        <v>6.2683817741324602E-2</v>
      </c>
      <c r="K72" s="1218">
        <f t="shared" si="5"/>
        <v>6.4780936803169833E-2</v>
      </c>
      <c r="L72" s="1218">
        <f t="shared" si="5"/>
        <v>6.600238849716912E-2</v>
      </c>
      <c r="M72" s="1218">
        <f t="shared" si="5"/>
        <v>6.6013441280068072E-2</v>
      </c>
      <c r="N72" s="1218">
        <f t="shared" si="5"/>
        <v>6.5106918418538495E-2</v>
      </c>
      <c r="O72" s="1218">
        <f t="shared" si="5"/>
        <v>6.4200395557008905E-2</v>
      </c>
      <c r="P72" s="1211"/>
    </row>
    <row r="73" spans="1:16" ht="15.75" hidden="1" outlineLevel="1">
      <c r="B73" s="1212"/>
      <c r="C73" s="1206" t="s">
        <v>1057</v>
      </c>
      <c r="D73" s="1216" t="s">
        <v>1050</v>
      </c>
      <c r="E73" s="1206" t="str">
        <f>INDEX(IPCC[Sector_description], MATCH([IPCC Sector], IPCC[Sector_code], 0))</f>
        <v>International Aviation and Shipping</v>
      </c>
      <c r="F73" s="1218">
        <f>F$53</f>
        <v>0.68815843363024276</v>
      </c>
      <c r="G73" s="1218">
        <f t="shared" ref="G73:O73" si="6">G$53</f>
        <v>0.6910333495490516</v>
      </c>
      <c r="H73" s="1218">
        <f t="shared" si="6"/>
        <v>0.7827484619032038</v>
      </c>
      <c r="I73" s="1218">
        <f t="shared" si="6"/>
        <v>0.87361486856115123</v>
      </c>
      <c r="J73" s="1218">
        <f t="shared" si="6"/>
        <v>0.90587462020701515</v>
      </c>
      <c r="K73" s="1218">
        <f t="shared" si="6"/>
        <v>0.93618111719667674</v>
      </c>
      <c r="L73" s="1218">
        <f t="shared" si="6"/>
        <v>0.95383291520886704</v>
      </c>
      <c r="M73" s="1218">
        <f t="shared" si="6"/>
        <v>0.95399264440009379</v>
      </c>
      <c r="N73" s="1218">
        <f t="shared" si="6"/>
        <v>0.94089203753715678</v>
      </c>
      <c r="O73" s="1218">
        <f t="shared" si="6"/>
        <v>0.92779143067421976</v>
      </c>
      <c r="P73" s="1211"/>
    </row>
    <row r="74" spans="1:16" ht="15.75" hidden="1" outlineLevel="1">
      <c r="B74" s="1212"/>
      <c r="C74" s="1206" t="s">
        <v>148</v>
      </c>
      <c r="D74" s="1206"/>
      <c r="E74" s="1206"/>
      <c r="F74" s="1278">
        <f>SUBTOTAL(109,[2007])</f>
        <v>0</v>
      </c>
      <c r="G74" s="1278">
        <f>SUBTOTAL(109,[2010])</f>
        <v>0</v>
      </c>
      <c r="H74" s="1278">
        <f>SUBTOTAL(109,[2015])</f>
        <v>0</v>
      </c>
      <c r="I74" s="1278">
        <f>SUBTOTAL(109,[2020])</f>
        <v>0</v>
      </c>
      <c r="J74" s="1278">
        <f>SUBTOTAL(109,[2025])</f>
        <v>0</v>
      </c>
      <c r="K74" s="1278">
        <f>SUBTOTAL(109,[2030])</f>
        <v>0</v>
      </c>
      <c r="L74" s="1278">
        <f>SUBTOTAL(109,[2035])</f>
        <v>0</v>
      </c>
      <c r="M74" s="1278">
        <f>SUBTOTAL(109,[2040])</f>
        <v>0</v>
      </c>
      <c r="N74" s="1278">
        <f>SUBTOTAL(109,[2045])</f>
        <v>0</v>
      </c>
      <c r="O74" s="1278">
        <f>SUBTOTAL(109,[2050])</f>
        <v>0</v>
      </c>
      <c r="P74" s="1211"/>
    </row>
    <row r="75" spans="1:16" ht="15.75" hidden="1" outlineLevel="1">
      <c r="B75" s="1212"/>
      <c r="C75" s="1202"/>
      <c r="D75" s="1202"/>
      <c r="E75" s="1202"/>
      <c r="F75" s="1202"/>
      <c r="G75" s="1202"/>
      <c r="H75" s="1202"/>
      <c r="I75" s="1202"/>
      <c r="J75" s="1202"/>
      <c r="K75" s="1202"/>
      <c r="L75" s="1202"/>
      <c r="M75" s="1202"/>
      <c r="N75" s="1202"/>
      <c r="O75" s="1202"/>
      <c r="P75" s="1211"/>
    </row>
    <row r="76" spans="1:16" hidden="1" outlineLevel="1"/>
  </sheetData>
  <pageMargins left="0.7" right="0.7" top="0.75" bottom="0.75" header="0.3" footer="0.3"/>
  <pageSetup paperSize="9" orientation="portrait" r:id="rId1"/>
  <tableParts count="2">
    <tablePart r:id="rId2"/>
    <tablePart r:id="rId3"/>
  </tableParts>
</worksheet>
</file>

<file path=xl/worksheets/sheet44.xml><?xml version="1.0" encoding="utf-8"?>
<worksheet xmlns="http://schemas.openxmlformats.org/spreadsheetml/2006/main" xmlns:r="http://schemas.openxmlformats.org/officeDocument/2006/relationships">
  <sheetPr codeName="Sheet52">
    <tabColor theme="9"/>
    <outlinePr summaryBelow="0"/>
    <pageSetUpPr autoPageBreaks="0"/>
  </sheetPr>
  <dimension ref="A1:Z75"/>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3.28515625" style="121" customWidth="1"/>
    <col min="3" max="3" width="9.140625" style="121"/>
    <col min="4" max="4" width="28.140625" style="121" bestFit="1" customWidth="1"/>
    <col min="5" max="5" width="11.140625" style="121" customWidth="1"/>
    <col min="6" max="6" width="9.140625" style="121" customWidth="1"/>
    <col min="7" max="15" width="9.140625" style="121"/>
    <col min="16" max="16" width="2" style="121" customWidth="1"/>
    <col min="17" max="16384" width="9.140625" style="121"/>
  </cols>
  <sheetData>
    <row r="1" spans="1:26" ht="21">
      <c r="A1" s="790" t="s">
        <v>679</v>
      </c>
      <c r="B1" s="790" t="str">
        <f>INDEX(Workstreams[Workstream], MATCH($A1, Workstreams[Code], 0))</f>
        <v>Transport</v>
      </c>
      <c r="C1" s="790"/>
    </row>
    <row r="2" spans="1:26" s="743" customFormat="1" ht="19.5" customHeight="1">
      <c r="A2" s="10" t="s">
        <v>957</v>
      </c>
      <c r="B2" s="10" t="str">
        <f>INDEX(Modules[Module], MATCH($A2, Modules[Code], 0))</f>
        <v>International shipping (maritime bunkers)</v>
      </c>
      <c r="C2" s="10"/>
    </row>
    <row r="4" spans="1:26" ht="22.5" collapsed="1">
      <c r="A4" s="1171"/>
      <c r="B4" s="1231" t="s">
        <v>1353</v>
      </c>
      <c r="C4" s="1183"/>
      <c r="D4" s="1183"/>
      <c r="E4" s="1183"/>
      <c r="F4" s="1183"/>
      <c r="G4" s="1183"/>
      <c r="H4" s="1183"/>
      <c r="I4" s="1183"/>
      <c r="J4" s="1183"/>
      <c r="K4" s="1183"/>
      <c r="L4" s="1183"/>
      <c r="M4" s="1183"/>
      <c r="N4" s="1183"/>
      <c r="O4" s="1183"/>
      <c r="P4" s="1185"/>
    </row>
    <row r="5" spans="1:26" hidden="1" outlineLevel="1">
      <c r="B5" s="1172"/>
      <c r="C5" s="1174"/>
      <c r="D5" s="1174"/>
      <c r="E5" s="1174"/>
      <c r="F5" s="1174"/>
      <c r="G5" s="1174"/>
      <c r="H5" s="1174"/>
      <c r="I5" s="1174"/>
      <c r="J5" s="1174"/>
      <c r="K5" s="1174"/>
      <c r="L5" s="1174"/>
      <c r="M5" s="1174"/>
      <c r="N5" s="1174"/>
      <c r="O5" s="1174"/>
      <c r="P5" s="1176"/>
    </row>
    <row r="6" spans="1:26" ht="5.25" hidden="1" customHeight="1" outlineLevel="1">
      <c r="B6" s="1172"/>
      <c r="C6" s="1173"/>
      <c r="D6" s="1174"/>
      <c r="E6" s="1175"/>
      <c r="F6" s="1174"/>
      <c r="G6" s="1174"/>
      <c r="H6" s="1174"/>
      <c r="I6" s="1174"/>
      <c r="J6" s="1174"/>
      <c r="K6" s="1174"/>
      <c r="L6" s="1174"/>
      <c r="M6" s="1174"/>
      <c r="N6" s="1174"/>
      <c r="O6" s="1174"/>
      <c r="P6" s="1176"/>
    </row>
    <row r="7" spans="1:26" ht="15.75" hidden="1" outlineLevel="1">
      <c r="B7" s="1177"/>
      <c r="C7" s="1174"/>
      <c r="D7" s="922" t="s">
        <v>830</v>
      </c>
      <c r="E7" s="922" t="s">
        <v>1352</v>
      </c>
      <c r="F7" s="1174"/>
      <c r="G7" s="1174"/>
      <c r="H7" s="1174"/>
      <c r="I7" s="1174"/>
      <c r="J7" s="1174"/>
      <c r="K7" s="1174"/>
      <c r="L7" s="1174"/>
      <c r="M7" s="1174"/>
      <c r="N7" s="1174"/>
      <c r="O7" s="1174"/>
      <c r="P7" s="1176"/>
    </row>
    <row r="8" spans="1:26" ht="15.75" hidden="1" outlineLevel="1">
      <c r="B8" s="1177"/>
      <c r="C8" s="1174"/>
      <c r="D8" s="950" t="s">
        <v>1355</v>
      </c>
      <c r="E8" s="950">
        <f>MIN(XII.e.Scenario,1)</f>
        <v>1</v>
      </c>
      <c r="F8" s="1174"/>
      <c r="G8" s="1174"/>
      <c r="H8" s="1174"/>
      <c r="I8" s="1174"/>
      <c r="J8" s="1174"/>
      <c r="K8" s="1174"/>
      <c r="L8" s="1174"/>
      <c r="M8" s="1174"/>
      <c r="N8" s="1174"/>
      <c r="O8" s="1174"/>
      <c r="P8" s="1176"/>
    </row>
    <row r="9" spans="1:26" hidden="1" outlineLevel="1">
      <c r="B9" s="1192"/>
      <c r="C9" s="1180"/>
      <c r="D9" s="1180"/>
      <c r="E9" s="1180"/>
      <c r="F9" s="1180"/>
      <c r="G9" s="1180"/>
      <c r="H9" s="1180"/>
      <c r="I9" s="1180"/>
      <c r="J9" s="1180"/>
      <c r="K9" s="1180"/>
      <c r="L9" s="1180"/>
      <c r="M9" s="1180"/>
      <c r="N9" s="1180"/>
      <c r="O9" s="1180"/>
      <c r="P9" s="1181"/>
    </row>
    <row r="11" spans="1:26" s="743" customFormat="1" ht="22.5" collapsed="1">
      <c r="A11" s="1170"/>
      <c r="B11" s="1236" t="s">
        <v>1354</v>
      </c>
      <c r="C11" s="1167"/>
      <c r="D11" s="1167"/>
      <c r="E11" s="1167"/>
      <c r="F11" s="1167"/>
      <c r="G11" s="1167"/>
      <c r="H11" s="1167"/>
      <c r="I11" s="1167"/>
      <c r="J11" s="1167"/>
      <c r="K11" s="1167"/>
      <c r="L11" s="1167"/>
      <c r="M11" s="1167"/>
      <c r="N11" s="1167"/>
      <c r="O11" s="1167"/>
      <c r="P11" s="1168"/>
    </row>
    <row r="12" spans="1:26" hidden="1" outlineLevel="1">
      <c r="B12" s="1157"/>
      <c r="C12" s="864"/>
      <c r="D12" s="864"/>
      <c r="E12" s="864"/>
      <c r="F12" s="864"/>
      <c r="G12" s="864"/>
      <c r="H12" s="864"/>
      <c r="I12" s="864"/>
      <c r="J12" s="864"/>
      <c r="K12" s="864"/>
      <c r="L12" s="864"/>
      <c r="M12" s="864"/>
      <c r="N12" s="864"/>
      <c r="O12" s="864"/>
      <c r="P12" s="1158"/>
    </row>
    <row r="13" spans="1:26" hidden="1" outlineLevel="1">
      <c r="B13" s="1157"/>
      <c r="C13" s="866" t="s">
        <v>2273</v>
      </c>
      <c r="D13" s="864"/>
      <c r="E13" s="867"/>
      <c r="F13" s="864"/>
      <c r="G13" s="864"/>
      <c r="H13" s="864"/>
      <c r="I13" s="864"/>
      <c r="J13" s="864"/>
      <c r="K13" s="864"/>
      <c r="L13" s="864"/>
      <c r="M13" s="864"/>
      <c r="N13" s="864"/>
      <c r="O13" s="867" t="s">
        <v>1401</v>
      </c>
      <c r="P13" s="1158"/>
    </row>
    <row r="14" spans="1:26" ht="5.25" hidden="1" customHeight="1" outlineLevel="1">
      <c r="B14" s="1157"/>
      <c r="C14" s="864"/>
      <c r="D14" s="864"/>
      <c r="E14" s="864"/>
      <c r="F14" s="864"/>
      <c r="G14" s="864"/>
      <c r="H14" s="864"/>
      <c r="I14" s="864"/>
      <c r="J14" s="864"/>
      <c r="K14" s="864"/>
      <c r="L14" s="864"/>
      <c r="M14" s="864"/>
      <c r="N14" s="864"/>
      <c r="O14" s="864"/>
      <c r="P14" s="1158"/>
    </row>
    <row r="15" spans="1:26" hidden="1" outlineLevel="1">
      <c r="B15" s="1157"/>
      <c r="C15" s="766" t="s">
        <v>1352</v>
      </c>
      <c r="D15" s="766" t="s">
        <v>80</v>
      </c>
      <c r="E15" s="766" t="s">
        <v>442</v>
      </c>
      <c r="F15" s="923">
        <v>2007</v>
      </c>
      <c r="G15" s="924">
        <v>2010</v>
      </c>
      <c r="H15" s="923">
        <v>2015</v>
      </c>
      <c r="I15" s="923">
        <v>2020</v>
      </c>
      <c r="J15" s="923">
        <v>2025</v>
      </c>
      <c r="K15" s="923">
        <v>2030</v>
      </c>
      <c r="L15" s="923">
        <v>2035</v>
      </c>
      <c r="M15" s="923">
        <v>2040</v>
      </c>
      <c r="N15" s="923">
        <v>2045</v>
      </c>
      <c r="O15" s="923">
        <v>2050</v>
      </c>
      <c r="P15" s="1158"/>
    </row>
    <row r="16" spans="1:26" ht="15.75" hidden="1" outlineLevel="1">
      <c r="B16" s="1159"/>
      <c r="C16" s="831">
        <v>1</v>
      </c>
      <c r="D16" s="832" t="s">
        <v>152</v>
      </c>
      <c r="E16" s="1254"/>
      <c r="F16" s="847">
        <f>-'2007 (Actual, frozen)'!$W$65</f>
        <v>29.222291428230907</v>
      </c>
      <c r="G16" s="856">
        <f>(1000000000*Constants.GCV.Diesel)*3.4231243630327</f>
        <v>43.30892867886606</v>
      </c>
      <c r="H16" s="847">
        <f>(1000000000*Constants.GCV.Diesel)*3.68930120647137</f>
        <v>46.676563829064939</v>
      </c>
      <c r="I16" s="847">
        <f>(1000000000*Constants.GCV.Diesel)*3.97617554858934</f>
        <v>50.306061067539972</v>
      </c>
      <c r="J16" s="847">
        <f>(1000000000*Constants.GCV.Diesel)*4.64339740937653</f>
        <v>58.747666138590283</v>
      </c>
      <c r="K16" s="847">
        <f>(1000000000*Constants.GCV.Diesel)*5.422582388007</f>
        <v>68.605814160198818</v>
      </c>
      <c r="L16" s="847">
        <f>(1000000000*Constants.GCV.Diesel)*6.3325184476665</f>
        <v>80.11820802344954</v>
      </c>
      <c r="M16" s="847">
        <f>(1000000000*Constants.GCV.Diesel)*7.39514626439361</f>
        <v>93.562438336496442</v>
      </c>
      <c r="N16" s="847">
        <f>(1000000000*Constants.GCV.Diesel)*8.63608826784027</f>
        <v>109.26267678014634</v>
      </c>
      <c r="O16" s="847">
        <f>(1000000000*Constants.GCV.Diesel)*10.0852664576803</f>
        <v>127.59749264150933</v>
      </c>
      <c r="P16" s="2417"/>
      <c r="R16" s="27"/>
      <c r="S16" s="27"/>
      <c r="T16" s="27"/>
      <c r="U16" s="27"/>
      <c r="V16" s="27"/>
      <c r="W16" s="27"/>
      <c r="X16" s="27"/>
      <c r="Y16" s="27"/>
      <c r="Z16" s="27"/>
    </row>
    <row r="17" spans="1:18" ht="15.75" hidden="1" outlineLevel="1">
      <c r="B17" s="1159"/>
      <c r="C17" s="831">
        <v>2</v>
      </c>
      <c r="D17" s="832" t="s">
        <v>152</v>
      </c>
      <c r="E17" s="1254"/>
      <c r="F17" s="1091">
        <f>-'2007 (Actual, frozen)'!$W$65</f>
        <v>29.222291428230907</v>
      </c>
      <c r="G17" s="857" t="s">
        <v>651</v>
      </c>
      <c r="H17" s="1091" t="s">
        <v>651</v>
      </c>
      <c r="I17" s="1091" t="s">
        <v>651</v>
      </c>
      <c r="J17" s="1091" t="s">
        <v>651</v>
      </c>
      <c r="K17" s="1091" t="s">
        <v>651</v>
      </c>
      <c r="L17" s="1091" t="s">
        <v>651</v>
      </c>
      <c r="M17" s="1091" t="s">
        <v>651</v>
      </c>
      <c r="N17" s="1091" t="s">
        <v>651</v>
      </c>
      <c r="O17" s="1091" t="s">
        <v>651</v>
      </c>
      <c r="P17" s="2417"/>
      <c r="R17" s="1636"/>
    </row>
    <row r="18" spans="1:18" ht="15.75" hidden="1" outlineLevel="1">
      <c r="B18" s="1159"/>
      <c r="C18" s="831">
        <v>3</v>
      </c>
      <c r="D18" s="832" t="s">
        <v>152</v>
      </c>
      <c r="E18" s="1254"/>
      <c r="F18" s="1091">
        <f>-'2007 (Actual, frozen)'!$W$65</f>
        <v>29.222291428230907</v>
      </c>
      <c r="G18" s="857" t="s">
        <v>651</v>
      </c>
      <c r="H18" s="1091" t="s">
        <v>651</v>
      </c>
      <c r="I18" s="1091" t="s">
        <v>651</v>
      </c>
      <c r="J18" s="1091" t="s">
        <v>651</v>
      </c>
      <c r="K18" s="1091" t="s">
        <v>651</v>
      </c>
      <c r="L18" s="1091" t="s">
        <v>651</v>
      </c>
      <c r="M18" s="1091" t="s">
        <v>651</v>
      </c>
      <c r="N18" s="1091" t="s">
        <v>651</v>
      </c>
      <c r="O18" s="1091" t="s">
        <v>651</v>
      </c>
      <c r="P18" s="2417"/>
    </row>
    <row r="19" spans="1:18" ht="15.75" hidden="1" outlineLevel="1">
      <c r="B19" s="1159"/>
      <c r="C19" s="769">
        <v>4</v>
      </c>
      <c r="D19" s="770" t="s">
        <v>152</v>
      </c>
      <c r="E19" s="770"/>
      <c r="F19" s="859">
        <f>-'2007 (Actual, frozen)'!$W$65</f>
        <v>29.222291428230907</v>
      </c>
      <c r="G19" s="858" t="s">
        <v>651</v>
      </c>
      <c r="H19" s="859" t="s">
        <v>651</v>
      </c>
      <c r="I19" s="859" t="s">
        <v>651</v>
      </c>
      <c r="J19" s="859" t="s">
        <v>651</v>
      </c>
      <c r="K19" s="859" t="s">
        <v>651</v>
      </c>
      <c r="L19" s="859" t="s">
        <v>651</v>
      </c>
      <c r="M19" s="859" t="s">
        <v>651</v>
      </c>
      <c r="N19" s="859" t="s">
        <v>651</v>
      </c>
      <c r="O19" s="859" t="s">
        <v>651</v>
      </c>
      <c r="P19" s="2417"/>
    </row>
    <row r="20" spans="1:18" ht="15.75" hidden="1" outlineLevel="1">
      <c r="B20" s="1159"/>
      <c r="C20" s="831"/>
      <c r="D20" s="832"/>
      <c r="E20" s="832"/>
      <c r="F20" s="847"/>
      <c r="G20" s="848"/>
      <c r="H20" s="848"/>
      <c r="I20" s="848"/>
      <c r="J20" s="848"/>
      <c r="K20" s="848"/>
      <c r="L20" s="848"/>
      <c r="M20" s="848"/>
      <c r="N20" s="848"/>
      <c r="O20" s="848"/>
      <c r="P20" s="1158"/>
    </row>
    <row r="21" spans="1:18" hidden="1" outlineLevel="1">
      <c r="B21" s="1163"/>
      <c r="C21" s="1227" t="s">
        <v>717</v>
      </c>
      <c r="D21" s="868"/>
      <c r="E21" s="864"/>
      <c r="F21" s="864"/>
      <c r="G21" s="864"/>
      <c r="H21" s="864"/>
      <c r="I21" s="864"/>
      <c r="J21" s="864"/>
      <c r="K21" s="864"/>
      <c r="L21" s="864"/>
      <c r="M21" s="864"/>
      <c r="N21" s="864"/>
      <c r="O21" s="864"/>
      <c r="P21" s="1158"/>
    </row>
    <row r="22" spans="1:18" hidden="1" outlineLevel="1">
      <c r="B22" s="1163"/>
      <c r="C22" s="1226" t="s">
        <v>109</v>
      </c>
      <c r="D22" s="868" t="s">
        <v>1404</v>
      </c>
      <c r="E22" s="864"/>
      <c r="F22" s="864"/>
      <c r="G22" s="864"/>
      <c r="H22" s="864"/>
      <c r="I22" s="864"/>
      <c r="J22" s="864"/>
      <c r="K22" s="864"/>
      <c r="L22" s="864"/>
      <c r="M22" s="864"/>
      <c r="N22" s="864"/>
      <c r="O22" s="864"/>
      <c r="P22" s="1158"/>
    </row>
    <row r="23" spans="1:18" ht="15.75" hidden="1" outlineLevel="1">
      <c r="B23" s="1193"/>
      <c r="C23" s="1194"/>
      <c r="D23" s="1195"/>
      <c r="E23" s="1195"/>
      <c r="F23" s="1196"/>
      <c r="G23" s="1197"/>
      <c r="H23" s="1197"/>
      <c r="I23" s="1197"/>
      <c r="J23" s="1197"/>
      <c r="K23" s="1197"/>
      <c r="L23" s="1197"/>
      <c r="M23" s="1197"/>
      <c r="N23" s="1197"/>
      <c r="O23" s="1197"/>
      <c r="P23" s="1166"/>
    </row>
    <row r="25" spans="1:18" s="743" customFormat="1" ht="22.5" collapsed="1">
      <c r="A25" s="1170"/>
      <c r="B25" s="1236" t="s">
        <v>786</v>
      </c>
      <c r="C25" s="1167"/>
      <c r="D25" s="1167"/>
      <c r="E25" s="1167"/>
      <c r="F25" s="1167"/>
      <c r="G25" s="1167"/>
      <c r="H25" s="1167"/>
      <c r="I25" s="1167"/>
      <c r="J25" s="1167"/>
      <c r="K25" s="1167"/>
      <c r="L25" s="1167"/>
      <c r="M25" s="1167"/>
      <c r="N25" s="1167"/>
      <c r="O25" s="1167"/>
      <c r="P25" s="1168"/>
    </row>
    <row r="26" spans="1:18" hidden="1" outlineLevel="1">
      <c r="B26" s="1157"/>
      <c r="C26" s="864"/>
      <c r="D26" s="864"/>
      <c r="E26" s="864"/>
      <c r="F26" s="864"/>
      <c r="G26" s="864"/>
      <c r="H26" s="864"/>
      <c r="I26" s="864"/>
      <c r="J26" s="864"/>
      <c r="K26" s="864"/>
      <c r="L26" s="864"/>
      <c r="M26" s="864"/>
      <c r="N26" s="864"/>
      <c r="O26" s="864"/>
      <c r="P26" s="1158"/>
    </row>
    <row r="27" spans="1:18" hidden="1" outlineLevel="1">
      <c r="B27" s="1157"/>
      <c r="C27" s="866" t="s">
        <v>1593</v>
      </c>
      <c r="D27" s="864"/>
      <c r="E27" s="867"/>
      <c r="F27" s="867" t="str">
        <f>Preferences.EnergyUnits</f>
        <v>TWh</v>
      </c>
      <c r="G27" s="864"/>
      <c r="H27" s="864"/>
      <c r="I27" s="864"/>
      <c r="J27" s="864"/>
      <c r="K27" s="864"/>
      <c r="L27" s="864"/>
      <c r="M27" s="864"/>
      <c r="N27" s="864"/>
      <c r="O27" s="867"/>
      <c r="P27" s="1158"/>
    </row>
    <row r="28" spans="1:18" ht="5.25" hidden="1" customHeight="1" outlineLevel="1">
      <c r="B28" s="1157"/>
      <c r="C28" s="864"/>
      <c r="D28" s="864"/>
      <c r="E28" s="864"/>
      <c r="F28" s="864"/>
      <c r="G28" s="864"/>
      <c r="H28" s="864"/>
      <c r="I28" s="864"/>
      <c r="J28" s="864"/>
      <c r="K28" s="864"/>
      <c r="L28" s="864"/>
      <c r="M28" s="864"/>
      <c r="N28" s="864"/>
      <c r="O28" s="864"/>
      <c r="P28" s="1158"/>
    </row>
    <row r="29" spans="1:18" ht="15.75" hidden="1" outlineLevel="1">
      <c r="B29" s="1159"/>
      <c r="C29" s="766" t="s">
        <v>78</v>
      </c>
      <c r="D29" s="766" t="s">
        <v>80</v>
      </c>
      <c r="E29" s="766" t="s">
        <v>442</v>
      </c>
      <c r="F29" s="923">
        <v>2007</v>
      </c>
      <c r="G29" s="1293"/>
      <c r="H29" s="1293"/>
      <c r="I29" s="1293"/>
      <c r="J29" s="1293"/>
      <c r="K29" s="1293"/>
      <c r="L29" s="1293"/>
      <c r="M29" s="1293"/>
      <c r="N29" s="1293"/>
      <c r="O29" s="1293"/>
      <c r="P29" s="1158"/>
    </row>
    <row r="30" spans="1:18" ht="15.75" hidden="1" outlineLevel="1">
      <c r="B30" s="1159"/>
      <c r="C30" s="791" t="s">
        <v>49</v>
      </c>
      <c r="D30" s="792" t="s">
        <v>152</v>
      </c>
      <c r="E30" s="937" t="s">
        <v>109</v>
      </c>
      <c r="F30" s="938">
        <f>-'2007 (Actual, frozen)'!$W$65</f>
        <v>29.222291428230907</v>
      </c>
      <c r="G30" s="933"/>
      <c r="H30" s="933"/>
      <c r="I30" s="933"/>
      <c r="J30" s="933"/>
      <c r="K30" s="933"/>
      <c r="L30" s="933"/>
      <c r="M30" s="933"/>
      <c r="N30" s="933"/>
      <c r="O30" s="933"/>
      <c r="P30" s="1158"/>
    </row>
    <row r="31" spans="1:18" hidden="1" outlineLevel="1">
      <c r="B31" s="1157"/>
      <c r="C31" s="864"/>
      <c r="D31" s="864"/>
      <c r="E31" s="864"/>
      <c r="F31" s="864"/>
      <c r="G31" s="864"/>
      <c r="H31" s="864"/>
      <c r="I31" s="864"/>
      <c r="J31" s="864"/>
      <c r="K31" s="864"/>
      <c r="L31" s="864"/>
      <c r="M31" s="864"/>
      <c r="N31" s="864"/>
      <c r="O31" s="864"/>
      <c r="P31" s="1158"/>
    </row>
    <row r="32" spans="1:18" hidden="1" outlineLevel="1">
      <c r="B32" s="1157"/>
      <c r="C32" s="864" t="s">
        <v>717</v>
      </c>
      <c r="D32" s="864"/>
      <c r="E32" s="864"/>
      <c r="F32" s="864"/>
      <c r="G32" s="864"/>
      <c r="H32" s="864"/>
      <c r="I32" s="864"/>
      <c r="J32" s="864"/>
      <c r="K32" s="864"/>
      <c r="L32" s="864"/>
      <c r="M32" s="864"/>
      <c r="N32" s="864"/>
      <c r="O32" s="864"/>
      <c r="P32" s="1158"/>
    </row>
    <row r="33" spans="1:23" hidden="1" outlineLevel="1">
      <c r="B33" s="1157"/>
      <c r="C33" s="867" t="s">
        <v>109</v>
      </c>
      <c r="D33" s="864" t="s">
        <v>1160</v>
      </c>
      <c r="E33" s="864"/>
      <c r="F33" s="864"/>
      <c r="G33" s="864"/>
      <c r="H33" s="864"/>
      <c r="I33" s="864"/>
      <c r="J33" s="864"/>
      <c r="K33" s="864"/>
      <c r="L33" s="864"/>
      <c r="M33" s="864"/>
      <c r="N33" s="864"/>
      <c r="O33" s="864"/>
      <c r="P33" s="1158"/>
    </row>
    <row r="34" spans="1:23" s="715" customFormat="1" hidden="1" outlineLevel="1">
      <c r="B34" s="1260"/>
      <c r="C34" s="1261"/>
      <c r="D34" s="1224"/>
      <c r="E34" s="1262"/>
      <c r="F34" s="1262"/>
      <c r="G34" s="1262"/>
      <c r="H34" s="1262"/>
      <c r="I34" s="1262"/>
      <c r="J34" s="1262"/>
      <c r="K34" s="1262"/>
      <c r="L34" s="1262"/>
      <c r="M34" s="1262"/>
      <c r="N34" s="1262"/>
      <c r="O34" s="1262"/>
      <c r="P34" s="1263"/>
    </row>
    <row r="35" spans="1:23">
      <c r="T35" s="715"/>
      <c r="U35" s="715"/>
      <c r="V35" s="715"/>
      <c r="W35" s="715"/>
    </row>
    <row r="36" spans="1:23" ht="22.5" collapsed="1">
      <c r="A36" s="1171"/>
      <c r="B36" s="1236" t="s">
        <v>817</v>
      </c>
      <c r="C36" s="1264"/>
      <c r="D36" s="1264"/>
      <c r="E36" s="1264"/>
      <c r="F36" s="1264"/>
      <c r="G36" s="1264"/>
      <c r="H36" s="1264"/>
      <c r="I36" s="1264"/>
      <c r="J36" s="1264"/>
      <c r="K36" s="1264"/>
      <c r="L36" s="1264"/>
      <c r="M36" s="1264"/>
      <c r="N36" s="1264"/>
      <c r="O36" s="1264"/>
      <c r="P36" s="1265"/>
      <c r="T36" s="715"/>
      <c r="U36" s="715"/>
      <c r="V36" s="715"/>
    </row>
    <row r="37" spans="1:23" hidden="1" outlineLevel="1">
      <c r="B37" s="1157"/>
      <c r="C37" s="864"/>
      <c r="D37" s="864"/>
      <c r="E37" s="864"/>
      <c r="F37" s="864"/>
      <c r="G37" s="864"/>
      <c r="H37" s="864"/>
      <c r="I37" s="864"/>
      <c r="J37" s="864"/>
      <c r="K37" s="864"/>
      <c r="L37" s="864"/>
      <c r="M37" s="864"/>
      <c r="N37" s="864"/>
      <c r="O37" s="864"/>
      <c r="P37" s="1158"/>
    </row>
    <row r="38" spans="1:23" hidden="1" outlineLevel="1">
      <c r="B38" s="1164"/>
      <c r="C38" s="1165"/>
      <c r="D38" s="1165"/>
      <c r="E38" s="1165"/>
      <c r="F38" s="1165"/>
      <c r="G38" s="1165"/>
      <c r="H38" s="1165"/>
      <c r="I38" s="1165"/>
      <c r="J38" s="1165"/>
      <c r="K38" s="1165"/>
      <c r="L38" s="1165"/>
      <c r="M38" s="1165"/>
      <c r="N38" s="1165"/>
      <c r="O38" s="1165"/>
      <c r="P38" s="1166"/>
    </row>
    <row r="39" spans="1:23">
      <c r="V39" s="715"/>
    </row>
    <row r="40" spans="1:23" ht="18" collapsed="1">
      <c r="A40" s="767"/>
      <c r="B40" s="809" t="s">
        <v>732</v>
      </c>
    </row>
    <row r="41" spans="1:23" s="24" customFormat="1" hidden="1" outlineLevel="1">
      <c r="B41" s="731">
        <v>1</v>
      </c>
      <c r="C41" s="121" t="s">
        <v>922</v>
      </c>
    </row>
    <row r="42" spans="1:23" hidden="1" outlineLevel="1">
      <c r="B42" s="731">
        <v>2</v>
      </c>
      <c r="C42" s="121" t="s">
        <v>1168</v>
      </c>
    </row>
    <row r="43" spans="1:23" hidden="1" outlineLevel="1">
      <c r="B43" s="731"/>
    </row>
    <row r="44" spans="1:23" hidden="1" outlineLevel="1">
      <c r="F44" s="861">
        <v>2007</v>
      </c>
      <c r="G44" s="861">
        <v>2010</v>
      </c>
      <c r="H44" s="861">
        <v>2015</v>
      </c>
      <c r="I44" s="861">
        <v>2020</v>
      </c>
      <c r="J44" s="861">
        <v>2025</v>
      </c>
      <c r="K44" s="861">
        <v>2030</v>
      </c>
      <c r="L44" s="861">
        <v>2035</v>
      </c>
      <c r="M44" s="861">
        <v>2040</v>
      </c>
      <c r="N44" s="861">
        <v>2045</v>
      </c>
      <c r="O44" s="861">
        <v>2050</v>
      </c>
    </row>
    <row r="45" spans="1:23" hidden="1" outlineLevel="1">
      <c r="B45" s="731" t="s">
        <v>1594</v>
      </c>
      <c r="F45" s="861"/>
      <c r="G45" s="861"/>
      <c r="H45" s="861"/>
      <c r="I45" s="861"/>
      <c r="J45" s="861"/>
      <c r="K45" s="861"/>
      <c r="L45" s="861"/>
      <c r="M45" s="861"/>
      <c r="N45" s="861"/>
      <c r="O45" s="861"/>
    </row>
    <row r="46" spans="1:23" hidden="1" outlineLevel="1">
      <c r="F46" s="1648"/>
      <c r="G46" s="1648"/>
      <c r="H46" s="1648"/>
      <c r="I46" s="1648"/>
      <c r="J46" s="1648"/>
      <c r="K46" s="1648"/>
      <c r="L46" s="1648"/>
      <c r="M46" s="1648"/>
      <c r="N46" s="1648"/>
      <c r="O46" s="1648"/>
    </row>
    <row r="47" spans="1:23" s="731" customFormat="1" hidden="1" outlineLevel="1">
      <c r="B47" s="731" t="s">
        <v>49</v>
      </c>
      <c r="C47" s="731" t="str">
        <f>INDEX(Vectors[Description], MATCH(B47, Vectors[Code], 0))</f>
        <v>Liquid hydrocarbons</v>
      </c>
      <c r="E47" s="731" t="str">
        <f>Preferences.EnergyUnits</f>
        <v>TWh</v>
      </c>
      <c r="F47" s="943">
        <f>INDEX(F$16:F$19, MATCH($E$8, $C$16:$C$19, 0))</f>
        <v>29.222291428230907</v>
      </c>
      <c r="G47" s="943">
        <f t="shared" ref="G47:O47" si="0">INDEX(G$16:G$19, MATCH($E$8, $C$16:$C$19, 0))</f>
        <v>43.30892867886606</v>
      </c>
      <c r="H47" s="943">
        <f t="shared" si="0"/>
        <v>46.676563829064939</v>
      </c>
      <c r="I47" s="943">
        <f t="shared" si="0"/>
        <v>50.306061067539972</v>
      </c>
      <c r="J47" s="943">
        <f t="shared" si="0"/>
        <v>58.747666138590283</v>
      </c>
      <c r="K47" s="943">
        <f t="shared" si="0"/>
        <v>68.605814160198818</v>
      </c>
      <c r="L47" s="943">
        <f t="shared" si="0"/>
        <v>80.11820802344954</v>
      </c>
      <c r="M47" s="943">
        <f t="shared" si="0"/>
        <v>93.562438336496442</v>
      </c>
      <c r="N47" s="943">
        <f t="shared" si="0"/>
        <v>109.26267678014634</v>
      </c>
      <c r="O47" s="943">
        <f t="shared" si="0"/>
        <v>127.59749264150933</v>
      </c>
    </row>
    <row r="48" spans="1:23" s="731" customFormat="1" hidden="1" outlineLevel="1">
      <c r="F48" s="942"/>
      <c r="G48" s="942"/>
      <c r="H48" s="942"/>
      <c r="I48" s="942"/>
      <c r="J48" s="942"/>
      <c r="K48" s="942"/>
      <c r="L48" s="942"/>
      <c r="M48" s="942"/>
      <c r="N48" s="942"/>
      <c r="O48" s="942"/>
    </row>
    <row r="49" spans="1:23" s="731" customFormat="1" hidden="1" outlineLevel="1">
      <c r="B49" s="731" t="s">
        <v>1595</v>
      </c>
      <c r="C49" s="121"/>
      <c r="D49" s="743"/>
      <c r="E49" s="743"/>
      <c r="F49" s="783"/>
      <c r="G49" s="783"/>
      <c r="H49" s="783"/>
      <c r="I49" s="783"/>
      <c r="J49" s="783"/>
      <c r="K49" s="783"/>
      <c r="L49" s="783"/>
      <c r="M49" s="783"/>
      <c r="N49" s="783"/>
      <c r="O49" s="783"/>
    </row>
    <row r="50" spans="1:23" s="731" customFormat="1" ht="14.25" hidden="1" outlineLevel="1">
      <c r="C50" s="121" t="s">
        <v>1055</v>
      </c>
      <c r="D50" s="743"/>
      <c r="E50" s="743" t="s">
        <v>1076</v>
      </c>
      <c r="F50" s="823">
        <f>F$47*INDEX(EF[CO2], MATCH("V.04", EF[Vector], 0))</f>
        <v>7.3055728570577267</v>
      </c>
      <c r="G50" s="823">
        <f>G$47*INDEX(EF[CO2], MATCH("V.04", EF[Vector], 0))</f>
        <v>10.827232169716515</v>
      </c>
      <c r="H50" s="823">
        <f>H$47*INDEX(EF[CO2], MATCH("V.04", EF[Vector], 0))</f>
        <v>11.669140957266235</v>
      </c>
      <c r="I50" s="823">
        <f>I$47*INDEX(EF[CO2], MATCH("V.04", EF[Vector], 0))</f>
        <v>12.576515266884993</v>
      </c>
      <c r="J50" s="823">
        <f>J$47*INDEX(EF[CO2], MATCH("V.04", EF[Vector], 0))</f>
        <v>14.686916534647571</v>
      </c>
      <c r="K50" s="823">
        <f>K$47*INDEX(EF[CO2], MATCH("V.04", EF[Vector], 0))</f>
        <v>17.151453540049705</v>
      </c>
      <c r="L50" s="823">
        <f>L$47*INDEX(EF[CO2], MATCH("V.04", EF[Vector], 0))</f>
        <v>20.029552005862385</v>
      </c>
      <c r="M50" s="823">
        <f>M$47*INDEX(EF[CO2], MATCH("V.04", EF[Vector], 0))</f>
        <v>23.39060958412411</v>
      </c>
      <c r="N50" s="823">
        <f>N$47*INDEX(EF[CO2], MATCH("V.04", EF[Vector], 0))</f>
        <v>27.315669195036584</v>
      </c>
      <c r="O50" s="823">
        <f>O$47*INDEX(EF[CO2], MATCH("V.04", EF[Vector], 0))</f>
        <v>31.899373160377333</v>
      </c>
    </row>
    <row r="51" spans="1:23" s="731" customFormat="1" ht="14.25" hidden="1" outlineLevel="1">
      <c r="C51" s="121" t="s">
        <v>1056</v>
      </c>
      <c r="D51" s="743"/>
      <c r="E51" s="743" t="s">
        <v>1076</v>
      </c>
      <c r="F51" s="823">
        <f>F$47*INDEX(EF[CH4], MATCH("V.04", EF[Vector], 0))</f>
        <v>9.0954093664530975E-3</v>
      </c>
      <c r="G51" s="823">
        <f>G$47*INDEX(EF[CH4], MATCH("V.04", EF[Vector], 0))</f>
        <v>1.3479861308078628E-2</v>
      </c>
      <c r="H51" s="823">
        <f>H$47*INDEX(EF[CH4], MATCH("V.04", EF[Vector], 0))</f>
        <v>1.452803442493163E-2</v>
      </c>
      <c r="I51" s="823">
        <f>I$47*INDEX(EF[CH4], MATCH("V.04", EF[Vector], 0))</f>
        <v>1.5657711858318994E-2</v>
      </c>
      <c r="J51" s="823">
        <f>J$47*INDEX(EF[CH4], MATCH("V.04", EF[Vector], 0))</f>
        <v>1.8285153105344336E-2</v>
      </c>
      <c r="K51" s="823">
        <f>K$47*INDEX(EF[CH4], MATCH("V.04", EF[Vector], 0))</f>
        <v>2.1353491947691153E-2</v>
      </c>
      <c r="L51" s="823">
        <f>L$47*INDEX(EF[CH4], MATCH("V.04", EF[Vector], 0))</f>
        <v>2.4936713175611365E-2</v>
      </c>
      <c r="M51" s="823">
        <f>M$47*INDEX(EF[CH4], MATCH("V.04", EF[Vector], 0))</f>
        <v>2.9121216591928234E-2</v>
      </c>
      <c r="N51" s="823">
        <f>N$47*INDEX(EF[CH4], MATCH("V.04", EF[Vector], 0))</f>
        <v>3.4007900312355607E-2</v>
      </c>
      <c r="O51" s="823">
        <f>O$47*INDEX(EF[CH4], MATCH("V.04", EF[Vector], 0))</f>
        <v>3.9714593653882163E-2</v>
      </c>
    </row>
    <row r="52" spans="1:23" s="731" customFormat="1" ht="14.25" hidden="1" outlineLevel="1">
      <c r="C52" s="121" t="s">
        <v>1057</v>
      </c>
      <c r="D52" s="743"/>
      <c r="E52" s="743" t="s">
        <v>1076</v>
      </c>
      <c r="F52" s="823">
        <f>F$47*INDEX(EF[N2O], MATCH("V.04", EF[Vector], 0))</f>
        <v>0.1314422254793717</v>
      </c>
      <c r="G52" s="823">
        <f>G$47*INDEX(EF[N2O], MATCH("V.04", EF[Vector], 0))</f>
        <v>0.19480409271321017</v>
      </c>
      <c r="H52" s="823">
        <f>H$47*INDEX(EF[N2O], MATCH("V.04", EF[Vector], 0))</f>
        <v>0.20995175694863924</v>
      </c>
      <c r="I52" s="823">
        <f>I$47*INDEX(EF[N2O], MATCH("V.04", EF[Vector], 0))</f>
        <v>0.22627728007087833</v>
      </c>
      <c r="J52" s="823">
        <f>J$47*INDEX(EF[N2O], MATCH("V.04", EF[Vector], 0))</f>
        <v>0.26424772328139473</v>
      </c>
      <c r="K52" s="823">
        <f>K$47*INDEX(EF[N2O], MATCH("V.04", EF[Vector], 0))</f>
        <v>0.30858979406826925</v>
      </c>
      <c r="L52" s="823">
        <f>L$47*INDEX(EF[N2O], MATCH("V.04", EF[Vector], 0))</f>
        <v>0.3603726829528438</v>
      </c>
      <c r="M52" s="823">
        <f>M$47*INDEX(EF[N2O], MATCH("V.04", EF[Vector], 0))</f>
        <v>0.42084499589736968</v>
      </c>
      <c r="N52" s="823">
        <f>N$47*INDEX(EF[N2O], MATCH("V.04", EF[Vector], 0))</f>
        <v>0.49146486110056409</v>
      </c>
      <c r="O52" s="823">
        <f>O$47*INDEX(EF[N2O], MATCH("V.04", EF[Vector], 0))</f>
        <v>0.57393508786189962</v>
      </c>
    </row>
    <row r="53" spans="1:23" hidden="1" outlineLevel="1">
      <c r="E53" s="20"/>
      <c r="F53" s="925"/>
      <c r="G53" s="925"/>
      <c r="H53" s="925"/>
      <c r="I53" s="925"/>
      <c r="J53" s="925"/>
      <c r="K53" s="925"/>
      <c r="L53" s="925"/>
      <c r="M53" s="925"/>
      <c r="N53" s="925"/>
      <c r="O53" s="925"/>
    </row>
    <row r="54" spans="1:23">
      <c r="U54" s="27"/>
      <c r="V54" s="27"/>
      <c r="W54" s="27"/>
    </row>
    <row r="55" spans="1:23" ht="22.5" collapsed="1">
      <c r="A55" s="1171"/>
      <c r="B55" s="1231" t="s">
        <v>683</v>
      </c>
      <c r="C55" s="1183"/>
      <c r="D55" s="1183"/>
      <c r="E55" s="1183"/>
      <c r="F55" s="1183"/>
      <c r="G55" s="1183"/>
      <c r="H55" s="1183"/>
      <c r="I55" s="1183"/>
      <c r="J55" s="1183"/>
      <c r="K55" s="1183"/>
      <c r="L55" s="1183"/>
      <c r="M55" s="1183"/>
      <c r="N55" s="1183"/>
      <c r="O55" s="1183"/>
      <c r="P55" s="1185"/>
      <c r="U55" s="27"/>
      <c r="V55" s="27"/>
      <c r="W55" s="27"/>
    </row>
    <row r="56" spans="1:23" hidden="1" outlineLevel="1">
      <c r="B56" s="1172"/>
      <c r="C56" s="1174"/>
      <c r="D56" s="1174"/>
      <c r="E56" s="1174"/>
      <c r="F56" s="1174"/>
      <c r="G56" s="1174"/>
      <c r="H56" s="1174"/>
      <c r="I56" s="1174"/>
      <c r="J56" s="1174"/>
      <c r="K56" s="1174"/>
      <c r="L56" s="1174"/>
      <c r="M56" s="1174"/>
      <c r="N56" s="1174"/>
      <c r="O56" s="1174"/>
      <c r="P56" s="1176"/>
      <c r="U56" s="27"/>
      <c r="V56" s="27"/>
      <c r="W56" s="27"/>
    </row>
    <row r="57" spans="1:23" hidden="1" outlineLevel="1">
      <c r="B57" s="1172"/>
      <c r="C57" s="1186" t="s">
        <v>730</v>
      </c>
      <c r="D57" s="1174"/>
      <c r="E57" s="1175"/>
      <c r="F57" s="1174"/>
      <c r="G57" s="1175"/>
      <c r="H57" s="1174"/>
      <c r="I57" s="1174"/>
      <c r="J57" s="1174"/>
      <c r="K57" s="1174"/>
      <c r="L57" s="1174"/>
      <c r="M57" s="1174"/>
      <c r="N57" s="1174"/>
      <c r="O57" s="1175" t="str">
        <f>Preferences.EnergyUnits</f>
        <v>TWh</v>
      </c>
      <c r="P57" s="1176"/>
      <c r="U57" s="27"/>
      <c r="V57" s="27"/>
      <c r="W57" s="27"/>
    </row>
    <row r="58" spans="1:23" ht="6" hidden="1" customHeight="1" outlineLevel="1">
      <c r="B58" s="1172"/>
      <c r="C58" s="1174"/>
      <c r="D58" s="1174"/>
      <c r="E58" s="1174"/>
      <c r="F58" s="1174"/>
      <c r="G58" s="1174"/>
      <c r="H58" s="1174"/>
      <c r="I58" s="1174"/>
      <c r="J58" s="1174"/>
      <c r="K58" s="1174"/>
      <c r="L58" s="1174"/>
      <c r="M58" s="1174"/>
      <c r="N58" s="1174"/>
      <c r="O58" s="1174"/>
      <c r="P58" s="1176"/>
      <c r="U58" s="27"/>
      <c r="V58" s="27"/>
      <c r="W58" s="27"/>
    </row>
    <row r="59" spans="1:23" ht="15.75" hidden="1" outlineLevel="1">
      <c r="A59" s="3"/>
      <c r="B59" s="1177"/>
      <c r="C59" s="1188" t="s">
        <v>78</v>
      </c>
      <c r="D59" s="1188" t="s">
        <v>418</v>
      </c>
      <c r="E59" s="1188" t="s">
        <v>442</v>
      </c>
      <c r="F59" s="1188" t="s">
        <v>691</v>
      </c>
      <c r="G59" s="1188" t="s">
        <v>692</v>
      </c>
      <c r="H59" s="1189" t="s">
        <v>721</v>
      </c>
      <c r="I59" s="1189" t="s">
        <v>722</v>
      </c>
      <c r="J59" s="1189" t="s">
        <v>723</v>
      </c>
      <c r="K59" s="1189" t="s">
        <v>724</v>
      </c>
      <c r="L59" s="1189" t="s">
        <v>725</v>
      </c>
      <c r="M59" s="1189" t="s">
        <v>726</v>
      </c>
      <c r="N59" s="1189" t="s">
        <v>727</v>
      </c>
      <c r="O59" s="1189" t="s">
        <v>728</v>
      </c>
      <c r="P59" s="1176"/>
    </row>
    <row r="60" spans="1:23" ht="15.75" hidden="1" outlineLevel="1">
      <c r="A60" s="3"/>
      <c r="B60" s="1177"/>
      <c r="C60" s="765" t="s">
        <v>967</v>
      </c>
      <c r="D60" s="765" t="str">
        <f>INDEX(Vectors[Description], MATCH([Vector], Vectors[Code], 0))</f>
        <v>International shipping</v>
      </c>
      <c r="E60" s="765"/>
      <c r="F60" s="953">
        <f>F$47</f>
        <v>29.222291428230907</v>
      </c>
      <c r="G60" s="953">
        <f t="shared" ref="G60:O60" si="1">G$47</f>
        <v>43.30892867886606</v>
      </c>
      <c r="H60" s="953">
        <f t="shared" si="1"/>
        <v>46.676563829064939</v>
      </c>
      <c r="I60" s="953">
        <f t="shared" si="1"/>
        <v>50.306061067539972</v>
      </c>
      <c r="J60" s="953">
        <f t="shared" si="1"/>
        <v>58.747666138590283</v>
      </c>
      <c r="K60" s="953">
        <f t="shared" si="1"/>
        <v>68.605814160198818</v>
      </c>
      <c r="L60" s="953">
        <f t="shared" si="1"/>
        <v>80.11820802344954</v>
      </c>
      <c r="M60" s="953">
        <f t="shared" si="1"/>
        <v>93.562438336496442</v>
      </c>
      <c r="N60" s="953">
        <f t="shared" si="1"/>
        <v>109.26267678014634</v>
      </c>
      <c r="O60" s="953">
        <f t="shared" si="1"/>
        <v>127.59749264150933</v>
      </c>
      <c r="P60" s="1176"/>
    </row>
    <row r="61" spans="1:23" ht="15.75" hidden="1" outlineLevel="1">
      <c r="A61" s="3"/>
      <c r="B61" s="1177"/>
      <c r="C61" s="765" t="s">
        <v>49</v>
      </c>
      <c r="D61" s="765" t="str">
        <f>INDEX(Vectors[Description], MATCH([Vector], Vectors[Code], 0))</f>
        <v>Liquid hydrocarbons</v>
      </c>
      <c r="E61" s="765"/>
      <c r="F61" s="953">
        <f>-F$47</f>
        <v>-29.222291428230907</v>
      </c>
      <c r="G61" s="953">
        <f t="shared" ref="G61:O61" si="2">-G$47</f>
        <v>-43.30892867886606</v>
      </c>
      <c r="H61" s="953">
        <f t="shared" si="2"/>
        <v>-46.676563829064939</v>
      </c>
      <c r="I61" s="953">
        <f t="shared" si="2"/>
        <v>-50.306061067539972</v>
      </c>
      <c r="J61" s="953">
        <f t="shared" si="2"/>
        <v>-58.747666138590283</v>
      </c>
      <c r="K61" s="953">
        <f t="shared" si="2"/>
        <v>-68.605814160198818</v>
      </c>
      <c r="L61" s="953">
        <f t="shared" si="2"/>
        <v>-80.11820802344954</v>
      </c>
      <c r="M61" s="953">
        <f t="shared" si="2"/>
        <v>-93.562438336496442</v>
      </c>
      <c r="N61" s="953">
        <f t="shared" si="2"/>
        <v>-109.26267678014634</v>
      </c>
      <c r="O61" s="953">
        <f t="shared" si="2"/>
        <v>-127.59749264150933</v>
      </c>
      <c r="P61" s="1176"/>
    </row>
    <row r="62" spans="1:23" ht="15.75" hidden="1" outlineLevel="1">
      <c r="A62" s="3"/>
      <c r="B62" s="1177"/>
      <c r="C62" s="765" t="s">
        <v>148</v>
      </c>
      <c r="D62" s="765"/>
      <c r="E62" s="765"/>
      <c r="F62" s="953">
        <f>SUBTOTAL(109,[2007])</f>
        <v>0</v>
      </c>
      <c r="G62" s="953">
        <f>SUBTOTAL(109,[2010])</f>
        <v>0</v>
      </c>
      <c r="H62" s="953">
        <f>SUBTOTAL(109,[2015])</f>
        <v>0</v>
      </c>
      <c r="I62" s="953">
        <f>SUBTOTAL(109,[2020])</f>
        <v>0</v>
      </c>
      <c r="J62" s="953">
        <f>SUBTOTAL(109,[2025])</f>
        <v>0</v>
      </c>
      <c r="K62" s="953">
        <f>SUBTOTAL(109,[2030])</f>
        <v>0</v>
      </c>
      <c r="L62" s="953">
        <f>SUBTOTAL(109,[2035])</f>
        <v>0</v>
      </c>
      <c r="M62" s="953">
        <f>SUBTOTAL(109,[2040])</f>
        <v>0</v>
      </c>
      <c r="N62" s="953">
        <f>SUBTOTAL(109,[2045])</f>
        <v>0</v>
      </c>
      <c r="O62" s="953">
        <f>SUBTOTAL(109,[2050])</f>
        <v>0</v>
      </c>
      <c r="P62" s="1176"/>
    </row>
    <row r="63" spans="1:23" ht="15.75" hidden="1" outlineLevel="1">
      <c r="A63" s="3"/>
      <c r="B63" s="1178"/>
      <c r="C63" s="1179"/>
      <c r="D63" s="1179"/>
      <c r="E63" s="1179"/>
      <c r="F63" s="1179"/>
      <c r="G63" s="1179"/>
      <c r="H63" s="1179"/>
      <c r="I63" s="1179"/>
      <c r="J63" s="1179"/>
      <c r="K63" s="1179"/>
      <c r="L63" s="1179"/>
      <c r="M63" s="1179"/>
      <c r="N63" s="1179"/>
      <c r="O63" s="1179"/>
      <c r="P63" s="1181"/>
    </row>
    <row r="64" spans="1:23" hidden="1" outlineLevel="1"/>
    <row r="65" spans="1:16" ht="22.5" hidden="1" outlineLevel="1">
      <c r="A65" s="1171"/>
      <c r="B65" s="1249" t="s">
        <v>902</v>
      </c>
      <c r="C65" s="1198"/>
      <c r="D65" s="1199"/>
      <c r="E65" s="1199"/>
      <c r="F65" s="1199"/>
      <c r="G65" s="1199"/>
      <c r="H65" s="1199"/>
      <c r="I65" s="1199"/>
      <c r="J65" s="1199"/>
      <c r="K65" s="1199"/>
      <c r="L65" s="1199"/>
      <c r="M65" s="1199"/>
      <c r="N65" s="1199"/>
      <c r="O65" s="1199"/>
      <c r="P65" s="1200"/>
    </row>
    <row r="66" spans="1:16" hidden="1" outlineLevel="1">
      <c r="B66" s="1207"/>
      <c r="C66" s="1208"/>
      <c r="D66" s="1208"/>
      <c r="E66" s="1208"/>
      <c r="F66" s="1208"/>
      <c r="G66" s="1208"/>
      <c r="H66" s="1208"/>
      <c r="I66" s="1208"/>
      <c r="J66" s="1208"/>
      <c r="K66" s="1208"/>
      <c r="L66" s="1208"/>
      <c r="M66" s="1208"/>
      <c r="N66" s="1208"/>
      <c r="O66" s="1208"/>
      <c r="P66" s="1209"/>
    </row>
    <row r="67" spans="1:16" ht="14.25" hidden="1" outlineLevel="1">
      <c r="B67" s="1210"/>
      <c r="C67" s="1201" t="s">
        <v>1073</v>
      </c>
      <c r="D67" s="1202"/>
      <c r="E67" s="1203"/>
      <c r="F67" s="1202"/>
      <c r="G67" s="1203"/>
      <c r="H67" s="1202"/>
      <c r="I67" s="1202"/>
      <c r="J67" s="1202"/>
      <c r="K67" s="1202"/>
      <c r="L67" s="1202"/>
      <c r="M67" s="1202"/>
      <c r="N67" s="1202"/>
      <c r="O67" s="1203" t="s">
        <v>1076</v>
      </c>
      <c r="P67" s="1211"/>
    </row>
    <row r="68" spans="1:16" ht="5.25" hidden="1" customHeight="1" outlineLevel="1">
      <c r="B68" s="1210"/>
      <c r="C68" s="1202"/>
      <c r="D68" s="1202"/>
      <c r="E68" s="1202"/>
      <c r="F68" s="1202"/>
      <c r="G68" s="1202"/>
      <c r="H68" s="1202"/>
      <c r="I68" s="1202"/>
      <c r="J68" s="1202"/>
      <c r="K68" s="1202"/>
      <c r="L68" s="1202"/>
      <c r="M68" s="1202"/>
      <c r="N68" s="1202"/>
      <c r="O68" s="1202"/>
      <c r="P68" s="1211"/>
    </row>
    <row r="69" spans="1:16" ht="15.75" hidden="1" outlineLevel="1">
      <c r="B69" s="1212"/>
      <c r="C69" s="1269" t="s">
        <v>1072</v>
      </c>
      <c r="D69" s="1269" t="s">
        <v>1042</v>
      </c>
      <c r="E69" s="1269" t="s">
        <v>442</v>
      </c>
      <c r="F69" s="1269" t="s">
        <v>691</v>
      </c>
      <c r="G69" s="1269" t="s">
        <v>692</v>
      </c>
      <c r="H69" s="1269" t="s">
        <v>721</v>
      </c>
      <c r="I69" s="1269" t="s">
        <v>722</v>
      </c>
      <c r="J69" s="1269" t="s">
        <v>723</v>
      </c>
      <c r="K69" s="1269" t="s">
        <v>724</v>
      </c>
      <c r="L69" s="1269" t="s">
        <v>725</v>
      </c>
      <c r="M69" s="1269" t="s">
        <v>726</v>
      </c>
      <c r="N69" s="1269" t="s">
        <v>727</v>
      </c>
      <c r="O69" s="1269" t="s">
        <v>728</v>
      </c>
      <c r="P69" s="1211"/>
    </row>
    <row r="70" spans="1:16" ht="15.75" hidden="1" outlineLevel="1">
      <c r="B70" s="1212"/>
      <c r="C70" s="1206" t="s">
        <v>1055</v>
      </c>
      <c r="D70" s="1216" t="s">
        <v>1050</v>
      </c>
      <c r="E70" s="1206" t="str">
        <f>INDEX(IPCC[Sector_description], MATCH([IPCC Sector], IPCC[Sector_code], 0))</f>
        <v>International Aviation and Shipping</v>
      </c>
      <c r="F70" s="1218">
        <f>F$50</f>
        <v>7.3055728570577267</v>
      </c>
      <c r="G70" s="1218">
        <f t="shared" ref="G70:O70" si="3">G$50</f>
        <v>10.827232169716515</v>
      </c>
      <c r="H70" s="1218">
        <f t="shared" si="3"/>
        <v>11.669140957266235</v>
      </c>
      <c r="I70" s="1218">
        <f t="shared" si="3"/>
        <v>12.576515266884993</v>
      </c>
      <c r="J70" s="1218">
        <f t="shared" si="3"/>
        <v>14.686916534647571</v>
      </c>
      <c r="K70" s="1218">
        <f t="shared" si="3"/>
        <v>17.151453540049705</v>
      </c>
      <c r="L70" s="1218">
        <f t="shared" si="3"/>
        <v>20.029552005862385</v>
      </c>
      <c r="M70" s="1218">
        <f t="shared" si="3"/>
        <v>23.39060958412411</v>
      </c>
      <c r="N70" s="1218">
        <f t="shared" si="3"/>
        <v>27.315669195036584</v>
      </c>
      <c r="O70" s="1218">
        <f t="shared" si="3"/>
        <v>31.899373160377333</v>
      </c>
      <c r="P70" s="1211"/>
    </row>
    <row r="71" spans="1:16" ht="15.75" hidden="1" outlineLevel="1">
      <c r="B71" s="1212"/>
      <c r="C71" s="1206" t="s">
        <v>1056</v>
      </c>
      <c r="D71" s="1216" t="s">
        <v>1050</v>
      </c>
      <c r="E71" s="1206" t="str">
        <f>INDEX(IPCC[Sector_description], MATCH([IPCC Sector], IPCC[Sector_code], 0))</f>
        <v>International Aviation and Shipping</v>
      </c>
      <c r="F71" s="1218">
        <f>F$51</f>
        <v>9.0954093664530975E-3</v>
      </c>
      <c r="G71" s="1218">
        <f t="shared" ref="G71:O71" si="4">G$51</f>
        <v>1.3479861308078628E-2</v>
      </c>
      <c r="H71" s="1218">
        <f t="shared" si="4"/>
        <v>1.452803442493163E-2</v>
      </c>
      <c r="I71" s="1218">
        <f t="shared" si="4"/>
        <v>1.5657711858318994E-2</v>
      </c>
      <c r="J71" s="1218">
        <f t="shared" si="4"/>
        <v>1.8285153105344336E-2</v>
      </c>
      <c r="K71" s="1218">
        <f t="shared" si="4"/>
        <v>2.1353491947691153E-2</v>
      </c>
      <c r="L71" s="1218">
        <f t="shared" si="4"/>
        <v>2.4936713175611365E-2</v>
      </c>
      <c r="M71" s="1218">
        <f t="shared" si="4"/>
        <v>2.9121216591928234E-2</v>
      </c>
      <c r="N71" s="1218">
        <f t="shared" si="4"/>
        <v>3.4007900312355607E-2</v>
      </c>
      <c r="O71" s="1218">
        <f t="shared" si="4"/>
        <v>3.9714593653882163E-2</v>
      </c>
      <c r="P71" s="1211"/>
    </row>
    <row r="72" spans="1:16" ht="15.75" hidden="1" outlineLevel="1">
      <c r="B72" s="1212"/>
      <c r="C72" s="1206" t="s">
        <v>1057</v>
      </c>
      <c r="D72" s="1216" t="s">
        <v>1050</v>
      </c>
      <c r="E72" s="1206" t="str">
        <f>INDEX(IPCC[Sector_description], MATCH([IPCC Sector], IPCC[Sector_code], 0))</f>
        <v>International Aviation and Shipping</v>
      </c>
      <c r="F72" s="1218">
        <f>F$52</f>
        <v>0.1314422254793717</v>
      </c>
      <c r="G72" s="1218">
        <f t="shared" ref="G72:O72" si="5">G$52</f>
        <v>0.19480409271321017</v>
      </c>
      <c r="H72" s="1218">
        <f t="shared" si="5"/>
        <v>0.20995175694863924</v>
      </c>
      <c r="I72" s="1218">
        <f t="shared" si="5"/>
        <v>0.22627728007087833</v>
      </c>
      <c r="J72" s="1218">
        <f t="shared" si="5"/>
        <v>0.26424772328139473</v>
      </c>
      <c r="K72" s="1218">
        <f t="shared" si="5"/>
        <v>0.30858979406826925</v>
      </c>
      <c r="L72" s="1218">
        <f t="shared" si="5"/>
        <v>0.3603726829528438</v>
      </c>
      <c r="M72" s="1218">
        <f t="shared" si="5"/>
        <v>0.42084499589736968</v>
      </c>
      <c r="N72" s="1218">
        <f t="shared" si="5"/>
        <v>0.49146486110056409</v>
      </c>
      <c r="O72" s="1218">
        <f t="shared" si="5"/>
        <v>0.57393508786189962</v>
      </c>
      <c r="P72" s="1211"/>
    </row>
    <row r="73" spans="1:16" ht="15.75" hidden="1" outlineLevel="1">
      <c r="B73" s="1212"/>
      <c r="C73" s="1206" t="s">
        <v>148</v>
      </c>
      <c r="D73" s="1206"/>
      <c r="E73" s="1206"/>
      <c r="F73" s="1278">
        <f>SUBTOTAL(109,[2007])</f>
        <v>0</v>
      </c>
      <c r="G73" s="1278">
        <f>SUBTOTAL(109,[2010])</f>
        <v>0</v>
      </c>
      <c r="H73" s="1278">
        <f>SUBTOTAL(109,[2015])</f>
        <v>0</v>
      </c>
      <c r="I73" s="1278">
        <f>SUBTOTAL(109,[2020])</f>
        <v>0</v>
      </c>
      <c r="J73" s="1278">
        <f>SUBTOTAL(109,[2025])</f>
        <v>0</v>
      </c>
      <c r="K73" s="1278">
        <f>SUBTOTAL(109,[2030])</f>
        <v>0</v>
      </c>
      <c r="L73" s="1278">
        <f>SUBTOTAL(109,[2035])</f>
        <v>0</v>
      </c>
      <c r="M73" s="1278">
        <f>SUBTOTAL(109,[2040])</f>
        <v>0</v>
      </c>
      <c r="N73" s="1278">
        <f>SUBTOTAL(109,[2045])</f>
        <v>0</v>
      </c>
      <c r="O73" s="1278">
        <f>SUBTOTAL(109,[2050])</f>
        <v>0</v>
      </c>
      <c r="P73" s="1211"/>
    </row>
    <row r="74" spans="1:16" ht="15.75" hidden="1" outlineLevel="1">
      <c r="B74" s="1212"/>
      <c r="C74" s="1202"/>
      <c r="D74" s="1202"/>
      <c r="E74" s="1202"/>
      <c r="F74" s="1202"/>
      <c r="G74" s="1202"/>
      <c r="H74" s="1202"/>
      <c r="I74" s="1202"/>
      <c r="J74" s="1202"/>
      <c r="K74" s="1202"/>
      <c r="L74" s="1202"/>
      <c r="M74" s="1202"/>
      <c r="N74" s="1202"/>
      <c r="O74" s="1202"/>
      <c r="P74" s="1211"/>
    </row>
    <row r="75" spans="1:16" hidden="1" outlineLevel="1"/>
  </sheetData>
  <pageMargins left="0.7" right="0.7" top="0.75" bottom="0.75" header="0.3" footer="0.3"/>
  <pageSetup paperSize="9" orientation="portrait" r:id="rId1"/>
  <legacyDrawing r:id="rId2"/>
  <tableParts count="2">
    <tablePart r:id="rId3"/>
    <tablePart r:id="rId4"/>
  </tableParts>
</worksheet>
</file>

<file path=xl/worksheets/sheet45.xml><?xml version="1.0" encoding="utf-8"?>
<worksheet xmlns="http://schemas.openxmlformats.org/spreadsheetml/2006/main" xmlns:r="http://schemas.openxmlformats.org/officeDocument/2006/relationships">
  <sheetPr codeName="Sheet36">
    <tabColor theme="9"/>
    <outlinePr summaryBelow="0"/>
    <pageSetUpPr autoPageBreaks="0"/>
  </sheetPr>
  <dimension ref="A1:W49"/>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3.28515625" style="121" customWidth="1"/>
    <col min="3" max="3" width="9.140625" style="121"/>
    <col min="4" max="4" width="28.140625" style="121" bestFit="1" customWidth="1"/>
    <col min="5" max="5" width="11.140625" style="121" customWidth="1"/>
    <col min="6" max="6" width="9.140625" style="121" customWidth="1"/>
    <col min="7" max="15" width="9.140625" style="121"/>
    <col min="16" max="16" width="2" style="121" customWidth="1"/>
    <col min="17" max="17" width="17.85546875" style="121" bestFit="1" customWidth="1"/>
    <col min="18" max="16384" width="9.140625" style="121"/>
  </cols>
  <sheetData>
    <row r="1" spans="1:16" ht="21">
      <c r="A1" s="790" t="s">
        <v>680</v>
      </c>
      <c r="B1" s="790" t="str">
        <f>INDEX(Workstreams[Workstream], MATCH($A1, Workstreams[Code], 0))</f>
        <v>Food consumption [UNUSED]</v>
      </c>
      <c r="C1" s="790"/>
    </row>
    <row r="2" spans="1:16" s="743" customFormat="1" ht="19.5" customHeight="1">
      <c r="A2" s="10" t="s">
        <v>930</v>
      </c>
      <c r="B2" s="10" t="str">
        <f>INDEX(Modules[Module], MATCH($A2, Modules[Code], 0))</f>
        <v>Food consumption [UNUSED]</v>
      </c>
      <c r="C2" s="10"/>
    </row>
    <row r="4" spans="1:16" s="743" customFormat="1" ht="22.5" collapsed="1">
      <c r="A4" s="1170"/>
      <c r="B4" s="1236" t="s">
        <v>786</v>
      </c>
      <c r="C4" s="1167"/>
      <c r="D4" s="1167"/>
      <c r="E4" s="1167"/>
      <c r="F4" s="1167"/>
      <c r="G4" s="1167"/>
      <c r="H4" s="1167"/>
      <c r="I4" s="1167"/>
      <c r="J4" s="1167"/>
      <c r="K4" s="1167"/>
      <c r="L4" s="1167"/>
      <c r="M4" s="1167"/>
      <c r="N4" s="1167"/>
      <c r="O4" s="1167"/>
      <c r="P4" s="1168"/>
    </row>
    <row r="5" spans="1:16" hidden="1" outlineLevel="1">
      <c r="B5" s="1157"/>
      <c r="C5" s="864"/>
      <c r="D5" s="864"/>
      <c r="E5" s="864"/>
      <c r="F5" s="864"/>
      <c r="G5" s="864"/>
      <c r="H5" s="864"/>
      <c r="I5" s="864"/>
      <c r="J5" s="864"/>
      <c r="K5" s="864"/>
      <c r="L5" s="864"/>
      <c r="M5" s="864"/>
      <c r="N5" s="864"/>
      <c r="O5" s="864"/>
      <c r="P5" s="1158"/>
    </row>
    <row r="6" spans="1:16" hidden="1" outlineLevel="1">
      <c r="B6" s="1157"/>
      <c r="C6" s="866" t="s">
        <v>935</v>
      </c>
      <c r="D6" s="864"/>
      <c r="E6" s="1256"/>
      <c r="F6" s="864"/>
      <c r="G6" s="864"/>
      <c r="H6" s="864"/>
      <c r="I6" s="864"/>
      <c r="J6" s="864"/>
      <c r="K6" s="864"/>
      <c r="L6" s="864"/>
      <c r="M6" s="864"/>
      <c r="N6" s="864"/>
      <c r="O6" s="1256" t="str">
        <f>Preferences.EnergyUnits</f>
        <v>TWh</v>
      </c>
      <c r="P6" s="1158"/>
    </row>
    <row r="7" spans="1:16" ht="5.25" hidden="1" customHeight="1" outlineLevel="1">
      <c r="B7" s="1157"/>
      <c r="C7" s="864"/>
      <c r="D7" s="864"/>
      <c r="E7" s="864"/>
      <c r="F7" s="864"/>
      <c r="G7" s="864"/>
      <c r="H7" s="864"/>
      <c r="I7" s="864"/>
      <c r="J7" s="864"/>
      <c r="K7" s="864"/>
      <c r="L7" s="864"/>
      <c r="M7" s="864"/>
      <c r="N7" s="864"/>
      <c r="O7" s="864"/>
      <c r="P7" s="1158"/>
    </row>
    <row r="8" spans="1:16" hidden="1" outlineLevel="1">
      <c r="B8" s="1157"/>
      <c r="C8" s="766" t="s">
        <v>1352</v>
      </c>
      <c r="D8" s="766" t="s">
        <v>80</v>
      </c>
      <c r="E8" s="766" t="s">
        <v>442</v>
      </c>
      <c r="F8" s="923">
        <v>2007</v>
      </c>
      <c r="G8" s="924">
        <v>2010</v>
      </c>
      <c r="H8" s="923">
        <v>2015</v>
      </c>
      <c r="I8" s="923">
        <v>2020</v>
      </c>
      <c r="J8" s="923">
        <v>2025</v>
      </c>
      <c r="K8" s="923">
        <v>2030</v>
      </c>
      <c r="L8" s="923">
        <v>2035</v>
      </c>
      <c r="M8" s="923">
        <v>2040</v>
      </c>
      <c r="N8" s="923">
        <v>2045</v>
      </c>
      <c r="O8" s="923">
        <v>2050</v>
      </c>
      <c r="P8" s="1158"/>
    </row>
    <row r="9" spans="1:16" ht="15.75" hidden="1" outlineLevel="1">
      <c r="B9" s="1159"/>
      <c r="C9" s="791" t="s">
        <v>651</v>
      </c>
      <c r="D9" s="792" t="s">
        <v>44</v>
      </c>
      <c r="E9" s="937" t="s">
        <v>109</v>
      </c>
      <c r="F9" s="938">
        <f t="shared" ref="F9:O9" si="0">2320000*Unit.calorie*365.25</f>
        <v>9.8484386666666678E-7</v>
      </c>
      <c r="G9" s="947">
        <f t="shared" si="0"/>
        <v>9.8484386666666678E-7</v>
      </c>
      <c r="H9" s="938">
        <f t="shared" si="0"/>
        <v>9.8484386666666678E-7</v>
      </c>
      <c r="I9" s="938">
        <f t="shared" si="0"/>
        <v>9.8484386666666678E-7</v>
      </c>
      <c r="J9" s="938">
        <f t="shared" si="0"/>
        <v>9.8484386666666678E-7</v>
      </c>
      <c r="K9" s="938">
        <f t="shared" si="0"/>
        <v>9.8484386666666678E-7</v>
      </c>
      <c r="L9" s="938">
        <f t="shared" si="0"/>
        <v>9.8484386666666678E-7</v>
      </c>
      <c r="M9" s="938">
        <f t="shared" si="0"/>
        <v>9.8484386666666678E-7</v>
      </c>
      <c r="N9" s="938">
        <f t="shared" si="0"/>
        <v>9.8484386666666678E-7</v>
      </c>
      <c r="O9" s="938">
        <f t="shared" si="0"/>
        <v>9.8484386666666678E-7</v>
      </c>
      <c r="P9" s="1158"/>
    </row>
    <row r="10" spans="1:16" ht="15.75" hidden="1" outlineLevel="1">
      <c r="B10" s="1159"/>
      <c r="C10" s="831"/>
      <c r="D10" s="832"/>
      <c r="E10" s="1254"/>
      <c r="F10" s="933"/>
      <c r="G10" s="933"/>
      <c r="H10" s="933"/>
      <c r="I10" s="933"/>
      <c r="J10" s="933"/>
      <c r="K10" s="933"/>
      <c r="L10" s="933"/>
      <c r="M10" s="933"/>
      <c r="N10" s="933"/>
      <c r="O10" s="933"/>
      <c r="P10" s="1158"/>
    </row>
    <row r="11" spans="1:16" ht="15.75" hidden="1" outlineLevel="1">
      <c r="B11" s="1159"/>
      <c r="C11" s="869" t="s">
        <v>934</v>
      </c>
      <c r="D11" s="832"/>
      <c r="E11" s="1254"/>
      <c r="F11" s="933"/>
      <c r="G11" s="933"/>
      <c r="H11" s="933"/>
      <c r="I11" s="933"/>
      <c r="J11" s="933"/>
      <c r="K11" s="933"/>
      <c r="L11" s="933"/>
      <c r="M11" s="933"/>
      <c r="N11" s="933"/>
      <c r="O11" s="1469" t="s">
        <v>939</v>
      </c>
      <c r="P11" s="1158"/>
    </row>
    <row r="12" spans="1:16" ht="5.25" hidden="1" customHeight="1" outlineLevel="1">
      <c r="B12" s="1159"/>
      <c r="C12" s="831"/>
      <c r="D12" s="832"/>
      <c r="E12" s="1254"/>
      <c r="F12" s="933"/>
      <c r="G12" s="933"/>
      <c r="H12" s="933"/>
      <c r="I12" s="933"/>
      <c r="J12" s="933"/>
      <c r="K12" s="933"/>
      <c r="L12" s="933"/>
      <c r="M12" s="933"/>
      <c r="N12" s="933"/>
      <c r="O12" s="933"/>
      <c r="P12" s="1158"/>
    </row>
    <row r="13" spans="1:16" ht="15.75" hidden="1" outlineLevel="1">
      <c r="B13" s="1159"/>
      <c r="C13" s="766" t="s">
        <v>1352</v>
      </c>
      <c r="D13" s="766" t="s">
        <v>80</v>
      </c>
      <c r="E13" s="766" t="s">
        <v>442</v>
      </c>
      <c r="F13" s="923">
        <v>2007</v>
      </c>
      <c r="G13" s="924">
        <v>2010</v>
      </c>
      <c r="H13" s="923">
        <v>2015</v>
      </c>
      <c r="I13" s="923">
        <v>2020</v>
      </c>
      <c r="J13" s="923">
        <v>2025</v>
      </c>
      <c r="K13" s="923">
        <v>2030</v>
      </c>
      <c r="L13" s="923">
        <v>2035</v>
      </c>
      <c r="M13" s="923">
        <v>2040</v>
      </c>
      <c r="N13" s="923">
        <v>2045</v>
      </c>
      <c r="O13" s="923">
        <v>2050</v>
      </c>
      <c r="P13" s="1158"/>
    </row>
    <row r="14" spans="1:16" ht="15.75" hidden="1" outlineLevel="1">
      <c r="B14" s="1159"/>
      <c r="C14" s="791" t="s">
        <v>651</v>
      </c>
      <c r="D14" s="792" t="s">
        <v>53</v>
      </c>
      <c r="E14" s="937" t="s">
        <v>117</v>
      </c>
      <c r="F14" s="798">
        <v>0</v>
      </c>
      <c r="G14" s="799">
        <v>0</v>
      </c>
      <c r="H14" s="798">
        <v>0</v>
      </c>
      <c r="I14" s="798">
        <v>0</v>
      </c>
      <c r="J14" s="798">
        <v>0</v>
      </c>
      <c r="K14" s="798">
        <v>0</v>
      </c>
      <c r="L14" s="798">
        <v>0</v>
      </c>
      <c r="M14" s="798">
        <v>0</v>
      </c>
      <c r="N14" s="798">
        <v>0</v>
      </c>
      <c r="O14" s="798">
        <v>0</v>
      </c>
      <c r="P14" s="1158"/>
    </row>
    <row r="15" spans="1:16" ht="15.75" hidden="1" outlineLevel="1">
      <c r="B15" s="1159"/>
      <c r="C15" s="831"/>
      <c r="D15" s="832"/>
      <c r="E15" s="1254"/>
      <c r="F15" s="933"/>
      <c r="G15" s="933"/>
      <c r="H15" s="933"/>
      <c r="I15" s="933"/>
      <c r="J15" s="933"/>
      <c r="K15" s="933"/>
      <c r="L15" s="933"/>
      <c r="M15" s="933"/>
      <c r="N15" s="933"/>
      <c r="O15" s="933"/>
      <c r="P15" s="1158"/>
    </row>
    <row r="16" spans="1:16" ht="15.75" hidden="1" outlineLevel="1">
      <c r="B16" s="1159"/>
      <c r="C16" s="869" t="s">
        <v>933</v>
      </c>
      <c r="D16" s="832"/>
      <c r="E16" s="1254"/>
      <c r="F16" s="933"/>
      <c r="G16" s="933"/>
      <c r="H16" s="933"/>
      <c r="I16" s="933"/>
      <c r="J16" s="933"/>
      <c r="K16" s="933"/>
      <c r="L16" s="933"/>
      <c r="M16" s="933"/>
      <c r="N16" s="933"/>
      <c r="O16" s="1469" t="s">
        <v>939</v>
      </c>
      <c r="P16" s="1158"/>
    </row>
    <row r="17" spans="1:16" ht="5.25" hidden="1" customHeight="1" outlineLevel="1">
      <c r="B17" s="1159"/>
      <c r="C17" s="831"/>
      <c r="D17" s="832"/>
      <c r="E17" s="1254"/>
      <c r="F17" s="933"/>
      <c r="G17" s="933"/>
      <c r="H17" s="933"/>
      <c r="I17" s="933"/>
      <c r="J17" s="933"/>
      <c r="K17" s="933"/>
      <c r="L17" s="933"/>
      <c r="M17" s="933"/>
      <c r="N17" s="933"/>
      <c r="O17" s="933"/>
      <c r="P17" s="1158"/>
    </row>
    <row r="18" spans="1:16" ht="15.75" hidden="1" outlineLevel="1">
      <c r="B18" s="1159"/>
      <c r="C18" s="766" t="s">
        <v>1352</v>
      </c>
      <c r="D18" s="766" t="s">
        <v>80</v>
      </c>
      <c r="E18" s="766" t="s">
        <v>442</v>
      </c>
      <c r="F18" s="923">
        <v>2007</v>
      </c>
      <c r="G18" s="924">
        <v>2010</v>
      </c>
      <c r="H18" s="923">
        <v>2015</v>
      </c>
      <c r="I18" s="923">
        <v>2020</v>
      </c>
      <c r="J18" s="923">
        <v>2025</v>
      </c>
      <c r="K18" s="923">
        <v>2030</v>
      </c>
      <c r="L18" s="923">
        <v>2035</v>
      </c>
      <c r="M18" s="923">
        <v>2040</v>
      </c>
      <c r="N18" s="923">
        <v>2045</v>
      </c>
      <c r="O18" s="923">
        <v>2050</v>
      </c>
      <c r="P18" s="1158"/>
    </row>
    <row r="19" spans="1:16" ht="15.75" hidden="1" outlineLevel="1">
      <c r="B19" s="1159"/>
      <c r="C19" s="791" t="s">
        <v>651</v>
      </c>
      <c r="D19" s="792" t="s">
        <v>53</v>
      </c>
      <c r="E19" s="937"/>
      <c r="F19" s="798">
        <v>0.1</v>
      </c>
      <c r="G19" s="799">
        <v>0.1</v>
      </c>
      <c r="H19" s="798">
        <v>0.1</v>
      </c>
      <c r="I19" s="798">
        <v>0.1</v>
      </c>
      <c r="J19" s="798">
        <v>0.1</v>
      </c>
      <c r="K19" s="798">
        <v>0.1</v>
      </c>
      <c r="L19" s="798">
        <v>0.1</v>
      </c>
      <c r="M19" s="798">
        <v>0.1</v>
      </c>
      <c r="N19" s="798">
        <v>0.1</v>
      </c>
      <c r="O19" s="798">
        <v>0.1</v>
      </c>
      <c r="P19" s="1158"/>
    </row>
    <row r="20" spans="1:16" ht="15.75" hidden="1" outlineLevel="1">
      <c r="B20" s="1159"/>
      <c r="C20" s="831"/>
      <c r="D20" s="832"/>
      <c r="E20" s="832"/>
      <c r="F20" s="847"/>
      <c r="G20" s="848"/>
      <c r="H20" s="848"/>
      <c r="I20" s="848"/>
      <c r="J20" s="848"/>
      <c r="K20" s="848"/>
      <c r="L20" s="848"/>
      <c r="M20" s="848"/>
      <c r="N20" s="848"/>
      <c r="O20" s="848"/>
      <c r="P20" s="1158"/>
    </row>
    <row r="21" spans="1:16" ht="15.75" hidden="1" outlineLevel="1">
      <c r="B21" s="1159"/>
      <c r="C21" s="831" t="s">
        <v>442</v>
      </c>
      <c r="D21" s="832"/>
      <c r="E21" s="832"/>
      <c r="F21" s="933"/>
      <c r="G21" s="934"/>
      <c r="H21" s="934"/>
      <c r="I21" s="934"/>
      <c r="J21" s="934"/>
      <c r="K21" s="934"/>
      <c r="L21" s="934"/>
      <c r="M21" s="934"/>
      <c r="N21" s="934"/>
      <c r="O21" s="934"/>
      <c r="P21" s="1158"/>
    </row>
    <row r="22" spans="1:16" ht="15.75" hidden="1" outlineLevel="1">
      <c r="B22" s="1159"/>
      <c r="C22" s="946" t="s">
        <v>109</v>
      </c>
      <c r="D22" s="832" t="s">
        <v>931</v>
      </c>
      <c r="E22" s="832"/>
      <c r="F22" s="933"/>
      <c r="G22" s="934"/>
      <c r="H22" s="934"/>
      <c r="I22" s="934"/>
      <c r="J22" s="934"/>
      <c r="K22" s="934"/>
      <c r="L22" s="934"/>
      <c r="M22" s="934"/>
      <c r="N22" s="934"/>
      <c r="O22" s="934"/>
      <c r="P22" s="1158"/>
    </row>
    <row r="23" spans="1:16" ht="15.75" hidden="1" outlineLevel="1">
      <c r="B23" s="1159"/>
      <c r="C23" s="946" t="s">
        <v>117</v>
      </c>
      <c r="D23" s="832" t="s">
        <v>936</v>
      </c>
      <c r="E23" s="832"/>
      <c r="F23" s="933"/>
      <c r="G23" s="934"/>
      <c r="H23" s="934"/>
      <c r="I23" s="934"/>
      <c r="J23" s="934"/>
      <c r="K23" s="934"/>
      <c r="L23" s="934"/>
      <c r="M23" s="934"/>
      <c r="N23" s="934"/>
      <c r="O23" s="934"/>
      <c r="P23" s="1158"/>
    </row>
    <row r="24" spans="1:16" ht="15.75" hidden="1" outlineLevel="1">
      <c r="B24" s="1193"/>
      <c r="C24" s="1194"/>
      <c r="D24" s="1195"/>
      <c r="E24" s="1195"/>
      <c r="F24" s="1467"/>
      <c r="G24" s="1468"/>
      <c r="H24" s="1468"/>
      <c r="I24" s="1468"/>
      <c r="J24" s="1468"/>
      <c r="K24" s="1468"/>
      <c r="L24" s="1468"/>
      <c r="M24" s="1468"/>
      <c r="N24" s="1468"/>
      <c r="O24" s="1468"/>
      <c r="P24" s="1166"/>
    </row>
    <row r="26" spans="1:16" ht="18" collapsed="1">
      <c r="A26" s="767"/>
      <c r="B26" s="809" t="s">
        <v>732</v>
      </c>
    </row>
    <row r="27" spans="1:16" s="24" customFormat="1" hidden="1" outlineLevel="1">
      <c r="B27" s="731">
        <v>1</v>
      </c>
      <c r="C27" s="121" t="s">
        <v>942</v>
      </c>
    </row>
    <row r="28" spans="1:16" hidden="1" outlineLevel="1"/>
    <row r="29" spans="1:16" hidden="1" outlineLevel="1">
      <c r="B29" s="731" t="s">
        <v>252</v>
      </c>
      <c r="O29" s="20" t="str">
        <f>Preferences.EnergyUnits</f>
        <v>TWh</v>
      </c>
    </row>
    <row r="30" spans="1:16" hidden="1" outlineLevel="1">
      <c r="F30" s="861">
        <v>2007</v>
      </c>
      <c r="G30" s="861">
        <v>2010</v>
      </c>
      <c r="H30" s="861">
        <v>2015</v>
      </c>
      <c r="I30" s="861">
        <v>2020</v>
      </c>
      <c r="J30" s="861">
        <v>2025</v>
      </c>
      <c r="K30" s="861">
        <v>2030</v>
      </c>
      <c r="L30" s="861">
        <v>2035</v>
      </c>
      <c r="M30" s="861">
        <v>2040</v>
      </c>
      <c r="N30" s="861">
        <v>2045</v>
      </c>
      <c r="O30" s="861">
        <v>2050</v>
      </c>
    </row>
    <row r="31" spans="1:16" hidden="1" outlineLevel="1">
      <c r="C31" s="121" t="s">
        <v>932</v>
      </c>
      <c r="F31" s="941">
        <f>F$9</f>
        <v>9.8484386666666678E-7</v>
      </c>
      <c r="G31" s="941">
        <f t="shared" ref="G31:O31" si="1">G$9</f>
        <v>9.8484386666666678E-7</v>
      </c>
      <c r="H31" s="941">
        <f t="shared" si="1"/>
        <v>9.8484386666666678E-7</v>
      </c>
      <c r="I31" s="941">
        <f t="shared" si="1"/>
        <v>9.8484386666666678E-7</v>
      </c>
      <c r="J31" s="941">
        <f t="shared" si="1"/>
        <v>9.8484386666666678E-7</v>
      </c>
      <c r="K31" s="941">
        <f t="shared" si="1"/>
        <v>9.8484386666666678E-7</v>
      </c>
      <c r="L31" s="941">
        <f t="shared" si="1"/>
        <v>9.8484386666666678E-7</v>
      </c>
      <c r="M31" s="941">
        <f t="shared" si="1"/>
        <v>9.8484386666666678E-7</v>
      </c>
      <c r="N31" s="941">
        <f t="shared" si="1"/>
        <v>9.8484386666666678E-7</v>
      </c>
      <c r="O31" s="941">
        <f t="shared" si="1"/>
        <v>9.8484386666666678E-7</v>
      </c>
    </row>
    <row r="32" spans="1:16" hidden="1" outlineLevel="1">
      <c r="B32" s="24" t="s">
        <v>838</v>
      </c>
      <c r="C32" s="121" t="s">
        <v>819</v>
      </c>
      <c r="F32" s="941">
        <f>INDEX(Global.Assumptions[Population], MATCH(F$30, Global.Assumptions[Year], 0))</f>
        <v>60973000</v>
      </c>
      <c r="G32" s="941">
        <f>INDEX(Global.Assumptions[Population], MATCH(G$30, Global.Assumptions[Year], 0))</f>
        <v>62222403</v>
      </c>
      <c r="H32" s="941">
        <f>INDEX(Global.Assumptions[Population], MATCH(H$30, Global.Assumptions[Year], 0))</f>
        <v>64344156</v>
      </c>
      <c r="I32" s="941">
        <f>INDEX(Global.Assumptions[Population], MATCH(I$30, Global.Assumptions[Year], 0))</f>
        <v>66521962</v>
      </c>
      <c r="J32" s="941">
        <f>INDEX(Global.Assumptions[Population], MATCH(J$30, Global.Assumptions[Year], 0))</f>
        <v>68647528</v>
      </c>
      <c r="K32" s="941">
        <f>INDEX(Global.Assumptions[Population], MATCH(K$30, Global.Assumptions[Year], 0))</f>
        <v>70575666</v>
      </c>
      <c r="L32" s="941">
        <f>INDEX(Global.Assumptions[Population], MATCH(L$30, Global.Assumptions[Year], 0))</f>
        <v>72278230.000000015</v>
      </c>
      <c r="M32" s="941">
        <f>INDEX(Global.Assumptions[Population], MATCH(M$30, Global.Assumptions[Year], 0))</f>
        <v>73853253</v>
      </c>
      <c r="N32" s="941">
        <f>INDEX(Global.Assumptions[Population], MATCH(N$30, Global.Assumptions[Year], 0))</f>
        <v>75356458</v>
      </c>
      <c r="O32" s="941">
        <f>INDEX(Global.Assumptions[Population], MATCH(O$30, Global.Assumptions[Year], 0))</f>
        <v>76789483</v>
      </c>
    </row>
    <row r="33" spans="1:23" s="731" customFormat="1" hidden="1" outlineLevel="1">
      <c r="B33" s="807" t="s">
        <v>840</v>
      </c>
      <c r="C33" s="731" t="s">
        <v>619</v>
      </c>
      <c r="F33" s="943">
        <f>F31*F32</f>
        <v>60.048885082266672</v>
      </c>
      <c r="G33" s="943">
        <f t="shared" ref="G33:O33" si="2">G31*G32</f>
        <v>61.279351963811607</v>
      </c>
      <c r="H33" s="943">
        <f t="shared" si="2"/>
        <v>63.368947392443204</v>
      </c>
      <c r="I33" s="943">
        <f t="shared" si="2"/>
        <v>65.513746274333073</v>
      </c>
      <c r="J33" s="943">
        <f t="shared" si="2"/>
        <v>67.607096912628279</v>
      </c>
      <c r="K33" s="943">
        <f t="shared" si="2"/>
        <v>69.506011796015201</v>
      </c>
      <c r="L33" s="943">
        <f t="shared" si="2"/>
        <v>71.182771509022686</v>
      </c>
      <c r="M33" s="943">
        <f t="shared" si="2"/>
        <v>72.733923250431602</v>
      </c>
      <c r="N33" s="943">
        <f t="shared" si="2"/>
        <v>74.214345475024274</v>
      </c>
      <c r="O33" s="943">
        <f t="shared" si="2"/>
        <v>75.625651357054281</v>
      </c>
    </row>
    <row r="34" spans="1:23" s="731" customFormat="1" hidden="1" outlineLevel="1">
      <c r="B34" s="807"/>
      <c r="C34" s="731" t="s">
        <v>252</v>
      </c>
      <c r="F34" s="943">
        <f>F33/(1-(F$14+F$19))</f>
        <v>66.720983424740751</v>
      </c>
      <c r="G34" s="943">
        <f t="shared" ref="G34:O34" si="3">G33/(1-(G$14+G$19))</f>
        <v>68.088168848679558</v>
      </c>
      <c r="H34" s="943">
        <f t="shared" si="3"/>
        <v>70.409941547159107</v>
      </c>
      <c r="I34" s="943">
        <f t="shared" si="3"/>
        <v>72.793051415925632</v>
      </c>
      <c r="J34" s="943">
        <f t="shared" si="3"/>
        <v>75.118996569586969</v>
      </c>
      <c r="K34" s="943">
        <f t="shared" si="3"/>
        <v>77.228901995572443</v>
      </c>
      <c r="L34" s="943">
        <f t="shared" si="3"/>
        <v>79.091968343358545</v>
      </c>
      <c r="M34" s="943">
        <f t="shared" si="3"/>
        <v>80.815470278257337</v>
      </c>
      <c r="N34" s="943">
        <f t="shared" si="3"/>
        <v>82.460383861138084</v>
      </c>
      <c r="O34" s="943">
        <f t="shared" si="3"/>
        <v>84.028501507838087</v>
      </c>
    </row>
    <row r="35" spans="1:23" hidden="1" outlineLevel="1">
      <c r="C35" s="121" t="s">
        <v>937</v>
      </c>
      <c r="E35" s="20"/>
      <c r="F35" s="925">
        <f>F$14*F34</f>
        <v>0</v>
      </c>
      <c r="G35" s="925">
        <f t="shared" ref="G35:O35" si="4">G$14*G34</f>
        <v>0</v>
      </c>
      <c r="H35" s="925">
        <f t="shared" si="4"/>
        <v>0</v>
      </c>
      <c r="I35" s="925">
        <f t="shared" si="4"/>
        <v>0</v>
      </c>
      <c r="J35" s="925">
        <f t="shared" si="4"/>
        <v>0</v>
      </c>
      <c r="K35" s="925">
        <f t="shared" si="4"/>
        <v>0</v>
      </c>
      <c r="L35" s="925">
        <f t="shared" si="4"/>
        <v>0</v>
      </c>
      <c r="M35" s="925">
        <f t="shared" si="4"/>
        <v>0</v>
      </c>
      <c r="N35" s="925">
        <f t="shared" si="4"/>
        <v>0</v>
      </c>
      <c r="O35" s="925">
        <f t="shared" si="4"/>
        <v>0</v>
      </c>
    </row>
    <row r="36" spans="1:23" hidden="1" outlineLevel="1">
      <c r="C36" s="121" t="s">
        <v>938</v>
      </c>
      <c r="E36" s="20"/>
      <c r="F36" s="925">
        <f>F$19*F34</f>
        <v>6.6720983424740758</v>
      </c>
      <c r="G36" s="925">
        <f t="shared" ref="G36:O36" si="5">G$19*G34</f>
        <v>6.808816884867956</v>
      </c>
      <c r="H36" s="925">
        <f t="shared" si="5"/>
        <v>7.0409941547159107</v>
      </c>
      <c r="I36" s="925">
        <f t="shared" si="5"/>
        <v>7.2793051415925634</v>
      </c>
      <c r="J36" s="925">
        <f t="shared" si="5"/>
        <v>7.5118996569586969</v>
      </c>
      <c r="K36" s="925">
        <f t="shared" si="5"/>
        <v>7.722890199557245</v>
      </c>
      <c r="L36" s="925">
        <f t="shared" si="5"/>
        <v>7.9091968343358552</v>
      </c>
      <c r="M36" s="925">
        <f t="shared" si="5"/>
        <v>8.0815470278257333</v>
      </c>
      <c r="N36" s="925">
        <f t="shared" si="5"/>
        <v>8.246038386113808</v>
      </c>
      <c r="O36" s="925">
        <f t="shared" si="5"/>
        <v>8.4028501507838094</v>
      </c>
      <c r="P36" s="948"/>
      <c r="Q36" s="948"/>
    </row>
    <row r="37" spans="1:23" hidden="1" outlineLevel="1">
      <c r="E37" s="20"/>
      <c r="F37" s="925"/>
      <c r="G37" s="925"/>
      <c r="H37" s="925"/>
      <c r="I37" s="925"/>
      <c r="J37" s="925"/>
      <c r="K37" s="925"/>
      <c r="L37" s="925"/>
      <c r="M37" s="925"/>
      <c r="N37" s="925"/>
      <c r="O37" s="925"/>
    </row>
    <row r="38" spans="1:23">
      <c r="U38" s="27"/>
      <c r="V38" s="27"/>
      <c r="W38" s="27"/>
    </row>
    <row r="39" spans="1:23" ht="22.5" collapsed="1">
      <c r="A39" s="1171"/>
      <c r="B39" s="1231" t="s">
        <v>683</v>
      </c>
      <c r="C39" s="1183"/>
      <c r="D39" s="1183"/>
      <c r="E39" s="1183"/>
      <c r="F39" s="1183"/>
      <c r="G39" s="1183"/>
      <c r="H39" s="1183"/>
      <c r="I39" s="1183"/>
      <c r="J39" s="1183"/>
      <c r="K39" s="1183"/>
      <c r="L39" s="1183"/>
      <c r="M39" s="1183"/>
      <c r="N39" s="1183"/>
      <c r="O39" s="1183"/>
      <c r="P39" s="1185"/>
      <c r="U39" s="27"/>
      <c r="V39" s="27"/>
      <c r="W39" s="27"/>
    </row>
    <row r="40" spans="1:23" hidden="1" outlineLevel="1">
      <c r="B40" s="1172"/>
      <c r="C40" s="1174"/>
      <c r="D40" s="1174"/>
      <c r="E40" s="1174"/>
      <c r="F40" s="1174"/>
      <c r="G40" s="1174"/>
      <c r="H40" s="1174"/>
      <c r="I40" s="1174"/>
      <c r="J40" s="1174"/>
      <c r="K40" s="1174"/>
      <c r="L40" s="1174"/>
      <c r="M40" s="1174"/>
      <c r="N40" s="1174"/>
      <c r="O40" s="1174"/>
      <c r="P40" s="1176"/>
      <c r="U40" s="27"/>
      <c r="V40" s="27"/>
      <c r="W40" s="27"/>
    </row>
    <row r="41" spans="1:23" hidden="1" outlineLevel="1">
      <c r="B41" s="1172"/>
      <c r="C41" s="1186" t="s">
        <v>730</v>
      </c>
      <c r="D41" s="1174"/>
      <c r="E41" s="1175"/>
      <c r="F41" s="1174"/>
      <c r="G41" s="1175"/>
      <c r="H41" s="1174"/>
      <c r="I41" s="1174"/>
      <c r="J41" s="1174"/>
      <c r="K41" s="1174"/>
      <c r="L41" s="1174"/>
      <c r="M41" s="1174"/>
      <c r="N41" s="1174"/>
      <c r="O41" s="1175" t="str">
        <f>Preferences.EnergyUnits</f>
        <v>TWh</v>
      </c>
      <c r="P41" s="1176"/>
      <c r="U41" s="27"/>
      <c r="V41" s="27"/>
      <c r="W41" s="27"/>
    </row>
    <row r="42" spans="1:23" ht="6" hidden="1" customHeight="1" outlineLevel="1">
      <c r="B42" s="1172"/>
      <c r="C42" s="1174"/>
      <c r="D42" s="1174"/>
      <c r="E42" s="1174"/>
      <c r="F42" s="1174"/>
      <c r="G42" s="1174"/>
      <c r="H42" s="1174"/>
      <c r="I42" s="1174"/>
      <c r="J42" s="1174"/>
      <c r="K42" s="1174"/>
      <c r="L42" s="1174"/>
      <c r="M42" s="1174"/>
      <c r="N42" s="1174"/>
      <c r="O42" s="1174"/>
      <c r="P42" s="1176"/>
      <c r="U42" s="27"/>
      <c r="V42" s="27"/>
      <c r="W42" s="27"/>
    </row>
    <row r="43" spans="1:23" ht="15.75" hidden="1" outlineLevel="1">
      <c r="A43" s="3"/>
      <c r="B43" s="1177"/>
      <c r="C43" s="1188" t="s">
        <v>78</v>
      </c>
      <c r="D43" s="1188" t="s">
        <v>418</v>
      </c>
      <c r="E43" s="1188" t="s">
        <v>442</v>
      </c>
      <c r="F43" s="1188" t="s">
        <v>691</v>
      </c>
      <c r="G43" s="1188" t="s">
        <v>692</v>
      </c>
      <c r="H43" s="1189" t="s">
        <v>721</v>
      </c>
      <c r="I43" s="1189" t="s">
        <v>722</v>
      </c>
      <c r="J43" s="1189" t="s">
        <v>723</v>
      </c>
      <c r="K43" s="1189" t="s">
        <v>724</v>
      </c>
      <c r="L43" s="1189" t="s">
        <v>725</v>
      </c>
      <c r="M43" s="1189" t="s">
        <v>726</v>
      </c>
      <c r="N43" s="1189" t="s">
        <v>727</v>
      </c>
      <c r="O43" s="1189" t="s">
        <v>728</v>
      </c>
      <c r="P43" s="1176"/>
    </row>
    <row r="44" spans="1:23" ht="15.75" hidden="1" outlineLevel="1">
      <c r="A44" s="3"/>
      <c r="B44" s="1177"/>
      <c r="C44" s="765" t="s">
        <v>40</v>
      </c>
      <c r="D44" s="765" t="str">
        <f>INDEX(Vectors[Description], MATCH([Vector], Vectors[Code], 0))</f>
        <v>Food consumption [UNUSED]</v>
      </c>
      <c r="E44" s="765"/>
      <c r="F44" s="953">
        <f>F$33</f>
        <v>60.048885082266672</v>
      </c>
      <c r="G44" s="953">
        <f t="shared" ref="G44:O44" si="6">G$33</f>
        <v>61.279351963811607</v>
      </c>
      <c r="H44" s="953">
        <f t="shared" si="6"/>
        <v>63.368947392443204</v>
      </c>
      <c r="I44" s="953">
        <f t="shared" si="6"/>
        <v>65.513746274333073</v>
      </c>
      <c r="J44" s="953">
        <f t="shared" si="6"/>
        <v>67.607096912628279</v>
      </c>
      <c r="K44" s="953">
        <f t="shared" si="6"/>
        <v>69.506011796015201</v>
      </c>
      <c r="L44" s="953">
        <f t="shared" si="6"/>
        <v>71.182771509022686</v>
      </c>
      <c r="M44" s="953">
        <f t="shared" si="6"/>
        <v>72.733923250431602</v>
      </c>
      <c r="N44" s="953">
        <f t="shared" si="6"/>
        <v>74.214345475024274</v>
      </c>
      <c r="O44" s="953">
        <f t="shared" si="6"/>
        <v>75.625651357054281</v>
      </c>
      <c r="P44" s="1176"/>
    </row>
    <row r="45" spans="1:23" ht="15.75" hidden="1" outlineLevel="1">
      <c r="A45" s="3"/>
      <c r="B45" s="1177"/>
      <c r="C45" s="765" t="s">
        <v>754</v>
      </c>
      <c r="D45" s="765" t="str">
        <f>INDEX(Vectors[Description], MATCH([Vector], Vectors[Code], 0))</f>
        <v>Edible biomatter</v>
      </c>
      <c r="E45" s="765"/>
      <c r="F45" s="953">
        <f>-F$34</f>
        <v>-66.720983424740751</v>
      </c>
      <c r="G45" s="953">
        <f t="shared" ref="G45:O45" si="7">-G$34</f>
        <v>-68.088168848679558</v>
      </c>
      <c r="H45" s="953">
        <f t="shared" si="7"/>
        <v>-70.409941547159107</v>
      </c>
      <c r="I45" s="953">
        <f t="shared" si="7"/>
        <v>-72.793051415925632</v>
      </c>
      <c r="J45" s="953">
        <f t="shared" si="7"/>
        <v>-75.118996569586969</v>
      </c>
      <c r="K45" s="953">
        <f t="shared" si="7"/>
        <v>-77.228901995572443</v>
      </c>
      <c r="L45" s="953">
        <f t="shared" si="7"/>
        <v>-79.091968343358545</v>
      </c>
      <c r="M45" s="953">
        <f t="shared" si="7"/>
        <v>-80.815470278257337</v>
      </c>
      <c r="N45" s="953">
        <f t="shared" si="7"/>
        <v>-82.460383861138084</v>
      </c>
      <c r="O45" s="953">
        <f t="shared" si="7"/>
        <v>-84.028501507838087</v>
      </c>
      <c r="P45" s="1176"/>
    </row>
    <row r="46" spans="1:23" ht="15.75" hidden="1" outlineLevel="1">
      <c r="A46" s="3"/>
      <c r="B46" s="1177"/>
      <c r="C46" s="765" t="s">
        <v>54</v>
      </c>
      <c r="D46" s="765" t="str">
        <f>INDEX(Vectors[Description], MATCH([Vector], Vectors[Code], 0))</f>
        <v>Waste</v>
      </c>
      <c r="E46" s="765"/>
      <c r="F46" s="953">
        <f>F$35</f>
        <v>0</v>
      </c>
      <c r="G46" s="953">
        <f t="shared" ref="G46:O46" si="8">G$35</f>
        <v>0</v>
      </c>
      <c r="H46" s="953">
        <f t="shared" si="8"/>
        <v>0</v>
      </c>
      <c r="I46" s="953">
        <f t="shared" si="8"/>
        <v>0</v>
      </c>
      <c r="J46" s="953">
        <f t="shared" si="8"/>
        <v>0</v>
      </c>
      <c r="K46" s="953">
        <f t="shared" si="8"/>
        <v>0</v>
      </c>
      <c r="L46" s="953">
        <f t="shared" si="8"/>
        <v>0</v>
      </c>
      <c r="M46" s="953">
        <f t="shared" si="8"/>
        <v>0</v>
      </c>
      <c r="N46" s="953">
        <f t="shared" si="8"/>
        <v>0</v>
      </c>
      <c r="O46" s="953">
        <f t="shared" si="8"/>
        <v>0</v>
      </c>
      <c r="P46" s="1176"/>
    </row>
    <row r="47" spans="1:23" ht="15.75" hidden="1" outlineLevel="1">
      <c r="A47" s="3"/>
      <c r="B47" s="1177"/>
      <c r="C47" s="765" t="s">
        <v>34</v>
      </c>
      <c r="D47" s="765" t="str">
        <f>INDEX(Vectors[Description], MATCH([Vector], Vectors[Code], 0))</f>
        <v>Conversion losses</v>
      </c>
      <c r="E47" s="765"/>
      <c r="F47" s="953">
        <f>F$36</f>
        <v>6.6720983424740758</v>
      </c>
      <c r="G47" s="953">
        <f t="shared" ref="G47:O47" si="9">G$36</f>
        <v>6.808816884867956</v>
      </c>
      <c r="H47" s="953">
        <f t="shared" si="9"/>
        <v>7.0409941547159107</v>
      </c>
      <c r="I47" s="953">
        <f t="shared" si="9"/>
        <v>7.2793051415925634</v>
      </c>
      <c r="J47" s="953">
        <f t="shared" si="9"/>
        <v>7.5118996569586969</v>
      </c>
      <c r="K47" s="953">
        <f t="shared" si="9"/>
        <v>7.722890199557245</v>
      </c>
      <c r="L47" s="953">
        <f t="shared" si="9"/>
        <v>7.9091968343358552</v>
      </c>
      <c r="M47" s="953">
        <f t="shared" si="9"/>
        <v>8.0815470278257333</v>
      </c>
      <c r="N47" s="953">
        <f t="shared" si="9"/>
        <v>8.246038386113808</v>
      </c>
      <c r="O47" s="953">
        <f t="shared" si="9"/>
        <v>8.4028501507838094</v>
      </c>
      <c r="P47" s="1176"/>
    </row>
    <row r="48" spans="1:23" ht="15.75" hidden="1" outlineLevel="1">
      <c r="A48" s="3"/>
      <c r="B48" s="1177"/>
      <c r="C48" s="765" t="s">
        <v>148</v>
      </c>
      <c r="D48" s="765"/>
      <c r="E48" s="765"/>
      <c r="F48" s="953">
        <f>SUBTOTAL(109,[2007])</f>
        <v>0</v>
      </c>
      <c r="G48" s="953">
        <f>SUBTOTAL(109,[2010])</f>
        <v>0</v>
      </c>
      <c r="H48" s="953">
        <f>SUBTOTAL(109,[2015])</f>
        <v>0</v>
      </c>
      <c r="I48" s="953">
        <f>SUBTOTAL(109,[2020])</f>
        <v>0</v>
      </c>
      <c r="J48" s="953">
        <f>SUBTOTAL(109,[2025])</f>
        <v>0</v>
      </c>
      <c r="K48" s="953">
        <f>SUBTOTAL(109,[2030])</f>
        <v>0</v>
      </c>
      <c r="L48" s="953">
        <f>SUBTOTAL(109,[2035])</f>
        <v>0</v>
      </c>
      <c r="M48" s="953">
        <f>SUBTOTAL(109,[2040])</f>
        <v>0</v>
      </c>
      <c r="N48" s="953">
        <f>SUBTOTAL(109,[2045])</f>
        <v>0</v>
      </c>
      <c r="O48" s="953">
        <f>SUBTOTAL(109,[2050])</f>
        <v>0</v>
      </c>
      <c r="P48" s="1176"/>
    </row>
    <row r="49" spans="1:16" ht="15.75" hidden="1" outlineLevel="1">
      <c r="A49" s="3"/>
      <c r="B49" s="1178"/>
      <c r="C49" s="1179"/>
      <c r="D49" s="1179"/>
      <c r="E49" s="1179"/>
      <c r="F49" s="1179"/>
      <c r="G49" s="1179"/>
      <c r="H49" s="1179"/>
      <c r="I49" s="1179"/>
      <c r="J49" s="1179"/>
      <c r="K49" s="1179"/>
      <c r="L49" s="1179"/>
      <c r="M49" s="1179"/>
      <c r="N49" s="1179"/>
      <c r="O49" s="1179"/>
      <c r="P49" s="1181"/>
    </row>
  </sheetData>
  <pageMargins left="0.7" right="0.7" top="0.75" bottom="0.75" header="0.3" footer="0.3"/>
  <pageSetup paperSize="9" orientation="portrait" r:id="rId1"/>
  <ignoredErrors>
    <ignoredError sqref="F44:F47" calculatedColumn="1"/>
  </ignoredErrors>
  <tableParts count="1">
    <tablePart r:id="rId2"/>
  </tableParts>
</worksheet>
</file>

<file path=xl/worksheets/sheet46.xml><?xml version="1.0" encoding="utf-8"?>
<worksheet xmlns="http://schemas.openxmlformats.org/spreadsheetml/2006/main" xmlns:r="http://schemas.openxmlformats.org/officeDocument/2006/relationships">
  <sheetPr codeName="Sheet53">
    <tabColor theme="9"/>
    <outlinePr summaryBelow="0"/>
    <pageSetUpPr autoPageBreaks="0"/>
  </sheetPr>
  <dimension ref="A1:S84"/>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3.28515625" style="121" customWidth="1"/>
    <col min="3" max="3" width="9.140625" style="121"/>
    <col min="4" max="4" width="28.140625" style="121" bestFit="1" customWidth="1"/>
    <col min="5" max="5" width="11.140625" style="121" customWidth="1"/>
    <col min="6" max="6" width="9.140625" style="121" customWidth="1"/>
    <col min="7" max="15" width="9.140625" style="121"/>
    <col min="16" max="16" width="2" style="121" customWidth="1"/>
    <col min="17" max="16384" width="9.140625" style="121"/>
  </cols>
  <sheetData>
    <row r="1" spans="1:16" ht="21">
      <c r="A1" s="790" t="s">
        <v>675</v>
      </c>
      <c r="B1" s="790" t="str">
        <f>INDEX(Workstreams[Workstream], MATCH($A1, Workstreams[Code], 0))</f>
        <v>Geosequestration</v>
      </c>
      <c r="C1" s="790"/>
    </row>
    <row r="2" spans="1:16" s="743" customFormat="1" ht="19.5" customHeight="1">
      <c r="A2" s="10" t="s">
        <v>962</v>
      </c>
      <c r="B2" s="10" t="str">
        <f>INDEX(Modules[Module], MATCH($A2, Modules[Code], 0))</f>
        <v>Geosequestration</v>
      </c>
      <c r="C2" s="10"/>
    </row>
    <row r="4" spans="1:16" ht="22.5" collapsed="1">
      <c r="A4" s="1171"/>
      <c r="B4" s="1231" t="s">
        <v>1353</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t="5.25" hidden="1" customHeight="1" outlineLevel="1">
      <c r="B6" s="1172"/>
      <c r="C6" s="1173"/>
      <c r="D6" s="1174"/>
      <c r="E6" s="1175"/>
      <c r="F6" s="1174"/>
      <c r="G6" s="1174"/>
      <c r="H6" s="1174"/>
      <c r="I6" s="1174"/>
      <c r="J6" s="1174"/>
      <c r="K6" s="1174"/>
      <c r="L6" s="1174"/>
      <c r="M6" s="1174"/>
      <c r="N6" s="1174"/>
      <c r="O6" s="1174"/>
      <c r="P6" s="1176"/>
    </row>
    <row r="7" spans="1:16" ht="15.75" hidden="1" outlineLevel="1">
      <c r="B7" s="1177"/>
      <c r="C7" s="1174"/>
      <c r="D7" s="922" t="s">
        <v>830</v>
      </c>
      <c r="E7" s="922" t="s">
        <v>1352</v>
      </c>
      <c r="F7" s="1174"/>
      <c r="G7" s="1174"/>
      <c r="H7" s="1174"/>
      <c r="I7" s="1174"/>
      <c r="J7" s="1174"/>
      <c r="K7" s="1174"/>
      <c r="L7" s="1174"/>
      <c r="M7" s="1174"/>
      <c r="N7" s="1174"/>
      <c r="O7" s="1174"/>
      <c r="P7" s="1176"/>
    </row>
    <row r="8" spans="1:16" ht="15.75" hidden="1" outlineLevel="1">
      <c r="B8" s="1177"/>
      <c r="C8" s="1174"/>
      <c r="D8" s="950" t="s">
        <v>1355</v>
      </c>
      <c r="E8" s="950">
        <f>XIV.a.Scenario</f>
        <v>1</v>
      </c>
      <c r="F8" s="1174"/>
      <c r="G8" s="1174"/>
      <c r="H8" s="1174"/>
      <c r="I8" s="1174"/>
      <c r="J8" s="1174"/>
      <c r="K8" s="1174"/>
      <c r="L8" s="1174"/>
      <c r="M8" s="1174"/>
      <c r="N8" s="1174"/>
      <c r="O8" s="1174"/>
      <c r="P8" s="1176"/>
    </row>
    <row r="9" spans="1:16" hidden="1" outlineLevel="1">
      <c r="B9" s="1192"/>
      <c r="C9" s="1180"/>
      <c r="D9" s="1180"/>
      <c r="E9" s="1180"/>
      <c r="F9" s="1180"/>
      <c r="G9" s="1180"/>
      <c r="H9" s="1180"/>
      <c r="I9" s="1180"/>
      <c r="J9" s="1180"/>
      <c r="K9" s="1180"/>
      <c r="L9" s="1180"/>
      <c r="M9" s="1180"/>
      <c r="N9" s="1180"/>
      <c r="O9" s="1180"/>
      <c r="P9" s="1181"/>
    </row>
    <row r="11" spans="1:16" s="743" customFormat="1" ht="22.5" collapsed="1">
      <c r="A11" s="1170"/>
      <c r="B11" s="1236" t="s">
        <v>1354</v>
      </c>
      <c r="C11" s="1167"/>
      <c r="D11" s="1167"/>
      <c r="E11" s="1167"/>
      <c r="F11" s="1167"/>
      <c r="G11" s="1167"/>
      <c r="H11" s="1167"/>
      <c r="I11" s="1167"/>
      <c r="J11" s="1167"/>
      <c r="K11" s="1167"/>
      <c r="L11" s="1167"/>
      <c r="M11" s="1167"/>
      <c r="N11" s="1167"/>
      <c r="O11" s="1167"/>
      <c r="P11" s="1168"/>
    </row>
    <row r="12" spans="1:16" hidden="1" outlineLevel="1">
      <c r="B12" s="1157"/>
      <c r="C12" s="864"/>
      <c r="D12" s="864"/>
      <c r="E12" s="864"/>
      <c r="F12" s="864"/>
      <c r="G12" s="864"/>
      <c r="H12" s="864"/>
      <c r="I12" s="864"/>
      <c r="J12" s="864"/>
      <c r="K12" s="864"/>
      <c r="L12" s="864"/>
      <c r="M12" s="864"/>
      <c r="N12" s="864"/>
      <c r="O12" s="864"/>
      <c r="P12" s="1158"/>
    </row>
    <row r="13" spans="1:16" ht="14.25" hidden="1" outlineLevel="1">
      <c r="B13" s="1157"/>
      <c r="C13" s="866" t="s">
        <v>1682</v>
      </c>
      <c r="D13" s="864"/>
      <c r="E13" s="1256"/>
      <c r="F13" s="864"/>
      <c r="G13" s="864"/>
      <c r="H13" s="864"/>
      <c r="I13" s="864"/>
      <c r="J13" s="864"/>
      <c r="K13" s="864"/>
      <c r="L13" s="864"/>
      <c r="M13" s="864"/>
      <c r="N13" s="864"/>
      <c r="O13" s="867" t="s">
        <v>1598</v>
      </c>
      <c r="P13" s="1158"/>
    </row>
    <row r="14" spans="1:16" ht="5.25" hidden="1" customHeight="1" outlineLevel="1">
      <c r="B14" s="1157"/>
      <c r="C14" s="864"/>
      <c r="D14" s="864"/>
      <c r="E14" s="864"/>
      <c r="F14" s="864"/>
      <c r="G14" s="864"/>
      <c r="H14" s="864"/>
      <c r="I14" s="864"/>
      <c r="J14" s="864"/>
      <c r="K14" s="864"/>
      <c r="L14" s="864"/>
      <c r="M14" s="864"/>
      <c r="N14" s="864"/>
      <c r="O14" s="864"/>
      <c r="P14" s="1158"/>
    </row>
    <row r="15" spans="1:16" ht="15.75" hidden="1" outlineLevel="1">
      <c r="B15" s="1159"/>
      <c r="C15" s="766" t="s">
        <v>1352</v>
      </c>
      <c r="D15" s="766" t="s">
        <v>80</v>
      </c>
      <c r="E15" s="766" t="s">
        <v>442</v>
      </c>
      <c r="F15" s="923">
        <v>2007</v>
      </c>
      <c r="G15" s="924">
        <v>2010</v>
      </c>
      <c r="H15" s="923">
        <v>2015</v>
      </c>
      <c r="I15" s="923">
        <v>2020</v>
      </c>
      <c r="J15" s="923">
        <v>2025</v>
      </c>
      <c r="K15" s="923">
        <v>2030</v>
      </c>
      <c r="L15" s="923">
        <v>2035</v>
      </c>
      <c r="M15" s="923">
        <v>2040</v>
      </c>
      <c r="N15" s="923">
        <v>2045</v>
      </c>
      <c r="O15" s="923">
        <v>2050</v>
      </c>
      <c r="P15" s="1158"/>
    </row>
    <row r="16" spans="1:16" ht="15.75" hidden="1" outlineLevel="1">
      <c r="B16" s="1159"/>
      <c r="C16" s="831">
        <v>1</v>
      </c>
      <c r="D16" s="832" t="s">
        <v>1055</v>
      </c>
      <c r="E16" s="1254"/>
      <c r="F16" s="847">
        <v>0</v>
      </c>
      <c r="G16" s="856">
        <v>0</v>
      </c>
      <c r="H16" s="847">
        <v>0</v>
      </c>
      <c r="I16" s="847">
        <v>0</v>
      </c>
      <c r="J16" s="847">
        <v>0</v>
      </c>
      <c r="K16" s="847">
        <v>0</v>
      </c>
      <c r="L16" s="847">
        <v>0</v>
      </c>
      <c r="M16" s="847">
        <v>0</v>
      </c>
      <c r="N16" s="847">
        <v>0</v>
      </c>
      <c r="O16" s="847">
        <v>0</v>
      </c>
      <c r="P16" s="1158"/>
    </row>
    <row r="17" spans="2:16" ht="15.75" hidden="1" outlineLevel="1">
      <c r="B17" s="1159"/>
      <c r="C17" s="831">
        <v>2</v>
      </c>
      <c r="D17" s="832" t="s">
        <v>1055</v>
      </c>
      <c r="E17" s="832"/>
      <c r="F17" s="847">
        <v>0</v>
      </c>
      <c r="G17" s="857">
        <v>0</v>
      </c>
      <c r="H17" s="1091">
        <v>0</v>
      </c>
      <c r="I17" s="1091">
        <v>0</v>
      </c>
      <c r="J17" s="1091">
        <v>0.1</v>
      </c>
      <c r="K17" s="1091">
        <v>0.2</v>
      </c>
      <c r="L17" s="1091">
        <v>0.4</v>
      </c>
      <c r="M17" s="1091">
        <v>0.6</v>
      </c>
      <c r="N17" s="1091">
        <v>0.8</v>
      </c>
      <c r="O17" s="1091">
        <v>1</v>
      </c>
      <c r="P17" s="1158"/>
    </row>
    <row r="18" spans="2:16" ht="15.75" hidden="1" outlineLevel="1">
      <c r="B18" s="1159"/>
      <c r="C18" s="831">
        <v>3</v>
      </c>
      <c r="D18" s="832" t="s">
        <v>1055</v>
      </c>
      <c r="E18" s="832"/>
      <c r="F18" s="847">
        <v>0</v>
      </c>
      <c r="G18" s="857">
        <v>0</v>
      </c>
      <c r="H18" s="1091">
        <v>0</v>
      </c>
      <c r="I18" s="1091">
        <v>0</v>
      </c>
      <c r="J18" s="1091">
        <v>0.1</v>
      </c>
      <c r="K18" s="1091">
        <v>0.2</v>
      </c>
      <c r="L18" s="1091">
        <v>0.4</v>
      </c>
      <c r="M18" s="1091">
        <v>0.6</v>
      </c>
      <c r="N18" s="1091">
        <v>0.8</v>
      </c>
      <c r="O18" s="1091">
        <v>1</v>
      </c>
      <c r="P18" s="1158"/>
    </row>
    <row r="19" spans="2:16" ht="15.75" hidden="1" outlineLevel="1">
      <c r="B19" s="1159"/>
      <c r="C19" s="769">
        <v>4</v>
      </c>
      <c r="D19" s="770" t="s">
        <v>1055</v>
      </c>
      <c r="E19" s="770"/>
      <c r="F19" s="782">
        <v>0</v>
      </c>
      <c r="G19" s="858">
        <v>0</v>
      </c>
      <c r="H19" s="859">
        <v>0</v>
      </c>
      <c r="I19" s="859">
        <v>0</v>
      </c>
      <c r="J19" s="859">
        <v>0.1</v>
      </c>
      <c r="K19" s="859">
        <v>0.2</v>
      </c>
      <c r="L19" s="859">
        <v>0.4</v>
      </c>
      <c r="M19" s="859">
        <v>0.6</v>
      </c>
      <c r="N19" s="859">
        <v>0.8</v>
      </c>
      <c r="O19" s="859">
        <v>1</v>
      </c>
      <c r="P19" s="1158"/>
    </row>
    <row r="20" spans="2:16" hidden="1" outlineLevel="1">
      <c r="B20" s="1157"/>
      <c r="C20" s="864"/>
      <c r="D20" s="864"/>
      <c r="E20" s="864"/>
      <c r="F20" s="864"/>
      <c r="G20" s="864"/>
      <c r="H20" s="864"/>
      <c r="I20" s="864"/>
      <c r="J20" s="864"/>
      <c r="K20" s="864"/>
      <c r="L20" s="864"/>
      <c r="M20" s="864"/>
      <c r="N20" s="864"/>
      <c r="O20" s="864"/>
      <c r="P20" s="1158"/>
    </row>
    <row r="21" spans="2:16" ht="15.75" hidden="1" outlineLevel="1">
      <c r="B21" s="1159"/>
      <c r="C21" s="866" t="s">
        <v>1599</v>
      </c>
      <c r="D21" s="864"/>
      <c r="E21" s="1256"/>
      <c r="F21" s="864"/>
      <c r="G21" s="864"/>
      <c r="H21" s="864"/>
      <c r="I21" s="864"/>
      <c r="J21" s="864"/>
      <c r="K21" s="864"/>
      <c r="L21" s="864"/>
      <c r="M21" s="864"/>
      <c r="N21" s="864"/>
      <c r="O21" s="867" t="s">
        <v>1598</v>
      </c>
      <c r="P21" s="1158"/>
    </row>
    <row r="22" spans="2:16" ht="5.25" hidden="1" customHeight="1" outlineLevel="1">
      <c r="B22" s="1159"/>
      <c r="C22" s="864"/>
      <c r="D22" s="864"/>
      <c r="E22" s="864"/>
      <c r="F22" s="864"/>
      <c r="G22" s="864"/>
      <c r="H22" s="864"/>
      <c r="I22" s="864"/>
      <c r="J22" s="864"/>
      <c r="K22" s="864"/>
      <c r="L22" s="864"/>
      <c r="M22" s="864"/>
      <c r="N22" s="864"/>
      <c r="O22" s="864"/>
      <c r="P22" s="1158"/>
    </row>
    <row r="23" spans="2:16" ht="15.75" hidden="1" outlineLevel="1">
      <c r="B23" s="1159"/>
      <c r="C23" s="766" t="s">
        <v>1352</v>
      </c>
      <c r="D23" s="766" t="s">
        <v>80</v>
      </c>
      <c r="E23" s="766" t="s">
        <v>442</v>
      </c>
      <c r="F23" s="923">
        <v>2007</v>
      </c>
      <c r="G23" s="924">
        <v>2010</v>
      </c>
      <c r="H23" s="923">
        <v>2015</v>
      </c>
      <c r="I23" s="923">
        <v>2020</v>
      </c>
      <c r="J23" s="923">
        <v>2025</v>
      </c>
      <c r="K23" s="923">
        <v>2030</v>
      </c>
      <c r="L23" s="923">
        <v>2035</v>
      </c>
      <c r="M23" s="923">
        <v>2040</v>
      </c>
      <c r="N23" s="923">
        <v>2045</v>
      </c>
      <c r="O23" s="923">
        <v>2050</v>
      </c>
      <c r="P23" s="1158"/>
    </row>
    <row r="24" spans="2:16" ht="15.75" hidden="1" outlineLevel="1">
      <c r="B24" s="1159"/>
      <c r="C24" s="831">
        <v>1</v>
      </c>
      <c r="D24" s="832" t="s">
        <v>1055</v>
      </c>
      <c r="E24" s="1254"/>
      <c r="F24" s="847">
        <v>0</v>
      </c>
      <c r="G24" s="856">
        <v>0</v>
      </c>
      <c r="H24" s="847">
        <v>0</v>
      </c>
      <c r="I24" s="847">
        <v>0</v>
      </c>
      <c r="J24" s="847">
        <v>0</v>
      </c>
      <c r="K24" s="847">
        <v>0</v>
      </c>
      <c r="L24" s="847">
        <v>0</v>
      </c>
      <c r="M24" s="847">
        <v>0</v>
      </c>
      <c r="N24" s="847">
        <v>0</v>
      </c>
      <c r="O24" s="847">
        <v>0</v>
      </c>
      <c r="P24" s="1158"/>
    </row>
    <row r="25" spans="2:16" ht="15.75" hidden="1" outlineLevel="1">
      <c r="B25" s="1159"/>
      <c r="C25" s="831">
        <v>2</v>
      </c>
      <c r="D25" s="832" t="s">
        <v>1055</v>
      </c>
      <c r="E25" s="832"/>
      <c r="F25" s="847">
        <v>0</v>
      </c>
      <c r="G25" s="857">
        <v>0</v>
      </c>
      <c r="H25" s="1091">
        <v>0</v>
      </c>
      <c r="I25" s="1091">
        <v>0</v>
      </c>
      <c r="J25" s="1091">
        <v>0</v>
      </c>
      <c r="K25" s="1091">
        <v>0</v>
      </c>
      <c r="L25" s="1091">
        <v>0</v>
      </c>
      <c r="M25" s="1091">
        <v>0</v>
      </c>
      <c r="N25" s="1091">
        <v>0</v>
      </c>
      <c r="O25" s="1091">
        <v>0</v>
      </c>
      <c r="P25" s="1158"/>
    </row>
    <row r="26" spans="2:16" ht="15.75" hidden="1" outlineLevel="1">
      <c r="B26" s="1159"/>
      <c r="C26" s="831">
        <v>3</v>
      </c>
      <c r="D26" s="832" t="s">
        <v>1055</v>
      </c>
      <c r="E26" s="832"/>
      <c r="F26" s="847">
        <v>0</v>
      </c>
      <c r="G26" s="857">
        <v>0</v>
      </c>
      <c r="H26" s="1091">
        <v>0</v>
      </c>
      <c r="I26" s="1091">
        <v>0</v>
      </c>
      <c r="J26" s="1091">
        <v>5</v>
      </c>
      <c r="K26" s="1091">
        <v>10</v>
      </c>
      <c r="L26" s="1091">
        <v>15</v>
      </c>
      <c r="M26" s="1091">
        <v>20</v>
      </c>
      <c r="N26" s="1091">
        <v>25</v>
      </c>
      <c r="O26" s="1091">
        <v>30</v>
      </c>
      <c r="P26" s="1158"/>
    </row>
    <row r="27" spans="2:16" ht="15.75" hidden="1" outlineLevel="1">
      <c r="B27" s="1159"/>
      <c r="C27" s="769">
        <v>4</v>
      </c>
      <c r="D27" s="770" t="s">
        <v>1055</v>
      </c>
      <c r="E27" s="770"/>
      <c r="F27" s="782">
        <v>0</v>
      </c>
      <c r="G27" s="858">
        <v>0</v>
      </c>
      <c r="H27" s="859">
        <v>0</v>
      </c>
      <c r="I27" s="859">
        <v>0</v>
      </c>
      <c r="J27" s="859">
        <v>5</v>
      </c>
      <c r="K27" s="859">
        <v>10</v>
      </c>
      <c r="L27" s="859">
        <v>15</v>
      </c>
      <c r="M27" s="859">
        <v>20</v>
      </c>
      <c r="N27" s="859">
        <v>25</v>
      </c>
      <c r="O27" s="859">
        <v>30</v>
      </c>
      <c r="P27" s="1158"/>
    </row>
    <row r="28" spans="2:16" ht="15.75" hidden="1" outlineLevel="1">
      <c r="B28" s="1159"/>
      <c r="C28" s="831"/>
      <c r="D28" s="832"/>
      <c r="E28" s="832"/>
      <c r="F28" s="847"/>
      <c r="G28" s="848"/>
      <c r="H28" s="848"/>
      <c r="I28" s="848"/>
      <c r="J28" s="848"/>
      <c r="K28" s="848"/>
      <c r="L28" s="848"/>
      <c r="M28" s="848"/>
      <c r="N28" s="848"/>
      <c r="O28" s="848"/>
      <c r="P28" s="1158"/>
    </row>
    <row r="29" spans="2:16" ht="15.75" hidden="1" outlineLevel="1">
      <c r="B29" s="1159"/>
      <c r="C29" s="866" t="s">
        <v>1600</v>
      </c>
      <c r="D29" s="864"/>
      <c r="E29" s="1256"/>
      <c r="F29" s="864"/>
      <c r="G29" s="864"/>
      <c r="H29" s="864"/>
      <c r="I29" s="864"/>
      <c r="J29" s="864"/>
      <c r="K29" s="864"/>
      <c r="L29" s="864"/>
      <c r="M29" s="864"/>
      <c r="N29" s="864"/>
      <c r="O29" s="867" t="s">
        <v>1598</v>
      </c>
      <c r="P29" s="1158"/>
    </row>
    <row r="30" spans="2:16" ht="5.25" hidden="1" customHeight="1" outlineLevel="1">
      <c r="B30" s="1159"/>
      <c r="C30" s="864"/>
      <c r="D30" s="864"/>
      <c r="E30" s="864"/>
      <c r="F30" s="864"/>
      <c r="G30" s="864"/>
      <c r="H30" s="864"/>
      <c r="I30" s="864"/>
      <c r="J30" s="864"/>
      <c r="K30" s="864"/>
      <c r="L30" s="864"/>
      <c r="M30" s="864"/>
      <c r="N30" s="864"/>
      <c r="O30" s="864"/>
      <c r="P30" s="1158"/>
    </row>
    <row r="31" spans="2:16" ht="15.75" hidden="1" outlineLevel="1">
      <c r="B31" s="1159"/>
      <c r="C31" s="766" t="s">
        <v>1352</v>
      </c>
      <c r="D31" s="766" t="s">
        <v>80</v>
      </c>
      <c r="E31" s="766" t="s">
        <v>442</v>
      </c>
      <c r="F31" s="923">
        <v>2007</v>
      </c>
      <c r="G31" s="924">
        <v>2010</v>
      </c>
      <c r="H31" s="923">
        <v>2015</v>
      </c>
      <c r="I31" s="923">
        <v>2020</v>
      </c>
      <c r="J31" s="923">
        <v>2025</v>
      </c>
      <c r="K31" s="923">
        <v>2030</v>
      </c>
      <c r="L31" s="923">
        <v>2035</v>
      </c>
      <c r="M31" s="923">
        <v>2040</v>
      </c>
      <c r="N31" s="923">
        <v>2045</v>
      </c>
      <c r="O31" s="923">
        <v>2050</v>
      </c>
      <c r="P31" s="1158"/>
    </row>
    <row r="32" spans="2:16" ht="15.75" hidden="1" outlineLevel="1">
      <c r="B32" s="1159"/>
      <c r="C32" s="831">
        <v>1</v>
      </c>
      <c r="D32" s="832" t="s">
        <v>1055</v>
      </c>
      <c r="E32" s="1254"/>
      <c r="F32" s="847">
        <v>0</v>
      </c>
      <c r="G32" s="856">
        <v>0</v>
      </c>
      <c r="H32" s="847">
        <v>0</v>
      </c>
      <c r="I32" s="847">
        <v>0</v>
      </c>
      <c r="J32" s="847">
        <v>0</v>
      </c>
      <c r="K32" s="847">
        <v>0</v>
      </c>
      <c r="L32" s="847">
        <v>0</v>
      </c>
      <c r="M32" s="847">
        <v>0</v>
      </c>
      <c r="N32" s="847">
        <v>0</v>
      </c>
      <c r="O32" s="847">
        <v>0</v>
      </c>
      <c r="P32" s="1158"/>
    </row>
    <row r="33" spans="1:18" ht="15.75" hidden="1" outlineLevel="1">
      <c r="B33" s="1159"/>
      <c r="C33" s="831">
        <v>2</v>
      </c>
      <c r="D33" s="832" t="s">
        <v>1055</v>
      </c>
      <c r="E33" s="832"/>
      <c r="F33" s="847">
        <v>0</v>
      </c>
      <c r="G33" s="857">
        <v>0</v>
      </c>
      <c r="H33" s="1091">
        <v>0</v>
      </c>
      <c r="I33" s="1091">
        <v>0</v>
      </c>
      <c r="J33" s="1091">
        <v>0</v>
      </c>
      <c r="K33" s="1091">
        <v>0</v>
      </c>
      <c r="L33" s="1091">
        <v>0</v>
      </c>
      <c r="M33" s="1091">
        <v>0</v>
      </c>
      <c r="N33" s="1091">
        <v>0</v>
      </c>
      <c r="O33" s="1091">
        <v>0</v>
      </c>
      <c r="P33" s="1158"/>
    </row>
    <row r="34" spans="1:18" ht="15.75" hidden="1" outlineLevel="1">
      <c r="B34" s="1159"/>
      <c r="C34" s="831">
        <v>3</v>
      </c>
      <c r="D34" s="832" t="s">
        <v>1055</v>
      </c>
      <c r="E34" s="832"/>
      <c r="F34" s="847">
        <v>0</v>
      </c>
      <c r="G34" s="857">
        <v>0</v>
      </c>
      <c r="H34" s="1091">
        <v>0</v>
      </c>
      <c r="I34" s="1091">
        <v>0</v>
      </c>
      <c r="J34" s="1091">
        <v>0</v>
      </c>
      <c r="K34" s="1091">
        <v>0</v>
      </c>
      <c r="L34" s="1091">
        <v>0</v>
      </c>
      <c r="M34" s="1091">
        <v>0</v>
      </c>
      <c r="N34" s="1091">
        <v>0</v>
      </c>
      <c r="O34" s="1091">
        <v>0</v>
      </c>
      <c r="P34" s="1158"/>
    </row>
    <row r="35" spans="1:18" ht="15.75" hidden="1" outlineLevel="1">
      <c r="B35" s="1159"/>
      <c r="C35" s="769">
        <v>4</v>
      </c>
      <c r="D35" s="770" t="s">
        <v>1055</v>
      </c>
      <c r="E35" s="770"/>
      <c r="F35" s="782">
        <v>0</v>
      </c>
      <c r="G35" s="858">
        <v>0</v>
      </c>
      <c r="H35" s="859">
        <v>0</v>
      </c>
      <c r="I35" s="859">
        <v>0</v>
      </c>
      <c r="J35" s="859">
        <v>0</v>
      </c>
      <c r="K35" s="859">
        <v>16</v>
      </c>
      <c r="L35" s="859">
        <v>32</v>
      </c>
      <c r="M35" s="859">
        <v>48</v>
      </c>
      <c r="N35" s="859">
        <v>64</v>
      </c>
      <c r="O35" s="859">
        <v>80</v>
      </c>
      <c r="P35" s="1158"/>
    </row>
    <row r="36" spans="1:18" ht="15.75" hidden="1" outlineLevel="1">
      <c r="B36" s="1159"/>
      <c r="C36" s="831"/>
      <c r="D36" s="832"/>
      <c r="E36" s="832"/>
      <c r="F36" s="847"/>
      <c r="G36" s="848"/>
      <c r="H36" s="848"/>
      <c r="I36" s="848"/>
      <c r="J36" s="848"/>
      <c r="K36" s="848"/>
      <c r="L36" s="848"/>
      <c r="M36" s="848"/>
      <c r="N36" s="848"/>
      <c r="O36" s="848"/>
      <c r="P36" s="1158"/>
    </row>
    <row r="37" spans="1:18" hidden="1" outlineLevel="1">
      <c r="B37" s="1163"/>
      <c r="C37" s="1227" t="s">
        <v>717</v>
      </c>
      <c r="D37" s="868"/>
      <c r="E37" s="864"/>
      <c r="F37" s="864"/>
      <c r="G37" s="864"/>
      <c r="H37" s="864"/>
      <c r="I37" s="864"/>
      <c r="J37" s="864"/>
      <c r="K37" s="864"/>
      <c r="L37" s="864"/>
      <c r="M37" s="864"/>
      <c r="N37" s="864"/>
      <c r="O37" s="864"/>
      <c r="P37" s="1158"/>
      <c r="R37" s="1107"/>
    </row>
    <row r="38" spans="1:18" hidden="1" outlineLevel="1">
      <c r="B38" s="1163"/>
      <c r="C38" s="1226" t="s">
        <v>109</v>
      </c>
      <c r="D38" s="868" t="s">
        <v>899</v>
      </c>
      <c r="E38" s="864"/>
      <c r="F38" s="864"/>
      <c r="G38" s="864"/>
      <c r="H38" s="864"/>
      <c r="I38" s="864"/>
      <c r="J38" s="864"/>
      <c r="K38" s="864"/>
      <c r="L38" s="864"/>
      <c r="M38" s="864"/>
      <c r="N38" s="864"/>
      <c r="O38" s="864"/>
      <c r="P38" s="1158"/>
      <c r="R38" s="1107"/>
    </row>
    <row r="39" spans="1:18" hidden="1" outlineLevel="1">
      <c r="B39" s="1163"/>
      <c r="C39" s="1227"/>
      <c r="D39" s="868"/>
      <c r="E39" s="864"/>
      <c r="F39" s="864"/>
      <c r="G39" s="864"/>
      <c r="H39" s="864"/>
      <c r="I39" s="864"/>
      <c r="J39" s="864"/>
      <c r="K39" s="864"/>
      <c r="L39" s="864"/>
      <c r="M39" s="864"/>
      <c r="N39" s="864"/>
      <c r="O39" s="864"/>
      <c r="P39" s="1158"/>
    </row>
    <row r="41" spans="1:18" s="743" customFormat="1" ht="22.5" collapsed="1">
      <c r="A41" s="1170"/>
      <c r="B41" s="1236" t="s">
        <v>786</v>
      </c>
      <c r="C41" s="1167"/>
      <c r="D41" s="1167"/>
      <c r="E41" s="1167"/>
      <c r="F41" s="1167"/>
      <c r="G41" s="1167"/>
      <c r="H41" s="1167"/>
      <c r="I41" s="1167"/>
      <c r="J41" s="1167"/>
      <c r="K41" s="1167"/>
      <c r="L41" s="1167"/>
      <c r="M41" s="1167"/>
      <c r="N41" s="1167"/>
      <c r="O41" s="1167"/>
      <c r="P41" s="1168"/>
    </row>
    <row r="42" spans="1:18" hidden="1" outlineLevel="1">
      <c r="B42" s="1157"/>
      <c r="C42" s="864"/>
      <c r="D42" s="864"/>
      <c r="E42" s="864"/>
      <c r="F42" s="864"/>
      <c r="G42" s="864"/>
      <c r="H42" s="864"/>
      <c r="I42" s="864"/>
      <c r="J42" s="864"/>
      <c r="K42" s="864"/>
      <c r="L42" s="864"/>
      <c r="M42" s="864"/>
      <c r="N42" s="864"/>
      <c r="O42" s="864"/>
      <c r="P42" s="1158"/>
    </row>
    <row r="43" spans="1:18" hidden="1" outlineLevel="1">
      <c r="B43" s="1157"/>
      <c r="C43" s="866" t="s">
        <v>1601</v>
      </c>
      <c r="D43" s="864"/>
      <c r="E43" s="1256"/>
      <c r="F43" s="864"/>
      <c r="G43" s="864"/>
      <c r="H43" s="864"/>
      <c r="I43" s="864"/>
      <c r="J43" s="864"/>
      <c r="K43" s="864"/>
      <c r="L43" s="864"/>
      <c r="M43" s="864"/>
      <c r="N43" s="864"/>
      <c r="O43" s="848" t="str">
        <f>Preferences.EnergyUnits &amp; " / Mt CO2"</f>
        <v>TWh / Mt CO2</v>
      </c>
      <c r="P43" s="1158"/>
    </row>
    <row r="44" spans="1:18" ht="5.25" hidden="1" customHeight="1" outlineLevel="1">
      <c r="B44" s="1157"/>
      <c r="C44" s="864"/>
      <c r="D44" s="864"/>
      <c r="E44" s="864"/>
      <c r="F44" s="864"/>
      <c r="G44" s="864"/>
      <c r="H44" s="864"/>
      <c r="I44" s="864"/>
      <c r="J44" s="864"/>
      <c r="K44" s="864"/>
      <c r="L44" s="864"/>
      <c r="M44" s="864"/>
      <c r="N44" s="864"/>
      <c r="O44" s="864"/>
      <c r="P44" s="1158"/>
    </row>
    <row r="45" spans="1:18" ht="15.75" hidden="1" outlineLevel="1">
      <c r="B45" s="1159"/>
      <c r="C45" s="766" t="s">
        <v>1352</v>
      </c>
      <c r="D45" s="766" t="s">
        <v>80</v>
      </c>
      <c r="E45" s="766" t="s">
        <v>442</v>
      </c>
      <c r="F45" s="923">
        <v>2007</v>
      </c>
      <c r="G45" s="924">
        <v>2010</v>
      </c>
      <c r="H45" s="923">
        <v>2015</v>
      </c>
      <c r="I45" s="923">
        <v>2020</v>
      </c>
      <c r="J45" s="923">
        <v>2025</v>
      </c>
      <c r="K45" s="923">
        <v>2030</v>
      </c>
      <c r="L45" s="923">
        <v>2035</v>
      </c>
      <c r="M45" s="923">
        <v>2040</v>
      </c>
      <c r="N45" s="923">
        <v>2045</v>
      </c>
      <c r="O45" s="923">
        <v>2050</v>
      </c>
      <c r="P45" s="1158"/>
    </row>
    <row r="46" spans="1:18" ht="15.75" hidden="1" outlineLevel="1">
      <c r="B46" s="1159"/>
      <c r="C46" s="899" t="s">
        <v>1055</v>
      </c>
      <c r="D46" s="900" t="s">
        <v>1601</v>
      </c>
      <c r="E46" s="1461"/>
      <c r="F46" s="901">
        <f t="shared" ref="F46:O46" si="0">3.3*Unit.TWh</f>
        <v>3.3</v>
      </c>
      <c r="G46" s="918">
        <f t="shared" si="0"/>
        <v>3.3</v>
      </c>
      <c r="H46" s="901">
        <f t="shared" si="0"/>
        <v>3.3</v>
      </c>
      <c r="I46" s="901">
        <f t="shared" si="0"/>
        <v>3.3</v>
      </c>
      <c r="J46" s="901">
        <f t="shared" si="0"/>
        <v>3.3</v>
      </c>
      <c r="K46" s="901">
        <f t="shared" si="0"/>
        <v>3.3</v>
      </c>
      <c r="L46" s="901">
        <f t="shared" si="0"/>
        <v>3.3</v>
      </c>
      <c r="M46" s="901">
        <f t="shared" si="0"/>
        <v>3.3</v>
      </c>
      <c r="N46" s="901">
        <f t="shared" si="0"/>
        <v>3.3</v>
      </c>
      <c r="O46" s="901">
        <f t="shared" si="0"/>
        <v>3.3</v>
      </c>
      <c r="P46" s="1158"/>
    </row>
    <row r="47" spans="1:18" hidden="1" outlineLevel="1">
      <c r="B47" s="1157"/>
      <c r="C47" s="864"/>
      <c r="D47" s="864"/>
      <c r="E47" s="864"/>
      <c r="F47" s="864"/>
      <c r="G47" s="864"/>
      <c r="H47" s="864"/>
      <c r="I47" s="864"/>
      <c r="J47" s="864"/>
      <c r="K47" s="864"/>
      <c r="L47" s="864"/>
      <c r="M47" s="864"/>
      <c r="N47" s="864"/>
      <c r="O47" s="864"/>
      <c r="P47" s="1158"/>
    </row>
    <row r="48" spans="1:18" s="715" customFormat="1" hidden="1" outlineLevel="1">
      <c r="B48" s="1260"/>
      <c r="C48" s="1261"/>
      <c r="D48" s="1224"/>
      <c r="E48" s="1262"/>
      <c r="F48" s="1262"/>
      <c r="G48" s="1262"/>
      <c r="H48" s="1262"/>
      <c r="I48" s="1262"/>
      <c r="J48" s="1262"/>
      <c r="K48" s="1262"/>
      <c r="L48" s="1262"/>
      <c r="M48" s="1262"/>
      <c r="N48" s="1262"/>
      <c r="O48" s="1262"/>
      <c r="P48" s="1263"/>
    </row>
    <row r="49" spans="1:19">
      <c r="S49" s="715"/>
    </row>
    <row r="50" spans="1:19" ht="22.5" collapsed="1">
      <c r="A50" s="1171"/>
      <c r="B50" s="1236" t="s">
        <v>817</v>
      </c>
      <c r="C50" s="1264"/>
      <c r="D50" s="1264"/>
      <c r="E50" s="1264"/>
      <c r="F50" s="1264"/>
      <c r="G50" s="1264"/>
      <c r="H50" s="1264"/>
      <c r="I50" s="1264"/>
      <c r="J50" s="1264"/>
      <c r="K50" s="1264"/>
      <c r="L50" s="1264"/>
      <c r="M50" s="1264"/>
      <c r="N50" s="1264"/>
      <c r="O50" s="1264"/>
      <c r="P50" s="1265"/>
    </row>
    <row r="51" spans="1:19" hidden="1" outlineLevel="1">
      <c r="B51" s="1157"/>
      <c r="C51" s="864"/>
      <c r="D51" s="864"/>
      <c r="E51" s="864"/>
      <c r="F51" s="864"/>
      <c r="G51" s="864"/>
      <c r="H51" s="864"/>
      <c r="I51" s="864"/>
      <c r="J51" s="864"/>
      <c r="K51" s="864"/>
      <c r="L51" s="864"/>
      <c r="M51" s="864"/>
      <c r="N51" s="864"/>
      <c r="O51" s="864"/>
      <c r="P51" s="1158"/>
    </row>
    <row r="52" spans="1:19" hidden="1" outlineLevel="1">
      <c r="B52" s="1164"/>
      <c r="C52" s="1165"/>
      <c r="D52" s="1165"/>
      <c r="E52" s="1165"/>
      <c r="F52" s="1165"/>
      <c r="G52" s="1165"/>
      <c r="H52" s="1165"/>
      <c r="I52" s="1165"/>
      <c r="J52" s="1165"/>
      <c r="K52" s="1165"/>
      <c r="L52" s="1165"/>
      <c r="M52" s="1165"/>
      <c r="N52" s="1165"/>
      <c r="O52" s="1165"/>
      <c r="P52" s="1166"/>
    </row>
    <row r="54" spans="1:19" ht="18" collapsed="1">
      <c r="A54" s="767"/>
      <c r="B54" s="809" t="s">
        <v>732</v>
      </c>
    </row>
    <row r="55" spans="1:19" s="24" customFormat="1" hidden="1" outlineLevel="1">
      <c r="B55" s="731"/>
      <c r="C55" s="121"/>
    </row>
    <row r="56" spans="1:19" hidden="1" outlineLevel="1"/>
    <row r="57" spans="1:19" hidden="1" outlineLevel="1">
      <c r="B57" s="731" t="s">
        <v>1602</v>
      </c>
      <c r="F57" s="861">
        <v>2007</v>
      </c>
      <c r="G57" s="861">
        <v>2010</v>
      </c>
      <c r="H57" s="861">
        <v>2015</v>
      </c>
      <c r="I57" s="861">
        <v>2020</v>
      </c>
      <c r="J57" s="861">
        <v>2025</v>
      </c>
      <c r="K57" s="861">
        <v>2030</v>
      </c>
      <c r="L57" s="861">
        <v>2035</v>
      </c>
      <c r="M57" s="861">
        <v>2040</v>
      </c>
      <c r="N57" s="861">
        <v>2045</v>
      </c>
      <c r="O57" s="861">
        <v>2050</v>
      </c>
    </row>
    <row r="58" spans="1:19" hidden="1" outlineLevel="1">
      <c r="B58" s="731"/>
      <c r="C58" s="121" t="s">
        <v>1683</v>
      </c>
      <c r="E58" s="1141" t="s">
        <v>1377</v>
      </c>
      <c r="F58" s="1811">
        <f>INDEX(F$16:F$19, MATCH($E$8, $C$16:$C$19, 0))</f>
        <v>0</v>
      </c>
      <c r="G58" s="1811">
        <f t="shared" ref="G58:O58" si="1">INDEX(G$16:G$19, MATCH($E$8, $C$16:$C$19, 0))</f>
        <v>0</v>
      </c>
      <c r="H58" s="1811">
        <f t="shared" si="1"/>
        <v>0</v>
      </c>
      <c r="I58" s="1811">
        <f t="shared" si="1"/>
        <v>0</v>
      </c>
      <c r="J58" s="1811">
        <f t="shared" si="1"/>
        <v>0</v>
      </c>
      <c r="K58" s="1811">
        <f t="shared" si="1"/>
        <v>0</v>
      </c>
      <c r="L58" s="1811">
        <f t="shared" si="1"/>
        <v>0</v>
      </c>
      <c r="M58" s="1811">
        <f t="shared" si="1"/>
        <v>0</v>
      </c>
      <c r="N58" s="1811">
        <f t="shared" si="1"/>
        <v>0</v>
      </c>
      <c r="O58" s="1811">
        <f t="shared" si="1"/>
        <v>0</v>
      </c>
    </row>
    <row r="59" spans="1:19" hidden="1" outlineLevel="1">
      <c r="B59" s="731"/>
      <c r="C59" s="121" t="s">
        <v>1603</v>
      </c>
      <c r="E59" s="1141" t="s">
        <v>1377</v>
      </c>
      <c r="F59" s="1811">
        <f t="shared" ref="F59:O59" si="2">INDEX(F$24:F$27, MATCH($E$8, $C$24:$C$27, 0))</f>
        <v>0</v>
      </c>
      <c r="G59" s="1811">
        <f t="shared" si="2"/>
        <v>0</v>
      </c>
      <c r="H59" s="1811">
        <f t="shared" si="2"/>
        <v>0</v>
      </c>
      <c r="I59" s="1811">
        <f t="shared" si="2"/>
        <v>0</v>
      </c>
      <c r="J59" s="1811">
        <f t="shared" si="2"/>
        <v>0</v>
      </c>
      <c r="K59" s="1811">
        <f t="shared" si="2"/>
        <v>0</v>
      </c>
      <c r="L59" s="1811">
        <f t="shared" si="2"/>
        <v>0</v>
      </c>
      <c r="M59" s="1811">
        <f t="shared" si="2"/>
        <v>0</v>
      </c>
      <c r="N59" s="1811">
        <f t="shared" si="2"/>
        <v>0</v>
      </c>
      <c r="O59" s="1811">
        <f t="shared" si="2"/>
        <v>0</v>
      </c>
    </row>
    <row r="60" spans="1:19" hidden="1" outlineLevel="1">
      <c r="B60" s="731"/>
      <c r="C60" s="121" t="s">
        <v>461</v>
      </c>
      <c r="E60" s="1141" t="s">
        <v>1377</v>
      </c>
      <c r="F60" s="1811">
        <f t="shared" ref="F60:O60" si="3">INDEX(F$32:F$35, MATCH($E$8, $C$32:$C$35, 0))</f>
        <v>0</v>
      </c>
      <c r="G60" s="1811">
        <f t="shared" si="3"/>
        <v>0</v>
      </c>
      <c r="H60" s="1811">
        <f t="shared" si="3"/>
        <v>0</v>
      </c>
      <c r="I60" s="1811">
        <f t="shared" si="3"/>
        <v>0</v>
      </c>
      <c r="J60" s="1811">
        <f t="shared" si="3"/>
        <v>0</v>
      </c>
      <c r="K60" s="1811">
        <f t="shared" si="3"/>
        <v>0</v>
      </c>
      <c r="L60" s="1811">
        <f t="shared" si="3"/>
        <v>0</v>
      </c>
      <c r="M60" s="1811">
        <f t="shared" si="3"/>
        <v>0</v>
      </c>
      <c r="N60" s="1811">
        <f t="shared" si="3"/>
        <v>0</v>
      </c>
      <c r="O60" s="1811">
        <f t="shared" si="3"/>
        <v>0</v>
      </c>
    </row>
    <row r="61" spans="1:19" hidden="1" outlineLevel="1">
      <c r="B61" s="731"/>
      <c r="C61" s="731" t="s">
        <v>148</v>
      </c>
      <c r="E61" s="1141"/>
      <c r="F61" s="1832">
        <f>SUM(F58:F60)</f>
        <v>0</v>
      </c>
      <c r="G61" s="1832">
        <f t="shared" ref="G61:O61" si="4">SUM(G58:G60)</f>
        <v>0</v>
      </c>
      <c r="H61" s="1832">
        <f t="shared" si="4"/>
        <v>0</v>
      </c>
      <c r="I61" s="1832">
        <f t="shared" si="4"/>
        <v>0</v>
      </c>
      <c r="J61" s="1832">
        <f t="shared" si="4"/>
        <v>0</v>
      </c>
      <c r="K61" s="1832">
        <f t="shared" si="4"/>
        <v>0</v>
      </c>
      <c r="L61" s="1832">
        <f t="shared" si="4"/>
        <v>0</v>
      </c>
      <c r="M61" s="1832">
        <f t="shared" si="4"/>
        <v>0</v>
      </c>
      <c r="N61" s="1832">
        <f t="shared" si="4"/>
        <v>0</v>
      </c>
      <c r="O61" s="1832">
        <f t="shared" si="4"/>
        <v>0</v>
      </c>
    </row>
    <row r="62" spans="1:19" hidden="1" outlineLevel="1">
      <c r="E62" s="1141"/>
    </row>
    <row r="63" spans="1:19" hidden="1" outlineLevel="1">
      <c r="B63" s="731" t="s">
        <v>1604</v>
      </c>
      <c r="E63" s="1576" t="str">
        <f>Preferences.EnergyUnits</f>
        <v>TWh</v>
      </c>
      <c r="F63" s="943">
        <f>F59*F$46</f>
        <v>0</v>
      </c>
      <c r="G63" s="943">
        <f t="shared" ref="G63:O63" si="5">G59*G$46</f>
        <v>0</v>
      </c>
      <c r="H63" s="943">
        <f t="shared" si="5"/>
        <v>0</v>
      </c>
      <c r="I63" s="943">
        <f t="shared" si="5"/>
        <v>0</v>
      </c>
      <c r="J63" s="943">
        <f t="shared" si="5"/>
        <v>0</v>
      </c>
      <c r="K63" s="943">
        <f t="shared" si="5"/>
        <v>0</v>
      </c>
      <c r="L63" s="943">
        <f t="shared" si="5"/>
        <v>0</v>
      </c>
      <c r="M63" s="943">
        <f t="shared" si="5"/>
        <v>0</v>
      </c>
      <c r="N63" s="943">
        <f t="shared" si="5"/>
        <v>0</v>
      </c>
      <c r="O63" s="943">
        <f t="shared" si="5"/>
        <v>0</v>
      </c>
    </row>
    <row r="64" spans="1:19" hidden="1" outlineLevel="1">
      <c r="B64" s="1566"/>
      <c r="F64" s="28"/>
      <c r="G64" s="28"/>
      <c r="H64" s="28"/>
      <c r="I64" s="28"/>
      <c r="J64" s="28"/>
      <c r="K64" s="28"/>
      <c r="L64" s="28"/>
      <c r="M64" s="28"/>
      <c r="N64" s="28"/>
      <c r="O64" s="28"/>
    </row>
    <row r="65" spans="1:19" s="743" customFormat="1">
      <c r="F65" s="27"/>
      <c r="S65" s="27"/>
    </row>
    <row r="66" spans="1:19" ht="22.5" collapsed="1">
      <c r="A66" s="1171"/>
      <c r="B66" s="1231" t="s">
        <v>683</v>
      </c>
      <c r="C66" s="1183"/>
      <c r="D66" s="1183"/>
      <c r="E66" s="1183"/>
      <c r="F66" s="1183"/>
      <c r="G66" s="1183"/>
      <c r="H66" s="1183"/>
      <c r="I66" s="1183"/>
      <c r="J66" s="1183"/>
      <c r="K66" s="1183"/>
      <c r="L66" s="1183"/>
      <c r="M66" s="1183"/>
      <c r="N66" s="1183"/>
      <c r="O66" s="1183"/>
      <c r="P66" s="1185"/>
      <c r="S66" s="27"/>
    </row>
    <row r="67" spans="1:19" hidden="1" outlineLevel="1">
      <c r="B67" s="1172"/>
      <c r="C67" s="1174"/>
      <c r="D67" s="1174"/>
      <c r="E67" s="1174"/>
      <c r="F67" s="1174"/>
      <c r="G67" s="1174"/>
      <c r="H67" s="1174"/>
      <c r="I67" s="1174"/>
      <c r="J67" s="1174"/>
      <c r="K67" s="1174"/>
      <c r="L67" s="1174"/>
      <c r="M67" s="1174"/>
      <c r="N67" s="1174"/>
      <c r="O67" s="1174"/>
      <c r="P67" s="1176"/>
      <c r="S67" s="27"/>
    </row>
    <row r="68" spans="1:19" hidden="1" outlineLevel="1">
      <c r="B68" s="1172"/>
      <c r="C68" s="1186" t="s">
        <v>730</v>
      </c>
      <c r="D68" s="1174"/>
      <c r="E68" s="1175"/>
      <c r="F68" s="1174"/>
      <c r="G68" s="1175"/>
      <c r="H68" s="1174"/>
      <c r="I68" s="1174"/>
      <c r="J68" s="1174"/>
      <c r="K68" s="1174"/>
      <c r="L68" s="1174"/>
      <c r="M68" s="1174"/>
      <c r="N68" s="1174"/>
      <c r="O68" s="1175" t="str">
        <f>Preferences.EnergyUnits</f>
        <v>TWh</v>
      </c>
      <c r="P68" s="1176"/>
      <c r="S68" s="27"/>
    </row>
    <row r="69" spans="1:19" ht="6" hidden="1" customHeight="1" outlineLevel="1">
      <c r="B69" s="1172"/>
      <c r="C69" s="1174"/>
      <c r="D69" s="1174"/>
      <c r="E69" s="1174"/>
      <c r="F69" s="1174"/>
      <c r="G69" s="1174"/>
      <c r="H69" s="1174"/>
      <c r="I69" s="1174"/>
      <c r="J69" s="1174"/>
      <c r="K69" s="1174"/>
      <c r="L69" s="1174"/>
      <c r="M69" s="1174"/>
      <c r="N69" s="1174"/>
      <c r="O69" s="1174"/>
      <c r="P69" s="1176"/>
      <c r="S69" s="27"/>
    </row>
    <row r="70" spans="1:19" ht="15.75" hidden="1" outlineLevel="1">
      <c r="A70" s="3"/>
      <c r="B70" s="1177"/>
      <c r="C70" s="1188" t="s">
        <v>78</v>
      </c>
      <c r="D70" s="1188" t="s">
        <v>418</v>
      </c>
      <c r="E70" s="1188" t="s">
        <v>442</v>
      </c>
      <c r="F70" s="1188" t="s">
        <v>691</v>
      </c>
      <c r="G70" s="1188" t="s">
        <v>692</v>
      </c>
      <c r="H70" s="1189" t="s">
        <v>721</v>
      </c>
      <c r="I70" s="1189" t="s">
        <v>722</v>
      </c>
      <c r="J70" s="1189" t="s">
        <v>723</v>
      </c>
      <c r="K70" s="1189" t="s">
        <v>724</v>
      </c>
      <c r="L70" s="1189" t="s">
        <v>725</v>
      </c>
      <c r="M70" s="1189" t="s">
        <v>726</v>
      </c>
      <c r="N70" s="1189" t="s">
        <v>727</v>
      </c>
      <c r="O70" s="1189" t="s">
        <v>728</v>
      </c>
      <c r="P70" s="1176"/>
    </row>
    <row r="71" spans="1:19" ht="15.75" hidden="1" outlineLevel="1">
      <c r="A71" s="3"/>
      <c r="B71" s="1177"/>
      <c r="C71" s="765" t="s">
        <v>45</v>
      </c>
      <c r="D71" s="765" t="str">
        <f>INDEX(Vectors[Description], MATCH([Vector], Vectors[Code], 0))</f>
        <v>Electricity (delivered to end user)</v>
      </c>
      <c r="E71" s="765"/>
      <c r="F71" s="779">
        <f>-F63</f>
        <v>0</v>
      </c>
      <c r="G71" s="779">
        <f t="shared" ref="G71:O71" si="6">-G63</f>
        <v>0</v>
      </c>
      <c r="H71" s="779">
        <f t="shared" si="6"/>
        <v>0</v>
      </c>
      <c r="I71" s="779">
        <f t="shared" si="6"/>
        <v>0</v>
      </c>
      <c r="J71" s="779">
        <f t="shared" si="6"/>
        <v>0</v>
      </c>
      <c r="K71" s="779">
        <f t="shared" si="6"/>
        <v>0</v>
      </c>
      <c r="L71" s="779">
        <f t="shared" si="6"/>
        <v>0</v>
      </c>
      <c r="M71" s="779">
        <f t="shared" si="6"/>
        <v>0</v>
      </c>
      <c r="N71" s="779">
        <f t="shared" si="6"/>
        <v>0</v>
      </c>
      <c r="O71" s="779">
        <f t="shared" si="6"/>
        <v>0</v>
      </c>
      <c r="P71" s="1176"/>
    </row>
    <row r="72" spans="1:19" ht="15.75" hidden="1" outlineLevel="1">
      <c r="A72" s="3"/>
      <c r="B72" s="1177"/>
      <c r="C72" s="765" t="s">
        <v>34</v>
      </c>
      <c r="D72" s="765" t="str">
        <f>INDEX(Vectors[Description], MATCH([Vector], Vectors[Code], 0))</f>
        <v>Conversion losses</v>
      </c>
      <c r="E72" s="765"/>
      <c r="F72" s="779">
        <f>F63</f>
        <v>0</v>
      </c>
      <c r="G72" s="779">
        <f t="shared" ref="G72:O72" si="7">G63</f>
        <v>0</v>
      </c>
      <c r="H72" s="779">
        <f t="shared" si="7"/>
        <v>0</v>
      </c>
      <c r="I72" s="779">
        <f t="shared" si="7"/>
        <v>0</v>
      </c>
      <c r="J72" s="779">
        <f t="shared" si="7"/>
        <v>0</v>
      </c>
      <c r="K72" s="779">
        <f t="shared" si="7"/>
        <v>0</v>
      </c>
      <c r="L72" s="779">
        <f t="shared" si="7"/>
        <v>0</v>
      </c>
      <c r="M72" s="779">
        <f t="shared" si="7"/>
        <v>0</v>
      </c>
      <c r="N72" s="779">
        <f t="shared" si="7"/>
        <v>0</v>
      </c>
      <c r="O72" s="779">
        <f t="shared" si="7"/>
        <v>0</v>
      </c>
      <c r="P72" s="1176"/>
    </row>
    <row r="73" spans="1:19" ht="15.75" hidden="1" outlineLevel="1">
      <c r="A73" s="3"/>
      <c r="B73" s="1177"/>
      <c r="C73" s="765" t="s">
        <v>148</v>
      </c>
      <c r="D73" s="765"/>
      <c r="E73" s="765"/>
      <c r="F73" s="779">
        <f>SUBTOTAL(109,[2007])</f>
        <v>0</v>
      </c>
      <c r="G73" s="765">
        <f>SUBTOTAL(109,[2010])</f>
        <v>0</v>
      </c>
      <c r="H73" s="765">
        <f>SUBTOTAL(109,[2015])</f>
        <v>0</v>
      </c>
      <c r="I73" s="765">
        <f>SUBTOTAL(109,[2020])</f>
        <v>0</v>
      </c>
      <c r="J73" s="765">
        <f>SUBTOTAL(109,[2025])</f>
        <v>0</v>
      </c>
      <c r="K73" s="765">
        <f>SUBTOTAL(109,[2030])</f>
        <v>0</v>
      </c>
      <c r="L73" s="765">
        <f>SUBTOTAL(109,[2035])</f>
        <v>0</v>
      </c>
      <c r="M73" s="765">
        <f>SUBTOTAL(109,[2040])</f>
        <v>0</v>
      </c>
      <c r="N73" s="765">
        <f>SUBTOTAL(109,[2045])</f>
        <v>0</v>
      </c>
      <c r="O73" s="765">
        <f>SUBTOTAL(109,[2050])</f>
        <v>0</v>
      </c>
      <c r="P73" s="1176"/>
    </row>
    <row r="74" spans="1:19" ht="15.75" hidden="1" outlineLevel="1">
      <c r="A74" s="3"/>
      <c r="B74" s="1178"/>
      <c r="C74" s="1179"/>
      <c r="D74" s="1179"/>
      <c r="E74" s="1179"/>
      <c r="F74" s="1179"/>
      <c r="G74" s="1179"/>
      <c r="H74" s="1179"/>
      <c r="I74" s="1179"/>
      <c r="J74" s="1179"/>
      <c r="K74" s="1179"/>
      <c r="L74" s="1179"/>
      <c r="M74" s="1179"/>
      <c r="N74" s="1179"/>
      <c r="O74" s="1179"/>
      <c r="P74" s="1181"/>
    </row>
    <row r="75" spans="1:19" hidden="1" outlineLevel="1"/>
    <row r="76" spans="1:19" ht="22.5" hidden="1" outlineLevel="1">
      <c r="A76" s="1171"/>
      <c r="B76" s="1249" t="s">
        <v>902</v>
      </c>
      <c r="C76" s="1198"/>
      <c r="D76" s="1199"/>
      <c r="E76" s="1199"/>
      <c r="F76" s="1199"/>
      <c r="G76" s="1199"/>
      <c r="H76" s="1199"/>
      <c r="I76" s="1199"/>
      <c r="J76" s="1199"/>
      <c r="K76" s="1199"/>
      <c r="L76" s="1199"/>
      <c r="M76" s="1199"/>
      <c r="N76" s="1199"/>
      <c r="O76" s="1199"/>
      <c r="P76" s="1200"/>
    </row>
    <row r="77" spans="1:19" hidden="1" outlineLevel="1">
      <c r="B77" s="1207"/>
      <c r="C77" s="1208"/>
      <c r="D77" s="1208"/>
      <c r="E77" s="1208"/>
      <c r="F77" s="1208"/>
      <c r="G77" s="1208"/>
      <c r="H77" s="1208"/>
      <c r="I77" s="1208"/>
      <c r="J77" s="1208"/>
      <c r="K77" s="1208"/>
      <c r="L77" s="1208"/>
      <c r="M77" s="1208"/>
      <c r="N77" s="1208"/>
      <c r="O77" s="1208"/>
      <c r="P77" s="1209"/>
    </row>
    <row r="78" spans="1:19" ht="14.25" hidden="1" outlineLevel="1">
      <c r="B78" s="1210"/>
      <c r="C78" s="1201" t="s">
        <v>1073</v>
      </c>
      <c r="D78" s="1202"/>
      <c r="E78" s="1203"/>
      <c r="F78" s="1202"/>
      <c r="G78" s="1203"/>
      <c r="H78" s="1202"/>
      <c r="I78" s="1202"/>
      <c r="J78" s="1202"/>
      <c r="K78" s="1202"/>
      <c r="L78" s="1202"/>
      <c r="M78" s="1202"/>
      <c r="N78" s="1202"/>
      <c r="O78" s="1203" t="s">
        <v>1076</v>
      </c>
      <c r="P78" s="1211"/>
    </row>
    <row r="79" spans="1:19" ht="5.25" hidden="1" customHeight="1" outlineLevel="1">
      <c r="B79" s="1210"/>
      <c r="C79" s="1202"/>
      <c r="D79" s="1202"/>
      <c r="E79" s="1202"/>
      <c r="F79" s="1202"/>
      <c r="G79" s="1202"/>
      <c r="H79" s="1202"/>
      <c r="I79" s="1202"/>
      <c r="J79" s="1202"/>
      <c r="K79" s="1202"/>
      <c r="L79" s="1202"/>
      <c r="M79" s="1202"/>
      <c r="N79" s="1202"/>
      <c r="O79" s="1202"/>
      <c r="P79" s="1211"/>
    </row>
    <row r="80" spans="1:19" ht="15.75" hidden="1" outlineLevel="1">
      <c r="B80" s="1212"/>
      <c r="C80" s="1269" t="s">
        <v>1072</v>
      </c>
      <c r="D80" s="1269" t="s">
        <v>1042</v>
      </c>
      <c r="E80" s="1269" t="s">
        <v>442</v>
      </c>
      <c r="F80" s="1269" t="s">
        <v>691</v>
      </c>
      <c r="G80" s="1269" t="s">
        <v>692</v>
      </c>
      <c r="H80" s="1269" t="s">
        <v>721</v>
      </c>
      <c r="I80" s="1269" t="s">
        <v>722</v>
      </c>
      <c r="J80" s="1269" t="s">
        <v>723</v>
      </c>
      <c r="K80" s="1269" t="s">
        <v>724</v>
      </c>
      <c r="L80" s="1269" t="s">
        <v>725</v>
      </c>
      <c r="M80" s="1269" t="s">
        <v>726</v>
      </c>
      <c r="N80" s="1269" t="s">
        <v>727</v>
      </c>
      <c r="O80" s="1269" t="s">
        <v>728</v>
      </c>
      <c r="P80" s="1211"/>
    </row>
    <row r="81" spans="2:16" ht="15.75" hidden="1" outlineLevel="1">
      <c r="B81" s="1212"/>
      <c r="C81" s="1206" t="s">
        <v>1055</v>
      </c>
      <c r="D81" s="1216" t="s">
        <v>1078</v>
      </c>
      <c r="E81" s="1206" t="str">
        <f>INDEX(IPCC[Sector_description], MATCH([IPCC Sector], IPCC[Sector_code], 0))</f>
        <v>Carbon capture</v>
      </c>
      <c r="F81" s="1268">
        <f>-F61</f>
        <v>0</v>
      </c>
      <c r="G81" s="1268">
        <f t="shared" ref="G81:O81" si="8">-G61</f>
        <v>0</v>
      </c>
      <c r="H81" s="1268">
        <f t="shared" si="8"/>
        <v>0</v>
      </c>
      <c r="I81" s="1268">
        <f t="shared" si="8"/>
        <v>0</v>
      </c>
      <c r="J81" s="1268">
        <f t="shared" si="8"/>
        <v>0</v>
      </c>
      <c r="K81" s="1268">
        <f t="shared" si="8"/>
        <v>0</v>
      </c>
      <c r="L81" s="1268">
        <f t="shared" si="8"/>
        <v>0</v>
      </c>
      <c r="M81" s="1268">
        <f t="shared" si="8"/>
        <v>0</v>
      </c>
      <c r="N81" s="1268">
        <f t="shared" si="8"/>
        <v>0</v>
      </c>
      <c r="O81" s="1268">
        <f t="shared" si="8"/>
        <v>0</v>
      </c>
      <c r="P81" s="1211"/>
    </row>
    <row r="82" spans="2:16" ht="15.75" hidden="1" outlineLevel="1">
      <c r="B82" s="1212"/>
      <c r="C82" s="1206" t="s">
        <v>148</v>
      </c>
      <c r="D82" s="1206"/>
      <c r="E82" s="1206"/>
      <c r="F82" s="1278">
        <f>SUBTOTAL(109,[2007])</f>
        <v>0</v>
      </c>
      <c r="G82" s="1278">
        <f>SUBTOTAL(109,[2010])</f>
        <v>0</v>
      </c>
      <c r="H82" s="1278">
        <f>SUBTOTAL(109,[2015])</f>
        <v>0</v>
      </c>
      <c r="I82" s="1278">
        <f>SUBTOTAL(109,[2020])</f>
        <v>0</v>
      </c>
      <c r="J82" s="1278">
        <f>SUBTOTAL(109,[2025])</f>
        <v>0</v>
      </c>
      <c r="K82" s="1278">
        <f>SUBTOTAL(109,[2030])</f>
        <v>0</v>
      </c>
      <c r="L82" s="1278">
        <f>SUBTOTAL(109,[2035])</f>
        <v>0</v>
      </c>
      <c r="M82" s="1278">
        <f>SUBTOTAL(109,[2040])</f>
        <v>0</v>
      </c>
      <c r="N82" s="1278">
        <f>SUBTOTAL(109,[2045])</f>
        <v>0</v>
      </c>
      <c r="O82" s="1278">
        <f>SUBTOTAL(109,[2050])</f>
        <v>0</v>
      </c>
      <c r="P82" s="1211"/>
    </row>
    <row r="83" spans="2:16" ht="15.75" hidden="1" outlineLevel="1">
      <c r="B83" s="1270"/>
      <c r="C83" s="1214"/>
      <c r="D83" s="1214"/>
      <c r="E83" s="1214"/>
      <c r="F83" s="1214"/>
      <c r="G83" s="1214"/>
      <c r="H83" s="1214"/>
      <c r="I83" s="1214"/>
      <c r="J83" s="1214"/>
      <c r="K83" s="1214"/>
      <c r="L83" s="1214"/>
      <c r="M83" s="1214"/>
      <c r="N83" s="1214"/>
      <c r="O83" s="1214"/>
      <c r="P83" s="1215"/>
    </row>
    <row r="84" spans="2:16" hidden="1" outlineLevel="1"/>
  </sheetData>
  <pageMargins left="0.7" right="0.7" top="0.75" bottom="0.75" header="0.3" footer="0.3"/>
  <pageSetup paperSize="9" orientation="portrait" r:id="rId1"/>
  <tableParts count="2">
    <tablePart r:id="rId2"/>
    <tablePart r:id="rId3"/>
  </tableParts>
</worksheet>
</file>

<file path=xl/worksheets/sheet47.xml><?xml version="1.0" encoding="utf-8"?>
<worksheet xmlns="http://schemas.openxmlformats.org/spreadsheetml/2006/main" xmlns:r="http://schemas.openxmlformats.org/officeDocument/2006/relationships">
  <sheetPr codeName="Sheet37">
    <tabColor theme="9"/>
    <outlinePr summaryBelow="0"/>
    <pageSetUpPr autoPageBreaks="0"/>
  </sheetPr>
  <dimension ref="A1:P121"/>
  <sheetViews>
    <sheetView showGridLines="0" zoomScale="80" zoomScaleNormal="80" workbookViewId="0">
      <pane ySplit="2" topLeftCell="A3" activePane="bottomLeft" state="frozen"/>
      <selection pane="bottomLeft"/>
    </sheetView>
  </sheetViews>
  <sheetFormatPr defaultRowHeight="12.75" outlineLevelRow="2"/>
  <cols>
    <col min="1" max="1" width="5.85546875" style="121" customWidth="1"/>
    <col min="2" max="2" width="2.5703125" style="121" customWidth="1"/>
    <col min="3" max="3" width="9.140625" style="121"/>
    <col min="4" max="4" width="28.140625" style="121" bestFit="1" customWidth="1"/>
    <col min="5" max="5" width="8.140625" style="121" customWidth="1"/>
    <col min="6" max="6" width="9.42578125" style="121" customWidth="1"/>
    <col min="7" max="7" width="9.140625" style="121" customWidth="1"/>
    <col min="8" max="9" width="9.140625" style="121"/>
    <col min="10" max="10" width="9.28515625" style="121" bestFit="1" customWidth="1"/>
    <col min="11" max="15" width="9.140625" style="121"/>
    <col min="16" max="16" width="2" style="121" customWidth="1"/>
    <col min="17" max="16384" width="9.140625" style="121"/>
  </cols>
  <sheetData>
    <row r="1" spans="1:16" ht="21">
      <c r="A1" s="789" t="s">
        <v>969</v>
      </c>
      <c r="B1" s="789" t="str">
        <f>INDEX(Workstreams[Workstream], MATCH($A1, Workstreams[Code], 0))</f>
        <v>Fossil fuel production</v>
      </c>
      <c r="C1" s="789"/>
    </row>
    <row r="2" spans="1:16" s="743" customFormat="1" ht="19.5" customHeight="1">
      <c r="A2" s="10" t="s">
        <v>971</v>
      </c>
      <c r="B2" s="10" t="str">
        <f>INDEX(Modules[Module], MATCH($A2, Modules[Code], 0))</f>
        <v>Petroleum refineries</v>
      </c>
      <c r="C2" s="10"/>
    </row>
    <row r="4" spans="1:16" ht="22.5" collapsed="1">
      <c r="A4" s="1171"/>
      <c r="B4" s="1231" t="s">
        <v>682</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idden="1" outlineLevel="1">
      <c r="B6" s="1172"/>
      <c r="C6" s="1186" t="s">
        <v>2255</v>
      </c>
      <c r="D6" s="1174"/>
      <c r="E6" s="1175"/>
      <c r="F6" s="1174"/>
      <c r="G6" s="1174"/>
      <c r="H6" s="1174"/>
      <c r="I6" s="1174"/>
      <c r="J6" s="1174"/>
      <c r="K6" s="1174"/>
      <c r="L6" s="1174"/>
      <c r="M6" s="1174"/>
      <c r="N6" s="1174"/>
      <c r="O6" s="1175" t="str">
        <f>Preferences.EnergyUnits</f>
        <v>TWh</v>
      </c>
      <c r="P6" s="1176"/>
    </row>
    <row r="7" spans="1:16" ht="6" hidden="1" customHeight="1" outlineLevel="1">
      <c r="B7" s="1172"/>
      <c r="C7" s="1173"/>
      <c r="D7" s="1174"/>
      <c r="E7" s="1175"/>
      <c r="F7" s="1174"/>
      <c r="G7" s="1174"/>
      <c r="H7" s="1174"/>
      <c r="I7" s="1174"/>
      <c r="J7" s="1174"/>
      <c r="K7" s="1174"/>
      <c r="L7" s="1174"/>
      <c r="M7" s="1174"/>
      <c r="N7" s="1174"/>
      <c r="O7" s="1174"/>
      <c r="P7" s="1176"/>
    </row>
    <row r="8" spans="1:16" s="743" customFormat="1" ht="15.75" hidden="1" outlineLevel="1">
      <c r="A8" s="753"/>
      <c r="B8" s="1187"/>
      <c r="C8" s="1188" t="s">
        <v>78</v>
      </c>
      <c r="D8" s="1188" t="s">
        <v>418</v>
      </c>
      <c r="E8" s="1188" t="s">
        <v>442</v>
      </c>
      <c r="F8" s="1188" t="s">
        <v>691</v>
      </c>
      <c r="G8" s="1188" t="s">
        <v>692</v>
      </c>
      <c r="H8" s="1189" t="s">
        <v>721</v>
      </c>
      <c r="I8" s="1189" t="s">
        <v>722</v>
      </c>
      <c r="J8" s="1189" t="s">
        <v>723</v>
      </c>
      <c r="K8" s="1189" t="s">
        <v>724</v>
      </c>
      <c r="L8" s="1189" t="s">
        <v>725</v>
      </c>
      <c r="M8" s="1189" t="s">
        <v>726</v>
      </c>
      <c r="N8" s="1189" t="s">
        <v>727</v>
      </c>
      <c r="O8" s="1189" t="s">
        <v>728</v>
      </c>
      <c r="P8" s="1190"/>
    </row>
    <row r="9" spans="1:16" s="743" customFormat="1" ht="18" hidden="1" customHeight="1" outlineLevel="1">
      <c r="A9" s="753"/>
      <c r="B9" s="1187"/>
      <c r="C9" s="765" t="s">
        <v>1000</v>
      </c>
      <c r="D9" s="765" t="str">
        <f>INDEX(Vectors[Description], MATCH([Vector], Vectors[Code], 0))</f>
        <v>Oil reserves</v>
      </c>
      <c r="E9" s="765"/>
      <c r="F9" s="1266">
        <f ca="1">INDEX(INDIRECT("'"&amp;XV.a.Inputs[#Headers]&amp;"'!Year.NetBalance"), MATCH([Vector], INDIRECT("'"&amp;XV.a.Inputs[#Headers]&amp;"'!Year.Vectors"), 0))</f>
        <v>-975.89120834979803</v>
      </c>
      <c r="G9" s="1266">
        <f ca="1">INDEX(INDIRECT("'"&amp;XV.a.Inputs[#Headers]&amp;"'!Year.NetBalance"), MATCH([Vector], INDIRECT("'"&amp;XV.a.Inputs[#Headers]&amp;"'!Year.Vectors"), 0))</f>
        <v>-815.4323959706519</v>
      </c>
      <c r="H9" s="1266">
        <f ca="1">INDEX(INDIRECT("'"&amp;XV.a.Inputs[#Headers]&amp;"'!Year.NetBalance"), MATCH([Vector], INDIRECT("'"&amp;XV.a.Inputs[#Headers]&amp;"'!Year.Vectors"), 0))</f>
        <v>-664.52033513004915</v>
      </c>
      <c r="I9" s="1266">
        <f ca="1">INDEX(INDIRECT("'"&amp;XV.a.Inputs[#Headers]&amp;"'!Year.NetBalance"), MATCH([Vector], INDIRECT("'"&amp;XV.a.Inputs[#Headers]&amp;"'!Year.Vectors"), 0))</f>
        <v>-527.86775447758896</v>
      </c>
      <c r="J9" s="1266">
        <f ca="1">INDEX(INDIRECT("'"&amp;XV.a.Inputs[#Headers]&amp;"'!Year.NetBalance"), MATCH([Vector], INDIRECT("'"&amp;XV.a.Inputs[#Headers]&amp;"'!Year.Vectors"), 0))</f>
        <v>-419.31653778914142</v>
      </c>
      <c r="K9" s="1266">
        <f ca="1">INDEX(INDIRECT("'"&amp;XV.a.Inputs[#Headers]&amp;"'!Year.NetBalance"), MATCH([Vector], INDIRECT("'"&amp;XV.a.Inputs[#Headers]&amp;"'!Year.Vectors"), 0))</f>
        <v>-333.08789440544865</v>
      </c>
      <c r="L9" s="1266">
        <f ca="1">INDEX(INDIRECT("'"&amp;XV.a.Inputs[#Headers]&amp;"'!Year.NetBalance"), MATCH([Vector], INDIRECT("'"&amp;XV.a.Inputs[#Headers]&amp;"'!Year.Vectors"), 0))</f>
        <v>-264.59138956080642</v>
      </c>
      <c r="M9" s="1266">
        <f ca="1">INDEX(INDIRECT("'"&amp;XV.a.Inputs[#Headers]&amp;"'!Year.NetBalance"), MATCH([Vector], INDIRECT("'"&amp;XV.a.Inputs[#Headers]&amp;"'!Year.Vectors"), 0))</f>
        <v>-210.18056977027507</v>
      </c>
      <c r="N9" s="1266">
        <f ca="1">INDEX(INDIRECT("'"&amp;XV.a.Inputs[#Headers]&amp;"'!Year.NetBalance"), MATCH([Vector], INDIRECT("'"&amp;XV.a.Inputs[#Headers]&amp;"'!Year.Vectors"), 0))</f>
        <v>-166.95884163987617</v>
      </c>
      <c r="O9" s="1266">
        <f ca="1">INDEX(INDIRECT("'"&amp;XV.a.Inputs[#Headers]&amp;"'!Year.NetBalance"), MATCH([Vector], INDIRECT("'"&amp;XV.a.Inputs[#Headers]&amp;"'!Year.Vectors"), 0))</f>
        <v>-132.62526993906516</v>
      </c>
      <c r="P9" s="1191"/>
    </row>
    <row r="10" spans="1:16" hidden="1" outlineLevel="1">
      <c r="B10" s="1192"/>
      <c r="C10" s="1180"/>
      <c r="D10" s="1180"/>
      <c r="E10" s="1180"/>
      <c r="F10" s="1180"/>
      <c r="G10" s="1180"/>
      <c r="H10" s="1180"/>
      <c r="I10" s="1180"/>
      <c r="J10" s="1180"/>
      <c r="K10" s="1180"/>
      <c r="L10" s="1180"/>
      <c r="M10" s="1180"/>
      <c r="N10" s="1180"/>
      <c r="O10" s="1180"/>
      <c r="P10" s="1181"/>
    </row>
    <row r="11" spans="1:16" s="1586" customFormat="1">
      <c r="B11" s="2393"/>
      <c r="C11" s="2394"/>
      <c r="D11" s="2394"/>
      <c r="E11" s="2394"/>
      <c r="F11" s="2394"/>
      <c r="G11" s="2394"/>
      <c r="H11" s="2394"/>
      <c r="I11" s="2394"/>
      <c r="J11" s="2394"/>
      <c r="K11" s="2394"/>
      <c r="L11" s="2394"/>
      <c r="M11" s="2394"/>
      <c r="N11" s="2394"/>
      <c r="O11" s="2394"/>
      <c r="P11" s="1583"/>
    </row>
    <row r="12" spans="1:16" s="743" customFormat="1" ht="22.5" collapsed="1">
      <c r="A12" s="1170"/>
      <c r="B12" s="1236" t="s">
        <v>786</v>
      </c>
      <c r="C12" s="1167"/>
      <c r="D12" s="1167"/>
      <c r="E12" s="1167"/>
      <c r="F12" s="1167"/>
      <c r="G12" s="1167"/>
      <c r="H12" s="1167"/>
      <c r="I12" s="1167"/>
      <c r="J12" s="1167"/>
      <c r="K12" s="1167"/>
      <c r="L12" s="1167"/>
      <c r="M12" s="1167"/>
      <c r="N12" s="1167"/>
      <c r="O12" s="1167"/>
      <c r="P12" s="1168"/>
    </row>
    <row r="13" spans="1:16" hidden="1" outlineLevel="1">
      <c r="B13" s="1157"/>
      <c r="C13" s="864"/>
      <c r="D13" s="864"/>
      <c r="E13" s="864"/>
      <c r="F13" s="864"/>
      <c r="G13" s="864"/>
      <c r="H13" s="864"/>
      <c r="I13" s="864"/>
      <c r="J13" s="864"/>
      <c r="K13" s="864"/>
      <c r="L13" s="864"/>
      <c r="M13" s="864"/>
      <c r="N13" s="864"/>
      <c r="O13" s="864"/>
      <c r="P13" s="1158"/>
    </row>
    <row r="14" spans="1:16" hidden="1" outlineLevel="1">
      <c r="B14" s="1157"/>
      <c r="C14" s="866" t="s">
        <v>2253</v>
      </c>
      <c r="D14" s="864"/>
      <c r="E14" s="867"/>
      <c r="F14" s="864"/>
      <c r="G14" s="864"/>
      <c r="H14" s="864"/>
      <c r="I14" s="864"/>
      <c r="J14" s="864"/>
      <c r="K14" s="864"/>
      <c r="L14" s="864"/>
      <c r="M14" s="864"/>
      <c r="N14" s="864"/>
      <c r="O14" s="867" t="str">
        <f>Preferences.EnergyUnits</f>
        <v>TWh</v>
      </c>
      <c r="P14" s="1158"/>
    </row>
    <row r="15" spans="1:16" ht="5.25" hidden="1" customHeight="1" outlineLevel="1">
      <c r="B15" s="1157"/>
      <c r="C15" s="864"/>
      <c r="D15" s="864"/>
      <c r="E15" s="864"/>
      <c r="F15" s="864"/>
      <c r="G15" s="864"/>
      <c r="H15" s="864"/>
      <c r="I15" s="864"/>
      <c r="J15" s="864"/>
      <c r="K15" s="864"/>
      <c r="L15" s="864"/>
      <c r="M15" s="864"/>
      <c r="N15" s="864"/>
      <c r="O15" s="864"/>
      <c r="P15" s="1158"/>
    </row>
    <row r="16" spans="1:16" ht="15.75" hidden="1" outlineLevel="1">
      <c r="B16" s="1159"/>
      <c r="C16" s="766" t="s">
        <v>78</v>
      </c>
      <c r="D16" s="766" t="s">
        <v>418</v>
      </c>
      <c r="E16" s="766" t="s">
        <v>442</v>
      </c>
      <c r="F16" s="923">
        <v>2007</v>
      </c>
      <c r="G16" s="924">
        <v>2010</v>
      </c>
      <c r="H16" s="923">
        <v>2015</v>
      </c>
      <c r="I16" s="923">
        <v>2020</v>
      </c>
      <c r="J16" s="923">
        <v>2025</v>
      </c>
      <c r="K16" s="923">
        <v>2030</v>
      </c>
      <c r="L16" s="923">
        <v>2035</v>
      </c>
      <c r="M16" s="923">
        <v>2040</v>
      </c>
      <c r="N16" s="923">
        <v>2045</v>
      </c>
      <c r="O16" s="923">
        <v>2050</v>
      </c>
      <c r="P16" s="1158"/>
    </row>
    <row r="17" spans="2:16" ht="15.75" hidden="1" outlineLevel="1">
      <c r="B17" s="1159"/>
      <c r="C17" s="794" t="s">
        <v>65</v>
      </c>
      <c r="D17" s="794" t="str">
        <f>INDEX(Vectors[Description], MATCH($C17, Vectors[Code], 0))</f>
        <v>Oil and petroleum products</v>
      </c>
      <c r="E17" s="794" t="s">
        <v>109</v>
      </c>
      <c r="F17" s="1046">
        <f>'DUKES 09 (1.2)'!$D$6*Unit.ktoe</f>
        <v>728.16207538608637</v>
      </c>
      <c r="G17" s="1047">
        <f>$F17</f>
        <v>728.16207538608637</v>
      </c>
      <c r="H17" s="1046">
        <f t="shared" ref="H17:O17" si="0">$F17</f>
        <v>728.16207538608637</v>
      </c>
      <c r="I17" s="1046">
        <f t="shared" si="0"/>
        <v>728.16207538608637</v>
      </c>
      <c r="J17" s="1046">
        <f t="shared" si="0"/>
        <v>728.16207538608637</v>
      </c>
      <c r="K17" s="1046">
        <f t="shared" si="0"/>
        <v>728.16207538608637</v>
      </c>
      <c r="L17" s="1046">
        <f t="shared" si="0"/>
        <v>728.16207538608637</v>
      </c>
      <c r="M17" s="1046">
        <f t="shared" si="0"/>
        <v>728.16207538608637</v>
      </c>
      <c r="N17" s="1046">
        <f t="shared" si="0"/>
        <v>728.16207538608637</v>
      </c>
      <c r="O17" s="1046">
        <f t="shared" si="0"/>
        <v>728.16207538608637</v>
      </c>
      <c r="P17" s="1158"/>
    </row>
    <row r="18" spans="2:16" hidden="1" outlineLevel="1">
      <c r="B18" s="1157"/>
      <c r="C18" s="864"/>
      <c r="D18" s="864"/>
      <c r="E18" s="864"/>
      <c r="F18" s="864"/>
      <c r="G18" s="864"/>
      <c r="H18" s="864"/>
      <c r="I18" s="864"/>
      <c r="J18" s="864"/>
      <c r="K18" s="864"/>
      <c r="L18" s="864"/>
      <c r="M18" s="864"/>
      <c r="N18" s="864"/>
      <c r="O18" s="864"/>
      <c r="P18" s="1158"/>
    </row>
    <row r="19" spans="2:16" hidden="1" outlineLevel="1">
      <c r="B19" s="1157"/>
      <c r="C19" s="866" t="s">
        <v>2256</v>
      </c>
      <c r="D19" s="864"/>
      <c r="E19" s="867"/>
      <c r="F19" s="867" t="str">
        <f>Preferences.EnergyUnits</f>
        <v>TWh</v>
      </c>
      <c r="G19" s="864"/>
      <c r="H19" s="864"/>
      <c r="I19" s="864"/>
      <c r="J19" s="864"/>
      <c r="K19" s="864"/>
      <c r="L19" s="864"/>
      <c r="M19" s="864"/>
      <c r="N19" s="864"/>
      <c r="O19" s="867"/>
      <c r="P19" s="864"/>
    </row>
    <row r="20" spans="2:16" ht="5.25" hidden="1" customHeight="1" outlineLevel="1">
      <c r="B20" s="1157"/>
      <c r="C20" s="864"/>
      <c r="D20" s="864"/>
      <c r="E20" s="864"/>
      <c r="F20" s="864"/>
      <c r="G20" s="864"/>
      <c r="H20" s="864"/>
      <c r="I20" s="864"/>
      <c r="J20" s="864"/>
      <c r="K20" s="864"/>
      <c r="L20" s="864"/>
      <c r="M20" s="864"/>
      <c r="N20" s="864"/>
      <c r="O20" s="864"/>
      <c r="P20" s="864"/>
    </row>
    <row r="21" spans="2:16" ht="15.75" hidden="1" outlineLevel="1">
      <c r="B21" s="1159"/>
      <c r="C21" s="766" t="s">
        <v>78</v>
      </c>
      <c r="D21" s="766" t="s">
        <v>418</v>
      </c>
      <c r="E21" s="766" t="s">
        <v>442</v>
      </c>
      <c r="F21" s="923">
        <v>2007</v>
      </c>
      <c r="G21" s="1293"/>
      <c r="H21" s="1293"/>
      <c r="I21" s="1293"/>
      <c r="J21" s="1293"/>
      <c r="K21" s="1293"/>
      <c r="L21" s="1293"/>
      <c r="M21" s="1293"/>
      <c r="N21" s="1293"/>
      <c r="O21" s="1293"/>
      <c r="P21" s="864"/>
    </row>
    <row r="22" spans="2:16" ht="15.75" hidden="1" outlineLevel="1">
      <c r="B22" s="1159"/>
      <c r="C22" s="794" t="s">
        <v>65</v>
      </c>
      <c r="D22" s="794" t="str">
        <f>INDEX(Vectors[Description], MATCH($C22, Vectors[Code], 0))</f>
        <v>Oil and petroleum products</v>
      </c>
      <c r="E22" s="794" t="s">
        <v>109</v>
      </c>
      <c r="F22" s="1046">
        <f>-'DUKES 09 (1.2)'!$D$7*Unit.ktoe</f>
        <v>648.41809848088474</v>
      </c>
      <c r="G22" s="885"/>
      <c r="H22" s="885"/>
      <c r="I22" s="885"/>
      <c r="J22" s="885"/>
      <c r="K22" s="885"/>
      <c r="L22" s="885"/>
      <c r="M22" s="885"/>
      <c r="N22" s="885"/>
      <c r="O22" s="885"/>
      <c r="P22" s="864"/>
    </row>
    <row r="23" spans="2:16" hidden="1" outlineLevel="1">
      <c r="B23" s="1157"/>
      <c r="C23" s="864"/>
      <c r="D23" s="864"/>
      <c r="E23" s="864"/>
      <c r="F23" s="864"/>
      <c r="G23" s="864"/>
      <c r="H23" s="864"/>
      <c r="I23" s="864"/>
      <c r="J23" s="864"/>
      <c r="K23" s="864"/>
      <c r="L23" s="864"/>
      <c r="M23" s="864"/>
      <c r="N23" s="864"/>
      <c r="O23" s="864"/>
      <c r="P23" s="864"/>
    </row>
    <row r="24" spans="2:16" hidden="1" outlineLevel="1">
      <c r="B24" s="1157"/>
      <c r="C24" s="866" t="s">
        <v>2262</v>
      </c>
      <c r="D24" s="864"/>
      <c r="E24" s="867"/>
      <c r="F24" s="864"/>
      <c r="G24" s="864"/>
      <c r="H24" s="864"/>
      <c r="I24" s="864"/>
      <c r="J24" s="864"/>
      <c r="K24" s="864"/>
      <c r="L24" s="864"/>
      <c r="M24" s="864"/>
      <c r="N24" s="864"/>
      <c r="O24" s="867" t="s">
        <v>2260</v>
      </c>
      <c r="P24" s="1158"/>
    </row>
    <row r="25" spans="2:16" ht="6" hidden="1" customHeight="1" outlineLevel="1">
      <c r="B25" s="1157"/>
      <c r="C25" s="864"/>
      <c r="D25" s="864"/>
      <c r="E25" s="864"/>
      <c r="F25" s="864"/>
      <c r="G25" s="864"/>
      <c r="H25" s="864"/>
      <c r="I25" s="864"/>
      <c r="J25" s="864"/>
      <c r="K25" s="864"/>
      <c r="L25" s="864"/>
      <c r="M25" s="864"/>
      <c r="N25" s="864"/>
      <c r="O25" s="864"/>
      <c r="P25" s="1158"/>
    </row>
    <row r="26" spans="2:16" ht="15.75" hidden="1" outlineLevel="1">
      <c r="B26" s="1159"/>
      <c r="C26" s="766" t="s">
        <v>78</v>
      </c>
      <c r="D26" s="766" t="s">
        <v>418</v>
      </c>
      <c r="E26" s="766" t="s">
        <v>442</v>
      </c>
      <c r="F26" s="923">
        <v>2007</v>
      </c>
      <c r="G26" s="924">
        <v>2010</v>
      </c>
      <c r="H26" s="923">
        <v>2015</v>
      </c>
      <c r="I26" s="923">
        <v>2020</v>
      </c>
      <c r="J26" s="923">
        <v>2025</v>
      </c>
      <c r="K26" s="923">
        <v>2030</v>
      </c>
      <c r="L26" s="923">
        <v>2035</v>
      </c>
      <c r="M26" s="923">
        <v>2040</v>
      </c>
      <c r="N26" s="923">
        <v>2045</v>
      </c>
      <c r="O26" s="923">
        <v>2050</v>
      </c>
      <c r="P26" s="1158"/>
    </row>
    <row r="27" spans="2:16" s="743" customFormat="1" ht="15.75" hidden="1" outlineLevel="1">
      <c r="B27" s="1161"/>
      <c r="C27" s="794" t="s">
        <v>34</v>
      </c>
      <c r="D27" s="794" t="str">
        <f>INDEX(Vectors[Description], MATCH($C27, Vectors[Code], 0))</f>
        <v>Conversion losses</v>
      </c>
      <c r="E27" s="794"/>
      <c r="F27" s="796">
        <f>-'2007 (Actual, frozen)'!$AY$116/'2007 (Actual, frozen)'!$AH$116</f>
        <v>-3.1480490285906312E-3</v>
      </c>
      <c r="G27" s="797">
        <v>0</v>
      </c>
      <c r="H27" s="796">
        <v>0</v>
      </c>
      <c r="I27" s="796">
        <v>0</v>
      </c>
      <c r="J27" s="796">
        <v>0</v>
      </c>
      <c r="K27" s="796">
        <v>0</v>
      </c>
      <c r="L27" s="796">
        <v>0</v>
      </c>
      <c r="M27" s="796">
        <v>0</v>
      </c>
      <c r="N27" s="796">
        <v>0</v>
      </c>
      <c r="O27" s="796">
        <v>0</v>
      </c>
      <c r="P27" s="1162"/>
    </row>
    <row r="28" spans="2:16" hidden="1" outlineLevel="1">
      <c r="B28" s="1163"/>
      <c r="C28" s="864"/>
      <c r="D28" s="868"/>
      <c r="E28" s="864"/>
      <c r="F28" s="864"/>
      <c r="G28" s="864"/>
      <c r="H28" s="864"/>
      <c r="I28" s="864"/>
      <c r="J28" s="864"/>
      <c r="K28" s="864"/>
      <c r="L28" s="864"/>
      <c r="M28" s="864"/>
      <c r="N28" s="864"/>
      <c r="O28" s="864"/>
      <c r="P28" s="1158"/>
    </row>
    <row r="29" spans="2:16" hidden="1" outlineLevel="1">
      <c r="B29" s="1163"/>
      <c r="C29" s="866" t="s">
        <v>2261</v>
      </c>
      <c r="D29" s="864"/>
      <c r="E29" s="867"/>
      <c r="F29" s="864"/>
      <c r="G29" s="864"/>
      <c r="H29" s="864"/>
      <c r="I29" s="864"/>
      <c r="J29" s="864"/>
      <c r="K29" s="864"/>
      <c r="L29" s="864"/>
      <c r="M29" s="864"/>
      <c r="N29" s="864"/>
      <c r="O29" s="867" t="s">
        <v>2259</v>
      </c>
      <c r="P29" s="1158"/>
    </row>
    <row r="30" spans="2:16" ht="5.25" hidden="1" customHeight="1" outlineLevel="1">
      <c r="B30" s="1163"/>
      <c r="C30" s="864"/>
      <c r="D30" s="864"/>
      <c r="E30" s="864"/>
      <c r="F30" s="864"/>
      <c r="G30" s="864"/>
      <c r="H30" s="864"/>
      <c r="I30" s="864"/>
      <c r="J30" s="864"/>
      <c r="K30" s="864"/>
      <c r="L30" s="864"/>
      <c r="M30" s="864"/>
      <c r="N30" s="864"/>
      <c r="O30" s="864"/>
      <c r="P30" s="1158"/>
    </row>
    <row r="31" spans="2:16" ht="15.75" hidden="1" outlineLevel="1">
      <c r="B31" s="1159"/>
      <c r="C31" s="766" t="s">
        <v>78</v>
      </c>
      <c r="D31" s="766" t="s">
        <v>418</v>
      </c>
      <c r="E31" s="766" t="s">
        <v>442</v>
      </c>
      <c r="F31" s="923">
        <v>2007</v>
      </c>
      <c r="G31" s="924">
        <v>2010</v>
      </c>
      <c r="H31" s="923">
        <v>2015</v>
      </c>
      <c r="I31" s="923">
        <v>2020</v>
      </c>
      <c r="J31" s="923">
        <v>2025</v>
      </c>
      <c r="K31" s="923">
        <v>2030</v>
      </c>
      <c r="L31" s="923">
        <v>2035</v>
      </c>
      <c r="M31" s="923">
        <v>2040</v>
      </c>
      <c r="N31" s="923">
        <v>2045</v>
      </c>
      <c r="O31" s="923">
        <v>2050</v>
      </c>
      <c r="P31" s="1158"/>
    </row>
    <row r="32" spans="2:16" ht="15.75" hidden="1" outlineLevel="1">
      <c r="B32" s="1159"/>
      <c r="C32" s="775" t="s">
        <v>45</v>
      </c>
      <c r="D32" s="775" t="str">
        <f>INDEX(Vectors[Description], MATCH($C32, Vectors[Code], 0))</f>
        <v>Electricity (delivered to end user)</v>
      </c>
      <c r="E32" s="775"/>
      <c r="F32" s="776">
        <f>-'2007 (Actual, frozen)'!$T$116/'2007 (Actual, frozen)'!$W$118</f>
        <v>6.4826118636814581E-3</v>
      </c>
      <c r="G32" s="785">
        <f t="shared" ref="G32:O35" si="1">$F32</f>
        <v>6.4826118636814581E-3</v>
      </c>
      <c r="H32" s="776">
        <f t="shared" si="1"/>
        <v>6.4826118636814581E-3</v>
      </c>
      <c r="I32" s="776">
        <f t="shared" si="1"/>
        <v>6.4826118636814581E-3</v>
      </c>
      <c r="J32" s="776">
        <f t="shared" si="1"/>
        <v>6.4826118636814581E-3</v>
      </c>
      <c r="K32" s="776">
        <f t="shared" si="1"/>
        <v>6.4826118636814581E-3</v>
      </c>
      <c r="L32" s="776">
        <f t="shared" si="1"/>
        <v>6.4826118636814581E-3</v>
      </c>
      <c r="M32" s="776">
        <f t="shared" si="1"/>
        <v>6.4826118636814581E-3</v>
      </c>
      <c r="N32" s="776">
        <f t="shared" si="1"/>
        <v>6.4826118636814581E-3</v>
      </c>
      <c r="O32" s="776">
        <f t="shared" si="1"/>
        <v>6.4826118636814581E-3</v>
      </c>
      <c r="P32" s="1158"/>
    </row>
    <row r="33" spans="1:16" ht="15.75" hidden="1" outlineLevel="1">
      <c r="B33" s="1159"/>
      <c r="C33" s="775" t="s">
        <v>49</v>
      </c>
      <c r="D33" s="775" t="str">
        <f>INDEX(Vectors[Description], MATCH($C33, Vectors[Code], 0))</f>
        <v>Liquid hydrocarbons</v>
      </c>
      <c r="E33" s="775"/>
      <c r="F33" s="776">
        <f>-'2007 (Actual, frozen)'!$W$119/'2007 (Actual, frozen)'!$W$118</f>
        <v>5.3133991275655136E-2</v>
      </c>
      <c r="G33" s="785">
        <f t="shared" si="1"/>
        <v>5.3133991275655136E-2</v>
      </c>
      <c r="H33" s="776">
        <f t="shared" si="1"/>
        <v>5.3133991275655136E-2</v>
      </c>
      <c r="I33" s="776">
        <f t="shared" si="1"/>
        <v>5.3133991275655136E-2</v>
      </c>
      <c r="J33" s="776">
        <f t="shared" si="1"/>
        <v>5.3133991275655136E-2</v>
      </c>
      <c r="K33" s="776">
        <f t="shared" si="1"/>
        <v>5.3133991275655136E-2</v>
      </c>
      <c r="L33" s="776">
        <f t="shared" si="1"/>
        <v>5.3133991275655136E-2</v>
      </c>
      <c r="M33" s="776">
        <f t="shared" si="1"/>
        <v>5.3133991275655136E-2</v>
      </c>
      <c r="N33" s="776">
        <f t="shared" si="1"/>
        <v>5.3133991275655136E-2</v>
      </c>
      <c r="O33" s="776">
        <f t="shared" si="1"/>
        <v>5.3133991275655136E-2</v>
      </c>
      <c r="P33" s="1158"/>
    </row>
    <row r="34" spans="1:16" ht="15.75" hidden="1" outlineLevel="1">
      <c r="B34" s="1159"/>
      <c r="C34" s="775" t="s">
        <v>50</v>
      </c>
      <c r="D34" s="775" t="str">
        <f>INDEX(Vectors[Description], MATCH($C34, Vectors[Code], 0))</f>
        <v>Gaseous hydrocarbons</v>
      </c>
      <c r="E34" s="775"/>
      <c r="F34" s="776">
        <f>-'2007 (Actual, frozen)'!$X$119/'2007 (Actual, frozen)'!$W$118</f>
        <v>2.3637521989818468E-3</v>
      </c>
      <c r="G34" s="785">
        <f t="shared" si="1"/>
        <v>2.3637521989818468E-3</v>
      </c>
      <c r="H34" s="776">
        <f t="shared" si="1"/>
        <v>2.3637521989818468E-3</v>
      </c>
      <c r="I34" s="776">
        <f t="shared" si="1"/>
        <v>2.3637521989818468E-3</v>
      </c>
      <c r="J34" s="776">
        <f t="shared" si="1"/>
        <v>2.3637521989818468E-3</v>
      </c>
      <c r="K34" s="776">
        <f t="shared" si="1"/>
        <v>2.3637521989818468E-3</v>
      </c>
      <c r="L34" s="776">
        <f t="shared" si="1"/>
        <v>2.3637521989818468E-3</v>
      </c>
      <c r="M34" s="776">
        <f t="shared" si="1"/>
        <v>2.3637521989818468E-3</v>
      </c>
      <c r="N34" s="776">
        <f t="shared" si="1"/>
        <v>2.3637521989818468E-3</v>
      </c>
      <c r="O34" s="776">
        <f t="shared" si="1"/>
        <v>2.3637521989818468E-3</v>
      </c>
      <c r="P34" s="1158"/>
    </row>
    <row r="35" spans="1:16" ht="15.75" hidden="1" outlineLevel="1">
      <c r="B35" s="1159"/>
      <c r="C35" s="769" t="s">
        <v>753</v>
      </c>
      <c r="D35" s="770" t="str">
        <f>INDEX(Vectors[Description], MATCH($C35, Vectors[Code], 0))</f>
        <v>Heat transport</v>
      </c>
      <c r="E35" s="770"/>
      <c r="F35" s="778">
        <f>-'2007 (Actual, frozen)'!$Z$119/'2007 (Actual, frozen)'!$W$118</f>
        <v>7.6125932374258029E-4</v>
      </c>
      <c r="G35" s="786">
        <f t="shared" si="1"/>
        <v>7.6125932374258029E-4</v>
      </c>
      <c r="H35" s="778">
        <f t="shared" si="1"/>
        <v>7.6125932374258029E-4</v>
      </c>
      <c r="I35" s="778">
        <f t="shared" si="1"/>
        <v>7.6125932374258029E-4</v>
      </c>
      <c r="J35" s="778">
        <f t="shared" si="1"/>
        <v>7.6125932374258029E-4</v>
      </c>
      <c r="K35" s="778">
        <f t="shared" si="1"/>
        <v>7.6125932374258029E-4</v>
      </c>
      <c r="L35" s="778">
        <f t="shared" si="1"/>
        <v>7.6125932374258029E-4</v>
      </c>
      <c r="M35" s="778">
        <f t="shared" si="1"/>
        <v>7.6125932374258029E-4</v>
      </c>
      <c r="N35" s="778">
        <f t="shared" si="1"/>
        <v>7.6125932374258029E-4</v>
      </c>
      <c r="O35" s="778">
        <f t="shared" si="1"/>
        <v>7.6125932374258029E-4</v>
      </c>
      <c r="P35" s="1158"/>
    </row>
    <row r="36" spans="1:16" hidden="1" outlineLevel="1">
      <c r="B36" s="1163"/>
      <c r="C36" s="864"/>
      <c r="D36" s="868"/>
      <c r="E36" s="864"/>
      <c r="F36" s="864"/>
      <c r="G36" s="864"/>
      <c r="H36" s="864"/>
      <c r="I36" s="864"/>
      <c r="J36" s="864"/>
      <c r="K36" s="864"/>
      <c r="L36" s="864"/>
      <c r="M36" s="864"/>
      <c r="N36" s="864"/>
      <c r="O36" s="864"/>
      <c r="P36" s="1158"/>
    </row>
    <row r="37" spans="1:16" hidden="1" outlineLevel="1">
      <c r="B37" s="1163"/>
      <c r="C37" s="864"/>
      <c r="D37" s="868"/>
      <c r="E37" s="864"/>
      <c r="F37" s="864"/>
      <c r="G37" s="864"/>
      <c r="H37" s="864"/>
      <c r="I37" s="864"/>
      <c r="J37" s="864"/>
      <c r="K37" s="864"/>
      <c r="L37" s="864"/>
      <c r="M37" s="864"/>
      <c r="N37" s="864"/>
      <c r="O37" s="864"/>
      <c r="P37" s="1158"/>
    </row>
    <row r="38" spans="1:16" hidden="1" outlineLevel="1">
      <c r="B38" s="1163"/>
      <c r="C38" s="864" t="s">
        <v>717</v>
      </c>
      <c r="D38" s="868"/>
      <c r="E38" s="864"/>
      <c r="F38" s="864"/>
      <c r="G38" s="864"/>
      <c r="H38" s="864"/>
      <c r="I38" s="864"/>
      <c r="J38" s="864"/>
      <c r="K38" s="864"/>
      <c r="L38" s="864"/>
      <c r="M38" s="864"/>
      <c r="N38" s="864"/>
      <c r="O38" s="864"/>
      <c r="P38" s="1158"/>
    </row>
    <row r="39" spans="1:16" hidden="1" outlineLevel="1">
      <c r="B39" s="1163"/>
      <c r="C39" s="1226" t="s">
        <v>109</v>
      </c>
      <c r="D39" s="1227" t="s">
        <v>972</v>
      </c>
      <c r="E39" s="864"/>
      <c r="F39" s="864"/>
      <c r="G39" s="864"/>
      <c r="H39" s="864"/>
      <c r="I39" s="864"/>
      <c r="J39" s="864"/>
      <c r="K39" s="864"/>
      <c r="L39" s="864"/>
      <c r="M39" s="864"/>
      <c r="N39" s="864"/>
      <c r="O39" s="864"/>
      <c r="P39" s="1158"/>
    </row>
    <row r="40" spans="1:16" s="715" customFormat="1" hidden="1" outlineLevel="1">
      <c r="B40" s="1225"/>
      <c r="C40" s="1226" t="s">
        <v>117</v>
      </c>
      <c r="D40" s="1227" t="s">
        <v>787</v>
      </c>
      <c r="E40" s="1228"/>
      <c r="F40" s="1228"/>
      <c r="G40" s="1228"/>
      <c r="H40" s="1228"/>
      <c r="I40" s="1228"/>
      <c r="J40" s="1228"/>
      <c r="K40" s="1228"/>
      <c r="L40" s="1228"/>
      <c r="M40" s="1228"/>
      <c r="N40" s="1228"/>
      <c r="O40" s="1228"/>
      <c r="P40" s="1229"/>
    </row>
    <row r="41" spans="1:16" s="715" customFormat="1" hidden="1" outlineLevel="1">
      <c r="B41" s="1225"/>
      <c r="C41" s="1226" t="s">
        <v>118</v>
      </c>
      <c r="D41" s="1227" t="s">
        <v>785</v>
      </c>
      <c r="E41" s="1228"/>
      <c r="F41" s="1228"/>
      <c r="G41" s="1228"/>
      <c r="H41" s="1228"/>
      <c r="I41" s="1228"/>
      <c r="J41" s="1228"/>
      <c r="K41" s="1228"/>
      <c r="L41" s="1228"/>
      <c r="M41" s="1228"/>
      <c r="N41" s="1228"/>
      <c r="O41" s="1228"/>
      <c r="P41" s="1229"/>
    </row>
    <row r="42" spans="1:16" hidden="1" outlineLevel="1">
      <c r="B42" s="1164"/>
      <c r="C42" s="1165"/>
      <c r="D42" s="1165"/>
      <c r="E42" s="1165"/>
      <c r="F42" s="1165"/>
      <c r="G42" s="1165"/>
      <c r="H42" s="1165"/>
      <c r="I42" s="1165"/>
      <c r="J42" s="1165"/>
      <c r="K42" s="1165"/>
      <c r="L42" s="1165"/>
      <c r="M42" s="1165"/>
      <c r="N42" s="1165"/>
      <c r="O42" s="1165"/>
      <c r="P42" s="1166"/>
    </row>
    <row r="44" spans="1:16" s="743" customFormat="1" ht="22.5" collapsed="1">
      <c r="A44" s="1170"/>
      <c r="B44" s="1236" t="s">
        <v>817</v>
      </c>
      <c r="C44" s="1167"/>
      <c r="D44" s="1167"/>
      <c r="E44" s="1167"/>
      <c r="F44" s="1167"/>
      <c r="G44" s="1167"/>
      <c r="H44" s="1167"/>
      <c r="I44" s="1167"/>
      <c r="J44" s="1167"/>
      <c r="K44" s="1167"/>
      <c r="L44" s="1167"/>
      <c r="M44" s="1167"/>
      <c r="N44" s="1167"/>
      <c r="O44" s="1167"/>
      <c r="P44" s="1168"/>
    </row>
    <row r="45" spans="1:16" hidden="1" outlineLevel="1">
      <c r="B45" s="1157"/>
      <c r="C45" s="864"/>
      <c r="D45" s="864"/>
      <c r="E45" s="864"/>
      <c r="F45" s="864"/>
      <c r="G45" s="864"/>
      <c r="H45" s="864"/>
      <c r="I45" s="864"/>
      <c r="J45" s="864"/>
      <c r="K45" s="864"/>
      <c r="L45" s="864"/>
      <c r="M45" s="864"/>
      <c r="N45" s="864"/>
      <c r="O45" s="864"/>
      <c r="P45" s="1158"/>
    </row>
    <row r="46" spans="1:16" hidden="1" outlineLevel="1">
      <c r="B46" s="1157"/>
      <c r="C46" s="866" t="s">
        <v>2265</v>
      </c>
      <c r="D46" s="864"/>
      <c r="E46" s="867"/>
      <c r="F46" s="864"/>
      <c r="G46" s="864"/>
      <c r="H46" s="864"/>
      <c r="I46" s="864"/>
      <c r="J46" s="864"/>
      <c r="K46" s="864"/>
      <c r="L46" s="864"/>
      <c r="M46" s="864"/>
      <c r="N46" s="864"/>
      <c r="O46" s="867" t="str">
        <f>Preferences.EnergyUnits</f>
        <v>TWh</v>
      </c>
      <c r="P46" s="1158"/>
    </row>
    <row r="47" spans="1:16" ht="5.25" hidden="1" customHeight="1" outlineLevel="1">
      <c r="B47" s="1157"/>
      <c r="C47" s="864"/>
      <c r="D47" s="864"/>
      <c r="E47" s="864"/>
      <c r="F47" s="864"/>
      <c r="G47" s="864"/>
      <c r="H47" s="864"/>
      <c r="I47" s="864"/>
      <c r="J47" s="864"/>
      <c r="K47" s="864"/>
      <c r="L47" s="864"/>
      <c r="M47" s="864"/>
      <c r="N47" s="864"/>
      <c r="O47" s="864"/>
      <c r="P47" s="1158"/>
    </row>
    <row r="48" spans="1:16" ht="15.75" hidden="1" outlineLevel="1">
      <c r="B48" s="1159"/>
      <c r="C48" s="766" t="s">
        <v>78</v>
      </c>
      <c r="D48" s="766" t="s">
        <v>418</v>
      </c>
      <c r="E48" s="766" t="s">
        <v>442</v>
      </c>
      <c r="F48" s="923">
        <v>2007</v>
      </c>
      <c r="G48" s="924">
        <v>2010</v>
      </c>
      <c r="H48" s="923">
        <v>2015</v>
      </c>
      <c r="I48" s="923">
        <v>2020</v>
      </c>
      <c r="J48" s="923">
        <v>2025</v>
      </c>
      <c r="K48" s="923">
        <v>2030</v>
      </c>
      <c r="L48" s="923">
        <v>2035</v>
      </c>
      <c r="M48" s="923">
        <v>2040</v>
      </c>
      <c r="N48" s="923">
        <v>2045</v>
      </c>
      <c r="O48" s="923">
        <v>2050</v>
      </c>
      <c r="P48" s="1158"/>
    </row>
    <row r="49" spans="2:16" ht="15.75" hidden="1" outlineLevel="1">
      <c r="B49" s="1159"/>
      <c r="C49" s="794" t="s">
        <v>65</v>
      </c>
      <c r="D49" s="794" t="str">
        <f>INDEX(Vectors[Description], MATCH($C49, Vectors[Code], 0))</f>
        <v>Oil and petroleum products</v>
      </c>
      <c r="E49" s="794"/>
      <c r="F49" s="1046">
        <f ca="1">-INDIRECT("XV.a.Inputs["&amp;F$53&amp;"]")</f>
        <v>975.89120834979803</v>
      </c>
      <c r="G49" s="1047">
        <f t="shared" ref="G49:O49" ca="1" si="2">-INDIRECT("XV.a.Inputs["&amp;G$53&amp;"]")</f>
        <v>815.4323959706519</v>
      </c>
      <c r="H49" s="1046">
        <f t="shared" ca="1" si="2"/>
        <v>664.52033513004915</v>
      </c>
      <c r="I49" s="1046">
        <f t="shared" ca="1" si="2"/>
        <v>527.86775447758896</v>
      </c>
      <c r="J49" s="1046">
        <f t="shared" ca="1" si="2"/>
        <v>419.31653778914142</v>
      </c>
      <c r="K49" s="1046">
        <f t="shared" ca="1" si="2"/>
        <v>333.08789440544865</v>
      </c>
      <c r="L49" s="1046">
        <f t="shared" ca="1" si="2"/>
        <v>264.59138956080642</v>
      </c>
      <c r="M49" s="1046">
        <f t="shared" ca="1" si="2"/>
        <v>210.18056977027507</v>
      </c>
      <c r="N49" s="1046">
        <f t="shared" ca="1" si="2"/>
        <v>166.95884163987617</v>
      </c>
      <c r="O49" s="1046">
        <f t="shared" ca="1" si="2"/>
        <v>132.62526993906516</v>
      </c>
      <c r="P49" s="1158"/>
    </row>
    <row r="50" spans="2:16" hidden="1" outlineLevel="1">
      <c r="B50" s="1157"/>
      <c r="C50" s="864"/>
      <c r="D50" s="864"/>
      <c r="E50" s="864"/>
      <c r="F50" s="864"/>
      <c r="G50" s="864"/>
      <c r="H50" s="864"/>
      <c r="I50" s="864"/>
      <c r="J50" s="864"/>
      <c r="K50" s="864"/>
      <c r="L50" s="864"/>
      <c r="M50" s="864"/>
      <c r="N50" s="864"/>
      <c r="O50" s="864"/>
      <c r="P50" s="1158"/>
    </row>
    <row r="51" spans="2:16" hidden="1" outlineLevel="1">
      <c r="B51" s="1157"/>
      <c r="C51" s="866" t="s">
        <v>2258</v>
      </c>
      <c r="D51" s="864"/>
      <c r="E51" s="867"/>
      <c r="F51" s="864"/>
      <c r="G51" s="864"/>
      <c r="H51" s="864"/>
      <c r="I51" s="864"/>
      <c r="J51" s="864"/>
      <c r="K51" s="864"/>
      <c r="L51" s="864"/>
      <c r="M51" s="864"/>
      <c r="N51" s="864"/>
      <c r="O51" s="867" t="str">
        <f>Preferences.EnergyUnits</f>
        <v>TWh</v>
      </c>
      <c r="P51" s="1158"/>
    </row>
    <row r="52" spans="2:16" ht="5.25" hidden="1" customHeight="1" outlineLevel="1">
      <c r="B52" s="1157"/>
      <c r="C52" s="864"/>
      <c r="D52" s="864"/>
      <c r="E52" s="864"/>
      <c r="F52" s="864"/>
      <c r="G52" s="864"/>
      <c r="H52" s="864"/>
      <c r="I52" s="864"/>
      <c r="J52" s="864"/>
      <c r="K52" s="864"/>
      <c r="L52" s="864"/>
      <c r="M52" s="864"/>
      <c r="N52" s="864"/>
      <c r="O52" s="864"/>
      <c r="P52" s="1158"/>
    </row>
    <row r="53" spans="2:16" ht="15.75" hidden="1" outlineLevel="1">
      <c r="B53" s="1159"/>
      <c r="C53" s="766" t="s">
        <v>78</v>
      </c>
      <c r="D53" s="766" t="s">
        <v>418</v>
      </c>
      <c r="E53" s="766" t="s">
        <v>442</v>
      </c>
      <c r="F53" s="923">
        <v>2007</v>
      </c>
      <c r="G53" s="924">
        <v>2010</v>
      </c>
      <c r="H53" s="923">
        <v>2015</v>
      </c>
      <c r="I53" s="923">
        <v>2020</v>
      </c>
      <c r="J53" s="923">
        <v>2025</v>
      </c>
      <c r="K53" s="923">
        <v>2030</v>
      </c>
      <c r="L53" s="923">
        <v>2035</v>
      </c>
      <c r="M53" s="923">
        <v>2040</v>
      </c>
      <c r="N53" s="923">
        <v>2045</v>
      </c>
      <c r="O53" s="923">
        <v>2050</v>
      </c>
      <c r="P53" s="1158"/>
    </row>
    <row r="54" spans="2:16" ht="15.75" hidden="1" outlineLevel="1">
      <c r="B54" s="1159"/>
      <c r="C54" s="794" t="s">
        <v>65</v>
      </c>
      <c r="D54" s="794" t="str">
        <f>INDEX(Vectors[Description], MATCH($C54, Vectors[Code], 0))</f>
        <v>Oil and petroleum products</v>
      </c>
      <c r="E54" s="794"/>
      <c r="F54" s="1046">
        <f ca="1">$F$22/$F$49*F$49</f>
        <v>648.41809848088474</v>
      </c>
      <c r="G54" s="1047">
        <f t="shared" ref="G54:O54" ca="1" si="3">$F$22/$F$49*G$49</f>
        <v>541.80334765909708</v>
      </c>
      <c r="H54" s="1046">
        <f t="shared" ca="1" si="3"/>
        <v>441.5318105340076</v>
      </c>
      <c r="I54" s="1046">
        <f t="shared" ca="1" si="3"/>
        <v>350.73479777168609</v>
      </c>
      <c r="J54" s="1046">
        <f t="shared" ca="1" si="3"/>
        <v>278.60936728242984</v>
      </c>
      <c r="K54" s="1046">
        <f t="shared" ca="1" si="3"/>
        <v>221.31587749683558</v>
      </c>
      <c r="L54" s="1046">
        <f t="shared" ca="1" si="3"/>
        <v>175.80427431408637</v>
      </c>
      <c r="M54" s="1046">
        <f t="shared" ca="1" si="3"/>
        <v>139.65171959948717</v>
      </c>
      <c r="N54" s="1046">
        <f t="shared" ca="1" si="3"/>
        <v>110.93360990900054</v>
      </c>
      <c r="O54" s="1046">
        <f t="shared" ca="1" si="3"/>
        <v>88.121119043402715</v>
      </c>
      <c r="P54" s="1158"/>
    </row>
    <row r="55" spans="2:16" ht="15.75" hidden="1" outlineLevel="1">
      <c r="B55" s="1159"/>
      <c r="C55" s="775"/>
      <c r="D55" s="775"/>
      <c r="E55" s="775"/>
      <c r="F55" s="885"/>
      <c r="G55" s="885"/>
      <c r="H55" s="885"/>
      <c r="I55" s="885"/>
      <c r="J55" s="885"/>
      <c r="K55" s="885"/>
      <c r="L55" s="885"/>
      <c r="M55" s="885"/>
      <c r="N55" s="885"/>
      <c r="O55" s="885"/>
      <c r="P55" s="1158"/>
    </row>
    <row r="56" spans="2:16" ht="15.75" hidden="1" outlineLevel="1">
      <c r="B56" s="1159"/>
      <c r="C56" s="775" t="s">
        <v>442</v>
      </c>
      <c r="D56" s="775"/>
      <c r="E56" s="775"/>
      <c r="F56" s="885"/>
      <c r="G56" s="885"/>
      <c r="H56" s="885"/>
      <c r="I56" s="885"/>
      <c r="J56" s="885"/>
      <c r="K56" s="885"/>
      <c r="L56" s="885"/>
      <c r="M56" s="885"/>
      <c r="N56" s="885"/>
      <c r="O56" s="885"/>
      <c r="P56" s="1158"/>
    </row>
    <row r="57" spans="2:16" ht="15.75" hidden="1" outlineLevel="1">
      <c r="B57" s="1159"/>
      <c r="C57" s="2395" t="s">
        <v>109</v>
      </c>
      <c r="D57" s="775" t="s">
        <v>2257</v>
      </c>
      <c r="E57" s="775"/>
      <c r="F57" s="885"/>
      <c r="G57" s="885"/>
      <c r="H57" s="885"/>
      <c r="I57" s="885"/>
      <c r="J57" s="885"/>
      <c r="K57" s="885"/>
      <c r="L57" s="885"/>
      <c r="M57" s="885"/>
      <c r="N57" s="885"/>
      <c r="O57" s="885"/>
      <c r="P57" s="1158"/>
    </row>
    <row r="58" spans="2:16" hidden="1" outlineLevel="1">
      <c r="B58" s="1157"/>
      <c r="C58" s="864"/>
      <c r="D58" s="864"/>
      <c r="E58" s="864"/>
      <c r="F58" s="864"/>
      <c r="G58" s="864"/>
      <c r="H58" s="864"/>
      <c r="I58" s="864"/>
      <c r="J58" s="864"/>
      <c r="K58" s="864"/>
      <c r="L58" s="864"/>
      <c r="M58" s="864"/>
      <c r="N58" s="864"/>
      <c r="O58" s="864"/>
      <c r="P58" s="1158"/>
    </row>
    <row r="60" spans="2:16" ht="15.75" collapsed="1">
      <c r="B60" s="809" t="s">
        <v>732</v>
      </c>
    </row>
    <row r="61" spans="2:16" hidden="1" outlineLevel="1">
      <c r="B61" s="1094"/>
      <c r="C61" s="121" t="s">
        <v>2248</v>
      </c>
    </row>
    <row r="62" spans="2:16" hidden="1" outlineLevel="1">
      <c r="B62" s="1094"/>
      <c r="C62" s="121" t="s">
        <v>2254</v>
      </c>
    </row>
    <row r="63" spans="2:16" hidden="1" outlineLevel="1">
      <c r="B63" s="1094"/>
      <c r="C63" s="121" t="s">
        <v>2249</v>
      </c>
    </row>
    <row r="64" spans="2:16" hidden="1" outlineLevel="1">
      <c r="B64" s="1094"/>
      <c r="C64" s="121" t="s">
        <v>2250</v>
      </c>
    </row>
    <row r="65" spans="2:15" hidden="1" outlineLevel="1">
      <c r="B65" s="1094"/>
    </row>
    <row r="66" spans="2:15" hidden="1" outlineLevel="1">
      <c r="B66" s="731">
        <v>1</v>
      </c>
      <c r="C66" s="121" t="s">
        <v>2263</v>
      </c>
    </row>
    <row r="67" spans="2:15" hidden="1" outlineLevel="1">
      <c r="B67" s="731">
        <v>2</v>
      </c>
      <c r="C67" s="121" t="s">
        <v>1197</v>
      </c>
    </row>
    <row r="68" spans="2:15" hidden="1" outlineLevel="1">
      <c r="B68" s="731">
        <v>3</v>
      </c>
      <c r="C68" s="121" t="s">
        <v>1174</v>
      </c>
    </row>
    <row r="69" spans="2:15" hidden="1" outlineLevel="1"/>
    <row r="70" spans="2:15" hidden="1" outlineLevel="1">
      <c r="B70" s="731">
        <v>1</v>
      </c>
      <c r="C70" s="731" t="s">
        <v>2264</v>
      </c>
      <c r="F70" s="1479">
        <v>2007</v>
      </c>
      <c r="G70" s="1479">
        <v>2010</v>
      </c>
      <c r="H70" s="1479">
        <v>2015</v>
      </c>
      <c r="I70" s="1479">
        <v>2020</v>
      </c>
      <c r="J70" s="1479">
        <v>2025</v>
      </c>
      <c r="K70" s="1479">
        <v>2030</v>
      </c>
      <c r="L70" s="1479">
        <v>2035</v>
      </c>
      <c r="M70" s="1479">
        <v>2040</v>
      </c>
      <c r="N70" s="1479">
        <v>2045</v>
      </c>
      <c r="O70" s="1479">
        <v>2050</v>
      </c>
    </row>
    <row r="71" spans="2:15" hidden="1" outlineLevel="2"/>
    <row r="72" spans="2:15" hidden="1" outlineLevel="2">
      <c r="C72" s="121" t="s">
        <v>2265</v>
      </c>
      <c r="F72" s="2293">
        <f ca="1">F$49</f>
        <v>975.89120834979803</v>
      </c>
      <c r="G72" s="2293">
        <f t="shared" ref="G72:O72" ca="1" si="4">G$49</f>
        <v>815.4323959706519</v>
      </c>
      <c r="H72" s="2293">
        <f t="shared" ca="1" si="4"/>
        <v>664.52033513004915</v>
      </c>
      <c r="I72" s="2293">
        <f t="shared" ca="1" si="4"/>
        <v>527.86775447758896</v>
      </c>
      <c r="J72" s="2293">
        <f t="shared" ca="1" si="4"/>
        <v>419.31653778914142</v>
      </c>
      <c r="K72" s="2293">
        <f t="shared" ca="1" si="4"/>
        <v>333.08789440544865</v>
      </c>
      <c r="L72" s="2293">
        <f t="shared" ca="1" si="4"/>
        <v>264.59138956080642</v>
      </c>
      <c r="M72" s="2293">
        <f t="shared" ca="1" si="4"/>
        <v>210.18056977027507</v>
      </c>
      <c r="N72" s="2293">
        <f t="shared" ca="1" si="4"/>
        <v>166.95884163987617</v>
      </c>
      <c r="O72" s="2293">
        <f t="shared" ca="1" si="4"/>
        <v>132.62526993906516</v>
      </c>
    </row>
    <row r="73" spans="2:15" hidden="1" outlineLevel="2">
      <c r="C73" s="121" t="s">
        <v>4</v>
      </c>
      <c r="F73" s="2293">
        <f>F$17</f>
        <v>728.16207538608637</v>
      </c>
      <c r="G73" s="2293">
        <f t="shared" ref="G73:O73" si="5">G$17</f>
        <v>728.16207538608637</v>
      </c>
      <c r="H73" s="2293">
        <f t="shared" si="5"/>
        <v>728.16207538608637</v>
      </c>
      <c r="I73" s="2293">
        <f t="shared" si="5"/>
        <v>728.16207538608637</v>
      </c>
      <c r="J73" s="2293">
        <f t="shared" si="5"/>
        <v>728.16207538608637</v>
      </c>
      <c r="K73" s="2293">
        <f t="shared" si="5"/>
        <v>728.16207538608637</v>
      </c>
      <c r="L73" s="2293">
        <f t="shared" si="5"/>
        <v>728.16207538608637</v>
      </c>
      <c r="M73" s="2293">
        <f t="shared" si="5"/>
        <v>728.16207538608637</v>
      </c>
      <c r="N73" s="2293">
        <f t="shared" si="5"/>
        <v>728.16207538608637</v>
      </c>
      <c r="O73" s="2293">
        <f t="shared" si="5"/>
        <v>728.16207538608637</v>
      </c>
    </row>
    <row r="74" spans="2:15" hidden="1" outlineLevel="2">
      <c r="C74" s="121" t="s">
        <v>151</v>
      </c>
      <c r="F74" s="2293">
        <f ca="1">-F54</f>
        <v>-648.41809848088474</v>
      </c>
      <c r="G74" s="2293">
        <f t="shared" ref="G74:O74" ca="1" si="6">-G54</f>
        <v>-541.80334765909708</v>
      </c>
      <c r="H74" s="2293">
        <f t="shared" ca="1" si="6"/>
        <v>-441.5318105340076</v>
      </c>
      <c r="I74" s="2293">
        <f t="shared" ca="1" si="6"/>
        <v>-350.73479777168609</v>
      </c>
      <c r="J74" s="2293">
        <f t="shared" ca="1" si="6"/>
        <v>-278.60936728242984</v>
      </c>
      <c r="K74" s="2293">
        <f t="shared" ca="1" si="6"/>
        <v>-221.31587749683558</v>
      </c>
      <c r="L74" s="2293">
        <f t="shared" ca="1" si="6"/>
        <v>-175.80427431408637</v>
      </c>
      <c r="M74" s="2293">
        <f t="shared" ca="1" si="6"/>
        <v>-139.65171959948717</v>
      </c>
      <c r="N74" s="2293">
        <f t="shared" ca="1" si="6"/>
        <v>-110.93360990900054</v>
      </c>
      <c r="O74" s="2293">
        <f t="shared" ca="1" si="6"/>
        <v>-88.121119043402715</v>
      </c>
    </row>
    <row r="75" spans="2:15" hidden="1" outlineLevel="2">
      <c r="C75" s="731" t="s">
        <v>2266</v>
      </c>
      <c r="F75" s="2372">
        <f ca="1">SUM(F72:F74)</f>
        <v>1055.6351852549997</v>
      </c>
      <c r="G75" s="2372">
        <f t="shared" ref="G75:O75" ca="1" si="7">SUM(G72:G74)</f>
        <v>1001.7911236976412</v>
      </c>
      <c r="H75" s="2372">
        <f t="shared" ca="1" si="7"/>
        <v>951.1505999821278</v>
      </c>
      <c r="I75" s="2372">
        <f t="shared" ca="1" si="7"/>
        <v>905.29503209198924</v>
      </c>
      <c r="J75" s="2372">
        <f t="shared" ca="1" si="7"/>
        <v>868.86924589279795</v>
      </c>
      <c r="K75" s="2372">
        <f t="shared" ca="1" si="7"/>
        <v>839.93409229469944</v>
      </c>
      <c r="L75" s="2372">
        <f t="shared" ca="1" si="7"/>
        <v>816.94919063280645</v>
      </c>
      <c r="M75" s="2372">
        <f t="shared" ca="1" si="7"/>
        <v>798.69092555687428</v>
      </c>
      <c r="N75" s="2372">
        <f t="shared" ca="1" si="7"/>
        <v>784.18730711696196</v>
      </c>
      <c r="O75" s="2372">
        <f t="shared" ca="1" si="7"/>
        <v>772.66622628174889</v>
      </c>
    </row>
    <row r="76" spans="2:15" hidden="1" outlineLevel="2"/>
    <row r="77" spans="2:15" hidden="1" outlineLevel="1">
      <c r="B77" s="731">
        <v>2</v>
      </c>
      <c r="C77" s="731" t="s">
        <v>1198</v>
      </c>
    </row>
    <row r="78" spans="2:15" hidden="1" outlineLevel="2">
      <c r="C78" s="731" t="s">
        <v>973</v>
      </c>
      <c r="E78" s="121" t="str">
        <f>Preferences.EnergyUnits</f>
        <v>TWh</v>
      </c>
      <c r="F78" s="783">
        <f ca="1">F$75</f>
        <v>1055.6351852549997</v>
      </c>
      <c r="G78" s="783">
        <f t="shared" ref="G78:O78" ca="1" si="8">G$75</f>
        <v>1001.7911236976412</v>
      </c>
      <c r="H78" s="783">
        <f t="shared" ca="1" si="8"/>
        <v>951.1505999821278</v>
      </c>
      <c r="I78" s="783">
        <f t="shared" ca="1" si="8"/>
        <v>905.29503209198924</v>
      </c>
      <c r="J78" s="783">
        <f t="shared" ca="1" si="8"/>
        <v>868.86924589279795</v>
      </c>
      <c r="K78" s="783">
        <f t="shared" ca="1" si="8"/>
        <v>839.93409229469944</v>
      </c>
      <c r="L78" s="783">
        <f t="shared" ca="1" si="8"/>
        <v>816.94919063280645</v>
      </c>
      <c r="M78" s="783">
        <f t="shared" ca="1" si="8"/>
        <v>798.69092555687428</v>
      </c>
      <c r="N78" s="783">
        <f t="shared" ca="1" si="8"/>
        <v>784.18730711696196</v>
      </c>
      <c r="O78" s="783">
        <f t="shared" ca="1" si="8"/>
        <v>772.66622628174889</v>
      </c>
    </row>
    <row r="79" spans="2:15" hidden="1" outlineLevel="2">
      <c r="B79" s="24" t="s">
        <v>862</v>
      </c>
      <c r="C79" s="121" t="s">
        <v>20</v>
      </c>
      <c r="F79" s="823">
        <f ca="1">F$27*F78</f>
        <v>-3.3231913194880929</v>
      </c>
      <c r="G79" s="823">
        <f t="shared" ref="G79:O79" ca="1" si="9">G$27*G78</f>
        <v>0</v>
      </c>
      <c r="H79" s="823">
        <f t="shared" ca="1" si="9"/>
        <v>0</v>
      </c>
      <c r="I79" s="823">
        <f t="shared" ca="1" si="9"/>
        <v>0</v>
      </c>
      <c r="J79" s="823">
        <f t="shared" ca="1" si="9"/>
        <v>0</v>
      </c>
      <c r="K79" s="823">
        <f t="shared" ca="1" si="9"/>
        <v>0</v>
      </c>
      <c r="L79" s="823">
        <f t="shared" ca="1" si="9"/>
        <v>0</v>
      </c>
      <c r="M79" s="823">
        <f t="shared" ca="1" si="9"/>
        <v>0</v>
      </c>
      <c r="N79" s="823">
        <f t="shared" ca="1" si="9"/>
        <v>0</v>
      </c>
      <c r="O79" s="823">
        <f t="shared" ca="1" si="9"/>
        <v>0</v>
      </c>
    </row>
    <row r="80" spans="2:15" hidden="1" outlineLevel="2">
      <c r="B80" s="894" t="s">
        <v>840</v>
      </c>
      <c r="C80" s="731" t="s">
        <v>974</v>
      </c>
      <c r="F80" s="783">
        <f ca="1">F78-F79</f>
        <v>1058.9583765744878</v>
      </c>
      <c r="G80" s="783">
        <f t="shared" ref="G80:O80" ca="1" si="10">G78-G79</f>
        <v>1001.7911236976412</v>
      </c>
      <c r="H80" s="783">
        <f t="shared" ca="1" si="10"/>
        <v>951.1505999821278</v>
      </c>
      <c r="I80" s="783">
        <f t="shared" ca="1" si="10"/>
        <v>905.29503209198924</v>
      </c>
      <c r="J80" s="783">
        <f t="shared" ca="1" si="10"/>
        <v>868.86924589279795</v>
      </c>
      <c r="K80" s="783">
        <f t="shared" ca="1" si="10"/>
        <v>839.93409229469944</v>
      </c>
      <c r="L80" s="783">
        <f t="shared" ca="1" si="10"/>
        <v>816.94919063280645</v>
      </c>
      <c r="M80" s="783">
        <f t="shared" ca="1" si="10"/>
        <v>798.69092555687428</v>
      </c>
      <c r="N80" s="783">
        <f t="shared" ca="1" si="10"/>
        <v>784.18730711696196</v>
      </c>
      <c r="O80" s="783">
        <f t="shared" ca="1" si="10"/>
        <v>772.66622628174889</v>
      </c>
    </row>
    <row r="81" spans="1:16" hidden="1" outlineLevel="2">
      <c r="F81" s="826"/>
      <c r="G81" s="826"/>
      <c r="H81" s="826"/>
      <c r="I81" s="826"/>
      <c r="J81" s="826"/>
      <c r="K81" s="826"/>
      <c r="L81" s="826"/>
      <c r="M81" s="826"/>
      <c r="N81" s="826"/>
      <c r="O81" s="826"/>
    </row>
    <row r="82" spans="1:16" hidden="1" outlineLevel="2">
      <c r="C82" s="731" t="s">
        <v>975</v>
      </c>
      <c r="D82" s="807"/>
      <c r="F82" s="783"/>
      <c r="G82" s="783"/>
      <c r="H82" s="783"/>
      <c r="I82" s="783"/>
      <c r="J82" s="783"/>
      <c r="K82" s="783"/>
      <c r="L82" s="783"/>
      <c r="M82" s="783"/>
      <c r="N82" s="783"/>
      <c r="O82" s="1470" t="str">
        <f>Preferences.EnergyUnits</f>
        <v>TWh</v>
      </c>
    </row>
    <row r="83" spans="1:16" hidden="1" outlineLevel="2">
      <c r="D83" s="24" t="s">
        <v>788</v>
      </c>
      <c r="F83" s="823">
        <f t="shared" ref="F83:O83" ca="1" si="11">F$80*F$32</f>
        <v>6.8648161351266319</v>
      </c>
      <c r="G83" s="823">
        <f t="shared" ca="1" si="11"/>
        <v>6.4942230234131078</v>
      </c>
      <c r="H83" s="823">
        <f t="shared" ca="1" si="11"/>
        <v>6.1659401635918787</v>
      </c>
      <c r="I83" s="823">
        <f t="shared" ca="1" si="11"/>
        <v>5.8686763151714159</v>
      </c>
      <c r="J83" s="823">
        <f t="shared" ca="1" si="11"/>
        <v>5.6325420814126144</v>
      </c>
      <c r="K83" s="823">
        <f t="shared" ca="1" si="11"/>
        <v>5.4449667114201352</v>
      </c>
      <c r="L83" s="823">
        <f t="shared" ca="1" si="11"/>
        <v>5.295964515221196</v>
      </c>
      <c r="M83" s="823">
        <f t="shared" ca="1" si="11"/>
        <v>5.1776032694297172</v>
      </c>
      <c r="N83" s="823">
        <f t="shared" ca="1" si="11"/>
        <v>5.0835819404648328</v>
      </c>
      <c r="O83" s="823">
        <f t="shared" ca="1" si="11"/>
        <v>5.0088952451600477</v>
      </c>
    </row>
    <row r="84" spans="1:16" hidden="1" outlineLevel="2">
      <c r="D84" s="121" t="s">
        <v>789</v>
      </c>
      <c r="F84" s="823">
        <f t="shared" ref="F84:O84" ca="1" si="12">F$80*F$33</f>
        <v>56.266685142190759</v>
      </c>
      <c r="G84" s="823">
        <f t="shared" ca="1" si="12"/>
        <v>53.229160826579225</v>
      </c>
      <c r="H84" s="823">
        <f t="shared" ca="1" si="12"/>
        <v>50.538427681284524</v>
      </c>
      <c r="I84" s="823">
        <f t="shared" ca="1" si="12"/>
        <v>48.10193833706969</v>
      </c>
      <c r="J84" s="823">
        <f t="shared" ca="1" si="12"/>
        <v>46.166490930952982</v>
      </c>
      <c r="K84" s="823">
        <f t="shared" ca="1" si="12"/>
        <v>44.629050732111878</v>
      </c>
      <c r="L84" s="823">
        <f t="shared" ca="1" si="12"/>
        <v>43.40777116773706</v>
      </c>
      <c r="M84" s="823">
        <f t="shared" ca="1" si="12"/>
        <v>42.437636670483883</v>
      </c>
      <c r="N84" s="823">
        <f t="shared" ca="1" si="12"/>
        <v>41.667001534832153</v>
      </c>
      <c r="O84" s="823">
        <f t="shared" ca="1" si="12"/>
        <v>41.054840526247823</v>
      </c>
    </row>
    <row r="85" spans="1:16" hidden="1" outlineLevel="2">
      <c r="D85" s="121" t="s">
        <v>790</v>
      </c>
      <c r="F85" s="823">
        <f t="shared" ref="F85:O85" ca="1" si="13">F$80*F$34</f>
        <v>2.5031151912581922</v>
      </c>
      <c r="G85" s="823">
        <f t="shared" ca="1" si="13"/>
        <v>2.3679859715607945</v>
      </c>
      <c r="H85" s="823">
        <f t="shared" ca="1" si="13"/>
        <v>2.2482843222706577</v>
      </c>
      <c r="I85" s="823">
        <f t="shared" ca="1" si="13"/>
        <v>2.1398931228347813</v>
      </c>
      <c r="J85" s="823">
        <f t="shared" ca="1" si="13"/>
        <v>2.0537915906068003</v>
      </c>
      <c r="K85" s="823">
        <f t="shared" ca="1" si="13"/>
        <v>1.9853960576614174</v>
      </c>
      <c r="L85" s="823">
        <f t="shared" ca="1" si="13"/>
        <v>1.9310654458147363</v>
      </c>
      <c r="M85" s="823">
        <f t="shared" ca="1" si="13"/>
        <v>1.8879074315919082</v>
      </c>
      <c r="N85" s="823">
        <f t="shared" ca="1" si="13"/>
        <v>1.8536244716113717</v>
      </c>
      <c r="O85" s="823">
        <f t="shared" ca="1" si="13"/>
        <v>1.8263914914524892</v>
      </c>
    </row>
    <row r="86" spans="1:16" hidden="1" outlineLevel="2">
      <c r="D86" s="121" t="s">
        <v>791</v>
      </c>
      <c r="F86" s="823">
        <f t="shared" ref="F86:O86" ca="1" si="14">F$80*F$35</f>
        <v>0.80614193762263531</v>
      </c>
      <c r="G86" s="823">
        <f t="shared" ca="1" si="14"/>
        <v>0.7626228333573859</v>
      </c>
      <c r="H86" s="823">
        <f t="shared" ca="1" si="14"/>
        <v>0.7240722625197441</v>
      </c>
      <c r="I86" s="823">
        <f t="shared" ca="1" si="14"/>
        <v>0.68916428391786522</v>
      </c>
      <c r="J86" s="823">
        <f t="shared" ca="1" si="14"/>
        <v>0.66143481454907704</v>
      </c>
      <c r="K86" s="823">
        <f t="shared" ca="1" si="14"/>
        <v>0.63940765908860087</v>
      </c>
      <c r="L86" s="823">
        <f t="shared" ca="1" si="14"/>
        <v>0.62191018839317858</v>
      </c>
      <c r="M86" s="823">
        <f t="shared" ca="1" si="14"/>
        <v>0.6080109138687616</v>
      </c>
      <c r="N86" s="823">
        <f t="shared" ca="1" si="14"/>
        <v>0.59696989910337361</v>
      </c>
      <c r="O86" s="823">
        <f t="shared" ca="1" si="14"/>
        <v>0.58819936889797564</v>
      </c>
    </row>
    <row r="87" spans="1:16" hidden="1" outlineLevel="2">
      <c r="F87" s="823"/>
      <c r="G87" s="823"/>
      <c r="H87" s="823"/>
      <c r="I87" s="823"/>
      <c r="J87" s="823"/>
      <c r="K87" s="823"/>
      <c r="L87" s="823"/>
      <c r="M87" s="823"/>
      <c r="N87" s="823"/>
      <c r="O87" s="823"/>
    </row>
    <row r="88" spans="1:16" hidden="1" outlineLevel="1">
      <c r="B88" s="731">
        <v>3</v>
      </c>
      <c r="C88" s="731" t="s">
        <v>1175</v>
      </c>
      <c r="F88" s="823"/>
      <c r="G88" s="823"/>
      <c r="H88" s="823"/>
      <c r="I88" s="823"/>
      <c r="J88" s="823"/>
      <c r="K88" s="823"/>
      <c r="L88" s="823"/>
      <c r="M88" s="823"/>
      <c r="N88" s="823"/>
      <c r="O88" s="823"/>
    </row>
    <row r="89" spans="1:16" hidden="1" outlineLevel="2">
      <c r="C89" s="121" t="s">
        <v>1199</v>
      </c>
      <c r="F89" s="823"/>
      <c r="G89" s="823"/>
      <c r="H89" s="823"/>
      <c r="I89" s="823"/>
      <c r="J89" s="823"/>
      <c r="K89" s="823"/>
      <c r="L89" s="823"/>
      <c r="M89" s="823"/>
      <c r="N89" s="823"/>
      <c r="O89" s="823"/>
    </row>
    <row r="90" spans="1:16" ht="14.25" hidden="1" outlineLevel="2">
      <c r="C90" s="121" t="s">
        <v>1055</v>
      </c>
      <c r="E90" s="743" t="s">
        <v>1076</v>
      </c>
      <c r="F90" s="823">
        <f ca="1">F$84*INDEX(EF[CO2], MATCH("V.04", EF[Vector], 0))+F$85*INDEX(EF[CO2], MATCH("V.05", EF[Vector], 0))</f>
        <v>14.527244480739197</v>
      </c>
      <c r="G90" s="823">
        <f ca="1">G$84*INDEX(EF[CO2], MATCH("V.04", EF[Vector], 0))+G$85*INDEX(EF[CO2], MATCH("V.05", EF[Vector], 0))</f>
        <v>13.742999625411992</v>
      </c>
      <c r="H90" s="823">
        <f ca="1">H$84*INDEX(EF[CO2], MATCH("V.04", EF[Vector], 0))+H$85*INDEX(EF[CO2], MATCH("V.05", EF[Vector], 0))</f>
        <v>13.048291235618931</v>
      </c>
      <c r="I90" s="823">
        <f ca="1">I$84*INDEX(EF[CO2], MATCH("V.04", EF[Vector], 0))+I$85*INDEX(EF[CO2], MATCH("V.05", EF[Vector], 0))</f>
        <v>12.419224918869022</v>
      </c>
      <c r="J90" s="823">
        <f ca="1">J$84*INDEX(EF[CO2], MATCH("V.04", EF[Vector], 0))+J$85*INDEX(EF[CO2], MATCH("V.05", EF[Vector], 0))</f>
        <v>11.919520385409896</v>
      </c>
      <c r="K90" s="823">
        <f ca="1">K$84*INDEX(EF[CO2], MATCH("V.04", EF[Vector], 0))+K$85*INDEX(EF[CO2], MATCH("V.05", EF[Vector], 0))</f>
        <v>11.522575557637671</v>
      </c>
      <c r="L90" s="823">
        <f ca="1">L$84*INDEX(EF[CO2], MATCH("V.04", EF[Vector], 0))+L$85*INDEX(EF[CO2], MATCH("V.05", EF[Vector], 0))</f>
        <v>11.207258833964177</v>
      </c>
      <c r="M90" s="823">
        <f ca="1">M$84*INDEX(EF[CO2], MATCH("V.04", EF[Vector], 0))+M$85*INDEX(EF[CO2], MATCH("V.05", EF[Vector], 0))</f>
        <v>10.956784135033882</v>
      </c>
      <c r="N90" s="823">
        <f ca="1">N$84*INDEX(EF[CO2], MATCH("V.04", EF[Vector], 0))+N$85*INDEX(EF[CO2], MATCH("V.05", EF[Vector], 0))</f>
        <v>10.757817286484531</v>
      </c>
      <c r="O90" s="823">
        <f ca="1">O$84*INDEX(EF[CO2], MATCH("V.04", EF[Vector], 0))+O$85*INDEX(EF[CO2], MATCH("V.05", EF[Vector], 0))</f>
        <v>10.599766165989214</v>
      </c>
      <c r="P90" s="823">
        <f>P$84*INDEX(EF[CO2], MATCH("V.04", EF[Vector], 0))+P$85*INDEX(EF[CO2], MATCH("V.05", EF[Vector], 0))</f>
        <v>0</v>
      </c>
    </row>
    <row r="91" spans="1:16" ht="14.25" hidden="1" outlineLevel="2">
      <c r="C91" s="121" t="s">
        <v>1056</v>
      </c>
      <c r="E91" s="743" t="s">
        <v>1076</v>
      </c>
      <c r="F91" s="823">
        <f ca="1">F$84*INDEX(EF[CH4], MATCH("V.04", EF[Vector], 0))+F$85*INDEX(EF[CH4], MATCH("V.05", EF[Vector], 0))</f>
        <v>1.8436162606187682E-2</v>
      </c>
      <c r="G91" s="823">
        <f ca="1">G$84*INDEX(EF[CH4], MATCH("V.04", EF[Vector], 0))+G$85*INDEX(EF[CH4], MATCH("V.05", EF[Vector], 0))</f>
        <v>1.7440897076303603E-2</v>
      </c>
      <c r="H91" s="823">
        <f ca="1">H$84*INDEX(EF[CH4], MATCH("V.04", EF[Vector], 0))+H$85*INDEX(EF[CH4], MATCH("V.05", EF[Vector], 0))</f>
        <v>1.6559260035288102E-2</v>
      </c>
      <c r="I91" s="823">
        <f ca="1">I$84*INDEX(EF[CH4], MATCH("V.04", EF[Vector], 0))+I$85*INDEX(EF[CH4], MATCH("V.05", EF[Vector], 0))</f>
        <v>1.5760927707292011E-2</v>
      </c>
      <c r="J91" s="823">
        <f ca="1">J$84*INDEX(EF[CH4], MATCH("V.04", EF[Vector], 0))+J$85*INDEX(EF[CH4], MATCH("V.05", EF[Vector], 0))</f>
        <v>1.5126765182794258E-2</v>
      </c>
      <c r="K91" s="823">
        <f ca="1">K$84*INDEX(EF[CH4], MATCH("V.04", EF[Vector], 0))+K$85*INDEX(EF[CH4], MATCH("V.05", EF[Vector], 0))</f>
        <v>1.4623012430495181E-2</v>
      </c>
      <c r="L91" s="823">
        <f ca="1">L$84*INDEX(EF[CH4], MATCH("V.04", EF[Vector], 0))+L$85*INDEX(EF[CH4], MATCH("V.05", EF[Vector], 0))</f>
        <v>1.4222851863375775E-2</v>
      </c>
      <c r="M91" s="823">
        <f ca="1">M$84*INDEX(EF[CH4], MATCH("V.04", EF[Vector], 0))+M$85*INDEX(EF[CH4], MATCH("V.05", EF[Vector], 0))</f>
        <v>1.3904980687989605E-2</v>
      </c>
      <c r="N91" s="823">
        <f ca="1">N$84*INDEX(EF[CH4], MATCH("V.04", EF[Vector], 0))+N$85*INDEX(EF[CH4], MATCH("V.05", EF[Vector], 0))</f>
        <v>1.3652476837176053E-2</v>
      </c>
      <c r="O91" s="823">
        <f ca="1">O$84*INDEX(EF[CH4], MATCH("V.04", EF[Vector], 0))+O$85*INDEX(EF[CH4], MATCH("V.05", EF[Vector], 0))</f>
        <v>1.3451898113426678E-2</v>
      </c>
      <c r="P91" s="823">
        <f>P$84*INDEX(EF[CH4], MATCH("V.04", EF[Vector], 0))+P$85*INDEX(EF[CH4], MATCH("V.05", EF[Vector], 0))</f>
        <v>0</v>
      </c>
    </row>
    <row r="92" spans="1:16" ht="14.25" hidden="1" outlineLevel="2">
      <c r="C92" s="121" t="s">
        <v>1057</v>
      </c>
      <c r="E92" s="743" t="s">
        <v>1076</v>
      </c>
      <c r="F92" s="823">
        <f ca="1">F$84*INDEX(EF[N2O], MATCH("V.04", EF[Vector], 0))+F$85*INDEX(EF[N2O], MATCH("V.05", EF[Vector], 0))</f>
        <v>0.2540812001173906</v>
      </c>
      <c r="G92" s="823">
        <f ca="1">G$84*INDEX(EF[N2O], MATCH("V.04", EF[Vector], 0))+G$85*INDEX(EF[N2O], MATCH("V.05", EF[Vector], 0))</f>
        <v>0.2403647741088922</v>
      </c>
      <c r="H92" s="823">
        <f ca="1">H$84*INDEX(EF[N2O], MATCH("V.04", EF[Vector], 0))+H$85*INDEX(EF[N2O], MATCH("V.05", EF[Vector], 0))</f>
        <v>0.22821433899752142</v>
      </c>
      <c r="I92" s="823">
        <f ca="1">I$84*INDEX(EF[N2O], MATCH("V.04", EF[Vector], 0))+I$85*INDEX(EF[N2O], MATCH("V.05", EF[Vector], 0))</f>
        <v>0.21721198236167366</v>
      </c>
      <c r="J92" s="823">
        <f ca="1">J$84*INDEX(EF[N2O], MATCH("V.04", EF[Vector], 0))+J$85*INDEX(EF[N2O], MATCH("V.05", EF[Vector], 0))</f>
        <v>0.20847216059205098</v>
      </c>
      <c r="K92" s="823">
        <f ca="1">K$84*INDEX(EF[N2O], MATCH("V.04", EF[Vector], 0))+K$85*INDEX(EF[N2O], MATCH("V.05", EF[Vector], 0))</f>
        <v>0.20152960391143082</v>
      </c>
      <c r="L92" s="823">
        <f ca="1">L$84*INDEX(EF[N2O], MATCH("V.04", EF[Vector], 0))+L$85*INDEX(EF[N2O], MATCH("V.05", EF[Vector], 0))</f>
        <v>0.19601472105293236</v>
      </c>
      <c r="M92" s="823">
        <f ca="1">M$84*INDEX(EF[N2O], MATCH("V.04", EF[Vector], 0))+M$85*INDEX(EF[N2O], MATCH("V.05", EF[Vector], 0))</f>
        <v>0.19163392384203468</v>
      </c>
      <c r="N92" s="823">
        <f ca="1">N$84*INDEX(EF[N2O], MATCH("V.04", EF[Vector], 0))+N$85*INDEX(EF[N2O], MATCH("V.05", EF[Vector], 0))</f>
        <v>0.18815399784987419</v>
      </c>
      <c r="O92" s="823">
        <f ca="1">O$84*INDEX(EF[N2O], MATCH("V.04", EF[Vector], 0))+O$85*INDEX(EF[N2O], MATCH("V.05", EF[Vector], 0))</f>
        <v>0.18538968707995557</v>
      </c>
      <c r="P92" s="823">
        <f>P$84*INDEX(EF[N2O], MATCH("V.04", EF[Vector], 0))+P$85*INDEX(EF[N2O], MATCH("V.05", EF[Vector], 0))</f>
        <v>0</v>
      </c>
    </row>
    <row r="93" spans="1:16" hidden="1" outlineLevel="2">
      <c r="F93" s="823"/>
      <c r="G93" s="823"/>
      <c r="H93" s="823"/>
      <c r="I93" s="823"/>
      <c r="J93" s="823"/>
      <c r="K93" s="823"/>
      <c r="L93" s="823"/>
      <c r="M93" s="823"/>
      <c r="N93" s="823"/>
      <c r="O93" s="823"/>
    </row>
    <row r="94" spans="1:16" hidden="1" outlineLevel="1"/>
    <row r="96" spans="1:16" ht="22.5" collapsed="1">
      <c r="A96" s="1171"/>
      <c r="B96" s="1231" t="s">
        <v>683</v>
      </c>
      <c r="C96" s="1183"/>
      <c r="D96" s="1183"/>
      <c r="E96" s="1183"/>
      <c r="F96" s="1183"/>
      <c r="G96" s="1183"/>
      <c r="H96" s="1183"/>
      <c r="I96" s="1183"/>
      <c r="J96" s="1183"/>
      <c r="K96" s="1183"/>
      <c r="L96" s="1183"/>
      <c r="M96" s="1183"/>
      <c r="N96" s="1183"/>
      <c r="O96" s="1183"/>
      <c r="P96" s="1185"/>
    </row>
    <row r="97" spans="1:16" hidden="1" outlineLevel="1">
      <c r="B97" s="1172"/>
      <c r="C97" s="1174"/>
      <c r="D97" s="1174"/>
      <c r="E97" s="1174"/>
      <c r="F97" s="1174"/>
      <c r="G97" s="1174"/>
      <c r="H97" s="1174"/>
      <c r="I97" s="1174"/>
      <c r="J97" s="1174"/>
      <c r="K97" s="1174"/>
      <c r="L97" s="1174"/>
      <c r="M97" s="1174"/>
      <c r="N97" s="1174"/>
      <c r="O97" s="1174"/>
      <c r="P97" s="1176"/>
    </row>
    <row r="98" spans="1:16" hidden="1" outlineLevel="1">
      <c r="B98" s="1172"/>
      <c r="C98" s="1186"/>
      <c r="D98" s="1174"/>
      <c r="E98" s="1175"/>
      <c r="F98" s="1174"/>
      <c r="G98" s="1175"/>
      <c r="H98" s="1174"/>
      <c r="I98" s="1174"/>
      <c r="J98" s="1174"/>
      <c r="K98" s="1174"/>
      <c r="L98" s="1174"/>
      <c r="M98" s="1174"/>
      <c r="N98" s="1174"/>
      <c r="O98" s="1175" t="str">
        <f>Preferences.EnergyUnits</f>
        <v>TWh</v>
      </c>
      <c r="P98" s="1176"/>
    </row>
    <row r="99" spans="1:16" ht="6" hidden="1" customHeight="1" outlineLevel="1">
      <c r="B99" s="1172"/>
      <c r="C99" s="1174"/>
      <c r="D99" s="1174"/>
      <c r="E99" s="1174"/>
      <c r="F99" s="1174"/>
      <c r="G99" s="1174"/>
      <c r="H99" s="1174"/>
      <c r="I99" s="1174"/>
      <c r="J99" s="1174"/>
      <c r="K99" s="1174"/>
      <c r="L99" s="1174"/>
      <c r="M99" s="1174"/>
      <c r="N99" s="1174"/>
      <c r="O99" s="1174"/>
      <c r="P99" s="1176"/>
    </row>
    <row r="100" spans="1:16" ht="15.75" hidden="1" outlineLevel="1">
      <c r="A100" s="3"/>
      <c r="B100" s="1177"/>
      <c r="C100" s="1188" t="s">
        <v>78</v>
      </c>
      <c r="D100" s="1188" t="s">
        <v>418</v>
      </c>
      <c r="E100" s="1188" t="s">
        <v>442</v>
      </c>
      <c r="F100" s="1188" t="s">
        <v>691</v>
      </c>
      <c r="G100" s="1188" t="s">
        <v>692</v>
      </c>
      <c r="H100" s="1189" t="s">
        <v>721</v>
      </c>
      <c r="I100" s="1189" t="s">
        <v>722</v>
      </c>
      <c r="J100" s="1189" t="s">
        <v>723</v>
      </c>
      <c r="K100" s="1189" t="s">
        <v>724</v>
      </c>
      <c r="L100" s="1189" t="s">
        <v>725</v>
      </c>
      <c r="M100" s="1189" t="s">
        <v>726</v>
      </c>
      <c r="N100" s="1189" t="s">
        <v>727</v>
      </c>
      <c r="O100" s="1189" t="s">
        <v>728</v>
      </c>
      <c r="P100" s="1176"/>
    </row>
    <row r="101" spans="1:16" ht="15.75" hidden="1" outlineLevel="1">
      <c r="A101" s="3"/>
      <c r="B101" s="1177"/>
      <c r="C101" s="765" t="s">
        <v>45</v>
      </c>
      <c r="D101" s="765" t="str">
        <f>INDEX(Vectors[Description], MATCH([Vector], Vectors[Code], 0))</f>
        <v>Electricity (delivered to end user)</v>
      </c>
      <c r="E101" s="765"/>
      <c r="F101" s="953">
        <f ca="1">-F$83</f>
        <v>-6.8648161351266319</v>
      </c>
      <c r="G101" s="953">
        <f t="shared" ref="G101:O101" ca="1" si="15">-G$83</f>
        <v>-6.4942230234131078</v>
      </c>
      <c r="H101" s="953">
        <f t="shared" ca="1" si="15"/>
        <v>-6.1659401635918787</v>
      </c>
      <c r="I101" s="953">
        <f t="shared" ca="1" si="15"/>
        <v>-5.8686763151714159</v>
      </c>
      <c r="J101" s="953">
        <f t="shared" ca="1" si="15"/>
        <v>-5.6325420814126144</v>
      </c>
      <c r="K101" s="953">
        <f t="shared" ca="1" si="15"/>
        <v>-5.4449667114201352</v>
      </c>
      <c r="L101" s="953">
        <f t="shared" ca="1" si="15"/>
        <v>-5.295964515221196</v>
      </c>
      <c r="M101" s="953">
        <f t="shared" ca="1" si="15"/>
        <v>-5.1776032694297172</v>
      </c>
      <c r="N101" s="953">
        <f t="shared" ca="1" si="15"/>
        <v>-5.0835819404648328</v>
      </c>
      <c r="O101" s="953">
        <f t="shared" ca="1" si="15"/>
        <v>-5.0088952451600477</v>
      </c>
      <c r="P101" s="1176"/>
    </row>
    <row r="102" spans="1:16" ht="15.75" hidden="1" outlineLevel="1">
      <c r="A102" s="3"/>
      <c r="B102" s="1177"/>
      <c r="C102" s="765" t="s">
        <v>49</v>
      </c>
      <c r="D102" s="765" t="str">
        <f>INDEX(Vectors[Description], MATCH([Vector], Vectors[Code], 0))</f>
        <v>Liquid hydrocarbons</v>
      </c>
      <c r="E102" s="765"/>
      <c r="F102" s="953">
        <f ca="1">-F$84</f>
        <v>-56.266685142190759</v>
      </c>
      <c r="G102" s="953">
        <f t="shared" ref="G102:O102" ca="1" si="16">-G$84</f>
        <v>-53.229160826579225</v>
      </c>
      <c r="H102" s="953">
        <f t="shared" ca="1" si="16"/>
        <v>-50.538427681284524</v>
      </c>
      <c r="I102" s="953">
        <f t="shared" ca="1" si="16"/>
        <v>-48.10193833706969</v>
      </c>
      <c r="J102" s="953">
        <f t="shared" ca="1" si="16"/>
        <v>-46.166490930952982</v>
      </c>
      <c r="K102" s="953">
        <f t="shared" ca="1" si="16"/>
        <v>-44.629050732111878</v>
      </c>
      <c r="L102" s="953">
        <f t="shared" ca="1" si="16"/>
        <v>-43.40777116773706</v>
      </c>
      <c r="M102" s="953">
        <f t="shared" ca="1" si="16"/>
        <v>-42.437636670483883</v>
      </c>
      <c r="N102" s="953">
        <f t="shared" ca="1" si="16"/>
        <v>-41.667001534832153</v>
      </c>
      <c r="O102" s="953">
        <f t="shared" ca="1" si="16"/>
        <v>-41.054840526247823</v>
      </c>
      <c r="P102" s="1176"/>
    </row>
    <row r="103" spans="1:16" ht="15.75" hidden="1" outlineLevel="1">
      <c r="A103" s="3"/>
      <c r="B103" s="1177"/>
      <c r="C103" s="765" t="s">
        <v>50</v>
      </c>
      <c r="D103" s="765" t="str">
        <f>INDEX(Vectors[Description], MATCH([Vector], Vectors[Code], 0))</f>
        <v>Gaseous hydrocarbons</v>
      </c>
      <c r="E103" s="765"/>
      <c r="F103" s="953">
        <f ca="1">-F$85</f>
        <v>-2.5031151912581922</v>
      </c>
      <c r="G103" s="953">
        <f t="shared" ref="G103:O103" ca="1" si="17">-G$85</f>
        <v>-2.3679859715607945</v>
      </c>
      <c r="H103" s="953">
        <f t="shared" ca="1" si="17"/>
        <v>-2.2482843222706577</v>
      </c>
      <c r="I103" s="953">
        <f t="shared" ca="1" si="17"/>
        <v>-2.1398931228347813</v>
      </c>
      <c r="J103" s="953">
        <f t="shared" ca="1" si="17"/>
        <v>-2.0537915906068003</v>
      </c>
      <c r="K103" s="953">
        <f t="shared" ca="1" si="17"/>
        <v>-1.9853960576614174</v>
      </c>
      <c r="L103" s="953">
        <f t="shared" ca="1" si="17"/>
        <v>-1.9310654458147363</v>
      </c>
      <c r="M103" s="953">
        <f t="shared" ca="1" si="17"/>
        <v>-1.8879074315919082</v>
      </c>
      <c r="N103" s="953">
        <f t="shared" ca="1" si="17"/>
        <v>-1.8536244716113717</v>
      </c>
      <c r="O103" s="953">
        <f t="shared" ca="1" si="17"/>
        <v>-1.8263914914524892</v>
      </c>
      <c r="P103" s="1176"/>
    </row>
    <row r="104" spans="1:16" ht="15.75" hidden="1" outlineLevel="1">
      <c r="A104" s="3"/>
      <c r="B104" s="1177"/>
      <c r="C104" s="765" t="s">
        <v>753</v>
      </c>
      <c r="D104" s="765" t="str">
        <f>INDEX(Vectors[Description], MATCH([Vector], Vectors[Code], 0))</f>
        <v>Heat transport</v>
      </c>
      <c r="E104" s="765"/>
      <c r="F104" s="953">
        <f ca="1">-F86</f>
        <v>-0.80614193762263531</v>
      </c>
      <c r="G104" s="953">
        <f t="shared" ref="G104:O104" ca="1" si="18">-G86</f>
        <v>-0.7626228333573859</v>
      </c>
      <c r="H104" s="953">
        <f t="shared" ca="1" si="18"/>
        <v>-0.7240722625197441</v>
      </c>
      <c r="I104" s="953">
        <f t="shared" ca="1" si="18"/>
        <v>-0.68916428391786522</v>
      </c>
      <c r="J104" s="953">
        <f t="shared" ca="1" si="18"/>
        <v>-0.66143481454907704</v>
      </c>
      <c r="K104" s="953">
        <f t="shared" ca="1" si="18"/>
        <v>-0.63940765908860087</v>
      </c>
      <c r="L104" s="953">
        <f t="shared" ca="1" si="18"/>
        <v>-0.62191018839317858</v>
      </c>
      <c r="M104" s="953">
        <f t="shared" ca="1" si="18"/>
        <v>-0.6080109138687616</v>
      </c>
      <c r="N104" s="953">
        <f t="shared" ca="1" si="18"/>
        <v>-0.59696989910337361</v>
      </c>
      <c r="O104" s="953">
        <f t="shared" ca="1" si="18"/>
        <v>-0.58819936889797564</v>
      </c>
      <c r="P104" s="1176"/>
    </row>
    <row r="105" spans="1:16" ht="15.75" hidden="1" outlineLevel="1">
      <c r="A105" s="3"/>
      <c r="B105" s="1177"/>
      <c r="C105" s="765" t="s">
        <v>65</v>
      </c>
      <c r="D105" s="765" t="str">
        <f>INDEX(Vectors[Description], MATCH([Vector], Vectors[Code], 0))</f>
        <v>Oil and petroleum products</v>
      </c>
      <c r="E105" s="765"/>
      <c r="F105" s="953">
        <f ca="1">-F$78+F$80</f>
        <v>3.3231913194881599</v>
      </c>
      <c r="G105" s="953">
        <f t="shared" ref="G105:O105" ca="1" si="19">-G$78+G$80</f>
        <v>0</v>
      </c>
      <c r="H105" s="953">
        <f t="shared" ca="1" si="19"/>
        <v>0</v>
      </c>
      <c r="I105" s="953">
        <f t="shared" ca="1" si="19"/>
        <v>0</v>
      </c>
      <c r="J105" s="953">
        <f t="shared" ca="1" si="19"/>
        <v>0</v>
      </c>
      <c r="K105" s="953">
        <f t="shared" ca="1" si="19"/>
        <v>0</v>
      </c>
      <c r="L105" s="953">
        <f t="shared" ca="1" si="19"/>
        <v>0</v>
      </c>
      <c r="M105" s="953">
        <f t="shared" ca="1" si="19"/>
        <v>0</v>
      </c>
      <c r="N105" s="953">
        <f t="shared" ca="1" si="19"/>
        <v>0</v>
      </c>
      <c r="O105" s="953">
        <f t="shared" ca="1" si="19"/>
        <v>0</v>
      </c>
      <c r="P105" s="1176"/>
    </row>
    <row r="106" spans="1:16" ht="15.75" hidden="1" outlineLevel="1">
      <c r="A106" s="3"/>
      <c r="B106" s="1177"/>
      <c r="C106" s="765" t="s">
        <v>34</v>
      </c>
      <c r="D106" s="765" t="str">
        <f>INDEX(Vectors[Description], MATCH([Vector], Vectors[Code], 0))</f>
        <v>Conversion losses</v>
      </c>
      <c r="E106" s="765"/>
      <c r="F106" s="953">
        <f ca="1">F$79</f>
        <v>-3.3231913194880929</v>
      </c>
      <c r="G106" s="953">
        <f t="shared" ref="G106:O106" ca="1" si="20">G$79</f>
        <v>0</v>
      </c>
      <c r="H106" s="953">
        <f t="shared" ca="1" si="20"/>
        <v>0</v>
      </c>
      <c r="I106" s="953">
        <f t="shared" ca="1" si="20"/>
        <v>0</v>
      </c>
      <c r="J106" s="953">
        <f t="shared" ca="1" si="20"/>
        <v>0</v>
      </c>
      <c r="K106" s="953">
        <f t="shared" ca="1" si="20"/>
        <v>0</v>
      </c>
      <c r="L106" s="953">
        <f t="shared" ca="1" si="20"/>
        <v>0</v>
      </c>
      <c r="M106" s="953">
        <f t="shared" ca="1" si="20"/>
        <v>0</v>
      </c>
      <c r="N106" s="953">
        <f t="shared" ca="1" si="20"/>
        <v>0</v>
      </c>
      <c r="O106" s="953">
        <f t="shared" ca="1" si="20"/>
        <v>0</v>
      </c>
      <c r="P106" s="1176"/>
    </row>
    <row r="107" spans="1:16" ht="15.75" hidden="1" outlineLevel="1">
      <c r="A107" s="3"/>
      <c r="B107" s="1177"/>
      <c r="C107" s="765" t="s">
        <v>35</v>
      </c>
      <c r="D107" s="765" t="str">
        <f>INDEX(Vectors[Description], MATCH([Vector], Vectors[Code], 0))</f>
        <v>Distribution losses and own use</v>
      </c>
      <c r="E107" s="765"/>
      <c r="F107" s="953">
        <f ca="1">F$83+F$84+F$85+F$86</f>
        <v>66.440758406198228</v>
      </c>
      <c r="G107" s="953">
        <f t="shared" ref="G107:O107" ca="1" si="21">G$83+G$84+G$85+G$86</f>
        <v>62.853992654910506</v>
      </c>
      <c r="H107" s="953">
        <f t="shared" ca="1" si="21"/>
        <v>59.676724429666798</v>
      </c>
      <c r="I107" s="953">
        <f t="shared" ca="1" si="21"/>
        <v>56.799672058993757</v>
      </c>
      <c r="J107" s="953">
        <f t="shared" ca="1" si="21"/>
        <v>54.514259417521473</v>
      </c>
      <c r="K107" s="953">
        <f t="shared" ca="1" si="21"/>
        <v>52.698821160282037</v>
      </c>
      <c r="L107" s="953">
        <f t="shared" ca="1" si="21"/>
        <v>51.256711317166172</v>
      </c>
      <c r="M107" s="953">
        <f t="shared" ca="1" si="21"/>
        <v>50.111158285374266</v>
      </c>
      <c r="N107" s="953">
        <f t="shared" ca="1" si="21"/>
        <v>49.201177846011724</v>
      </c>
      <c r="O107" s="953">
        <f t="shared" ca="1" si="21"/>
        <v>48.478326631758335</v>
      </c>
      <c r="P107" s="1176"/>
    </row>
    <row r="108" spans="1:16" ht="15.75" hidden="1" outlineLevel="1">
      <c r="A108" s="3"/>
      <c r="B108" s="1177"/>
      <c r="C108" s="765" t="s">
        <v>148</v>
      </c>
      <c r="D108" s="765"/>
      <c r="E108" s="765"/>
      <c r="F108" s="1459">
        <f>SUBTOTAL(109,[2007])</f>
        <v>0</v>
      </c>
      <c r="G108" s="1459">
        <f>SUBTOTAL(109,[2010])</f>
        <v>0</v>
      </c>
      <c r="H108" s="1459">
        <f>SUBTOTAL(109,[2015])</f>
        <v>0</v>
      </c>
      <c r="I108" s="1459">
        <f>SUBTOTAL(109,[2020])</f>
        <v>0</v>
      </c>
      <c r="J108" s="1459">
        <f>SUBTOTAL(109,[2025])</f>
        <v>0</v>
      </c>
      <c r="K108" s="1459">
        <f>SUBTOTAL(109,[2030])</f>
        <v>0</v>
      </c>
      <c r="L108" s="1459">
        <f>SUBTOTAL(109,[2035])</f>
        <v>0</v>
      </c>
      <c r="M108" s="1459">
        <f>SUBTOTAL(109,[2040])</f>
        <v>0</v>
      </c>
      <c r="N108" s="1459">
        <f>SUBTOTAL(109,[2045])</f>
        <v>0</v>
      </c>
      <c r="O108" s="1459">
        <f>SUBTOTAL(109,[2050])</f>
        <v>0</v>
      </c>
      <c r="P108" s="1176"/>
    </row>
    <row r="109" spans="1:16" ht="15.75" hidden="1" outlineLevel="1">
      <c r="A109" s="3"/>
      <c r="B109" s="1178"/>
      <c r="C109" s="1281"/>
      <c r="D109" s="1282"/>
      <c r="E109" s="1282"/>
      <c r="F109" s="1282"/>
      <c r="G109" s="1282"/>
      <c r="H109" s="1282"/>
      <c r="I109" s="1282"/>
      <c r="J109" s="1282"/>
      <c r="K109" s="1282"/>
      <c r="L109" s="1282"/>
      <c r="M109" s="1282"/>
      <c r="N109" s="1282"/>
      <c r="O109" s="1282"/>
      <c r="P109" s="1181"/>
    </row>
    <row r="110" spans="1:16" hidden="1" outlineLevel="1"/>
    <row r="111" spans="1:16" ht="22.5" hidden="1" outlineLevel="1">
      <c r="A111" s="1171"/>
      <c r="B111" s="1249" t="s">
        <v>902</v>
      </c>
      <c r="C111" s="1198"/>
      <c r="D111" s="1199"/>
      <c r="E111" s="1199"/>
      <c r="F111" s="1199"/>
      <c r="G111" s="1199"/>
      <c r="H111" s="1199"/>
      <c r="I111" s="1199"/>
      <c r="J111" s="1199"/>
      <c r="K111" s="1199"/>
      <c r="L111" s="1199"/>
      <c r="M111" s="1199"/>
      <c r="N111" s="1199"/>
      <c r="O111" s="1199"/>
      <c r="P111" s="1200"/>
    </row>
    <row r="112" spans="1:16" hidden="1" outlineLevel="1">
      <c r="B112" s="1207"/>
      <c r="C112" s="1208"/>
      <c r="D112" s="1208"/>
      <c r="E112" s="1208"/>
      <c r="F112" s="1208"/>
      <c r="G112" s="1208"/>
      <c r="H112" s="1208"/>
      <c r="I112" s="1208"/>
      <c r="J112" s="1208"/>
      <c r="K112" s="1208"/>
      <c r="L112" s="1208"/>
      <c r="M112" s="1208"/>
      <c r="N112" s="1208"/>
      <c r="O112" s="1208"/>
      <c r="P112" s="1209"/>
    </row>
    <row r="113" spans="2:16" ht="14.25" hidden="1" outlineLevel="1">
      <c r="B113" s="1210"/>
      <c r="C113" s="1201" t="s">
        <v>1073</v>
      </c>
      <c r="D113" s="1202"/>
      <c r="E113" s="1203"/>
      <c r="F113" s="1202"/>
      <c r="G113" s="1203"/>
      <c r="H113" s="1202"/>
      <c r="I113" s="1202"/>
      <c r="J113" s="1202"/>
      <c r="K113" s="1202"/>
      <c r="L113" s="1202"/>
      <c r="M113" s="1202"/>
      <c r="N113" s="1202"/>
      <c r="O113" s="1203" t="s">
        <v>1076</v>
      </c>
      <c r="P113" s="1211"/>
    </row>
    <row r="114" spans="2:16" ht="5.25" hidden="1" customHeight="1" outlineLevel="1">
      <c r="B114" s="1210"/>
      <c r="C114" s="1202"/>
      <c r="D114" s="1202"/>
      <c r="E114" s="1202"/>
      <c r="F114" s="1202"/>
      <c r="G114" s="1202"/>
      <c r="H114" s="1202"/>
      <c r="I114" s="1202"/>
      <c r="J114" s="1202"/>
      <c r="K114" s="1202"/>
      <c r="L114" s="1202"/>
      <c r="M114" s="1202"/>
      <c r="N114" s="1202"/>
      <c r="O114" s="1202"/>
      <c r="P114" s="1211"/>
    </row>
    <row r="115" spans="2:16" ht="15.75" hidden="1" outlineLevel="1">
      <c r="B115" s="1212"/>
      <c r="C115" s="1269" t="s">
        <v>1072</v>
      </c>
      <c r="D115" s="1269" t="s">
        <v>1042</v>
      </c>
      <c r="E115" s="1269" t="s">
        <v>442</v>
      </c>
      <c r="F115" s="1269" t="s">
        <v>691</v>
      </c>
      <c r="G115" s="1269" t="s">
        <v>692</v>
      </c>
      <c r="H115" s="1269" t="s">
        <v>721</v>
      </c>
      <c r="I115" s="1269" t="s">
        <v>722</v>
      </c>
      <c r="J115" s="1269" t="s">
        <v>723</v>
      </c>
      <c r="K115" s="1269" t="s">
        <v>724</v>
      </c>
      <c r="L115" s="1269" t="s">
        <v>725</v>
      </c>
      <c r="M115" s="1269" t="s">
        <v>726</v>
      </c>
      <c r="N115" s="1269" t="s">
        <v>727</v>
      </c>
      <c r="O115" s="1269" t="s">
        <v>728</v>
      </c>
      <c r="P115" s="1211"/>
    </row>
    <row r="116" spans="2:16" ht="15.75" hidden="1" outlineLevel="1">
      <c r="B116" s="1212"/>
      <c r="C116" s="1206" t="s">
        <v>1055</v>
      </c>
      <c r="D116" s="1216" t="s">
        <v>1065</v>
      </c>
      <c r="E116" s="1206" t="str">
        <f>INDEX(IPCC[Sector_description], MATCH([IPCC Sector], IPCC[Sector_code], 0))</f>
        <v>Fuel Combustion</v>
      </c>
      <c r="F116" s="1218">
        <f ca="1">F$90</f>
        <v>14.527244480739197</v>
      </c>
      <c r="G116" s="1218">
        <f t="shared" ref="G116:O116" ca="1" si="22">G$90</f>
        <v>13.742999625411992</v>
      </c>
      <c r="H116" s="1218">
        <f t="shared" ca="1" si="22"/>
        <v>13.048291235618931</v>
      </c>
      <c r="I116" s="1218">
        <f t="shared" ca="1" si="22"/>
        <v>12.419224918869022</v>
      </c>
      <c r="J116" s="1218">
        <f t="shared" ca="1" si="22"/>
        <v>11.919520385409896</v>
      </c>
      <c r="K116" s="1218">
        <f t="shared" ca="1" si="22"/>
        <v>11.522575557637671</v>
      </c>
      <c r="L116" s="1218">
        <f t="shared" ca="1" si="22"/>
        <v>11.207258833964177</v>
      </c>
      <c r="M116" s="1218">
        <f t="shared" ca="1" si="22"/>
        <v>10.956784135033882</v>
      </c>
      <c r="N116" s="1218">
        <f t="shared" ca="1" si="22"/>
        <v>10.757817286484531</v>
      </c>
      <c r="O116" s="1218">
        <f t="shared" ca="1" si="22"/>
        <v>10.599766165989214</v>
      </c>
      <c r="P116" s="1211"/>
    </row>
    <row r="117" spans="2:16" ht="15.75" hidden="1" outlineLevel="1">
      <c r="B117" s="1212"/>
      <c r="C117" s="1206" t="s">
        <v>1056</v>
      </c>
      <c r="D117" s="1216" t="s">
        <v>1065</v>
      </c>
      <c r="E117" s="1206" t="str">
        <f>INDEX(IPCC[Sector_description], MATCH([IPCC Sector], IPCC[Sector_code], 0))</f>
        <v>Fuel Combustion</v>
      </c>
      <c r="F117" s="1218">
        <f ca="1">F$91</f>
        <v>1.8436162606187682E-2</v>
      </c>
      <c r="G117" s="1218">
        <f t="shared" ref="G117:O117" ca="1" si="23">G$91</f>
        <v>1.7440897076303603E-2</v>
      </c>
      <c r="H117" s="1218">
        <f t="shared" ca="1" si="23"/>
        <v>1.6559260035288102E-2</v>
      </c>
      <c r="I117" s="1218">
        <f t="shared" ca="1" si="23"/>
        <v>1.5760927707292011E-2</v>
      </c>
      <c r="J117" s="1218">
        <f t="shared" ca="1" si="23"/>
        <v>1.5126765182794258E-2</v>
      </c>
      <c r="K117" s="1218">
        <f t="shared" ca="1" si="23"/>
        <v>1.4623012430495181E-2</v>
      </c>
      <c r="L117" s="1218">
        <f t="shared" ca="1" si="23"/>
        <v>1.4222851863375775E-2</v>
      </c>
      <c r="M117" s="1218">
        <f t="shared" ca="1" si="23"/>
        <v>1.3904980687989605E-2</v>
      </c>
      <c r="N117" s="1218">
        <f t="shared" ca="1" si="23"/>
        <v>1.3652476837176053E-2</v>
      </c>
      <c r="O117" s="1218">
        <f t="shared" ca="1" si="23"/>
        <v>1.3451898113426678E-2</v>
      </c>
      <c r="P117" s="1211"/>
    </row>
    <row r="118" spans="2:16" ht="15.75" hidden="1" outlineLevel="1">
      <c r="B118" s="1212"/>
      <c r="C118" s="1206" t="s">
        <v>1057</v>
      </c>
      <c r="D118" s="1216" t="s">
        <v>1065</v>
      </c>
      <c r="E118" s="1206" t="str">
        <f>INDEX(IPCC[Sector_description], MATCH([IPCC Sector], IPCC[Sector_code], 0))</f>
        <v>Fuel Combustion</v>
      </c>
      <c r="F118" s="1218">
        <f ca="1">F$92</f>
        <v>0.2540812001173906</v>
      </c>
      <c r="G118" s="1218">
        <f t="shared" ref="G118:O118" ca="1" si="24">G$92</f>
        <v>0.2403647741088922</v>
      </c>
      <c r="H118" s="1218">
        <f t="shared" ca="1" si="24"/>
        <v>0.22821433899752142</v>
      </c>
      <c r="I118" s="1218">
        <f t="shared" ca="1" si="24"/>
        <v>0.21721198236167366</v>
      </c>
      <c r="J118" s="1218">
        <f t="shared" ca="1" si="24"/>
        <v>0.20847216059205098</v>
      </c>
      <c r="K118" s="1218">
        <f t="shared" ca="1" si="24"/>
        <v>0.20152960391143082</v>
      </c>
      <c r="L118" s="1218">
        <f t="shared" ca="1" si="24"/>
        <v>0.19601472105293236</v>
      </c>
      <c r="M118" s="1218">
        <f t="shared" ca="1" si="24"/>
        <v>0.19163392384203468</v>
      </c>
      <c r="N118" s="1218">
        <f t="shared" ca="1" si="24"/>
        <v>0.18815399784987419</v>
      </c>
      <c r="O118" s="1218">
        <f t="shared" ca="1" si="24"/>
        <v>0.18538968707995557</v>
      </c>
      <c r="P118" s="1211"/>
    </row>
    <row r="119" spans="2:16" ht="15.75" hidden="1" outlineLevel="1">
      <c r="B119" s="1212"/>
      <c r="C119" s="1206" t="s">
        <v>148</v>
      </c>
      <c r="D119" s="1206"/>
      <c r="E119" s="1206"/>
      <c r="F119" s="1278">
        <f>SUBTOTAL(109,[2007])</f>
        <v>0</v>
      </c>
      <c r="G119" s="1278">
        <f>SUBTOTAL(109,[2010])</f>
        <v>0</v>
      </c>
      <c r="H119" s="1278">
        <f>SUBTOTAL(109,[2015])</f>
        <v>0</v>
      </c>
      <c r="I119" s="1278">
        <f>SUBTOTAL(109,[2020])</f>
        <v>0</v>
      </c>
      <c r="J119" s="1278">
        <f>SUBTOTAL(109,[2025])</f>
        <v>0</v>
      </c>
      <c r="K119" s="1278">
        <f>SUBTOTAL(109,[2030])</f>
        <v>0</v>
      </c>
      <c r="L119" s="1278">
        <f>SUBTOTAL(109,[2035])</f>
        <v>0</v>
      </c>
      <c r="M119" s="1278">
        <f>SUBTOTAL(109,[2040])</f>
        <v>0</v>
      </c>
      <c r="N119" s="1278">
        <f>SUBTOTAL(109,[2045])</f>
        <v>0</v>
      </c>
      <c r="O119" s="1278">
        <f>SUBTOTAL(109,[2050])</f>
        <v>0</v>
      </c>
      <c r="P119" s="1211"/>
    </row>
    <row r="120" spans="2:16" ht="15.75" hidden="1" outlineLevel="1">
      <c r="B120" s="1212"/>
      <c r="C120" s="1202"/>
      <c r="D120" s="1202"/>
      <c r="E120" s="1202"/>
      <c r="F120" s="1202"/>
      <c r="G120" s="1202"/>
      <c r="H120" s="1202"/>
      <c r="I120" s="1202"/>
      <c r="J120" s="1202"/>
      <c r="K120" s="1202"/>
      <c r="L120" s="1202"/>
      <c r="M120" s="1202"/>
      <c r="N120" s="1202"/>
      <c r="O120" s="1202"/>
      <c r="P120" s="1211"/>
    </row>
    <row r="121" spans="2:16" hidden="1" outlineLevel="1"/>
  </sheetData>
  <pageMargins left="0.7" right="0.7" top="0.75" bottom="0.75" header="0.3" footer="0.3"/>
  <pageSetup paperSize="9" orientation="portrait" r:id="rId1"/>
  <ignoredErrors>
    <ignoredError sqref="F101 F103:F104 F106:F107" calculatedColumn="1"/>
  </ignoredErrors>
  <tableParts count="3">
    <tablePart r:id="rId2"/>
    <tablePart r:id="rId3"/>
    <tablePart r:id="rId4"/>
  </tableParts>
</worksheet>
</file>

<file path=xl/worksheets/sheet48.xml><?xml version="1.0" encoding="utf-8"?>
<worksheet xmlns="http://schemas.openxmlformats.org/spreadsheetml/2006/main" xmlns:r="http://schemas.openxmlformats.org/officeDocument/2006/relationships">
  <sheetPr codeName="Sheet17">
    <tabColor theme="9"/>
    <outlinePr summaryBelow="0"/>
    <pageSetUpPr autoPageBreaks="0"/>
  </sheetPr>
  <dimension ref="A1:R99"/>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42578125" style="121" customWidth="1"/>
    <col min="7" max="7" width="9.140625" style="121" customWidth="1"/>
    <col min="8" max="9" width="9.140625" style="121"/>
    <col min="10" max="10" width="9.28515625" style="121" bestFit="1" customWidth="1"/>
    <col min="11" max="15" width="9.140625" style="121"/>
    <col min="16" max="16" width="2" style="121" customWidth="1"/>
    <col min="17" max="16384" width="9.140625" style="121"/>
  </cols>
  <sheetData>
    <row r="1" spans="1:18" ht="21">
      <c r="A1" s="789" t="s">
        <v>969</v>
      </c>
      <c r="B1" s="789" t="str">
        <f>INDEX(Workstreams[Workstream], MATCH($A1, Workstreams[Code], 0))</f>
        <v>Fossil fuel production</v>
      </c>
      <c r="C1" s="789"/>
    </row>
    <row r="2" spans="1:18" s="743" customFormat="1" ht="19.5" customHeight="1">
      <c r="A2" s="10" t="s">
        <v>989</v>
      </c>
      <c r="B2" s="10" t="str">
        <f>INDEX(Modules[Module], MATCH($A2, Modules[Code], 0))</f>
        <v>Indigenous fossil-fuel production</v>
      </c>
      <c r="C2" s="10"/>
    </row>
    <row r="4" spans="1:18" s="743" customFormat="1" ht="22.5" collapsed="1">
      <c r="A4" s="1170"/>
      <c r="B4" s="1236" t="s">
        <v>786</v>
      </c>
      <c r="C4" s="1167"/>
      <c r="D4" s="1167"/>
      <c r="E4" s="1167"/>
      <c r="F4" s="1167"/>
      <c r="G4" s="1167"/>
      <c r="H4" s="1167"/>
      <c r="I4" s="1167"/>
      <c r="J4" s="1167"/>
      <c r="K4" s="1167"/>
      <c r="L4" s="1167"/>
      <c r="M4" s="1167"/>
      <c r="N4" s="1167"/>
      <c r="O4" s="1167"/>
      <c r="P4" s="1168"/>
    </row>
    <row r="5" spans="1:18" hidden="1" outlineLevel="1">
      <c r="B5" s="1157"/>
      <c r="C5" s="864"/>
      <c r="D5" s="864"/>
      <c r="E5" s="864"/>
      <c r="F5" s="864"/>
      <c r="G5" s="864"/>
      <c r="H5" s="864"/>
      <c r="I5" s="864"/>
      <c r="J5" s="864"/>
      <c r="K5" s="864"/>
      <c r="L5" s="864"/>
      <c r="M5" s="864"/>
      <c r="N5" s="864"/>
      <c r="O5" s="864"/>
      <c r="P5" s="1158"/>
    </row>
    <row r="6" spans="1:18" hidden="1" outlineLevel="1">
      <c r="B6" s="1157"/>
      <c r="C6" s="866" t="s">
        <v>150</v>
      </c>
      <c r="D6" s="864"/>
      <c r="E6" s="867"/>
      <c r="F6" s="864"/>
      <c r="G6" s="864"/>
      <c r="H6" s="864"/>
      <c r="I6" s="864"/>
      <c r="J6" s="864"/>
      <c r="K6" s="864"/>
      <c r="L6" s="864"/>
      <c r="M6" s="864"/>
      <c r="N6" s="864"/>
      <c r="O6" s="867" t="str">
        <f>Preferences.EnergyUnits</f>
        <v>TWh</v>
      </c>
      <c r="P6" s="1158"/>
    </row>
    <row r="7" spans="1:18" ht="5.25" hidden="1" customHeight="1" outlineLevel="1">
      <c r="B7" s="1157"/>
      <c r="C7" s="864"/>
      <c r="D7" s="864"/>
      <c r="E7" s="864"/>
      <c r="F7" s="864"/>
      <c r="G7" s="864"/>
      <c r="H7" s="864"/>
      <c r="I7" s="864"/>
      <c r="J7" s="864"/>
      <c r="K7" s="864"/>
      <c r="L7" s="864"/>
      <c r="M7" s="864"/>
      <c r="N7" s="864"/>
      <c r="O7" s="864"/>
      <c r="P7" s="1158"/>
    </row>
    <row r="8" spans="1:18" ht="15.75" hidden="1" outlineLevel="1">
      <c r="B8" s="1159"/>
      <c r="C8" s="766" t="s">
        <v>78</v>
      </c>
      <c r="D8" s="766" t="s">
        <v>418</v>
      </c>
      <c r="E8" s="766" t="s">
        <v>442</v>
      </c>
      <c r="F8" s="923">
        <v>2007</v>
      </c>
      <c r="G8" s="924">
        <v>2010</v>
      </c>
      <c r="H8" s="923">
        <v>2015</v>
      </c>
      <c r="I8" s="923">
        <v>2020</v>
      </c>
      <c r="J8" s="923">
        <v>2025</v>
      </c>
      <c r="K8" s="923">
        <v>2030</v>
      </c>
      <c r="L8" s="923">
        <v>2035</v>
      </c>
      <c r="M8" s="923">
        <v>2040</v>
      </c>
      <c r="N8" s="923">
        <v>2045</v>
      </c>
      <c r="O8" s="923">
        <v>2050</v>
      </c>
      <c r="P8" s="1158"/>
    </row>
    <row r="9" spans="1:18" ht="15.75" hidden="1" outlineLevel="1">
      <c r="B9" s="1159"/>
      <c r="C9" s="1084" t="s">
        <v>64</v>
      </c>
      <c r="D9" s="1084" t="str">
        <f>INDEX(Vectors[Description], MATCH($C9, Vectors[Code], 0))</f>
        <v>Coal and fossil waste</v>
      </c>
      <c r="E9" s="1084" t="s">
        <v>109</v>
      </c>
      <c r="F9" s="1091">
        <f>'DUKES 09 (1.2)'!$B$5*Unit.ktoe</f>
        <v>124.39544583847987</v>
      </c>
      <c r="G9" s="857">
        <f>$F9</f>
        <v>124.39544583847987</v>
      </c>
      <c r="H9" s="1091">
        <f t="shared" ref="H9:O9" si="0">$F9</f>
        <v>124.39544583847987</v>
      </c>
      <c r="I9" s="1091">
        <f t="shared" si="0"/>
        <v>124.39544583847987</v>
      </c>
      <c r="J9" s="1091">
        <f t="shared" si="0"/>
        <v>124.39544583847987</v>
      </c>
      <c r="K9" s="1091">
        <f t="shared" si="0"/>
        <v>124.39544583847987</v>
      </c>
      <c r="L9" s="1091">
        <f t="shared" si="0"/>
        <v>124.39544583847987</v>
      </c>
      <c r="M9" s="1091">
        <f t="shared" si="0"/>
        <v>124.39544583847987</v>
      </c>
      <c r="N9" s="1091">
        <f t="shared" si="0"/>
        <v>124.39544583847987</v>
      </c>
      <c r="O9" s="1091">
        <f t="shared" si="0"/>
        <v>124.39544583847987</v>
      </c>
      <c r="P9" s="1158"/>
      <c r="R9" s="1078"/>
    </row>
    <row r="10" spans="1:18" ht="15.75" hidden="1" outlineLevel="1">
      <c r="B10" s="1159"/>
      <c r="C10" s="1084" t="s">
        <v>65</v>
      </c>
      <c r="D10" s="1084" t="str">
        <f>INDEX(Vectors[Description], MATCH($C10, Vectors[Code], 0))</f>
        <v>Oil and petroleum products</v>
      </c>
      <c r="E10" s="1084" t="s">
        <v>109</v>
      </c>
      <c r="F10" s="1091">
        <f>'DUKES 09 (1.2)'!$D$5*Unit.ktoe</f>
        <v>975.89120834979803</v>
      </c>
      <c r="G10" s="857">
        <f>(64.3*1000000*1000)*Constants.GCV.CrudeOil</f>
        <v>815.4323959706519</v>
      </c>
      <c r="H10" s="1091">
        <f>(52.4*1000000*1000)*Constants.GCV.CrudeOil</f>
        <v>664.52033513004915</v>
      </c>
      <c r="I10" s="1091">
        <f>H10*(1-0.045)^(I$8-H$8)</f>
        <v>527.86775447758896</v>
      </c>
      <c r="J10" s="1091">
        <f t="shared" ref="J10:O10" si="1">I10*(1-0.045)^(J$8-I$8)</f>
        <v>419.31653778914142</v>
      </c>
      <c r="K10" s="1091">
        <f t="shared" si="1"/>
        <v>333.08789440544865</v>
      </c>
      <c r="L10" s="1091">
        <f t="shared" si="1"/>
        <v>264.59138956080642</v>
      </c>
      <c r="M10" s="1091">
        <f t="shared" si="1"/>
        <v>210.18056977027507</v>
      </c>
      <c r="N10" s="1091">
        <f t="shared" si="1"/>
        <v>166.95884163987617</v>
      </c>
      <c r="O10" s="1091">
        <f t="shared" si="1"/>
        <v>132.62526993906516</v>
      </c>
      <c r="P10" s="1158"/>
    </row>
    <row r="11" spans="1:18" ht="15.75" hidden="1" outlineLevel="1">
      <c r="B11" s="1159"/>
      <c r="C11" s="1081" t="s">
        <v>66</v>
      </c>
      <c r="D11" s="1082" t="str">
        <f>INDEX(Vectors[Description], MATCH($C11, Vectors[Code], 0))</f>
        <v>Natural gas</v>
      </c>
      <c r="E11" s="1082" t="s">
        <v>109</v>
      </c>
      <c r="F11" s="782">
        <f>'DUKES 09 (1.2)'!$F$5*Unit.ktoe</f>
        <v>838.80929321419171</v>
      </c>
      <c r="G11" s="1079">
        <f>(57.9*1000000000)*Constants.GCV.NaturalGasProduced</f>
        <v>637.88198465125163</v>
      </c>
      <c r="H11" s="782">
        <f>(46.2*1000000000)*Constants.GCV.NaturalGasProduced</f>
        <v>508.98355251965154</v>
      </c>
      <c r="I11" s="782">
        <f>H11*(1-0.045)^(I$8-H$8)</f>
        <v>404.31570071063896</v>
      </c>
      <c r="J11" s="782">
        <f t="shared" ref="J11:O11" si="2">I11*(1-0.045)^(J$8-I$8)</f>
        <v>321.17184343559597</v>
      </c>
      <c r="K11" s="782">
        <f t="shared" si="2"/>
        <v>255.12576641104135</v>
      </c>
      <c r="L11" s="782">
        <f t="shared" si="2"/>
        <v>202.66146618133868</v>
      </c>
      <c r="M11" s="782">
        <f t="shared" si="2"/>
        <v>160.98597351628524</v>
      </c>
      <c r="N11" s="782">
        <f t="shared" si="2"/>
        <v>127.88066797955751</v>
      </c>
      <c r="O11" s="782">
        <f t="shared" si="2"/>
        <v>101.5831683077875</v>
      </c>
      <c r="P11" s="1158"/>
    </row>
    <row r="12" spans="1:18" ht="15.75" hidden="1" outlineLevel="1">
      <c r="B12" s="1159"/>
      <c r="C12" s="775"/>
      <c r="D12" s="775"/>
      <c r="E12" s="775"/>
      <c r="F12" s="885"/>
      <c r="G12" s="885"/>
      <c r="H12" s="885"/>
      <c r="I12" s="885"/>
      <c r="J12" s="885"/>
      <c r="K12" s="885"/>
      <c r="L12" s="885"/>
      <c r="M12" s="885"/>
      <c r="N12" s="885"/>
      <c r="O12" s="885"/>
      <c r="P12" s="1158"/>
    </row>
    <row r="13" spans="1:18" ht="15.75" hidden="1" outlineLevel="1">
      <c r="B13" s="1159"/>
      <c r="C13" s="866" t="s">
        <v>996</v>
      </c>
      <c r="D13" s="864"/>
      <c r="E13" s="867"/>
      <c r="F13" s="864"/>
      <c r="G13" s="864"/>
      <c r="H13" s="864"/>
      <c r="I13" s="864"/>
      <c r="J13" s="864"/>
      <c r="K13" s="864"/>
      <c r="L13" s="864"/>
      <c r="M13" s="864"/>
      <c r="N13" s="864"/>
      <c r="O13" s="867" t="s">
        <v>1583</v>
      </c>
      <c r="P13" s="1158"/>
    </row>
    <row r="14" spans="1:18" ht="5.25" hidden="1" customHeight="1" outlineLevel="1">
      <c r="B14" s="1159"/>
      <c r="C14" s="864"/>
      <c r="D14" s="864"/>
      <c r="E14" s="864"/>
      <c r="F14" s="864"/>
      <c r="G14" s="864"/>
      <c r="H14" s="864"/>
      <c r="I14" s="864"/>
      <c r="J14" s="864"/>
      <c r="K14" s="864"/>
      <c r="L14" s="864"/>
      <c r="M14" s="864"/>
      <c r="N14" s="864"/>
      <c r="O14" s="864"/>
      <c r="P14" s="1158"/>
    </row>
    <row r="15" spans="1:18" ht="15.75" hidden="1" outlineLevel="1">
      <c r="B15" s="1159"/>
      <c r="C15" s="766" t="s">
        <v>78</v>
      </c>
      <c r="D15" s="766" t="s">
        <v>418</v>
      </c>
      <c r="E15" s="766" t="s">
        <v>442</v>
      </c>
      <c r="F15" s="923">
        <v>2007</v>
      </c>
      <c r="G15" s="924">
        <v>2010</v>
      </c>
      <c r="H15" s="923">
        <v>2015</v>
      </c>
      <c r="I15" s="923">
        <v>2020</v>
      </c>
      <c r="J15" s="923">
        <v>2025</v>
      </c>
      <c r="K15" s="923">
        <v>2030</v>
      </c>
      <c r="L15" s="923">
        <v>2035</v>
      </c>
      <c r="M15" s="923">
        <v>2040</v>
      </c>
      <c r="N15" s="923">
        <v>2045</v>
      </c>
      <c r="O15" s="923">
        <v>2050</v>
      </c>
      <c r="P15" s="1158"/>
    </row>
    <row r="16" spans="1:18" ht="15.75" hidden="1" outlineLevel="1">
      <c r="B16" s="1159"/>
      <c r="C16" s="1084" t="s">
        <v>45</v>
      </c>
      <c r="D16" s="1084" t="str">
        <f>INDEX(Vectors[Description], MATCH($C16, Vectors[Code], 0))</f>
        <v>Electricity (delivered to end user)</v>
      </c>
      <c r="E16" s="1084" t="s">
        <v>118</v>
      </c>
      <c r="F16" s="1086">
        <f>-'2007 (Actual, frozen)'!$T$47/$F$9</f>
        <v>7.902444080144639E-3</v>
      </c>
      <c r="G16" s="1092">
        <f t="shared" ref="G16:O18" si="3">$F16</f>
        <v>7.902444080144639E-3</v>
      </c>
      <c r="H16" s="1086">
        <f t="shared" si="3"/>
        <v>7.902444080144639E-3</v>
      </c>
      <c r="I16" s="1086">
        <f t="shared" si="3"/>
        <v>7.902444080144639E-3</v>
      </c>
      <c r="J16" s="1086">
        <f t="shared" si="3"/>
        <v>7.902444080144639E-3</v>
      </c>
      <c r="K16" s="1086">
        <f t="shared" si="3"/>
        <v>7.902444080144639E-3</v>
      </c>
      <c r="L16" s="1086">
        <f t="shared" si="3"/>
        <v>7.902444080144639E-3</v>
      </c>
      <c r="M16" s="1086">
        <f t="shared" si="3"/>
        <v>7.902444080144639E-3</v>
      </c>
      <c r="N16" s="1086">
        <f t="shared" si="3"/>
        <v>7.902444080144639E-3</v>
      </c>
      <c r="O16" s="1086">
        <f t="shared" si="3"/>
        <v>7.902444080144639E-3</v>
      </c>
      <c r="P16" s="1158"/>
    </row>
    <row r="17" spans="2:16" ht="15.75" hidden="1" outlineLevel="1">
      <c r="B17" s="1159"/>
      <c r="C17" s="832" t="s">
        <v>47</v>
      </c>
      <c r="D17" s="1084" t="str">
        <f>INDEX(Vectors[Description], MATCH($C17, Vectors[Code], 0))</f>
        <v>Solid hydrocarbons</v>
      </c>
      <c r="E17" s="1084" t="s">
        <v>118</v>
      </c>
      <c r="F17" s="1086">
        <f>-'2007 (Actual, frozen)'!$V$47/$F$9</f>
        <v>3.5927740561994786E-4</v>
      </c>
      <c r="G17" s="1092">
        <f t="shared" si="3"/>
        <v>3.5927740561994786E-4</v>
      </c>
      <c r="H17" s="1086">
        <f t="shared" si="3"/>
        <v>3.5927740561994786E-4</v>
      </c>
      <c r="I17" s="1086">
        <f t="shared" si="3"/>
        <v>3.5927740561994786E-4</v>
      </c>
      <c r="J17" s="1086">
        <f t="shared" si="3"/>
        <v>3.5927740561994786E-4</v>
      </c>
      <c r="K17" s="1086">
        <f t="shared" si="3"/>
        <v>3.5927740561994786E-4</v>
      </c>
      <c r="L17" s="1086">
        <f t="shared" si="3"/>
        <v>3.5927740561994786E-4</v>
      </c>
      <c r="M17" s="1086">
        <f t="shared" si="3"/>
        <v>3.5927740561994786E-4</v>
      </c>
      <c r="N17" s="1086">
        <f t="shared" si="3"/>
        <v>3.5927740561994786E-4</v>
      </c>
      <c r="O17" s="1086">
        <f t="shared" si="3"/>
        <v>3.5927740561994786E-4</v>
      </c>
      <c r="P17" s="1158"/>
    </row>
    <row r="18" spans="2:16" ht="15.75" hidden="1" outlineLevel="1">
      <c r="B18" s="1159"/>
      <c r="C18" s="1081" t="s">
        <v>50</v>
      </c>
      <c r="D18" s="1082" t="str">
        <f>INDEX(Vectors[Description], MATCH($C18, Vectors[Code], 0))</f>
        <v>Gaseous hydrocarbons</v>
      </c>
      <c r="E18" s="1082" t="s">
        <v>118</v>
      </c>
      <c r="F18" s="778">
        <f>-'2007 (Actual, frozen)'!$X$47/$F$9</f>
        <v>7.315380349065038E-4</v>
      </c>
      <c r="G18" s="1093">
        <f t="shared" si="3"/>
        <v>7.315380349065038E-4</v>
      </c>
      <c r="H18" s="778">
        <f t="shared" si="3"/>
        <v>7.315380349065038E-4</v>
      </c>
      <c r="I18" s="778">
        <f t="shared" si="3"/>
        <v>7.315380349065038E-4</v>
      </c>
      <c r="J18" s="778">
        <f t="shared" si="3"/>
        <v>7.315380349065038E-4</v>
      </c>
      <c r="K18" s="778">
        <f t="shared" si="3"/>
        <v>7.315380349065038E-4</v>
      </c>
      <c r="L18" s="778">
        <f t="shared" si="3"/>
        <v>7.315380349065038E-4</v>
      </c>
      <c r="M18" s="778">
        <f t="shared" si="3"/>
        <v>7.315380349065038E-4</v>
      </c>
      <c r="N18" s="778">
        <f t="shared" si="3"/>
        <v>7.315380349065038E-4</v>
      </c>
      <c r="O18" s="778">
        <f t="shared" si="3"/>
        <v>7.315380349065038E-4</v>
      </c>
      <c r="P18" s="1158"/>
    </row>
    <row r="19" spans="2:16" hidden="1" outlineLevel="1">
      <c r="B19" s="1163"/>
      <c r="C19" s="831"/>
      <c r="D19" s="832"/>
      <c r="E19" s="832"/>
      <c r="F19" s="919"/>
      <c r="G19" s="1080"/>
      <c r="H19" s="919"/>
      <c r="I19" s="919"/>
      <c r="J19" s="919"/>
      <c r="K19" s="919"/>
      <c r="L19" s="919"/>
      <c r="M19" s="919"/>
      <c r="N19" s="919"/>
      <c r="O19" s="919"/>
      <c r="P19" s="1158"/>
    </row>
    <row r="20" spans="2:16" hidden="1" outlineLevel="1">
      <c r="B20" s="1163"/>
      <c r="C20" s="866" t="s">
        <v>994</v>
      </c>
      <c r="D20" s="864"/>
      <c r="E20" s="867"/>
      <c r="F20" s="864"/>
      <c r="G20" s="864"/>
      <c r="H20" s="864"/>
      <c r="I20" s="864"/>
      <c r="J20" s="864"/>
      <c r="K20" s="864"/>
      <c r="L20" s="864"/>
      <c r="M20" s="864"/>
      <c r="N20" s="864"/>
      <c r="O20" s="867" t="s">
        <v>1583</v>
      </c>
      <c r="P20" s="1158"/>
    </row>
    <row r="21" spans="2:16" ht="5.25" hidden="1" customHeight="1" outlineLevel="1">
      <c r="B21" s="1163"/>
      <c r="C21" s="864"/>
      <c r="D21" s="864"/>
      <c r="E21" s="864"/>
      <c r="F21" s="864"/>
      <c r="G21" s="864"/>
      <c r="H21" s="864"/>
      <c r="I21" s="864"/>
      <c r="J21" s="864"/>
      <c r="K21" s="864"/>
      <c r="L21" s="864"/>
      <c r="M21" s="864"/>
      <c r="N21" s="864"/>
      <c r="O21" s="864"/>
      <c r="P21" s="1158"/>
    </row>
    <row r="22" spans="2:16" ht="15.75" hidden="1" outlineLevel="1">
      <c r="B22" s="1159"/>
      <c r="C22" s="766" t="s">
        <v>78</v>
      </c>
      <c r="D22" s="766" t="s">
        <v>418</v>
      </c>
      <c r="E22" s="766" t="s">
        <v>442</v>
      </c>
      <c r="F22" s="771" t="s">
        <v>691</v>
      </c>
      <c r="G22" s="772" t="s">
        <v>692</v>
      </c>
      <c r="H22" s="771" t="s">
        <v>721</v>
      </c>
      <c r="I22" s="771" t="s">
        <v>722</v>
      </c>
      <c r="J22" s="771" t="s">
        <v>723</v>
      </c>
      <c r="K22" s="771" t="s">
        <v>724</v>
      </c>
      <c r="L22" s="771" t="s">
        <v>725</v>
      </c>
      <c r="M22" s="771" t="s">
        <v>726</v>
      </c>
      <c r="N22" s="771" t="s">
        <v>727</v>
      </c>
      <c r="O22" s="771" t="s">
        <v>728</v>
      </c>
      <c r="P22" s="1158"/>
    </row>
    <row r="23" spans="2:16" ht="15.75" hidden="1" outlineLevel="1">
      <c r="B23" s="1159"/>
      <c r="C23" s="1084" t="s">
        <v>45</v>
      </c>
      <c r="D23" s="1084" t="str">
        <f>INDEX(Vectors[Description], MATCH($C23, Vectors[Code], 0))</f>
        <v>Electricity (delivered to end user)</v>
      </c>
      <c r="E23" s="1084" t="s">
        <v>117</v>
      </c>
      <c r="F23" s="1086">
        <f>-'2007 (Actual, frozen)'!$T$46/$F$10</f>
        <v>5.7422811010645301E-4</v>
      </c>
      <c r="G23" s="1092">
        <f t="shared" ref="G23:O24" si="4">$F23</f>
        <v>5.7422811010645301E-4</v>
      </c>
      <c r="H23" s="1086">
        <f t="shared" si="4"/>
        <v>5.7422811010645301E-4</v>
      </c>
      <c r="I23" s="1086">
        <f t="shared" si="4"/>
        <v>5.7422811010645301E-4</v>
      </c>
      <c r="J23" s="1086">
        <f t="shared" si="4"/>
        <v>5.7422811010645301E-4</v>
      </c>
      <c r="K23" s="1086">
        <f t="shared" si="4"/>
        <v>5.7422811010645301E-4</v>
      </c>
      <c r="L23" s="1086">
        <f t="shared" si="4"/>
        <v>5.7422811010645301E-4</v>
      </c>
      <c r="M23" s="1086">
        <f t="shared" si="4"/>
        <v>5.7422811010645301E-4</v>
      </c>
      <c r="N23" s="1086">
        <f t="shared" si="4"/>
        <v>5.7422811010645301E-4</v>
      </c>
      <c r="O23" s="1086">
        <f t="shared" si="4"/>
        <v>5.7422811010645301E-4</v>
      </c>
      <c r="P23" s="1158"/>
    </row>
    <row r="24" spans="2:16" ht="15.75" hidden="1" outlineLevel="1">
      <c r="B24" s="1159"/>
      <c r="C24" s="1081" t="s">
        <v>50</v>
      </c>
      <c r="D24" s="1082" t="str">
        <f>INDEX(Vectors[Description], MATCH($C24, Vectors[Code], 0))</f>
        <v>Gaseous hydrocarbons</v>
      </c>
      <c r="E24" s="1082" t="s">
        <v>117</v>
      </c>
      <c r="F24" s="778">
        <f>-'2007 (Actual, frozen)'!$X$46/XV.b!$F$10</f>
        <v>6.5816549762543752E-2</v>
      </c>
      <c r="G24" s="1093">
        <f t="shared" si="4"/>
        <v>6.5816549762543752E-2</v>
      </c>
      <c r="H24" s="778">
        <f t="shared" si="4"/>
        <v>6.5816549762543752E-2</v>
      </c>
      <c r="I24" s="778">
        <f t="shared" si="4"/>
        <v>6.5816549762543752E-2</v>
      </c>
      <c r="J24" s="778">
        <f t="shared" si="4"/>
        <v>6.5816549762543752E-2</v>
      </c>
      <c r="K24" s="778">
        <f t="shared" si="4"/>
        <v>6.5816549762543752E-2</v>
      </c>
      <c r="L24" s="778">
        <f t="shared" si="4"/>
        <v>6.5816549762543752E-2</v>
      </c>
      <c r="M24" s="778">
        <f t="shared" si="4"/>
        <v>6.5816549762543752E-2</v>
      </c>
      <c r="N24" s="778">
        <f t="shared" si="4"/>
        <v>6.5816549762543752E-2</v>
      </c>
      <c r="O24" s="778">
        <f t="shared" si="4"/>
        <v>6.5816549762543752E-2</v>
      </c>
      <c r="P24" s="1158"/>
    </row>
    <row r="25" spans="2:16" ht="15.75" hidden="1" outlineLevel="1">
      <c r="B25" s="1159"/>
      <c r="C25" s="831"/>
      <c r="D25" s="832"/>
      <c r="E25" s="832"/>
      <c r="F25" s="919"/>
      <c r="G25" s="1080"/>
      <c r="H25" s="919"/>
      <c r="I25" s="919"/>
      <c r="J25" s="919"/>
      <c r="K25" s="919"/>
      <c r="L25" s="919"/>
      <c r="M25" s="919"/>
      <c r="N25" s="919"/>
      <c r="O25" s="919"/>
      <c r="P25" s="1158"/>
    </row>
    <row r="26" spans="2:16" ht="15.75" hidden="1" outlineLevel="1">
      <c r="B26" s="1159"/>
      <c r="C26" s="866" t="s">
        <v>1201</v>
      </c>
      <c r="D26" s="864"/>
      <c r="E26" s="867"/>
      <c r="F26" s="867" t="s">
        <v>1203</v>
      </c>
      <c r="G26" s="1080"/>
      <c r="H26" s="919"/>
      <c r="I26" s="919"/>
      <c r="J26" s="919"/>
      <c r="K26" s="919"/>
      <c r="L26" s="919"/>
      <c r="M26" s="919"/>
      <c r="N26" s="919"/>
      <c r="O26" s="919"/>
      <c r="P26" s="1158"/>
    </row>
    <row r="27" spans="2:16" ht="5.25" hidden="1" customHeight="1" outlineLevel="1">
      <c r="B27" s="1159"/>
      <c r="C27" s="864"/>
      <c r="D27" s="864"/>
      <c r="E27" s="864"/>
      <c r="F27" s="864"/>
      <c r="G27" s="1080"/>
      <c r="H27" s="919"/>
      <c r="I27" s="919"/>
      <c r="J27" s="919"/>
      <c r="K27" s="919"/>
      <c r="L27" s="919"/>
      <c r="M27" s="919"/>
      <c r="N27" s="919"/>
      <c r="O27" s="919"/>
      <c r="P27" s="1158"/>
    </row>
    <row r="28" spans="2:16" ht="15.75" hidden="1" outlineLevel="1">
      <c r="B28" s="1159"/>
      <c r="C28" s="766" t="s">
        <v>78</v>
      </c>
      <c r="D28" s="766" t="s">
        <v>418</v>
      </c>
      <c r="E28" s="766" t="s">
        <v>442</v>
      </c>
      <c r="F28" s="923">
        <v>2007</v>
      </c>
      <c r="G28" s="1080"/>
      <c r="H28" s="919"/>
      <c r="I28" s="919"/>
      <c r="J28" s="919"/>
      <c r="K28" s="919"/>
      <c r="L28" s="919"/>
      <c r="M28" s="919"/>
      <c r="N28" s="919"/>
      <c r="O28" s="919"/>
      <c r="P28" s="1158"/>
    </row>
    <row r="29" spans="2:16" ht="15.75" hidden="1" outlineLevel="1">
      <c r="B29" s="1159"/>
      <c r="C29" s="832" t="s">
        <v>1181</v>
      </c>
      <c r="D29" s="832" t="s">
        <v>1202</v>
      </c>
      <c r="E29" s="832" t="s">
        <v>440</v>
      </c>
      <c r="F29" s="1091">
        <v>0.12572918863103702</v>
      </c>
      <c r="G29" s="1080"/>
      <c r="H29" s="847"/>
      <c r="I29" s="919"/>
      <c r="J29" s="919"/>
      <c r="K29" s="919"/>
      <c r="L29" s="919"/>
      <c r="M29" s="919"/>
      <c r="N29" s="919"/>
      <c r="O29" s="919"/>
      <c r="P29" s="1158"/>
    </row>
    <row r="30" spans="2:16" ht="15.75" hidden="1" outlineLevel="1">
      <c r="B30" s="1159"/>
      <c r="C30" s="769" t="s">
        <v>1205</v>
      </c>
      <c r="D30" s="770" t="s">
        <v>1206</v>
      </c>
      <c r="E30" s="770" t="s">
        <v>440</v>
      </c>
      <c r="F30" s="782">
        <v>5.0916819860234304</v>
      </c>
      <c r="G30" s="1080"/>
      <c r="H30" s="919"/>
      <c r="I30" s="919"/>
      <c r="J30" s="919"/>
      <c r="K30" s="919"/>
      <c r="L30" s="919"/>
      <c r="M30" s="919"/>
      <c r="N30" s="919"/>
      <c r="O30" s="919"/>
      <c r="P30" s="1158"/>
    </row>
    <row r="31" spans="2:16" ht="15.75" hidden="1" outlineLevel="1">
      <c r="B31" s="1159"/>
      <c r="C31" s="831"/>
      <c r="D31" s="832"/>
      <c r="E31" s="832"/>
      <c r="F31" s="919"/>
      <c r="G31" s="1080"/>
      <c r="H31" s="919"/>
      <c r="I31" s="919"/>
      <c r="J31" s="919"/>
      <c r="K31" s="919"/>
      <c r="L31" s="919"/>
      <c r="M31" s="919"/>
      <c r="N31" s="919"/>
      <c r="O31" s="919"/>
      <c r="P31" s="1158"/>
    </row>
    <row r="32" spans="2:16" hidden="1" outlineLevel="1">
      <c r="B32" s="1163"/>
      <c r="C32" s="864" t="s">
        <v>717</v>
      </c>
      <c r="D32" s="868"/>
      <c r="E32" s="864"/>
      <c r="F32" s="864"/>
      <c r="G32" s="864"/>
      <c r="H32" s="864"/>
      <c r="I32" s="864"/>
      <c r="J32" s="864"/>
      <c r="K32" s="864"/>
      <c r="L32" s="864"/>
      <c r="M32" s="864"/>
      <c r="N32" s="864"/>
      <c r="O32" s="864"/>
      <c r="P32" s="1158"/>
    </row>
    <row r="33" spans="2:16" s="715" customFormat="1" ht="10.5" hidden="1" outlineLevel="1">
      <c r="B33" s="1225"/>
      <c r="C33" s="1251" t="s">
        <v>109</v>
      </c>
      <c r="D33" s="1255" t="s">
        <v>1039</v>
      </c>
      <c r="E33" s="1228"/>
      <c r="F33" s="1228"/>
      <c r="G33" s="1228"/>
      <c r="H33" s="1228"/>
      <c r="I33" s="1228"/>
      <c r="J33" s="1228"/>
      <c r="K33" s="1228"/>
      <c r="L33" s="1228"/>
      <c r="M33" s="1228"/>
      <c r="N33" s="1228"/>
      <c r="O33" s="1228"/>
      <c r="P33" s="1229"/>
    </row>
    <row r="34" spans="2:16" s="715" customFormat="1" ht="10.5" hidden="1" outlineLevel="1">
      <c r="B34" s="1225"/>
      <c r="C34" s="1251"/>
      <c r="D34" s="1255" t="s">
        <v>1040</v>
      </c>
      <c r="E34" s="1228"/>
      <c r="F34" s="1228"/>
      <c r="G34" s="1228"/>
      <c r="H34" s="1228"/>
      <c r="I34" s="1228"/>
      <c r="J34" s="1228"/>
      <c r="K34" s="1228"/>
      <c r="L34" s="1228"/>
      <c r="M34" s="1228"/>
      <c r="N34" s="1228"/>
      <c r="O34" s="1228"/>
      <c r="P34" s="1229"/>
    </row>
    <row r="35" spans="2:16" s="715" customFormat="1" ht="10.5" hidden="1" outlineLevel="1">
      <c r="B35" s="1225"/>
      <c r="C35" s="1251"/>
      <c r="D35" s="1255" t="s">
        <v>1041</v>
      </c>
      <c r="E35" s="1228"/>
      <c r="F35" s="1228"/>
      <c r="G35" s="1228"/>
      <c r="H35" s="1228"/>
      <c r="I35" s="1228"/>
      <c r="J35" s="1228"/>
      <c r="K35" s="1228"/>
      <c r="L35" s="1228"/>
      <c r="M35" s="1228"/>
      <c r="N35" s="1228"/>
      <c r="O35" s="1228"/>
      <c r="P35" s="1229"/>
    </row>
    <row r="36" spans="2:16" s="715" customFormat="1" ht="10.5" hidden="1" outlineLevel="1">
      <c r="B36" s="1225"/>
      <c r="C36" s="1251"/>
      <c r="D36" s="1255"/>
      <c r="E36" s="1228"/>
      <c r="F36" s="1228"/>
      <c r="G36" s="1228"/>
      <c r="H36" s="1228"/>
      <c r="I36" s="1228"/>
      <c r="J36" s="1228"/>
      <c r="K36" s="1228"/>
      <c r="L36" s="1228"/>
      <c r="M36" s="1228"/>
      <c r="N36" s="1228"/>
      <c r="O36" s="1228"/>
      <c r="P36" s="1229"/>
    </row>
    <row r="37" spans="2:16" s="715" customFormat="1" ht="10.5" hidden="1" outlineLevel="1">
      <c r="B37" s="1225"/>
      <c r="C37" s="1251" t="s">
        <v>117</v>
      </c>
      <c r="D37" s="1255" t="s">
        <v>995</v>
      </c>
      <c r="E37" s="1228"/>
      <c r="F37" s="1228"/>
      <c r="G37" s="1228"/>
      <c r="H37" s="1228"/>
      <c r="I37" s="1228"/>
      <c r="J37" s="1228"/>
      <c r="K37" s="1228"/>
      <c r="L37" s="1228"/>
      <c r="M37" s="1228"/>
      <c r="N37" s="1228"/>
      <c r="O37" s="1228"/>
      <c r="P37" s="1229"/>
    </row>
    <row r="38" spans="2:16" s="715" customFormat="1" ht="10.5" hidden="1" outlineLevel="1">
      <c r="B38" s="1225"/>
      <c r="C38" s="1251" t="s">
        <v>118</v>
      </c>
      <c r="D38" s="1255" t="s">
        <v>997</v>
      </c>
      <c r="E38" s="1228"/>
      <c r="F38" s="1228"/>
      <c r="G38" s="1228"/>
      <c r="H38" s="1228"/>
      <c r="I38" s="1228"/>
      <c r="J38" s="1228"/>
      <c r="K38" s="1228"/>
      <c r="L38" s="1228"/>
      <c r="M38" s="1228"/>
      <c r="N38" s="1228"/>
      <c r="O38" s="1228"/>
      <c r="P38" s="1229"/>
    </row>
    <row r="39" spans="2:16" s="715" customFormat="1" ht="10.5" hidden="1" outlineLevel="1">
      <c r="B39" s="1225"/>
      <c r="C39" s="1251" t="s">
        <v>440</v>
      </c>
      <c r="D39" s="1255" t="s">
        <v>1207</v>
      </c>
      <c r="E39" s="1228"/>
      <c r="F39" s="1228"/>
      <c r="G39" s="1228"/>
      <c r="H39" s="1228"/>
      <c r="I39" s="1228"/>
      <c r="J39" s="1228"/>
      <c r="K39" s="1228"/>
      <c r="L39" s="1228"/>
      <c r="M39" s="1228"/>
      <c r="N39" s="1228"/>
      <c r="O39" s="1228"/>
      <c r="P39" s="1229"/>
    </row>
    <row r="40" spans="2:16" s="715" customFormat="1" ht="10.5" hidden="1" outlineLevel="1">
      <c r="B40" s="1225"/>
      <c r="C40" s="1251"/>
      <c r="D40" s="1255" t="s">
        <v>1204</v>
      </c>
      <c r="E40" s="1228"/>
      <c r="F40" s="1228"/>
      <c r="G40" s="1228"/>
      <c r="H40" s="1228"/>
      <c r="I40" s="1228"/>
      <c r="J40" s="1228"/>
      <c r="K40" s="1228"/>
      <c r="L40" s="1228"/>
      <c r="M40" s="1228"/>
      <c r="N40" s="1228"/>
      <c r="O40" s="1228"/>
      <c r="P40" s="1229"/>
    </row>
    <row r="41" spans="2:16" hidden="1" outlineLevel="1">
      <c r="B41" s="1164"/>
      <c r="C41" s="1165"/>
      <c r="D41" s="1165"/>
      <c r="E41" s="1165"/>
      <c r="F41" s="1165"/>
      <c r="G41" s="1165"/>
      <c r="H41" s="1165"/>
      <c r="I41" s="1165"/>
      <c r="J41" s="1165"/>
      <c r="K41" s="1165"/>
      <c r="L41" s="1165"/>
      <c r="M41" s="1165"/>
      <c r="N41" s="1165"/>
      <c r="O41" s="1165"/>
      <c r="P41" s="1166"/>
    </row>
    <row r="43" spans="2:16" ht="15.75" collapsed="1">
      <c r="B43" s="809" t="s">
        <v>732</v>
      </c>
    </row>
    <row r="44" spans="2:16" hidden="1" outlineLevel="1">
      <c r="B44" s="1094">
        <v>1</v>
      </c>
      <c r="C44" s="121" t="s">
        <v>1004</v>
      </c>
    </row>
    <row r="45" spans="2:16" hidden="1" outlineLevel="1">
      <c r="B45" s="1094">
        <v>2</v>
      </c>
      <c r="C45" s="121" t="s">
        <v>1005</v>
      </c>
    </row>
    <row r="46" spans="2:16" hidden="1" outlineLevel="1">
      <c r="B46" s="1094">
        <v>3</v>
      </c>
      <c r="C46" s="121" t="s">
        <v>1200</v>
      </c>
    </row>
    <row r="47" spans="2:16" hidden="1" outlineLevel="1"/>
    <row r="48" spans="2:16" hidden="1" outlineLevel="1">
      <c r="B48" s="121">
        <v>1</v>
      </c>
      <c r="C48" s="121" t="s">
        <v>1172</v>
      </c>
    </row>
    <row r="49" spans="2:15" hidden="1" outlineLevel="1">
      <c r="C49" s="731" t="s">
        <v>1006</v>
      </c>
      <c r="E49" s="121" t="str">
        <f>Preferences.EnergyUnits</f>
        <v>TWh</v>
      </c>
      <c r="F49" s="783">
        <f>F$9</f>
        <v>124.39544583847987</v>
      </c>
      <c r="G49" s="783">
        <f t="shared" ref="G49:O49" si="5">G$9</f>
        <v>124.39544583847987</v>
      </c>
      <c r="H49" s="783">
        <f t="shared" si="5"/>
        <v>124.39544583847987</v>
      </c>
      <c r="I49" s="783">
        <f t="shared" si="5"/>
        <v>124.39544583847987</v>
      </c>
      <c r="J49" s="783">
        <f t="shared" si="5"/>
        <v>124.39544583847987</v>
      </c>
      <c r="K49" s="783">
        <f t="shared" si="5"/>
        <v>124.39544583847987</v>
      </c>
      <c r="L49" s="783">
        <f t="shared" si="5"/>
        <v>124.39544583847987</v>
      </c>
      <c r="M49" s="783">
        <f t="shared" si="5"/>
        <v>124.39544583847987</v>
      </c>
      <c r="N49" s="783">
        <f t="shared" si="5"/>
        <v>124.39544583847987</v>
      </c>
      <c r="O49" s="783">
        <f t="shared" si="5"/>
        <v>124.39544583847987</v>
      </c>
    </row>
    <row r="50" spans="2:15" hidden="1" outlineLevel="1">
      <c r="B50" s="24"/>
      <c r="C50" s="121" t="s">
        <v>1007</v>
      </c>
      <c r="F50" s="823">
        <f t="shared" ref="F50:O50" si="6">F$49*F$16</f>
        <v>0.98302805456324838</v>
      </c>
      <c r="G50" s="823">
        <f t="shared" si="6"/>
        <v>0.98302805456324838</v>
      </c>
      <c r="H50" s="823">
        <f t="shared" si="6"/>
        <v>0.98302805456324838</v>
      </c>
      <c r="I50" s="823">
        <f t="shared" si="6"/>
        <v>0.98302805456324838</v>
      </c>
      <c r="J50" s="823">
        <f t="shared" si="6"/>
        <v>0.98302805456324838</v>
      </c>
      <c r="K50" s="823">
        <f t="shared" si="6"/>
        <v>0.98302805456324838</v>
      </c>
      <c r="L50" s="823">
        <f t="shared" si="6"/>
        <v>0.98302805456324838</v>
      </c>
      <c r="M50" s="823">
        <f t="shared" si="6"/>
        <v>0.98302805456324838</v>
      </c>
      <c r="N50" s="823">
        <f t="shared" si="6"/>
        <v>0.98302805456324838</v>
      </c>
      <c r="O50" s="823">
        <f t="shared" si="6"/>
        <v>0.98302805456324838</v>
      </c>
    </row>
    <row r="51" spans="2:15" hidden="1" outlineLevel="1">
      <c r="B51" s="24"/>
      <c r="C51" s="121" t="s">
        <v>1011</v>
      </c>
      <c r="F51" s="823">
        <f t="shared" ref="F51:O51" si="7">F$49*F$17</f>
        <v>4.4692473051785787E-2</v>
      </c>
      <c r="G51" s="823">
        <f t="shared" si="7"/>
        <v>4.4692473051785787E-2</v>
      </c>
      <c r="H51" s="823">
        <f t="shared" si="7"/>
        <v>4.4692473051785787E-2</v>
      </c>
      <c r="I51" s="823">
        <f t="shared" si="7"/>
        <v>4.4692473051785787E-2</v>
      </c>
      <c r="J51" s="823">
        <f t="shared" si="7"/>
        <v>4.4692473051785787E-2</v>
      </c>
      <c r="K51" s="823">
        <f t="shared" si="7"/>
        <v>4.4692473051785787E-2</v>
      </c>
      <c r="L51" s="823">
        <f t="shared" si="7"/>
        <v>4.4692473051785787E-2</v>
      </c>
      <c r="M51" s="823">
        <f t="shared" si="7"/>
        <v>4.4692473051785787E-2</v>
      </c>
      <c r="N51" s="823">
        <f t="shared" si="7"/>
        <v>4.4692473051785787E-2</v>
      </c>
      <c r="O51" s="823">
        <f t="shared" si="7"/>
        <v>4.4692473051785787E-2</v>
      </c>
    </row>
    <row r="52" spans="2:15" hidden="1" outlineLevel="1">
      <c r="B52" s="894"/>
      <c r="C52" s="121" t="s">
        <v>1008</v>
      </c>
      <c r="F52" s="823">
        <f t="shared" ref="F52:O52" si="8">F49*F$18</f>
        <v>9.0999999999999998E-2</v>
      </c>
      <c r="G52" s="823">
        <f t="shared" si="8"/>
        <v>9.0999999999999998E-2</v>
      </c>
      <c r="H52" s="823">
        <f t="shared" si="8"/>
        <v>9.0999999999999998E-2</v>
      </c>
      <c r="I52" s="823">
        <f t="shared" si="8"/>
        <v>9.0999999999999998E-2</v>
      </c>
      <c r="J52" s="823">
        <f t="shared" si="8"/>
        <v>9.0999999999999998E-2</v>
      </c>
      <c r="K52" s="823">
        <f t="shared" si="8"/>
        <v>9.0999999999999998E-2</v>
      </c>
      <c r="L52" s="823">
        <f t="shared" si="8"/>
        <v>9.0999999999999998E-2</v>
      </c>
      <c r="M52" s="823">
        <f t="shared" si="8"/>
        <v>9.0999999999999998E-2</v>
      </c>
      <c r="N52" s="823">
        <f t="shared" si="8"/>
        <v>9.0999999999999998E-2</v>
      </c>
      <c r="O52" s="823">
        <f t="shared" si="8"/>
        <v>9.0999999999999998E-2</v>
      </c>
    </row>
    <row r="53" spans="2:15" hidden="1" outlineLevel="1">
      <c r="F53" s="826"/>
      <c r="G53" s="826"/>
      <c r="H53" s="826"/>
      <c r="I53" s="826"/>
      <c r="J53" s="826"/>
      <c r="K53" s="826"/>
      <c r="L53" s="826"/>
      <c r="M53" s="826"/>
      <c r="N53" s="826"/>
      <c r="O53" s="826"/>
    </row>
    <row r="54" spans="2:15" hidden="1" outlineLevel="1">
      <c r="B54" s="121">
        <v>2</v>
      </c>
      <c r="C54" s="24" t="s">
        <v>1173</v>
      </c>
      <c r="F54" s="783"/>
      <c r="G54" s="783"/>
      <c r="H54" s="783"/>
      <c r="I54" s="783"/>
      <c r="J54" s="783"/>
      <c r="K54" s="783"/>
      <c r="L54" s="783"/>
      <c r="M54" s="783"/>
      <c r="N54" s="783"/>
      <c r="O54" s="783"/>
    </row>
    <row r="55" spans="2:15" hidden="1" outlineLevel="1">
      <c r="C55" s="731" t="s">
        <v>1009</v>
      </c>
      <c r="F55" s="783">
        <f>F$10</f>
        <v>975.89120834979803</v>
      </c>
      <c r="G55" s="783">
        <f t="shared" ref="G55:O55" si="9">G$10</f>
        <v>815.4323959706519</v>
      </c>
      <c r="H55" s="783">
        <f t="shared" si="9"/>
        <v>664.52033513004915</v>
      </c>
      <c r="I55" s="783">
        <f t="shared" si="9"/>
        <v>527.86775447758896</v>
      </c>
      <c r="J55" s="783">
        <f t="shared" si="9"/>
        <v>419.31653778914142</v>
      </c>
      <c r="K55" s="783">
        <f t="shared" si="9"/>
        <v>333.08789440544865</v>
      </c>
      <c r="L55" s="783">
        <f t="shared" si="9"/>
        <v>264.59138956080642</v>
      </c>
      <c r="M55" s="783">
        <f t="shared" si="9"/>
        <v>210.18056977027507</v>
      </c>
      <c r="N55" s="783">
        <f t="shared" si="9"/>
        <v>166.95884163987617</v>
      </c>
      <c r="O55" s="783">
        <f t="shared" si="9"/>
        <v>132.62526993906516</v>
      </c>
    </row>
    <row r="56" spans="2:15" hidden="1" outlineLevel="1">
      <c r="C56" s="731" t="s">
        <v>1010</v>
      </c>
      <c r="F56" s="783">
        <f>F$11</f>
        <v>838.80929321419171</v>
      </c>
      <c r="G56" s="783">
        <f t="shared" ref="G56:O56" si="10">G$11</f>
        <v>637.88198465125163</v>
      </c>
      <c r="H56" s="783">
        <f t="shared" si="10"/>
        <v>508.98355251965154</v>
      </c>
      <c r="I56" s="783">
        <f t="shared" si="10"/>
        <v>404.31570071063896</v>
      </c>
      <c r="J56" s="783">
        <f t="shared" si="10"/>
        <v>321.17184343559597</v>
      </c>
      <c r="K56" s="783">
        <f t="shared" si="10"/>
        <v>255.12576641104135</v>
      </c>
      <c r="L56" s="783">
        <f t="shared" si="10"/>
        <v>202.66146618133868</v>
      </c>
      <c r="M56" s="783">
        <f t="shared" si="10"/>
        <v>160.98597351628524</v>
      </c>
      <c r="N56" s="783">
        <f t="shared" si="10"/>
        <v>127.88066797955751</v>
      </c>
      <c r="O56" s="783">
        <f t="shared" si="10"/>
        <v>101.5831683077875</v>
      </c>
    </row>
    <row r="57" spans="2:15" hidden="1" outlineLevel="1">
      <c r="C57" s="121" t="s">
        <v>1007</v>
      </c>
      <c r="F57" s="823">
        <f t="shared" ref="F57:O57" si="11">F$55*F$23</f>
        <v>0.56038416424020732</v>
      </c>
      <c r="G57" s="823">
        <f t="shared" si="11"/>
        <v>0.46824420365780428</v>
      </c>
      <c r="H57" s="823">
        <f t="shared" si="11"/>
        <v>0.38158625616903491</v>
      </c>
      <c r="I57" s="823">
        <f t="shared" si="11"/>
        <v>0.30311650303980303</v>
      </c>
      <c r="J57" s="823">
        <f t="shared" si="11"/>
        <v>0.24078334303103976</v>
      </c>
      <c r="K57" s="823">
        <f t="shared" si="11"/>
        <v>0.19126843210377856</v>
      </c>
      <c r="L57" s="823">
        <f t="shared" si="11"/>
        <v>0.15193581357794214</v>
      </c>
      <c r="M57" s="823">
        <f t="shared" si="11"/>
        <v>0.12069159136028254</v>
      </c>
      <c r="N57" s="823">
        <f t="shared" si="11"/>
        <v>9.5872460100428672E-2</v>
      </c>
      <c r="O57" s="823">
        <f t="shared" si="11"/>
        <v>7.6157158109467563E-2</v>
      </c>
    </row>
    <row r="58" spans="2:15" hidden="1" outlineLevel="1">
      <c r="C58" s="121" t="s">
        <v>1008</v>
      </c>
      <c r="F58" s="823">
        <f t="shared" ref="F58:O58" si="12">F$55*F$24</f>
        <v>64.229792277183435</v>
      </c>
      <c r="G58" s="823">
        <f t="shared" si="12"/>
        <v>53.668946867392691</v>
      </c>
      <c r="H58" s="823">
        <f t="shared" si="12"/>
        <v>43.736435705309134</v>
      </c>
      <c r="I58" s="823">
        <f t="shared" si="12"/>
        <v>34.742434330616462</v>
      </c>
      <c r="J58" s="823">
        <f t="shared" si="12"/>
        <v>27.597967775656585</v>
      </c>
      <c r="K58" s="823">
        <f t="shared" si="12"/>
        <v>21.922695977437129</v>
      </c>
      <c r="L58" s="823">
        <f t="shared" si="12"/>
        <v>17.414492357769415</v>
      </c>
      <c r="M58" s="823">
        <f t="shared" si="12"/>
        <v>13.833359929405109</v>
      </c>
      <c r="N58" s="823">
        <f t="shared" si="12"/>
        <v>10.988654909087572</v>
      </c>
      <c r="O58" s="823">
        <f t="shared" si="12"/>
        <v>8.7289376787152797</v>
      </c>
    </row>
    <row r="59" spans="2:15" hidden="1" outlineLevel="1">
      <c r="F59" s="823"/>
      <c r="G59" s="823"/>
      <c r="H59" s="823"/>
      <c r="I59" s="823"/>
      <c r="J59" s="823"/>
      <c r="K59" s="823"/>
      <c r="L59" s="823"/>
      <c r="M59" s="823"/>
      <c r="N59" s="823"/>
      <c r="O59" s="823"/>
    </row>
    <row r="60" spans="2:15" hidden="1" outlineLevel="1">
      <c r="B60" s="121">
        <v>3</v>
      </c>
      <c r="C60" s="121" t="s">
        <v>1175</v>
      </c>
      <c r="F60" s="823"/>
      <c r="G60" s="823"/>
      <c r="H60" s="823"/>
      <c r="I60" s="823"/>
      <c r="J60" s="823"/>
      <c r="K60" s="823"/>
      <c r="L60" s="823"/>
      <c r="M60" s="823"/>
      <c r="N60" s="823"/>
      <c r="O60" s="823"/>
    </row>
    <row r="61" spans="2:15" ht="14.25" hidden="1" outlineLevel="1">
      <c r="C61" s="121" t="s">
        <v>1244</v>
      </c>
      <c r="E61" s="121" t="s">
        <v>1076</v>
      </c>
      <c r="F61" s="823">
        <f t="shared" ref="F61:O61" si="13">(F$49/$F$49)*$F$29*GWP.CH4</f>
        <v>2.6403129612517775</v>
      </c>
      <c r="G61" s="823">
        <f t="shared" si="13"/>
        <v>2.6403129612517775</v>
      </c>
      <c r="H61" s="823">
        <f t="shared" si="13"/>
        <v>2.6403129612517775</v>
      </c>
      <c r="I61" s="823">
        <f t="shared" si="13"/>
        <v>2.6403129612517775</v>
      </c>
      <c r="J61" s="823">
        <f t="shared" si="13"/>
        <v>2.6403129612517775</v>
      </c>
      <c r="K61" s="823">
        <f t="shared" si="13"/>
        <v>2.6403129612517775</v>
      </c>
      <c r="L61" s="823">
        <f t="shared" si="13"/>
        <v>2.6403129612517775</v>
      </c>
      <c r="M61" s="823">
        <f t="shared" si="13"/>
        <v>2.6403129612517775</v>
      </c>
      <c r="N61" s="823">
        <f t="shared" si="13"/>
        <v>2.6403129612517775</v>
      </c>
      <c r="O61" s="823">
        <f t="shared" si="13"/>
        <v>2.6403129612517775</v>
      </c>
    </row>
    <row r="62" spans="2:15" hidden="1" outlineLevel="1">
      <c r="C62" s="121" t="s">
        <v>1245</v>
      </c>
      <c r="E62" s="121" t="s">
        <v>1075</v>
      </c>
      <c r="F62" s="823">
        <f>(F$55/$F$55)*$F$30</f>
        <v>5.0916819860234304</v>
      </c>
      <c r="G62" s="823">
        <f t="shared" ref="G62:O62" si="14">(G$55/$F$55)*$F$30</f>
        <v>4.2544931298279298</v>
      </c>
      <c r="H62" s="823">
        <f t="shared" si="14"/>
        <v>3.467114152456976</v>
      </c>
      <c r="I62" s="823">
        <f t="shared" si="14"/>
        <v>2.7541335688647668</v>
      </c>
      <c r="J62" s="823">
        <f t="shared" si="14"/>
        <v>2.1877709765548032</v>
      </c>
      <c r="K62" s="823">
        <f t="shared" si="14"/>
        <v>1.7378757152393487</v>
      </c>
      <c r="L62" s="823">
        <f t="shared" si="14"/>
        <v>1.3804973344946569</v>
      </c>
      <c r="M62" s="823">
        <f t="shared" si="14"/>
        <v>1.0966105768296439</v>
      </c>
      <c r="N62" s="823">
        <f t="shared" si="14"/>
        <v>0.87110255642387768</v>
      </c>
      <c r="O62" s="823">
        <f t="shared" si="14"/>
        <v>0.69196821537322806</v>
      </c>
    </row>
    <row r="63" spans="2:15" hidden="1" outlineLevel="1">
      <c r="C63" s="121" t="s">
        <v>1246</v>
      </c>
      <c r="F63" s="823"/>
      <c r="G63" s="823"/>
      <c r="H63" s="823"/>
      <c r="I63" s="823"/>
      <c r="J63" s="823"/>
      <c r="K63" s="823"/>
      <c r="L63" s="823"/>
      <c r="M63" s="823"/>
      <c r="N63" s="823"/>
      <c r="O63" s="823"/>
    </row>
    <row r="64" spans="2:15" hidden="1" outlineLevel="1">
      <c r="D64" s="121" t="s">
        <v>1055</v>
      </c>
      <c r="E64" s="121" t="s">
        <v>1075</v>
      </c>
      <c r="F64" s="823">
        <f>F$58*INDEX(EF[CO2], MATCH("V.05",  EF[Vector], 0))</f>
        <v>11.818281779001751</v>
      </c>
      <c r="G64" s="823">
        <f>G$58*INDEX(EF[CO2], MATCH("V.05",  EF[Vector], 0))</f>
        <v>9.8750862236002543</v>
      </c>
      <c r="H64" s="823">
        <f>H$58*INDEX(EF[CO2], MATCH("V.05",  EF[Vector], 0))</f>
        <v>8.0475041697768788</v>
      </c>
      <c r="I64" s="823">
        <f>I$58*INDEX(EF[CO2], MATCH("V.05",  EF[Vector], 0))</f>
        <v>6.3926079168334278</v>
      </c>
      <c r="J64" s="823">
        <f>J$58*INDEX(EF[CO2], MATCH("V.05",  EF[Vector], 0))</f>
        <v>5.0780260707208109</v>
      </c>
      <c r="K64" s="823">
        <f>K$58*INDEX(EF[CO2], MATCH("V.05",  EF[Vector], 0))</f>
        <v>4.0337760598484316</v>
      </c>
      <c r="L64" s="823">
        <f>L$58*INDEX(EF[CO2], MATCH("V.05",  EF[Vector], 0))</f>
        <v>3.2042665938295718</v>
      </c>
      <c r="M64" s="823">
        <f>M$58*INDEX(EF[CO2], MATCH("V.05",  EF[Vector], 0))</f>
        <v>2.5453382270105398</v>
      </c>
      <c r="N64" s="823">
        <f>N$58*INDEX(EF[CO2], MATCH("V.05",  EF[Vector], 0))</f>
        <v>2.0219125032721128</v>
      </c>
      <c r="O64" s="823">
        <f>O$58*INDEX(EF[CO2], MATCH("V.05",  EF[Vector], 0))</f>
        <v>1.6061245328836111</v>
      </c>
    </row>
    <row r="65" spans="1:16" hidden="1" outlineLevel="1">
      <c r="D65" s="121" t="s">
        <v>1056</v>
      </c>
      <c r="F65" s="823">
        <f>F$58*INDEX(EF[CH4], MATCH("V.05",  EF[Vector], 0))</f>
        <v>2.3689576922962512E-2</v>
      </c>
      <c r="G65" s="823">
        <f>G$58*INDEX(EF[CH4], MATCH("V.05",  EF[Vector], 0))</f>
        <v>1.9794469203680252E-2</v>
      </c>
      <c r="H65" s="823">
        <f>H$58*INDEX(EF[CH4], MATCH("V.05",  EF[Vector], 0))</f>
        <v>1.6131107096000703E-2</v>
      </c>
      <c r="I65" s="823">
        <f>I$58*INDEX(EF[CH4], MATCH("V.05",  EF[Vector], 0))</f>
        <v>1.2813891208215557E-2</v>
      </c>
      <c r="J65" s="823">
        <f>J$58*INDEX(EF[CH4], MATCH("V.05",  EF[Vector], 0))</f>
        <v>1.0178830685259793E-2</v>
      </c>
      <c r="K65" s="823">
        <f>K$58*INDEX(EF[CH4], MATCH("V.05",  EF[Vector], 0))</f>
        <v>8.0856464625482585E-3</v>
      </c>
      <c r="L65" s="823">
        <f>L$58*INDEX(EF[CH4], MATCH("V.05",  EF[Vector], 0))</f>
        <v>6.4229065929934511E-3</v>
      </c>
      <c r="M65" s="823">
        <f>M$58*INDEX(EF[CH4], MATCH("V.05",  EF[Vector], 0))</f>
        <v>5.1020940988950056E-3</v>
      </c>
      <c r="N65" s="823">
        <f>N$58*INDEX(EF[CH4], MATCH("V.05",  EF[Vector], 0))</f>
        <v>4.0528947162918475E-3</v>
      </c>
      <c r="O65" s="823">
        <f>O$58*INDEX(EF[CH4], MATCH("V.05",  EF[Vector], 0))</f>
        <v>3.2194536719547871E-3</v>
      </c>
    </row>
    <row r="66" spans="1:16" hidden="1" outlineLevel="1">
      <c r="D66" s="121" t="s">
        <v>1057</v>
      </c>
      <c r="F66" s="823">
        <f>F$58*INDEX(EF[N2O], MATCH("V.05",  EF[Vector], 0))</f>
        <v>2.5479291685726012E-2</v>
      </c>
      <c r="G66" s="823">
        <f>G$58*INDEX(EF[N2O], MATCH("V.05",  EF[Vector], 0))</f>
        <v>2.1289913967007992E-2</v>
      </c>
      <c r="H66" s="823">
        <f>H$58*INDEX(EF[N2O], MATCH("V.05",  EF[Vector], 0))</f>
        <v>1.7349789920236686E-2</v>
      </c>
      <c r="I66" s="823">
        <f>I$58*INDEX(EF[N2O], MATCH("V.05",  EF[Vector], 0))</f>
        <v>1.378196296139066E-2</v>
      </c>
      <c r="J66" s="823">
        <f>J$58*INDEX(EF[N2O], MATCH("V.05",  EF[Vector], 0))</f>
        <v>1.0947827261446913E-2</v>
      </c>
      <c r="K66" s="823">
        <f>K$58*INDEX(EF[N2O], MATCH("V.05",  EF[Vector], 0))</f>
        <v>8.6965058665624435E-3</v>
      </c>
      <c r="L66" s="823">
        <f>L$58*INDEX(EF[N2O], MATCH("V.05",  EF[Vector], 0))</f>
        <v>6.9081483002098017E-3</v>
      </c>
      <c r="M66" s="823">
        <f>M$58*INDEX(EF[N2O], MATCH("V.05",  EF[Vector], 0))</f>
        <v>5.4875502494837435E-3</v>
      </c>
      <c r="N66" s="823">
        <f>N$58*INDEX(EF[N2O], MATCH("V.05",  EF[Vector], 0))</f>
        <v>4.3590853050584537E-3</v>
      </c>
      <c r="O66" s="823">
        <f>O$58*INDEX(EF[N2O], MATCH("V.05",  EF[Vector], 0))</f>
        <v>3.4626789428605573E-3</v>
      </c>
    </row>
    <row r="67" spans="1:16" hidden="1" outlineLevel="1">
      <c r="F67" s="823"/>
      <c r="G67" s="783"/>
      <c r="H67" s="783"/>
      <c r="I67" s="783"/>
      <c r="J67" s="783"/>
      <c r="K67" s="783"/>
      <c r="L67" s="783"/>
      <c r="M67" s="783"/>
      <c r="N67" s="783"/>
      <c r="O67" s="783"/>
    </row>
    <row r="69" spans="1:16" ht="22.5" collapsed="1">
      <c r="A69" s="1171"/>
      <c r="B69" s="1231" t="s">
        <v>683</v>
      </c>
      <c r="C69" s="1183"/>
      <c r="D69" s="1183"/>
      <c r="E69" s="1183"/>
      <c r="F69" s="1183"/>
      <c r="G69" s="1183"/>
      <c r="H69" s="1183"/>
      <c r="I69" s="1183"/>
      <c r="J69" s="1183"/>
      <c r="K69" s="1183"/>
      <c r="L69" s="1183"/>
      <c r="M69" s="1183"/>
      <c r="N69" s="1183"/>
      <c r="O69" s="1183"/>
      <c r="P69" s="1185"/>
    </row>
    <row r="70" spans="1:16" hidden="1" outlineLevel="1">
      <c r="B70" s="1172"/>
      <c r="C70" s="1174"/>
      <c r="D70" s="1174"/>
      <c r="E70" s="1174"/>
      <c r="F70" s="1174"/>
      <c r="G70" s="1174"/>
      <c r="H70" s="1174"/>
      <c r="I70" s="1174"/>
      <c r="J70" s="1174"/>
      <c r="K70" s="1174"/>
      <c r="L70" s="1174"/>
      <c r="M70" s="1174"/>
      <c r="N70" s="1174"/>
      <c r="O70" s="1174"/>
      <c r="P70" s="1176"/>
    </row>
    <row r="71" spans="1:16" hidden="1" outlineLevel="1">
      <c r="B71" s="1172"/>
      <c r="C71" s="1186"/>
      <c r="D71" s="1174"/>
      <c r="E71" s="1175"/>
      <c r="F71" s="1174"/>
      <c r="G71" s="1175"/>
      <c r="H71" s="1174"/>
      <c r="I71" s="1174"/>
      <c r="J71" s="1174"/>
      <c r="K71" s="1174"/>
      <c r="L71" s="1174"/>
      <c r="M71" s="1174"/>
      <c r="N71" s="1174"/>
      <c r="O71" s="1175" t="str">
        <f>Preferences.EnergyUnits</f>
        <v>TWh</v>
      </c>
      <c r="P71" s="1176"/>
    </row>
    <row r="72" spans="1:16" ht="6" hidden="1" customHeight="1" outlineLevel="1">
      <c r="B72" s="1172"/>
      <c r="C72" s="1174"/>
      <c r="D72" s="1174"/>
      <c r="E72" s="1174"/>
      <c r="F72" s="1174"/>
      <c r="G72" s="1174"/>
      <c r="H72" s="1174"/>
      <c r="I72" s="1174"/>
      <c r="J72" s="1174"/>
      <c r="K72" s="1174"/>
      <c r="L72" s="1174"/>
      <c r="M72" s="1174"/>
      <c r="N72" s="1174"/>
      <c r="O72" s="1174"/>
      <c r="P72" s="1176"/>
    </row>
    <row r="73" spans="1:16" ht="15.75" hidden="1" outlineLevel="1">
      <c r="A73" s="3"/>
      <c r="B73" s="1177"/>
      <c r="C73" s="1188" t="s">
        <v>78</v>
      </c>
      <c r="D73" s="1188" t="s">
        <v>418</v>
      </c>
      <c r="E73" s="1188" t="s">
        <v>442</v>
      </c>
      <c r="F73" s="1188" t="s">
        <v>691</v>
      </c>
      <c r="G73" s="1188" t="s">
        <v>692</v>
      </c>
      <c r="H73" s="1189" t="s">
        <v>721</v>
      </c>
      <c r="I73" s="1189" t="s">
        <v>722</v>
      </c>
      <c r="J73" s="1189" t="s">
        <v>723</v>
      </c>
      <c r="K73" s="1189" t="s">
        <v>724</v>
      </c>
      <c r="L73" s="1189" t="s">
        <v>725</v>
      </c>
      <c r="M73" s="1189" t="s">
        <v>726</v>
      </c>
      <c r="N73" s="1189" t="s">
        <v>727</v>
      </c>
      <c r="O73" s="1189" t="s">
        <v>728</v>
      </c>
      <c r="P73" s="1176"/>
    </row>
    <row r="74" spans="1:16" ht="15.75" hidden="1" outlineLevel="1">
      <c r="A74" s="3"/>
      <c r="B74" s="1177"/>
      <c r="C74" s="1188" t="s">
        <v>13</v>
      </c>
      <c r="D74" s="1188" t="str">
        <f>INDEX(Vectors[Description], MATCH([Vector], Vectors[Code], 0))</f>
        <v>Industry</v>
      </c>
      <c r="E74" s="1188"/>
      <c r="F74" s="1266">
        <f>F$50+F$51+F$52+F$57+F$58</f>
        <v>65.908896969038679</v>
      </c>
      <c r="G74" s="1266">
        <f t="shared" ref="G74:O74" si="15">G$50+G$51+G$52+G$57+G$58</f>
        <v>55.255911598665527</v>
      </c>
      <c r="H74" s="1266">
        <f t="shared" si="15"/>
        <v>45.236742489093203</v>
      </c>
      <c r="I74" s="1266">
        <f t="shared" si="15"/>
        <v>36.164271361271297</v>
      </c>
      <c r="J74" s="1266">
        <f t="shared" si="15"/>
        <v>28.957471646302658</v>
      </c>
      <c r="K74" s="1266">
        <f t="shared" si="15"/>
        <v>23.232684937155941</v>
      </c>
      <c r="L74" s="1266">
        <f t="shared" si="15"/>
        <v>18.68514869896239</v>
      </c>
      <c r="M74" s="1266">
        <f t="shared" si="15"/>
        <v>15.072772048380426</v>
      </c>
      <c r="N74" s="1266">
        <f t="shared" si="15"/>
        <v>12.203247896803035</v>
      </c>
      <c r="O74" s="1266">
        <f t="shared" si="15"/>
        <v>9.9238153644397809</v>
      </c>
      <c r="P74" s="1176"/>
    </row>
    <row r="75" spans="1:16" ht="15.75" hidden="1" outlineLevel="1">
      <c r="A75" s="3"/>
      <c r="B75" s="1177"/>
      <c r="C75" s="765" t="s">
        <v>45</v>
      </c>
      <c r="D75" s="765" t="str">
        <f>INDEX(Vectors[Description], MATCH([Vector], Vectors[Code], 0))</f>
        <v>Electricity (delivered to end user)</v>
      </c>
      <c r="E75" s="765"/>
      <c r="F75" s="953">
        <f t="shared" ref="F75:O75" si="16">-(F$50+F$57)</f>
        <v>-1.5434122188034558</v>
      </c>
      <c r="G75" s="953">
        <f t="shared" si="16"/>
        <v>-1.4512722582210527</v>
      </c>
      <c r="H75" s="953">
        <f t="shared" si="16"/>
        <v>-1.3646143107322832</v>
      </c>
      <c r="I75" s="953">
        <f t="shared" si="16"/>
        <v>-1.2861445576030515</v>
      </c>
      <c r="J75" s="953">
        <f t="shared" si="16"/>
        <v>-1.2238113975942881</v>
      </c>
      <c r="K75" s="953">
        <f t="shared" si="16"/>
        <v>-1.1742964866670269</v>
      </c>
      <c r="L75" s="953">
        <f t="shared" si="16"/>
        <v>-1.1349638681411904</v>
      </c>
      <c r="M75" s="953">
        <f t="shared" si="16"/>
        <v>-1.103719645923531</v>
      </c>
      <c r="N75" s="953">
        <f t="shared" si="16"/>
        <v>-1.078900514663677</v>
      </c>
      <c r="O75" s="953">
        <f t="shared" si="16"/>
        <v>-1.0591852126727159</v>
      </c>
      <c r="P75" s="1176"/>
    </row>
    <row r="76" spans="1:16" ht="15.75" hidden="1" outlineLevel="1">
      <c r="A76" s="3"/>
      <c r="B76" s="1177"/>
      <c r="C76" s="765" t="s">
        <v>47</v>
      </c>
      <c r="D76" s="765" t="str">
        <f>INDEX(Vectors[Description], MATCH([Vector], Vectors[Code], 0))</f>
        <v>Solid hydrocarbons</v>
      </c>
      <c r="E76" s="765"/>
      <c r="F76" s="953">
        <f t="shared" ref="F76:O76" si="17">-F$51</f>
        <v>-4.4692473051785787E-2</v>
      </c>
      <c r="G76" s="953">
        <f t="shared" si="17"/>
        <v>-4.4692473051785787E-2</v>
      </c>
      <c r="H76" s="953">
        <f t="shared" si="17"/>
        <v>-4.4692473051785787E-2</v>
      </c>
      <c r="I76" s="953">
        <f t="shared" si="17"/>
        <v>-4.4692473051785787E-2</v>
      </c>
      <c r="J76" s="953">
        <f t="shared" si="17"/>
        <v>-4.4692473051785787E-2</v>
      </c>
      <c r="K76" s="953">
        <f t="shared" si="17"/>
        <v>-4.4692473051785787E-2</v>
      </c>
      <c r="L76" s="953">
        <f t="shared" si="17"/>
        <v>-4.4692473051785787E-2</v>
      </c>
      <c r="M76" s="953">
        <f t="shared" si="17"/>
        <v>-4.4692473051785787E-2</v>
      </c>
      <c r="N76" s="953">
        <f t="shared" si="17"/>
        <v>-4.4692473051785787E-2</v>
      </c>
      <c r="O76" s="953">
        <f t="shared" si="17"/>
        <v>-4.4692473051785787E-2</v>
      </c>
      <c r="P76" s="1176"/>
    </row>
    <row r="77" spans="1:16" ht="15.75" hidden="1" outlineLevel="1">
      <c r="A77" s="3"/>
      <c r="B77" s="1177"/>
      <c r="C77" s="765" t="s">
        <v>50</v>
      </c>
      <c r="D77" s="765" t="str">
        <f>INDEX(Vectors[Description], MATCH([Vector], Vectors[Code], 0))</f>
        <v>Gaseous hydrocarbons</v>
      </c>
      <c r="E77" s="765"/>
      <c r="F77" s="953">
        <f t="shared" ref="F77:O77" si="18">-(F$52+F$58)</f>
        <v>-64.320792277183429</v>
      </c>
      <c r="G77" s="953">
        <f t="shared" si="18"/>
        <v>-53.759946867392692</v>
      </c>
      <c r="H77" s="953">
        <f t="shared" si="18"/>
        <v>-43.827435705309135</v>
      </c>
      <c r="I77" s="953">
        <f t="shared" si="18"/>
        <v>-34.833434330616463</v>
      </c>
      <c r="J77" s="953">
        <f t="shared" si="18"/>
        <v>-27.688967775656586</v>
      </c>
      <c r="K77" s="953">
        <f t="shared" si="18"/>
        <v>-22.013695977437131</v>
      </c>
      <c r="L77" s="953">
        <f t="shared" si="18"/>
        <v>-17.505492357769416</v>
      </c>
      <c r="M77" s="953">
        <f t="shared" si="18"/>
        <v>-13.924359929405108</v>
      </c>
      <c r="N77" s="953">
        <f t="shared" si="18"/>
        <v>-11.079654909087571</v>
      </c>
      <c r="O77" s="953">
        <f t="shared" si="18"/>
        <v>-8.819937678715279</v>
      </c>
      <c r="P77" s="1176"/>
    </row>
    <row r="78" spans="1:16" ht="15.75" hidden="1" outlineLevel="1">
      <c r="A78" s="3"/>
      <c r="B78" s="1177"/>
      <c r="C78" s="765" t="s">
        <v>64</v>
      </c>
      <c r="D78" s="765" t="str">
        <f>INDEX(Vectors[Description], MATCH([Vector], Vectors[Code], 0))</f>
        <v>Coal and fossil waste</v>
      </c>
      <c r="E78" s="765"/>
      <c r="F78" s="953">
        <f t="shared" ref="F78:O78" si="19">F$49</f>
        <v>124.39544583847987</v>
      </c>
      <c r="G78" s="953">
        <f t="shared" si="19"/>
        <v>124.39544583847987</v>
      </c>
      <c r="H78" s="953">
        <f t="shared" si="19"/>
        <v>124.39544583847987</v>
      </c>
      <c r="I78" s="953">
        <f t="shared" si="19"/>
        <v>124.39544583847987</v>
      </c>
      <c r="J78" s="953">
        <f t="shared" si="19"/>
        <v>124.39544583847987</v>
      </c>
      <c r="K78" s="953">
        <f t="shared" si="19"/>
        <v>124.39544583847987</v>
      </c>
      <c r="L78" s="953">
        <f t="shared" si="19"/>
        <v>124.39544583847987</v>
      </c>
      <c r="M78" s="953">
        <f t="shared" si="19"/>
        <v>124.39544583847987</v>
      </c>
      <c r="N78" s="953">
        <f t="shared" si="19"/>
        <v>124.39544583847987</v>
      </c>
      <c r="O78" s="953">
        <f t="shared" si="19"/>
        <v>124.39544583847987</v>
      </c>
      <c r="P78" s="1176"/>
    </row>
    <row r="79" spans="1:16" ht="15.75" hidden="1" outlineLevel="1">
      <c r="A79" s="3"/>
      <c r="B79" s="1177"/>
      <c r="C79" s="765" t="s">
        <v>65</v>
      </c>
      <c r="D79" s="765" t="str">
        <f>INDEX(Vectors[Description], MATCH([Vector], Vectors[Code], 0))</f>
        <v>Oil and petroleum products</v>
      </c>
      <c r="E79" s="765"/>
      <c r="F79" s="953">
        <f t="shared" ref="F79:O79" si="20">F$55</f>
        <v>975.89120834979803</v>
      </c>
      <c r="G79" s="953">
        <f t="shared" si="20"/>
        <v>815.4323959706519</v>
      </c>
      <c r="H79" s="953">
        <f t="shared" si="20"/>
        <v>664.52033513004915</v>
      </c>
      <c r="I79" s="953">
        <f t="shared" si="20"/>
        <v>527.86775447758896</v>
      </c>
      <c r="J79" s="953">
        <f t="shared" si="20"/>
        <v>419.31653778914142</v>
      </c>
      <c r="K79" s="953">
        <f t="shared" si="20"/>
        <v>333.08789440544865</v>
      </c>
      <c r="L79" s="953">
        <f t="shared" si="20"/>
        <v>264.59138956080642</v>
      </c>
      <c r="M79" s="953">
        <f t="shared" si="20"/>
        <v>210.18056977027507</v>
      </c>
      <c r="N79" s="953">
        <f t="shared" si="20"/>
        <v>166.95884163987617</v>
      </c>
      <c r="O79" s="953">
        <f t="shared" si="20"/>
        <v>132.62526993906516</v>
      </c>
      <c r="P79" s="1176"/>
    </row>
    <row r="80" spans="1:16" ht="15.75" hidden="1" outlineLevel="1">
      <c r="A80" s="3"/>
      <c r="B80" s="1177"/>
      <c r="C80" s="765" t="s">
        <v>66</v>
      </c>
      <c r="D80" s="765" t="str">
        <f>INDEX(Vectors[Description], MATCH([Vector], Vectors[Code], 0))</f>
        <v>Natural gas</v>
      </c>
      <c r="E80" s="765"/>
      <c r="F80" s="953">
        <f t="shared" ref="F80:O80" si="21">F$56</f>
        <v>838.80929321419171</v>
      </c>
      <c r="G80" s="953">
        <f t="shared" si="21"/>
        <v>637.88198465125163</v>
      </c>
      <c r="H80" s="953">
        <f t="shared" si="21"/>
        <v>508.98355251965154</v>
      </c>
      <c r="I80" s="953">
        <f t="shared" si="21"/>
        <v>404.31570071063896</v>
      </c>
      <c r="J80" s="953">
        <f t="shared" si="21"/>
        <v>321.17184343559597</v>
      </c>
      <c r="K80" s="953">
        <f t="shared" si="21"/>
        <v>255.12576641104135</v>
      </c>
      <c r="L80" s="953">
        <f t="shared" si="21"/>
        <v>202.66146618133868</v>
      </c>
      <c r="M80" s="953">
        <f t="shared" si="21"/>
        <v>160.98597351628524</v>
      </c>
      <c r="N80" s="953">
        <f t="shared" si="21"/>
        <v>127.88066797955751</v>
      </c>
      <c r="O80" s="953">
        <f t="shared" si="21"/>
        <v>101.5831683077875</v>
      </c>
      <c r="P80" s="1176"/>
    </row>
    <row r="81" spans="1:16" ht="15.75" hidden="1" outlineLevel="1">
      <c r="A81" s="3"/>
      <c r="B81" s="1177"/>
      <c r="C81" s="765" t="s">
        <v>999</v>
      </c>
      <c r="D81" s="765" t="str">
        <f>INDEX(Vectors[Description], MATCH([Vector], Vectors[Code], 0))</f>
        <v>Coal reserves</v>
      </c>
      <c r="E81" s="765"/>
      <c r="F81" s="953">
        <f t="shared" ref="F81:O81" si="22">-F$49</f>
        <v>-124.39544583847987</v>
      </c>
      <c r="G81" s="953">
        <f t="shared" si="22"/>
        <v>-124.39544583847987</v>
      </c>
      <c r="H81" s="953">
        <f t="shared" si="22"/>
        <v>-124.39544583847987</v>
      </c>
      <c r="I81" s="953">
        <f t="shared" si="22"/>
        <v>-124.39544583847987</v>
      </c>
      <c r="J81" s="953">
        <f t="shared" si="22"/>
        <v>-124.39544583847987</v>
      </c>
      <c r="K81" s="953">
        <f t="shared" si="22"/>
        <v>-124.39544583847987</v>
      </c>
      <c r="L81" s="953">
        <f t="shared" si="22"/>
        <v>-124.39544583847987</v>
      </c>
      <c r="M81" s="953">
        <f t="shared" si="22"/>
        <v>-124.39544583847987</v>
      </c>
      <c r="N81" s="953">
        <f t="shared" si="22"/>
        <v>-124.39544583847987</v>
      </c>
      <c r="O81" s="953">
        <f t="shared" si="22"/>
        <v>-124.39544583847987</v>
      </c>
      <c r="P81" s="1176"/>
    </row>
    <row r="82" spans="1:16" ht="15.75" hidden="1" outlineLevel="1">
      <c r="A82" s="3"/>
      <c r="B82" s="1177"/>
      <c r="C82" s="765" t="s">
        <v>1000</v>
      </c>
      <c r="D82" s="765" t="str">
        <f>INDEX(Vectors[Description], MATCH([Vector], Vectors[Code], 0))</f>
        <v>Oil reserves</v>
      </c>
      <c r="E82" s="765"/>
      <c r="F82" s="953">
        <f t="shared" ref="F82:O82" si="23">-F$55</f>
        <v>-975.89120834979803</v>
      </c>
      <c r="G82" s="953">
        <f t="shared" si="23"/>
        <v>-815.4323959706519</v>
      </c>
      <c r="H82" s="953">
        <f t="shared" si="23"/>
        <v>-664.52033513004915</v>
      </c>
      <c r="I82" s="953">
        <f t="shared" si="23"/>
        <v>-527.86775447758896</v>
      </c>
      <c r="J82" s="953">
        <f t="shared" si="23"/>
        <v>-419.31653778914142</v>
      </c>
      <c r="K82" s="953">
        <f t="shared" si="23"/>
        <v>-333.08789440544865</v>
      </c>
      <c r="L82" s="953">
        <f t="shared" si="23"/>
        <v>-264.59138956080642</v>
      </c>
      <c r="M82" s="953">
        <f t="shared" si="23"/>
        <v>-210.18056977027507</v>
      </c>
      <c r="N82" s="953">
        <f t="shared" si="23"/>
        <v>-166.95884163987617</v>
      </c>
      <c r="O82" s="953">
        <f t="shared" si="23"/>
        <v>-132.62526993906516</v>
      </c>
      <c r="P82" s="1176"/>
    </row>
    <row r="83" spans="1:16" ht="15.75" hidden="1" outlineLevel="1">
      <c r="A83" s="3"/>
      <c r="B83" s="1177"/>
      <c r="C83" s="765" t="s">
        <v>1001</v>
      </c>
      <c r="D83" s="765" t="str">
        <f>INDEX(Vectors[Description], MATCH([Vector], Vectors[Code], 0))</f>
        <v>Gas reserves</v>
      </c>
      <c r="E83" s="765"/>
      <c r="F83" s="953">
        <f t="shared" ref="F83:O83" si="24">-F$56</f>
        <v>-838.80929321419171</v>
      </c>
      <c r="G83" s="953">
        <f t="shared" si="24"/>
        <v>-637.88198465125163</v>
      </c>
      <c r="H83" s="953">
        <f t="shared" si="24"/>
        <v>-508.98355251965154</v>
      </c>
      <c r="I83" s="953">
        <f t="shared" si="24"/>
        <v>-404.31570071063896</v>
      </c>
      <c r="J83" s="953">
        <f t="shared" si="24"/>
        <v>-321.17184343559597</v>
      </c>
      <c r="K83" s="953">
        <f t="shared" si="24"/>
        <v>-255.12576641104135</v>
      </c>
      <c r="L83" s="953">
        <f t="shared" si="24"/>
        <v>-202.66146618133868</v>
      </c>
      <c r="M83" s="953">
        <f t="shared" si="24"/>
        <v>-160.98597351628524</v>
      </c>
      <c r="N83" s="953">
        <f t="shared" si="24"/>
        <v>-127.88066797955751</v>
      </c>
      <c r="O83" s="953">
        <f t="shared" si="24"/>
        <v>-101.5831683077875</v>
      </c>
      <c r="P83" s="1176"/>
    </row>
    <row r="84" spans="1:16" ht="15.75" hidden="1" outlineLevel="1">
      <c r="A84" s="3"/>
      <c r="B84" s="1177"/>
      <c r="C84" s="765" t="s">
        <v>148</v>
      </c>
      <c r="D84" s="765"/>
      <c r="E84" s="765"/>
      <c r="F84" s="1283">
        <f>SUBTOTAL(109,[2007])</f>
        <v>0</v>
      </c>
      <c r="G84" s="1283">
        <f>SUBTOTAL(109,[2010])</f>
        <v>0</v>
      </c>
      <c r="H84" s="1283">
        <f>SUBTOTAL(109,[2015])</f>
        <v>0</v>
      </c>
      <c r="I84" s="1283">
        <f>SUBTOTAL(109,[2020])</f>
        <v>0</v>
      </c>
      <c r="J84" s="1283">
        <f>SUBTOTAL(109,[2025])</f>
        <v>0</v>
      </c>
      <c r="K84" s="1283">
        <f>SUBTOTAL(109,[2030])</f>
        <v>0</v>
      </c>
      <c r="L84" s="1283">
        <f>SUBTOTAL(109,[2035])</f>
        <v>0</v>
      </c>
      <c r="M84" s="1283">
        <f>SUBTOTAL(109,[2040])</f>
        <v>0</v>
      </c>
      <c r="N84" s="1283">
        <f>SUBTOTAL(109,[2045])</f>
        <v>0</v>
      </c>
      <c r="O84" s="1283">
        <f>SUBTOTAL(109,[2050])</f>
        <v>0</v>
      </c>
      <c r="P84" s="1176"/>
    </row>
    <row r="85" spans="1:16" ht="15.75" hidden="1" outlineLevel="1">
      <c r="A85" s="3"/>
      <c r="B85" s="1178"/>
      <c r="C85" s="1281"/>
      <c r="D85" s="1282"/>
      <c r="E85" s="1282"/>
      <c r="F85" s="1282"/>
      <c r="G85" s="1282"/>
      <c r="H85" s="1282"/>
      <c r="I85" s="1282"/>
      <c r="J85" s="1282"/>
      <c r="K85" s="1282"/>
      <c r="L85" s="1282"/>
      <c r="M85" s="1282"/>
      <c r="N85" s="1282"/>
      <c r="O85" s="1282"/>
      <c r="P85" s="1181"/>
    </row>
    <row r="86" spans="1:16" hidden="1" outlineLevel="1"/>
    <row r="87" spans="1:16" ht="22.5" hidden="1" outlineLevel="1">
      <c r="A87" s="1171"/>
      <c r="B87" s="1249" t="s">
        <v>902</v>
      </c>
      <c r="C87" s="1198"/>
      <c r="D87" s="1199"/>
      <c r="E87" s="1199"/>
      <c r="F87" s="1199"/>
      <c r="G87" s="1199"/>
      <c r="H87" s="1199"/>
      <c r="I87" s="1199"/>
      <c r="J87" s="1199"/>
      <c r="K87" s="1199"/>
      <c r="L87" s="1199"/>
      <c r="M87" s="1199"/>
      <c r="N87" s="1199"/>
      <c r="O87" s="1199"/>
      <c r="P87" s="1200"/>
    </row>
    <row r="88" spans="1:16" hidden="1" outlineLevel="1">
      <c r="B88" s="1207"/>
      <c r="C88" s="1208"/>
      <c r="D88" s="1208"/>
      <c r="E88" s="1208"/>
      <c r="F88" s="1208"/>
      <c r="G88" s="1208"/>
      <c r="H88" s="1208"/>
      <c r="I88" s="1208"/>
      <c r="J88" s="1208"/>
      <c r="K88" s="1208"/>
      <c r="L88" s="1208"/>
      <c r="M88" s="1208"/>
      <c r="N88" s="1208"/>
      <c r="O88" s="1208"/>
      <c r="P88" s="1209"/>
    </row>
    <row r="89" spans="1:16" ht="14.25" hidden="1" outlineLevel="1">
      <c r="B89" s="1210"/>
      <c r="C89" s="1201" t="s">
        <v>1073</v>
      </c>
      <c r="D89" s="1202"/>
      <c r="E89" s="1203"/>
      <c r="F89" s="1202"/>
      <c r="G89" s="1203"/>
      <c r="H89" s="1202"/>
      <c r="I89" s="1202"/>
      <c r="J89" s="1202"/>
      <c r="K89" s="1202"/>
      <c r="L89" s="1202"/>
      <c r="M89" s="1202"/>
      <c r="N89" s="1202"/>
      <c r="O89" s="1203" t="s">
        <v>1076</v>
      </c>
      <c r="P89" s="1211"/>
    </row>
    <row r="90" spans="1:16" ht="5.25" hidden="1" customHeight="1" outlineLevel="1">
      <c r="B90" s="1210"/>
      <c r="C90" s="1202"/>
      <c r="D90" s="1202"/>
      <c r="E90" s="1202"/>
      <c r="F90" s="1202"/>
      <c r="G90" s="1202"/>
      <c r="H90" s="1202"/>
      <c r="I90" s="1202"/>
      <c r="J90" s="1202"/>
      <c r="K90" s="1202"/>
      <c r="L90" s="1202"/>
      <c r="M90" s="1202"/>
      <c r="N90" s="1202"/>
      <c r="O90" s="1202"/>
      <c r="P90" s="1211"/>
    </row>
    <row r="91" spans="1:16" ht="15.75" hidden="1" outlineLevel="1">
      <c r="B91" s="1212"/>
      <c r="C91" s="1269" t="s">
        <v>1072</v>
      </c>
      <c r="D91" s="1269" t="s">
        <v>1042</v>
      </c>
      <c r="E91" s="1269" t="s">
        <v>442</v>
      </c>
      <c r="F91" s="1269" t="s">
        <v>691</v>
      </c>
      <c r="G91" s="1269" t="s">
        <v>692</v>
      </c>
      <c r="H91" s="1269" t="s">
        <v>721</v>
      </c>
      <c r="I91" s="1269" t="s">
        <v>722</v>
      </c>
      <c r="J91" s="1269" t="s">
        <v>723</v>
      </c>
      <c r="K91" s="1269" t="s">
        <v>724</v>
      </c>
      <c r="L91" s="1269" t="s">
        <v>725</v>
      </c>
      <c r="M91" s="1269" t="s">
        <v>726</v>
      </c>
      <c r="N91" s="1269" t="s">
        <v>727</v>
      </c>
      <c r="O91" s="1269" t="s">
        <v>728</v>
      </c>
      <c r="P91" s="1211"/>
    </row>
    <row r="92" spans="1:16" ht="15.75" hidden="1" outlineLevel="1">
      <c r="B92" s="1212"/>
      <c r="C92" s="1206" t="s">
        <v>1055</v>
      </c>
      <c r="D92" s="1216" t="s">
        <v>1064</v>
      </c>
      <c r="E92" s="1206" t="str">
        <f>INDEX(IPCC[Sector_description], MATCH([IPCC Sector], IPCC[Sector_code], 0))</f>
        <v>Fugitive Emissions from Fuels</v>
      </c>
      <c r="F92" s="1218">
        <f>F$62</f>
        <v>5.0916819860234304</v>
      </c>
      <c r="G92" s="1218">
        <f t="shared" ref="G92:O92" si="25">G$62</f>
        <v>4.2544931298279298</v>
      </c>
      <c r="H92" s="1218">
        <f t="shared" si="25"/>
        <v>3.467114152456976</v>
      </c>
      <c r="I92" s="1218">
        <f t="shared" si="25"/>
        <v>2.7541335688647668</v>
      </c>
      <c r="J92" s="1218">
        <f t="shared" si="25"/>
        <v>2.1877709765548032</v>
      </c>
      <c r="K92" s="1218">
        <f t="shared" si="25"/>
        <v>1.7378757152393487</v>
      </c>
      <c r="L92" s="1218">
        <f t="shared" si="25"/>
        <v>1.3804973344946569</v>
      </c>
      <c r="M92" s="1218">
        <f t="shared" si="25"/>
        <v>1.0966105768296439</v>
      </c>
      <c r="N92" s="1218">
        <f t="shared" si="25"/>
        <v>0.87110255642387768</v>
      </c>
      <c r="O92" s="1218">
        <f t="shared" si="25"/>
        <v>0.69196821537322806</v>
      </c>
      <c r="P92" s="1211"/>
    </row>
    <row r="93" spans="1:16" ht="15.75" hidden="1" outlineLevel="1">
      <c r="B93" s="1212"/>
      <c r="C93" s="1206" t="s">
        <v>1056</v>
      </c>
      <c r="D93" s="1216" t="s">
        <v>1064</v>
      </c>
      <c r="E93" s="1206" t="str">
        <f>INDEX(IPCC[Sector_description], MATCH([IPCC Sector], IPCC[Sector_code], 0))</f>
        <v>Fugitive Emissions from Fuels</v>
      </c>
      <c r="F93" s="1218">
        <f>F$61</f>
        <v>2.6403129612517775</v>
      </c>
      <c r="G93" s="1218">
        <f t="shared" ref="G93:O93" si="26">G$61</f>
        <v>2.6403129612517775</v>
      </c>
      <c r="H93" s="1218">
        <f t="shared" si="26"/>
        <v>2.6403129612517775</v>
      </c>
      <c r="I93" s="1218">
        <f t="shared" si="26"/>
        <v>2.6403129612517775</v>
      </c>
      <c r="J93" s="1218">
        <f t="shared" si="26"/>
        <v>2.6403129612517775</v>
      </c>
      <c r="K93" s="1218">
        <f t="shared" si="26"/>
        <v>2.6403129612517775</v>
      </c>
      <c r="L93" s="1218">
        <f t="shared" si="26"/>
        <v>2.6403129612517775</v>
      </c>
      <c r="M93" s="1218">
        <f t="shared" si="26"/>
        <v>2.6403129612517775</v>
      </c>
      <c r="N93" s="1218">
        <f t="shared" si="26"/>
        <v>2.6403129612517775</v>
      </c>
      <c r="O93" s="1218">
        <f t="shared" si="26"/>
        <v>2.6403129612517775</v>
      </c>
      <c r="P93" s="1211"/>
    </row>
    <row r="94" spans="1:16" ht="15.75" hidden="1" outlineLevel="1">
      <c r="B94" s="1212"/>
      <c r="C94" s="1206" t="s">
        <v>1055</v>
      </c>
      <c r="D94" s="1216" t="s">
        <v>1065</v>
      </c>
      <c r="E94" s="1206" t="str">
        <f>INDEX(IPCC[Sector_description], MATCH([IPCC Sector], IPCC[Sector_code], 0))</f>
        <v>Fuel Combustion</v>
      </c>
      <c r="F94" s="1218">
        <f>F$64</f>
        <v>11.818281779001751</v>
      </c>
      <c r="G94" s="1218">
        <f t="shared" ref="G94:O94" si="27">G$64</f>
        <v>9.8750862236002543</v>
      </c>
      <c r="H94" s="1218">
        <f t="shared" si="27"/>
        <v>8.0475041697768788</v>
      </c>
      <c r="I94" s="1218">
        <f t="shared" si="27"/>
        <v>6.3926079168334278</v>
      </c>
      <c r="J94" s="1218">
        <f t="shared" si="27"/>
        <v>5.0780260707208109</v>
      </c>
      <c r="K94" s="1218">
        <f t="shared" si="27"/>
        <v>4.0337760598484316</v>
      </c>
      <c r="L94" s="1218">
        <f t="shared" si="27"/>
        <v>3.2042665938295718</v>
      </c>
      <c r="M94" s="1218">
        <f t="shared" si="27"/>
        <v>2.5453382270105398</v>
      </c>
      <c r="N94" s="1218">
        <f t="shared" si="27"/>
        <v>2.0219125032721128</v>
      </c>
      <c r="O94" s="1218">
        <f t="shared" si="27"/>
        <v>1.6061245328836111</v>
      </c>
      <c r="P94" s="1211"/>
    </row>
    <row r="95" spans="1:16" ht="15.75" hidden="1" outlineLevel="1">
      <c r="B95" s="1212"/>
      <c r="C95" s="1206" t="s">
        <v>1056</v>
      </c>
      <c r="D95" s="1216" t="s">
        <v>1065</v>
      </c>
      <c r="E95" s="1206" t="str">
        <f>INDEX(IPCC[Sector_description], MATCH([IPCC Sector], IPCC[Sector_code], 0))</f>
        <v>Fuel Combustion</v>
      </c>
      <c r="F95" s="1218">
        <f>F$65</f>
        <v>2.3689576922962512E-2</v>
      </c>
      <c r="G95" s="1218">
        <f t="shared" ref="G95:O95" si="28">G$65</f>
        <v>1.9794469203680252E-2</v>
      </c>
      <c r="H95" s="1218">
        <f t="shared" si="28"/>
        <v>1.6131107096000703E-2</v>
      </c>
      <c r="I95" s="1218">
        <f t="shared" si="28"/>
        <v>1.2813891208215557E-2</v>
      </c>
      <c r="J95" s="1218">
        <f t="shared" si="28"/>
        <v>1.0178830685259793E-2</v>
      </c>
      <c r="K95" s="1218">
        <f t="shared" si="28"/>
        <v>8.0856464625482585E-3</v>
      </c>
      <c r="L95" s="1218">
        <f t="shared" si="28"/>
        <v>6.4229065929934511E-3</v>
      </c>
      <c r="M95" s="1218">
        <f t="shared" si="28"/>
        <v>5.1020940988950056E-3</v>
      </c>
      <c r="N95" s="1218">
        <f t="shared" si="28"/>
        <v>4.0528947162918475E-3</v>
      </c>
      <c r="O95" s="1218">
        <f t="shared" si="28"/>
        <v>3.2194536719547871E-3</v>
      </c>
      <c r="P95" s="1211"/>
    </row>
    <row r="96" spans="1:16" ht="15.75" hidden="1" outlineLevel="1">
      <c r="B96" s="1212"/>
      <c r="C96" s="1206" t="s">
        <v>1057</v>
      </c>
      <c r="D96" s="1216" t="s">
        <v>1065</v>
      </c>
      <c r="E96" s="1206" t="str">
        <f>INDEX(IPCC[Sector_description], MATCH([IPCC Sector], IPCC[Sector_code], 0))</f>
        <v>Fuel Combustion</v>
      </c>
      <c r="F96" s="1218">
        <f>F$66</f>
        <v>2.5479291685726012E-2</v>
      </c>
      <c r="G96" s="1218">
        <f t="shared" ref="G96:O96" si="29">G$66</f>
        <v>2.1289913967007992E-2</v>
      </c>
      <c r="H96" s="1218">
        <f t="shared" si="29"/>
        <v>1.7349789920236686E-2</v>
      </c>
      <c r="I96" s="1218">
        <f t="shared" si="29"/>
        <v>1.378196296139066E-2</v>
      </c>
      <c r="J96" s="1218">
        <f t="shared" si="29"/>
        <v>1.0947827261446913E-2</v>
      </c>
      <c r="K96" s="1218">
        <f t="shared" si="29"/>
        <v>8.6965058665624435E-3</v>
      </c>
      <c r="L96" s="1218">
        <f t="shared" si="29"/>
        <v>6.9081483002098017E-3</v>
      </c>
      <c r="M96" s="1218">
        <f t="shared" si="29"/>
        <v>5.4875502494837435E-3</v>
      </c>
      <c r="N96" s="1218">
        <f t="shared" si="29"/>
        <v>4.3590853050584537E-3</v>
      </c>
      <c r="O96" s="1218">
        <f t="shared" si="29"/>
        <v>3.4626789428605573E-3</v>
      </c>
      <c r="P96" s="1211"/>
    </row>
    <row r="97" spans="2:16" ht="15.75" hidden="1" outlineLevel="1">
      <c r="B97" s="1212"/>
      <c r="C97" s="1206" t="s">
        <v>148</v>
      </c>
      <c r="D97" s="1206"/>
      <c r="E97" s="1206"/>
      <c r="F97" s="1278">
        <f>SUBTOTAL(109,[2007])</f>
        <v>0</v>
      </c>
      <c r="G97" s="1278">
        <f>SUBTOTAL(109,[2010])</f>
        <v>0</v>
      </c>
      <c r="H97" s="1278">
        <f>SUBTOTAL(109,[2015])</f>
        <v>0</v>
      </c>
      <c r="I97" s="1278">
        <f>SUBTOTAL(109,[2020])</f>
        <v>0</v>
      </c>
      <c r="J97" s="1278">
        <f>SUBTOTAL(109,[2025])</f>
        <v>0</v>
      </c>
      <c r="K97" s="1278">
        <f>SUBTOTAL(109,[2030])</f>
        <v>0</v>
      </c>
      <c r="L97" s="1278">
        <f>SUBTOTAL(109,[2035])</f>
        <v>0</v>
      </c>
      <c r="M97" s="1278">
        <f>SUBTOTAL(109,[2040])</f>
        <v>0</v>
      </c>
      <c r="N97" s="1278">
        <f>SUBTOTAL(109,[2045])</f>
        <v>0</v>
      </c>
      <c r="O97" s="1278">
        <f>SUBTOTAL(109,[2050])</f>
        <v>0</v>
      </c>
      <c r="P97" s="1211"/>
    </row>
    <row r="98" spans="2:16" ht="15.75" hidden="1" outlineLevel="1">
      <c r="B98" s="1212"/>
      <c r="C98" s="1202"/>
      <c r="D98" s="1202"/>
      <c r="E98" s="1202"/>
      <c r="F98" s="1202"/>
      <c r="G98" s="1202"/>
      <c r="H98" s="1202"/>
      <c r="I98" s="1202"/>
      <c r="J98" s="1202"/>
      <c r="K98" s="1202"/>
      <c r="L98" s="1202"/>
      <c r="M98" s="1202"/>
      <c r="N98" s="1202"/>
      <c r="O98" s="1202"/>
      <c r="P98" s="1211"/>
    </row>
    <row r="99" spans="2:16" hidden="1" outlineLevel="1"/>
  </sheetData>
  <pageMargins left="0.7" right="0.7" top="0.75" bottom="0.75" header="0.3" footer="0.3"/>
  <pageSetup paperSize="9" orientation="portrait" r:id="rId1"/>
  <ignoredErrors>
    <ignoredError sqref="F22:O22" numberStoredAsText="1"/>
  </ignoredErrors>
  <tableParts count="2">
    <tablePart r:id="rId2"/>
    <tablePart r:id="rId3"/>
  </tableParts>
</worksheet>
</file>

<file path=xl/worksheets/sheet49.xml><?xml version="1.0" encoding="utf-8"?>
<worksheet xmlns="http://schemas.openxmlformats.org/spreadsheetml/2006/main" xmlns:r="http://schemas.openxmlformats.org/officeDocument/2006/relationships">
  <sheetPr codeName="Sheet54">
    <tabColor theme="9"/>
    <outlinePr summaryBelow="0"/>
    <pageSetUpPr autoPageBreaks="0"/>
  </sheetPr>
  <dimension ref="A1:P76"/>
  <sheetViews>
    <sheetView showGridLines="0" zoomScale="80" zoomScaleNormal="80" workbookViewId="0">
      <pane ySplit="2" topLeftCell="A3" activePane="bottomLeft" state="frozen"/>
      <selection pane="bottomLeft"/>
    </sheetView>
  </sheetViews>
  <sheetFormatPr defaultRowHeight="12.75" outlineLevelRow="1"/>
  <cols>
    <col min="1" max="1" width="5.8554687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6" ht="21">
      <c r="A1" s="789" t="s">
        <v>1012</v>
      </c>
      <c r="B1" s="789" t="str">
        <f>INDEX(Workstreams[Workstream], MATCH($A1, Workstreams[Code], 0))</f>
        <v>Transfers</v>
      </c>
      <c r="C1" s="789"/>
    </row>
    <row r="2" spans="1:16" s="743" customFormat="1" ht="19.5" customHeight="1">
      <c r="A2" s="10" t="s">
        <v>1013</v>
      </c>
      <c r="B2" s="10" t="str">
        <f>INDEX(Modules[Module], MATCH($A2, Modules[Code], 0))</f>
        <v>Fossil fuel transfers</v>
      </c>
      <c r="C2" s="10"/>
    </row>
    <row r="4" spans="1:16" ht="22.5" collapsed="1">
      <c r="A4" s="1171"/>
      <c r="B4" s="1231" t="s">
        <v>682</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idden="1" outlineLevel="1">
      <c r="B6" s="1172"/>
      <c r="C6" s="1186" t="s">
        <v>1209</v>
      </c>
      <c r="D6" s="1174"/>
      <c r="E6" s="1175"/>
      <c r="F6" s="1174"/>
      <c r="G6" s="1174"/>
      <c r="H6" s="1174"/>
      <c r="I6" s="1174"/>
      <c r="J6" s="1174"/>
      <c r="K6" s="1174"/>
      <c r="L6" s="1174"/>
      <c r="M6" s="1174"/>
      <c r="N6" s="1174"/>
      <c r="O6" s="1175" t="str">
        <f>Preferences.EnergyUnits</f>
        <v>TWh</v>
      </c>
      <c r="P6" s="1176"/>
    </row>
    <row r="7" spans="1:16" ht="6" hidden="1" customHeight="1" outlineLevel="1">
      <c r="B7" s="1172"/>
      <c r="C7" s="1173"/>
      <c r="D7" s="1174"/>
      <c r="E7" s="1175"/>
      <c r="F7" s="1174"/>
      <c r="G7" s="1174"/>
      <c r="H7" s="1174"/>
      <c r="I7" s="1174"/>
      <c r="J7" s="1174"/>
      <c r="K7" s="1174"/>
      <c r="L7" s="1174"/>
      <c r="M7" s="1174"/>
      <c r="N7" s="1174"/>
      <c r="O7" s="1174"/>
      <c r="P7" s="1176"/>
    </row>
    <row r="8" spans="1:16" s="743" customFormat="1" ht="15.75" hidden="1" outlineLevel="1">
      <c r="A8" s="753"/>
      <c r="B8" s="1187"/>
      <c r="C8" s="1188" t="s">
        <v>78</v>
      </c>
      <c r="D8" s="1188" t="s">
        <v>418</v>
      </c>
      <c r="E8" s="1188" t="s">
        <v>442</v>
      </c>
      <c r="F8" s="1188" t="s">
        <v>691</v>
      </c>
      <c r="G8" s="1188" t="s">
        <v>692</v>
      </c>
      <c r="H8" s="1189" t="s">
        <v>721</v>
      </c>
      <c r="I8" s="1189" t="s">
        <v>722</v>
      </c>
      <c r="J8" s="1189" t="s">
        <v>723</v>
      </c>
      <c r="K8" s="1189" t="s">
        <v>724</v>
      </c>
      <c r="L8" s="1189" t="s">
        <v>725</v>
      </c>
      <c r="M8" s="1189" t="s">
        <v>726</v>
      </c>
      <c r="N8" s="1189" t="s">
        <v>727</v>
      </c>
      <c r="O8" s="1189" t="s">
        <v>728</v>
      </c>
      <c r="P8" s="1190"/>
    </row>
    <row r="9" spans="1:16" s="743" customFormat="1" ht="15.75" hidden="1" outlineLevel="1">
      <c r="A9" s="753"/>
      <c r="B9" s="1187"/>
      <c r="C9" s="1188" t="s">
        <v>47</v>
      </c>
      <c r="D9" s="765" t="str">
        <f>INDEX(Vectors[Description], MATCH([Vector], Vectors[Code], 0))</f>
        <v>Solid hydrocarbons</v>
      </c>
      <c r="E9" s="1188"/>
      <c r="F9" s="1266">
        <f ca="1">INDEX(INDIRECT("'"&amp;XVI.a.Inputs[#Headers]&amp;"'!Year.Matrix"), MATCH("Subtotal."&amp;$A$2, INDIRECT("'"&amp;XVI.a.Inputs[#Headers]&amp;"'!Year.Modules"), 0), MATCH([Vector], INDIRECT("'"&amp;XVI.a.Inputs[#Headers]&amp;"'!Year.Vectors"), 0))</f>
        <v>-426.93200685955935</v>
      </c>
      <c r="G9" s="1266">
        <f ca="1">INDEX(INDIRECT("'"&amp;XVI.a.Inputs[#Headers]&amp;"'!Year.Matrix"), MATCH("Subtotal."&amp;$A$2, INDIRECT("'"&amp;XVI.a.Inputs[#Headers]&amp;"'!Year.Modules"), 0), MATCH([Vector], INDIRECT("'"&amp;XVI.a.Inputs[#Headers]&amp;"'!Year.Vectors"), 0))</f>
        <v>-413.29735672224962</v>
      </c>
      <c r="H9" s="1266">
        <f ca="1">INDEX(INDIRECT("'"&amp;XVI.a.Inputs[#Headers]&amp;"'!Year.Matrix"), MATCH("Subtotal."&amp;$A$2, INDIRECT("'"&amp;XVI.a.Inputs[#Headers]&amp;"'!Year.Modules"), 0), MATCH([Vector], INDIRECT("'"&amp;XVI.a.Inputs[#Headers]&amp;"'!Year.Vectors"), 0))</f>
        <v>-294.8616899314772</v>
      </c>
      <c r="I9" s="1266">
        <f ca="1">INDEX(INDIRECT("'"&amp;XVI.a.Inputs[#Headers]&amp;"'!Year.Matrix"), MATCH("Subtotal."&amp;$A$2, INDIRECT("'"&amp;XVI.a.Inputs[#Headers]&amp;"'!Year.Modules"), 0), MATCH([Vector], INDIRECT("'"&amp;XVI.a.Inputs[#Headers]&amp;"'!Year.Vectors"), 0))</f>
        <v>-195.26299222756302</v>
      </c>
      <c r="J9" s="1266">
        <f ca="1">INDEX(INDIRECT("'"&amp;XVI.a.Inputs[#Headers]&amp;"'!Year.Matrix"), MATCH("Subtotal."&amp;$A$2, INDIRECT("'"&amp;XVI.a.Inputs[#Headers]&amp;"'!Year.Modules"), 0), MATCH([Vector], INDIRECT("'"&amp;XVI.a.Inputs[#Headers]&amp;"'!Year.Vectors"), 0))</f>
        <v>-75.155782547911443</v>
      </c>
      <c r="K9" s="1266">
        <f ca="1">INDEX(INDIRECT("'"&amp;XVI.a.Inputs[#Headers]&amp;"'!Year.Matrix"), MATCH("Subtotal."&amp;$A$2, INDIRECT("'"&amp;XVI.a.Inputs[#Headers]&amp;"'!Year.Modules"), 0), MATCH([Vector], INDIRECT("'"&amp;XVI.a.Inputs[#Headers]&amp;"'!Year.Vectors"), 0))</f>
        <v>-69.138060834721983</v>
      </c>
      <c r="L9" s="1266">
        <f ca="1">INDEX(INDIRECT("'"&amp;XVI.a.Inputs[#Headers]&amp;"'!Year.Matrix"), MATCH("Subtotal."&amp;$A$2, INDIRECT("'"&amp;XVI.a.Inputs[#Headers]&amp;"'!Year.Modules"), 0), MATCH([Vector], INDIRECT("'"&amp;XVI.a.Inputs[#Headers]&amp;"'!Year.Vectors"), 0))</f>
        <v>-62.557413588660083</v>
      </c>
      <c r="M9" s="1266">
        <f ca="1">INDEX(INDIRECT("'"&amp;XVI.a.Inputs[#Headers]&amp;"'!Year.Matrix"), MATCH("Subtotal."&amp;$A$2, INDIRECT("'"&amp;XVI.a.Inputs[#Headers]&amp;"'!Year.Modules"), 0), MATCH([Vector], INDIRECT("'"&amp;XVI.a.Inputs[#Headers]&amp;"'!Year.Vectors"), 0))</f>
        <v>-54.911379197044496</v>
      </c>
      <c r="N9" s="1266">
        <f ca="1">INDEX(INDIRECT("'"&amp;XVI.a.Inputs[#Headers]&amp;"'!Year.Matrix"), MATCH("Subtotal."&amp;$A$2, INDIRECT("'"&amp;XVI.a.Inputs[#Headers]&amp;"'!Year.Modules"), 0), MATCH([Vector], INDIRECT("'"&amp;XVI.a.Inputs[#Headers]&amp;"'!Year.Vectors"), 0))</f>
        <v>-50.198129932566964</v>
      </c>
      <c r="O9" s="1266">
        <f ca="1">INDEX(INDIRECT("'"&amp;XVI.a.Inputs[#Headers]&amp;"'!Year.Matrix"), MATCH("Subtotal."&amp;$A$2, INDIRECT("'"&amp;XVI.a.Inputs[#Headers]&amp;"'!Year.Modules"), 0), MATCH([Vector], INDIRECT("'"&amp;XVI.a.Inputs[#Headers]&amp;"'!Year.Vectors"), 0))</f>
        <v>-45.157744694729161</v>
      </c>
      <c r="P9" s="1190"/>
    </row>
    <row r="10" spans="1:16" s="743" customFormat="1" ht="15.75" hidden="1" outlineLevel="1">
      <c r="A10" s="753"/>
      <c r="B10" s="1187"/>
      <c r="C10" s="1188" t="s">
        <v>49</v>
      </c>
      <c r="D10" s="765" t="str">
        <f>INDEX(Vectors[Description], MATCH([Vector], Vectors[Code], 0))</f>
        <v>Liquid hydrocarbons</v>
      </c>
      <c r="E10" s="1188"/>
      <c r="F10" s="1266">
        <f ca="1">INDEX(INDIRECT("'"&amp;XVI.a.Inputs[#Headers]&amp;"'!Year.Matrix"), MATCH("Subtotal."&amp;$A$2, INDIRECT("'"&amp;XVI.a.Inputs[#Headers]&amp;"'!Year.Modules"), 0), MATCH([Vector], INDIRECT("'"&amp;XVI.a.Inputs[#Headers]&amp;"'!Year.Vectors"), 0))</f>
        <v>-878.62145398424082</v>
      </c>
      <c r="G10" s="1266">
        <f ca="1">INDEX(INDIRECT("'"&amp;XVI.a.Inputs[#Headers]&amp;"'!Year.Matrix"), MATCH("Subtotal."&amp;$A$2, INDIRECT("'"&amp;XVI.a.Inputs[#Headers]&amp;"'!Year.Modules"), 0), MATCH([Vector], INDIRECT("'"&amp;XVI.a.Inputs[#Headers]&amp;"'!Year.Vectors"), 0))</f>
        <v>-879.88654710744879</v>
      </c>
      <c r="H10" s="1266">
        <f ca="1">INDEX(INDIRECT("'"&amp;XVI.a.Inputs[#Headers]&amp;"'!Year.Matrix"), MATCH("Subtotal."&amp;$A$2, INDIRECT("'"&amp;XVI.a.Inputs[#Headers]&amp;"'!Year.Modules"), 0), MATCH([Vector], INDIRECT("'"&amp;XVI.a.Inputs[#Headers]&amp;"'!Year.Vectors"), 0))</f>
        <v>-861.54937235318141</v>
      </c>
      <c r="I10" s="1266">
        <f ca="1">INDEX(INDIRECT("'"&amp;XVI.a.Inputs[#Headers]&amp;"'!Year.Matrix"), MATCH("Subtotal."&amp;$A$2, INDIRECT("'"&amp;XVI.a.Inputs[#Headers]&amp;"'!Year.Modules"), 0), MATCH([Vector], INDIRECT("'"&amp;XVI.a.Inputs[#Headers]&amp;"'!Year.Vectors"), 0))</f>
        <v>-855.49601977451869</v>
      </c>
      <c r="J10" s="1266">
        <f ca="1">INDEX(INDIRECT("'"&amp;XVI.a.Inputs[#Headers]&amp;"'!Year.Matrix"), MATCH("Subtotal."&amp;$A$2, INDIRECT("'"&amp;XVI.a.Inputs[#Headers]&amp;"'!Year.Modules"), 0), MATCH([Vector], INDIRECT("'"&amp;XVI.a.Inputs[#Headers]&amp;"'!Year.Vectors"), 0))</f>
        <v>-827.07383830358731</v>
      </c>
      <c r="K10" s="1266">
        <f ca="1">INDEX(INDIRECT("'"&amp;XVI.a.Inputs[#Headers]&amp;"'!Year.Matrix"), MATCH("Subtotal."&amp;$A$2, INDIRECT("'"&amp;XVI.a.Inputs[#Headers]&amp;"'!Year.Modules"), 0), MATCH([Vector], INDIRECT("'"&amp;XVI.a.Inputs[#Headers]&amp;"'!Year.Vectors"), 0))</f>
        <v>-796.97441639052499</v>
      </c>
      <c r="L10" s="1266">
        <f ca="1">INDEX(INDIRECT("'"&amp;XVI.a.Inputs[#Headers]&amp;"'!Year.Matrix"), MATCH("Subtotal."&amp;$A$2, INDIRECT("'"&amp;XVI.a.Inputs[#Headers]&amp;"'!Year.Modules"), 0), MATCH([Vector], INDIRECT("'"&amp;XVI.a.Inputs[#Headers]&amp;"'!Year.Vectors"), 0))</f>
        <v>-795.10578931526902</v>
      </c>
      <c r="M10" s="1266">
        <f ca="1">INDEX(INDIRECT("'"&amp;XVI.a.Inputs[#Headers]&amp;"'!Year.Matrix"), MATCH("Subtotal."&amp;$A$2, INDIRECT("'"&amp;XVI.a.Inputs[#Headers]&amp;"'!Year.Modules"), 0), MATCH([Vector], INDIRECT("'"&amp;XVI.a.Inputs[#Headers]&amp;"'!Year.Vectors"), 0))</f>
        <v>-788.99093031521011</v>
      </c>
      <c r="N10" s="1266">
        <f ca="1">INDEX(INDIRECT("'"&amp;XVI.a.Inputs[#Headers]&amp;"'!Year.Matrix"), MATCH("Subtotal."&amp;$A$2, INDIRECT("'"&amp;XVI.a.Inputs[#Headers]&amp;"'!Year.Modules"), 0), MATCH([Vector], INDIRECT("'"&amp;XVI.a.Inputs[#Headers]&amp;"'!Year.Vectors"), 0))</f>
        <v>-786.52173302619337</v>
      </c>
      <c r="O10" s="1266">
        <f ca="1">INDEX(INDIRECT("'"&amp;XVI.a.Inputs[#Headers]&amp;"'!Year.Matrix"), MATCH("Subtotal."&amp;$A$2, INDIRECT("'"&amp;XVI.a.Inputs[#Headers]&amp;"'!Year.Modules"), 0), MATCH([Vector], INDIRECT("'"&amp;XVI.a.Inputs[#Headers]&amp;"'!Year.Vectors"), 0))</f>
        <v>-786.05031450159174</v>
      </c>
      <c r="P10" s="1190"/>
    </row>
    <row r="11" spans="1:16" s="743" customFormat="1" ht="18" hidden="1" customHeight="1" outlineLevel="1">
      <c r="A11" s="753"/>
      <c r="B11" s="1187"/>
      <c r="C11" s="765" t="s">
        <v>50</v>
      </c>
      <c r="D11" s="765" t="str">
        <f>INDEX(Vectors[Description], MATCH([Vector], Vectors[Code], 0))</f>
        <v>Gaseous hydrocarbons</v>
      </c>
      <c r="E11" s="765"/>
      <c r="F11" s="1266">
        <f ca="1">INDEX(INDIRECT("'"&amp;XVI.a.Inputs[#Headers]&amp;"'!Year.Matrix"), MATCH("Subtotal."&amp;$A$2, INDIRECT("'"&amp;XVI.a.Inputs[#Headers]&amp;"'!Year.Modules"), 0), MATCH([Vector], INDIRECT("'"&amp;XVI.a.Inputs[#Headers]&amp;"'!Year.Vectors"), 0))</f>
        <v>-996.70454264536238</v>
      </c>
      <c r="G11" s="1266">
        <f ca="1">INDEX(INDIRECT("'"&amp;XVI.a.Inputs[#Headers]&amp;"'!Year.Matrix"), MATCH("Subtotal."&amp;$A$2, INDIRECT("'"&amp;XVI.a.Inputs[#Headers]&amp;"'!Year.Modules"), 0), MATCH([Vector], INDIRECT("'"&amp;XVI.a.Inputs[#Headers]&amp;"'!Year.Vectors"), 0))</f>
        <v>-1026.9476788300342</v>
      </c>
      <c r="H11" s="1266">
        <f ca="1">INDEX(INDIRECT("'"&amp;XVI.a.Inputs[#Headers]&amp;"'!Year.Matrix"), MATCH("Subtotal."&amp;$A$2, INDIRECT("'"&amp;XVI.a.Inputs[#Headers]&amp;"'!Year.Modules"), 0), MATCH([Vector], INDIRECT("'"&amp;XVI.a.Inputs[#Headers]&amp;"'!Year.Vectors"), 0))</f>
        <v>-1134.0420631039578</v>
      </c>
      <c r="I11" s="1266">
        <f ca="1">INDEX(INDIRECT("'"&amp;XVI.a.Inputs[#Headers]&amp;"'!Year.Matrix"), MATCH("Subtotal."&amp;$A$2, INDIRECT("'"&amp;XVI.a.Inputs[#Headers]&amp;"'!Year.Modules"), 0), MATCH([Vector], INDIRECT("'"&amp;XVI.a.Inputs[#Headers]&amp;"'!Year.Vectors"), 0))</f>
        <v>-1233.9324129514685</v>
      </c>
      <c r="J11" s="1266">
        <f ca="1">INDEX(INDIRECT("'"&amp;XVI.a.Inputs[#Headers]&amp;"'!Year.Matrix"), MATCH("Subtotal."&amp;$A$2, INDIRECT("'"&amp;XVI.a.Inputs[#Headers]&amp;"'!Year.Modules"), 0), MATCH([Vector], INDIRECT("'"&amp;XVI.a.Inputs[#Headers]&amp;"'!Year.Vectors"), 0))</f>
        <v>-1363.2311436938553</v>
      </c>
      <c r="K11" s="1266">
        <f ca="1">INDEX(INDIRECT("'"&amp;XVI.a.Inputs[#Headers]&amp;"'!Year.Matrix"), MATCH("Subtotal."&amp;$A$2, INDIRECT("'"&amp;XVI.a.Inputs[#Headers]&amp;"'!Year.Modules"), 0), MATCH([Vector], INDIRECT("'"&amp;XVI.a.Inputs[#Headers]&amp;"'!Year.Vectors"), 0))</f>
        <v>-1434.9975946854556</v>
      </c>
      <c r="L11" s="1266">
        <f ca="1">INDEX(INDIRECT("'"&amp;XVI.a.Inputs[#Headers]&amp;"'!Year.Matrix"), MATCH("Subtotal."&amp;$A$2, INDIRECT("'"&amp;XVI.a.Inputs[#Headers]&amp;"'!Year.Modules"), 0), MATCH([Vector], INDIRECT("'"&amp;XVI.a.Inputs[#Headers]&amp;"'!Year.Vectors"), 0))</f>
        <v>-1527.9895529015321</v>
      </c>
      <c r="M11" s="1266">
        <f ca="1">INDEX(INDIRECT("'"&amp;XVI.a.Inputs[#Headers]&amp;"'!Year.Matrix"), MATCH("Subtotal."&amp;$A$2, INDIRECT("'"&amp;XVI.a.Inputs[#Headers]&amp;"'!Year.Modules"), 0), MATCH([Vector], INDIRECT("'"&amp;XVI.a.Inputs[#Headers]&amp;"'!Year.Vectors"), 0))</f>
        <v>-1609.2587729237391</v>
      </c>
      <c r="N11" s="1266">
        <f ca="1">INDEX(INDIRECT("'"&amp;XVI.a.Inputs[#Headers]&amp;"'!Year.Matrix"), MATCH("Subtotal."&amp;$A$2, INDIRECT("'"&amp;XVI.a.Inputs[#Headers]&amp;"'!Year.Modules"), 0), MATCH([Vector], INDIRECT("'"&amp;XVI.a.Inputs[#Headers]&amp;"'!Year.Vectors"), 0))</f>
        <v>-1693.2982927031776</v>
      </c>
      <c r="O11" s="1266">
        <f ca="1">INDEX(INDIRECT("'"&amp;XVI.a.Inputs[#Headers]&amp;"'!Year.Matrix"), MATCH("Subtotal."&amp;$A$2, INDIRECT("'"&amp;XVI.a.Inputs[#Headers]&amp;"'!Year.Modules"), 0), MATCH([Vector], INDIRECT("'"&amp;XVI.a.Inputs[#Headers]&amp;"'!Year.Vectors"), 0))</f>
        <v>-1757.058311975954</v>
      </c>
      <c r="P11" s="1191"/>
    </row>
    <row r="12" spans="1:16" s="743" customFormat="1" ht="18" hidden="1" customHeight="1" outlineLevel="1">
      <c r="A12" s="753"/>
      <c r="B12" s="1187"/>
      <c r="C12" s="765"/>
      <c r="D12" s="765"/>
      <c r="E12" s="765"/>
      <c r="F12" s="953"/>
      <c r="G12" s="953"/>
      <c r="H12" s="953"/>
      <c r="I12" s="953"/>
      <c r="J12" s="953"/>
      <c r="K12" s="953"/>
      <c r="L12" s="953"/>
      <c r="M12" s="953"/>
      <c r="N12" s="953"/>
      <c r="O12" s="953"/>
      <c r="P12" s="1191"/>
    </row>
    <row r="14" spans="1:16" s="743" customFormat="1" ht="22.5" collapsed="1">
      <c r="A14" s="1170"/>
      <c r="B14" s="1236" t="s">
        <v>786</v>
      </c>
      <c r="C14" s="1167"/>
      <c r="D14" s="1167"/>
      <c r="E14" s="1167"/>
      <c r="F14" s="1167"/>
      <c r="G14" s="1167"/>
      <c r="H14" s="1167"/>
      <c r="I14" s="1167"/>
      <c r="J14" s="1167"/>
      <c r="K14" s="1167"/>
      <c r="L14" s="1167"/>
      <c r="M14" s="1167"/>
      <c r="N14" s="1167"/>
      <c r="O14" s="1167"/>
      <c r="P14" s="1168"/>
    </row>
    <row r="15" spans="1:16" hidden="1" outlineLevel="1">
      <c r="B15" s="1157"/>
      <c r="C15" s="864"/>
      <c r="D15" s="864"/>
      <c r="E15" s="864"/>
      <c r="F15" s="864"/>
      <c r="G15" s="864"/>
      <c r="H15" s="864"/>
      <c r="I15" s="864"/>
      <c r="J15" s="864"/>
      <c r="K15" s="864"/>
      <c r="L15" s="864"/>
      <c r="M15" s="864"/>
      <c r="N15" s="864"/>
      <c r="O15" s="864"/>
      <c r="P15" s="1158"/>
    </row>
    <row r="16" spans="1:16" hidden="1" outlineLevel="1">
      <c r="B16" s="1157"/>
      <c r="C16" s="866" t="s">
        <v>1210</v>
      </c>
      <c r="D16" s="864"/>
      <c r="E16" s="867"/>
      <c r="F16" s="864"/>
      <c r="G16" s="864"/>
      <c r="H16" s="864"/>
      <c r="I16" s="864"/>
      <c r="J16" s="864"/>
      <c r="K16" s="864"/>
      <c r="L16" s="864"/>
      <c r="M16" s="864"/>
      <c r="N16" s="864"/>
      <c r="O16" s="867" t="s">
        <v>1237</v>
      </c>
      <c r="P16" s="1158"/>
    </row>
    <row r="17" spans="2:16" ht="6" hidden="1" customHeight="1" outlineLevel="1">
      <c r="B17" s="1157"/>
      <c r="C17" s="864"/>
      <c r="D17" s="864"/>
      <c r="E17" s="864"/>
      <c r="F17" s="864"/>
      <c r="G17" s="864"/>
      <c r="H17" s="864"/>
      <c r="I17" s="864"/>
      <c r="J17" s="864"/>
      <c r="K17" s="864"/>
      <c r="L17" s="864"/>
      <c r="M17" s="864"/>
      <c r="N17" s="864"/>
      <c r="O17" s="864"/>
      <c r="P17" s="1158"/>
    </row>
    <row r="18" spans="2:16" ht="15.75" hidden="1" outlineLevel="1">
      <c r="B18" s="1159"/>
      <c r="C18" s="766" t="s">
        <v>78</v>
      </c>
      <c r="D18" s="766" t="s">
        <v>418</v>
      </c>
      <c r="E18" s="766" t="s">
        <v>442</v>
      </c>
      <c r="F18" s="923">
        <v>2007</v>
      </c>
      <c r="G18" s="924">
        <v>2010</v>
      </c>
      <c r="H18" s="923">
        <v>2015</v>
      </c>
      <c r="I18" s="923">
        <v>2020</v>
      </c>
      <c r="J18" s="923">
        <v>2025</v>
      </c>
      <c r="K18" s="923">
        <v>2030</v>
      </c>
      <c r="L18" s="923">
        <v>2035</v>
      </c>
      <c r="M18" s="923">
        <v>2040</v>
      </c>
      <c r="N18" s="923">
        <v>2045</v>
      </c>
      <c r="O18" s="923">
        <v>2050</v>
      </c>
      <c r="P18" s="1158"/>
    </row>
    <row r="19" spans="2:16" s="743" customFormat="1" ht="15.75" hidden="1" outlineLevel="1">
      <c r="B19" s="1161"/>
      <c r="C19" s="791" t="s">
        <v>50</v>
      </c>
      <c r="D19" s="792" t="str">
        <f>INDEX(Vectors[Description], MATCH($C19, Vectors[Code], 0))</f>
        <v>Gaseous hydrocarbons</v>
      </c>
      <c r="E19" s="792" t="s">
        <v>109</v>
      </c>
      <c r="F19" s="824">
        <f>-('2007 (Consistent)'!$Z$141+'2007 (Consistent)'!$W$143)/'2007 (Consistent)'!$W$141</f>
        <v>1.1525360288796723E-2</v>
      </c>
      <c r="G19" s="828">
        <f>$F19</f>
        <v>1.1525360288796723E-2</v>
      </c>
      <c r="H19" s="824">
        <f t="shared" ref="H19:O19" si="0">$F19</f>
        <v>1.1525360288796723E-2</v>
      </c>
      <c r="I19" s="824">
        <f t="shared" si="0"/>
        <v>1.1525360288796723E-2</v>
      </c>
      <c r="J19" s="824">
        <f t="shared" si="0"/>
        <v>1.1525360288796723E-2</v>
      </c>
      <c r="K19" s="824">
        <f t="shared" si="0"/>
        <v>1.1525360288796723E-2</v>
      </c>
      <c r="L19" s="824">
        <f t="shared" si="0"/>
        <v>1.1525360288796723E-2</v>
      </c>
      <c r="M19" s="824">
        <f t="shared" si="0"/>
        <v>1.1525360288796723E-2</v>
      </c>
      <c r="N19" s="824">
        <f t="shared" si="0"/>
        <v>1.1525360288796723E-2</v>
      </c>
      <c r="O19" s="824">
        <f t="shared" si="0"/>
        <v>1.1525360288796723E-2</v>
      </c>
      <c r="P19" s="1162"/>
    </row>
    <row r="20" spans="2:16" hidden="1" outlineLevel="1">
      <c r="B20" s="1163"/>
      <c r="C20" s="864"/>
      <c r="D20" s="868"/>
      <c r="E20" s="864"/>
      <c r="F20" s="864"/>
      <c r="G20" s="864"/>
      <c r="H20" s="864"/>
      <c r="I20" s="864"/>
      <c r="J20" s="864"/>
      <c r="K20" s="864"/>
      <c r="L20" s="864"/>
      <c r="M20" s="864"/>
      <c r="N20" s="864"/>
      <c r="O20" s="864"/>
      <c r="P20" s="1158"/>
    </row>
    <row r="21" spans="2:16" ht="14.25" hidden="1" outlineLevel="1">
      <c r="B21" s="1163"/>
      <c r="C21" s="866" t="s">
        <v>1225</v>
      </c>
      <c r="D21" s="868"/>
      <c r="E21" s="864"/>
      <c r="F21" s="867" t="s">
        <v>1076</v>
      </c>
      <c r="G21" s="864"/>
      <c r="H21" s="864"/>
      <c r="I21" s="864"/>
      <c r="J21" s="864"/>
      <c r="K21" s="864"/>
      <c r="L21" s="864"/>
      <c r="M21" s="864"/>
      <c r="N21" s="864"/>
      <c r="O21" s="864"/>
      <c r="P21" s="1158"/>
    </row>
    <row r="22" spans="2:16" ht="5.25" hidden="1" customHeight="1" outlineLevel="1">
      <c r="B22" s="1163"/>
      <c r="C22" s="864"/>
      <c r="D22" s="868"/>
      <c r="E22" s="864"/>
      <c r="F22" s="864"/>
      <c r="G22" s="864"/>
      <c r="H22" s="864"/>
      <c r="I22" s="864"/>
      <c r="J22" s="864"/>
      <c r="K22" s="864"/>
      <c r="L22" s="864"/>
      <c r="M22" s="864"/>
      <c r="N22" s="864"/>
      <c r="O22" s="864"/>
      <c r="P22" s="1158"/>
    </row>
    <row r="23" spans="2:16" ht="15.75" hidden="1" outlineLevel="1">
      <c r="B23" s="1159"/>
      <c r="C23" s="766" t="s">
        <v>1072</v>
      </c>
      <c r="D23" s="766" t="s">
        <v>1042</v>
      </c>
      <c r="E23" s="766" t="s">
        <v>442</v>
      </c>
      <c r="F23" s="923">
        <v>2007</v>
      </c>
      <c r="G23" s="864"/>
      <c r="H23" s="864"/>
      <c r="I23" s="864"/>
      <c r="J23" s="864"/>
      <c r="K23" s="864"/>
      <c r="L23" s="864"/>
      <c r="M23" s="864"/>
      <c r="N23" s="864"/>
      <c r="O23" s="864"/>
      <c r="P23" s="1158"/>
    </row>
    <row r="24" spans="2:16" ht="15.75" hidden="1" outlineLevel="1">
      <c r="B24" s="1159"/>
      <c r="C24" s="791" t="s">
        <v>1056</v>
      </c>
      <c r="D24" s="792" t="s">
        <v>1179</v>
      </c>
      <c r="E24" s="792" t="s">
        <v>117</v>
      </c>
      <c r="F24" s="793">
        <f>208.126255432784/1000*GWP.CH4</f>
        <v>4.3706513640884639</v>
      </c>
      <c r="G24" s="864"/>
      <c r="H24" s="864"/>
      <c r="I24" s="864"/>
      <c r="J24" s="864"/>
      <c r="K24" s="864"/>
      <c r="L24" s="864"/>
      <c r="M24" s="864"/>
      <c r="N24" s="864"/>
      <c r="O24" s="864"/>
      <c r="P24" s="1158"/>
    </row>
    <row r="25" spans="2:16" hidden="1" outlineLevel="1">
      <c r="B25" s="1163"/>
      <c r="C25" s="864"/>
      <c r="D25" s="868"/>
      <c r="E25" s="864"/>
      <c r="F25" s="864"/>
      <c r="G25" s="864"/>
      <c r="H25" s="864"/>
      <c r="I25" s="864"/>
      <c r="J25" s="864"/>
      <c r="K25" s="864"/>
      <c r="L25" s="864"/>
      <c r="M25" s="864"/>
      <c r="N25" s="864"/>
      <c r="O25" s="864"/>
      <c r="P25" s="1158"/>
    </row>
    <row r="26" spans="2:16" hidden="1" outlineLevel="1">
      <c r="B26" s="1163"/>
      <c r="C26" s="864" t="s">
        <v>717</v>
      </c>
      <c r="D26" s="868"/>
      <c r="E26" s="864"/>
      <c r="F26" s="864"/>
      <c r="G26" s="864"/>
      <c r="H26" s="864"/>
      <c r="I26" s="864"/>
      <c r="J26" s="864"/>
      <c r="K26" s="864"/>
      <c r="L26" s="864"/>
      <c r="M26" s="864"/>
      <c r="N26" s="864"/>
      <c r="O26" s="864"/>
      <c r="P26" s="1158"/>
    </row>
    <row r="27" spans="2:16" s="715" customFormat="1" ht="10.5" hidden="1" outlineLevel="1">
      <c r="B27" s="1225"/>
      <c r="C27" s="1251" t="s">
        <v>109</v>
      </c>
      <c r="D27" s="1255" t="s">
        <v>1227</v>
      </c>
      <c r="E27" s="1228"/>
      <c r="F27" s="1228"/>
      <c r="G27" s="1228"/>
      <c r="H27" s="1228"/>
      <c r="I27" s="1228"/>
      <c r="J27" s="1228"/>
      <c r="K27" s="1228"/>
      <c r="L27" s="1228"/>
      <c r="M27" s="1228"/>
      <c r="N27" s="1228"/>
      <c r="O27" s="1228"/>
      <c r="P27" s="1229"/>
    </row>
    <row r="28" spans="2:16" s="715" customFormat="1" ht="10.5" hidden="1" outlineLevel="1">
      <c r="B28" s="1225"/>
      <c r="C28" s="1251" t="s">
        <v>117</v>
      </c>
      <c r="D28" s="1255" t="s">
        <v>1226</v>
      </c>
      <c r="E28" s="1228"/>
      <c r="F28" s="1228"/>
      <c r="G28" s="1228"/>
      <c r="H28" s="1228"/>
      <c r="I28" s="1228"/>
      <c r="J28" s="1228"/>
      <c r="K28" s="1228"/>
      <c r="L28" s="1228"/>
      <c r="M28" s="1228"/>
      <c r="N28" s="1228"/>
      <c r="O28" s="1228"/>
      <c r="P28" s="1229"/>
    </row>
    <row r="29" spans="2:16" hidden="1" outlineLevel="1">
      <c r="B29" s="1164"/>
      <c r="C29" s="1165"/>
      <c r="D29" s="1165"/>
      <c r="E29" s="1165"/>
      <c r="F29" s="1165"/>
      <c r="G29" s="1165"/>
      <c r="H29" s="1165"/>
      <c r="I29" s="1165"/>
      <c r="J29" s="1165"/>
      <c r="K29" s="1165"/>
      <c r="L29" s="1165"/>
      <c r="M29" s="1165"/>
      <c r="N29" s="1165"/>
      <c r="O29" s="1165"/>
      <c r="P29" s="1166"/>
    </row>
    <row r="31" spans="2:16" ht="15.75" collapsed="1">
      <c r="B31" s="809" t="s">
        <v>732</v>
      </c>
    </row>
    <row r="32" spans="2:16" hidden="1" outlineLevel="1">
      <c r="B32" s="731">
        <v>1</v>
      </c>
      <c r="C32" s="121" t="s">
        <v>1680</v>
      </c>
    </row>
    <row r="33" spans="2:15" hidden="1" outlineLevel="1">
      <c r="B33" s="731">
        <v>2</v>
      </c>
      <c r="C33" s="121" t="s">
        <v>1174</v>
      </c>
    </row>
    <row r="34" spans="2:15" hidden="1" outlineLevel="1"/>
    <row r="35" spans="2:15" hidden="1" outlineLevel="1">
      <c r="B35" s="731">
        <v>1</v>
      </c>
      <c r="C35" s="731" t="s">
        <v>1679</v>
      </c>
    </row>
    <row r="36" spans="2:15" hidden="1" outlineLevel="1">
      <c r="B36" s="731"/>
      <c r="C36" s="731"/>
    </row>
    <row r="37" spans="2:15" hidden="1" outlineLevel="1">
      <c r="C37" s="731" t="s">
        <v>1230</v>
      </c>
      <c r="E37" s="121" t="str">
        <f>Preferences.EnergyUnits</f>
        <v>TWh</v>
      </c>
      <c r="F37" s="783">
        <f ca="1">-F$9</f>
        <v>426.93200685955935</v>
      </c>
      <c r="G37" s="783">
        <f t="shared" ref="G37:O37" ca="1" si="1">-G$9</f>
        <v>413.29735672224962</v>
      </c>
      <c r="H37" s="783">
        <f t="shared" ca="1" si="1"/>
        <v>294.8616899314772</v>
      </c>
      <c r="I37" s="783">
        <f t="shared" ca="1" si="1"/>
        <v>195.26299222756302</v>
      </c>
      <c r="J37" s="783">
        <f t="shared" ca="1" si="1"/>
        <v>75.155782547911443</v>
      </c>
      <c r="K37" s="783">
        <f t="shared" ca="1" si="1"/>
        <v>69.138060834721983</v>
      </c>
      <c r="L37" s="783">
        <f t="shared" ca="1" si="1"/>
        <v>62.557413588660083</v>
      </c>
      <c r="M37" s="783">
        <f t="shared" ca="1" si="1"/>
        <v>54.911379197044496</v>
      </c>
      <c r="N37" s="783">
        <f t="shared" ca="1" si="1"/>
        <v>50.198129932566964</v>
      </c>
      <c r="O37" s="783">
        <f t="shared" ca="1" si="1"/>
        <v>45.157744694729161</v>
      </c>
    </row>
    <row r="38" spans="2:15" hidden="1" outlineLevel="1">
      <c r="C38" s="731" t="s">
        <v>1681</v>
      </c>
      <c r="E38" s="121" t="str">
        <f>Preferences.EnergyUnits</f>
        <v>TWh</v>
      </c>
      <c r="F38" s="783">
        <f ca="1">-F$10</f>
        <v>878.62145398424082</v>
      </c>
      <c r="G38" s="783">
        <f t="shared" ref="G38:O38" ca="1" si="2">-G$10</f>
        <v>879.88654710744879</v>
      </c>
      <c r="H38" s="783">
        <f t="shared" ca="1" si="2"/>
        <v>861.54937235318141</v>
      </c>
      <c r="I38" s="783">
        <f t="shared" ca="1" si="2"/>
        <v>855.49601977451869</v>
      </c>
      <c r="J38" s="783">
        <f t="shared" ca="1" si="2"/>
        <v>827.07383830358731</v>
      </c>
      <c r="K38" s="783">
        <f t="shared" ca="1" si="2"/>
        <v>796.97441639052499</v>
      </c>
      <c r="L38" s="783">
        <f t="shared" ca="1" si="2"/>
        <v>795.10578931526902</v>
      </c>
      <c r="M38" s="783">
        <f t="shared" ca="1" si="2"/>
        <v>788.99093031521011</v>
      </c>
      <c r="N38" s="783">
        <f t="shared" ca="1" si="2"/>
        <v>786.52173302619337</v>
      </c>
      <c r="O38" s="783">
        <f t="shared" ca="1" si="2"/>
        <v>786.05031450159174</v>
      </c>
    </row>
    <row r="39" spans="2:15" hidden="1" outlineLevel="1">
      <c r="C39" s="731"/>
      <c r="F39" s="783"/>
      <c r="G39" s="783"/>
      <c r="H39" s="783"/>
      <c r="I39" s="783"/>
      <c r="J39" s="783"/>
      <c r="K39" s="783"/>
      <c r="L39" s="783"/>
      <c r="M39" s="783"/>
      <c r="N39" s="783"/>
      <c r="O39" s="783"/>
    </row>
    <row r="40" spans="2:15" hidden="1" outlineLevel="1">
      <c r="C40" s="825" t="s">
        <v>1231</v>
      </c>
      <c r="E40" s="121" t="str">
        <f>Preferences.EnergyUnits</f>
        <v>TWh</v>
      </c>
      <c r="F40" s="27">
        <f ca="1">-F$11</f>
        <v>996.70454264536238</v>
      </c>
      <c r="G40" s="27">
        <f t="shared" ref="G40:O40" ca="1" si="3">-G$11</f>
        <v>1026.9476788300342</v>
      </c>
      <c r="H40" s="27">
        <f t="shared" ca="1" si="3"/>
        <v>1134.0420631039578</v>
      </c>
      <c r="I40" s="27">
        <f t="shared" ca="1" si="3"/>
        <v>1233.9324129514685</v>
      </c>
      <c r="J40" s="27">
        <f t="shared" ca="1" si="3"/>
        <v>1363.2311436938553</v>
      </c>
      <c r="K40" s="27">
        <f t="shared" ca="1" si="3"/>
        <v>1434.9975946854556</v>
      </c>
      <c r="L40" s="27">
        <f t="shared" ca="1" si="3"/>
        <v>1527.9895529015321</v>
      </c>
      <c r="M40" s="27">
        <f t="shared" ca="1" si="3"/>
        <v>1609.2587729237391</v>
      </c>
      <c r="N40" s="27">
        <f t="shared" ca="1" si="3"/>
        <v>1693.2982927031776</v>
      </c>
      <c r="O40" s="27">
        <f t="shared" ca="1" si="3"/>
        <v>1757.058311975954</v>
      </c>
    </row>
    <row r="41" spans="2:15" hidden="1" outlineLevel="1">
      <c r="B41" s="24" t="s">
        <v>1232</v>
      </c>
      <c r="C41" s="24" t="s">
        <v>1233</v>
      </c>
      <c r="F41" s="823">
        <f ca="1">F40*F$19</f>
        <v>11.487378955468159</v>
      </c>
      <c r="G41" s="823">
        <f t="shared" ref="G41:O41" ca="1" si="4">G40*G$19</f>
        <v>11.835941996259647</v>
      </c>
      <c r="H41" s="823">
        <f t="shared" ca="1" si="4"/>
        <v>13.070243359923463</v>
      </c>
      <c r="I41" s="823">
        <f t="shared" ca="1" si="4"/>
        <v>14.221515631289973</v>
      </c>
      <c r="J41" s="823">
        <f t="shared" ca="1" si="4"/>
        <v>15.711730087980099</v>
      </c>
      <c r="K41" s="823">
        <f t="shared" ca="1" si="4"/>
        <v>16.538864292306567</v>
      </c>
      <c r="L41" s="823">
        <f t="shared" ca="1" si="4"/>
        <v>17.610630114707575</v>
      </c>
      <c r="M41" s="823">
        <f t="shared" ca="1" si="4"/>
        <v>18.547287155853006</v>
      </c>
      <c r="N41" s="823">
        <f t="shared" ca="1" si="4"/>
        <v>19.515872899808492</v>
      </c>
      <c r="O41" s="823">
        <f t="shared" ca="1" si="4"/>
        <v>20.250730093947862</v>
      </c>
    </row>
    <row r="42" spans="2:15" hidden="1" outlineLevel="1">
      <c r="B42" s="731" t="s">
        <v>840</v>
      </c>
      <c r="C42" s="731" t="s">
        <v>1234</v>
      </c>
      <c r="F42" s="783">
        <f ca="1">F40+F41</f>
        <v>1008.1919216008305</v>
      </c>
      <c r="G42" s="783">
        <f t="shared" ref="G42:O42" ca="1" si="5">G40+G41</f>
        <v>1038.7836208262938</v>
      </c>
      <c r="H42" s="783">
        <f t="shared" ca="1" si="5"/>
        <v>1147.1123064638814</v>
      </c>
      <c r="I42" s="783">
        <f t="shared" ca="1" si="5"/>
        <v>1248.1539285827585</v>
      </c>
      <c r="J42" s="783">
        <f t="shared" ca="1" si="5"/>
        <v>1378.9428737818355</v>
      </c>
      <c r="K42" s="783">
        <f t="shared" ca="1" si="5"/>
        <v>1451.5364589777621</v>
      </c>
      <c r="L42" s="783">
        <f t="shared" ca="1" si="5"/>
        <v>1545.6001830162397</v>
      </c>
      <c r="M42" s="783">
        <f t="shared" ca="1" si="5"/>
        <v>1627.806060079592</v>
      </c>
      <c r="N42" s="783">
        <f t="shared" ca="1" si="5"/>
        <v>1712.8141656029861</v>
      </c>
      <c r="O42" s="783">
        <f t="shared" ca="1" si="5"/>
        <v>1777.3090420699018</v>
      </c>
    </row>
    <row r="43" spans="2:15" hidden="1" outlineLevel="1">
      <c r="C43" s="807"/>
      <c r="F43" s="823"/>
      <c r="G43" s="823"/>
      <c r="H43" s="823"/>
      <c r="I43" s="823"/>
      <c r="J43" s="823"/>
      <c r="K43" s="823"/>
      <c r="L43" s="823"/>
      <c r="M43" s="823"/>
      <c r="N43" s="823"/>
      <c r="O43" s="823"/>
    </row>
    <row r="44" spans="2:15" hidden="1" outlineLevel="1">
      <c r="B44" s="731">
        <v>2</v>
      </c>
      <c r="C44" s="731" t="s">
        <v>1175</v>
      </c>
      <c r="F44" s="823"/>
      <c r="G44" s="823"/>
      <c r="H44" s="823"/>
      <c r="I44" s="823"/>
      <c r="J44" s="823"/>
      <c r="K44" s="823"/>
      <c r="L44" s="823"/>
      <c r="M44" s="823"/>
      <c r="N44" s="823"/>
      <c r="O44" s="823"/>
    </row>
    <row r="45" spans="2:15" hidden="1" outlineLevel="1">
      <c r="C45" s="121" t="s">
        <v>1235</v>
      </c>
      <c r="F45" s="823"/>
      <c r="G45" s="823"/>
      <c r="H45" s="823"/>
      <c r="I45" s="823"/>
      <c r="J45" s="823"/>
      <c r="K45" s="823"/>
      <c r="L45" s="823"/>
      <c r="M45" s="823"/>
      <c r="N45" s="823"/>
      <c r="O45" s="823"/>
    </row>
    <row r="46" spans="2:15" hidden="1" outlineLevel="1">
      <c r="C46" s="121" t="s">
        <v>1236</v>
      </c>
      <c r="F46" s="823"/>
      <c r="G46" s="823"/>
      <c r="H46" s="823"/>
      <c r="I46" s="823"/>
      <c r="J46" s="823"/>
      <c r="K46" s="823"/>
      <c r="L46" s="823"/>
      <c r="M46" s="823"/>
      <c r="N46" s="823"/>
      <c r="O46" s="823"/>
    </row>
    <row r="47" spans="2:15" hidden="1" outlineLevel="1">
      <c r="C47" s="121" t="s">
        <v>1729</v>
      </c>
      <c r="F47" s="823"/>
      <c r="G47" s="823"/>
      <c r="H47" s="823"/>
      <c r="I47" s="823"/>
      <c r="J47" s="823"/>
      <c r="K47" s="823"/>
      <c r="L47" s="823"/>
      <c r="M47" s="823"/>
      <c r="N47" s="823"/>
      <c r="O47" s="823"/>
    </row>
    <row r="48" spans="2:15" hidden="1" outlineLevel="1">
      <c r="F48" s="823"/>
      <c r="G48" s="823"/>
      <c r="H48" s="823"/>
      <c r="I48" s="823"/>
      <c r="J48" s="823"/>
      <c r="K48" s="823"/>
      <c r="L48" s="823"/>
      <c r="M48" s="823"/>
      <c r="N48" s="823"/>
      <c r="O48" s="823"/>
    </row>
    <row r="49" spans="1:16" hidden="1" outlineLevel="1">
      <c r="C49" s="731" t="s">
        <v>1225</v>
      </c>
      <c r="E49" s="121" t="s">
        <v>1075</v>
      </c>
      <c r="F49" s="823">
        <f>F$24</f>
        <v>4.3706513640884639</v>
      </c>
      <c r="G49" s="823">
        <f ca="1">$F49*(G$40/$F$40)</f>
        <v>4.503270609576222</v>
      </c>
      <c r="H49" s="823">
        <f t="shared" ref="H49:O49" ca="1" si="6">$F49*(H$40/$F$40)</f>
        <v>4.9728904384080685</v>
      </c>
      <c r="I49" s="823">
        <f t="shared" ca="1" si="6"/>
        <v>5.4109198394395408</v>
      </c>
      <c r="J49" s="823">
        <f t="shared" ca="1" si="6"/>
        <v>5.9779079986328671</v>
      </c>
      <c r="K49" s="823">
        <f t="shared" ca="1" si="6"/>
        <v>6.2926112266222987</v>
      </c>
      <c r="L49" s="823">
        <f t="shared" ca="1" si="6"/>
        <v>6.700390474771031</v>
      </c>
      <c r="M49" s="823">
        <f t="shared" ca="1" si="6"/>
        <v>7.0567643169186018</v>
      </c>
      <c r="N49" s="823">
        <f t="shared" ca="1" si="6"/>
        <v>7.425286206852471</v>
      </c>
      <c r="O49" s="823">
        <f t="shared" ca="1" si="6"/>
        <v>7.704880412843786</v>
      </c>
    </row>
    <row r="50" spans="1:16" hidden="1" outlineLevel="1">
      <c r="C50" s="807"/>
      <c r="F50" s="823"/>
      <c r="G50" s="823"/>
      <c r="H50" s="823"/>
      <c r="I50" s="823"/>
      <c r="J50" s="823"/>
      <c r="K50" s="823"/>
      <c r="L50" s="823"/>
      <c r="M50" s="823"/>
      <c r="N50" s="823"/>
      <c r="O50" s="823"/>
    </row>
    <row r="51" spans="1:16" hidden="1" outlineLevel="1">
      <c r="F51" s="783"/>
    </row>
    <row r="53" spans="1:16" ht="22.5" collapsed="1">
      <c r="A53" s="1171"/>
      <c r="B53" s="1231" t="s">
        <v>683</v>
      </c>
      <c r="C53" s="1183"/>
      <c r="D53" s="1183"/>
      <c r="E53" s="1183"/>
      <c r="F53" s="1183"/>
      <c r="G53" s="1183"/>
      <c r="H53" s="1183"/>
      <c r="I53" s="1183"/>
      <c r="J53" s="1183"/>
      <c r="K53" s="1183"/>
      <c r="L53" s="1183"/>
      <c r="M53" s="1183"/>
      <c r="N53" s="1183"/>
      <c r="O53" s="1183"/>
      <c r="P53" s="1185"/>
    </row>
    <row r="54" spans="1:16" hidden="1" outlineLevel="1">
      <c r="B54" s="1172"/>
      <c r="C54" s="1174"/>
      <c r="D54" s="1174"/>
      <c r="E54" s="1174"/>
      <c r="F54" s="1174"/>
      <c r="G54" s="1174"/>
      <c r="H54" s="1174"/>
      <c r="I54" s="1174"/>
      <c r="J54" s="1174"/>
      <c r="K54" s="1174"/>
      <c r="L54" s="1174"/>
      <c r="M54" s="1174"/>
      <c r="N54" s="1174"/>
      <c r="O54" s="1174"/>
      <c r="P54" s="1176"/>
    </row>
    <row r="55" spans="1:16" hidden="1" outlineLevel="1">
      <c r="B55" s="1172"/>
      <c r="C55" s="1186" t="s">
        <v>780</v>
      </c>
      <c r="D55" s="1174"/>
      <c r="E55" s="1175"/>
      <c r="F55" s="1174"/>
      <c r="G55" s="1175"/>
      <c r="H55" s="1174"/>
      <c r="I55" s="1174"/>
      <c r="J55" s="1174"/>
      <c r="K55" s="1174"/>
      <c r="L55" s="1174"/>
      <c r="M55" s="1174"/>
      <c r="N55" s="1174"/>
      <c r="O55" s="1175" t="str">
        <f>Preferences.EnergyUnits</f>
        <v>TWh</v>
      </c>
      <c r="P55" s="1176"/>
    </row>
    <row r="56" spans="1:16" ht="6" hidden="1" customHeight="1" outlineLevel="1">
      <c r="B56" s="1172"/>
      <c r="C56" s="1174"/>
      <c r="D56" s="1174"/>
      <c r="E56" s="1174"/>
      <c r="F56" s="1174"/>
      <c r="G56" s="1174"/>
      <c r="H56" s="1174"/>
      <c r="I56" s="1174"/>
      <c r="J56" s="1174"/>
      <c r="K56" s="1174"/>
      <c r="L56" s="1174"/>
      <c r="M56" s="1174"/>
      <c r="N56" s="1174"/>
      <c r="O56" s="1174"/>
      <c r="P56" s="1176"/>
    </row>
    <row r="57" spans="1:16" ht="15.75" hidden="1" outlineLevel="1">
      <c r="A57" s="3"/>
      <c r="B57" s="1177"/>
      <c r="C57" s="1188" t="s">
        <v>78</v>
      </c>
      <c r="D57" s="1188" t="s">
        <v>418</v>
      </c>
      <c r="E57" s="1188" t="s">
        <v>442</v>
      </c>
      <c r="F57" s="1188" t="s">
        <v>691</v>
      </c>
      <c r="G57" s="1188" t="s">
        <v>692</v>
      </c>
      <c r="H57" s="1189" t="s">
        <v>721</v>
      </c>
      <c r="I57" s="1189" t="s">
        <v>722</v>
      </c>
      <c r="J57" s="1189" t="s">
        <v>723</v>
      </c>
      <c r="K57" s="1189" t="s">
        <v>724</v>
      </c>
      <c r="L57" s="1189" t="s">
        <v>725</v>
      </c>
      <c r="M57" s="1189" t="s">
        <v>726</v>
      </c>
      <c r="N57" s="1189" t="s">
        <v>727</v>
      </c>
      <c r="O57" s="1189" t="s">
        <v>728</v>
      </c>
      <c r="P57" s="1176"/>
    </row>
    <row r="58" spans="1:16" ht="15.75" hidden="1" outlineLevel="1">
      <c r="A58" s="3"/>
      <c r="B58" s="1177"/>
      <c r="C58" s="765" t="s">
        <v>47</v>
      </c>
      <c r="D58" s="765" t="str">
        <f>INDEX(Vectors[Description], MATCH([Vector], Vectors[Code], 0))</f>
        <v>Solid hydrocarbons</v>
      </c>
      <c r="E58" s="765"/>
      <c r="F58" s="953">
        <f ca="1">F$37</f>
        <v>426.93200685955935</v>
      </c>
      <c r="G58" s="953">
        <f t="shared" ref="G58:O58" ca="1" si="7">G$37</f>
        <v>413.29735672224962</v>
      </c>
      <c r="H58" s="953">
        <f t="shared" ca="1" si="7"/>
        <v>294.8616899314772</v>
      </c>
      <c r="I58" s="953">
        <f t="shared" ca="1" si="7"/>
        <v>195.26299222756302</v>
      </c>
      <c r="J58" s="953">
        <f t="shared" ca="1" si="7"/>
        <v>75.155782547911443</v>
      </c>
      <c r="K58" s="953">
        <f t="shared" ca="1" si="7"/>
        <v>69.138060834721983</v>
      </c>
      <c r="L58" s="953">
        <f t="shared" ca="1" si="7"/>
        <v>62.557413588660083</v>
      </c>
      <c r="M58" s="953">
        <f t="shared" ca="1" si="7"/>
        <v>54.911379197044496</v>
      </c>
      <c r="N58" s="953">
        <f t="shared" ca="1" si="7"/>
        <v>50.198129932566964</v>
      </c>
      <c r="O58" s="953">
        <f t="shared" ca="1" si="7"/>
        <v>45.157744694729161</v>
      </c>
      <c r="P58" s="1176"/>
    </row>
    <row r="59" spans="1:16" ht="15.75" hidden="1" outlineLevel="1">
      <c r="A59" s="3"/>
      <c r="B59" s="1177"/>
      <c r="C59" s="765" t="s">
        <v>49</v>
      </c>
      <c r="D59" s="765" t="str">
        <f>INDEX(Vectors[Description], MATCH([Vector], Vectors[Code], 0))</f>
        <v>Liquid hydrocarbons</v>
      </c>
      <c r="E59" s="765"/>
      <c r="F59" s="953">
        <f ca="1">F$38</f>
        <v>878.62145398424082</v>
      </c>
      <c r="G59" s="953">
        <f t="shared" ref="G59:O59" ca="1" si="8">G$38</f>
        <v>879.88654710744879</v>
      </c>
      <c r="H59" s="953">
        <f t="shared" ca="1" si="8"/>
        <v>861.54937235318141</v>
      </c>
      <c r="I59" s="953">
        <f t="shared" ca="1" si="8"/>
        <v>855.49601977451869</v>
      </c>
      <c r="J59" s="953">
        <f t="shared" ca="1" si="8"/>
        <v>827.07383830358731</v>
      </c>
      <c r="K59" s="953">
        <f t="shared" ca="1" si="8"/>
        <v>796.97441639052499</v>
      </c>
      <c r="L59" s="953">
        <f t="shared" ca="1" si="8"/>
        <v>795.10578931526902</v>
      </c>
      <c r="M59" s="953">
        <f t="shared" ca="1" si="8"/>
        <v>788.99093031521011</v>
      </c>
      <c r="N59" s="953">
        <f t="shared" ca="1" si="8"/>
        <v>786.52173302619337</v>
      </c>
      <c r="O59" s="953">
        <f t="shared" ca="1" si="8"/>
        <v>786.05031450159174</v>
      </c>
      <c r="P59" s="1176"/>
    </row>
    <row r="60" spans="1:16" ht="15.75" hidden="1" outlineLevel="1">
      <c r="A60" s="3"/>
      <c r="B60" s="1177"/>
      <c r="C60" s="765" t="s">
        <v>50</v>
      </c>
      <c r="D60" s="765" t="str">
        <f>INDEX(Vectors[Description], MATCH([Vector], Vectors[Code], 0))</f>
        <v>Gaseous hydrocarbons</v>
      </c>
      <c r="E60" s="765"/>
      <c r="F60" s="953">
        <f ca="1">F$40</f>
        <v>996.70454264536238</v>
      </c>
      <c r="G60" s="953">
        <f t="shared" ref="G60:O60" ca="1" si="9">G$40</f>
        <v>1026.9476788300342</v>
      </c>
      <c r="H60" s="953">
        <f t="shared" ca="1" si="9"/>
        <v>1134.0420631039578</v>
      </c>
      <c r="I60" s="953">
        <f t="shared" ca="1" si="9"/>
        <v>1233.9324129514685</v>
      </c>
      <c r="J60" s="953">
        <f t="shared" ca="1" si="9"/>
        <v>1363.2311436938553</v>
      </c>
      <c r="K60" s="953">
        <f t="shared" ca="1" si="9"/>
        <v>1434.9975946854556</v>
      </c>
      <c r="L60" s="953">
        <f t="shared" ca="1" si="9"/>
        <v>1527.9895529015321</v>
      </c>
      <c r="M60" s="953">
        <f t="shared" ca="1" si="9"/>
        <v>1609.2587729237391</v>
      </c>
      <c r="N60" s="953">
        <f t="shared" ca="1" si="9"/>
        <v>1693.2982927031776</v>
      </c>
      <c r="O60" s="953">
        <f t="shared" ca="1" si="9"/>
        <v>1757.058311975954</v>
      </c>
      <c r="P60" s="1176"/>
    </row>
    <row r="61" spans="1:16" ht="15.75" hidden="1" outlineLevel="1">
      <c r="A61" s="3"/>
      <c r="B61" s="1177"/>
      <c r="C61" s="765" t="s">
        <v>64</v>
      </c>
      <c r="D61" s="765" t="str">
        <f>INDEX(Vectors[Description], MATCH([Vector], Vectors[Code], 0))</f>
        <v>Coal and fossil waste</v>
      </c>
      <c r="E61" s="765"/>
      <c r="F61" s="953">
        <f ca="1">-F$37</f>
        <v>-426.93200685955935</v>
      </c>
      <c r="G61" s="953">
        <f t="shared" ref="G61:O61" ca="1" si="10">-G$37</f>
        <v>-413.29735672224962</v>
      </c>
      <c r="H61" s="953">
        <f t="shared" ca="1" si="10"/>
        <v>-294.8616899314772</v>
      </c>
      <c r="I61" s="953">
        <f t="shared" ca="1" si="10"/>
        <v>-195.26299222756302</v>
      </c>
      <c r="J61" s="953">
        <f t="shared" ca="1" si="10"/>
        <v>-75.155782547911443</v>
      </c>
      <c r="K61" s="953">
        <f t="shared" ca="1" si="10"/>
        <v>-69.138060834721983</v>
      </c>
      <c r="L61" s="953">
        <f t="shared" ca="1" si="10"/>
        <v>-62.557413588660083</v>
      </c>
      <c r="M61" s="953">
        <f t="shared" ca="1" si="10"/>
        <v>-54.911379197044496</v>
      </c>
      <c r="N61" s="953">
        <f t="shared" ca="1" si="10"/>
        <v>-50.198129932566964</v>
      </c>
      <c r="O61" s="953">
        <f t="shared" ca="1" si="10"/>
        <v>-45.157744694729161</v>
      </c>
      <c r="P61" s="1176"/>
    </row>
    <row r="62" spans="1:16" ht="15.75" hidden="1" outlineLevel="1">
      <c r="A62" s="3"/>
      <c r="B62" s="1177"/>
      <c r="C62" s="765" t="s">
        <v>65</v>
      </c>
      <c r="D62" s="765" t="str">
        <f>INDEX(Vectors[Description], MATCH([Vector], Vectors[Code], 0))</f>
        <v>Oil and petroleum products</v>
      </c>
      <c r="E62" s="765"/>
      <c r="F62" s="953">
        <f ca="1">-F38</f>
        <v>-878.62145398424082</v>
      </c>
      <c r="G62" s="953">
        <f t="shared" ref="G62:O62" ca="1" si="11">-G38</f>
        <v>-879.88654710744879</v>
      </c>
      <c r="H62" s="953">
        <f t="shared" ca="1" si="11"/>
        <v>-861.54937235318141</v>
      </c>
      <c r="I62" s="953">
        <f t="shared" ca="1" si="11"/>
        <v>-855.49601977451869</v>
      </c>
      <c r="J62" s="953">
        <f t="shared" ca="1" si="11"/>
        <v>-827.07383830358731</v>
      </c>
      <c r="K62" s="953">
        <f t="shared" ca="1" si="11"/>
        <v>-796.97441639052499</v>
      </c>
      <c r="L62" s="953">
        <f t="shared" ca="1" si="11"/>
        <v>-795.10578931526902</v>
      </c>
      <c r="M62" s="953">
        <f t="shared" ca="1" si="11"/>
        <v>-788.99093031521011</v>
      </c>
      <c r="N62" s="953">
        <f t="shared" ca="1" si="11"/>
        <v>-786.52173302619337</v>
      </c>
      <c r="O62" s="953">
        <f t="shared" ca="1" si="11"/>
        <v>-786.05031450159174</v>
      </c>
      <c r="P62" s="1176"/>
    </row>
    <row r="63" spans="1:16" ht="15.75" hidden="1" outlineLevel="1">
      <c r="A63" s="3"/>
      <c r="B63" s="1177"/>
      <c r="C63" s="765" t="s">
        <v>66</v>
      </c>
      <c r="D63" s="765" t="str">
        <f>INDEX(Vectors[Description], MATCH([Vector], Vectors[Code], 0))</f>
        <v>Natural gas</v>
      </c>
      <c r="E63" s="765"/>
      <c r="F63" s="953">
        <f ca="1">-F$42</f>
        <v>-1008.1919216008305</v>
      </c>
      <c r="G63" s="953">
        <f t="shared" ref="G63:O63" ca="1" si="12">-G$42</f>
        <v>-1038.7836208262938</v>
      </c>
      <c r="H63" s="953">
        <f t="shared" ca="1" si="12"/>
        <v>-1147.1123064638814</v>
      </c>
      <c r="I63" s="953">
        <f t="shared" ca="1" si="12"/>
        <v>-1248.1539285827585</v>
      </c>
      <c r="J63" s="953">
        <f t="shared" ca="1" si="12"/>
        <v>-1378.9428737818355</v>
      </c>
      <c r="K63" s="953">
        <f t="shared" ca="1" si="12"/>
        <v>-1451.5364589777621</v>
      </c>
      <c r="L63" s="953">
        <f t="shared" ca="1" si="12"/>
        <v>-1545.6001830162397</v>
      </c>
      <c r="M63" s="953">
        <f t="shared" ca="1" si="12"/>
        <v>-1627.806060079592</v>
      </c>
      <c r="N63" s="953">
        <f t="shared" ca="1" si="12"/>
        <v>-1712.8141656029861</v>
      </c>
      <c r="O63" s="953">
        <f t="shared" ca="1" si="12"/>
        <v>-1777.3090420699018</v>
      </c>
      <c r="P63" s="1176"/>
    </row>
    <row r="64" spans="1:16" ht="15.75" hidden="1" outlineLevel="1">
      <c r="A64" s="3"/>
      <c r="B64" s="1177"/>
      <c r="C64" s="765" t="s">
        <v>35</v>
      </c>
      <c r="D64" s="765" t="str">
        <f>INDEX(Vectors[Description], MATCH([Vector], Vectors[Code], 0))</f>
        <v>Distribution losses and own use</v>
      </c>
      <c r="E64" s="765"/>
      <c r="F64" s="953">
        <f ca="1">F$41</f>
        <v>11.487378955468159</v>
      </c>
      <c r="G64" s="953">
        <f t="shared" ref="G64:O64" ca="1" si="13">G$41</f>
        <v>11.835941996259647</v>
      </c>
      <c r="H64" s="953">
        <f t="shared" ca="1" si="13"/>
        <v>13.070243359923463</v>
      </c>
      <c r="I64" s="953">
        <f t="shared" ca="1" si="13"/>
        <v>14.221515631289973</v>
      </c>
      <c r="J64" s="953">
        <f t="shared" ca="1" si="13"/>
        <v>15.711730087980099</v>
      </c>
      <c r="K64" s="953">
        <f t="shared" ca="1" si="13"/>
        <v>16.538864292306567</v>
      </c>
      <c r="L64" s="953">
        <f t="shared" ca="1" si="13"/>
        <v>17.610630114707575</v>
      </c>
      <c r="M64" s="953">
        <f t="shared" ca="1" si="13"/>
        <v>18.547287155853006</v>
      </c>
      <c r="N64" s="953">
        <f t="shared" ca="1" si="13"/>
        <v>19.515872899808492</v>
      </c>
      <c r="O64" s="953">
        <f t="shared" ca="1" si="13"/>
        <v>20.250730093947862</v>
      </c>
      <c r="P64" s="1176"/>
    </row>
    <row r="65" spans="1:16" ht="15.75" hidden="1" outlineLevel="1">
      <c r="A65" s="3"/>
      <c r="B65" s="1177"/>
      <c r="C65" s="765" t="s">
        <v>148</v>
      </c>
      <c r="D65" s="765"/>
      <c r="E65" s="765"/>
      <c r="F65" s="1459">
        <f>SUBTOTAL(109,[2007])</f>
        <v>0</v>
      </c>
      <c r="G65" s="1459">
        <f>SUBTOTAL(109,[2010])</f>
        <v>0</v>
      </c>
      <c r="H65" s="1459">
        <f>SUBTOTAL(109,[2015])</f>
        <v>0</v>
      </c>
      <c r="I65" s="1459">
        <f>SUBTOTAL(109,[2020])</f>
        <v>0</v>
      </c>
      <c r="J65" s="1459">
        <f>SUBTOTAL(109,[2025])</f>
        <v>0</v>
      </c>
      <c r="K65" s="1459">
        <f>SUBTOTAL(109,[2030])</f>
        <v>0</v>
      </c>
      <c r="L65" s="1459">
        <f>SUBTOTAL(109,[2035])</f>
        <v>0</v>
      </c>
      <c r="M65" s="1459">
        <f>SUBTOTAL(109,[2040])</f>
        <v>0</v>
      </c>
      <c r="N65" s="1459">
        <f>SUBTOTAL(109,[2045])</f>
        <v>0</v>
      </c>
      <c r="O65" s="1459">
        <f>SUBTOTAL(109,[2050])</f>
        <v>0</v>
      </c>
      <c r="P65" s="1176"/>
    </row>
    <row r="66" spans="1:16" ht="15.75" hidden="1" outlineLevel="1">
      <c r="A66" s="3"/>
      <c r="B66" s="1178"/>
      <c r="C66" s="1281"/>
      <c r="D66" s="1282"/>
      <c r="E66" s="1282"/>
      <c r="F66" s="1282"/>
      <c r="G66" s="1282"/>
      <c r="H66" s="1282"/>
      <c r="I66" s="1282"/>
      <c r="J66" s="1282"/>
      <c r="K66" s="1282"/>
      <c r="L66" s="1282"/>
      <c r="M66" s="1282"/>
      <c r="N66" s="1282"/>
      <c r="O66" s="1282"/>
      <c r="P66" s="1181"/>
    </row>
    <row r="67" spans="1:16" hidden="1" outlineLevel="1"/>
    <row r="68" spans="1:16" ht="22.5" hidden="1" outlineLevel="1">
      <c r="A68" s="1171"/>
      <c r="B68" s="1249" t="s">
        <v>902</v>
      </c>
      <c r="C68" s="1198"/>
      <c r="D68" s="1199"/>
      <c r="E68" s="1199"/>
      <c r="F68" s="1199"/>
      <c r="G68" s="1199"/>
      <c r="H68" s="1199"/>
      <c r="I68" s="1199"/>
      <c r="J68" s="1199"/>
      <c r="K68" s="1199"/>
      <c r="L68" s="1199"/>
      <c r="M68" s="1199"/>
      <c r="N68" s="1199"/>
      <c r="O68" s="1199"/>
      <c r="P68" s="1200"/>
    </row>
    <row r="69" spans="1:16" hidden="1" outlineLevel="1">
      <c r="B69" s="1207"/>
      <c r="C69" s="1208"/>
      <c r="D69" s="1208"/>
      <c r="E69" s="1208"/>
      <c r="F69" s="1208"/>
      <c r="G69" s="1208"/>
      <c r="H69" s="1208"/>
      <c r="I69" s="1208"/>
      <c r="J69" s="1208"/>
      <c r="K69" s="1208"/>
      <c r="L69" s="1208"/>
      <c r="M69" s="1208"/>
      <c r="N69" s="1208"/>
      <c r="O69" s="1208"/>
      <c r="P69" s="1209"/>
    </row>
    <row r="70" spans="1:16" ht="14.25" hidden="1" outlineLevel="1">
      <c r="B70" s="1210"/>
      <c r="C70" s="1201" t="s">
        <v>1073</v>
      </c>
      <c r="D70" s="1202"/>
      <c r="E70" s="1203"/>
      <c r="F70" s="1202"/>
      <c r="G70" s="1203"/>
      <c r="H70" s="1202"/>
      <c r="I70" s="1202"/>
      <c r="J70" s="1202"/>
      <c r="K70" s="1202"/>
      <c r="L70" s="1202"/>
      <c r="M70" s="1202"/>
      <c r="N70" s="1202"/>
      <c r="O70" s="1203" t="s">
        <v>1076</v>
      </c>
      <c r="P70" s="1211"/>
    </row>
    <row r="71" spans="1:16" ht="5.25" hidden="1" customHeight="1" outlineLevel="1">
      <c r="B71" s="1210"/>
      <c r="C71" s="1202"/>
      <c r="D71" s="1202"/>
      <c r="E71" s="1202"/>
      <c r="F71" s="1202"/>
      <c r="G71" s="1202"/>
      <c r="H71" s="1202"/>
      <c r="I71" s="1202"/>
      <c r="J71" s="1202"/>
      <c r="K71" s="1202"/>
      <c r="L71" s="1202"/>
      <c r="M71" s="1202"/>
      <c r="N71" s="1202"/>
      <c r="O71" s="1202"/>
      <c r="P71" s="1211"/>
    </row>
    <row r="72" spans="1:16" ht="15.75" hidden="1" outlineLevel="1">
      <c r="B72" s="1212"/>
      <c r="C72" s="1269" t="s">
        <v>1072</v>
      </c>
      <c r="D72" s="1269" t="s">
        <v>1042</v>
      </c>
      <c r="E72" s="1269" t="s">
        <v>442</v>
      </c>
      <c r="F72" s="1269" t="s">
        <v>691</v>
      </c>
      <c r="G72" s="1269" t="s">
        <v>692</v>
      </c>
      <c r="H72" s="1269" t="s">
        <v>721</v>
      </c>
      <c r="I72" s="1269" t="s">
        <v>722</v>
      </c>
      <c r="J72" s="1269" t="s">
        <v>723</v>
      </c>
      <c r="K72" s="1269" t="s">
        <v>724</v>
      </c>
      <c r="L72" s="1269" t="s">
        <v>725</v>
      </c>
      <c r="M72" s="1269" t="s">
        <v>726</v>
      </c>
      <c r="N72" s="1269" t="s">
        <v>727</v>
      </c>
      <c r="O72" s="1269" t="s">
        <v>728</v>
      </c>
      <c r="P72" s="1211"/>
    </row>
    <row r="73" spans="1:16" ht="15.75" hidden="1" outlineLevel="1">
      <c r="B73" s="1212"/>
      <c r="C73" s="1206" t="s">
        <v>1056</v>
      </c>
      <c r="D73" s="1216" t="s">
        <v>1064</v>
      </c>
      <c r="E73" s="1206" t="str">
        <f>INDEX(IPCC[Sector_description], MATCH([IPCC Sector], IPCC[Sector_code], 0))</f>
        <v>Fugitive Emissions from Fuels</v>
      </c>
      <c r="F73" s="1218">
        <f>F$49</f>
        <v>4.3706513640884639</v>
      </c>
      <c r="G73" s="1218">
        <f t="shared" ref="G73:O73" ca="1" si="14">G$49</f>
        <v>4.503270609576222</v>
      </c>
      <c r="H73" s="1218">
        <f t="shared" ca="1" si="14"/>
        <v>4.9728904384080685</v>
      </c>
      <c r="I73" s="1218">
        <f t="shared" ca="1" si="14"/>
        <v>5.4109198394395408</v>
      </c>
      <c r="J73" s="1218">
        <f t="shared" ca="1" si="14"/>
        <v>5.9779079986328671</v>
      </c>
      <c r="K73" s="1218">
        <f t="shared" ca="1" si="14"/>
        <v>6.2926112266222987</v>
      </c>
      <c r="L73" s="1218">
        <f t="shared" ca="1" si="14"/>
        <v>6.700390474771031</v>
      </c>
      <c r="M73" s="1218">
        <f t="shared" ca="1" si="14"/>
        <v>7.0567643169186018</v>
      </c>
      <c r="N73" s="1218">
        <f t="shared" ca="1" si="14"/>
        <v>7.425286206852471</v>
      </c>
      <c r="O73" s="1218">
        <f t="shared" ca="1" si="14"/>
        <v>7.704880412843786</v>
      </c>
      <c r="P73" s="1211"/>
    </row>
    <row r="74" spans="1:16" ht="15.75" hidden="1" outlineLevel="1">
      <c r="B74" s="1212"/>
      <c r="C74" s="1206" t="s">
        <v>148</v>
      </c>
      <c r="D74" s="1206"/>
      <c r="E74" s="1206"/>
      <c r="F74" s="1278">
        <f>SUBTOTAL(109,[2007])</f>
        <v>0</v>
      </c>
      <c r="G74" s="1278">
        <f>SUBTOTAL(109,[2010])</f>
        <v>0</v>
      </c>
      <c r="H74" s="1278">
        <f>SUBTOTAL(109,[2015])</f>
        <v>0</v>
      </c>
      <c r="I74" s="1278">
        <f>SUBTOTAL(109,[2020])</f>
        <v>0</v>
      </c>
      <c r="J74" s="1278">
        <f>SUBTOTAL(109,[2025])</f>
        <v>0</v>
      </c>
      <c r="K74" s="1278">
        <f>SUBTOTAL(109,[2030])</f>
        <v>0</v>
      </c>
      <c r="L74" s="1278">
        <f>SUBTOTAL(109,[2035])</f>
        <v>0</v>
      </c>
      <c r="M74" s="1278">
        <f>SUBTOTAL(109,[2040])</f>
        <v>0</v>
      </c>
      <c r="N74" s="1278">
        <f>SUBTOTAL(109,[2045])</f>
        <v>0</v>
      </c>
      <c r="O74" s="1278">
        <f>SUBTOTAL(109,[2050])</f>
        <v>0</v>
      </c>
      <c r="P74" s="1211"/>
    </row>
    <row r="75" spans="1:16" ht="15.75" hidden="1" outlineLevel="1">
      <c r="B75" s="1212"/>
      <c r="C75" s="1202"/>
      <c r="D75" s="1202"/>
      <c r="E75" s="1202"/>
      <c r="F75" s="1202"/>
      <c r="G75" s="1202"/>
      <c r="H75" s="1202"/>
      <c r="I75" s="1202"/>
      <c r="J75" s="1202"/>
      <c r="K75" s="1202"/>
      <c r="L75" s="1202"/>
      <c r="M75" s="1202"/>
      <c r="N75" s="1202"/>
      <c r="O75" s="1202"/>
      <c r="P75" s="1211"/>
    </row>
    <row r="76" spans="1:16" hidden="1" outlineLevel="1"/>
  </sheetData>
  <pageMargins left="0.7" right="0.7" top="0.75" bottom="0.75" header="0.3" footer="0.3"/>
  <pageSetup paperSize="9" orientation="portrait" r:id="rId1"/>
  <ignoredErrors>
    <ignoredError sqref="F62:F64 F58:F59 F60:F61 F9:O11" calculatedColumn="1"/>
  </ignoredErrors>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sheetPr codeName="Sheet2">
    <pageSetUpPr autoPageBreaks="0"/>
  </sheetPr>
  <dimension ref="A3:G7"/>
  <sheetViews>
    <sheetView showGridLines="0" showRowColHeaders="0" zoomScale="80" zoomScaleNormal="80" workbookViewId="0"/>
  </sheetViews>
  <sheetFormatPr defaultRowHeight="12.75"/>
  <cols>
    <col min="1" max="1" width="3.7109375" customWidth="1"/>
    <col min="2" max="2" width="24.28515625" bestFit="1" customWidth="1"/>
    <col min="3" max="3" width="20.28515625" customWidth="1"/>
    <col min="4" max="4" width="4.28515625" customWidth="1"/>
    <col min="5" max="5" width="12.28515625" bestFit="1" customWidth="1"/>
    <col min="6" max="6" width="10.140625" bestFit="1" customWidth="1"/>
  </cols>
  <sheetData>
    <row r="3" spans="1:7" s="743" customFormat="1" ht="20.25">
      <c r="A3" s="760"/>
      <c r="B3" s="753" t="s">
        <v>693</v>
      </c>
      <c r="C3" s="761" t="s">
        <v>87</v>
      </c>
      <c r="E3" s="743" t="s">
        <v>733</v>
      </c>
      <c r="F3" s="773">
        <f>1/Unit.J</f>
        <v>3599999999999999.5</v>
      </c>
      <c r="G3" s="743" t="s">
        <v>84</v>
      </c>
    </row>
    <row r="5" spans="1:7" ht="20.25">
      <c r="A5" s="759"/>
      <c r="B5" s="753" t="s">
        <v>694</v>
      </c>
      <c r="C5" s="761" t="s">
        <v>698</v>
      </c>
      <c r="E5" s="743" t="s">
        <v>733</v>
      </c>
      <c r="F5" s="773">
        <f>1/Unit.W</f>
        <v>999999999.99999988</v>
      </c>
      <c r="G5" s="743" t="s">
        <v>697</v>
      </c>
    </row>
    <row r="7" spans="1:7" ht="20.25">
      <c r="A7" s="759"/>
      <c r="B7" s="753" t="s">
        <v>1895</v>
      </c>
      <c r="C7" s="761" t="s">
        <v>2089</v>
      </c>
      <c r="D7" s="121"/>
      <c r="E7" s="743" t="s">
        <v>733</v>
      </c>
      <c r="F7" s="773">
        <f>1/Unit.m2</f>
        <v>10000000000</v>
      </c>
      <c r="G7" s="743" t="s">
        <v>1890</v>
      </c>
    </row>
  </sheetData>
  <dataValidations count="3">
    <dataValidation type="list" allowBlank="1" showInputMessage="1" showErrorMessage="1" sqref="C3">
      <formula1>Conversions.Energy.Units</formula1>
    </dataValidation>
    <dataValidation type="list" allowBlank="1" showInputMessage="1" showErrorMessage="1" sqref="C5">
      <formula1>Conversions.Power.Units</formula1>
    </dataValidation>
    <dataValidation type="list" allowBlank="1" showInputMessage="1" showErrorMessage="1" sqref="C7">
      <formula1>Conversions.Area.Units</formula1>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sheetPr codeName="Sheet55">
    <tabColor theme="9"/>
    <outlinePr summaryBelow="0"/>
    <pageSetUpPr autoPageBreaks="0"/>
  </sheetPr>
  <dimension ref="A1:P42"/>
  <sheetViews>
    <sheetView showGridLines="0" zoomScale="80" zoomScaleNormal="80" workbookViewId="0">
      <pane ySplit="2" topLeftCell="A3" activePane="bottomLeft" state="frozen"/>
      <selection activeCell="B55" activeCellId="2" sqref="A33:XFD33 A54:XFD54 B55"/>
      <selection pane="bottomLeft"/>
    </sheetView>
  </sheetViews>
  <sheetFormatPr defaultRowHeight="12.75" outlineLevelRow="1"/>
  <cols>
    <col min="1" max="1" width="7.140625" style="121" customWidth="1"/>
    <col min="2" max="2" width="2.5703125" style="121" customWidth="1"/>
    <col min="3" max="3" width="9.140625" style="121"/>
    <col min="4" max="4" width="28.140625" style="121" bestFit="1" customWidth="1"/>
    <col min="5" max="5" width="8.140625" style="121" customWidth="1"/>
    <col min="6" max="6" width="9.140625" style="121" customWidth="1"/>
    <col min="7" max="15" width="9.140625" style="121"/>
    <col min="16" max="16" width="2" style="121" customWidth="1"/>
    <col min="17" max="16384" width="9.140625" style="121"/>
  </cols>
  <sheetData>
    <row r="1" spans="1:16" ht="21">
      <c r="A1" s="789" t="s">
        <v>1336</v>
      </c>
      <c r="B1" s="789" t="str">
        <f>INDEX(Workstreams[Workstream], MATCH($A1, Workstreams[Code], 0))</f>
        <v>District heating</v>
      </c>
      <c r="C1" s="789"/>
    </row>
    <row r="2" spans="1:16" s="743" customFormat="1" ht="19.5" customHeight="1">
      <c r="A2" s="10" t="s">
        <v>1338</v>
      </c>
      <c r="B2" s="10" t="str">
        <f>INDEX(Modules[Module], MATCH($A2, Modules[Code], 0))</f>
        <v>District heating effective demand</v>
      </c>
      <c r="C2" s="10"/>
    </row>
    <row r="4" spans="1:16" ht="22.5" collapsed="1">
      <c r="A4" s="1171"/>
      <c r="B4" s="1231" t="s">
        <v>682</v>
      </c>
      <c r="C4" s="1183"/>
      <c r="D4" s="1183"/>
      <c r="E4" s="1183"/>
      <c r="F4" s="1183"/>
      <c r="G4" s="1183"/>
      <c r="H4" s="1183"/>
      <c r="I4" s="1183"/>
      <c r="J4" s="1183"/>
      <c r="K4" s="1183"/>
      <c r="L4" s="1183"/>
      <c r="M4" s="1183"/>
      <c r="N4" s="1183"/>
      <c r="O4" s="1183"/>
      <c r="P4" s="1185"/>
    </row>
    <row r="5" spans="1:16" hidden="1" outlineLevel="1">
      <c r="B5" s="1172"/>
      <c r="C5" s="1174"/>
      <c r="D5" s="1174"/>
      <c r="E5" s="1174"/>
      <c r="F5" s="1174"/>
      <c r="G5" s="1174"/>
      <c r="H5" s="1174"/>
      <c r="I5" s="1174"/>
      <c r="J5" s="1174"/>
      <c r="K5" s="1174"/>
      <c r="L5" s="1174"/>
      <c r="M5" s="1174"/>
      <c r="N5" s="1174"/>
      <c r="O5" s="1174"/>
      <c r="P5" s="1176"/>
    </row>
    <row r="6" spans="1:16" hidden="1" outlineLevel="1">
      <c r="B6" s="1172"/>
      <c r="C6" s="1186" t="s">
        <v>1341</v>
      </c>
      <c r="D6" s="1174"/>
      <c r="E6" s="1175"/>
      <c r="F6" s="1174"/>
      <c r="G6" s="1174"/>
      <c r="H6" s="1174"/>
      <c r="I6" s="1174"/>
      <c r="J6" s="1174"/>
      <c r="K6" s="1174"/>
      <c r="L6" s="1174"/>
      <c r="M6" s="1174"/>
      <c r="N6" s="1174"/>
      <c r="O6" s="1175" t="str">
        <f>Preferences.EnergyUnits</f>
        <v>TWh</v>
      </c>
      <c r="P6" s="1176"/>
    </row>
    <row r="7" spans="1:16" ht="6" hidden="1" customHeight="1" outlineLevel="1">
      <c r="B7" s="1172"/>
      <c r="C7" s="1173"/>
      <c r="D7" s="1174"/>
      <c r="E7" s="1175"/>
      <c r="F7" s="1174"/>
      <c r="G7" s="1174"/>
      <c r="H7" s="1174"/>
      <c r="I7" s="1174"/>
      <c r="J7" s="1174"/>
      <c r="K7" s="1174"/>
      <c r="L7" s="1174"/>
      <c r="M7" s="1174"/>
      <c r="N7" s="1174"/>
      <c r="O7" s="1174"/>
      <c r="P7" s="1176"/>
    </row>
    <row r="8" spans="1:16" s="743" customFormat="1" ht="15.75" hidden="1" outlineLevel="1">
      <c r="A8" s="753"/>
      <c r="B8" s="1187"/>
      <c r="C8" s="1188" t="s">
        <v>78</v>
      </c>
      <c r="D8" s="1188" t="s">
        <v>418</v>
      </c>
      <c r="E8" s="1188" t="s">
        <v>442</v>
      </c>
      <c r="F8" s="1188" t="s">
        <v>691</v>
      </c>
      <c r="G8" s="1188" t="s">
        <v>692</v>
      </c>
      <c r="H8" s="1189" t="s">
        <v>721</v>
      </c>
      <c r="I8" s="1189" t="s">
        <v>722</v>
      </c>
      <c r="J8" s="1189" t="s">
        <v>723</v>
      </c>
      <c r="K8" s="1189" t="s">
        <v>724</v>
      </c>
      <c r="L8" s="1189" t="s">
        <v>725</v>
      </c>
      <c r="M8" s="1189" t="s">
        <v>726</v>
      </c>
      <c r="N8" s="1189" t="s">
        <v>727</v>
      </c>
      <c r="O8" s="1189" t="s">
        <v>728</v>
      </c>
      <c r="P8" s="1190"/>
    </row>
    <row r="9" spans="1:16" s="743" customFormat="1" ht="18" hidden="1" customHeight="1" outlineLevel="1">
      <c r="A9" s="753"/>
      <c r="B9" s="1187"/>
      <c r="C9" s="765" t="s">
        <v>753</v>
      </c>
      <c r="D9" s="765" t="str">
        <f>INDEX(Vectors[Description], MATCH([Vector], Vectors[Code], 0))</f>
        <v>Heat transport</v>
      </c>
      <c r="E9" s="765"/>
      <c r="F9" s="1266">
        <f ca="1">INDEX(INDIRECT("'"&amp;XVII.a.Inputs[#Headers]&amp;"'!Year.Matrix"), MATCH("Subtotal."&amp;$A$2, INDIRECT("'"&amp;XVII.a.Inputs[#Headers]&amp;"'!Year.Modules"), 0), MATCH([Vector], INDIRECT("'"&amp;XVII.a.Inputs[#Headers]&amp;"'!Year.Vectors"), 0))</f>
        <v>-8.8131931365908187</v>
      </c>
      <c r="G9" s="1266">
        <f ca="1">INDEX(INDIRECT("'"&amp;XVII.a.Inputs[#Headers]&amp;"'!Year.Matrix"), MATCH("Subtotal."&amp;$A$2, INDIRECT("'"&amp;XVII.a.Inputs[#Headers]&amp;"'!Year.Modules"), 0), MATCH([Vector], INDIRECT("'"&amp;XVII.a.Inputs[#Headers]&amp;"'!Year.Vectors"), 0))</f>
        <v>-8.8197200023558597</v>
      </c>
      <c r="H9" s="1266">
        <f ca="1">INDEX(INDIRECT("'"&amp;XVII.a.Inputs[#Headers]&amp;"'!Year.Matrix"), MATCH("Subtotal."&amp;$A$2, INDIRECT("'"&amp;XVII.a.Inputs[#Headers]&amp;"'!Year.Modules"), 0), MATCH([Vector], INDIRECT("'"&amp;XVII.a.Inputs[#Headers]&amp;"'!Year.Vectors"), 0))</f>
        <v>-8.8729462092837785</v>
      </c>
      <c r="I9" s="1266">
        <f ca="1">INDEX(INDIRECT("'"&amp;XVII.a.Inputs[#Headers]&amp;"'!Year.Matrix"), MATCH("Subtotal."&amp;$A$2, INDIRECT("'"&amp;XVII.a.Inputs[#Headers]&amp;"'!Year.Modules"), 0), MATCH([Vector], INDIRECT("'"&amp;XVII.a.Inputs[#Headers]&amp;"'!Year.Vectors"), 0))</f>
        <v>-8.9403079226456423</v>
      </c>
      <c r="J9" s="1266">
        <f ca="1">INDEX(INDIRECT("'"&amp;XVII.a.Inputs[#Headers]&amp;"'!Year.Matrix"), MATCH("Subtotal."&amp;$A$2, INDIRECT("'"&amp;XVII.a.Inputs[#Headers]&amp;"'!Year.Modules"), 0), MATCH([Vector], INDIRECT("'"&amp;XVII.a.Inputs[#Headers]&amp;"'!Year.Vectors"), 0))</f>
        <v>-9.0253978428864041</v>
      </c>
      <c r="K9" s="1266">
        <f ca="1">INDEX(INDIRECT("'"&amp;XVII.a.Inputs[#Headers]&amp;"'!Year.Matrix"), MATCH("Subtotal."&amp;$A$2, INDIRECT("'"&amp;XVII.a.Inputs[#Headers]&amp;"'!Year.Modules"), 0), MATCH([Vector], INDIRECT("'"&amp;XVII.a.Inputs[#Headers]&amp;"'!Year.Vectors"), 0))</f>
        <v>-9.1268154005470734</v>
      </c>
      <c r="L9" s="1266">
        <f ca="1">INDEX(INDIRECT("'"&amp;XVII.a.Inputs[#Headers]&amp;"'!Year.Matrix"), MATCH("Subtotal."&amp;$A$2, INDIRECT("'"&amp;XVII.a.Inputs[#Headers]&amp;"'!Year.Modules"), 0), MATCH([Vector], INDIRECT("'"&amp;XVII.a.Inputs[#Headers]&amp;"'!Year.Vectors"), 0))</f>
        <v>-9.243482281981791</v>
      </c>
      <c r="M9" s="1266">
        <f ca="1">INDEX(INDIRECT("'"&amp;XVII.a.Inputs[#Headers]&amp;"'!Year.Matrix"), MATCH("Subtotal."&amp;$A$2, INDIRECT("'"&amp;XVII.a.Inputs[#Headers]&amp;"'!Year.Modules"), 0), MATCH([Vector], INDIRECT("'"&amp;XVII.a.Inputs[#Headers]&amp;"'!Year.Vectors"), 0))</f>
        <v>-9.3745798889631757</v>
      </c>
      <c r="N9" s="1266">
        <f ca="1">INDEX(INDIRECT("'"&amp;XVII.a.Inputs[#Headers]&amp;"'!Year.Matrix"), MATCH("Subtotal."&amp;$A$2, INDIRECT("'"&amp;XVII.a.Inputs[#Headers]&amp;"'!Year.Modules"), 0), MATCH([Vector], INDIRECT("'"&amp;XVII.a.Inputs[#Headers]&amp;"'!Year.Vectors"), 0))</f>
        <v>-9.5194996727506727</v>
      </c>
      <c r="O9" s="1266">
        <f ca="1">INDEX(INDIRECT("'"&amp;XVII.a.Inputs[#Headers]&amp;"'!Year.Matrix"), MATCH("Subtotal."&amp;$A$2, INDIRECT("'"&amp;XVII.a.Inputs[#Headers]&amp;"'!Year.Modules"), 0), MATCH([Vector], INDIRECT("'"&amp;XVII.a.Inputs[#Headers]&amp;"'!Year.Vectors"), 0))</f>
        <v>-9.6778037020124756</v>
      </c>
      <c r="P9" s="1191"/>
    </row>
    <row r="10" spans="1:16" hidden="1" outlineLevel="1">
      <c r="B10" s="1192"/>
      <c r="C10" s="1180"/>
      <c r="D10" s="1180"/>
      <c r="E10" s="1180"/>
      <c r="F10" s="1180"/>
      <c r="G10" s="1180"/>
      <c r="H10" s="1180"/>
      <c r="I10" s="1180"/>
      <c r="J10" s="1180"/>
      <c r="K10" s="1180"/>
      <c r="L10" s="1180"/>
      <c r="M10" s="1180"/>
      <c r="N10" s="1180"/>
      <c r="O10" s="1180"/>
      <c r="P10" s="1181"/>
    </row>
    <row r="12" spans="1:16" s="743" customFormat="1" ht="22.5" collapsed="1">
      <c r="A12" s="1170"/>
      <c r="B12" s="1236" t="s">
        <v>786</v>
      </c>
      <c r="C12" s="1167"/>
      <c r="D12" s="1167"/>
      <c r="E12" s="1167"/>
      <c r="F12" s="1167"/>
      <c r="G12" s="1167"/>
      <c r="H12" s="1167"/>
      <c r="I12" s="1167"/>
      <c r="J12" s="1167"/>
      <c r="K12" s="1167"/>
      <c r="L12" s="1167"/>
      <c r="M12" s="1167"/>
      <c r="N12" s="1167"/>
      <c r="O12" s="1167"/>
      <c r="P12" s="1168"/>
    </row>
    <row r="13" spans="1:16" hidden="1" outlineLevel="1">
      <c r="B13" s="1157"/>
      <c r="C13" s="864"/>
      <c r="D13" s="864"/>
      <c r="E13" s="864"/>
      <c r="F13" s="864"/>
      <c r="G13" s="864"/>
      <c r="H13" s="864"/>
      <c r="I13" s="864"/>
      <c r="J13" s="864"/>
      <c r="K13" s="864"/>
      <c r="L13" s="864"/>
      <c r="M13" s="864"/>
      <c r="N13" s="864"/>
      <c r="O13" s="864"/>
      <c r="P13" s="1158"/>
    </row>
    <row r="14" spans="1:16" hidden="1" outlineLevel="1">
      <c r="B14" s="1157"/>
      <c r="C14" s="866" t="s">
        <v>1342</v>
      </c>
      <c r="D14" s="864"/>
      <c r="E14" s="867"/>
      <c r="F14" s="864"/>
      <c r="G14" s="864"/>
      <c r="H14" s="864"/>
      <c r="I14" s="864"/>
      <c r="J14" s="864"/>
      <c r="K14" s="864"/>
      <c r="L14" s="864"/>
      <c r="M14" s="864"/>
      <c r="N14" s="864"/>
      <c r="O14" s="864"/>
      <c r="P14" s="1158"/>
    </row>
    <row r="15" spans="1:16" ht="6" hidden="1" customHeight="1" outlineLevel="1">
      <c r="B15" s="1157"/>
      <c r="C15" s="864"/>
      <c r="D15" s="864"/>
      <c r="E15" s="864"/>
      <c r="F15" s="864"/>
      <c r="G15" s="864"/>
      <c r="H15" s="864"/>
      <c r="I15" s="864"/>
      <c r="J15" s="864"/>
      <c r="K15" s="864"/>
      <c r="L15" s="864"/>
      <c r="M15" s="864"/>
      <c r="N15" s="864"/>
      <c r="O15" s="864"/>
      <c r="P15" s="1158"/>
    </row>
    <row r="16" spans="1:16" ht="15.75" hidden="1" outlineLevel="1">
      <c r="B16" s="1159"/>
      <c r="C16" s="766" t="s">
        <v>418</v>
      </c>
      <c r="D16" s="766" t="s">
        <v>79</v>
      </c>
      <c r="E16" s="766" t="s">
        <v>442</v>
      </c>
      <c r="F16" s="923">
        <v>2007</v>
      </c>
      <c r="G16" s="924">
        <v>2010</v>
      </c>
      <c r="H16" s="923">
        <v>2015</v>
      </c>
      <c r="I16" s="923">
        <v>2020</v>
      </c>
      <c r="J16" s="923">
        <v>2025</v>
      </c>
      <c r="K16" s="923">
        <v>2030</v>
      </c>
      <c r="L16" s="923">
        <v>2035</v>
      </c>
      <c r="M16" s="923">
        <v>2040</v>
      </c>
      <c r="N16" s="923">
        <v>2045</v>
      </c>
      <c r="O16" s="923">
        <v>2050</v>
      </c>
      <c r="P16" s="1158"/>
    </row>
    <row r="17" spans="2:16" s="743" customFormat="1" ht="15.75" hidden="1" outlineLevel="1">
      <c r="B17" s="1161"/>
      <c r="C17" s="791" t="s">
        <v>1727</v>
      </c>
      <c r="D17" s="792" t="s">
        <v>1728</v>
      </c>
      <c r="E17" s="792" t="s">
        <v>109</v>
      </c>
      <c r="F17" s="793">
        <v>7</v>
      </c>
      <c r="G17" s="910">
        <v>7</v>
      </c>
      <c r="H17" s="793">
        <v>7</v>
      </c>
      <c r="I17" s="793">
        <v>7</v>
      </c>
      <c r="J17" s="793">
        <v>7</v>
      </c>
      <c r="K17" s="793">
        <v>7</v>
      </c>
      <c r="L17" s="793">
        <v>7</v>
      </c>
      <c r="M17" s="793">
        <v>7</v>
      </c>
      <c r="N17" s="793">
        <v>7</v>
      </c>
      <c r="O17" s="793">
        <v>7</v>
      </c>
      <c r="P17" s="1162"/>
    </row>
    <row r="18" spans="2:16" hidden="1" outlineLevel="1">
      <c r="B18" s="1163"/>
      <c r="C18" s="864"/>
      <c r="D18" s="868"/>
      <c r="E18" s="864"/>
      <c r="F18" s="864"/>
      <c r="G18" s="864"/>
      <c r="H18" s="864"/>
      <c r="I18" s="864"/>
      <c r="J18" s="864"/>
      <c r="K18" s="864"/>
      <c r="L18" s="864"/>
      <c r="M18" s="864"/>
      <c r="N18" s="864"/>
      <c r="O18" s="864"/>
      <c r="P18" s="1158"/>
    </row>
    <row r="19" spans="2:16" hidden="1" outlineLevel="1">
      <c r="B19" s="1163"/>
      <c r="C19" s="864" t="s">
        <v>442</v>
      </c>
      <c r="D19" s="868"/>
      <c r="E19" s="864"/>
      <c r="F19" s="864"/>
      <c r="G19" s="864"/>
      <c r="H19" s="864"/>
      <c r="I19" s="864"/>
      <c r="J19" s="864"/>
      <c r="K19" s="864"/>
      <c r="L19" s="864"/>
      <c r="M19" s="864"/>
      <c r="N19" s="864"/>
      <c r="O19" s="864"/>
      <c r="P19" s="1158"/>
    </row>
    <row r="20" spans="2:16" s="715" customFormat="1" ht="10.5" hidden="1" outlineLevel="1">
      <c r="B20" s="1225"/>
      <c r="C20" s="1251" t="s">
        <v>109</v>
      </c>
      <c r="D20" s="1255" t="s">
        <v>1343</v>
      </c>
      <c r="E20" s="1228"/>
      <c r="F20" s="1228"/>
      <c r="G20" s="1228"/>
      <c r="H20" s="1228"/>
      <c r="I20" s="1228"/>
      <c r="J20" s="1228"/>
      <c r="K20" s="1228"/>
      <c r="L20" s="1228"/>
      <c r="M20" s="1228"/>
      <c r="N20" s="1228"/>
      <c r="O20" s="1228"/>
      <c r="P20" s="1229"/>
    </row>
    <row r="21" spans="2:16" hidden="1" outlineLevel="1">
      <c r="B21" s="1164"/>
      <c r="C21" s="1165"/>
      <c r="D21" s="1165"/>
      <c r="E21" s="1165"/>
      <c r="F21" s="1165"/>
      <c r="G21" s="1165"/>
      <c r="H21" s="1165"/>
      <c r="I21" s="1165"/>
      <c r="J21" s="1165"/>
      <c r="K21" s="1165"/>
      <c r="L21" s="1165"/>
      <c r="M21" s="1165"/>
      <c r="N21" s="1165"/>
      <c r="O21" s="1165"/>
      <c r="P21" s="1166"/>
    </row>
    <row r="23" spans="2:16" ht="15.75" collapsed="1">
      <c r="B23" s="809" t="s">
        <v>732</v>
      </c>
    </row>
    <row r="24" spans="2:16" hidden="1" outlineLevel="1">
      <c r="B24" s="731">
        <v>1</v>
      </c>
      <c r="C24" s="121" t="s">
        <v>1344</v>
      </c>
    </row>
    <row r="25" spans="2:16" hidden="1" outlineLevel="1"/>
    <row r="26" spans="2:16" hidden="1" outlineLevel="1">
      <c r="C26" s="731" t="s">
        <v>1345</v>
      </c>
      <c r="E26" s="121" t="str">
        <f>Preferences.EnergyUnits</f>
        <v>TWh</v>
      </c>
      <c r="F26" s="783">
        <f ca="1">-XVII.a.Inputs[2007]</f>
        <v>8.8131931365908187</v>
      </c>
      <c r="G26" s="783">
        <f ca="1">-XVII.a.Inputs[2010]</f>
        <v>8.8197200023558597</v>
      </c>
      <c r="H26" s="783">
        <f ca="1">-XVII.a.Inputs[2015]</f>
        <v>8.8729462092837785</v>
      </c>
      <c r="I26" s="783">
        <f ca="1">-XVII.a.Inputs[2020]</f>
        <v>8.9403079226456423</v>
      </c>
      <c r="J26" s="783">
        <f ca="1">-XVII.a.Inputs[2025]</f>
        <v>9.0253978428864041</v>
      </c>
      <c r="K26" s="783">
        <f ca="1">-XVII.a.Inputs[2030]</f>
        <v>9.1268154005470734</v>
      </c>
      <c r="L26" s="783">
        <f ca="1">-XVII.a.Inputs[2035]</f>
        <v>9.243482281981791</v>
      </c>
      <c r="M26" s="783">
        <f ca="1">-XVII.a.Inputs[2040]</f>
        <v>9.3745798889631757</v>
      </c>
      <c r="N26" s="783">
        <f ca="1">-XVII.a.Inputs[2045]</f>
        <v>9.5194996727506727</v>
      </c>
      <c r="O26" s="783">
        <f ca="1">-XVII.a.Inputs[2050]</f>
        <v>9.6778037020124756</v>
      </c>
    </row>
    <row r="27" spans="2:16" hidden="1" outlineLevel="1">
      <c r="B27" s="121" t="s">
        <v>1346</v>
      </c>
      <c r="C27" s="825" t="s">
        <v>1342</v>
      </c>
      <c r="F27" s="27">
        <f>F$17</f>
        <v>7</v>
      </c>
      <c r="G27" s="27">
        <f t="shared" ref="G27:O27" si="0">G$17</f>
        <v>7</v>
      </c>
      <c r="H27" s="27">
        <f t="shared" si="0"/>
        <v>7</v>
      </c>
      <c r="I27" s="27">
        <f t="shared" si="0"/>
        <v>7</v>
      </c>
      <c r="J27" s="27">
        <f t="shared" si="0"/>
        <v>7</v>
      </c>
      <c r="K27" s="27">
        <f t="shared" si="0"/>
        <v>7</v>
      </c>
      <c r="L27" s="27">
        <f t="shared" si="0"/>
        <v>7</v>
      </c>
      <c r="M27" s="27">
        <f t="shared" si="0"/>
        <v>7</v>
      </c>
      <c r="N27" s="27">
        <f t="shared" si="0"/>
        <v>7</v>
      </c>
      <c r="O27" s="27">
        <f t="shared" si="0"/>
        <v>7</v>
      </c>
    </row>
    <row r="28" spans="2:16" hidden="1" outlineLevel="1">
      <c r="B28" s="807" t="s">
        <v>840</v>
      </c>
      <c r="C28" s="731" t="s">
        <v>1347</v>
      </c>
      <c r="F28" s="783">
        <f ca="1">F26/F27</f>
        <v>1.2590275909415456</v>
      </c>
      <c r="G28" s="783">
        <f t="shared" ref="G28:O28" ca="1" si="1">G26/G27</f>
        <v>1.2599600003365514</v>
      </c>
      <c r="H28" s="783">
        <f t="shared" ca="1" si="1"/>
        <v>1.2675637441833969</v>
      </c>
      <c r="I28" s="783">
        <f t="shared" ca="1" si="1"/>
        <v>1.2771868460922347</v>
      </c>
      <c r="J28" s="783">
        <f t="shared" ca="1" si="1"/>
        <v>1.289342548983772</v>
      </c>
      <c r="K28" s="783">
        <f t="shared" ca="1" si="1"/>
        <v>1.3038307715067248</v>
      </c>
      <c r="L28" s="783">
        <f t="shared" ca="1" si="1"/>
        <v>1.3204974688545417</v>
      </c>
      <c r="M28" s="783">
        <f t="shared" ca="1" si="1"/>
        <v>1.3392256984233109</v>
      </c>
      <c r="N28" s="783">
        <f t="shared" ca="1" si="1"/>
        <v>1.3599285246786674</v>
      </c>
      <c r="O28" s="783">
        <f t="shared" ca="1" si="1"/>
        <v>1.3825433860017822</v>
      </c>
    </row>
    <row r="29" spans="2:16" hidden="1" outlineLevel="1">
      <c r="B29" s="1610"/>
      <c r="C29" s="121" t="s">
        <v>1348</v>
      </c>
      <c r="F29" s="823">
        <f ca="1">F26-F28</f>
        <v>7.5541655456492727</v>
      </c>
      <c r="G29" s="823">
        <f t="shared" ref="G29:O29" ca="1" si="2">G26-G28</f>
        <v>7.5597600020193081</v>
      </c>
      <c r="H29" s="823">
        <f t="shared" ca="1" si="2"/>
        <v>7.6053824651003819</v>
      </c>
      <c r="I29" s="823">
        <f t="shared" ca="1" si="2"/>
        <v>7.6631210765534075</v>
      </c>
      <c r="J29" s="823">
        <f t="shared" ca="1" si="2"/>
        <v>7.7360552939026324</v>
      </c>
      <c r="K29" s="823">
        <f t="shared" ca="1" si="2"/>
        <v>7.8229846290403486</v>
      </c>
      <c r="L29" s="823">
        <f t="shared" ca="1" si="2"/>
        <v>7.9229848131272496</v>
      </c>
      <c r="M29" s="823">
        <f t="shared" ca="1" si="2"/>
        <v>8.0353541905398647</v>
      </c>
      <c r="N29" s="823">
        <f t="shared" ca="1" si="2"/>
        <v>8.1595711480720059</v>
      </c>
      <c r="O29" s="823">
        <f t="shared" ca="1" si="2"/>
        <v>8.2952603160106939</v>
      </c>
    </row>
    <row r="30" spans="2:16" hidden="1" outlineLevel="1">
      <c r="B30" s="807"/>
      <c r="C30" s="807"/>
      <c r="F30" s="823"/>
      <c r="G30" s="823"/>
      <c r="H30" s="823"/>
      <c r="I30" s="823"/>
      <c r="J30" s="823"/>
      <c r="K30" s="823"/>
      <c r="L30" s="823"/>
      <c r="M30" s="823"/>
      <c r="N30" s="823"/>
      <c r="O30" s="823"/>
    </row>
    <row r="31" spans="2:16" hidden="1" outlineLevel="1">
      <c r="F31" s="783"/>
    </row>
    <row r="33" spans="1:16" ht="22.5" collapsed="1">
      <c r="A33" s="1171"/>
      <c r="B33" s="1231" t="s">
        <v>683</v>
      </c>
      <c r="C33" s="1183"/>
      <c r="D33" s="1183"/>
      <c r="E33" s="1183"/>
      <c r="F33" s="1183"/>
      <c r="G33" s="1183"/>
      <c r="H33" s="1183"/>
      <c r="I33" s="1183"/>
      <c r="J33" s="1183"/>
      <c r="K33" s="1183"/>
      <c r="L33" s="1183"/>
      <c r="M33" s="1183"/>
      <c r="N33" s="1183"/>
      <c r="O33" s="1183"/>
      <c r="P33" s="1185"/>
    </row>
    <row r="34" spans="1:16" hidden="1" outlineLevel="1">
      <c r="B34" s="1172"/>
      <c r="C34" s="1174"/>
      <c r="D34" s="1174"/>
      <c r="E34" s="1174"/>
      <c r="F34" s="1174"/>
      <c r="G34" s="1174"/>
      <c r="H34" s="1174"/>
      <c r="I34" s="1174"/>
      <c r="J34" s="1174"/>
      <c r="K34" s="1174"/>
      <c r="L34" s="1174"/>
      <c r="M34" s="1174"/>
      <c r="N34" s="1174"/>
      <c r="O34" s="1174"/>
      <c r="P34" s="1176"/>
    </row>
    <row r="35" spans="1:16" hidden="1" outlineLevel="1">
      <c r="B35" s="1172"/>
      <c r="C35" s="1186" t="s">
        <v>780</v>
      </c>
      <c r="D35" s="1174"/>
      <c r="E35" s="1175"/>
      <c r="F35" s="1174"/>
      <c r="G35" s="1175"/>
      <c r="H35" s="1174"/>
      <c r="I35" s="1174"/>
      <c r="J35" s="1174"/>
      <c r="K35" s="1174"/>
      <c r="L35" s="1174"/>
      <c r="M35" s="1174"/>
      <c r="N35" s="1174"/>
      <c r="O35" s="1175" t="str">
        <f>Preferences.EnergyUnits</f>
        <v>TWh</v>
      </c>
      <c r="P35" s="1176"/>
    </row>
    <row r="36" spans="1:16" ht="6" hidden="1" customHeight="1" outlineLevel="1">
      <c r="B36" s="1172"/>
      <c r="C36" s="1174"/>
      <c r="D36" s="1174"/>
      <c r="E36" s="1174"/>
      <c r="F36" s="1174"/>
      <c r="G36" s="1174"/>
      <c r="H36" s="1174"/>
      <c r="I36" s="1174"/>
      <c r="J36" s="1174"/>
      <c r="K36" s="1174"/>
      <c r="L36" s="1174"/>
      <c r="M36" s="1174"/>
      <c r="N36" s="1174"/>
      <c r="O36" s="1174"/>
      <c r="P36" s="1176"/>
    </row>
    <row r="37" spans="1:16" ht="15.75" hidden="1" outlineLevel="1">
      <c r="A37" s="3"/>
      <c r="B37" s="1177"/>
      <c r="C37" s="1188" t="s">
        <v>78</v>
      </c>
      <c r="D37" s="1188" t="s">
        <v>418</v>
      </c>
      <c r="E37" s="1188" t="s">
        <v>442</v>
      </c>
      <c r="F37" s="1188" t="s">
        <v>691</v>
      </c>
      <c r="G37" s="1188" t="s">
        <v>692</v>
      </c>
      <c r="H37" s="1189" t="s">
        <v>721</v>
      </c>
      <c r="I37" s="1189" t="s">
        <v>722</v>
      </c>
      <c r="J37" s="1189" t="s">
        <v>723</v>
      </c>
      <c r="K37" s="1189" t="s">
        <v>724</v>
      </c>
      <c r="L37" s="1189" t="s">
        <v>725</v>
      </c>
      <c r="M37" s="1189" t="s">
        <v>726</v>
      </c>
      <c r="N37" s="1189" t="s">
        <v>727</v>
      </c>
      <c r="O37" s="1189" t="s">
        <v>728</v>
      </c>
      <c r="P37" s="1176"/>
    </row>
    <row r="38" spans="1:16" ht="15.75" hidden="1" outlineLevel="1">
      <c r="A38" s="3"/>
      <c r="B38" s="1177"/>
      <c r="C38" s="765" t="s">
        <v>753</v>
      </c>
      <c r="D38" s="765" t="str">
        <f>INDEX(Vectors[Description], MATCH([Vector], Vectors[Code], 0))</f>
        <v>Heat transport</v>
      </c>
      <c r="E38" s="765"/>
      <c r="F38" s="953">
        <f ca="1">F$26</f>
        <v>8.8131931365908187</v>
      </c>
      <c r="G38" s="953">
        <f t="shared" ref="G38:O38" ca="1" si="3">G$26</f>
        <v>8.8197200023558597</v>
      </c>
      <c r="H38" s="953">
        <f t="shared" ca="1" si="3"/>
        <v>8.8729462092837785</v>
      </c>
      <c r="I38" s="953">
        <f t="shared" ca="1" si="3"/>
        <v>8.9403079226456423</v>
      </c>
      <c r="J38" s="953">
        <f t="shared" ca="1" si="3"/>
        <v>9.0253978428864041</v>
      </c>
      <c r="K38" s="953">
        <f t="shared" ca="1" si="3"/>
        <v>9.1268154005470734</v>
      </c>
      <c r="L38" s="953">
        <f t="shared" ca="1" si="3"/>
        <v>9.243482281981791</v>
      </c>
      <c r="M38" s="953">
        <f t="shared" ca="1" si="3"/>
        <v>9.3745798889631757</v>
      </c>
      <c r="N38" s="953">
        <f t="shared" ca="1" si="3"/>
        <v>9.5194996727506727</v>
      </c>
      <c r="O38" s="953">
        <f t="shared" ca="1" si="3"/>
        <v>9.6778037020124756</v>
      </c>
      <c r="P38" s="1176"/>
    </row>
    <row r="39" spans="1:16" ht="15.75" hidden="1" outlineLevel="1">
      <c r="A39" s="3"/>
      <c r="B39" s="1177"/>
      <c r="C39" s="765" t="s">
        <v>46</v>
      </c>
      <c r="D39" s="765" t="str">
        <f>INDEX(Vectors[Description], MATCH([Vector], Vectors[Code], 0))</f>
        <v>Electricity (supplied to grid)</v>
      </c>
      <c r="E39" s="765"/>
      <c r="F39" s="953">
        <f ca="1">-F$28</f>
        <v>-1.2590275909415456</v>
      </c>
      <c r="G39" s="953">
        <f t="shared" ref="G39:O39" ca="1" si="4">-G$28</f>
        <v>-1.2599600003365514</v>
      </c>
      <c r="H39" s="953">
        <f t="shared" ca="1" si="4"/>
        <v>-1.2675637441833969</v>
      </c>
      <c r="I39" s="953">
        <f t="shared" ca="1" si="4"/>
        <v>-1.2771868460922347</v>
      </c>
      <c r="J39" s="953">
        <f t="shared" ca="1" si="4"/>
        <v>-1.289342548983772</v>
      </c>
      <c r="K39" s="953">
        <f t="shared" ca="1" si="4"/>
        <v>-1.3038307715067248</v>
      </c>
      <c r="L39" s="953">
        <f t="shared" ca="1" si="4"/>
        <v>-1.3204974688545417</v>
      </c>
      <c r="M39" s="953">
        <f t="shared" ca="1" si="4"/>
        <v>-1.3392256984233109</v>
      </c>
      <c r="N39" s="953">
        <f t="shared" ca="1" si="4"/>
        <v>-1.3599285246786674</v>
      </c>
      <c r="O39" s="953">
        <f t="shared" ca="1" si="4"/>
        <v>-1.3825433860017822</v>
      </c>
      <c r="P39" s="1176"/>
    </row>
    <row r="40" spans="1:16" ht="15.75" hidden="1" outlineLevel="1">
      <c r="A40" s="3"/>
      <c r="B40" s="1177"/>
      <c r="C40" s="765" t="s">
        <v>34</v>
      </c>
      <c r="D40" s="765" t="str">
        <f>INDEX(Vectors[Description], MATCH([Vector], Vectors[Code], 0))</f>
        <v>Conversion losses</v>
      </c>
      <c r="E40" s="765"/>
      <c r="F40" s="953">
        <f ca="1">-F$29</f>
        <v>-7.5541655456492727</v>
      </c>
      <c r="G40" s="953">
        <f t="shared" ref="G40:O40" ca="1" si="5">-G$29</f>
        <v>-7.5597600020193081</v>
      </c>
      <c r="H40" s="953">
        <f t="shared" ca="1" si="5"/>
        <v>-7.6053824651003819</v>
      </c>
      <c r="I40" s="953">
        <f t="shared" ca="1" si="5"/>
        <v>-7.6631210765534075</v>
      </c>
      <c r="J40" s="953">
        <f t="shared" ca="1" si="5"/>
        <v>-7.7360552939026324</v>
      </c>
      <c r="K40" s="953">
        <f t="shared" ca="1" si="5"/>
        <v>-7.8229846290403486</v>
      </c>
      <c r="L40" s="953">
        <f t="shared" ca="1" si="5"/>
        <v>-7.9229848131272496</v>
      </c>
      <c r="M40" s="953">
        <f t="shared" ca="1" si="5"/>
        <v>-8.0353541905398647</v>
      </c>
      <c r="N40" s="953">
        <f t="shared" ca="1" si="5"/>
        <v>-8.1595711480720059</v>
      </c>
      <c r="O40" s="953">
        <f t="shared" ca="1" si="5"/>
        <v>-8.2952603160106939</v>
      </c>
      <c r="P40" s="1176"/>
    </row>
    <row r="41" spans="1:16" ht="15.75" hidden="1" outlineLevel="1">
      <c r="A41" s="3"/>
      <c r="B41" s="1177"/>
      <c r="C41" s="765" t="s">
        <v>148</v>
      </c>
      <c r="D41" s="765"/>
      <c r="E41" s="765"/>
      <c r="F41" s="1459">
        <f>SUBTOTAL(109,[2007])</f>
        <v>0</v>
      </c>
      <c r="G41" s="1459">
        <f>SUBTOTAL(109,[2010])</f>
        <v>0</v>
      </c>
      <c r="H41" s="1459">
        <f>SUBTOTAL(109,[2015])</f>
        <v>0</v>
      </c>
      <c r="I41" s="1459">
        <f>SUBTOTAL(109,[2020])</f>
        <v>0</v>
      </c>
      <c r="J41" s="1459">
        <f>SUBTOTAL(109,[2025])</f>
        <v>0</v>
      </c>
      <c r="K41" s="1459">
        <f>SUBTOTAL(109,[2030])</f>
        <v>0</v>
      </c>
      <c r="L41" s="1459">
        <f>SUBTOTAL(109,[2035])</f>
        <v>0</v>
      </c>
      <c r="M41" s="1459">
        <f>SUBTOTAL(109,[2040])</f>
        <v>0</v>
      </c>
      <c r="N41" s="1459">
        <f>SUBTOTAL(109,[2045])</f>
        <v>0</v>
      </c>
      <c r="O41" s="1459">
        <f>SUBTOTAL(109,[2050])</f>
        <v>0</v>
      </c>
      <c r="P41" s="1176"/>
    </row>
    <row r="42" spans="1:16" ht="15.75" hidden="1" outlineLevel="1">
      <c r="A42" s="3"/>
      <c r="B42" s="1178"/>
      <c r="C42" s="1281"/>
      <c r="D42" s="1282"/>
      <c r="E42" s="1282"/>
      <c r="F42" s="1282"/>
      <c r="G42" s="1282"/>
      <c r="H42" s="1282"/>
      <c r="I42" s="1282"/>
      <c r="J42" s="1282"/>
      <c r="K42" s="1282"/>
      <c r="L42" s="1282"/>
      <c r="M42" s="1282"/>
      <c r="N42" s="1282"/>
      <c r="O42" s="1282"/>
      <c r="P42" s="1181"/>
    </row>
  </sheetData>
  <pageMargins left="0.7" right="0.7" top="0.75" bottom="0.75" header="0.3" footer="0.3"/>
  <pageSetup paperSize="9" orientation="portrait" r:id="rId1"/>
  <ignoredErrors>
    <ignoredError sqref="F28:O28" formula="1"/>
    <ignoredError sqref="F38:F40" calculatedColumn="1"/>
  </ignoredErrors>
  <tableParts count="2">
    <tablePart r:id="rId2"/>
    <tablePart r:id="rId3"/>
  </tableParts>
</worksheet>
</file>

<file path=xl/worksheets/sheet51.xml><?xml version="1.0" encoding="utf-8"?>
<worksheet xmlns="http://schemas.openxmlformats.org/spreadsheetml/2006/main" xmlns:r="http://schemas.openxmlformats.org/officeDocument/2006/relationships">
  <sheetPr codeName="Sheet41">
    <outlinePr summaryBelow="0"/>
    <pageSetUpPr autoPageBreaks="0"/>
  </sheetPr>
  <dimension ref="B1:CC167"/>
  <sheetViews>
    <sheetView showGridLines="0" zoomScale="80" zoomScaleNormal="80" workbookViewId="0">
      <pane xSplit="7" ySplit="6" topLeftCell="H7" activePane="bottomRight" state="frozen"/>
      <selection pane="topRight" activeCell="H1" sqref="H1"/>
      <selection pane="bottomLeft" activeCell="A7" sqref="A7"/>
      <selection pane="bottomRight"/>
    </sheetView>
  </sheetViews>
  <sheetFormatPr defaultRowHeight="12.75" outlineLevelRow="2" outlineLevelCol="3"/>
  <cols>
    <col min="1" max="1" width="1.7109375" customWidth="1"/>
    <col min="2" max="2" width="2.5703125" customWidth="1"/>
    <col min="3" max="3" width="4.42578125" style="508" customWidth="1"/>
    <col min="4" max="4" width="2.5703125" style="509" customWidth="1"/>
    <col min="5" max="5" width="26.42578125" style="509" customWidth="1"/>
    <col min="6" max="6" width="5.28515625" style="510" customWidth="1" outlineLevel="1"/>
    <col min="7" max="7" width="41.28515625" style="513" customWidth="1" outlineLevel="2"/>
    <col min="8" max="8" width="2.7109375" style="513" customWidth="1" outlineLevel="1"/>
    <col min="9" max="9" width="9.140625" style="509" customWidth="1" outlineLevel="2"/>
    <col min="10" max="11" width="8" style="509" customWidth="1" outlineLevel="2"/>
    <col min="12" max="12" width="8" style="509" customWidth="1" outlineLevel="3"/>
    <col min="13" max="13" width="8" style="530" customWidth="1" outlineLevel="3"/>
    <col min="14" max="15" width="8" style="509" customWidth="1" outlineLevel="3"/>
    <col min="16" max="17" width="8" style="509" customWidth="1" outlineLevel="2"/>
    <col min="18" max="18" width="11.85546875" style="509" customWidth="1" outlineLevel="1"/>
    <col min="19" max="19" width="1" style="509" customWidth="1" outlineLevel="1"/>
    <col min="20" max="28" width="8" style="509" customWidth="1" outlineLevel="2"/>
    <col min="29" max="29" width="11.42578125" style="509" customWidth="1" outlineLevel="1"/>
    <col min="30" max="30" width="1" style="509" customWidth="1" outlineLevel="1"/>
    <col min="31" max="33" width="8" style="509" customWidth="1" outlineLevel="3"/>
    <col min="34" max="35" width="8" style="509" customWidth="1" outlineLevel="2"/>
    <col min="36" max="43" width="8" style="509" customWidth="1" outlineLevel="3"/>
    <col min="44" max="44" width="8" style="509" customWidth="1" outlineLevel="2"/>
    <col min="45" max="47" width="8" style="509" customWidth="1" outlineLevel="3"/>
    <col min="48" max="48" width="8" style="509" customWidth="1" outlineLevel="2"/>
    <col min="49" max="49" width="11.7109375" style="509" customWidth="1" outlineLevel="1"/>
    <col min="50" max="50" width="1" style="509" customWidth="1" outlineLevel="1"/>
    <col min="51" max="51" width="8" style="509" customWidth="1" outlineLevel="3"/>
    <col min="52" max="52" width="8.140625" style="509" customWidth="1" outlineLevel="3"/>
    <col min="53" max="53" width="8.140625" style="509" customWidth="1" outlineLevel="2"/>
    <col min="54" max="56" width="8" style="509" customWidth="1" outlineLevel="3"/>
    <col min="57" max="57" width="8" style="509" customWidth="1" outlineLevel="2"/>
    <col min="58" max="58" width="11.5703125" style="509" customWidth="1" outlineLevel="1"/>
    <col min="59" max="59" width="1.140625" style="509" customWidth="1" outlineLevel="1"/>
    <col min="60" max="60" width="11.85546875" style="509" customWidth="1" outlineLevel="1"/>
    <col min="61" max="61" width="5.28515625" style="509" customWidth="1"/>
    <col min="62" max="62" width="37.140625" customWidth="1"/>
    <col min="63" max="66" width="9.140625" customWidth="1" outlineLevel="2"/>
    <col min="67" max="67" width="12.28515625" customWidth="1" outlineLevel="1"/>
    <col min="68" max="71" width="9.140625" hidden="1" customWidth="1" outlineLevel="2"/>
    <col min="72" max="72" width="10.7109375" customWidth="1" outlineLevel="1" collapsed="1"/>
    <col min="73" max="76" width="9.140625" hidden="1" customWidth="1" outlineLevel="2"/>
    <col min="77" max="77" width="11.42578125" customWidth="1" outlineLevel="1" collapsed="1"/>
    <col min="78" max="78" width="11.5703125" style="121" customWidth="1" outlineLevel="1"/>
    <col min="79" max="79" width="12" customWidth="1"/>
  </cols>
  <sheetData>
    <row r="1" spans="2:81" ht="0.75" customHeight="1"/>
    <row r="2" spans="2:81" ht="21" customHeight="1">
      <c r="C2" s="496"/>
      <c r="D2" s="495"/>
      <c r="E2" s="497"/>
      <c r="F2" s="498"/>
      <c r="G2" s="499"/>
      <c r="H2" s="499"/>
      <c r="I2" s="2654" t="s">
        <v>941</v>
      </c>
      <c r="J2" s="2654"/>
      <c r="K2" s="2654"/>
      <c r="L2" s="2654"/>
      <c r="M2" s="2654"/>
      <c r="N2" s="2654"/>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681"/>
      <c r="BJ2" s="2652" t="s">
        <v>662</v>
      </c>
      <c r="BK2" s="2652"/>
      <c r="BL2" s="2652"/>
      <c r="BM2" s="2652"/>
      <c r="BN2" s="2652"/>
      <c r="BO2" s="2652"/>
      <c r="BP2" s="2652"/>
      <c r="BQ2" s="2652"/>
      <c r="BR2" s="2652"/>
      <c r="BS2" s="2652"/>
      <c r="BT2" s="2652"/>
      <c r="BU2" s="2652"/>
      <c r="BV2" s="2652"/>
      <c r="BW2" s="2652"/>
      <c r="BX2" s="2652"/>
      <c r="BY2" s="2652"/>
      <c r="BZ2" s="2652"/>
      <c r="CA2" s="2652"/>
    </row>
    <row r="3" spans="2:81" s="754" customFormat="1" ht="39" customHeight="1">
      <c r="C3" s="808" t="str">
        <f>Preferences.EnergyUnits</f>
        <v>TWh</v>
      </c>
      <c r="D3" s="500"/>
      <c r="E3" s="755"/>
      <c r="F3" s="502"/>
      <c r="G3" s="503"/>
      <c r="H3" s="503"/>
      <c r="I3" s="2653" t="s">
        <v>751</v>
      </c>
      <c r="J3" s="2653"/>
      <c r="K3" s="2653"/>
      <c r="L3" s="2653"/>
      <c r="M3" s="2653"/>
      <c r="N3" s="2653"/>
      <c r="O3" s="2653"/>
      <c r="P3" s="2653"/>
      <c r="Q3" s="2653"/>
      <c r="R3" s="2653"/>
      <c r="S3" s="756"/>
      <c r="T3" s="2653" t="s">
        <v>689</v>
      </c>
      <c r="U3" s="2653"/>
      <c r="V3" s="2653"/>
      <c r="W3" s="2653"/>
      <c r="X3" s="2653"/>
      <c r="Y3" s="2653"/>
      <c r="Z3" s="2653"/>
      <c r="AA3" s="2653"/>
      <c r="AB3" s="2653"/>
      <c r="AC3" s="2653"/>
      <c r="AD3" s="756"/>
      <c r="AE3" s="2653" t="s">
        <v>690</v>
      </c>
      <c r="AF3" s="2653"/>
      <c r="AG3" s="2653"/>
      <c r="AH3" s="2653"/>
      <c r="AI3" s="2653"/>
      <c r="AJ3" s="2653"/>
      <c r="AK3" s="2653"/>
      <c r="AL3" s="2653"/>
      <c r="AM3" s="2653"/>
      <c r="AN3" s="2653"/>
      <c r="AO3" s="2653"/>
      <c r="AP3" s="2653"/>
      <c r="AQ3" s="2653"/>
      <c r="AR3" s="2653"/>
      <c r="AS3" s="2653"/>
      <c r="AT3" s="2653"/>
      <c r="AU3" s="2653"/>
      <c r="AV3" s="2653"/>
      <c r="AW3" s="2653"/>
      <c r="AX3" s="756"/>
      <c r="AY3" s="2653" t="s">
        <v>688</v>
      </c>
      <c r="AZ3" s="2653"/>
      <c r="BA3" s="2653"/>
      <c r="BB3" s="2653"/>
      <c r="BC3" s="2653"/>
      <c r="BD3" s="2653"/>
      <c r="BE3" s="2653"/>
      <c r="BF3" s="2653"/>
      <c r="BG3" s="504"/>
      <c r="BH3" s="504"/>
      <c r="BI3" s="504"/>
      <c r="BK3" s="2651" t="s">
        <v>652</v>
      </c>
      <c r="BL3" s="2651"/>
      <c r="BM3" s="2651"/>
      <c r="BN3" s="2651"/>
      <c r="BO3" s="2651"/>
      <c r="BP3" s="2651" t="s">
        <v>653</v>
      </c>
      <c r="BQ3" s="2651"/>
      <c r="BR3" s="2651"/>
      <c r="BS3" s="2651"/>
      <c r="BT3" s="2651"/>
      <c r="BU3" s="2651" t="s">
        <v>654</v>
      </c>
      <c r="BV3" s="2651"/>
      <c r="BW3" s="2651"/>
      <c r="BX3" s="2651"/>
      <c r="BY3" s="2651"/>
      <c r="BZ3" s="757" t="s">
        <v>659</v>
      </c>
      <c r="CA3" s="758"/>
    </row>
    <row r="4" spans="2:81" ht="36.75" customHeight="1">
      <c r="C4" s="505"/>
      <c r="D4" s="505"/>
      <c r="F4" s="505"/>
      <c r="G4" s="506"/>
      <c r="H4" s="506"/>
      <c r="I4" s="531" t="s">
        <v>851</v>
      </c>
      <c r="J4" s="531" t="s">
        <v>30</v>
      </c>
      <c r="K4" s="531" t="s">
        <v>56</v>
      </c>
      <c r="L4" s="537" t="s">
        <v>24</v>
      </c>
      <c r="M4" s="537" t="s">
        <v>25</v>
      </c>
      <c r="N4" s="537" t="s">
        <v>26</v>
      </c>
      <c r="O4" s="537" t="s">
        <v>27</v>
      </c>
      <c r="P4" s="531" t="s">
        <v>614</v>
      </c>
      <c r="Q4" s="531" t="s">
        <v>44</v>
      </c>
      <c r="R4" s="565" t="s">
        <v>684</v>
      </c>
      <c r="S4" s="502"/>
      <c r="T4" s="555" t="s">
        <v>67</v>
      </c>
      <c r="U4" s="555" t="s">
        <v>435</v>
      </c>
      <c r="V4" s="555" t="s">
        <v>62</v>
      </c>
      <c r="W4" s="555" t="s">
        <v>63</v>
      </c>
      <c r="X4" s="555" t="s">
        <v>627</v>
      </c>
      <c r="Y4" s="555" t="s">
        <v>268</v>
      </c>
      <c r="Z4" s="555" t="s">
        <v>850</v>
      </c>
      <c r="AA4" s="555" t="s">
        <v>106</v>
      </c>
      <c r="AB4" s="555" t="s">
        <v>926</v>
      </c>
      <c r="AC4" s="579" t="s">
        <v>685</v>
      </c>
      <c r="AD4" s="502"/>
      <c r="AE4" s="549" t="s">
        <v>141</v>
      </c>
      <c r="AF4" s="549" t="s">
        <v>202</v>
      </c>
      <c r="AG4" s="549" t="s">
        <v>14</v>
      </c>
      <c r="AH4" s="580" t="s">
        <v>750</v>
      </c>
      <c r="AI4" s="580" t="s">
        <v>1259</v>
      </c>
      <c r="AJ4" s="549" t="s">
        <v>15</v>
      </c>
      <c r="AK4" s="549" t="s">
        <v>1</v>
      </c>
      <c r="AL4" s="549" t="s">
        <v>70</v>
      </c>
      <c r="AM4" s="549" t="s">
        <v>2</v>
      </c>
      <c r="AN4" s="549" t="s">
        <v>3</v>
      </c>
      <c r="AO4" s="549" t="s">
        <v>19</v>
      </c>
      <c r="AP4" s="549" t="s">
        <v>22</v>
      </c>
      <c r="AQ4" s="549" t="s">
        <v>188</v>
      </c>
      <c r="AR4" s="580" t="s">
        <v>615</v>
      </c>
      <c r="AS4" s="549" t="s">
        <v>134</v>
      </c>
      <c r="AT4" s="549" t="s">
        <v>135</v>
      </c>
      <c r="AU4" s="549" t="s">
        <v>136</v>
      </c>
      <c r="AV4" s="580" t="s">
        <v>616</v>
      </c>
      <c r="AW4" s="587" t="s">
        <v>686</v>
      </c>
      <c r="AX4" s="502"/>
      <c r="AY4" s="543" t="s">
        <v>20</v>
      </c>
      <c r="AZ4" s="543" t="s">
        <v>21</v>
      </c>
      <c r="BA4" s="595" t="s">
        <v>617</v>
      </c>
      <c r="BB4" s="543" t="s">
        <v>612</v>
      </c>
      <c r="BC4" s="543" t="s">
        <v>55</v>
      </c>
      <c r="BD4" s="543" t="s">
        <v>800</v>
      </c>
      <c r="BE4" s="595" t="s">
        <v>618</v>
      </c>
      <c r="BF4" s="601" t="s">
        <v>687</v>
      </c>
      <c r="BG4" s="502"/>
      <c r="BH4" s="507" t="s">
        <v>31</v>
      </c>
      <c r="BI4" s="507"/>
      <c r="BJ4" s="501" t="s">
        <v>666</v>
      </c>
      <c r="BK4" s="696" t="str">
        <f>INDEX(Vectors[Description], MATCH(BK$5,Vectors[Code],FALSE))</f>
        <v>Solid hydrocarbons</v>
      </c>
      <c r="BL4" s="696" t="str">
        <f>INDEX(Vectors[Description], MATCH(BL$5,Vectors[Code],FALSE))</f>
        <v>Liquid hydrocarbons</v>
      </c>
      <c r="BM4" s="696" t="str">
        <f>INDEX(Vectors[Description], MATCH(BM$5,Vectors[Code],FALSE))</f>
        <v>Gaseous hydrocarbons</v>
      </c>
      <c r="BN4" s="696" t="str">
        <f>INDEX(Vectors[Description], MATCH(BN$5,Vectors[Code],FALSE))</f>
        <v>Blast furnace gas</v>
      </c>
      <c r="BO4" s="703" t="s">
        <v>657</v>
      </c>
      <c r="BP4" s="696" t="str">
        <f>INDEX(Vectors[Description], MATCH(BP$5,Vectors[Code],FALSE))</f>
        <v>Solid hydrocarbons</v>
      </c>
      <c r="BQ4" s="696" t="str">
        <f>INDEX(Vectors[Description], MATCH(BQ$5,Vectors[Code],FALSE))</f>
        <v>Liquid hydrocarbons</v>
      </c>
      <c r="BR4" s="696" t="str">
        <f>INDEX(Vectors[Description], MATCH(BR$5,Vectors[Code],FALSE))</f>
        <v>Gaseous hydrocarbons</v>
      </c>
      <c r="BS4" s="696" t="str">
        <f>INDEX(Vectors[Description], MATCH(BS$5,Vectors[Code],FALSE))</f>
        <v>Blast furnace gas</v>
      </c>
      <c r="BT4" s="703" t="s">
        <v>656</v>
      </c>
      <c r="BU4" s="696" t="str">
        <f>INDEX(Vectors[Description], MATCH(BU$5,Vectors[Code],FALSE))</f>
        <v>Solid hydrocarbons</v>
      </c>
      <c r="BV4" s="696" t="str">
        <f>INDEX(Vectors[Description], MATCH(BV$5,Vectors[Code],FALSE))</f>
        <v>Liquid hydrocarbons</v>
      </c>
      <c r="BW4" s="696" t="str">
        <f>INDEX(Vectors[Description], MATCH(BW$5,Vectors[Code],FALSE))</f>
        <v>Gaseous hydrocarbons</v>
      </c>
      <c r="BX4" s="696" t="str">
        <f>INDEX(Vectors[Description], MATCH(BX$5,Vectors[Code],FALSE))</f>
        <v>Blast furnace gas</v>
      </c>
      <c r="BY4" s="703" t="s">
        <v>655</v>
      </c>
      <c r="BZ4" s="703" t="s">
        <v>660</v>
      </c>
      <c r="CA4" s="700" t="s">
        <v>658</v>
      </c>
      <c r="CC4" s="742" t="s">
        <v>663</v>
      </c>
    </row>
    <row r="5" spans="2:81">
      <c r="C5" s="498" t="s">
        <v>200</v>
      </c>
      <c r="D5" s="502"/>
      <c r="E5" s="502"/>
      <c r="F5" s="510" t="s">
        <v>442</v>
      </c>
      <c r="G5" s="510" t="s">
        <v>456</v>
      </c>
      <c r="H5" s="503"/>
      <c r="I5" s="531" t="s">
        <v>6</v>
      </c>
      <c r="J5" s="531" t="s">
        <v>57</v>
      </c>
      <c r="K5" s="531" t="s">
        <v>13</v>
      </c>
      <c r="L5" s="537" t="s">
        <v>36</v>
      </c>
      <c r="M5" s="537" t="s">
        <v>37</v>
      </c>
      <c r="N5" s="537" t="s">
        <v>38</v>
      </c>
      <c r="O5" s="537" t="s">
        <v>39</v>
      </c>
      <c r="P5" s="531"/>
      <c r="Q5" s="531" t="s">
        <v>40</v>
      </c>
      <c r="R5" s="566"/>
      <c r="S5" s="502"/>
      <c r="T5" s="555" t="s">
        <v>45</v>
      </c>
      <c r="U5" s="555" t="s">
        <v>46</v>
      </c>
      <c r="V5" s="555" t="s">
        <v>47</v>
      </c>
      <c r="W5" s="555" t="s">
        <v>49</v>
      </c>
      <c r="X5" s="555" t="s">
        <v>50</v>
      </c>
      <c r="Y5" s="555" t="s">
        <v>108</v>
      </c>
      <c r="Z5" s="555" t="s">
        <v>753</v>
      </c>
      <c r="AA5" s="555" t="s">
        <v>754</v>
      </c>
      <c r="AB5" s="555" t="s">
        <v>755</v>
      </c>
      <c r="AC5" s="573"/>
      <c r="AD5" s="502"/>
      <c r="AE5" s="549" t="s">
        <v>64</v>
      </c>
      <c r="AF5" s="549" t="s">
        <v>65</v>
      </c>
      <c r="AG5" s="549" t="s">
        <v>66</v>
      </c>
      <c r="AH5" s="580"/>
      <c r="AI5" s="580" t="s">
        <v>7</v>
      </c>
      <c r="AJ5" s="549" t="s">
        <v>33</v>
      </c>
      <c r="AK5" s="549" t="s">
        <v>8</v>
      </c>
      <c r="AL5" s="549" t="s">
        <v>9</v>
      </c>
      <c r="AM5" s="549" t="s">
        <v>10</v>
      </c>
      <c r="AN5" s="549" t="s">
        <v>11</v>
      </c>
      <c r="AO5" s="549" t="s">
        <v>12</v>
      </c>
      <c r="AP5" s="549" t="s">
        <v>104</v>
      </c>
      <c r="AQ5" s="549" t="s">
        <v>752</v>
      </c>
      <c r="AR5" s="580"/>
      <c r="AS5" s="549" t="s">
        <v>54</v>
      </c>
      <c r="AT5" s="549" t="s">
        <v>137</v>
      </c>
      <c r="AU5" s="549" t="s">
        <v>138</v>
      </c>
      <c r="AV5" s="580"/>
      <c r="AW5" s="588"/>
      <c r="AX5" s="502"/>
      <c r="AY5" s="543" t="s">
        <v>34</v>
      </c>
      <c r="AZ5" s="543" t="s">
        <v>35</v>
      </c>
      <c r="BA5" s="595"/>
      <c r="BB5" s="543" t="s">
        <v>59</v>
      </c>
      <c r="BC5" s="543" t="s">
        <v>60</v>
      </c>
      <c r="BD5" s="543" t="s">
        <v>799</v>
      </c>
      <c r="BE5" s="595"/>
      <c r="BF5" s="602"/>
      <c r="BG5" s="502"/>
      <c r="BH5" s="502" t="s">
        <v>61</v>
      </c>
      <c r="BI5" s="502"/>
      <c r="BK5" s="696" t="s">
        <v>760</v>
      </c>
      <c r="BL5" s="696" t="s">
        <v>761</v>
      </c>
      <c r="BM5" s="696" t="s">
        <v>762</v>
      </c>
      <c r="BN5" s="696" t="s">
        <v>763</v>
      </c>
      <c r="BO5" s="704"/>
      <c r="BP5" s="696" t="s">
        <v>760</v>
      </c>
      <c r="BQ5" s="696" t="s">
        <v>761</v>
      </c>
      <c r="BR5" s="696" t="s">
        <v>762</v>
      </c>
      <c r="BS5" s="696" t="s">
        <v>763</v>
      </c>
      <c r="BT5" s="704"/>
      <c r="BU5" s="696" t="s">
        <v>760</v>
      </c>
      <c r="BV5" s="696" t="s">
        <v>761</v>
      </c>
      <c r="BW5" s="696" t="s">
        <v>762</v>
      </c>
      <c r="BX5" s="696" t="s">
        <v>763</v>
      </c>
      <c r="BY5" s="704"/>
      <c r="BZ5" s="704"/>
      <c r="CA5" s="707"/>
    </row>
    <row r="6" spans="2:81" ht="13.5" thickBot="1">
      <c r="G6" s="510"/>
      <c r="H6" s="510"/>
      <c r="I6" s="532"/>
      <c r="J6" s="532"/>
      <c r="K6" s="532"/>
      <c r="L6" s="538"/>
      <c r="M6" s="560"/>
      <c r="N6" s="538"/>
      <c r="O6" s="538"/>
      <c r="P6" s="532"/>
      <c r="Q6" s="532"/>
      <c r="R6" s="567"/>
      <c r="S6" s="511"/>
      <c r="T6" s="556"/>
      <c r="U6" s="556"/>
      <c r="V6" s="556"/>
      <c r="W6" s="556"/>
      <c r="X6" s="556"/>
      <c r="Y6" s="556"/>
      <c r="Z6" s="556"/>
      <c r="AA6" s="556"/>
      <c r="AB6" s="556"/>
      <c r="AC6" s="574"/>
      <c r="AD6" s="511"/>
      <c r="AE6" s="550"/>
      <c r="AF6" s="550"/>
      <c r="AG6" s="550"/>
      <c r="AH6" s="581"/>
      <c r="AI6" s="581"/>
      <c r="AJ6" s="550"/>
      <c r="AK6" s="550"/>
      <c r="AL6" s="550"/>
      <c r="AM6" s="550"/>
      <c r="AN6" s="550"/>
      <c r="AO6" s="550"/>
      <c r="AP6" s="550"/>
      <c r="AQ6" s="550"/>
      <c r="AR6" s="581"/>
      <c r="AS6" s="550"/>
      <c r="AT6" s="550"/>
      <c r="AU6" s="550"/>
      <c r="AV6" s="581"/>
      <c r="AW6" s="589"/>
      <c r="AX6" s="511"/>
      <c r="AY6" s="544"/>
      <c r="AZ6" s="544"/>
      <c r="BA6" s="596"/>
      <c r="BB6" s="544"/>
      <c r="BC6" s="544"/>
      <c r="BD6" s="544"/>
      <c r="BE6" s="596"/>
      <c r="BF6" s="603"/>
      <c r="BG6" s="511"/>
      <c r="BH6" s="511"/>
      <c r="BI6" s="511"/>
      <c r="BJ6" s="731" t="s">
        <v>661</v>
      </c>
      <c r="BK6" s="708"/>
      <c r="BL6" s="708"/>
      <c r="BM6" s="708"/>
      <c r="BN6" s="708"/>
      <c r="BO6" s="709"/>
      <c r="BP6" s="708"/>
      <c r="BQ6" s="708"/>
      <c r="BR6" s="708"/>
      <c r="BS6" s="708"/>
      <c r="BT6" s="709"/>
      <c r="BU6" s="708"/>
      <c r="BV6" s="708"/>
      <c r="BW6" s="708"/>
      <c r="BX6" s="708"/>
      <c r="BY6" s="709"/>
      <c r="BZ6" s="709"/>
      <c r="CA6" s="710"/>
    </row>
    <row r="7" spans="2:81" ht="24" customHeight="1">
      <c r="C7" s="624" t="s">
        <v>592</v>
      </c>
      <c r="D7" s="624"/>
      <c r="E7" s="625"/>
      <c r="F7" s="623"/>
      <c r="G7" s="626"/>
      <c r="H7" s="626"/>
      <c r="I7" s="627"/>
      <c r="J7" s="627"/>
      <c r="K7" s="627"/>
      <c r="L7" s="628"/>
      <c r="M7" s="628"/>
      <c r="N7" s="628"/>
      <c r="O7" s="628"/>
      <c r="P7" s="627"/>
      <c r="Q7" s="627"/>
      <c r="R7" s="629"/>
      <c r="S7" s="630"/>
      <c r="T7" s="631"/>
      <c r="U7" s="631"/>
      <c r="V7" s="631"/>
      <c r="W7" s="631"/>
      <c r="X7" s="631"/>
      <c r="Y7" s="631"/>
      <c r="Z7" s="631"/>
      <c r="AA7" s="631"/>
      <c r="AB7" s="631"/>
      <c r="AC7" s="632"/>
      <c r="AD7" s="630"/>
      <c r="AE7" s="633"/>
      <c r="AF7" s="633"/>
      <c r="AG7" s="633"/>
      <c r="AH7" s="634"/>
      <c r="AI7" s="634"/>
      <c r="AJ7" s="633"/>
      <c r="AK7" s="633"/>
      <c r="AL7" s="633"/>
      <c r="AM7" s="633"/>
      <c r="AN7" s="633"/>
      <c r="AO7" s="633"/>
      <c r="AP7" s="633"/>
      <c r="AQ7" s="633"/>
      <c r="AR7" s="634"/>
      <c r="AS7" s="633"/>
      <c r="AT7" s="633"/>
      <c r="AU7" s="633"/>
      <c r="AV7" s="634"/>
      <c r="AW7" s="635"/>
      <c r="AX7" s="630"/>
      <c r="AY7" s="636"/>
      <c r="AZ7" s="636"/>
      <c r="BA7" s="637"/>
      <c r="BB7" s="636"/>
      <c r="BC7" s="636"/>
      <c r="BD7" s="636"/>
      <c r="BE7" s="637"/>
      <c r="BF7" s="638"/>
      <c r="BG7" s="630"/>
      <c r="BH7" s="630"/>
      <c r="BI7" s="514"/>
      <c r="BJ7" s="624"/>
      <c r="BK7" s="697"/>
      <c r="BL7" s="697"/>
      <c r="BM7" s="697"/>
      <c r="BN7" s="697"/>
      <c r="BO7" s="705"/>
      <c r="BP7" s="697"/>
      <c r="BQ7" s="697"/>
      <c r="BR7" s="697"/>
      <c r="BS7" s="697"/>
      <c r="BT7" s="705"/>
      <c r="BU7" s="697"/>
      <c r="BV7" s="697"/>
      <c r="BW7" s="697"/>
      <c r="BX7" s="697"/>
      <c r="BY7" s="705"/>
      <c r="BZ7" s="705"/>
      <c r="CA7" s="701"/>
      <c r="CC7" s="121" t="s">
        <v>664</v>
      </c>
    </row>
    <row r="8" spans="2:81" ht="6" customHeight="1">
      <c r="I8" s="534"/>
      <c r="J8" s="534"/>
      <c r="K8" s="534"/>
      <c r="L8" s="540"/>
      <c r="M8" s="561"/>
      <c r="N8" s="540"/>
      <c r="O8" s="540"/>
      <c r="P8" s="534"/>
      <c r="Q8" s="534"/>
      <c r="R8" s="569"/>
      <c r="S8" s="515"/>
      <c r="T8" s="494"/>
      <c r="U8" s="494"/>
      <c r="V8" s="494"/>
      <c r="W8" s="494"/>
      <c r="X8" s="494"/>
      <c r="Y8" s="494"/>
      <c r="Z8" s="494"/>
      <c r="AA8" s="494"/>
      <c r="AB8" s="494"/>
      <c r="AC8" s="576"/>
      <c r="AD8" s="515"/>
      <c r="AE8" s="552"/>
      <c r="AF8" s="552"/>
      <c r="AG8" s="552"/>
      <c r="AH8" s="583"/>
      <c r="AI8" s="583"/>
      <c r="AJ8" s="552"/>
      <c r="AK8" s="552"/>
      <c r="AL8" s="552"/>
      <c r="AM8" s="552"/>
      <c r="AN8" s="552"/>
      <c r="AO8" s="552"/>
      <c r="AP8" s="552"/>
      <c r="AQ8" s="552"/>
      <c r="AR8" s="583"/>
      <c r="AS8" s="552"/>
      <c r="AT8" s="552"/>
      <c r="AU8" s="552"/>
      <c r="AV8" s="583"/>
      <c r="AW8" s="591"/>
      <c r="AX8" s="515"/>
      <c r="AY8" s="546"/>
      <c r="AZ8" s="546"/>
      <c r="BA8" s="598"/>
      <c r="BB8" s="546"/>
      <c r="BC8" s="546"/>
      <c r="BD8" s="546"/>
      <c r="BE8" s="598"/>
      <c r="BF8" s="605"/>
      <c r="BG8" s="515"/>
      <c r="BH8" s="515"/>
      <c r="BI8" s="515"/>
      <c r="BK8" s="697"/>
      <c r="BL8" s="697"/>
      <c r="BM8" s="697"/>
      <c r="BN8" s="697"/>
      <c r="BO8" s="705"/>
      <c r="BP8" s="697"/>
      <c r="BQ8" s="697"/>
      <c r="BR8" s="697"/>
      <c r="BS8" s="697"/>
      <c r="BT8" s="705"/>
      <c r="BU8" s="697"/>
      <c r="BV8" s="697"/>
      <c r="BW8" s="697"/>
      <c r="BX8" s="697"/>
      <c r="BY8" s="705"/>
      <c r="BZ8" s="705"/>
      <c r="CA8" s="701"/>
    </row>
    <row r="9" spans="2:81" s="24" customFormat="1" ht="15.75" collapsed="1">
      <c r="B9" s="3"/>
      <c r="C9" s="744" t="s">
        <v>676</v>
      </c>
      <c r="D9" s="517" t="str">
        <f>INDEX(Workstreams[Workstream], MATCH($C9, Workstreams[Code], 0))</f>
        <v>Heating</v>
      </c>
      <c r="E9" s="512"/>
      <c r="F9" s="510"/>
      <c r="G9" s="513"/>
      <c r="H9" s="513"/>
      <c r="I9" s="534">
        <f>I15+I10</f>
        <v>582.62431955664806</v>
      </c>
      <c r="J9" s="534"/>
      <c r="K9" s="534"/>
      <c r="L9" s="540"/>
      <c r="M9" s="562"/>
      <c r="N9" s="540"/>
      <c r="O9" s="540"/>
      <c r="P9" s="534">
        <f>L9+M9+N9+O9</f>
        <v>0</v>
      </c>
      <c r="Q9" s="534"/>
      <c r="R9" s="569">
        <f t="shared" ref="R9:R68" si="0">I9+J9+K9+P9+Q9</f>
        <v>582.62431955664806</v>
      </c>
      <c r="S9" s="515"/>
      <c r="T9" s="494">
        <f>T15+T10</f>
        <v>-67.564013066454422</v>
      </c>
      <c r="U9" s="494"/>
      <c r="V9" s="494">
        <f>V15+V10</f>
        <v>-8.0382030847790773</v>
      </c>
      <c r="W9" s="494">
        <f>W15+W10</f>
        <v>-47.349658995256426</v>
      </c>
      <c r="X9" s="494">
        <f>X15+X10</f>
        <v>-448.68165574413212</v>
      </c>
      <c r="Y9" s="494"/>
      <c r="Z9" s="494">
        <f>Z15+Z10</f>
        <v>-5.0871247399999993</v>
      </c>
      <c r="AA9" s="494"/>
      <c r="AB9" s="494"/>
      <c r="AC9" s="576">
        <f>U9+T9+V9+W9+X9+Y9+Z9+AA9+AB9</f>
        <v>-576.7206556306221</v>
      </c>
      <c r="AD9" s="515"/>
      <c r="AE9" s="552">
        <f>AE15+AE10</f>
        <v>0</v>
      </c>
      <c r="AF9" s="552">
        <f>AF15+AF10</f>
        <v>0</v>
      </c>
      <c r="AG9" s="552">
        <f>AG15+AG10</f>
        <v>0</v>
      </c>
      <c r="AH9" s="583">
        <f>AE9+AF9+AG9</f>
        <v>0</v>
      </c>
      <c r="AI9" s="583"/>
      <c r="AJ9" s="552">
        <f>AJ15+AJ10</f>
        <v>-0.52205907000000007</v>
      </c>
      <c r="AK9" s="552"/>
      <c r="AL9" s="552"/>
      <c r="AM9" s="552"/>
      <c r="AN9" s="552"/>
      <c r="AO9" s="552"/>
      <c r="AP9" s="552"/>
      <c r="AQ9" s="552">
        <f>AQ15+AQ10</f>
        <v>-3.8611111111111107</v>
      </c>
      <c r="AR9" s="583">
        <f>AJ9+AK9+AL9+AM9+AN9+AO9+AP9+AQ9</f>
        <v>-4.3831701811111108</v>
      </c>
      <c r="AS9" s="552">
        <f>AS15+AS10</f>
        <v>-0.9393085193548687</v>
      </c>
      <c r="AT9" s="552"/>
      <c r="AU9" s="552">
        <f>AU15+AU10</f>
        <v>-0.58118522556009999</v>
      </c>
      <c r="AV9" s="583">
        <f t="shared" ref="AV9:AV70" si="1">AS9+AT9+AU9</f>
        <v>-1.5204937449149687</v>
      </c>
      <c r="AW9" s="591">
        <f t="shared" ref="AW9:AW68" si="2">AH9+AI9+AR9+AV9</f>
        <v>-5.9036639260260797</v>
      </c>
      <c r="AX9" s="515"/>
      <c r="AY9" s="546"/>
      <c r="AZ9" s="546"/>
      <c r="BA9" s="598">
        <f t="shared" ref="BA9:BA70" si="3">AY9+AZ9</f>
        <v>0</v>
      </c>
      <c r="BB9" s="546"/>
      <c r="BC9" s="546"/>
      <c r="BD9" s="546"/>
      <c r="BE9" s="598">
        <f>BB9+BC9+BD9</f>
        <v>0</v>
      </c>
      <c r="BF9" s="605">
        <f t="shared" ref="BF9:BF68" si="4">BA9+BE9</f>
        <v>0</v>
      </c>
      <c r="BG9" s="515"/>
      <c r="BH9" s="515">
        <f t="shared" ref="BH9:BH19" si="5">R9+AC9+AW9+BF9</f>
        <v>-1.2345680033831741E-13</v>
      </c>
      <c r="BI9" s="515"/>
      <c r="BJ9" s="517" t="str">
        <f>$D9</f>
        <v>Heating</v>
      </c>
      <c r="BK9" s="698">
        <f>-($AE9+$V9)*EF.IndustrialCoal.CO2</f>
        <v>2.4757665501119552</v>
      </c>
      <c r="BL9" s="698">
        <f t="shared" ref="BL9:BL72" si="6">-($AF9+$W9+$BD9)*EF.Diesel.CO2</f>
        <v>11.837414748814107</v>
      </c>
      <c r="BM9" s="698">
        <f>-($AG9+$X9)*EF.NaturalGas.CO2</f>
        <v>82.55742465692029</v>
      </c>
      <c r="BN9" s="698">
        <f>-$Y9*EF.BlastFurnaceGas.CO2</f>
        <v>0</v>
      </c>
      <c r="BO9" s="729">
        <f>$BK9+$BL9+$BM9+$BN9</f>
        <v>96.870605955846344</v>
      </c>
      <c r="BP9" s="698">
        <f>-($AE9+$V9)*EF.IndustrialCoal.CH4</f>
        <v>7.2729074411706863E-3</v>
      </c>
      <c r="BQ9" s="698">
        <f t="shared" ref="BQ9:BQ72" si="7">-($AF9+$W9+$BD9)*EF.Diesel.CH4</f>
        <v>1.4737534631105675E-2</v>
      </c>
      <c r="BR9" s="698">
        <f>-($AG9+$X9)*EF.NaturalGas.CH4</f>
        <v>0.16548517784088498</v>
      </c>
      <c r="BS9" s="699" t="s">
        <v>651</v>
      </c>
      <c r="BT9" s="729">
        <f>BP9+BQ9+BR9</f>
        <v>0.18749561991316135</v>
      </c>
      <c r="BU9" s="698">
        <f>-($AE9+$V9)*EF.IndustrialCoal.N2O</f>
        <v>2.1931611250643586E-2</v>
      </c>
      <c r="BV9" s="698">
        <f t="shared" ref="BV9:BV72" si="8">-($AF9+$W9+$BD9)*EF.Diesel.N2O</f>
        <v>0.21297934726683534</v>
      </c>
      <c r="BW9" s="698">
        <f>-($AG9+$X9)*EF.NaturalGas.N2O</f>
        <v>0.17798735408335278</v>
      </c>
      <c r="BX9" s="699" t="s">
        <v>651</v>
      </c>
      <c r="BY9" s="729">
        <f>BU9+BV9+BW9</f>
        <v>0.41289831260083171</v>
      </c>
      <c r="BZ9" s="729"/>
      <c r="CA9" s="730">
        <f>BO9+BT9+BY9+BZ9</f>
        <v>97.470999888360339</v>
      </c>
    </row>
    <row r="10" spans="2:81" ht="12.75" hidden="1" customHeight="1" outlineLevel="1" collapsed="1">
      <c r="C10" s="745"/>
      <c r="D10" s="660" t="s">
        <v>41</v>
      </c>
      <c r="E10" s="660"/>
      <c r="F10" s="661" t="str">
        <f>$C$136</f>
        <v>[1]</v>
      </c>
      <c r="G10" s="662" t="s">
        <v>443</v>
      </c>
      <c r="H10" s="662"/>
      <c r="I10" s="663">
        <f>SUM(I12:I14)</f>
        <v>436.4944796177661</v>
      </c>
      <c r="J10" s="663"/>
      <c r="K10" s="663"/>
      <c r="L10" s="664"/>
      <c r="M10" s="665"/>
      <c r="N10" s="664"/>
      <c r="O10" s="664"/>
      <c r="P10" s="663">
        <f>L10+M10+N10+O10</f>
        <v>0</v>
      </c>
      <c r="Q10" s="663"/>
      <c r="R10" s="666">
        <f t="shared" si="0"/>
        <v>436.4944796177661</v>
      </c>
      <c r="S10" s="667"/>
      <c r="T10" s="668">
        <f>SUM(T12:T14)</f>
        <v>-36.974092934031496</v>
      </c>
      <c r="U10" s="668"/>
      <c r="V10" s="668">
        <f>SUM(V12:V14)</f>
        <v>-7.9083510389235778</v>
      </c>
      <c r="W10" s="668">
        <f>SUM(W12:W14)</f>
        <v>-33.454328504791064</v>
      </c>
      <c r="X10" s="668">
        <f>SUM(X12:X14)</f>
        <v>-352.90485745899207</v>
      </c>
      <c r="Y10" s="668"/>
      <c r="Z10" s="668">
        <f>SUM(Z12:Z14)</f>
        <v>-0.60399999999999998</v>
      </c>
      <c r="AA10" s="668"/>
      <c r="AB10" s="668"/>
      <c r="AC10" s="669">
        <f>U10+T10+V10+W10+X10+Y10+Z10+AA10+AB10</f>
        <v>-431.84562993673819</v>
      </c>
      <c r="AD10" s="667"/>
      <c r="AE10" s="670">
        <f>SUM(AE12:AE14)</f>
        <v>0</v>
      </c>
      <c r="AF10" s="670">
        <f>SUM(AF12:AF14)</f>
        <v>0</v>
      </c>
      <c r="AG10" s="670">
        <f>SUM(AG12:AG14)</f>
        <v>0</v>
      </c>
      <c r="AH10" s="671">
        <f>AE10+AF10+AG10</f>
        <v>0</v>
      </c>
      <c r="AI10" s="671"/>
      <c r="AJ10" s="670">
        <f>SUM(AJ12:AJ14)</f>
        <v>-0.52205907000000007</v>
      </c>
      <c r="AK10" s="670"/>
      <c r="AL10" s="670"/>
      <c r="AM10" s="670"/>
      <c r="AN10" s="670"/>
      <c r="AO10" s="670"/>
      <c r="AP10" s="670"/>
      <c r="AQ10" s="670">
        <f>SUM(AQ12:AQ14)</f>
        <v>-3.8611111111111107</v>
      </c>
      <c r="AR10" s="671">
        <f t="shared" ref="AR10:AR70" si="9">AJ10+AK10+AL10+AM10+AN10+AO10+AP10+AQ10</f>
        <v>-4.3831701811111108</v>
      </c>
      <c r="AS10" s="670">
        <f>SUM(AS12:AS14)</f>
        <v>-0.26567949991680362</v>
      </c>
      <c r="AT10" s="670"/>
      <c r="AU10" s="670"/>
      <c r="AV10" s="671">
        <f t="shared" si="1"/>
        <v>-0.26567949991680362</v>
      </c>
      <c r="AW10" s="672">
        <f t="shared" si="2"/>
        <v>-4.6488496810279143</v>
      </c>
      <c r="AX10" s="667"/>
      <c r="AY10" s="673"/>
      <c r="AZ10" s="673"/>
      <c r="BA10" s="674">
        <f t="shared" si="3"/>
        <v>0</v>
      </c>
      <c r="BB10" s="673"/>
      <c r="BC10" s="673"/>
      <c r="BD10" s="673"/>
      <c r="BE10" s="674">
        <f t="shared" ref="BE10:BE28" si="10">BB10+BC10</f>
        <v>0</v>
      </c>
      <c r="BF10" s="675">
        <f t="shared" si="4"/>
        <v>0</v>
      </c>
      <c r="BG10" s="667"/>
      <c r="BH10" s="667">
        <f t="shared" si="5"/>
        <v>-2.6645352591003757E-15</v>
      </c>
      <c r="BI10" s="515"/>
      <c r="BJ10" s="741"/>
      <c r="BK10" s="722">
        <f>-($AE10+$V10)*EF.IndustrialCoal.CO2</f>
        <v>2.4357721199884614</v>
      </c>
      <c r="BL10" s="722">
        <f t="shared" si="6"/>
        <v>8.3635821261977661</v>
      </c>
      <c r="BM10" s="722">
        <f>-($AG10+$X10)*EF.NaturalGas.CO2</f>
        <v>64.93449377245453</v>
      </c>
      <c r="BN10" s="722">
        <f>-$Y10*EF.BlastFurnaceGas.CO2</f>
        <v>0</v>
      </c>
      <c r="BO10" s="732">
        <f t="shared" ref="BO10:BO72" si="11">$BK10+$BL10+$BM10+$BN10</f>
        <v>75.733848018640757</v>
      </c>
      <c r="BP10" s="722">
        <f>-($AE10+$V10)*EF.IndustrialCoal.CH4</f>
        <v>7.1554182585022372E-3</v>
      </c>
      <c r="BQ10" s="722">
        <f t="shared" si="7"/>
        <v>1.041262672977512E-2</v>
      </c>
      <c r="BR10" s="722">
        <f>-($AG10+$X10)*EF.NaturalGas.CH4</f>
        <v>0.13016026474418046</v>
      </c>
      <c r="BS10" s="724" t="s">
        <v>651</v>
      </c>
      <c r="BT10" s="723">
        <f t="shared" ref="BT10:BT72" si="12">BP10+BQ10+BR10</f>
        <v>0.14772830973245782</v>
      </c>
      <c r="BU10" s="722">
        <f>-($AE10+$V10)*EF.IndustrialCoal.N2O</f>
        <v>2.1577320053995892E-2</v>
      </c>
      <c r="BV10" s="722">
        <f t="shared" si="8"/>
        <v>0.15047798018808303</v>
      </c>
      <c r="BW10" s="722">
        <f>-($AG10+$X10)*EF.NaturalGas.N2O</f>
        <v>0.13999369267307121</v>
      </c>
      <c r="BX10" s="724" t="s">
        <v>651</v>
      </c>
      <c r="BY10" s="723">
        <f t="shared" ref="BY10:BY72" si="13">BU10+BV10+BW10</f>
        <v>0.31204899291515015</v>
      </c>
      <c r="BZ10" s="723"/>
      <c r="CA10" s="725">
        <f t="shared" ref="CA10:CA72" si="14">BO10+BT10+BY10+BZ10</f>
        <v>76.193625321288366</v>
      </c>
    </row>
    <row r="11" spans="2:81" s="715" customFormat="1" ht="10.5" hidden="1" customHeight="1" outlineLevel="2">
      <c r="C11" s="746"/>
      <c r="D11" s="521"/>
      <c r="E11" s="521" t="s">
        <v>416</v>
      </c>
      <c r="F11" s="522"/>
      <c r="G11" s="523"/>
      <c r="H11" s="523"/>
      <c r="I11" s="535"/>
      <c r="J11" s="535"/>
      <c r="K11" s="535"/>
      <c r="L11" s="541"/>
      <c r="M11" s="563"/>
      <c r="N11" s="541"/>
      <c r="O11" s="541"/>
      <c r="P11" s="535"/>
      <c r="Q11" s="535"/>
      <c r="R11" s="570"/>
      <c r="S11" s="524"/>
      <c r="T11" s="557"/>
      <c r="U11" s="557"/>
      <c r="V11" s="557"/>
      <c r="W11" s="557"/>
      <c r="X11" s="557"/>
      <c r="Y11" s="557"/>
      <c r="Z11" s="557"/>
      <c r="AA11" s="557"/>
      <c r="AB11" s="557"/>
      <c r="AC11" s="577"/>
      <c r="AD11" s="524"/>
      <c r="AE11" s="553"/>
      <c r="AF11" s="553"/>
      <c r="AG11" s="553"/>
      <c r="AH11" s="584"/>
      <c r="AI11" s="584"/>
      <c r="AJ11" s="553"/>
      <c r="AK11" s="553"/>
      <c r="AL11" s="553"/>
      <c r="AM11" s="553"/>
      <c r="AN11" s="553"/>
      <c r="AO11" s="553"/>
      <c r="AP11" s="553"/>
      <c r="AQ11" s="553"/>
      <c r="AR11" s="584"/>
      <c r="AS11" s="553"/>
      <c r="AT11" s="553"/>
      <c r="AU11" s="553"/>
      <c r="AV11" s="584">
        <f t="shared" si="1"/>
        <v>0</v>
      </c>
      <c r="AW11" s="592">
        <f t="shared" si="2"/>
        <v>0</v>
      </c>
      <c r="AX11" s="524"/>
      <c r="AY11" s="547"/>
      <c r="AZ11" s="547"/>
      <c r="BA11" s="599">
        <f t="shared" si="3"/>
        <v>0</v>
      </c>
      <c r="BB11" s="547"/>
      <c r="BC11" s="547"/>
      <c r="BD11" s="547"/>
      <c r="BE11" s="599">
        <f t="shared" si="10"/>
        <v>0</v>
      </c>
      <c r="BF11" s="606">
        <f t="shared" si="4"/>
        <v>0</v>
      </c>
      <c r="BG11" s="524"/>
      <c r="BH11" s="524">
        <f t="shared" si="5"/>
        <v>0</v>
      </c>
      <c r="BI11" s="524"/>
      <c r="BJ11" s="741"/>
      <c r="BK11" s="735"/>
      <c r="BL11" s="735">
        <f t="shared" si="6"/>
        <v>0</v>
      </c>
      <c r="BM11" s="735"/>
      <c r="BN11" s="735"/>
      <c r="BO11" s="736"/>
      <c r="BP11" s="716"/>
      <c r="BQ11" s="716">
        <f t="shared" si="7"/>
        <v>0</v>
      </c>
      <c r="BR11" s="716"/>
      <c r="BS11" s="718"/>
      <c r="BT11" s="717"/>
      <c r="BU11" s="716"/>
      <c r="BV11" s="716">
        <f t="shared" si="8"/>
        <v>0</v>
      </c>
      <c r="BW11" s="716"/>
      <c r="BX11" s="718"/>
      <c r="BY11" s="717"/>
      <c r="BZ11" s="717"/>
      <c r="CA11" s="719"/>
    </row>
    <row r="12" spans="2:81" s="715" customFormat="1" ht="10.5" hidden="1" customHeight="1" outlineLevel="2">
      <c r="C12" s="746"/>
      <c r="D12" s="521"/>
      <c r="E12" s="521" t="s">
        <v>114</v>
      </c>
      <c r="F12" s="522" t="str">
        <f>$C$137</f>
        <v>[1a]</v>
      </c>
      <c r="G12" s="523"/>
      <c r="H12" s="523"/>
      <c r="I12" s="535">
        <f>-AC12-AW12</f>
        <v>291.47592449379539</v>
      </c>
      <c r="J12" s="535"/>
      <c r="K12" s="535"/>
      <c r="L12" s="541"/>
      <c r="M12" s="563"/>
      <c r="N12" s="541"/>
      <c r="O12" s="541"/>
      <c r="P12" s="535">
        <f>L12+M12+N12+O12</f>
        <v>0</v>
      </c>
      <c r="Q12" s="535"/>
      <c r="R12" s="570">
        <f t="shared" si="0"/>
        <v>291.47592449379539</v>
      </c>
      <c r="S12" s="524"/>
      <c r="T12" s="557">
        <f>-'DECC Energy Cons. (1.14)'!$F$4*Unit.ktoe</f>
        <v>-13.971461786760198</v>
      </c>
      <c r="U12" s="557"/>
      <c r="V12" s="557">
        <f>-'DECC Energy Cons. (1.14)'!$E$4*Unit.ktoe</f>
        <v>-6.0971955573687122</v>
      </c>
      <c r="W12" s="557">
        <f>-'DECC Energy Cons. (1.14)'!$D$4*Unit.ktoe</f>
        <v>-24.694588567042736</v>
      </c>
      <c r="X12" s="557">
        <f>-'DECC Energy Cons. (1.14)'!$C$4*Unit.ktoe</f>
        <v>-241.45982890159584</v>
      </c>
      <c r="Y12" s="557"/>
      <c r="Z12" s="557">
        <f>-'DUKES 09 (1.2)'!$J$58*Unit.ktoe</f>
        <v>-0.60399999999999998</v>
      </c>
      <c r="AA12" s="557"/>
      <c r="AB12" s="557"/>
      <c r="AC12" s="577">
        <f>U12+T12+V12+W12+X12+Y12+Z12+AA12+AB12</f>
        <v>-286.82707481276748</v>
      </c>
      <c r="AD12" s="524"/>
      <c r="AE12" s="553"/>
      <c r="AF12" s="553"/>
      <c r="AG12" s="553"/>
      <c r="AH12" s="584">
        <f>AE12+AF12+AG12</f>
        <v>0</v>
      </c>
      <c r="AI12" s="584"/>
      <c r="AJ12" s="553">
        <f>-'DUKES 09 (7.2)'!$K$61*Unit.ktoe</f>
        <v>-0.52205907000000007</v>
      </c>
      <c r="AK12" s="553"/>
      <c r="AL12" s="553"/>
      <c r="AM12" s="553"/>
      <c r="AN12" s="553"/>
      <c r="AO12" s="553"/>
      <c r="AP12" s="553"/>
      <c r="AQ12" s="553">
        <f>-'DUKES 09 (7.2)'!$C$61*Unit.ktoe</f>
        <v>-3.8611111111111107</v>
      </c>
      <c r="AR12" s="584">
        <f t="shared" si="9"/>
        <v>-4.3831701811111108</v>
      </c>
      <c r="AS12" s="553">
        <f>-'DUKES 09 (7.2)'!$J$61*Unit.ktoe</f>
        <v>-0.26567949991680362</v>
      </c>
      <c r="AT12" s="553"/>
      <c r="AU12" s="553"/>
      <c r="AV12" s="584">
        <f t="shared" si="1"/>
        <v>-0.26567949991680362</v>
      </c>
      <c r="AW12" s="592">
        <f t="shared" si="2"/>
        <v>-4.6488496810279143</v>
      </c>
      <c r="AX12" s="524"/>
      <c r="AY12" s="547"/>
      <c r="AZ12" s="547"/>
      <c r="BA12" s="599">
        <f t="shared" si="3"/>
        <v>0</v>
      </c>
      <c r="BB12" s="547"/>
      <c r="BC12" s="547"/>
      <c r="BD12" s="547"/>
      <c r="BE12" s="599">
        <f t="shared" si="10"/>
        <v>0</v>
      </c>
      <c r="BF12" s="606">
        <f t="shared" si="4"/>
        <v>0</v>
      </c>
      <c r="BG12" s="524"/>
      <c r="BH12" s="524">
        <f t="shared" si="5"/>
        <v>-2.6645352591003757E-15</v>
      </c>
      <c r="BI12" s="524"/>
      <c r="BJ12" s="741"/>
      <c r="BK12" s="735">
        <f>-($AE12+$V12)*EF.IndustrialCoal.CO2</f>
        <v>1.8779362316695629</v>
      </c>
      <c r="BL12" s="735">
        <f t="shared" si="6"/>
        <v>6.173647141760684</v>
      </c>
      <c r="BM12" s="735">
        <f>-($AG12+$X12)*EF.NaturalGas.CO2</f>
        <v>44.428608517893629</v>
      </c>
      <c r="BN12" s="735">
        <f>-$Y12*EF.BlastFurnaceGas.CO2</f>
        <v>0</v>
      </c>
      <c r="BO12" s="736">
        <f t="shared" si="11"/>
        <v>52.480191891323877</v>
      </c>
      <c r="BP12" s="716">
        <f>-($AE12+$V12)*EF.IndustrialCoal.CH4</f>
        <v>5.5166980072236527E-3</v>
      </c>
      <c r="BQ12" s="716">
        <f t="shared" si="7"/>
        <v>7.6861663194693428E-3</v>
      </c>
      <c r="BR12" s="716">
        <f>-($AG12+$X12)*EF.NaturalGas.CH4</f>
        <v>8.9056510814868151E-2</v>
      </c>
      <c r="BS12" s="718" t="s">
        <v>651</v>
      </c>
      <c r="BT12" s="717">
        <f t="shared" si="12"/>
        <v>0.10225937514156115</v>
      </c>
      <c r="BU12" s="716">
        <f>-($AE12+$V12)*EF.IndustrialCoal.N2O</f>
        <v>1.6635723341771845E-2</v>
      </c>
      <c r="BV12" s="716">
        <f t="shared" si="8"/>
        <v>0.11107656244279851</v>
      </c>
      <c r="BW12" s="716">
        <f>-($AG12+$X12)*EF.NaturalGas.N2O</f>
        <v>9.5784607000118413E-2</v>
      </c>
      <c r="BX12" s="718" t="s">
        <v>651</v>
      </c>
      <c r="BY12" s="717">
        <f t="shared" si="13"/>
        <v>0.22349689278468876</v>
      </c>
      <c r="BZ12" s="717"/>
      <c r="CA12" s="719">
        <f t="shared" si="14"/>
        <v>52.805948159250129</v>
      </c>
    </row>
    <row r="13" spans="2:81" s="715" customFormat="1" ht="10.5" hidden="1" customHeight="1" outlineLevel="2">
      <c r="C13" s="746"/>
      <c r="D13" s="521"/>
      <c r="E13" s="521" t="s">
        <v>115</v>
      </c>
      <c r="F13" s="522"/>
      <c r="G13" s="523"/>
      <c r="H13" s="523"/>
      <c r="I13" s="535">
        <f>-AC13-AW13</f>
        <v>130.18160973500784</v>
      </c>
      <c r="J13" s="535"/>
      <c r="K13" s="535"/>
      <c r="L13" s="541"/>
      <c r="M13" s="563"/>
      <c r="N13" s="541"/>
      <c r="O13" s="541"/>
      <c r="P13" s="535">
        <f>L13+M13+N13+O13</f>
        <v>0</v>
      </c>
      <c r="Q13" s="535"/>
      <c r="R13" s="570">
        <f t="shared" si="0"/>
        <v>130.18160973500784</v>
      </c>
      <c r="S13" s="524"/>
      <c r="T13" s="557">
        <f>-'DECC Energy Cons. (1.14)'!$F$5*Unit.ktoe</f>
        <v>-16.177343547341795</v>
      </c>
      <c r="U13" s="557"/>
      <c r="V13" s="557">
        <f>-'DECC Energy Cons. (1.14)'!$E$5*Unit.ktoe</f>
        <v>-1.77652236070583</v>
      </c>
      <c r="W13" s="557">
        <f>-'DECC Energy Cons. (1.14)'!$D$5*Unit.ktoe</f>
        <v>-8.7188237440085707</v>
      </c>
      <c r="X13" s="557">
        <f>-'DECC Energy Cons. (1.14)'!$C$5*Unit.ktoe</f>
        <v>-103.50892008295163</v>
      </c>
      <c r="Y13" s="557"/>
      <c r="Z13" s="557"/>
      <c r="AA13" s="557"/>
      <c r="AB13" s="557"/>
      <c r="AC13" s="577">
        <f>U13+T13+V13+W13+X13+Y13+Z13+AA13+AB13</f>
        <v>-130.18160973500784</v>
      </c>
      <c r="AD13" s="524"/>
      <c r="AE13" s="553"/>
      <c r="AF13" s="553"/>
      <c r="AG13" s="553"/>
      <c r="AH13" s="584">
        <f>AE13+AF13+AG13</f>
        <v>0</v>
      </c>
      <c r="AI13" s="584"/>
      <c r="AJ13" s="553"/>
      <c r="AK13" s="553"/>
      <c r="AL13" s="553"/>
      <c r="AM13" s="553"/>
      <c r="AN13" s="553"/>
      <c r="AO13" s="553"/>
      <c r="AP13" s="553"/>
      <c r="AQ13" s="553"/>
      <c r="AR13" s="584">
        <f t="shared" si="9"/>
        <v>0</v>
      </c>
      <c r="AS13" s="553"/>
      <c r="AT13" s="553"/>
      <c r="AU13" s="553"/>
      <c r="AV13" s="584">
        <f t="shared" si="1"/>
        <v>0</v>
      </c>
      <c r="AW13" s="592">
        <f t="shared" si="2"/>
        <v>0</v>
      </c>
      <c r="AX13" s="524"/>
      <c r="AY13" s="547"/>
      <c r="AZ13" s="547"/>
      <c r="BA13" s="599">
        <f t="shared" si="3"/>
        <v>0</v>
      </c>
      <c r="BB13" s="547"/>
      <c r="BC13" s="547"/>
      <c r="BD13" s="547"/>
      <c r="BE13" s="599">
        <f t="shared" si="10"/>
        <v>0</v>
      </c>
      <c r="BF13" s="606">
        <f t="shared" si="4"/>
        <v>0</v>
      </c>
      <c r="BG13" s="524"/>
      <c r="BH13" s="524">
        <f t="shared" si="5"/>
        <v>0</v>
      </c>
      <c r="BI13" s="524"/>
      <c r="BJ13" s="741"/>
      <c r="BK13" s="735">
        <f>-($AE13+$V13)*EF.IndustrialCoal.CO2</f>
        <v>0.54716888709739553</v>
      </c>
      <c r="BL13" s="735">
        <f t="shared" si="6"/>
        <v>2.1797059360021427</v>
      </c>
      <c r="BM13" s="735">
        <f>-($AG13+$X13)*EF.NaturalGas.CO2</f>
        <v>19.045641295263096</v>
      </c>
      <c r="BN13" s="735">
        <f>-$Y13*EF.BlastFurnaceGas.CO2</f>
        <v>0</v>
      </c>
      <c r="BO13" s="736">
        <f t="shared" si="11"/>
        <v>21.772516118362635</v>
      </c>
      <c r="BP13" s="716">
        <f>-($AE13+$V13)*EF.IndustrialCoal.CH4</f>
        <v>1.607384456489961E-3</v>
      </c>
      <c r="BQ13" s="716">
        <f t="shared" si="7"/>
        <v>2.7137252853860153E-3</v>
      </c>
      <c r="BR13" s="716">
        <f>-($AG13+$X13)*EF.NaturalGas.CH4</f>
        <v>3.8176715782232466E-2</v>
      </c>
      <c r="BS13" s="718" t="s">
        <v>651</v>
      </c>
      <c r="BT13" s="717">
        <f t="shared" si="12"/>
        <v>4.249782552410844E-2</v>
      </c>
      <c r="BU13" s="716">
        <f>-($AE13+$V13)*EF.IndustrialCoal.N2O</f>
        <v>4.8471029385725849E-3</v>
      </c>
      <c r="BV13" s="716">
        <f t="shared" si="8"/>
        <v>3.9217376203692651E-2</v>
      </c>
      <c r="BW13" s="716">
        <f>-($AG13+$X13)*EF.NaturalGas.N2O</f>
        <v>4.1060913843324019E-2</v>
      </c>
      <c r="BX13" s="718" t="s">
        <v>651</v>
      </c>
      <c r="BY13" s="717">
        <f t="shared" si="13"/>
        <v>8.5125392985589257E-2</v>
      </c>
      <c r="BZ13" s="717"/>
      <c r="CA13" s="719">
        <f t="shared" si="14"/>
        <v>21.900139336872332</v>
      </c>
    </row>
    <row r="14" spans="2:81" s="715" customFormat="1" ht="10.5" hidden="1" customHeight="1" outlineLevel="2">
      <c r="C14" s="746"/>
      <c r="D14" s="521"/>
      <c r="E14" s="521" t="s">
        <v>116</v>
      </c>
      <c r="F14" s="522"/>
      <c r="G14" s="523"/>
      <c r="H14" s="523"/>
      <c r="I14" s="535">
        <f>-AC14-AW14</f>
        <v>14.836945388962878</v>
      </c>
      <c r="J14" s="535"/>
      <c r="K14" s="535"/>
      <c r="L14" s="541"/>
      <c r="M14" s="563"/>
      <c r="N14" s="541"/>
      <c r="O14" s="541"/>
      <c r="P14" s="535">
        <f>L14+M14+N14+O14</f>
        <v>0</v>
      </c>
      <c r="Q14" s="535"/>
      <c r="R14" s="570">
        <f t="shared" si="0"/>
        <v>14.836945388962878</v>
      </c>
      <c r="S14" s="524"/>
      <c r="T14" s="557">
        <f>-'DECC Energy Cons. (1.14)'!$F$6*Unit.ktoe</f>
        <v>-6.8252875999295028</v>
      </c>
      <c r="U14" s="557"/>
      <c r="V14" s="557">
        <f>-'DECC Energy Cons. (1.14)'!$E$6*Unit.ktoe</f>
        <v>-3.4633120849035942E-2</v>
      </c>
      <c r="W14" s="557">
        <f>-'DECC Energy Cons. (1.14)'!$D$6*Unit.ktoe</f>
        <v>-4.0916193739758112E-2</v>
      </c>
      <c r="X14" s="557">
        <f>-'DECC Energy Cons. (1.14)'!$C$6*Unit.ktoe</f>
        <v>-7.9361084744445822</v>
      </c>
      <c r="Y14" s="557"/>
      <c r="Z14" s="557"/>
      <c r="AA14" s="557"/>
      <c r="AB14" s="557"/>
      <c r="AC14" s="577">
        <f>U14+T14+V14+W14+X14+Y14+Z14+AA14+AB14</f>
        <v>-14.836945388962878</v>
      </c>
      <c r="AD14" s="524"/>
      <c r="AE14" s="553"/>
      <c r="AF14" s="553"/>
      <c r="AG14" s="553"/>
      <c r="AH14" s="584">
        <f>AE14+AF14+AG14</f>
        <v>0</v>
      </c>
      <c r="AI14" s="584"/>
      <c r="AJ14" s="553"/>
      <c r="AK14" s="553"/>
      <c r="AL14" s="553"/>
      <c r="AM14" s="553"/>
      <c r="AN14" s="553"/>
      <c r="AO14" s="553"/>
      <c r="AP14" s="553"/>
      <c r="AQ14" s="553"/>
      <c r="AR14" s="584">
        <f t="shared" si="9"/>
        <v>0</v>
      </c>
      <c r="AS14" s="553"/>
      <c r="AT14" s="553"/>
      <c r="AU14" s="553"/>
      <c r="AV14" s="584">
        <f t="shared" si="1"/>
        <v>0</v>
      </c>
      <c r="AW14" s="592">
        <f t="shared" si="2"/>
        <v>0</v>
      </c>
      <c r="AX14" s="524"/>
      <c r="AY14" s="547"/>
      <c r="AZ14" s="547"/>
      <c r="BA14" s="599">
        <f t="shared" si="3"/>
        <v>0</v>
      </c>
      <c r="BB14" s="547"/>
      <c r="BC14" s="547"/>
      <c r="BD14" s="547"/>
      <c r="BE14" s="599">
        <f t="shared" si="10"/>
        <v>0</v>
      </c>
      <c r="BF14" s="606">
        <f t="shared" si="4"/>
        <v>0</v>
      </c>
      <c r="BG14" s="524"/>
      <c r="BH14" s="524">
        <f t="shared" si="5"/>
        <v>0</v>
      </c>
      <c r="BI14" s="524"/>
      <c r="BJ14" s="741"/>
      <c r="BK14" s="735">
        <f>-($AE14+$V14)*EF.IndustrialCoal.CO2</f>
        <v>1.0667001221503068E-2</v>
      </c>
      <c r="BL14" s="735">
        <f t="shared" si="6"/>
        <v>1.0229048434939528E-2</v>
      </c>
      <c r="BM14" s="735">
        <f>-($AG14+$X14)*EF.NaturalGas.CO2</f>
        <v>1.4602439592978029</v>
      </c>
      <c r="BN14" s="735">
        <f>-$Y14*EF.BlastFurnaceGas.CO2</f>
        <v>0</v>
      </c>
      <c r="BO14" s="736">
        <f t="shared" si="11"/>
        <v>1.4811400089542455</v>
      </c>
      <c r="BP14" s="716">
        <f>-($AE14+$V14)*EF.IndustrialCoal.CH4</f>
        <v>3.1335794788623448E-5</v>
      </c>
      <c r="BQ14" s="716">
        <f t="shared" si="7"/>
        <v>1.2735124919761817E-5</v>
      </c>
      <c r="BR14" s="716">
        <f>-($AG14+$X14)*EF.NaturalGas.CH4</f>
        <v>2.9270381470798334E-3</v>
      </c>
      <c r="BS14" s="718" t="s">
        <v>651</v>
      </c>
      <c r="BT14" s="717">
        <f t="shared" si="12"/>
        <v>2.9711090667882186E-3</v>
      </c>
      <c r="BU14" s="716">
        <f>-($AE14+$V14)*EF.IndustrialCoal.N2O</f>
        <v>9.4493773651464227E-5</v>
      </c>
      <c r="BV14" s="716">
        <f t="shared" si="8"/>
        <v>1.84041541591885E-4</v>
      </c>
      <c r="BW14" s="716">
        <f>-($AG14+$X14)*EF.NaturalGas.N2O</f>
        <v>3.1481718296287571E-3</v>
      </c>
      <c r="BX14" s="718" t="s">
        <v>651</v>
      </c>
      <c r="BY14" s="717">
        <f t="shared" si="13"/>
        <v>3.4267071448721063E-3</v>
      </c>
      <c r="BZ14" s="717"/>
      <c r="CA14" s="719">
        <f t="shared" si="14"/>
        <v>1.4875378251659059</v>
      </c>
    </row>
    <row r="15" spans="2:81" ht="12.75" hidden="1" customHeight="1" outlineLevel="1">
      <c r="C15" s="747"/>
      <c r="D15" s="38" t="s">
        <v>52</v>
      </c>
      <c r="E15" s="38"/>
      <c r="F15" s="510" t="str">
        <f>$C$138</f>
        <v>[2]</v>
      </c>
      <c r="G15" s="513" t="s">
        <v>444</v>
      </c>
      <c r="I15" s="534">
        <f>SUM(I17:I19)</f>
        <v>146.12983993888199</v>
      </c>
      <c r="J15" s="534"/>
      <c r="K15" s="534"/>
      <c r="L15" s="540"/>
      <c r="M15" s="562"/>
      <c r="N15" s="540"/>
      <c r="O15" s="540"/>
      <c r="P15" s="534">
        <f>L15+M15+N15+O15</f>
        <v>0</v>
      </c>
      <c r="Q15" s="534"/>
      <c r="R15" s="569">
        <f t="shared" si="0"/>
        <v>146.12983993888199</v>
      </c>
      <c r="S15" s="515"/>
      <c r="T15" s="494">
        <f>SUM(T17:T19)</f>
        <v>-30.589920132422925</v>
      </c>
      <c r="U15" s="494"/>
      <c r="V15" s="494">
        <f>SUM(V17:V19)</f>
        <v>-0.12985204585550009</v>
      </c>
      <c r="W15" s="494">
        <f>SUM(W17:W19)</f>
        <v>-13.89533049046536</v>
      </c>
      <c r="X15" s="494">
        <f>SUM(X17:X19)</f>
        <v>-95.77679828514006</v>
      </c>
      <c r="Y15" s="494"/>
      <c r="Z15" s="494">
        <f>SUM(Z17:Z19)</f>
        <v>-4.4831247399999992</v>
      </c>
      <c r="AA15" s="494"/>
      <c r="AB15" s="494"/>
      <c r="AC15" s="576">
        <f>U15+T15+V15+W15+X15+Y15+Z15+AA15+AB15</f>
        <v>-144.87502569388386</v>
      </c>
      <c r="AD15" s="515"/>
      <c r="AE15" s="552">
        <f>SUM(AE17:AE19)</f>
        <v>0</v>
      </c>
      <c r="AF15" s="552">
        <f>SUM(AF17:AF19)</f>
        <v>0</v>
      </c>
      <c r="AG15" s="552">
        <f>SUM(AG17:AG19)</f>
        <v>0</v>
      </c>
      <c r="AH15" s="583">
        <f>AE15+AF15+AG15</f>
        <v>0</v>
      </c>
      <c r="AI15" s="583"/>
      <c r="AJ15" s="552"/>
      <c r="AK15" s="552"/>
      <c r="AL15" s="552"/>
      <c r="AM15" s="552"/>
      <c r="AN15" s="552"/>
      <c r="AO15" s="552"/>
      <c r="AP15" s="552"/>
      <c r="AQ15" s="552"/>
      <c r="AR15" s="583">
        <f t="shared" si="9"/>
        <v>0</v>
      </c>
      <c r="AS15" s="552">
        <f>SUM(AS17:AS19)</f>
        <v>-0.67362901943806508</v>
      </c>
      <c r="AT15" s="552"/>
      <c r="AU15" s="552">
        <f>SUM(AU17:AU19)</f>
        <v>-0.58118522556009999</v>
      </c>
      <c r="AV15" s="583">
        <f t="shared" si="1"/>
        <v>-1.254814244998165</v>
      </c>
      <c r="AW15" s="591">
        <f t="shared" si="2"/>
        <v>-1.254814244998165</v>
      </c>
      <c r="AX15" s="515"/>
      <c r="AY15" s="546"/>
      <c r="AZ15" s="546"/>
      <c r="BA15" s="598">
        <f t="shared" si="3"/>
        <v>0</v>
      </c>
      <c r="BB15" s="546"/>
      <c r="BC15" s="546"/>
      <c r="BD15" s="546"/>
      <c r="BE15" s="598">
        <f t="shared" si="10"/>
        <v>0</v>
      </c>
      <c r="BF15" s="605">
        <f t="shared" si="4"/>
        <v>0</v>
      </c>
      <c r="BG15" s="515"/>
      <c r="BH15" s="515">
        <f t="shared" si="5"/>
        <v>-3.5083047578154947E-14</v>
      </c>
      <c r="BI15" s="515"/>
      <c r="BJ15" s="741"/>
      <c r="BK15" s="698">
        <f>-($AE15+$V15)*EF.IndustrialCoal.CO2</f>
        <v>3.9994430123494018E-2</v>
      </c>
      <c r="BL15" s="698">
        <f t="shared" si="6"/>
        <v>3.4738326226163401</v>
      </c>
      <c r="BM15" s="698">
        <f>-($AG15+$X15)*EF.NaturalGas.CO2</f>
        <v>17.622930884465767</v>
      </c>
      <c r="BN15" s="698">
        <f>-$Y15*EF.BlastFurnaceGas.CO2</f>
        <v>0</v>
      </c>
      <c r="BO15" s="729">
        <f t="shared" si="11"/>
        <v>21.136757937205601</v>
      </c>
      <c r="BP15" s="698">
        <f>-($AE15+$V15)*EF.IndustrialCoal.CH4</f>
        <v>1.1748918266844955E-4</v>
      </c>
      <c r="BQ15" s="698">
        <f t="shared" si="7"/>
        <v>4.3249079013305538E-3</v>
      </c>
      <c r="BR15" s="698">
        <f>-($AG15+$X15)*EF.NaturalGas.CH4</f>
        <v>3.5324913096704547E-2</v>
      </c>
      <c r="BS15" s="699" t="s">
        <v>651</v>
      </c>
      <c r="BT15" s="706">
        <f t="shared" si="12"/>
        <v>3.976731018070355E-2</v>
      </c>
      <c r="BU15" s="698">
        <f>-($AE15+$V15)*EF.IndustrialCoal.N2O</f>
        <v>3.5429119664769499E-4</v>
      </c>
      <c r="BV15" s="698">
        <f t="shared" si="8"/>
        <v>6.2501367078752298E-2</v>
      </c>
      <c r="BW15" s="698">
        <f>-($AG15+$X15)*EF.NaturalGas.N2O</f>
        <v>3.7993661410281585E-2</v>
      </c>
      <c r="BX15" s="699" t="s">
        <v>651</v>
      </c>
      <c r="BY15" s="706">
        <f t="shared" si="13"/>
        <v>0.10084931968568157</v>
      </c>
      <c r="BZ15" s="706"/>
      <c r="CA15" s="702">
        <f t="shared" si="14"/>
        <v>21.277374567071988</v>
      </c>
    </row>
    <row r="16" spans="2:81" s="715" customFormat="1" ht="10.5" hidden="1" customHeight="1" outlineLevel="2">
      <c r="C16" s="746"/>
      <c r="D16" s="521"/>
      <c r="E16" s="521" t="s">
        <v>416</v>
      </c>
      <c r="F16" s="522"/>
      <c r="G16" s="523"/>
      <c r="H16" s="523"/>
      <c r="I16" s="535"/>
      <c r="J16" s="535"/>
      <c r="K16" s="535"/>
      <c r="L16" s="541"/>
      <c r="M16" s="563"/>
      <c r="N16" s="541"/>
      <c r="O16" s="541"/>
      <c r="P16" s="535"/>
      <c r="Q16" s="535"/>
      <c r="R16" s="570"/>
      <c r="S16" s="524"/>
      <c r="T16" s="557"/>
      <c r="U16" s="557"/>
      <c r="V16" s="557"/>
      <c r="W16" s="557"/>
      <c r="X16" s="557"/>
      <c r="Y16" s="557"/>
      <c r="Z16" s="557"/>
      <c r="AA16" s="557"/>
      <c r="AB16" s="557"/>
      <c r="AC16" s="577"/>
      <c r="AD16" s="524"/>
      <c r="AE16" s="553"/>
      <c r="AF16" s="553"/>
      <c r="AG16" s="553"/>
      <c r="AH16" s="584"/>
      <c r="AI16" s="584"/>
      <c r="AJ16" s="553"/>
      <c r="AK16" s="553"/>
      <c r="AL16" s="553"/>
      <c r="AM16" s="553"/>
      <c r="AN16" s="553"/>
      <c r="AO16" s="553"/>
      <c r="AP16" s="553"/>
      <c r="AQ16" s="553"/>
      <c r="AR16" s="584"/>
      <c r="AS16" s="553"/>
      <c r="AT16" s="553"/>
      <c r="AU16" s="553"/>
      <c r="AV16" s="584">
        <f t="shared" si="1"/>
        <v>0</v>
      </c>
      <c r="AW16" s="592">
        <f t="shared" si="2"/>
        <v>0</v>
      </c>
      <c r="AX16" s="524"/>
      <c r="AY16" s="547"/>
      <c r="AZ16" s="547"/>
      <c r="BA16" s="599">
        <f t="shared" si="3"/>
        <v>0</v>
      </c>
      <c r="BB16" s="547"/>
      <c r="BC16" s="547"/>
      <c r="BD16" s="547"/>
      <c r="BE16" s="599">
        <f t="shared" si="10"/>
        <v>0</v>
      </c>
      <c r="BF16" s="606">
        <f t="shared" si="4"/>
        <v>0</v>
      </c>
      <c r="BG16" s="524"/>
      <c r="BH16" s="524">
        <f t="shared" si="5"/>
        <v>0</v>
      </c>
      <c r="BI16" s="524"/>
      <c r="BJ16" s="741"/>
      <c r="BK16" s="735"/>
      <c r="BL16" s="735">
        <f t="shared" si="6"/>
        <v>0</v>
      </c>
      <c r="BM16" s="735"/>
      <c r="BN16" s="735"/>
      <c r="BO16" s="736"/>
      <c r="BP16" s="716"/>
      <c r="BQ16" s="716">
        <f t="shared" si="7"/>
        <v>0</v>
      </c>
      <c r="BR16" s="716"/>
      <c r="BS16" s="718"/>
      <c r="BT16" s="717"/>
      <c r="BU16" s="716"/>
      <c r="BV16" s="716">
        <f t="shared" si="8"/>
        <v>0</v>
      </c>
      <c r="BW16" s="716"/>
      <c r="BX16" s="718"/>
      <c r="BY16" s="717"/>
      <c r="BZ16" s="717"/>
      <c r="CA16" s="719"/>
    </row>
    <row r="17" spans="2:79" s="715" customFormat="1" ht="10.5" hidden="1" customHeight="1" outlineLevel="2">
      <c r="C17" s="746"/>
      <c r="D17" s="521"/>
      <c r="E17" s="521" t="s">
        <v>114</v>
      </c>
      <c r="F17" s="522" t="str">
        <f>$C$137</f>
        <v>[1a]</v>
      </c>
      <c r="G17" s="523"/>
      <c r="H17" s="523"/>
      <c r="I17" s="535">
        <f>-AC17-AW17</f>
        <v>104.6275102338453</v>
      </c>
      <c r="J17" s="535"/>
      <c r="K17" s="535"/>
      <c r="L17" s="541"/>
      <c r="M17" s="563"/>
      <c r="N17" s="541"/>
      <c r="O17" s="541"/>
      <c r="P17" s="535">
        <f>L17+M17+N17+O17</f>
        <v>0</v>
      </c>
      <c r="Q17" s="535"/>
      <c r="R17" s="570">
        <f t="shared" si="0"/>
        <v>104.6275102338453</v>
      </c>
      <c r="S17" s="524"/>
      <c r="T17" s="557">
        <f>-'DECC Energy Cons. (1.14)'!$F$11*Unit.ktoe</f>
        <v>-14.045834614912419</v>
      </c>
      <c r="U17" s="557"/>
      <c r="V17" s="557">
        <f>-'DECC Energy Cons. (1.14)'!$E$11*Unit.ktoe</f>
        <v>-0.11750963888039824</v>
      </c>
      <c r="W17" s="557">
        <f>-'DECC Energy Cons. (1.14)'!$D$11*Unit.ktoe</f>
        <v>-12.289764386263311</v>
      </c>
      <c r="X17" s="557">
        <f>-'DECC Energy Cons. (1.14)'!$C$11*Unit.ktoe</f>
        <v>-72.436462608791018</v>
      </c>
      <c r="Y17" s="557"/>
      <c r="Z17" s="557">
        <f>-('DUKES 09 (1.2)'!$J$59+'DUKES 09 (1.2)'!$J$60)*Unit.ktoe</f>
        <v>-4.4831247399999992</v>
      </c>
      <c r="AA17" s="557"/>
      <c r="AB17" s="557"/>
      <c r="AC17" s="577">
        <f>U17+T17+V17+W17+X17+Y17+Z17+AA17+AB17</f>
        <v>-103.37269598884714</v>
      </c>
      <c r="AD17" s="524"/>
      <c r="AE17" s="553"/>
      <c r="AF17" s="553"/>
      <c r="AG17" s="553"/>
      <c r="AH17" s="584">
        <f>AE17+AF17+AG17</f>
        <v>0</v>
      </c>
      <c r="AI17" s="584"/>
      <c r="AJ17" s="553"/>
      <c r="AK17" s="553"/>
      <c r="AL17" s="553"/>
      <c r="AM17" s="553"/>
      <c r="AN17" s="553"/>
      <c r="AO17" s="553"/>
      <c r="AP17" s="553"/>
      <c r="AQ17" s="553"/>
      <c r="AR17" s="584">
        <f t="shared" si="9"/>
        <v>0</v>
      </c>
      <c r="AS17" s="553">
        <f>-('DUKES 09 (7.2)'!$J$62+'DUKES 09 (7.2)'!$J$63)*Unit.ktoe</f>
        <v>-0.67362901943806508</v>
      </c>
      <c r="AT17" s="553"/>
      <c r="AU17" s="553">
        <f>-'DUKES 09 (7.2)'!$F$62*Unit.ktoe</f>
        <v>-0.58118522556009999</v>
      </c>
      <c r="AV17" s="584">
        <f t="shared" si="1"/>
        <v>-1.254814244998165</v>
      </c>
      <c r="AW17" s="592">
        <f t="shared" si="2"/>
        <v>-1.254814244998165</v>
      </c>
      <c r="AX17" s="524"/>
      <c r="AY17" s="547"/>
      <c r="AZ17" s="547"/>
      <c r="BA17" s="599">
        <f t="shared" si="3"/>
        <v>0</v>
      </c>
      <c r="BB17" s="547"/>
      <c r="BC17" s="547"/>
      <c r="BD17" s="547"/>
      <c r="BE17" s="599">
        <f t="shared" si="10"/>
        <v>0</v>
      </c>
      <c r="BF17" s="606">
        <f t="shared" si="4"/>
        <v>0</v>
      </c>
      <c r="BG17" s="524"/>
      <c r="BH17" s="524">
        <f t="shared" si="5"/>
        <v>-6.6613381477509392E-15</v>
      </c>
      <c r="BI17" s="524"/>
      <c r="BJ17" s="741"/>
      <c r="BK17" s="735">
        <f>-($AE17+$V17)*EF.IndustrialCoal.CO2</f>
        <v>3.6192968775162648E-2</v>
      </c>
      <c r="BL17" s="735">
        <f t="shared" si="6"/>
        <v>3.0724410965658278</v>
      </c>
      <c r="BM17" s="735">
        <f>-($AG17+$X17)*EF.NaturalGas.CO2</f>
        <v>13.328309120017545</v>
      </c>
      <c r="BN17" s="735">
        <f>-$Y17*EF.BlastFurnaceGas.CO2</f>
        <v>0</v>
      </c>
      <c r="BO17" s="736">
        <f t="shared" si="11"/>
        <v>16.436943185358537</v>
      </c>
      <c r="BP17" s="716">
        <f>-($AE17+$V17)*EF.IndustrialCoal.CH4</f>
        <v>1.0632186298463215E-4</v>
      </c>
      <c r="BQ17" s="716">
        <f t="shared" si="7"/>
        <v>3.8251770359915313E-3</v>
      </c>
      <c r="BR17" s="716">
        <f>-($AG17+$X17)*EF.NaturalGas.CH4</f>
        <v>2.671640514720813E-2</v>
      </c>
      <c r="BS17" s="718" t="s">
        <v>651</v>
      </c>
      <c r="BT17" s="717">
        <f t="shared" si="12"/>
        <v>3.0647904046184293E-2</v>
      </c>
      <c r="BU17" s="716">
        <f>-($AE17+$V17)*EF.IndustrialCoal.N2O</f>
        <v>3.2061590021387703E-4</v>
      </c>
      <c r="BV17" s="716">
        <f t="shared" si="8"/>
        <v>5.5279511037487759E-2</v>
      </c>
      <c r="BW17" s="716">
        <f>-($AG17+$X17)*EF.NaturalGas.N2O</f>
        <v>2.8734792594794074E-2</v>
      </c>
      <c r="BX17" s="718" t="s">
        <v>651</v>
      </c>
      <c r="BY17" s="717">
        <f t="shared" si="13"/>
        <v>8.4334919532495708E-2</v>
      </c>
      <c r="BZ17" s="717"/>
      <c r="CA17" s="719">
        <f t="shared" si="14"/>
        <v>16.551926008937215</v>
      </c>
    </row>
    <row r="18" spans="2:79" s="715" customFormat="1" ht="10.5" hidden="1" customHeight="1" outlineLevel="2">
      <c r="C18" s="746"/>
      <c r="D18" s="521"/>
      <c r="E18" s="521" t="s">
        <v>115</v>
      </c>
      <c r="F18" s="522"/>
      <c r="G18" s="523"/>
      <c r="H18" s="523"/>
      <c r="I18" s="535">
        <f>-AC18-AW18</f>
        <v>19.039910654165368</v>
      </c>
      <c r="J18" s="535"/>
      <c r="K18" s="535"/>
      <c r="L18" s="541"/>
      <c r="M18" s="563"/>
      <c r="N18" s="541"/>
      <c r="O18" s="541"/>
      <c r="P18" s="535">
        <f>L18+M18+N18+O18</f>
        <v>0</v>
      </c>
      <c r="Q18" s="535"/>
      <c r="R18" s="570">
        <f t="shared" si="0"/>
        <v>19.039910654165368</v>
      </c>
      <c r="S18" s="524"/>
      <c r="T18" s="557">
        <f>-'DECC Energy Cons. (1.14)'!$F$12*Unit.ktoe</f>
        <v>-3.3124095446842174</v>
      </c>
      <c r="U18" s="557"/>
      <c r="V18" s="557">
        <f>-'DECC Energy Cons. (1.14)'!$E$12*Unit.ktoe</f>
        <v>-1.2342406975101861E-2</v>
      </c>
      <c r="W18" s="557">
        <f>-'DECC Energy Cons. (1.14)'!$D$12*Unit.ktoe</f>
        <v>-1.1634552953297206</v>
      </c>
      <c r="X18" s="557">
        <f>-'DECC Energy Cons. (1.14)'!$C$12*Unit.ktoe</f>
        <v>-14.55170340717633</v>
      </c>
      <c r="Y18" s="557"/>
      <c r="Z18" s="557"/>
      <c r="AA18" s="557"/>
      <c r="AB18" s="557"/>
      <c r="AC18" s="577">
        <f>U18+T18+V18+W18+X18+Y18+Z18+AA18+AB18</f>
        <v>-19.039910654165368</v>
      </c>
      <c r="AD18" s="524"/>
      <c r="AE18" s="553"/>
      <c r="AF18" s="553"/>
      <c r="AG18" s="553"/>
      <c r="AH18" s="584">
        <f>AE18+AF18+AG18</f>
        <v>0</v>
      </c>
      <c r="AI18" s="584"/>
      <c r="AJ18" s="553"/>
      <c r="AK18" s="553"/>
      <c r="AL18" s="553"/>
      <c r="AM18" s="553"/>
      <c r="AN18" s="553"/>
      <c r="AO18" s="553"/>
      <c r="AP18" s="553"/>
      <c r="AQ18" s="553"/>
      <c r="AR18" s="584">
        <f t="shared" si="9"/>
        <v>0</v>
      </c>
      <c r="AS18" s="553"/>
      <c r="AT18" s="553"/>
      <c r="AU18" s="553"/>
      <c r="AV18" s="584">
        <f t="shared" si="1"/>
        <v>0</v>
      </c>
      <c r="AW18" s="592">
        <f t="shared" si="2"/>
        <v>0</v>
      </c>
      <c r="AX18" s="524"/>
      <c r="AY18" s="547"/>
      <c r="AZ18" s="547"/>
      <c r="BA18" s="599">
        <f t="shared" si="3"/>
        <v>0</v>
      </c>
      <c r="BB18" s="547"/>
      <c r="BC18" s="547"/>
      <c r="BD18" s="547"/>
      <c r="BE18" s="599">
        <f t="shared" si="10"/>
        <v>0</v>
      </c>
      <c r="BF18" s="606">
        <f t="shared" si="4"/>
        <v>0</v>
      </c>
      <c r="BG18" s="524"/>
      <c r="BH18" s="524">
        <f t="shared" si="5"/>
        <v>0</v>
      </c>
      <c r="BI18" s="524"/>
      <c r="BJ18" s="741"/>
      <c r="BK18" s="735">
        <f>-($AE18+$V18)*EF.IndustrialCoal.CO2</f>
        <v>3.8014613483313723E-3</v>
      </c>
      <c r="BL18" s="735">
        <f t="shared" si="6"/>
        <v>0.29086382383243015</v>
      </c>
      <c r="BM18" s="735">
        <f>-($AG18+$X18)*EF.NaturalGas.CO2</f>
        <v>2.6775134269204441</v>
      </c>
      <c r="BN18" s="735">
        <f>-$Y18*EF.BlastFurnaceGas.CO2</f>
        <v>0</v>
      </c>
      <c r="BO18" s="736">
        <f t="shared" si="11"/>
        <v>2.9721787121012055</v>
      </c>
      <c r="BP18" s="716">
        <f>-($AE18+$V18)*EF.IndustrialCoal.CH4</f>
        <v>1.1167319683817421E-5</v>
      </c>
      <c r="BQ18" s="716">
        <f t="shared" si="7"/>
        <v>3.6212431241337557E-4</v>
      </c>
      <c r="BR18" s="716">
        <f>-($AG18+$X18)*EF.NaturalGas.CH4</f>
        <v>5.3670373981093613E-3</v>
      </c>
      <c r="BS18" s="718" t="s">
        <v>651</v>
      </c>
      <c r="BT18" s="717">
        <f t="shared" si="12"/>
        <v>5.740329030206554E-3</v>
      </c>
      <c r="BU18" s="716">
        <f>-($AE18+$V18)*EF.IndustrialCoal.N2O</f>
        <v>3.3675296433818015E-5</v>
      </c>
      <c r="BV18" s="716">
        <f t="shared" si="8"/>
        <v>5.2332361970820378E-3</v>
      </c>
      <c r="BW18" s="716">
        <f>-($AG18+$X18)*EF.NaturalGas.N2O</f>
        <v>5.7725096484132271E-3</v>
      </c>
      <c r="BX18" s="718" t="s">
        <v>651</v>
      </c>
      <c r="BY18" s="717">
        <f t="shared" si="13"/>
        <v>1.1039421141929084E-2</v>
      </c>
      <c r="BZ18" s="717"/>
      <c r="CA18" s="719">
        <f t="shared" si="14"/>
        <v>2.9889584622733412</v>
      </c>
    </row>
    <row r="19" spans="2:79" s="715" customFormat="1" ht="10.5" hidden="1" customHeight="1" outlineLevel="2">
      <c r="C19" s="746"/>
      <c r="D19" s="521"/>
      <c r="E19" s="521" t="s">
        <v>119</v>
      </c>
      <c r="F19" s="522"/>
      <c r="G19" s="523"/>
      <c r="H19" s="523"/>
      <c r="I19" s="535">
        <f>-AC19-AW19</f>
        <v>22.462419050871326</v>
      </c>
      <c r="J19" s="535"/>
      <c r="K19" s="535"/>
      <c r="L19" s="541"/>
      <c r="M19" s="563"/>
      <c r="N19" s="541"/>
      <c r="O19" s="541"/>
      <c r="P19" s="535">
        <f>L19+M19+N19+O19</f>
        <v>0</v>
      </c>
      <c r="Q19" s="535"/>
      <c r="R19" s="570">
        <f t="shared" si="0"/>
        <v>22.462419050871326</v>
      </c>
      <c r="S19" s="524"/>
      <c r="T19" s="557">
        <f>-'DECC Energy Cons. (1.14)'!$F$13*Unit.ktoe</f>
        <v>-13.231675972826286</v>
      </c>
      <c r="U19" s="557"/>
      <c r="V19" s="557"/>
      <c r="W19" s="557">
        <f>-'DECC Energy Cons. (1.14)'!$D$13*Unit.ktoe</f>
        <v>-0.44211080887232823</v>
      </c>
      <c r="X19" s="557">
        <f>-'DECC Energy Cons. (1.14)'!$C$13*Unit.ktoe</f>
        <v>-8.7886322691727088</v>
      </c>
      <c r="Y19" s="557"/>
      <c r="Z19" s="557"/>
      <c r="AA19" s="557"/>
      <c r="AB19" s="557"/>
      <c r="AC19" s="577">
        <f>U19+T19+V19+W19+X19+Y19+Z19+AA19+AB19</f>
        <v>-22.462419050871326</v>
      </c>
      <c r="AD19" s="524"/>
      <c r="AE19" s="553"/>
      <c r="AF19" s="553"/>
      <c r="AG19" s="553"/>
      <c r="AH19" s="584">
        <f>AE19+AF19+AG19</f>
        <v>0</v>
      </c>
      <c r="AI19" s="584"/>
      <c r="AJ19" s="553"/>
      <c r="AK19" s="553"/>
      <c r="AL19" s="553"/>
      <c r="AM19" s="553"/>
      <c r="AN19" s="553"/>
      <c r="AO19" s="553"/>
      <c r="AP19" s="553"/>
      <c r="AQ19" s="553"/>
      <c r="AR19" s="584">
        <f t="shared" si="9"/>
        <v>0</v>
      </c>
      <c r="AS19" s="553"/>
      <c r="AT19" s="553"/>
      <c r="AU19" s="553"/>
      <c r="AV19" s="584">
        <f t="shared" si="1"/>
        <v>0</v>
      </c>
      <c r="AW19" s="592">
        <f t="shared" si="2"/>
        <v>0</v>
      </c>
      <c r="AX19" s="524"/>
      <c r="AY19" s="547"/>
      <c r="AZ19" s="547"/>
      <c r="BA19" s="599">
        <f t="shared" si="3"/>
        <v>0</v>
      </c>
      <c r="BB19" s="547"/>
      <c r="BC19" s="547"/>
      <c r="BD19" s="547"/>
      <c r="BE19" s="599">
        <f t="shared" si="10"/>
        <v>0</v>
      </c>
      <c r="BF19" s="606">
        <f t="shared" si="4"/>
        <v>0</v>
      </c>
      <c r="BG19" s="524"/>
      <c r="BH19" s="524">
        <f t="shared" si="5"/>
        <v>0</v>
      </c>
      <c r="BI19" s="524"/>
      <c r="BJ19" s="741"/>
      <c r="BK19" s="735">
        <f>-($AE19+$V19)*EF.IndustrialCoal.CO2</f>
        <v>0</v>
      </c>
      <c r="BL19" s="735">
        <f t="shared" si="6"/>
        <v>0.11052770221808206</v>
      </c>
      <c r="BM19" s="735">
        <f>-($AG19+$X19)*EF.NaturalGas.CO2</f>
        <v>1.6171083375277782</v>
      </c>
      <c r="BN19" s="735">
        <f>-$Y19*EF.BlastFurnaceGas.CO2</f>
        <v>0</v>
      </c>
      <c r="BO19" s="736">
        <f t="shared" si="11"/>
        <v>1.7276360397458603</v>
      </c>
      <c r="BP19" s="716">
        <f>-($AE19+$V19)*EF.IndustrialCoal.CH4</f>
        <v>0</v>
      </c>
      <c r="BQ19" s="716">
        <f t="shared" si="7"/>
        <v>1.3760655292564675E-4</v>
      </c>
      <c r="BR19" s="716">
        <f>-($AG19+$X19)*EF.NaturalGas.CH4</f>
        <v>3.2414705513870499E-3</v>
      </c>
      <c r="BS19" s="718" t="s">
        <v>651</v>
      </c>
      <c r="BT19" s="717">
        <f t="shared" si="12"/>
        <v>3.3790771043126968E-3</v>
      </c>
      <c r="BU19" s="716">
        <f>-($AE19+$V19)*EF.IndustrialCoal.N2O</f>
        <v>0</v>
      </c>
      <c r="BV19" s="716">
        <f t="shared" si="8"/>
        <v>1.9886198441824939E-3</v>
      </c>
      <c r="BW19" s="716">
        <f>-($AG19+$X19)*EF.NaturalGas.N2O</f>
        <v>3.4863591670742842E-3</v>
      </c>
      <c r="BX19" s="718" t="s">
        <v>651</v>
      </c>
      <c r="BY19" s="717">
        <f t="shared" si="13"/>
        <v>5.4749790112567781E-3</v>
      </c>
      <c r="BZ19" s="717"/>
      <c r="CA19" s="719">
        <f t="shared" si="14"/>
        <v>1.7364900958614298</v>
      </c>
    </row>
    <row r="20" spans="2:79" ht="12.75" hidden="1" customHeight="1" outlineLevel="1">
      <c r="C20" s="748"/>
      <c r="I20" s="534"/>
      <c r="J20" s="534"/>
      <c r="K20" s="534"/>
      <c r="L20" s="540"/>
      <c r="M20" s="562"/>
      <c r="N20" s="540"/>
      <c r="O20" s="540"/>
      <c r="P20" s="534"/>
      <c r="Q20" s="534"/>
      <c r="R20" s="569"/>
      <c r="S20" s="515"/>
      <c r="T20" s="494"/>
      <c r="U20" s="494"/>
      <c r="V20" s="494"/>
      <c r="W20" s="494"/>
      <c r="X20" s="494"/>
      <c r="Y20" s="494"/>
      <c r="Z20" s="494"/>
      <c r="AA20" s="494"/>
      <c r="AB20" s="494"/>
      <c r="AC20" s="576"/>
      <c r="AD20" s="515"/>
      <c r="AE20" s="552"/>
      <c r="AF20" s="552"/>
      <c r="AG20" s="552"/>
      <c r="AH20" s="583"/>
      <c r="AI20" s="583"/>
      <c r="AJ20" s="552"/>
      <c r="AK20" s="552"/>
      <c r="AL20" s="552"/>
      <c r="AM20" s="552"/>
      <c r="AN20" s="552"/>
      <c r="AO20" s="552"/>
      <c r="AP20" s="552"/>
      <c r="AQ20" s="552"/>
      <c r="AR20" s="583"/>
      <c r="AS20" s="552"/>
      <c r="AT20" s="552"/>
      <c r="AU20" s="552"/>
      <c r="AV20" s="583"/>
      <c r="AW20" s="591"/>
      <c r="AX20" s="515"/>
      <c r="AY20" s="546"/>
      <c r="AZ20" s="546"/>
      <c r="BA20" s="598"/>
      <c r="BB20" s="546"/>
      <c r="BC20" s="546"/>
      <c r="BD20" s="546"/>
      <c r="BE20" s="598"/>
      <c r="BF20" s="605"/>
      <c r="BG20" s="515"/>
      <c r="BH20" s="515"/>
      <c r="BI20" s="515"/>
      <c r="BJ20" s="741"/>
      <c r="BK20" s="698"/>
      <c r="BL20" s="698">
        <f t="shared" si="6"/>
        <v>0</v>
      </c>
      <c r="BM20" s="698"/>
      <c r="BN20" s="698"/>
      <c r="BO20" s="729"/>
      <c r="BP20" s="698"/>
      <c r="BQ20" s="698">
        <f t="shared" si="7"/>
        <v>0</v>
      </c>
      <c r="BR20" s="698"/>
      <c r="BS20" s="699"/>
      <c r="BT20" s="706"/>
      <c r="BU20" s="698"/>
      <c r="BV20" s="698">
        <f t="shared" si="8"/>
        <v>0</v>
      </c>
      <c r="BW20" s="698"/>
      <c r="BX20" s="699"/>
      <c r="BY20" s="706"/>
      <c r="BZ20" s="706"/>
      <c r="CA20" s="702"/>
    </row>
    <row r="21" spans="2:79" s="24" customFormat="1" ht="15.75" collapsed="1">
      <c r="B21" s="3"/>
      <c r="C21" s="744" t="s">
        <v>677</v>
      </c>
      <c r="D21" s="517" t="str">
        <f>INDEX(Workstreams[Workstream], MATCH($C21, Workstreams[Code], 0))</f>
        <v>Lighting and appliances</v>
      </c>
      <c r="E21" s="512"/>
      <c r="F21" s="510"/>
      <c r="G21" s="513"/>
      <c r="H21" s="513"/>
      <c r="I21" s="534"/>
      <c r="J21" s="534">
        <f>J22+J23</f>
        <v>146.69564603235992</v>
      </c>
      <c r="K21" s="534"/>
      <c r="L21" s="540"/>
      <c r="M21" s="562"/>
      <c r="N21" s="540"/>
      <c r="O21" s="540"/>
      <c r="P21" s="534">
        <f>L21+M21+N21+O21</f>
        <v>0</v>
      </c>
      <c r="Q21" s="534"/>
      <c r="R21" s="569">
        <f t="shared" si="0"/>
        <v>146.69564603235992</v>
      </c>
      <c r="S21" s="515"/>
      <c r="T21" s="494">
        <f>T22+T23</f>
        <v>-144.56784227719152</v>
      </c>
      <c r="U21" s="494"/>
      <c r="V21" s="494">
        <f>V22+V23</f>
        <v>0</v>
      </c>
      <c r="W21" s="494">
        <f>W22+W23</f>
        <v>-0.13548086802871323</v>
      </c>
      <c r="X21" s="494">
        <f>X22+X23</f>
        <v>-1.9923228871396808</v>
      </c>
      <c r="Y21" s="494"/>
      <c r="Z21" s="494"/>
      <c r="AA21" s="494"/>
      <c r="AB21" s="494"/>
      <c r="AC21" s="576">
        <f>U21+T21+V21+W21+X21+Y21+Z21+AA21+AB21</f>
        <v>-146.69564603235992</v>
      </c>
      <c r="AD21" s="515"/>
      <c r="AE21" s="552"/>
      <c r="AF21" s="552"/>
      <c r="AG21" s="552"/>
      <c r="AH21" s="583">
        <f>AE21+AF21+AG21</f>
        <v>0</v>
      </c>
      <c r="AI21" s="583"/>
      <c r="AJ21" s="552"/>
      <c r="AK21" s="552"/>
      <c r="AL21" s="552"/>
      <c r="AM21" s="552"/>
      <c r="AN21" s="552"/>
      <c r="AO21" s="552"/>
      <c r="AP21" s="552"/>
      <c r="AQ21" s="552"/>
      <c r="AR21" s="583">
        <f t="shared" si="9"/>
        <v>0</v>
      </c>
      <c r="AS21" s="552"/>
      <c r="AT21" s="552"/>
      <c r="AU21" s="552"/>
      <c r="AV21" s="583">
        <f t="shared" si="1"/>
        <v>0</v>
      </c>
      <c r="AW21" s="591">
        <f t="shared" si="2"/>
        <v>0</v>
      </c>
      <c r="AX21" s="515"/>
      <c r="AY21" s="546"/>
      <c r="AZ21" s="546"/>
      <c r="BA21" s="598">
        <f t="shared" si="3"/>
        <v>0</v>
      </c>
      <c r="BB21" s="546"/>
      <c r="BC21" s="546"/>
      <c r="BD21" s="546"/>
      <c r="BE21" s="598">
        <f>BB21+BC21+BD21</f>
        <v>0</v>
      </c>
      <c r="BF21" s="605">
        <f t="shared" si="4"/>
        <v>0</v>
      </c>
      <c r="BG21" s="515"/>
      <c r="BH21" s="515">
        <f t="shared" ref="BH21:BH28" si="15">R21+AC21+AW21+BF21</f>
        <v>0</v>
      </c>
      <c r="BI21" s="515"/>
      <c r="BJ21" s="517" t="str">
        <f>$D21</f>
        <v>Lighting and appliances</v>
      </c>
      <c r="BK21" s="698">
        <f t="shared" ref="BK21:BK28" si="16">-($AE21+$V21)*EF.IndustrialCoal.CO2</f>
        <v>0</v>
      </c>
      <c r="BL21" s="698">
        <f t="shared" si="6"/>
        <v>3.3870217007178308E-2</v>
      </c>
      <c r="BM21" s="698">
        <f t="shared" ref="BM21:BM28" si="17">-($AG21+$X21)*EF.NaturalGas.CO2</f>
        <v>0.3665874112337012</v>
      </c>
      <c r="BN21" s="698">
        <f t="shared" ref="BN21:BN28" si="18">-$Y21*EF.BlastFurnaceGas.CO2</f>
        <v>0</v>
      </c>
      <c r="BO21" s="729">
        <f t="shared" si="11"/>
        <v>0.40045762824087949</v>
      </c>
      <c r="BP21" s="698">
        <f t="shared" ref="BP21:BP28" si="19">-($AE21+$V21)*EF.IndustrialCoal.CH4</f>
        <v>0</v>
      </c>
      <c r="BQ21" s="698">
        <f t="shared" si="7"/>
        <v>4.2168286462748278E-5</v>
      </c>
      <c r="BR21" s="698">
        <f t="shared" ref="BR21:BR28" si="20">-($AG21+$X21)*EF.NaturalGas.CH4</f>
        <v>7.3481922666968167E-4</v>
      </c>
      <c r="BS21" s="699" t="s">
        <v>651</v>
      </c>
      <c r="BT21" s="729">
        <f t="shared" si="12"/>
        <v>7.7698751313242992E-4</v>
      </c>
      <c r="BU21" s="698">
        <f t="shared" ref="BU21:BU28" si="21">-($AE21+$V21)*EF.IndustrialCoal.N2O</f>
        <v>0</v>
      </c>
      <c r="BV21" s="698">
        <f t="shared" si="8"/>
        <v>6.0939460710351294E-4</v>
      </c>
      <c r="BW21" s="698">
        <f t="shared" ref="BW21:BW28" si="22">-($AG21+$X21)*EF.NaturalGas.N2O</f>
        <v>7.9033380264585435E-4</v>
      </c>
      <c r="BX21" s="699" t="s">
        <v>651</v>
      </c>
      <c r="BY21" s="729">
        <f t="shared" si="13"/>
        <v>1.3997284097493673E-3</v>
      </c>
      <c r="BZ21" s="729"/>
      <c r="CA21" s="730">
        <f t="shared" si="14"/>
        <v>0.40263434416376132</v>
      </c>
    </row>
    <row r="22" spans="2:79" ht="12.75" hidden="1" customHeight="1" outlineLevel="1">
      <c r="C22" s="745"/>
      <c r="D22" s="660" t="s">
        <v>41</v>
      </c>
      <c r="E22" s="676"/>
      <c r="F22" s="661" t="str">
        <f>$C$136</f>
        <v>[1]</v>
      </c>
      <c r="G22" s="662" t="s">
        <v>443</v>
      </c>
      <c r="H22" s="662"/>
      <c r="I22" s="663"/>
      <c r="J22" s="663">
        <f>-$AC22-$AW22</f>
        <v>78.114175905582002</v>
      </c>
      <c r="K22" s="663"/>
      <c r="L22" s="664"/>
      <c r="M22" s="665"/>
      <c r="N22" s="664"/>
      <c r="O22" s="664"/>
      <c r="P22" s="663">
        <f>L22+M22+N22+O22</f>
        <v>0</v>
      </c>
      <c r="Q22" s="663"/>
      <c r="R22" s="666">
        <f t="shared" si="0"/>
        <v>78.114175905582002</v>
      </c>
      <c r="S22" s="667"/>
      <c r="T22" s="668">
        <f>-'DECC Energy Cons. (1.14)'!$F$8*Unit.ktoe</f>
        <v>-78.076491881013496</v>
      </c>
      <c r="U22" s="668"/>
      <c r="V22" s="668"/>
      <c r="W22" s="668"/>
      <c r="X22" s="668">
        <f>-'DECC Energy Cons. (1.14)'!$C$8*Unit.ktoe</f>
        <v>-3.768402456850671E-2</v>
      </c>
      <c r="Y22" s="668"/>
      <c r="Z22" s="668"/>
      <c r="AA22" s="668"/>
      <c r="AB22" s="668"/>
      <c r="AC22" s="669">
        <f>U22+T22+V22+W22+X22+Y22+Z22+AA22+AB22</f>
        <v>-78.114175905582002</v>
      </c>
      <c r="AD22" s="667"/>
      <c r="AE22" s="670"/>
      <c r="AF22" s="670"/>
      <c r="AG22" s="670"/>
      <c r="AH22" s="671">
        <f>AE22+AF22+AG22</f>
        <v>0</v>
      </c>
      <c r="AI22" s="671"/>
      <c r="AJ22" s="670"/>
      <c r="AK22" s="670"/>
      <c r="AL22" s="670"/>
      <c r="AM22" s="670"/>
      <c r="AN22" s="670"/>
      <c r="AO22" s="670"/>
      <c r="AP22" s="670"/>
      <c r="AQ22" s="670"/>
      <c r="AR22" s="671">
        <f t="shared" si="9"/>
        <v>0</v>
      </c>
      <c r="AS22" s="670"/>
      <c r="AT22" s="670"/>
      <c r="AU22" s="670"/>
      <c r="AV22" s="671">
        <f t="shared" si="1"/>
        <v>0</v>
      </c>
      <c r="AW22" s="672">
        <f t="shared" si="2"/>
        <v>0</v>
      </c>
      <c r="AX22" s="667"/>
      <c r="AY22" s="673"/>
      <c r="AZ22" s="673"/>
      <c r="BA22" s="674">
        <f t="shared" si="3"/>
        <v>0</v>
      </c>
      <c r="BB22" s="673"/>
      <c r="BC22" s="673"/>
      <c r="BD22" s="673"/>
      <c r="BE22" s="674">
        <f t="shared" si="10"/>
        <v>0</v>
      </c>
      <c r="BF22" s="675">
        <f t="shared" si="4"/>
        <v>0</v>
      </c>
      <c r="BG22" s="667"/>
      <c r="BH22" s="667">
        <f t="shared" si="15"/>
        <v>0</v>
      </c>
      <c r="BI22" s="515"/>
      <c r="BJ22" s="741"/>
      <c r="BK22" s="722">
        <f t="shared" si="16"/>
        <v>0</v>
      </c>
      <c r="BL22" s="722">
        <f t="shared" si="6"/>
        <v>0</v>
      </c>
      <c r="BM22" s="722">
        <f t="shared" si="17"/>
        <v>6.9338605206052334E-3</v>
      </c>
      <c r="BN22" s="722">
        <f t="shared" si="18"/>
        <v>0</v>
      </c>
      <c r="BO22" s="732">
        <f t="shared" si="11"/>
        <v>6.9338605206052334E-3</v>
      </c>
      <c r="BP22" s="722">
        <f t="shared" si="19"/>
        <v>0</v>
      </c>
      <c r="BQ22" s="722">
        <f t="shared" si="7"/>
        <v>0</v>
      </c>
      <c r="BR22" s="722">
        <f t="shared" si="20"/>
        <v>1.389882431706964E-5</v>
      </c>
      <c r="BS22" s="724" t="s">
        <v>651</v>
      </c>
      <c r="BT22" s="723">
        <f t="shared" si="12"/>
        <v>1.389882431706964E-5</v>
      </c>
      <c r="BU22" s="722">
        <f t="shared" si="21"/>
        <v>0</v>
      </c>
      <c r="BV22" s="722">
        <f t="shared" si="8"/>
        <v>0</v>
      </c>
      <c r="BW22" s="722">
        <f t="shared" si="22"/>
        <v>1.4948861265648674E-5</v>
      </c>
      <c r="BX22" s="724" t="s">
        <v>651</v>
      </c>
      <c r="BY22" s="723">
        <f t="shared" si="13"/>
        <v>1.4948861265648674E-5</v>
      </c>
      <c r="BZ22" s="723"/>
      <c r="CA22" s="725">
        <f t="shared" si="14"/>
        <v>6.9627082061879519E-3</v>
      </c>
    </row>
    <row r="23" spans="2:79" ht="12.75" hidden="1" customHeight="1" outlineLevel="1" collapsed="1">
      <c r="C23" s="747"/>
      <c r="D23" s="38" t="s">
        <v>52</v>
      </c>
      <c r="F23" s="510" t="str">
        <f>$C$138</f>
        <v>[2]</v>
      </c>
      <c r="G23" s="513" t="s">
        <v>444</v>
      </c>
      <c r="I23" s="534"/>
      <c r="J23" s="534">
        <f>SUM(J25:J28)</f>
        <v>68.581470126777916</v>
      </c>
      <c r="K23" s="534"/>
      <c r="L23" s="540"/>
      <c r="M23" s="562"/>
      <c r="N23" s="540"/>
      <c r="O23" s="540"/>
      <c r="P23" s="534">
        <f>L23+M23+N23+O23</f>
        <v>0</v>
      </c>
      <c r="Q23" s="534"/>
      <c r="R23" s="569">
        <f t="shared" si="0"/>
        <v>68.581470126777916</v>
      </c>
      <c r="S23" s="515"/>
      <c r="T23" s="494">
        <f>SUM(T25:T28)</f>
        <v>-66.491350396178035</v>
      </c>
      <c r="U23" s="494"/>
      <c r="V23" s="494"/>
      <c r="W23" s="494">
        <f>SUM(W25:W28)</f>
        <v>-0.13548086802871323</v>
      </c>
      <c r="X23" s="494">
        <f>SUM(X25:X28)</f>
        <v>-1.9546388625711741</v>
      </c>
      <c r="Y23" s="494"/>
      <c r="Z23" s="494"/>
      <c r="AA23" s="494"/>
      <c r="AB23" s="494"/>
      <c r="AC23" s="576">
        <f>U23+T23+V23+W23+X23+Y23+Z23+AA23+AB23</f>
        <v>-68.581470126777916</v>
      </c>
      <c r="AD23" s="515"/>
      <c r="AE23" s="552"/>
      <c r="AF23" s="552"/>
      <c r="AG23" s="552"/>
      <c r="AH23" s="583">
        <f>AE23+AF23+AG23</f>
        <v>0</v>
      </c>
      <c r="AI23" s="583"/>
      <c r="AJ23" s="552"/>
      <c r="AK23" s="552"/>
      <c r="AL23" s="552"/>
      <c r="AM23" s="552"/>
      <c r="AN23" s="552"/>
      <c r="AO23" s="552"/>
      <c r="AP23" s="552"/>
      <c r="AQ23" s="552"/>
      <c r="AR23" s="583">
        <f t="shared" si="9"/>
        <v>0</v>
      </c>
      <c r="AS23" s="552"/>
      <c r="AT23" s="552"/>
      <c r="AU23" s="552"/>
      <c r="AV23" s="583">
        <f t="shared" si="1"/>
        <v>0</v>
      </c>
      <c r="AW23" s="591">
        <f t="shared" si="2"/>
        <v>0</v>
      </c>
      <c r="AX23" s="515"/>
      <c r="AY23" s="546"/>
      <c r="AZ23" s="546"/>
      <c r="BA23" s="598">
        <f t="shared" si="3"/>
        <v>0</v>
      </c>
      <c r="BB23" s="546"/>
      <c r="BC23" s="546"/>
      <c r="BD23" s="546"/>
      <c r="BE23" s="598">
        <f t="shared" si="10"/>
        <v>0</v>
      </c>
      <c r="BF23" s="605">
        <f t="shared" si="4"/>
        <v>0</v>
      </c>
      <c r="BG23" s="515"/>
      <c r="BH23" s="515">
        <f t="shared" si="15"/>
        <v>0</v>
      </c>
      <c r="BI23" s="515"/>
      <c r="BJ23" s="741"/>
      <c r="BK23" s="698">
        <f t="shared" si="16"/>
        <v>0</v>
      </c>
      <c r="BL23" s="698">
        <f t="shared" si="6"/>
        <v>3.3870217007178308E-2</v>
      </c>
      <c r="BM23" s="698">
        <f t="shared" si="17"/>
        <v>0.35965355071309596</v>
      </c>
      <c r="BN23" s="698">
        <f t="shared" si="18"/>
        <v>0</v>
      </c>
      <c r="BO23" s="729">
        <f t="shared" si="11"/>
        <v>0.39352376772027425</v>
      </c>
      <c r="BP23" s="698">
        <f t="shared" si="19"/>
        <v>0</v>
      </c>
      <c r="BQ23" s="698">
        <f t="shared" si="7"/>
        <v>4.2168286462748278E-5</v>
      </c>
      <c r="BR23" s="698">
        <f t="shared" si="20"/>
        <v>7.2092040235261206E-4</v>
      </c>
      <c r="BS23" s="699" t="s">
        <v>651</v>
      </c>
      <c r="BT23" s="706">
        <f t="shared" si="12"/>
        <v>7.6308868881536031E-4</v>
      </c>
      <c r="BU23" s="698">
        <f t="shared" si="21"/>
        <v>0</v>
      </c>
      <c r="BV23" s="698">
        <f t="shared" si="8"/>
        <v>6.0939460710351294E-4</v>
      </c>
      <c r="BW23" s="698">
        <f t="shared" si="22"/>
        <v>7.7538494138020572E-4</v>
      </c>
      <c r="BX23" s="699" t="s">
        <v>651</v>
      </c>
      <c r="BY23" s="706">
        <f t="shared" si="13"/>
        <v>1.3847795484837186E-3</v>
      </c>
      <c r="BZ23" s="706"/>
      <c r="CA23" s="702">
        <f t="shared" si="14"/>
        <v>0.39567163595757332</v>
      </c>
    </row>
    <row r="24" spans="2:79" s="715" customFormat="1" ht="10.5" hidden="1" customHeight="1" outlineLevel="2">
      <c r="C24" s="746"/>
      <c r="D24" s="521"/>
      <c r="E24" s="521" t="s">
        <v>417</v>
      </c>
      <c r="F24" s="522"/>
      <c r="G24" s="523"/>
      <c r="H24" s="523"/>
      <c r="I24" s="535"/>
      <c r="J24" s="535"/>
      <c r="K24" s="535"/>
      <c r="L24" s="541"/>
      <c r="M24" s="563"/>
      <c r="N24" s="541"/>
      <c r="O24" s="541"/>
      <c r="P24" s="535"/>
      <c r="Q24" s="535"/>
      <c r="R24" s="570">
        <f t="shared" si="0"/>
        <v>0</v>
      </c>
      <c r="S24" s="524"/>
      <c r="T24" s="557"/>
      <c r="U24" s="557"/>
      <c r="V24" s="557"/>
      <c r="W24" s="557"/>
      <c r="X24" s="557"/>
      <c r="Y24" s="557"/>
      <c r="Z24" s="557"/>
      <c r="AA24" s="557"/>
      <c r="AB24" s="557"/>
      <c r="AC24" s="577"/>
      <c r="AD24" s="524"/>
      <c r="AE24" s="553"/>
      <c r="AF24" s="553"/>
      <c r="AG24" s="553"/>
      <c r="AH24" s="584"/>
      <c r="AI24" s="584"/>
      <c r="AJ24" s="553"/>
      <c r="AK24" s="553"/>
      <c r="AL24" s="553"/>
      <c r="AM24" s="553"/>
      <c r="AN24" s="553"/>
      <c r="AO24" s="553"/>
      <c r="AP24" s="553"/>
      <c r="AQ24" s="553"/>
      <c r="AR24" s="584"/>
      <c r="AS24" s="553"/>
      <c r="AT24" s="553"/>
      <c r="AU24" s="553"/>
      <c r="AV24" s="584">
        <f t="shared" si="1"/>
        <v>0</v>
      </c>
      <c r="AW24" s="592">
        <f t="shared" si="2"/>
        <v>0</v>
      </c>
      <c r="AX24" s="524"/>
      <c r="AY24" s="547"/>
      <c r="AZ24" s="547"/>
      <c r="BA24" s="599">
        <f t="shared" si="3"/>
        <v>0</v>
      </c>
      <c r="BB24" s="547"/>
      <c r="BC24" s="547"/>
      <c r="BD24" s="547"/>
      <c r="BE24" s="599">
        <f t="shared" si="10"/>
        <v>0</v>
      </c>
      <c r="BF24" s="606">
        <f t="shared" si="4"/>
        <v>0</v>
      </c>
      <c r="BG24" s="524"/>
      <c r="BH24" s="524">
        <f t="shared" si="15"/>
        <v>0</v>
      </c>
      <c r="BI24" s="524"/>
      <c r="BJ24" s="741"/>
      <c r="BK24" s="735">
        <f t="shared" si="16"/>
        <v>0</v>
      </c>
      <c r="BL24" s="735">
        <f t="shared" si="6"/>
        <v>0</v>
      </c>
      <c r="BM24" s="735">
        <f t="shared" si="17"/>
        <v>0</v>
      </c>
      <c r="BN24" s="735">
        <f t="shared" si="18"/>
        <v>0</v>
      </c>
      <c r="BO24" s="736">
        <f t="shared" si="11"/>
        <v>0</v>
      </c>
      <c r="BP24" s="716">
        <f t="shared" si="19"/>
        <v>0</v>
      </c>
      <c r="BQ24" s="716">
        <f t="shared" si="7"/>
        <v>0</v>
      </c>
      <c r="BR24" s="716">
        <f t="shared" si="20"/>
        <v>0</v>
      </c>
      <c r="BS24" s="718" t="s">
        <v>651</v>
      </c>
      <c r="BT24" s="717">
        <f t="shared" si="12"/>
        <v>0</v>
      </c>
      <c r="BU24" s="716">
        <f t="shared" si="21"/>
        <v>0</v>
      </c>
      <c r="BV24" s="716">
        <f t="shared" si="8"/>
        <v>0</v>
      </c>
      <c r="BW24" s="716">
        <f t="shared" si="22"/>
        <v>0</v>
      </c>
      <c r="BX24" s="718" t="s">
        <v>651</v>
      </c>
      <c r="BY24" s="717">
        <f t="shared" si="13"/>
        <v>0</v>
      </c>
      <c r="BZ24" s="717"/>
      <c r="CA24" s="719">
        <f t="shared" si="14"/>
        <v>0</v>
      </c>
    </row>
    <row r="25" spans="2:79" s="715" customFormat="1" ht="10.5" hidden="1" customHeight="1" outlineLevel="2">
      <c r="C25" s="746"/>
      <c r="D25" s="521"/>
      <c r="E25" s="521" t="s">
        <v>120</v>
      </c>
      <c r="F25" s="522"/>
      <c r="G25" s="523"/>
      <c r="H25" s="523"/>
      <c r="I25" s="535"/>
      <c r="J25" s="535">
        <f>-AC25-AW25</f>
        <v>5.2703708188077432</v>
      </c>
      <c r="K25" s="535"/>
      <c r="L25" s="541"/>
      <c r="M25" s="563"/>
      <c r="N25" s="541"/>
      <c r="O25" s="541"/>
      <c r="P25" s="535">
        <f>L25+M25+N25+O25</f>
        <v>0</v>
      </c>
      <c r="Q25" s="535"/>
      <c r="R25" s="570">
        <f t="shared" si="0"/>
        <v>5.2703708188077432</v>
      </c>
      <c r="S25" s="524"/>
      <c r="T25" s="557">
        <f>-'DECC Energy Cons. (1.14)'!$F$15*Unit.ktoe</f>
        <v>-5.2703708188077432</v>
      </c>
      <c r="U25" s="557"/>
      <c r="V25" s="557"/>
      <c r="W25" s="557"/>
      <c r="X25" s="557"/>
      <c r="Y25" s="557"/>
      <c r="Z25" s="557"/>
      <c r="AA25" s="557"/>
      <c r="AB25" s="557"/>
      <c r="AC25" s="577">
        <f>U25+T25+V25+W25+X25+Y25+Z25+AA25+AB25</f>
        <v>-5.2703708188077432</v>
      </c>
      <c r="AD25" s="524"/>
      <c r="AE25" s="553"/>
      <c r="AF25" s="553"/>
      <c r="AG25" s="553"/>
      <c r="AH25" s="584">
        <f>AE25+AF25+AG25</f>
        <v>0</v>
      </c>
      <c r="AI25" s="584"/>
      <c r="AJ25" s="553"/>
      <c r="AK25" s="553"/>
      <c r="AL25" s="553"/>
      <c r="AM25" s="553"/>
      <c r="AN25" s="553"/>
      <c r="AO25" s="553"/>
      <c r="AP25" s="553"/>
      <c r="AQ25" s="553"/>
      <c r="AR25" s="584">
        <f t="shared" si="9"/>
        <v>0</v>
      </c>
      <c r="AS25" s="553"/>
      <c r="AT25" s="553"/>
      <c r="AU25" s="553"/>
      <c r="AV25" s="584">
        <f t="shared" si="1"/>
        <v>0</v>
      </c>
      <c r="AW25" s="592">
        <f t="shared" si="2"/>
        <v>0</v>
      </c>
      <c r="AX25" s="524"/>
      <c r="AY25" s="547"/>
      <c r="AZ25" s="547"/>
      <c r="BA25" s="599">
        <f t="shared" si="3"/>
        <v>0</v>
      </c>
      <c r="BB25" s="547"/>
      <c r="BC25" s="547"/>
      <c r="BD25" s="547"/>
      <c r="BE25" s="599">
        <f t="shared" si="10"/>
        <v>0</v>
      </c>
      <c r="BF25" s="606">
        <f t="shared" si="4"/>
        <v>0</v>
      </c>
      <c r="BG25" s="524"/>
      <c r="BH25" s="524">
        <f t="shared" si="15"/>
        <v>0</v>
      </c>
      <c r="BI25" s="524"/>
      <c r="BJ25" s="741"/>
      <c r="BK25" s="735">
        <f t="shared" si="16"/>
        <v>0</v>
      </c>
      <c r="BL25" s="735">
        <f t="shared" si="6"/>
        <v>0</v>
      </c>
      <c r="BM25" s="735">
        <f t="shared" si="17"/>
        <v>0</v>
      </c>
      <c r="BN25" s="735">
        <f t="shared" si="18"/>
        <v>0</v>
      </c>
      <c r="BO25" s="736">
        <f t="shared" si="11"/>
        <v>0</v>
      </c>
      <c r="BP25" s="716">
        <f t="shared" si="19"/>
        <v>0</v>
      </c>
      <c r="BQ25" s="716">
        <f t="shared" si="7"/>
        <v>0</v>
      </c>
      <c r="BR25" s="716">
        <f t="shared" si="20"/>
        <v>0</v>
      </c>
      <c r="BS25" s="718" t="s">
        <v>651</v>
      </c>
      <c r="BT25" s="717">
        <f t="shared" si="12"/>
        <v>0</v>
      </c>
      <c r="BU25" s="716">
        <f t="shared" si="21"/>
        <v>0</v>
      </c>
      <c r="BV25" s="716">
        <f t="shared" si="8"/>
        <v>0</v>
      </c>
      <c r="BW25" s="716">
        <f t="shared" si="22"/>
        <v>0</v>
      </c>
      <c r="BX25" s="718" t="s">
        <v>651</v>
      </c>
      <c r="BY25" s="717">
        <f t="shared" si="13"/>
        <v>0</v>
      </c>
      <c r="BZ25" s="717"/>
      <c r="CA25" s="719">
        <f t="shared" si="14"/>
        <v>0</v>
      </c>
    </row>
    <row r="26" spans="2:79" s="715" customFormat="1" ht="10.5" hidden="1" customHeight="1" outlineLevel="2">
      <c r="C26" s="746"/>
      <c r="D26" s="521"/>
      <c r="E26" s="521" t="s">
        <v>121</v>
      </c>
      <c r="F26" s="522"/>
      <c r="G26" s="523"/>
      <c r="H26" s="523"/>
      <c r="I26" s="535"/>
      <c r="J26" s="535">
        <f>-AC26-AW26</f>
        <v>9.4247154179043644</v>
      </c>
      <c r="K26" s="535"/>
      <c r="L26" s="541"/>
      <c r="M26" s="563"/>
      <c r="N26" s="541"/>
      <c r="O26" s="541"/>
      <c r="P26" s="535">
        <f>L26+M26+N26+O26</f>
        <v>0</v>
      </c>
      <c r="Q26" s="535"/>
      <c r="R26" s="570">
        <f t="shared" si="0"/>
        <v>9.4247154179043644</v>
      </c>
      <c r="S26" s="524"/>
      <c r="T26" s="557">
        <f>-'DECC Energy Cons. (1.14)'!$F$16*Unit.ktoe</f>
        <v>-9.0178517396130111</v>
      </c>
      <c r="U26" s="557"/>
      <c r="V26" s="557"/>
      <c r="W26" s="557"/>
      <c r="X26" s="557">
        <f>-'DECC Energy Cons. (1.14)'!$C$16*Unit.ktoe</f>
        <v>-0.40686367829135411</v>
      </c>
      <c r="Y26" s="557"/>
      <c r="Z26" s="557"/>
      <c r="AA26" s="557"/>
      <c r="AB26" s="557"/>
      <c r="AC26" s="577">
        <f>U26+T26+V26+W26+X26+Y26+Z26+AA26+AB26</f>
        <v>-9.4247154179043644</v>
      </c>
      <c r="AD26" s="524"/>
      <c r="AE26" s="553"/>
      <c r="AF26" s="553"/>
      <c r="AG26" s="553"/>
      <c r="AH26" s="584">
        <f>AE26+AF26+AG26</f>
        <v>0</v>
      </c>
      <c r="AI26" s="584"/>
      <c r="AJ26" s="553"/>
      <c r="AK26" s="553"/>
      <c r="AL26" s="553"/>
      <c r="AM26" s="553"/>
      <c r="AN26" s="553"/>
      <c r="AO26" s="553"/>
      <c r="AP26" s="553"/>
      <c r="AQ26" s="553"/>
      <c r="AR26" s="584">
        <f t="shared" si="9"/>
        <v>0</v>
      </c>
      <c r="AS26" s="553"/>
      <c r="AT26" s="553"/>
      <c r="AU26" s="553"/>
      <c r="AV26" s="584">
        <f t="shared" si="1"/>
        <v>0</v>
      </c>
      <c r="AW26" s="592">
        <f t="shared" si="2"/>
        <v>0</v>
      </c>
      <c r="AX26" s="524"/>
      <c r="AY26" s="547"/>
      <c r="AZ26" s="547"/>
      <c r="BA26" s="599">
        <f t="shared" si="3"/>
        <v>0</v>
      </c>
      <c r="BB26" s="547"/>
      <c r="BC26" s="547"/>
      <c r="BD26" s="547"/>
      <c r="BE26" s="599">
        <f t="shared" si="10"/>
        <v>0</v>
      </c>
      <c r="BF26" s="606">
        <f t="shared" si="4"/>
        <v>0</v>
      </c>
      <c r="BG26" s="524"/>
      <c r="BH26" s="524">
        <f t="shared" si="15"/>
        <v>0</v>
      </c>
      <c r="BI26" s="524"/>
      <c r="BJ26" s="741"/>
      <c r="BK26" s="735">
        <f t="shared" si="16"/>
        <v>0</v>
      </c>
      <c r="BL26" s="735">
        <f t="shared" si="6"/>
        <v>0</v>
      </c>
      <c r="BM26" s="735">
        <f t="shared" si="17"/>
        <v>7.486291680560915E-2</v>
      </c>
      <c r="BN26" s="735">
        <f t="shared" si="18"/>
        <v>0</v>
      </c>
      <c r="BO26" s="736">
        <f t="shared" si="11"/>
        <v>7.486291680560915E-2</v>
      </c>
      <c r="BP26" s="716">
        <f t="shared" si="19"/>
        <v>0</v>
      </c>
      <c r="BQ26" s="716">
        <f t="shared" si="7"/>
        <v>0</v>
      </c>
      <c r="BR26" s="716">
        <f t="shared" si="20"/>
        <v>1.5006164682034004E-4</v>
      </c>
      <c r="BS26" s="718" t="s">
        <v>651</v>
      </c>
      <c r="BT26" s="717">
        <f t="shared" si="12"/>
        <v>1.5006164682034004E-4</v>
      </c>
      <c r="BU26" s="716">
        <f t="shared" si="21"/>
        <v>0</v>
      </c>
      <c r="BV26" s="716">
        <f t="shared" si="8"/>
        <v>0</v>
      </c>
      <c r="BW26" s="716">
        <f t="shared" si="22"/>
        <v>1.6139859663216386E-4</v>
      </c>
      <c r="BX26" s="718" t="s">
        <v>651</v>
      </c>
      <c r="BY26" s="717">
        <f t="shared" si="13"/>
        <v>1.6139859663216386E-4</v>
      </c>
      <c r="BZ26" s="717"/>
      <c r="CA26" s="719">
        <f t="shared" si="14"/>
        <v>7.5174377049061658E-2</v>
      </c>
    </row>
    <row r="27" spans="2:79" s="715" customFormat="1" ht="10.5" hidden="1" customHeight="1" outlineLevel="2">
      <c r="C27" s="746"/>
      <c r="D27" s="521"/>
      <c r="E27" s="521" t="s">
        <v>122</v>
      </c>
      <c r="F27" s="522"/>
      <c r="G27" s="523"/>
      <c r="H27" s="523"/>
      <c r="I27" s="535"/>
      <c r="J27" s="535">
        <f>-AC27-AW27</f>
        <v>39.231334523028124</v>
      </c>
      <c r="K27" s="535"/>
      <c r="L27" s="541"/>
      <c r="M27" s="563"/>
      <c r="N27" s="541"/>
      <c r="O27" s="541"/>
      <c r="P27" s="535">
        <f>L27+M27+N27+O27</f>
        <v>0</v>
      </c>
      <c r="Q27" s="535"/>
      <c r="R27" s="570">
        <f t="shared" si="0"/>
        <v>39.231334523028124</v>
      </c>
      <c r="S27" s="524"/>
      <c r="T27" s="557">
        <f>-'DECC Energy Cons. (1.14)'!$F$17*Unit.ktoe</f>
        <v>-39.231334523028124</v>
      </c>
      <c r="U27" s="557"/>
      <c r="V27" s="557"/>
      <c r="W27" s="557"/>
      <c r="X27" s="557"/>
      <c r="Y27" s="557"/>
      <c r="Z27" s="557"/>
      <c r="AA27" s="557"/>
      <c r="AB27" s="557"/>
      <c r="AC27" s="577">
        <f>U27+T27+V27+W27+X27+Y27+Z27+AA27+AB27</f>
        <v>-39.231334523028124</v>
      </c>
      <c r="AD27" s="524"/>
      <c r="AE27" s="553"/>
      <c r="AF27" s="553"/>
      <c r="AG27" s="553"/>
      <c r="AH27" s="584">
        <f>AE27+AF27+AG27</f>
        <v>0</v>
      </c>
      <c r="AI27" s="584"/>
      <c r="AJ27" s="553"/>
      <c r="AK27" s="553"/>
      <c r="AL27" s="553"/>
      <c r="AM27" s="553"/>
      <c r="AN27" s="553"/>
      <c r="AO27" s="553"/>
      <c r="AP27" s="553"/>
      <c r="AQ27" s="553"/>
      <c r="AR27" s="584">
        <f t="shared" si="9"/>
        <v>0</v>
      </c>
      <c r="AS27" s="553"/>
      <c r="AT27" s="553"/>
      <c r="AU27" s="553"/>
      <c r="AV27" s="584">
        <f t="shared" si="1"/>
        <v>0</v>
      </c>
      <c r="AW27" s="592">
        <f t="shared" si="2"/>
        <v>0</v>
      </c>
      <c r="AX27" s="524"/>
      <c r="AY27" s="547"/>
      <c r="AZ27" s="547"/>
      <c r="BA27" s="599">
        <f t="shared" si="3"/>
        <v>0</v>
      </c>
      <c r="BB27" s="547"/>
      <c r="BC27" s="547"/>
      <c r="BD27" s="547"/>
      <c r="BE27" s="599">
        <f t="shared" si="10"/>
        <v>0</v>
      </c>
      <c r="BF27" s="606">
        <f t="shared" si="4"/>
        <v>0</v>
      </c>
      <c r="BG27" s="524"/>
      <c r="BH27" s="524">
        <f t="shared" si="15"/>
        <v>0</v>
      </c>
      <c r="BI27" s="524"/>
      <c r="BJ27" s="741"/>
      <c r="BK27" s="735">
        <f t="shared" si="16"/>
        <v>0</v>
      </c>
      <c r="BL27" s="735">
        <f t="shared" si="6"/>
        <v>0</v>
      </c>
      <c r="BM27" s="735">
        <f t="shared" si="17"/>
        <v>0</v>
      </c>
      <c r="BN27" s="735">
        <f t="shared" si="18"/>
        <v>0</v>
      </c>
      <c r="BO27" s="736">
        <f t="shared" si="11"/>
        <v>0</v>
      </c>
      <c r="BP27" s="716">
        <f t="shared" si="19"/>
        <v>0</v>
      </c>
      <c r="BQ27" s="716">
        <f t="shared" si="7"/>
        <v>0</v>
      </c>
      <c r="BR27" s="716">
        <f t="shared" si="20"/>
        <v>0</v>
      </c>
      <c r="BS27" s="718" t="s">
        <v>651</v>
      </c>
      <c r="BT27" s="717">
        <f t="shared" si="12"/>
        <v>0</v>
      </c>
      <c r="BU27" s="716">
        <f t="shared" si="21"/>
        <v>0</v>
      </c>
      <c r="BV27" s="716">
        <f t="shared" si="8"/>
        <v>0</v>
      </c>
      <c r="BW27" s="716">
        <f t="shared" si="22"/>
        <v>0</v>
      </c>
      <c r="BX27" s="718" t="s">
        <v>651</v>
      </c>
      <c r="BY27" s="717">
        <f t="shared" si="13"/>
        <v>0</v>
      </c>
      <c r="BZ27" s="717"/>
      <c r="CA27" s="719">
        <f t="shared" si="14"/>
        <v>0</v>
      </c>
    </row>
    <row r="28" spans="2:79" s="715" customFormat="1" ht="10.5" hidden="1" customHeight="1" outlineLevel="2">
      <c r="C28" s="746"/>
      <c r="D28" s="521"/>
      <c r="E28" s="521" t="s">
        <v>123</v>
      </c>
      <c r="F28" s="522"/>
      <c r="G28" s="523"/>
      <c r="H28" s="523"/>
      <c r="I28" s="535"/>
      <c r="J28" s="535">
        <f>-AC28-AW28</f>
        <v>14.655049367037686</v>
      </c>
      <c r="K28" s="535"/>
      <c r="L28" s="541"/>
      <c r="M28" s="563"/>
      <c r="N28" s="541"/>
      <c r="O28" s="541"/>
      <c r="P28" s="535">
        <f>L28+M28+N28+O28</f>
        <v>0</v>
      </c>
      <c r="Q28" s="535"/>
      <c r="R28" s="570">
        <f t="shared" si="0"/>
        <v>14.655049367037686</v>
      </c>
      <c r="S28" s="524"/>
      <c r="T28" s="557">
        <f>-'DECC Energy Cons. (1.14)'!$F$18*Unit.ktoe</f>
        <v>-12.971793314729153</v>
      </c>
      <c r="U28" s="557"/>
      <c r="V28" s="557"/>
      <c r="W28" s="557">
        <f>-'DECC Energy Cons. (1.14)'!$D$18*Unit.ktoe</f>
        <v>-0.13548086802871323</v>
      </c>
      <c r="X28" s="557">
        <f>-'DECC Energy Cons. (1.14)'!$C$18*Unit.ktoe</f>
        <v>-1.54777518427982</v>
      </c>
      <c r="Y28" s="557"/>
      <c r="Z28" s="557"/>
      <c r="AA28" s="557"/>
      <c r="AB28" s="557"/>
      <c r="AC28" s="577">
        <f>U28+T28+V28+W28+X28+Y28+Z28+AA28+AB28</f>
        <v>-14.655049367037686</v>
      </c>
      <c r="AD28" s="524"/>
      <c r="AE28" s="553"/>
      <c r="AF28" s="553"/>
      <c r="AG28" s="553"/>
      <c r="AH28" s="584">
        <f>AE28+AF28+AG28</f>
        <v>0</v>
      </c>
      <c r="AI28" s="584"/>
      <c r="AJ28" s="553"/>
      <c r="AK28" s="553"/>
      <c r="AL28" s="553"/>
      <c r="AM28" s="553"/>
      <c r="AN28" s="553"/>
      <c r="AO28" s="553"/>
      <c r="AP28" s="553"/>
      <c r="AQ28" s="553"/>
      <c r="AR28" s="584">
        <f t="shared" si="9"/>
        <v>0</v>
      </c>
      <c r="AS28" s="553"/>
      <c r="AT28" s="553"/>
      <c r="AU28" s="553"/>
      <c r="AV28" s="584">
        <f t="shared" si="1"/>
        <v>0</v>
      </c>
      <c r="AW28" s="592">
        <f t="shared" si="2"/>
        <v>0</v>
      </c>
      <c r="AX28" s="524"/>
      <c r="AY28" s="547"/>
      <c r="AZ28" s="547"/>
      <c r="BA28" s="599">
        <f t="shared" si="3"/>
        <v>0</v>
      </c>
      <c r="BB28" s="547"/>
      <c r="BC28" s="547"/>
      <c r="BD28" s="547"/>
      <c r="BE28" s="599">
        <f t="shared" si="10"/>
        <v>0</v>
      </c>
      <c r="BF28" s="606">
        <f t="shared" si="4"/>
        <v>0</v>
      </c>
      <c r="BG28" s="524"/>
      <c r="BH28" s="524">
        <f t="shared" si="15"/>
        <v>0</v>
      </c>
      <c r="BI28" s="524"/>
      <c r="BJ28" s="741"/>
      <c r="BK28" s="735">
        <f t="shared" si="16"/>
        <v>0</v>
      </c>
      <c r="BL28" s="735">
        <f t="shared" si="6"/>
        <v>3.3870217007178308E-2</v>
      </c>
      <c r="BM28" s="735">
        <f t="shared" si="17"/>
        <v>0.28479063390748682</v>
      </c>
      <c r="BN28" s="735">
        <f t="shared" si="18"/>
        <v>0</v>
      </c>
      <c r="BO28" s="736">
        <f t="shared" si="11"/>
        <v>0.31866085091466512</v>
      </c>
      <c r="BP28" s="716">
        <f t="shared" si="19"/>
        <v>0</v>
      </c>
      <c r="BQ28" s="716">
        <f t="shared" si="7"/>
        <v>4.2168286462748278E-5</v>
      </c>
      <c r="BR28" s="716">
        <f t="shared" si="20"/>
        <v>5.7085875553227199E-4</v>
      </c>
      <c r="BS28" s="718" t="s">
        <v>651</v>
      </c>
      <c r="BT28" s="717">
        <f t="shared" si="12"/>
        <v>6.1302704199502024E-4</v>
      </c>
      <c r="BU28" s="716">
        <f t="shared" si="21"/>
        <v>0</v>
      </c>
      <c r="BV28" s="716">
        <f t="shared" si="8"/>
        <v>6.0939460710351294E-4</v>
      </c>
      <c r="BW28" s="716">
        <f t="shared" si="22"/>
        <v>6.1398634474804181E-4</v>
      </c>
      <c r="BX28" s="718" t="s">
        <v>651</v>
      </c>
      <c r="BY28" s="717">
        <f t="shared" si="13"/>
        <v>1.2233809518515546E-3</v>
      </c>
      <c r="BZ28" s="717"/>
      <c r="CA28" s="719">
        <f t="shared" si="14"/>
        <v>0.32049725890851166</v>
      </c>
    </row>
    <row r="29" spans="2:79" ht="12.75" hidden="1" customHeight="1" outlineLevel="1">
      <c r="C29" s="748"/>
      <c r="I29" s="534"/>
      <c r="J29" s="534"/>
      <c r="K29" s="534"/>
      <c r="L29" s="540"/>
      <c r="M29" s="562"/>
      <c r="N29" s="540"/>
      <c r="O29" s="540"/>
      <c r="P29" s="534"/>
      <c r="Q29" s="534"/>
      <c r="R29" s="569"/>
      <c r="S29" s="515"/>
      <c r="T29" s="494"/>
      <c r="U29" s="494"/>
      <c r="V29" s="494"/>
      <c r="W29" s="494"/>
      <c r="X29" s="494"/>
      <c r="Y29" s="494"/>
      <c r="Z29" s="494"/>
      <c r="AA29" s="494"/>
      <c r="AB29" s="494"/>
      <c r="AC29" s="576"/>
      <c r="AD29" s="515"/>
      <c r="AE29" s="552"/>
      <c r="AF29" s="552"/>
      <c r="AG29" s="552"/>
      <c r="AH29" s="583"/>
      <c r="AI29" s="583"/>
      <c r="AJ29" s="552"/>
      <c r="AK29" s="552"/>
      <c r="AL29" s="552"/>
      <c r="AM29" s="552"/>
      <c r="AN29" s="552"/>
      <c r="AO29" s="552"/>
      <c r="AP29" s="552"/>
      <c r="AQ29" s="552"/>
      <c r="AR29" s="583"/>
      <c r="AS29" s="552"/>
      <c r="AT29" s="552"/>
      <c r="AU29" s="552"/>
      <c r="AV29" s="583"/>
      <c r="AW29" s="591"/>
      <c r="AX29" s="515"/>
      <c r="AY29" s="546"/>
      <c r="AZ29" s="546"/>
      <c r="BA29" s="598"/>
      <c r="BB29" s="546"/>
      <c r="BC29" s="546"/>
      <c r="BD29" s="546"/>
      <c r="BE29" s="598"/>
      <c r="BF29" s="605"/>
      <c r="BG29" s="515"/>
      <c r="BH29" s="515"/>
      <c r="BI29" s="515"/>
      <c r="BJ29" s="741"/>
      <c r="BK29" s="698"/>
      <c r="BL29" s="698">
        <f t="shared" si="6"/>
        <v>0</v>
      </c>
      <c r="BM29" s="698"/>
      <c r="BN29" s="698"/>
      <c r="BO29" s="729"/>
      <c r="BP29" s="698"/>
      <c r="BQ29" s="698">
        <f t="shared" si="7"/>
        <v>0</v>
      </c>
      <c r="BR29" s="698"/>
      <c r="BS29" s="699"/>
      <c r="BT29" s="706"/>
      <c r="BU29" s="698"/>
      <c r="BV29" s="698">
        <f t="shared" si="8"/>
        <v>0</v>
      </c>
      <c r="BW29" s="698"/>
      <c r="BX29" s="699"/>
      <c r="BY29" s="706"/>
      <c r="BZ29" s="706"/>
      <c r="CA29" s="702"/>
    </row>
    <row r="30" spans="2:79" s="24" customFormat="1" ht="15.75" collapsed="1">
      <c r="B30" s="3"/>
      <c r="C30" s="744" t="s">
        <v>678</v>
      </c>
      <c r="D30" s="517" t="str">
        <f>INDEX(Workstreams[Workstream], MATCH($C30, Workstreams[Code], 0))</f>
        <v>Industry</v>
      </c>
      <c r="E30" s="512"/>
      <c r="F30" s="510"/>
      <c r="G30" s="513"/>
      <c r="H30" s="513"/>
      <c r="I30" s="534"/>
      <c r="J30" s="534"/>
      <c r="K30" s="534">
        <f>K31+K42+K46+K47+K48+K52+K53</f>
        <v>444.82296266790246</v>
      </c>
      <c r="L30" s="540"/>
      <c r="M30" s="562"/>
      <c r="N30" s="540"/>
      <c r="O30" s="540"/>
      <c r="P30" s="534">
        <f>L30+M30+N30+O30</f>
        <v>0</v>
      </c>
      <c r="Q30" s="534"/>
      <c r="R30" s="569">
        <f t="shared" si="0"/>
        <v>444.82296266790246</v>
      </c>
      <c r="S30" s="515"/>
      <c r="T30" s="494">
        <f t="shared" ref="T30:Z30" si="23">T31+T42+T46+T47+T48+T52+T53</f>
        <v>-119.11903820312176</v>
      </c>
      <c r="U30" s="494">
        <f t="shared" si="23"/>
        <v>34.033592131949163</v>
      </c>
      <c r="V30" s="494">
        <f t="shared" si="23"/>
        <v>-95.66818658964182</v>
      </c>
      <c r="W30" s="494">
        <f t="shared" si="23"/>
        <v>-87.952715482035742</v>
      </c>
      <c r="X30" s="494">
        <f t="shared" si="23"/>
        <v>-253.09331475925583</v>
      </c>
      <c r="Y30" s="494">
        <f t="shared" si="23"/>
        <v>-0.11045622229999985</v>
      </c>
      <c r="Z30" s="494">
        <f t="shared" si="23"/>
        <v>5.8505425742391299</v>
      </c>
      <c r="AA30" s="494"/>
      <c r="AB30" s="494"/>
      <c r="AC30" s="576">
        <f>U30+T30+V30+W30+X30+Y30+Z30+AA30+AB30</f>
        <v>-516.05957655016675</v>
      </c>
      <c r="AD30" s="515"/>
      <c r="AE30" s="552"/>
      <c r="AF30" s="552"/>
      <c r="AG30" s="552"/>
      <c r="AH30" s="583">
        <f>AE30+AF30+AG30</f>
        <v>0</v>
      </c>
      <c r="AI30" s="583"/>
      <c r="AJ30" s="552">
        <f>AJ31+AJ42+AJ46+AJ47+AJ48+AJ52+AJ53</f>
        <v>-1.4000077700000002E-2</v>
      </c>
      <c r="AK30" s="552">
        <f>AK31+AK42+AK46+AK47+AK48+AK52+AK53</f>
        <v>-1.705027184782586</v>
      </c>
      <c r="AL30" s="552"/>
      <c r="AM30" s="552"/>
      <c r="AN30" s="552"/>
      <c r="AO30" s="552">
        <f>AO31+AO42+AO46+AO47+AO48+AO52+AO53</f>
        <v>-0.94481533000000006</v>
      </c>
      <c r="AP30" s="552"/>
      <c r="AQ30" s="552">
        <f>AQ31+AQ42+AQ46+AQ47+AQ48+AQ52+AQ53</f>
        <v>-4.4099306694429385</v>
      </c>
      <c r="AR30" s="583">
        <f t="shared" si="9"/>
        <v>-7.073773261925524</v>
      </c>
      <c r="AS30" s="552">
        <f>AS31+AS42+AS46+AS47+AS48+AS52+AS53</f>
        <v>-12.112023888371219</v>
      </c>
      <c r="AT30" s="552"/>
      <c r="AU30" s="552">
        <f>AU31+AU42+AU46+AU47+AU48+AU52+AU53</f>
        <v>-19.88739211449764</v>
      </c>
      <c r="AV30" s="583">
        <f t="shared" si="1"/>
        <v>-31.999416002868859</v>
      </c>
      <c r="AW30" s="591">
        <f t="shared" si="2"/>
        <v>-39.073189264794379</v>
      </c>
      <c r="AX30" s="515"/>
      <c r="AY30" s="546">
        <f>AY31+AY42+AY46+AY47+AY48+AY52+AY53</f>
        <v>106.19377242318789</v>
      </c>
      <c r="AZ30" s="546">
        <f>AZ31+AZ42+AZ46+AZ47+AZ48+AZ52+AZ53</f>
        <v>4.1160307238708489</v>
      </c>
      <c r="BA30" s="598">
        <f t="shared" si="3"/>
        <v>110.30980314705874</v>
      </c>
      <c r="BB30" s="546"/>
      <c r="BC30" s="546"/>
      <c r="BD30" s="546"/>
      <c r="BE30" s="598">
        <f>BB30+BC30+BD30</f>
        <v>0</v>
      </c>
      <c r="BF30" s="605">
        <f t="shared" si="4"/>
        <v>110.30980314705874</v>
      </c>
      <c r="BG30" s="515"/>
      <c r="BH30" s="515">
        <f t="shared" ref="BH30:BH53" si="24">R30+AC30+AW30+BF30</f>
        <v>0</v>
      </c>
      <c r="BI30" s="515"/>
      <c r="BJ30" s="517" t="str">
        <f>$D30</f>
        <v>Industry</v>
      </c>
      <c r="BK30" s="698">
        <f>-($AE30+$V30)*EF.IndustrialCoal.CO2</f>
        <v>29.465801469609676</v>
      </c>
      <c r="BL30" s="698">
        <f t="shared" si="6"/>
        <v>21.988178870508936</v>
      </c>
      <c r="BM30" s="698">
        <f>-($AG30+$X30)*EF.NaturalGas.CO2</f>
        <v>46.569169915703064</v>
      </c>
      <c r="BN30" s="698">
        <f>-$Y30*EF.BlastFurnaceGas.CO2</f>
        <v>8.6688539495683642E-2</v>
      </c>
      <c r="BO30" s="729">
        <f t="shared" si="11"/>
        <v>98.109838795317359</v>
      </c>
      <c r="BP30" s="698">
        <f>-($AE30+$V30)*EF.IndustrialCoal.CH4</f>
        <v>8.6559876478940034E-2</v>
      </c>
      <c r="BQ30" s="698">
        <f t="shared" si="7"/>
        <v>2.737519588992483E-2</v>
      </c>
      <c r="BR30" s="698">
        <f>-($AG30+$X30)*EF.NaturalGas.CH4</f>
        <v>9.3347235544568585E-2</v>
      </c>
      <c r="BS30" s="699" t="s">
        <v>651</v>
      </c>
      <c r="BT30" s="729">
        <f t="shared" si="12"/>
        <v>0.20728230791343344</v>
      </c>
      <c r="BU30" s="698">
        <f>-($AE30+$V30)*EF.IndustrialCoal.N2O</f>
        <v>0.26102319824577114</v>
      </c>
      <c r="BV30" s="698">
        <f t="shared" si="8"/>
        <v>0.39561239365179529</v>
      </c>
      <c r="BW30" s="698">
        <f>-($AG30+$X30)*EF.NaturalGas.N2O</f>
        <v>0.10039949004706832</v>
      </c>
      <c r="BX30" s="699" t="s">
        <v>651</v>
      </c>
      <c r="BY30" s="729">
        <f t="shared" si="13"/>
        <v>0.75703508194463465</v>
      </c>
      <c r="BZ30" s="729"/>
      <c r="CA30" s="730">
        <f t="shared" si="14"/>
        <v>99.074156185175426</v>
      </c>
    </row>
    <row r="31" spans="2:79" s="24" customFormat="1" ht="12.75" hidden="1" customHeight="1" outlineLevel="1" collapsed="1">
      <c r="C31" s="749"/>
      <c r="D31" s="677" t="s">
        <v>460</v>
      </c>
      <c r="E31" s="677"/>
      <c r="F31" s="661" t="str">
        <f>$C$140</f>
        <v>[3]</v>
      </c>
      <c r="G31" s="662" t="s">
        <v>43</v>
      </c>
      <c r="H31" s="662"/>
      <c r="I31" s="663"/>
      <c r="J31" s="663"/>
      <c r="K31" s="663">
        <f>-AC31-AW31</f>
        <v>367.37498464752019</v>
      </c>
      <c r="L31" s="664"/>
      <c r="M31" s="665"/>
      <c r="N31" s="664"/>
      <c r="O31" s="664"/>
      <c r="P31" s="663">
        <f>L31+M31+N31+O31</f>
        <v>0</v>
      </c>
      <c r="Q31" s="663"/>
      <c r="R31" s="666">
        <f t="shared" si="0"/>
        <v>367.37498464752019</v>
      </c>
      <c r="S31" s="667"/>
      <c r="T31" s="668">
        <f>-'DECC Energy Cons. (4.1)'!$I$44*Unit.ktoe</f>
        <v>-117.00712613076652</v>
      </c>
      <c r="U31" s="668"/>
      <c r="V31" s="668">
        <f>-SUM('DECC Energy Cons. (4.1)'!$B$44:$D$44)*Unit.ktoe</f>
        <v>-22.432673836787838</v>
      </c>
      <c r="W31" s="668">
        <f>-'DECC Energy Cons. (4.1)'!$L$44*Unit.ktoe</f>
        <v>-79.395855691428238</v>
      </c>
      <c r="X31" s="668">
        <f>-SUM('DECC Energy Cons. (4.1)'!$F$44:$H$44)*Unit.ktoe</f>
        <v>-136.58399643432594</v>
      </c>
      <c r="Y31" s="668">
        <f>-'DECC Energy Cons. (4.1)'!$E$44*Unit.ktoe</f>
        <v>-0.68804504688000079</v>
      </c>
      <c r="Z31" s="668">
        <f>-'DECC Energy Cons. (4.1)'!$J$44*Unit.ktoe</f>
        <v>-8.053562079999999</v>
      </c>
      <c r="AA31" s="668"/>
      <c r="AB31" s="668"/>
      <c r="AC31" s="669">
        <f>U31+T31+V31+W31+X31+Y31+Z31+AA31+AB31</f>
        <v>-364.16125922018853</v>
      </c>
      <c r="AD31" s="667"/>
      <c r="AE31" s="670"/>
      <c r="AF31" s="670"/>
      <c r="AG31" s="670"/>
      <c r="AH31" s="671">
        <f>AE31+AF31+AG31</f>
        <v>0</v>
      </c>
      <c r="AI31" s="671"/>
      <c r="AJ31" s="670"/>
      <c r="AK31" s="670"/>
      <c r="AL31" s="670"/>
      <c r="AM31" s="670"/>
      <c r="AN31" s="670"/>
      <c r="AO31" s="670"/>
      <c r="AP31" s="670"/>
      <c r="AQ31" s="670">
        <f>-'DUKES 09 (7.2)'!$E$40*Unit.ktoe</f>
        <v>-0.29610330888888886</v>
      </c>
      <c r="AR31" s="671">
        <f t="shared" si="9"/>
        <v>-0.29610330888888886</v>
      </c>
      <c r="AS31" s="670">
        <f>-('DUKES 09 (7.2)'!$B$40+'DUKES 09 (7.2)'!$J$40+'DUKES 09 (7.2)'!$D$40)*Unit.ktoe</f>
        <v>-2.7596816477627946</v>
      </c>
      <c r="AT31" s="670"/>
      <c r="AU31" s="670">
        <f>-'DUKES 09 (7.2)'!$G$40*Unit.ktoe</f>
        <v>-0.15794047067999997</v>
      </c>
      <c r="AV31" s="671">
        <f t="shared" si="1"/>
        <v>-2.9176221184427944</v>
      </c>
      <c r="AW31" s="672">
        <f t="shared" si="2"/>
        <v>-3.2137254273316831</v>
      </c>
      <c r="AX31" s="667"/>
      <c r="AY31" s="673"/>
      <c r="AZ31" s="673"/>
      <c r="BA31" s="674">
        <f t="shared" si="3"/>
        <v>0</v>
      </c>
      <c r="BB31" s="673"/>
      <c r="BC31" s="673"/>
      <c r="BD31" s="673"/>
      <c r="BE31" s="674">
        <f t="shared" ref="BE31:BE53" si="25">BB31+BC31+BD31</f>
        <v>0</v>
      </c>
      <c r="BF31" s="675">
        <f t="shared" si="4"/>
        <v>0</v>
      </c>
      <c r="BG31" s="667"/>
      <c r="BH31" s="667">
        <f t="shared" si="24"/>
        <v>-1.5987211554602254E-14</v>
      </c>
      <c r="BI31" s="515"/>
      <c r="BJ31" s="741"/>
      <c r="BK31" s="722">
        <f>-($AE31+$V31)*EF.IndustrialCoal.CO2</f>
        <v>6.9092635417306525</v>
      </c>
      <c r="BL31" s="722">
        <f t="shared" si="6"/>
        <v>19.84896392285706</v>
      </c>
      <c r="BM31" s="722">
        <f>-($AG31+$X31)*EF.NaturalGas.CO2</f>
        <v>25.13145534391597</v>
      </c>
      <c r="BN31" s="722">
        <f>-$Y31*EF.BlastFurnaceGas.CO2</f>
        <v>0.53999330213619423</v>
      </c>
      <c r="BO31" s="732">
        <f t="shared" si="11"/>
        <v>52.429676110639875</v>
      </c>
      <c r="BP31" s="722">
        <f>-($AE31+$V31)*EF.IndustrialCoal.CH4</f>
        <v>2.0296919442339929E-2</v>
      </c>
      <c r="BQ31" s="722">
        <f t="shared" si="7"/>
        <v>2.4711881725186551E-2</v>
      </c>
      <c r="BR31" s="722">
        <f>-($AG31+$X31)*EF.NaturalGas.CH4</f>
        <v>5.0375643066278467E-2</v>
      </c>
      <c r="BS31" s="724" t="s">
        <v>651</v>
      </c>
      <c r="BT31" s="732">
        <f t="shared" si="12"/>
        <v>9.5384444233804946E-2</v>
      </c>
      <c r="BU31" s="722">
        <f>-($AE31+$V31)*EF.IndustrialCoal.N2O</f>
        <v>6.1205803923083626E-2</v>
      </c>
      <c r="BV31" s="722">
        <f t="shared" si="8"/>
        <v>0.35712353329822888</v>
      </c>
      <c r="BW31" s="722">
        <f>-($AG31+$X31)*EF.NaturalGas.N2O</f>
        <v>5.4181453206856883E-2</v>
      </c>
      <c r="BX31" s="724" t="s">
        <v>651</v>
      </c>
      <c r="BY31" s="732">
        <f t="shared" si="13"/>
        <v>0.47251079042816935</v>
      </c>
      <c r="BZ31" s="732"/>
      <c r="CA31" s="733">
        <f t="shared" si="14"/>
        <v>52.99757134530185</v>
      </c>
    </row>
    <row r="32" spans="2:79" s="734" customFormat="1" ht="10.5" hidden="1" customHeight="1" outlineLevel="2">
      <c r="C32" s="750"/>
      <c r="D32" s="528"/>
      <c r="E32" s="528" t="s">
        <v>416</v>
      </c>
      <c r="F32" s="525"/>
      <c r="G32" s="526"/>
      <c r="H32" s="526"/>
      <c r="I32" s="536"/>
      <c r="J32" s="536"/>
      <c r="K32" s="536"/>
      <c r="L32" s="542"/>
      <c r="M32" s="564"/>
      <c r="N32" s="542"/>
      <c r="O32" s="542"/>
      <c r="P32" s="536"/>
      <c r="Q32" s="536"/>
      <c r="R32" s="571">
        <f t="shared" si="0"/>
        <v>0</v>
      </c>
      <c r="S32" s="527"/>
      <c r="T32" s="558"/>
      <c r="U32" s="558"/>
      <c r="V32" s="558"/>
      <c r="W32" s="558"/>
      <c r="X32" s="558"/>
      <c r="Y32" s="558"/>
      <c r="Z32" s="558"/>
      <c r="AA32" s="558"/>
      <c r="AB32" s="558"/>
      <c r="AC32" s="578"/>
      <c r="AD32" s="527"/>
      <c r="AE32" s="554"/>
      <c r="AF32" s="554"/>
      <c r="AG32" s="554"/>
      <c r="AH32" s="585"/>
      <c r="AI32" s="585"/>
      <c r="AJ32" s="554"/>
      <c r="AK32" s="554"/>
      <c r="AL32" s="554"/>
      <c r="AM32" s="554"/>
      <c r="AN32" s="554"/>
      <c r="AO32" s="554"/>
      <c r="AP32" s="554"/>
      <c r="AQ32" s="554"/>
      <c r="AR32" s="585"/>
      <c r="AS32" s="554"/>
      <c r="AT32" s="554"/>
      <c r="AU32" s="554"/>
      <c r="AV32" s="585">
        <f t="shared" si="1"/>
        <v>0</v>
      </c>
      <c r="AW32" s="593">
        <f t="shared" si="2"/>
        <v>0</v>
      </c>
      <c r="AX32" s="527"/>
      <c r="AY32" s="548"/>
      <c r="AZ32" s="548"/>
      <c r="BA32" s="600">
        <f t="shared" si="3"/>
        <v>0</v>
      </c>
      <c r="BB32" s="548"/>
      <c r="BC32" s="548"/>
      <c r="BD32" s="548"/>
      <c r="BE32" s="600">
        <f t="shared" si="25"/>
        <v>0</v>
      </c>
      <c r="BF32" s="607">
        <f t="shared" si="4"/>
        <v>0</v>
      </c>
      <c r="BG32" s="527"/>
      <c r="BH32" s="527">
        <f t="shared" si="24"/>
        <v>0</v>
      </c>
      <c r="BI32" s="527"/>
      <c r="BJ32" s="741"/>
      <c r="BK32" s="735"/>
      <c r="BL32" s="735">
        <f t="shared" si="6"/>
        <v>0</v>
      </c>
      <c r="BM32" s="735"/>
      <c r="BN32" s="735"/>
      <c r="BO32" s="736"/>
      <c r="BP32" s="735"/>
      <c r="BQ32" s="735">
        <f t="shared" si="7"/>
        <v>0</v>
      </c>
      <c r="BR32" s="735"/>
      <c r="BS32" s="737"/>
      <c r="BT32" s="736"/>
      <c r="BU32" s="735"/>
      <c r="BV32" s="735">
        <f t="shared" si="8"/>
        <v>0</v>
      </c>
      <c r="BW32" s="735"/>
      <c r="BX32" s="737"/>
      <c r="BY32" s="736"/>
      <c r="BZ32" s="736"/>
      <c r="CA32" s="738"/>
    </row>
    <row r="33" spans="3:79" s="734" customFormat="1" ht="10.5" hidden="1" customHeight="1" outlineLevel="2">
      <c r="C33" s="750"/>
      <c r="D33" s="528"/>
      <c r="E33" s="528" t="s">
        <v>114</v>
      </c>
      <c r="F33" s="525"/>
      <c r="G33" s="526"/>
      <c r="H33" s="526"/>
      <c r="I33" s="536"/>
      <c r="J33" s="536"/>
      <c r="K33" s="536">
        <f t="shared" ref="K33:K41" si="26">-AC33-AW33</f>
        <v>34.313357904108869</v>
      </c>
      <c r="L33" s="542"/>
      <c r="M33" s="564"/>
      <c r="N33" s="542"/>
      <c r="O33" s="542"/>
      <c r="P33" s="536">
        <f t="shared" ref="P33:P42" si="27">L33+M33+N33+O33</f>
        <v>0</v>
      </c>
      <c r="Q33" s="536"/>
      <c r="R33" s="571">
        <f t="shared" si="0"/>
        <v>34.313357904108869</v>
      </c>
      <c r="S33" s="527"/>
      <c r="T33" s="558">
        <f>-'DECC Energy Cons. (1.14)'!F21*Unit.ktoe</f>
        <v>-9.282915759806853</v>
      </c>
      <c r="U33" s="558"/>
      <c r="V33" s="558">
        <f>-'DECC Energy Cons. (1.14)'!$E$21*Unit.ktoe</f>
        <v>-1.0869655186323393</v>
      </c>
      <c r="W33" s="558">
        <f>-'DECC Energy Cons. (1.14)'!$D$21*Unit.ktoe</f>
        <v>-8.0171479070190017</v>
      </c>
      <c r="X33" s="558">
        <f>-'DECC Energy Cons. (1.14)'!$C$21*Unit.ktoe</f>
        <v>-15.926328718650675</v>
      </c>
      <c r="Y33" s="558"/>
      <c r="Z33" s="558"/>
      <c r="AA33" s="558"/>
      <c r="AB33" s="558"/>
      <c r="AC33" s="578">
        <f t="shared" ref="AC33:AC42" si="28">U33+T33+V33+W33+X33+Y33+Z33+AA33+AB33</f>
        <v>-34.313357904108869</v>
      </c>
      <c r="AD33" s="527"/>
      <c r="AE33" s="554"/>
      <c r="AF33" s="554"/>
      <c r="AG33" s="554"/>
      <c r="AH33" s="585">
        <f t="shared" ref="AH33:AH42" si="29">AE33+AF33+AG33</f>
        <v>0</v>
      </c>
      <c r="AI33" s="585"/>
      <c r="AJ33" s="554"/>
      <c r="AK33" s="554"/>
      <c r="AL33" s="554"/>
      <c r="AM33" s="554"/>
      <c r="AN33" s="554"/>
      <c r="AO33" s="554"/>
      <c r="AP33" s="554"/>
      <c r="AQ33" s="554"/>
      <c r="AR33" s="585">
        <f t="shared" si="9"/>
        <v>0</v>
      </c>
      <c r="AS33" s="554"/>
      <c r="AT33" s="554"/>
      <c r="AU33" s="554"/>
      <c r="AV33" s="585">
        <f t="shared" si="1"/>
        <v>0</v>
      </c>
      <c r="AW33" s="593">
        <f t="shared" si="2"/>
        <v>0</v>
      </c>
      <c r="AX33" s="527"/>
      <c r="AY33" s="548"/>
      <c r="AZ33" s="548"/>
      <c r="BA33" s="600">
        <f t="shared" si="3"/>
        <v>0</v>
      </c>
      <c r="BB33" s="548"/>
      <c r="BC33" s="548"/>
      <c r="BD33" s="548"/>
      <c r="BE33" s="600">
        <f t="shared" si="25"/>
        <v>0</v>
      </c>
      <c r="BF33" s="607">
        <f t="shared" si="4"/>
        <v>0</v>
      </c>
      <c r="BG33" s="527"/>
      <c r="BH33" s="527">
        <f t="shared" si="24"/>
        <v>0</v>
      </c>
      <c r="BI33" s="527"/>
      <c r="BJ33" s="741"/>
      <c r="BK33" s="735">
        <f t="shared" ref="BK33:BK42" si="30">-($AE33+$V33)*EF.IndustrialCoal.CO2</f>
        <v>0.33478537973876044</v>
      </c>
      <c r="BL33" s="735">
        <f t="shared" si="6"/>
        <v>2.0042869767547504</v>
      </c>
      <c r="BM33" s="735">
        <f t="shared" ref="BM33:BM42" si="31">-($AG33+$X33)*EF.NaturalGas.CO2</f>
        <v>2.9304444842317237</v>
      </c>
      <c r="BN33" s="735">
        <f t="shared" ref="BN33:BN42" si="32">-$Y33*EF.BlastFurnaceGas.CO2</f>
        <v>0</v>
      </c>
      <c r="BO33" s="736">
        <f t="shared" si="11"/>
        <v>5.2695168407252346</v>
      </c>
      <c r="BP33" s="735">
        <f t="shared" ref="BP33:BP42" si="33">-($AE33+$V33)*EF.IndustrialCoal.CH4</f>
        <v>9.8347846221085713E-4</v>
      </c>
      <c r="BQ33" s="735">
        <f t="shared" si="7"/>
        <v>2.495329373633413E-3</v>
      </c>
      <c r="BR33" s="735">
        <f t="shared" ref="BR33:BR42" si="34">-($AG33+$X33)*EF.NaturalGas.CH4</f>
        <v>5.8740340876812618E-3</v>
      </c>
      <c r="BS33" s="737" t="s">
        <v>651</v>
      </c>
      <c r="BT33" s="736">
        <f t="shared" si="12"/>
        <v>9.352841923525531E-3</v>
      </c>
      <c r="BU33" s="735">
        <f t="shared" ref="BU33:BU42" si="35">-($AE33+$V33)*EF.IndustrialCoal.N2O</f>
        <v>2.9657007848730961E-3</v>
      </c>
      <c r="BV33" s="735">
        <f t="shared" si="8"/>
        <v>3.6061229677485984E-2</v>
      </c>
      <c r="BW33" s="735">
        <f t="shared" ref="BW33:BW42" si="36">-($AG33+$X33)*EF.NaturalGas.N2O</f>
        <v>6.3178092364687011E-3</v>
      </c>
      <c r="BX33" s="737" t="s">
        <v>651</v>
      </c>
      <c r="BY33" s="736">
        <f t="shared" si="13"/>
        <v>4.5344739698827782E-2</v>
      </c>
      <c r="BZ33" s="736"/>
      <c r="CA33" s="738">
        <f t="shared" si="14"/>
        <v>5.3242144223475876</v>
      </c>
    </row>
    <row r="34" spans="3:79" s="734" customFormat="1" ht="10.5" hidden="1" customHeight="1" outlineLevel="2">
      <c r="C34" s="750"/>
      <c r="D34" s="528"/>
      <c r="E34" s="528" t="s">
        <v>127</v>
      </c>
      <c r="F34" s="525"/>
      <c r="G34" s="526"/>
      <c r="H34" s="526"/>
      <c r="I34" s="536"/>
      <c r="J34" s="536"/>
      <c r="K34" s="536">
        <f t="shared" si="26"/>
        <v>56.841376311101513</v>
      </c>
      <c r="L34" s="542"/>
      <c r="M34" s="564"/>
      <c r="N34" s="542"/>
      <c r="O34" s="542"/>
      <c r="P34" s="536">
        <f t="shared" si="27"/>
        <v>0</v>
      </c>
      <c r="Q34" s="536"/>
      <c r="R34" s="571">
        <f t="shared" si="0"/>
        <v>56.841376311101513</v>
      </c>
      <c r="S34" s="527"/>
      <c r="T34" s="558">
        <f>-'DECC Energy Cons. (1.14)'!F22*Unit.ktoe</f>
        <v>-14.956858068328504</v>
      </c>
      <c r="U34" s="558"/>
      <c r="V34" s="558">
        <f>-'DECC Energy Cons. (1.14)'!$E$22*Unit.ktoe</f>
        <v>-13.831665854440475</v>
      </c>
      <c r="W34" s="558">
        <f>-'DECC Energy Cons. (1.14)'!$D$22*Unit.ktoe</f>
        <v>-3.0159576692330399</v>
      </c>
      <c r="X34" s="558">
        <f>-'DECC Energy Cons. (1.14)'!$C$22*Unit.ktoe</f>
        <v>-25.036894719099493</v>
      </c>
      <c r="Y34" s="558"/>
      <c r="Z34" s="558"/>
      <c r="AA34" s="558"/>
      <c r="AB34" s="558"/>
      <c r="AC34" s="578">
        <f t="shared" si="28"/>
        <v>-56.841376311101513</v>
      </c>
      <c r="AD34" s="527"/>
      <c r="AE34" s="554"/>
      <c r="AF34" s="554"/>
      <c r="AG34" s="554"/>
      <c r="AH34" s="585">
        <f t="shared" si="29"/>
        <v>0</v>
      </c>
      <c r="AI34" s="585"/>
      <c r="AJ34" s="554"/>
      <c r="AK34" s="554"/>
      <c r="AL34" s="554"/>
      <c r="AM34" s="554"/>
      <c r="AN34" s="554"/>
      <c r="AO34" s="554"/>
      <c r="AP34" s="554"/>
      <c r="AQ34" s="554"/>
      <c r="AR34" s="585">
        <f t="shared" si="9"/>
        <v>0</v>
      </c>
      <c r="AS34" s="554"/>
      <c r="AT34" s="554"/>
      <c r="AU34" s="554"/>
      <c r="AV34" s="585">
        <f t="shared" si="1"/>
        <v>0</v>
      </c>
      <c r="AW34" s="593">
        <f t="shared" si="2"/>
        <v>0</v>
      </c>
      <c r="AX34" s="527"/>
      <c r="AY34" s="548"/>
      <c r="AZ34" s="548"/>
      <c r="BA34" s="600">
        <f t="shared" si="3"/>
        <v>0</v>
      </c>
      <c r="BB34" s="548"/>
      <c r="BC34" s="548"/>
      <c r="BD34" s="548"/>
      <c r="BE34" s="600">
        <f t="shared" si="25"/>
        <v>0</v>
      </c>
      <c r="BF34" s="607">
        <f t="shared" si="4"/>
        <v>0</v>
      </c>
      <c r="BG34" s="527"/>
      <c r="BH34" s="527">
        <f t="shared" si="24"/>
        <v>0</v>
      </c>
      <c r="BI34" s="527"/>
      <c r="BJ34" s="741"/>
      <c r="BK34" s="735">
        <f t="shared" si="30"/>
        <v>4.2601530831676655</v>
      </c>
      <c r="BL34" s="735">
        <f t="shared" si="6"/>
        <v>0.75398941730825997</v>
      </c>
      <c r="BM34" s="735">
        <f t="shared" si="31"/>
        <v>4.6067886283143062</v>
      </c>
      <c r="BN34" s="735">
        <f t="shared" si="32"/>
        <v>0</v>
      </c>
      <c r="BO34" s="736">
        <f t="shared" si="11"/>
        <v>9.6209311287902324</v>
      </c>
      <c r="BP34" s="735">
        <f t="shared" si="33"/>
        <v>1.2514790240499557E-2</v>
      </c>
      <c r="BQ34" s="735">
        <f t="shared" si="7"/>
        <v>9.3871384798618158E-4</v>
      </c>
      <c r="BR34" s="735">
        <f t="shared" si="34"/>
        <v>9.2342419667285E-3</v>
      </c>
      <c r="BS34" s="737" t="s">
        <v>651</v>
      </c>
      <c r="BT34" s="736">
        <f t="shared" si="12"/>
        <v>2.2687746055214238E-2</v>
      </c>
      <c r="BU34" s="735">
        <f t="shared" si="35"/>
        <v>3.7738623330232361E-2</v>
      </c>
      <c r="BV34" s="735">
        <f t="shared" si="8"/>
        <v>1.3565814610027272E-2</v>
      </c>
      <c r="BW34" s="735">
        <f t="shared" si="36"/>
        <v>9.9318761720386325E-3</v>
      </c>
      <c r="BX34" s="737" t="s">
        <v>651</v>
      </c>
      <c r="BY34" s="736">
        <f t="shared" si="13"/>
        <v>6.1236314112298268E-2</v>
      </c>
      <c r="BZ34" s="736"/>
      <c r="CA34" s="738">
        <f t="shared" si="14"/>
        <v>9.7048551889577439</v>
      </c>
    </row>
    <row r="35" spans="3:79" s="734" customFormat="1" ht="10.5" hidden="1" customHeight="1" outlineLevel="2">
      <c r="C35" s="750"/>
      <c r="D35" s="528"/>
      <c r="E35" s="528" t="s">
        <v>128</v>
      </c>
      <c r="F35" s="525"/>
      <c r="G35" s="526"/>
      <c r="H35" s="526"/>
      <c r="I35" s="536"/>
      <c r="J35" s="536"/>
      <c r="K35" s="536">
        <f t="shared" si="26"/>
        <v>99.439809466979597</v>
      </c>
      <c r="L35" s="542"/>
      <c r="M35" s="564"/>
      <c r="N35" s="542"/>
      <c r="O35" s="542"/>
      <c r="P35" s="536">
        <f t="shared" si="27"/>
        <v>0</v>
      </c>
      <c r="Q35" s="536"/>
      <c r="R35" s="571">
        <f t="shared" si="0"/>
        <v>99.439809466979597</v>
      </c>
      <c r="S35" s="527"/>
      <c r="T35" s="558">
        <f>-'DECC Energy Cons. (1.14)'!F23*Unit.ktoe</f>
        <v>-19.534173413224551</v>
      </c>
      <c r="U35" s="558"/>
      <c r="V35" s="558">
        <f>-'DECC Energy Cons. (1.14)'!$E$23*Unit.ktoe</f>
        <v>-2.8263344298647115</v>
      </c>
      <c r="W35" s="558">
        <f>-'DECC Energy Cons. (1.14)'!$D$23*Unit.ktoe</f>
        <v>-21.331107359048655</v>
      </c>
      <c r="X35" s="558">
        <f>-'DECC Energy Cons. (1.14)'!$C$23*Unit.ktoe</f>
        <v>-55.748194264841672</v>
      </c>
      <c r="Y35" s="558"/>
      <c r="Z35" s="558"/>
      <c r="AA35" s="558"/>
      <c r="AB35" s="558"/>
      <c r="AC35" s="578">
        <f t="shared" si="28"/>
        <v>-99.439809466979597</v>
      </c>
      <c r="AD35" s="527"/>
      <c r="AE35" s="554"/>
      <c r="AF35" s="554"/>
      <c r="AG35" s="554"/>
      <c r="AH35" s="585">
        <f t="shared" si="29"/>
        <v>0</v>
      </c>
      <c r="AI35" s="585"/>
      <c r="AJ35" s="554"/>
      <c r="AK35" s="554"/>
      <c r="AL35" s="554"/>
      <c r="AM35" s="554"/>
      <c r="AN35" s="554"/>
      <c r="AO35" s="554"/>
      <c r="AP35" s="554"/>
      <c r="AQ35" s="554"/>
      <c r="AR35" s="585">
        <f t="shared" si="9"/>
        <v>0</v>
      </c>
      <c r="AS35" s="554"/>
      <c r="AT35" s="554"/>
      <c r="AU35" s="554"/>
      <c r="AV35" s="585">
        <f t="shared" si="1"/>
        <v>0</v>
      </c>
      <c r="AW35" s="593">
        <f t="shared" si="2"/>
        <v>0</v>
      </c>
      <c r="AX35" s="527"/>
      <c r="AY35" s="548"/>
      <c r="AZ35" s="548"/>
      <c r="BA35" s="600">
        <f t="shared" si="3"/>
        <v>0</v>
      </c>
      <c r="BB35" s="548"/>
      <c r="BC35" s="548"/>
      <c r="BD35" s="548"/>
      <c r="BE35" s="600">
        <f t="shared" si="25"/>
        <v>0</v>
      </c>
      <c r="BF35" s="607">
        <f t="shared" si="4"/>
        <v>0</v>
      </c>
      <c r="BG35" s="527"/>
      <c r="BH35" s="527">
        <f t="shared" si="24"/>
        <v>0</v>
      </c>
      <c r="BI35" s="527"/>
      <c r="BJ35" s="741"/>
      <c r="BK35" s="735">
        <f t="shared" si="30"/>
        <v>0.87051100439833096</v>
      </c>
      <c r="BL35" s="735">
        <f t="shared" si="6"/>
        <v>5.3327768397621638</v>
      </c>
      <c r="BM35" s="735">
        <f t="shared" si="31"/>
        <v>10.257667744730865</v>
      </c>
      <c r="BN35" s="735">
        <f t="shared" si="32"/>
        <v>0</v>
      </c>
      <c r="BO35" s="736">
        <f t="shared" si="11"/>
        <v>16.460955588891359</v>
      </c>
      <c r="BP35" s="735">
        <f t="shared" si="33"/>
        <v>2.5572467489809536E-3</v>
      </c>
      <c r="BQ35" s="735">
        <f t="shared" si="7"/>
        <v>6.6392861130279016E-3</v>
      </c>
      <c r="BR35" s="735">
        <f t="shared" si="34"/>
        <v>2.0561348395055665E-2</v>
      </c>
      <c r="BS35" s="737" t="s">
        <v>651</v>
      </c>
      <c r="BT35" s="736">
        <f t="shared" si="12"/>
        <v>2.9757881257064522E-2</v>
      </c>
      <c r="BU35" s="735">
        <f t="shared" si="35"/>
        <v>7.7114334293789319E-3</v>
      </c>
      <c r="BV35" s="735">
        <f t="shared" si="8"/>
        <v>9.5947582690386529E-2</v>
      </c>
      <c r="BW35" s="735">
        <f t="shared" si="36"/>
        <v>2.2114729820339168E-2</v>
      </c>
      <c r="BX35" s="737" t="s">
        <v>651</v>
      </c>
      <c r="BY35" s="736">
        <f t="shared" si="13"/>
        <v>0.12577374594010463</v>
      </c>
      <c r="BZ35" s="736"/>
      <c r="CA35" s="738">
        <f t="shared" si="14"/>
        <v>16.61648721608853</v>
      </c>
    </row>
    <row r="36" spans="3:79" s="734" customFormat="1" ht="10.5" hidden="1" customHeight="1" outlineLevel="2">
      <c r="C36" s="750"/>
      <c r="D36" s="528"/>
      <c r="E36" s="528" t="s">
        <v>129</v>
      </c>
      <c r="F36" s="525"/>
      <c r="G36" s="526"/>
      <c r="H36" s="526"/>
      <c r="I36" s="536"/>
      <c r="J36" s="536"/>
      <c r="K36" s="536">
        <f t="shared" si="26"/>
        <v>37.15434976555774</v>
      </c>
      <c r="L36" s="542"/>
      <c r="M36" s="564"/>
      <c r="N36" s="542"/>
      <c r="O36" s="542"/>
      <c r="P36" s="536">
        <f t="shared" si="27"/>
        <v>0</v>
      </c>
      <c r="Q36" s="536"/>
      <c r="R36" s="571">
        <f t="shared" si="0"/>
        <v>37.15434976555774</v>
      </c>
      <c r="S36" s="527"/>
      <c r="T36" s="558">
        <f>-'DECC Energy Cons. (1.14)'!F24*Unit.ktoe</f>
        <v>-7.2284527736841291</v>
      </c>
      <c r="U36" s="558"/>
      <c r="V36" s="558">
        <f>-'DECC Energy Cons. (1.14)'!$E$24*Unit.ktoe</f>
        <v>-1.7641215214918886</v>
      </c>
      <c r="W36" s="558">
        <f>-'DECC Energy Cons. (1.14)'!$D$24*Unit.ktoe</f>
        <v>-8.629193243912102</v>
      </c>
      <c r="X36" s="558">
        <f>-'DECC Energy Cons. (1.14)'!$C$24*Unit.ktoe</f>
        <v>-19.532582226469618</v>
      </c>
      <c r="Y36" s="558"/>
      <c r="Z36" s="558"/>
      <c r="AA36" s="558"/>
      <c r="AB36" s="558"/>
      <c r="AC36" s="578">
        <f t="shared" si="28"/>
        <v>-37.15434976555774</v>
      </c>
      <c r="AD36" s="527"/>
      <c r="AE36" s="554"/>
      <c r="AF36" s="554"/>
      <c r="AG36" s="554"/>
      <c r="AH36" s="585">
        <f t="shared" si="29"/>
        <v>0</v>
      </c>
      <c r="AI36" s="585"/>
      <c r="AJ36" s="554"/>
      <c r="AK36" s="554"/>
      <c r="AL36" s="554"/>
      <c r="AM36" s="554"/>
      <c r="AN36" s="554"/>
      <c r="AO36" s="554"/>
      <c r="AP36" s="554"/>
      <c r="AQ36" s="554"/>
      <c r="AR36" s="585">
        <f t="shared" si="9"/>
        <v>0</v>
      </c>
      <c r="AS36" s="554"/>
      <c r="AT36" s="554"/>
      <c r="AU36" s="554"/>
      <c r="AV36" s="585">
        <f t="shared" si="1"/>
        <v>0</v>
      </c>
      <c r="AW36" s="593">
        <f t="shared" si="2"/>
        <v>0</v>
      </c>
      <c r="AX36" s="527"/>
      <c r="AY36" s="548"/>
      <c r="AZ36" s="548"/>
      <c r="BA36" s="600">
        <f t="shared" si="3"/>
        <v>0</v>
      </c>
      <c r="BB36" s="548"/>
      <c r="BC36" s="548"/>
      <c r="BD36" s="548"/>
      <c r="BE36" s="600">
        <f t="shared" si="25"/>
        <v>0</v>
      </c>
      <c r="BF36" s="607">
        <f t="shared" si="4"/>
        <v>0</v>
      </c>
      <c r="BG36" s="527"/>
      <c r="BH36" s="527">
        <f t="shared" si="24"/>
        <v>0</v>
      </c>
      <c r="BI36" s="527"/>
      <c r="BJ36" s="741"/>
      <c r="BK36" s="735">
        <f t="shared" si="30"/>
        <v>0.54334942861950164</v>
      </c>
      <c r="BL36" s="735">
        <f t="shared" si="6"/>
        <v>2.1572983109780255</v>
      </c>
      <c r="BM36" s="735">
        <f t="shared" si="31"/>
        <v>3.5939951296704091</v>
      </c>
      <c r="BN36" s="735">
        <f t="shared" si="32"/>
        <v>0</v>
      </c>
      <c r="BO36" s="736">
        <f t="shared" si="11"/>
        <v>6.2946428692679364</v>
      </c>
      <c r="BP36" s="735">
        <f t="shared" si="33"/>
        <v>1.5961642677432227E-3</v>
      </c>
      <c r="BQ36" s="735">
        <f t="shared" si="7"/>
        <v>2.685827880690717E-3</v>
      </c>
      <c r="BR36" s="735">
        <f t="shared" si="34"/>
        <v>7.2041118732126975E-3</v>
      </c>
      <c r="BS36" s="737" t="s">
        <v>651</v>
      </c>
      <c r="BT36" s="736">
        <f t="shared" si="12"/>
        <v>1.1486104021646636E-2</v>
      </c>
      <c r="BU36" s="735">
        <f t="shared" si="35"/>
        <v>4.8132682143247124E-3</v>
      </c>
      <c r="BV36" s="735">
        <f t="shared" si="8"/>
        <v>3.8814217114254257E-2</v>
      </c>
      <c r="BW36" s="735">
        <f t="shared" si="36"/>
        <v>7.7483725585772798E-3</v>
      </c>
      <c r="BX36" s="737" t="s">
        <v>651</v>
      </c>
      <c r="BY36" s="736">
        <f t="shared" si="13"/>
        <v>5.1375857887156248E-2</v>
      </c>
      <c r="BZ36" s="736"/>
      <c r="CA36" s="738">
        <f t="shared" si="14"/>
        <v>6.3575048311767395</v>
      </c>
    </row>
    <row r="37" spans="3:79" s="734" customFormat="1" ht="10.5" hidden="1" customHeight="1" outlineLevel="2">
      <c r="C37" s="750"/>
      <c r="D37" s="528"/>
      <c r="E37" s="528" t="s">
        <v>130</v>
      </c>
      <c r="F37" s="525"/>
      <c r="G37" s="526"/>
      <c r="H37" s="526"/>
      <c r="I37" s="536"/>
      <c r="J37" s="536"/>
      <c r="K37" s="536">
        <f t="shared" si="26"/>
        <v>37.339592080383554</v>
      </c>
      <c r="L37" s="542"/>
      <c r="M37" s="564"/>
      <c r="N37" s="542"/>
      <c r="O37" s="542"/>
      <c r="P37" s="536">
        <f t="shared" si="27"/>
        <v>0</v>
      </c>
      <c r="Q37" s="536"/>
      <c r="R37" s="571">
        <f t="shared" si="0"/>
        <v>37.339592080383554</v>
      </c>
      <c r="S37" s="527"/>
      <c r="T37" s="558">
        <f>-'DECC Energy Cons. (1.14)'!F26*Unit.ktoe</f>
        <v>-37.339592080383554</v>
      </c>
      <c r="U37" s="558"/>
      <c r="V37" s="558"/>
      <c r="W37" s="558"/>
      <c r="X37" s="558"/>
      <c r="Y37" s="558"/>
      <c r="Z37" s="558"/>
      <c r="AA37" s="558"/>
      <c r="AB37" s="558"/>
      <c r="AC37" s="578">
        <f t="shared" si="28"/>
        <v>-37.339592080383554</v>
      </c>
      <c r="AD37" s="527"/>
      <c r="AE37" s="554"/>
      <c r="AF37" s="554"/>
      <c r="AG37" s="554"/>
      <c r="AH37" s="585">
        <f t="shared" si="29"/>
        <v>0</v>
      </c>
      <c r="AI37" s="585"/>
      <c r="AJ37" s="554"/>
      <c r="AK37" s="554"/>
      <c r="AL37" s="554"/>
      <c r="AM37" s="554"/>
      <c r="AN37" s="554"/>
      <c r="AO37" s="554"/>
      <c r="AP37" s="554"/>
      <c r="AQ37" s="554"/>
      <c r="AR37" s="585">
        <f t="shared" si="9"/>
        <v>0</v>
      </c>
      <c r="AS37" s="554"/>
      <c r="AT37" s="554"/>
      <c r="AU37" s="554"/>
      <c r="AV37" s="585">
        <f t="shared" si="1"/>
        <v>0</v>
      </c>
      <c r="AW37" s="593">
        <f t="shared" si="2"/>
        <v>0</v>
      </c>
      <c r="AX37" s="527"/>
      <c r="AY37" s="548"/>
      <c r="AZ37" s="548"/>
      <c r="BA37" s="600">
        <f t="shared" si="3"/>
        <v>0</v>
      </c>
      <c r="BB37" s="548"/>
      <c r="BC37" s="548"/>
      <c r="BD37" s="548"/>
      <c r="BE37" s="600">
        <f t="shared" si="25"/>
        <v>0</v>
      </c>
      <c r="BF37" s="607">
        <f t="shared" si="4"/>
        <v>0</v>
      </c>
      <c r="BG37" s="527"/>
      <c r="BH37" s="527">
        <f t="shared" si="24"/>
        <v>0</v>
      </c>
      <c r="BI37" s="527"/>
      <c r="BJ37" s="741"/>
      <c r="BK37" s="735">
        <f t="shared" si="30"/>
        <v>0</v>
      </c>
      <c r="BL37" s="735">
        <f t="shared" si="6"/>
        <v>0</v>
      </c>
      <c r="BM37" s="735">
        <f t="shared" si="31"/>
        <v>0</v>
      </c>
      <c r="BN37" s="735">
        <f t="shared" si="32"/>
        <v>0</v>
      </c>
      <c r="BO37" s="736">
        <f t="shared" si="11"/>
        <v>0</v>
      </c>
      <c r="BP37" s="735">
        <f t="shared" si="33"/>
        <v>0</v>
      </c>
      <c r="BQ37" s="735">
        <f t="shared" si="7"/>
        <v>0</v>
      </c>
      <c r="BR37" s="735">
        <f t="shared" si="34"/>
        <v>0</v>
      </c>
      <c r="BS37" s="737" t="s">
        <v>651</v>
      </c>
      <c r="BT37" s="736">
        <f t="shared" si="12"/>
        <v>0</v>
      </c>
      <c r="BU37" s="735">
        <f t="shared" si="35"/>
        <v>0</v>
      </c>
      <c r="BV37" s="735">
        <f t="shared" si="8"/>
        <v>0</v>
      </c>
      <c r="BW37" s="735">
        <f t="shared" si="36"/>
        <v>0</v>
      </c>
      <c r="BX37" s="737" t="s">
        <v>651</v>
      </c>
      <c r="BY37" s="736">
        <f t="shared" si="13"/>
        <v>0</v>
      </c>
      <c r="BZ37" s="736"/>
      <c r="CA37" s="738">
        <f t="shared" si="14"/>
        <v>0</v>
      </c>
    </row>
    <row r="38" spans="3:79" s="734" customFormat="1" ht="10.5" hidden="1" customHeight="1" outlineLevel="2">
      <c r="C38" s="750"/>
      <c r="D38" s="528"/>
      <c r="E38" s="528" t="s">
        <v>131</v>
      </c>
      <c r="F38" s="525"/>
      <c r="G38" s="526"/>
      <c r="H38" s="526"/>
      <c r="I38" s="536"/>
      <c r="J38" s="536"/>
      <c r="K38" s="536">
        <f t="shared" si="26"/>
        <v>10.857245411785907</v>
      </c>
      <c r="L38" s="542"/>
      <c r="M38" s="564"/>
      <c r="N38" s="542"/>
      <c r="O38" s="542"/>
      <c r="P38" s="536">
        <f t="shared" si="27"/>
        <v>0</v>
      </c>
      <c r="Q38" s="536"/>
      <c r="R38" s="571">
        <f t="shared" si="0"/>
        <v>10.857245411785907</v>
      </c>
      <c r="S38" s="527"/>
      <c r="T38" s="558">
        <f>-'DECC Energy Cons. (1.14)'!F27*Unit.ktoe</f>
        <v>-10.857245411785907</v>
      </c>
      <c r="U38" s="558"/>
      <c r="V38" s="558"/>
      <c r="W38" s="558"/>
      <c r="X38" s="558"/>
      <c r="Y38" s="558"/>
      <c r="Z38" s="558"/>
      <c r="AA38" s="558"/>
      <c r="AB38" s="558"/>
      <c r="AC38" s="578">
        <f t="shared" si="28"/>
        <v>-10.857245411785907</v>
      </c>
      <c r="AD38" s="527"/>
      <c r="AE38" s="554"/>
      <c r="AF38" s="554"/>
      <c r="AG38" s="554"/>
      <c r="AH38" s="585">
        <f t="shared" si="29"/>
        <v>0</v>
      </c>
      <c r="AI38" s="585"/>
      <c r="AJ38" s="554"/>
      <c r="AK38" s="554"/>
      <c r="AL38" s="554"/>
      <c r="AM38" s="554"/>
      <c r="AN38" s="554"/>
      <c r="AO38" s="554"/>
      <c r="AP38" s="554"/>
      <c r="AQ38" s="554"/>
      <c r="AR38" s="585">
        <f t="shared" si="9"/>
        <v>0</v>
      </c>
      <c r="AS38" s="554"/>
      <c r="AT38" s="554"/>
      <c r="AU38" s="554"/>
      <c r="AV38" s="585">
        <f t="shared" si="1"/>
        <v>0</v>
      </c>
      <c r="AW38" s="593">
        <f t="shared" si="2"/>
        <v>0</v>
      </c>
      <c r="AX38" s="527"/>
      <c r="AY38" s="548"/>
      <c r="AZ38" s="548"/>
      <c r="BA38" s="600">
        <f t="shared" si="3"/>
        <v>0</v>
      </c>
      <c r="BB38" s="548"/>
      <c r="BC38" s="548"/>
      <c r="BD38" s="548"/>
      <c r="BE38" s="600">
        <f t="shared" si="25"/>
        <v>0</v>
      </c>
      <c r="BF38" s="607">
        <f t="shared" si="4"/>
        <v>0</v>
      </c>
      <c r="BG38" s="527"/>
      <c r="BH38" s="527">
        <f t="shared" si="24"/>
        <v>0</v>
      </c>
      <c r="BI38" s="527"/>
      <c r="BJ38" s="741"/>
      <c r="BK38" s="735">
        <f t="shared" si="30"/>
        <v>0</v>
      </c>
      <c r="BL38" s="735">
        <f t="shared" si="6"/>
        <v>0</v>
      </c>
      <c r="BM38" s="735">
        <f t="shared" si="31"/>
        <v>0</v>
      </c>
      <c r="BN38" s="735">
        <f t="shared" si="32"/>
        <v>0</v>
      </c>
      <c r="BO38" s="736">
        <f t="shared" si="11"/>
        <v>0</v>
      </c>
      <c r="BP38" s="735">
        <f t="shared" si="33"/>
        <v>0</v>
      </c>
      <c r="BQ38" s="735">
        <f t="shared" si="7"/>
        <v>0</v>
      </c>
      <c r="BR38" s="735">
        <f t="shared" si="34"/>
        <v>0</v>
      </c>
      <c r="BS38" s="737" t="s">
        <v>651</v>
      </c>
      <c r="BT38" s="736">
        <f t="shared" si="12"/>
        <v>0</v>
      </c>
      <c r="BU38" s="735">
        <f t="shared" si="35"/>
        <v>0</v>
      </c>
      <c r="BV38" s="735">
        <f t="shared" si="8"/>
        <v>0</v>
      </c>
      <c r="BW38" s="735">
        <f t="shared" si="36"/>
        <v>0</v>
      </c>
      <c r="BX38" s="737" t="s">
        <v>651</v>
      </c>
      <c r="BY38" s="736">
        <f t="shared" si="13"/>
        <v>0</v>
      </c>
      <c r="BZ38" s="736"/>
      <c r="CA38" s="738">
        <f t="shared" si="14"/>
        <v>0</v>
      </c>
    </row>
    <row r="39" spans="3:79" s="734" customFormat="1" ht="10.5" hidden="1" customHeight="1" outlineLevel="2">
      <c r="C39" s="750"/>
      <c r="D39" s="528"/>
      <c r="E39" s="528" t="s">
        <v>122</v>
      </c>
      <c r="F39" s="525"/>
      <c r="G39" s="526"/>
      <c r="H39" s="526"/>
      <c r="I39" s="536"/>
      <c r="J39" s="536"/>
      <c r="K39" s="536">
        <f t="shared" si="26"/>
        <v>3.7174537740607101</v>
      </c>
      <c r="L39" s="542"/>
      <c r="M39" s="564"/>
      <c r="N39" s="542"/>
      <c r="O39" s="542"/>
      <c r="P39" s="536">
        <f t="shared" si="27"/>
        <v>0</v>
      </c>
      <c r="Q39" s="536"/>
      <c r="R39" s="571">
        <f t="shared" si="0"/>
        <v>3.7174537740607101</v>
      </c>
      <c r="S39" s="527"/>
      <c r="T39" s="558">
        <f>-'DECC Energy Cons. (1.14)'!F28*Unit.ktoe</f>
        <v>-3.7174537740607101</v>
      </c>
      <c r="U39" s="558"/>
      <c r="V39" s="558"/>
      <c r="W39" s="558"/>
      <c r="X39" s="558"/>
      <c r="Y39" s="558"/>
      <c r="Z39" s="558"/>
      <c r="AA39" s="558"/>
      <c r="AB39" s="558"/>
      <c r="AC39" s="578">
        <f t="shared" si="28"/>
        <v>-3.7174537740607101</v>
      </c>
      <c r="AD39" s="527"/>
      <c r="AE39" s="554"/>
      <c r="AF39" s="554"/>
      <c r="AG39" s="554"/>
      <c r="AH39" s="585">
        <f t="shared" si="29"/>
        <v>0</v>
      </c>
      <c r="AI39" s="585"/>
      <c r="AJ39" s="554"/>
      <c r="AK39" s="554"/>
      <c r="AL39" s="554"/>
      <c r="AM39" s="554"/>
      <c r="AN39" s="554"/>
      <c r="AO39" s="554"/>
      <c r="AP39" s="554"/>
      <c r="AQ39" s="554"/>
      <c r="AR39" s="585">
        <f t="shared" si="9"/>
        <v>0</v>
      </c>
      <c r="AS39" s="554"/>
      <c r="AT39" s="554"/>
      <c r="AU39" s="554"/>
      <c r="AV39" s="585">
        <f t="shared" si="1"/>
        <v>0</v>
      </c>
      <c r="AW39" s="593">
        <f t="shared" si="2"/>
        <v>0</v>
      </c>
      <c r="AX39" s="527"/>
      <c r="AY39" s="548"/>
      <c r="AZ39" s="548"/>
      <c r="BA39" s="600">
        <f t="shared" si="3"/>
        <v>0</v>
      </c>
      <c r="BB39" s="548"/>
      <c r="BC39" s="548"/>
      <c r="BD39" s="548"/>
      <c r="BE39" s="600">
        <f t="shared" si="25"/>
        <v>0</v>
      </c>
      <c r="BF39" s="607">
        <f t="shared" si="4"/>
        <v>0</v>
      </c>
      <c r="BG39" s="527"/>
      <c r="BH39" s="527">
        <f t="shared" si="24"/>
        <v>0</v>
      </c>
      <c r="BI39" s="527"/>
      <c r="BJ39" s="741"/>
      <c r="BK39" s="735">
        <f t="shared" si="30"/>
        <v>0</v>
      </c>
      <c r="BL39" s="735">
        <f t="shared" si="6"/>
        <v>0</v>
      </c>
      <c r="BM39" s="735">
        <f t="shared" si="31"/>
        <v>0</v>
      </c>
      <c r="BN39" s="735">
        <f t="shared" si="32"/>
        <v>0</v>
      </c>
      <c r="BO39" s="736">
        <f t="shared" si="11"/>
        <v>0</v>
      </c>
      <c r="BP39" s="735">
        <f t="shared" si="33"/>
        <v>0</v>
      </c>
      <c r="BQ39" s="735">
        <f t="shared" si="7"/>
        <v>0</v>
      </c>
      <c r="BR39" s="735">
        <f t="shared" si="34"/>
        <v>0</v>
      </c>
      <c r="BS39" s="737" t="s">
        <v>651</v>
      </c>
      <c r="BT39" s="736">
        <f t="shared" si="12"/>
        <v>0</v>
      </c>
      <c r="BU39" s="735">
        <f t="shared" si="35"/>
        <v>0</v>
      </c>
      <c r="BV39" s="735">
        <f t="shared" si="8"/>
        <v>0</v>
      </c>
      <c r="BW39" s="735">
        <f t="shared" si="36"/>
        <v>0</v>
      </c>
      <c r="BX39" s="737" t="s">
        <v>651</v>
      </c>
      <c r="BY39" s="736">
        <f t="shared" si="13"/>
        <v>0</v>
      </c>
      <c r="BZ39" s="736"/>
      <c r="CA39" s="738">
        <f t="shared" si="14"/>
        <v>0</v>
      </c>
    </row>
    <row r="40" spans="3:79" s="734" customFormat="1" ht="10.5" hidden="1" customHeight="1" outlineLevel="2">
      <c r="C40" s="750"/>
      <c r="D40" s="528"/>
      <c r="E40" s="528" t="s">
        <v>132</v>
      </c>
      <c r="F40" s="525"/>
      <c r="G40" s="526"/>
      <c r="H40" s="526"/>
      <c r="I40" s="536"/>
      <c r="J40" s="536"/>
      <c r="K40" s="536">
        <f t="shared" si="26"/>
        <v>6.676507435183046</v>
      </c>
      <c r="L40" s="542"/>
      <c r="M40" s="564"/>
      <c r="N40" s="542"/>
      <c r="O40" s="542"/>
      <c r="P40" s="536">
        <f t="shared" si="27"/>
        <v>0</v>
      </c>
      <c r="Q40" s="536"/>
      <c r="R40" s="571">
        <f t="shared" si="0"/>
        <v>6.676507435183046</v>
      </c>
      <c r="S40" s="527"/>
      <c r="T40" s="558">
        <f>-'DECC Energy Cons. (1.14)'!F29*Unit.ktoe</f>
        <v>-6.676507435183046</v>
      </c>
      <c r="U40" s="558"/>
      <c r="V40" s="558"/>
      <c r="W40" s="558"/>
      <c r="X40" s="558"/>
      <c r="Y40" s="558"/>
      <c r="Z40" s="558"/>
      <c r="AA40" s="558"/>
      <c r="AB40" s="558"/>
      <c r="AC40" s="578">
        <f t="shared" si="28"/>
        <v>-6.676507435183046</v>
      </c>
      <c r="AD40" s="527"/>
      <c r="AE40" s="554"/>
      <c r="AF40" s="554"/>
      <c r="AG40" s="554"/>
      <c r="AH40" s="585">
        <f t="shared" si="29"/>
        <v>0</v>
      </c>
      <c r="AI40" s="585"/>
      <c r="AJ40" s="554"/>
      <c r="AK40" s="554"/>
      <c r="AL40" s="554"/>
      <c r="AM40" s="554"/>
      <c r="AN40" s="554"/>
      <c r="AO40" s="554"/>
      <c r="AP40" s="554"/>
      <c r="AQ40" s="554"/>
      <c r="AR40" s="585">
        <f t="shared" si="9"/>
        <v>0</v>
      </c>
      <c r="AS40" s="554"/>
      <c r="AT40" s="554"/>
      <c r="AU40" s="554"/>
      <c r="AV40" s="585">
        <f t="shared" si="1"/>
        <v>0</v>
      </c>
      <c r="AW40" s="593">
        <f t="shared" si="2"/>
        <v>0</v>
      </c>
      <c r="AX40" s="527"/>
      <c r="AY40" s="548"/>
      <c r="AZ40" s="548"/>
      <c r="BA40" s="600">
        <f t="shared" si="3"/>
        <v>0</v>
      </c>
      <c r="BB40" s="548"/>
      <c r="BC40" s="548"/>
      <c r="BD40" s="548"/>
      <c r="BE40" s="600">
        <f t="shared" si="25"/>
        <v>0</v>
      </c>
      <c r="BF40" s="607">
        <f t="shared" si="4"/>
        <v>0</v>
      </c>
      <c r="BG40" s="527"/>
      <c r="BH40" s="527">
        <f t="shared" si="24"/>
        <v>0</v>
      </c>
      <c r="BI40" s="527"/>
      <c r="BJ40" s="741"/>
      <c r="BK40" s="735">
        <f t="shared" si="30"/>
        <v>0</v>
      </c>
      <c r="BL40" s="735">
        <f t="shared" si="6"/>
        <v>0</v>
      </c>
      <c r="BM40" s="735">
        <f t="shared" si="31"/>
        <v>0</v>
      </c>
      <c r="BN40" s="735">
        <f t="shared" si="32"/>
        <v>0</v>
      </c>
      <c r="BO40" s="736">
        <f t="shared" si="11"/>
        <v>0</v>
      </c>
      <c r="BP40" s="735">
        <f t="shared" si="33"/>
        <v>0</v>
      </c>
      <c r="BQ40" s="735">
        <f t="shared" si="7"/>
        <v>0</v>
      </c>
      <c r="BR40" s="735">
        <f t="shared" si="34"/>
        <v>0</v>
      </c>
      <c r="BS40" s="737" t="s">
        <v>651</v>
      </c>
      <c r="BT40" s="736">
        <f t="shared" si="12"/>
        <v>0</v>
      </c>
      <c r="BU40" s="735">
        <f t="shared" si="35"/>
        <v>0</v>
      </c>
      <c r="BV40" s="735">
        <f t="shared" si="8"/>
        <v>0</v>
      </c>
      <c r="BW40" s="735">
        <f t="shared" si="36"/>
        <v>0</v>
      </c>
      <c r="BX40" s="737" t="s">
        <v>651</v>
      </c>
      <c r="BY40" s="736">
        <f t="shared" si="13"/>
        <v>0</v>
      </c>
      <c r="BZ40" s="736"/>
      <c r="CA40" s="738">
        <f t="shared" si="14"/>
        <v>0</v>
      </c>
    </row>
    <row r="41" spans="3:79" s="734" customFormat="1" ht="10.5" hidden="1" customHeight="1" outlineLevel="2">
      <c r="C41" s="750"/>
      <c r="D41" s="528"/>
      <c r="E41" s="528" t="s">
        <v>123</v>
      </c>
      <c r="F41" s="525"/>
      <c r="G41" s="526"/>
      <c r="H41" s="526"/>
      <c r="I41" s="536"/>
      <c r="J41" s="536"/>
      <c r="K41" s="536">
        <f t="shared" si="26"/>
        <v>31.698936308841688</v>
      </c>
      <c r="L41" s="542"/>
      <c r="M41" s="564"/>
      <c r="N41" s="542"/>
      <c r="O41" s="542"/>
      <c r="P41" s="536">
        <f t="shared" si="27"/>
        <v>0</v>
      </c>
      <c r="Q41" s="536"/>
      <c r="R41" s="571">
        <f t="shared" si="0"/>
        <v>31.698936308841688</v>
      </c>
      <c r="S41" s="527"/>
      <c r="T41" s="558">
        <f>-'DECC Energy Cons. (1.14)'!F30*Unit.ktoe</f>
        <v>-5.8154186415123554</v>
      </c>
      <c r="U41" s="558"/>
      <c r="V41" s="558">
        <f>-'DECC Energy Cons. (1.14)'!$E$45*Unit.ktoe</f>
        <v>-2.1751648896362656</v>
      </c>
      <c r="W41" s="558">
        <f>-'DECC Energy Cons. (1.14)'!$D$45*Unit.ktoe</f>
        <v>-5.8675820652881399</v>
      </c>
      <c r="X41" s="558">
        <f>-'DECC Energy Cons. (1.14)'!$C$45*Unit.ktoe</f>
        <v>-17.840770712404925</v>
      </c>
      <c r="Y41" s="558"/>
      <c r="Z41" s="558"/>
      <c r="AA41" s="558"/>
      <c r="AB41" s="558"/>
      <c r="AC41" s="578">
        <f t="shared" si="28"/>
        <v>-31.698936308841688</v>
      </c>
      <c r="AD41" s="527"/>
      <c r="AE41" s="554"/>
      <c r="AF41" s="554"/>
      <c r="AG41" s="554"/>
      <c r="AH41" s="585">
        <f t="shared" si="29"/>
        <v>0</v>
      </c>
      <c r="AI41" s="585"/>
      <c r="AJ41" s="554"/>
      <c r="AK41" s="554"/>
      <c r="AL41" s="554"/>
      <c r="AM41" s="554"/>
      <c r="AN41" s="554"/>
      <c r="AO41" s="554"/>
      <c r="AP41" s="554"/>
      <c r="AQ41" s="554"/>
      <c r="AR41" s="585">
        <f t="shared" si="9"/>
        <v>0</v>
      </c>
      <c r="AS41" s="554"/>
      <c r="AT41" s="554"/>
      <c r="AU41" s="554"/>
      <c r="AV41" s="585">
        <f t="shared" si="1"/>
        <v>0</v>
      </c>
      <c r="AW41" s="593">
        <f t="shared" si="2"/>
        <v>0</v>
      </c>
      <c r="AX41" s="527"/>
      <c r="AY41" s="548"/>
      <c r="AZ41" s="548"/>
      <c r="BA41" s="600">
        <f t="shared" si="3"/>
        <v>0</v>
      </c>
      <c r="BB41" s="548"/>
      <c r="BC41" s="548"/>
      <c r="BD41" s="548"/>
      <c r="BE41" s="600">
        <f t="shared" si="25"/>
        <v>0</v>
      </c>
      <c r="BF41" s="607">
        <f t="shared" si="4"/>
        <v>0</v>
      </c>
      <c r="BG41" s="527"/>
      <c r="BH41" s="527">
        <f t="shared" si="24"/>
        <v>0</v>
      </c>
      <c r="BI41" s="527"/>
      <c r="BJ41" s="741"/>
      <c r="BK41" s="735">
        <f t="shared" si="30"/>
        <v>0.66995078600796965</v>
      </c>
      <c r="BL41" s="735">
        <f t="shared" si="6"/>
        <v>1.466895516322035</v>
      </c>
      <c r="BM41" s="735">
        <f t="shared" si="31"/>
        <v>3.2827018110825059</v>
      </c>
      <c r="BN41" s="735">
        <f t="shared" si="32"/>
        <v>0</v>
      </c>
      <c r="BO41" s="736">
        <f t="shared" si="11"/>
        <v>5.4195481134125103</v>
      </c>
      <c r="BP41" s="735">
        <f t="shared" si="33"/>
        <v>1.9680733050356368E-3</v>
      </c>
      <c r="BQ41" s="735">
        <f t="shared" si="7"/>
        <v>1.8262791268824471E-3</v>
      </c>
      <c r="BR41" s="735">
        <f t="shared" si="34"/>
        <v>6.580128865006296E-3</v>
      </c>
      <c r="BS41" s="737" t="s">
        <v>651</v>
      </c>
      <c r="BT41" s="736">
        <f t="shared" si="12"/>
        <v>1.0374481296924379E-2</v>
      </c>
      <c r="BU41" s="735">
        <f t="shared" si="35"/>
        <v>5.9347680398725289E-3</v>
      </c>
      <c r="BV41" s="735">
        <f t="shared" si="8"/>
        <v>2.6392456140494111E-2</v>
      </c>
      <c r="BW41" s="735">
        <f t="shared" si="36"/>
        <v>7.0772484973612697E-3</v>
      </c>
      <c r="BX41" s="737" t="s">
        <v>651</v>
      </c>
      <c r="BY41" s="736">
        <f t="shared" si="13"/>
        <v>3.9404472677727911E-2</v>
      </c>
      <c r="BZ41" s="736"/>
      <c r="CA41" s="738">
        <f t="shared" si="14"/>
        <v>5.4693270673871632</v>
      </c>
    </row>
    <row r="42" spans="3:79" s="24" customFormat="1" ht="12.75" hidden="1" customHeight="1" outlineLevel="1" collapsed="1">
      <c r="C42" s="751"/>
      <c r="D42" s="512" t="s">
        <v>163</v>
      </c>
      <c r="E42" s="512"/>
      <c r="F42" s="510" t="str">
        <f>$C$142</f>
        <v>[4]</v>
      </c>
      <c r="G42" s="513" t="s">
        <v>452</v>
      </c>
      <c r="H42" s="513"/>
      <c r="I42" s="534"/>
      <c r="J42" s="534"/>
      <c r="K42" s="534">
        <f>SUM(K44:K45)</f>
        <v>5.0201353737164549</v>
      </c>
      <c r="L42" s="540"/>
      <c r="M42" s="562"/>
      <c r="N42" s="540"/>
      <c r="O42" s="540"/>
      <c r="P42" s="534">
        <f t="shared" si="27"/>
        <v>0</v>
      </c>
      <c r="Q42" s="534"/>
      <c r="R42" s="569">
        <f t="shared" si="0"/>
        <v>5.0201353737164549</v>
      </c>
      <c r="S42" s="515"/>
      <c r="T42" s="494">
        <f>SUM(T44:T45)</f>
        <v>-8.9714468944641065E-2</v>
      </c>
      <c r="U42" s="494"/>
      <c r="V42" s="494">
        <f>SUM(V44:V45)</f>
        <v>-13.20840677256111</v>
      </c>
      <c r="W42" s="494">
        <f>SUM(W44:W45)</f>
        <v>0</v>
      </c>
      <c r="X42" s="494">
        <f>SUM(X44:X45)</f>
        <v>6.7954780887125361</v>
      </c>
      <c r="Y42" s="494">
        <f>SUM(Y44:Y45)</f>
        <v>-0.70256923162000007</v>
      </c>
      <c r="Z42" s="494"/>
      <c r="AA42" s="494"/>
      <c r="AB42" s="494"/>
      <c r="AC42" s="576">
        <f t="shared" si="28"/>
        <v>-7.2052123844132145</v>
      </c>
      <c r="AD42" s="515"/>
      <c r="AE42" s="552"/>
      <c r="AF42" s="552"/>
      <c r="AG42" s="552"/>
      <c r="AH42" s="583">
        <f t="shared" si="29"/>
        <v>0</v>
      </c>
      <c r="AI42" s="583"/>
      <c r="AJ42" s="552"/>
      <c r="AK42" s="552"/>
      <c r="AL42" s="552"/>
      <c r="AM42" s="552"/>
      <c r="AN42" s="552"/>
      <c r="AO42" s="552"/>
      <c r="AP42" s="552"/>
      <c r="AQ42" s="552"/>
      <c r="AR42" s="583">
        <f t="shared" si="9"/>
        <v>0</v>
      </c>
      <c r="AS42" s="552"/>
      <c r="AT42" s="552"/>
      <c r="AU42" s="552"/>
      <c r="AV42" s="583">
        <f t="shared" si="1"/>
        <v>0</v>
      </c>
      <c r="AW42" s="591">
        <f t="shared" si="2"/>
        <v>0</v>
      </c>
      <c r="AX42" s="515"/>
      <c r="AY42" s="546">
        <f>SUM(AY44:AY45)</f>
        <v>1.7396077648967605</v>
      </c>
      <c r="AZ42" s="546">
        <f>SUM(AZ44:AZ45)</f>
        <v>0.44546924580000002</v>
      </c>
      <c r="BA42" s="598">
        <f t="shared" si="3"/>
        <v>2.1850770106967605</v>
      </c>
      <c r="BB42" s="546"/>
      <c r="BC42" s="546"/>
      <c r="BD42" s="546"/>
      <c r="BE42" s="598">
        <f t="shared" si="25"/>
        <v>0</v>
      </c>
      <c r="BF42" s="605">
        <f t="shared" si="4"/>
        <v>2.1850770106967605</v>
      </c>
      <c r="BG42" s="515"/>
      <c r="BH42" s="515">
        <f t="shared" si="24"/>
        <v>0</v>
      </c>
      <c r="BI42" s="515"/>
      <c r="BJ42" s="741"/>
      <c r="BK42" s="698">
        <f t="shared" si="30"/>
        <v>4.0681892859488213</v>
      </c>
      <c r="BL42" s="698">
        <f t="shared" si="6"/>
        <v>0</v>
      </c>
      <c r="BM42" s="698">
        <f t="shared" si="31"/>
        <v>-1.2503679683231064</v>
      </c>
      <c r="BN42" s="698">
        <f t="shared" si="32"/>
        <v>0.55139221055672993</v>
      </c>
      <c r="BO42" s="729">
        <f t="shared" si="11"/>
        <v>3.3692135281824447</v>
      </c>
      <c r="BP42" s="698">
        <f t="shared" si="33"/>
        <v>1.1950869975414313E-2</v>
      </c>
      <c r="BQ42" s="698">
        <f t="shared" si="7"/>
        <v>0</v>
      </c>
      <c r="BR42" s="698">
        <f t="shared" si="34"/>
        <v>-2.5063447226505832E-3</v>
      </c>
      <c r="BS42" s="699" t="s">
        <v>651</v>
      </c>
      <c r="BT42" s="729">
        <f t="shared" si="12"/>
        <v>9.4445252527637288E-3</v>
      </c>
      <c r="BU42" s="698">
        <f t="shared" si="35"/>
        <v>3.6038109453182574E-2</v>
      </c>
      <c r="BV42" s="698">
        <f t="shared" si="8"/>
        <v>0</v>
      </c>
      <c r="BW42" s="698">
        <f t="shared" si="36"/>
        <v>-2.6956955989996738E-3</v>
      </c>
      <c r="BX42" s="699" t="s">
        <v>651</v>
      </c>
      <c r="BY42" s="729">
        <f t="shared" si="13"/>
        <v>3.3342413854182899E-2</v>
      </c>
      <c r="BZ42" s="729"/>
      <c r="CA42" s="730">
        <f t="shared" si="14"/>
        <v>3.4120004672893911</v>
      </c>
    </row>
    <row r="43" spans="3:79" s="734" customFormat="1" ht="10.5" hidden="1" customHeight="1" outlineLevel="2">
      <c r="C43" s="750"/>
      <c r="D43" s="528"/>
      <c r="E43" s="528" t="s">
        <v>416</v>
      </c>
      <c r="F43" s="525"/>
      <c r="G43" s="526"/>
      <c r="H43" s="526"/>
      <c r="I43" s="536"/>
      <c r="J43" s="536"/>
      <c r="K43" s="536"/>
      <c r="L43" s="542"/>
      <c r="M43" s="564"/>
      <c r="N43" s="542"/>
      <c r="O43" s="542"/>
      <c r="P43" s="536"/>
      <c r="Q43" s="536"/>
      <c r="R43" s="571">
        <f t="shared" si="0"/>
        <v>0</v>
      </c>
      <c r="S43" s="527"/>
      <c r="T43" s="558"/>
      <c r="U43" s="558"/>
      <c r="V43" s="558"/>
      <c r="W43" s="558"/>
      <c r="X43" s="558"/>
      <c r="Y43" s="558"/>
      <c r="Z43" s="558"/>
      <c r="AA43" s="558"/>
      <c r="AB43" s="558"/>
      <c r="AC43" s="578"/>
      <c r="AD43" s="527"/>
      <c r="AE43" s="554"/>
      <c r="AF43" s="554"/>
      <c r="AG43" s="554"/>
      <c r="AH43" s="585"/>
      <c r="AI43" s="585"/>
      <c r="AJ43" s="554"/>
      <c r="AK43" s="554"/>
      <c r="AL43" s="554"/>
      <c r="AM43" s="554"/>
      <c r="AN43" s="554"/>
      <c r="AO43" s="554"/>
      <c r="AP43" s="554"/>
      <c r="AQ43" s="554"/>
      <c r="AR43" s="585"/>
      <c r="AS43" s="554"/>
      <c r="AT43" s="554"/>
      <c r="AU43" s="554"/>
      <c r="AV43" s="585">
        <f t="shared" si="1"/>
        <v>0</v>
      </c>
      <c r="AW43" s="593">
        <f t="shared" si="2"/>
        <v>0</v>
      </c>
      <c r="AX43" s="527"/>
      <c r="AY43" s="548"/>
      <c r="AZ43" s="548"/>
      <c r="BA43" s="600">
        <f t="shared" si="3"/>
        <v>0</v>
      </c>
      <c r="BB43" s="548"/>
      <c r="BC43" s="548"/>
      <c r="BD43" s="548"/>
      <c r="BE43" s="600">
        <f t="shared" si="25"/>
        <v>0</v>
      </c>
      <c r="BF43" s="607">
        <f t="shared" si="4"/>
        <v>0</v>
      </c>
      <c r="BG43" s="527"/>
      <c r="BH43" s="527">
        <f t="shared" si="24"/>
        <v>0</v>
      </c>
      <c r="BI43" s="527"/>
      <c r="BJ43" s="741"/>
      <c r="BK43" s="735"/>
      <c r="BL43" s="735">
        <f t="shared" si="6"/>
        <v>0</v>
      </c>
      <c r="BM43" s="735"/>
      <c r="BN43" s="735"/>
      <c r="BO43" s="736"/>
      <c r="BP43" s="735"/>
      <c r="BQ43" s="735">
        <f t="shared" si="7"/>
        <v>0</v>
      </c>
      <c r="BR43" s="735"/>
      <c r="BS43" s="737"/>
      <c r="BT43" s="736"/>
      <c r="BU43" s="735"/>
      <c r="BV43" s="735">
        <f t="shared" si="8"/>
        <v>0</v>
      </c>
      <c r="BW43" s="735"/>
      <c r="BX43" s="737"/>
      <c r="BY43" s="736"/>
      <c r="BZ43" s="736"/>
      <c r="CA43" s="738"/>
    </row>
    <row r="44" spans="3:79" s="734" customFormat="1" ht="10.5" hidden="1" customHeight="1" outlineLevel="2">
      <c r="C44" s="750"/>
      <c r="D44" s="528"/>
      <c r="E44" s="528" t="s">
        <v>158</v>
      </c>
      <c r="F44" s="525" t="str">
        <f>$C$143</f>
        <v>[4a]</v>
      </c>
      <c r="G44" s="526"/>
      <c r="H44" s="526"/>
      <c r="I44" s="536"/>
      <c r="J44" s="536"/>
      <c r="K44" s="536"/>
      <c r="L44" s="542"/>
      <c r="M44" s="564"/>
      <c r="N44" s="542"/>
      <c r="O44" s="542"/>
      <c r="P44" s="536">
        <f>L44+M44+N44+O44</f>
        <v>0</v>
      </c>
      <c r="Q44" s="536"/>
      <c r="R44" s="571">
        <f t="shared" si="0"/>
        <v>0</v>
      </c>
      <c r="S44" s="527"/>
      <c r="T44" s="558"/>
      <c r="U44" s="558"/>
      <c r="V44" s="558">
        <f>'DUKES 09 (1.2)'!$B$21*Unit.ktoe+'DUKES 09 (2.5)'!$B$8*1000000*Constants.GCV.Coke+'DUKES 09 (2.5)'!$C$8*1000000*Constants.GCV.CokeBreeze</f>
        <v>-13.20840677256111</v>
      </c>
      <c r="W44" s="558"/>
      <c r="X44" s="558">
        <f>'DUKES 09 (2.5)'!$G$8*Unit.GWh+'DUKES 09 (2.5)'!$H$8*Unit.GWh-'DUKES 09 (2.5)'!$H$38*Unit.GWh</f>
        <v>11.02332976186435</v>
      </c>
      <c r="Y44" s="558"/>
      <c r="Z44" s="558"/>
      <c r="AA44" s="558"/>
      <c r="AB44" s="558"/>
      <c r="AC44" s="578">
        <f>U44+T44+V44+W44+X44+Y44+Z44+AA44+AB44</f>
        <v>-2.1850770106967605</v>
      </c>
      <c r="AD44" s="527"/>
      <c r="AE44" s="554"/>
      <c r="AF44" s="554"/>
      <c r="AG44" s="554"/>
      <c r="AH44" s="585">
        <f>AE44+AF44+AG44</f>
        <v>0</v>
      </c>
      <c r="AI44" s="585"/>
      <c r="AJ44" s="554"/>
      <c r="AK44" s="554"/>
      <c r="AL44" s="554"/>
      <c r="AM44" s="554"/>
      <c r="AN44" s="554"/>
      <c r="AO44" s="554"/>
      <c r="AP44" s="554"/>
      <c r="AQ44" s="554"/>
      <c r="AR44" s="585">
        <f t="shared" si="9"/>
        <v>0</v>
      </c>
      <c r="AS44" s="554"/>
      <c r="AT44" s="554"/>
      <c r="AU44" s="554"/>
      <c r="AV44" s="585">
        <f t="shared" si="1"/>
        <v>0</v>
      </c>
      <c r="AW44" s="593">
        <f t="shared" si="2"/>
        <v>0</v>
      </c>
      <c r="AX44" s="527"/>
      <c r="AY44" s="548">
        <f>-$AC44-$AW44-$AZ44</f>
        <v>1.7396077648967605</v>
      </c>
      <c r="AZ44" s="548">
        <f>'DUKES 09 (2.5)'!$H$38*Unit.GWh</f>
        <v>0.44546924580000002</v>
      </c>
      <c r="BA44" s="600">
        <f t="shared" si="3"/>
        <v>2.1850770106967605</v>
      </c>
      <c r="BB44" s="548"/>
      <c r="BC44" s="548"/>
      <c r="BD44" s="548"/>
      <c r="BE44" s="600">
        <f t="shared" si="25"/>
        <v>0</v>
      </c>
      <c r="BF44" s="607">
        <f t="shared" si="4"/>
        <v>2.1850770106967605</v>
      </c>
      <c r="BG44" s="527"/>
      <c r="BH44" s="527">
        <f t="shared" si="24"/>
        <v>0</v>
      </c>
      <c r="BI44" s="527"/>
      <c r="BJ44" s="741"/>
      <c r="BK44" s="735">
        <f>-($AE44+$V44)*EF.IndustrialCoal.CO2</f>
        <v>4.0681892859488213</v>
      </c>
      <c r="BL44" s="735">
        <f t="shared" si="6"/>
        <v>0</v>
      </c>
      <c r="BM44" s="735">
        <f>-($AG44+$X44)*EF.NaturalGas.CO2</f>
        <v>-2.0282926761830402</v>
      </c>
      <c r="BN44" s="735">
        <f>-$Y44*EF.BlastFurnaceGas.CO2</f>
        <v>0</v>
      </c>
      <c r="BO44" s="736">
        <f t="shared" si="11"/>
        <v>2.0398966097657811</v>
      </c>
      <c r="BP44" s="735">
        <f>-($AE44+$V44)*EF.IndustrialCoal.CH4</f>
        <v>1.1950869975414313E-2</v>
      </c>
      <c r="BQ44" s="735">
        <f t="shared" si="7"/>
        <v>0</v>
      </c>
      <c r="BR44" s="735">
        <f>-($AG44+$X44)*EF.NaturalGas.CH4</f>
        <v>-4.0656836817084411E-3</v>
      </c>
      <c r="BS44" s="737" t="s">
        <v>651</v>
      </c>
      <c r="BT44" s="736">
        <f t="shared" si="12"/>
        <v>7.885186293705871E-3</v>
      </c>
      <c r="BU44" s="735">
        <f>-($AE44+$V44)*EF.IndustrialCoal.N2O</f>
        <v>3.6038109453182574E-2</v>
      </c>
      <c r="BV44" s="735">
        <f t="shared" si="8"/>
        <v>0</v>
      </c>
      <c r="BW44" s="735">
        <f>-($AG44+$X44)*EF.NaturalGas.N2O</f>
        <v>-4.3728404591191492E-3</v>
      </c>
      <c r="BX44" s="737" t="s">
        <v>651</v>
      </c>
      <c r="BY44" s="736">
        <f t="shared" si="13"/>
        <v>3.1665268994063425E-2</v>
      </c>
      <c r="BZ44" s="736"/>
      <c r="CA44" s="738">
        <f t="shared" si="14"/>
        <v>2.0794470650535501</v>
      </c>
    </row>
    <row r="45" spans="3:79" s="734" customFormat="1" ht="10.5" hidden="1" customHeight="1" outlineLevel="2">
      <c r="C45" s="750"/>
      <c r="D45" s="528"/>
      <c r="E45" s="528" t="s">
        <v>165</v>
      </c>
      <c r="F45" s="525"/>
      <c r="G45" s="526"/>
      <c r="H45" s="526"/>
      <c r="I45" s="536"/>
      <c r="J45" s="536"/>
      <c r="K45" s="536">
        <f>-AC45-AW45</f>
        <v>5.0201353737164549</v>
      </c>
      <c r="L45" s="542"/>
      <c r="M45" s="564"/>
      <c r="N45" s="542"/>
      <c r="O45" s="542"/>
      <c r="P45" s="536">
        <f>L45+M45+N45+O45</f>
        <v>0</v>
      </c>
      <c r="Q45" s="536"/>
      <c r="R45" s="571">
        <f t="shared" si="0"/>
        <v>5.0201353737164549</v>
      </c>
      <c r="S45" s="527"/>
      <c r="T45" s="558">
        <f>-'DUKES 09 (1.2)'!$I$30*Unit.ktoe</f>
        <v>-8.9714468944641065E-2</v>
      </c>
      <c r="U45" s="558"/>
      <c r="V45" s="558"/>
      <c r="W45" s="558"/>
      <c r="X45" s="558">
        <f>-'DUKES 09 (2.5)'!$H$33*Unit.GWh</f>
        <v>-4.2278516731518136</v>
      </c>
      <c r="Y45" s="558">
        <f>-'DUKES 09 (2.5)'!$I$33*Unit.GWh</f>
        <v>-0.70256923162000007</v>
      </c>
      <c r="Z45" s="558"/>
      <c r="AA45" s="558"/>
      <c r="AB45" s="558"/>
      <c r="AC45" s="578">
        <f>U45+T45+V45+W45+X45+Y45+Z45+AA45+AB45</f>
        <v>-5.0201353737164549</v>
      </c>
      <c r="AD45" s="527"/>
      <c r="AE45" s="554"/>
      <c r="AF45" s="554"/>
      <c r="AG45" s="720"/>
      <c r="AH45" s="721">
        <f>AE45+AF45+AG45</f>
        <v>0</v>
      </c>
      <c r="AI45" s="585"/>
      <c r="AJ45" s="554"/>
      <c r="AK45" s="554"/>
      <c r="AL45" s="554"/>
      <c r="AM45" s="554"/>
      <c r="AN45" s="554"/>
      <c r="AO45" s="554"/>
      <c r="AP45" s="554"/>
      <c r="AQ45" s="554"/>
      <c r="AR45" s="585">
        <f t="shared" si="9"/>
        <v>0</v>
      </c>
      <c r="AS45" s="554"/>
      <c r="AT45" s="554"/>
      <c r="AU45" s="554"/>
      <c r="AV45" s="585">
        <f t="shared" si="1"/>
        <v>0</v>
      </c>
      <c r="AW45" s="593">
        <f t="shared" si="2"/>
        <v>0</v>
      </c>
      <c r="AX45" s="527"/>
      <c r="AY45" s="548"/>
      <c r="AZ45" s="548"/>
      <c r="BA45" s="600">
        <f t="shared" si="3"/>
        <v>0</v>
      </c>
      <c r="BB45" s="548"/>
      <c r="BC45" s="548"/>
      <c r="BD45" s="548"/>
      <c r="BE45" s="600">
        <f t="shared" si="25"/>
        <v>0</v>
      </c>
      <c r="BF45" s="607">
        <f t="shared" si="4"/>
        <v>0</v>
      </c>
      <c r="BG45" s="527"/>
      <c r="BH45" s="527">
        <f t="shared" si="24"/>
        <v>0</v>
      </c>
      <c r="BI45" s="527"/>
      <c r="BJ45" s="741"/>
      <c r="BK45" s="735">
        <f>-($AE45+$V45)*EF.IndustrialCoal.CO2</f>
        <v>0</v>
      </c>
      <c r="BL45" s="735">
        <f t="shared" si="6"/>
        <v>0</v>
      </c>
      <c r="BM45" s="735">
        <f>-($AG45+$X45)*EF.NaturalGas.CO2</f>
        <v>0.77792470785993362</v>
      </c>
      <c r="BN45" s="735">
        <f>-$Y45*EF.BlastFurnaceGas.CO2</f>
        <v>0.55139221055672993</v>
      </c>
      <c r="BO45" s="736">
        <f t="shared" si="11"/>
        <v>1.3293169184166636</v>
      </c>
      <c r="BP45" s="735">
        <f>-($AE45+$V45)*EF.IndustrialCoal.CH4</f>
        <v>0</v>
      </c>
      <c r="BQ45" s="735">
        <f t="shared" si="7"/>
        <v>0</v>
      </c>
      <c r="BR45" s="735">
        <f>-($AG45+$X45)*EF.NaturalGas.CH4</f>
        <v>1.5593389590578578E-3</v>
      </c>
      <c r="BS45" s="737" t="s">
        <v>651</v>
      </c>
      <c r="BT45" s="736">
        <f t="shared" si="12"/>
        <v>1.5593389590578578E-3</v>
      </c>
      <c r="BU45" s="735">
        <f>-($AE45+$V45)*EF.IndustrialCoal.N2O</f>
        <v>0</v>
      </c>
      <c r="BV45" s="735">
        <f t="shared" si="8"/>
        <v>0</v>
      </c>
      <c r="BW45" s="735">
        <f>-($AG45+$X45)*EF.NaturalGas.N2O</f>
        <v>1.6771448601194761E-3</v>
      </c>
      <c r="BX45" s="737" t="s">
        <v>651</v>
      </c>
      <c r="BY45" s="736">
        <f t="shared" si="13"/>
        <v>1.6771448601194761E-3</v>
      </c>
      <c r="BZ45" s="736"/>
      <c r="CA45" s="738">
        <f t="shared" si="14"/>
        <v>1.3325534022358407</v>
      </c>
    </row>
    <row r="46" spans="3:79" s="24" customFormat="1" ht="12.75" hidden="1" customHeight="1" outlineLevel="1">
      <c r="C46" s="751"/>
      <c r="D46" s="512" t="s">
        <v>166</v>
      </c>
      <c r="E46" s="512"/>
      <c r="F46" s="510"/>
      <c r="G46" s="513" t="s">
        <v>589</v>
      </c>
      <c r="H46" s="513"/>
      <c r="I46" s="534"/>
      <c r="J46" s="534"/>
      <c r="K46" s="534">
        <f>-AC46-AW46</f>
        <v>64.79017644142364</v>
      </c>
      <c r="L46" s="540"/>
      <c r="M46" s="562"/>
      <c r="N46" s="540"/>
      <c r="O46" s="540"/>
      <c r="P46" s="534">
        <f>L46+M46+N46+O46</f>
        <v>0</v>
      </c>
      <c r="Q46" s="534"/>
      <c r="R46" s="569">
        <f>I46+J46+K46+P46+Q46</f>
        <v>64.79017644142364</v>
      </c>
      <c r="S46" s="515"/>
      <c r="T46" s="494">
        <f>-'DUKES 09 (1.2)'!$I$27*Unit.ktoe</f>
        <v>-0.56038416424020732</v>
      </c>
      <c r="U46" s="494"/>
      <c r="V46" s="494"/>
      <c r="W46" s="494"/>
      <c r="X46" s="494">
        <f>-'DUKES 09 (1.2)'!$F$27*Unit.ktoe</f>
        <v>-64.229792277183435</v>
      </c>
      <c r="Y46" s="494"/>
      <c r="Z46" s="494"/>
      <c r="AA46" s="494"/>
      <c r="AB46" s="494"/>
      <c r="AC46" s="576">
        <f>U46+T46+V46+W46+X46+Y46+Z46+AA46+AB46</f>
        <v>-64.79017644142364</v>
      </c>
      <c r="AD46" s="515"/>
      <c r="AE46" s="552"/>
      <c r="AF46" s="552"/>
      <c r="AG46" s="552"/>
      <c r="AH46" s="583">
        <f>AE46+AF46+AG46</f>
        <v>0</v>
      </c>
      <c r="AI46" s="583"/>
      <c r="AJ46" s="552"/>
      <c r="AK46" s="552"/>
      <c r="AL46" s="552"/>
      <c r="AM46" s="552"/>
      <c r="AN46" s="552"/>
      <c r="AO46" s="552"/>
      <c r="AP46" s="552"/>
      <c r="AQ46" s="552"/>
      <c r="AR46" s="583">
        <f>AJ46+AK46+AL46+AM46+AN46+AO46+AP46+AQ46</f>
        <v>0</v>
      </c>
      <c r="AS46" s="552"/>
      <c r="AT46" s="552"/>
      <c r="AU46" s="552"/>
      <c r="AV46" s="583">
        <f>AS46+AT46+AU46</f>
        <v>0</v>
      </c>
      <c r="AW46" s="591">
        <f>AH46+AI46+AR46+AV46</f>
        <v>0</v>
      </c>
      <c r="AX46" s="515"/>
      <c r="AY46" s="546"/>
      <c r="AZ46" s="546"/>
      <c r="BA46" s="598">
        <f>AY46+AZ46</f>
        <v>0</v>
      </c>
      <c r="BB46" s="546"/>
      <c r="BC46" s="546"/>
      <c r="BD46" s="546"/>
      <c r="BE46" s="598">
        <f t="shared" si="25"/>
        <v>0</v>
      </c>
      <c r="BF46" s="605">
        <f>BA46+BE46</f>
        <v>0</v>
      </c>
      <c r="BG46" s="515"/>
      <c r="BH46" s="515">
        <f>R46+AC46+AW46+BF46</f>
        <v>0</v>
      </c>
      <c r="BI46" s="515"/>
      <c r="BJ46" s="741"/>
      <c r="BK46" s="698">
        <f>-($AE46+$V46)*EF.IndustrialCoal.CO2</f>
        <v>0</v>
      </c>
      <c r="BL46" s="698">
        <f t="shared" si="6"/>
        <v>0</v>
      </c>
      <c r="BM46" s="698">
        <f>-($AG46+$X46)*EF.NaturalGas.CO2</f>
        <v>11.818281779001751</v>
      </c>
      <c r="BN46" s="698">
        <f>-$Y46*EF.BlastFurnaceGas.CO2</f>
        <v>0</v>
      </c>
      <c r="BO46" s="729">
        <f>$BK46+$BL46+$BM46+$BN46</f>
        <v>11.818281779001751</v>
      </c>
      <c r="BP46" s="698">
        <f>-($AE46+$V46)*EF.IndustrialCoal.CH4</f>
        <v>0</v>
      </c>
      <c r="BQ46" s="698">
        <f t="shared" si="7"/>
        <v>0</v>
      </c>
      <c r="BR46" s="698">
        <f>-($AG46+$X46)*EF.NaturalGas.CH4</f>
        <v>2.3689576922962512E-2</v>
      </c>
      <c r="BS46" s="699" t="s">
        <v>651</v>
      </c>
      <c r="BT46" s="729">
        <f>BP46+BQ46+BR46</f>
        <v>2.3689576922962512E-2</v>
      </c>
      <c r="BU46" s="698">
        <f>-($AE46+$V46)*EF.IndustrialCoal.N2O</f>
        <v>0</v>
      </c>
      <c r="BV46" s="698">
        <f t="shared" si="8"/>
        <v>0</v>
      </c>
      <c r="BW46" s="698">
        <f>-($AG46+$X46)*EF.NaturalGas.N2O</f>
        <v>2.5479291685726012E-2</v>
      </c>
      <c r="BX46" s="699" t="s">
        <v>651</v>
      </c>
      <c r="BY46" s="729">
        <f>BU46+BV46+BW46</f>
        <v>2.5479291685726012E-2</v>
      </c>
      <c r="BZ46" s="729"/>
      <c r="CA46" s="730">
        <f>BO46+BT46+BY46+BZ46</f>
        <v>11.867450647610438</v>
      </c>
    </row>
    <row r="47" spans="3:79" s="24" customFormat="1" ht="12.75" hidden="1" customHeight="1" outlineLevel="1">
      <c r="C47" s="751"/>
      <c r="D47" s="512" t="s">
        <v>167</v>
      </c>
      <c r="E47" s="512"/>
      <c r="F47" s="510"/>
      <c r="G47" s="513" t="s">
        <v>588</v>
      </c>
      <c r="H47" s="513"/>
      <c r="I47" s="534"/>
      <c r="J47" s="534"/>
      <c r="K47" s="534">
        <f>-AC47-AW47</f>
        <v>1.118720527615034</v>
      </c>
      <c r="L47" s="540"/>
      <c r="M47" s="562"/>
      <c r="N47" s="540"/>
      <c r="O47" s="540"/>
      <c r="P47" s="534">
        <f>L47+M47+N47+O47</f>
        <v>0</v>
      </c>
      <c r="Q47" s="534"/>
      <c r="R47" s="569">
        <f>I47+J47+K47+P47+Q47</f>
        <v>1.118720527615034</v>
      </c>
      <c r="S47" s="515"/>
      <c r="T47" s="494">
        <f>-'DUKES 09 (1.2)'!$I$29*Unit.ktoe</f>
        <v>-0.98302805456324838</v>
      </c>
      <c r="U47" s="494"/>
      <c r="V47" s="494">
        <f>-'DUKES 09 (1.2)'!$B$29*Unit.ktoe</f>
        <v>-4.4692473051785787E-2</v>
      </c>
      <c r="W47" s="494"/>
      <c r="X47" s="494">
        <f>-'DUKES 09 (1.2)'!$F$29*Unit.ktoe</f>
        <v>-9.0999999999999998E-2</v>
      </c>
      <c r="Y47" s="494"/>
      <c r="Z47" s="494"/>
      <c r="AA47" s="494"/>
      <c r="AB47" s="494"/>
      <c r="AC47" s="576">
        <f>U47+T47+V47+W47+X47+Y47+Z47+AA47+AB47</f>
        <v>-1.118720527615034</v>
      </c>
      <c r="AD47" s="515"/>
      <c r="AE47" s="552"/>
      <c r="AF47" s="552"/>
      <c r="AG47" s="552"/>
      <c r="AH47" s="583">
        <f>AE47+AF47+AG47</f>
        <v>0</v>
      </c>
      <c r="AI47" s="583"/>
      <c r="AJ47" s="552"/>
      <c r="AK47" s="552"/>
      <c r="AL47" s="552"/>
      <c r="AM47" s="552"/>
      <c r="AN47" s="552"/>
      <c r="AO47" s="552"/>
      <c r="AP47" s="552"/>
      <c r="AQ47" s="552"/>
      <c r="AR47" s="583">
        <f>AJ47+AK47+AL47+AM47+AN47+AO47+AP47+AQ47</f>
        <v>0</v>
      </c>
      <c r="AS47" s="552"/>
      <c r="AT47" s="552"/>
      <c r="AU47" s="552"/>
      <c r="AV47" s="583">
        <f>AS47+AT47+AU47</f>
        <v>0</v>
      </c>
      <c r="AW47" s="591">
        <f>AH47+AI47+AR47+AV47</f>
        <v>0</v>
      </c>
      <c r="AX47" s="515"/>
      <c r="AY47" s="546"/>
      <c r="AZ47" s="546"/>
      <c r="BA47" s="598">
        <f>AY47+AZ47</f>
        <v>0</v>
      </c>
      <c r="BB47" s="546"/>
      <c r="BC47" s="546"/>
      <c r="BD47" s="546"/>
      <c r="BE47" s="598">
        <f t="shared" si="25"/>
        <v>0</v>
      </c>
      <c r="BF47" s="605">
        <f>BA47+BE47</f>
        <v>0</v>
      </c>
      <c r="BG47" s="515"/>
      <c r="BH47" s="515">
        <f>R47+AC47+AW47+BF47</f>
        <v>0</v>
      </c>
      <c r="BI47" s="515"/>
      <c r="BJ47" s="741"/>
      <c r="BK47" s="698">
        <f>-($AE47+$V47)*EF.IndustrialCoal.CO2</f>
        <v>1.3765281699950021E-2</v>
      </c>
      <c r="BL47" s="698">
        <f t="shared" si="6"/>
        <v>0</v>
      </c>
      <c r="BM47" s="698">
        <f>-($AG47+$X47)*EF.NaturalGas.CO2</f>
        <v>1.6743999999999998E-2</v>
      </c>
      <c r="BN47" s="698">
        <f>-$Y47*EF.BlastFurnaceGas.CO2</f>
        <v>0</v>
      </c>
      <c r="BO47" s="729">
        <f>$BK47+$BL47+$BM47+$BN47</f>
        <v>3.0509281699950021E-2</v>
      </c>
      <c r="BP47" s="698">
        <f>-($AE47+$V47)*EF.IndustrialCoal.CH4</f>
        <v>4.0437423189536988E-5</v>
      </c>
      <c r="BQ47" s="698">
        <f t="shared" si="7"/>
        <v>0</v>
      </c>
      <c r="BR47" s="698">
        <f>-($AG47+$X47)*EF.NaturalGas.CH4</f>
        <v>3.3563108700187771E-5</v>
      </c>
      <c r="BS47" s="699" t="s">
        <v>651</v>
      </c>
      <c r="BT47" s="729">
        <f>BP47+BQ47+BR47</f>
        <v>7.4000531889724765E-5</v>
      </c>
      <c r="BU47" s="698">
        <f>-($AE47+$V47)*EF.IndustrialCoal.N2O</f>
        <v>1.2193993290088287E-4</v>
      </c>
      <c r="BV47" s="698">
        <f t="shared" si="8"/>
        <v>0</v>
      </c>
      <c r="BW47" s="698">
        <f>-($AG47+$X47)*EF.NaturalGas.N2O</f>
        <v>3.6098755129007581E-5</v>
      </c>
      <c r="BX47" s="699" t="s">
        <v>651</v>
      </c>
      <c r="BY47" s="729">
        <f>BU47+BV47+BW47</f>
        <v>1.5803868802989046E-4</v>
      </c>
      <c r="BZ47" s="729"/>
      <c r="CA47" s="730">
        <f>BO47+BT47+BY47+BZ47</f>
        <v>3.0741320919869634E-2</v>
      </c>
    </row>
    <row r="48" spans="3:79" s="24" customFormat="1" ht="12.75" hidden="1" customHeight="1" outlineLevel="1" collapsed="1">
      <c r="C48" s="751"/>
      <c r="D48" s="512" t="s">
        <v>126</v>
      </c>
      <c r="E48" s="512"/>
      <c r="F48" s="510" t="str">
        <f>$C$146</f>
        <v>[5]</v>
      </c>
      <c r="G48" s="513" t="s">
        <v>446</v>
      </c>
      <c r="H48" s="513"/>
      <c r="I48" s="534"/>
      <c r="J48" s="534"/>
      <c r="K48" s="534">
        <f>SUM(K50:K51)</f>
        <v>6.5189456776271442</v>
      </c>
      <c r="L48" s="540"/>
      <c r="M48" s="562"/>
      <c r="N48" s="540"/>
      <c r="O48" s="540"/>
      <c r="P48" s="534">
        <f>L48+M48+N48+O48</f>
        <v>0</v>
      </c>
      <c r="Q48" s="534"/>
      <c r="R48" s="569">
        <f t="shared" si="0"/>
        <v>6.5189456776271442</v>
      </c>
      <c r="S48" s="515"/>
      <c r="T48" s="494">
        <f>SUM(T50:T51)</f>
        <v>-0.47878538460714365</v>
      </c>
      <c r="U48" s="494"/>
      <c r="V48" s="494">
        <f>SUM(V50:V51)</f>
        <v>-46.207513154019061</v>
      </c>
      <c r="W48" s="494">
        <f>SUM(W50:W51)</f>
        <v>-2.4382732434167682</v>
      </c>
      <c r="X48" s="494">
        <f>SUM(X50:X51)</f>
        <v>-1.660831092</v>
      </c>
      <c r="Y48" s="494">
        <f>SUM(Y50:Y51)</f>
        <v>10.2508280562</v>
      </c>
      <c r="Z48" s="494"/>
      <c r="AA48" s="494"/>
      <c r="AB48" s="494"/>
      <c r="AC48" s="576">
        <f>U48+T48+V48+W48+X48+Y48+Z48+AA48+AB48</f>
        <v>-40.534574817842973</v>
      </c>
      <c r="AD48" s="515"/>
      <c r="AE48" s="552"/>
      <c r="AF48" s="552"/>
      <c r="AG48" s="552"/>
      <c r="AH48" s="583">
        <f>AE48+AF48+AG48</f>
        <v>0</v>
      </c>
      <c r="AI48" s="583"/>
      <c r="AJ48" s="552"/>
      <c r="AK48" s="552"/>
      <c r="AL48" s="552"/>
      <c r="AM48" s="552"/>
      <c r="AN48" s="552"/>
      <c r="AO48" s="552"/>
      <c r="AP48" s="552"/>
      <c r="AQ48" s="552"/>
      <c r="AR48" s="583">
        <f t="shared" si="9"/>
        <v>0</v>
      </c>
      <c r="AS48" s="552"/>
      <c r="AT48" s="552"/>
      <c r="AU48" s="552"/>
      <c r="AV48" s="583">
        <f t="shared" si="1"/>
        <v>0</v>
      </c>
      <c r="AW48" s="591">
        <f t="shared" si="2"/>
        <v>0</v>
      </c>
      <c r="AX48" s="515"/>
      <c r="AY48" s="546">
        <f>SUM(AY50:AY51)</f>
        <v>31.94504063119583</v>
      </c>
      <c r="AZ48" s="546">
        <f>SUM(AZ50:AZ51)</f>
        <v>2.0705885090200002</v>
      </c>
      <c r="BA48" s="598">
        <f t="shared" si="3"/>
        <v>34.015629140215829</v>
      </c>
      <c r="BB48" s="546"/>
      <c r="BC48" s="546"/>
      <c r="BD48" s="546"/>
      <c r="BE48" s="598">
        <f t="shared" si="25"/>
        <v>0</v>
      </c>
      <c r="BF48" s="605">
        <f t="shared" si="4"/>
        <v>34.015629140215829</v>
      </c>
      <c r="BG48" s="515"/>
      <c r="BH48" s="515">
        <f t="shared" si="24"/>
        <v>0</v>
      </c>
      <c r="BI48" s="515"/>
      <c r="BJ48" s="741"/>
      <c r="BK48" s="698">
        <f>-($AE48+$V48)*EF.IndustrialCoal.CO2</f>
        <v>14.231914051437869</v>
      </c>
      <c r="BL48" s="698">
        <f t="shared" si="6"/>
        <v>0.60956831085419205</v>
      </c>
      <c r="BM48" s="698">
        <f>-($AG48+$X48)*EF.NaturalGas.CO2</f>
        <v>0.30559292092799994</v>
      </c>
      <c r="BN48" s="698">
        <f>-$Y48*EF.BlastFurnaceGas.CO2</f>
        <v>-8.0450815201685284</v>
      </c>
      <c r="BO48" s="729">
        <f t="shared" si="11"/>
        <v>7.1019937630515315</v>
      </c>
      <c r="BP48" s="698">
        <f>-($AE48+$V48)*EF.IndustrialCoal.CH4</f>
        <v>4.1808220408391682E-2</v>
      </c>
      <c r="BQ48" s="698">
        <f t="shared" si="7"/>
        <v>7.589101405894586E-4</v>
      </c>
      <c r="BR48" s="698">
        <f>-($AG48+$X48)*EF.NaturalGas.CH4</f>
        <v>6.125566425653578E-4</v>
      </c>
      <c r="BS48" s="699" t="s">
        <v>651</v>
      </c>
      <c r="BT48" s="729">
        <f t="shared" si="12"/>
        <v>4.3179687191546495E-2</v>
      </c>
      <c r="BU48" s="698">
        <f>-($AE48+$V48)*EF.IndustrialCoal.N2O</f>
        <v>0.12607360185660182</v>
      </c>
      <c r="BV48" s="698">
        <f t="shared" si="8"/>
        <v>1.0967382972982284E-2</v>
      </c>
      <c r="BW48" s="698">
        <f>-($AG48+$X48)*EF.NaturalGas.N2O</f>
        <v>6.5883444945879404E-4</v>
      </c>
      <c r="BX48" s="699" t="s">
        <v>651</v>
      </c>
      <c r="BY48" s="729">
        <f t="shared" si="13"/>
        <v>0.1376998192790429</v>
      </c>
      <c r="BZ48" s="729"/>
      <c r="CA48" s="730">
        <f t="shared" si="14"/>
        <v>7.2828732695221214</v>
      </c>
    </row>
    <row r="49" spans="2:79" s="734" customFormat="1" ht="10.5" hidden="1" customHeight="1" outlineLevel="2">
      <c r="C49" s="750"/>
      <c r="D49" s="528"/>
      <c r="E49" s="528" t="s">
        <v>416</v>
      </c>
      <c r="F49" s="525"/>
      <c r="G49" s="526"/>
      <c r="H49" s="526"/>
      <c r="I49" s="536"/>
      <c r="J49" s="536"/>
      <c r="K49" s="536"/>
      <c r="L49" s="542"/>
      <c r="M49" s="564"/>
      <c r="N49" s="542"/>
      <c r="O49" s="542"/>
      <c r="P49" s="536"/>
      <c r="Q49" s="536"/>
      <c r="R49" s="571">
        <f t="shared" si="0"/>
        <v>0</v>
      </c>
      <c r="S49" s="527"/>
      <c r="T49" s="558"/>
      <c r="U49" s="558"/>
      <c r="V49" s="558"/>
      <c r="W49" s="558"/>
      <c r="X49" s="558"/>
      <c r="Y49" s="558"/>
      <c r="Z49" s="558"/>
      <c r="AA49" s="558"/>
      <c r="AB49" s="558"/>
      <c r="AC49" s="578"/>
      <c r="AD49" s="527"/>
      <c r="AE49" s="554"/>
      <c r="AF49" s="554"/>
      <c r="AG49" s="554"/>
      <c r="AH49" s="585"/>
      <c r="AI49" s="585"/>
      <c r="AJ49" s="554"/>
      <c r="AK49" s="554"/>
      <c r="AL49" s="554"/>
      <c r="AM49" s="554"/>
      <c r="AN49" s="554"/>
      <c r="AO49" s="554"/>
      <c r="AP49" s="554"/>
      <c r="AQ49" s="554"/>
      <c r="AR49" s="585"/>
      <c r="AS49" s="554"/>
      <c r="AT49" s="554"/>
      <c r="AU49" s="554"/>
      <c r="AV49" s="585">
        <f t="shared" si="1"/>
        <v>0</v>
      </c>
      <c r="AW49" s="593">
        <f t="shared" si="2"/>
        <v>0</v>
      </c>
      <c r="AX49" s="527"/>
      <c r="AY49" s="548"/>
      <c r="AZ49" s="548"/>
      <c r="BA49" s="600">
        <f t="shared" si="3"/>
        <v>0</v>
      </c>
      <c r="BB49" s="548"/>
      <c r="BC49" s="548"/>
      <c r="BD49" s="548"/>
      <c r="BE49" s="600">
        <f t="shared" si="25"/>
        <v>0</v>
      </c>
      <c r="BF49" s="607">
        <f t="shared" si="4"/>
        <v>0</v>
      </c>
      <c r="BG49" s="527"/>
      <c r="BH49" s="527">
        <f t="shared" si="24"/>
        <v>0</v>
      </c>
      <c r="BI49" s="527"/>
      <c r="BJ49" s="741"/>
      <c r="BK49" s="735"/>
      <c r="BL49" s="735">
        <f t="shared" si="6"/>
        <v>0</v>
      </c>
      <c r="BM49" s="735"/>
      <c r="BN49" s="735"/>
      <c r="BO49" s="736"/>
      <c r="BP49" s="735"/>
      <c r="BQ49" s="735">
        <f t="shared" si="7"/>
        <v>0</v>
      </c>
      <c r="BR49" s="735"/>
      <c r="BS49" s="737"/>
      <c r="BT49" s="736"/>
      <c r="BU49" s="735"/>
      <c r="BV49" s="735">
        <f t="shared" si="8"/>
        <v>0</v>
      </c>
      <c r="BW49" s="735"/>
      <c r="BX49" s="737"/>
      <c r="BY49" s="736"/>
      <c r="BZ49" s="736"/>
      <c r="CA49" s="738"/>
    </row>
    <row r="50" spans="2:79" s="734" customFormat="1" ht="10.5" hidden="1" customHeight="1" outlineLevel="2">
      <c r="C50" s="750"/>
      <c r="D50" s="528"/>
      <c r="E50" s="528" t="s">
        <v>158</v>
      </c>
      <c r="F50" s="510" t="str">
        <f>$C$142</f>
        <v>[4]</v>
      </c>
      <c r="G50" s="526" t="s">
        <v>447</v>
      </c>
      <c r="H50" s="526"/>
      <c r="I50" s="536"/>
      <c r="J50" s="536"/>
      <c r="K50" s="536"/>
      <c r="L50" s="542"/>
      <c r="M50" s="564"/>
      <c r="N50" s="542"/>
      <c r="O50" s="542"/>
      <c r="P50" s="536">
        <f>L50+M50+N50+O50</f>
        <v>0</v>
      </c>
      <c r="Q50" s="536"/>
      <c r="R50" s="571">
        <f t="shared" si="0"/>
        <v>0</v>
      </c>
      <c r="S50" s="527"/>
      <c r="T50" s="558"/>
      <c r="U50" s="558"/>
      <c r="V50" s="558">
        <f>(-'DUKES 09 (2.5)'!$B$25*1000000*Constants.GCV.Coke)+(-'DUKES 09 (2.5)'!$C$25*1000000*Constants.GCV.CokeBreeze)+('DUKES 09 (1.2)'!$B$22*Unit.ktoe)</f>
        <v>-46.207513154019061</v>
      </c>
      <c r="W50" s="558">
        <f>'DUKES 09 (1.2)'!$E$22*Unit.ktoe</f>
        <v>-2.4382732434167682</v>
      </c>
      <c r="X50" s="558"/>
      <c r="Y50" s="558">
        <f>('DUKES 09 (2.5)'!$I$8-'DUKES 09 (2.5)'!$I$38)*Unit.GWh</f>
        <v>14.63015725722</v>
      </c>
      <c r="Z50" s="558"/>
      <c r="AA50" s="558"/>
      <c r="AB50" s="558"/>
      <c r="AC50" s="578">
        <f>U50+T50+V50+W50+X50+Y50+Z50+AA50+AB50</f>
        <v>-34.015629140215829</v>
      </c>
      <c r="AD50" s="527"/>
      <c r="AE50" s="554"/>
      <c r="AF50" s="554"/>
      <c r="AG50" s="554"/>
      <c r="AH50" s="585">
        <f>AE50+AF50+AG50</f>
        <v>0</v>
      </c>
      <c r="AI50" s="585"/>
      <c r="AJ50" s="554"/>
      <c r="AK50" s="554"/>
      <c r="AL50" s="554"/>
      <c r="AM50" s="554"/>
      <c r="AN50" s="554"/>
      <c r="AO50" s="554"/>
      <c r="AP50" s="554"/>
      <c r="AQ50" s="554"/>
      <c r="AR50" s="585">
        <f t="shared" si="9"/>
        <v>0</v>
      </c>
      <c r="AS50" s="554"/>
      <c r="AT50" s="554"/>
      <c r="AU50" s="554"/>
      <c r="AV50" s="585">
        <f t="shared" si="1"/>
        <v>0</v>
      </c>
      <c r="AW50" s="593">
        <f t="shared" si="2"/>
        <v>0</v>
      </c>
      <c r="AX50" s="527"/>
      <c r="AY50" s="548">
        <f>-$AC50-$AW50-$AZ50</f>
        <v>31.94504063119583</v>
      </c>
      <c r="AZ50" s="548">
        <f>'DUKES 09 (2.5)'!$I$38*Unit.GWh</f>
        <v>2.0705885090200002</v>
      </c>
      <c r="BA50" s="600">
        <f t="shared" si="3"/>
        <v>34.015629140215829</v>
      </c>
      <c r="BB50" s="548"/>
      <c r="BC50" s="548"/>
      <c r="BD50" s="548"/>
      <c r="BE50" s="600">
        <f t="shared" si="25"/>
        <v>0</v>
      </c>
      <c r="BF50" s="607">
        <f t="shared" si="4"/>
        <v>34.015629140215829</v>
      </c>
      <c r="BG50" s="527"/>
      <c r="BH50" s="527">
        <f t="shared" si="24"/>
        <v>0</v>
      </c>
      <c r="BI50" s="527"/>
      <c r="BJ50" s="741"/>
      <c r="BK50" s="735">
        <f>-($AE50+$V50)*EF.IndustrialCoal.CO2</f>
        <v>14.231914051437869</v>
      </c>
      <c r="BL50" s="735">
        <f t="shared" si="6"/>
        <v>0.60956831085419205</v>
      </c>
      <c r="BM50" s="735">
        <f>-($AG50+$X50)*EF.NaturalGas.CO2</f>
        <v>0</v>
      </c>
      <c r="BN50" s="735">
        <f>-$Y50*EF.BlastFurnaceGas.CO2</f>
        <v>-11.482078046956531</v>
      </c>
      <c r="BO50" s="736">
        <f t="shared" si="11"/>
        <v>3.3594043153355297</v>
      </c>
      <c r="BP50" s="735">
        <f>-($AE50+$V50)*EF.IndustrialCoal.CH4</f>
        <v>4.1808220408391682E-2</v>
      </c>
      <c r="BQ50" s="735">
        <f t="shared" si="7"/>
        <v>7.589101405894586E-4</v>
      </c>
      <c r="BR50" s="735">
        <f>-($AG50+$X50)*EF.NaturalGas.CH4</f>
        <v>0</v>
      </c>
      <c r="BS50" s="737" t="s">
        <v>651</v>
      </c>
      <c r="BT50" s="736">
        <f t="shared" si="12"/>
        <v>4.256713054898114E-2</v>
      </c>
      <c r="BU50" s="735">
        <f>-($AE50+$V50)*EF.IndustrialCoal.N2O</f>
        <v>0.12607360185660182</v>
      </c>
      <c r="BV50" s="735">
        <f t="shared" si="8"/>
        <v>1.0967382972982284E-2</v>
      </c>
      <c r="BW50" s="735">
        <f>-($AG50+$X50)*EF.NaturalGas.N2O</f>
        <v>0</v>
      </c>
      <c r="BX50" s="737" t="s">
        <v>651</v>
      </c>
      <c r="BY50" s="736">
        <f t="shared" si="13"/>
        <v>0.1370409848295841</v>
      </c>
      <c r="BZ50" s="736"/>
      <c r="CA50" s="738">
        <f t="shared" si="14"/>
        <v>3.5390124307140947</v>
      </c>
    </row>
    <row r="51" spans="2:79" s="734" customFormat="1" ht="10.5" hidden="1" customHeight="1" outlineLevel="2">
      <c r="C51" s="750"/>
      <c r="D51" s="528"/>
      <c r="E51" s="528" t="s">
        <v>165</v>
      </c>
      <c r="F51" s="525"/>
      <c r="G51" s="526" t="s">
        <v>448</v>
      </c>
      <c r="H51" s="526"/>
      <c r="I51" s="536"/>
      <c r="J51" s="536"/>
      <c r="K51" s="536">
        <f>-$AC51-$AW51</f>
        <v>6.5189456776271442</v>
      </c>
      <c r="L51" s="542"/>
      <c r="M51" s="564"/>
      <c r="N51" s="542"/>
      <c r="O51" s="542"/>
      <c r="P51" s="536">
        <f>L51+M51+N51+O51</f>
        <v>0</v>
      </c>
      <c r="Q51" s="536"/>
      <c r="R51" s="571">
        <f t="shared" si="0"/>
        <v>6.5189456776271442</v>
      </c>
      <c r="S51" s="527"/>
      <c r="T51" s="558">
        <f>-'DUKES 09 (1.2)'!$I$31*Unit.ktoe</f>
        <v>-0.47878538460714365</v>
      </c>
      <c r="U51" s="558"/>
      <c r="V51" s="558"/>
      <c r="W51" s="558"/>
      <c r="X51" s="558">
        <f>-'DUKES 09 (2.5)'!$H$34*Unit.GWh-'DUKES 09 (1.2)'!$F$31*Unit.ktoe</f>
        <v>-1.660831092</v>
      </c>
      <c r="Y51" s="558">
        <f>-'DUKES 09 (2.5)'!$I$34*Unit.GWh</f>
        <v>-4.37932920102</v>
      </c>
      <c r="Z51" s="558"/>
      <c r="AA51" s="558"/>
      <c r="AB51" s="558"/>
      <c r="AC51" s="578">
        <f>U51+T51+V51+W51+X51+Y51+Z51+AA51+AB51</f>
        <v>-6.5189456776271442</v>
      </c>
      <c r="AD51" s="527"/>
      <c r="AE51" s="554"/>
      <c r="AF51" s="554"/>
      <c r="AG51" s="554"/>
      <c r="AH51" s="585">
        <f>AE51+AF51+AG51</f>
        <v>0</v>
      </c>
      <c r="AI51" s="585"/>
      <c r="AJ51" s="554"/>
      <c r="AK51" s="554"/>
      <c r="AL51" s="554"/>
      <c r="AM51" s="554"/>
      <c r="AN51" s="554"/>
      <c r="AO51" s="554"/>
      <c r="AP51" s="554"/>
      <c r="AQ51" s="554"/>
      <c r="AR51" s="585">
        <f t="shared" si="9"/>
        <v>0</v>
      </c>
      <c r="AS51" s="554"/>
      <c r="AT51" s="554"/>
      <c r="AU51" s="554"/>
      <c r="AV51" s="585">
        <f t="shared" si="1"/>
        <v>0</v>
      </c>
      <c r="AW51" s="593">
        <f t="shared" si="2"/>
        <v>0</v>
      </c>
      <c r="AX51" s="527"/>
      <c r="AY51" s="548"/>
      <c r="AZ51" s="548"/>
      <c r="BA51" s="600">
        <f t="shared" si="3"/>
        <v>0</v>
      </c>
      <c r="BB51" s="548"/>
      <c r="BC51" s="548"/>
      <c r="BD51" s="548"/>
      <c r="BE51" s="600">
        <f t="shared" si="25"/>
        <v>0</v>
      </c>
      <c r="BF51" s="607">
        <f t="shared" si="4"/>
        <v>0</v>
      </c>
      <c r="BG51" s="527"/>
      <c r="BH51" s="527">
        <f t="shared" si="24"/>
        <v>0</v>
      </c>
      <c r="BI51" s="527"/>
      <c r="BJ51" s="741"/>
      <c r="BK51" s="735">
        <f>-($AE51+$V51)*EF.IndustrialCoal.CO2</f>
        <v>0</v>
      </c>
      <c r="BL51" s="735">
        <f t="shared" si="6"/>
        <v>0</v>
      </c>
      <c r="BM51" s="735">
        <f>-($AG51+$X51)*EF.NaturalGas.CO2</f>
        <v>0.30559292092799994</v>
      </c>
      <c r="BN51" s="735">
        <f>-$Y51*EF.BlastFurnaceGas.CO2</f>
        <v>3.4369965267880023</v>
      </c>
      <c r="BO51" s="736">
        <f t="shared" si="11"/>
        <v>3.7425894477160022</v>
      </c>
      <c r="BP51" s="735">
        <f>-($AE51+$V51)*EF.IndustrialCoal.CH4</f>
        <v>0</v>
      </c>
      <c r="BQ51" s="735">
        <f t="shared" si="7"/>
        <v>0</v>
      </c>
      <c r="BR51" s="735">
        <f>-($AG51+$X51)*EF.NaturalGas.CH4</f>
        <v>6.125566425653578E-4</v>
      </c>
      <c r="BS51" s="737" t="s">
        <v>651</v>
      </c>
      <c r="BT51" s="736">
        <f t="shared" si="12"/>
        <v>6.125566425653578E-4</v>
      </c>
      <c r="BU51" s="735">
        <f>-($AE51+$V51)*EF.IndustrialCoal.N2O</f>
        <v>0</v>
      </c>
      <c r="BV51" s="735">
        <f t="shared" si="8"/>
        <v>0</v>
      </c>
      <c r="BW51" s="735">
        <f>-($AG51+$X51)*EF.NaturalGas.N2O</f>
        <v>6.5883444945879404E-4</v>
      </c>
      <c r="BX51" s="737" t="s">
        <v>651</v>
      </c>
      <c r="BY51" s="736">
        <f t="shared" si="13"/>
        <v>6.5883444945879404E-4</v>
      </c>
      <c r="BZ51" s="736"/>
      <c r="CA51" s="738">
        <f t="shared" si="14"/>
        <v>3.7438608388080263</v>
      </c>
    </row>
    <row r="52" spans="2:79" s="24" customFormat="1" ht="12.75" hidden="1" customHeight="1" outlineLevel="1">
      <c r="C52" s="751"/>
      <c r="D52" s="512" t="s">
        <v>597</v>
      </c>
      <c r="E52" s="512"/>
      <c r="F52" s="525" t="str">
        <f>$C$163</f>
        <v>[13]</v>
      </c>
      <c r="G52" s="513" t="s">
        <v>818</v>
      </c>
      <c r="H52" s="513"/>
      <c r="I52" s="534"/>
      <c r="J52" s="534"/>
      <c r="K52" s="534"/>
      <c r="L52" s="540"/>
      <c r="M52" s="562"/>
      <c r="N52" s="540"/>
      <c r="O52" s="540"/>
      <c r="P52" s="534">
        <f>L52+M52+N52+O52</f>
        <v>0</v>
      </c>
      <c r="Q52" s="534"/>
      <c r="R52" s="569">
        <f t="shared" si="0"/>
        <v>0</v>
      </c>
      <c r="S52" s="515"/>
      <c r="T52" s="494"/>
      <c r="U52" s="494"/>
      <c r="V52" s="494">
        <f>'DUKES 09 (1.2)'!$B$19*Unit.ktoe</f>
        <v>-3.3270032927989854</v>
      </c>
      <c r="W52" s="494">
        <f>'DUKES 09 (1.2)'!$E$19*Unit.ktoe</f>
        <v>-0.69724933371891418</v>
      </c>
      <c r="X52" s="494">
        <f>'DUKES 09 (1.2)'!$F$19*Unit.ktoe-'DUKES 09 (2.5)'!$H$22*Unit.GWh</f>
        <v>-22.326946044458992</v>
      </c>
      <c r="Y52" s="494">
        <f>-'DUKES 09 (2.5)'!$I$22*Unit.GWh</f>
        <v>-0.17926499999999998</v>
      </c>
      <c r="Z52" s="494">
        <f>'DUKES 09 (1.2)'!$J$19*Unit.ktoe</f>
        <v>13.904104654239129</v>
      </c>
      <c r="AA52" s="494"/>
      <c r="AB52" s="494"/>
      <c r="AC52" s="576">
        <f>U52+T52+V52+W52+X52+Y52+Z52+AA52+AB52</f>
        <v>-12.626359016737764</v>
      </c>
      <c r="AD52" s="515"/>
      <c r="AE52" s="552"/>
      <c r="AF52" s="552"/>
      <c r="AG52" s="559"/>
      <c r="AH52" s="583">
        <f>AE52+AF52+AG52</f>
        <v>0</v>
      </c>
      <c r="AI52" s="583"/>
      <c r="AJ52" s="559"/>
      <c r="AK52" s="559"/>
      <c r="AL52" s="552"/>
      <c r="AM52" s="552"/>
      <c r="AN52" s="552"/>
      <c r="AO52" s="559"/>
      <c r="AP52" s="552"/>
      <c r="AQ52" s="552"/>
      <c r="AR52" s="583">
        <f t="shared" si="9"/>
        <v>0</v>
      </c>
      <c r="AS52" s="559"/>
      <c r="AT52" s="552"/>
      <c r="AU52" s="559"/>
      <c r="AV52" s="586">
        <f t="shared" si="1"/>
        <v>0</v>
      </c>
      <c r="AW52" s="594">
        <f t="shared" si="2"/>
        <v>0</v>
      </c>
      <c r="AX52" s="529"/>
      <c r="AY52" s="572">
        <f>-$AC52-$AW52</f>
        <v>12.626359016737764</v>
      </c>
      <c r="AZ52" s="546"/>
      <c r="BA52" s="598">
        <f t="shared" si="3"/>
        <v>12.626359016737764</v>
      </c>
      <c r="BB52" s="546"/>
      <c r="BC52" s="546"/>
      <c r="BD52" s="546"/>
      <c r="BE52" s="598">
        <f t="shared" si="25"/>
        <v>0</v>
      </c>
      <c r="BF52" s="605">
        <f t="shared" si="4"/>
        <v>12.626359016737764</v>
      </c>
      <c r="BG52" s="515"/>
      <c r="BH52" s="515">
        <f t="shared" si="24"/>
        <v>0</v>
      </c>
      <c r="BI52" s="515"/>
      <c r="BJ52" s="741"/>
      <c r="BK52" s="698">
        <f>-($AE52+$V52)*EF.IndustrialCoal.CO2</f>
        <v>1.0247170141820874</v>
      </c>
      <c r="BL52" s="698">
        <f t="shared" si="6"/>
        <v>0.17431233342972854</v>
      </c>
      <c r="BM52" s="698">
        <f>-($AG52+$X52)*EF.NaturalGas.CO2</f>
        <v>4.108158072180454</v>
      </c>
      <c r="BN52" s="698">
        <f>-$Y52*EF.BlastFurnaceGas.CO2</f>
        <v>0.14069122326568784</v>
      </c>
      <c r="BO52" s="729">
        <f t="shared" si="11"/>
        <v>5.4478786430579582</v>
      </c>
      <c r="BP52" s="698">
        <f>-($AE52+$V52)*EF.IndustrialCoal.CH4</f>
        <v>3.0102482793468942E-3</v>
      </c>
      <c r="BQ52" s="698">
        <f t="shared" si="7"/>
        <v>2.1701816697829431E-4</v>
      </c>
      <c r="BR52" s="698">
        <f>-($AG52+$X52)*EF.NaturalGas.CH4</f>
        <v>8.2347441432242263E-3</v>
      </c>
      <c r="BS52" s="699" t="s">
        <v>651</v>
      </c>
      <c r="BT52" s="729">
        <f t="shared" si="12"/>
        <v>1.1462010589549414E-2</v>
      </c>
      <c r="BU52" s="698">
        <f>-($AE52+$V52)*EF.IndustrialCoal.N2O</f>
        <v>9.0774694390896825E-3</v>
      </c>
      <c r="BV52" s="698">
        <f t="shared" si="8"/>
        <v>3.1362360601702994E-3</v>
      </c>
      <c r="BW52" s="698">
        <f>-($AG52+$X52)*EF.NaturalGas.N2O</f>
        <v>8.8568676707416437E-3</v>
      </c>
      <c r="BX52" s="699" t="s">
        <v>651</v>
      </c>
      <c r="BY52" s="729">
        <f t="shared" si="13"/>
        <v>2.1070573170001626E-2</v>
      </c>
      <c r="BZ52" s="729"/>
      <c r="CA52" s="730">
        <f t="shared" si="14"/>
        <v>5.4804112268175098</v>
      </c>
    </row>
    <row r="53" spans="2:79" s="24" customFormat="1" ht="12.75" hidden="1" customHeight="1" outlineLevel="1">
      <c r="C53" s="751"/>
      <c r="D53" s="512" t="s">
        <v>125</v>
      </c>
      <c r="E53" s="512"/>
      <c r="F53" s="510" t="str">
        <f>$C$146</f>
        <v>[5]</v>
      </c>
      <c r="G53" s="513" t="s">
        <v>445</v>
      </c>
      <c r="H53" s="513"/>
      <c r="I53" s="534"/>
      <c r="J53" s="534"/>
      <c r="K53" s="534"/>
      <c r="L53" s="540"/>
      <c r="M53" s="562"/>
      <c r="N53" s="540"/>
      <c r="O53" s="540"/>
      <c r="P53" s="534">
        <f>L53+M53+N53+O53</f>
        <v>0</v>
      </c>
      <c r="Q53" s="534"/>
      <c r="R53" s="569">
        <f t="shared" si="0"/>
        <v>0</v>
      </c>
      <c r="S53" s="515"/>
      <c r="T53" s="494"/>
      <c r="U53" s="494">
        <f>('DUKES 09 (5.1)'!$K$78+'DUKES 09 (5.1)'!$K$90)*Unit.GWh-'DUKES 09 (5.6)'!$M$254*Unit.GWh</f>
        <v>34.033592131949163</v>
      </c>
      <c r="V53" s="494">
        <f>'DUKES 09 (1.2)'!$B$18*Unit.ktoe</f>
        <v>-10.447897060423037</v>
      </c>
      <c r="W53" s="494">
        <f>'DUKES 09 (1.2)'!$E$18*Unit.ktoe</f>
        <v>-5.4213372134718112</v>
      </c>
      <c r="X53" s="494">
        <f>'DUKES 09 (1.2)'!$F$18*Unit.ktoe-'DUKES 09 (2.5)'!$H$21*Unit.GWh</f>
        <v>-34.996226999999998</v>
      </c>
      <c r="Y53" s="494">
        <f>-'DUKES 09 (2.5)'!$I$21*Unit.GWh</f>
        <v>-8.7914049999999992</v>
      </c>
      <c r="Z53" s="494"/>
      <c r="AA53" s="494"/>
      <c r="AB53" s="494"/>
      <c r="AC53" s="576">
        <f>U53+T53+V53+W53+X53+Y53+Z53+AA53+AB53</f>
        <v>-25.623274141945686</v>
      </c>
      <c r="AD53" s="515"/>
      <c r="AE53" s="552"/>
      <c r="AF53" s="552"/>
      <c r="AG53" s="552"/>
      <c r="AH53" s="583">
        <f>AE53+AF53+AG53</f>
        <v>0</v>
      </c>
      <c r="AI53" s="583"/>
      <c r="AJ53" s="559">
        <f>-'DUKES 09 (7.2)'!$K$21*Unit.ktoe</f>
        <v>-1.4000077700000002E-2</v>
      </c>
      <c r="AK53" s="559">
        <f>-'DUKES 09 (7.2)'!$M$21*Unit.ktoe</f>
        <v>-1.705027184782586</v>
      </c>
      <c r="AL53" s="552"/>
      <c r="AM53" s="552"/>
      <c r="AN53" s="552"/>
      <c r="AO53" s="559">
        <f>-'DUKES 09 (7.2)'!$L$21*Unit.ktoe</f>
        <v>-0.94481533000000006</v>
      </c>
      <c r="AP53" s="552"/>
      <c r="AQ53" s="552">
        <f>-'DUKES 09 (7.2)'!$E$21*Unit.ktoe</f>
        <v>-4.1138273605540494</v>
      </c>
      <c r="AR53" s="583">
        <f t="shared" si="9"/>
        <v>-6.7776699530366358</v>
      </c>
      <c r="AS53" s="559">
        <f>-('DUKES 09 (7.2)'!$J$21+'DUKES 09 (7.2)'!$D$21)*Unit.ktoe</f>
        <v>-9.352342240608424</v>
      </c>
      <c r="AT53" s="552"/>
      <c r="AU53" s="559">
        <f>-('DUKES 09 (7.2)'!$F$21+'DUKES 09 (7.2)'!$G$21)*Unit.ktoe</f>
        <v>-19.72945164381764</v>
      </c>
      <c r="AV53" s="586">
        <f t="shared" si="1"/>
        <v>-29.081793884426062</v>
      </c>
      <c r="AW53" s="594">
        <f t="shared" si="2"/>
        <v>-35.859463837462698</v>
      </c>
      <c r="AX53" s="529"/>
      <c r="AY53" s="572">
        <f>-$AC53-$AW53-$AZ53</f>
        <v>59.882765010357538</v>
      </c>
      <c r="AZ53" s="546">
        <f>'DUKES 09 (5.6)'!$M$254*Unit.GWh</f>
        <v>1.5999729690508488</v>
      </c>
      <c r="BA53" s="598">
        <f t="shared" si="3"/>
        <v>61.482737979408384</v>
      </c>
      <c r="BB53" s="546"/>
      <c r="BC53" s="546"/>
      <c r="BD53" s="546"/>
      <c r="BE53" s="598">
        <f t="shared" si="25"/>
        <v>0</v>
      </c>
      <c r="BF53" s="605">
        <f t="shared" si="4"/>
        <v>61.482737979408384</v>
      </c>
      <c r="BG53" s="515"/>
      <c r="BH53" s="515">
        <f t="shared" si="24"/>
        <v>0</v>
      </c>
      <c r="BI53" s="515"/>
      <c r="BJ53" s="741"/>
      <c r="BK53" s="698">
        <f>-($AE53+$V53)*EF.IndustrialCoal.CO2</f>
        <v>3.2179522946102948</v>
      </c>
      <c r="BL53" s="698">
        <f t="shared" si="6"/>
        <v>1.3553343033679528</v>
      </c>
      <c r="BM53" s="698">
        <f>-($AG53+$X53)*EF.NaturalGas.CO2</f>
        <v>6.4393057679999988</v>
      </c>
      <c r="BN53" s="698">
        <f>-$Y53*EF.BlastFurnaceGas.CO2</f>
        <v>6.8996933237056002</v>
      </c>
      <c r="BO53" s="729">
        <f t="shared" si="11"/>
        <v>17.912285689683848</v>
      </c>
      <c r="BP53" s="698">
        <f>-($AE53+$V53)*EF.IndustrialCoal.CH4</f>
        <v>9.4531809502576732E-3</v>
      </c>
      <c r="BQ53" s="698">
        <f t="shared" si="7"/>
        <v>1.6873858571705234E-3</v>
      </c>
      <c r="BR53" s="698">
        <f>-($AG53+$X53)*EF.NaturalGas.CH4</f>
        <v>1.2907496383488419E-2</v>
      </c>
      <c r="BS53" s="699" t="s">
        <v>651</v>
      </c>
      <c r="BT53" s="729">
        <f t="shared" si="12"/>
        <v>2.4048063190916617E-2</v>
      </c>
      <c r="BU53" s="698">
        <f>-($AE53+$V53)*EF.IndustrialCoal.N2O</f>
        <v>2.8506273640912568E-2</v>
      </c>
      <c r="BV53" s="698">
        <f t="shared" si="8"/>
        <v>2.4385241320413809E-2</v>
      </c>
      <c r="BW53" s="698">
        <f>-($AG53+$X53)*EF.NaturalGas.N2O</f>
        <v>1.3882639878155642E-2</v>
      </c>
      <c r="BX53" s="699" t="s">
        <v>651</v>
      </c>
      <c r="BY53" s="729">
        <f t="shared" si="13"/>
        <v>6.6774154839482028E-2</v>
      </c>
      <c r="BZ53" s="729"/>
      <c r="CA53" s="730">
        <f t="shared" si="14"/>
        <v>18.003107907714249</v>
      </c>
    </row>
    <row r="54" spans="2:79" s="24" customFormat="1" ht="12.75" hidden="1" customHeight="1" outlineLevel="1">
      <c r="C54" s="751"/>
      <c r="D54" s="512"/>
      <c r="E54" s="512"/>
      <c r="F54" s="510"/>
      <c r="G54" s="513"/>
      <c r="H54" s="513"/>
      <c r="I54" s="534"/>
      <c r="J54" s="534"/>
      <c r="K54" s="534"/>
      <c r="L54" s="540"/>
      <c r="M54" s="562"/>
      <c r="N54" s="540"/>
      <c r="O54" s="540"/>
      <c r="P54" s="534"/>
      <c r="Q54" s="534"/>
      <c r="R54" s="569"/>
      <c r="S54" s="515"/>
      <c r="T54" s="494"/>
      <c r="U54" s="494"/>
      <c r="V54" s="494"/>
      <c r="W54" s="494"/>
      <c r="X54" s="494"/>
      <c r="Y54" s="494"/>
      <c r="Z54" s="494"/>
      <c r="AA54" s="494"/>
      <c r="AB54" s="494"/>
      <c r="AC54" s="576"/>
      <c r="AD54" s="515"/>
      <c r="AE54" s="552"/>
      <c r="AF54" s="552"/>
      <c r="AG54" s="552"/>
      <c r="AH54" s="583"/>
      <c r="AI54" s="583"/>
      <c r="AJ54" s="552"/>
      <c r="AK54" s="552"/>
      <c r="AL54" s="552"/>
      <c r="AM54" s="552"/>
      <c r="AN54" s="552"/>
      <c r="AO54" s="552"/>
      <c r="AP54" s="552"/>
      <c r="AQ54" s="552"/>
      <c r="AR54" s="583"/>
      <c r="AS54" s="552"/>
      <c r="AT54" s="552"/>
      <c r="AU54" s="552"/>
      <c r="AV54" s="583"/>
      <c r="AW54" s="591"/>
      <c r="AX54" s="515"/>
      <c r="AY54" s="546"/>
      <c r="AZ54" s="546"/>
      <c r="BA54" s="598"/>
      <c r="BB54" s="546"/>
      <c r="BC54" s="546"/>
      <c r="BD54" s="546"/>
      <c r="BE54" s="598"/>
      <c r="BF54" s="605"/>
      <c r="BG54" s="515"/>
      <c r="BH54" s="515"/>
      <c r="BI54" s="515"/>
      <c r="BJ54" s="741"/>
      <c r="BK54" s="698"/>
      <c r="BL54" s="698">
        <f t="shared" si="6"/>
        <v>0</v>
      </c>
      <c r="BM54" s="698"/>
      <c r="BN54" s="698"/>
      <c r="BO54" s="729"/>
      <c r="BP54" s="698"/>
      <c r="BQ54" s="698">
        <f t="shared" si="7"/>
        <v>0</v>
      </c>
      <c r="BR54" s="698"/>
      <c r="BS54" s="699"/>
      <c r="BT54" s="729"/>
      <c r="BU54" s="698"/>
      <c r="BV54" s="698">
        <f t="shared" si="8"/>
        <v>0</v>
      </c>
      <c r="BW54" s="698"/>
      <c r="BX54" s="699"/>
      <c r="BY54" s="729"/>
      <c r="BZ54" s="729"/>
      <c r="CA54" s="730"/>
    </row>
    <row r="55" spans="2:79" s="24" customFormat="1" ht="15.75" collapsed="1">
      <c r="B55" s="3"/>
      <c r="C55" s="744" t="s">
        <v>679</v>
      </c>
      <c r="D55" s="517" t="str">
        <f>INDEX(Workstreams[Workstream], MATCH($C55, Workstreams[Code], 0))</f>
        <v>Transport</v>
      </c>
      <c r="E55" s="512"/>
      <c r="F55" s="510"/>
      <c r="G55" s="513"/>
      <c r="H55" s="513"/>
      <c r="I55" s="534"/>
      <c r="J55" s="534"/>
      <c r="K55" s="534"/>
      <c r="L55" s="540">
        <f>L56+L60+L61+L62</f>
        <v>502.50552967076953</v>
      </c>
      <c r="M55" s="540">
        <f>M56+M60+M61+M62</f>
        <v>16.246998166435951</v>
      </c>
      <c r="N55" s="540">
        <f>N56+N60+N61+N62</f>
        <v>161.72636929234235</v>
      </c>
      <c r="O55" s="540">
        <f>O56+O60+O61+O62</f>
        <v>48.041663833596701</v>
      </c>
      <c r="P55" s="534">
        <f>L55+M55+N55+O55</f>
        <v>728.52056096314448</v>
      </c>
      <c r="Q55" s="534"/>
      <c r="R55" s="569">
        <f t="shared" si="0"/>
        <v>728.52056096314448</v>
      </c>
      <c r="S55" s="515"/>
      <c r="T55" s="494">
        <f>T56+T60+T61+T62</f>
        <v>-8.1002794197444299</v>
      </c>
      <c r="U55" s="494"/>
      <c r="V55" s="494"/>
      <c r="W55" s="494">
        <f>W56+W60+W61+W62</f>
        <v>-720.42028154340005</v>
      </c>
      <c r="X55" s="494"/>
      <c r="Y55" s="494"/>
      <c r="Z55" s="494"/>
      <c r="AA55" s="494"/>
      <c r="AB55" s="494"/>
      <c r="AC55" s="576">
        <f>U55+T55+V55+W55+X55+Y55+Z55+AA55+AB55</f>
        <v>-728.52056096314448</v>
      </c>
      <c r="AD55" s="515"/>
      <c r="AE55" s="552"/>
      <c r="AF55" s="552"/>
      <c r="AG55" s="552"/>
      <c r="AH55" s="583">
        <f>AE55+AF55+AG55</f>
        <v>0</v>
      </c>
      <c r="AI55" s="583"/>
      <c r="AJ55" s="552"/>
      <c r="AK55" s="552"/>
      <c r="AL55" s="552"/>
      <c r="AM55" s="552"/>
      <c r="AN55" s="552"/>
      <c r="AO55" s="552"/>
      <c r="AP55" s="552"/>
      <c r="AQ55" s="552"/>
      <c r="AR55" s="583">
        <f t="shared" si="9"/>
        <v>0</v>
      </c>
      <c r="AS55" s="552"/>
      <c r="AT55" s="552"/>
      <c r="AU55" s="552"/>
      <c r="AV55" s="583">
        <f t="shared" si="1"/>
        <v>0</v>
      </c>
      <c r="AW55" s="591">
        <f t="shared" si="2"/>
        <v>0</v>
      </c>
      <c r="AX55" s="515"/>
      <c r="AY55" s="546"/>
      <c r="AZ55" s="546"/>
      <c r="BA55" s="598">
        <f t="shared" si="3"/>
        <v>0</v>
      </c>
      <c r="BB55" s="546"/>
      <c r="BC55" s="546"/>
      <c r="BD55" s="546"/>
      <c r="BE55" s="598">
        <f t="shared" ref="BE55:BE65" si="37">BB55+BC55+BD55</f>
        <v>0</v>
      </c>
      <c r="BF55" s="605">
        <f t="shared" si="4"/>
        <v>0</v>
      </c>
      <c r="BG55" s="515"/>
      <c r="BH55" s="515">
        <f t="shared" ref="BH55:BH65" si="38">R55+AC55+AW55+BF55</f>
        <v>0</v>
      </c>
      <c r="BI55" s="515"/>
      <c r="BJ55" s="517" t="str">
        <f>$D55</f>
        <v>Transport</v>
      </c>
      <c r="BK55" s="698">
        <f>-($AE55+$V55)*EF.IndustrialCoal.CO2</f>
        <v>0</v>
      </c>
      <c r="BL55" s="698">
        <f t="shared" si="6"/>
        <v>180.10507038585001</v>
      </c>
      <c r="BM55" s="698">
        <f>-($AG55+$X55)*EF.NaturalGas.CO2</f>
        <v>0</v>
      </c>
      <c r="BN55" s="698">
        <f>-$Y55*EF.BlastFurnaceGas.CO2</f>
        <v>0</v>
      </c>
      <c r="BO55" s="729">
        <f t="shared" si="11"/>
        <v>180.10507038585001</v>
      </c>
      <c r="BP55" s="698">
        <f>-($AE55+$V55)*EF.IndustrialCoal.CH4</f>
        <v>0</v>
      </c>
      <c r="BQ55" s="698">
        <f t="shared" si="7"/>
        <v>0.22423010162038148</v>
      </c>
      <c r="BR55" s="698">
        <f>-($AG55+$X55)*EF.NaturalGas.CH4</f>
        <v>0</v>
      </c>
      <c r="BS55" s="699" t="s">
        <v>651</v>
      </c>
      <c r="BT55" s="729">
        <f t="shared" si="12"/>
        <v>0.22423010162038148</v>
      </c>
      <c r="BU55" s="698">
        <f>-($AE55+$V55)*EF.IndustrialCoal.N2O</f>
        <v>0</v>
      </c>
      <c r="BV55" s="698">
        <f t="shared" si="8"/>
        <v>3.2404592678539554</v>
      </c>
      <c r="BW55" s="698">
        <f>-($AG55+$X55)*EF.NaturalGas.N2O</f>
        <v>0</v>
      </c>
      <c r="BX55" s="699" t="s">
        <v>651</v>
      </c>
      <c r="BY55" s="729">
        <f t="shared" si="13"/>
        <v>3.2404592678539554</v>
      </c>
      <c r="BZ55" s="729"/>
      <c r="CA55" s="730">
        <f t="shared" si="14"/>
        <v>183.56975975532436</v>
      </c>
    </row>
    <row r="56" spans="2:79" s="24" customFormat="1" ht="12.75" hidden="1" customHeight="1" outlineLevel="1">
      <c r="C56" s="749"/>
      <c r="D56" s="677" t="s">
        <v>184</v>
      </c>
      <c r="E56" s="677"/>
      <c r="F56" s="661" t="str">
        <f>$C$149</f>
        <v>[7]</v>
      </c>
      <c r="G56" s="662" t="s">
        <v>476</v>
      </c>
      <c r="H56" s="662"/>
      <c r="I56" s="663"/>
      <c r="J56" s="663"/>
      <c r="K56" s="663"/>
      <c r="L56" s="664"/>
      <c r="M56" s="665"/>
      <c r="N56" s="664">
        <f>-$AC56-$AW56</f>
        <v>161.72636929234235</v>
      </c>
      <c r="O56" s="664"/>
      <c r="P56" s="663">
        <f>L56+M56+N56+O56</f>
        <v>161.72636929234235</v>
      </c>
      <c r="Q56" s="663"/>
      <c r="R56" s="666">
        <f t="shared" si="0"/>
        <v>161.72636929234235</v>
      </c>
      <c r="S56" s="667"/>
      <c r="T56" s="668"/>
      <c r="U56" s="668"/>
      <c r="V56" s="668"/>
      <c r="W56" s="668">
        <f>-'DUKES 09 (1.2)'!$E$52*Unit.ktoe</f>
        <v>-161.72636929234235</v>
      </c>
      <c r="X56" s="668"/>
      <c r="Y56" s="668"/>
      <c r="Z56" s="668"/>
      <c r="AA56" s="668"/>
      <c r="AB56" s="668"/>
      <c r="AC56" s="669">
        <f>U56+T56+V56+W56+X56+Y56+Z56+AA56+AB56</f>
        <v>-161.72636929234235</v>
      </c>
      <c r="AD56" s="667"/>
      <c r="AE56" s="670"/>
      <c r="AF56" s="670"/>
      <c r="AG56" s="670"/>
      <c r="AH56" s="671">
        <f>AE56+AF56+AG56</f>
        <v>0</v>
      </c>
      <c r="AI56" s="671"/>
      <c r="AJ56" s="670"/>
      <c r="AK56" s="670"/>
      <c r="AL56" s="670"/>
      <c r="AM56" s="670"/>
      <c r="AN56" s="670"/>
      <c r="AO56" s="670"/>
      <c r="AP56" s="670"/>
      <c r="AQ56" s="670"/>
      <c r="AR56" s="671">
        <f t="shared" si="9"/>
        <v>0</v>
      </c>
      <c r="AS56" s="670"/>
      <c r="AT56" s="670"/>
      <c r="AU56" s="670"/>
      <c r="AV56" s="671">
        <f t="shared" si="1"/>
        <v>0</v>
      </c>
      <c r="AW56" s="672">
        <f t="shared" si="2"/>
        <v>0</v>
      </c>
      <c r="AX56" s="667"/>
      <c r="AY56" s="673"/>
      <c r="AZ56" s="673"/>
      <c r="BA56" s="674">
        <f t="shared" si="3"/>
        <v>0</v>
      </c>
      <c r="BB56" s="673"/>
      <c r="BC56" s="673"/>
      <c r="BD56" s="673"/>
      <c r="BE56" s="674">
        <f t="shared" si="37"/>
        <v>0</v>
      </c>
      <c r="BF56" s="675">
        <f t="shared" si="4"/>
        <v>0</v>
      </c>
      <c r="BG56" s="667"/>
      <c r="BH56" s="667">
        <f t="shared" si="38"/>
        <v>0</v>
      </c>
      <c r="BI56" s="515"/>
      <c r="BJ56" s="741"/>
      <c r="BK56" s="722">
        <f>-($AE56+$V56)*EF.IndustrialCoal.CO2</f>
        <v>0</v>
      </c>
      <c r="BL56" s="722">
        <f t="shared" si="6"/>
        <v>40.431592323085589</v>
      </c>
      <c r="BM56" s="722">
        <f>-($AG56+$X56)*EF.NaturalGas.CO2</f>
        <v>0</v>
      </c>
      <c r="BN56" s="722">
        <f>-$Y56*EF.BlastFurnaceGas.CO2</f>
        <v>0</v>
      </c>
      <c r="BO56" s="732">
        <f t="shared" si="11"/>
        <v>40.431592323085589</v>
      </c>
      <c r="BP56" s="722">
        <f>-($AE56+$V56)*EF.IndustrialCoal.CH4</f>
        <v>0</v>
      </c>
      <c r="BQ56" s="722">
        <f t="shared" si="7"/>
        <v>5.0337172828375784E-2</v>
      </c>
      <c r="BR56" s="722">
        <f>-($AG56+$X56)*EF.NaturalGas.CH4</f>
        <v>0</v>
      </c>
      <c r="BS56" s="724" t="s">
        <v>651</v>
      </c>
      <c r="BT56" s="732">
        <f t="shared" si="12"/>
        <v>5.0337172828375784E-2</v>
      </c>
      <c r="BU56" s="722">
        <f>-($AE56+$V56)*EF.IndustrialCoal.N2O</f>
        <v>0</v>
      </c>
      <c r="BV56" s="722">
        <f t="shared" si="8"/>
        <v>0.72744719388937817</v>
      </c>
      <c r="BW56" s="722">
        <f>-($AG56+$X56)*EF.NaturalGas.N2O</f>
        <v>0</v>
      </c>
      <c r="BX56" s="724" t="s">
        <v>651</v>
      </c>
      <c r="BY56" s="732">
        <f t="shared" si="13"/>
        <v>0.72744719388937817</v>
      </c>
      <c r="BZ56" s="732"/>
      <c r="CA56" s="733">
        <f t="shared" si="14"/>
        <v>41.209376689803342</v>
      </c>
    </row>
    <row r="57" spans="2:79" s="734" customFormat="1" ht="10.5" hidden="1" customHeight="1" outlineLevel="2">
      <c r="C57" s="750"/>
      <c r="D57" s="528"/>
      <c r="E57" s="528" t="s">
        <v>416</v>
      </c>
      <c r="F57" s="525"/>
      <c r="G57" s="526"/>
      <c r="H57" s="526"/>
      <c r="I57" s="536"/>
      <c r="J57" s="536"/>
      <c r="K57" s="536"/>
      <c r="L57" s="542"/>
      <c r="M57" s="564"/>
      <c r="N57" s="542"/>
      <c r="O57" s="542"/>
      <c r="P57" s="536"/>
      <c r="Q57" s="536"/>
      <c r="R57" s="571">
        <f t="shared" si="0"/>
        <v>0</v>
      </c>
      <c r="S57" s="527"/>
      <c r="T57" s="558"/>
      <c r="U57" s="558"/>
      <c r="V57" s="558"/>
      <c r="W57" s="558"/>
      <c r="X57" s="558"/>
      <c r="Y57" s="558"/>
      <c r="Z57" s="558"/>
      <c r="AA57" s="558"/>
      <c r="AB57" s="558"/>
      <c r="AC57" s="578"/>
      <c r="AD57" s="527"/>
      <c r="AE57" s="554"/>
      <c r="AF57" s="554"/>
      <c r="AG57" s="554"/>
      <c r="AH57" s="585"/>
      <c r="AI57" s="585"/>
      <c r="AJ57" s="554"/>
      <c r="AK57" s="554"/>
      <c r="AL57" s="554"/>
      <c r="AM57" s="554"/>
      <c r="AN57" s="554"/>
      <c r="AO57" s="554"/>
      <c r="AP57" s="554"/>
      <c r="AQ57" s="554"/>
      <c r="AR57" s="585"/>
      <c r="AS57" s="554"/>
      <c r="AT57" s="554"/>
      <c r="AU57" s="554"/>
      <c r="AV57" s="585">
        <f t="shared" si="1"/>
        <v>0</v>
      </c>
      <c r="AW57" s="593">
        <f t="shared" si="2"/>
        <v>0</v>
      </c>
      <c r="AX57" s="527"/>
      <c r="AY57" s="548"/>
      <c r="AZ57" s="548"/>
      <c r="BA57" s="600">
        <f t="shared" si="3"/>
        <v>0</v>
      </c>
      <c r="BB57" s="548"/>
      <c r="BC57" s="548"/>
      <c r="BD57" s="548"/>
      <c r="BE57" s="600">
        <f t="shared" si="37"/>
        <v>0</v>
      </c>
      <c r="BF57" s="607">
        <f t="shared" si="4"/>
        <v>0</v>
      </c>
      <c r="BG57" s="527"/>
      <c r="BH57" s="527">
        <f t="shared" si="38"/>
        <v>0</v>
      </c>
      <c r="BI57" s="527"/>
      <c r="BJ57" s="741"/>
      <c r="BK57" s="735"/>
      <c r="BL57" s="735">
        <f t="shared" si="6"/>
        <v>0</v>
      </c>
      <c r="BM57" s="735"/>
      <c r="BN57" s="735"/>
      <c r="BO57" s="736"/>
      <c r="BP57" s="735"/>
      <c r="BQ57" s="735">
        <f t="shared" si="7"/>
        <v>0</v>
      </c>
      <c r="BR57" s="735"/>
      <c r="BS57" s="737"/>
      <c r="BT57" s="736"/>
      <c r="BU57" s="735"/>
      <c r="BV57" s="735">
        <f t="shared" si="8"/>
        <v>0</v>
      </c>
      <c r="BW57" s="735"/>
      <c r="BX57" s="737"/>
      <c r="BY57" s="736"/>
      <c r="BZ57" s="736"/>
      <c r="CA57" s="738"/>
    </row>
    <row r="58" spans="2:79" s="734" customFormat="1" ht="10.5" hidden="1" customHeight="1" outlineLevel="2">
      <c r="C58" s="750"/>
      <c r="D58" s="528"/>
      <c r="E58" s="528" t="s">
        <v>41</v>
      </c>
      <c r="F58" s="525"/>
      <c r="G58" s="526"/>
      <c r="H58" s="526"/>
      <c r="I58" s="536"/>
      <c r="J58" s="536"/>
      <c r="K58" s="536"/>
      <c r="L58" s="542"/>
      <c r="M58" s="564"/>
      <c r="N58" s="542">
        <f>-$AC58-$AW58</f>
        <v>8.7346938775510203</v>
      </c>
      <c r="O58" s="542"/>
      <c r="P58" s="536">
        <f>L58+M58+N58+O58</f>
        <v>8.7346938775510203</v>
      </c>
      <c r="Q58" s="536"/>
      <c r="R58" s="571">
        <f t="shared" si="0"/>
        <v>8.7346938775510203</v>
      </c>
      <c r="S58" s="527"/>
      <c r="T58" s="558"/>
      <c r="U58" s="558"/>
      <c r="V58" s="558"/>
      <c r="W58" s="558">
        <f>-2.14/0.245*Unit.TWh</f>
        <v>-8.7346938775510203</v>
      </c>
      <c r="X58" s="558"/>
      <c r="Y58" s="558"/>
      <c r="Z58" s="558"/>
      <c r="AA58" s="558"/>
      <c r="AB58" s="558"/>
      <c r="AC58" s="578">
        <f>U58+T58+V58+W58+X58+Y58+Z58+AA58+AB58</f>
        <v>-8.7346938775510203</v>
      </c>
      <c r="AD58" s="527"/>
      <c r="AE58" s="554"/>
      <c r="AF58" s="554"/>
      <c r="AG58" s="554"/>
      <c r="AH58" s="585">
        <f>AE58+AF58+AG58</f>
        <v>0</v>
      </c>
      <c r="AI58" s="585"/>
      <c r="AJ58" s="554"/>
      <c r="AK58" s="554"/>
      <c r="AL58" s="554"/>
      <c r="AM58" s="554"/>
      <c r="AN58" s="554"/>
      <c r="AO58" s="554"/>
      <c r="AP58" s="554"/>
      <c r="AQ58" s="554"/>
      <c r="AR58" s="585">
        <f t="shared" si="9"/>
        <v>0</v>
      </c>
      <c r="AS58" s="554"/>
      <c r="AT58" s="554"/>
      <c r="AU58" s="554"/>
      <c r="AV58" s="585">
        <f t="shared" si="1"/>
        <v>0</v>
      </c>
      <c r="AW58" s="593">
        <f t="shared" si="2"/>
        <v>0</v>
      </c>
      <c r="AX58" s="527"/>
      <c r="AY58" s="548"/>
      <c r="AZ58" s="548"/>
      <c r="BA58" s="600">
        <f t="shared" si="3"/>
        <v>0</v>
      </c>
      <c r="BB58" s="548"/>
      <c r="BC58" s="548"/>
      <c r="BD58" s="548"/>
      <c r="BE58" s="600">
        <f t="shared" si="37"/>
        <v>0</v>
      </c>
      <c r="BF58" s="607">
        <f t="shared" si="4"/>
        <v>0</v>
      </c>
      <c r="BG58" s="527"/>
      <c r="BH58" s="527">
        <f t="shared" si="38"/>
        <v>0</v>
      </c>
      <c r="BI58" s="527"/>
      <c r="BJ58" s="741"/>
      <c r="BK58" s="735">
        <f>-($AE58+$V58)*EF.IndustrialCoal.CO2</f>
        <v>0</v>
      </c>
      <c r="BL58" s="735">
        <f t="shared" si="6"/>
        <v>2.1836734693877551</v>
      </c>
      <c r="BM58" s="735">
        <f>-($AG58+$X58)*EF.NaturalGas.CO2</f>
        <v>0</v>
      </c>
      <c r="BN58" s="735">
        <f>-$Y58*EF.BlastFurnaceGas.CO2</f>
        <v>0</v>
      </c>
      <c r="BO58" s="736">
        <f t="shared" si="11"/>
        <v>2.1836734693877551</v>
      </c>
      <c r="BP58" s="735">
        <f>-($AE58+$V58)*EF.IndustrialCoal.CH4</f>
        <v>0</v>
      </c>
      <c r="BQ58" s="735">
        <f t="shared" si="7"/>
        <v>2.7186648487882679E-3</v>
      </c>
      <c r="BR58" s="735">
        <f>-($AG58+$X58)*EF.NaturalGas.CH4</f>
        <v>0</v>
      </c>
      <c r="BS58" s="737" t="s">
        <v>651</v>
      </c>
      <c r="BT58" s="736">
        <f t="shared" si="12"/>
        <v>2.7186648487882679E-3</v>
      </c>
      <c r="BU58" s="735">
        <f>-($AE58+$V58)*EF.IndustrialCoal.N2O</f>
        <v>0</v>
      </c>
      <c r="BV58" s="735">
        <f t="shared" si="8"/>
        <v>3.9288760259135309E-2</v>
      </c>
      <c r="BW58" s="735">
        <f>-($AG58+$X58)*EF.NaturalGas.N2O</f>
        <v>0</v>
      </c>
      <c r="BX58" s="737" t="s">
        <v>651</v>
      </c>
      <c r="BY58" s="736">
        <f t="shared" si="13"/>
        <v>3.9288760259135309E-2</v>
      </c>
      <c r="BZ58" s="736"/>
      <c r="CA58" s="738">
        <f t="shared" si="14"/>
        <v>2.2256808944956785</v>
      </c>
    </row>
    <row r="59" spans="2:79" s="734" customFormat="1" ht="10.5" hidden="1" customHeight="1" outlineLevel="2">
      <c r="C59" s="750"/>
      <c r="D59" s="528"/>
      <c r="E59" s="528" t="s">
        <v>461</v>
      </c>
      <c r="F59" s="525"/>
      <c r="G59" s="526"/>
      <c r="H59" s="526"/>
      <c r="I59" s="536"/>
      <c r="J59" s="536"/>
      <c r="K59" s="536"/>
      <c r="L59" s="542"/>
      <c r="M59" s="564"/>
      <c r="N59" s="542">
        <f>-$AC59-$AW59</f>
        <v>152.99167541479133</v>
      </c>
      <c r="O59" s="542"/>
      <c r="P59" s="536">
        <f>L59+M59+N59+O59</f>
        <v>152.99167541479133</v>
      </c>
      <c r="Q59" s="536"/>
      <c r="R59" s="571">
        <f t="shared" si="0"/>
        <v>152.99167541479133</v>
      </c>
      <c r="S59" s="527"/>
      <c r="T59" s="558"/>
      <c r="U59" s="558"/>
      <c r="V59" s="558"/>
      <c r="W59" s="558">
        <f>W56-W58</f>
        <v>-152.99167541479133</v>
      </c>
      <c r="X59" s="558"/>
      <c r="Y59" s="558"/>
      <c r="Z59" s="558"/>
      <c r="AA59" s="558"/>
      <c r="AB59" s="558"/>
      <c r="AC59" s="578">
        <f>U59+T59+V59+W59+X59+Y59+Z59+AA59+AB59</f>
        <v>-152.99167541479133</v>
      </c>
      <c r="AD59" s="527"/>
      <c r="AE59" s="554"/>
      <c r="AF59" s="554"/>
      <c r="AG59" s="554"/>
      <c r="AH59" s="585">
        <f>AE59+AF59+AG59</f>
        <v>0</v>
      </c>
      <c r="AI59" s="585"/>
      <c r="AJ59" s="554"/>
      <c r="AK59" s="554"/>
      <c r="AL59" s="554"/>
      <c r="AM59" s="554"/>
      <c r="AN59" s="554"/>
      <c r="AO59" s="554"/>
      <c r="AP59" s="554"/>
      <c r="AQ59" s="554"/>
      <c r="AR59" s="585">
        <f t="shared" si="9"/>
        <v>0</v>
      </c>
      <c r="AS59" s="554"/>
      <c r="AT59" s="554"/>
      <c r="AU59" s="554"/>
      <c r="AV59" s="585">
        <f t="shared" si="1"/>
        <v>0</v>
      </c>
      <c r="AW59" s="593">
        <f t="shared" si="2"/>
        <v>0</v>
      </c>
      <c r="AX59" s="527"/>
      <c r="AY59" s="548"/>
      <c r="AZ59" s="548"/>
      <c r="BA59" s="600">
        <f t="shared" si="3"/>
        <v>0</v>
      </c>
      <c r="BB59" s="548"/>
      <c r="BC59" s="548"/>
      <c r="BD59" s="548"/>
      <c r="BE59" s="600">
        <f t="shared" si="37"/>
        <v>0</v>
      </c>
      <c r="BF59" s="607">
        <f t="shared" si="4"/>
        <v>0</v>
      </c>
      <c r="BG59" s="527"/>
      <c r="BH59" s="527">
        <f t="shared" si="38"/>
        <v>0</v>
      </c>
      <c r="BI59" s="527"/>
      <c r="BJ59" s="741"/>
      <c r="BK59" s="735">
        <f>-($AE59+$V59)*EF.IndustrialCoal.CO2</f>
        <v>0</v>
      </c>
      <c r="BL59" s="735">
        <f t="shared" si="6"/>
        <v>38.247918853697833</v>
      </c>
      <c r="BM59" s="735">
        <f>-($AG59+$X59)*EF.NaturalGas.CO2</f>
        <v>0</v>
      </c>
      <c r="BN59" s="735">
        <f>-$Y59*EF.BlastFurnaceGas.CO2</f>
        <v>0</v>
      </c>
      <c r="BO59" s="736">
        <f t="shared" si="11"/>
        <v>38.247918853697833</v>
      </c>
      <c r="BP59" s="735">
        <f>-($AE59+$V59)*EF.IndustrialCoal.CH4</f>
        <v>0</v>
      </c>
      <c r="BQ59" s="735">
        <f t="shared" si="7"/>
        <v>4.7618507979587513E-2</v>
      </c>
      <c r="BR59" s="735">
        <f>-($AG59+$X59)*EF.NaturalGas.CH4</f>
        <v>0</v>
      </c>
      <c r="BS59" s="737" t="s">
        <v>651</v>
      </c>
      <c r="BT59" s="736">
        <f t="shared" si="12"/>
        <v>4.7618507979587513E-2</v>
      </c>
      <c r="BU59" s="735">
        <f>-($AE59+$V59)*EF.IndustrialCoal.N2O</f>
        <v>0</v>
      </c>
      <c r="BV59" s="735">
        <f t="shared" si="8"/>
        <v>0.68815843363024276</v>
      </c>
      <c r="BW59" s="735">
        <f>-($AG59+$X59)*EF.NaturalGas.N2O</f>
        <v>0</v>
      </c>
      <c r="BX59" s="737" t="s">
        <v>651</v>
      </c>
      <c r="BY59" s="736">
        <f t="shared" si="13"/>
        <v>0.68815843363024276</v>
      </c>
      <c r="BZ59" s="736"/>
      <c r="CA59" s="738">
        <f t="shared" si="14"/>
        <v>38.983695795307661</v>
      </c>
    </row>
    <row r="60" spans="2:79" s="24" customFormat="1" ht="12.75" hidden="1" customHeight="1" outlineLevel="1">
      <c r="C60" s="751"/>
      <c r="D60" s="512" t="s">
        <v>25</v>
      </c>
      <c r="E60" s="512"/>
      <c r="F60" s="510"/>
      <c r="G60" s="513" t="s">
        <v>477</v>
      </c>
      <c r="H60" s="513"/>
      <c r="I60" s="534"/>
      <c r="J60" s="534"/>
      <c r="K60" s="534"/>
      <c r="L60" s="540"/>
      <c r="M60" s="562">
        <f>-$AC60-$AW60</f>
        <v>16.246998166435951</v>
      </c>
      <c r="N60" s="540"/>
      <c r="O60" s="540"/>
      <c r="P60" s="534">
        <f>L60+M60+N60+O60</f>
        <v>16.246998166435951</v>
      </c>
      <c r="Q60" s="534"/>
      <c r="R60" s="569">
        <f t="shared" si="0"/>
        <v>16.246998166435951</v>
      </c>
      <c r="S60" s="515"/>
      <c r="T60" s="494">
        <f>-'DUKES 09 (1.2)'!$I$53*Unit.ktoe</f>
        <v>-8.1002794197444299</v>
      </c>
      <c r="U60" s="494"/>
      <c r="V60" s="494"/>
      <c r="W60" s="494">
        <f>-'DUKES 09 (1.2)'!$E$53*Unit.ktoe</f>
        <v>-8.146718746691521</v>
      </c>
      <c r="X60" s="494"/>
      <c r="Y60" s="494"/>
      <c r="Z60" s="494"/>
      <c r="AA60" s="494"/>
      <c r="AB60" s="494"/>
      <c r="AC60" s="576">
        <f>U60+T60+V60+W60+X60+Y60+Z60+AA60+AB60</f>
        <v>-16.246998166435951</v>
      </c>
      <c r="AD60" s="515"/>
      <c r="AE60" s="552"/>
      <c r="AF60" s="552"/>
      <c r="AG60" s="552"/>
      <c r="AH60" s="583">
        <f>AE60+AF60+AG60</f>
        <v>0</v>
      </c>
      <c r="AI60" s="583"/>
      <c r="AJ60" s="552"/>
      <c r="AK60" s="552"/>
      <c r="AL60" s="552"/>
      <c r="AM60" s="552"/>
      <c r="AN60" s="552"/>
      <c r="AO60" s="552"/>
      <c r="AP60" s="552"/>
      <c r="AQ60" s="552"/>
      <c r="AR60" s="583">
        <f t="shared" si="9"/>
        <v>0</v>
      </c>
      <c r="AS60" s="552"/>
      <c r="AT60" s="552"/>
      <c r="AU60" s="552"/>
      <c r="AV60" s="583">
        <f t="shared" si="1"/>
        <v>0</v>
      </c>
      <c r="AW60" s="591">
        <f t="shared" si="2"/>
        <v>0</v>
      </c>
      <c r="AX60" s="515"/>
      <c r="AY60" s="546"/>
      <c r="AZ60" s="546"/>
      <c r="BA60" s="598">
        <f t="shared" si="3"/>
        <v>0</v>
      </c>
      <c r="BB60" s="546"/>
      <c r="BC60" s="546"/>
      <c r="BD60" s="546"/>
      <c r="BE60" s="598">
        <f t="shared" si="37"/>
        <v>0</v>
      </c>
      <c r="BF60" s="605">
        <f t="shared" si="4"/>
        <v>0</v>
      </c>
      <c r="BG60" s="515"/>
      <c r="BH60" s="515">
        <f t="shared" si="38"/>
        <v>0</v>
      </c>
      <c r="BI60" s="515"/>
      <c r="BJ60" s="741"/>
      <c r="BK60" s="698">
        <f>-($AE60+$V60)*EF.IndustrialCoal.CO2</f>
        <v>0</v>
      </c>
      <c r="BL60" s="698">
        <f t="shared" si="6"/>
        <v>2.0366796866728802</v>
      </c>
      <c r="BM60" s="698">
        <f>-($AG60+$X60)*EF.NaturalGas.CO2</f>
        <v>0</v>
      </c>
      <c r="BN60" s="698">
        <f>-$Y60*EF.BlastFurnaceGas.CO2</f>
        <v>0</v>
      </c>
      <c r="BO60" s="729">
        <f t="shared" si="11"/>
        <v>2.0366796866728802</v>
      </c>
      <c r="BP60" s="698">
        <f>-($AE60+$V60)*EF.IndustrialCoal.CH4</f>
        <v>0</v>
      </c>
      <c r="BQ60" s="698">
        <f t="shared" si="7"/>
        <v>2.5356581696031259E-3</v>
      </c>
      <c r="BR60" s="698">
        <f>-($AG60+$X60)*EF.NaturalGas.CH4</f>
        <v>0</v>
      </c>
      <c r="BS60" s="699" t="s">
        <v>651</v>
      </c>
      <c r="BT60" s="729">
        <f t="shared" si="12"/>
        <v>2.5356581696031259E-3</v>
      </c>
      <c r="BU60" s="698">
        <f>-($AE60+$V60)*EF.IndustrialCoal.N2O</f>
        <v>0</v>
      </c>
      <c r="BV60" s="698">
        <f t="shared" si="8"/>
        <v>3.6644040904511579E-2</v>
      </c>
      <c r="BW60" s="698">
        <f>-($AG60+$X60)*EF.NaturalGas.N2O</f>
        <v>0</v>
      </c>
      <c r="BX60" s="699" t="s">
        <v>651</v>
      </c>
      <c r="BY60" s="729">
        <f t="shared" si="13"/>
        <v>3.6644040904511579E-2</v>
      </c>
      <c r="BZ60" s="729"/>
      <c r="CA60" s="730">
        <f t="shared" si="14"/>
        <v>2.0758593857469951</v>
      </c>
    </row>
    <row r="61" spans="2:79" s="24" customFormat="1" ht="12.75" hidden="1" customHeight="1" outlineLevel="1">
      <c r="C61" s="751"/>
      <c r="D61" s="512" t="s">
        <v>24</v>
      </c>
      <c r="E61" s="512"/>
      <c r="F61" s="510" t="str">
        <f>$C$148</f>
        <v>[6]</v>
      </c>
      <c r="G61" s="513" t="s">
        <v>478</v>
      </c>
      <c r="H61" s="513"/>
      <c r="I61" s="534"/>
      <c r="J61" s="534"/>
      <c r="K61" s="534"/>
      <c r="L61" s="562">
        <f>-$AC61-$AW61</f>
        <v>502.50552967076953</v>
      </c>
      <c r="M61" s="562"/>
      <c r="N61" s="540"/>
      <c r="O61" s="540"/>
      <c r="P61" s="534">
        <f>L61+M61+N61+O61</f>
        <v>502.50552967076953</v>
      </c>
      <c r="Q61" s="534"/>
      <c r="R61" s="569">
        <f t="shared" si="0"/>
        <v>502.50552967076953</v>
      </c>
      <c r="S61" s="515"/>
      <c r="T61" s="494"/>
      <c r="U61" s="494"/>
      <c r="V61" s="494"/>
      <c r="W61" s="494">
        <f>-'DUKES 09 (1.2)'!$E$54*Unit.ktoe-'DUKES 09 (1.2)'!$G$54*Unit.ktoe</f>
        <v>-502.50552967076953</v>
      </c>
      <c r="X61" s="494"/>
      <c r="Y61" s="494"/>
      <c r="Z61" s="494"/>
      <c r="AA61" s="494"/>
      <c r="AB61" s="494"/>
      <c r="AC61" s="576">
        <f>U61+T61+V61+W61+X61+Y61+Z61+AA61+AB61</f>
        <v>-502.50552967076953</v>
      </c>
      <c r="AD61" s="515"/>
      <c r="AE61" s="552"/>
      <c r="AF61" s="552"/>
      <c r="AG61" s="552"/>
      <c r="AH61" s="583">
        <f>AE61+AF61+AG61</f>
        <v>0</v>
      </c>
      <c r="AI61" s="583"/>
      <c r="AJ61" s="552"/>
      <c r="AK61" s="552"/>
      <c r="AL61" s="552"/>
      <c r="AM61" s="552"/>
      <c r="AN61" s="552"/>
      <c r="AO61" s="552"/>
      <c r="AP61" s="552"/>
      <c r="AQ61" s="552"/>
      <c r="AR61" s="583">
        <f t="shared" si="9"/>
        <v>0</v>
      </c>
      <c r="AS61" s="552"/>
      <c r="AT61" s="552"/>
      <c r="AU61" s="552"/>
      <c r="AV61" s="583">
        <f t="shared" si="1"/>
        <v>0</v>
      </c>
      <c r="AW61" s="591">
        <f t="shared" si="2"/>
        <v>0</v>
      </c>
      <c r="AX61" s="515"/>
      <c r="AY61" s="546"/>
      <c r="AZ61" s="546"/>
      <c r="BA61" s="598">
        <f t="shared" si="3"/>
        <v>0</v>
      </c>
      <c r="BB61" s="546"/>
      <c r="BC61" s="546"/>
      <c r="BD61" s="546"/>
      <c r="BE61" s="598">
        <f t="shared" si="37"/>
        <v>0</v>
      </c>
      <c r="BF61" s="605">
        <f t="shared" si="4"/>
        <v>0</v>
      </c>
      <c r="BG61" s="515"/>
      <c r="BH61" s="515">
        <f t="shared" si="38"/>
        <v>0</v>
      </c>
      <c r="BI61" s="515"/>
      <c r="BJ61" s="741"/>
      <c r="BK61" s="698">
        <f>-($AE61+$V61)*EF.IndustrialCoal.CO2</f>
        <v>0</v>
      </c>
      <c r="BL61" s="698">
        <f t="shared" si="6"/>
        <v>125.62638241769238</v>
      </c>
      <c r="BM61" s="698">
        <f>-($AG61+$X61)*EF.NaturalGas.CO2</f>
        <v>0</v>
      </c>
      <c r="BN61" s="698">
        <f>-$Y61*EF.BlastFurnaceGas.CO2</f>
        <v>0</v>
      </c>
      <c r="BO61" s="729">
        <f t="shared" si="11"/>
        <v>125.62638241769238</v>
      </c>
      <c r="BP61" s="698">
        <f>-($AE61+$V61)*EF.IndustrialCoal.CH4</f>
        <v>0</v>
      </c>
      <c r="BQ61" s="698">
        <f t="shared" si="7"/>
        <v>0.15640435016832924</v>
      </c>
      <c r="BR61" s="698">
        <f>-($AG61+$X61)*EF.NaturalGas.CH4</f>
        <v>0</v>
      </c>
      <c r="BS61" s="699" t="s">
        <v>651</v>
      </c>
      <c r="BT61" s="729">
        <f t="shared" si="12"/>
        <v>0.15640435016832924</v>
      </c>
      <c r="BU61" s="698">
        <f>-($AE61+$V61)*EF.IndustrialCoal.N2O</f>
        <v>0</v>
      </c>
      <c r="BV61" s="698">
        <f t="shared" si="8"/>
        <v>2.2602760395376373</v>
      </c>
      <c r="BW61" s="698">
        <f>-($AG61+$X61)*EF.NaturalGas.N2O</f>
        <v>0</v>
      </c>
      <c r="BX61" s="699" t="s">
        <v>651</v>
      </c>
      <c r="BY61" s="729">
        <f t="shared" si="13"/>
        <v>2.2602760395376373</v>
      </c>
      <c r="BZ61" s="729"/>
      <c r="CA61" s="730">
        <f t="shared" si="14"/>
        <v>128.04306280739834</v>
      </c>
    </row>
    <row r="62" spans="2:79" s="24" customFormat="1" ht="12.75" hidden="1" customHeight="1" outlineLevel="1">
      <c r="C62" s="751"/>
      <c r="D62" s="512" t="s">
        <v>27</v>
      </c>
      <c r="E62" s="512"/>
      <c r="F62" s="510"/>
      <c r="G62" s="513" t="s">
        <v>479</v>
      </c>
      <c r="H62" s="513"/>
      <c r="I62" s="534"/>
      <c r="J62" s="534"/>
      <c r="K62" s="534"/>
      <c r="L62" s="540"/>
      <c r="M62" s="562"/>
      <c r="N62" s="540"/>
      <c r="O62" s="540">
        <f>SUM(O64:O65)</f>
        <v>48.041663833596701</v>
      </c>
      <c r="P62" s="534">
        <f>L62+M62+N62+O62</f>
        <v>48.041663833596701</v>
      </c>
      <c r="Q62" s="534"/>
      <c r="R62" s="569">
        <f t="shared" si="0"/>
        <v>48.041663833596701</v>
      </c>
      <c r="S62" s="515"/>
      <c r="T62" s="494"/>
      <c r="U62" s="494"/>
      <c r="V62" s="494"/>
      <c r="W62" s="494">
        <f>SUM(W64:W65)</f>
        <v>-48.041663833596701</v>
      </c>
      <c r="X62" s="494"/>
      <c r="Y62" s="494"/>
      <c r="Z62" s="494"/>
      <c r="AA62" s="494"/>
      <c r="AB62" s="494"/>
      <c r="AC62" s="576">
        <f>U62+T62+V62+W62+X62+Y62+Z62+AA62+AB62</f>
        <v>-48.041663833596701</v>
      </c>
      <c r="AD62" s="515"/>
      <c r="AE62" s="552"/>
      <c r="AF62" s="552"/>
      <c r="AG62" s="552"/>
      <c r="AH62" s="583">
        <f>AE62+AF62+AG62</f>
        <v>0</v>
      </c>
      <c r="AI62" s="583"/>
      <c r="AJ62" s="552"/>
      <c r="AK62" s="552"/>
      <c r="AL62" s="552"/>
      <c r="AM62" s="552"/>
      <c r="AN62" s="552"/>
      <c r="AO62" s="552"/>
      <c r="AP62" s="552"/>
      <c r="AQ62" s="552"/>
      <c r="AR62" s="583">
        <f t="shared" si="9"/>
        <v>0</v>
      </c>
      <c r="AS62" s="552"/>
      <c r="AT62" s="552"/>
      <c r="AU62" s="552"/>
      <c r="AV62" s="583">
        <f t="shared" si="1"/>
        <v>0</v>
      </c>
      <c r="AW62" s="591">
        <f t="shared" si="2"/>
        <v>0</v>
      </c>
      <c r="AX62" s="515"/>
      <c r="AY62" s="546"/>
      <c r="AZ62" s="546"/>
      <c r="BA62" s="598">
        <f t="shared" si="3"/>
        <v>0</v>
      </c>
      <c r="BB62" s="546"/>
      <c r="BC62" s="546"/>
      <c r="BD62" s="546"/>
      <c r="BE62" s="598">
        <f t="shared" si="37"/>
        <v>0</v>
      </c>
      <c r="BF62" s="605">
        <f t="shared" si="4"/>
        <v>0</v>
      </c>
      <c r="BG62" s="515"/>
      <c r="BH62" s="515">
        <f t="shared" si="38"/>
        <v>0</v>
      </c>
      <c r="BI62" s="515"/>
      <c r="BJ62" s="741"/>
      <c r="BK62" s="698">
        <f>-($AE62+$V62)*EF.IndustrialCoal.CO2</f>
        <v>0</v>
      </c>
      <c r="BL62" s="698">
        <f t="shared" si="6"/>
        <v>12.010415958399175</v>
      </c>
      <c r="BM62" s="698">
        <f>-($AG62+$X62)*EF.NaturalGas.CO2</f>
        <v>0</v>
      </c>
      <c r="BN62" s="698">
        <f>-$Y62*EF.BlastFurnaceGas.CO2</f>
        <v>0</v>
      </c>
      <c r="BO62" s="729">
        <f t="shared" si="11"/>
        <v>12.010415958399175</v>
      </c>
      <c r="BP62" s="698">
        <f>-($AE62+$V62)*EF.IndustrialCoal.CH4</f>
        <v>0</v>
      </c>
      <c r="BQ62" s="698">
        <f t="shared" si="7"/>
        <v>1.4952920454073357E-2</v>
      </c>
      <c r="BR62" s="698">
        <f>-($AG62+$X62)*EF.NaturalGas.CH4</f>
        <v>0</v>
      </c>
      <c r="BS62" s="699" t="s">
        <v>651</v>
      </c>
      <c r="BT62" s="729">
        <f t="shared" si="12"/>
        <v>1.4952920454073357E-2</v>
      </c>
      <c r="BU62" s="698">
        <f>-($AE62+$V62)*EF.IndustrialCoal.N2O</f>
        <v>0</v>
      </c>
      <c r="BV62" s="698">
        <f t="shared" si="8"/>
        <v>0.21609199352242864</v>
      </c>
      <c r="BW62" s="698">
        <f>-($AG62+$X62)*EF.NaturalGas.N2O</f>
        <v>0</v>
      </c>
      <c r="BX62" s="699" t="s">
        <v>651</v>
      </c>
      <c r="BY62" s="729">
        <f t="shared" si="13"/>
        <v>0.21609199352242864</v>
      </c>
      <c r="BZ62" s="729"/>
      <c r="CA62" s="730">
        <f t="shared" si="14"/>
        <v>12.241460872375677</v>
      </c>
    </row>
    <row r="63" spans="2:79" s="734" customFormat="1" ht="10.5" hidden="1" customHeight="1" outlineLevel="2">
      <c r="C63" s="750"/>
      <c r="D63" s="528"/>
      <c r="E63" s="528" t="s">
        <v>416</v>
      </c>
      <c r="F63" s="525"/>
      <c r="G63" s="526"/>
      <c r="H63" s="526"/>
      <c r="I63" s="536"/>
      <c r="J63" s="536"/>
      <c r="K63" s="536"/>
      <c r="L63" s="542"/>
      <c r="M63" s="564"/>
      <c r="N63" s="542"/>
      <c r="O63" s="542"/>
      <c r="P63" s="536"/>
      <c r="Q63" s="536"/>
      <c r="R63" s="571">
        <f t="shared" si="0"/>
        <v>0</v>
      </c>
      <c r="S63" s="527"/>
      <c r="T63" s="558"/>
      <c r="U63" s="558"/>
      <c r="V63" s="558"/>
      <c r="W63" s="558"/>
      <c r="X63" s="558"/>
      <c r="Y63" s="558"/>
      <c r="Z63" s="558"/>
      <c r="AA63" s="558"/>
      <c r="AB63" s="558"/>
      <c r="AC63" s="578"/>
      <c r="AD63" s="527"/>
      <c r="AE63" s="554"/>
      <c r="AF63" s="554"/>
      <c r="AG63" s="554"/>
      <c r="AH63" s="585"/>
      <c r="AI63" s="585"/>
      <c r="AJ63" s="554"/>
      <c r="AK63" s="554"/>
      <c r="AL63" s="554"/>
      <c r="AM63" s="554"/>
      <c r="AN63" s="554"/>
      <c r="AO63" s="554"/>
      <c r="AP63" s="554"/>
      <c r="AQ63" s="554"/>
      <c r="AR63" s="585"/>
      <c r="AS63" s="554"/>
      <c r="AT63" s="554"/>
      <c r="AU63" s="554"/>
      <c r="AV63" s="585">
        <f t="shared" si="1"/>
        <v>0</v>
      </c>
      <c r="AW63" s="593">
        <f t="shared" si="2"/>
        <v>0</v>
      </c>
      <c r="AX63" s="527"/>
      <c r="AY63" s="548"/>
      <c r="AZ63" s="548"/>
      <c r="BA63" s="600">
        <f t="shared" si="3"/>
        <v>0</v>
      </c>
      <c r="BB63" s="548"/>
      <c r="BC63" s="548"/>
      <c r="BD63" s="548"/>
      <c r="BE63" s="600">
        <f t="shared" si="37"/>
        <v>0</v>
      </c>
      <c r="BF63" s="607">
        <f t="shared" si="4"/>
        <v>0</v>
      </c>
      <c r="BG63" s="527"/>
      <c r="BH63" s="527">
        <f t="shared" si="38"/>
        <v>0</v>
      </c>
      <c r="BI63" s="527"/>
      <c r="BJ63" s="741"/>
      <c r="BK63" s="735"/>
      <c r="BL63" s="735">
        <f t="shared" si="6"/>
        <v>0</v>
      </c>
      <c r="BM63" s="735"/>
      <c r="BN63" s="735"/>
      <c r="BO63" s="736"/>
      <c r="BP63" s="735"/>
      <c r="BQ63" s="735">
        <f t="shared" si="7"/>
        <v>0</v>
      </c>
      <c r="BR63" s="735"/>
      <c r="BS63" s="737"/>
      <c r="BT63" s="736"/>
      <c r="BU63" s="735"/>
      <c r="BV63" s="735">
        <f t="shared" si="8"/>
        <v>0</v>
      </c>
      <c r="BW63" s="735"/>
      <c r="BX63" s="737"/>
      <c r="BY63" s="736"/>
      <c r="BZ63" s="736"/>
      <c r="CA63" s="738"/>
    </row>
    <row r="64" spans="2:79" s="734" customFormat="1" ht="10.5" hidden="1" customHeight="1" outlineLevel="2">
      <c r="C64" s="750"/>
      <c r="D64" s="528"/>
      <c r="E64" s="528" t="s">
        <v>185</v>
      </c>
      <c r="F64" s="525"/>
      <c r="G64" s="526" t="s">
        <v>480</v>
      </c>
      <c r="H64" s="526"/>
      <c r="I64" s="536"/>
      <c r="J64" s="536"/>
      <c r="K64" s="536"/>
      <c r="L64" s="542"/>
      <c r="M64" s="564"/>
      <c r="N64" s="542"/>
      <c r="O64" s="542">
        <f>-$AC64-$AW64</f>
        <v>18.81937240536579</v>
      </c>
      <c r="P64" s="536">
        <f>L64+M64+N64+O64</f>
        <v>18.81937240536579</v>
      </c>
      <c r="Q64" s="536"/>
      <c r="R64" s="571">
        <f t="shared" si="0"/>
        <v>18.81937240536579</v>
      </c>
      <c r="S64" s="527"/>
      <c r="T64" s="558"/>
      <c r="U64" s="558"/>
      <c r="V64" s="558"/>
      <c r="W64" s="558">
        <f>-'DUKES 09 (1.2)'!$E$55*Unit.ktoe</f>
        <v>-18.81937240536579</v>
      </c>
      <c r="X64" s="558"/>
      <c r="Y64" s="558"/>
      <c r="Z64" s="558"/>
      <c r="AA64" s="558"/>
      <c r="AB64" s="558"/>
      <c r="AC64" s="578">
        <f>U64+T64+V64+W64+X64+Y64+Z64+AA64+AB64</f>
        <v>-18.81937240536579</v>
      </c>
      <c r="AD64" s="527"/>
      <c r="AE64" s="554"/>
      <c r="AF64" s="554"/>
      <c r="AG64" s="554"/>
      <c r="AH64" s="585">
        <f>AE64+AF64+AG64</f>
        <v>0</v>
      </c>
      <c r="AI64" s="585"/>
      <c r="AJ64" s="554"/>
      <c r="AK64" s="554"/>
      <c r="AL64" s="554"/>
      <c r="AM64" s="554"/>
      <c r="AN64" s="554"/>
      <c r="AO64" s="554"/>
      <c r="AP64" s="554"/>
      <c r="AQ64" s="554"/>
      <c r="AR64" s="585">
        <f t="shared" si="9"/>
        <v>0</v>
      </c>
      <c r="AS64" s="554"/>
      <c r="AT64" s="554"/>
      <c r="AU64" s="554"/>
      <c r="AV64" s="585">
        <f t="shared" si="1"/>
        <v>0</v>
      </c>
      <c r="AW64" s="593">
        <f t="shared" si="2"/>
        <v>0</v>
      </c>
      <c r="AX64" s="527"/>
      <c r="AY64" s="548"/>
      <c r="AZ64" s="548"/>
      <c r="BA64" s="600">
        <f t="shared" si="3"/>
        <v>0</v>
      </c>
      <c r="BB64" s="548"/>
      <c r="BC64" s="548"/>
      <c r="BD64" s="548"/>
      <c r="BE64" s="600">
        <f t="shared" si="37"/>
        <v>0</v>
      </c>
      <c r="BF64" s="607">
        <f t="shared" si="4"/>
        <v>0</v>
      </c>
      <c r="BG64" s="527"/>
      <c r="BH64" s="527">
        <f t="shared" si="38"/>
        <v>0</v>
      </c>
      <c r="BI64" s="527"/>
      <c r="BJ64" s="741"/>
      <c r="BK64" s="735">
        <f>-($AE64+$V64)*EF.IndustrialCoal.CO2</f>
        <v>0</v>
      </c>
      <c r="BL64" s="735">
        <f t="shared" si="6"/>
        <v>4.7048431013414476</v>
      </c>
      <c r="BM64" s="735">
        <f>-($AG64+$X64)*EF.NaturalGas.CO2</f>
        <v>0</v>
      </c>
      <c r="BN64" s="735">
        <f>-$Y64*EF.BlastFurnaceGas.CO2</f>
        <v>0</v>
      </c>
      <c r="BO64" s="736">
        <f t="shared" si="11"/>
        <v>4.7048431013414476</v>
      </c>
      <c r="BP64" s="735">
        <f>-($AE64+$V64)*EF.IndustrialCoal.CH4</f>
        <v>0</v>
      </c>
      <c r="BQ64" s="735">
        <f t="shared" si="7"/>
        <v>5.8575110876202584E-3</v>
      </c>
      <c r="BR64" s="735">
        <f>-($AG64+$X64)*EF.NaturalGas.CH4</f>
        <v>0</v>
      </c>
      <c r="BS64" s="737" t="s">
        <v>651</v>
      </c>
      <c r="BT64" s="736">
        <f t="shared" si="12"/>
        <v>5.8575110876202584E-3</v>
      </c>
      <c r="BU64" s="735">
        <f>-($AE64+$V64)*EF.IndustrialCoal.N2O</f>
        <v>0</v>
      </c>
      <c r="BV64" s="735">
        <f t="shared" si="8"/>
        <v>8.4649768043056892E-2</v>
      </c>
      <c r="BW64" s="735">
        <f>-($AG64+$X64)*EF.NaturalGas.N2O</f>
        <v>0</v>
      </c>
      <c r="BX64" s="737" t="s">
        <v>651</v>
      </c>
      <c r="BY64" s="736">
        <f t="shared" si="13"/>
        <v>8.4649768043056892E-2</v>
      </c>
      <c r="BZ64" s="736"/>
      <c r="CA64" s="738">
        <f t="shared" si="14"/>
        <v>4.795350380472124</v>
      </c>
    </row>
    <row r="65" spans="2:79" s="734" customFormat="1" ht="10.5" hidden="1" customHeight="1" outlineLevel="2">
      <c r="C65" s="750"/>
      <c r="D65" s="528"/>
      <c r="E65" s="528" t="s">
        <v>152</v>
      </c>
      <c r="F65" s="525"/>
      <c r="G65" s="526" t="s">
        <v>480</v>
      </c>
      <c r="H65" s="526"/>
      <c r="I65" s="536"/>
      <c r="J65" s="536"/>
      <c r="K65" s="536"/>
      <c r="L65" s="542"/>
      <c r="M65" s="564"/>
      <c r="N65" s="542"/>
      <c r="O65" s="542">
        <f>-$AC65-$AW65</f>
        <v>29.222291428230907</v>
      </c>
      <c r="P65" s="536">
        <f>L65+M65+N65+O65</f>
        <v>29.222291428230907</v>
      </c>
      <c r="Q65" s="536"/>
      <c r="R65" s="571">
        <f t="shared" si="0"/>
        <v>29.222291428230907</v>
      </c>
      <c r="S65" s="527"/>
      <c r="T65" s="558"/>
      <c r="U65" s="558"/>
      <c r="V65" s="558"/>
      <c r="W65" s="558">
        <f>'DUKES 09 (1.2)'!$E$8*Unit.ktoe</f>
        <v>-29.222291428230907</v>
      </c>
      <c r="X65" s="558"/>
      <c r="Y65" s="558"/>
      <c r="Z65" s="558"/>
      <c r="AA65" s="558"/>
      <c r="AB65" s="558"/>
      <c r="AC65" s="578">
        <f>U65+T65+V65+W65+X65+Y65+Z65+AA65+AB65</f>
        <v>-29.222291428230907</v>
      </c>
      <c r="AD65" s="527"/>
      <c r="AE65" s="554"/>
      <c r="AF65" s="554"/>
      <c r="AG65" s="554"/>
      <c r="AH65" s="585">
        <f>AE65+AF65+AG65</f>
        <v>0</v>
      </c>
      <c r="AI65" s="585"/>
      <c r="AJ65" s="554"/>
      <c r="AK65" s="554"/>
      <c r="AL65" s="554"/>
      <c r="AM65" s="554"/>
      <c r="AN65" s="554"/>
      <c r="AO65" s="554"/>
      <c r="AP65" s="554"/>
      <c r="AQ65" s="554"/>
      <c r="AR65" s="585">
        <f t="shared" si="9"/>
        <v>0</v>
      </c>
      <c r="AS65" s="554"/>
      <c r="AT65" s="554"/>
      <c r="AU65" s="554"/>
      <c r="AV65" s="585">
        <f t="shared" si="1"/>
        <v>0</v>
      </c>
      <c r="AW65" s="593">
        <f t="shared" si="2"/>
        <v>0</v>
      </c>
      <c r="AX65" s="527"/>
      <c r="AY65" s="548"/>
      <c r="AZ65" s="548"/>
      <c r="BA65" s="600">
        <f t="shared" si="3"/>
        <v>0</v>
      </c>
      <c r="BB65" s="548"/>
      <c r="BC65" s="548"/>
      <c r="BD65" s="548"/>
      <c r="BE65" s="600">
        <f t="shared" si="37"/>
        <v>0</v>
      </c>
      <c r="BF65" s="607">
        <f t="shared" si="4"/>
        <v>0</v>
      </c>
      <c r="BG65" s="527"/>
      <c r="BH65" s="527">
        <f t="shared" si="38"/>
        <v>0</v>
      </c>
      <c r="BI65" s="527"/>
      <c r="BJ65" s="741"/>
      <c r="BK65" s="735">
        <f>-($AE65+$V65)*EF.IndustrialCoal.CO2</f>
        <v>0</v>
      </c>
      <c r="BL65" s="735">
        <f t="shared" si="6"/>
        <v>7.3055728570577267</v>
      </c>
      <c r="BM65" s="735">
        <f>-($AG65+$X65)*EF.NaturalGas.CO2</f>
        <v>0</v>
      </c>
      <c r="BN65" s="735">
        <f>-$Y65*EF.BlastFurnaceGas.CO2</f>
        <v>0</v>
      </c>
      <c r="BO65" s="736">
        <f t="shared" si="11"/>
        <v>7.3055728570577267</v>
      </c>
      <c r="BP65" s="735">
        <f>-($AE65+$V65)*EF.IndustrialCoal.CH4</f>
        <v>0</v>
      </c>
      <c r="BQ65" s="735">
        <f t="shared" si="7"/>
        <v>9.0954093664530975E-3</v>
      </c>
      <c r="BR65" s="735">
        <f>-($AG65+$X65)*EF.NaturalGas.CH4</f>
        <v>0</v>
      </c>
      <c r="BS65" s="737" t="s">
        <v>651</v>
      </c>
      <c r="BT65" s="736">
        <f t="shared" si="12"/>
        <v>9.0954093664530975E-3</v>
      </c>
      <c r="BU65" s="735">
        <f>-($AE65+$V65)*EF.IndustrialCoal.N2O</f>
        <v>0</v>
      </c>
      <c r="BV65" s="735">
        <f t="shared" si="8"/>
        <v>0.1314422254793717</v>
      </c>
      <c r="BW65" s="735">
        <f>-($AG65+$X65)*EF.NaturalGas.N2O</f>
        <v>0</v>
      </c>
      <c r="BX65" s="737" t="s">
        <v>651</v>
      </c>
      <c r="BY65" s="736">
        <f t="shared" si="13"/>
        <v>0.1314422254793717</v>
      </c>
      <c r="BZ65" s="736"/>
      <c r="CA65" s="738">
        <f t="shared" si="14"/>
        <v>7.4461104919035517</v>
      </c>
    </row>
    <row r="66" spans="2:79" s="24" customFormat="1" ht="12.75" hidden="1" customHeight="1" outlineLevel="1">
      <c r="C66" s="751"/>
      <c r="D66" s="512"/>
      <c r="E66" s="512"/>
      <c r="F66" s="510"/>
      <c r="G66" s="513"/>
      <c r="H66" s="513"/>
      <c r="I66" s="534"/>
      <c r="J66" s="534"/>
      <c r="K66" s="534"/>
      <c r="L66" s="540"/>
      <c r="M66" s="562"/>
      <c r="N66" s="540"/>
      <c r="O66" s="540"/>
      <c r="P66" s="534"/>
      <c r="Q66" s="534"/>
      <c r="R66" s="569"/>
      <c r="S66" s="515"/>
      <c r="T66" s="494"/>
      <c r="U66" s="494"/>
      <c r="V66" s="494"/>
      <c r="W66" s="494"/>
      <c r="X66" s="494"/>
      <c r="Y66" s="494"/>
      <c r="Z66" s="494"/>
      <c r="AA66" s="494"/>
      <c r="AB66" s="494"/>
      <c r="AC66" s="576"/>
      <c r="AD66" s="515"/>
      <c r="AE66" s="552"/>
      <c r="AF66" s="552"/>
      <c r="AG66" s="552"/>
      <c r="AH66" s="583"/>
      <c r="AI66" s="583"/>
      <c r="AJ66" s="552"/>
      <c r="AK66" s="552"/>
      <c r="AL66" s="552"/>
      <c r="AM66" s="552"/>
      <c r="AN66" s="552"/>
      <c r="AO66" s="552"/>
      <c r="AP66" s="552"/>
      <c r="AQ66" s="552"/>
      <c r="AR66" s="583"/>
      <c r="AS66" s="552"/>
      <c r="AT66" s="552"/>
      <c r="AU66" s="552"/>
      <c r="AV66" s="583"/>
      <c r="AW66" s="591"/>
      <c r="AX66" s="515"/>
      <c r="AY66" s="546"/>
      <c r="AZ66" s="546"/>
      <c r="BA66" s="598"/>
      <c r="BB66" s="546"/>
      <c r="BC66" s="546"/>
      <c r="BD66" s="546"/>
      <c r="BE66" s="598"/>
      <c r="BF66" s="605"/>
      <c r="BG66" s="515"/>
      <c r="BH66" s="515"/>
      <c r="BI66" s="515"/>
      <c r="BJ66" s="741"/>
      <c r="BK66" s="698"/>
      <c r="BL66" s="698">
        <f t="shared" si="6"/>
        <v>0</v>
      </c>
      <c r="BM66" s="698"/>
      <c r="BN66" s="698"/>
      <c r="BO66" s="729"/>
      <c r="BP66" s="698"/>
      <c r="BQ66" s="698">
        <f t="shared" si="7"/>
        <v>0</v>
      </c>
      <c r="BR66" s="698"/>
      <c r="BS66" s="699"/>
      <c r="BT66" s="729"/>
      <c r="BU66" s="698"/>
      <c r="BV66" s="698">
        <f t="shared" si="8"/>
        <v>0</v>
      </c>
      <c r="BW66" s="698"/>
      <c r="BX66" s="699"/>
      <c r="BY66" s="729"/>
      <c r="BZ66" s="729"/>
      <c r="CA66" s="730"/>
    </row>
    <row r="67" spans="2:79" s="24" customFormat="1" ht="15.75" collapsed="1">
      <c r="B67" s="3"/>
      <c r="C67" s="744" t="s">
        <v>680</v>
      </c>
      <c r="D67" s="517" t="str">
        <f>INDEX(Workstreams[Workstream], MATCH($C67, Workstreams[Code], 0))</f>
        <v>Food consumption [UNUSED]</v>
      </c>
      <c r="E67" s="512"/>
      <c r="F67" s="510"/>
      <c r="G67" s="513"/>
      <c r="H67" s="513"/>
      <c r="I67" s="534"/>
      <c r="J67" s="534"/>
      <c r="K67" s="534"/>
      <c r="L67" s="540"/>
      <c r="M67" s="562"/>
      <c r="N67" s="540"/>
      <c r="O67" s="540"/>
      <c r="P67" s="534"/>
      <c r="Q67" s="534">
        <f>Q68</f>
        <v>59.090632000000006</v>
      </c>
      <c r="R67" s="569">
        <f t="shared" si="0"/>
        <v>59.090632000000006</v>
      </c>
      <c r="S67" s="515"/>
      <c r="T67" s="494"/>
      <c r="U67" s="494"/>
      <c r="V67" s="494"/>
      <c r="W67" s="494"/>
      <c r="X67" s="494"/>
      <c r="Y67" s="494"/>
      <c r="Z67" s="494"/>
      <c r="AA67" s="494">
        <f>AA68</f>
        <v>-65.656257777777782</v>
      </c>
      <c r="AB67" s="494"/>
      <c r="AC67" s="576">
        <f>U67+T67+V67+W67+X67+Y67+Z67+AA67+AB67</f>
        <v>-65.656257777777782</v>
      </c>
      <c r="AD67" s="515"/>
      <c r="AE67" s="552"/>
      <c r="AF67" s="552"/>
      <c r="AG67" s="552"/>
      <c r="AH67" s="583">
        <f>AE67+AF67+AG67</f>
        <v>0</v>
      </c>
      <c r="AI67" s="583"/>
      <c r="AJ67" s="552"/>
      <c r="AK67" s="552"/>
      <c r="AL67" s="552"/>
      <c r="AM67" s="552"/>
      <c r="AN67" s="552"/>
      <c r="AO67" s="552"/>
      <c r="AP67" s="552"/>
      <c r="AQ67" s="552"/>
      <c r="AR67" s="583">
        <f t="shared" si="9"/>
        <v>0</v>
      </c>
      <c r="AS67" s="552"/>
      <c r="AT67" s="552"/>
      <c r="AU67" s="552"/>
      <c r="AV67" s="583">
        <f t="shared" si="1"/>
        <v>0</v>
      </c>
      <c r="AW67" s="591">
        <f t="shared" si="2"/>
        <v>0</v>
      </c>
      <c r="AX67" s="515"/>
      <c r="AY67" s="546">
        <f>AY68</f>
        <v>6.5656257777777789</v>
      </c>
      <c r="AZ67" s="546"/>
      <c r="BA67" s="598">
        <f t="shared" si="3"/>
        <v>6.5656257777777789</v>
      </c>
      <c r="BB67" s="546"/>
      <c r="BC67" s="546"/>
      <c r="BD67" s="546"/>
      <c r="BE67" s="598">
        <f>BB67+BC67+BD67</f>
        <v>0</v>
      </c>
      <c r="BF67" s="605">
        <f t="shared" si="4"/>
        <v>6.5656257777777789</v>
      </c>
      <c r="BG67" s="515"/>
      <c r="BH67" s="515">
        <f>R67+AC67+AW67+BF67</f>
        <v>0</v>
      </c>
      <c r="BI67" s="515"/>
      <c r="BJ67" s="517" t="str">
        <f>$D67</f>
        <v>Food consumption [UNUSED]</v>
      </c>
      <c r="BK67" s="698">
        <f>-($AE67+$V67)*EF.IndustrialCoal.CO2</f>
        <v>0</v>
      </c>
      <c r="BL67" s="698">
        <f t="shared" si="6"/>
        <v>0</v>
      </c>
      <c r="BM67" s="698">
        <f>-($AG67+$X67)*EF.NaturalGas.CO2</f>
        <v>0</v>
      </c>
      <c r="BN67" s="698">
        <f>-$Y67*EF.BlastFurnaceGas.CO2</f>
        <v>0</v>
      </c>
      <c r="BO67" s="729">
        <f t="shared" si="11"/>
        <v>0</v>
      </c>
      <c r="BP67" s="698">
        <f>-($AE67+$V67)*EF.IndustrialCoal.CH4</f>
        <v>0</v>
      </c>
      <c r="BQ67" s="698">
        <f t="shared" si="7"/>
        <v>0</v>
      </c>
      <c r="BR67" s="698">
        <f>-($AG67+$X67)*EF.NaturalGas.CH4</f>
        <v>0</v>
      </c>
      <c r="BS67" s="699" t="s">
        <v>651</v>
      </c>
      <c r="BT67" s="729">
        <f t="shared" si="12"/>
        <v>0</v>
      </c>
      <c r="BU67" s="698">
        <f>-($AE67+$V67)*EF.IndustrialCoal.N2O</f>
        <v>0</v>
      </c>
      <c r="BV67" s="698">
        <f t="shared" si="8"/>
        <v>0</v>
      </c>
      <c r="BW67" s="698">
        <f>-($AG67+$X67)*EF.NaturalGas.N2O</f>
        <v>0</v>
      </c>
      <c r="BX67" s="699" t="s">
        <v>651</v>
      </c>
      <c r="BY67" s="729">
        <f t="shared" si="13"/>
        <v>0</v>
      </c>
      <c r="BZ67" s="729"/>
      <c r="CA67" s="730">
        <f t="shared" si="14"/>
        <v>0</v>
      </c>
    </row>
    <row r="68" spans="2:79" s="24" customFormat="1" ht="12.75" hidden="1" customHeight="1" outlineLevel="1">
      <c r="C68" s="749"/>
      <c r="D68" s="677" t="s">
        <v>44</v>
      </c>
      <c r="E68" s="677"/>
      <c r="F68" s="661" t="str">
        <f>$C$154</f>
        <v>[8]</v>
      </c>
      <c r="G68" s="662" t="s">
        <v>475</v>
      </c>
      <c r="H68" s="662"/>
      <c r="I68" s="663"/>
      <c r="J68" s="663"/>
      <c r="K68" s="663"/>
      <c r="L68" s="664"/>
      <c r="M68" s="665"/>
      <c r="N68" s="664"/>
      <c r="O68" s="664"/>
      <c r="P68" s="663">
        <f>L68+M68+N68+O68</f>
        <v>0</v>
      </c>
      <c r="Q68" s="663">
        <f>60000000*2320000*Unit.calorie*365.25</f>
        <v>59.090632000000006</v>
      </c>
      <c r="R68" s="666">
        <f t="shared" si="0"/>
        <v>59.090632000000006</v>
      </c>
      <c r="S68" s="667"/>
      <c r="T68" s="668"/>
      <c r="U68" s="668"/>
      <c r="V68" s="668"/>
      <c r="W68" s="668"/>
      <c r="X68" s="668"/>
      <c r="Y68" s="668"/>
      <c r="Z68" s="668"/>
      <c r="AA68" s="668">
        <f>-Q68/0.9</f>
        <v>-65.656257777777782</v>
      </c>
      <c r="AB68" s="668"/>
      <c r="AC68" s="669">
        <f>U68+T68+V68+W68+X68+Y68+Z68+AA68+AB68</f>
        <v>-65.656257777777782</v>
      </c>
      <c r="AD68" s="667"/>
      <c r="AE68" s="670"/>
      <c r="AF68" s="670"/>
      <c r="AG68" s="670"/>
      <c r="AH68" s="671">
        <f>AE68+AF68+AG68</f>
        <v>0</v>
      </c>
      <c r="AI68" s="671"/>
      <c r="AJ68" s="670"/>
      <c r="AK68" s="670"/>
      <c r="AL68" s="670"/>
      <c r="AM68" s="670"/>
      <c r="AN68" s="670"/>
      <c r="AO68" s="670"/>
      <c r="AP68" s="670"/>
      <c r="AQ68" s="670"/>
      <c r="AR68" s="671">
        <f t="shared" si="9"/>
        <v>0</v>
      </c>
      <c r="AS68" s="670"/>
      <c r="AT68" s="670"/>
      <c r="AU68" s="670"/>
      <c r="AV68" s="671">
        <f t="shared" si="1"/>
        <v>0</v>
      </c>
      <c r="AW68" s="672">
        <f t="shared" si="2"/>
        <v>0</v>
      </c>
      <c r="AX68" s="667"/>
      <c r="AY68" s="673">
        <f>-0.1*$AA68</f>
        <v>6.5656257777777789</v>
      </c>
      <c r="AZ68" s="673"/>
      <c r="BA68" s="674">
        <f t="shared" si="3"/>
        <v>6.5656257777777789</v>
      </c>
      <c r="BB68" s="673"/>
      <c r="BC68" s="673"/>
      <c r="BD68" s="673"/>
      <c r="BE68" s="674">
        <f>BB68+BC68+BD68</f>
        <v>0</v>
      </c>
      <c r="BF68" s="675">
        <f t="shared" si="4"/>
        <v>6.5656257777777789</v>
      </c>
      <c r="BG68" s="667"/>
      <c r="BH68" s="667">
        <f>R68+AC68+AW68+BF68</f>
        <v>0</v>
      </c>
      <c r="BI68" s="515"/>
      <c r="BJ68" s="741"/>
      <c r="BK68" s="722">
        <f>-($AE68+$V68)*EF.IndustrialCoal.CO2</f>
        <v>0</v>
      </c>
      <c r="BL68" s="722">
        <f t="shared" si="6"/>
        <v>0</v>
      </c>
      <c r="BM68" s="722">
        <f>-($AG68+$X68)*EF.NaturalGas.CO2</f>
        <v>0</v>
      </c>
      <c r="BN68" s="722">
        <f>-$Y68*EF.BlastFurnaceGas.CO2</f>
        <v>0</v>
      </c>
      <c r="BO68" s="732">
        <f t="shared" si="11"/>
        <v>0</v>
      </c>
      <c r="BP68" s="722">
        <f>-($AE68+$V68)*EF.IndustrialCoal.CH4</f>
        <v>0</v>
      </c>
      <c r="BQ68" s="722">
        <f t="shared" si="7"/>
        <v>0</v>
      </c>
      <c r="BR68" s="722">
        <f>-($AG68+$X68)*EF.NaturalGas.CH4</f>
        <v>0</v>
      </c>
      <c r="BS68" s="724" t="s">
        <v>651</v>
      </c>
      <c r="BT68" s="732">
        <f t="shared" si="12"/>
        <v>0</v>
      </c>
      <c r="BU68" s="722">
        <f>-($AE68+$V68)*EF.IndustrialCoal.N2O</f>
        <v>0</v>
      </c>
      <c r="BV68" s="722">
        <f t="shared" si="8"/>
        <v>0</v>
      </c>
      <c r="BW68" s="722">
        <f>-($AG68+$X68)*EF.NaturalGas.N2O</f>
        <v>0</v>
      </c>
      <c r="BX68" s="724" t="s">
        <v>651</v>
      </c>
      <c r="BY68" s="732">
        <f t="shared" si="13"/>
        <v>0</v>
      </c>
      <c r="BZ68" s="732"/>
      <c r="CA68" s="733">
        <f t="shared" si="14"/>
        <v>0</v>
      </c>
    </row>
    <row r="69" spans="2:79" s="24" customFormat="1" ht="12.75" hidden="1" customHeight="1" outlineLevel="1">
      <c r="C69" s="751"/>
      <c r="D69" s="512"/>
      <c r="E69" s="512"/>
      <c r="F69" s="510"/>
      <c r="G69" s="513"/>
      <c r="H69" s="513"/>
      <c r="I69" s="534"/>
      <c r="J69" s="534"/>
      <c r="K69" s="534"/>
      <c r="L69" s="540"/>
      <c r="M69" s="562"/>
      <c r="N69" s="540"/>
      <c r="O69" s="540"/>
      <c r="P69" s="534"/>
      <c r="Q69" s="534"/>
      <c r="R69" s="569"/>
      <c r="S69" s="515"/>
      <c r="T69" s="494"/>
      <c r="U69" s="494"/>
      <c r="V69" s="494"/>
      <c r="W69" s="494"/>
      <c r="X69" s="494"/>
      <c r="Y69" s="494"/>
      <c r="Z69" s="494"/>
      <c r="AA69" s="494"/>
      <c r="AB69" s="494"/>
      <c r="AC69" s="576"/>
      <c r="AD69" s="515"/>
      <c r="AE69" s="552"/>
      <c r="AF69" s="552"/>
      <c r="AG69" s="552"/>
      <c r="AH69" s="583"/>
      <c r="AI69" s="583"/>
      <c r="AJ69" s="552"/>
      <c r="AK69" s="552"/>
      <c r="AL69" s="552"/>
      <c r="AM69" s="552"/>
      <c r="AN69" s="552"/>
      <c r="AO69" s="552"/>
      <c r="AP69" s="552"/>
      <c r="AQ69" s="552"/>
      <c r="AR69" s="583"/>
      <c r="AS69" s="552"/>
      <c r="AT69" s="552"/>
      <c r="AU69" s="552"/>
      <c r="AV69" s="583"/>
      <c r="AW69" s="591"/>
      <c r="AX69" s="515"/>
      <c r="AY69" s="546"/>
      <c r="AZ69" s="546"/>
      <c r="BA69" s="598"/>
      <c r="BB69" s="546"/>
      <c r="BC69" s="546"/>
      <c r="BD69" s="546"/>
      <c r="BE69" s="598">
        <f>BB69+BC69+BD69</f>
        <v>0</v>
      </c>
      <c r="BF69" s="605"/>
      <c r="BG69" s="515"/>
      <c r="BH69" s="515"/>
      <c r="BI69" s="515"/>
      <c r="BJ69" s="741"/>
      <c r="BK69" s="698"/>
      <c r="BL69" s="698">
        <f t="shared" si="6"/>
        <v>0</v>
      </c>
      <c r="BM69" s="698"/>
      <c r="BN69" s="698"/>
      <c r="BO69" s="729"/>
      <c r="BP69" s="698"/>
      <c r="BQ69" s="698">
        <f t="shared" si="7"/>
        <v>0</v>
      </c>
      <c r="BR69" s="698"/>
      <c r="BS69" s="699"/>
      <c r="BT69" s="729"/>
      <c r="BU69" s="698"/>
      <c r="BV69" s="698">
        <f t="shared" si="8"/>
        <v>0</v>
      </c>
      <c r="BW69" s="698"/>
      <c r="BX69" s="699"/>
      <c r="BY69" s="729"/>
      <c r="BZ69" s="729"/>
      <c r="CA69" s="730"/>
    </row>
    <row r="70" spans="2:79" s="24" customFormat="1" ht="15.75">
      <c r="B70" s="3"/>
      <c r="C70" s="744" t="s">
        <v>675</v>
      </c>
      <c r="D70" s="517" t="str">
        <f>INDEX(Workstreams[Workstream], MATCH($C70, Workstreams[Code], 0))</f>
        <v>Geosequestration</v>
      </c>
      <c r="E70" s="512"/>
      <c r="F70" s="510"/>
      <c r="G70" s="513"/>
      <c r="H70" s="513"/>
      <c r="I70" s="534"/>
      <c r="J70" s="534"/>
      <c r="K70" s="534"/>
      <c r="L70" s="540"/>
      <c r="M70" s="562"/>
      <c r="N70" s="540"/>
      <c r="O70" s="540"/>
      <c r="P70" s="534">
        <f>L70+M70+N70+O70</f>
        <v>0</v>
      </c>
      <c r="Q70" s="534"/>
      <c r="R70" s="569"/>
      <c r="S70" s="515"/>
      <c r="T70" s="494"/>
      <c r="U70" s="494"/>
      <c r="V70" s="494"/>
      <c r="W70" s="494"/>
      <c r="X70" s="494"/>
      <c r="Y70" s="494"/>
      <c r="Z70" s="494"/>
      <c r="AA70" s="494"/>
      <c r="AB70" s="494"/>
      <c r="AC70" s="576">
        <f>U70+T70+V70+W70+X70+Y70+Z70+AA70+AB70</f>
        <v>0</v>
      </c>
      <c r="AD70" s="515"/>
      <c r="AE70" s="552"/>
      <c r="AF70" s="552"/>
      <c r="AG70" s="552"/>
      <c r="AH70" s="583">
        <f>AE70+AF70+AG70</f>
        <v>0</v>
      </c>
      <c r="AI70" s="583"/>
      <c r="AJ70" s="552"/>
      <c r="AK70" s="552"/>
      <c r="AL70" s="552"/>
      <c r="AM70" s="552"/>
      <c r="AN70" s="552"/>
      <c r="AO70" s="552"/>
      <c r="AP70" s="552"/>
      <c r="AQ70" s="552"/>
      <c r="AR70" s="583">
        <f t="shared" si="9"/>
        <v>0</v>
      </c>
      <c r="AS70" s="552"/>
      <c r="AT70" s="552"/>
      <c r="AU70" s="552"/>
      <c r="AV70" s="583">
        <f t="shared" si="1"/>
        <v>0</v>
      </c>
      <c r="AW70" s="591"/>
      <c r="AX70" s="515"/>
      <c r="AY70" s="546"/>
      <c r="AZ70" s="546"/>
      <c r="BA70" s="598">
        <f t="shared" si="3"/>
        <v>0</v>
      </c>
      <c r="BB70" s="546"/>
      <c r="BC70" s="546"/>
      <c r="BD70" s="546"/>
      <c r="BE70" s="598">
        <f>BB70+BC70+BD70</f>
        <v>0</v>
      </c>
      <c r="BF70" s="605"/>
      <c r="BG70" s="515"/>
      <c r="BH70" s="515"/>
      <c r="BI70" s="515"/>
      <c r="BJ70" s="517" t="str">
        <f>$D70</f>
        <v>Geosequestration</v>
      </c>
      <c r="BK70" s="698">
        <f>-($AE70+$V70)*EF.IndustrialCoal.CO2</f>
        <v>0</v>
      </c>
      <c r="BL70" s="698">
        <f t="shared" si="6"/>
        <v>0</v>
      </c>
      <c r="BM70" s="698">
        <f>-($AG70+$X70)*EF.NaturalGas.CO2</f>
        <v>0</v>
      </c>
      <c r="BN70" s="698">
        <f>-$Y70*EF.BlastFurnaceGas.CO2</f>
        <v>0</v>
      </c>
      <c r="BO70" s="729"/>
      <c r="BP70" s="698">
        <f>-($AE70+$V70)*EF.IndustrialCoal.CH4</f>
        <v>0</v>
      </c>
      <c r="BQ70" s="698">
        <f t="shared" si="7"/>
        <v>0</v>
      </c>
      <c r="BR70" s="698">
        <f>-($AG70+$X70)*EF.NaturalGas.CH4</f>
        <v>0</v>
      </c>
      <c r="BS70" s="699"/>
      <c r="BT70" s="729"/>
      <c r="BU70" s="698">
        <f>-($AE70+$V70)*EF.IndustrialCoal.N2O</f>
        <v>0</v>
      </c>
      <c r="BV70" s="698">
        <f t="shared" si="8"/>
        <v>0</v>
      </c>
      <c r="BW70" s="698">
        <f>-($AG70+$X70)*EF.NaturalGas.N2O</f>
        <v>0</v>
      </c>
      <c r="BX70" s="699"/>
      <c r="BY70" s="729"/>
      <c r="BZ70" s="729"/>
      <c r="CA70" s="730"/>
    </row>
    <row r="71" spans="2:79">
      <c r="C71" s="516"/>
      <c r="D71" s="517"/>
      <c r="I71" s="534"/>
      <c r="J71" s="534"/>
      <c r="K71" s="534"/>
      <c r="L71" s="540"/>
      <c r="M71" s="562"/>
      <c r="N71" s="540"/>
      <c r="O71" s="540"/>
      <c r="P71" s="534"/>
      <c r="Q71" s="534"/>
      <c r="R71" s="569"/>
      <c r="S71" s="515"/>
      <c r="T71" s="494"/>
      <c r="U71" s="494"/>
      <c r="V71" s="494"/>
      <c r="W71" s="494"/>
      <c r="X71" s="494"/>
      <c r="Y71" s="494"/>
      <c r="Z71" s="494"/>
      <c r="AA71" s="494"/>
      <c r="AB71" s="494"/>
      <c r="AC71" s="576"/>
      <c r="AD71" s="515"/>
      <c r="AE71" s="552"/>
      <c r="AF71" s="552"/>
      <c r="AG71" s="552"/>
      <c r="AH71" s="583"/>
      <c r="AI71" s="583"/>
      <c r="AJ71" s="552"/>
      <c r="AK71" s="552"/>
      <c r="AL71" s="552"/>
      <c r="AM71" s="552"/>
      <c r="AN71" s="552"/>
      <c r="AO71" s="552"/>
      <c r="AP71" s="552"/>
      <c r="AQ71" s="552"/>
      <c r="AR71" s="583"/>
      <c r="AS71" s="552"/>
      <c r="AT71" s="552"/>
      <c r="AU71" s="552"/>
      <c r="AV71" s="583"/>
      <c r="AW71" s="591"/>
      <c r="AX71" s="515"/>
      <c r="AY71" s="546"/>
      <c r="AZ71" s="546"/>
      <c r="BA71" s="598"/>
      <c r="BB71" s="546"/>
      <c r="BC71" s="546"/>
      <c r="BD71" s="546"/>
      <c r="BE71" s="598"/>
      <c r="BF71" s="605"/>
      <c r="BG71" s="515"/>
      <c r="BH71" s="515"/>
      <c r="BI71" s="515"/>
      <c r="BJ71" s="741"/>
      <c r="BK71" s="698"/>
      <c r="BL71" s="698">
        <f t="shared" si="6"/>
        <v>0</v>
      </c>
      <c r="BM71" s="698"/>
      <c r="BN71" s="698"/>
      <c r="BO71" s="729"/>
      <c r="BP71" s="698"/>
      <c r="BQ71" s="698">
        <f t="shared" si="7"/>
        <v>0</v>
      </c>
      <c r="BR71" s="698"/>
      <c r="BS71" s="699"/>
      <c r="BT71" s="706"/>
      <c r="BU71" s="698"/>
      <c r="BV71" s="698">
        <f t="shared" si="8"/>
        <v>0</v>
      </c>
      <c r="BW71" s="698"/>
      <c r="BX71" s="699"/>
      <c r="BY71" s="706"/>
      <c r="BZ71" s="706"/>
      <c r="CA71" s="702"/>
    </row>
    <row r="72" spans="2:79" ht="15.75">
      <c r="B72" s="3"/>
      <c r="C72" s="642"/>
      <c r="D72" s="643" t="s">
        <v>619</v>
      </c>
      <c r="E72" s="644"/>
      <c r="F72" s="645"/>
      <c r="G72" s="646"/>
      <c r="H72" s="646"/>
      <c r="I72" s="647">
        <f t="shared" ref="I72:R72" si="39">I$9+I$21+I$30+I$55+I$67+I$70</f>
        <v>582.62431955664806</v>
      </c>
      <c r="J72" s="647">
        <f t="shared" si="39"/>
        <v>146.69564603235992</v>
      </c>
      <c r="K72" s="647">
        <f t="shared" si="39"/>
        <v>444.82296266790246</v>
      </c>
      <c r="L72" s="648">
        <f t="shared" si="39"/>
        <v>502.50552967076953</v>
      </c>
      <c r="M72" s="649">
        <f t="shared" si="39"/>
        <v>16.246998166435951</v>
      </c>
      <c r="N72" s="648">
        <f t="shared" si="39"/>
        <v>161.72636929234235</v>
      </c>
      <c r="O72" s="648">
        <f t="shared" si="39"/>
        <v>48.041663833596701</v>
      </c>
      <c r="P72" s="647">
        <f t="shared" si="39"/>
        <v>728.52056096314448</v>
      </c>
      <c r="Q72" s="647">
        <f t="shared" si="39"/>
        <v>59.090632000000006</v>
      </c>
      <c r="R72" s="650">
        <f t="shared" si="39"/>
        <v>1961.7541212200549</v>
      </c>
      <c r="S72" s="651"/>
      <c r="T72" s="652">
        <f t="shared" ref="T72:AC72" si="40">T$9+T$21+T$30+T$55+T$67+T$70</f>
        <v>-339.35117296651214</v>
      </c>
      <c r="U72" s="652">
        <f>U$9+U$21+U$30+U$55+U$67+U$70</f>
        <v>34.033592131949163</v>
      </c>
      <c r="V72" s="652">
        <f>V$9+V$21+V$30+V$55+V$67+V$70</f>
        <v>-103.7063896744209</v>
      </c>
      <c r="W72" s="652">
        <f>W$9+W$21+W$30+W$55+W$67+W$70</f>
        <v>-855.85813688872099</v>
      </c>
      <c r="X72" s="652">
        <f>X$9+X$21+X$30+X$55+X$67+X$70</f>
        <v>-703.76729339052758</v>
      </c>
      <c r="Y72" s="652">
        <f>Y$9+Y$21+Y$30+Y$55+Y$67+Y$70</f>
        <v>-0.11045622229999985</v>
      </c>
      <c r="Z72" s="652">
        <f t="shared" si="40"/>
        <v>0.76341783423913068</v>
      </c>
      <c r="AA72" s="652">
        <f t="shared" si="40"/>
        <v>-65.656257777777782</v>
      </c>
      <c r="AB72" s="652">
        <f t="shared" si="40"/>
        <v>0</v>
      </c>
      <c r="AC72" s="653">
        <f t="shared" si="40"/>
        <v>-2033.652696954071</v>
      </c>
      <c r="AD72" s="651"/>
      <c r="AE72" s="654">
        <f t="shared" ref="AE72:AW72" si="41">AE$9+AE$21+AE$30+AE$55+AE$67+AE$70</f>
        <v>0</v>
      </c>
      <c r="AF72" s="654">
        <f t="shared" si="41"/>
        <v>0</v>
      </c>
      <c r="AG72" s="654">
        <f t="shared" si="41"/>
        <v>0</v>
      </c>
      <c r="AH72" s="655">
        <f t="shared" si="41"/>
        <v>0</v>
      </c>
      <c r="AI72" s="655">
        <f t="shared" si="41"/>
        <v>0</v>
      </c>
      <c r="AJ72" s="654">
        <f t="shared" si="41"/>
        <v>-0.53605914770000007</v>
      </c>
      <c r="AK72" s="654">
        <f t="shared" si="41"/>
        <v>-1.705027184782586</v>
      </c>
      <c r="AL72" s="654">
        <f t="shared" si="41"/>
        <v>0</v>
      </c>
      <c r="AM72" s="654">
        <f t="shared" si="41"/>
        <v>0</v>
      </c>
      <c r="AN72" s="654">
        <f t="shared" si="41"/>
        <v>0</v>
      </c>
      <c r="AO72" s="654">
        <f t="shared" si="41"/>
        <v>-0.94481533000000006</v>
      </c>
      <c r="AP72" s="654">
        <f t="shared" si="41"/>
        <v>0</v>
      </c>
      <c r="AQ72" s="654">
        <f t="shared" si="41"/>
        <v>-8.2710417805540501</v>
      </c>
      <c r="AR72" s="655">
        <f t="shared" si="41"/>
        <v>-11.456943443036636</v>
      </c>
      <c r="AS72" s="654">
        <f t="shared" si="41"/>
        <v>-13.051332407726088</v>
      </c>
      <c r="AT72" s="654">
        <f t="shared" si="41"/>
        <v>0</v>
      </c>
      <c r="AU72" s="654">
        <f t="shared" si="41"/>
        <v>-20.468577340057742</v>
      </c>
      <c r="AV72" s="655">
        <f t="shared" si="41"/>
        <v>-33.519909747783828</v>
      </c>
      <c r="AW72" s="656">
        <f t="shared" si="41"/>
        <v>-44.976853190820457</v>
      </c>
      <c r="AX72" s="651"/>
      <c r="AY72" s="657">
        <f t="shared" ref="AY72:BF72" si="42">AY$9+AY$21+AY$30+AY$55+AY$67+AY$70</f>
        <v>112.75939820096568</v>
      </c>
      <c r="AZ72" s="657">
        <f t="shared" si="42"/>
        <v>4.1160307238708489</v>
      </c>
      <c r="BA72" s="658">
        <f t="shared" si="42"/>
        <v>116.87542892483653</v>
      </c>
      <c r="BB72" s="657">
        <f t="shared" si="42"/>
        <v>0</v>
      </c>
      <c r="BC72" s="657">
        <f t="shared" si="42"/>
        <v>0</v>
      </c>
      <c r="BD72" s="657">
        <f t="shared" si="42"/>
        <v>0</v>
      </c>
      <c r="BE72" s="658">
        <f>BB72+BC72+BD72</f>
        <v>0</v>
      </c>
      <c r="BF72" s="659">
        <f t="shared" si="42"/>
        <v>116.87542892483653</v>
      </c>
      <c r="BG72" s="651"/>
      <c r="BH72" s="651">
        <f>R72+AC72+AW72+BF72</f>
        <v>0</v>
      </c>
      <c r="BI72" s="518"/>
      <c r="BJ72" s="643" t="str">
        <f>$D72</f>
        <v>Total consumption</v>
      </c>
      <c r="BK72" s="726">
        <f>-($AE72+$V72)*EF.IndustrialCoal.CO2</f>
        <v>31.941568019721633</v>
      </c>
      <c r="BL72" s="726">
        <f t="shared" si="6"/>
        <v>213.96453422218025</v>
      </c>
      <c r="BM72" s="726">
        <f>-($AG72+$X72)*EF.NaturalGas.CO2</f>
        <v>129.49318198385706</v>
      </c>
      <c r="BN72" s="726">
        <f>-$Y72*EF.BlastFurnaceGas.CO2</f>
        <v>8.6688539495683642E-2</v>
      </c>
      <c r="BO72" s="711">
        <f t="shared" si="11"/>
        <v>375.48597276525464</v>
      </c>
      <c r="BP72" s="727">
        <f>-($AE72+$V72)*EF.IndustrialCoal.CH4</f>
        <v>9.3832783920110727E-2</v>
      </c>
      <c r="BQ72" s="727">
        <f t="shared" si="7"/>
        <v>0.26638500042787472</v>
      </c>
      <c r="BR72" s="727">
        <f>-($AG72+$X72)*EF.NaturalGas.CH4</f>
        <v>0.25956723261212322</v>
      </c>
      <c r="BS72" s="728" t="s">
        <v>651</v>
      </c>
      <c r="BT72" s="711">
        <f t="shared" si="12"/>
        <v>0.61978501696010868</v>
      </c>
      <c r="BU72" s="727">
        <f>-($AE72+$V72)*EF.IndustrialCoal.N2O</f>
        <v>0.28295480949641477</v>
      </c>
      <c r="BV72" s="727">
        <f t="shared" si="8"/>
        <v>3.8496604033796897</v>
      </c>
      <c r="BW72" s="727">
        <f>-($AG72+$X72)*EF.NaturalGas.N2O</f>
        <v>0.27917717793306696</v>
      </c>
      <c r="BX72" s="728" t="s">
        <v>651</v>
      </c>
      <c r="BY72" s="711">
        <f t="shared" si="13"/>
        <v>4.4117923908091718</v>
      </c>
      <c r="BZ72" s="711"/>
      <c r="CA72" s="712">
        <f t="shared" si="14"/>
        <v>380.51755017302395</v>
      </c>
    </row>
    <row r="73" spans="2:79">
      <c r="C73" s="509"/>
      <c r="I73" s="534"/>
      <c r="J73" s="534"/>
      <c r="K73" s="534"/>
      <c r="L73" s="540"/>
      <c r="M73" s="562"/>
      <c r="N73" s="540"/>
      <c r="O73" s="540"/>
      <c r="P73" s="534"/>
      <c r="Q73" s="534"/>
      <c r="R73" s="569"/>
      <c r="S73" s="515"/>
      <c r="T73" s="494"/>
      <c r="U73" s="494"/>
      <c r="V73" s="494"/>
      <c r="W73" s="494"/>
      <c r="X73" s="494"/>
      <c r="Y73" s="494"/>
      <c r="Z73" s="494"/>
      <c r="AA73" s="494"/>
      <c r="AB73" s="494"/>
      <c r="AC73" s="576"/>
      <c r="AD73" s="515"/>
      <c r="AE73" s="552"/>
      <c r="AF73" s="552"/>
      <c r="AG73" s="552"/>
      <c r="AH73" s="583"/>
      <c r="AI73" s="583"/>
      <c r="AJ73" s="552"/>
      <c r="AK73" s="552"/>
      <c r="AL73" s="552"/>
      <c r="AM73" s="552"/>
      <c r="AN73" s="552"/>
      <c r="AO73" s="552"/>
      <c r="AP73" s="552"/>
      <c r="AQ73" s="552"/>
      <c r="AR73" s="583"/>
      <c r="AS73" s="552"/>
      <c r="AT73" s="552"/>
      <c r="AU73" s="552"/>
      <c r="AV73" s="583"/>
      <c r="AW73" s="591"/>
      <c r="AX73" s="515"/>
      <c r="AY73" s="546"/>
      <c r="AZ73" s="546"/>
      <c r="BA73" s="598"/>
      <c r="BB73" s="546"/>
      <c r="BC73" s="546"/>
      <c r="BD73" s="546"/>
      <c r="BE73" s="598"/>
      <c r="BF73" s="605"/>
      <c r="BG73" s="515"/>
      <c r="BH73" s="515"/>
      <c r="BI73" s="515"/>
      <c r="BJ73" s="741"/>
      <c r="BK73" s="698"/>
      <c r="BL73" s="698">
        <f t="shared" ref="BL73:BL133" si="43">-($AF73+$W73+$BD73)*EF.Diesel.CO2</f>
        <v>0</v>
      </c>
      <c r="BM73" s="698"/>
      <c r="BN73" s="698"/>
      <c r="BO73" s="729"/>
      <c r="BP73" s="698"/>
      <c r="BQ73" s="698">
        <f t="shared" ref="BQ73:BQ133" si="44">-($AF73+$W73+$BD73)*EF.Diesel.CH4</f>
        <v>0</v>
      </c>
      <c r="BR73" s="698"/>
      <c r="BS73" s="699"/>
      <c r="BT73" s="706"/>
      <c r="BU73" s="698"/>
      <c r="BV73" s="698">
        <f t="shared" ref="BV73:BV133" si="45">-($AF73+$W73+$BD73)*EF.Diesel.N2O</f>
        <v>0</v>
      </c>
      <c r="BW73" s="698"/>
      <c r="BX73" s="699"/>
      <c r="BY73" s="706"/>
      <c r="BZ73" s="706"/>
      <c r="CA73" s="702"/>
    </row>
    <row r="74" spans="2:79" ht="24" customHeight="1">
      <c r="C74" s="501" t="s">
        <v>72</v>
      </c>
      <c r="D74" s="501"/>
      <c r="E74" s="639"/>
      <c r="F74" s="640"/>
      <c r="G74" s="641"/>
      <c r="H74" s="641"/>
      <c r="I74" s="533"/>
      <c r="J74" s="533"/>
      <c r="K74" s="533"/>
      <c r="L74" s="539"/>
      <c r="M74" s="539"/>
      <c r="N74" s="539"/>
      <c r="O74" s="539"/>
      <c r="P74" s="533"/>
      <c r="Q74" s="533"/>
      <c r="R74" s="568"/>
      <c r="S74" s="514"/>
      <c r="T74" s="493"/>
      <c r="U74" s="493"/>
      <c r="V74" s="493"/>
      <c r="W74" s="493"/>
      <c r="X74" s="493"/>
      <c r="Y74" s="493"/>
      <c r="Z74" s="493"/>
      <c r="AA74" s="493"/>
      <c r="AB74" s="493"/>
      <c r="AC74" s="575"/>
      <c r="AD74" s="514"/>
      <c r="AE74" s="551"/>
      <c r="AF74" s="551"/>
      <c r="AG74" s="551"/>
      <c r="AH74" s="582"/>
      <c r="AI74" s="582"/>
      <c r="AJ74" s="551"/>
      <c r="AK74" s="551"/>
      <c r="AL74" s="551"/>
      <c r="AM74" s="551"/>
      <c r="AN74" s="551"/>
      <c r="AO74" s="551"/>
      <c r="AP74" s="551"/>
      <c r="AQ74" s="551"/>
      <c r="AR74" s="582"/>
      <c r="AS74" s="551"/>
      <c r="AT74" s="551"/>
      <c r="AU74" s="551"/>
      <c r="AV74" s="582"/>
      <c r="AW74" s="590"/>
      <c r="AX74" s="514"/>
      <c r="AY74" s="545"/>
      <c r="AZ74" s="545"/>
      <c r="BA74" s="597"/>
      <c r="BB74" s="545"/>
      <c r="BC74" s="545"/>
      <c r="BD74" s="545"/>
      <c r="BE74" s="597"/>
      <c r="BF74" s="604"/>
      <c r="BG74" s="514"/>
      <c r="BH74" s="514"/>
      <c r="BI74" s="514"/>
      <c r="BJ74" s="741"/>
      <c r="BK74" s="698">
        <f>-($AE74+$V74)*EF.IndustrialCoal.CO2</f>
        <v>0</v>
      </c>
      <c r="BL74" s="698">
        <f t="shared" si="43"/>
        <v>0</v>
      </c>
      <c r="BM74" s="698">
        <f>-($AG74+$X74)*EF.NaturalGas.CO2</f>
        <v>0</v>
      </c>
      <c r="BN74" s="698">
        <f>-$Y74*EF.BlastFurnaceGas.CO2</f>
        <v>0</v>
      </c>
      <c r="BO74" s="729"/>
      <c r="BP74" s="698">
        <f>-($AE74+$V74)*EF.IndustrialCoal.CH4</f>
        <v>0</v>
      </c>
      <c r="BQ74" s="698">
        <f t="shared" si="44"/>
        <v>0</v>
      </c>
      <c r="BR74" s="698">
        <f>-($AG74+$X74)*EF.NaturalGas.CH4</f>
        <v>0</v>
      </c>
      <c r="BS74" s="699"/>
      <c r="BT74" s="706"/>
      <c r="BU74" s="698">
        <f>-($AE74+$V74)*EF.IndustrialCoal.N2O</f>
        <v>0</v>
      </c>
      <c r="BV74" s="698">
        <f t="shared" si="45"/>
        <v>0</v>
      </c>
      <c r="BW74" s="698">
        <f>-($AG74+$X74)*EF.NaturalGas.N2O</f>
        <v>0</v>
      </c>
      <c r="BX74" s="699"/>
      <c r="BY74" s="706"/>
      <c r="BZ74" s="706"/>
      <c r="CA74" s="702"/>
    </row>
    <row r="75" spans="2:79" ht="6" customHeight="1">
      <c r="I75" s="534"/>
      <c r="J75" s="534"/>
      <c r="K75" s="534"/>
      <c r="L75" s="540"/>
      <c r="M75" s="562"/>
      <c r="N75" s="540"/>
      <c r="O75" s="540"/>
      <c r="P75" s="534"/>
      <c r="Q75" s="534"/>
      <c r="R75" s="569"/>
      <c r="S75" s="515"/>
      <c r="T75" s="494"/>
      <c r="U75" s="494"/>
      <c r="V75" s="494"/>
      <c r="W75" s="494"/>
      <c r="X75" s="494"/>
      <c r="Y75" s="494"/>
      <c r="Z75" s="494"/>
      <c r="AA75" s="494"/>
      <c r="AB75" s="494"/>
      <c r="AC75" s="576"/>
      <c r="AD75" s="515"/>
      <c r="AE75" s="552"/>
      <c r="AF75" s="552"/>
      <c r="AG75" s="552"/>
      <c r="AH75" s="583"/>
      <c r="AI75" s="583"/>
      <c r="AJ75" s="552"/>
      <c r="AK75" s="552"/>
      <c r="AL75" s="552"/>
      <c r="AM75" s="552"/>
      <c r="AN75" s="552"/>
      <c r="AO75" s="552"/>
      <c r="AP75" s="552"/>
      <c r="AQ75" s="552"/>
      <c r="AR75" s="583"/>
      <c r="AS75" s="552"/>
      <c r="AT75" s="552"/>
      <c r="AU75" s="552"/>
      <c r="AV75" s="583"/>
      <c r="AW75" s="591"/>
      <c r="AX75" s="515"/>
      <c r="AY75" s="546"/>
      <c r="AZ75" s="546"/>
      <c r="BA75" s="598"/>
      <c r="BB75" s="546"/>
      <c r="BC75" s="546"/>
      <c r="BD75" s="546"/>
      <c r="BE75" s="598"/>
      <c r="BF75" s="605"/>
      <c r="BG75" s="515"/>
      <c r="BH75" s="515"/>
      <c r="BI75" s="515"/>
      <c r="BJ75" s="741"/>
      <c r="BK75" s="698"/>
      <c r="BL75" s="698">
        <f t="shared" si="43"/>
        <v>0</v>
      </c>
      <c r="BM75" s="698"/>
      <c r="BN75" s="698"/>
      <c r="BO75" s="729"/>
      <c r="BP75" s="698"/>
      <c r="BQ75" s="698">
        <f t="shared" si="44"/>
        <v>0</v>
      </c>
      <c r="BR75" s="698"/>
      <c r="BS75" s="699"/>
      <c r="BT75" s="706"/>
      <c r="BU75" s="698"/>
      <c r="BV75" s="698">
        <f t="shared" si="45"/>
        <v>0</v>
      </c>
      <c r="BW75" s="698"/>
      <c r="BX75" s="699"/>
      <c r="BY75" s="706"/>
      <c r="BZ75" s="706"/>
      <c r="CA75" s="702"/>
    </row>
    <row r="76" spans="2:79" s="24" customFormat="1" ht="15.75" collapsed="1">
      <c r="B76" s="3"/>
      <c r="C76" s="744" t="s">
        <v>672</v>
      </c>
      <c r="D76" s="517" t="str">
        <f>INDEX(Workstreams[Workstream], MATCH($C76, Workstreams[Code], 0))</f>
        <v>Agriculture and waste</v>
      </c>
      <c r="E76" s="512"/>
      <c r="F76" s="510"/>
      <c r="G76" s="513"/>
      <c r="H76" s="513"/>
      <c r="I76" s="534"/>
      <c r="J76" s="534"/>
      <c r="K76" s="534"/>
      <c r="L76" s="540"/>
      <c r="M76" s="562"/>
      <c r="N76" s="540"/>
      <c r="O76" s="540"/>
      <c r="P76" s="534">
        <f>L76+M76+N76+O76</f>
        <v>0</v>
      </c>
      <c r="Q76" s="534"/>
      <c r="R76" s="569">
        <f t="shared" ref="R76:R109" si="46">I76+J76+K76+P76+Q76</f>
        <v>0</v>
      </c>
      <c r="S76" s="515"/>
      <c r="T76" s="494">
        <f>T77+T78+T83</f>
        <v>-4.1248585661758046</v>
      </c>
      <c r="U76" s="494"/>
      <c r="V76" s="494">
        <f>V77+V78+V83</f>
        <v>-3.111111111111111E-2</v>
      </c>
      <c r="W76" s="494">
        <f>W77+W78+W83</f>
        <v>-3.4235639577796366</v>
      </c>
      <c r="X76" s="494">
        <f>X77+X78+X83</f>
        <v>-1.9989202658570244</v>
      </c>
      <c r="Y76" s="494"/>
      <c r="Z76" s="494"/>
      <c r="AA76" s="494">
        <f>AA77+AA78+AA83</f>
        <v>65.656257777777782</v>
      </c>
      <c r="AB76" s="494"/>
      <c r="AC76" s="576">
        <f>U76+T76+V76+W76+X76+Y76+Z76+AA76+AB76</f>
        <v>56.077803876854205</v>
      </c>
      <c r="AD76" s="515"/>
      <c r="AE76" s="552">
        <f>AE77+AE78+AE83</f>
        <v>0</v>
      </c>
      <c r="AF76" s="552">
        <f>AF77+AF78+AF83</f>
        <v>0</v>
      </c>
      <c r="AG76" s="552">
        <f>AG77+AG78+AG83</f>
        <v>0</v>
      </c>
      <c r="AH76" s="583">
        <f>AE76+AF76+AG76</f>
        <v>0</v>
      </c>
      <c r="AI76" s="583"/>
      <c r="AJ76" s="552">
        <f>AJ77+AJ78+AJ83</f>
        <v>-54.00076878455662</v>
      </c>
      <c r="AK76" s="552"/>
      <c r="AL76" s="552"/>
      <c r="AM76" s="552"/>
      <c r="AN76" s="552"/>
      <c r="AO76" s="552"/>
      <c r="AP76" s="552"/>
      <c r="AQ76" s="552">
        <f>AQ77+AQ78+AQ83</f>
        <v>18.169646022165825</v>
      </c>
      <c r="AR76" s="583">
        <f t="shared" ref="AR76:AR109" si="47">AJ76+AK76+AL76+AM76+AN76+AO76+AP76+AQ76</f>
        <v>-35.831122762390791</v>
      </c>
      <c r="AS76" s="552">
        <f>AS77+AS78+AS83</f>
        <v>0</v>
      </c>
      <c r="AT76" s="552"/>
      <c r="AU76" s="552"/>
      <c r="AV76" s="583">
        <f t="shared" ref="AV76:AV126" si="48">AS76+AT76+AU76</f>
        <v>0</v>
      </c>
      <c r="AW76" s="591">
        <f t="shared" ref="AW76:AW126" si="49">AH76+AI76+AR76+AV76</f>
        <v>-35.831122762390791</v>
      </c>
      <c r="AX76" s="515"/>
      <c r="AY76" s="546">
        <f>AY77+AY78+AY83</f>
        <v>10.414277248076411</v>
      </c>
      <c r="AZ76" s="546"/>
      <c r="BA76" s="598">
        <f t="shared" ref="BA76:BA126" si="50">AY76+AZ76</f>
        <v>10.414277248076411</v>
      </c>
      <c r="BB76" s="546">
        <f>BB77+BB78+BB83</f>
        <v>-26.262503111111116</v>
      </c>
      <c r="BC76" s="546">
        <f>BC77+BC78+BC83</f>
        <v>-4.3984552514287021</v>
      </c>
      <c r="BD76" s="546"/>
      <c r="BE76" s="598">
        <f t="shared" ref="BE76:BE109" si="51">BB76+BC76+BD76</f>
        <v>-30.660958362539816</v>
      </c>
      <c r="BF76" s="605">
        <f t="shared" ref="BF76:BF109" si="52">BA76+BE76</f>
        <v>-20.246681114463406</v>
      </c>
      <c r="BG76" s="515"/>
      <c r="BH76" s="515">
        <f t="shared" ref="BH76:BH83" si="53">R76+AC76+AW76+BF76</f>
        <v>0</v>
      </c>
      <c r="BI76" s="515"/>
      <c r="BJ76" s="517" t="str">
        <f>$D76</f>
        <v>Agriculture and waste</v>
      </c>
      <c r="BK76" s="698">
        <f>-($AE76+$V76)*EF.IndustrialCoal.CO2</f>
        <v>9.5822222222222194E-3</v>
      </c>
      <c r="BL76" s="698">
        <f t="shared" si="43"/>
        <v>0.85589098944490916</v>
      </c>
      <c r="BM76" s="698">
        <f>-($AG76+$X76)*EF.NaturalGas.CO2</f>
        <v>0.3678013289176924</v>
      </c>
      <c r="BN76" s="698">
        <f>-$Y76*EF.BlastFurnaceGas.CO2</f>
        <v>0</v>
      </c>
      <c r="BO76" s="729">
        <f t="shared" ref="BO76:BO133" si="54">$BK76+$BL76+$BM76+$BN76</f>
        <v>1.2332745405848238</v>
      </c>
      <c r="BP76" s="698">
        <f>-($AE76+$V76)*EF.IndustrialCoal.CH4</f>
        <v>2.8149106102027129E-5</v>
      </c>
      <c r="BQ76" s="698">
        <f t="shared" si="44"/>
        <v>1.0655809030142595E-3</v>
      </c>
      <c r="BR76" s="698">
        <f>-($AG76+$X76)*EF.NaturalGas.CH4</f>
        <v>7.372525073183247E-4</v>
      </c>
      <c r="BS76" s="699" t="s">
        <v>651</v>
      </c>
      <c r="BT76" s="729">
        <f t="shared" ref="BT76:BT133" si="55">BP76+BQ76+BR76</f>
        <v>1.8309825164346113E-3</v>
      </c>
      <c r="BU76" s="698">
        <f>-($AE76+$V76)*EF.IndustrialCoal.N2O</f>
        <v>8.4884244310333935E-5</v>
      </c>
      <c r="BV76" s="698">
        <f t="shared" si="45"/>
        <v>1.5399232698322449E-2</v>
      </c>
      <c r="BW76" s="698">
        <f>-($AG76+$X76)*EF.NaturalGas.N2O</f>
        <v>7.9295091428113686E-4</v>
      </c>
      <c r="BX76" s="699" t="s">
        <v>651</v>
      </c>
      <c r="BY76" s="729">
        <f t="shared" ref="BY76:BY133" si="56">BU76+BV76+BW76</f>
        <v>1.6277067856913921E-2</v>
      </c>
      <c r="BZ76" s="729"/>
      <c r="CA76" s="730">
        <f t="shared" ref="CA76:CA133" si="57">BO76+BT76+BY76+BZ76</f>
        <v>1.2513825909581724</v>
      </c>
    </row>
    <row r="77" spans="2:79" s="24" customFormat="1" ht="12.75" hidden="1" customHeight="1" outlineLevel="1">
      <c r="C77" s="749"/>
      <c r="D77" s="677" t="s">
        <v>481</v>
      </c>
      <c r="E77" s="677"/>
      <c r="F77" s="661" t="str">
        <f>$C$156</f>
        <v>[9]</v>
      </c>
      <c r="G77" s="662" t="s">
        <v>484</v>
      </c>
      <c r="H77" s="662"/>
      <c r="I77" s="663"/>
      <c r="J77" s="663"/>
      <c r="K77" s="663"/>
      <c r="L77" s="664"/>
      <c r="M77" s="665"/>
      <c r="N77" s="664"/>
      <c r="O77" s="664"/>
      <c r="P77" s="663">
        <f>L77+M77+N77+O77</f>
        <v>0</v>
      </c>
      <c r="Q77" s="663"/>
      <c r="R77" s="666">
        <f t="shared" si="46"/>
        <v>0</v>
      </c>
      <c r="S77" s="667"/>
      <c r="T77" s="668">
        <f>-'DUKES 09 (1.2)'!$I$61*Unit.ktoe</f>
        <v>-4.1248585661758046</v>
      </c>
      <c r="U77" s="668"/>
      <c r="V77" s="668">
        <f>-'DUKES 09 (1.2)'!$B$61*Unit.ktoe</f>
        <v>-3.111111111111111E-2</v>
      </c>
      <c r="W77" s="668">
        <f>-'DUKES 09 (1.2)'!$E$61*Unit.ktoe</f>
        <v>-3.4235639577796366</v>
      </c>
      <c r="X77" s="668">
        <f>-'DUKES 09 (1.2)'!$F$61*Unit.ktoe</f>
        <v>-1.9989202658570244</v>
      </c>
      <c r="Y77" s="668"/>
      <c r="Z77" s="668"/>
      <c r="AA77" s="668"/>
      <c r="AB77" s="668"/>
      <c r="AC77" s="669">
        <f>U77+T77+V77+W77+X77+Y77+Z77+AA77+AB77</f>
        <v>-9.5784539009235772</v>
      </c>
      <c r="AD77" s="667"/>
      <c r="AE77" s="670"/>
      <c r="AF77" s="670"/>
      <c r="AG77" s="670"/>
      <c r="AH77" s="671">
        <f>AE77+AF77+AG77</f>
        <v>0</v>
      </c>
      <c r="AI77" s="671"/>
      <c r="AJ77" s="670"/>
      <c r="AK77" s="670"/>
      <c r="AL77" s="670"/>
      <c r="AM77" s="670"/>
      <c r="AN77" s="670"/>
      <c r="AO77" s="670"/>
      <c r="AP77" s="670"/>
      <c r="AQ77" s="670">
        <f>-'DUKES 09 (7.2)'!$E$64*Unit.ktoe</f>
        <v>-0.83582334715283335</v>
      </c>
      <c r="AR77" s="671">
        <f t="shared" si="47"/>
        <v>-0.83582334715283335</v>
      </c>
      <c r="AS77" s="670"/>
      <c r="AT77" s="670"/>
      <c r="AU77" s="670"/>
      <c r="AV77" s="671">
        <f t="shared" si="48"/>
        <v>0</v>
      </c>
      <c r="AW77" s="672">
        <f t="shared" si="49"/>
        <v>-0.83582334715283335</v>
      </c>
      <c r="AX77" s="667"/>
      <c r="AY77" s="678">
        <f>-$AC77-$AW77</f>
        <v>10.414277248076411</v>
      </c>
      <c r="AZ77" s="673"/>
      <c r="BA77" s="674">
        <f t="shared" si="50"/>
        <v>10.414277248076411</v>
      </c>
      <c r="BB77" s="673"/>
      <c r="BC77" s="673"/>
      <c r="BD77" s="673"/>
      <c r="BE77" s="674">
        <f t="shared" si="51"/>
        <v>0</v>
      </c>
      <c r="BF77" s="675">
        <f t="shared" si="52"/>
        <v>10.414277248076411</v>
      </c>
      <c r="BG77" s="667"/>
      <c r="BH77" s="667">
        <f t="shared" si="53"/>
        <v>0</v>
      </c>
      <c r="BI77" s="515"/>
      <c r="BJ77" s="741"/>
      <c r="BK77" s="722">
        <f>-($AE77+$V77)*EF.IndustrialCoal.CO2</f>
        <v>9.5822222222222194E-3</v>
      </c>
      <c r="BL77" s="722">
        <f t="shared" si="43"/>
        <v>0.85589098944490916</v>
      </c>
      <c r="BM77" s="722">
        <f>-($AG77+$X77)*EF.NaturalGas.CO2</f>
        <v>0.3678013289176924</v>
      </c>
      <c r="BN77" s="722">
        <f>-$Y77*EF.BlastFurnaceGas.CO2</f>
        <v>0</v>
      </c>
      <c r="BO77" s="732">
        <f t="shared" si="54"/>
        <v>1.2332745405848238</v>
      </c>
      <c r="BP77" s="722">
        <f>-($AE77+$V77)*EF.IndustrialCoal.CH4</f>
        <v>2.8149106102027129E-5</v>
      </c>
      <c r="BQ77" s="722">
        <f t="shared" si="44"/>
        <v>1.0655809030142595E-3</v>
      </c>
      <c r="BR77" s="722">
        <f>-($AG77+$X77)*EF.NaturalGas.CH4</f>
        <v>7.372525073183247E-4</v>
      </c>
      <c r="BS77" s="724" t="s">
        <v>651</v>
      </c>
      <c r="BT77" s="732">
        <f t="shared" si="55"/>
        <v>1.8309825164346113E-3</v>
      </c>
      <c r="BU77" s="722">
        <f>-($AE77+$V77)*EF.IndustrialCoal.N2O</f>
        <v>8.4884244310333935E-5</v>
      </c>
      <c r="BV77" s="722">
        <f t="shared" si="45"/>
        <v>1.5399232698322449E-2</v>
      </c>
      <c r="BW77" s="722">
        <f>-($AG77+$X77)*EF.NaturalGas.N2O</f>
        <v>7.9295091428113686E-4</v>
      </c>
      <c r="BX77" s="724" t="s">
        <v>651</v>
      </c>
      <c r="BY77" s="732">
        <f t="shared" si="56"/>
        <v>1.6277067856913921E-2</v>
      </c>
      <c r="BZ77" s="732"/>
      <c r="CA77" s="733">
        <f t="shared" si="57"/>
        <v>1.2513825909581724</v>
      </c>
    </row>
    <row r="78" spans="2:79" s="24" customFormat="1" ht="12.75" hidden="1" customHeight="1" outlineLevel="1" collapsed="1">
      <c r="C78" s="751"/>
      <c r="D78" s="512" t="s">
        <v>599</v>
      </c>
      <c r="E78" s="512"/>
      <c r="F78" s="510" t="str">
        <f>$C$164</f>
        <v>[14]</v>
      </c>
      <c r="G78" s="513"/>
      <c r="H78" s="513"/>
      <c r="I78" s="534"/>
      <c r="J78" s="534"/>
      <c r="K78" s="534"/>
      <c r="L78" s="540"/>
      <c r="M78" s="562"/>
      <c r="N78" s="540"/>
      <c r="O78" s="540"/>
      <c r="P78" s="534"/>
      <c r="Q78" s="534"/>
      <c r="R78" s="569">
        <f t="shared" si="46"/>
        <v>0</v>
      </c>
      <c r="S78" s="515"/>
      <c r="T78" s="494"/>
      <c r="U78" s="494"/>
      <c r="V78" s="494"/>
      <c r="W78" s="494"/>
      <c r="X78" s="494"/>
      <c r="Y78" s="494"/>
      <c r="Z78" s="494"/>
      <c r="AA78" s="494"/>
      <c r="AB78" s="494"/>
      <c r="AC78" s="576">
        <f>U78+T78+V78+W78+X78+Y78+Z78+AA78+AB78</f>
        <v>0</v>
      </c>
      <c r="AD78" s="515"/>
      <c r="AE78" s="552"/>
      <c r="AF78" s="552"/>
      <c r="AG78" s="552"/>
      <c r="AH78" s="583">
        <f>AE78+AF78+AG78</f>
        <v>0</v>
      </c>
      <c r="AI78" s="583"/>
      <c r="AJ78" s="552">
        <f>AJ80+AJ81+AJ82</f>
        <v>-14.607014117889955</v>
      </c>
      <c r="AK78" s="552"/>
      <c r="AL78" s="552"/>
      <c r="AM78" s="552"/>
      <c r="AN78" s="552"/>
      <c r="AO78" s="552"/>
      <c r="AP78" s="552"/>
      <c r="AQ78" s="552">
        <f>AQ80+AQ81+AQ82</f>
        <v>19.005469369318657</v>
      </c>
      <c r="AR78" s="583">
        <f t="shared" si="47"/>
        <v>4.3984552514287021</v>
      </c>
      <c r="AS78" s="552"/>
      <c r="AT78" s="552"/>
      <c r="AU78" s="552"/>
      <c r="AV78" s="583">
        <f t="shared" si="48"/>
        <v>0</v>
      </c>
      <c r="AW78" s="591">
        <f t="shared" si="49"/>
        <v>4.3984552514287021</v>
      </c>
      <c r="AX78" s="515"/>
      <c r="AY78" s="572"/>
      <c r="AZ78" s="546"/>
      <c r="BA78" s="598">
        <f t="shared" si="50"/>
        <v>0</v>
      </c>
      <c r="BB78" s="546"/>
      <c r="BC78" s="546">
        <f>BC80+BC81+BC82</f>
        <v>-4.3984552514287021</v>
      </c>
      <c r="BD78" s="546"/>
      <c r="BE78" s="598">
        <f t="shared" si="51"/>
        <v>-4.3984552514287021</v>
      </c>
      <c r="BF78" s="605">
        <f t="shared" si="52"/>
        <v>-4.3984552514287021</v>
      </c>
      <c r="BG78" s="515"/>
      <c r="BH78" s="515">
        <f t="shared" si="53"/>
        <v>0</v>
      </c>
      <c r="BI78" s="515"/>
      <c r="BJ78" s="741"/>
      <c r="BK78" s="698">
        <f>-($AE78+$V78)*EF.IndustrialCoal.CO2</f>
        <v>0</v>
      </c>
      <c r="BL78" s="698">
        <f t="shared" si="43"/>
        <v>0</v>
      </c>
      <c r="BM78" s="698">
        <f>-($AG78+$X78)*EF.NaturalGas.CO2</f>
        <v>0</v>
      </c>
      <c r="BN78" s="698">
        <f>-$Y78*EF.BlastFurnaceGas.CO2</f>
        <v>0</v>
      </c>
      <c r="BO78" s="729">
        <f t="shared" si="54"/>
        <v>0</v>
      </c>
      <c r="BP78" s="698">
        <f>-($AE78+$V78)*EF.IndustrialCoal.CH4</f>
        <v>0</v>
      </c>
      <c r="BQ78" s="698">
        <f t="shared" si="44"/>
        <v>0</v>
      </c>
      <c r="BR78" s="698">
        <f>-($AG78+$X78)*EF.NaturalGas.CH4</f>
        <v>0</v>
      </c>
      <c r="BS78" s="699" t="s">
        <v>651</v>
      </c>
      <c r="BT78" s="729">
        <f t="shared" si="55"/>
        <v>0</v>
      </c>
      <c r="BU78" s="698">
        <f>-($AE78+$V78)*EF.IndustrialCoal.N2O</f>
        <v>0</v>
      </c>
      <c r="BV78" s="698">
        <f t="shared" si="45"/>
        <v>0</v>
      </c>
      <c r="BW78" s="698">
        <f>-($AG78+$X78)*EF.NaturalGas.N2O</f>
        <v>0</v>
      </c>
      <c r="BX78" s="699" t="s">
        <v>651</v>
      </c>
      <c r="BY78" s="729">
        <f t="shared" si="56"/>
        <v>0</v>
      </c>
      <c r="BZ78" s="729"/>
      <c r="CA78" s="730">
        <f t="shared" si="57"/>
        <v>0</v>
      </c>
    </row>
    <row r="79" spans="2:79" s="734" customFormat="1" ht="10.5" hidden="1" customHeight="1" outlineLevel="2">
      <c r="C79" s="750"/>
      <c r="D79" s="528"/>
      <c r="E79" s="528" t="s">
        <v>416</v>
      </c>
      <c r="F79" s="525"/>
      <c r="G79" s="526"/>
      <c r="H79" s="526"/>
      <c r="I79" s="536"/>
      <c r="J79" s="536"/>
      <c r="K79" s="536"/>
      <c r="L79" s="542"/>
      <c r="M79" s="564"/>
      <c r="N79" s="542"/>
      <c r="O79" s="542"/>
      <c r="P79" s="536"/>
      <c r="Q79" s="536"/>
      <c r="R79" s="571">
        <f t="shared" si="46"/>
        <v>0</v>
      </c>
      <c r="S79" s="527"/>
      <c r="T79" s="558"/>
      <c r="U79" s="558"/>
      <c r="V79" s="558"/>
      <c r="W79" s="558"/>
      <c r="X79" s="558"/>
      <c r="Y79" s="558"/>
      <c r="Z79" s="558"/>
      <c r="AA79" s="558"/>
      <c r="AB79" s="558"/>
      <c r="AC79" s="578"/>
      <c r="AD79" s="527"/>
      <c r="AE79" s="554"/>
      <c r="AF79" s="554"/>
      <c r="AG79" s="554"/>
      <c r="AH79" s="585"/>
      <c r="AI79" s="585"/>
      <c r="AJ79" s="554"/>
      <c r="AK79" s="554"/>
      <c r="AL79" s="554"/>
      <c r="AM79" s="554"/>
      <c r="AN79" s="554"/>
      <c r="AO79" s="554"/>
      <c r="AP79" s="554"/>
      <c r="AQ79" s="554"/>
      <c r="AR79" s="585"/>
      <c r="AS79" s="554"/>
      <c r="AT79" s="554"/>
      <c r="AU79" s="554"/>
      <c r="AV79" s="585">
        <f t="shared" si="48"/>
        <v>0</v>
      </c>
      <c r="AW79" s="593">
        <f t="shared" si="49"/>
        <v>0</v>
      </c>
      <c r="AX79" s="527"/>
      <c r="AY79" s="739"/>
      <c r="AZ79" s="548"/>
      <c r="BA79" s="600">
        <f t="shared" si="50"/>
        <v>0</v>
      </c>
      <c r="BB79" s="548"/>
      <c r="BC79" s="548"/>
      <c r="BD79" s="548"/>
      <c r="BE79" s="600">
        <f t="shared" si="51"/>
        <v>0</v>
      </c>
      <c r="BF79" s="607">
        <f t="shared" si="52"/>
        <v>0</v>
      </c>
      <c r="BG79" s="527"/>
      <c r="BH79" s="527">
        <f t="shared" si="53"/>
        <v>0</v>
      </c>
      <c r="BI79" s="527"/>
      <c r="BJ79" s="741"/>
      <c r="BK79" s="735"/>
      <c r="BL79" s="735">
        <f t="shared" si="43"/>
        <v>0</v>
      </c>
      <c r="BM79" s="735"/>
      <c r="BN79" s="735"/>
      <c r="BO79" s="736"/>
      <c r="BP79" s="735"/>
      <c r="BQ79" s="735">
        <f t="shared" si="44"/>
        <v>0</v>
      </c>
      <c r="BR79" s="735"/>
      <c r="BS79" s="737"/>
      <c r="BT79" s="736"/>
      <c r="BU79" s="735"/>
      <c r="BV79" s="735">
        <f t="shared" si="45"/>
        <v>0</v>
      </c>
      <c r="BW79" s="735"/>
      <c r="BX79" s="737"/>
      <c r="BY79" s="736"/>
      <c r="BZ79" s="736"/>
      <c r="CA79" s="738"/>
    </row>
    <row r="80" spans="2:79" s="734" customFormat="1" ht="10.5" hidden="1" customHeight="1" outlineLevel="2">
      <c r="C80" s="750"/>
      <c r="D80" s="528"/>
      <c r="E80" s="528" t="s">
        <v>223</v>
      </c>
      <c r="F80" s="525"/>
      <c r="G80" s="526"/>
      <c r="H80" s="526"/>
      <c r="I80" s="536"/>
      <c r="J80" s="536"/>
      <c r="K80" s="536"/>
      <c r="L80" s="542"/>
      <c r="M80" s="564"/>
      <c r="N80" s="542"/>
      <c r="O80" s="542"/>
      <c r="P80" s="536">
        <f>L80+M80+N80+O80</f>
        <v>0</v>
      </c>
      <c r="Q80" s="536"/>
      <c r="R80" s="571">
        <f t="shared" si="46"/>
        <v>0</v>
      </c>
      <c r="S80" s="527"/>
      <c r="T80" s="558"/>
      <c r="U80" s="558"/>
      <c r="V80" s="558"/>
      <c r="W80" s="558"/>
      <c r="X80" s="558"/>
      <c r="Y80" s="558"/>
      <c r="Z80" s="558"/>
      <c r="AA80" s="558"/>
      <c r="AB80" s="558"/>
      <c r="AC80" s="578">
        <f>U80+T80+V80+W80+X80+Y80+Z80+AA80+AB80</f>
        <v>0</v>
      </c>
      <c r="AD80" s="527"/>
      <c r="AE80" s="554"/>
      <c r="AF80" s="554"/>
      <c r="AG80" s="554"/>
      <c r="AH80" s="585">
        <f>AE80+AF80+AG80</f>
        <v>0</v>
      </c>
      <c r="AI80" s="585"/>
      <c r="AJ80" s="554">
        <f>-AQ80</f>
        <v>-3.8611111111111107</v>
      </c>
      <c r="AK80" s="554"/>
      <c r="AL80" s="554"/>
      <c r="AM80" s="554"/>
      <c r="AN80" s="554"/>
      <c r="AO80" s="554"/>
      <c r="AP80" s="554"/>
      <c r="AQ80" s="554">
        <f>'DUKES 09 (7.2)'!$C$8*Unit.ktoe</f>
        <v>3.8611111111111107</v>
      </c>
      <c r="AR80" s="585">
        <f t="shared" si="47"/>
        <v>0</v>
      </c>
      <c r="AS80" s="554"/>
      <c r="AT80" s="554"/>
      <c r="AU80" s="554"/>
      <c r="AV80" s="585">
        <f t="shared" si="48"/>
        <v>0</v>
      </c>
      <c r="AW80" s="593">
        <f t="shared" si="49"/>
        <v>0</v>
      </c>
      <c r="AX80" s="527"/>
      <c r="AY80" s="739"/>
      <c r="AZ80" s="548"/>
      <c r="BA80" s="600">
        <f t="shared" si="50"/>
        <v>0</v>
      </c>
      <c r="BB80" s="548"/>
      <c r="BC80" s="548"/>
      <c r="BD80" s="548"/>
      <c r="BE80" s="600">
        <f t="shared" si="51"/>
        <v>0</v>
      </c>
      <c r="BF80" s="607">
        <f t="shared" si="52"/>
        <v>0</v>
      </c>
      <c r="BG80" s="527"/>
      <c r="BH80" s="527">
        <f t="shared" si="53"/>
        <v>0</v>
      </c>
      <c r="BI80" s="527"/>
      <c r="BJ80" s="741"/>
      <c r="BK80" s="735">
        <f>-($AE80+$V80)*EF.IndustrialCoal.CO2</f>
        <v>0</v>
      </c>
      <c r="BL80" s="735">
        <f t="shared" si="43"/>
        <v>0</v>
      </c>
      <c r="BM80" s="735">
        <f>-($AG80+$X80)*EF.NaturalGas.CO2</f>
        <v>0</v>
      </c>
      <c r="BN80" s="735">
        <f>-$Y80*EF.BlastFurnaceGas.CO2</f>
        <v>0</v>
      </c>
      <c r="BO80" s="736">
        <f t="shared" si="54"/>
        <v>0</v>
      </c>
      <c r="BP80" s="735">
        <f>-($AE80+$V80)*EF.IndustrialCoal.CH4</f>
        <v>0</v>
      </c>
      <c r="BQ80" s="735">
        <f t="shared" si="44"/>
        <v>0</v>
      </c>
      <c r="BR80" s="735">
        <f>-($AG80+$X80)*EF.NaturalGas.CH4</f>
        <v>0</v>
      </c>
      <c r="BS80" s="737" t="s">
        <v>651</v>
      </c>
      <c r="BT80" s="736">
        <f t="shared" si="55"/>
        <v>0</v>
      </c>
      <c r="BU80" s="735">
        <f>-($AE80+$V80)*EF.IndustrialCoal.N2O</f>
        <v>0</v>
      </c>
      <c r="BV80" s="735">
        <f t="shared" si="45"/>
        <v>0</v>
      </c>
      <c r="BW80" s="735">
        <f>-($AG80+$X80)*EF.NaturalGas.N2O</f>
        <v>0</v>
      </c>
      <c r="BX80" s="737" t="s">
        <v>651</v>
      </c>
      <c r="BY80" s="736">
        <f t="shared" si="56"/>
        <v>0</v>
      </c>
      <c r="BZ80" s="736"/>
      <c r="CA80" s="738">
        <f t="shared" si="57"/>
        <v>0</v>
      </c>
    </row>
    <row r="81" spans="2:79" s="734" customFormat="1" ht="10.5" hidden="1" customHeight="1" outlineLevel="2">
      <c r="C81" s="750"/>
      <c r="D81" s="528"/>
      <c r="E81" s="528" t="s">
        <v>600</v>
      </c>
      <c r="F81" s="525"/>
      <c r="G81" s="526"/>
      <c r="H81" s="526"/>
      <c r="I81" s="536"/>
      <c r="J81" s="536"/>
      <c r="K81" s="536"/>
      <c r="L81" s="542"/>
      <c r="M81" s="564"/>
      <c r="N81" s="542"/>
      <c r="O81" s="542"/>
      <c r="P81" s="536">
        <f>L81+M81+N81+O81</f>
        <v>0</v>
      </c>
      <c r="Q81" s="536"/>
      <c r="R81" s="571">
        <f t="shared" si="46"/>
        <v>0</v>
      </c>
      <c r="S81" s="527"/>
      <c r="T81" s="558"/>
      <c r="U81" s="558"/>
      <c r="V81" s="558"/>
      <c r="W81" s="558"/>
      <c r="X81" s="558"/>
      <c r="Y81" s="558"/>
      <c r="Z81" s="558"/>
      <c r="AA81" s="558"/>
      <c r="AB81" s="558"/>
      <c r="AC81" s="578">
        <f>U81+T81+V81+W81+X81+Y81+Z81+AA81+AB81</f>
        <v>0</v>
      </c>
      <c r="AD81" s="527"/>
      <c r="AE81" s="554"/>
      <c r="AF81" s="554"/>
      <c r="AG81" s="554"/>
      <c r="AH81" s="585">
        <f>AE81+AF81+AG81</f>
        <v>0</v>
      </c>
      <c r="AI81" s="585"/>
      <c r="AJ81" s="554">
        <f>-AQ81-BC81</f>
        <v>-5.752538880136143</v>
      </c>
      <c r="AK81" s="554"/>
      <c r="AL81" s="554"/>
      <c r="AM81" s="554"/>
      <c r="AN81" s="554"/>
      <c r="AO81" s="554"/>
      <c r="AP81" s="554"/>
      <c r="AQ81" s="554">
        <f>'DUKES 09 (7.2)'!$E$15*Unit.ktoe</f>
        <v>10.150994131564845</v>
      </c>
      <c r="AR81" s="585">
        <f t="shared" si="47"/>
        <v>4.3984552514287021</v>
      </c>
      <c r="AS81" s="554"/>
      <c r="AT81" s="554"/>
      <c r="AU81" s="554"/>
      <c r="AV81" s="585">
        <f t="shared" si="48"/>
        <v>0</v>
      </c>
      <c r="AW81" s="593">
        <f t="shared" si="49"/>
        <v>4.3984552514287021</v>
      </c>
      <c r="AX81" s="527"/>
      <c r="AY81" s="739"/>
      <c r="AZ81" s="548"/>
      <c r="BA81" s="600">
        <f t="shared" si="50"/>
        <v>0</v>
      </c>
      <c r="BB81" s="548"/>
      <c r="BC81" s="548">
        <f>-'DUKES 09 (7.2)'!$E$10*Unit.ktoe</f>
        <v>-4.3984552514287021</v>
      </c>
      <c r="BD81" s="548"/>
      <c r="BE81" s="600">
        <f t="shared" si="51"/>
        <v>-4.3984552514287021</v>
      </c>
      <c r="BF81" s="607">
        <f t="shared" si="52"/>
        <v>-4.3984552514287021</v>
      </c>
      <c r="BG81" s="527"/>
      <c r="BH81" s="527">
        <f t="shared" si="53"/>
        <v>0</v>
      </c>
      <c r="BI81" s="527"/>
      <c r="BJ81" s="741"/>
      <c r="BK81" s="735">
        <f>-($AE81+$V81)*EF.IndustrialCoal.CO2</f>
        <v>0</v>
      </c>
      <c r="BL81" s="735">
        <f t="shared" si="43"/>
        <v>0</v>
      </c>
      <c r="BM81" s="735">
        <f>-($AG81+$X81)*EF.NaturalGas.CO2</f>
        <v>0</v>
      </c>
      <c r="BN81" s="735">
        <f>-$Y81*EF.BlastFurnaceGas.CO2</f>
        <v>0</v>
      </c>
      <c r="BO81" s="736">
        <f t="shared" si="54"/>
        <v>0</v>
      </c>
      <c r="BP81" s="735">
        <f>-($AE81+$V81)*EF.IndustrialCoal.CH4</f>
        <v>0</v>
      </c>
      <c r="BQ81" s="735">
        <f t="shared" si="44"/>
        <v>0</v>
      </c>
      <c r="BR81" s="735">
        <f>-($AG81+$X81)*EF.NaturalGas.CH4</f>
        <v>0</v>
      </c>
      <c r="BS81" s="737" t="s">
        <v>651</v>
      </c>
      <c r="BT81" s="736">
        <f t="shared" si="55"/>
        <v>0</v>
      </c>
      <c r="BU81" s="735">
        <f>-($AE81+$V81)*EF.IndustrialCoal.N2O</f>
        <v>0</v>
      </c>
      <c r="BV81" s="735">
        <f t="shared" si="45"/>
        <v>0</v>
      </c>
      <c r="BW81" s="735">
        <f>-($AG81+$X81)*EF.NaturalGas.N2O</f>
        <v>0</v>
      </c>
      <c r="BX81" s="737" t="s">
        <v>651</v>
      </c>
      <c r="BY81" s="736">
        <f t="shared" si="56"/>
        <v>0</v>
      </c>
      <c r="BZ81" s="736"/>
      <c r="CA81" s="738">
        <f t="shared" si="57"/>
        <v>0</v>
      </c>
    </row>
    <row r="82" spans="2:79" s="734" customFormat="1" ht="10.5" hidden="1" customHeight="1" outlineLevel="2">
      <c r="C82" s="750"/>
      <c r="D82" s="528"/>
      <c r="E82" s="528" t="s">
        <v>613</v>
      </c>
      <c r="F82" s="525"/>
      <c r="G82" s="526"/>
      <c r="H82" s="526"/>
      <c r="I82" s="536"/>
      <c r="J82" s="536"/>
      <c r="K82" s="536"/>
      <c r="L82" s="542"/>
      <c r="M82" s="564"/>
      <c r="N82" s="542"/>
      <c r="O82" s="542"/>
      <c r="P82" s="536">
        <f>L82+M82+N82+O82</f>
        <v>0</v>
      </c>
      <c r="Q82" s="536"/>
      <c r="R82" s="571">
        <f t="shared" si="46"/>
        <v>0</v>
      </c>
      <c r="S82" s="527"/>
      <c r="T82" s="558"/>
      <c r="U82" s="558"/>
      <c r="V82" s="558"/>
      <c r="W82" s="558"/>
      <c r="X82" s="558"/>
      <c r="Y82" s="558"/>
      <c r="Z82" s="558"/>
      <c r="AA82" s="558"/>
      <c r="AB82" s="558"/>
      <c r="AC82" s="578">
        <f>U82+T82+V82+W82+X82+Y82+Z82+AA82+AB82</f>
        <v>0</v>
      </c>
      <c r="AD82" s="527"/>
      <c r="AE82" s="554"/>
      <c r="AF82" s="554"/>
      <c r="AG82" s="554"/>
      <c r="AH82" s="585">
        <f>AE82+AF82+AG82</f>
        <v>0</v>
      </c>
      <c r="AI82" s="585"/>
      <c r="AJ82" s="554">
        <f>-AQ82</f>
        <v>-4.9933641266427014</v>
      </c>
      <c r="AK82" s="554"/>
      <c r="AL82" s="554"/>
      <c r="AM82" s="554"/>
      <c r="AN82" s="554"/>
      <c r="AO82" s="554"/>
      <c r="AP82" s="554"/>
      <c r="AQ82" s="554">
        <f>-AQ107</f>
        <v>4.9933641266427014</v>
      </c>
      <c r="AR82" s="585">
        <f t="shared" si="47"/>
        <v>0</v>
      </c>
      <c r="AS82" s="554"/>
      <c r="AT82" s="554"/>
      <c r="AU82" s="554"/>
      <c r="AV82" s="585">
        <f t="shared" si="48"/>
        <v>0</v>
      </c>
      <c r="AW82" s="593">
        <f t="shared" si="49"/>
        <v>0</v>
      </c>
      <c r="AX82" s="527"/>
      <c r="AY82" s="739"/>
      <c r="AZ82" s="548"/>
      <c r="BA82" s="600">
        <f t="shared" si="50"/>
        <v>0</v>
      </c>
      <c r="BB82" s="548"/>
      <c r="BC82" s="548"/>
      <c r="BD82" s="548"/>
      <c r="BE82" s="600">
        <f t="shared" si="51"/>
        <v>0</v>
      </c>
      <c r="BF82" s="607">
        <f t="shared" si="52"/>
        <v>0</v>
      </c>
      <c r="BG82" s="527"/>
      <c r="BH82" s="527">
        <f t="shared" si="53"/>
        <v>0</v>
      </c>
      <c r="BI82" s="527"/>
      <c r="BJ82" s="741"/>
      <c r="BK82" s="735">
        <f>-($AE82+$V82)*EF.IndustrialCoal.CO2</f>
        <v>0</v>
      </c>
      <c r="BL82" s="735">
        <f t="shared" si="43"/>
        <v>0</v>
      </c>
      <c r="BM82" s="735">
        <f>-($AG82+$X82)*EF.NaturalGas.CO2</f>
        <v>0</v>
      </c>
      <c r="BN82" s="735">
        <f>-$Y82*EF.BlastFurnaceGas.CO2</f>
        <v>0</v>
      </c>
      <c r="BO82" s="736">
        <f t="shared" si="54"/>
        <v>0</v>
      </c>
      <c r="BP82" s="735">
        <f>-($AE82+$V82)*EF.IndustrialCoal.CH4</f>
        <v>0</v>
      </c>
      <c r="BQ82" s="735">
        <f t="shared" si="44"/>
        <v>0</v>
      </c>
      <c r="BR82" s="735">
        <f>-($AG82+$X82)*EF.NaturalGas.CH4</f>
        <v>0</v>
      </c>
      <c r="BS82" s="737" t="s">
        <v>651</v>
      </c>
      <c r="BT82" s="736">
        <f t="shared" si="55"/>
        <v>0</v>
      </c>
      <c r="BU82" s="735">
        <f>-($AE82+$V82)*EF.IndustrialCoal.N2O</f>
        <v>0</v>
      </c>
      <c r="BV82" s="735">
        <f t="shared" si="45"/>
        <v>0</v>
      </c>
      <c r="BW82" s="735">
        <f>-($AG82+$X82)*EF.NaturalGas.N2O</f>
        <v>0</v>
      </c>
      <c r="BX82" s="737" t="s">
        <v>651</v>
      </c>
      <c r="BY82" s="736">
        <f t="shared" si="56"/>
        <v>0</v>
      </c>
      <c r="BZ82" s="736"/>
      <c r="CA82" s="738">
        <f t="shared" si="57"/>
        <v>0</v>
      </c>
    </row>
    <row r="83" spans="2:79" s="24" customFormat="1" ht="12.75" hidden="1" customHeight="1" outlineLevel="1">
      <c r="C83" s="751"/>
      <c r="D83" s="512" t="s">
        <v>42</v>
      </c>
      <c r="E83" s="512"/>
      <c r="F83" s="510" t="str">
        <f>$C$161</f>
        <v>[12]</v>
      </c>
      <c r="G83" s="513" t="s">
        <v>475</v>
      </c>
      <c r="H83" s="513"/>
      <c r="I83" s="534"/>
      <c r="J83" s="534"/>
      <c r="K83" s="534"/>
      <c r="L83" s="540"/>
      <c r="M83" s="562"/>
      <c r="N83" s="540"/>
      <c r="O83" s="540"/>
      <c r="P83" s="534">
        <f>L83+M83+N83+O83</f>
        <v>0</v>
      </c>
      <c r="Q83" s="534"/>
      <c r="R83" s="569">
        <f t="shared" si="46"/>
        <v>0</v>
      </c>
      <c r="S83" s="515"/>
      <c r="T83" s="494"/>
      <c r="U83" s="494"/>
      <c r="V83" s="494"/>
      <c r="W83" s="494"/>
      <c r="X83" s="494"/>
      <c r="Y83" s="494"/>
      <c r="Z83" s="494"/>
      <c r="AA83" s="494">
        <f>-AA68</f>
        <v>65.656257777777782</v>
      </c>
      <c r="AB83" s="494"/>
      <c r="AC83" s="576">
        <f>U83+T83+V83+W83+X83+Y83+Z83+AA83+AB83</f>
        <v>65.656257777777782</v>
      </c>
      <c r="AD83" s="515"/>
      <c r="AE83" s="552"/>
      <c r="AF83" s="552"/>
      <c r="AG83" s="552"/>
      <c r="AH83" s="583">
        <f>AE83+AF83+AG83</f>
        <v>0</v>
      </c>
      <c r="AI83" s="583"/>
      <c r="AJ83" s="552">
        <f>AA68*60%</f>
        <v>-39.393754666666666</v>
      </c>
      <c r="AK83" s="552"/>
      <c r="AL83" s="552"/>
      <c r="AM83" s="552"/>
      <c r="AN83" s="552"/>
      <c r="AO83" s="552"/>
      <c r="AP83" s="552"/>
      <c r="AQ83" s="552"/>
      <c r="AR83" s="583">
        <f t="shared" si="47"/>
        <v>-39.393754666666666</v>
      </c>
      <c r="AS83" s="552"/>
      <c r="AT83" s="552"/>
      <c r="AU83" s="552"/>
      <c r="AV83" s="583">
        <f t="shared" si="48"/>
        <v>0</v>
      </c>
      <c r="AW83" s="591">
        <f t="shared" si="49"/>
        <v>-39.393754666666666</v>
      </c>
      <c r="AX83" s="515"/>
      <c r="AY83" s="546"/>
      <c r="AZ83" s="546"/>
      <c r="BA83" s="598">
        <f t="shared" si="50"/>
        <v>0</v>
      </c>
      <c r="BB83" s="546">
        <f>40%*AA68</f>
        <v>-26.262503111111116</v>
      </c>
      <c r="BC83" s="546"/>
      <c r="BD83" s="546"/>
      <c r="BE83" s="598">
        <f t="shared" si="51"/>
        <v>-26.262503111111116</v>
      </c>
      <c r="BF83" s="605">
        <f t="shared" si="52"/>
        <v>-26.262503111111116</v>
      </c>
      <c r="BG83" s="515"/>
      <c r="BH83" s="515">
        <f t="shared" si="53"/>
        <v>0</v>
      </c>
      <c r="BI83" s="515"/>
      <c r="BJ83" s="741"/>
      <c r="BK83" s="698">
        <f>-($AE83+$V83)*EF.IndustrialCoal.CO2</f>
        <v>0</v>
      </c>
      <c r="BL83" s="698">
        <f t="shared" si="43"/>
        <v>0</v>
      </c>
      <c r="BM83" s="698">
        <f>-($AG83+$X83)*EF.NaturalGas.CO2</f>
        <v>0</v>
      </c>
      <c r="BN83" s="698">
        <f>-$Y83*EF.BlastFurnaceGas.CO2</f>
        <v>0</v>
      </c>
      <c r="BO83" s="729">
        <f t="shared" si="54"/>
        <v>0</v>
      </c>
      <c r="BP83" s="698">
        <f>-($AE83+$V83)*EF.IndustrialCoal.CH4</f>
        <v>0</v>
      </c>
      <c r="BQ83" s="698">
        <f t="shared" si="44"/>
        <v>0</v>
      </c>
      <c r="BR83" s="698">
        <f>-($AG83+$X83)*EF.NaturalGas.CH4</f>
        <v>0</v>
      </c>
      <c r="BS83" s="699" t="s">
        <v>651</v>
      </c>
      <c r="BT83" s="729">
        <f t="shared" si="55"/>
        <v>0</v>
      </c>
      <c r="BU83" s="698">
        <f>-($AE83+$V83)*EF.IndustrialCoal.N2O</f>
        <v>0</v>
      </c>
      <c r="BV83" s="698">
        <f t="shared" si="45"/>
        <v>0</v>
      </c>
      <c r="BW83" s="698">
        <f>-($AG83+$X83)*EF.NaturalGas.N2O</f>
        <v>0</v>
      </c>
      <c r="BX83" s="699" t="s">
        <v>651</v>
      </c>
      <c r="BY83" s="729">
        <f t="shared" si="56"/>
        <v>0</v>
      </c>
      <c r="BZ83" s="729"/>
      <c r="CA83" s="730">
        <f t="shared" si="57"/>
        <v>0</v>
      </c>
    </row>
    <row r="84" spans="2:79" s="24" customFormat="1" ht="12.75" hidden="1" customHeight="1" outlineLevel="1">
      <c r="C84" s="751"/>
      <c r="D84" s="512"/>
      <c r="E84" s="512"/>
      <c r="F84" s="510"/>
      <c r="G84" s="513"/>
      <c r="H84" s="513"/>
      <c r="I84" s="534"/>
      <c r="J84" s="534"/>
      <c r="K84" s="534"/>
      <c r="L84" s="540"/>
      <c r="M84" s="562"/>
      <c r="N84" s="540"/>
      <c r="O84" s="540"/>
      <c r="P84" s="534"/>
      <c r="Q84" s="534"/>
      <c r="R84" s="569"/>
      <c r="S84" s="515"/>
      <c r="T84" s="494"/>
      <c r="U84" s="494"/>
      <c r="V84" s="494"/>
      <c r="W84" s="494"/>
      <c r="X84" s="494"/>
      <c r="Y84" s="494"/>
      <c r="Z84" s="494"/>
      <c r="AA84" s="494"/>
      <c r="AB84" s="494"/>
      <c r="AC84" s="576"/>
      <c r="AD84" s="515"/>
      <c r="AE84" s="552"/>
      <c r="AF84" s="552"/>
      <c r="AG84" s="552"/>
      <c r="AH84" s="583"/>
      <c r="AI84" s="583"/>
      <c r="AJ84" s="552"/>
      <c r="AK84" s="552"/>
      <c r="AL84" s="552"/>
      <c r="AM84" s="552"/>
      <c r="AN84" s="552"/>
      <c r="AO84" s="552"/>
      <c r="AP84" s="552"/>
      <c r="AQ84" s="552"/>
      <c r="AR84" s="583"/>
      <c r="AS84" s="552"/>
      <c r="AT84" s="552"/>
      <c r="AU84" s="552"/>
      <c r="AV84" s="583"/>
      <c r="AW84" s="591"/>
      <c r="AX84" s="515"/>
      <c r="AY84" s="546"/>
      <c r="AZ84" s="546"/>
      <c r="BA84" s="598"/>
      <c r="BB84" s="546"/>
      <c r="BC84" s="546"/>
      <c r="BD84" s="546"/>
      <c r="BE84" s="598">
        <f t="shared" si="51"/>
        <v>0</v>
      </c>
      <c r="BF84" s="605">
        <f t="shared" si="52"/>
        <v>0</v>
      </c>
      <c r="BG84" s="515"/>
      <c r="BH84" s="515"/>
      <c r="BI84" s="515"/>
      <c r="BJ84" s="741"/>
      <c r="BK84" s="698"/>
      <c r="BL84" s="698">
        <f t="shared" si="43"/>
        <v>0</v>
      </c>
      <c r="BM84" s="698"/>
      <c r="BN84" s="698"/>
      <c r="BO84" s="729"/>
      <c r="BP84" s="698"/>
      <c r="BQ84" s="698">
        <f t="shared" si="44"/>
        <v>0</v>
      </c>
      <c r="BR84" s="698"/>
      <c r="BS84" s="699"/>
      <c r="BT84" s="729"/>
      <c r="BU84" s="698"/>
      <c r="BV84" s="698">
        <f t="shared" si="45"/>
        <v>0</v>
      </c>
      <c r="BW84" s="698"/>
      <c r="BX84" s="699"/>
      <c r="BY84" s="729"/>
      <c r="BZ84" s="729"/>
      <c r="CA84" s="730"/>
    </row>
    <row r="85" spans="2:79" s="24" customFormat="1" ht="15.75" collapsed="1">
      <c r="B85" s="3"/>
      <c r="C85" s="744" t="s">
        <v>74</v>
      </c>
      <c r="D85" s="517" t="str">
        <f>INDEX(Workstreams[Workstream], MATCH($C85, Workstreams[Code], 0))</f>
        <v>Hydrocarbon fuel power generation</v>
      </c>
      <c r="E85" s="512"/>
      <c r="F85" s="510"/>
      <c r="G85" s="513"/>
      <c r="H85" s="513"/>
      <c r="I85" s="534"/>
      <c r="J85" s="534"/>
      <c r="K85" s="534"/>
      <c r="L85" s="540"/>
      <c r="M85" s="562"/>
      <c r="N85" s="540"/>
      <c r="O85" s="540"/>
      <c r="P85" s="534">
        <f>L85+M85+N85+O85</f>
        <v>0</v>
      </c>
      <c r="Q85" s="534"/>
      <c r="R85" s="569">
        <f t="shared" si="46"/>
        <v>0</v>
      </c>
      <c r="S85" s="515"/>
      <c r="T85" s="494">
        <f>T86</f>
        <v>0</v>
      </c>
      <c r="U85" s="494">
        <f>U86</f>
        <v>276.53401618322465</v>
      </c>
      <c r="V85" s="494">
        <f>V86</f>
        <v>-371.39618674674301</v>
      </c>
      <c r="W85" s="494">
        <f>W86</f>
        <v>-8.718214578336493</v>
      </c>
      <c r="X85" s="494">
        <f>X86</f>
        <v>-319.83646584224255</v>
      </c>
      <c r="Y85" s="494"/>
      <c r="Z85" s="494">
        <f>Z86</f>
        <v>0</v>
      </c>
      <c r="AA85" s="494"/>
      <c r="AB85" s="494"/>
      <c r="AC85" s="576">
        <f>U85+T85+V85+W85+X85+Y85+Z85+AA85+AB85</f>
        <v>-423.41685098409744</v>
      </c>
      <c r="AD85" s="515"/>
      <c r="AE85" s="552"/>
      <c r="AF85" s="552">
        <f>AF86</f>
        <v>0</v>
      </c>
      <c r="AG85" s="552"/>
      <c r="AH85" s="583">
        <f>AE85+AF85+AG85</f>
        <v>0</v>
      </c>
      <c r="AI85" s="583"/>
      <c r="AJ85" s="552"/>
      <c r="AK85" s="552"/>
      <c r="AL85" s="552"/>
      <c r="AM85" s="552"/>
      <c r="AN85" s="552"/>
      <c r="AO85" s="552"/>
      <c r="AP85" s="552"/>
      <c r="AQ85" s="552">
        <f>AQ86</f>
        <v>-4.9052401149690734</v>
      </c>
      <c r="AR85" s="583">
        <f t="shared" si="47"/>
        <v>-4.9052401149690734</v>
      </c>
      <c r="AS85" s="552">
        <f>AS86</f>
        <v>-2.3660032518434662</v>
      </c>
      <c r="AT85" s="552"/>
      <c r="AU85" s="552"/>
      <c r="AV85" s="583">
        <f t="shared" si="48"/>
        <v>-2.3660032518434662</v>
      </c>
      <c r="AW85" s="591">
        <f t="shared" si="49"/>
        <v>-7.2712433668125396</v>
      </c>
      <c r="AX85" s="515"/>
      <c r="AY85" s="546">
        <f>AY86</f>
        <v>420.41209536783174</v>
      </c>
      <c r="AZ85" s="546">
        <f>AZ86</f>
        <v>10.275998983078262</v>
      </c>
      <c r="BA85" s="598">
        <f t="shared" si="50"/>
        <v>430.68809435090998</v>
      </c>
      <c r="BB85" s="546"/>
      <c r="BC85" s="546"/>
      <c r="BD85" s="546"/>
      <c r="BE85" s="598">
        <f t="shared" si="51"/>
        <v>0</v>
      </c>
      <c r="BF85" s="605">
        <f t="shared" si="52"/>
        <v>430.68809435090998</v>
      </c>
      <c r="BG85" s="515"/>
      <c r="BH85" s="515">
        <f t="shared" ref="BH85:BH91" si="58">R85+AC85+AW85+BF85</f>
        <v>0</v>
      </c>
      <c r="BI85" s="515"/>
      <c r="BJ85" s="517" t="str">
        <f>$D85</f>
        <v>Hydrocarbon fuel power generation</v>
      </c>
      <c r="BK85" s="698">
        <f>-($AE85+$V85)*EF.IndustrialCoal.CO2</f>
        <v>114.39002551799683</v>
      </c>
      <c r="BL85" s="698">
        <f t="shared" si="43"/>
        <v>2.1795536445841233</v>
      </c>
      <c r="BM85" s="698">
        <f>-($AG85+$X85)*EF.NaturalGas.CO2</f>
        <v>58.849909714972618</v>
      </c>
      <c r="BN85" s="698">
        <f>-$Y85*EF.BlastFurnaceGas.CO2</f>
        <v>0</v>
      </c>
      <c r="BO85" s="729">
        <f t="shared" si="54"/>
        <v>175.41948887755356</v>
      </c>
      <c r="BP85" s="698">
        <f>-($AE85+$V85)*EF.IndustrialCoal.CH4</f>
        <v>0.33603655714143271</v>
      </c>
      <c r="BQ85" s="698">
        <f t="shared" si="44"/>
        <v>2.7135356831717895E-3</v>
      </c>
      <c r="BR85" s="698">
        <f>-($AG85+$X85)*EF.NaturalGas.CH4</f>
        <v>0.11796380295985802</v>
      </c>
      <c r="BS85" s="699" t="s">
        <v>651</v>
      </c>
      <c r="BT85" s="729">
        <f t="shared" si="55"/>
        <v>0.45671389578446253</v>
      </c>
      <c r="BU85" s="698">
        <f>-($AE85+$V85)*EF.IndustrialCoal.N2O</f>
        <v>1.0133255780915447</v>
      </c>
      <c r="BV85" s="698">
        <f t="shared" si="45"/>
        <v>3.9214636169023563E-2</v>
      </c>
      <c r="BW85" s="698">
        <f>-($AG85+$X85)*EF.NaturalGas.N2O</f>
        <v>0.12687580507435506</v>
      </c>
      <c r="BX85" s="699" t="s">
        <v>651</v>
      </c>
      <c r="BY85" s="729">
        <f t="shared" si="56"/>
        <v>1.1794160193349232</v>
      </c>
      <c r="BZ85" s="729"/>
      <c r="CA85" s="730">
        <f t="shared" si="57"/>
        <v>177.05561879267296</v>
      </c>
    </row>
    <row r="86" spans="2:79" s="24" customFormat="1" ht="12.75" hidden="1" customHeight="1" outlineLevel="1" collapsed="1">
      <c r="C86" s="749"/>
      <c r="D86" s="677" t="s">
        <v>159</v>
      </c>
      <c r="E86" s="677"/>
      <c r="F86" s="661"/>
      <c r="G86" s="662" t="s">
        <v>581</v>
      </c>
      <c r="H86" s="662"/>
      <c r="I86" s="663"/>
      <c r="J86" s="663"/>
      <c r="K86" s="663"/>
      <c r="L86" s="664"/>
      <c r="M86" s="665"/>
      <c r="N86" s="664"/>
      <c r="O86" s="664"/>
      <c r="P86" s="663">
        <f>L86+M86+N86+O86</f>
        <v>0</v>
      </c>
      <c r="Q86" s="663"/>
      <c r="R86" s="666">
        <f t="shared" si="46"/>
        <v>0</v>
      </c>
      <c r="S86" s="667"/>
      <c r="T86" s="668"/>
      <c r="U86" s="668">
        <f>U88+U89+U90+U91</f>
        <v>276.53401618322465</v>
      </c>
      <c r="V86" s="668">
        <f>V88+V89+V90+V91</f>
        <v>-371.39618674674301</v>
      </c>
      <c r="W86" s="668">
        <f>W88+W89+W90+W91</f>
        <v>-8.718214578336493</v>
      </c>
      <c r="X86" s="668">
        <f>X88+X89+X90+X91</f>
        <v>-319.83646584224255</v>
      </c>
      <c r="Y86" s="668"/>
      <c r="Z86" s="668"/>
      <c r="AA86" s="668"/>
      <c r="AB86" s="668"/>
      <c r="AC86" s="669">
        <f>U86+T86+V86+W86+X86+Y86+Z86+AA86+AB86</f>
        <v>-423.41685098409744</v>
      </c>
      <c r="AD86" s="667"/>
      <c r="AE86" s="670"/>
      <c r="AF86" s="670"/>
      <c r="AG86" s="670"/>
      <c r="AH86" s="671">
        <f>AE86+AF86+AG86</f>
        <v>0</v>
      </c>
      <c r="AI86" s="671"/>
      <c r="AJ86" s="670"/>
      <c r="AK86" s="670"/>
      <c r="AL86" s="670"/>
      <c r="AM86" s="670"/>
      <c r="AN86" s="670"/>
      <c r="AO86" s="670"/>
      <c r="AP86" s="670"/>
      <c r="AQ86" s="670">
        <f>AQ88+AQ89+AQ90+AQ91</f>
        <v>-4.9052401149690734</v>
      </c>
      <c r="AR86" s="671">
        <f t="shared" si="47"/>
        <v>-4.9052401149690734</v>
      </c>
      <c r="AS86" s="670">
        <f>AS88+AS89+AS90+AS91</f>
        <v>-2.3660032518434662</v>
      </c>
      <c r="AT86" s="670"/>
      <c r="AU86" s="670"/>
      <c r="AV86" s="671">
        <f t="shared" si="48"/>
        <v>-2.3660032518434662</v>
      </c>
      <c r="AW86" s="672">
        <f t="shared" si="49"/>
        <v>-7.2712433668125396</v>
      </c>
      <c r="AX86" s="667"/>
      <c r="AY86" s="673">
        <f>AY88+AY89+AY90+AY91</f>
        <v>420.41209536783174</v>
      </c>
      <c r="AZ86" s="673">
        <f>AZ88+AZ89+AZ90+AZ91</f>
        <v>10.275998983078262</v>
      </c>
      <c r="BA86" s="674">
        <f t="shared" si="50"/>
        <v>430.68809435090998</v>
      </c>
      <c r="BB86" s="673"/>
      <c r="BC86" s="673"/>
      <c r="BD86" s="673"/>
      <c r="BE86" s="674">
        <f t="shared" si="51"/>
        <v>0</v>
      </c>
      <c r="BF86" s="675">
        <f t="shared" si="52"/>
        <v>430.68809435090998</v>
      </c>
      <c r="BG86" s="667"/>
      <c r="BH86" s="667">
        <f t="shared" si="58"/>
        <v>0</v>
      </c>
      <c r="BI86" s="515"/>
      <c r="BJ86" s="741"/>
      <c r="BK86" s="722">
        <f>-($AE86+$V86)*EF.IndustrialCoal.CO2</f>
        <v>114.39002551799683</v>
      </c>
      <c r="BL86" s="722">
        <f t="shared" si="43"/>
        <v>2.1795536445841233</v>
      </c>
      <c r="BM86" s="722">
        <f>-($AG86+$X86)*EF.NaturalGas.CO2</f>
        <v>58.849909714972618</v>
      </c>
      <c r="BN86" s="722">
        <f>-$Y86*EF.BlastFurnaceGas.CO2</f>
        <v>0</v>
      </c>
      <c r="BO86" s="732">
        <f t="shared" si="54"/>
        <v>175.41948887755356</v>
      </c>
      <c r="BP86" s="722">
        <f>-($AE86+$V86)*EF.IndustrialCoal.CH4</f>
        <v>0.33603655714143271</v>
      </c>
      <c r="BQ86" s="722">
        <f t="shared" si="44"/>
        <v>2.7135356831717895E-3</v>
      </c>
      <c r="BR86" s="722">
        <f>-($AG86+$X86)*EF.NaturalGas.CH4</f>
        <v>0.11796380295985802</v>
      </c>
      <c r="BS86" s="724" t="s">
        <v>651</v>
      </c>
      <c r="BT86" s="732">
        <f t="shared" si="55"/>
        <v>0.45671389578446253</v>
      </c>
      <c r="BU86" s="722">
        <f>-($AE86+$V86)*EF.IndustrialCoal.N2O</f>
        <v>1.0133255780915447</v>
      </c>
      <c r="BV86" s="722">
        <f t="shared" si="45"/>
        <v>3.9214636169023563E-2</v>
      </c>
      <c r="BW86" s="722">
        <f>-($AG86+$X86)*EF.NaturalGas.N2O</f>
        <v>0.12687580507435506</v>
      </c>
      <c r="BX86" s="724" t="s">
        <v>651</v>
      </c>
      <c r="BY86" s="732">
        <f t="shared" si="56"/>
        <v>1.1794160193349232</v>
      </c>
      <c r="BZ86" s="732"/>
      <c r="CA86" s="733">
        <f t="shared" si="57"/>
        <v>177.05561879267296</v>
      </c>
    </row>
    <row r="87" spans="2:79" s="734" customFormat="1" ht="10.5" hidden="1" customHeight="1" outlineLevel="2">
      <c r="C87" s="750"/>
      <c r="D87" s="528"/>
      <c r="E87" s="528" t="s">
        <v>416</v>
      </c>
      <c r="F87" s="525"/>
      <c r="G87" s="526"/>
      <c r="H87" s="526"/>
      <c r="I87" s="536"/>
      <c r="J87" s="536"/>
      <c r="K87" s="536"/>
      <c r="L87" s="542"/>
      <c r="M87" s="564"/>
      <c r="N87" s="542"/>
      <c r="O87" s="542"/>
      <c r="P87" s="536"/>
      <c r="Q87" s="536"/>
      <c r="R87" s="571">
        <f t="shared" si="46"/>
        <v>0</v>
      </c>
      <c r="S87" s="527"/>
      <c r="T87" s="558"/>
      <c r="U87" s="558"/>
      <c r="V87" s="558"/>
      <c r="W87" s="558"/>
      <c r="X87" s="558"/>
      <c r="Y87" s="558"/>
      <c r="Z87" s="558"/>
      <c r="AA87" s="558"/>
      <c r="AB87" s="558"/>
      <c r="AC87" s="578"/>
      <c r="AD87" s="527"/>
      <c r="AE87" s="554"/>
      <c r="AF87" s="554"/>
      <c r="AG87" s="554"/>
      <c r="AH87" s="585"/>
      <c r="AI87" s="585"/>
      <c r="AJ87" s="554"/>
      <c r="AK87" s="554"/>
      <c r="AL87" s="554"/>
      <c r="AM87" s="554"/>
      <c r="AN87" s="554"/>
      <c r="AO87" s="554"/>
      <c r="AP87" s="554"/>
      <c r="AQ87" s="554"/>
      <c r="AR87" s="585"/>
      <c r="AS87" s="554"/>
      <c r="AT87" s="554"/>
      <c r="AU87" s="554"/>
      <c r="AV87" s="585">
        <f t="shared" si="48"/>
        <v>0</v>
      </c>
      <c r="AW87" s="593">
        <f t="shared" si="49"/>
        <v>0</v>
      </c>
      <c r="AX87" s="527"/>
      <c r="AY87" s="548"/>
      <c r="AZ87" s="548"/>
      <c r="BA87" s="600">
        <f t="shared" si="50"/>
        <v>0</v>
      </c>
      <c r="BB87" s="548"/>
      <c r="BC87" s="548"/>
      <c r="BD87" s="548"/>
      <c r="BE87" s="600">
        <f t="shared" si="51"/>
        <v>0</v>
      </c>
      <c r="BF87" s="607">
        <f t="shared" si="52"/>
        <v>0</v>
      </c>
      <c r="BG87" s="527"/>
      <c r="BH87" s="527">
        <f t="shared" si="58"/>
        <v>0</v>
      </c>
      <c r="BI87" s="527"/>
      <c r="BJ87" s="741"/>
      <c r="BK87" s="735"/>
      <c r="BL87" s="735">
        <f t="shared" si="43"/>
        <v>0</v>
      </c>
      <c r="BM87" s="735"/>
      <c r="BN87" s="735"/>
      <c r="BO87" s="736"/>
      <c r="BP87" s="735"/>
      <c r="BQ87" s="735">
        <f t="shared" si="44"/>
        <v>0</v>
      </c>
      <c r="BR87" s="735"/>
      <c r="BS87" s="737"/>
      <c r="BT87" s="736"/>
      <c r="BU87" s="735"/>
      <c r="BV87" s="735">
        <f t="shared" si="45"/>
        <v>0</v>
      </c>
      <c r="BW87" s="735"/>
      <c r="BX87" s="737"/>
      <c r="BY87" s="736"/>
      <c r="BZ87" s="736"/>
      <c r="CA87" s="738"/>
    </row>
    <row r="88" spans="2:79" s="734" customFormat="1" ht="10.5" hidden="1" customHeight="1" outlineLevel="2">
      <c r="C88" s="750"/>
      <c r="D88" s="528"/>
      <c r="E88" s="528" t="s">
        <v>141</v>
      </c>
      <c r="F88" s="525" t="str">
        <f>C$157</f>
        <v>[10]</v>
      </c>
      <c r="G88" s="526"/>
      <c r="H88" s="526"/>
      <c r="I88" s="536"/>
      <c r="J88" s="536"/>
      <c r="K88" s="536"/>
      <c r="L88" s="542"/>
      <c r="M88" s="564"/>
      <c r="N88" s="542"/>
      <c r="O88" s="542"/>
      <c r="P88" s="536">
        <f>L88+M88+N88+O88</f>
        <v>0</v>
      </c>
      <c r="Q88" s="536"/>
      <c r="R88" s="571">
        <f t="shared" si="46"/>
        <v>0</v>
      </c>
      <c r="S88" s="527"/>
      <c r="T88" s="558"/>
      <c r="U88" s="558">
        <f>('DUKES 09 (5.6)'!$B$246-'DUKES 09 (5.6)'!$B$247)*Unit.GWh</f>
        <v>125.93794534209844</v>
      </c>
      <c r="V88" s="558">
        <f>-'DUKES 09 (5.6)'!$B$245*Unit.GWh</f>
        <v>-371.39618674674301</v>
      </c>
      <c r="W88" s="558"/>
      <c r="X88" s="558"/>
      <c r="Y88" s="558"/>
      <c r="Z88" s="558"/>
      <c r="AA88" s="558"/>
      <c r="AB88" s="558"/>
      <c r="AC88" s="578">
        <f>U88+T88+V88+W88+X88+Y88+Z88+AA88+AB88</f>
        <v>-245.45824140464458</v>
      </c>
      <c r="AD88" s="527"/>
      <c r="AE88" s="554"/>
      <c r="AF88" s="554"/>
      <c r="AG88" s="554"/>
      <c r="AH88" s="585">
        <f>AE88+AF88+AG88</f>
        <v>0</v>
      </c>
      <c r="AI88" s="585"/>
      <c r="AJ88" s="554"/>
      <c r="AK88" s="554"/>
      <c r="AL88" s="554"/>
      <c r="AM88" s="554"/>
      <c r="AN88" s="554"/>
      <c r="AO88" s="554"/>
      <c r="AP88" s="554"/>
      <c r="AQ88" s="554"/>
      <c r="AR88" s="585">
        <f t="shared" si="47"/>
        <v>0</v>
      </c>
      <c r="AS88" s="554"/>
      <c r="AT88" s="554"/>
      <c r="AU88" s="554"/>
      <c r="AV88" s="585">
        <f t="shared" si="48"/>
        <v>0</v>
      </c>
      <c r="AW88" s="593">
        <f t="shared" si="49"/>
        <v>0</v>
      </c>
      <c r="AX88" s="527"/>
      <c r="AY88" s="548">
        <f>-$AC88-$AW88-$AZ88</f>
        <v>238.72086653696022</v>
      </c>
      <c r="AZ88" s="548">
        <f>'DUKES 09 (5.6)'!$B$247*Unit.GWh</f>
        <v>6.7373748676843679</v>
      </c>
      <c r="BA88" s="600">
        <f t="shared" si="50"/>
        <v>245.45824140464458</v>
      </c>
      <c r="BB88" s="548"/>
      <c r="BC88" s="548"/>
      <c r="BD88" s="548"/>
      <c r="BE88" s="600">
        <f t="shared" si="51"/>
        <v>0</v>
      </c>
      <c r="BF88" s="607">
        <f t="shared" si="52"/>
        <v>245.45824140464458</v>
      </c>
      <c r="BG88" s="527"/>
      <c r="BH88" s="527">
        <f t="shared" si="58"/>
        <v>0</v>
      </c>
      <c r="BI88" s="527"/>
      <c r="BJ88" s="741"/>
      <c r="BK88" s="735">
        <f>-($AE88+$V88)*EF.IndustrialCoal.CO2</f>
        <v>114.39002551799683</v>
      </c>
      <c r="BL88" s="735">
        <f t="shared" si="43"/>
        <v>0</v>
      </c>
      <c r="BM88" s="735">
        <f>-($AG88+$X88)*EF.NaturalGas.CO2</f>
        <v>0</v>
      </c>
      <c r="BN88" s="735">
        <f>-$Y88*EF.BlastFurnaceGas.CO2</f>
        <v>0</v>
      </c>
      <c r="BO88" s="736">
        <f t="shared" si="54"/>
        <v>114.39002551799683</v>
      </c>
      <c r="BP88" s="735">
        <f>-($AE88+$V88)*EF.IndustrialCoal.CH4</f>
        <v>0.33603655714143271</v>
      </c>
      <c r="BQ88" s="735">
        <f t="shared" si="44"/>
        <v>0</v>
      </c>
      <c r="BR88" s="735">
        <f>-($AG88+$X88)*EF.NaturalGas.CH4</f>
        <v>0</v>
      </c>
      <c r="BS88" s="737" t="s">
        <v>651</v>
      </c>
      <c r="BT88" s="736">
        <f t="shared" si="55"/>
        <v>0.33603655714143271</v>
      </c>
      <c r="BU88" s="735">
        <f>-($AE88+$V88)*EF.IndustrialCoal.N2O</f>
        <v>1.0133255780915447</v>
      </c>
      <c r="BV88" s="735">
        <f t="shared" si="45"/>
        <v>0</v>
      </c>
      <c r="BW88" s="735">
        <f>-($AG88+$X88)*EF.NaturalGas.N2O</f>
        <v>0</v>
      </c>
      <c r="BX88" s="737" t="s">
        <v>651</v>
      </c>
      <c r="BY88" s="736">
        <f t="shared" si="56"/>
        <v>1.0133255780915447</v>
      </c>
      <c r="BZ88" s="736"/>
      <c r="CA88" s="738">
        <f t="shared" si="57"/>
        <v>115.7393876532298</v>
      </c>
    </row>
    <row r="89" spans="2:79" s="734" customFormat="1" ht="10.5" hidden="1" customHeight="1" outlineLevel="2">
      <c r="C89" s="750"/>
      <c r="D89" s="528"/>
      <c r="E89" s="528" t="s">
        <v>202</v>
      </c>
      <c r="F89" s="525" t="str">
        <f>C$157</f>
        <v>[10]</v>
      </c>
      <c r="G89" s="526"/>
      <c r="H89" s="526"/>
      <c r="I89" s="536"/>
      <c r="J89" s="536"/>
      <c r="K89" s="536"/>
      <c r="L89" s="542"/>
      <c r="M89" s="564"/>
      <c r="N89" s="542"/>
      <c r="O89" s="542"/>
      <c r="P89" s="536">
        <f>L89+M89+N89+O89</f>
        <v>0</v>
      </c>
      <c r="Q89" s="536"/>
      <c r="R89" s="571">
        <f t="shared" si="46"/>
        <v>0</v>
      </c>
      <c r="S89" s="527"/>
      <c r="T89" s="558"/>
      <c r="U89" s="558">
        <f>('DUKES 09 (5.6)'!$C$246-'DUKES 09 (5.6)'!$C$247)*Unit.GWh</f>
        <v>1.9959590190899115</v>
      </c>
      <c r="V89" s="558"/>
      <c r="W89" s="558">
        <f>-'DUKES 09 (5.6)'!$C$245*Unit.GWh</f>
        <v>-8.718214578336493</v>
      </c>
      <c r="X89" s="558"/>
      <c r="Y89" s="558"/>
      <c r="Z89" s="558"/>
      <c r="AA89" s="558"/>
      <c r="AB89" s="558"/>
      <c r="AC89" s="578">
        <f>U89+T89+V89+W89+X89+Y89+Z89+AA89+AB89</f>
        <v>-6.722255559246582</v>
      </c>
      <c r="AD89" s="527"/>
      <c r="AE89" s="554"/>
      <c r="AF89" s="554"/>
      <c r="AG89" s="554"/>
      <c r="AH89" s="585">
        <f>AE89+AF89+AG89</f>
        <v>0</v>
      </c>
      <c r="AI89" s="585"/>
      <c r="AJ89" s="554"/>
      <c r="AK89" s="554"/>
      <c r="AL89" s="554"/>
      <c r="AM89" s="554"/>
      <c r="AN89" s="554"/>
      <c r="AO89" s="554"/>
      <c r="AP89" s="554"/>
      <c r="AQ89" s="554"/>
      <c r="AR89" s="585">
        <f t="shared" si="47"/>
        <v>0</v>
      </c>
      <c r="AS89" s="554"/>
      <c r="AT89" s="554"/>
      <c r="AU89" s="554"/>
      <c r="AV89" s="585">
        <f t="shared" si="48"/>
        <v>0</v>
      </c>
      <c r="AW89" s="593">
        <f t="shared" si="49"/>
        <v>0</v>
      </c>
      <c r="AX89" s="527"/>
      <c r="AY89" s="548">
        <f>-$AC89-$AW89-$AZ89</f>
        <v>6.3174518861840294</v>
      </c>
      <c r="AZ89" s="548">
        <f>'DUKES 09 (5.6)'!$C$247*Unit.GWh</f>
        <v>0.40480367306255288</v>
      </c>
      <c r="BA89" s="600">
        <f t="shared" si="50"/>
        <v>6.722255559246582</v>
      </c>
      <c r="BB89" s="548"/>
      <c r="BC89" s="548"/>
      <c r="BD89" s="548"/>
      <c r="BE89" s="600">
        <f t="shared" si="51"/>
        <v>0</v>
      </c>
      <c r="BF89" s="607">
        <f t="shared" si="52"/>
        <v>6.722255559246582</v>
      </c>
      <c r="BG89" s="527"/>
      <c r="BH89" s="527">
        <f t="shared" si="58"/>
        <v>0</v>
      </c>
      <c r="BI89" s="527"/>
      <c r="BJ89" s="741"/>
      <c r="BK89" s="735">
        <f>-($AE89+$V89)*EF.IndustrialCoal.CO2</f>
        <v>0</v>
      </c>
      <c r="BL89" s="735">
        <f t="shared" si="43"/>
        <v>2.1795536445841233</v>
      </c>
      <c r="BM89" s="735">
        <f>-($AG89+$X89)*EF.NaturalGas.CO2</f>
        <v>0</v>
      </c>
      <c r="BN89" s="735">
        <f>-$Y89*EF.BlastFurnaceGas.CO2</f>
        <v>0</v>
      </c>
      <c r="BO89" s="736">
        <f t="shared" si="54"/>
        <v>2.1795536445841233</v>
      </c>
      <c r="BP89" s="735">
        <f>-($AE89+$V89)*EF.IndustrialCoal.CH4</f>
        <v>0</v>
      </c>
      <c r="BQ89" s="735">
        <f t="shared" si="44"/>
        <v>2.7135356831717895E-3</v>
      </c>
      <c r="BR89" s="735">
        <f>-($AG89+$X89)*EF.NaturalGas.CH4</f>
        <v>0</v>
      </c>
      <c r="BS89" s="737" t="s">
        <v>651</v>
      </c>
      <c r="BT89" s="736">
        <f t="shared" si="55"/>
        <v>2.7135356831717895E-3</v>
      </c>
      <c r="BU89" s="735">
        <f>-($AE89+$V89)*EF.IndustrialCoal.N2O</f>
        <v>0</v>
      </c>
      <c r="BV89" s="735">
        <f t="shared" si="45"/>
        <v>3.9214636169023563E-2</v>
      </c>
      <c r="BW89" s="735">
        <f>-($AG89+$X89)*EF.NaturalGas.N2O</f>
        <v>0</v>
      </c>
      <c r="BX89" s="737" t="s">
        <v>651</v>
      </c>
      <c r="BY89" s="736">
        <f t="shared" si="56"/>
        <v>3.9214636169023563E-2</v>
      </c>
      <c r="BZ89" s="736"/>
      <c r="CA89" s="738">
        <f t="shared" si="57"/>
        <v>2.2214818164363188</v>
      </c>
    </row>
    <row r="90" spans="2:79" s="734" customFormat="1" ht="10.5" hidden="1" customHeight="1" outlineLevel="2">
      <c r="C90" s="750"/>
      <c r="D90" s="528"/>
      <c r="E90" s="528" t="s">
        <v>14</v>
      </c>
      <c r="F90" s="525" t="str">
        <f>C$157</f>
        <v>[10]</v>
      </c>
      <c r="G90" s="526"/>
      <c r="H90" s="526"/>
      <c r="I90" s="536"/>
      <c r="J90" s="536"/>
      <c r="K90" s="536"/>
      <c r="L90" s="542"/>
      <c r="M90" s="564"/>
      <c r="N90" s="542"/>
      <c r="O90" s="542"/>
      <c r="P90" s="536">
        <f>L90+M90+N90+O90</f>
        <v>0</v>
      </c>
      <c r="Q90" s="536"/>
      <c r="R90" s="571">
        <f t="shared" si="46"/>
        <v>0</v>
      </c>
      <c r="S90" s="527"/>
      <c r="T90" s="558"/>
      <c r="U90" s="558">
        <f>('DUKES 09 (5.6)'!$D$246-'DUKES 09 (5.6)'!$D$247)*Unit.GWh</f>
        <v>146.45188162344687</v>
      </c>
      <c r="V90" s="558"/>
      <c r="W90" s="558"/>
      <c r="X90" s="558">
        <f>-'DUKES 09 (5.6)'!$D$245*Unit.GWh</f>
        <v>-319.83646584224255</v>
      </c>
      <c r="Y90" s="558"/>
      <c r="Z90" s="558"/>
      <c r="AA90" s="558"/>
      <c r="AB90" s="558"/>
      <c r="AC90" s="578">
        <f>U90+T90+V90+W90+X90+Y90+Z90+AA90+AB90</f>
        <v>-173.38458421879568</v>
      </c>
      <c r="AD90" s="527"/>
      <c r="AE90" s="554"/>
      <c r="AF90" s="554"/>
      <c r="AG90" s="554"/>
      <c r="AH90" s="585">
        <f>AE90+AF90+AG90</f>
        <v>0</v>
      </c>
      <c r="AI90" s="585"/>
      <c r="AJ90" s="554"/>
      <c r="AK90" s="554"/>
      <c r="AL90" s="554"/>
      <c r="AM90" s="554"/>
      <c r="AN90" s="554"/>
      <c r="AO90" s="554"/>
      <c r="AP90" s="554"/>
      <c r="AQ90" s="554"/>
      <c r="AR90" s="585">
        <f t="shared" si="47"/>
        <v>0</v>
      </c>
      <c r="AS90" s="554"/>
      <c r="AT90" s="554"/>
      <c r="AU90" s="554"/>
      <c r="AV90" s="585">
        <f t="shared" si="48"/>
        <v>0</v>
      </c>
      <c r="AW90" s="593">
        <f t="shared" si="49"/>
        <v>0</v>
      </c>
      <c r="AX90" s="527"/>
      <c r="AY90" s="548">
        <f>-$AC90-$AW90-$AZ90</f>
        <v>170.49051986783476</v>
      </c>
      <c r="AZ90" s="548">
        <f>'DUKES 09 (5.6)'!$D$247*Unit.GWh</f>
        <v>2.8940643509609218</v>
      </c>
      <c r="BA90" s="600">
        <f t="shared" si="50"/>
        <v>173.38458421879568</v>
      </c>
      <c r="BB90" s="548"/>
      <c r="BC90" s="548"/>
      <c r="BD90" s="548"/>
      <c r="BE90" s="600">
        <f t="shared" si="51"/>
        <v>0</v>
      </c>
      <c r="BF90" s="607">
        <f t="shared" si="52"/>
        <v>173.38458421879568</v>
      </c>
      <c r="BG90" s="527"/>
      <c r="BH90" s="527">
        <f t="shared" si="58"/>
        <v>0</v>
      </c>
      <c r="BI90" s="527"/>
      <c r="BJ90" s="741"/>
      <c r="BK90" s="735">
        <f>-($AE90+$V90)*EF.IndustrialCoal.CO2</f>
        <v>0</v>
      </c>
      <c r="BL90" s="735">
        <f t="shared" si="43"/>
        <v>0</v>
      </c>
      <c r="BM90" s="735">
        <f>-($AG90+$X90)*EF.NaturalGas.CO2</f>
        <v>58.849909714972618</v>
      </c>
      <c r="BN90" s="735">
        <f>-$Y90*EF.BlastFurnaceGas.CO2</f>
        <v>0</v>
      </c>
      <c r="BO90" s="736">
        <f t="shared" si="54"/>
        <v>58.849909714972618</v>
      </c>
      <c r="BP90" s="735">
        <f>-($AE90+$V90)*EF.IndustrialCoal.CH4</f>
        <v>0</v>
      </c>
      <c r="BQ90" s="735">
        <f t="shared" si="44"/>
        <v>0</v>
      </c>
      <c r="BR90" s="735">
        <f>-($AG90+$X90)*EF.NaturalGas.CH4</f>
        <v>0.11796380295985802</v>
      </c>
      <c r="BS90" s="737" t="s">
        <v>651</v>
      </c>
      <c r="BT90" s="736">
        <f t="shared" si="55"/>
        <v>0.11796380295985802</v>
      </c>
      <c r="BU90" s="735">
        <f>-($AE90+$V90)*EF.IndustrialCoal.N2O</f>
        <v>0</v>
      </c>
      <c r="BV90" s="735">
        <f t="shared" si="45"/>
        <v>0</v>
      </c>
      <c r="BW90" s="735">
        <f>-($AG90+$X90)*EF.NaturalGas.N2O</f>
        <v>0.12687580507435506</v>
      </c>
      <c r="BX90" s="737" t="s">
        <v>651</v>
      </c>
      <c r="BY90" s="736">
        <f t="shared" si="56"/>
        <v>0.12687580507435506</v>
      </c>
      <c r="BZ90" s="736"/>
      <c r="CA90" s="738">
        <f t="shared" si="57"/>
        <v>59.09474932300683</v>
      </c>
    </row>
    <row r="91" spans="2:79" s="734" customFormat="1" ht="10.5" hidden="1" customHeight="1" outlineLevel="2">
      <c r="C91" s="750"/>
      <c r="D91" s="528"/>
      <c r="E91" s="528" t="s">
        <v>51</v>
      </c>
      <c r="F91" s="525" t="str">
        <f>C$157</f>
        <v>[10]</v>
      </c>
      <c r="G91" s="526"/>
      <c r="H91" s="526"/>
      <c r="I91" s="536"/>
      <c r="J91" s="536"/>
      <c r="K91" s="536"/>
      <c r="L91" s="542"/>
      <c r="M91" s="564"/>
      <c r="N91" s="542"/>
      <c r="O91" s="542"/>
      <c r="P91" s="536">
        <f>L91+M91+N91+O91</f>
        <v>0</v>
      </c>
      <c r="Q91" s="536"/>
      <c r="R91" s="571">
        <f t="shared" si="46"/>
        <v>0</v>
      </c>
      <c r="S91" s="527"/>
      <c r="T91" s="558"/>
      <c r="U91" s="558">
        <f>('DUKES 09 (5.6)'!$F$246-'DUKES 09 (5.6)'!$F$247)*Unit.GWh</f>
        <v>2.1482301985894212</v>
      </c>
      <c r="V91" s="558"/>
      <c r="W91" s="558"/>
      <c r="X91" s="558"/>
      <c r="Y91" s="558"/>
      <c r="Z91" s="558"/>
      <c r="AA91" s="558"/>
      <c r="AB91" s="558"/>
      <c r="AC91" s="578">
        <f>U91+T91+V91+W91+X91+Y91+Z91+AA91+AB91</f>
        <v>2.1482301985894212</v>
      </c>
      <c r="AD91" s="527"/>
      <c r="AE91" s="554"/>
      <c r="AF91" s="554"/>
      <c r="AG91" s="554"/>
      <c r="AH91" s="585">
        <f>AE91+AF91+AG91</f>
        <v>0</v>
      </c>
      <c r="AI91" s="585"/>
      <c r="AJ91" s="554"/>
      <c r="AK91" s="554"/>
      <c r="AL91" s="554"/>
      <c r="AM91" s="554"/>
      <c r="AN91" s="554"/>
      <c r="AO91" s="554"/>
      <c r="AP91" s="554"/>
      <c r="AQ91" s="554">
        <f>-'DUKES 09 (7.2)'!$E$20*Unit.ktoe</f>
        <v>-4.9052401149690734</v>
      </c>
      <c r="AR91" s="585">
        <f t="shared" si="47"/>
        <v>-4.9052401149690734</v>
      </c>
      <c r="AS91" s="554">
        <f>-('DUKES 09 (7.2)'!$D$20+'DUKES 09 (7.2)'!$J$20)*Unit.ktoe</f>
        <v>-2.3660032518434662</v>
      </c>
      <c r="AT91" s="554"/>
      <c r="AU91" s="554"/>
      <c r="AV91" s="585">
        <f t="shared" si="48"/>
        <v>-2.3660032518434662</v>
      </c>
      <c r="AW91" s="593">
        <f t="shared" si="49"/>
        <v>-7.2712433668125396</v>
      </c>
      <c r="AX91" s="527"/>
      <c r="AY91" s="548">
        <f>-$AC91-$AW91-$AZ91</f>
        <v>4.8832570768526988</v>
      </c>
      <c r="AZ91" s="548">
        <f>'DUKES 09 (5.6)'!$F$247*Unit.GWh</f>
        <v>0.2397560913704192</v>
      </c>
      <c r="BA91" s="600">
        <f t="shared" si="50"/>
        <v>5.1230131682231184</v>
      </c>
      <c r="BB91" s="548"/>
      <c r="BC91" s="548"/>
      <c r="BD91" s="548"/>
      <c r="BE91" s="600">
        <f t="shared" si="51"/>
        <v>0</v>
      </c>
      <c r="BF91" s="607">
        <f t="shared" si="52"/>
        <v>5.1230131682231184</v>
      </c>
      <c r="BG91" s="527"/>
      <c r="BH91" s="527">
        <f t="shared" si="58"/>
        <v>0</v>
      </c>
      <c r="BI91" s="527"/>
      <c r="BJ91" s="741"/>
      <c r="BK91" s="735">
        <f>-($AE91+$V91)*EF.IndustrialCoal.CO2</f>
        <v>0</v>
      </c>
      <c r="BL91" s="735">
        <f t="shared" si="43"/>
        <v>0</v>
      </c>
      <c r="BM91" s="735">
        <f>-($AG91+$X91)*EF.NaturalGas.CO2</f>
        <v>0</v>
      </c>
      <c r="BN91" s="735">
        <f>-$Y91*EF.BlastFurnaceGas.CO2</f>
        <v>0</v>
      </c>
      <c r="BO91" s="736">
        <f t="shared" si="54"/>
        <v>0</v>
      </c>
      <c r="BP91" s="735">
        <f>-($AE91+$V91)*EF.IndustrialCoal.CH4</f>
        <v>0</v>
      </c>
      <c r="BQ91" s="735">
        <f t="shared" si="44"/>
        <v>0</v>
      </c>
      <c r="BR91" s="735">
        <f>-($AG91+$X91)*EF.NaturalGas.CH4</f>
        <v>0</v>
      </c>
      <c r="BS91" s="737" t="s">
        <v>651</v>
      </c>
      <c r="BT91" s="736">
        <f t="shared" si="55"/>
        <v>0</v>
      </c>
      <c r="BU91" s="735">
        <f>-($AE91+$V91)*EF.IndustrialCoal.N2O</f>
        <v>0</v>
      </c>
      <c r="BV91" s="735">
        <f t="shared" si="45"/>
        <v>0</v>
      </c>
      <c r="BW91" s="735">
        <f>-($AG91+$X91)*EF.NaturalGas.N2O</f>
        <v>0</v>
      </c>
      <c r="BX91" s="737" t="s">
        <v>651</v>
      </c>
      <c r="BY91" s="736">
        <f t="shared" si="56"/>
        <v>0</v>
      </c>
      <c r="BZ91" s="736"/>
      <c r="CA91" s="738">
        <f t="shared" si="57"/>
        <v>0</v>
      </c>
    </row>
    <row r="92" spans="2:79" s="24" customFormat="1" ht="12.75" hidden="1" customHeight="1" outlineLevel="1">
      <c r="C92" s="751"/>
      <c r="D92" s="512"/>
      <c r="E92" s="512"/>
      <c r="F92" s="510"/>
      <c r="G92" s="513"/>
      <c r="H92" s="513"/>
      <c r="I92" s="534"/>
      <c r="J92" s="534"/>
      <c r="K92" s="534"/>
      <c r="L92" s="540"/>
      <c r="M92" s="562"/>
      <c r="N92" s="540"/>
      <c r="O92" s="540"/>
      <c r="P92" s="534"/>
      <c r="Q92" s="534"/>
      <c r="R92" s="569"/>
      <c r="S92" s="515"/>
      <c r="T92" s="494"/>
      <c r="U92" s="494"/>
      <c r="V92" s="494"/>
      <c r="W92" s="494"/>
      <c r="X92" s="494"/>
      <c r="Y92" s="494"/>
      <c r="Z92" s="494"/>
      <c r="AA92" s="494"/>
      <c r="AB92" s="494"/>
      <c r="AC92" s="576"/>
      <c r="AD92" s="515"/>
      <c r="AE92" s="552"/>
      <c r="AF92" s="552"/>
      <c r="AG92" s="552"/>
      <c r="AH92" s="583"/>
      <c r="AI92" s="583"/>
      <c r="AJ92" s="552"/>
      <c r="AK92" s="552"/>
      <c r="AL92" s="552"/>
      <c r="AM92" s="552"/>
      <c r="AN92" s="552"/>
      <c r="AO92" s="552"/>
      <c r="AP92" s="552"/>
      <c r="AQ92" s="552"/>
      <c r="AR92" s="583"/>
      <c r="AS92" s="552"/>
      <c r="AT92" s="552"/>
      <c r="AU92" s="552"/>
      <c r="AV92" s="583"/>
      <c r="AW92" s="591"/>
      <c r="AX92" s="515"/>
      <c r="AY92" s="546"/>
      <c r="AZ92" s="546"/>
      <c r="BA92" s="598"/>
      <c r="BB92" s="546"/>
      <c r="BC92" s="546"/>
      <c r="BD92" s="546"/>
      <c r="BE92" s="598">
        <f t="shared" si="51"/>
        <v>0</v>
      </c>
      <c r="BF92" s="605">
        <f t="shared" si="52"/>
        <v>0</v>
      </c>
      <c r="BG92" s="515"/>
      <c r="BH92" s="515"/>
      <c r="BI92" s="515"/>
      <c r="BJ92" s="741"/>
      <c r="BK92" s="698"/>
      <c r="BL92" s="698">
        <f t="shared" si="43"/>
        <v>0</v>
      </c>
      <c r="BM92" s="698"/>
      <c r="BN92" s="698"/>
      <c r="BO92" s="729"/>
      <c r="BP92" s="698"/>
      <c r="BQ92" s="698">
        <f t="shared" si="44"/>
        <v>0</v>
      </c>
      <c r="BR92" s="698"/>
      <c r="BS92" s="699"/>
      <c r="BT92" s="729"/>
      <c r="BU92" s="698"/>
      <c r="BV92" s="698">
        <f t="shared" si="45"/>
        <v>0</v>
      </c>
      <c r="BW92" s="698"/>
      <c r="BX92" s="699"/>
      <c r="BY92" s="729"/>
      <c r="BZ92" s="729"/>
      <c r="CA92" s="730"/>
    </row>
    <row r="93" spans="2:79" s="24" customFormat="1" ht="15.75" collapsed="1">
      <c r="B93" s="3"/>
      <c r="C93" s="744" t="s">
        <v>75</v>
      </c>
      <c r="D93" s="517" t="str">
        <f>INDEX(Workstreams[Workstream], MATCH($C93, Workstreams[Code], 0))</f>
        <v>Nuclear power generation</v>
      </c>
      <c r="E93" s="512"/>
      <c r="F93" s="510"/>
      <c r="G93" s="513"/>
      <c r="H93" s="513"/>
      <c r="I93" s="534"/>
      <c r="J93" s="534"/>
      <c r="K93" s="534"/>
      <c r="L93" s="540"/>
      <c r="M93" s="562"/>
      <c r="N93" s="540"/>
      <c r="O93" s="540"/>
      <c r="P93" s="534">
        <f>L93+M93+N93+O93</f>
        <v>0</v>
      </c>
      <c r="Q93" s="534"/>
      <c r="R93" s="569">
        <f t="shared" si="46"/>
        <v>0</v>
      </c>
      <c r="S93" s="515"/>
      <c r="T93" s="494"/>
      <c r="U93" s="494">
        <f>U94</f>
        <v>57.248895000000005</v>
      </c>
      <c r="V93" s="494"/>
      <c r="W93" s="494"/>
      <c r="X93" s="494"/>
      <c r="Y93" s="494"/>
      <c r="Z93" s="494"/>
      <c r="AA93" s="494"/>
      <c r="AB93" s="494"/>
      <c r="AC93" s="576">
        <f>U93+T93+V93+W93+X93+Y93+Z93+AA93+AB93</f>
        <v>57.248895000000005</v>
      </c>
      <c r="AD93" s="515"/>
      <c r="AE93" s="552"/>
      <c r="AF93" s="552"/>
      <c r="AG93" s="552"/>
      <c r="AH93" s="583">
        <f>AE93+AF93+AG93</f>
        <v>0</v>
      </c>
      <c r="AI93" s="583">
        <f>AI94</f>
        <v>-163.24447683045062</v>
      </c>
      <c r="AJ93" s="552"/>
      <c r="AK93" s="552"/>
      <c r="AL93" s="552"/>
      <c r="AM93" s="552"/>
      <c r="AN93" s="552"/>
      <c r="AO93" s="552"/>
      <c r="AP93" s="552"/>
      <c r="AQ93" s="552"/>
      <c r="AR93" s="583">
        <f t="shared" si="47"/>
        <v>0</v>
      </c>
      <c r="AS93" s="552"/>
      <c r="AT93" s="552"/>
      <c r="AU93" s="552"/>
      <c r="AV93" s="583">
        <f t="shared" si="48"/>
        <v>0</v>
      </c>
      <c r="AW93" s="591">
        <f t="shared" si="49"/>
        <v>-163.24447683045062</v>
      </c>
      <c r="AX93" s="515"/>
      <c r="AY93" s="546">
        <f>AY94</f>
        <v>100.21613413351562</v>
      </c>
      <c r="AZ93" s="546">
        <f>AZ94</f>
        <v>5.7794476969349997</v>
      </c>
      <c r="BA93" s="598">
        <f t="shared" si="50"/>
        <v>105.99558183045062</v>
      </c>
      <c r="BB93" s="546"/>
      <c r="BC93" s="546"/>
      <c r="BD93" s="546"/>
      <c r="BE93" s="598">
        <f t="shared" si="51"/>
        <v>0</v>
      </c>
      <c r="BF93" s="605">
        <f t="shared" si="52"/>
        <v>105.99558183045062</v>
      </c>
      <c r="BG93" s="515"/>
      <c r="BH93" s="515">
        <f>R93+AC93+AW93+BF93</f>
        <v>0</v>
      </c>
      <c r="BI93" s="515"/>
      <c r="BJ93" s="517" t="str">
        <f>$D93</f>
        <v>Nuclear power generation</v>
      </c>
      <c r="BK93" s="698">
        <f>-($AE93+$V93)*EF.IndustrialCoal.CO2</f>
        <v>0</v>
      </c>
      <c r="BL93" s="698">
        <f t="shared" si="43"/>
        <v>0</v>
      </c>
      <c r="BM93" s="698">
        <f>-($AG93+$X93)*EF.NaturalGas.CO2</f>
        <v>0</v>
      </c>
      <c r="BN93" s="698">
        <f>-$Y93*EF.BlastFurnaceGas.CO2</f>
        <v>0</v>
      </c>
      <c r="BO93" s="729">
        <f t="shared" si="54"/>
        <v>0</v>
      </c>
      <c r="BP93" s="698">
        <f>-($AE93+$V93)*EF.IndustrialCoal.CH4</f>
        <v>0</v>
      </c>
      <c r="BQ93" s="698">
        <f t="shared" si="44"/>
        <v>0</v>
      </c>
      <c r="BR93" s="698">
        <f>-($AG93+$X93)*EF.NaturalGas.CH4</f>
        <v>0</v>
      </c>
      <c r="BS93" s="699" t="s">
        <v>651</v>
      </c>
      <c r="BT93" s="729">
        <f t="shared" si="55"/>
        <v>0</v>
      </c>
      <c r="BU93" s="698">
        <f>-($AE93+$V93)*EF.IndustrialCoal.N2O</f>
        <v>0</v>
      </c>
      <c r="BV93" s="698">
        <f t="shared" si="45"/>
        <v>0</v>
      </c>
      <c r="BW93" s="698">
        <f>-($AG93+$X93)*EF.NaturalGas.N2O</f>
        <v>0</v>
      </c>
      <c r="BX93" s="699" t="s">
        <v>651</v>
      </c>
      <c r="BY93" s="729">
        <f t="shared" si="56"/>
        <v>0</v>
      </c>
      <c r="BZ93" s="729"/>
      <c r="CA93" s="730">
        <f t="shared" si="57"/>
        <v>0</v>
      </c>
    </row>
    <row r="94" spans="2:79" s="24" customFormat="1" ht="12.75" hidden="1" customHeight="1" outlineLevel="1">
      <c r="C94" s="749"/>
      <c r="D94" s="677" t="s">
        <v>580</v>
      </c>
      <c r="E94" s="677"/>
      <c r="F94" s="740" t="str">
        <f>C$157</f>
        <v>[10]</v>
      </c>
      <c r="G94" s="662" t="s">
        <v>581</v>
      </c>
      <c r="H94" s="662"/>
      <c r="I94" s="663"/>
      <c r="J94" s="663"/>
      <c r="K94" s="663"/>
      <c r="L94" s="664"/>
      <c r="M94" s="665"/>
      <c r="N94" s="664"/>
      <c r="O94" s="664"/>
      <c r="P94" s="663">
        <f>L94+M94+N94+O94</f>
        <v>0</v>
      </c>
      <c r="Q94" s="663"/>
      <c r="R94" s="666">
        <f t="shared" si="46"/>
        <v>0</v>
      </c>
      <c r="S94" s="667"/>
      <c r="T94" s="668"/>
      <c r="U94" s="668">
        <f>('DUKES 09 (5.6)'!$E$246-'DUKES 09 (5.6)'!$E$247)*Unit.GWh</f>
        <v>57.248895000000005</v>
      </c>
      <c r="V94" s="668"/>
      <c r="W94" s="668"/>
      <c r="X94" s="668"/>
      <c r="Y94" s="668"/>
      <c r="Z94" s="668"/>
      <c r="AA94" s="668"/>
      <c r="AB94" s="668"/>
      <c r="AC94" s="669">
        <f>U94+T94+V94+W94+X94+Y94+Z94+AA94+AB94</f>
        <v>57.248895000000005</v>
      </c>
      <c r="AD94" s="667"/>
      <c r="AE94" s="670"/>
      <c r="AF94" s="670"/>
      <c r="AG94" s="670"/>
      <c r="AH94" s="671">
        <f>AE94+AF94+AG94</f>
        <v>0</v>
      </c>
      <c r="AI94" s="671">
        <f>-'DUKES 09 (5.6)'!$E$245*Unit.GWh</f>
        <v>-163.24447683045062</v>
      </c>
      <c r="AJ94" s="670"/>
      <c r="AK94" s="670"/>
      <c r="AL94" s="670"/>
      <c r="AM94" s="670"/>
      <c r="AN94" s="670"/>
      <c r="AO94" s="670"/>
      <c r="AP94" s="670"/>
      <c r="AQ94" s="670"/>
      <c r="AR94" s="671">
        <f t="shared" si="47"/>
        <v>0</v>
      </c>
      <c r="AS94" s="670"/>
      <c r="AT94" s="670"/>
      <c r="AU94" s="670"/>
      <c r="AV94" s="671">
        <f t="shared" si="48"/>
        <v>0</v>
      </c>
      <c r="AW94" s="672">
        <f t="shared" si="49"/>
        <v>-163.24447683045062</v>
      </c>
      <c r="AX94" s="667"/>
      <c r="AY94" s="673">
        <f>-$AC94-$AW94-$AZ94</f>
        <v>100.21613413351562</v>
      </c>
      <c r="AZ94" s="673">
        <f>'DUKES 09 (5.6)'!$E$247*Unit.GWh</f>
        <v>5.7794476969349997</v>
      </c>
      <c r="BA94" s="674">
        <f t="shared" si="50"/>
        <v>105.99558183045062</v>
      </c>
      <c r="BB94" s="673"/>
      <c r="BC94" s="673"/>
      <c r="BD94" s="673"/>
      <c r="BE94" s="674">
        <f t="shared" si="51"/>
        <v>0</v>
      </c>
      <c r="BF94" s="675">
        <f t="shared" si="52"/>
        <v>105.99558183045062</v>
      </c>
      <c r="BG94" s="667"/>
      <c r="BH94" s="667">
        <f>R94+AC94+AW94+BF94</f>
        <v>0</v>
      </c>
      <c r="BI94" s="515"/>
      <c r="BJ94" s="741"/>
      <c r="BK94" s="722">
        <f>-($AE94+$V94)*EF.IndustrialCoal.CO2</f>
        <v>0</v>
      </c>
      <c r="BL94" s="722">
        <f t="shared" si="43"/>
        <v>0</v>
      </c>
      <c r="BM94" s="722">
        <f>-($AG94+$X94)*EF.NaturalGas.CO2</f>
        <v>0</v>
      </c>
      <c r="BN94" s="722">
        <f>-$Y94*EF.BlastFurnaceGas.CO2</f>
        <v>0</v>
      </c>
      <c r="BO94" s="732">
        <f t="shared" si="54"/>
        <v>0</v>
      </c>
      <c r="BP94" s="722">
        <f>-($AE94+$V94)*EF.IndustrialCoal.CH4</f>
        <v>0</v>
      </c>
      <c r="BQ94" s="722">
        <f t="shared" si="44"/>
        <v>0</v>
      </c>
      <c r="BR94" s="722">
        <f>-($AG94+$X94)*EF.NaturalGas.CH4</f>
        <v>0</v>
      </c>
      <c r="BS94" s="724" t="s">
        <v>651</v>
      </c>
      <c r="BT94" s="732">
        <f t="shared" si="55"/>
        <v>0</v>
      </c>
      <c r="BU94" s="722">
        <f>-($AE94+$V94)*EF.IndustrialCoal.N2O</f>
        <v>0</v>
      </c>
      <c r="BV94" s="722">
        <f t="shared" si="45"/>
        <v>0</v>
      </c>
      <c r="BW94" s="722">
        <f>-($AG94+$X94)*EF.NaturalGas.N2O</f>
        <v>0</v>
      </c>
      <c r="BX94" s="724" t="s">
        <v>651</v>
      </c>
      <c r="BY94" s="732">
        <f t="shared" si="56"/>
        <v>0</v>
      </c>
      <c r="BZ94" s="732"/>
      <c r="CA94" s="733">
        <f t="shared" si="57"/>
        <v>0</v>
      </c>
    </row>
    <row r="95" spans="2:79" s="24" customFormat="1" ht="12.75" hidden="1" customHeight="1" outlineLevel="1">
      <c r="C95" s="751"/>
      <c r="D95" s="512"/>
      <c r="E95" s="512"/>
      <c r="F95" s="510"/>
      <c r="G95" s="513"/>
      <c r="H95" s="513"/>
      <c r="I95" s="534"/>
      <c r="J95" s="534"/>
      <c r="K95" s="534"/>
      <c r="L95" s="540"/>
      <c r="M95" s="562"/>
      <c r="N95" s="540"/>
      <c r="O95" s="540"/>
      <c r="P95" s="534"/>
      <c r="Q95" s="534"/>
      <c r="R95" s="569"/>
      <c r="S95" s="515"/>
      <c r="T95" s="494"/>
      <c r="U95" s="494"/>
      <c r="V95" s="494"/>
      <c r="W95" s="494"/>
      <c r="X95" s="494"/>
      <c r="Y95" s="494"/>
      <c r="Z95" s="494"/>
      <c r="AA95" s="494"/>
      <c r="AB95" s="494"/>
      <c r="AC95" s="576"/>
      <c r="AD95" s="515"/>
      <c r="AE95" s="552"/>
      <c r="AF95" s="552"/>
      <c r="AG95" s="552"/>
      <c r="AH95" s="583"/>
      <c r="AI95" s="583"/>
      <c r="AJ95" s="552"/>
      <c r="AK95" s="552"/>
      <c r="AL95" s="552"/>
      <c r="AM95" s="552"/>
      <c r="AN95" s="552"/>
      <c r="AO95" s="552"/>
      <c r="AP95" s="552"/>
      <c r="AQ95" s="552"/>
      <c r="AR95" s="583"/>
      <c r="AS95" s="552"/>
      <c r="AT95" s="552"/>
      <c r="AU95" s="552"/>
      <c r="AV95" s="583"/>
      <c r="AW95" s="591"/>
      <c r="AX95" s="515"/>
      <c r="AY95" s="546"/>
      <c r="AZ95" s="546"/>
      <c r="BA95" s="598"/>
      <c r="BB95" s="546"/>
      <c r="BC95" s="546"/>
      <c r="BD95" s="546"/>
      <c r="BE95" s="598">
        <f t="shared" si="51"/>
        <v>0</v>
      </c>
      <c r="BF95" s="605">
        <f t="shared" si="52"/>
        <v>0</v>
      </c>
      <c r="BG95" s="515"/>
      <c r="BH95" s="515"/>
      <c r="BI95" s="515"/>
      <c r="BJ95" s="741"/>
      <c r="BK95" s="698"/>
      <c r="BL95" s="698">
        <f t="shared" si="43"/>
        <v>0</v>
      </c>
      <c r="BM95" s="698"/>
      <c r="BN95" s="698"/>
      <c r="BO95" s="729"/>
      <c r="BP95" s="698"/>
      <c r="BQ95" s="698">
        <f t="shared" si="44"/>
        <v>0</v>
      </c>
      <c r="BR95" s="698"/>
      <c r="BS95" s="699"/>
      <c r="BT95" s="729"/>
      <c r="BU95" s="698"/>
      <c r="BV95" s="698">
        <f t="shared" si="45"/>
        <v>0</v>
      </c>
      <c r="BW95" s="698"/>
      <c r="BX95" s="699"/>
      <c r="BY95" s="729"/>
      <c r="BZ95" s="729"/>
      <c r="CA95" s="730"/>
    </row>
    <row r="96" spans="2:79" s="24" customFormat="1" ht="15.75" collapsed="1">
      <c r="B96" s="3"/>
      <c r="C96" s="744" t="s">
        <v>76</v>
      </c>
      <c r="D96" s="517" t="str">
        <f>INDEX(Workstreams[Workstream], MATCH($C96, Workstreams[Code], 0))</f>
        <v>National renewable power generation</v>
      </c>
      <c r="E96" s="512"/>
      <c r="F96" s="510"/>
      <c r="G96" s="513"/>
      <c r="H96" s="513"/>
      <c r="I96" s="534"/>
      <c r="J96" s="534"/>
      <c r="K96" s="534"/>
      <c r="L96" s="540"/>
      <c r="M96" s="562"/>
      <c r="N96" s="540"/>
      <c r="O96" s="540"/>
      <c r="P96" s="534">
        <f>L96+M96+N96+O96</f>
        <v>0</v>
      </c>
      <c r="Q96" s="534"/>
      <c r="R96" s="569">
        <f t="shared" si="46"/>
        <v>0</v>
      </c>
      <c r="S96" s="515"/>
      <c r="T96" s="494"/>
      <c r="U96" s="494">
        <f>U97+U98+U99+U100+U101+U102</f>
        <v>7.6825918850000008</v>
      </c>
      <c r="V96" s="494"/>
      <c r="W96" s="494"/>
      <c r="X96" s="494"/>
      <c r="Y96" s="494"/>
      <c r="Z96" s="494"/>
      <c r="AA96" s="494"/>
      <c r="AB96" s="494"/>
      <c r="AC96" s="576">
        <f t="shared" ref="AC96:AC102" si="59">U96+T96+V96+W96+X96+Y96+Z96+AA96+AB96</f>
        <v>7.6825918850000008</v>
      </c>
      <c r="AD96" s="515"/>
      <c r="AE96" s="552"/>
      <c r="AF96" s="552"/>
      <c r="AG96" s="552"/>
      <c r="AH96" s="583">
        <f t="shared" ref="AH96:AH102" si="60">AE96+AF96+AG96</f>
        <v>0</v>
      </c>
      <c r="AI96" s="583"/>
      <c r="AJ96" s="552"/>
      <c r="AK96" s="552">
        <f>AK97+AK98+AK99+AK100+AK101+AK102</f>
        <v>-3.5688367850000002</v>
      </c>
      <c r="AL96" s="552"/>
      <c r="AM96" s="552"/>
      <c r="AN96" s="552"/>
      <c r="AO96" s="552">
        <f>AO97+AO98+AO99+AO100+AO101+AO102</f>
        <v>-4.1435790100000007</v>
      </c>
      <c r="AP96" s="552"/>
      <c r="AQ96" s="552"/>
      <c r="AR96" s="583">
        <f t="shared" si="47"/>
        <v>-7.712415795000001</v>
      </c>
      <c r="AS96" s="552"/>
      <c r="AT96" s="552"/>
      <c r="AU96" s="552"/>
      <c r="AV96" s="583">
        <f t="shared" si="48"/>
        <v>0</v>
      </c>
      <c r="AW96" s="591">
        <f t="shared" si="49"/>
        <v>-7.712415795000001</v>
      </c>
      <c r="AX96" s="515"/>
      <c r="AY96" s="546">
        <f>AY97+AY98+AY99+AY100+AY101+AY102</f>
        <v>1.0755285551056204E-16</v>
      </c>
      <c r="AZ96" s="546">
        <f>AZ97+AZ98+AZ99+AZ100+AZ101+AZ102</f>
        <v>2.9823910000000068E-2</v>
      </c>
      <c r="BA96" s="598">
        <f t="shared" si="50"/>
        <v>2.9823910000000176E-2</v>
      </c>
      <c r="BB96" s="546"/>
      <c r="BC96" s="546"/>
      <c r="BD96" s="546"/>
      <c r="BE96" s="598">
        <f t="shared" si="51"/>
        <v>0</v>
      </c>
      <c r="BF96" s="605">
        <f t="shared" si="52"/>
        <v>2.9823910000000176E-2</v>
      </c>
      <c r="BG96" s="515"/>
      <c r="BH96" s="515">
        <f t="shared" ref="BH96:BH102" si="61">R96+AC96+AW96+BF96</f>
        <v>0</v>
      </c>
      <c r="BI96" s="515"/>
      <c r="BJ96" s="517" t="str">
        <f>$D96</f>
        <v>National renewable power generation</v>
      </c>
      <c r="BK96" s="698">
        <f t="shared" ref="BK96:BK102" si="62">-($AE96+$V96)*EF.IndustrialCoal.CO2</f>
        <v>0</v>
      </c>
      <c r="BL96" s="698">
        <f t="shared" si="43"/>
        <v>0</v>
      </c>
      <c r="BM96" s="698">
        <f t="shared" ref="BM96:BM102" si="63">-($AG96+$X96)*EF.NaturalGas.CO2</f>
        <v>0</v>
      </c>
      <c r="BN96" s="698">
        <f t="shared" ref="BN96:BN102" si="64">-$Y96*EF.BlastFurnaceGas.CO2</f>
        <v>0</v>
      </c>
      <c r="BO96" s="729">
        <f t="shared" si="54"/>
        <v>0</v>
      </c>
      <c r="BP96" s="698">
        <f t="shared" ref="BP96:BP102" si="65">-($AE96+$V96)*EF.IndustrialCoal.CH4</f>
        <v>0</v>
      </c>
      <c r="BQ96" s="698">
        <f t="shared" si="44"/>
        <v>0</v>
      </c>
      <c r="BR96" s="698">
        <f t="shared" ref="BR96:BR102" si="66">-($AG96+$X96)*EF.NaturalGas.CH4</f>
        <v>0</v>
      </c>
      <c r="BS96" s="699" t="s">
        <v>651</v>
      </c>
      <c r="BT96" s="729">
        <f t="shared" si="55"/>
        <v>0</v>
      </c>
      <c r="BU96" s="698">
        <f t="shared" ref="BU96:BU102" si="67">-($AE96+$V96)*EF.IndustrialCoal.N2O</f>
        <v>0</v>
      </c>
      <c r="BV96" s="698">
        <f t="shared" si="45"/>
        <v>0</v>
      </c>
      <c r="BW96" s="698">
        <f t="shared" ref="BW96:BW102" si="68">-($AG96+$X96)*EF.NaturalGas.N2O</f>
        <v>0</v>
      </c>
      <c r="BX96" s="699" t="s">
        <v>651</v>
      </c>
      <c r="BY96" s="729">
        <f t="shared" si="56"/>
        <v>0</v>
      </c>
      <c r="BZ96" s="729"/>
      <c r="CA96" s="730">
        <f t="shared" si="57"/>
        <v>0</v>
      </c>
    </row>
    <row r="97" spans="2:79" s="24" customFormat="1" ht="12.75" hidden="1" customHeight="1" outlineLevel="1">
      <c r="C97" s="745"/>
      <c r="D97" s="677" t="s">
        <v>1</v>
      </c>
      <c r="E97" s="677"/>
      <c r="F97" s="661" t="str">
        <f t="shared" ref="F97:F102" si="69">C$159</f>
        <v>[11]</v>
      </c>
      <c r="G97" s="662" t="s">
        <v>586</v>
      </c>
      <c r="H97" s="662"/>
      <c r="I97" s="663"/>
      <c r="J97" s="663"/>
      <c r="K97" s="663"/>
      <c r="L97" s="664"/>
      <c r="M97" s="665"/>
      <c r="N97" s="664"/>
      <c r="O97" s="664"/>
      <c r="P97" s="663">
        <f>L97+M97+N97+O97</f>
        <v>0</v>
      </c>
      <c r="Q97" s="663"/>
      <c r="R97" s="666">
        <f t="shared" si="46"/>
        <v>0</v>
      </c>
      <c r="S97" s="667"/>
      <c r="T97" s="668"/>
      <c r="U97" s="668">
        <f>'DUKES 09 (5.6)'!$L$245*Unit.GWh</f>
        <v>3.5688367850000002</v>
      </c>
      <c r="V97" s="668"/>
      <c r="W97" s="668"/>
      <c r="X97" s="668"/>
      <c r="Y97" s="668"/>
      <c r="Z97" s="668"/>
      <c r="AA97" s="668"/>
      <c r="AB97" s="668"/>
      <c r="AC97" s="669">
        <f t="shared" si="59"/>
        <v>3.5688367850000002</v>
      </c>
      <c r="AD97" s="667"/>
      <c r="AE97" s="670"/>
      <c r="AF97" s="670"/>
      <c r="AG97" s="670"/>
      <c r="AH97" s="671">
        <f t="shared" si="60"/>
        <v>0</v>
      </c>
      <c r="AI97" s="671"/>
      <c r="AJ97" s="670"/>
      <c r="AK97" s="670">
        <f>-'DUKES 09 (5.6)'!$L$248*Unit.GWh</f>
        <v>-3.5688367850000002</v>
      </c>
      <c r="AL97" s="670"/>
      <c r="AM97" s="670"/>
      <c r="AN97" s="670"/>
      <c r="AO97" s="670"/>
      <c r="AP97" s="670"/>
      <c r="AQ97" s="670"/>
      <c r="AR97" s="671">
        <f t="shared" si="47"/>
        <v>-3.5688367850000002</v>
      </c>
      <c r="AS97" s="670"/>
      <c r="AT97" s="670"/>
      <c r="AU97" s="670"/>
      <c r="AV97" s="671">
        <f t="shared" si="48"/>
        <v>0</v>
      </c>
      <c r="AW97" s="672">
        <f t="shared" si="49"/>
        <v>-3.5688367850000002</v>
      </c>
      <c r="AX97" s="667"/>
      <c r="AY97" s="673"/>
      <c r="AZ97" s="673"/>
      <c r="BA97" s="674">
        <f t="shared" si="50"/>
        <v>0</v>
      </c>
      <c r="BB97" s="673"/>
      <c r="BC97" s="673"/>
      <c r="BD97" s="673"/>
      <c r="BE97" s="674">
        <f t="shared" si="51"/>
        <v>0</v>
      </c>
      <c r="BF97" s="675">
        <f t="shared" si="52"/>
        <v>0</v>
      </c>
      <c r="BG97" s="667"/>
      <c r="BH97" s="667">
        <f t="shared" si="61"/>
        <v>0</v>
      </c>
      <c r="BI97" s="515"/>
      <c r="BJ97" s="741"/>
      <c r="BK97" s="722">
        <f t="shared" si="62"/>
        <v>0</v>
      </c>
      <c r="BL97" s="722">
        <f t="shared" si="43"/>
        <v>0</v>
      </c>
      <c r="BM97" s="722">
        <f t="shared" si="63"/>
        <v>0</v>
      </c>
      <c r="BN97" s="722">
        <f t="shared" si="64"/>
        <v>0</v>
      </c>
      <c r="BO97" s="732">
        <f t="shared" si="54"/>
        <v>0</v>
      </c>
      <c r="BP97" s="722">
        <f t="shared" si="65"/>
        <v>0</v>
      </c>
      <c r="BQ97" s="722">
        <f t="shared" si="44"/>
        <v>0</v>
      </c>
      <c r="BR97" s="722">
        <f t="shared" si="66"/>
        <v>0</v>
      </c>
      <c r="BS97" s="724" t="s">
        <v>651</v>
      </c>
      <c r="BT97" s="732">
        <f t="shared" si="55"/>
        <v>0</v>
      </c>
      <c r="BU97" s="722">
        <f t="shared" si="67"/>
        <v>0</v>
      </c>
      <c r="BV97" s="722">
        <f t="shared" si="45"/>
        <v>0</v>
      </c>
      <c r="BW97" s="722">
        <f t="shared" si="68"/>
        <v>0</v>
      </c>
      <c r="BX97" s="724" t="s">
        <v>651</v>
      </c>
      <c r="BY97" s="732">
        <f t="shared" si="56"/>
        <v>0</v>
      </c>
      <c r="BZ97" s="732"/>
      <c r="CA97" s="733">
        <f t="shared" si="57"/>
        <v>0</v>
      </c>
    </row>
    <row r="98" spans="2:79" s="24" customFormat="1" ht="12.75" hidden="1" customHeight="1" outlineLevel="1">
      <c r="C98" s="747"/>
      <c r="D98" s="512" t="s">
        <v>69</v>
      </c>
      <c r="E98" s="512"/>
      <c r="F98" s="510" t="str">
        <f t="shared" si="69"/>
        <v>[11]</v>
      </c>
      <c r="G98" s="513" t="s">
        <v>586</v>
      </c>
      <c r="H98" s="513"/>
      <c r="I98" s="534"/>
      <c r="J98" s="534"/>
      <c r="K98" s="534"/>
      <c r="L98" s="540"/>
      <c r="M98" s="562"/>
      <c r="N98" s="540"/>
      <c r="O98" s="540"/>
      <c r="P98" s="534">
        <f t="shared" ref="P98:P109" si="70">L98+M98+N98+O98</f>
        <v>0</v>
      </c>
      <c r="Q98" s="534"/>
      <c r="R98" s="569">
        <f t="shared" si="46"/>
        <v>0</v>
      </c>
      <c r="S98" s="515"/>
      <c r="T98" s="494"/>
      <c r="U98" s="494">
        <f>('DUKES 09 (5.6)'!$J$246-'DUKES 09 (5.6)'!$J$247)*Unit.GWh</f>
        <v>4.1137551000000006</v>
      </c>
      <c r="V98" s="494"/>
      <c r="W98" s="494"/>
      <c r="X98" s="494"/>
      <c r="Y98" s="494"/>
      <c r="Z98" s="494"/>
      <c r="AA98" s="494"/>
      <c r="AB98" s="494"/>
      <c r="AC98" s="576">
        <f t="shared" si="59"/>
        <v>4.1137551000000006</v>
      </c>
      <c r="AD98" s="515"/>
      <c r="AE98" s="552"/>
      <c r="AF98" s="552"/>
      <c r="AG98" s="552"/>
      <c r="AH98" s="583">
        <f t="shared" si="60"/>
        <v>0</v>
      </c>
      <c r="AI98" s="583"/>
      <c r="AJ98" s="552"/>
      <c r="AK98" s="552"/>
      <c r="AL98" s="552"/>
      <c r="AM98" s="552"/>
      <c r="AN98" s="552"/>
      <c r="AO98" s="552">
        <f>-'DUKES 09 (5.6)'!$J$245*Unit.GWh</f>
        <v>-4.1435790100000007</v>
      </c>
      <c r="AP98" s="552"/>
      <c r="AQ98" s="552"/>
      <c r="AR98" s="583">
        <f t="shared" si="47"/>
        <v>-4.1435790100000007</v>
      </c>
      <c r="AS98" s="552"/>
      <c r="AT98" s="552"/>
      <c r="AU98" s="552"/>
      <c r="AV98" s="583">
        <f t="shared" si="48"/>
        <v>0</v>
      </c>
      <c r="AW98" s="591">
        <f t="shared" si="49"/>
        <v>-4.1435790100000007</v>
      </c>
      <c r="AX98" s="515"/>
      <c r="AY98" s="546">
        <f>-AC98-AW98-AZ98</f>
        <v>1.0755285551056204E-16</v>
      </c>
      <c r="AZ98" s="546">
        <f>'DUKES 09 (5.6)'!$J$247*Unit.GWh</f>
        <v>2.9823910000000068E-2</v>
      </c>
      <c r="BA98" s="598">
        <f t="shared" si="50"/>
        <v>2.9823910000000176E-2</v>
      </c>
      <c r="BB98" s="546"/>
      <c r="BC98" s="546"/>
      <c r="BD98" s="546"/>
      <c r="BE98" s="598">
        <f t="shared" si="51"/>
        <v>0</v>
      </c>
      <c r="BF98" s="605">
        <f t="shared" si="52"/>
        <v>2.9823910000000176E-2</v>
      </c>
      <c r="BG98" s="515"/>
      <c r="BH98" s="515">
        <f t="shared" si="61"/>
        <v>0</v>
      </c>
      <c r="BI98" s="515"/>
      <c r="BJ98" s="741"/>
      <c r="BK98" s="698">
        <f t="shared" si="62"/>
        <v>0</v>
      </c>
      <c r="BL98" s="698">
        <f t="shared" si="43"/>
        <v>0</v>
      </c>
      <c r="BM98" s="698">
        <f t="shared" si="63"/>
        <v>0</v>
      </c>
      <c r="BN98" s="698">
        <f t="shared" si="64"/>
        <v>0</v>
      </c>
      <c r="BO98" s="729">
        <f t="shared" si="54"/>
        <v>0</v>
      </c>
      <c r="BP98" s="698">
        <f t="shared" si="65"/>
        <v>0</v>
      </c>
      <c r="BQ98" s="698">
        <f t="shared" si="44"/>
        <v>0</v>
      </c>
      <c r="BR98" s="698">
        <f t="shared" si="66"/>
        <v>0</v>
      </c>
      <c r="BS98" s="699" t="s">
        <v>651</v>
      </c>
      <c r="BT98" s="729">
        <f t="shared" si="55"/>
        <v>0</v>
      </c>
      <c r="BU98" s="698">
        <f t="shared" si="67"/>
        <v>0</v>
      </c>
      <c r="BV98" s="698">
        <f t="shared" si="45"/>
        <v>0</v>
      </c>
      <c r="BW98" s="698">
        <f t="shared" si="68"/>
        <v>0</v>
      </c>
      <c r="BX98" s="699" t="s">
        <v>651</v>
      </c>
      <c r="BY98" s="729">
        <f t="shared" si="56"/>
        <v>0</v>
      </c>
      <c r="BZ98" s="729"/>
      <c r="CA98" s="730">
        <f t="shared" si="57"/>
        <v>0</v>
      </c>
    </row>
    <row r="99" spans="2:79" s="24" customFormat="1" ht="12.75" hidden="1" customHeight="1" outlineLevel="1">
      <c r="C99" s="751"/>
      <c r="D99" s="512" t="s">
        <v>2</v>
      </c>
      <c r="E99" s="512"/>
      <c r="F99" s="510" t="str">
        <f t="shared" si="69"/>
        <v>[11]</v>
      </c>
      <c r="G99" s="513"/>
      <c r="H99" s="513"/>
      <c r="I99" s="534"/>
      <c r="J99" s="534"/>
      <c r="K99" s="534"/>
      <c r="L99" s="540"/>
      <c r="M99" s="562"/>
      <c r="N99" s="540"/>
      <c r="O99" s="540"/>
      <c r="P99" s="534">
        <f t="shared" si="70"/>
        <v>0</v>
      </c>
      <c r="Q99" s="534"/>
      <c r="R99" s="569">
        <f t="shared" si="46"/>
        <v>0</v>
      </c>
      <c r="S99" s="515"/>
      <c r="T99" s="494"/>
      <c r="U99" s="494"/>
      <c r="V99" s="494"/>
      <c r="W99" s="494"/>
      <c r="X99" s="494"/>
      <c r="Y99" s="494"/>
      <c r="Z99" s="494"/>
      <c r="AA99" s="494"/>
      <c r="AB99" s="494"/>
      <c r="AC99" s="576">
        <f t="shared" si="59"/>
        <v>0</v>
      </c>
      <c r="AD99" s="515"/>
      <c r="AE99" s="552"/>
      <c r="AF99" s="552"/>
      <c r="AG99" s="552"/>
      <c r="AH99" s="583">
        <f t="shared" si="60"/>
        <v>0</v>
      </c>
      <c r="AI99" s="583"/>
      <c r="AJ99" s="552"/>
      <c r="AK99" s="552"/>
      <c r="AL99" s="552"/>
      <c r="AM99" s="552"/>
      <c r="AN99" s="552"/>
      <c r="AO99" s="552"/>
      <c r="AP99" s="552"/>
      <c r="AQ99" s="552"/>
      <c r="AR99" s="583">
        <f t="shared" si="47"/>
        <v>0</v>
      </c>
      <c r="AS99" s="552"/>
      <c r="AT99" s="552"/>
      <c r="AU99" s="552"/>
      <c r="AV99" s="583">
        <f t="shared" si="48"/>
        <v>0</v>
      </c>
      <c r="AW99" s="591">
        <f t="shared" si="49"/>
        <v>0</v>
      </c>
      <c r="AX99" s="515"/>
      <c r="AY99" s="546"/>
      <c r="AZ99" s="546"/>
      <c r="BA99" s="598">
        <f t="shared" si="50"/>
        <v>0</v>
      </c>
      <c r="BB99" s="546"/>
      <c r="BC99" s="546"/>
      <c r="BD99" s="546"/>
      <c r="BE99" s="598">
        <f t="shared" si="51"/>
        <v>0</v>
      </c>
      <c r="BF99" s="605">
        <f t="shared" si="52"/>
        <v>0</v>
      </c>
      <c r="BG99" s="515"/>
      <c r="BH99" s="515">
        <f t="shared" si="61"/>
        <v>0</v>
      </c>
      <c r="BI99" s="515"/>
      <c r="BJ99" s="741"/>
      <c r="BK99" s="698">
        <f t="shared" si="62"/>
        <v>0</v>
      </c>
      <c r="BL99" s="698">
        <f t="shared" si="43"/>
        <v>0</v>
      </c>
      <c r="BM99" s="698">
        <f t="shared" si="63"/>
        <v>0</v>
      </c>
      <c r="BN99" s="698">
        <f t="shared" si="64"/>
        <v>0</v>
      </c>
      <c r="BO99" s="729">
        <f t="shared" si="54"/>
        <v>0</v>
      </c>
      <c r="BP99" s="698">
        <f t="shared" si="65"/>
        <v>0</v>
      </c>
      <c r="BQ99" s="698">
        <f t="shared" si="44"/>
        <v>0</v>
      </c>
      <c r="BR99" s="698">
        <f t="shared" si="66"/>
        <v>0</v>
      </c>
      <c r="BS99" s="699" t="s">
        <v>651</v>
      </c>
      <c r="BT99" s="729">
        <f t="shared" si="55"/>
        <v>0</v>
      </c>
      <c r="BU99" s="698">
        <f t="shared" si="67"/>
        <v>0</v>
      </c>
      <c r="BV99" s="698">
        <f t="shared" si="45"/>
        <v>0</v>
      </c>
      <c r="BW99" s="698">
        <f t="shared" si="68"/>
        <v>0</v>
      </c>
      <c r="BX99" s="699" t="s">
        <v>651</v>
      </c>
      <c r="BY99" s="729">
        <f t="shared" si="56"/>
        <v>0</v>
      </c>
      <c r="BZ99" s="729"/>
      <c r="CA99" s="730">
        <f t="shared" si="57"/>
        <v>0</v>
      </c>
    </row>
    <row r="100" spans="2:79" s="24" customFormat="1" ht="12.75" hidden="1" customHeight="1" outlineLevel="1">
      <c r="C100" s="751"/>
      <c r="D100" s="512" t="s">
        <v>68</v>
      </c>
      <c r="E100" s="512"/>
      <c r="F100" s="510" t="str">
        <f t="shared" si="69"/>
        <v>[11]</v>
      </c>
      <c r="G100" s="513"/>
      <c r="H100" s="513"/>
      <c r="I100" s="534"/>
      <c r="J100" s="534"/>
      <c r="K100" s="534"/>
      <c r="L100" s="540"/>
      <c r="M100" s="562"/>
      <c r="N100" s="540"/>
      <c r="O100" s="540"/>
      <c r="P100" s="534">
        <f t="shared" si="70"/>
        <v>0</v>
      </c>
      <c r="Q100" s="534"/>
      <c r="R100" s="569">
        <f t="shared" si="46"/>
        <v>0</v>
      </c>
      <c r="S100" s="515"/>
      <c r="T100" s="494"/>
      <c r="U100" s="494"/>
      <c r="V100" s="494"/>
      <c r="W100" s="494"/>
      <c r="X100" s="494"/>
      <c r="Y100" s="494"/>
      <c r="Z100" s="494"/>
      <c r="AA100" s="494"/>
      <c r="AB100" s="494"/>
      <c r="AC100" s="576">
        <f t="shared" si="59"/>
        <v>0</v>
      </c>
      <c r="AD100" s="515"/>
      <c r="AE100" s="552"/>
      <c r="AF100" s="552"/>
      <c r="AG100" s="552"/>
      <c r="AH100" s="583">
        <f t="shared" si="60"/>
        <v>0</v>
      </c>
      <c r="AI100" s="583"/>
      <c r="AJ100" s="552"/>
      <c r="AK100" s="552"/>
      <c r="AL100" s="552"/>
      <c r="AM100" s="552"/>
      <c r="AN100" s="552"/>
      <c r="AO100" s="552"/>
      <c r="AP100" s="552"/>
      <c r="AQ100" s="552"/>
      <c r="AR100" s="583">
        <f t="shared" si="47"/>
        <v>0</v>
      </c>
      <c r="AS100" s="552"/>
      <c r="AT100" s="552"/>
      <c r="AU100" s="552"/>
      <c r="AV100" s="583">
        <f t="shared" si="48"/>
        <v>0</v>
      </c>
      <c r="AW100" s="591">
        <f t="shared" si="49"/>
        <v>0</v>
      </c>
      <c r="AX100" s="515"/>
      <c r="AY100" s="546"/>
      <c r="AZ100" s="546"/>
      <c r="BA100" s="598">
        <f t="shared" si="50"/>
        <v>0</v>
      </c>
      <c r="BB100" s="546"/>
      <c r="BC100" s="546"/>
      <c r="BD100" s="546"/>
      <c r="BE100" s="598">
        <f t="shared" si="51"/>
        <v>0</v>
      </c>
      <c r="BF100" s="605">
        <f t="shared" si="52"/>
        <v>0</v>
      </c>
      <c r="BG100" s="515"/>
      <c r="BH100" s="515">
        <f t="shared" si="61"/>
        <v>0</v>
      </c>
      <c r="BI100" s="515"/>
      <c r="BJ100" s="741"/>
      <c r="BK100" s="698">
        <f t="shared" si="62"/>
        <v>0</v>
      </c>
      <c r="BL100" s="698">
        <f t="shared" si="43"/>
        <v>0</v>
      </c>
      <c r="BM100" s="698">
        <f t="shared" si="63"/>
        <v>0</v>
      </c>
      <c r="BN100" s="698">
        <f t="shared" si="64"/>
        <v>0</v>
      </c>
      <c r="BO100" s="729">
        <f t="shared" si="54"/>
        <v>0</v>
      </c>
      <c r="BP100" s="698">
        <f t="shared" si="65"/>
        <v>0</v>
      </c>
      <c r="BQ100" s="698">
        <f t="shared" si="44"/>
        <v>0</v>
      </c>
      <c r="BR100" s="698">
        <f t="shared" si="66"/>
        <v>0</v>
      </c>
      <c r="BS100" s="699" t="s">
        <v>651</v>
      </c>
      <c r="BT100" s="729">
        <f t="shared" si="55"/>
        <v>0</v>
      </c>
      <c r="BU100" s="698">
        <f t="shared" si="67"/>
        <v>0</v>
      </c>
      <c r="BV100" s="698">
        <f t="shared" si="45"/>
        <v>0</v>
      </c>
      <c r="BW100" s="698">
        <f t="shared" si="68"/>
        <v>0</v>
      </c>
      <c r="BX100" s="699" t="s">
        <v>651</v>
      </c>
      <c r="BY100" s="729">
        <f t="shared" si="56"/>
        <v>0</v>
      </c>
      <c r="BZ100" s="729"/>
      <c r="CA100" s="730">
        <f t="shared" si="57"/>
        <v>0</v>
      </c>
    </row>
    <row r="101" spans="2:79" s="24" customFormat="1" ht="12.75" hidden="1" customHeight="1" outlineLevel="1">
      <c r="C101" s="751"/>
      <c r="D101" s="512" t="s">
        <v>70</v>
      </c>
      <c r="E101" s="512"/>
      <c r="F101" s="510" t="str">
        <f t="shared" si="69"/>
        <v>[11]</v>
      </c>
      <c r="G101" s="513"/>
      <c r="H101" s="513"/>
      <c r="I101" s="534"/>
      <c r="J101" s="534"/>
      <c r="K101" s="534"/>
      <c r="L101" s="540"/>
      <c r="M101" s="562"/>
      <c r="N101" s="540"/>
      <c r="O101" s="540"/>
      <c r="P101" s="534">
        <f t="shared" si="70"/>
        <v>0</v>
      </c>
      <c r="Q101" s="534"/>
      <c r="R101" s="569">
        <f t="shared" si="46"/>
        <v>0</v>
      </c>
      <c r="S101" s="515"/>
      <c r="T101" s="494"/>
      <c r="U101" s="494"/>
      <c r="V101" s="494"/>
      <c r="W101" s="494"/>
      <c r="X101" s="494"/>
      <c r="Y101" s="494"/>
      <c r="Z101" s="494"/>
      <c r="AA101" s="494"/>
      <c r="AB101" s="494"/>
      <c r="AC101" s="576">
        <f t="shared" si="59"/>
        <v>0</v>
      </c>
      <c r="AD101" s="515"/>
      <c r="AE101" s="552"/>
      <c r="AF101" s="552"/>
      <c r="AG101" s="552"/>
      <c r="AH101" s="583">
        <f t="shared" si="60"/>
        <v>0</v>
      </c>
      <c r="AI101" s="583"/>
      <c r="AJ101" s="552"/>
      <c r="AK101" s="552"/>
      <c r="AL101" s="552"/>
      <c r="AM101" s="552"/>
      <c r="AN101" s="552"/>
      <c r="AO101" s="552"/>
      <c r="AP101" s="552"/>
      <c r="AQ101" s="552"/>
      <c r="AR101" s="583">
        <f t="shared" si="47"/>
        <v>0</v>
      </c>
      <c r="AS101" s="552"/>
      <c r="AT101" s="552"/>
      <c r="AU101" s="552"/>
      <c r="AV101" s="583">
        <f t="shared" si="48"/>
        <v>0</v>
      </c>
      <c r="AW101" s="591">
        <f t="shared" si="49"/>
        <v>0</v>
      </c>
      <c r="AX101" s="515"/>
      <c r="AY101" s="546"/>
      <c r="AZ101" s="546"/>
      <c r="BA101" s="598">
        <f t="shared" si="50"/>
        <v>0</v>
      </c>
      <c r="BB101" s="546"/>
      <c r="BC101" s="546"/>
      <c r="BD101" s="546"/>
      <c r="BE101" s="598">
        <f t="shared" si="51"/>
        <v>0</v>
      </c>
      <c r="BF101" s="605">
        <f t="shared" si="52"/>
        <v>0</v>
      </c>
      <c r="BG101" s="515"/>
      <c r="BH101" s="515">
        <f t="shared" si="61"/>
        <v>0</v>
      </c>
      <c r="BI101" s="515"/>
      <c r="BJ101" s="741"/>
      <c r="BK101" s="698">
        <f t="shared" si="62"/>
        <v>0</v>
      </c>
      <c r="BL101" s="698">
        <f t="shared" si="43"/>
        <v>0</v>
      </c>
      <c r="BM101" s="698">
        <f t="shared" si="63"/>
        <v>0</v>
      </c>
      <c r="BN101" s="698">
        <f t="shared" si="64"/>
        <v>0</v>
      </c>
      <c r="BO101" s="729">
        <f t="shared" si="54"/>
        <v>0</v>
      </c>
      <c r="BP101" s="698">
        <f t="shared" si="65"/>
        <v>0</v>
      </c>
      <c r="BQ101" s="698">
        <f t="shared" si="44"/>
        <v>0</v>
      </c>
      <c r="BR101" s="698">
        <f t="shared" si="66"/>
        <v>0</v>
      </c>
      <c r="BS101" s="699" t="s">
        <v>651</v>
      </c>
      <c r="BT101" s="729">
        <f t="shared" si="55"/>
        <v>0</v>
      </c>
      <c r="BU101" s="698">
        <f t="shared" si="67"/>
        <v>0</v>
      </c>
      <c r="BV101" s="698">
        <f t="shared" si="45"/>
        <v>0</v>
      </c>
      <c r="BW101" s="698">
        <f t="shared" si="68"/>
        <v>0</v>
      </c>
      <c r="BX101" s="699" t="s">
        <v>651</v>
      </c>
      <c r="BY101" s="729">
        <f t="shared" si="56"/>
        <v>0</v>
      </c>
      <c r="BZ101" s="729"/>
      <c r="CA101" s="730">
        <f t="shared" si="57"/>
        <v>0</v>
      </c>
    </row>
    <row r="102" spans="2:79" s="24" customFormat="1" ht="12.75" hidden="1" customHeight="1" outlineLevel="1">
      <c r="C102" s="751"/>
      <c r="D102" s="512" t="s">
        <v>3</v>
      </c>
      <c r="E102" s="512"/>
      <c r="F102" s="510" t="str">
        <f t="shared" si="69"/>
        <v>[11]</v>
      </c>
      <c r="G102" s="513"/>
      <c r="H102" s="513"/>
      <c r="I102" s="534"/>
      <c r="J102" s="534"/>
      <c r="K102" s="534"/>
      <c r="L102" s="540"/>
      <c r="M102" s="562"/>
      <c r="N102" s="540"/>
      <c r="O102" s="540"/>
      <c r="P102" s="534">
        <f t="shared" si="70"/>
        <v>0</v>
      </c>
      <c r="Q102" s="534"/>
      <c r="R102" s="569">
        <f t="shared" si="46"/>
        <v>0</v>
      </c>
      <c r="S102" s="515"/>
      <c r="T102" s="494"/>
      <c r="U102" s="494"/>
      <c r="V102" s="494"/>
      <c r="W102" s="494"/>
      <c r="X102" s="494"/>
      <c r="Y102" s="494"/>
      <c r="Z102" s="494"/>
      <c r="AA102" s="494"/>
      <c r="AB102" s="494"/>
      <c r="AC102" s="576">
        <f t="shared" si="59"/>
        <v>0</v>
      </c>
      <c r="AD102" s="515"/>
      <c r="AE102" s="552"/>
      <c r="AF102" s="552"/>
      <c r="AG102" s="552"/>
      <c r="AH102" s="583">
        <f t="shared" si="60"/>
        <v>0</v>
      </c>
      <c r="AI102" s="583"/>
      <c r="AJ102" s="552"/>
      <c r="AK102" s="552"/>
      <c r="AL102" s="552"/>
      <c r="AM102" s="552"/>
      <c r="AN102" s="552"/>
      <c r="AO102" s="552"/>
      <c r="AP102" s="552"/>
      <c r="AQ102" s="552"/>
      <c r="AR102" s="583">
        <f t="shared" si="47"/>
        <v>0</v>
      </c>
      <c r="AS102" s="552"/>
      <c r="AT102" s="552"/>
      <c r="AU102" s="552"/>
      <c r="AV102" s="583">
        <f t="shared" si="48"/>
        <v>0</v>
      </c>
      <c r="AW102" s="591">
        <f t="shared" si="49"/>
        <v>0</v>
      </c>
      <c r="AX102" s="515"/>
      <c r="AY102" s="546"/>
      <c r="AZ102" s="546"/>
      <c r="BA102" s="598">
        <f t="shared" si="50"/>
        <v>0</v>
      </c>
      <c r="BB102" s="546"/>
      <c r="BC102" s="546"/>
      <c r="BD102" s="546"/>
      <c r="BE102" s="598">
        <f t="shared" si="51"/>
        <v>0</v>
      </c>
      <c r="BF102" s="605">
        <f t="shared" si="52"/>
        <v>0</v>
      </c>
      <c r="BG102" s="515"/>
      <c r="BH102" s="515">
        <f t="shared" si="61"/>
        <v>0</v>
      </c>
      <c r="BI102" s="515"/>
      <c r="BJ102" s="741"/>
      <c r="BK102" s="698">
        <f t="shared" si="62"/>
        <v>0</v>
      </c>
      <c r="BL102" s="698">
        <f t="shared" si="43"/>
        <v>0</v>
      </c>
      <c r="BM102" s="698">
        <f t="shared" si="63"/>
        <v>0</v>
      </c>
      <c r="BN102" s="698">
        <f t="shared" si="64"/>
        <v>0</v>
      </c>
      <c r="BO102" s="729">
        <f t="shared" si="54"/>
        <v>0</v>
      </c>
      <c r="BP102" s="698">
        <f t="shared" si="65"/>
        <v>0</v>
      </c>
      <c r="BQ102" s="698">
        <f t="shared" si="44"/>
        <v>0</v>
      </c>
      <c r="BR102" s="698">
        <f t="shared" si="66"/>
        <v>0</v>
      </c>
      <c r="BS102" s="699" t="s">
        <v>651</v>
      </c>
      <c r="BT102" s="729">
        <f t="shared" si="55"/>
        <v>0</v>
      </c>
      <c r="BU102" s="698">
        <f t="shared" si="67"/>
        <v>0</v>
      </c>
      <c r="BV102" s="698">
        <f t="shared" si="45"/>
        <v>0</v>
      </c>
      <c r="BW102" s="698">
        <f t="shared" si="68"/>
        <v>0</v>
      </c>
      <c r="BX102" s="699" t="s">
        <v>651</v>
      </c>
      <c r="BY102" s="729">
        <f t="shared" si="56"/>
        <v>0</v>
      </c>
      <c r="BZ102" s="729"/>
      <c r="CA102" s="730">
        <f t="shared" si="57"/>
        <v>0</v>
      </c>
    </row>
    <row r="103" spans="2:79" s="24" customFormat="1" ht="12.75" hidden="1" customHeight="1" outlineLevel="1">
      <c r="C103" s="751"/>
      <c r="D103" s="512"/>
      <c r="E103" s="512"/>
      <c r="F103" s="510"/>
      <c r="G103" s="513"/>
      <c r="H103" s="513"/>
      <c r="I103" s="534"/>
      <c r="J103" s="534"/>
      <c r="K103" s="534"/>
      <c r="L103" s="540"/>
      <c r="M103" s="562"/>
      <c r="N103" s="540"/>
      <c r="O103" s="540"/>
      <c r="P103" s="534"/>
      <c r="Q103" s="534"/>
      <c r="R103" s="569"/>
      <c r="S103" s="515"/>
      <c r="T103" s="494"/>
      <c r="U103" s="494"/>
      <c r="V103" s="494"/>
      <c r="W103" s="494"/>
      <c r="X103" s="494"/>
      <c r="Y103" s="494"/>
      <c r="Z103" s="494"/>
      <c r="AA103" s="494"/>
      <c r="AB103" s="494"/>
      <c r="AC103" s="576"/>
      <c r="AD103" s="515"/>
      <c r="AE103" s="552"/>
      <c r="AF103" s="552"/>
      <c r="AG103" s="552"/>
      <c r="AH103" s="583"/>
      <c r="AI103" s="583"/>
      <c r="AJ103" s="552"/>
      <c r="AK103" s="552"/>
      <c r="AL103" s="552"/>
      <c r="AM103" s="552"/>
      <c r="AN103" s="552"/>
      <c r="AO103" s="552"/>
      <c r="AP103" s="552"/>
      <c r="AQ103" s="552"/>
      <c r="AR103" s="583"/>
      <c r="AS103" s="552"/>
      <c r="AT103" s="552"/>
      <c r="AU103" s="552"/>
      <c r="AV103" s="583"/>
      <c r="AW103" s="591"/>
      <c r="AX103" s="515"/>
      <c r="AY103" s="546"/>
      <c r="AZ103" s="546"/>
      <c r="BA103" s="598"/>
      <c r="BB103" s="546"/>
      <c r="BC103" s="546"/>
      <c r="BD103" s="546"/>
      <c r="BE103" s="598">
        <f t="shared" si="51"/>
        <v>0</v>
      </c>
      <c r="BF103" s="605">
        <f t="shared" si="52"/>
        <v>0</v>
      </c>
      <c r="BG103" s="515"/>
      <c r="BH103" s="515"/>
      <c r="BI103" s="515"/>
      <c r="BJ103" s="741"/>
      <c r="BK103" s="698"/>
      <c r="BL103" s="698">
        <f t="shared" si="43"/>
        <v>0</v>
      </c>
      <c r="BM103" s="698"/>
      <c r="BN103" s="698"/>
      <c r="BO103" s="729"/>
      <c r="BP103" s="698"/>
      <c r="BQ103" s="698">
        <f t="shared" si="44"/>
        <v>0</v>
      </c>
      <c r="BR103" s="698"/>
      <c r="BS103" s="699"/>
      <c r="BT103" s="729"/>
      <c r="BU103" s="698"/>
      <c r="BV103" s="698">
        <f t="shared" si="45"/>
        <v>0</v>
      </c>
      <c r="BW103" s="698"/>
      <c r="BX103" s="699"/>
      <c r="BY103" s="729"/>
      <c r="BZ103" s="729"/>
      <c r="CA103" s="730"/>
    </row>
    <row r="104" spans="2:79" s="24" customFormat="1" ht="15.75" collapsed="1">
      <c r="B104" s="3"/>
      <c r="C104" s="744" t="s">
        <v>77</v>
      </c>
      <c r="D104" s="517" t="str">
        <f>INDEX(Workstreams[Workstream], MATCH($C104, Workstreams[Code], 0))</f>
        <v>Distributed renewable power generation</v>
      </c>
      <c r="E104" s="512"/>
      <c r="F104" s="510"/>
      <c r="G104" s="513"/>
      <c r="H104" s="513"/>
      <c r="I104" s="534"/>
      <c r="J104" s="534"/>
      <c r="K104" s="534"/>
      <c r="L104" s="540"/>
      <c r="M104" s="562"/>
      <c r="N104" s="540"/>
      <c r="O104" s="540"/>
      <c r="P104" s="534">
        <f t="shared" si="70"/>
        <v>0</v>
      </c>
      <c r="Q104" s="534"/>
      <c r="R104" s="569">
        <f t="shared" si="46"/>
        <v>0</v>
      </c>
      <c r="S104" s="515"/>
      <c r="T104" s="494"/>
      <c r="U104" s="494"/>
      <c r="V104" s="494"/>
      <c r="W104" s="494"/>
      <c r="X104" s="494"/>
      <c r="Y104" s="494"/>
      <c r="Z104" s="494"/>
      <c r="AA104" s="494"/>
      <c r="AB104" s="494"/>
      <c r="AC104" s="576">
        <f>U104+T104+V104+W104+X104+Y104+Z104+AA104+AB104</f>
        <v>0</v>
      </c>
      <c r="AD104" s="515"/>
      <c r="AE104" s="552"/>
      <c r="AF104" s="552"/>
      <c r="AG104" s="552"/>
      <c r="AH104" s="583">
        <f>AE104+AF104+AG104</f>
        <v>0</v>
      </c>
      <c r="AI104" s="583"/>
      <c r="AJ104" s="552"/>
      <c r="AK104" s="552"/>
      <c r="AL104" s="552"/>
      <c r="AM104" s="552"/>
      <c r="AN104" s="552"/>
      <c r="AO104" s="552"/>
      <c r="AP104" s="552"/>
      <c r="AQ104" s="552"/>
      <c r="AR104" s="583">
        <f t="shared" si="47"/>
        <v>0</v>
      </c>
      <c r="AS104" s="552"/>
      <c r="AT104" s="552"/>
      <c r="AU104" s="552"/>
      <c r="AV104" s="583">
        <f t="shared" si="48"/>
        <v>0</v>
      </c>
      <c r="AW104" s="591">
        <f t="shared" si="49"/>
        <v>0</v>
      </c>
      <c r="AX104" s="515"/>
      <c r="AY104" s="546"/>
      <c r="AZ104" s="546"/>
      <c r="BA104" s="598">
        <f t="shared" si="50"/>
        <v>0</v>
      </c>
      <c r="BB104" s="546"/>
      <c r="BC104" s="546"/>
      <c r="BD104" s="546"/>
      <c r="BE104" s="598">
        <f t="shared" si="51"/>
        <v>0</v>
      </c>
      <c r="BF104" s="605">
        <f t="shared" si="52"/>
        <v>0</v>
      </c>
      <c r="BG104" s="515"/>
      <c r="BH104" s="515">
        <f>R104+AC104+AW104+BF104</f>
        <v>0</v>
      </c>
      <c r="BI104" s="515"/>
      <c r="BJ104" s="517" t="str">
        <f>$D104</f>
        <v>Distributed renewable power generation</v>
      </c>
      <c r="BK104" s="698">
        <f>-($AE104+$V104)*EF.IndustrialCoal.CO2</f>
        <v>0</v>
      </c>
      <c r="BL104" s="698">
        <f t="shared" si="43"/>
        <v>0</v>
      </c>
      <c r="BM104" s="698">
        <f>-($AG104+$X104)*EF.NaturalGas.CO2</f>
        <v>0</v>
      </c>
      <c r="BN104" s="698">
        <f>-$Y104*EF.BlastFurnaceGas.CO2</f>
        <v>0</v>
      </c>
      <c r="BO104" s="729">
        <f t="shared" si="54"/>
        <v>0</v>
      </c>
      <c r="BP104" s="698">
        <f>-($AE104+$V104)*EF.IndustrialCoal.CH4</f>
        <v>0</v>
      </c>
      <c r="BQ104" s="698">
        <f t="shared" si="44"/>
        <v>0</v>
      </c>
      <c r="BR104" s="698">
        <f>-($AG104+$X104)*EF.NaturalGas.CH4</f>
        <v>0</v>
      </c>
      <c r="BS104" s="699" t="s">
        <v>651</v>
      </c>
      <c r="BT104" s="729">
        <f t="shared" si="55"/>
        <v>0</v>
      </c>
      <c r="BU104" s="698">
        <f>-($AE104+$V104)*EF.IndustrialCoal.N2O</f>
        <v>0</v>
      </c>
      <c r="BV104" s="698">
        <f t="shared" si="45"/>
        <v>0</v>
      </c>
      <c r="BW104" s="698">
        <f>-($AG104+$X104)*EF.NaturalGas.N2O</f>
        <v>0</v>
      </c>
      <c r="BX104" s="699" t="s">
        <v>651</v>
      </c>
      <c r="BY104" s="729">
        <f t="shared" si="56"/>
        <v>0</v>
      </c>
      <c r="BZ104" s="729"/>
      <c r="CA104" s="730">
        <f t="shared" si="57"/>
        <v>0</v>
      </c>
    </row>
    <row r="105" spans="2:79" s="24" customFormat="1" ht="12.75" hidden="1" customHeight="1" outlineLevel="1">
      <c r="C105" s="751"/>
      <c r="D105" s="512"/>
      <c r="E105" s="512"/>
      <c r="F105" s="510"/>
      <c r="G105" s="513"/>
      <c r="H105" s="513"/>
      <c r="I105" s="534"/>
      <c r="J105" s="534"/>
      <c r="K105" s="534"/>
      <c r="L105" s="540"/>
      <c r="M105" s="562"/>
      <c r="N105" s="540"/>
      <c r="O105" s="540"/>
      <c r="P105" s="534"/>
      <c r="Q105" s="534"/>
      <c r="R105" s="569"/>
      <c r="S105" s="515"/>
      <c r="T105" s="494"/>
      <c r="U105" s="494"/>
      <c r="V105" s="494"/>
      <c r="W105" s="494"/>
      <c r="X105" s="494"/>
      <c r="Y105" s="494"/>
      <c r="Z105" s="494"/>
      <c r="AA105" s="494"/>
      <c r="AB105" s="494"/>
      <c r="AC105" s="576"/>
      <c r="AD105" s="515"/>
      <c r="AE105" s="552"/>
      <c r="AF105" s="552"/>
      <c r="AG105" s="552"/>
      <c r="AH105" s="583"/>
      <c r="AI105" s="583"/>
      <c r="AJ105" s="552"/>
      <c r="AK105" s="552"/>
      <c r="AL105" s="552"/>
      <c r="AM105" s="552"/>
      <c r="AN105" s="552"/>
      <c r="AO105" s="552"/>
      <c r="AP105" s="552"/>
      <c r="AQ105" s="552"/>
      <c r="AR105" s="583"/>
      <c r="AS105" s="552"/>
      <c r="AT105" s="552"/>
      <c r="AU105" s="552"/>
      <c r="AV105" s="583"/>
      <c r="AW105" s="591"/>
      <c r="AX105" s="515"/>
      <c r="AY105" s="546"/>
      <c r="AZ105" s="546"/>
      <c r="BA105" s="598"/>
      <c r="BB105" s="546"/>
      <c r="BC105" s="546"/>
      <c r="BD105" s="546"/>
      <c r="BE105" s="598">
        <f t="shared" si="51"/>
        <v>0</v>
      </c>
      <c r="BF105" s="605">
        <f t="shared" si="52"/>
        <v>0</v>
      </c>
      <c r="BG105" s="515"/>
      <c r="BH105" s="515"/>
      <c r="BI105" s="515"/>
      <c r="BJ105" s="741"/>
      <c r="BK105" s="698"/>
      <c r="BL105" s="698">
        <f t="shared" si="43"/>
        <v>0</v>
      </c>
      <c r="BM105" s="698"/>
      <c r="BN105" s="698"/>
      <c r="BO105" s="729"/>
      <c r="BP105" s="698"/>
      <c r="BQ105" s="698">
        <f t="shared" si="44"/>
        <v>0</v>
      </c>
      <c r="BR105" s="698"/>
      <c r="BS105" s="699"/>
      <c r="BT105" s="729"/>
      <c r="BU105" s="698"/>
      <c r="BV105" s="698">
        <f t="shared" si="45"/>
        <v>0</v>
      </c>
      <c r="BW105" s="698"/>
      <c r="BX105" s="699"/>
      <c r="BY105" s="729"/>
      <c r="BZ105" s="729"/>
      <c r="CA105" s="730"/>
    </row>
    <row r="106" spans="2:79" s="24" customFormat="1" ht="15.75" collapsed="1">
      <c r="B106" s="3"/>
      <c r="C106" s="744" t="s">
        <v>671</v>
      </c>
      <c r="D106" s="517" t="str">
        <f>INDEX(Workstreams[Workstream], MATCH($C106, Workstreams[Code], 0))</f>
        <v>Bioenergy</v>
      </c>
      <c r="E106" s="512"/>
      <c r="F106" s="510"/>
      <c r="G106" s="513"/>
      <c r="H106" s="513"/>
      <c r="I106" s="534"/>
      <c r="J106" s="534"/>
      <c r="K106" s="534"/>
      <c r="L106" s="540"/>
      <c r="M106" s="562"/>
      <c r="N106" s="540"/>
      <c r="O106" s="540"/>
      <c r="P106" s="534">
        <f t="shared" si="70"/>
        <v>0</v>
      </c>
      <c r="Q106" s="534"/>
      <c r="R106" s="569">
        <f t="shared" si="46"/>
        <v>0</v>
      </c>
      <c r="S106" s="515"/>
      <c r="T106" s="494"/>
      <c r="U106" s="494"/>
      <c r="V106" s="494"/>
      <c r="W106" s="494">
        <f>W107</f>
        <v>4.5999123584699992</v>
      </c>
      <c r="X106" s="494"/>
      <c r="Y106" s="494"/>
      <c r="Z106" s="494"/>
      <c r="AA106" s="494"/>
      <c r="AB106" s="494"/>
      <c r="AC106" s="576">
        <f>U106+T106+V106+W106+X106+Y106+Z106+AA106+AB106</f>
        <v>4.5999123584699992</v>
      </c>
      <c r="AD106" s="515"/>
      <c r="AE106" s="552"/>
      <c r="AF106" s="552"/>
      <c r="AG106" s="552"/>
      <c r="AH106" s="583">
        <f>AE106+AF106+AG106</f>
        <v>0</v>
      </c>
      <c r="AI106" s="583"/>
      <c r="AJ106" s="552"/>
      <c r="AK106" s="552"/>
      <c r="AL106" s="552"/>
      <c r="AM106" s="552"/>
      <c r="AN106" s="552"/>
      <c r="AO106" s="552"/>
      <c r="AP106" s="552"/>
      <c r="AQ106" s="552">
        <f>AQ107</f>
        <v>-4.9933641266427014</v>
      </c>
      <c r="AR106" s="583">
        <f t="shared" si="47"/>
        <v>-4.9933641266427014</v>
      </c>
      <c r="AS106" s="552"/>
      <c r="AT106" s="552"/>
      <c r="AU106" s="552"/>
      <c r="AV106" s="583">
        <f t="shared" si="48"/>
        <v>0</v>
      </c>
      <c r="AW106" s="591">
        <f t="shared" si="49"/>
        <v>-4.9933641266427014</v>
      </c>
      <c r="AX106" s="515"/>
      <c r="AY106" s="546"/>
      <c r="AZ106" s="546"/>
      <c r="BA106" s="598">
        <f t="shared" si="50"/>
        <v>0</v>
      </c>
      <c r="BB106" s="546">
        <f>BB107</f>
        <v>0.39345176817270211</v>
      </c>
      <c r="BC106" s="546"/>
      <c r="BD106" s="546"/>
      <c r="BE106" s="598">
        <f t="shared" si="51"/>
        <v>0.39345176817270211</v>
      </c>
      <c r="BF106" s="605">
        <f t="shared" si="52"/>
        <v>0.39345176817270211</v>
      </c>
      <c r="BG106" s="515"/>
      <c r="BH106" s="515">
        <f>R106+AC106+AW106+BF106</f>
        <v>0</v>
      </c>
      <c r="BI106" s="515"/>
      <c r="BJ106" s="517" t="str">
        <f>$D106</f>
        <v>Bioenergy</v>
      </c>
      <c r="BK106" s="698">
        <f>-($AE106+$V106)*EF.IndustrialCoal.CO2</f>
        <v>0</v>
      </c>
      <c r="BL106" s="698">
        <f t="shared" si="43"/>
        <v>-1.1499780896174998</v>
      </c>
      <c r="BM106" s="698">
        <f>-($AG106+$X106)*EF.NaturalGas.CO2</f>
        <v>0</v>
      </c>
      <c r="BN106" s="698">
        <f>-$Y106*EF.BlastFurnaceGas.CO2</f>
        <v>0</v>
      </c>
      <c r="BO106" s="729">
        <f t="shared" si="54"/>
        <v>-1.1499780896174998</v>
      </c>
      <c r="BP106" s="698">
        <f>-($AE106+$V106)*EF.IndustrialCoal.CH4</f>
        <v>0</v>
      </c>
      <c r="BQ106" s="698">
        <f t="shared" si="44"/>
        <v>-1.4317181817464419E-3</v>
      </c>
      <c r="BR106" s="698">
        <f>-($AG106+$X106)*EF.NaturalGas.CH4</f>
        <v>0</v>
      </c>
      <c r="BS106" s="699" t="s">
        <v>651</v>
      </c>
      <c r="BT106" s="729">
        <f t="shared" si="55"/>
        <v>-1.4317181817464419E-3</v>
      </c>
      <c r="BU106" s="698">
        <f>-($AE106+$V106)*EF.IndustrialCoal.N2O</f>
        <v>0</v>
      </c>
      <c r="BV106" s="698">
        <f t="shared" si="45"/>
        <v>-2.0690462241549329E-2</v>
      </c>
      <c r="BW106" s="698">
        <f>-($AG106+$X106)*EF.NaturalGas.N2O</f>
        <v>0</v>
      </c>
      <c r="BX106" s="699" t="s">
        <v>651</v>
      </c>
      <c r="BY106" s="729">
        <f t="shared" si="56"/>
        <v>-2.0690462241549329E-2</v>
      </c>
      <c r="BZ106" s="729"/>
      <c r="CA106" s="730">
        <f t="shared" si="57"/>
        <v>-1.1721002700407956</v>
      </c>
    </row>
    <row r="107" spans="2:79" s="24" customFormat="1" ht="12.75" hidden="1" customHeight="1" outlineLevel="1">
      <c r="C107" s="749"/>
      <c r="D107" s="677" t="s">
        <v>609</v>
      </c>
      <c r="E107" s="677"/>
      <c r="F107" s="661" t="str">
        <f>$C$166</f>
        <v>[15]</v>
      </c>
      <c r="G107" s="662"/>
      <c r="H107" s="662"/>
      <c r="I107" s="663"/>
      <c r="J107" s="663"/>
      <c r="K107" s="663"/>
      <c r="L107" s="664"/>
      <c r="M107" s="665"/>
      <c r="N107" s="664"/>
      <c r="O107" s="664"/>
      <c r="P107" s="663">
        <f t="shared" si="70"/>
        <v>0</v>
      </c>
      <c r="Q107" s="663"/>
      <c r="R107" s="666">
        <f t="shared" si="46"/>
        <v>0</v>
      </c>
      <c r="S107" s="667"/>
      <c r="T107" s="668"/>
      <c r="U107" s="668"/>
      <c r="V107" s="668"/>
      <c r="W107" s="668">
        <f>'DUKES 09 (7.2)'!$N$8*Unit.ktoe</f>
        <v>4.5999123584699992</v>
      </c>
      <c r="X107" s="668"/>
      <c r="Y107" s="668"/>
      <c r="Z107" s="668"/>
      <c r="AA107" s="668"/>
      <c r="AB107" s="668"/>
      <c r="AC107" s="669">
        <f>U107+T107+V107+W107+X107+Y107+Z107+AA107+AB107</f>
        <v>4.5999123584699992</v>
      </c>
      <c r="AD107" s="667"/>
      <c r="AE107" s="670"/>
      <c r="AF107" s="670"/>
      <c r="AG107" s="670"/>
      <c r="AH107" s="671">
        <f>AE107+AF107+AG107</f>
        <v>0</v>
      </c>
      <c r="AI107" s="671"/>
      <c r="AJ107" s="670"/>
      <c r="AK107" s="670"/>
      <c r="AL107" s="670"/>
      <c r="AM107" s="670"/>
      <c r="AN107" s="670"/>
      <c r="AO107" s="670"/>
      <c r="AP107" s="670"/>
      <c r="AQ107" s="670">
        <f>-$W107-$BB107</f>
        <v>-4.9933641266427014</v>
      </c>
      <c r="AR107" s="671">
        <f t="shared" si="47"/>
        <v>-4.9933641266427014</v>
      </c>
      <c r="AS107" s="670"/>
      <c r="AT107" s="670"/>
      <c r="AU107" s="670"/>
      <c r="AV107" s="671">
        <f t="shared" si="48"/>
        <v>0</v>
      </c>
      <c r="AW107" s="672">
        <f t="shared" si="49"/>
        <v>-4.9933641266427014</v>
      </c>
      <c r="AX107" s="667"/>
      <c r="AY107" s="673"/>
      <c r="AZ107" s="673"/>
      <c r="BA107" s="674">
        <f t="shared" si="50"/>
        <v>0</v>
      </c>
      <c r="BB107" s="673">
        <f>-'DUKES 09 (7.2)'!$N$11*Unit.ktoe</f>
        <v>0.39345176817270211</v>
      </c>
      <c r="BC107" s="673"/>
      <c r="BD107" s="673"/>
      <c r="BE107" s="674">
        <f t="shared" si="51"/>
        <v>0.39345176817270211</v>
      </c>
      <c r="BF107" s="675">
        <f t="shared" si="52"/>
        <v>0.39345176817270211</v>
      </c>
      <c r="BG107" s="667"/>
      <c r="BH107" s="667">
        <f>R107+AC107+AW107+BF107</f>
        <v>0</v>
      </c>
      <c r="BI107" s="515"/>
      <c r="BJ107" s="741"/>
      <c r="BK107" s="722">
        <f>-($AE107+$V107)*EF.IndustrialCoal.CO2</f>
        <v>0</v>
      </c>
      <c r="BL107" s="722">
        <f t="shared" si="43"/>
        <v>-1.1499780896174998</v>
      </c>
      <c r="BM107" s="722">
        <f>-($AG107+$X107)*EF.NaturalGas.CO2</f>
        <v>0</v>
      </c>
      <c r="BN107" s="722">
        <f>-$Y107*EF.BlastFurnaceGas.CO2</f>
        <v>0</v>
      </c>
      <c r="BO107" s="732">
        <f t="shared" si="54"/>
        <v>-1.1499780896174998</v>
      </c>
      <c r="BP107" s="722">
        <f>-($AE107+$V107)*EF.IndustrialCoal.CH4</f>
        <v>0</v>
      </c>
      <c r="BQ107" s="722">
        <f t="shared" si="44"/>
        <v>-1.4317181817464419E-3</v>
      </c>
      <c r="BR107" s="722">
        <f>-($AG107+$X107)*EF.NaturalGas.CH4</f>
        <v>0</v>
      </c>
      <c r="BS107" s="724" t="s">
        <v>651</v>
      </c>
      <c r="BT107" s="732">
        <f t="shared" si="55"/>
        <v>-1.4317181817464419E-3</v>
      </c>
      <c r="BU107" s="722">
        <f>-($AE107+$V107)*EF.IndustrialCoal.N2O</f>
        <v>0</v>
      </c>
      <c r="BV107" s="722">
        <f t="shared" si="45"/>
        <v>-2.0690462241549329E-2</v>
      </c>
      <c r="BW107" s="722">
        <f>-($AG107+$X107)*EF.NaturalGas.N2O</f>
        <v>0</v>
      </c>
      <c r="BX107" s="724" t="s">
        <v>651</v>
      </c>
      <c r="BY107" s="732">
        <f t="shared" si="56"/>
        <v>-2.0690462241549329E-2</v>
      </c>
      <c r="BZ107" s="732"/>
      <c r="CA107" s="733">
        <f t="shared" si="57"/>
        <v>-1.1721002700407956</v>
      </c>
    </row>
    <row r="108" spans="2:79" s="24" customFormat="1" ht="12.75" hidden="1" customHeight="1" outlineLevel="1">
      <c r="C108" s="751"/>
      <c r="D108" s="512"/>
      <c r="E108" s="512"/>
      <c r="F108" s="510"/>
      <c r="G108" s="513"/>
      <c r="H108" s="513"/>
      <c r="I108" s="534"/>
      <c r="J108" s="534"/>
      <c r="K108" s="534"/>
      <c r="L108" s="540"/>
      <c r="M108" s="562"/>
      <c r="N108" s="540"/>
      <c r="O108" s="540"/>
      <c r="P108" s="534"/>
      <c r="Q108" s="534"/>
      <c r="R108" s="569"/>
      <c r="S108" s="515"/>
      <c r="T108" s="494"/>
      <c r="U108" s="494"/>
      <c r="V108" s="494"/>
      <c r="W108" s="494"/>
      <c r="X108" s="494"/>
      <c r="Y108" s="494"/>
      <c r="Z108" s="494"/>
      <c r="AA108" s="494"/>
      <c r="AB108" s="494"/>
      <c r="AC108" s="576"/>
      <c r="AD108" s="515"/>
      <c r="AE108" s="552"/>
      <c r="AF108" s="552"/>
      <c r="AG108" s="552"/>
      <c r="AH108" s="583"/>
      <c r="AI108" s="583"/>
      <c r="AJ108" s="552"/>
      <c r="AK108" s="552"/>
      <c r="AL108" s="552"/>
      <c r="AM108" s="552"/>
      <c r="AN108" s="552"/>
      <c r="AO108" s="552"/>
      <c r="AP108" s="552"/>
      <c r="AQ108" s="552"/>
      <c r="AR108" s="583"/>
      <c r="AS108" s="552"/>
      <c r="AT108" s="552"/>
      <c r="AU108" s="552"/>
      <c r="AV108" s="583"/>
      <c r="AW108" s="591"/>
      <c r="AX108" s="515"/>
      <c r="AY108" s="546"/>
      <c r="AZ108" s="546"/>
      <c r="BA108" s="598"/>
      <c r="BB108" s="546"/>
      <c r="BC108" s="546"/>
      <c r="BD108" s="546"/>
      <c r="BE108" s="598">
        <f t="shared" si="51"/>
        <v>0</v>
      </c>
      <c r="BF108" s="605">
        <f t="shared" si="52"/>
        <v>0</v>
      </c>
      <c r="BG108" s="515"/>
      <c r="BH108" s="515"/>
      <c r="BI108" s="515"/>
      <c r="BJ108" s="741"/>
      <c r="BK108" s="698"/>
      <c r="BL108" s="698">
        <f t="shared" si="43"/>
        <v>0</v>
      </c>
      <c r="BM108" s="698"/>
      <c r="BN108" s="698"/>
      <c r="BO108" s="729"/>
      <c r="BP108" s="698"/>
      <c r="BQ108" s="698">
        <f t="shared" si="44"/>
        <v>0</v>
      </c>
      <c r="BR108" s="698"/>
      <c r="BS108" s="699"/>
      <c r="BT108" s="729"/>
      <c r="BU108" s="698"/>
      <c r="BV108" s="698">
        <f t="shared" si="45"/>
        <v>0</v>
      </c>
      <c r="BW108" s="698"/>
      <c r="BX108" s="699"/>
      <c r="BY108" s="729"/>
      <c r="BZ108" s="729"/>
      <c r="CA108" s="730"/>
    </row>
    <row r="109" spans="2:79" s="24" customFormat="1" ht="15.75">
      <c r="B109" s="3"/>
      <c r="C109" s="744" t="s">
        <v>674</v>
      </c>
      <c r="D109" s="517" t="str">
        <f>INDEX(Workstreams[Workstream], MATCH($C109, Workstreams[Code], 0))</f>
        <v>H2 Production</v>
      </c>
      <c r="E109" s="512"/>
      <c r="F109" s="510"/>
      <c r="G109" s="513"/>
      <c r="H109" s="513"/>
      <c r="I109" s="534"/>
      <c r="J109" s="534"/>
      <c r="K109" s="534"/>
      <c r="L109" s="540"/>
      <c r="M109" s="562"/>
      <c r="N109" s="540"/>
      <c r="O109" s="540"/>
      <c r="P109" s="534">
        <f t="shared" si="70"/>
        <v>0</v>
      </c>
      <c r="Q109" s="534"/>
      <c r="R109" s="569">
        <f t="shared" si="46"/>
        <v>0</v>
      </c>
      <c r="S109" s="515"/>
      <c r="T109" s="494"/>
      <c r="U109" s="494"/>
      <c r="V109" s="494"/>
      <c r="W109" s="494"/>
      <c r="X109" s="494"/>
      <c r="Y109" s="494"/>
      <c r="Z109" s="494"/>
      <c r="AA109" s="494"/>
      <c r="AB109" s="494"/>
      <c r="AC109" s="576">
        <f>U109+T109+V109+W109+X109+Y109+Z109+AA109+AB109</f>
        <v>0</v>
      </c>
      <c r="AD109" s="515"/>
      <c r="AE109" s="552"/>
      <c r="AF109" s="552"/>
      <c r="AG109" s="552"/>
      <c r="AH109" s="583">
        <f>AE109+AF109+AG109</f>
        <v>0</v>
      </c>
      <c r="AI109" s="583"/>
      <c r="AJ109" s="552"/>
      <c r="AK109" s="552"/>
      <c r="AL109" s="552"/>
      <c r="AM109" s="552"/>
      <c r="AN109" s="552"/>
      <c r="AO109" s="552"/>
      <c r="AP109" s="552"/>
      <c r="AQ109" s="552"/>
      <c r="AR109" s="583">
        <f t="shared" si="47"/>
        <v>0</v>
      </c>
      <c r="AS109" s="552"/>
      <c r="AT109" s="552"/>
      <c r="AU109" s="552"/>
      <c r="AV109" s="583">
        <f t="shared" si="48"/>
        <v>0</v>
      </c>
      <c r="AW109" s="591">
        <f t="shared" si="49"/>
        <v>0</v>
      </c>
      <c r="AX109" s="515"/>
      <c r="AY109" s="546"/>
      <c r="AZ109" s="546"/>
      <c r="BA109" s="598">
        <f t="shared" si="50"/>
        <v>0</v>
      </c>
      <c r="BB109" s="546"/>
      <c r="BC109" s="546"/>
      <c r="BD109" s="546"/>
      <c r="BE109" s="598">
        <f t="shared" si="51"/>
        <v>0</v>
      </c>
      <c r="BF109" s="605">
        <f t="shared" si="52"/>
        <v>0</v>
      </c>
      <c r="BG109" s="515"/>
      <c r="BH109" s="515">
        <f>R109+AC109+AW109+BF109</f>
        <v>0</v>
      </c>
      <c r="BI109" s="515"/>
      <c r="BJ109" s="517" t="str">
        <f>$D109</f>
        <v>H2 Production</v>
      </c>
      <c r="BK109" s="698">
        <f>-($AE109+$V109)*EF.IndustrialCoal.CO2</f>
        <v>0</v>
      </c>
      <c r="BL109" s="698">
        <f t="shared" si="43"/>
        <v>0</v>
      </c>
      <c r="BM109" s="698">
        <f>-($AG109+$X109)*EF.NaturalGas.CO2</f>
        <v>0</v>
      </c>
      <c r="BN109" s="698">
        <f>-$Y109*EF.BlastFurnaceGas.CO2</f>
        <v>0</v>
      </c>
      <c r="BO109" s="729">
        <f t="shared" si="54"/>
        <v>0</v>
      </c>
      <c r="BP109" s="698">
        <f>-($AE109+$V109)*EF.IndustrialCoal.CH4</f>
        <v>0</v>
      </c>
      <c r="BQ109" s="698">
        <f t="shared" si="44"/>
        <v>0</v>
      </c>
      <c r="BR109" s="698">
        <f>-($AG109+$X109)*EF.NaturalGas.CH4</f>
        <v>0</v>
      </c>
      <c r="BS109" s="699" t="s">
        <v>651</v>
      </c>
      <c r="BT109" s="729">
        <f t="shared" si="55"/>
        <v>0</v>
      </c>
      <c r="BU109" s="698">
        <f>-($AE109+$V109)*EF.IndustrialCoal.N2O</f>
        <v>0</v>
      </c>
      <c r="BV109" s="698">
        <f t="shared" si="45"/>
        <v>0</v>
      </c>
      <c r="BW109" s="698">
        <f>-($AG109+$X109)*EF.NaturalGas.N2O</f>
        <v>0</v>
      </c>
      <c r="BX109" s="699" t="s">
        <v>651</v>
      </c>
      <c r="BY109" s="729">
        <f t="shared" si="56"/>
        <v>0</v>
      </c>
      <c r="BZ109" s="729"/>
      <c r="CA109" s="730">
        <f t="shared" si="57"/>
        <v>0</v>
      </c>
    </row>
    <row r="110" spans="2:79">
      <c r="C110" s="516"/>
      <c r="D110" s="517"/>
      <c r="I110" s="534"/>
      <c r="J110" s="534"/>
      <c r="K110" s="534"/>
      <c r="L110" s="540"/>
      <c r="M110" s="562"/>
      <c r="N110" s="540"/>
      <c r="O110" s="540"/>
      <c r="P110" s="534"/>
      <c r="Q110" s="534"/>
      <c r="R110" s="569"/>
      <c r="S110" s="515"/>
      <c r="T110" s="494"/>
      <c r="U110" s="494"/>
      <c r="V110" s="494"/>
      <c r="W110" s="494"/>
      <c r="X110" s="494"/>
      <c r="Y110" s="494"/>
      <c r="Z110" s="494"/>
      <c r="AA110" s="494"/>
      <c r="AB110" s="494"/>
      <c r="AC110" s="576"/>
      <c r="AD110" s="515"/>
      <c r="AE110" s="552"/>
      <c r="AF110" s="552"/>
      <c r="AG110" s="552"/>
      <c r="AH110" s="583"/>
      <c r="AI110" s="583"/>
      <c r="AJ110" s="552"/>
      <c r="AK110" s="552"/>
      <c r="AL110" s="552"/>
      <c r="AM110" s="552"/>
      <c r="AN110" s="552"/>
      <c r="AO110" s="552"/>
      <c r="AP110" s="552"/>
      <c r="AQ110" s="552"/>
      <c r="AR110" s="583"/>
      <c r="AS110" s="552"/>
      <c r="AT110" s="552"/>
      <c r="AU110" s="552"/>
      <c r="AV110" s="583"/>
      <c r="AW110" s="591"/>
      <c r="AX110" s="515"/>
      <c r="AY110" s="546"/>
      <c r="AZ110" s="546"/>
      <c r="BA110" s="598"/>
      <c r="BB110" s="546"/>
      <c r="BC110" s="546"/>
      <c r="BD110" s="546"/>
      <c r="BE110" s="598"/>
      <c r="BF110" s="605"/>
      <c r="BG110" s="515"/>
      <c r="BH110" s="515"/>
      <c r="BI110" s="515"/>
      <c r="BJ110" s="741"/>
      <c r="BK110" s="698"/>
      <c r="BL110" s="698">
        <f t="shared" si="43"/>
        <v>0</v>
      </c>
      <c r="BM110" s="698"/>
      <c r="BN110" s="698"/>
      <c r="BO110" s="706"/>
      <c r="BP110" s="698"/>
      <c r="BQ110" s="698">
        <f t="shared" si="44"/>
        <v>0</v>
      </c>
      <c r="BR110" s="698"/>
      <c r="BS110" s="699"/>
      <c r="BT110" s="706"/>
      <c r="BU110" s="698"/>
      <c r="BV110" s="698">
        <f t="shared" si="45"/>
        <v>0</v>
      </c>
      <c r="BW110" s="698"/>
      <c r="BX110" s="699"/>
      <c r="BY110" s="706"/>
      <c r="BZ110" s="706"/>
      <c r="CA110" s="702"/>
    </row>
    <row r="111" spans="2:79" ht="15.75">
      <c r="B111" s="3"/>
      <c r="C111" s="642"/>
      <c r="D111" s="643" t="s">
        <v>249</v>
      </c>
      <c r="E111" s="644"/>
      <c r="F111" s="645"/>
      <c r="G111" s="646"/>
      <c r="H111" s="646"/>
      <c r="I111" s="647">
        <f t="shared" ref="I111:R111" si="71">I$76+I$85+I$93+I$96+I$104+I$106+I$109</f>
        <v>0</v>
      </c>
      <c r="J111" s="647">
        <f t="shared" si="71"/>
        <v>0</v>
      </c>
      <c r="K111" s="647">
        <f t="shared" si="71"/>
        <v>0</v>
      </c>
      <c r="L111" s="648">
        <f t="shared" si="71"/>
        <v>0</v>
      </c>
      <c r="M111" s="649">
        <f t="shared" si="71"/>
        <v>0</v>
      </c>
      <c r="N111" s="648">
        <f t="shared" si="71"/>
        <v>0</v>
      </c>
      <c r="O111" s="648">
        <f t="shared" si="71"/>
        <v>0</v>
      </c>
      <c r="P111" s="647">
        <f t="shared" si="71"/>
        <v>0</v>
      </c>
      <c r="Q111" s="647">
        <f t="shared" si="71"/>
        <v>0</v>
      </c>
      <c r="R111" s="650">
        <f t="shared" si="71"/>
        <v>0</v>
      </c>
      <c r="S111" s="651"/>
      <c r="T111" s="652">
        <f t="shared" ref="T111:AC111" si="72">T$76+T$85+T$93+T$96+T$104+T$106+T$109</f>
        <v>-4.1248585661758046</v>
      </c>
      <c r="U111" s="652">
        <f t="shared" si="72"/>
        <v>341.46550306822468</v>
      </c>
      <c r="V111" s="652">
        <f t="shared" si="72"/>
        <v>-371.42729785785411</v>
      </c>
      <c r="W111" s="652">
        <f t="shared" si="72"/>
        <v>-7.5418661776461304</v>
      </c>
      <c r="X111" s="652">
        <f t="shared" si="72"/>
        <v>-321.83538610809956</v>
      </c>
      <c r="Y111" s="652">
        <f t="shared" si="72"/>
        <v>0</v>
      </c>
      <c r="Z111" s="652">
        <f t="shared" si="72"/>
        <v>0</v>
      </c>
      <c r="AA111" s="652">
        <f t="shared" si="72"/>
        <v>65.656257777777782</v>
      </c>
      <c r="AB111" s="652">
        <f t="shared" si="72"/>
        <v>0</v>
      </c>
      <c r="AC111" s="653">
        <f t="shared" si="72"/>
        <v>-297.80764786377318</v>
      </c>
      <c r="AD111" s="651"/>
      <c r="AE111" s="654">
        <f t="shared" ref="AE111:AW111" si="73">AE$76+AE$85+AE$93+AE$96+AE$104+AE$106+AE$109</f>
        <v>0</v>
      </c>
      <c r="AF111" s="654">
        <f t="shared" si="73"/>
        <v>0</v>
      </c>
      <c r="AG111" s="654">
        <f t="shared" si="73"/>
        <v>0</v>
      </c>
      <c r="AH111" s="655">
        <f t="shared" si="73"/>
        <v>0</v>
      </c>
      <c r="AI111" s="655">
        <f t="shared" si="73"/>
        <v>-163.24447683045062</v>
      </c>
      <c r="AJ111" s="654">
        <f t="shared" si="73"/>
        <v>-54.00076878455662</v>
      </c>
      <c r="AK111" s="654">
        <f t="shared" si="73"/>
        <v>-3.5688367850000002</v>
      </c>
      <c r="AL111" s="654">
        <f t="shared" si="73"/>
        <v>0</v>
      </c>
      <c r="AM111" s="654">
        <f t="shared" si="73"/>
        <v>0</v>
      </c>
      <c r="AN111" s="654">
        <f t="shared" si="73"/>
        <v>0</v>
      </c>
      <c r="AO111" s="654">
        <f t="shared" si="73"/>
        <v>-4.1435790100000007</v>
      </c>
      <c r="AP111" s="654">
        <f t="shared" si="73"/>
        <v>0</v>
      </c>
      <c r="AQ111" s="654">
        <f t="shared" si="73"/>
        <v>8.2710417805540501</v>
      </c>
      <c r="AR111" s="655">
        <f t="shared" si="73"/>
        <v>-53.442142799002568</v>
      </c>
      <c r="AS111" s="654">
        <f t="shared" si="73"/>
        <v>-2.3660032518434662</v>
      </c>
      <c r="AT111" s="654">
        <f t="shared" si="73"/>
        <v>0</v>
      </c>
      <c r="AU111" s="654">
        <f t="shared" si="73"/>
        <v>0</v>
      </c>
      <c r="AV111" s="655">
        <f t="shared" si="73"/>
        <v>-2.3660032518434662</v>
      </c>
      <c r="AW111" s="656">
        <f t="shared" si="73"/>
        <v>-219.05262288129663</v>
      </c>
      <c r="AX111" s="651"/>
      <c r="AY111" s="657">
        <f t="shared" ref="AY111:BF111" si="74">AY$76+AY$85+AY$93+AY$96+AY$104+AY$106+AY$109</f>
        <v>531.04250674942375</v>
      </c>
      <c r="AZ111" s="657">
        <f t="shared" si="74"/>
        <v>16.085270590013263</v>
      </c>
      <c r="BA111" s="658">
        <f t="shared" si="74"/>
        <v>547.12777733943699</v>
      </c>
      <c r="BB111" s="657">
        <f t="shared" si="74"/>
        <v>-25.869051342938413</v>
      </c>
      <c r="BC111" s="657">
        <f t="shared" si="74"/>
        <v>-4.3984552514287021</v>
      </c>
      <c r="BD111" s="657">
        <f t="shared" si="74"/>
        <v>0</v>
      </c>
      <c r="BE111" s="658">
        <f t="shared" si="74"/>
        <v>-30.267506594367113</v>
      </c>
      <c r="BF111" s="659">
        <f t="shared" si="74"/>
        <v>516.8602707450699</v>
      </c>
      <c r="BG111" s="651"/>
      <c r="BH111" s="651">
        <f>R111+AC111+AW111+BF111</f>
        <v>0</v>
      </c>
      <c r="BI111" s="518"/>
      <c r="BJ111" s="643" t="str">
        <f>$D111</f>
        <v>Total supply</v>
      </c>
      <c r="BK111" s="726">
        <f>-($AE111+$V111)*EF.IndustrialCoal.CO2</f>
        <v>114.39960774021904</v>
      </c>
      <c r="BL111" s="726">
        <f t="shared" si="43"/>
        <v>1.8854665444115326</v>
      </c>
      <c r="BM111" s="726">
        <f>-($AG111+$X111)*EF.NaturalGas.CO2</f>
        <v>59.217711043890311</v>
      </c>
      <c r="BN111" s="726">
        <f>-$Y111*EF.BlastFurnaceGas.CO2</f>
        <v>0</v>
      </c>
      <c r="BO111" s="713">
        <f t="shared" si="54"/>
        <v>175.50278532852087</v>
      </c>
      <c r="BP111" s="726">
        <f>-($AE111+$V111)*EF.IndustrialCoal.CH4</f>
        <v>0.33606470624753471</v>
      </c>
      <c r="BQ111" s="726">
        <f t="shared" si="44"/>
        <v>2.3473984044396069E-3</v>
      </c>
      <c r="BR111" s="726">
        <f>-($AG111+$X111)*EF.NaturalGas.CH4</f>
        <v>0.11870105546717634</v>
      </c>
      <c r="BS111" s="801" t="s">
        <v>651</v>
      </c>
      <c r="BT111" s="713">
        <f t="shared" si="55"/>
        <v>0.45711316011915065</v>
      </c>
      <c r="BU111" s="726">
        <f>-($AE111+$V111)*EF.IndustrialCoal.N2O</f>
        <v>1.0134104623358549</v>
      </c>
      <c r="BV111" s="726">
        <f t="shared" si="45"/>
        <v>3.3923406625796682E-2</v>
      </c>
      <c r="BW111" s="726">
        <f>-($AG111+$X111)*EF.NaturalGas.N2O</f>
        <v>0.1276687559886362</v>
      </c>
      <c r="BX111" s="801" t="s">
        <v>651</v>
      </c>
      <c r="BY111" s="713">
        <f t="shared" si="56"/>
        <v>1.1750026249502878</v>
      </c>
      <c r="BZ111" s="713"/>
      <c r="CA111" s="714">
        <f t="shared" si="57"/>
        <v>177.1349011135903</v>
      </c>
    </row>
    <row r="112" spans="2:79">
      <c r="C112" s="516"/>
      <c r="D112" s="517"/>
      <c r="I112" s="534"/>
      <c r="J112" s="534"/>
      <c r="K112" s="534"/>
      <c r="L112" s="540"/>
      <c r="M112" s="562"/>
      <c r="N112" s="540"/>
      <c r="O112" s="540"/>
      <c r="P112" s="534"/>
      <c r="Q112" s="534"/>
      <c r="R112" s="569"/>
      <c r="S112" s="515"/>
      <c r="T112" s="494"/>
      <c r="U112" s="494"/>
      <c r="V112" s="494"/>
      <c r="W112" s="494"/>
      <c r="X112" s="494"/>
      <c r="Y112" s="494"/>
      <c r="Z112" s="494"/>
      <c r="AA112" s="494"/>
      <c r="AB112" s="494"/>
      <c r="AC112" s="576"/>
      <c r="AD112" s="515"/>
      <c r="AE112" s="552"/>
      <c r="AF112" s="552"/>
      <c r="AG112" s="552"/>
      <c r="AH112" s="583"/>
      <c r="AI112" s="583"/>
      <c r="AJ112" s="552"/>
      <c r="AK112" s="552"/>
      <c r="AL112" s="552"/>
      <c r="AM112" s="552"/>
      <c r="AN112" s="552"/>
      <c r="AO112" s="552"/>
      <c r="AP112" s="552"/>
      <c r="AQ112" s="552"/>
      <c r="AR112" s="583"/>
      <c r="AS112" s="552"/>
      <c r="AT112" s="552"/>
      <c r="AU112" s="552"/>
      <c r="AV112" s="583"/>
      <c r="AW112" s="591"/>
      <c r="AX112" s="515"/>
      <c r="AY112" s="546"/>
      <c r="AZ112" s="546"/>
      <c r="BA112" s="598"/>
      <c r="BB112" s="546"/>
      <c r="BC112" s="546"/>
      <c r="BD112" s="546"/>
      <c r="BE112" s="598"/>
      <c r="BF112" s="605"/>
      <c r="BG112" s="515"/>
      <c r="BH112" s="515"/>
      <c r="BI112" s="515"/>
      <c r="BK112" s="698"/>
      <c r="BL112" s="698">
        <f t="shared" si="43"/>
        <v>0</v>
      </c>
      <c r="BM112" s="698"/>
      <c r="BN112" s="698"/>
      <c r="BO112" s="706"/>
      <c r="BP112" s="698"/>
      <c r="BQ112" s="698">
        <f t="shared" si="44"/>
        <v>0</v>
      </c>
      <c r="BR112" s="698"/>
      <c r="BS112" s="699"/>
      <c r="BT112" s="706"/>
      <c r="BU112" s="698"/>
      <c r="BV112" s="698">
        <f t="shared" si="45"/>
        <v>0</v>
      </c>
      <c r="BW112" s="698"/>
      <c r="BX112" s="699"/>
      <c r="BY112" s="706"/>
      <c r="BZ112" s="706"/>
      <c r="CA112" s="702"/>
    </row>
    <row r="113" spans="2:79" ht="24" customHeight="1">
      <c r="C113" s="501" t="s">
        <v>770</v>
      </c>
      <c r="D113" s="501"/>
      <c r="E113" s="639"/>
      <c r="F113" s="640"/>
      <c r="G113" s="641"/>
      <c r="H113" s="641"/>
      <c r="I113" s="533"/>
      <c r="J113" s="533"/>
      <c r="K113" s="533"/>
      <c r="L113" s="539"/>
      <c r="M113" s="539"/>
      <c r="N113" s="539"/>
      <c r="O113" s="539"/>
      <c r="P113" s="533"/>
      <c r="Q113" s="533"/>
      <c r="R113" s="568"/>
      <c r="S113" s="514"/>
      <c r="T113" s="692"/>
      <c r="U113" s="692"/>
      <c r="V113" s="692"/>
      <c r="W113" s="692"/>
      <c r="X113" s="692"/>
      <c r="Y113" s="692"/>
      <c r="Z113" s="692"/>
      <c r="AA113" s="692"/>
      <c r="AB113" s="692"/>
      <c r="AC113" s="688"/>
      <c r="AD113" s="514"/>
      <c r="AE113" s="551"/>
      <c r="AF113" s="551"/>
      <c r="AG113" s="551"/>
      <c r="AH113" s="689"/>
      <c r="AI113" s="689"/>
      <c r="AJ113" s="551"/>
      <c r="AK113" s="551"/>
      <c r="AL113" s="551"/>
      <c r="AM113" s="551"/>
      <c r="AN113" s="551"/>
      <c r="AO113" s="551"/>
      <c r="AP113" s="551"/>
      <c r="AQ113" s="551"/>
      <c r="AR113" s="689"/>
      <c r="AS113" s="551"/>
      <c r="AT113" s="551"/>
      <c r="AU113" s="551"/>
      <c r="AV113" s="689"/>
      <c r="AW113" s="690"/>
      <c r="AX113" s="514"/>
      <c r="AY113" s="693"/>
      <c r="AZ113" s="693"/>
      <c r="BA113" s="694"/>
      <c r="BB113" s="693"/>
      <c r="BC113" s="693"/>
      <c r="BD113" s="693"/>
      <c r="BE113" s="694"/>
      <c r="BF113" s="691"/>
      <c r="BG113" s="514"/>
      <c r="BH113" s="514"/>
      <c r="BI113" s="514"/>
      <c r="BK113" s="698">
        <f>-($AE113+$V113)*EF.IndustrialCoal.CO2</f>
        <v>0</v>
      </c>
      <c r="BL113" s="698">
        <f t="shared" si="43"/>
        <v>0</v>
      </c>
      <c r="BM113" s="698">
        <f>-($AG113+$X113)*EF.NaturalGas.CO2</f>
        <v>0</v>
      </c>
      <c r="BN113" s="698">
        <f>-$Y113*EF.BlastFurnaceGas.CO2</f>
        <v>0</v>
      </c>
      <c r="BO113" s="729"/>
      <c r="BP113" s="698">
        <f>-($AE113+$V113)*EF.IndustrialCoal.CH4</f>
        <v>0</v>
      </c>
      <c r="BQ113" s="698">
        <f t="shared" si="44"/>
        <v>0</v>
      </c>
      <c r="BR113" s="698">
        <f>-($AG113+$X113)*EF.NaturalGas.CH4</f>
        <v>0</v>
      </c>
      <c r="BS113" s="699"/>
      <c r="BT113" s="706"/>
      <c r="BU113" s="698">
        <f>-($AE113+$V113)*EF.IndustrialCoal.N2O</f>
        <v>0</v>
      </c>
      <c r="BV113" s="698">
        <f t="shared" si="45"/>
        <v>0</v>
      </c>
      <c r="BW113" s="698">
        <f>-($AG113+$X113)*EF.NaturalGas.N2O</f>
        <v>0</v>
      </c>
      <c r="BX113" s="699"/>
      <c r="BY113" s="706"/>
      <c r="BZ113" s="706"/>
      <c r="CA113" s="702"/>
    </row>
    <row r="114" spans="2:79" ht="6" customHeight="1">
      <c r="C114" s="520"/>
      <c r="D114" s="38"/>
      <c r="I114" s="534"/>
      <c r="J114" s="534"/>
      <c r="K114" s="534"/>
      <c r="L114" s="540"/>
      <c r="M114" s="562"/>
      <c r="N114" s="540"/>
      <c r="O114" s="540"/>
      <c r="P114" s="534"/>
      <c r="Q114" s="534"/>
      <c r="R114" s="569"/>
      <c r="S114" s="515"/>
      <c r="T114" s="494"/>
      <c r="U114" s="494"/>
      <c r="V114" s="494"/>
      <c r="W114" s="494"/>
      <c r="X114" s="494"/>
      <c r="Y114" s="494"/>
      <c r="Z114" s="494"/>
      <c r="AA114" s="494"/>
      <c r="AB114" s="494"/>
      <c r="AC114" s="576"/>
      <c r="AD114" s="515"/>
      <c r="AE114" s="552"/>
      <c r="AF114" s="552"/>
      <c r="AG114" s="552"/>
      <c r="AH114" s="583"/>
      <c r="AI114" s="583"/>
      <c r="AJ114" s="552"/>
      <c r="AK114" s="552"/>
      <c r="AL114" s="552"/>
      <c r="AM114" s="552"/>
      <c r="AN114" s="552"/>
      <c r="AO114" s="552"/>
      <c r="AP114" s="552"/>
      <c r="AQ114" s="552"/>
      <c r="AR114" s="583"/>
      <c r="AS114" s="552"/>
      <c r="AT114" s="552"/>
      <c r="AU114" s="552"/>
      <c r="AV114" s="583"/>
      <c r="AW114" s="591"/>
      <c r="AX114" s="515"/>
      <c r="AY114" s="546"/>
      <c r="AZ114" s="546"/>
      <c r="BA114" s="598"/>
      <c r="BB114" s="546"/>
      <c r="BC114" s="546"/>
      <c r="BD114" s="546"/>
      <c r="BE114" s="598"/>
      <c r="BF114" s="605"/>
      <c r="BG114" s="515"/>
      <c r="BH114" s="515"/>
      <c r="BI114" s="515"/>
      <c r="BK114" s="698"/>
      <c r="BL114" s="698">
        <f t="shared" si="43"/>
        <v>0</v>
      </c>
      <c r="BM114" s="698"/>
      <c r="BN114" s="698"/>
      <c r="BO114" s="729"/>
      <c r="BP114" s="698"/>
      <c r="BQ114" s="698">
        <f t="shared" si="44"/>
        <v>0</v>
      </c>
      <c r="BR114" s="698"/>
      <c r="BS114" s="699"/>
      <c r="BT114" s="706"/>
      <c r="BU114" s="698"/>
      <c r="BV114" s="698">
        <f t="shared" si="45"/>
        <v>0</v>
      </c>
      <c r="BW114" s="698"/>
      <c r="BX114" s="699"/>
      <c r="BY114" s="706"/>
      <c r="BZ114" s="706"/>
      <c r="CA114" s="702"/>
    </row>
    <row r="115" spans="2:79" s="24" customFormat="1" ht="15.75" collapsed="1">
      <c r="B115" s="3"/>
      <c r="C115" s="744" t="s">
        <v>673</v>
      </c>
      <c r="D115" s="517" t="str">
        <f>INDEX(Workstreams[Workstream], MATCH($C115, Workstreams[Code], 0))</f>
        <v>Electricity distribution, storage, and balancing</v>
      </c>
      <c r="E115" s="512"/>
      <c r="F115" s="510"/>
      <c r="G115" s="513"/>
      <c r="H115" s="513"/>
      <c r="I115" s="534">
        <f t="shared" ref="I115:O115" si="75">I116+I120+I121+I123+I122+I124+I126+I125</f>
        <v>0</v>
      </c>
      <c r="J115" s="534">
        <f t="shared" si="75"/>
        <v>0</v>
      </c>
      <c r="K115" s="534">
        <f t="shared" si="75"/>
        <v>0</v>
      </c>
      <c r="L115" s="540">
        <f t="shared" si="75"/>
        <v>0</v>
      </c>
      <c r="M115" s="562">
        <f t="shared" si="75"/>
        <v>0</v>
      </c>
      <c r="N115" s="540">
        <f t="shared" si="75"/>
        <v>0</v>
      </c>
      <c r="O115" s="540">
        <f t="shared" si="75"/>
        <v>0</v>
      </c>
      <c r="P115" s="534">
        <f>L115+M115+N115+O115</f>
        <v>0</v>
      </c>
      <c r="Q115" s="534">
        <f>Q116+Q120+Q121+Q123+Q122+Q124+Q126+Q125</f>
        <v>0</v>
      </c>
      <c r="R115" s="569">
        <f>I115+J115+K115+P115+Q115</f>
        <v>0</v>
      </c>
      <c r="S115" s="515"/>
      <c r="T115" s="494">
        <f t="shared" ref="T115:AB115" si="76">T116+T120+T121+T123+T122+T124+T126+T125</f>
        <v>344.45990824777186</v>
      </c>
      <c r="U115" s="494">
        <f t="shared" si="76"/>
        <v>-375.49909520017383</v>
      </c>
      <c r="V115" s="494">
        <f t="shared" si="76"/>
        <v>475.13368753227502</v>
      </c>
      <c r="W115" s="494">
        <f t="shared" si="76"/>
        <v>954.99766145344154</v>
      </c>
      <c r="X115" s="494">
        <f t="shared" si="76"/>
        <v>1025.6026794986271</v>
      </c>
      <c r="Y115" s="494">
        <f t="shared" si="76"/>
        <v>0</v>
      </c>
      <c r="Z115" s="494">
        <f t="shared" si="76"/>
        <v>-0.78625916423913134</v>
      </c>
      <c r="AA115" s="494">
        <f t="shared" si="76"/>
        <v>0</v>
      </c>
      <c r="AB115" s="494">
        <f t="shared" si="76"/>
        <v>0</v>
      </c>
      <c r="AC115" s="576">
        <f>U115+T115+V115+W115+X115+Y115+Z115+AA115+AB115</f>
        <v>2423.9085823677028</v>
      </c>
      <c r="AD115" s="515"/>
      <c r="AE115" s="552">
        <f>AE116+AE120+AE121+AE123+AE122+AE124+AE126+AE125</f>
        <v>-475.13368753227502</v>
      </c>
      <c r="AF115" s="552">
        <f>AF116+AF120+AF121+AF123+AF122+AF124+AF126+AF125</f>
        <v>-1067.2164050197666</v>
      </c>
      <c r="AG115" s="552">
        <f>AG116+AG120+AG121+AG123+AG122+AG124+AG126+AG125</f>
        <v>-1045.8878863613475</v>
      </c>
      <c r="AH115" s="583">
        <f>AE115+AF115+AG115</f>
        <v>-2588.2379789133893</v>
      </c>
      <c r="AI115" s="583"/>
      <c r="AJ115" s="552">
        <f t="shared" ref="AJ115:AQ115" si="77">AJ116+AJ120+AJ121+AJ123+AJ122+AJ124+AJ126+AJ125</f>
        <v>0</v>
      </c>
      <c r="AK115" s="552">
        <f t="shared" si="77"/>
        <v>0</v>
      </c>
      <c r="AL115" s="552">
        <f t="shared" si="77"/>
        <v>0</v>
      </c>
      <c r="AM115" s="552">
        <f t="shared" si="77"/>
        <v>0</v>
      </c>
      <c r="AN115" s="552">
        <f t="shared" si="77"/>
        <v>0</v>
      </c>
      <c r="AO115" s="552">
        <f t="shared" si="77"/>
        <v>0</v>
      </c>
      <c r="AP115" s="552">
        <f t="shared" si="77"/>
        <v>0</v>
      </c>
      <c r="AQ115" s="552">
        <f t="shared" si="77"/>
        <v>0</v>
      </c>
      <c r="AR115" s="583">
        <f>AJ115+AK115+AL115+AM115+AN115+AO115+AP115+AQ115</f>
        <v>0</v>
      </c>
      <c r="AS115" s="552">
        <f>AS116+AS120+AS121+AS123+AS122+AS124+AS126+AS125</f>
        <v>0</v>
      </c>
      <c r="AT115" s="552">
        <f>AT116+AT120+AT121+AT123+AT122+AT124+AT126+AT125</f>
        <v>0</v>
      </c>
      <c r="AU115" s="552">
        <f>AU116+AU120+AU121+AU123+AU122+AU124+AU126+AU125</f>
        <v>0</v>
      </c>
      <c r="AV115" s="583">
        <f t="shared" si="48"/>
        <v>0</v>
      </c>
      <c r="AW115" s="591">
        <f t="shared" si="49"/>
        <v>-2588.2379789133893</v>
      </c>
      <c r="AX115" s="515"/>
      <c r="AY115" s="546">
        <f>AY116+AY120+AY121+AY123+AY122+AY124+AY126+AY125</f>
        <v>-2.0291879444048226</v>
      </c>
      <c r="AZ115" s="546">
        <f>AZ116+AZ120+AZ121+AZ123+AZ122+AZ124+AZ126+AZ125</f>
        <v>110.9920548437758</v>
      </c>
      <c r="BA115" s="598">
        <f t="shared" si="50"/>
        <v>108.96286689937098</v>
      </c>
      <c r="BB115" s="546">
        <f>BB116+BB120+BB121+BB123+BB122+BB124+BB126+BB125</f>
        <v>0</v>
      </c>
      <c r="BC115" s="546">
        <f>BC116+BC120+BC121+BC123+BC122+BC124+BC126+BC125</f>
        <v>-5.2145242500000002</v>
      </c>
      <c r="BD115" s="546">
        <f>BD116+BD120+BD121+BD123+BD122+BD124+BD126+BD125</f>
        <v>60.581053896315709</v>
      </c>
      <c r="BE115" s="598">
        <f t="shared" ref="BE115:BE126" si="78">BB115+BC115+BD115</f>
        <v>55.366529646315712</v>
      </c>
      <c r="BF115" s="605">
        <f t="shared" ref="BF115:BF126" si="79">BA115+BE115</f>
        <v>164.32939654568668</v>
      </c>
      <c r="BG115" s="515"/>
      <c r="BH115" s="515">
        <f t="shared" ref="BH115:BH126" si="80">R115+AC115+AW115+BF115</f>
        <v>2.2737367544323206E-13</v>
      </c>
      <c r="BI115" s="515"/>
      <c r="BJ115" s="517" t="str">
        <f>$D115</f>
        <v>Electricity distribution, storage, and balancing</v>
      </c>
      <c r="BK115" s="698">
        <f>-($AE115+$V115)*EF.IndustrialCoal.CO2</f>
        <v>0</v>
      </c>
      <c r="BL115" s="698">
        <f t="shared" si="43"/>
        <v>12.909422417502345</v>
      </c>
      <c r="BM115" s="698">
        <f>-($AG115+$X115)*EF.NaturalGas.CO2</f>
        <v>3.7324780627405372</v>
      </c>
      <c r="BN115" s="698">
        <f>-$Y115*EF.BlastFurnaceGas.CO2</f>
        <v>0</v>
      </c>
      <c r="BO115" s="729">
        <f t="shared" si="54"/>
        <v>16.641900480242882</v>
      </c>
      <c r="BP115" s="698">
        <f>-($AE115+$V115)*EF.IndustrialCoal.CH4</f>
        <v>0</v>
      </c>
      <c r="BQ115" s="698">
        <f t="shared" si="44"/>
        <v>1.6072179946603007E-2</v>
      </c>
      <c r="BR115" s="698">
        <f>-($AG115+$X115)*EF.NaturalGas.CH4</f>
        <v>7.4816989333986467E-3</v>
      </c>
      <c r="BS115" s="699" t="s">
        <v>651</v>
      </c>
      <c r="BT115" s="729">
        <f t="shared" si="55"/>
        <v>2.3553878880001655E-2</v>
      </c>
      <c r="BU115" s="698">
        <f>-($AE115+$V115)*EF.IndustrialCoal.N2O</f>
        <v>0</v>
      </c>
      <c r="BV115" s="698">
        <f t="shared" si="45"/>
        <v>0.23226696186740817</v>
      </c>
      <c r="BW115" s="698">
        <f>-($AG115+$X115)*EF.NaturalGas.N2O</f>
        <v>8.0469309371275256E-3</v>
      </c>
      <c r="BX115" s="699" t="s">
        <v>651</v>
      </c>
      <c r="BY115" s="729">
        <f t="shared" si="56"/>
        <v>0.24031389280453569</v>
      </c>
      <c r="BZ115" s="729"/>
      <c r="CA115" s="730">
        <f t="shared" si="57"/>
        <v>16.905768251927419</v>
      </c>
    </row>
    <row r="116" spans="2:79" hidden="1" outlineLevel="1">
      <c r="C116" s="679"/>
      <c r="D116" s="660" t="s">
        <v>162</v>
      </c>
      <c r="E116" s="676"/>
      <c r="F116" s="661"/>
      <c r="G116" s="662"/>
      <c r="H116" s="662"/>
      <c r="I116" s="663"/>
      <c r="J116" s="663"/>
      <c r="K116" s="663"/>
      <c r="L116" s="664"/>
      <c r="M116" s="665"/>
      <c r="N116" s="664"/>
      <c r="O116" s="664"/>
      <c r="P116" s="663">
        <f>L116+M116+N116+O116</f>
        <v>0</v>
      </c>
      <c r="Q116" s="663"/>
      <c r="R116" s="666">
        <f>I116+J116+K116+P116+Q116</f>
        <v>0</v>
      </c>
      <c r="S116" s="667"/>
      <c r="T116" s="668">
        <f>T118+T119</f>
        <v>-6.6955015551946326</v>
      </c>
      <c r="U116" s="668"/>
      <c r="V116" s="668"/>
      <c r="W116" s="668">
        <f>W118+W119</f>
        <v>977.96119331050966</v>
      </c>
      <c r="X116" s="668">
        <f>X118+X119</f>
        <v>-2.4413780829676046</v>
      </c>
      <c r="Y116" s="668"/>
      <c r="Z116" s="668">
        <f>Z118+Z119</f>
        <v>-0.78625916423913134</v>
      </c>
      <c r="AA116" s="668"/>
      <c r="AB116" s="668"/>
      <c r="AC116" s="669">
        <f>U116+T116+V116+W116+X116+Y116+Z116+AA116+AB116</f>
        <v>968.0380545081083</v>
      </c>
      <c r="AD116" s="667"/>
      <c r="AE116" s="670"/>
      <c r="AF116" s="670">
        <f>AF118+AF119</f>
        <v>-1029.5988829805192</v>
      </c>
      <c r="AG116" s="670"/>
      <c r="AH116" s="671">
        <f>AE116+AF116+AG116</f>
        <v>-1029.5988829805192</v>
      </c>
      <c r="AI116" s="671"/>
      <c r="AJ116" s="670"/>
      <c r="AK116" s="670"/>
      <c r="AL116" s="670"/>
      <c r="AM116" s="670"/>
      <c r="AN116" s="670"/>
      <c r="AO116" s="670"/>
      <c r="AP116" s="670"/>
      <c r="AQ116" s="670"/>
      <c r="AR116" s="671">
        <f>AJ116+AK116+AL116+AM116+AN116+AO116+AP116+AQ116</f>
        <v>0</v>
      </c>
      <c r="AS116" s="670"/>
      <c r="AT116" s="670"/>
      <c r="AU116" s="670"/>
      <c r="AV116" s="671">
        <f>AS116+AT116+AU116</f>
        <v>0</v>
      </c>
      <c r="AW116" s="672">
        <f t="shared" ref="AW116:AW123" si="81">AH116+AI116+AR116+AV116</f>
        <v>-1029.5988829805192</v>
      </c>
      <c r="AX116" s="667"/>
      <c r="AY116" s="673">
        <f>AY118+AY119</f>
        <v>-3.2412277634048223</v>
      </c>
      <c r="AZ116" s="673">
        <f>AZ118+AZ119</f>
        <v>64.802056235815712</v>
      </c>
      <c r="BA116" s="674">
        <f t="shared" ref="BA116:BA123" si="82">AY116+AZ116</f>
        <v>61.56082847241089</v>
      </c>
      <c r="BB116" s="673"/>
      <c r="BC116" s="673"/>
      <c r="BD116" s="673"/>
      <c r="BE116" s="674">
        <f t="shared" si="78"/>
        <v>0</v>
      </c>
      <c r="BF116" s="675">
        <f t="shared" si="79"/>
        <v>61.56082847241089</v>
      </c>
      <c r="BG116" s="667"/>
      <c r="BH116" s="667">
        <f t="shared" si="80"/>
        <v>0</v>
      </c>
      <c r="BI116" s="515"/>
      <c r="BK116" s="722">
        <f>-($AE116+$V116)*EF.IndustrialCoal.CO2</f>
        <v>0</v>
      </c>
      <c r="BL116" s="722">
        <f t="shared" si="43"/>
        <v>12.909422417502384</v>
      </c>
      <c r="BM116" s="722">
        <f>-($AG116+$X116)*EF.NaturalGas.CO2</f>
        <v>0.44921356726603917</v>
      </c>
      <c r="BN116" s="722">
        <f>-$Y116*EF.BlastFurnaceGas.CO2</f>
        <v>0</v>
      </c>
      <c r="BO116" s="732">
        <f t="shared" si="54"/>
        <v>13.358635984768423</v>
      </c>
      <c r="BP116" s="722">
        <f>-($AE116+$V116)*EF.IndustrialCoal.CH4</f>
        <v>0</v>
      </c>
      <c r="BQ116" s="722">
        <f t="shared" si="44"/>
        <v>1.6072179946603055E-2</v>
      </c>
      <c r="BR116" s="722">
        <f>-($AG116+$X116)*EF.NaturalGas.CH4</f>
        <v>9.0044217557030493E-4</v>
      </c>
      <c r="BS116" s="724" t="s">
        <v>651</v>
      </c>
      <c r="BT116" s="723">
        <f>BP116+BQ116+BR116</f>
        <v>1.6972622122173361E-2</v>
      </c>
      <c r="BU116" s="722">
        <f>-($AE116+$V116)*EF.IndustrialCoal.N2O</f>
        <v>0</v>
      </c>
      <c r="BV116" s="722">
        <f t="shared" si="45"/>
        <v>0.23226696186740886</v>
      </c>
      <c r="BW116" s="722">
        <f>-($AG116+$X116)*EF.NaturalGas.N2O</f>
        <v>9.6846933620190671E-4</v>
      </c>
      <c r="BX116" s="724" t="s">
        <v>651</v>
      </c>
      <c r="BY116" s="723">
        <f>BU116+BV116+BW116</f>
        <v>0.23323543120361076</v>
      </c>
      <c r="BZ116" s="723"/>
      <c r="CA116" s="725">
        <f>BO116+BT116+BY116+BZ116</f>
        <v>13.608844038094206</v>
      </c>
    </row>
    <row r="117" spans="2:79" s="715" customFormat="1" ht="10.5" hidden="1" outlineLevel="2">
      <c r="C117" s="522"/>
      <c r="D117" s="521"/>
      <c r="E117" s="521" t="s">
        <v>416</v>
      </c>
      <c r="F117" s="522"/>
      <c r="G117" s="523"/>
      <c r="H117" s="523"/>
      <c r="I117" s="810"/>
      <c r="J117" s="810"/>
      <c r="K117" s="810"/>
      <c r="L117" s="811"/>
      <c r="M117" s="812"/>
      <c r="N117" s="811"/>
      <c r="O117" s="811"/>
      <c r="P117" s="810"/>
      <c r="Q117" s="810"/>
      <c r="R117" s="813">
        <f>I117+J117+K117+P117+Q117</f>
        <v>0</v>
      </c>
      <c r="S117" s="814"/>
      <c r="T117" s="815"/>
      <c r="U117" s="815"/>
      <c r="V117" s="815"/>
      <c r="W117" s="815"/>
      <c r="X117" s="815"/>
      <c r="Y117" s="815"/>
      <c r="Z117" s="815"/>
      <c r="AA117" s="815"/>
      <c r="AB117" s="815"/>
      <c r="AC117" s="816"/>
      <c r="AD117" s="814"/>
      <c r="AE117" s="817"/>
      <c r="AF117" s="817"/>
      <c r="AG117" s="817"/>
      <c r="AH117" s="818"/>
      <c r="AI117" s="818"/>
      <c r="AJ117" s="817"/>
      <c r="AK117" s="817"/>
      <c r="AL117" s="817"/>
      <c r="AM117" s="817"/>
      <c r="AN117" s="817"/>
      <c r="AO117" s="817"/>
      <c r="AP117" s="817"/>
      <c r="AQ117" s="817"/>
      <c r="AR117" s="818"/>
      <c r="AS117" s="817"/>
      <c r="AT117" s="817"/>
      <c r="AU117" s="817"/>
      <c r="AV117" s="818">
        <f>AS117+AT117+AU117</f>
        <v>0</v>
      </c>
      <c r="AW117" s="819">
        <f t="shared" si="81"/>
        <v>0</v>
      </c>
      <c r="AX117" s="814"/>
      <c r="AY117" s="820"/>
      <c r="AZ117" s="820"/>
      <c r="BA117" s="821">
        <f t="shared" si="82"/>
        <v>0</v>
      </c>
      <c r="BB117" s="820"/>
      <c r="BC117" s="820"/>
      <c r="BD117" s="820"/>
      <c r="BE117" s="821">
        <f t="shared" si="78"/>
        <v>0</v>
      </c>
      <c r="BF117" s="822">
        <f t="shared" si="79"/>
        <v>0</v>
      </c>
      <c r="BG117" s="814"/>
      <c r="BH117" s="814">
        <f t="shared" si="80"/>
        <v>0</v>
      </c>
      <c r="BI117" s="814"/>
      <c r="BK117" s="716"/>
      <c r="BL117" s="716">
        <f t="shared" si="43"/>
        <v>0</v>
      </c>
      <c r="BM117" s="716"/>
      <c r="BN117" s="716"/>
      <c r="BO117" s="717"/>
      <c r="BP117" s="716"/>
      <c r="BQ117" s="716">
        <f t="shared" si="44"/>
        <v>0</v>
      </c>
      <c r="BR117" s="716"/>
      <c r="BS117" s="718"/>
      <c r="BT117" s="717"/>
      <c r="BU117" s="716"/>
      <c r="BV117" s="716">
        <f t="shared" si="45"/>
        <v>0</v>
      </c>
      <c r="BW117" s="716"/>
      <c r="BX117" s="718"/>
      <c r="BY117" s="717"/>
      <c r="BZ117" s="717"/>
      <c r="CA117" s="719"/>
    </row>
    <row r="118" spans="2:79" s="715" customFormat="1" ht="10.5" hidden="1" outlineLevel="2">
      <c r="C118" s="522"/>
      <c r="D118" s="521"/>
      <c r="E118" s="521" t="s">
        <v>158</v>
      </c>
      <c r="F118" s="522"/>
      <c r="G118" s="523" t="s">
        <v>485</v>
      </c>
      <c r="H118" s="523"/>
      <c r="I118" s="810"/>
      <c r="J118" s="810"/>
      <c r="K118" s="810"/>
      <c r="L118" s="811"/>
      <c r="M118" s="812"/>
      <c r="N118" s="811"/>
      <c r="O118" s="811"/>
      <c r="P118" s="810">
        <f>L118+M118+N118+O118</f>
        <v>0</v>
      </c>
      <c r="Q118" s="810"/>
      <c r="R118" s="813">
        <f>I118+J118+K118+P118+Q118</f>
        <v>0</v>
      </c>
      <c r="S118" s="814"/>
      <c r="T118" s="815"/>
      <c r="U118" s="815"/>
      <c r="V118" s="815"/>
      <c r="W118" s="815">
        <f>'DUKES 09 (1.2)'!$E$20*Unit.ktoe</f>
        <v>1032.840110743924</v>
      </c>
      <c r="X118" s="815"/>
      <c r="Y118" s="815"/>
      <c r="Z118" s="815"/>
      <c r="AA118" s="815"/>
      <c r="AB118" s="815"/>
      <c r="AC118" s="816">
        <f t="shared" ref="AC118:AC126" si="83">U118+T118+V118+W118+X118+Y118+Z118+AA118+AB118</f>
        <v>1032.840110743924</v>
      </c>
      <c r="AD118" s="814"/>
      <c r="AE118" s="817"/>
      <c r="AF118" s="817">
        <f>'DUKES 09 (1.2)'!$D$20*Unit.ktoe</f>
        <v>-1029.5988829805192</v>
      </c>
      <c r="AG118" s="817"/>
      <c r="AH118" s="818">
        <f t="shared" ref="AH118:AH126" si="84">AE118+AF118+AG118</f>
        <v>-1029.5988829805192</v>
      </c>
      <c r="AI118" s="818"/>
      <c r="AJ118" s="817"/>
      <c r="AK118" s="817"/>
      <c r="AL118" s="817"/>
      <c r="AM118" s="817"/>
      <c r="AN118" s="817"/>
      <c r="AO118" s="817"/>
      <c r="AP118" s="817"/>
      <c r="AQ118" s="817"/>
      <c r="AR118" s="818">
        <f>AJ118+AK118+AL118+AM118+AN118+AO118+AP118+AQ118</f>
        <v>0</v>
      </c>
      <c r="AS118" s="817"/>
      <c r="AT118" s="817"/>
      <c r="AU118" s="817"/>
      <c r="AV118" s="818">
        <f>AS118+AT118+AU118</f>
        <v>0</v>
      </c>
      <c r="AW118" s="819">
        <f t="shared" si="81"/>
        <v>-1029.5988829805192</v>
      </c>
      <c r="AX118" s="814"/>
      <c r="AY118" s="820">
        <f>-$AC118-$AW118</f>
        <v>-3.2412277634048223</v>
      </c>
      <c r="AZ118" s="820"/>
      <c r="BA118" s="821">
        <f t="shared" si="82"/>
        <v>-3.2412277634048223</v>
      </c>
      <c r="BB118" s="820"/>
      <c r="BC118" s="820"/>
      <c r="BD118" s="820"/>
      <c r="BE118" s="821">
        <f t="shared" si="78"/>
        <v>0</v>
      </c>
      <c r="BF118" s="822">
        <f t="shared" si="79"/>
        <v>-3.2412277634048223</v>
      </c>
      <c r="BG118" s="814"/>
      <c r="BH118" s="814">
        <f t="shared" si="80"/>
        <v>0</v>
      </c>
      <c r="BI118" s="814"/>
      <c r="BK118" s="716">
        <f t="shared" ref="BK118:BK126" si="85">-($AE118+$V118)*EF.IndustrialCoal.CO2</f>
        <v>0</v>
      </c>
      <c r="BL118" s="716">
        <f t="shared" si="43"/>
        <v>-0.81030694085120558</v>
      </c>
      <c r="BM118" s="716">
        <f t="shared" ref="BM118:BM126" si="86">-($AG118+$X118)*EF.NaturalGas.CO2</f>
        <v>0</v>
      </c>
      <c r="BN118" s="716">
        <f t="shared" ref="BN118:BN126" si="87">-$Y118*EF.BlastFurnaceGas.CO2</f>
        <v>0</v>
      </c>
      <c r="BO118" s="717">
        <f t="shared" si="54"/>
        <v>-0.81030694085120558</v>
      </c>
      <c r="BP118" s="716">
        <f t="shared" ref="BP118:BP126" si="88">-($AE118+$V118)*EF.IndustrialCoal.CH4</f>
        <v>0</v>
      </c>
      <c r="BQ118" s="716">
        <f t="shared" si="44"/>
        <v>-1.0088289424695796E-3</v>
      </c>
      <c r="BR118" s="716">
        <f t="shared" ref="BR118:BR126" si="89">-($AG118+$X118)*EF.NaturalGas.CH4</f>
        <v>0</v>
      </c>
      <c r="BS118" s="718" t="s">
        <v>651</v>
      </c>
      <c r="BT118" s="717">
        <f>BP118+BQ118+BR118</f>
        <v>-1.0088289424695796E-3</v>
      </c>
      <c r="BU118" s="716">
        <f t="shared" ref="BU118:BU126" si="90">-($AE118+$V118)*EF.IndustrialCoal.N2O</f>
        <v>0</v>
      </c>
      <c r="BV118" s="716">
        <f t="shared" si="45"/>
        <v>-1.4579082258274777E-2</v>
      </c>
      <c r="BW118" s="716">
        <f t="shared" ref="BW118:BW126" si="91">-($AG118+$X118)*EF.NaturalGas.N2O</f>
        <v>0</v>
      </c>
      <c r="BX118" s="718" t="s">
        <v>651</v>
      </c>
      <c r="BY118" s="717">
        <f>BU118+BV118+BW118</f>
        <v>-1.4579082258274777E-2</v>
      </c>
      <c r="BZ118" s="717"/>
      <c r="CA118" s="719">
        <f>BO118+BT118+BY118+BZ118</f>
        <v>-0.8258948520519499</v>
      </c>
    </row>
    <row r="119" spans="2:79" s="715" customFormat="1" ht="10.5" hidden="1" outlineLevel="2">
      <c r="C119" s="522"/>
      <c r="D119" s="521"/>
      <c r="E119" s="521" t="s">
        <v>165</v>
      </c>
      <c r="F119" s="522"/>
      <c r="G119" s="523" t="s">
        <v>587</v>
      </c>
      <c r="H119" s="523"/>
      <c r="I119" s="810"/>
      <c r="J119" s="810"/>
      <c r="K119" s="810"/>
      <c r="L119" s="811"/>
      <c r="M119" s="812"/>
      <c r="N119" s="811"/>
      <c r="O119" s="811"/>
      <c r="P119" s="810">
        <f>L119+M119+N119+O119</f>
        <v>0</v>
      </c>
      <c r="Q119" s="810"/>
      <c r="R119" s="813">
        <f>I119+J119+K119+P119+Q119</f>
        <v>0</v>
      </c>
      <c r="S119" s="814"/>
      <c r="T119" s="815">
        <f>-'DUKES 09 (1.2)'!$I$28*Unit.ktoe</f>
        <v>-6.6955015551946326</v>
      </c>
      <c r="U119" s="815"/>
      <c r="V119" s="815"/>
      <c r="W119" s="815">
        <f>-'DUKES 09 (1.2)'!$E$28*Unit.ktoe</f>
        <v>-54.878917433414344</v>
      </c>
      <c r="X119" s="815">
        <f>-'DUKES 09 (1.2)'!$F$28*Unit.ktoe</f>
        <v>-2.4413780829676046</v>
      </c>
      <c r="Y119" s="815"/>
      <c r="Z119" s="815">
        <f>-'DUKES 09 (1.2)'!$J$28*Unit.ktoe</f>
        <v>-0.78625916423913134</v>
      </c>
      <c r="AA119" s="815"/>
      <c r="AB119" s="815"/>
      <c r="AC119" s="816">
        <f t="shared" si="83"/>
        <v>-64.802056235815712</v>
      </c>
      <c r="AD119" s="814"/>
      <c r="AE119" s="817"/>
      <c r="AF119" s="817"/>
      <c r="AG119" s="817"/>
      <c r="AH119" s="818">
        <f t="shared" si="84"/>
        <v>0</v>
      </c>
      <c r="AI119" s="818"/>
      <c r="AJ119" s="817"/>
      <c r="AK119" s="817"/>
      <c r="AL119" s="817"/>
      <c r="AM119" s="817"/>
      <c r="AN119" s="817"/>
      <c r="AO119" s="817"/>
      <c r="AP119" s="817"/>
      <c r="AQ119" s="817"/>
      <c r="AR119" s="818">
        <f>AJ119+AK119+AL119+AM119+AN119+AO119+AP119+AQ119</f>
        <v>0</v>
      </c>
      <c r="AS119" s="817"/>
      <c r="AT119" s="817"/>
      <c r="AU119" s="817"/>
      <c r="AV119" s="818">
        <f>AS119+AT119+AU119</f>
        <v>0</v>
      </c>
      <c r="AW119" s="819">
        <f t="shared" si="81"/>
        <v>0</v>
      </c>
      <c r="AX119" s="814"/>
      <c r="AY119" s="820"/>
      <c r="AZ119" s="820">
        <f>-$AC119-$AW119</f>
        <v>64.802056235815712</v>
      </c>
      <c r="BA119" s="821">
        <f t="shared" si="82"/>
        <v>64.802056235815712</v>
      </c>
      <c r="BB119" s="820"/>
      <c r="BC119" s="820"/>
      <c r="BD119" s="820"/>
      <c r="BE119" s="821">
        <f t="shared" si="78"/>
        <v>0</v>
      </c>
      <c r="BF119" s="822">
        <f t="shared" si="79"/>
        <v>64.802056235815712</v>
      </c>
      <c r="BG119" s="814"/>
      <c r="BH119" s="814">
        <f t="shared" si="80"/>
        <v>0</v>
      </c>
      <c r="BI119" s="814"/>
      <c r="BK119" s="716">
        <f t="shared" si="85"/>
        <v>0</v>
      </c>
      <c r="BL119" s="716">
        <f t="shared" si="43"/>
        <v>13.719729358353586</v>
      </c>
      <c r="BM119" s="716">
        <f t="shared" si="86"/>
        <v>0.44921356726603917</v>
      </c>
      <c r="BN119" s="716">
        <f t="shared" si="87"/>
        <v>0</v>
      </c>
      <c r="BO119" s="717">
        <f t="shared" si="54"/>
        <v>14.168942925619625</v>
      </c>
      <c r="BP119" s="716">
        <f t="shared" si="88"/>
        <v>0</v>
      </c>
      <c r="BQ119" s="716">
        <f t="shared" si="44"/>
        <v>1.708100888907263E-2</v>
      </c>
      <c r="BR119" s="716">
        <f t="shared" si="89"/>
        <v>9.0044217557030493E-4</v>
      </c>
      <c r="BS119" s="718" t="s">
        <v>651</v>
      </c>
      <c r="BT119" s="717">
        <f>BP119+BQ119+BR119</f>
        <v>1.7981451064642936E-2</v>
      </c>
      <c r="BU119" s="716">
        <f t="shared" si="90"/>
        <v>0</v>
      </c>
      <c r="BV119" s="716">
        <f t="shared" si="45"/>
        <v>0.24684604412568356</v>
      </c>
      <c r="BW119" s="716">
        <f t="shared" si="91"/>
        <v>9.6846933620190671E-4</v>
      </c>
      <c r="BX119" s="718" t="s">
        <v>651</v>
      </c>
      <c r="BY119" s="717">
        <f>BU119+BV119+BW119</f>
        <v>0.24781451346188546</v>
      </c>
      <c r="BZ119" s="717"/>
      <c r="CA119" s="719">
        <f>BO119+BT119+BY119+BZ119</f>
        <v>14.434738890146154</v>
      </c>
    </row>
    <row r="120" spans="2:79" s="121" customFormat="1" hidden="1" outlineLevel="1">
      <c r="C120" s="508"/>
      <c r="D120" s="38" t="s">
        <v>814</v>
      </c>
      <c r="E120" s="509"/>
      <c r="F120" s="510"/>
      <c r="G120" s="513"/>
      <c r="H120" s="513"/>
      <c r="I120" s="534"/>
      <c r="J120" s="534"/>
      <c r="K120" s="534"/>
      <c r="L120" s="540"/>
      <c r="M120" s="562"/>
      <c r="N120" s="540"/>
      <c r="O120" s="540"/>
      <c r="P120" s="534"/>
      <c r="Q120" s="534"/>
      <c r="R120" s="569"/>
      <c r="S120" s="515"/>
      <c r="T120" s="494"/>
      <c r="U120" s="494"/>
      <c r="V120" s="494"/>
      <c r="W120" s="494">
        <f>('DUKES 09 (1.2)'!$E$6+'DUKES 09 (1.2)'!$E$7)*Unit.ktoe</f>
        <v>-60.581053896315709</v>
      </c>
      <c r="X120" s="494"/>
      <c r="Y120" s="494"/>
      <c r="Z120" s="494"/>
      <c r="AA120" s="494"/>
      <c r="AB120" s="494"/>
      <c r="AC120" s="576">
        <f t="shared" si="83"/>
        <v>-60.581053896315709</v>
      </c>
      <c r="AD120" s="515"/>
      <c r="AE120" s="552"/>
      <c r="AF120" s="552"/>
      <c r="AG120" s="552"/>
      <c r="AH120" s="583">
        <f t="shared" si="84"/>
        <v>0</v>
      </c>
      <c r="AI120" s="583"/>
      <c r="AJ120" s="552"/>
      <c r="AK120" s="552"/>
      <c r="AL120" s="552"/>
      <c r="AM120" s="552"/>
      <c r="AN120" s="552"/>
      <c r="AO120" s="552"/>
      <c r="AP120" s="552"/>
      <c r="AQ120" s="552"/>
      <c r="AR120" s="583"/>
      <c r="AS120" s="552"/>
      <c r="AT120" s="552"/>
      <c r="AU120" s="552"/>
      <c r="AV120" s="583"/>
      <c r="AW120" s="591">
        <f t="shared" si="81"/>
        <v>0</v>
      </c>
      <c r="AX120" s="515"/>
      <c r="AY120" s="546"/>
      <c r="AZ120" s="546"/>
      <c r="BA120" s="598">
        <f t="shared" si="82"/>
        <v>0</v>
      </c>
      <c r="BB120" s="546"/>
      <c r="BC120" s="546"/>
      <c r="BD120" s="546">
        <f>-W120</f>
        <v>60.581053896315709</v>
      </c>
      <c r="BE120" s="598">
        <f t="shared" si="78"/>
        <v>60.581053896315709</v>
      </c>
      <c r="BF120" s="605">
        <f t="shared" si="79"/>
        <v>60.581053896315709</v>
      </c>
      <c r="BG120" s="515"/>
      <c r="BH120" s="515">
        <f>R120+AC120+AW120+BF120</f>
        <v>0</v>
      </c>
      <c r="BI120" s="515"/>
      <c r="BK120" s="698"/>
      <c r="BL120" s="698">
        <f t="shared" si="43"/>
        <v>0</v>
      </c>
      <c r="BM120" s="698"/>
      <c r="BN120" s="698"/>
      <c r="BO120" s="729"/>
      <c r="BP120" s="698"/>
      <c r="BQ120" s="698">
        <f t="shared" si="44"/>
        <v>0</v>
      </c>
      <c r="BR120" s="698"/>
      <c r="BS120" s="699"/>
      <c r="BT120" s="706"/>
      <c r="BU120" s="698"/>
      <c r="BV120" s="698">
        <f t="shared" si="45"/>
        <v>0</v>
      </c>
      <c r="BW120" s="698"/>
      <c r="BX120" s="699"/>
      <c r="BY120" s="706"/>
      <c r="BZ120" s="706"/>
      <c r="CA120" s="702"/>
    </row>
    <row r="121" spans="2:79" s="121" customFormat="1" hidden="1" outlineLevel="1">
      <c r="C121" s="508"/>
      <c r="D121" s="38" t="s">
        <v>590</v>
      </c>
      <c r="E121" s="509"/>
      <c r="F121" s="510"/>
      <c r="G121" s="513" t="s">
        <v>591</v>
      </c>
      <c r="H121" s="513"/>
      <c r="I121" s="534"/>
      <c r="J121" s="534"/>
      <c r="K121" s="534"/>
      <c r="L121" s="540"/>
      <c r="M121" s="562"/>
      <c r="N121" s="540"/>
      <c r="O121" s="540"/>
      <c r="P121" s="534">
        <f>L121+M121+N121+O121</f>
        <v>0</v>
      </c>
      <c r="Q121" s="534"/>
      <c r="R121" s="569">
        <f>I121+J121+K121+P121+Q121</f>
        <v>0</v>
      </c>
      <c r="S121" s="515"/>
      <c r="T121" s="494">
        <f>-'DUKES 09 (1.2)'!$I$34*Unit.ktoe</f>
        <v>-1.8634191446533293</v>
      </c>
      <c r="U121" s="494"/>
      <c r="V121" s="494"/>
      <c r="W121" s="494"/>
      <c r="X121" s="494">
        <f>-'DUKES 09 (1.2)'!$F$34*Unit.ktoe</f>
        <v>-5.7757409066725032</v>
      </c>
      <c r="Y121" s="494"/>
      <c r="Z121" s="494"/>
      <c r="AA121" s="494"/>
      <c r="AB121" s="494"/>
      <c r="AC121" s="576">
        <f t="shared" si="83"/>
        <v>-7.6391600513258329</v>
      </c>
      <c r="AD121" s="515"/>
      <c r="AE121" s="552"/>
      <c r="AF121" s="552"/>
      <c r="AG121" s="552"/>
      <c r="AH121" s="583">
        <f t="shared" si="84"/>
        <v>0</v>
      </c>
      <c r="AI121" s="583"/>
      <c r="AJ121" s="552"/>
      <c r="AK121" s="552"/>
      <c r="AL121" s="552"/>
      <c r="AM121" s="552"/>
      <c r="AN121" s="552"/>
      <c r="AO121" s="552"/>
      <c r="AP121" s="552"/>
      <c r="AQ121" s="552"/>
      <c r="AR121" s="583">
        <f t="shared" ref="AR121:AR126" si="92">AJ121+AK121+AL121+AM121+AN121+AO121+AP121+AQ121</f>
        <v>0</v>
      </c>
      <c r="AS121" s="552"/>
      <c r="AT121" s="552"/>
      <c r="AU121" s="552"/>
      <c r="AV121" s="583">
        <f>AS121+AT121+AU121</f>
        <v>0</v>
      </c>
      <c r="AW121" s="591">
        <f t="shared" si="81"/>
        <v>0</v>
      </c>
      <c r="AX121" s="515"/>
      <c r="AY121" s="546"/>
      <c r="AZ121" s="546">
        <f>-$AC121-$AW121</f>
        <v>7.6391600513258329</v>
      </c>
      <c r="BA121" s="598">
        <f t="shared" si="82"/>
        <v>7.6391600513258329</v>
      </c>
      <c r="BB121" s="546"/>
      <c r="BC121" s="546"/>
      <c r="BD121" s="546"/>
      <c r="BE121" s="598">
        <f t="shared" si="78"/>
        <v>0</v>
      </c>
      <c r="BF121" s="605">
        <f t="shared" si="79"/>
        <v>7.6391600513258329</v>
      </c>
      <c r="BG121" s="515"/>
      <c r="BH121" s="515">
        <f>R121+AC121+AW121+BF121</f>
        <v>0</v>
      </c>
      <c r="BI121" s="515"/>
      <c r="BK121" s="698">
        <f t="shared" si="85"/>
        <v>0</v>
      </c>
      <c r="BL121" s="698">
        <f t="shared" si="43"/>
        <v>0</v>
      </c>
      <c r="BM121" s="698">
        <f t="shared" si="86"/>
        <v>1.0627363268277403</v>
      </c>
      <c r="BN121" s="698">
        <f t="shared" si="87"/>
        <v>0</v>
      </c>
      <c r="BO121" s="729">
        <f>$BK121+$BL121+$BM121+$BN121</f>
        <v>1.0627363268277403</v>
      </c>
      <c r="BP121" s="698">
        <f t="shared" si="88"/>
        <v>0</v>
      </c>
      <c r="BQ121" s="698">
        <f t="shared" si="44"/>
        <v>0</v>
      </c>
      <c r="BR121" s="698">
        <f t="shared" si="89"/>
        <v>2.1302397788436297E-3</v>
      </c>
      <c r="BS121" s="699" t="s">
        <v>651</v>
      </c>
      <c r="BT121" s="706">
        <f>BP121+BQ121+BR121</f>
        <v>2.1302397788436297E-3</v>
      </c>
      <c r="BU121" s="698">
        <f t="shared" si="90"/>
        <v>0</v>
      </c>
      <c r="BV121" s="698">
        <f t="shared" si="45"/>
        <v>0</v>
      </c>
      <c r="BW121" s="698">
        <f t="shared" si="91"/>
        <v>2.2911764470171748E-3</v>
      </c>
      <c r="BX121" s="699" t="s">
        <v>651</v>
      </c>
      <c r="BY121" s="706">
        <f>BU121+BV121+BW121</f>
        <v>2.2911764470171748E-3</v>
      </c>
      <c r="BZ121" s="706"/>
      <c r="CA121" s="702">
        <f>BO121+BT121+BY121+BZ121</f>
        <v>1.0671577430536012</v>
      </c>
    </row>
    <row r="122" spans="2:79" s="121" customFormat="1" hidden="1" outlineLevel="1">
      <c r="C122" s="508"/>
      <c r="D122" s="38" t="s">
        <v>811</v>
      </c>
      <c r="E122" s="509"/>
      <c r="F122" s="510" t="str">
        <f>C167</f>
        <v>[16]</v>
      </c>
      <c r="G122" s="513"/>
      <c r="H122" s="513"/>
      <c r="I122" s="534"/>
      <c r="J122" s="534"/>
      <c r="K122" s="534"/>
      <c r="L122" s="540"/>
      <c r="M122" s="562"/>
      <c r="N122" s="540"/>
      <c r="O122" s="540"/>
      <c r="P122" s="534"/>
      <c r="Q122" s="534"/>
      <c r="R122" s="569"/>
      <c r="S122" s="515"/>
      <c r="T122" s="494"/>
      <c r="U122" s="494"/>
      <c r="V122" s="494">
        <f>-(V72+V111+V116+V121)</f>
        <v>475.13368753227502</v>
      </c>
      <c r="W122" s="494">
        <f>'DUKES 09 (1.2)'!$E$14*Unit.ktoe</f>
        <v>37.617522039247504</v>
      </c>
      <c r="X122" s="494">
        <f>-(X72+X111+X116+X121)</f>
        <v>1033.8197984882672</v>
      </c>
      <c r="Y122" s="494"/>
      <c r="Z122" s="494"/>
      <c r="AA122" s="494"/>
      <c r="AB122" s="494"/>
      <c r="AC122" s="576">
        <f t="shared" si="83"/>
        <v>1546.5710080597896</v>
      </c>
      <c r="AD122" s="515"/>
      <c r="AE122" s="552">
        <f>-V122</f>
        <v>-475.13368753227502</v>
      </c>
      <c r="AF122" s="552">
        <f>-W122</f>
        <v>-37.617522039247504</v>
      </c>
      <c r="AG122" s="552">
        <f>-X122</f>
        <v>-1033.8197984882672</v>
      </c>
      <c r="AH122" s="583">
        <f t="shared" si="84"/>
        <v>-1546.5710080597896</v>
      </c>
      <c r="AI122" s="583"/>
      <c r="AJ122" s="552"/>
      <c r="AK122" s="552"/>
      <c r="AL122" s="552"/>
      <c r="AM122" s="552"/>
      <c r="AN122" s="552"/>
      <c r="AO122" s="552"/>
      <c r="AP122" s="552"/>
      <c r="AQ122" s="552"/>
      <c r="AR122" s="583">
        <f t="shared" si="92"/>
        <v>0</v>
      </c>
      <c r="AS122" s="552"/>
      <c r="AT122" s="552"/>
      <c r="AU122" s="552"/>
      <c r="AV122" s="583">
        <f>AS122+AT122+AU122</f>
        <v>0</v>
      </c>
      <c r="AW122" s="591">
        <f t="shared" si="81"/>
        <v>-1546.5710080597896</v>
      </c>
      <c r="AX122" s="515"/>
      <c r="AY122" s="546"/>
      <c r="AZ122" s="546"/>
      <c r="BA122" s="598">
        <f t="shared" si="82"/>
        <v>0</v>
      </c>
      <c r="BB122" s="546"/>
      <c r="BC122" s="546"/>
      <c r="BD122" s="546"/>
      <c r="BE122" s="598">
        <f t="shared" si="78"/>
        <v>0</v>
      </c>
      <c r="BF122" s="605">
        <f t="shared" si="79"/>
        <v>0</v>
      </c>
      <c r="BG122" s="515"/>
      <c r="BH122" s="515">
        <f>R122+AC122+AW122+BF122</f>
        <v>0</v>
      </c>
      <c r="BI122" s="515"/>
      <c r="BK122" s="698">
        <f t="shared" si="85"/>
        <v>0</v>
      </c>
      <c r="BL122" s="698">
        <f t="shared" si="43"/>
        <v>0</v>
      </c>
      <c r="BM122" s="698">
        <f t="shared" si="86"/>
        <v>0</v>
      </c>
      <c r="BN122" s="698">
        <f t="shared" si="87"/>
        <v>0</v>
      </c>
      <c r="BO122" s="729"/>
      <c r="BP122" s="698">
        <f t="shared" si="88"/>
        <v>0</v>
      </c>
      <c r="BQ122" s="698">
        <f t="shared" si="44"/>
        <v>0</v>
      </c>
      <c r="BR122" s="698">
        <f t="shared" si="89"/>
        <v>0</v>
      </c>
      <c r="BS122" s="699"/>
      <c r="BT122" s="706"/>
      <c r="BU122" s="698">
        <f t="shared" si="90"/>
        <v>0</v>
      </c>
      <c r="BV122" s="698">
        <f t="shared" si="45"/>
        <v>0</v>
      </c>
      <c r="BW122" s="698">
        <f t="shared" si="91"/>
        <v>0</v>
      </c>
      <c r="BX122" s="699"/>
      <c r="BY122" s="706"/>
      <c r="BZ122" s="706"/>
      <c r="CA122" s="702"/>
    </row>
    <row r="123" spans="2:79" s="121" customFormat="1" hidden="1" outlineLevel="1">
      <c r="C123" s="508"/>
      <c r="D123" s="38" t="s">
        <v>665</v>
      </c>
      <c r="E123" s="509"/>
      <c r="F123" s="510"/>
      <c r="G123" s="513" t="s">
        <v>58</v>
      </c>
      <c r="H123" s="513"/>
      <c r="I123" s="534"/>
      <c r="J123" s="534"/>
      <c r="K123" s="534"/>
      <c r="L123" s="540"/>
      <c r="M123" s="562"/>
      <c r="N123" s="540"/>
      <c r="O123" s="540"/>
      <c r="P123" s="534"/>
      <c r="Q123" s="534"/>
      <c r="R123" s="569"/>
      <c r="S123" s="515"/>
      <c r="T123" s="494"/>
      <c r="U123" s="494"/>
      <c r="V123" s="494"/>
      <c r="W123" s="494"/>
      <c r="X123" s="494"/>
      <c r="Y123" s="494"/>
      <c r="Z123" s="494"/>
      <c r="AA123" s="494"/>
      <c r="AB123" s="494"/>
      <c r="AC123" s="576">
        <f t="shared" si="83"/>
        <v>0</v>
      </c>
      <c r="AD123" s="515"/>
      <c r="AE123" s="552"/>
      <c r="AF123" s="552"/>
      <c r="AG123" s="552">
        <f>-'DUKES 09 (1.2)'!$F$35*Unit.ktoe</f>
        <v>-12.068087873080305</v>
      </c>
      <c r="AH123" s="583">
        <f t="shared" si="84"/>
        <v>-12.068087873080305</v>
      </c>
      <c r="AI123" s="583"/>
      <c r="AJ123" s="552"/>
      <c r="AK123" s="552"/>
      <c r="AL123" s="552"/>
      <c r="AM123" s="552"/>
      <c r="AN123" s="552"/>
      <c r="AO123" s="552"/>
      <c r="AP123" s="552"/>
      <c r="AQ123" s="552"/>
      <c r="AR123" s="583">
        <f t="shared" si="92"/>
        <v>0</v>
      </c>
      <c r="AS123" s="552"/>
      <c r="AT123" s="552"/>
      <c r="AU123" s="552"/>
      <c r="AV123" s="583">
        <f>AS123+AT123+AU123</f>
        <v>0</v>
      </c>
      <c r="AW123" s="591">
        <f t="shared" si="81"/>
        <v>-12.068087873080305</v>
      </c>
      <c r="AX123" s="515"/>
      <c r="AY123" s="546"/>
      <c r="AZ123" s="546">
        <f>'DUKES 09 (1.2)'!$F$35*Unit.ktoe</f>
        <v>12.068087873080305</v>
      </c>
      <c r="BA123" s="598">
        <f t="shared" si="82"/>
        <v>12.068087873080305</v>
      </c>
      <c r="BB123" s="546"/>
      <c r="BC123" s="546"/>
      <c r="BD123" s="546"/>
      <c r="BE123" s="598">
        <f t="shared" si="78"/>
        <v>0</v>
      </c>
      <c r="BF123" s="605">
        <f t="shared" si="79"/>
        <v>12.068087873080305</v>
      </c>
      <c r="BG123" s="515"/>
      <c r="BH123" s="515">
        <f>R123+AC123+AW123+BF123</f>
        <v>0</v>
      </c>
      <c r="BI123" s="515"/>
      <c r="BK123" s="698">
        <f t="shared" si="85"/>
        <v>0</v>
      </c>
      <c r="BL123" s="698">
        <f t="shared" si="43"/>
        <v>0</v>
      </c>
      <c r="BM123" s="698">
        <f t="shared" si="86"/>
        <v>2.2205281686467759</v>
      </c>
      <c r="BN123" s="698">
        <f t="shared" si="87"/>
        <v>0</v>
      </c>
      <c r="BO123" s="729">
        <f t="shared" si="54"/>
        <v>2.2205281686467759</v>
      </c>
      <c r="BP123" s="698">
        <f t="shared" si="88"/>
        <v>0</v>
      </c>
      <c r="BQ123" s="698">
        <f t="shared" si="44"/>
        <v>0</v>
      </c>
      <c r="BR123" s="698">
        <f t="shared" si="89"/>
        <v>4.4510169789847486E-3</v>
      </c>
      <c r="BS123" s="699" t="s">
        <v>651</v>
      </c>
      <c r="BT123" s="706">
        <f>BP123+BQ123+BR123</f>
        <v>4.4510169789847486E-3</v>
      </c>
      <c r="BU123" s="698">
        <f t="shared" si="90"/>
        <v>0</v>
      </c>
      <c r="BV123" s="698">
        <f t="shared" si="45"/>
        <v>0</v>
      </c>
      <c r="BW123" s="698">
        <f t="shared" si="91"/>
        <v>4.7872851539084819E-3</v>
      </c>
      <c r="BX123" s="699" t="s">
        <v>651</v>
      </c>
      <c r="BY123" s="706">
        <f>BU123+BV123+BW123</f>
        <v>4.7872851539084819E-3</v>
      </c>
      <c r="BZ123" s="706"/>
      <c r="CA123" s="702">
        <f>BO123+BT123+BY123+BZ123</f>
        <v>2.2297664707796692</v>
      </c>
    </row>
    <row r="124" spans="2:79" hidden="1" outlineLevel="1">
      <c r="D124" s="38" t="s">
        <v>168</v>
      </c>
      <c r="G124" s="513" t="s">
        <v>605</v>
      </c>
      <c r="I124" s="534"/>
      <c r="J124" s="534"/>
      <c r="K124" s="534"/>
      <c r="L124" s="540"/>
      <c r="M124" s="562"/>
      <c r="N124" s="540"/>
      <c r="O124" s="540"/>
      <c r="P124" s="534"/>
      <c r="Q124" s="534"/>
      <c r="R124" s="569"/>
      <c r="S124" s="515"/>
      <c r="T124" s="494"/>
      <c r="U124" s="494">
        <f>('DUKES 09 (5.6)'!$K$248-'DUKES 09 (5.6)'!$M$249)*Unit.GWh</f>
        <v>-1.2254999999999996</v>
      </c>
      <c r="V124" s="494"/>
      <c r="W124" s="494"/>
      <c r="X124" s="494"/>
      <c r="Y124" s="494"/>
      <c r="Z124" s="494"/>
      <c r="AA124" s="494"/>
      <c r="AB124" s="494"/>
      <c r="AC124" s="576">
        <f t="shared" si="83"/>
        <v>-1.2254999999999996</v>
      </c>
      <c r="AD124" s="515"/>
      <c r="AE124" s="552"/>
      <c r="AF124" s="552"/>
      <c r="AG124" s="552"/>
      <c r="AH124" s="583">
        <f t="shared" si="84"/>
        <v>0</v>
      </c>
      <c r="AI124" s="583"/>
      <c r="AJ124" s="552"/>
      <c r="AK124" s="552"/>
      <c r="AL124" s="552"/>
      <c r="AM124" s="552"/>
      <c r="AN124" s="552"/>
      <c r="AO124" s="552"/>
      <c r="AP124" s="552"/>
      <c r="AQ124" s="552"/>
      <c r="AR124" s="583">
        <f t="shared" si="92"/>
        <v>0</v>
      </c>
      <c r="AS124" s="552"/>
      <c r="AT124" s="552"/>
      <c r="AU124" s="552"/>
      <c r="AV124" s="583">
        <f t="shared" si="48"/>
        <v>0</v>
      </c>
      <c r="AW124" s="591">
        <f t="shared" si="49"/>
        <v>0</v>
      </c>
      <c r="AX124" s="515"/>
      <c r="AY124" s="546">
        <f>('DUKES 09 (5.6)'!$M$249-'DUKES 09 (5.6)'!$K$245)*Unit.GWh</f>
        <v>1.2120398189999997</v>
      </c>
      <c r="AZ124" s="546">
        <f>'DUKES 09 (5.6)'!$K$247*Unit.GWh</f>
        <v>1.346018099999992E-2</v>
      </c>
      <c r="BA124" s="598">
        <f t="shared" si="50"/>
        <v>1.2254999999999996</v>
      </c>
      <c r="BB124" s="546"/>
      <c r="BC124" s="546"/>
      <c r="BD124" s="546"/>
      <c r="BE124" s="598">
        <f t="shared" si="78"/>
        <v>0</v>
      </c>
      <c r="BF124" s="605">
        <f t="shared" si="79"/>
        <v>1.2254999999999996</v>
      </c>
      <c r="BG124" s="515"/>
      <c r="BH124" s="515">
        <f t="shared" si="80"/>
        <v>0</v>
      </c>
      <c r="BI124" s="515"/>
      <c r="BK124" s="698">
        <f t="shared" si="85"/>
        <v>0</v>
      </c>
      <c r="BL124" s="698">
        <f t="shared" si="43"/>
        <v>0</v>
      </c>
      <c r="BM124" s="698">
        <f t="shared" si="86"/>
        <v>0</v>
      </c>
      <c r="BN124" s="698">
        <f t="shared" si="87"/>
        <v>0</v>
      </c>
      <c r="BO124" s="729">
        <f t="shared" si="54"/>
        <v>0</v>
      </c>
      <c r="BP124" s="698">
        <f t="shared" si="88"/>
        <v>0</v>
      </c>
      <c r="BQ124" s="698">
        <f t="shared" si="44"/>
        <v>0</v>
      </c>
      <c r="BR124" s="698">
        <f t="shared" si="89"/>
        <v>0</v>
      </c>
      <c r="BS124" s="699" t="s">
        <v>651</v>
      </c>
      <c r="BT124" s="706">
        <f t="shared" si="55"/>
        <v>0</v>
      </c>
      <c r="BU124" s="698">
        <f t="shared" si="90"/>
        <v>0</v>
      </c>
      <c r="BV124" s="698">
        <f t="shared" si="45"/>
        <v>0</v>
      </c>
      <c r="BW124" s="698">
        <f t="shared" si="91"/>
        <v>0</v>
      </c>
      <c r="BX124" s="699" t="s">
        <v>651</v>
      </c>
      <c r="BY124" s="706">
        <f t="shared" si="56"/>
        <v>0</v>
      </c>
      <c r="BZ124" s="706"/>
      <c r="CA124" s="702">
        <f t="shared" si="57"/>
        <v>0</v>
      </c>
    </row>
    <row r="125" spans="2:79" hidden="1" outlineLevel="1">
      <c r="D125" s="38" t="s">
        <v>608</v>
      </c>
      <c r="G125" s="513" t="s">
        <v>58</v>
      </c>
      <c r="I125" s="534"/>
      <c r="J125" s="534"/>
      <c r="K125" s="534"/>
      <c r="L125" s="540"/>
      <c r="M125" s="562"/>
      <c r="N125" s="540"/>
      <c r="O125" s="540"/>
      <c r="P125" s="534"/>
      <c r="Q125" s="534"/>
      <c r="R125" s="569"/>
      <c r="S125" s="515"/>
      <c r="T125" s="494">
        <f>-U125-AZ125</f>
        <v>353.01882894761985</v>
      </c>
      <c r="U125" s="494">
        <f>-(U72+U111+U124+U126)</f>
        <v>-379.48811945017383</v>
      </c>
      <c r="V125" s="494"/>
      <c r="W125" s="494"/>
      <c r="X125" s="494"/>
      <c r="Y125" s="494"/>
      <c r="Z125" s="494"/>
      <c r="AA125" s="494"/>
      <c r="AB125" s="494"/>
      <c r="AC125" s="576">
        <f t="shared" si="83"/>
        <v>-26.469290502553974</v>
      </c>
      <c r="AD125" s="515"/>
      <c r="AE125" s="552"/>
      <c r="AF125" s="552"/>
      <c r="AG125" s="552"/>
      <c r="AH125" s="583">
        <f t="shared" si="84"/>
        <v>0</v>
      </c>
      <c r="AI125" s="583"/>
      <c r="AJ125" s="552"/>
      <c r="AK125" s="552"/>
      <c r="AL125" s="552"/>
      <c r="AM125" s="552"/>
      <c r="AN125" s="552"/>
      <c r="AO125" s="552"/>
      <c r="AP125" s="552"/>
      <c r="AQ125" s="552"/>
      <c r="AR125" s="583">
        <f t="shared" si="92"/>
        <v>0</v>
      </c>
      <c r="AS125" s="552"/>
      <c r="AT125" s="552"/>
      <c r="AU125" s="552"/>
      <c r="AV125" s="583">
        <f>AS125+AT125+AU125</f>
        <v>0</v>
      </c>
      <c r="AW125" s="591">
        <f>AH125+AI125+AR125+AV125</f>
        <v>0</v>
      </c>
      <c r="AX125" s="515"/>
      <c r="AY125" s="546"/>
      <c r="AZ125" s="546">
        <f>'DUKES 09 (1.2)'!$I$35*Unit.ktoe</f>
        <v>26.469290502553953</v>
      </c>
      <c r="BA125" s="598">
        <f>AY125+AZ125</f>
        <v>26.469290502553953</v>
      </c>
      <c r="BB125" s="546"/>
      <c r="BC125" s="546"/>
      <c r="BD125" s="546"/>
      <c r="BE125" s="598">
        <f t="shared" si="78"/>
        <v>0</v>
      </c>
      <c r="BF125" s="605">
        <f t="shared" si="79"/>
        <v>26.469290502553953</v>
      </c>
      <c r="BG125" s="515"/>
      <c r="BH125" s="515">
        <f>R125+AC125+AW125+BF125</f>
        <v>0</v>
      </c>
      <c r="BI125" s="515"/>
      <c r="BK125" s="698">
        <f t="shared" si="85"/>
        <v>0</v>
      </c>
      <c r="BL125" s="698">
        <f t="shared" si="43"/>
        <v>0</v>
      </c>
      <c r="BM125" s="698">
        <f t="shared" si="86"/>
        <v>0</v>
      </c>
      <c r="BN125" s="698">
        <f t="shared" si="87"/>
        <v>0</v>
      </c>
      <c r="BO125" s="729">
        <f>$BK125+$BL125+$BM125+$BN125</f>
        <v>0</v>
      </c>
      <c r="BP125" s="698">
        <f t="shared" si="88"/>
        <v>0</v>
      </c>
      <c r="BQ125" s="698">
        <f t="shared" si="44"/>
        <v>0</v>
      </c>
      <c r="BR125" s="698">
        <f t="shared" si="89"/>
        <v>0</v>
      </c>
      <c r="BS125" s="699" t="s">
        <v>651</v>
      </c>
      <c r="BT125" s="706">
        <f>BP125+BQ125+BR125</f>
        <v>0</v>
      </c>
      <c r="BU125" s="698">
        <f t="shared" si="90"/>
        <v>0</v>
      </c>
      <c r="BV125" s="698">
        <f t="shared" si="45"/>
        <v>0</v>
      </c>
      <c r="BW125" s="698">
        <f t="shared" si="91"/>
        <v>0</v>
      </c>
      <c r="BX125" s="699" t="s">
        <v>651</v>
      </c>
      <c r="BY125" s="706">
        <f>BU125+BV125+BW125</f>
        <v>0</v>
      </c>
      <c r="BZ125" s="706"/>
      <c r="CA125" s="702">
        <f>BO125+BT125+BY125+BZ125</f>
        <v>0</v>
      </c>
    </row>
    <row r="126" spans="2:79" hidden="1" outlineLevel="1">
      <c r="D126" s="38" t="s">
        <v>607</v>
      </c>
      <c r="G126" s="513" t="s">
        <v>606</v>
      </c>
      <c r="I126" s="534"/>
      <c r="J126" s="534"/>
      <c r="K126" s="534"/>
      <c r="L126" s="540"/>
      <c r="M126" s="562"/>
      <c r="N126" s="540"/>
      <c r="O126" s="540"/>
      <c r="P126" s="534"/>
      <c r="Q126" s="534"/>
      <c r="R126" s="569"/>
      <c r="S126" s="515"/>
      <c r="T126" s="494"/>
      <c r="U126" s="494">
        <f>('DUKES 09 (5.1)'!$K$9+'DUKES 09 (5.1)'!$K$10)*Unit.GWh</f>
        <v>5.2145242500000002</v>
      </c>
      <c r="V126" s="494"/>
      <c r="W126" s="494"/>
      <c r="X126" s="494"/>
      <c r="Y126" s="494"/>
      <c r="Z126" s="494"/>
      <c r="AA126" s="494"/>
      <c r="AB126" s="494"/>
      <c r="AC126" s="576">
        <f t="shared" si="83"/>
        <v>5.2145242500000002</v>
      </c>
      <c r="AD126" s="515"/>
      <c r="AE126" s="552"/>
      <c r="AF126" s="552"/>
      <c r="AG126" s="552"/>
      <c r="AH126" s="583">
        <f t="shared" si="84"/>
        <v>0</v>
      </c>
      <c r="AI126" s="583"/>
      <c r="AJ126" s="552"/>
      <c r="AK126" s="552"/>
      <c r="AL126" s="552"/>
      <c r="AM126" s="552"/>
      <c r="AN126" s="552"/>
      <c r="AO126" s="552"/>
      <c r="AP126" s="552"/>
      <c r="AQ126" s="552"/>
      <c r="AR126" s="583">
        <f t="shared" si="92"/>
        <v>0</v>
      </c>
      <c r="AS126" s="552"/>
      <c r="AT126" s="552"/>
      <c r="AU126" s="552"/>
      <c r="AV126" s="583">
        <f t="shared" si="48"/>
        <v>0</v>
      </c>
      <c r="AW126" s="591">
        <f t="shared" si="49"/>
        <v>0</v>
      </c>
      <c r="AX126" s="515"/>
      <c r="AY126" s="546"/>
      <c r="AZ126" s="546"/>
      <c r="BA126" s="598">
        <f t="shared" si="50"/>
        <v>0</v>
      </c>
      <c r="BB126" s="546"/>
      <c r="BC126" s="546">
        <f>-$U126</f>
        <v>-5.2145242500000002</v>
      </c>
      <c r="BD126" s="546"/>
      <c r="BE126" s="598">
        <f t="shared" si="78"/>
        <v>-5.2145242500000002</v>
      </c>
      <c r="BF126" s="605">
        <f t="shared" si="79"/>
        <v>-5.2145242500000002</v>
      </c>
      <c r="BG126" s="515"/>
      <c r="BH126" s="515">
        <f t="shared" si="80"/>
        <v>0</v>
      </c>
      <c r="BI126" s="515"/>
      <c r="BK126" s="698">
        <f t="shared" si="85"/>
        <v>0</v>
      </c>
      <c r="BL126" s="698">
        <f t="shared" si="43"/>
        <v>0</v>
      </c>
      <c r="BM126" s="698">
        <f t="shared" si="86"/>
        <v>0</v>
      </c>
      <c r="BN126" s="698">
        <f t="shared" si="87"/>
        <v>0</v>
      </c>
      <c r="BO126" s="729">
        <f t="shared" si="54"/>
        <v>0</v>
      </c>
      <c r="BP126" s="698">
        <f t="shared" si="88"/>
        <v>0</v>
      </c>
      <c r="BQ126" s="698">
        <f t="shared" si="44"/>
        <v>0</v>
      </c>
      <c r="BR126" s="698">
        <f t="shared" si="89"/>
        <v>0</v>
      </c>
      <c r="BS126" s="699" t="s">
        <v>651</v>
      </c>
      <c r="BT126" s="706">
        <f t="shared" si="55"/>
        <v>0</v>
      </c>
      <c r="BU126" s="698">
        <f t="shared" si="90"/>
        <v>0</v>
      </c>
      <c r="BV126" s="698">
        <f t="shared" si="45"/>
        <v>0</v>
      </c>
      <c r="BW126" s="698">
        <f t="shared" si="91"/>
        <v>0</v>
      </c>
      <c r="BX126" s="699" t="s">
        <v>651</v>
      </c>
      <c r="BY126" s="706">
        <f t="shared" si="56"/>
        <v>0</v>
      </c>
      <c r="BZ126" s="706"/>
      <c r="CA126" s="702">
        <f t="shared" si="57"/>
        <v>0</v>
      </c>
    </row>
    <row r="127" spans="2:79" hidden="1" outlineLevel="1">
      <c r="D127" s="38"/>
      <c r="I127" s="534"/>
      <c r="J127" s="534"/>
      <c r="K127" s="534"/>
      <c r="L127" s="540"/>
      <c r="M127" s="562"/>
      <c r="N127" s="540"/>
      <c r="O127" s="540"/>
      <c r="P127" s="534"/>
      <c r="Q127" s="534"/>
      <c r="R127" s="569"/>
      <c r="S127" s="515"/>
      <c r="T127" s="494"/>
      <c r="U127" s="494"/>
      <c r="V127" s="494"/>
      <c r="W127" s="494"/>
      <c r="X127" s="494"/>
      <c r="Y127" s="494"/>
      <c r="Z127" s="494"/>
      <c r="AA127" s="494"/>
      <c r="AB127" s="494"/>
      <c r="AC127" s="576"/>
      <c r="AD127" s="515"/>
      <c r="AE127" s="552"/>
      <c r="AF127" s="552"/>
      <c r="AG127" s="552"/>
      <c r="AH127" s="583"/>
      <c r="AI127" s="583"/>
      <c r="AJ127" s="552"/>
      <c r="AK127" s="552"/>
      <c r="AL127" s="552"/>
      <c r="AM127" s="552"/>
      <c r="AN127" s="552"/>
      <c r="AO127" s="552"/>
      <c r="AP127" s="552"/>
      <c r="AQ127" s="552"/>
      <c r="AR127" s="583"/>
      <c r="AS127" s="552"/>
      <c r="AT127" s="552"/>
      <c r="AU127" s="552"/>
      <c r="AV127" s="583"/>
      <c r="AW127" s="591"/>
      <c r="AX127" s="515"/>
      <c r="AY127" s="546"/>
      <c r="AZ127" s="546"/>
      <c r="BA127" s="598"/>
      <c r="BB127" s="546"/>
      <c r="BC127" s="546"/>
      <c r="BD127" s="546"/>
      <c r="BE127" s="598"/>
      <c r="BF127" s="605"/>
      <c r="BG127" s="515"/>
      <c r="BH127" s="515"/>
      <c r="BI127" s="515"/>
      <c r="BK127" s="698"/>
      <c r="BL127" s="698">
        <f t="shared" si="43"/>
        <v>0</v>
      </c>
      <c r="BM127" s="698"/>
      <c r="BN127" s="698"/>
      <c r="BO127" s="729"/>
      <c r="BP127" s="698"/>
      <c r="BQ127" s="698">
        <f t="shared" si="44"/>
        <v>0</v>
      </c>
      <c r="BR127" s="698"/>
      <c r="BS127" s="699"/>
      <c r="BT127" s="706"/>
      <c r="BU127" s="698"/>
      <c r="BV127" s="698">
        <f t="shared" si="45"/>
        <v>0</v>
      </c>
      <c r="BW127" s="698"/>
      <c r="BX127" s="699"/>
      <c r="BY127" s="706"/>
      <c r="BZ127" s="706"/>
      <c r="CA127" s="702"/>
    </row>
    <row r="128" spans="2:79">
      <c r="I128" s="534"/>
      <c r="J128" s="534"/>
      <c r="K128" s="534"/>
      <c r="L128" s="540"/>
      <c r="M128" s="562"/>
      <c r="N128" s="540"/>
      <c r="O128" s="540"/>
      <c r="P128" s="534"/>
      <c r="Q128" s="534"/>
      <c r="R128" s="569"/>
      <c r="S128" s="515"/>
      <c r="T128" s="494"/>
      <c r="U128" s="494"/>
      <c r="V128" s="494"/>
      <c r="W128" s="494"/>
      <c r="X128" s="494"/>
      <c r="Y128" s="494"/>
      <c r="Z128" s="494"/>
      <c r="AA128" s="494"/>
      <c r="AB128" s="494"/>
      <c r="AC128" s="576"/>
      <c r="AD128" s="515"/>
      <c r="AE128" s="552"/>
      <c r="AF128" s="552"/>
      <c r="AG128" s="552"/>
      <c r="AH128" s="583"/>
      <c r="AI128" s="583"/>
      <c r="AJ128" s="552"/>
      <c r="AK128" s="552"/>
      <c r="AL128" s="552"/>
      <c r="AM128" s="552"/>
      <c r="AN128" s="552"/>
      <c r="AO128" s="552"/>
      <c r="AP128" s="552"/>
      <c r="AQ128" s="552"/>
      <c r="AR128" s="583"/>
      <c r="AS128" s="552"/>
      <c r="AT128" s="552"/>
      <c r="AU128" s="552"/>
      <c r="AV128" s="583"/>
      <c r="AW128" s="591"/>
      <c r="AX128" s="515"/>
      <c r="AY128" s="546"/>
      <c r="AZ128" s="546"/>
      <c r="BA128" s="598"/>
      <c r="BB128" s="546"/>
      <c r="BC128" s="546"/>
      <c r="BD128" s="546"/>
      <c r="BE128" s="598"/>
      <c r="BF128" s="605"/>
      <c r="BG128" s="515"/>
      <c r="BH128" s="515"/>
      <c r="BI128" s="515"/>
      <c r="BK128" s="698"/>
      <c r="BL128" s="698">
        <f t="shared" si="43"/>
        <v>0</v>
      </c>
      <c r="BM128" s="698"/>
      <c r="BN128" s="698"/>
      <c r="BO128" s="706"/>
      <c r="BP128" s="698"/>
      <c r="BQ128" s="698">
        <f t="shared" si="44"/>
        <v>0</v>
      </c>
      <c r="BR128" s="698"/>
      <c r="BS128" s="699"/>
      <c r="BT128" s="706"/>
      <c r="BU128" s="698"/>
      <c r="BV128" s="698">
        <f t="shared" si="45"/>
        <v>0</v>
      </c>
      <c r="BW128" s="698"/>
      <c r="BX128" s="699"/>
      <c r="BY128" s="706"/>
      <c r="BZ128" s="706"/>
      <c r="CA128" s="702"/>
    </row>
    <row r="129" spans="2:79" ht="15.75">
      <c r="B129" s="3"/>
      <c r="C129" s="642"/>
      <c r="D129" s="643" t="s">
        <v>771</v>
      </c>
      <c r="E129" s="644"/>
      <c r="F129" s="645"/>
      <c r="G129" s="646"/>
      <c r="H129" s="646"/>
      <c r="I129" s="647">
        <f>I$115</f>
        <v>0</v>
      </c>
      <c r="J129" s="647">
        <f t="shared" ref="J129:BF129" si="93">J$115</f>
        <v>0</v>
      </c>
      <c r="K129" s="647">
        <f t="shared" si="93"/>
        <v>0</v>
      </c>
      <c r="L129" s="648">
        <f t="shared" si="93"/>
        <v>0</v>
      </c>
      <c r="M129" s="649">
        <f t="shared" si="93"/>
        <v>0</v>
      </c>
      <c r="N129" s="648">
        <f t="shared" si="93"/>
        <v>0</v>
      </c>
      <c r="O129" s="648">
        <f t="shared" si="93"/>
        <v>0</v>
      </c>
      <c r="P129" s="647">
        <f t="shared" si="93"/>
        <v>0</v>
      </c>
      <c r="Q129" s="647">
        <f t="shared" si="93"/>
        <v>0</v>
      </c>
      <c r="R129" s="650">
        <f t="shared" si="93"/>
        <v>0</v>
      </c>
      <c r="S129" s="651"/>
      <c r="T129" s="652">
        <f t="shared" si="93"/>
        <v>344.45990824777186</v>
      </c>
      <c r="U129" s="652">
        <f>U$115</f>
        <v>-375.49909520017383</v>
      </c>
      <c r="V129" s="652">
        <f>V$115</f>
        <v>475.13368753227502</v>
      </c>
      <c r="W129" s="652">
        <f>W$115</f>
        <v>954.99766145344154</v>
      </c>
      <c r="X129" s="652">
        <f>X$115</f>
        <v>1025.6026794986271</v>
      </c>
      <c r="Y129" s="652">
        <f>Y$115</f>
        <v>0</v>
      </c>
      <c r="Z129" s="652">
        <f t="shared" si="93"/>
        <v>-0.78625916423913134</v>
      </c>
      <c r="AA129" s="652">
        <f t="shared" si="93"/>
        <v>0</v>
      </c>
      <c r="AB129" s="652">
        <f t="shared" si="93"/>
        <v>0</v>
      </c>
      <c r="AC129" s="653">
        <f t="shared" si="93"/>
        <v>2423.9085823677028</v>
      </c>
      <c r="AD129" s="651"/>
      <c r="AE129" s="654">
        <f t="shared" si="93"/>
        <v>-475.13368753227502</v>
      </c>
      <c r="AF129" s="654">
        <f t="shared" si="93"/>
        <v>-1067.2164050197666</v>
      </c>
      <c r="AG129" s="654">
        <f t="shared" si="93"/>
        <v>-1045.8878863613475</v>
      </c>
      <c r="AH129" s="655">
        <f t="shared" si="93"/>
        <v>-2588.2379789133893</v>
      </c>
      <c r="AI129" s="655">
        <f t="shared" si="93"/>
        <v>0</v>
      </c>
      <c r="AJ129" s="654">
        <f t="shared" si="93"/>
        <v>0</v>
      </c>
      <c r="AK129" s="654">
        <f t="shared" si="93"/>
        <v>0</v>
      </c>
      <c r="AL129" s="654">
        <f t="shared" si="93"/>
        <v>0</v>
      </c>
      <c r="AM129" s="654">
        <f t="shared" si="93"/>
        <v>0</v>
      </c>
      <c r="AN129" s="654">
        <f t="shared" si="93"/>
        <v>0</v>
      </c>
      <c r="AO129" s="654">
        <f t="shared" si="93"/>
        <v>0</v>
      </c>
      <c r="AP129" s="654">
        <f t="shared" si="93"/>
        <v>0</v>
      </c>
      <c r="AQ129" s="654">
        <f t="shared" si="93"/>
        <v>0</v>
      </c>
      <c r="AR129" s="655">
        <f t="shared" si="93"/>
        <v>0</v>
      </c>
      <c r="AS129" s="654">
        <f t="shared" si="93"/>
        <v>0</v>
      </c>
      <c r="AT129" s="654">
        <f t="shared" si="93"/>
        <v>0</v>
      </c>
      <c r="AU129" s="654">
        <f t="shared" si="93"/>
        <v>0</v>
      </c>
      <c r="AV129" s="655">
        <f t="shared" si="93"/>
        <v>0</v>
      </c>
      <c r="AW129" s="656">
        <f t="shared" si="93"/>
        <v>-2588.2379789133893</v>
      </c>
      <c r="AX129" s="651"/>
      <c r="AY129" s="657">
        <f t="shared" si="93"/>
        <v>-2.0291879444048226</v>
      </c>
      <c r="AZ129" s="657">
        <f t="shared" si="93"/>
        <v>110.9920548437758</v>
      </c>
      <c r="BA129" s="658">
        <f t="shared" si="93"/>
        <v>108.96286689937098</v>
      </c>
      <c r="BB129" s="657">
        <f t="shared" si="93"/>
        <v>0</v>
      </c>
      <c r="BC129" s="657">
        <f t="shared" si="93"/>
        <v>-5.2145242500000002</v>
      </c>
      <c r="BD129" s="657">
        <f t="shared" si="93"/>
        <v>60.581053896315709</v>
      </c>
      <c r="BE129" s="658">
        <f t="shared" si="93"/>
        <v>55.366529646315712</v>
      </c>
      <c r="BF129" s="659">
        <f t="shared" si="93"/>
        <v>164.32939654568668</v>
      </c>
      <c r="BG129" s="651"/>
      <c r="BH129" s="651">
        <f>R129+AC129+AW129+BF129</f>
        <v>2.2737367544323206E-13</v>
      </c>
      <c r="BI129" s="518"/>
      <c r="BJ129" s="643" t="str">
        <f>$D129</f>
        <v>Total Dist'n, storage, conv'n, and balancing</v>
      </c>
      <c r="BK129" s="726">
        <f>-($AE129+$V129)*EF.IndustrialCoal.CO2</f>
        <v>0</v>
      </c>
      <c r="BL129" s="726">
        <f t="shared" si="43"/>
        <v>12.909422417502345</v>
      </c>
      <c r="BM129" s="726">
        <f>-($AG129+$X129)*EF.NaturalGas.CO2</f>
        <v>3.7324780627405372</v>
      </c>
      <c r="BN129" s="726">
        <f>-$Y129*EF.BlastFurnaceGas.CO2</f>
        <v>0</v>
      </c>
      <c r="BO129" s="713">
        <f t="shared" si="54"/>
        <v>16.641900480242882</v>
      </c>
      <c r="BP129" s="726">
        <f>-($AE129+$V129)*EF.IndustrialCoal.CH4</f>
        <v>0</v>
      </c>
      <c r="BQ129" s="726">
        <f t="shared" si="44"/>
        <v>1.6072179946603007E-2</v>
      </c>
      <c r="BR129" s="726">
        <f>-($AG129+$X129)*EF.NaturalGas.CH4</f>
        <v>7.4816989333986467E-3</v>
      </c>
      <c r="BS129" s="801" t="s">
        <v>651</v>
      </c>
      <c r="BT129" s="713">
        <f t="shared" si="55"/>
        <v>2.3553878880001655E-2</v>
      </c>
      <c r="BU129" s="726">
        <f>-($AE129+$V129)*EF.IndustrialCoal.N2O</f>
        <v>0</v>
      </c>
      <c r="BV129" s="726">
        <f t="shared" si="45"/>
        <v>0.23226696186740817</v>
      </c>
      <c r="BW129" s="726">
        <f>-($AG129+$X129)*EF.NaturalGas.N2O</f>
        <v>8.0469309371275256E-3</v>
      </c>
      <c r="BX129" s="801" t="s">
        <v>651</v>
      </c>
      <c r="BY129" s="713">
        <f t="shared" si="56"/>
        <v>0.24031389280453569</v>
      </c>
      <c r="BZ129" s="713"/>
      <c r="CA129" s="714">
        <f t="shared" si="57"/>
        <v>16.905768251927419</v>
      </c>
    </row>
    <row r="130" spans="2:79">
      <c r="I130" s="534"/>
      <c r="J130" s="534"/>
      <c r="K130" s="534"/>
      <c r="L130" s="540"/>
      <c r="M130" s="562"/>
      <c r="N130" s="540"/>
      <c r="O130" s="540"/>
      <c r="P130" s="534"/>
      <c r="Q130" s="534"/>
      <c r="R130" s="569"/>
      <c r="S130" s="515"/>
      <c r="T130" s="494"/>
      <c r="U130" s="494"/>
      <c r="V130" s="494"/>
      <c r="W130" s="494"/>
      <c r="X130" s="494"/>
      <c r="Y130" s="494"/>
      <c r="Z130" s="494"/>
      <c r="AA130" s="494"/>
      <c r="AB130" s="494"/>
      <c r="AC130" s="576"/>
      <c r="AD130" s="515"/>
      <c r="AE130" s="552"/>
      <c r="AF130" s="552"/>
      <c r="AG130" s="552"/>
      <c r="AH130" s="583"/>
      <c r="AI130" s="583"/>
      <c r="AJ130" s="552"/>
      <c r="AK130" s="552"/>
      <c r="AL130" s="552"/>
      <c r="AM130" s="552"/>
      <c r="AN130" s="552"/>
      <c r="AO130" s="552"/>
      <c r="AP130" s="552"/>
      <c r="AQ130" s="552"/>
      <c r="AR130" s="583"/>
      <c r="AS130" s="552"/>
      <c r="AT130" s="552"/>
      <c r="AU130" s="552"/>
      <c r="AV130" s="583"/>
      <c r="AW130" s="591"/>
      <c r="AX130" s="515"/>
      <c r="AY130" s="546"/>
      <c r="AZ130" s="546"/>
      <c r="BA130" s="598"/>
      <c r="BB130" s="546"/>
      <c r="BC130" s="546"/>
      <c r="BD130" s="546"/>
      <c r="BE130" s="598"/>
      <c r="BF130" s="605"/>
      <c r="BG130" s="515"/>
      <c r="BH130" s="515"/>
      <c r="BI130" s="515"/>
      <c r="BK130" s="698">
        <f>-($AE130+$V130)*EF.IndustrialCoal.CO2</f>
        <v>0</v>
      </c>
      <c r="BL130" s="698">
        <f t="shared" si="43"/>
        <v>0</v>
      </c>
      <c r="BM130" s="698">
        <f>-($AG130+$X130)*EF.NaturalGas.CO2</f>
        <v>0</v>
      </c>
      <c r="BN130" s="698">
        <f>-$Y130*EF.BlastFurnaceGas.CO2</f>
        <v>0</v>
      </c>
      <c r="BO130" s="706"/>
      <c r="BP130" s="698">
        <f>-($AE130+$V130)*EF.IndustrialCoal.CH4</f>
        <v>0</v>
      </c>
      <c r="BQ130" s="698">
        <f t="shared" si="44"/>
        <v>0</v>
      </c>
      <c r="BR130" s="698">
        <f>-($AG130+$X130)*EF.NaturalGas.CH4</f>
        <v>0</v>
      </c>
      <c r="BS130" s="699"/>
      <c r="BT130" s="706"/>
      <c r="BU130" s="698">
        <f>-($AE130+$V130)*EF.IndustrialCoal.N2O</f>
        <v>0</v>
      </c>
      <c r="BV130" s="698">
        <f t="shared" si="45"/>
        <v>0</v>
      </c>
      <c r="BW130" s="698">
        <f>-($AG130+$X130)*EF.NaturalGas.N2O</f>
        <v>0</v>
      </c>
      <c r="BX130" s="699"/>
      <c r="BY130" s="706"/>
      <c r="BZ130" s="706"/>
      <c r="CA130" s="702"/>
    </row>
    <row r="131" spans="2:79">
      <c r="I131" s="534"/>
      <c r="J131" s="534"/>
      <c r="K131" s="534"/>
      <c r="L131" s="540"/>
      <c r="M131" s="562"/>
      <c r="N131" s="540"/>
      <c r="O131" s="540"/>
      <c r="P131" s="534"/>
      <c r="Q131" s="534"/>
      <c r="R131" s="569"/>
      <c r="S131" s="515"/>
      <c r="T131" s="494"/>
      <c r="U131" s="494"/>
      <c r="V131" s="494"/>
      <c r="W131" s="494"/>
      <c r="X131" s="494"/>
      <c r="Y131" s="494"/>
      <c r="Z131" s="494"/>
      <c r="AA131" s="494"/>
      <c r="AB131" s="494"/>
      <c r="AC131" s="576"/>
      <c r="AD131" s="515"/>
      <c r="AE131" s="552"/>
      <c r="AF131" s="552"/>
      <c r="AG131" s="552"/>
      <c r="AH131" s="583"/>
      <c r="AI131" s="583"/>
      <c r="AJ131" s="552"/>
      <c r="AK131" s="552"/>
      <c r="AL131" s="552"/>
      <c r="AM131" s="552"/>
      <c r="AN131" s="552"/>
      <c r="AO131" s="552"/>
      <c r="AP131" s="552"/>
      <c r="AQ131" s="552"/>
      <c r="AR131" s="583"/>
      <c r="AS131" s="552"/>
      <c r="AT131" s="552"/>
      <c r="AU131" s="552"/>
      <c r="AV131" s="583"/>
      <c r="AW131" s="591"/>
      <c r="AX131" s="515"/>
      <c r="AY131" s="546"/>
      <c r="AZ131" s="546"/>
      <c r="BA131" s="598"/>
      <c r="BB131" s="546"/>
      <c r="BC131" s="546"/>
      <c r="BD131" s="546"/>
      <c r="BE131" s="598"/>
      <c r="BF131" s="605"/>
      <c r="BG131" s="515"/>
      <c r="BH131" s="515"/>
      <c r="BI131" s="515"/>
      <c r="BK131" s="698">
        <f>-($AE131+$V131)*EF.IndustrialCoal.CO2</f>
        <v>0</v>
      </c>
      <c r="BL131" s="698">
        <f t="shared" si="43"/>
        <v>0</v>
      </c>
      <c r="BM131" s="698">
        <f>-($AG131+$X131)*EF.NaturalGas.CO2</f>
        <v>0</v>
      </c>
      <c r="BN131" s="698">
        <f>-$Y131*EF.BlastFurnaceGas.CO2</f>
        <v>0</v>
      </c>
      <c r="BO131" s="706"/>
      <c r="BP131" s="698">
        <f>-($AE131+$V131)*EF.IndustrialCoal.CH4</f>
        <v>0</v>
      </c>
      <c r="BQ131" s="698">
        <f t="shared" si="44"/>
        <v>0</v>
      </c>
      <c r="BR131" s="698">
        <f>-($AG131+$X131)*EF.NaturalGas.CH4</f>
        <v>0</v>
      </c>
      <c r="BS131" s="699"/>
      <c r="BT131" s="706"/>
      <c r="BU131" s="698">
        <f>-($AE131+$V131)*EF.IndustrialCoal.N2O</f>
        <v>0</v>
      </c>
      <c r="BV131" s="698">
        <f t="shared" si="45"/>
        <v>0</v>
      </c>
      <c r="BW131" s="698">
        <f>-($AG131+$X131)*EF.NaturalGas.N2O</f>
        <v>0</v>
      </c>
      <c r="BX131" s="699"/>
      <c r="BY131" s="706"/>
      <c r="BZ131" s="706"/>
      <c r="CA131" s="702"/>
    </row>
    <row r="132" spans="2:79" ht="13.5" thickBot="1">
      <c r="I132" s="534"/>
      <c r="J132" s="534"/>
      <c r="K132" s="534"/>
      <c r="L132" s="540"/>
      <c r="M132" s="562"/>
      <c r="N132" s="540"/>
      <c r="O132" s="540"/>
      <c r="P132" s="534"/>
      <c r="Q132" s="534"/>
      <c r="R132" s="569"/>
      <c r="S132" s="515"/>
      <c r="T132" s="494"/>
      <c r="U132" s="494"/>
      <c r="V132" s="494"/>
      <c r="W132" s="494"/>
      <c r="X132" s="494"/>
      <c r="Y132" s="494"/>
      <c r="Z132" s="494"/>
      <c r="AA132" s="494"/>
      <c r="AB132" s="494"/>
      <c r="AC132" s="576"/>
      <c r="AD132" s="515"/>
      <c r="AE132" s="552"/>
      <c r="AF132" s="552"/>
      <c r="AG132" s="552"/>
      <c r="AH132" s="583"/>
      <c r="AI132" s="583"/>
      <c r="AJ132" s="552"/>
      <c r="AK132" s="552"/>
      <c r="AL132" s="552"/>
      <c r="AM132" s="552"/>
      <c r="AN132" s="552"/>
      <c r="AO132" s="552"/>
      <c r="AP132" s="552"/>
      <c r="AQ132" s="552"/>
      <c r="AR132" s="583"/>
      <c r="AS132" s="552"/>
      <c r="AT132" s="552"/>
      <c r="AU132" s="552"/>
      <c r="AV132" s="583"/>
      <c r="AW132" s="591"/>
      <c r="AX132" s="515"/>
      <c r="AY132" s="546"/>
      <c r="AZ132" s="546"/>
      <c r="BA132" s="598"/>
      <c r="BB132" s="546"/>
      <c r="BC132" s="546"/>
      <c r="BD132" s="546"/>
      <c r="BE132" s="598"/>
      <c r="BF132" s="605"/>
      <c r="BG132" s="515"/>
      <c r="BH132" s="515"/>
      <c r="BI132" s="515"/>
      <c r="BK132" s="698">
        <f>-($AE132+$V132)*EF.IndustrialCoal.CO2</f>
        <v>0</v>
      </c>
      <c r="BL132" s="698">
        <f t="shared" si="43"/>
        <v>0</v>
      </c>
      <c r="BM132" s="698">
        <f>-($AG132+$X132)*EF.NaturalGas.CO2</f>
        <v>0</v>
      </c>
      <c r="BN132" s="698">
        <f>-$Y132*EF.BlastFurnaceGas.CO2</f>
        <v>0</v>
      </c>
      <c r="BO132" s="706"/>
      <c r="BP132" s="698">
        <f>-($AE132+$V132)*EF.IndustrialCoal.CH4</f>
        <v>0</v>
      </c>
      <c r="BQ132" s="698">
        <f t="shared" si="44"/>
        <v>0</v>
      </c>
      <c r="BR132" s="698">
        <f>-($AG132+$X132)*EF.NaturalGas.CH4</f>
        <v>0</v>
      </c>
      <c r="BS132" s="699"/>
      <c r="BT132" s="706"/>
      <c r="BU132" s="698">
        <f>-($AE132+$V132)*EF.IndustrialCoal.N2O</f>
        <v>0</v>
      </c>
      <c r="BV132" s="698">
        <f t="shared" si="45"/>
        <v>0</v>
      </c>
      <c r="BW132" s="698">
        <f>-($AG132+$X132)*EF.NaturalGas.N2O</f>
        <v>0</v>
      </c>
      <c r="BX132" s="699"/>
      <c r="BY132" s="706"/>
      <c r="BZ132" s="706"/>
      <c r="CA132" s="702"/>
    </row>
    <row r="133" spans="2:79" ht="24" customHeight="1" thickBot="1">
      <c r="C133" s="608" t="s">
        <v>593</v>
      </c>
      <c r="D133" s="608"/>
      <c r="E133" s="608"/>
      <c r="F133" s="610"/>
      <c r="G133" s="609"/>
      <c r="H133" s="609"/>
      <c r="I133" s="611">
        <f t="shared" ref="I133:R133" si="94">I$72+I$111+I$129</f>
        <v>582.62431955664806</v>
      </c>
      <c r="J133" s="611">
        <f t="shared" si="94"/>
        <v>146.69564603235992</v>
      </c>
      <c r="K133" s="611">
        <f t="shared" si="94"/>
        <v>444.82296266790246</v>
      </c>
      <c r="L133" s="612">
        <f t="shared" si="94"/>
        <v>502.50552967076953</v>
      </c>
      <c r="M133" s="612">
        <f t="shared" si="94"/>
        <v>16.246998166435951</v>
      </c>
      <c r="N133" s="612">
        <f t="shared" si="94"/>
        <v>161.72636929234235</v>
      </c>
      <c r="O133" s="612">
        <f t="shared" si="94"/>
        <v>48.041663833596701</v>
      </c>
      <c r="P133" s="611">
        <f t="shared" si="94"/>
        <v>728.52056096314448</v>
      </c>
      <c r="Q133" s="611">
        <f t="shared" si="94"/>
        <v>59.090632000000006</v>
      </c>
      <c r="R133" s="613">
        <f t="shared" si="94"/>
        <v>1961.7541212200549</v>
      </c>
      <c r="S133" s="614"/>
      <c r="T133" s="615">
        <f t="shared" ref="T133:AC133" si="95">T$72+T$111+T$129</f>
        <v>0.98387671508390895</v>
      </c>
      <c r="U133" s="615">
        <f t="shared" si="95"/>
        <v>0</v>
      </c>
      <c r="V133" s="615">
        <f t="shared" si="95"/>
        <v>0</v>
      </c>
      <c r="W133" s="615">
        <f t="shared" si="95"/>
        <v>91.597658387074375</v>
      </c>
      <c r="X133" s="615">
        <f t="shared" si="95"/>
        <v>0</v>
      </c>
      <c r="Y133" s="615">
        <f t="shared" si="95"/>
        <v>-0.11045622229999985</v>
      </c>
      <c r="Z133" s="615">
        <f t="shared" si="95"/>
        <v>-2.2841330000000659E-2</v>
      </c>
      <c r="AA133" s="615">
        <f t="shared" si="95"/>
        <v>0</v>
      </c>
      <c r="AB133" s="615">
        <f t="shared" si="95"/>
        <v>0</v>
      </c>
      <c r="AC133" s="616">
        <f t="shared" si="95"/>
        <v>92.448237549858732</v>
      </c>
      <c r="AD133" s="614"/>
      <c r="AE133" s="617">
        <f t="shared" ref="AE133:AW133" si="96">AE$72+AE$111+AE$129</f>
        <v>-475.13368753227502</v>
      </c>
      <c r="AF133" s="617">
        <f t="shared" si="96"/>
        <v>-1067.2164050197666</v>
      </c>
      <c r="AG133" s="617">
        <f t="shared" si="96"/>
        <v>-1045.8878863613475</v>
      </c>
      <c r="AH133" s="618">
        <f t="shared" si="96"/>
        <v>-2588.2379789133893</v>
      </c>
      <c r="AI133" s="618">
        <f t="shared" si="96"/>
        <v>-163.24447683045062</v>
      </c>
      <c r="AJ133" s="617">
        <f t="shared" si="96"/>
        <v>-54.536827932256621</v>
      </c>
      <c r="AK133" s="617">
        <f t="shared" si="96"/>
        <v>-5.2738639697825862</v>
      </c>
      <c r="AL133" s="617">
        <f t="shared" si="96"/>
        <v>0</v>
      </c>
      <c r="AM133" s="617">
        <f t="shared" si="96"/>
        <v>0</v>
      </c>
      <c r="AN133" s="617">
        <f t="shared" si="96"/>
        <v>0</v>
      </c>
      <c r="AO133" s="617">
        <f t="shared" si="96"/>
        <v>-5.0883943400000007</v>
      </c>
      <c r="AP133" s="617">
        <f t="shared" si="96"/>
        <v>0</v>
      </c>
      <c r="AQ133" s="617">
        <f t="shared" si="96"/>
        <v>0</v>
      </c>
      <c r="AR133" s="618">
        <f t="shared" si="96"/>
        <v>-64.899086242039203</v>
      </c>
      <c r="AS133" s="617">
        <f t="shared" si="96"/>
        <v>-15.417335659569554</v>
      </c>
      <c r="AT133" s="617">
        <f t="shared" si="96"/>
        <v>0</v>
      </c>
      <c r="AU133" s="617">
        <f t="shared" si="96"/>
        <v>-20.468577340057742</v>
      </c>
      <c r="AV133" s="618">
        <f t="shared" si="96"/>
        <v>-35.885912999627294</v>
      </c>
      <c r="AW133" s="619">
        <f t="shared" si="96"/>
        <v>-2852.2674549855064</v>
      </c>
      <c r="AX133" s="614"/>
      <c r="AY133" s="620">
        <f t="shared" ref="AY133:BF133" si="97">AY$72+AY$111+AY$129</f>
        <v>641.77271700598453</v>
      </c>
      <c r="AZ133" s="620">
        <f t="shared" si="97"/>
        <v>131.19335615765991</v>
      </c>
      <c r="BA133" s="621">
        <f t="shared" si="97"/>
        <v>772.96607316364452</v>
      </c>
      <c r="BB133" s="620">
        <f t="shared" si="97"/>
        <v>-25.869051342938413</v>
      </c>
      <c r="BC133" s="620">
        <f t="shared" si="97"/>
        <v>-9.6129795014287023</v>
      </c>
      <c r="BD133" s="620">
        <f t="shared" si="97"/>
        <v>60.581053896315709</v>
      </c>
      <c r="BE133" s="621">
        <f t="shared" si="97"/>
        <v>25.099023051948599</v>
      </c>
      <c r="BF133" s="622">
        <f t="shared" si="97"/>
        <v>798.06509621559314</v>
      </c>
      <c r="BG133" s="614"/>
      <c r="BH133" s="614">
        <f>R133+AC133+AW133+BF133</f>
        <v>0</v>
      </c>
      <c r="BI133" s="514"/>
      <c r="BJ133" s="608" t="s">
        <v>769</v>
      </c>
      <c r="BK133" s="802">
        <f>-($AE133+$V133)*EF.IndustrialCoal.CO2</f>
        <v>146.34117575994068</v>
      </c>
      <c r="BL133" s="802">
        <f t="shared" si="43"/>
        <v>228.75942318409415</v>
      </c>
      <c r="BM133" s="802">
        <f>-($AG133+$X133)*EF.NaturalGas.CO2</f>
        <v>192.44337109048789</v>
      </c>
      <c r="BN133" s="802">
        <f>-$Y133*EF.BlastFurnaceGas.CO2</f>
        <v>8.6688539495683642E-2</v>
      </c>
      <c r="BO133" s="803">
        <f t="shared" si="54"/>
        <v>567.6306585740183</v>
      </c>
      <c r="BP133" s="802">
        <f>-($AE133+$V133)*EF.IndustrialCoal.CH4</f>
        <v>0.42989749016764545</v>
      </c>
      <c r="BQ133" s="802">
        <f t="shared" si="44"/>
        <v>0.28480457877891741</v>
      </c>
      <c r="BR133" s="802">
        <f>-($AG133+$X133)*EF.NaturalGas.CH4</f>
        <v>0.38574998701269825</v>
      </c>
      <c r="BS133" s="804" t="s">
        <v>651</v>
      </c>
      <c r="BT133" s="803">
        <f t="shared" si="55"/>
        <v>1.100452055959261</v>
      </c>
      <c r="BU133" s="802">
        <f>-($AE133+$V133)*EF.IndustrialCoal.N2O</f>
        <v>1.2963652718322696</v>
      </c>
      <c r="BV133" s="802">
        <f t="shared" si="45"/>
        <v>4.1158507718728954</v>
      </c>
      <c r="BW133" s="802">
        <f>-($AG133+$X133)*EF.NaturalGas.N2O</f>
        <v>0.41489286485883065</v>
      </c>
      <c r="BX133" s="804" t="s">
        <v>651</v>
      </c>
      <c r="BY133" s="803">
        <f t="shared" si="56"/>
        <v>5.8271089085639955</v>
      </c>
      <c r="BZ133" s="803"/>
      <c r="CA133" s="805">
        <f t="shared" si="57"/>
        <v>574.55821953854161</v>
      </c>
    </row>
    <row r="134" spans="2:79">
      <c r="I134" s="515"/>
      <c r="J134" s="515"/>
      <c r="K134" s="515"/>
      <c r="L134" s="515"/>
      <c r="M134" s="519"/>
      <c r="N134" s="515"/>
      <c r="O134" s="515"/>
      <c r="P134" s="515"/>
      <c r="Q134" s="515"/>
      <c r="R134" s="515"/>
      <c r="S134" s="515"/>
      <c r="T134" s="515"/>
      <c r="U134" s="515"/>
      <c r="V134" s="515"/>
      <c r="W134" s="515"/>
      <c r="X134" s="515"/>
      <c r="Y134" s="515"/>
      <c r="Z134" s="515"/>
      <c r="AA134" s="515"/>
      <c r="AB134" s="515"/>
      <c r="AC134" s="515"/>
      <c r="AD134" s="515"/>
      <c r="AE134" s="515"/>
      <c r="AF134" s="515"/>
      <c r="AG134" s="515"/>
      <c r="AH134" s="515"/>
      <c r="AI134" s="515"/>
      <c r="AJ134" s="515"/>
      <c r="AK134" s="515"/>
      <c r="AL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G134" s="515"/>
      <c r="BH134" s="515"/>
      <c r="BI134" s="515"/>
      <c r="BJ134" s="121"/>
      <c r="BK134" s="680"/>
      <c r="BL134" s="680"/>
      <c r="BM134" s="680"/>
      <c r="BN134" s="680"/>
      <c r="BO134" s="680"/>
    </row>
    <row r="135" spans="2:79">
      <c r="I135" s="515"/>
      <c r="J135" s="515"/>
      <c r="K135" s="515"/>
      <c r="L135" s="515"/>
      <c r="M135" s="519"/>
      <c r="N135" s="515"/>
      <c r="O135" s="515"/>
      <c r="P135" s="515"/>
      <c r="Q135" s="515"/>
      <c r="R135" s="515"/>
      <c r="S135" s="515"/>
      <c r="T135" s="515"/>
      <c r="U135" s="515"/>
      <c r="V135" s="515"/>
      <c r="W135" s="515"/>
      <c r="X135" s="515"/>
      <c r="Y135" s="515"/>
      <c r="Z135" s="515"/>
      <c r="AA135" s="515"/>
      <c r="AB135" s="515"/>
      <c r="AC135" s="515"/>
      <c r="AD135" s="515"/>
      <c r="AE135" s="515"/>
      <c r="AF135" s="515"/>
      <c r="AG135" s="515"/>
      <c r="AH135" s="515"/>
      <c r="AI135" s="515"/>
      <c r="AJ135" s="515"/>
      <c r="AK135" s="515"/>
      <c r="AL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G135" s="515"/>
      <c r="BH135" s="515"/>
      <c r="BI135" s="515"/>
    </row>
    <row r="136" spans="2:79">
      <c r="C136" s="829" t="s">
        <v>109</v>
      </c>
      <c r="D136" s="30" t="s">
        <v>124</v>
      </c>
      <c r="I136" s="515"/>
      <c r="J136" s="515"/>
      <c r="K136" s="515"/>
      <c r="L136" s="515"/>
      <c r="M136" s="519"/>
      <c r="N136" s="515"/>
      <c r="O136" s="515"/>
      <c r="P136" s="515"/>
      <c r="Q136" s="515"/>
      <c r="R136" s="515"/>
      <c r="S136" s="515"/>
      <c r="T136" s="515"/>
      <c r="U136" s="515"/>
      <c r="V136" s="515"/>
      <c r="W136" s="515"/>
      <c r="X136" s="515"/>
      <c r="Y136" s="515"/>
      <c r="Z136" s="515"/>
      <c r="AA136" s="515"/>
      <c r="AB136" s="515"/>
      <c r="AC136" s="515"/>
      <c r="AD136" s="515"/>
      <c r="AE136" s="515"/>
      <c r="AF136" s="515"/>
      <c r="AG136" s="515"/>
      <c r="AH136" s="515"/>
      <c r="AI136" s="515"/>
      <c r="AJ136" s="515"/>
      <c r="AK136" s="515"/>
      <c r="AL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row>
    <row r="137" spans="2:79">
      <c r="C137" s="829" t="s">
        <v>439</v>
      </c>
      <c r="D137" s="30" t="s">
        <v>133</v>
      </c>
      <c r="I137" s="515"/>
      <c r="J137" s="515"/>
      <c r="K137" s="515"/>
      <c r="L137" s="515"/>
      <c r="M137" s="519"/>
      <c r="N137" s="515"/>
      <c r="O137" s="515"/>
      <c r="P137" s="515"/>
      <c r="Q137" s="515"/>
      <c r="R137" s="515"/>
      <c r="S137" s="515"/>
      <c r="T137" s="515"/>
      <c r="U137" s="515"/>
      <c r="V137" s="515"/>
      <c r="W137" s="515"/>
      <c r="X137" s="515"/>
      <c r="Y137" s="515"/>
      <c r="Z137" s="515"/>
      <c r="AA137" s="515"/>
      <c r="AB137" s="515"/>
      <c r="AC137" s="515"/>
      <c r="AD137" s="515"/>
      <c r="AE137" s="515"/>
      <c r="AF137" s="515"/>
      <c r="AG137" s="515"/>
      <c r="AH137" s="515"/>
      <c r="AI137" s="515"/>
      <c r="AJ137" s="515"/>
      <c r="AK137" s="515"/>
      <c r="AL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G137" s="515"/>
      <c r="BH137" s="515"/>
      <c r="BI137" s="515"/>
    </row>
    <row r="138" spans="2:79">
      <c r="C138" s="829" t="s">
        <v>117</v>
      </c>
      <c r="D138" s="40" t="s">
        <v>284</v>
      </c>
      <c r="I138" s="515"/>
      <c r="J138" s="515"/>
      <c r="K138" s="515"/>
      <c r="L138" s="515"/>
      <c r="M138" s="519"/>
      <c r="N138" s="515"/>
      <c r="O138" s="515"/>
      <c r="P138" s="515"/>
      <c r="Q138" s="515"/>
      <c r="R138" s="515"/>
      <c r="S138" s="515"/>
      <c r="T138" s="515"/>
      <c r="U138" s="515"/>
      <c r="V138" s="515"/>
      <c r="W138" s="515"/>
      <c r="X138" s="515"/>
      <c r="Y138" s="515"/>
      <c r="Z138" s="515"/>
      <c r="AA138" s="515"/>
      <c r="AB138" s="515"/>
      <c r="AC138" s="515"/>
      <c r="AD138" s="515"/>
      <c r="AE138" s="515"/>
      <c r="AF138" s="515"/>
      <c r="AG138" s="515"/>
      <c r="AH138" s="515"/>
      <c r="AI138" s="515"/>
      <c r="AJ138" s="515"/>
      <c r="AK138" s="515"/>
      <c r="AL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G138" s="515"/>
      <c r="BH138" s="515"/>
      <c r="BI138" s="515"/>
    </row>
    <row r="139" spans="2:79">
      <c r="C139" s="20"/>
      <c r="D139" s="30" t="s">
        <v>124</v>
      </c>
      <c r="I139" s="515"/>
      <c r="J139" s="515"/>
      <c r="K139" s="515"/>
      <c r="L139" s="515"/>
      <c r="M139" s="519"/>
      <c r="N139" s="515"/>
      <c r="O139" s="515"/>
      <c r="P139" s="515"/>
      <c r="Q139" s="515"/>
      <c r="R139" s="515"/>
      <c r="S139" s="515"/>
      <c r="T139" s="515"/>
      <c r="U139" s="515"/>
      <c r="V139" s="515"/>
      <c r="W139" s="515"/>
      <c r="X139" s="515"/>
      <c r="Y139" s="515"/>
      <c r="Z139" s="515"/>
      <c r="AA139" s="515"/>
      <c r="AB139" s="515"/>
      <c r="AC139" s="515"/>
      <c r="AD139" s="515"/>
      <c r="AE139" s="515"/>
      <c r="AF139" s="515"/>
      <c r="AG139" s="515"/>
      <c r="AH139" s="515"/>
      <c r="AI139" s="515"/>
      <c r="AJ139" s="515"/>
      <c r="AK139" s="515"/>
      <c r="AL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G139" s="515"/>
      <c r="BH139" s="515"/>
      <c r="BI139" s="515"/>
    </row>
    <row r="140" spans="2:79">
      <c r="C140" s="20" t="s">
        <v>118</v>
      </c>
      <c r="D140" s="41" t="s">
        <v>441</v>
      </c>
      <c r="I140" s="515"/>
      <c r="J140" s="515"/>
      <c r="K140" s="515"/>
      <c r="L140" s="515"/>
      <c r="M140" s="519"/>
      <c r="N140" s="515"/>
      <c r="O140" s="515"/>
      <c r="P140" s="515"/>
      <c r="Q140" s="515"/>
      <c r="R140" s="515"/>
      <c r="S140" s="515"/>
      <c r="T140" s="515"/>
      <c r="U140" s="515"/>
      <c r="V140" s="515"/>
      <c r="W140" s="515"/>
      <c r="X140" s="515"/>
      <c r="Y140" s="515"/>
      <c r="Z140" s="515"/>
      <c r="AA140" s="515"/>
      <c r="AB140" s="515"/>
      <c r="AC140" s="515"/>
      <c r="AD140" s="515"/>
      <c r="AE140" s="515"/>
      <c r="AF140" s="515"/>
      <c r="AG140" s="515"/>
      <c r="AH140" s="515"/>
      <c r="AI140" s="515"/>
      <c r="AJ140" s="515"/>
      <c r="AK140" s="515"/>
      <c r="AL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G140" s="515"/>
      <c r="BH140" s="515"/>
      <c r="BI140" s="515"/>
    </row>
    <row r="141" spans="2:79">
      <c r="C141" s="20"/>
      <c r="D141" s="41" t="s">
        <v>449</v>
      </c>
      <c r="I141" s="515"/>
      <c r="J141" s="515"/>
      <c r="K141" s="515"/>
      <c r="L141" s="515"/>
      <c r="M141" s="519"/>
      <c r="N141" s="515"/>
      <c r="O141" s="515"/>
      <c r="P141" s="515"/>
      <c r="Q141" s="515"/>
      <c r="R141" s="515"/>
      <c r="S141" s="515"/>
      <c r="T141" s="515"/>
      <c r="U141" s="515"/>
      <c r="V141" s="515"/>
      <c r="W141" s="515"/>
      <c r="X141" s="515"/>
      <c r="Y141" s="515"/>
      <c r="Z141" s="515"/>
      <c r="AA141" s="515"/>
      <c r="AB141" s="515"/>
      <c r="AC141" s="515"/>
      <c r="AD141" s="515"/>
      <c r="AE141" s="515"/>
      <c r="AF141" s="515"/>
      <c r="AG141" s="515"/>
      <c r="AH141" s="515"/>
      <c r="AI141" s="515"/>
      <c r="AJ141" s="515"/>
      <c r="AK141" s="515"/>
      <c r="AL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G141" s="515"/>
      <c r="BH141" s="515"/>
      <c r="BI141" s="515"/>
    </row>
    <row r="142" spans="2:79">
      <c r="C142" s="20" t="s">
        <v>440</v>
      </c>
      <c r="D142" s="41" t="s">
        <v>450</v>
      </c>
      <c r="I142" s="515"/>
      <c r="J142" s="515"/>
      <c r="K142" s="515"/>
      <c r="L142" s="515"/>
      <c r="M142" s="519"/>
      <c r="N142" s="515"/>
      <c r="O142" s="515"/>
      <c r="P142" s="515"/>
      <c r="Q142" s="515"/>
      <c r="R142" s="515"/>
      <c r="S142" s="515"/>
      <c r="T142" s="515"/>
      <c r="U142" s="515"/>
      <c r="V142" s="515"/>
      <c r="W142" s="515"/>
      <c r="X142" s="515"/>
      <c r="Y142" s="515"/>
      <c r="Z142" s="515"/>
      <c r="AA142" s="515"/>
      <c r="AB142" s="515"/>
      <c r="AC142" s="515"/>
      <c r="AD142" s="515"/>
      <c r="AE142" s="515"/>
      <c r="AF142" s="515"/>
      <c r="AG142" s="515"/>
      <c r="AH142" s="515"/>
      <c r="AI142" s="515"/>
      <c r="AJ142" s="515"/>
      <c r="AK142" s="515"/>
      <c r="AL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G142" s="515"/>
      <c r="BH142" s="515"/>
      <c r="BI142" s="515"/>
    </row>
    <row r="143" spans="2:79">
      <c r="C143" s="20" t="s">
        <v>457</v>
      </c>
      <c r="D143" s="41" t="s">
        <v>459</v>
      </c>
      <c r="I143" s="515"/>
      <c r="J143" s="515"/>
      <c r="K143" s="515"/>
      <c r="L143" s="515"/>
      <c r="M143" s="519"/>
      <c r="N143" s="515"/>
      <c r="O143" s="515"/>
      <c r="P143" s="515"/>
      <c r="Q143" s="515"/>
      <c r="R143" s="515"/>
      <c r="S143" s="515"/>
      <c r="T143" s="515"/>
      <c r="U143" s="515"/>
      <c r="V143" s="515"/>
      <c r="W143" s="515"/>
      <c r="X143" s="515"/>
      <c r="Y143" s="515"/>
      <c r="Z143" s="515"/>
      <c r="AA143" s="515"/>
      <c r="AB143" s="515"/>
      <c r="AC143" s="515"/>
      <c r="AD143" s="515"/>
      <c r="AE143" s="515"/>
      <c r="AF143" s="515"/>
      <c r="AG143" s="515"/>
      <c r="AH143" s="515"/>
      <c r="AI143" s="515"/>
      <c r="AJ143" s="515"/>
      <c r="AK143" s="515"/>
      <c r="AL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G143" s="515"/>
      <c r="BH143" s="515"/>
      <c r="BI143" s="515"/>
    </row>
    <row r="144" spans="2:79">
      <c r="C144" s="20"/>
      <c r="D144" s="41" t="s">
        <v>458</v>
      </c>
      <c r="I144" s="515"/>
      <c r="J144" s="515"/>
      <c r="K144" s="515"/>
      <c r="L144" s="515"/>
      <c r="M144" s="519"/>
      <c r="N144" s="515"/>
      <c r="O144" s="515"/>
      <c r="P144" s="515"/>
      <c r="Q144" s="515"/>
      <c r="R144" s="515"/>
      <c r="S144" s="515"/>
      <c r="T144" s="515"/>
      <c r="U144" s="515"/>
      <c r="V144" s="515"/>
      <c r="W144" s="515"/>
      <c r="X144" s="515"/>
      <c r="Y144" s="515"/>
      <c r="Z144" s="515"/>
      <c r="AA144" s="515"/>
      <c r="AB144" s="515"/>
      <c r="AC144" s="515"/>
      <c r="AD144" s="515"/>
      <c r="AE144" s="515"/>
      <c r="AF144" s="515"/>
      <c r="AG144" s="515"/>
      <c r="AH144" s="515"/>
      <c r="AI144" s="515"/>
      <c r="AJ144" s="515"/>
      <c r="AK144" s="515"/>
      <c r="AL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G144" s="515"/>
      <c r="BH144" s="515"/>
      <c r="BI144" s="515"/>
    </row>
    <row r="145" spans="3:61">
      <c r="C145" s="20"/>
      <c r="D145" s="41" t="s">
        <v>620</v>
      </c>
      <c r="I145" s="515"/>
      <c r="J145" s="515"/>
      <c r="K145" s="515"/>
      <c r="L145" s="515"/>
      <c r="M145" s="519"/>
      <c r="N145" s="515"/>
      <c r="O145" s="515"/>
      <c r="P145" s="515"/>
      <c r="Q145" s="515"/>
      <c r="R145" s="515"/>
      <c r="S145" s="515"/>
      <c r="T145" s="515"/>
      <c r="U145" s="515"/>
      <c r="V145" s="515"/>
      <c r="W145" s="515"/>
      <c r="X145" s="515"/>
      <c r="Y145" s="515"/>
      <c r="Z145" s="515"/>
      <c r="AA145" s="515"/>
      <c r="AB145" s="515"/>
      <c r="AC145" s="515"/>
      <c r="AD145" s="515"/>
      <c r="AE145" s="515"/>
      <c r="AF145" s="515"/>
      <c r="AG145" s="515"/>
      <c r="AH145" s="515"/>
      <c r="AI145" s="515"/>
      <c r="AJ145" s="515"/>
      <c r="AK145" s="515"/>
      <c r="AL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G145" s="515"/>
      <c r="BH145" s="515"/>
      <c r="BI145" s="515"/>
    </row>
    <row r="146" spans="3:61">
      <c r="C146" s="20" t="s">
        <v>454</v>
      </c>
      <c r="D146" s="41" t="s">
        <v>450</v>
      </c>
      <c r="I146" s="515"/>
      <c r="J146" s="515"/>
      <c r="K146" s="515"/>
      <c r="L146" s="515"/>
      <c r="M146" s="519"/>
      <c r="N146" s="515"/>
      <c r="O146" s="515"/>
      <c r="P146" s="515"/>
      <c r="Q146" s="515"/>
      <c r="R146" s="515"/>
      <c r="S146" s="515"/>
      <c r="T146" s="515"/>
      <c r="U146" s="515"/>
      <c r="V146" s="515"/>
      <c r="W146" s="515"/>
      <c r="X146" s="515"/>
      <c r="Y146" s="515"/>
      <c r="Z146" s="515"/>
      <c r="AA146" s="515"/>
      <c r="AB146" s="515"/>
      <c r="AC146" s="515"/>
      <c r="AD146" s="515"/>
      <c r="AE146" s="515"/>
      <c r="AF146" s="515"/>
      <c r="AG146" s="515"/>
      <c r="AH146" s="515"/>
      <c r="AI146" s="515"/>
      <c r="AJ146" s="515"/>
      <c r="AK146" s="515"/>
      <c r="AL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G146" s="515"/>
      <c r="BH146" s="515"/>
      <c r="BI146" s="515"/>
    </row>
    <row r="147" spans="3:61">
      <c r="C147" s="20"/>
      <c r="D147" s="41" t="s">
        <v>455</v>
      </c>
      <c r="I147" s="515"/>
      <c r="J147" s="515"/>
      <c r="K147" s="515"/>
      <c r="L147" s="515"/>
      <c r="M147" s="519"/>
      <c r="N147" s="515"/>
      <c r="O147" s="515"/>
      <c r="P147" s="515"/>
      <c r="Q147" s="515"/>
      <c r="R147" s="515"/>
      <c r="S147" s="515"/>
      <c r="T147" s="515"/>
      <c r="U147" s="515"/>
      <c r="V147" s="515"/>
      <c r="W147" s="515"/>
      <c r="X147" s="515"/>
      <c r="Y147" s="515"/>
      <c r="Z147" s="515"/>
      <c r="AA147" s="515"/>
      <c r="AB147" s="515"/>
      <c r="AC147" s="515"/>
      <c r="AD147" s="515"/>
      <c r="AE147" s="515"/>
      <c r="AF147" s="515"/>
      <c r="AG147" s="515"/>
      <c r="AH147" s="515"/>
      <c r="AI147" s="515"/>
      <c r="AJ147" s="515"/>
      <c r="AK147" s="515"/>
      <c r="AL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G147" s="515"/>
      <c r="BH147" s="515"/>
      <c r="BI147" s="515"/>
    </row>
    <row r="148" spans="3:61">
      <c r="C148" s="20" t="s">
        <v>462</v>
      </c>
      <c r="D148" s="41" t="s">
        <v>463</v>
      </c>
      <c r="I148" s="515"/>
      <c r="J148" s="515"/>
      <c r="K148" s="515"/>
      <c r="L148" s="515"/>
      <c r="M148" s="519"/>
      <c r="N148" s="515"/>
      <c r="O148" s="515"/>
      <c r="P148" s="515"/>
      <c r="Q148" s="515"/>
      <c r="R148" s="515"/>
      <c r="S148" s="515"/>
      <c r="T148" s="515"/>
      <c r="U148" s="515"/>
      <c r="V148" s="515"/>
      <c r="W148" s="515"/>
      <c r="X148" s="515"/>
      <c r="Y148" s="515"/>
      <c r="Z148" s="515"/>
      <c r="AA148" s="515"/>
      <c r="AB148" s="515"/>
      <c r="AC148" s="515"/>
      <c r="AD148" s="515"/>
      <c r="AE148" s="515"/>
      <c r="AF148" s="515"/>
      <c r="AG148" s="515"/>
      <c r="AH148" s="515"/>
      <c r="AI148" s="515"/>
      <c r="AJ148" s="515"/>
      <c r="AK148" s="515"/>
      <c r="AL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G148" s="515"/>
      <c r="BH148" s="515"/>
      <c r="BI148" s="515"/>
    </row>
    <row r="149" spans="3:61">
      <c r="C149" s="20" t="s">
        <v>464</v>
      </c>
      <c r="D149" s="41" t="s">
        <v>465</v>
      </c>
      <c r="I149" s="515"/>
      <c r="J149" s="515"/>
      <c r="K149" s="515"/>
      <c r="L149" s="515"/>
      <c r="M149" s="519"/>
      <c r="N149" s="515"/>
      <c r="O149" s="515"/>
      <c r="P149" s="515"/>
      <c r="Q149" s="515"/>
      <c r="R149" s="515"/>
      <c r="S149" s="515"/>
      <c r="T149" s="515"/>
      <c r="U149" s="515"/>
      <c r="V149" s="515"/>
      <c r="W149" s="515"/>
      <c r="X149" s="515"/>
      <c r="Y149" s="515"/>
      <c r="Z149" s="515"/>
      <c r="AA149" s="515"/>
      <c r="AB149" s="515"/>
      <c r="AC149" s="515"/>
      <c r="AD149" s="515"/>
      <c r="AE149" s="515"/>
      <c r="AF149" s="515"/>
      <c r="AG149" s="515"/>
      <c r="AH149" s="515"/>
      <c r="AI149" s="515"/>
      <c r="AJ149" s="515"/>
      <c r="AK149" s="515"/>
      <c r="AL149" s="515"/>
      <c r="AM149" s="515"/>
      <c r="AN149" s="515"/>
      <c r="AO149" s="515"/>
      <c r="AP149" s="515"/>
      <c r="AQ149" s="515"/>
      <c r="AR149" s="515"/>
      <c r="AS149" s="515"/>
      <c r="AT149" s="515"/>
      <c r="AU149" s="515"/>
      <c r="AV149" s="515"/>
      <c r="AW149" s="515"/>
      <c r="AX149" s="515"/>
      <c r="AY149" s="515"/>
      <c r="AZ149" s="515"/>
      <c r="BA149" s="515"/>
      <c r="BB149" s="515"/>
      <c r="BC149" s="515"/>
      <c r="BD149" s="515"/>
      <c r="BE149" s="515"/>
      <c r="BF149" s="515"/>
      <c r="BG149" s="515"/>
      <c r="BH149" s="515"/>
      <c r="BI149" s="515"/>
    </row>
    <row r="150" spans="3:61">
      <c r="C150" s="20"/>
      <c r="D150" s="121"/>
      <c r="E150" s="121" t="s">
        <v>466</v>
      </c>
      <c r="I150" s="515"/>
      <c r="J150" s="515"/>
      <c r="K150" s="515"/>
      <c r="L150" s="515"/>
      <c r="M150" s="519"/>
      <c r="N150" s="515"/>
      <c r="O150" s="515"/>
      <c r="P150" s="515"/>
      <c r="Q150" s="515"/>
      <c r="R150" s="515"/>
      <c r="S150" s="515"/>
      <c r="T150" s="515"/>
      <c r="U150" s="515"/>
      <c r="V150" s="515"/>
      <c r="W150" s="515"/>
      <c r="X150" s="515"/>
      <c r="Y150" s="515"/>
      <c r="Z150" s="515"/>
      <c r="AA150" s="515"/>
      <c r="AB150" s="515"/>
      <c r="AC150" s="515"/>
      <c r="AD150" s="515"/>
      <c r="AE150" s="515"/>
      <c r="AF150" s="515"/>
      <c r="AG150" s="515"/>
      <c r="AH150" s="515"/>
      <c r="AI150" s="515"/>
      <c r="AJ150" s="515"/>
      <c r="AK150" s="515"/>
      <c r="AL150" s="515"/>
      <c r="AM150" s="515"/>
      <c r="AN150" s="515"/>
      <c r="AO150" s="515"/>
      <c r="AP150" s="515"/>
      <c r="AQ150" s="515"/>
      <c r="AR150" s="515"/>
      <c r="AS150" s="515"/>
      <c r="AT150" s="515"/>
      <c r="AU150" s="515"/>
      <c r="AV150" s="515"/>
      <c r="AW150" s="515"/>
      <c r="AX150" s="515"/>
      <c r="AY150" s="515"/>
      <c r="AZ150" s="515"/>
      <c r="BA150" s="515"/>
      <c r="BB150" s="515"/>
      <c r="BC150" s="515"/>
      <c r="BD150" s="515"/>
      <c r="BE150" s="515"/>
      <c r="BF150" s="515"/>
      <c r="BG150" s="515"/>
      <c r="BH150" s="515"/>
      <c r="BI150" s="515"/>
    </row>
    <row r="151" spans="3:61">
      <c r="C151" s="20"/>
      <c r="D151" s="121"/>
      <c r="E151" s="121" t="s">
        <v>467</v>
      </c>
      <c r="I151" s="515"/>
      <c r="J151" s="515"/>
      <c r="K151" s="515"/>
      <c r="L151" s="515"/>
      <c r="M151" s="519"/>
      <c r="N151" s="515"/>
      <c r="O151" s="515"/>
      <c r="P151" s="515"/>
      <c r="Q151" s="515"/>
      <c r="R151" s="515"/>
      <c r="S151" s="515"/>
      <c r="T151" s="515"/>
      <c r="U151" s="515"/>
      <c r="V151" s="515"/>
      <c r="W151" s="515"/>
      <c r="X151" s="515"/>
      <c r="Y151" s="515"/>
      <c r="Z151" s="515"/>
      <c r="AA151" s="515"/>
      <c r="AB151" s="515"/>
      <c r="AC151" s="515"/>
      <c r="AD151" s="515"/>
      <c r="AE151" s="515"/>
      <c r="AF151" s="515"/>
      <c r="AG151" s="515"/>
      <c r="AH151" s="515"/>
      <c r="AI151" s="515"/>
      <c r="AJ151" s="515"/>
      <c r="AK151" s="515"/>
      <c r="AL151" s="515"/>
      <c r="AM151" s="515"/>
      <c r="AN151" s="515"/>
      <c r="AO151" s="515"/>
      <c r="AP151" s="515"/>
      <c r="AQ151" s="515"/>
      <c r="AR151" s="515"/>
      <c r="AS151" s="515"/>
      <c r="AT151" s="515"/>
      <c r="AU151" s="515"/>
      <c r="AV151" s="515"/>
      <c r="AW151" s="515"/>
      <c r="AX151" s="515"/>
      <c r="AY151" s="515"/>
      <c r="AZ151" s="515"/>
      <c r="BA151" s="515"/>
      <c r="BB151" s="515"/>
      <c r="BC151" s="515"/>
      <c r="BD151" s="515"/>
      <c r="BE151" s="515"/>
      <c r="BF151" s="515"/>
      <c r="BG151" s="515"/>
      <c r="BH151" s="515"/>
      <c r="BI151" s="515"/>
    </row>
    <row r="152" spans="3:61">
      <c r="C152" s="20"/>
      <c r="D152" s="121"/>
      <c r="E152" s="121" t="s">
        <v>468</v>
      </c>
      <c r="I152" s="515"/>
      <c r="J152" s="515"/>
      <c r="K152" s="515"/>
      <c r="L152" s="515"/>
      <c r="M152" s="519"/>
      <c r="N152" s="515"/>
      <c r="O152" s="515"/>
      <c r="P152" s="515"/>
      <c r="Q152" s="515"/>
      <c r="R152" s="515"/>
      <c r="S152" s="515"/>
      <c r="T152" s="515"/>
      <c r="U152" s="515"/>
      <c r="V152" s="515"/>
      <c r="W152" s="515"/>
      <c r="X152" s="515"/>
      <c r="Y152" s="515"/>
      <c r="Z152" s="515"/>
      <c r="AA152" s="515"/>
      <c r="AB152" s="515"/>
      <c r="AC152" s="515"/>
      <c r="AD152" s="515"/>
      <c r="AE152" s="515"/>
      <c r="AF152" s="515"/>
      <c r="AG152" s="515"/>
      <c r="AH152" s="515"/>
      <c r="AI152" s="515"/>
      <c r="AJ152" s="515"/>
      <c r="AK152" s="515"/>
      <c r="AL152" s="515"/>
      <c r="AM152" s="515"/>
      <c r="AN152" s="515"/>
      <c r="AO152" s="515"/>
      <c r="AP152" s="515"/>
      <c r="AQ152" s="515"/>
      <c r="AR152" s="515"/>
      <c r="AS152" s="515"/>
      <c r="AT152" s="515"/>
      <c r="AU152" s="515"/>
      <c r="AV152" s="515"/>
      <c r="AW152" s="515"/>
      <c r="AX152" s="515"/>
      <c r="AY152" s="515"/>
      <c r="AZ152" s="515"/>
      <c r="BA152" s="515"/>
      <c r="BB152" s="515"/>
      <c r="BC152" s="515"/>
      <c r="BD152" s="515"/>
      <c r="BE152" s="515"/>
      <c r="BF152" s="515"/>
      <c r="BG152" s="515"/>
      <c r="BH152" s="515"/>
      <c r="BI152" s="515"/>
    </row>
    <row r="153" spans="3:61">
      <c r="C153" s="20"/>
      <c r="D153" s="121" t="s">
        <v>469</v>
      </c>
      <c r="I153" s="515"/>
      <c r="J153" s="515"/>
      <c r="K153" s="515"/>
      <c r="L153" s="515"/>
      <c r="M153" s="519"/>
      <c r="N153" s="515"/>
      <c r="O153" s="515"/>
      <c r="P153" s="515"/>
      <c r="Q153" s="515"/>
      <c r="R153" s="515"/>
      <c r="S153" s="515"/>
      <c r="T153" s="515"/>
      <c r="U153" s="515"/>
      <c r="V153" s="515"/>
      <c r="W153" s="515"/>
      <c r="X153" s="515"/>
      <c r="Y153" s="515"/>
      <c r="Z153" s="515"/>
      <c r="AA153" s="515"/>
      <c r="AB153" s="515"/>
      <c r="AC153" s="515"/>
      <c r="AD153" s="515"/>
      <c r="AE153" s="515"/>
      <c r="AF153" s="515"/>
      <c r="AG153" s="515"/>
      <c r="AH153" s="515"/>
      <c r="AI153" s="515"/>
      <c r="AJ153" s="515"/>
      <c r="AK153" s="515"/>
      <c r="AL153" s="515"/>
      <c r="AM153" s="515"/>
      <c r="AN153" s="515"/>
      <c r="AO153" s="515"/>
      <c r="AP153" s="515"/>
      <c r="AQ153" s="515"/>
      <c r="AR153" s="515"/>
      <c r="AS153" s="515"/>
      <c r="AT153" s="515"/>
      <c r="AU153" s="515"/>
      <c r="AV153" s="515"/>
      <c r="AW153" s="515"/>
      <c r="AX153" s="515"/>
      <c r="AY153" s="515"/>
      <c r="AZ153" s="515"/>
      <c r="BA153" s="515"/>
      <c r="BB153" s="515"/>
      <c r="BC153" s="515"/>
      <c r="BD153" s="515"/>
      <c r="BE153" s="515"/>
      <c r="BF153" s="515"/>
      <c r="BG153" s="515"/>
      <c r="BH153" s="515"/>
      <c r="BI153" s="515"/>
    </row>
    <row r="154" spans="3:61">
      <c r="C154" s="20" t="s">
        <v>473</v>
      </c>
      <c r="D154" s="121" t="s">
        <v>759</v>
      </c>
      <c r="I154" s="515"/>
      <c r="J154" s="515"/>
      <c r="K154" s="515"/>
      <c r="L154" s="515"/>
      <c r="M154" s="519"/>
      <c r="N154" s="515"/>
      <c r="O154" s="515"/>
      <c r="P154" s="515"/>
      <c r="Q154" s="515"/>
      <c r="R154" s="515"/>
      <c r="S154" s="515"/>
      <c r="T154" s="515"/>
      <c r="U154" s="515"/>
      <c r="V154" s="515"/>
      <c r="W154" s="515"/>
      <c r="X154" s="515"/>
      <c r="Y154" s="515"/>
      <c r="Z154" s="515"/>
      <c r="AA154" s="515"/>
      <c r="AB154" s="515"/>
      <c r="AC154" s="515"/>
      <c r="AD154" s="515"/>
      <c r="AE154" s="515"/>
      <c r="AF154" s="515"/>
      <c r="AG154" s="515"/>
      <c r="AH154" s="515"/>
      <c r="AI154" s="515"/>
      <c r="AJ154" s="515"/>
      <c r="AK154" s="515"/>
      <c r="AL154" s="515"/>
      <c r="AM154" s="515"/>
      <c r="AN154" s="515"/>
      <c r="AO154" s="515"/>
      <c r="AP154" s="515"/>
      <c r="AQ154" s="515"/>
      <c r="AR154" s="515"/>
      <c r="AS154" s="515"/>
      <c r="AT154" s="515"/>
      <c r="AU154" s="515"/>
      <c r="AV154" s="515"/>
      <c r="AW154" s="515"/>
      <c r="AX154" s="515"/>
      <c r="AY154" s="515"/>
      <c r="AZ154" s="515"/>
      <c r="BA154" s="515"/>
      <c r="BB154" s="515"/>
      <c r="BC154" s="515"/>
      <c r="BD154" s="515"/>
      <c r="BE154" s="515"/>
      <c r="BF154" s="515"/>
      <c r="BG154" s="515"/>
      <c r="BH154" s="515"/>
      <c r="BI154" s="515"/>
    </row>
    <row r="155" spans="3:61">
      <c r="C155" s="20"/>
      <c r="D155" s="121" t="s">
        <v>474</v>
      </c>
      <c r="I155" s="515"/>
      <c r="J155" s="515"/>
      <c r="K155" s="515"/>
      <c r="L155" s="515"/>
      <c r="M155" s="519"/>
      <c r="N155" s="515"/>
      <c r="O155" s="515"/>
      <c r="P155" s="515"/>
      <c r="Q155" s="515"/>
      <c r="R155" s="515"/>
      <c r="S155" s="515"/>
      <c r="T155" s="515"/>
      <c r="U155" s="515"/>
      <c r="V155" s="515"/>
      <c r="W155" s="515"/>
      <c r="X155" s="515"/>
      <c r="Y155" s="515"/>
      <c r="Z155" s="515"/>
      <c r="AA155" s="515"/>
      <c r="AB155" s="515"/>
      <c r="AC155" s="515"/>
      <c r="AD155" s="515"/>
      <c r="AE155" s="515"/>
      <c r="AF155" s="515"/>
      <c r="AG155" s="515"/>
      <c r="AH155" s="515"/>
      <c r="AI155" s="515"/>
      <c r="AJ155" s="515"/>
      <c r="AK155" s="515"/>
      <c r="AL155" s="515"/>
      <c r="AM155" s="515"/>
      <c r="AN155" s="515"/>
      <c r="AO155" s="515"/>
      <c r="AP155" s="515"/>
      <c r="AQ155" s="515"/>
      <c r="AR155" s="515"/>
      <c r="AS155" s="515"/>
      <c r="AT155" s="515"/>
      <c r="AU155" s="515"/>
      <c r="AV155" s="515"/>
      <c r="AW155" s="515"/>
      <c r="AX155" s="515"/>
      <c r="AY155" s="515"/>
      <c r="AZ155" s="515"/>
      <c r="BA155" s="515"/>
      <c r="BB155" s="515"/>
      <c r="BC155" s="515"/>
      <c r="BD155" s="515"/>
      <c r="BE155" s="515"/>
      <c r="BF155" s="515"/>
      <c r="BG155" s="515"/>
      <c r="BH155" s="515"/>
      <c r="BI155" s="515"/>
    </row>
    <row r="156" spans="3:61">
      <c r="C156" s="20" t="s">
        <v>482</v>
      </c>
      <c r="D156" s="121" t="s">
        <v>483</v>
      </c>
    </row>
    <row r="157" spans="3:61">
      <c r="C157" s="20" t="s">
        <v>486</v>
      </c>
      <c r="D157" s="121" t="s">
        <v>585</v>
      </c>
    </row>
    <row r="158" spans="3:61">
      <c r="C158" s="20"/>
      <c r="D158" s="121" t="s">
        <v>583</v>
      </c>
    </row>
    <row r="159" spans="3:61">
      <c r="C159" s="20" t="s">
        <v>582</v>
      </c>
      <c r="D159" s="121" t="s">
        <v>584</v>
      </c>
    </row>
    <row r="160" spans="3:61">
      <c r="C160" s="20"/>
      <c r="D160" s="121" t="s">
        <v>603</v>
      </c>
    </row>
    <row r="161" spans="3:4">
      <c r="C161" s="20" t="s">
        <v>594</v>
      </c>
      <c r="D161" s="121" t="s">
        <v>595</v>
      </c>
    </row>
    <row r="162" spans="3:4">
      <c r="C162" s="20"/>
      <c r="D162" s="121" t="s">
        <v>596</v>
      </c>
    </row>
    <row r="163" spans="3:4">
      <c r="C163" s="20" t="s">
        <v>598</v>
      </c>
      <c r="D163" s="121" t="s">
        <v>667</v>
      </c>
    </row>
    <row r="164" spans="3:4">
      <c r="C164" s="20" t="s">
        <v>601</v>
      </c>
      <c r="D164" s="121" t="s">
        <v>602</v>
      </c>
    </row>
    <row r="165" spans="3:4">
      <c r="C165" s="20"/>
      <c r="D165" s="121" t="s">
        <v>604</v>
      </c>
    </row>
    <row r="166" spans="3:4">
      <c r="C166" s="121" t="s">
        <v>610</v>
      </c>
      <c r="D166" s="121" t="s">
        <v>611</v>
      </c>
    </row>
    <row r="167" spans="3:4">
      <c r="C167" s="520" t="s">
        <v>812</v>
      </c>
      <c r="D167" s="38" t="s">
        <v>813</v>
      </c>
    </row>
  </sheetData>
  <sheetProtection formatCells="0" formatColumns="0" formatRows="0" insertColumns="0" insertRows="0" insertHyperlinks="0" deleteColumns="0" deleteRows="0" sort="0" autoFilter="0" pivotTables="0"/>
  <mergeCells count="9">
    <mergeCell ref="BK3:BO3"/>
    <mergeCell ref="BP3:BT3"/>
    <mergeCell ref="BU3:BY3"/>
    <mergeCell ref="BJ2:CA2"/>
    <mergeCell ref="AY3:BF3"/>
    <mergeCell ref="I2:BH2"/>
    <mergeCell ref="I3:R3"/>
    <mergeCell ref="T3:AC3"/>
    <mergeCell ref="AE3:AW3"/>
  </mergeCells>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worksheet>
</file>

<file path=xl/worksheets/sheet52.xml><?xml version="1.0" encoding="utf-8"?>
<worksheet xmlns="http://schemas.openxmlformats.org/spreadsheetml/2006/main" xmlns:r="http://schemas.openxmlformats.org/officeDocument/2006/relationships">
  <sheetPr codeName="Sheet43">
    <pageSetUpPr autoPageBreaks="0"/>
  </sheetPr>
  <dimension ref="A1:DD187"/>
  <sheetViews>
    <sheetView showGridLines="0" zoomScale="80" zoomScaleNormal="80" workbookViewId="0">
      <pane xSplit="5" ySplit="16" topLeftCell="G17" activePane="bottomRight" state="frozen"/>
      <selection activeCell="W129" sqref="W129"/>
      <selection pane="topRight" activeCell="W129" sqref="W129"/>
      <selection pane="bottomLeft" activeCell="W129" sqref="W129"/>
      <selection pane="bottomRight"/>
    </sheetView>
  </sheetViews>
  <sheetFormatPr defaultRowHeight="12.75" outlineLevelRow="2" outlineLevelCol="2"/>
  <cols>
    <col min="1" max="1" width="1.7109375" style="121" customWidth="1"/>
    <col min="2" max="2" width="1.5703125" style="121" customWidth="1"/>
    <col min="3" max="3" width="4.42578125" style="508" customWidth="1"/>
    <col min="4" max="4" width="3.85546875" style="509" customWidth="1"/>
    <col min="5" max="5" width="38.140625" style="509" customWidth="1"/>
    <col min="6" max="6" width="35.42578125" style="121" customWidth="1" outlineLevel="1"/>
    <col min="7" max="10" width="10" style="509" customWidth="1" outlineLevel="2"/>
    <col min="11" max="11" width="10" style="530" customWidth="1" outlineLevel="2"/>
    <col min="12" max="16" width="10" style="509" customWidth="1" outlineLevel="2"/>
    <col min="17" max="17" width="10" style="509" customWidth="1" outlineLevel="1"/>
    <col min="18" max="18" width="1.140625" style="121" customWidth="1" outlineLevel="1"/>
    <col min="19" max="34" width="10" style="509" customWidth="1" outlineLevel="2"/>
    <col min="35" max="35" width="10" style="509" customWidth="1" outlineLevel="1"/>
    <col min="36" max="36" width="1.140625" style="121" customWidth="1" outlineLevel="1"/>
    <col min="37" max="55" width="10" style="509" customWidth="1" outlineLevel="2"/>
    <col min="56" max="56" width="10" style="509" customWidth="1" outlineLevel="1"/>
    <col min="57" max="57" width="1.140625" style="121" customWidth="1" outlineLevel="1"/>
    <col min="58" max="59" width="10" style="509" customWidth="1" outlineLevel="2"/>
    <col min="60" max="60" width="10" style="509" customWidth="1" outlineLevel="1"/>
    <col min="61" max="61" width="1.140625" style="121" customWidth="1" outlineLevel="1"/>
    <col min="62" max="62" width="11" style="509" bestFit="1" customWidth="1" outlineLevel="1"/>
    <col min="63" max="63" width="5.28515625" style="509" customWidth="1"/>
    <col min="64" max="64" width="9.140625" style="121"/>
    <col min="65" max="104" width="6.85546875" style="121" customWidth="1"/>
    <col min="105" max="108" width="6.7109375" style="121" customWidth="1"/>
    <col min="109" max="16384" width="9.140625" style="121"/>
  </cols>
  <sheetData>
    <row r="1" spans="1:108" ht="6" customHeight="1"/>
    <row r="2" spans="1:108" ht="21" customHeight="1">
      <c r="D2" s="495"/>
      <c r="E2" s="965">
        <v>2007</v>
      </c>
      <c r="G2" s="121"/>
      <c r="H2" s="121"/>
      <c r="I2" s="121"/>
      <c r="J2" s="121"/>
      <c r="K2" s="121"/>
      <c r="L2" s="121"/>
      <c r="M2" s="121"/>
      <c r="N2" s="121"/>
      <c r="O2" s="121"/>
      <c r="P2" s="121"/>
      <c r="Q2" s="121"/>
      <c r="S2" s="121"/>
      <c r="T2" s="121"/>
      <c r="U2" s="121"/>
      <c r="V2" s="121"/>
      <c r="W2" s="121"/>
      <c r="X2" s="121"/>
      <c r="Y2" s="121"/>
      <c r="Z2" s="121"/>
      <c r="AA2" s="121"/>
      <c r="AB2" s="121"/>
      <c r="AC2" s="121"/>
      <c r="AD2" s="121"/>
      <c r="AE2" s="121"/>
      <c r="AF2" s="121"/>
      <c r="AG2" s="121"/>
      <c r="AH2" s="121"/>
      <c r="AI2" s="121"/>
      <c r="AK2" s="121"/>
      <c r="AL2" s="121"/>
      <c r="AM2" s="121"/>
      <c r="AN2" s="121"/>
      <c r="AO2" s="121"/>
      <c r="AP2" s="121"/>
      <c r="AQ2" s="121"/>
      <c r="AR2" s="121"/>
      <c r="AS2" s="121"/>
      <c r="AT2" s="121"/>
      <c r="AU2" s="121"/>
      <c r="AV2" s="121"/>
      <c r="AW2" s="121"/>
      <c r="AX2" s="121"/>
      <c r="AY2" s="121"/>
      <c r="AZ2" s="121"/>
      <c r="BA2" s="121"/>
      <c r="BB2" s="121"/>
      <c r="BC2" s="121"/>
      <c r="BD2" s="121"/>
      <c r="BF2" s="121"/>
      <c r="BG2" s="121"/>
      <c r="BH2" s="121"/>
      <c r="BJ2" s="121"/>
      <c r="BK2" s="681"/>
    </row>
    <row r="3" spans="1:108" ht="39" customHeight="1">
      <c r="A3" s="754"/>
      <c r="B3" s="754"/>
      <c r="C3" s="754"/>
      <c r="D3" s="500"/>
      <c r="E3" s="808" t="str">
        <f>Preferences.EnergyUnits</f>
        <v>TWh</v>
      </c>
      <c r="G3" s="994" t="s">
        <v>751</v>
      </c>
      <c r="H3" s="994"/>
      <c r="I3" s="994"/>
      <c r="J3" s="994"/>
      <c r="K3" s="994"/>
      <c r="L3" s="994"/>
      <c r="M3" s="994"/>
      <c r="N3" s="994"/>
      <c r="O3" s="994"/>
      <c r="P3" s="994"/>
      <c r="Q3" s="994"/>
      <c r="S3" s="1133" t="s">
        <v>689</v>
      </c>
      <c r="T3" s="1134"/>
      <c r="U3" s="1134"/>
      <c r="V3" s="1134"/>
      <c r="W3" s="1134"/>
      <c r="X3" s="1138"/>
      <c r="Y3" s="1134"/>
      <c r="Z3" s="1134"/>
      <c r="AA3" s="1134"/>
      <c r="AB3" s="1134"/>
      <c r="AC3" s="1134"/>
      <c r="AD3" s="1134"/>
      <c r="AE3" s="1134"/>
      <c r="AF3" s="1134"/>
      <c r="AG3" s="1134"/>
      <c r="AH3" s="1134"/>
      <c r="AI3" s="1137"/>
      <c r="AK3" s="1135" t="s">
        <v>1063</v>
      </c>
      <c r="AL3" s="1136"/>
      <c r="AM3" s="1136"/>
      <c r="AN3" s="1139"/>
      <c r="AO3" s="1136"/>
      <c r="AP3" s="1136"/>
      <c r="AQ3" s="1136"/>
      <c r="AR3" s="1136"/>
      <c r="AS3" s="1136"/>
      <c r="AT3" s="1136"/>
      <c r="AU3" s="1136"/>
      <c r="AV3" s="1136"/>
      <c r="AW3" s="1136"/>
      <c r="AX3" s="1136"/>
      <c r="AY3" s="1136"/>
      <c r="AZ3" s="1136"/>
      <c r="BA3" s="1136"/>
      <c r="BB3" s="1136"/>
      <c r="BC3" s="1136"/>
      <c r="BD3" s="1140"/>
      <c r="BF3" s="1025" t="s">
        <v>944</v>
      </c>
      <c r="BG3" s="1003"/>
      <c r="BH3" s="1003"/>
      <c r="BJ3" s="504"/>
      <c r="BK3" s="504"/>
      <c r="BL3" s="754"/>
      <c r="BM3" s="1142" t="s">
        <v>1067</v>
      </c>
      <c r="BN3" s="1143"/>
      <c r="BO3" s="1143"/>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3"/>
      <c r="CM3" s="1143"/>
      <c r="CN3" s="1143"/>
      <c r="CO3" s="1143"/>
      <c r="CP3" s="1143"/>
      <c r="CQ3" s="1143"/>
      <c r="CR3" s="1143"/>
      <c r="CS3" s="1143"/>
      <c r="CT3" s="1143"/>
      <c r="CU3" s="1143"/>
      <c r="CV3" s="1143"/>
      <c r="CW3" s="1143"/>
      <c r="CX3" s="1143"/>
      <c r="CY3" s="1143"/>
      <c r="CZ3" s="1143"/>
      <c r="DA3" s="1280"/>
      <c r="DB3" s="1280"/>
      <c r="DC3" s="1280"/>
      <c r="DD3" s="1280"/>
    </row>
    <row r="4" spans="1:108" ht="36.75" customHeight="1">
      <c r="C4" s="505"/>
      <c r="D4" s="505"/>
      <c r="G4" s="966" t="str">
        <f>INDEX(Vectors[Description], MATCH(G$5,Vectors[Code],FALSE))</f>
        <v>Heating and cooling</v>
      </c>
      <c r="H4" s="966" t="str">
        <f>INDEX(Vectors[Description], MATCH(H$5,Vectors[Code],FALSE))</f>
        <v>Lighting &amp; appliances</v>
      </c>
      <c r="I4" s="966" t="str">
        <f>INDEX(Vectors[Description], MATCH(I$5,Vectors[Code],FALSE))</f>
        <v>Industry</v>
      </c>
      <c r="J4" s="966" t="str">
        <f>INDEX(Vectors[Description], MATCH(J$5,Vectors[Code],FALSE))</f>
        <v>Road transport</v>
      </c>
      <c r="K4" s="966" t="str">
        <f>INDEX(Vectors[Description], MATCH(K$5,Vectors[Code],FALSE))</f>
        <v>Rail transport</v>
      </c>
      <c r="L4" s="966" t="str">
        <f>INDEX(Vectors[Description], MATCH(L$5,Vectors[Code],FALSE))</f>
        <v>Domestic aviation</v>
      </c>
      <c r="M4" s="966" t="str">
        <f>INDEX(Vectors[Description], MATCH(M$5,Vectors[Code],FALSE))</f>
        <v>National navigation</v>
      </c>
      <c r="N4" s="966" t="str">
        <f>INDEX(Vectors[Description], MATCH(N$5,Vectors[Code],FALSE))</f>
        <v>International aviation</v>
      </c>
      <c r="O4" s="966" t="str">
        <f>INDEX(Vectors[Description], MATCH(O$5,Vectors[Code],FALSE))</f>
        <v>International shipping</v>
      </c>
      <c r="P4" s="966" t="str">
        <f>INDEX(Vectors[Description], MATCH(P$5,Vectors[Code],FALSE))</f>
        <v>Food consumption [UNUSED]</v>
      </c>
      <c r="Q4" s="983" t="s">
        <v>949</v>
      </c>
      <c r="S4" s="967" t="str">
        <f>INDEX(Vectors[Description], MATCH(S$5,Vectors[Code],FALSE))</f>
        <v>Electricity (delivered to end user)</v>
      </c>
      <c r="T4" s="967" t="str">
        <f>INDEX(Vectors[Description], MATCH(T$5,Vectors[Code],FALSE))</f>
        <v>Electricity (supplied to grid)</v>
      </c>
      <c r="U4" s="967" t="str">
        <f>INDEX(Vectors[Description], MATCH(U$5,Vectors[Code],FALSE))</f>
        <v>Solid hydrocarbons</v>
      </c>
      <c r="V4" s="967" t="str">
        <f>INDEX(Vectors[Description], MATCH(V$5,Vectors[Code],FALSE))</f>
        <v>Liquid hydrocarbons</v>
      </c>
      <c r="W4" s="967" t="str">
        <f>INDEX(Vectors[Description], MATCH(W$5,Vectors[Code],FALSE))</f>
        <v>Gaseous hydrocarbons</v>
      </c>
      <c r="X4" s="967" t="str">
        <f>INDEX(Vectors[Description], MATCH(X$5,Vectors[Code],FALSE))</f>
        <v>Coal and fossil waste</v>
      </c>
      <c r="Y4" s="967" t="str">
        <f>INDEX(Vectors[Description], MATCH(Y$5,Vectors[Code],FALSE))</f>
        <v>Oil and petroleum products</v>
      </c>
      <c r="Z4" s="967" t="str">
        <f>INDEX(Vectors[Description], MATCH(Z$5,Vectors[Code],FALSE))</f>
        <v>Natural gas</v>
      </c>
      <c r="AA4" s="967" t="str">
        <f>INDEX(Vectors[Description], MATCH(AA$5,Vectors[Code],FALSE))</f>
        <v>Blast furnace gas</v>
      </c>
      <c r="AB4" s="967" t="str">
        <f>INDEX(Vectors[Description], MATCH(AB$5,Vectors[Code],FALSE))</f>
        <v>Heat transport</v>
      </c>
      <c r="AC4" s="967" t="str">
        <f>INDEX(Vectors[Description], MATCH(AC$5,Vectors[Code],FALSE))</f>
        <v>Edible biomatter</v>
      </c>
      <c r="AD4" s="967" t="str">
        <f>INDEX(Vectors[Description], MATCH(AD$5,Vectors[Code],FALSE))</f>
        <v>Energy crops (second generation)</v>
      </c>
      <c r="AE4" s="967" t="str">
        <f>INDEX(Vectors[Description], MATCH(AE$5,Vectors[Code],FALSE))</f>
        <v>Dry biomatter and waste</v>
      </c>
      <c r="AF4" s="967" t="str">
        <f>INDEX(Vectors[Description], MATCH(AF$5,Vectors[Code],FALSE))</f>
        <v>Wet biomatter and waste</v>
      </c>
      <c r="AG4" s="967" t="str">
        <f>INDEX(Vectors[Description], MATCH(AG$5,Vectors[Code],FALSE))</f>
        <v>Domestic solar thermal</v>
      </c>
      <c r="AH4" s="967" t="str">
        <f>INDEX(Vectors[Description], MATCH(AH$5,Vectors[Code],FALSE))</f>
        <v>H2</v>
      </c>
      <c r="AI4" s="997" t="s">
        <v>685</v>
      </c>
      <c r="AK4" s="981" t="str">
        <f>INDEX(Vectors[Description], MATCH(AK$5,Vectors[Code],FALSE))</f>
        <v>Coal reserves</v>
      </c>
      <c r="AL4" s="981" t="str">
        <f>INDEX(Vectors[Description], MATCH(AL$5,Vectors[Code],FALSE))</f>
        <v>Oil reserves</v>
      </c>
      <c r="AM4" s="981" t="str">
        <f>INDEX(Vectors[Description], MATCH(AM$5,Vectors[Code],FALSE))</f>
        <v>Gas reserves</v>
      </c>
      <c r="AN4" s="981" t="str">
        <f>INDEX(Vectors[Description], MATCH(AN$5,Vectors[Code],FALSE))</f>
        <v>Biomatter exports (imports)</v>
      </c>
      <c r="AO4" s="981" t="str">
        <f>INDEX(Vectors[Description], MATCH(AO$5,Vectors[Code],FALSE))</f>
        <v>Electricity exports (imports)</v>
      </c>
      <c r="AP4" s="981" t="str">
        <f>INDEX(Vectors[Description], MATCH(AP$5,Vectors[Code],FALSE))</f>
        <v>Petroleum products exports</v>
      </c>
      <c r="AQ4" s="981" t="str">
        <f>INDEX(Vectors[Description], MATCH(AQ$5,Vectors[Code],FALSE))</f>
        <v>Coal exports (imports)</v>
      </c>
      <c r="AR4" s="981" t="str">
        <f>INDEX(Vectors[Description], MATCH(AR$5,Vectors[Code],FALSE))</f>
        <v>Oil and petroleum products exports (imports)</v>
      </c>
      <c r="AS4" s="981" t="str">
        <f>INDEX(Vectors[Description], MATCH(AS$5,Vectors[Code],FALSE))</f>
        <v>Gas exports (imports)</v>
      </c>
      <c r="AT4" s="981" t="str">
        <f>INDEX(Vectors[Description], MATCH(AT$5,Vectors[Code],FALSE))</f>
        <v>Nuclear fission</v>
      </c>
      <c r="AU4" s="981" t="str">
        <f>INDEX(Vectors[Description], MATCH(AU$5,Vectors[Code],FALSE))</f>
        <v>Solar</v>
      </c>
      <c r="AV4" s="981" t="str">
        <f>INDEX(Vectors[Description], MATCH(AV$5,Vectors[Code],FALSE))</f>
        <v>Wind</v>
      </c>
      <c r="AW4" s="981" t="str">
        <f>INDEX(Vectors[Description], MATCH(AW$5,Vectors[Code],FALSE))</f>
        <v>Tidal</v>
      </c>
      <c r="AX4" s="981" t="str">
        <f>INDEX(Vectors[Description], MATCH(AX$5,Vectors[Code],FALSE))</f>
        <v>Wave</v>
      </c>
      <c r="AY4" s="981" t="str">
        <f>INDEX(Vectors[Description], MATCH(AY$5,Vectors[Code],FALSE))</f>
        <v>Geothermal</v>
      </c>
      <c r="AZ4" s="981" t="str">
        <f>INDEX(Vectors[Description], MATCH(AZ$5,Vectors[Code],FALSE))</f>
        <v>Hydro</v>
      </c>
      <c r="BA4" s="981" t="str">
        <f>INDEX(Vectors[Description], MATCH(BA$5,Vectors[Code],FALSE))</f>
        <v>Environmental heat</v>
      </c>
      <c r="BB4" s="981" t="str">
        <f>INDEX(Vectors[Description], MATCH(BB$5,Vectors[Code],FALSE))</f>
        <v>Agriculture</v>
      </c>
      <c r="BC4" s="981" t="str">
        <f>INDEX(Vectors[Description], MATCH(BC$5,Vectors[Code],FALSE))</f>
        <v>Waste</v>
      </c>
      <c r="BD4" s="999" t="s">
        <v>686</v>
      </c>
      <c r="BF4" s="986" t="str">
        <f>INDEX(Vectors[Description], MATCH(BF$5,Vectors[Code],FALSE))</f>
        <v>Conversion losses</v>
      </c>
      <c r="BG4" s="986" t="str">
        <f>INDEX(Vectors[Description], MATCH(BG$5,Vectors[Code],FALSE))</f>
        <v>Distribution losses and own use</v>
      </c>
      <c r="BH4" s="1001" t="s">
        <v>943</v>
      </c>
      <c r="BJ4" s="507" t="str">
        <f>INDEX(Vectors[Description], MATCH(BJ$5,Vectors[Code],FALSE))</f>
        <v>Unallocated</v>
      </c>
      <c r="BK4" s="507"/>
      <c r="BM4" s="1151" t="str">
        <f>INDEX(IPCC[Sector_description], MATCH(BM$5, IPCC[Sector_code], 0))</f>
        <v>Fuel Combustion</v>
      </c>
      <c r="BN4" s="1152"/>
      <c r="BO4" s="1152"/>
      <c r="BP4" s="1153"/>
      <c r="BQ4" s="1151" t="str">
        <f>INDEX(IPCC[Sector_description], MATCH(BQ$5, IPCC[Sector_code], 0))</f>
        <v>Fugitive Emissions from Fuels</v>
      </c>
      <c r="BR4" s="1152"/>
      <c r="BS4" s="1152"/>
      <c r="BT4" s="1153"/>
      <c r="BU4" s="1151" t="str">
        <f>INDEX(IPCC[Sector_description], MATCH(BU$5, IPCC[Sector_code], 0))</f>
        <v>Industrial Processes</v>
      </c>
      <c r="BV4" s="1152"/>
      <c r="BW4" s="1152"/>
      <c r="BX4" s="1153"/>
      <c r="BY4" s="1151" t="str">
        <f>INDEX(IPCC[Sector_description], MATCH(BY$5, IPCC[Sector_code], 0))</f>
        <v>Solvent and Other Product Use</v>
      </c>
      <c r="BZ4" s="1152"/>
      <c r="CA4" s="1152"/>
      <c r="CB4" s="1153"/>
      <c r="CC4" s="1151" t="str">
        <f>INDEX(IPCC[Sector_description], MATCH(CC$5, IPCC[Sector_code], 0))</f>
        <v>Agriculture</v>
      </c>
      <c r="CD4" s="1152"/>
      <c r="CE4" s="1152"/>
      <c r="CF4" s="1153"/>
      <c r="CG4" s="1151" t="str">
        <f>INDEX(IPCC[Sector_description], MATCH(CG$5, IPCC[Sector_code], 0))</f>
        <v>Land Use, Land-Use Change and Forestry</v>
      </c>
      <c r="CH4" s="1152"/>
      <c r="CI4" s="1152"/>
      <c r="CJ4" s="1153"/>
      <c r="CK4" s="1151" t="str">
        <f>INDEX(IPCC[Sector_description], MATCH(CK$5, IPCC[Sector_code], 0))</f>
        <v>Waste</v>
      </c>
      <c r="CL4" s="1152"/>
      <c r="CM4" s="1152"/>
      <c r="CN4" s="1153"/>
      <c r="CO4" s="1151" t="str">
        <f>INDEX(IPCC[Sector_description], MATCH(CO$5, IPCC[Sector_code], 0))</f>
        <v>Other</v>
      </c>
      <c r="CP4" s="1152"/>
      <c r="CQ4" s="1152"/>
      <c r="CR4" s="1153"/>
      <c r="CS4" s="1151" t="str">
        <f>INDEX(IPCC[Sector_description], MATCH(CS$5, IPCC[Sector_code], 0))</f>
        <v>International Aviation and Shipping</v>
      </c>
      <c r="CT4" s="1152"/>
      <c r="CU4" s="1152"/>
      <c r="CV4" s="1153"/>
      <c r="CW4" s="1151" t="str">
        <f>INDEX(IPCC[Sector_description], MATCH(CW$5, IPCC[Sector_code], 0))</f>
        <v>Bioenergy credit</v>
      </c>
      <c r="CX4" s="1152"/>
      <c r="CY4" s="1152"/>
      <c r="CZ4" s="1153"/>
      <c r="DA4" s="1151" t="str">
        <f>INDEX(IPCC[Sector_description], MATCH(DA$5, IPCC[Sector_code], 0))</f>
        <v>Carbon capture</v>
      </c>
      <c r="DB4" s="1152"/>
      <c r="DC4" s="1152"/>
      <c r="DD4" s="1153"/>
    </row>
    <row r="5" spans="1:108">
      <c r="D5" s="951" t="s">
        <v>200</v>
      </c>
      <c r="G5" s="984" t="s">
        <v>6</v>
      </c>
      <c r="H5" s="984" t="s">
        <v>57</v>
      </c>
      <c r="I5" s="984" t="s">
        <v>13</v>
      </c>
      <c r="J5" s="984" t="s">
        <v>36</v>
      </c>
      <c r="K5" s="984" t="s">
        <v>37</v>
      </c>
      <c r="L5" s="984" t="s">
        <v>38</v>
      </c>
      <c r="M5" s="984" t="s">
        <v>39</v>
      </c>
      <c r="N5" s="984" t="s">
        <v>966</v>
      </c>
      <c r="O5" s="984" t="s">
        <v>967</v>
      </c>
      <c r="P5" s="984" t="s">
        <v>40</v>
      </c>
      <c r="Q5" s="984"/>
      <c r="S5" s="985" t="s">
        <v>45</v>
      </c>
      <c r="T5" s="985" t="s">
        <v>46</v>
      </c>
      <c r="U5" s="985" t="s">
        <v>47</v>
      </c>
      <c r="V5" s="985" t="s">
        <v>49</v>
      </c>
      <c r="W5" s="985" t="s">
        <v>50</v>
      </c>
      <c r="X5" s="985" t="s">
        <v>64</v>
      </c>
      <c r="Y5" s="985" t="s">
        <v>65</v>
      </c>
      <c r="Z5" s="985" t="s">
        <v>66</v>
      </c>
      <c r="AA5" s="985" t="s">
        <v>108</v>
      </c>
      <c r="AB5" s="985" t="s">
        <v>753</v>
      </c>
      <c r="AC5" s="985" t="s">
        <v>754</v>
      </c>
      <c r="AD5" s="985" t="s">
        <v>1801</v>
      </c>
      <c r="AE5" s="985" t="s">
        <v>755</v>
      </c>
      <c r="AF5" s="985" t="s">
        <v>929</v>
      </c>
      <c r="AG5" s="985" t="s">
        <v>1331</v>
      </c>
      <c r="AH5" s="985" t="s">
        <v>1476</v>
      </c>
      <c r="AI5" s="985"/>
      <c r="AK5" s="982" t="s">
        <v>999</v>
      </c>
      <c r="AL5" s="982" t="s">
        <v>1000</v>
      </c>
      <c r="AM5" s="982" t="s">
        <v>1001</v>
      </c>
      <c r="AN5" s="982" t="s">
        <v>59</v>
      </c>
      <c r="AO5" s="982" t="s">
        <v>60</v>
      </c>
      <c r="AP5" s="982" t="s">
        <v>799</v>
      </c>
      <c r="AQ5" s="982" t="s">
        <v>991</v>
      </c>
      <c r="AR5" s="982" t="s">
        <v>992</v>
      </c>
      <c r="AS5" s="982" t="s">
        <v>993</v>
      </c>
      <c r="AT5" s="982" t="s">
        <v>7</v>
      </c>
      <c r="AU5" s="982" t="s">
        <v>33</v>
      </c>
      <c r="AV5" s="982" t="s">
        <v>8</v>
      </c>
      <c r="AW5" s="982" t="s">
        <v>9</v>
      </c>
      <c r="AX5" s="982" t="s">
        <v>10</v>
      </c>
      <c r="AY5" s="982" t="s">
        <v>11</v>
      </c>
      <c r="AZ5" s="982" t="s">
        <v>12</v>
      </c>
      <c r="BA5" s="982" t="s">
        <v>104</v>
      </c>
      <c r="BB5" s="982" t="s">
        <v>1027</v>
      </c>
      <c r="BC5" s="982" t="s">
        <v>54</v>
      </c>
      <c r="BD5" s="982"/>
      <c r="BF5" s="987" t="s">
        <v>34</v>
      </c>
      <c r="BG5" s="987" t="s">
        <v>35</v>
      </c>
      <c r="BH5" s="987"/>
      <c r="BJ5" s="502" t="s">
        <v>61</v>
      </c>
      <c r="BK5" s="502"/>
      <c r="BM5" s="1154" t="s">
        <v>1065</v>
      </c>
      <c r="BN5" s="1155"/>
      <c r="BO5" s="1155"/>
      <c r="BP5" s="1156"/>
      <c r="BQ5" s="1154" t="s">
        <v>1064</v>
      </c>
      <c r="BR5" s="1155"/>
      <c r="BS5" s="1155"/>
      <c r="BT5" s="1156"/>
      <c r="BU5" s="1154">
        <v>2</v>
      </c>
      <c r="BV5" s="1155"/>
      <c r="BW5" s="1155"/>
      <c r="BX5" s="1156"/>
      <c r="BY5" s="1154">
        <v>3</v>
      </c>
      <c r="BZ5" s="1155"/>
      <c r="CA5" s="1155"/>
      <c r="CB5" s="1156"/>
      <c r="CC5" s="1154">
        <v>4</v>
      </c>
      <c r="CD5" s="1155"/>
      <c r="CE5" s="1155"/>
      <c r="CF5" s="1156"/>
      <c r="CG5" s="1154">
        <v>5</v>
      </c>
      <c r="CH5" s="1155"/>
      <c r="CI5" s="1155"/>
      <c r="CJ5" s="1156"/>
      <c r="CK5" s="1154">
        <v>6</v>
      </c>
      <c r="CL5" s="1155"/>
      <c r="CM5" s="1155"/>
      <c r="CN5" s="1156"/>
      <c r="CO5" s="1154">
        <v>7</v>
      </c>
      <c r="CP5" s="1155"/>
      <c r="CQ5" s="1155"/>
      <c r="CR5" s="1156"/>
      <c r="CS5" s="1154" t="s">
        <v>1050</v>
      </c>
      <c r="CT5" s="1155"/>
      <c r="CU5" s="1155"/>
      <c r="CV5" s="1156"/>
      <c r="CW5" s="1154" t="s">
        <v>1051</v>
      </c>
      <c r="CX5" s="1155"/>
      <c r="CY5" s="1155"/>
      <c r="CZ5" s="1156"/>
      <c r="DA5" s="1154" t="s">
        <v>1078</v>
      </c>
      <c r="DB5" s="1155"/>
      <c r="DC5" s="1155"/>
      <c r="DD5" s="1156"/>
    </row>
    <row r="6" spans="1:108" ht="15.75" customHeight="1">
      <c r="G6" s="955"/>
      <c r="H6" s="955"/>
      <c r="I6" s="955"/>
      <c r="J6" s="955"/>
      <c r="K6" s="956"/>
      <c r="L6" s="955"/>
      <c r="M6" s="955"/>
      <c r="N6" s="955"/>
      <c r="O6" s="955"/>
      <c r="P6" s="955"/>
      <c r="Q6" s="955"/>
      <c r="S6" s="968"/>
      <c r="T6" s="968"/>
      <c r="U6" s="968"/>
      <c r="V6" s="968"/>
      <c r="W6" s="968"/>
      <c r="X6" s="968"/>
      <c r="Y6" s="968"/>
      <c r="Z6" s="968"/>
      <c r="AA6" s="968"/>
      <c r="AB6" s="968"/>
      <c r="AC6" s="968"/>
      <c r="AD6" s="968"/>
      <c r="AE6" s="968"/>
      <c r="AF6" s="968"/>
      <c r="AG6" s="968"/>
      <c r="AH6" s="968"/>
      <c r="AI6" s="968"/>
      <c r="AK6" s="974"/>
      <c r="AL6" s="974"/>
      <c r="AM6" s="974"/>
      <c r="AN6" s="974"/>
      <c r="AO6" s="974"/>
      <c r="AP6" s="974"/>
      <c r="AQ6" s="974"/>
      <c r="AR6" s="974"/>
      <c r="AS6" s="974"/>
      <c r="AT6" s="974"/>
      <c r="AU6" s="974"/>
      <c r="AV6" s="974"/>
      <c r="AW6" s="974"/>
      <c r="AX6" s="974"/>
      <c r="AY6" s="974"/>
      <c r="AZ6" s="974"/>
      <c r="BA6" s="974"/>
      <c r="BB6" s="974"/>
      <c r="BC6" s="974"/>
      <c r="BD6" s="974"/>
      <c r="BF6" s="988"/>
      <c r="BG6" s="988"/>
      <c r="BH6" s="988"/>
      <c r="BJ6" s="511"/>
      <c r="BK6" s="511"/>
      <c r="BM6" s="1144" t="s">
        <v>1055</v>
      </c>
      <c r="BN6" s="1144" t="s">
        <v>1056</v>
      </c>
      <c r="BO6" s="1144" t="s">
        <v>1057</v>
      </c>
      <c r="BP6" s="1144" t="s">
        <v>1058</v>
      </c>
      <c r="BQ6" s="1144" t="s">
        <v>1055</v>
      </c>
      <c r="BR6" s="1144" t="s">
        <v>1056</v>
      </c>
      <c r="BS6" s="1144" t="s">
        <v>1057</v>
      </c>
      <c r="BT6" s="1144" t="s">
        <v>1058</v>
      </c>
      <c r="BU6" s="1144" t="s">
        <v>1055</v>
      </c>
      <c r="BV6" s="1144" t="s">
        <v>1056</v>
      </c>
      <c r="BW6" s="1144" t="s">
        <v>1057</v>
      </c>
      <c r="BX6" s="1144" t="s">
        <v>1058</v>
      </c>
      <c r="BY6" s="1144" t="s">
        <v>1055</v>
      </c>
      <c r="BZ6" s="1144" t="s">
        <v>1056</v>
      </c>
      <c r="CA6" s="1144" t="s">
        <v>1057</v>
      </c>
      <c r="CB6" s="1144" t="s">
        <v>1058</v>
      </c>
      <c r="CC6" s="1144" t="s">
        <v>1055</v>
      </c>
      <c r="CD6" s="1144" t="s">
        <v>1056</v>
      </c>
      <c r="CE6" s="1144" t="s">
        <v>1057</v>
      </c>
      <c r="CF6" s="1144" t="s">
        <v>1058</v>
      </c>
      <c r="CG6" s="1144" t="s">
        <v>1055</v>
      </c>
      <c r="CH6" s="1144" t="s">
        <v>1056</v>
      </c>
      <c r="CI6" s="1144" t="s">
        <v>1057</v>
      </c>
      <c r="CJ6" s="1144" t="s">
        <v>1058</v>
      </c>
      <c r="CK6" s="1144" t="s">
        <v>1055</v>
      </c>
      <c r="CL6" s="1144" t="s">
        <v>1056</v>
      </c>
      <c r="CM6" s="1144" t="s">
        <v>1057</v>
      </c>
      <c r="CN6" s="1144" t="s">
        <v>1058</v>
      </c>
      <c r="CO6" s="1144" t="s">
        <v>1055</v>
      </c>
      <c r="CP6" s="1144" t="s">
        <v>1056</v>
      </c>
      <c r="CQ6" s="1144" t="s">
        <v>1057</v>
      </c>
      <c r="CR6" s="1144" t="s">
        <v>1058</v>
      </c>
      <c r="CS6" s="1144" t="s">
        <v>1055</v>
      </c>
      <c r="CT6" s="1144" t="s">
        <v>1056</v>
      </c>
      <c r="CU6" s="1144" t="s">
        <v>1057</v>
      </c>
      <c r="CV6" s="1144" t="s">
        <v>1058</v>
      </c>
      <c r="CW6" s="1144" t="s">
        <v>1055</v>
      </c>
      <c r="CX6" s="1144" t="s">
        <v>1056</v>
      </c>
      <c r="CY6" s="1144" t="s">
        <v>1057</v>
      </c>
      <c r="CZ6" s="1144" t="s">
        <v>1058</v>
      </c>
      <c r="DA6" s="1144" t="s">
        <v>1055</v>
      </c>
      <c r="DB6" s="1144" t="s">
        <v>1056</v>
      </c>
      <c r="DC6" s="1144" t="s">
        <v>1057</v>
      </c>
      <c r="DD6" s="1144" t="s">
        <v>1058</v>
      </c>
    </row>
    <row r="7" spans="1:108" ht="18" customHeight="1">
      <c r="C7" s="501" t="s">
        <v>592</v>
      </c>
      <c r="D7" s="501"/>
      <c r="E7" s="639"/>
      <c r="F7" s="501" t="s">
        <v>1211</v>
      </c>
      <c r="G7" s="957"/>
      <c r="H7" s="957"/>
      <c r="I7" s="957"/>
      <c r="J7" s="957"/>
      <c r="K7" s="957"/>
      <c r="L7" s="957"/>
      <c r="M7" s="957"/>
      <c r="N7" s="957"/>
      <c r="O7" s="957"/>
      <c r="P7" s="957"/>
      <c r="Q7" s="957"/>
      <c r="S7" s="969"/>
      <c r="T7" s="969"/>
      <c r="U7" s="969"/>
      <c r="V7" s="969"/>
      <c r="W7" s="969"/>
      <c r="X7" s="969"/>
      <c r="Y7" s="969"/>
      <c r="Z7" s="969"/>
      <c r="AA7" s="969"/>
      <c r="AB7" s="969"/>
      <c r="AC7" s="969"/>
      <c r="AD7" s="969"/>
      <c r="AE7" s="969"/>
      <c r="AF7" s="969"/>
      <c r="AG7" s="969"/>
      <c r="AH7" s="969"/>
      <c r="AI7" s="969"/>
      <c r="AK7" s="975"/>
      <c r="AL7" s="975"/>
      <c r="AM7" s="975"/>
      <c r="AN7" s="975"/>
      <c r="AO7" s="975"/>
      <c r="AP7" s="975"/>
      <c r="AQ7" s="975"/>
      <c r="AR7" s="975"/>
      <c r="AS7" s="975"/>
      <c r="AT7" s="975"/>
      <c r="AU7" s="975"/>
      <c r="AV7" s="975"/>
      <c r="AW7" s="975"/>
      <c r="AX7" s="975"/>
      <c r="AY7" s="975"/>
      <c r="AZ7" s="975"/>
      <c r="BA7" s="975"/>
      <c r="BB7" s="975"/>
      <c r="BC7" s="975"/>
      <c r="BD7" s="975"/>
      <c r="BF7" s="989"/>
      <c r="BG7" s="989"/>
      <c r="BH7" s="989"/>
      <c r="BJ7" s="514"/>
      <c r="BK7" s="514"/>
      <c r="BM7" s="1145"/>
      <c r="BN7" s="1145"/>
      <c r="BO7" s="1145"/>
      <c r="BP7" s="1145"/>
      <c r="BQ7" s="1145"/>
      <c r="BR7" s="1145"/>
      <c r="BS7" s="1145"/>
      <c r="BT7" s="1145"/>
      <c r="BU7" s="1145"/>
      <c r="BV7" s="1145"/>
      <c r="BW7" s="1145"/>
      <c r="BX7" s="1145"/>
      <c r="BY7" s="1145"/>
      <c r="BZ7" s="1145"/>
      <c r="CA7" s="1145"/>
      <c r="CB7" s="1145"/>
      <c r="CC7" s="1145"/>
      <c r="CD7" s="1145"/>
      <c r="CE7" s="1145"/>
      <c r="CF7" s="1145"/>
      <c r="CG7" s="1145"/>
      <c r="CH7" s="1145"/>
      <c r="CI7" s="1145"/>
      <c r="CJ7" s="1145"/>
      <c r="CK7" s="1145"/>
      <c r="CL7" s="1145"/>
      <c r="CM7" s="1145"/>
      <c r="CN7" s="1145"/>
      <c r="CO7" s="1145"/>
      <c r="CP7" s="1145"/>
      <c r="CQ7" s="1145"/>
      <c r="CR7" s="1145"/>
      <c r="CS7" s="1145"/>
      <c r="CT7" s="1145"/>
      <c r="CU7" s="1145"/>
      <c r="CV7" s="1145"/>
      <c r="CW7" s="1145"/>
      <c r="CX7" s="1145"/>
      <c r="CY7" s="1145"/>
      <c r="CZ7" s="1145"/>
      <c r="DA7" s="1145"/>
      <c r="DB7" s="1145"/>
      <c r="DC7" s="1145"/>
      <c r="DD7" s="1145"/>
    </row>
    <row r="8" spans="1:108" ht="6" hidden="1" customHeight="1" outlineLevel="1">
      <c r="G8" s="958"/>
      <c r="H8" s="958"/>
      <c r="I8" s="958"/>
      <c r="J8" s="958"/>
      <c r="K8" s="959"/>
      <c r="L8" s="958"/>
      <c r="M8" s="958"/>
      <c r="N8" s="958"/>
      <c r="O8" s="958"/>
      <c r="P8" s="958"/>
      <c r="Q8" s="958"/>
      <c r="S8" s="970"/>
      <c r="T8" s="970"/>
      <c r="U8" s="970"/>
      <c r="V8" s="970"/>
      <c r="W8" s="970"/>
      <c r="X8" s="970"/>
      <c r="Y8" s="970"/>
      <c r="Z8" s="970"/>
      <c r="AA8" s="970"/>
      <c r="AB8" s="970"/>
      <c r="AC8" s="970"/>
      <c r="AD8" s="970"/>
      <c r="AE8" s="970"/>
      <c r="AF8" s="970"/>
      <c r="AG8" s="970"/>
      <c r="AH8" s="970"/>
      <c r="AI8" s="970"/>
      <c r="AK8" s="976"/>
      <c r="AL8" s="976"/>
      <c r="AM8" s="976"/>
      <c r="AN8" s="976"/>
      <c r="AO8" s="976"/>
      <c r="AP8" s="976"/>
      <c r="AQ8" s="976"/>
      <c r="AR8" s="976"/>
      <c r="AS8" s="976"/>
      <c r="AT8" s="976"/>
      <c r="AU8" s="976"/>
      <c r="AV8" s="976"/>
      <c r="AW8" s="976"/>
      <c r="AX8" s="976"/>
      <c r="AY8" s="976"/>
      <c r="AZ8" s="976"/>
      <c r="BA8" s="976"/>
      <c r="BB8" s="976"/>
      <c r="BC8" s="976"/>
      <c r="BD8" s="976"/>
      <c r="BF8" s="990"/>
      <c r="BG8" s="990"/>
      <c r="BH8" s="990"/>
      <c r="BJ8" s="515"/>
      <c r="BK8" s="515"/>
      <c r="BM8" s="1146"/>
      <c r="BN8" s="1146"/>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1146"/>
      <c r="DA8" s="1146"/>
      <c r="DB8" s="1146"/>
      <c r="DC8" s="1146"/>
      <c r="DD8" s="1146"/>
    </row>
    <row r="9" spans="1:108" ht="10.5" hidden="1" customHeight="1" outlineLevel="2">
      <c r="A9" s="954"/>
      <c r="B9" s="954"/>
      <c r="C9" s="746" t="s">
        <v>829</v>
      </c>
      <c r="D9" s="954" t="str">
        <f>INDEX(Modules[Module], MATCH($C9, Modules[Code], 0))</f>
        <v>Domestic space heating and hot water</v>
      </c>
      <c r="E9" s="521"/>
      <c r="F9" s="12" t="s">
        <v>443</v>
      </c>
      <c r="G9" s="1017">
        <f>-($AI9+$BD9+$BH9)</f>
        <v>291.47592449379539</v>
      </c>
      <c r="H9" s="1017"/>
      <c r="I9" s="1017"/>
      <c r="J9" s="1017"/>
      <c r="K9" s="1017"/>
      <c r="L9" s="1017"/>
      <c r="M9" s="1017"/>
      <c r="N9" s="1017"/>
      <c r="O9" s="1017"/>
      <c r="P9" s="1017"/>
      <c r="Q9" s="1019">
        <f t="shared" ref="Q9:Q17" si="0">SUM(G9:P9)</f>
        <v>291.47592449379539</v>
      </c>
      <c r="S9" s="1026">
        <f>-'DECC Energy Cons. (1.14)'!$F$4*Unit.ktoe</f>
        <v>-13.971461786760198</v>
      </c>
      <c r="T9" s="1026"/>
      <c r="U9" s="1026">
        <f>-'DECC Energy Cons. (1.14)'!$E$4*Unit.ktoe</f>
        <v>-6.0971955573687122</v>
      </c>
      <c r="V9" s="1026">
        <f>-'DECC Energy Cons. (1.14)'!$D$4*Unit.ktoe</f>
        <v>-24.694588567042736</v>
      </c>
      <c r="W9" s="1026">
        <f>-'DECC Energy Cons. (1.14)'!$C$4*Unit.ktoe</f>
        <v>-241.45982890159584</v>
      </c>
      <c r="X9" s="1026"/>
      <c r="Y9" s="1026"/>
      <c r="Z9" s="1026"/>
      <c r="AA9" s="1026"/>
      <c r="AB9" s="1026">
        <f>-'DUKES 09 (1.2)'!$J$58*Unit.ktoe</f>
        <v>-0.60399999999999998</v>
      </c>
      <c r="AC9" s="1026"/>
      <c r="AD9" s="1026"/>
      <c r="AE9" s="1026">
        <f>-'DUKES 09 (7.2)'!$C$61*Unit.ktoe</f>
        <v>-3.8611111111111107</v>
      </c>
      <c r="AF9" s="1026"/>
      <c r="AG9" s="1026"/>
      <c r="AH9" s="1026"/>
      <c r="AI9" s="1027">
        <f t="shared" ref="AI9:AI17" si="1">SUM(S9:AH9)</f>
        <v>-290.68818592387856</v>
      </c>
      <c r="AK9" s="1038"/>
      <c r="AL9" s="1038"/>
      <c r="AM9" s="1038"/>
      <c r="AN9" s="1038"/>
      <c r="AO9" s="1038"/>
      <c r="AP9" s="1038"/>
      <c r="AQ9" s="1038"/>
      <c r="AR9" s="1038"/>
      <c r="AS9" s="1038"/>
      <c r="AT9" s="1038"/>
      <c r="AU9" s="1038">
        <f>-'DUKES 09 (7.2)'!$K$61*Unit.ktoe</f>
        <v>-0.52205907000000007</v>
      </c>
      <c r="AV9" s="1038"/>
      <c r="AW9" s="1038"/>
      <c r="AX9" s="1038"/>
      <c r="AY9" s="1038"/>
      <c r="AZ9" s="1038"/>
      <c r="BA9" s="1038"/>
      <c r="BB9" s="1038"/>
      <c r="BC9" s="1038">
        <f>-'DUKES 09 (7.2)'!$J$61*Unit.ktoe</f>
        <v>-0.26567949991680362</v>
      </c>
      <c r="BD9" s="977">
        <f t="shared" ref="BD9:BD17" si="2">SUM(AK9:BC9)</f>
        <v>-0.78773856991680369</v>
      </c>
      <c r="BF9" s="1032"/>
      <c r="BG9" s="1032"/>
      <c r="BH9" s="1034">
        <f t="shared" ref="BH9:BH26" si="3">SUM(BF9:BG9)</f>
        <v>0</v>
      </c>
      <c r="BJ9" s="524">
        <f t="shared" ref="BJ9:BJ40" si="4">Q9+AI9+BD9+BH9</f>
        <v>2.2093438190040615E-14</v>
      </c>
      <c r="BK9" s="524"/>
      <c r="BL9" s="954"/>
      <c r="BM9" s="1147"/>
      <c r="BN9" s="1146"/>
      <c r="BO9" s="1146"/>
      <c r="BP9" s="1146"/>
      <c r="BQ9" s="1146"/>
      <c r="BR9" s="1146"/>
      <c r="BS9" s="1146"/>
      <c r="BT9" s="1146"/>
      <c r="BU9" s="1146"/>
      <c r="BV9" s="1146"/>
      <c r="BW9" s="1146"/>
      <c r="BX9" s="1146"/>
      <c r="BY9" s="1146"/>
      <c r="BZ9" s="1146"/>
      <c r="CA9" s="1146"/>
      <c r="CB9" s="1146"/>
      <c r="CC9" s="1146"/>
      <c r="CD9" s="1146"/>
      <c r="CE9" s="1146"/>
      <c r="CF9" s="1146"/>
      <c r="CG9" s="1146"/>
      <c r="CH9" s="1146"/>
      <c r="CI9" s="1146"/>
      <c r="CJ9" s="1146"/>
      <c r="CK9" s="1146"/>
      <c r="CL9" s="1146"/>
      <c r="CM9" s="1146"/>
      <c r="CN9" s="1146"/>
      <c r="CO9" s="1146"/>
      <c r="CP9" s="1146"/>
      <c r="CQ9" s="1146"/>
      <c r="CR9" s="1146"/>
      <c r="CS9" s="1146"/>
      <c r="CT9" s="1146"/>
      <c r="CU9" s="1146"/>
      <c r="CV9" s="1146"/>
      <c r="CW9" s="1146"/>
      <c r="CX9" s="1146"/>
      <c r="CY9" s="1146"/>
      <c r="CZ9" s="1146"/>
      <c r="DA9" s="1146"/>
      <c r="DB9" s="1146"/>
      <c r="DC9" s="1146"/>
      <c r="DD9" s="1146"/>
    </row>
    <row r="10" spans="1:108" ht="10.5" hidden="1" customHeight="1" outlineLevel="2">
      <c r="A10" s="1004"/>
      <c r="B10" s="1004"/>
      <c r="C10" s="1009" t="s">
        <v>898</v>
      </c>
      <c r="D10" s="1004" t="str">
        <f>INDEX(Modules[Module], MATCH($C10, Modules[Code], 0))</f>
        <v>Domestic hot water [UNUSED - See IX.a]</v>
      </c>
      <c r="E10" s="1006"/>
      <c r="F10" s="12" t="s">
        <v>443</v>
      </c>
      <c r="G10" s="1018">
        <f>-($AI10+$BD10+$BH10)</f>
        <v>130.18160973500784</v>
      </c>
      <c r="H10" s="1018"/>
      <c r="I10" s="1018"/>
      <c r="J10" s="1018"/>
      <c r="K10" s="1018"/>
      <c r="L10" s="1018"/>
      <c r="M10" s="1018"/>
      <c r="N10" s="1018"/>
      <c r="O10" s="1018"/>
      <c r="P10" s="1018"/>
      <c r="Q10" s="1024">
        <f t="shared" si="0"/>
        <v>130.18160973500784</v>
      </c>
      <c r="S10" s="1028">
        <f>-'DECC Energy Cons. (1.14)'!$F$5*Unit.ktoe</f>
        <v>-16.177343547341795</v>
      </c>
      <c r="T10" s="1028"/>
      <c r="U10" s="1028">
        <f>-'DECC Energy Cons. (1.14)'!$E$5*Unit.ktoe</f>
        <v>-1.77652236070583</v>
      </c>
      <c r="V10" s="1028">
        <f>-'DECC Energy Cons. (1.14)'!$D$5*Unit.ktoe</f>
        <v>-8.7188237440085707</v>
      </c>
      <c r="W10" s="1028">
        <f>-'DECC Energy Cons. (1.14)'!$C$5*Unit.ktoe</f>
        <v>-103.50892008295163</v>
      </c>
      <c r="X10" s="1028"/>
      <c r="Y10" s="1028"/>
      <c r="Z10" s="1028"/>
      <c r="AA10" s="1028"/>
      <c r="AB10" s="1028"/>
      <c r="AC10" s="1028"/>
      <c r="AD10" s="1028"/>
      <c r="AE10" s="1028"/>
      <c r="AF10" s="1028"/>
      <c r="AG10" s="1028"/>
      <c r="AH10" s="1028"/>
      <c r="AI10" s="1029">
        <f t="shared" si="1"/>
        <v>-130.18160973500784</v>
      </c>
      <c r="AK10" s="1039"/>
      <c r="AL10" s="1039"/>
      <c r="AM10" s="1039"/>
      <c r="AN10" s="1039"/>
      <c r="AO10" s="1039"/>
      <c r="AP10" s="1039"/>
      <c r="AQ10" s="1039"/>
      <c r="AR10" s="1039"/>
      <c r="AS10" s="1039"/>
      <c r="AT10" s="1039"/>
      <c r="AU10" s="1039"/>
      <c r="AV10" s="1039"/>
      <c r="AW10" s="1039"/>
      <c r="AX10" s="1039"/>
      <c r="AY10" s="1039"/>
      <c r="AZ10" s="1039"/>
      <c r="BA10" s="1039"/>
      <c r="BB10" s="1039"/>
      <c r="BC10" s="1039"/>
      <c r="BD10" s="1008">
        <f t="shared" si="2"/>
        <v>0</v>
      </c>
      <c r="BF10" s="1033"/>
      <c r="BG10" s="1033"/>
      <c r="BH10" s="1044">
        <f t="shared" si="3"/>
        <v>0</v>
      </c>
      <c r="BJ10" s="1007">
        <f t="shared" si="4"/>
        <v>0</v>
      </c>
      <c r="BK10" s="1007"/>
      <c r="BL10" s="1004"/>
      <c r="BM10" s="1147"/>
      <c r="BN10" s="1146"/>
      <c r="BO10" s="1146"/>
      <c r="BP10" s="1146"/>
      <c r="BQ10" s="1146"/>
      <c r="BR10" s="1146"/>
      <c r="BS10" s="1146"/>
      <c r="BT10" s="1146"/>
      <c r="BU10" s="1146"/>
      <c r="BV10" s="1146"/>
      <c r="BW10" s="1146"/>
      <c r="BX10" s="1146"/>
      <c r="BY10" s="1146"/>
      <c r="BZ10" s="1146"/>
      <c r="CA10" s="1146"/>
      <c r="CB10" s="1146"/>
      <c r="CC10" s="1146"/>
      <c r="CD10" s="1146"/>
      <c r="CE10" s="1146"/>
      <c r="CF10" s="1146"/>
      <c r="CG10" s="1146"/>
      <c r="CH10" s="1146"/>
      <c r="CI10" s="1146"/>
      <c r="CJ10" s="1146"/>
      <c r="CK10" s="1146"/>
      <c r="CL10" s="1146"/>
      <c r="CM10" s="1146"/>
      <c r="CN10" s="1146"/>
      <c r="CO10" s="1146"/>
      <c r="CP10" s="1146"/>
      <c r="CQ10" s="1146"/>
      <c r="CR10" s="1146"/>
      <c r="CS10" s="1146"/>
      <c r="CT10" s="1146"/>
      <c r="CU10" s="1146"/>
      <c r="CV10" s="1146"/>
      <c r="CW10" s="1146"/>
      <c r="CX10" s="1146"/>
      <c r="CY10" s="1146"/>
      <c r="CZ10" s="1146"/>
      <c r="DA10" s="1146"/>
      <c r="DB10" s="1146"/>
      <c r="DC10" s="1146"/>
      <c r="DD10" s="1146"/>
    </row>
    <row r="11" spans="1:108" ht="12.75" hidden="1" customHeight="1" outlineLevel="1" collapsed="1">
      <c r="A11" s="715"/>
      <c r="B11" s="715"/>
      <c r="C11" s="746"/>
      <c r="D11" s="715" t="s">
        <v>947</v>
      </c>
      <c r="E11" s="521"/>
      <c r="F11" s="12"/>
      <c r="G11" s="1019">
        <f>SUM(G9:G10)</f>
        <v>421.65753422880323</v>
      </c>
      <c r="H11" s="1019">
        <f t="shared" ref="H11:P11" si="5">SUM(H9:H10)</f>
        <v>0</v>
      </c>
      <c r="I11" s="1019">
        <f t="shared" si="5"/>
        <v>0</v>
      </c>
      <c r="J11" s="1019">
        <f t="shared" si="5"/>
        <v>0</v>
      </c>
      <c r="K11" s="1019">
        <f t="shared" si="5"/>
        <v>0</v>
      </c>
      <c r="L11" s="1019">
        <f t="shared" si="5"/>
        <v>0</v>
      </c>
      <c r="M11" s="1019">
        <f t="shared" si="5"/>
        <v>0</v>
      </c>
      <c r="N11" s="1019">
        <f t="shared" si="5"/>
        <v>0</v>
      </c>
      <c r="O11" s="1019">
        <f t="shared" si="5"/>
        <v>0</v>
      </c>
      <c r="P11" s="1019">
        <f t="shared" si="5"/>
        <v>0</v>
      </c>
      <c r="Q11" s="1019">
        <f t="shared" si="0"/>
        <v>421.65753422880323</v>
      </c>
      <c r="S11" s="1027">
        <f>SUM(S9:S10)</f>
        <v>-30.148805334101993</v>
      </c>
      <c r="T11" s="1027">
        <f t="shared" ref="T11:AH11" si="6">SUM(T9:T10)</f>
        <v>0</v>
      </c>
      <c r="U11" s="1027">
        <f t="shared" si="6"/>
        <v>-7.8737179180745418</v>
      </c>
      <c r="V11" s="1027">
        <f t="shared" si="6"/>
        <v>-33.413412311051303</v>
      </c>
      <c r="W11" s="1027">
        <f t="shared" si="6"/>
        <v>-344.96874898454746</v>
      </c>
      <c r="X11" s="1027">
        <f>SUM(X9:X10)</f>
        <v>0</v>
      </c>
      <c r="Y11" s="1027">
        <f>SUM(Y9:Y10)</f>
        <v>0</v>
      </c>
      <c r="Z11" s="1027">
        <f>SUM(Z9:Z10)</f>
        <v>0</v>
      </c>
      <c r="AA11" s="1027">
        <f t="shared" si="6"/>
        <v>0</v>
      </c>
      <c r="AB11" s="1027">
        <f t="shared" si="6"/>
        <v>-0.60399999999999998</v>
      </c>
      <c r="AC11" s="1027">
        <f t="shared" si="6"/>
        <v>0</v>
      </c>
      <c r="AD11" s="1027">
        <f t="shared" si="6"/>
        <v>0</v>
      </c>
      <c r="AE11" s="1027">
        <f t="shared" si="6"/>
        <v>-3.8611111111111107</v>
      </c>
      <c r="AF11" s="1027">
        <f>SUM(AF9:AF10)</f>
        <v>0</v>
      </c>
      <c r="AG11" s="1027">
        <f>SUM(AG9:AG10)</f>
        <v>0</v>
      </c>
      <c r="AH11" s="1027">
        <f t="shared" si="6"/>
        <v>0</v>
      </c>
      <c r="AI11" s="1027">
        <f t="shared" si="1"/>
        <v>-420.8697956588864</v>
      </c>
      <c r="AK11" s="1040">
        <f t="shared" ref="AK11:BC11" si="7">SUM(AK9:AK10)</f>
        <v>0</v>
      </c>
      <c r="AL11" s="1040">
        <f t="shared" si="7"/>
        <v>0</v>
      </c>
      <c r="AM11" s="1040">
        <f t="shared" si="7"/>
        <v>0</v>
      </c>
      <c r="AN11" s="1040">
        <f t="shared" si="7"/>
        <v>0</v>
      </c>
      <c r="AO11" s="1040">
        <f t="shared" si="7"/>
        <v>0</v>
      </c>
      <c r="AP11" s="1040">
        <f t="shared" si="7"/>
        <v>0</v>
      </c>
      <c r="AQ11" s="1040">
        <f t="shared" si="7"/>
        <v>0</v>
      </c>
      <c r="AR11" s="1040">
        <f t="shared" si="7"/>
        <v>0</v>
      </c>
      <c r="AS11" s="1040">
        <f t="shared" si="7"/>
        <v>0</v>
      </c>
      <c r="AT11" s="1040">
        <f t="shared" si="7"/>
        <v>0</v>
      </c>
      <c r="AU11" s="1040">
        <f t="shared" si="7"/>
        <v>-0.52205907000000007</v>
      </c>
      <c r="AV11" s="1040">
        <f t="shared" si="7"/>
        <v>0</v>
      </c>
      <c r="AW11" s="1040">
        <f t="shared" si="7"/>
        <v>0</v>
      </c>
      <c r="AX11" s="1040">
        <f t="shared" si="7"/>
        <v>0</v>
      </c>
      <c r="AY11" s="1040">
        <f t="shared" si="7"/>
        <v>0</v>
      </c>
      <c r="AZ11" s="1040">
        <f t="shared" si="7"/>
        <v>0</v>
      </c>
      <c r="BA11" s="1040">
        <f t="shared" si="7"/>
        <v>0</v>
      </c>
      <c r="BB11" s="1040">
        <f t="shared" si="7"/>
        <v>0</v>
      </c>
      <c r="BC11" s="1040">
        <f t="shared" si="7"/>
        <v>-0.26567949991680362</v>
      </c>
      <c r="BD11" s="979">
        <f t="shared" si="2"/>
        <v>-0.78773856991680369</v>
      </c>
      <c r="BF11" s="1034">
        <f>SUM(BF9:BF10)</f>
        <v>0</v>
      </c>
      <c r="BG11" s="1034">
        <f>SUM(BG9:BG10)</f>
        <v>0</v>
      </c>
      <c r="BH11" s="1034">
        <f t="shared" si="3"/>
        <v>0</v>
      </c>
      <c r="BJ11" s="814">
        <f t="shared" si="4"/>
        <v>2.2093438190040615E-14</v>
      </c>
      <c r="BK11" s="814"/>
      <c r="BL11" s="715"/>
      <c r="BM11" s="1147"/>
      <c r="BN11" s="1146"/>
      <c r="BO11" s="1146"/>
      <c r="BP11" s="1146"/>
      <c r="BQ11" s="1146"/>
      <c r="BR11" s="1146"/>
      <c r="BS11" s="1146"/>
      <c r="BT11" s="1146"/>
      <c r="BU11" s="1146"/>
      <c r="BV11" s="1146"/>
      <c r="BW11" s="1146"/>
      <c r="BX11" s="1146"/>
      <c r="BY11" s="1146"/>
      <c r="BZ11" s="1146"/>
      <c r="CA11" s="1146"/>
      <c r="CB11" s="1146"/>
      <c r="CC11" s="1146"/>
      <c r="CD11" s="1146"/>
      <c r="CE11" s="1146"/>
      <c r="CF11" s="1146"/>
      <c r="CG11" s="1146"/>
      <c r="CH11" s="1146"/>
      <c r="CI11" s="1146"/>
      <c r="CJ11" s="1146"/>
      <c r="CK11" s="1146"/>
      <c r="CL11" s="1146"/>
      <c r="CM11" s="1146"/>
      <c r="CN11" s="1146"/>
      <c r="CO11" s="1146"/>
      <c r="CP11" s="1146"/>
      <c r="CQ11" s="1146"/>
      <c r="CR11" s="1146"/>
      <c r="CS11" s="1146"/>
      <c r="CT11" s="1146"/>
      <c r="CU11" s="1146"/>
      <c r="CV11" s="1146"/>
      <c r="CW11" s="1146"/>
      <c r="CX11" s="1146"/>
      <c r="CY11" s="1146"/>
      <c r="CZ11" s="1146"/>
      <c r="DA11" s="1146"/>
      <c r="DB11" s="1146"/>
      <c r="DC11" s="1146"/>
      <c r="DD11" s="1146"/>
    </row>
    <row r="12" spans="1:108" s="849" customFormat="1" ht="12.75" hidden="1" customHeight="1" outlineLevel="2">
      <c r="C12" s="1048"/>
      <c r="D12" s="849" t="s">
        <v>1090</v>
      </c>
      <c r="E12" s="851"/>
      <c r="G12" s="1295">
        <f>-($AI12+$BD12+$BH12)</f>
        <v>104.04632500828521</v>
      </c>
      <c r="H12" s="1295"/>
      <c r="I12" s="1295"/>
      <c r="J12" s="1295"/>
      <c r="K12" s="1295"/>
      <c r="L12" s="1295"/>
      <c r="M12" s="1295"/>
      <c r="N12" s="1295"/>
      <c r="O12" s="1295"/>
      <c r="P12" s="1295"/>
      <c r="Q12" s="1295">
        <f t="shared" si="0"/>
        <v>104.04632500828521</v>
      </c>
      <c r="S12" s="1311">
        <f>-'DECC Energy Cons. (1.14)'!$F$11*Unit.ktoe</f>
        <v>-14.045834614912419</v>
      </c>
      <c r="T12" s="1311"/>
      <c r="U12" s="1311">
        <f>-'DECC Energy Cons. (1.14)'!$E$11*Unit.ktoe</f>
        <v>-0.11750963888039824</v>
      </c>
      <c r="V12" s="1311">
        <f>-'DECC Energy Cons. (1.14)'!$D$11*Unit.ktoe</f>
        <v>-12.289764386263311</v>
      </c>
      <c r="W12" s="1311">
        <f>-'DECC Energy Cons. (1.14)'!$C$11*Unit.ktoe</f>
        <v>-72.436462608791018</v>
      </c>
      <c r="X12" s="1311"/>
      <c r="Y12" s="1311"/>
      <c r="Z12" s="1311"/>
      <c r="AA12" s="1311"/>
      <c r="AB12" s="1311">
        <f>-('DUKES 09 (1.2)'!$J$59+'DUKES 09 (1.2)'!$J$60)*Unit.ktoe</f>
        <v>-4.4831247399999992</v>
      </c>
      <c r="AC12" s="1311"/>
      <c r="AD12" s="1311"/>
      <c r="AE12" s="1311"/>
      <c r="AF12" s="1311"/>
      <c r="AG12" s="1311"/>
      <c r="AH12" s="1311"/>
      <c r="AI12" s="971">
        <f t="shared" si="1"/>
        <v>-103.37269598884714</v>
      </c>
      <c r="AK12" s="978"/>
      <c r="AL12" s="978"/>
      <c r="AM12" s="978"/>
      <c r="AN12" s="978"/>
      <c r="AO12" s="978"/>
      <c r="AP12" s="978"/>
      <c r="AQ12" s="978"/>
      <c r="AR12" s="978"/>
      <c r="AS12" s="978"/>
      <c r="AT12" s="978"/>
      <c r="AU12" s="978"/>
      <c r="AV12" s="978"/>
      <c r="AW12" s="978"/>
      <c r="AX12" s="978"/>
      <c r="AY12" s="978"/>
      <c r="AZ12" s="978"/>
      <c r="BA12" s="978"/>
      <c r="BB12" s="978"/>
      <c r="BC12" s="978">
        <f>-('DUKES 09 (7.2)'!$J$62+'DUKES 09 (7.2)'!$J$63)*Unit.ktoe</f>
        <v>-0.67362901943806508</v>
      </c>
      <c r="BD12" s="978">
        <f t="shared" si="2"/>
        <v>-0.67362901943806508</v>
      </c>
      <c r="BF12" s="991"/>
      <c r="BG12" s="991"/>
      <c r="BH12" s="991"/>
      <c r="BJ12" s="1298">
        <f t="shared" si="4"/>
        <v>2.1094237467877974E-15</v>
      </c>
      <c r="BK12" s="852"/>
      <c r="BM12" s="1149"/>
      <c r="BN12" s="1149"/>
      <c r="BO12" s="1149"/>
      <c r="BP12" s="1149"/>
      <c r="BQ12" s="1149"/>
      <c r="BR12" s="1149"/>
      <c r="BS12" s="1149"/>
      <c r="BT12" s="1149"/>
      <c r="BU12" s="1149"/>
      <c r="BV12" s="1149"/>
      <c r="BW12" s="1149"/>
      <c r="BX12" s="1149"/>
      <c r="BY12" s="1149"/>
      <c r="BZ12" s="1149"/>
      <c r="CA12" s="1149"/>
      <c r="CB12" s="1149"/>
      <c r="CC12" s="1149"/>
      <c r="CD12" s="1149"/>
      <c r="CE12" s="1149"/>
      <c r="CF12" s="1149"/>
      <c r="CG12" s="1149"/>
      <c r="CH12" s="1149"/>
      <c r="CI12" s="1149"/>
      <c r="CJ12" s="1149"/>
      <c r="CK12" s="1149"/>
      <c r="CL12" s="1149"/>
      <c r="CM12" s="1149"/>
      <c r="CN12" s="1149"/>
      <c r="CO12" s="1149"/>
      <c r="CP12" s="1149"/>
      <c r="CQ12" s="1149"/>
      <c r="CR12" s="1149"/>
      <c r="CS12" s="1149"/>
      <c r="CT12" s="1149"/>
      <c r="CU12" s="1149"/>
      <c r="CV12" s="1149"/>
      <c r="CW12" s="1149"/>
      <c r="CX12" s="1149"/>
      <c r="CY12" s="1149"/>
      <c r="CZ12" s="1149"/>
      <c r="DA12" s="1149"/>
      <c r="DB12" s="1149"/>
      <c r="DC12" s="1149"/>
      <c r="DD12" s="1149"/>
    </row>
    <row r="13" spans="1:108" s="849" customFormat="1" ht="12.75" hidden="1" customHeight="1" outlineLevel="2">
      <c r="C13" s="1048"/>
      <c r="D13" s="849" t="s">
        <v>1091</v>
      </c>
      <c r="E13" s="851"/>
      <c r="G13" s="1295">
        <f>-($AI13+$BD13+$BH13)</f>
        <v>19.039910654165368</v>
      </c>
      <c r="H13" s="1295"/>
      <c r="I13" s="1295"/>
      <c r="J13" s="1295"/>
      <c r="K13" s="1295"/>
      <c r="L13" s="1295"/>
      <c r="M13" s="1295"/>
      <c r="N13" s="1295"/>
      <c r="O13" s="1295"/>
      <c r="P13" s="1295"/>
      <c r="Q13" s="1295">
        <f t="shared" si="0"/>
        <v>19.039910654165368</v>
      </c>
      <c r="S13" s="1311">
        <f>-'DECC Energy Cons. (1.14)'!$F$12*Unit.ktoe</f>
        <v>-3.3124095446842174</v>
      </c>
      <c r="T13" s="1311"/>
      <c r="U13" s="1311">
        <f>-'DECC Energy Cons. (1.14)'!$E$12*Unit.ktoe</f>
        <v>-1.2342406975101861E-2</v>
      </c>
      <c r="V13" s="1311">
        <f>-'DECC Energy Cons. (1.14)'!$D$12*Unit.ktoe</f>
        <v>-1.1634552953297206</v>
      </c>
      <c r="W13" s="1311">
        <f>-'DECC Energy Cons. (1.14)'!$C$12*Unit.ktoe</f>
        <v>-14.55170340717633</v>
      </c>
      <c r="X13" s="1311"/>
      <c r="Y13" s="1311"/>
      <c r="Z13" s="1311"/>
      <c r="AA13" s="1311"/>
      <c r="AB13" s="1311"/>
      <c r="AC13" s="1311"/>
      <c r="AD13" s="1311"/>
      <c r="AE13" s="1311"/>
      <c r="AF13" s="1311"/>
      <c r="AG13" s="1311"/>
      <c r="AH13" s="1311"/>
      <c r="AI13" s="971">
        <f t="shared" si="1"/>
        <v>-19.039910654165368</v>
      </c>
      <c r="AK13" s="978"/>
      <c r="AL13" s="978"/>
      <c r="AM13" s="978"/>
      <c r="AN13" s="978"/>
      <c r="AO13" s="978"/>
      <c r="AP13" s="978"/>
      <c r="AQ13" s="978"/>
      <c r="AR13" s="978"/>
      <c r="AS13" s="978"/>
      <c r="AT13" s="978"/>
      <c r="AU13" s="978"/>
      <c r="AV13" s="978"/>
      <c r="AW13" s="978"/>
      <c r="AX13" s="978"/>
      <c r="AY13" s="978"/>
      <c r="AZ13" s="978"/>
      <c r="BA13" s="978"/>
      <c r="BB13" s="978"/>
      <c r="BC13" s="978"/>
      <c r="BD13" s="978">
        <f t="shared" si="2"/>
        <v>0</v>
      </c>
      <c r="BF13" s="991"/>
      <c r="BG13" s="991"/>
      <c r="BH13" s="991"/>
      <c r="BJ13" s="1298">
        <f t="shared" si="4"/>
        <v>0</v>
      </c>
      <c r="BK13" s="852"/>
      <c r="BM13" s="1149"/>
      <c r="BN13" s="1149"/>
      <c r="BO13" s="1149"/>
      <c r="BP13" s="1149"/>
      <c r="BQ13" s="1149"/>
      <c r="BR13" s="1149"/>
      <c r="BS13" s="1149"/>
      <c r="BT13" s="1149"/>
      <c r="BU13" s="1149"/>
      <c r="BV13" s="1149"/>
      <c r="BW13" s="1149"/>
      <c r="BX13" s="1149"/>
      <c r="BY13" s="1149"/>
      <c r="BZ13" s="1149"/>
      <c r="CA13" s="1149"/>
      <c r="CB13" s="1149"/>
      <c r="CC13" s="1149"/>
      <c r="CD13" s="1149"/>
      <c r="CE13" s="1149"/>
      <c r="CF13" s="1149"/>
      <c r="CG13" s="1149"/>
      <c r="CH13" s="1149"/>
      <c r="CI13" s="1149"/>
      <c r="CJ13" s="1149"/>
      <c r="CK13" s="1149"/>
      <c r="CL13" s="1149"/>
      <c r="CM13" s="1149"/>
      <c r="CN13" s="1149"/>
      <c r="CO13" s="1149"/>
      <c r="CP13" s="1149"/>
      <c r="CQ13" s="1149"/>
      <c r="CR13" s="1149"/>
      <c r="CS13" s="1149"/>
      <c r="CT13" s="1149"/>
      <c r="CU13" s="1149"/>
      <c r="CV13" s="1149"/>
      <c r="CW13" s="1149"/>
      <c r="CX13" s="1149"/>
      <c r="CY13" s="1149"/>
      <c r="CZ13" s="1149"/>
      <c r="DA13" s="1149"/>
      <c r="DB13" s="1149"/>
      <c r="DC13" s="1149"/>
      <c r="DD13" s="1149"/>
    </row>
    <row r="14" spans="1:108" ht="10.5" hidden="1" customHeight="1" outlineLevel="2">
      <c r="A14" s="954"/>
      <c r="B14" s="954"/>
      <c r="C14" s="746" t="s">
        <v>945</v>
      </c>
      <c r="D14" s="954" t="str">
        <f>INDEX(Modules[Module], MATCH($C14, Modules[Code], 0))</f>
        <v>Commercial heating and cooling</v>
      </c>
      <c r="E14" s="1006"/>
      <c r="F14" s="12" t="s">
        <v>1212</v>
      </c>
      <c r="G14" s="1017">
        <f>G12+G13</f>
        <v>123.08623566245058</v>
      </c>
      <c r="H14" s="1017"/>
      <c r="I14" s="1017"/>
      <c r="J14" s="1017"/>
      <c r="K14" s="1017"/>
      <c r="L14" s="1017"/>
      <c r="M14" s="1017"/>
      <c r="N14" s="1017"/>
      <c r="O14" s="1017"/>
      <c r="P14" s="1017"/>
      <c r="Q14" s="1019">
        <f t="shared" si="0"/>
        <v>123.08623566245058</v>
      </c>
      <c r="S14" s="1027">
        <f>S12+S13</f>
        <v>-17.358244159596637</v>
      </c>
      <c r="T14" s="1027">
        <f t="shared" ref="T14:AH14" si="8">T12+T13</f>
        <v>0</v>
      </c>
      <c r="U14" s="1027">
        <f t="shared" si="8"/>
        <v>-0.12985204585550009</v>
      </c>
      <c r="V14" s="1027">
        <f t="shared" si="8"/>
        <v>-13.453219681593032</v>
      </c>
      <c r="W14" s="1027">
        <f t="shared" si="8"/>
        <v>-86.988166015967352</v>
      </c>
      <c r="X14" s="1027">
        <f t="shared" si="8"/>
        <v>0</v>
      </c>
      <c r="Y14" s="1027">
        <f t="shared" si="8"/>
        <v>0</v>
      </c>
      <c r="Z14" s="1027">
        <f t="shared" si="8"/>
        <v>0</v>
      </c>
      <c r="AA14" s="1027">
        <f t="shared" si="8"/>
        <v>0</v>
      </c>
      <c r="AB14" s="1027">
        <f t="shared" si="8"/>
        <v>-4.4831247399999992</v>
      </c>
      <c r="AC14" s="1027">
        <f t="shared" si="8"/>
        <v>0</v>
      </c>
      <c r="AD14" s="1027"/>
      <c r="AE14" s="1027">
        <f t="shared" si="8"/>
        <v>0</v>
      </c>
      <c r="AF14" s="1027">
        <f>AF12+AF13</f>
        <v>0</v>
      </c>
      <c r="AG14" s="1027">
        <f>AG12+AG13</f>
        <v>0</v>
      </c>
      <c r="AH14" s="1027">
        <f t="shared" si="8"/>
        <v>0</v>
      </c>
      <c r="AI14" s="1027">
        <f t="shared" si="1"/>
        <v>-122.41260664301251</v>
      </c>
      <c r="AK14" s="1038">
        <f t="shared" ref="AK14:BC14" si="9">AK12+AK13</f>
        <v>0</v>
      </c>
      <c r="AL14" s="1038">
        <f t="shared" si="9"/>
        <v>0</v>
      </c>
      <c r="AM14" s="1038">
        <f t="shared" si="9"/>
        <v>0</v>
      </c>
      <c r="AN14" s="1038">
        <f t="shared" si="9"/>
        <v>0</v>
      </c>
      <c r="AO14" s="1038">
        <f t="shared" si="9"/>
        <v>0</v>
      </c>
      <c r="AP14" s="1038">
        <f t="shared" si="9"/>
        <v>0</v>
      </c>
      <c r="AQ14" s="1038">
        <f t="shared" si="9"/>
        <v>0</v>
      </c>
      <c r="AR14" s="1038">
        <f t="shared" si="9"/>
        <v>0</v>
      </c>
      <c r="AS14" s="1038">
        <f t="shared" si="9"/>
        <v>0</v>
      </c>
      <c r="AT14" s="1038">
        <f t="shared" si="9"/>
        <v>0</v>
      </c>
      <c r="AU14" s="1038">
        <f t="shared" si="9"/>
        <v>0</v>
      </c>
      <c r="AV14" s="1038">
        <f t="shared" si="9"/>
        <v>0</v>
      </c>
      <c r="AW14" s="1038">
        <f t="shared" si="9"/>
        <v>0</v>
      </c>
      <c r="AX14" s="1038">
        <f t="shared" si="9"/>
        <v>0</v>
      </c>
      <c r="AY14" s="1038">
        <f t="shared" si="9"/>
        <v>0</v>
      </c>
      <c r="AZ14" s="1038">
        <f t="shared" si="9"/>
        <v>0</v>
      </c>
      <c r="BA14" s="1038">
        <f t="shared" si="9"/>
        <v>0</v>
      </c>
      <c r="BB14" s="1038">
        <f t="shared" si="9"/>
        <v>0</v>
      </c>
      <c r="BC14" s="1038">
        <f t="shared" si="9"/>
        <v>-0.67362901943806508</v>
      </c>
      <c r="BD14" s="977">
        <f t="shared" si="2"/>
        <v>-0.67362901943806508</v>
      </c>
      <c r="BF14" s="1032"/>
      <c r="BG14" s="1032"/>
      <c r="BH14" s="1034">
        <f t="shared" si="3"/>
        <v>0</v>
      </c>
      <c r="BJ14" s="524">
        <f t="shared" si="4"/>
        <v>2.1094237467877974E-15</v>
      </c>
      <c r="BK14" s="524"/>
      <c r="BL14" s="954"/>
      <c r="BM14" s="1147"/>
      <c r="BN14" s="1146"/>
      <c r="BO14" s="1146"/>
      <c r="BP14" s="1146"/>
      <c r="BQ14" s="1146"/>
      <c r="BR14" s="1146"/>
      <c r="BS14" s="1146"/>
      <c r="BT14" s="1146"/>
      <c r="BU14" s="1146"/>
      <c r="BV14" s="1146"/>
      <c r="BW14" s="1146"/>
      <c r="BX14" s="1146"/>
      <c r="BY14" s="1146"/>
      <c r="BZ14" s="1146"/>
      <c r="CA14" s="1146"/>
      <c r="CB14" s="1146"/>
      <c r="CC14" s="1146"/>
      <c r="CD14" s="1146"/>
      <c r="CE14" s="1146"/>
      <c r="CF14" s="1146"/>
      <c r="CG14" s="1146"/>
      <c r="CH14" s="1146"/>
      <c r="CI14" s="1146"/>
      <c r="CJ14" s="1146"/>
      <c r="CK14" s="1146"/>
      <c r="CL14" s="1146"/>
      <c r="CM14" s="1146"/>
      <c r="CN14" s="1146"/>
      <c r="CO14" s="1146"/>
      <c r="CP14" s="1146"/>
      <c r="CQ14" s="1146"/>
      <c r="CR14" s="1146"/>
      <c r="CS14" s="1146"/>
      <c r="CT14" s="1146"/>
      <c r="CU14" s="1146"/>
      <c r="CV14" s="1146"/>
      <c r="CW14" s="1146"/>
      <c r="CX14" s="1146"/>
      <c r="CY14" s="1146"/>
      <c r="CZ14" s="1146"/>
      <c r="DA14" s="1146"/>
      <c r="DB14" s="1146"/>
      <c r="DC14" s="1146"/>
      <c r="DD14" s="1146"/>
    </row>
    <row r="15" spans="1:108" ht="10.5" hidden="1" customHeight="1" outlineLevel="2">
      <c r="A15" s="1004"/>
      <c r="B15" s="1004"/>
      <c r="C15" s="1009" t="s">
        <v>946</v>
      </c>
      <c r="D15" s="1004" t="str">
        <f>INDEX(Modules[Module], MATCH($C15, Modules[Code], 0))</f>
        <v>Commercial hot water [UNUSED - See IX.c]</v>
      </c>
      <c r="E15" s="1006"/>
      <c r="F15" s="12"/>
      <c r="G15" s="1018"/>
      <c r="H15" s="1018"/>
      <c r="I15" s="1018"/>
      <c r="J15" s="1018"/>
      <c r="K15" s="1018"/>
      <c r="L15" s="1018"/>
      <c r="M15" s="1018"/>
      <c r="N15" s="1018"/>
      <c r="O15" s="1018"/>
      <c r="P15" s="1018"/>
      <c r="Q15" s="1024">
        <f t="shared" si="0"/>
        <v>0</v>
      </c>
      <c r="S15" s="1028"/>
      <c r="T15" s="1028"/>
      <c r="U15" s="1028"/>
      <c r="V15" s="1028"/>
      <c r="W15" s="1028"/>
      <c r="X15" s="1028"/>
      <c r="Y15" s="1028"/>
      <c r="Z15" s="1028"/>
      <c r="AA15" s="1028"/>
      <c r="AB15" s="1028"/>
      <c r="AC15" s="1028"/>
      <c r="AD15" s="1028"/>
      <c r="AE15" s="1028"/>
      <c r="AF15" s="1028"/>
      <c r="AG15" s="1028"/>
      <c r="AH15" s="1028"/>
      <c r="AI15" s="1029">
        <f t="shared" si="1"/>
        <v>0</v>
      </c>
      <c r="AK15" s="1039"/>
      <c r="AL15" s="1039"/>
      <c r="AM15" s="1039"/>
      <c r="AN15" s="1039"/>
      <c r="AO15" s="1039"/>
      <c r="AP15" s="1039"/>
      <c r="AQ15" s="1039"/>
      <c r="AR15" s="1039"/>
      <c r="AS15" s="1039"/>
      <c r="AT15" s="1039"/>
      <c r="AU15" s="1039"/>
      <c r="AV15" s="1039"/>
      <c r="AW15" s="1039"/>
      <c r="AX15" s="1039"/>
      <c r="AY15" s="1039"/>
      <c r="AZ15" s="1039"/>
      <c r="BA15" s="1039"/>
      <c r="BB15" s="1039"/>
      <c r="BC15" s="1039"/>
      <c r="BD15" s="1008">
        <f t="shared" si="2"/>
        <v>0</v>
      </c>
      <c r="BF15" s="1033"/>
      <c r="BG15" s="1033"/>
      <c r="BH15" s="1044">
        <f t="shared" si="3"/>
        <v>0</v>
      </c>
      <c r="BJ15" s="1007">
        <f t="shared" si="4"/>
        <v>0</v>
      </c>
      <c r="BK15" s="1007"/>
      <c r="BL15" s="1004"/>
      <c r="BM15" s="1147"/>
      <c r="BN15" s="1146"/>
      <c r="BO15" s="1146"/>
      <c r="BP15" s="1146"/>
      <c r="BQ15" s="1146"/>
      <c r="BR15" s="1146"/>
      <c r="BS15" s="1146"/>
      <c r="BT15" s="1146"/>
      <c r="BU15" s="1146"/>
      <c r="BV15" s="1146"/>
      <c r="BW15" s="1146"/>
      <c r="BX15" s="1146"/>
      <c r="BY15" s="1146"/>
      <c r="BZ15" s="1146"/>
      <c r="CA15" s="1146"/>
      <c r="CB15" s="1146"/>
      <c r="CC15" s="1146"/>
      <c r="CD15" s="1146"/>
      <c r="CE15" s="1146"/>
      <c r="CF15" s="1146"/>
      <c r="CG15" s="1146"/>
      <c r="CH15" s="1146"/>
      <c r="CI15" s="1146"/>
      <c r="CJ15" s="1146"/>
      <c r="CK15" s="1146"/>
      <c r="CL15" s="1146"/>
      <c r="CM15" s="1146"/>
      <c r="CN15" s="1146"/>
      <c r="CO15" s="1146"/>
      <c r="CP15" s="1146"/>
      <c r="CQ15" s="1146"/>
      <c r="CR15" s="1146"/>
      <c r="CS15" s="1146"/>
      <c r="CT15" s="1146"/>
      <c r="CU15" s="1146"/>
      <c r="CV15" s="1146"/>
      <c r="CW15" s="1146"/>
      <c r="CX15" s="1146"/>
      <c r="CY15" s="1146"/>
      <c r="CZ15" s="1146"/>
      <c r="DA15" s="1146"/>
      <c r="DB15" s="1146"/>
      <c r="DC15" s="1146"/>
      <c r="DD15" s="1146"/>
    </row>
    <row r="16" spans="1:108" ht="12.75" hidden="1" customHeight="1" outlineLevel="1" collapsed="1">
      <c r="A16" s="715"/>
      <c r="B16" s="715"/>
      <c r="C16" s="746"/>
      <c r="D16" s="1010" t="s">
        <v>948</v>
      </c>
      <c r="E16" s="1010"/>
      <c r="F16" s="12"/>
      <c r="G16" s="1020">
        <f>SUM(G14:G15)</f>
        <v>123.08623566245058</v>
      </c>
      <c r="H16" s="1020">
        <f t="shared" ref="H16:P16" si="10">SUM(H14:H15)</f>
        <v>0</v>
      </c>
      <c r="I16" s="1020">
        <f t="shared" si="10"/>
        <v>0</v>
      </c>
      <c r="J16" s="1020">
        <f t="shared" si="10"/>
        <v>0</v>
      </c>
      <c r="K16" s="1020">
        <f t="shared" si="10"/>
        <v>0</v>
      </c>
      <c r="L16" s="1020">
        <f t="shared" si="10"/>
        <v>0</v>
      </c>
      <c r="M16" s="1020">
        <f t="shared" si="10"/>
        <v>0</v>
      </c>
      <c r="N16" s="1020">
        <f t="shared" si="10"/>
        <v>0</v>
      </c>
      <c r="O16" s="1020">
        <f t="shared" si="10"/>
        <v>0</v>
      </c>
      <c r="P16" s="1020">
        <f t="shared" si="10"/>
        <v>0</v>
      </c>
      <c r="Q16" s="1020">
        <f t="shared" si="0"/>
        <v>123.08623566245058</v>
      </c>
      <c r="S16" s="1030">
        <f t="shared" ref="S16:AH16" si="11">SUM(S14:S15)</f>
        <v>-17.358244159596637</v>
      </c>
      <c r="T16" s="1030">
        <f t="shared" si="11"/>
        <v>0</v>
      </c>
      <c r="U16" s="1030">
        <f t="shared" si="11"/>
        <v>-0.12985204585550009</v>
      </c>
      <c r="V16" s="1030">
        <f t="shared" si="11"/>
        <v>-13.453219681593032</v>
      </c>
      <c r="W16" s="1030">
        <f t="shared" si="11"/>
        <v>-86.988166015967352</v>
      </c>
      <c r="X16" s="1030">
        <f>SUM(X14:X15)</f>
        <v>0</v>
      </c>
      <c r="Y16" s="1030">
        <f>SUM(Y14:Y15)</f>
        <v>0</v>
      </c>
      <c r="Z16" s="1030">
        <f>SUM(Z14:Z15)</f>
        <v>0</v>
      </c>
      <c r="AA16" s="1030">
        <f t="shared" si="11"/>
        <v>0</v>
      </c>
      <c r="AB16" s="1030">
        <f t="shared" si="11"/>
        <v>-4.4831247399999992</v>
      </c>
      <c r="AC16" s="1030">
        <f t="shared" si="11"/>
        <v>0</v>
      </c>
      <c r="AD16" s="1030">
        <f t="shared" si="11"/>
        <v>0</v>
      </c>
      <c r="AE16" s="1030">
        <f t="shared" si="11"/>
        <v>0</v>
      </c>
      <c r="AF16" s="1030">
        <f>SUM(AF14:AF15)</f>
        <v>0</v>
      </c>
      <c r="AG16" s="1030">
        <f>SUM(AG14:AG15)</f>
        <v>0</v>
      </c>
      <c r="AH16" s="1030">
        <f t="shared" si="11"/>
        <v>0</v>
      </c>
      <c r="AI16" s="1030">
        <f t="shared" si="1"/>
        <v>-122.41260664301251</v>
      </c>
      <c r="AK16" s="1041">
        <f t="shared" ref="AK16:AQ16" si="12">SUM(AK14:AK15)</f>
        <v>0</v>
      </c>
      <c r="AL16" s="1041">
        <f t="shared" si="12"/>
        <v>0</v>
      </c>
      <c r="AM16" s="1041">
        <f t="shared" si="12"/>
        <v>0</v>
      </c>
      <c r="AN16" s="1041">
        <f t="shared" si="12"/>
        <v>0</v>
      </c>
      <c r="AO16" s="1041">
        <f t="shared" si="12"/>
        <v>0</v>
      </c>
      <c r="AP16" s="1041">
        <f t="shared" si="12"/>
        <v>0</v>
      </c>
      <c r="AQ16" s="1041">
        <f t="shared" si="12"/>
        <v>0</v>
      </c>
      <c r="AR16" s="1041">
        <f t="shared" ref="AR16:BC16" si="13">SUM(AR14:AR15)</f>
        <v>0</v>
      </c>
      <c r="AS16" s="1041">
        <f t="shared" si="13"/>
        <v>0</v>
      </c>
      <c r="AT16" s="1041">
        <f t="shared" si="13"/>
        <v>0</v>
      </c>
      <c r="AU16" s="1041">
        <f t="shared" si="13"/>
        <v>0</v>
      </c>
      <c r="AV16" s="1041">
        <f t="shared" si="13"/>
        <v>0</v>
      </c>
      <c r="AW16" s="1041">
        <f t="shared" si="13"/>
        <v>0</v>
      </c>
      <c r="AX16" s="1041">
        <f t="shared" si="13"/>
        <v>0</v>
      </c>
      <c r="AY16" s="1041">
        <f t="shared" si="13"/>
        <v>0</v>
      </c>
      <c r="AZ16" s="1041">
        <f t="shared" si="13"/>
        <v>0</v>
      </c>
      <c r="BA16" s="1041">
        <f t="shared" si="13"/>
        <v>0</v>
      </c>
      <c r="BB16" s="1041">
        <f t="shared" si="13"/>
        <v>0</v>
      </c>
      <c r="BC16" s="1041">
        <f t="shared" si="13"/>
        <v>-0.67362901943806508</v>
      </c>
      <c r="BD16" s="1012">
        <f t="shared" si="2"/>
        <v>-0.67362901943806508</v>
      </c>
      <c r="BF16" s="1035">
        <f>SUM(BF14:BF15)</f>
        <v>0</v>
      </c>
      <c r="BG16" s="1035">
        <f>SUM(BG14:BG15)</f>
        <v>0</v>
      </c>
      <c r="BH16" s="1035">
        <f t="shared" si="3"/>
        <v>0</v>
      </c>
      <c r="BJ16" s="814">
        <f t="shared" si="4"/>
        <v>2.1094237467877974E-15</v>
      </c>
      <c r="BK16" s="814"/>
      <c r="BL16" s="715"/>
      <c r="BM16" s="1147"/>
      <c r="BN16" s="1146"/>
      <c r="BO16" s="1146"/>
      <c r="BP16" s="1146"/>
      <c r="BQ16" s="1146"/>
      <c r="BR16" s="1146"/>
      <c r="BS16" s="1146"/>
      <c r="BT16" s="1146"/>
      <c r="BU16" s="1146"/>
      <c r="BV16" s="1146"/>
      <c r="BW16" s="1146"/>
      <c r="BX16" s="1146"/>
      <c r="BY16" s="1146"/>
      <c r="BZ16" s="1146"/>
      <c r="CA16" s="1146"/>
      <c r="CB16" s="1146"/>
      <c r="CC16" s="1146"/>
      <c r="CD16" s="1146"/>
      <c r="CE16" s="1146"/>
      <c r="CF16" s="1146"/>
      <c r="CG16" s="1146"/>
      <c r="CH16" s="1146"/>
      <c r="CI16" s="1146"/>
      <c r="CJ16" s="1146"/>
      <c r="CK16" s="1146"/>
      <c r="CL16" s="1146"/>
      <c r="CM16" s="1146"/>
      <c r="CN16" s="1146"/>
      <c r="CO16" s="1146"/>
      <c r="CP16" s="1146"/>
      <c r="CQ16" s="1146"/>
      <c r="CR16" s="1146"/>
      <c r="CS16" s="1146"/>
      <c r="CT16" s="1146"/>
      <c r="CU16" s="1146"/>
      <c r="CV16" s="1146"/>
      <c r="CW16" s="1146"/>
      <c r="CX16" s="1146"/>
      <c r="CY16" s="1146"/>
      <c r="CZ16" s="1146"/>
      <c r="DA16" s="1146"/>
      <c r="DB16" s="1146"/>
      <c r="DC16" s="1146"/>
      <c r="DD16" s="1146"/>
    </row>
    <row r="17" spans="1:108" ht="15.75" collapsed="1">
      <c r="A17" s="24"/>
      <c r="B17" s="3"/>
      <c r="C17" s="744" t="s">
        <v>676</v>
      </c>
      <c r="D17" s="517" t="str">
        <f>INDEX(Workstreams[Workstream], MATCH($C17, Workstreams[Code], 0))</f>
        <v>Heating</v>
      </c>
      <c r="E17" s="512"/>
      <c r="F17" s="12"/>
      <c r="G17" s="1021">
        <f t="shared" ref="G17:P17" si="14">G16+G11</f>
        <v>544.74376989125381</v>
      </c>
      <c r="H17" s="1021">
        <f t="shared" si="14"/>
        <v>0</v>
      </c>
      <c r="I17" s="1021">
        <f t="shared" si="14"/>
        <v>0</v>
      </c>
      <c r="J17" s="1021">
        <f t="shared" si="14"/>
        <v>0</v>
      </c>
      <c r="K17" s="1021">
        <f t="shared" si="14"/>
        <v>0</v>
      </c>
      <c r="L17" s="1021">
        <f t="shared" si="14"/>
        <v>0</v>
      </c>
      <c r="M17" s="1021">
        <f t="shared" si="14"/>
        <v>0</v>
      </c>
      <c r="N17" s="1021">
        <f t="shared" si="14"/>
        <v>0</v>
      </c>
      <c r="O17" s="1021">
        <f t="shared" si="14"/>
        <v>0</v>
      </c>
      <c r="P17" s="1021">
        <f t="shared" si="14"/>
        <v>0</v>
      </c>
      <c r="Q17" s="1021">
        <f t="shared" si="0"/>
        <v>544.74376989125381</v>
      </c>
      <c r="S17" s="970">
        <f t="shared" ref="S17:AH17" si="15">S16+S11</f>
        <v>-47.507049493698631</v>
      </c>
      <c r="T17" s="970">
        <f t="shared" si="15"/>
        <v>0</v>
      </c>
      <c r="U17" s="970">
        <f t="shared" si="15"/>
        <v>-8.0035699639300422</v>
      </c>
      <c r="V17" s="970">
        <f t="shared" si="15"/>
        <v>-46.866631992644336</v>
      </c>
      <c r="W17" s="970">
        <f t="shared" si="15"/>
        <v>-431.95691500051481</v>
      </c>
      <c r="X17" s="970">
        <f t="shared" si="15"/>
        <v>0</v>
      </c>
      <c r="Y17" s="970">
        <f t="shared" si="15"/>
        <v>0</v>
      </c>
      <c r="Z17" s="970">
        <f t="shared" si="15"/>
        <v>0</v>
      </c>
      <c r="AA17" s="970">
        <f t="shared" si="15"/>
        <v>0</v>
      </c>
      <c r="AB17" s="970">
        <f t="shared" si="15"/>
        <v>-5.0871247399999993</v>
      </c>
      <c r="AC17" s="970">
        <f t="shared" si="15"/>
        <v>0</v>
      </c>
      <c r="AD17" s="970"/>
      <c r="AE17" s="970">
        <f t="shared" si="15"/>
        <v>-3.8611111111111107</v>
      </c>
      <c r="AF17" s="970">
        <f>AF16+AF11</f>
        <v>0</v>
      </c>
      <c r="AG17" s="970">
        <f>AG16+AG11</f>
        <v>0</v>
      </c>
      <c r="AH17" s="970">
        <f t="shared" si="15"/>
        <v>0</v>
      </c>
      <c r="AI17" s="970">
        <f t="shared" si="1"/>
        <v>-543.28240230189897</v>
      </c>
      <c r="AK17" s="976">
        <f t="shared" ref="AK17:BC17" si="16">AK16+AK11</f>
        <v>0</v>
      </c>
      <c r="AL17" s="976">
        <f t="shared" si="16"/>
        <v>0</v>
      </c>
      <c r="AM17" s="976">
        <f t="shared" si="16"/>
        <v>0</v>
      </c>
      <c r="AN17" s="976">
        <f t="shared" si="16"/>
        <v>0</v>
      </c>
      <c r="AO17" s="976">
        <f t="shared" si="16"/>
        <v>0</v>
      </c>
      <c r="AP17" s="976">
        <f t="shared" si="16"/>
        <v>0</v>
      </c>
      <c r="AQ17" s="976">
        <f t="shared" si="16"/>
        <v>0</v>
      </c>
      <c r="AR17" s="976">
        <f t="shared" si="16"/>
        <v>0</v>
      </c>
      <c r="AS17" s="976">
        <f t="shared" si="16"/>
        <v>0</v>
      </c>
      <c r="AT17" s="976">
        <f t="shared" si="16"/>
        <v>0</v>
      </c>
      <c r="AU17" s="976">
        <f t="shared" si="16"/>
        <v>-0.52205907000000007</v>
      </c>
      <c r="AV17" s="976">
        <f t="shared" si="16"/>
        <v>0</v>
      </c>
      <c r="AW17" s="976">
        <f t="shared" si="16"/>
        <v>0</v>
      </c>
      <c r="AX17" s="976">
        <f t="shared" si="16"/>
        <v>0</v>
      </c>
      <c r="AY17" s="976">
        <f t="shared" si="16"/>
        <v>0</v>
      </c>
      <c r="AZ17" s="976">
        <f t="shared" si="16"/>
        <v>0</v>
      </c>
      <c r="BA17" s="976">
        <f t="shared" si="16"/>
        <v>0</v>
      </c>
      <c r="BB17" s="976">
        <f t="shared" si="16"/>
        <v>0</v>
      </c>
      <c r="BC17" s="976">
        <f t="shared" si="16"/>
        <v>-0.9393085193548687</v>
      </c>
      <c r="BD17" s="976">
        <f t="shared" si="2"/>
        <v>-1.4613675893548688</v>
      </c>
      <c r="BF17" s="990">
        <f>BF16+BF11</f>
        <v>0</v>
      </c>
      <c r="BG17" s="990">
        <f>BG16+BG11</f>
        <v>0</v>
      </c>
      <c r="BH17" s="990">
        <f t="shared" si="3"/>
        <v>0</v>
      </c>
      <c r="BJ17" s="515">
        <f t="shared" si="4"/>
        <v>-3.2640556923979602E-14</v>
      </c>
      <c r="BK17" s="515"/>
      <c r="BL17" s="24"/>
      <c r="BM17" s="1148"/>
      <c r="BN17" s="1146"/>
      <c r="BO17" s="1146"/>
      <c r="BP17" s="1146"/>
      <c r="BQ17" s="1146"/>
      <c r="BR17" s="1146"/>
      <c r="BS17" s="1146"/>
      <c r="BT17" s="1146"/>
      <c r="BU17" s="1146"/>
      <c r="BV17" s="1146"/>
      <c r="BW17" s="1146"/>
      <c r="BX17" s="1146"/>
      <c r="BY17" s="1146"/>
      <c r="BZ17" s="1146"/>
      <c r="CA17" s="1146"/>
      <c r="CB17" s="1146"/>
      <c r="CC17" s="1146"/>
      <c r="CD17" s="1146"/>
      <c r="CE17" s="1146"/>
      <c r="CF17" s="1146"/>
      <c r="CG17" s="1146"/>
      <c r="CH17" s="1146"/>
      <c r="CI17" s="1146"/>
      <c r="CJ17" s="1146"/>
      <c r="CK17" s="1146"/>
      <c r="CL17" s="1146"/>
      <c r="CM17" s="1146"/>
      <c r="CN17" s="1146"/>
      <c r="CO17" s="1146"/>
      <c r="CP17" s="1146"/>
      <c r="CQ17" s="1146"/>
      <c r="CR17" s="1146"/>
      <c r="CS17" s="1146"/>
      <c r="CT17" s="1146"/>
      <c r="CU17" s="1146"/>
      <c r="CV17" s="1146"/>
      <c r="CW17" s="1146"/>
      <c r="CX17" s="1146"/>
      <c r="CY17" s="1146"/>
      <c r="CZ17" s="1146"/>
      <c r="DA17" s="1146"/>
      <c r="DB17" s="1146"/>
      <c r="DC17" s="1146"/>
      <c r="DD17" s="1146"/>
    </row>
    <row r="18" spans="1:108" hidden="1" outlineLevel="1">
      <c r="A18" s="715"/>
      <c r="B18" s="715"/>
      <c r="C18" s="746"/>
      <c r="D18" s="521"/>
      <c r="E18" s="521"/>
      <c r="F18" s="12"/>
      <c r="G18" s="1019"/>
      <c r="H18" s="1019"/>
      <c r="I18" s="1019"/>
      <c r="J18" s="1019"/>
      <c r="K18" s="1019"/>
      <c r="L18" s="1019"/>
      <c r="M18" s="1019"/>
      <c r="N18" s="1019"/>
      <c r="O18" s="1019"/>
      <c r="P18" s="1019"/>
      <c r="Q18" s="1019"/>
      <c r="S18" s="1027"/>
      <c r="T18" s="1027"/>
      <c r="U18" s="1027"/>
      <c r="V18" s="1027"/>
      <c r="W18" s="1027"/>
      <c r="X18" s="1027"/>
      <c r="Y18" s="1027"/>
      <c r="Z18" s="1027"/>
      <c r="AA18" s="1027"/>
      <c r="AB18" s="1027"/>
      <c r="AC18" s="1027"/>
      <c r="AD18" s="1027"/>
      <c r="AE18" s="1027"/>
      <c r="AF18" s="1027"/>
      <c r="AG18" s="1027"/>
      <c r="AH18" s="1027"/>
      <c r="AI18" s="1027"/>
      <c r="AK18" s="1040"/>
      <c r="AL18" s="1040"/>
      <c r="AM18" s="1040"/>
      <c r="AN18" s="1040"/>
      <c r="AO18" s="1040"/>
      <c r="AP18" s="1040"/>
      <c r="AQ18" s="1040"/>
      <c r="AR18" s="1040"/>
      <c r="AS18" s="1040"/>
      <c r="AT18" s="1040"/>
      <c r="AU18" s="1040"/>
      <c r="AV18" s="1040"/>
      <c r="AW18" s="1040"/>
      <c r="AX18" s="1040"/>
      <c r="AY18" s="1040"/>
      <c r="AZ18" s="1040"/>
      <c r="BA18" s="1040"/>
      <c r="BB18" s="1040"/>
      <c r="BC18" s="1040"/>
      <c r="BD18" s="979"/>
      <c r="BF18" s="1034"/>
      <c r="BG18" s="1034"/>
      <c r="BH18" s="1034"/>
      <c r="BJ18" s="814">
        <f t="shared" si="4"/>
        <v>0</v>
      </c>
      <c r="BK18" s="814"/>
      <c r="BL18" s="715"/>
      <c r="BM18" s="1147"/>
      <c r="BN18" s="1146"/>
      <c r="BO18" s="1146"/>
      <c r="BP18" s="1146"/>
      <c r="BQ18" s="1146"/>
      <c r="BR18" s="1146"/>
      <c r="BS18" s="1146"/>
      <c r="BT18" s="1146"/>
      <c r="BU18" s="1146"/>
      <c r="BV18" s="1146"/>
      <c r="BW18" s="1146"/>
      <c r="BX18" s="1146"/>
      <c r="BY18" s="1146"/>
      <c r="BZ18" s="1146"/>
      <c r="CA18" s="1146"/>
      <c r="CB18" s="1146"/>
      <c r="CC18" s="1146"/>
      <c r="CD18" s="1146"/>
      <c r="CE18" s="1146"/>
      <c r="CF18" s="1146"/>
      <c r="CG18" s="1146"/>
      <c r="CH18" s="1146"/>
      <c r="CI18" s="1146"/>
      <c r="CJ18" s="1146"/>
      <c r="CK18" s="1146"/>
      <c r="CL18" s="1146"/>
      <c r="CM18" s="1146"/>
      <c r="CN18" s="1146"/>
      <c r="CO18" s="1146"/>
      <c r="CP18" s="1146"/>
      <c r="CQ18" s="1146"/>
      <c r="CR18" s="1146"/>
      <c r="CS18" s="1146"/>
      <c r="CT18" s="1146"/>
      <c r="CU18" s="1146"/>
      <c r="CV18" s="1146"/>
      <c r="CW18" s="1146"/>
      <c r="CX18" s="1146"/>
      <c r="CY18" s="1146"/>
      <c r="CZ18" s="1146"/>
      <c r="DA18" s="1146"/>
      <c r="DB18" s="1146"/>
      <c r="DC18" s="1146"/>
      <c r="DD18" s="1146"/>
    </row>
    <row r="19" spans="1:108" s="849" customFormat="1" ht="10.5" hidden="1" outlineLevel="2">
      <c r="C19" s="1048"/>
      <c r="D19" s="851" t="s">
        <v>1088</v>
      </c>
      <c r="E19" s="851"/>
      <c r="G19" s="1295"/>
      <c r="H19" s="1295">
        <f>-($AI19+$BD19+$BH19)</f>
        <v>78.114175905582002</v>
      </c>
      <c r="I19" s="1295"/>
      <c r="J19" s="1295"/>
      <c r="K19" s="1295"/>
      <c r="L19" s="1295"/>
      <c r="M19" s="1295"/>
      <c r="N19" s="1295"/>
      <c r="O19" s="1295"/>
      <c r="P19" s="1295"/>
      <c r="Q19" s="1295">
        <f t="shared" ref="Q19:Q28" si="17">SUM(G19:P19)</f>
        <v>78.114175905582002</v>
      </c>
      <c r="S19" s="1311">
        <f>-'DECC Energy Cons. (1.14)'!$F$8*Unit.ktoe</f>
        <v>-78.076491881013496</v>
      </c>
      <c r="T19" s="1311"/>
      <c r="U19" s="1311"/>
      <c r="V19" s="1311"/>
      <c r="W19" s="1311">
        <f>-'DECC Energy Cons. (1.14)'!$C$8*Unit.ktoe</f>
        <v>-3.768402456850671E-2</v>
      </c>
      <c r="X19" s="1311"/>
      <c r="Y19" s="1311"/>
      <c r="Z19" s="1311"/>
      <c r="AA19" s="1311"/>
      <c r="AB19" s="1311"/>
      <c r="AC19" s="1311"/>
      <c r="AD19" s="1311"/>
      <c r="AE19" s="1311"/>
      <c r="AF19" s="1311"/>
      <c r="AG19" s="1311"/>
      <c r="AH19" s="1311"/>
      <c r="AI19" s="1297">
        <f t="shared" ref="AI19:AI28" si="18">SUM(S19:AH19)</f>
        <v>-78.114175905582002</v>
      </c>
      <c r="AK19" s="978"/>
      <c r="AL19" s="978"/>
      <c r="AM19" s="978"/>
      <c r="AN19" s="978"/>
      <c r="AO19" s="978"/>
      <c r="AP19" s="978"/>
      <c r="AQ19" s="978"/>
      <c r="AR19" s="978"/>
      <c r="AS19" s="978"/>
      <c r="AT19" s="978"/>
      <c r="AU19" s="978"/>
      <c r="AV19" s="978"/>
      <c r="AW19" s="978"/>
      <c r="AX19" s="978"/>
      <c r="AY19" s="978"/>
      <c r="AZ19" s="978"/>
      <c r="BA19" s="978"/>
      <c r="BB19" s="978"/>
      <c r="BC19" s="978"/>
      <c r="BD19" s="978">
        <f t="shared" ref="BD19:BD28" si="19">SUM(AK19:BC19)</f>
        <v>0</v>
      </c>
      <c r="BF19" s="991"/>
      <c r="BG19" s="991"/>
      <c r="BH19" s="991">
        <f t="shared" si="3"/>
        <v>0</v>
      </c>
      <c r="BJ19" s="852">
        <f t="shared" si="4"/>
        <v>0</v>
      </c>
      <c r="BK19" s="852"/>
      <c r="BM19" s="1149"/>
      <c r="BN19" s="1149"/>
      <c r="BO19" s="1149"/>
      <c r="BP19" s="1149"/>
      <c r="BQ19" s="1149"/>
      <c r="BR19" s="1149"/>
      <c r="BS19" s="1149"/>
      <c r="BT19" s="1149"/>
      <c r="BU19" s="1149"/>
      <c r="BV19" s="1149"/>
      <c r="BW19" s="1149"/>
      <c r="BX19" s="1149"/>
      <c r="BY19" s="1149"/>
      <c r="BZ19" s="1149"/>
      <c r="CA19" s="1149"/>
      <c r="CB19" s="1149"/>
      <c r="CC19" s="1149"/>
      <c r="CD19" s="1149"/>
      <c r="CE19" s="1149"/>
      <c r="CF19" s="1149"/>
      <c r="CG19" s="1149"/>
      <c r="CH19" s="1149"/>
      <c r="CI19" s="1149"/>
      <c r="CJ19" s="1149"/>
      <c r="CK19" s="1149"/>
      <c r="CL19" s="1149"/>
      <c r="CM19" s="1149"/>
      <c r="CN19" s="1149"/>
      <c r="CO19" s="1149"/>
      <c r="CP19" s="1149"/>
      <c r="CQ19" s="1149"/>
      <c r="CR19" s="1149"/>
      <c r="CS19" s="1149"/>
      <c r="CT19" s="1149"/>
      <c r="CU19" s="1149"/>
      <c r="CV19" s="1149"/>
      <c r="CW19" s="1149"/>
      <c r="CX19" s="1149"/>
      <c r="CY19" s="1149"/>
      <c r="CZ19" s="1149"/>
      <c r="DA19" s="1149"/>
      <c r="DB19" s="1149"/>
      <c r="DC19" s="1149"/>
      <c r="DD19" s="1149"/>
    </row>
    <row r="20" spans="1:108" s="849" customFormat="1" ht="10.5" hidden="1" outlineLevel="2">
      <c r="C20" s="1048"/>
      <c r="D20" s="851" t="s">
        <v>1089</v>
      </c>
      <c r="E20" s="851"/>
      <c r="G20" s="1295"/>
      <c r="H20" s="1295">
        <f>-($AI20+$BD20+$BH20)</f>
        <v>14.836945388962878</v>
      </c>
      <c r="I20" s="1295"/>
      <c r="J20" s="1295"/>
      <c r="K20" s="1295"/>
      <c r="L20" s="1295"/>
      <c r="M20" s="1295"/>
      <c r="N20" s="1295"/>
      <c r="O20" s="1295"/>
      <c r="P20" s="1295"/>
      <c r="Q20" s="1295">
        <f t="shared" si="17"/>
        <v>14.836945388962878</v>
      </c>
      <c r="S20" s="1311">
        <f>-'DECC Energy Cons. (1.14)'!$F$6*Unit.ktoe</f>
        <v>-6.8252875999295028</v>
      </c>
      <c r="T20" s="1311"/>
      <c r="U20" s="1311">
        <f>-'DECC Energy Cons. (1.14)'!$E$6*Unit.ktoe</f>
        <v>-3.4633120849035942E-2</v>
      </c>
      <c r="V20" s="1311">
        <f>-'DECC Energy Cons. (1.14)'!$D$6*Unit.ktoe</f>
        <v>-4.0916193739758112E-2</v>
      </c>
      <c r="W20" s="1311">
        <f>-'DECC Energy Cons. (1.14)'!$C$6*Unit.ktoe</f>
        <v>-7.9361084744445822</v>
      </c>
      <c r="X20" s="1311"/>
      <c r="Y20" s="1311"/>
      <c r="Z20" s="1311"/>
      <c r="AA20" s="1311"/>
      <c r="AB20" s="1311"/>
      <c r="AC20" s="1311"/>
      <c r="AD20" s="1311"/>
      <c r="AE20" s="1311"/>
      <c r="AF20" s="1311"/>
      <c r="AG20" s="1311"/>
      <c r="AH20" s="1311"/>
      <c r="AI20" s="1297">
        <f t="shared" si="18"/>
        <v>-14.836945388962878</v>
      </c>
      <c r="AK20" s="978"/>
      <c r="AL20" s="978"/>
      <c r="AM20" s="978"/>
      <c r="AN20" s="978"/>
      <c r="AO20" s="978"/>
      <c r="AP20" s="978"/>
      <c r="AQ20" s="978"/>
      <c r="AR20" s="978"/>
      <c r="AS20" s="978"/>
      <c r="AT20" s="978"/>
      <c r="AU20" s="978"/>
      <c r="AV20" s="978"/>
      <c r="AW20" s="978"/>
      <c r="AX20" s="978"/>
      <c r="AY20" s="978"/>
      <c r="AZ20" s="978"/>
      <c r="BA20" s="978"/>
      <c r="BB20" s="978"/>
      <c r="BC20" s="978"/>
      <c r="BD20" s="978">
        <f t="shared" si="19"/>
        <v>0</v>
      </c>
      <c r="BF20" s="991"/>
      <c r="BG20" s="991"/>
      <c r="BH20" s="991">
        <f t="shared" si="3"/>
        <v>0</v>
      </c>
      <c r="BJ20" s="852">
        <f t="shared" si="4"/>
        <v>0</v>
      </c>
      <c r="BK20" s="852"/>
      <c r="BM20" s="1149"/>
      <c r="BN20" s="1149"/>
      <c r="BO20" s="1149"/>
      <c r="BP20" s="1149"/>
      <c r="BQ20" s="1149"/>
      <c r="BR20" s="1149"/>
      <c r="BS20" s="1149"/>
      <c r="BT20" s="1149"/>
      <c r="BU20" s="1149"/>
      <c r="BV20" s="1149"/>
      <c r="BW20" s="1149"/>
      <c r="BX20" s="1149"/>
      <c r="BY20" s="1149"/>
      <c r="BZ20" s="1149"/>
      <c r="CA20" s="1149"/>
      <c r="CB20" s="1149"/>
      <c r="CC20" s="1149"/>
      <c r="CD20" s="1149"/>
      <c r="CE20" s="1149"/>
      <c r="CF20" s="1149"/>
      <c r="CG20" s="1149"/>
      <c r="CH20" s="1149"/>
      <c r="CI20" s="1149"/>
      <c r="CJ20" s="1149"/>
      <c r="CK20" s="1149"/>
      <c r="CL20" s="1149"/>
      <c r="CM20" s="1149"/>
      <c r="CN20" s="1149"/>
      <c r="CO20" s="1149"/>
      <c r="CP20" s="1149"/>
      <c r="CQ20" s="1149"/>
      <c r="CR20" s="1149"/>
      <c r="CS20" s="1149"/>
      <c r="CT20" s="1149"/>
      <c r="CU20" s="1149"/>
      <c r="CV20" s="1149"/>
      <c r="CW20" s="1149"/>
      <c r="CX20" s="1149"/>
      <c r="CY20" s="1149"/>
      <c r="CZ20" s="1149"/>
      <c r="DA20" s="1149"/>
      <c r="DB20" s="1149"/>
      <c r="DC20" s="1149"/>
      <c r="DD20" s="1149"/>
    </row>
    <row r="21" spans="1:108" ht="12.75" hidden="1" customHeight="1" outlineLevel="1" collapsed="1">
      <c r="A21" s="715"/>
      <c r="B21" s="715"/>
      <c r="C21" s="746" t="s">
        <v>950</v>
      </c>
      <c r="D21" s="954" t="str">
        <f>INDEX(Modules[Module], MATCH($C21, Modules[Code], 0))</f>
        <v>Domestic lighting, appliances, and cooking</v>
      </c>
      <c r="E21" s="1006"/>
      <c r="F21" s="12" t="s">
        <v>443</v>
      </c>
      <c r="G21" s="1017"/>
      <c r="H21" s="1017">
        <f>H19+H20</f>
        <v>92.951121294544876</v>
      </c>
      <c r="I21" s="1017"/>
      <c r="J21" s="1017"/>
      <c r="K21" s="1017"/>
      <c r="L21" s="1017"/>
      <c r="M21" s="1017"/>
      <c r="N21" s="1017"/>
      <c r="O21" s="1017"/>
      <c r="P21" s="1017"/>
      <c r="Q21" s="1019">
        <f t="shared" si="17"/>
        <v>92.951121294544876</v>
      </c>
      <c r="S21" s="1027">
        <f>S19+S20</f>
        <v>-84.901779480942992</v>
      </c>
      <c r="T21" s="1027">
        <f t="shared" ref="T21:AH21" si="20">T19+T20</f>
        <v>0</v>
      </c>
      <c r="U21" s="1027">
        <f t="shared" si="20"/>
        <v>-3.4633120849035942E-2</v>
      </c>
      <c r="V21" s="1027">
        <f t="shared" si="20"/>
        <v>-4.0916193739758112E-2</v>
      </c>
      <c r="W21" s="1027">
        <f t="shared" si="20"/>
        <v>-7.9737924990130891</v>
      </c>
      <c r="X21" s="1027">
        <f t="shared" si="20"/>
        <v>0</v>
      </c>
      <c r="Y21" s="1027">
        <f t="shared" si="20"/>
        <v>0</v>
      </c>
      <c r="Z21" s="1027">
        <f t="shared" si="20"/>
        <v>0</v>
      </c>
      <c r="AA21" s="1027">
        <f t="shared" si="20"/>
        <v>0</v>
      </c>
      <c r="AB21" s="1027">
        <f t="shared" si="20"/>
        <v>0</v>
      </c>
      <c r="AC21" s="1027">
        <f t="shared" si="20"/>
        <v>0</v>
      </c>
      <c r="AD21" s="1027"/>
      <c r="AE21" s="1027">
        <f t="shared" si="20"/>
        <v>0</v>
      </c>
      <c r="AF21" s="1027">
        <f>AF19+AF20</f>
        <v>0</v>
      </c>
      <c r="AG21" s="1027">
        <f>AG19+AG20</f>
        <v>0</v>
      </c>
      <c r="AH21" s="1027">
        <f t="shared" si="20"/>
        <v>0</v>
      </c>
      <c r="AI21" s="1027">
        <f t="shared" si="18"/>
        <v>-92.951121294544876</v>
      </c>
      <c r="AK21" s="1038"/>
      <c r="AL21" s="1038"/>
      <c r="AM21" s="1038"/>
      <c r="AN21" s="1038"/>
      <c r="AO21" s="1038"/>
      <c r="AP21" s="1038"/>
      <c r="AQ21" s="1038"/>
      <c r="AR21" s="1038"/>
      <c r="AS21" s="1038"/>
      <c r="AT21" s="1038"/>
      <c r="AU21" s="1038"/>
      <c r="AV21" s="1038"/>
      <c r="AW21" s="1038"/>
      <c r="AX21" s="1038"/>
      <c r="AY21" s="1038"/>
      <c r="AZ21" s="1038"/>
      <c r="BA21" s="1038"/>
      <c r="BB21" s="1038"/>
      <c r="BC21" s="1038"/>
      <c r="BD21" s="979">
        <f t="shared" si="19"/>
        <v>0</v>
      </c>
      <c r="BF21" s="1032"/>
      <c r="BG21" s="1032"/>
      <c r="BH21" s="1034">
        <f>SUM(BF21:BG21)</f>
        <v>0</v>
      </c>
      <c r="BJ21" s="814">
        <f t="shared" si="4"/>
        <v>0</v>
      </c>
      <c r="BK21" s="814"/>
      <c r="BL21" s="715"/>
      <c r="BM21" s="1147"/>
      <c r="BN21" s="1146"/>
      <c r="BO21" s="1146"/>
      <c r="BP21" s="1146"/>
      <c r="BQ21" s="1146"/>
      <c r="BR21" s="1146"/>
      <c r="BS21" s="1146"/>
      <c r="BT21" s="1146"/>
      <c r="BU21" s="1146"/>
      <c r="BV21" s="1146"/>
      <c r="BW21" s="1146"/>
      <c r="BX21" s="1146"/>
      <c r="BY21" s="1146"/>
      <c r="BZ21" s="1146"/>
      <c r="CA21" s="1146"/>
      <c r="CB21" s="1146"/>
      <c r="CC21" s="1146"/>
      <c r="CD21" s="1146"/>
      <c r="CE21" s="1146"/>
      <c r="CF21" s="1146"/>
      <c r="CG21" s="1146"/>
      <c r="CH21" s="1146"/>
      <c r="CI21" s="1146"/>
      <c r="CJ21" s="1146"/>
      <c r="CK21" s="1146"/>
      <c r="CL21" s="1146"/>
      <c r="CM21" s="1146"/>
      <c r="CN21" s="1146"/>
      <c r="CO21" s="1146"/>
      <c r="CP21" s="1146"/>
      <c r="CQ21" s="1146"/>
      <c r="CR21" s="1146"/>
      <c r="CS21" s="1146"/>
      <c r="CT21" s="1146"/>
      <c r="CU21" s="1146"/>
      <c r="CV21" s="1146"/>
      <c r="CW21" s="1146"/>
      <c r="CX21" s="1146"/>
      <c r="CY21" s="1146"/>
      <c r="CZ21" s="1146"/>
      <c r="DA21" s="1146"/>
      <c r="DB21" s="1146"/>
      <c r="DC21" s="1146"/>
      <c r="DD21" s="1146"/>
    </row>
    <row r="22" spans="1:108" s="849" customFormat="1" ht="12.75" hidden="1" customHeight="1" outlineLevel="2">
      <c r="C22" s="1048"/>
      <c r="D22" s="1296" t="s">
        <v>120</v>
      </c>
      <c r="E22" s="851"/>
      <c r="G22" s="1295"/>
      <c r="H22" s="1295">
        <f>-($AI22+$BD22+$BH22)</f>
        <v>5.2703708188077432</v>
      </c>
      <c r="I22" s="1295"/>
      <c r="J22" s="1295"/>
      <c r="K22" s="1295"/>
      <c r="L22" s="1295"/>
      <c r="M22" s="1295"/>
      <c r="N22" s="1295"/>
      <c r="O22" s="1295"/>
      <c r="P22" s="1295"/>
      <c r="Q22" s="1295">
        <f t="shared" si="17"/>
        <v>5.2703708188077432</v>
      </c>
      <c r="S22" s="1311">
        <f>-'DECC Energy Cons. (1.14)'!$F$15*Unit.ktoe</f>
        <v>-5.2703708188077432</v>
      </c>
      <c r="T22" s="1311"/>
      <c r="U22" s="1311"/>
      <c r="V22" s="1311"/>
      <c r="W22" s="1311"/>
      <c r="X22" s="1311"/>
      <c r="Y22" s="1311"/>
      <c r="Z22" s="1311"/>
      <c r="AA22" s="1311"/>
      <c r="AB22" s="1311"/>
      <c r="AC22" s="1311"/>
      <c r="AD22" s="1311"/>
      <c r="AE22" s="1311"/>
      <c r="AF22" s="1311"/>
      <c r="AG22" s="1311"/>
      <c r="AH22" s="1311"/>
      <c r="AI22" s="971">
        <f t="shared" si="18"/>
        <v>-5.2703708188077432</v>
      </c>
      <c r="AK22" s="978"/>
      <c r="AL22" s="978"/>
      <c r="AM22" s="978"/>
      <c r="AN22" s="978"/>
      <c r="AO22" s="978"/>
      <c r="AP22" s="978"/>
      <c r="AQ22" s="978"/>
      <c r="AR22" s="978"/>
      <c r="AS22" s="978"/>
      <c r="AT22" s="978"/>
      <c r="AU22" s="978"/>
      <c r="AV22" s="978"/>
      <c r="AW22" s="978"/>
      <c r="AX22" s="978"/>
      <c r="AY22" s="978"/>
      <c r="AZ22" s="978"/>
      <c r="BA22" s="978"/>
      <c r="BB22" s="978"/>
      <c r="BC22" s="978"/>
      <c r="BD22" s="978">
        <f t="shared" si="19"/>
        <v>0</v>
      </c>
      <c r="BF22" s="991"/>
      <c r="BG22" s="991"/>
      <c r="BH22" s="991">
        <f t="shared" si="3"/>
        <v>0</v>
      </c>
      <c r="BJ22" s="852">
        <f t="shared" si="4"/>
        <v>0</v>
      </c>
      <c r="BK22" s="852"/>
      <c r="BM22" s="1149"/>
      <c r="BN22" s="1149"/>
      <c r="BO22" s="1149"/>
      <c r="BP22" s="1149"/>
      <c r="BQ22" s="1149"/>
      <c r="BR22" s="1149"/>
      <c r="BS22" s="1149"/>
      <c r="BT22" s="1149"/>
      <c r="BU22" s="1149"/>
      <c r="BV22" s="1149"/>
      <c r="BW22" s="1149"/>
      <c r="BX22" s="1149"/>
      <c r="BY22" s="1149"/>
      <c r="BZ22" s="1149"/>
      <c r="CA22" s="1149"/>
      <c r="CB22" s="1149"/>
      <c r="CC22" s="1149"/>
      <c r="CD22" s="1149"/>
      <c r="CE22" s="1149"/>
      <c r="CF22" s="1149"/>
      <c r="CG22" s="1149"/>
      <c r="CH22" s="1149"/>
      <c r="CI22" s="1149"/>
      <c r="CJ22" s="1149"/>
      <c r="CK22" s="1149"/>
      <c r="CL22" s="1149"/>
      <c r="CM22" s="1149"/>
      <c r="CN22" s="1149"/>
      <c r="CO22" s="1149"/>
      <c r="CP22" s="1149"/>
      <c r="CQ22" s="1149"/>
      <c r="CR22" s="1149"/>
      <c r="CS22" s="1149"/>
      <c r="CT22" s="1149"/>
      <c r="CU22" s="1149"/>
      <c r="CV22" s="1149"/>
      <c r="CW22" s="1149"/>
      <c r="CX22" s="1149"/>
      <c r="CY22" s="1149"/>
      <c r="CZ22" s="1149"/>
      <c r="DA22" s="1149"/>
      <c r="DB22" s="1149"/>
      <c r="DC22" s="1149"/>
      <c r="DD22" s="1149"/>
    </row>
    <row r="23" spans="1:108" s="849" customFormat="1" ht="12.75" hidden="1" customHeight="1" outlineLevel="2">
      <c r="C23" s="1048"/>
      <c r="D23" s="1296" t="s">
        <v>121</v>
      </c>
      <c r="E23" s="851"/>
      <c r="G23" s="1295"/>
      <c r="H23" s="1295">
        <f>-($AI23+$BD23+$BH23)</f>
        <v>9.4247154179043644</v>
      </c>
      <c r="I23" s="1295"/>
      <c r="J23" s="1295"/>
      <c r="K23" s="1295"/>
      <c r="L23" s="1295"/>
      <c r="M23" s="1295"/>
      <c r="N23" s="1295"/>
      <c r="O23" s="1295"/>
      <c r="P23" s="1295"/>
      <c r="Q23" s="1295">
        <f t="shared" si="17"/>
        <v>9.4247154179043644</v>
      </c>
      <c r="S23" s="1311">
        <f>-'DECC Energy Cons. (1.14)'!$F$16*Unit.ktoe</f>
        <v>-9.0178517396130111</v>
      </c>
      <c r="T23" s="1311"/>
      <c r="U23" s="1311"/>
      <c r="V23" s="1311"/>
      <c r="W23" s="1311">
        <f>-'DECC Energy Cons. (1.14)'!$C$16*Unit.ktoe</f>
        <v>-0.40686367829135411</v>
      </c>
      <c r="X23" s="1311"/>
      <c r="Y23" s="1311"/>
      <c r="Z23" s="1311"/>
      <c r="AA23" s="1311"/>
      <c r="AB23" s="1311"/>
      <c r="AC23" s="1311"/>
      <c r="AD23" s="1311"/>
      <c r="AE23" s="1311"/>
      <c r="AF23" s="1311"/>
      <c r="AG23" s="1311"/>
      <c r="AH23" s="1311"/>
      <c r="AI23" s="971">
        <f t="shared" si="18"/>
        <v>-9.4247154179043644</v>
      </c>
      <c r="AK23" s="978"/>
      <c r="AL23" s="978"/>
      <c r="AM23" s="978"/>
      <c r="AN23" s="978"/>
      <c r="AO23" s="978"/>
      <c r="AP23" s="978"/>
      <c r="AQ23" s="978"/>
      <c r="AR23" s="978"/>
      <c r="AS23" s="978"/>
      <c r="AT23" s="978"/>
      <c r="AU23" s="978"/>
      <c r="AV23" s="978"/>
      <c r="AW23" s="978"/>
      <c r="AX23" s="978"/>
      <c r="AY23" s="978"/>
      <c r="AZ23" s="978"/>
      <c r="BA23" s="978"/>
      <c r="BB23" s="978"/>
      <c r="BC23" s="978"/>
      <c r="BD23" s="978">
        <f t="shared" si="19"/>
        <v>0</v>
      </c>
      <c r="BF23" s="991"/>
      <c r="BG23" s="991"/>
      <c r="BH23" s="991">
        <f t="shared" si="3"/>
        <v>0</v>
      </c>
      <c r="BJ23" s="852">
        <f t="shared" si="4"/>
        <v>0</v>
      </c>
      <c r="BK23" s="852"/>
      <c r="BM23" s="1149"/>
      <c r="BN23" s="1149"/>
      <c r="BO23" s="1149"/>
      <c r="BP23" s="1149"/>
      <c r="BQ23" s="1149"/>
      <c r="BR23" s="1149"/>
      <c r="BS23" s="1149"/>
      <c r="BT23" s="1149"/>
      <c r="BU23" s="1149"/>
      <c r="BV23" s="1149"/>
      <c r="BW23" s="1149"/>
      <c r="BX23" s="1149"/>
      <c r="BY23" s="1149"/>
      <c r="BZ23" s="1149"/>
      <c r="CA23" s="1149"/>
      <c r="CB23" s="1149"/>
      <c r="CC23" s="1149"/>
      <c r="CD23" s="1149"/>
      <c r="CE23" s="1149"/>
      <c r="CF23" s="1149"/>
      <c r="CG23" s="1149"/>
      <c r="CH23" s="1149"/>
      <c r="CI23" s="1149"/>
      <c r="CJ23" s="1149"/>
      <c r="CK23" s="1149"/>
      <c r="CL23" s="1149"/>
      <c r="CM23" s="1149"/>
      <c r="CN23" s="1149"/>
      <c r="CO23" s="1149"/>
      <c r="CP23" s="1149"/>
      <c r="CQ23" s="1149"/>
      <c r="CR23" s="1149"/>
      <c r="CS23" s="1149"/>
      <c r="CT23" s="1149"/>
      <c r="CU23" s="1149"/>
      <c r="CV23" s="1149"/>
      <c r="CW23" s="1149"/>
      <c r="CX23" s="1149"/>
      <c r="CY23" s="1149"/>
      <c r="CZ23" s="1149"/>
      <c r="DA23" s="1149"/>
      <c r="DB23" s="1149"/>
      <c r="DC23" s="1149"/>
      <c r="DD23" s="1149"/>
    </row>
    <row r="24" spans="1:108" s="849" customFormat="1" ht="12.75" hidden="1" customHeight="1" outlineLevel="2">
      <c r="C24" s="1048"/>
      <c r="D24" s="1296" t="s">
        <v>122</v>
      </c>
      <c r="E24" s="851"/>
      <c r="G24" s="1295"/>
      <c r="H24" s="1295">
        <f>-($AI24+$BD24+$BH24)</f>
        <v>39.231334523028124</v>
      </c>
      <c r="I24" s="1295"/>
      <c r="J24" s="1295"/>
      <c r="K24" s="1295"/>
      <c r="L24" s="1295"/>
      <c r="M24" s="1295"/>
      <c r="N24" s="1295"/>
      <c r="O24" s="1295"/>
      <c r="P24" s="1295"/>
      <c r="Q24" s="1295">
        <f t="shared" si="17"/>
        <v>39.231334523028124</v>
      </c>
      <c r="S24" s="1311">
        <f>-'DECC Energy Cons. (1.14)'!$F$17*Unit.ktoe</f>
        <v>-39.231334523028124</v>
      </c>
      <c r="T24" s="1311"/>
      <c r="U24" s="1311"/>
      <c r="V24" s="1311"/>
      <c r="W24" s="1311"/>
      <c r="X24" s="1311"/>
      <c r="Y24" s="1311"/>
      <c r="Z24" s="1311"/>
      <c r="AA24" s="1311"/>
      <c r="AB24" s="1311"/>
      <c r="AC24" s="1311"/>
      <c r="AD24" s="1311"/>
      <c r="AE24" s="1311"/>
      <c r="AF24" s="1311"/>
      <c r="AG24" s="1311"/>
      <c r="AH24" s="1311"/>
      <c r="AI24" s="971">
        <f t="shared" si="18"/>
        <v>-39.231334523028124</v>
      </c>
      <c r="AK24" s="978"/>
      <c r="AL24" s="978"/>
      <c r="AM24" s="978"/>
      <c r="AN24" s="978"/>
      <c r="AO24" s="978"/>
      <c r="AP24" s="978"/>
      <c r="AQ24" s="978"/>
      <c r="AR24" s="978"/>
      <c r="AS24" s="978"/>
      <c r="AT24" s="978"/>
      <c r="AU24" s="978"/>
      <c r="AV24" s="978"/>
      <c r="AW24" s="978"/>
      <c r="AX24" s="978"/>
      <c r="AY24" s="978"/>
      <c r="AZ24" s="978"/>
      <c r="BA24" s="978"/>
      <c r="BB24" s="978"/>
      <c r="BC24" s="978"/>
      <c r="BD24" s="978">
        <f t="shared" si="19"/>
        <v>0</v>
      </c>
      <c r="BF24" s="991"/>
      <c r="BG24" s="991"/>
      <c r="BH24" s="991">
        <f t="shared" si="3"/>
        <v>0</v>
      </c>
      <c r="BJ24" s="852">
        <f t="shared" si="4"/>
        <v>0</v>
      </c>
      <c r="BK24" s="852"/>
      <c r="BM24" s="1149"/>
      <c r="BN24" s="1149"/>
      <c r="BO24" s="1149"/>
      <c r="BP24" s="1149"/>
      <c r="BQ24" s="1149"/>
      <c r="BR24" s="1149"/>
      <c r="BS24" s="1149"/>
      <c r="BT24" s="1149"/>
      <c r="BU24" s="1149"/>
      <c r="BV24" s="1149"/>
      <c r="BW24" s="1149"/>
      <c r="BX24" s="1149"/>
      <c r="BY24" s="1149"/>
      <c r="BZ24" s="1149"/>
      <c r="CA24" s="1149"/>
      <c r="CB24" s="1149"/>
      <c r="CC24" s="1149"/>
      <c r="CD24" s="1149"/>
      <c r="CE24" s="1149"/>
      <c r="CF24" s="1149"/>
      <c r="CG24" s="1149"/>
      <c r="CH24" s="1149"/>
      <c r="CI24" s="1149"/>
      <c r="CJ24" s="1149"/>
      <c r="CK24" s="1149"/>
      <c r="CL24" s="1149"/>
      <c r="CM24" s="1149"/>
      <c r="CN24" s="1149"/>
      <c r="CO24" s="1149"/>
      <c r="CP24" s="1149"/>
      <c r="CQ24" s="1149"/>
      <c r="CR24" s="1149"/>
      <c r="CS24" s="1149"/>
      <c r="CT24" s="1149"/>
      <c r="CU24" s="1149"/>
      <c r="CV24" s="1149"/>
      <c r="CW24" s="1149"/>
      <c r="CX24" s="1149"/>
      <c r="CY24" s="1149"/>
      <c r="CZ24" s="1149"/>
      <c r="DA24" s="1149"/>
      <c r="DB24" s="1149"/>
      <c r="DC24" s="1149"/>
      <c r="DD24" s="1149"/>
    </row>
    <row r="25" spans="1:108" s="849" customFormat="1" ht="12.75" hidden="1" customHeight="1" outlineLevel="2">
      <c r="C25" s="1048"/>
      <c r="D25" s="1296" t="s">
        <v>123</v>
      </c>
      <c r="E25" s="851"/>
      <c r="G25" s="1295"/>
      <c r="H25" s="1295">
        <f>-($AI25+$BD25+$BH25)</f>
        <v>14.655049367037686</v>
      </c>
      <c r="I25" s="1295"/>
      <c r="J25" s="1295"/>
      <c r="K25" s="1295"/>
      <c r="L25" s="1295"/>
      <c r="M25" s="1295"/>
      <c r="N25" s="1295"/>
      <c r="O25" s="1295"/>
      <c r="P25" s="1295"/>
      <c r="Q25" s="1295">
        <f t="shared" si="17"/>
        <v>14.655049367037686</v>
      </c>
      <c r="S25" s="1311">
        <f>-'DECC Energy Cons. (1.14)'!$F$18*Unit.ktoe</f>
        <v>-12.971793314729153</v>
      </c>
      <c r="T25" s="1311"/>
      <c r="U25" s="1311"/>
      <c r="V25" s="1311">
        <f>-'DECC Energy Cons. (1.14)'!$D$18*Unit.ktoe</f>
        <v>-0.13548086802871323</v>
      </c>
      <c r="W25" s="1311">
        <f>-'DECC Energy Cons. (1.14)'!$C$18*Unit.ktoe</f>
        <v>-1.54777518427982</v>
      </c>
      <c r="X25" s="1311"/>
      <c r="Y25" s="1311"/>
      <c r="Z25" s="1311"/>
      <c r="AA25" s="1311"/>
      <c r="AB25" s="1311"/>
      <c r="AC25" s="1311"/>
      <c r="AD25" s="1311"/>
      <c r="AE25" s="1311"/>
      <c r="AF25" s="1311"/>
      <c r="AG25" s="1311"/>
      <c r="AH25" s="1311"/>
      <c r="AI25" s="971">
        <f t="shared" si="18"/>
        <v>-14.655049367037686</v>
      </c>
      <c r="AK25" s="978"/>
      <c r="AL25" s="978"/>
      <c r="AM25" s="978"/>
      <c r="AN25" s="978"/>
      <c r="AO25" s="978"/>
      <c r="AP25" s="978"/>
      <c r="AQ25" s="978"/>
      <c r="AR25" s="978"/>
      <c r="AS25" s="978"/>
      <c r="AT25" s="978"/>
      <c r="AU25" s="978"/>
      <c r="AV25" s="978"/>
      <c r="AW25" s="978"/>
      <c r="AX25" s="978"/>
      <c r="AY25" s="978"/>
      <c r="AZ25" s="978"/>
      <c r="BA25" s="978"/>
      <c r="BB25" s="978"/>
      <c r="BC25" s="978"/>
      <c r="BD25" s="978">
        <f t="shared" si="19"/>
        <v>0</v>
      </c>
      <c r="BF25" s="991"/>
      <c r="BG25" s="991"/>
      <c r="BH25" s="991">
        <f t="shared" si="3"/>
        <v>0</v>
      </c>
      <c r="BJ25" s="852">
        <f t="shared" si="4"/>
        <v>0</v>
      </c>
      <c r="BK25" s="852"/>
      <c r="BM25" s="1149"/>
      <c r="BN25" s="1149"/>
      <c r="BO25" s="1149"/>
      <c r="BP25" s="1149"/>
      <c r="BQ25" s="1149"/>
      <c r="BR25" s="1149"/>
      <c r="BS25" s="1149"/>
      <c r="BT25" s="1149"/>
      <c r="BU25" s="1149"/>
      <c r="BV25" s="1149"/>
      <c r="BW25" s="1149"/>
      <c r="BX25" s="1149"/>
      <c r="BY25" s="1149"/>
      <c r="BZ25" s="1149"/>
      <c r="CA25" s="1149"/>
      <c r="CB25" s="1149"/>
      <c r="CC25" s="1149"/>
      <c r="CD25" s="1149"/>
      <c r="CE25" s="1149"/>
      <c r="CF25" s="1149"/>
      <c r="CG25" s="1149"/>
      <c r="CH25" s="1149"/>
      <c r="CI25" s="1149"/>
      <c r="CJ25" s="1149"/>
      <c r="CK25" s="1149"/>
      <c r="CL25" s="1149"/>
      <c r="CM25" s="1149"/>
      <c r="CN25" s="1149"/>
      <c r="CO25" s="1149"/>
      <c r="CP25" s="1149"/>
      <c r="CQ25" s="1149"/>
      <c r="CR25" s="1149"/>
      <c r="CS25" s="1149"/>
      <c r="CT25" s="1149"/>
      <c r="CU25" s="1149"/>
      <c r="CV25" s="1149"/>
      <c r="CW25" s="1149"/>
      <c r="CX25" s="1149"/>
      <c r="CY25" s="1149"/>
      <c r="CZ25" s="1149"/>
      <c r="DA25" s="1149"/>
      <c r="DB25" s="1149"/>
      <c r="DC25" s="1149"/>
      <c r="DD25" s="1149"/>
    </row>
    <row r="26" spans="1:108" s="849" customFormat="1" ht="12.75" hidden="1" customHeight="1" outlineLevel="2">
      <c r="C26" s="1048"/>
      <c r="D26" s="1296" t="s">
        <v>1092</v>
      </c>
      <c r="E26" s="851"/>
      <c r="G26" s="1295"/>
      <c r="H26" s="1295">
        <f>-($AI26+$BD26+$BH26)</f>
        <v>22.462419050871326</v>
      </c>
      <c r="I26" s="1295"/>
      <c r="J26" s="1295"/>
      <c r="K26" s="1295"/>
      <c r="L26" s="1295"/>
      <c r="M26" s="1295"/>
      <c r="N26" s="1295"/>
      <c r="O26" s="1295"/>
      <c r="P26" s="1295"/>
      <c r="Q26" s="1295">
        <f t="shared" si="17"/>
        <v>22.462419050871326</v>
      </c>
      <c r="S26" s="1311">
        <f>-'DECC Energy Cons. (1.14)'!$F$13*Unit.ktoe</f>
        <v>-13.231675972826286</v>
      </c>
      <c r="T26" s="1311"/>
      <c r="U26" s="1311"/>
      <c r="V26" s="1311">
        <f>-'DECC Energy Cons. (1.14)'!$D$13*Unit.ktoe</f>
        <v>-0.44211080887232823</v>
      </c>
      <c r="W26" s="1311">
        <f>-'DECC Energy Cons. (1.14)'!$C$13*Unit.ktoe</f>
        <v>-8.7886322691727088</v>
      </c>
      <c r="X26" s="1311"/>
      <c r="Y26" s="1311"/>
      <c r="Z26" s="1311"/>
      <c r="AA26" s="1311"/>
      <c r="AB26" s="1311"/>
      <c r="AC26" s="1311"/>
      <c r="AD26" s="1311"/>
      <c r="AE26" s="1311"/>
      <c r="AF26" s="1311"/>
      <c r="AG26" s="1311"/>
      <c r="AH26" s="1311"/>
      <c r="AI26" s="971">
        <f t="shared" si="18"/>
        <v>-22.462419050871326</v>
      </c>
      <c r="AK26" s="978"/>
      <c r="AL26" s="978"/>
      <c r="AM26" s="978"/>
      <c r="AN26" s="978"/>
      <c r="AO26" s="978"/>
      <c r="AP26" s="978"/>
      <c r="AQ26" s="978"/>
      <c r="AR26" s="978"/>
      <c r="AS26" s="978"/>
      <c r="AT26" s="978"/>
      <c r="AU26" s="978"/>
      <c r="AV26" s="978"/>
      <c r="AW26" s="978"/>
      <c r="AX26" s="978"/>
      <c r="AY26" s="978"/>
      <c r="AZ26" s="978"/>
      <c r="BA26" s="978"/>
      <c r="BB26" s="978"/>
      <c r="BC26" s="978"/>
      <c r="BD26" s="978">
        <f t="shared" si="19"/>
        <v>0</v>
      </c>
      <c r="BF26" s="991"/>
      <c r="BG26" s="991"/>
      <c r="BH26" s="991">
        <f t="shared" si="3"/>
        <v>0</v>
      </c>
      <c r="BJ26" s="852">
        <f t="shared" si="4"/>
        <v>0</v>
      </c>
      <c r="BK26" s="852"/>
      <c r="BM26" s="1149"/>
      <c r="BN26" s="1149"/>
      <c r="BO26" s="1149"/>
      <c r="BP26" s="1149"/>
      <c r="BQ26" s="1149"/>
      <c r="BR26" s="1149"/>
      <c r="BS26" s="1149"/>
      <c r="BT26" s="1149"/>
      <c r="BU26" s="1149"/>
      <c r="BV26" s="1149"/>
      <c r="BW26" s="1149"/>
      <c r="BX26" s="1149"/>
      <c r="BY26" s="1149"/>
      <c r="BZ26" s="1149"/>
      <c r="CA26" s="1149"/>
      <c r="CB26" s="1149"/>
      <c r="CC26" s="1149"/>
      <c r="CD26" s="1149"/>
      <c r="CE26" s="1149"/>
      <c r="CF26" s="1149"/>
      <c r="CG26" s="1149"/>
      <c r="CH26" s="1149"/>
      <c r="CI26" s="1149"/>
      <c r="CJ26" s="1149"/>
      <c r="CK26" s="1149"/>
      <c r="CL26" s="1149"/>
      <c r="CM26" s="1149"/>
      <c r="CN26" s="1149"/>
      <c r="CO26" s="1149"/>
      <c r="CP26" s="1149"/>
      <c r="CQ26" s="1149"/>
      <c r="CR26" s="1149"/>
      <c r="CS26" s="1149"/>
      <c r="CT26" s="1149"/>
      <c r="CU26" s="1149"/>
      <c r="CV26" s="1149"/>
      <c r="CW26" s="1149"/>
      <c r="CX26" s="1149"/>
      <c r="CY26" s="1149"/>
      <c r="CZ26" s="1149"/>
      <c r="DA26" s="1149"/>
      <c r="DB26" s="1149"/>
      <c r="DC26" s="1149"/>
      <c r="DD26" s="1149"/>
    </row>
    <row r="27" spans="1:108" ht="12.75" hidden="1" customHeight="1" outlineLevel="1" collapsed="1">
      <c r="A27" s="715"/>
      <c r="B27" s="715"/>
      <c r="C27" s="746" t="s">
        <v>951</v>
      </c>
      <c r="D27" s="1010" t="str">
        <f>INDEX(Modules[Module], MATCH($C27, Modules[Code], 0))</f>
        <v>Commercial lighting, appliances, and catering</v>
      </c>
      <c r="E27" s="1010"/>
      <c r="F27" s="12" t="s">
        <v>1212</v>
      </c>
      <c r="G27" s="1022"/>
      <c r="H27" s="1022">
        <f>SUM(H22:H26)</f>
        <v>91.043889177649248</v>
      </c>
      <c r="I27" s="1022"/>
      <c r="J27" s="1022"/>
      <c r="K27" s="1022"/>
      <c r="L27" s="1022"/>
      <c r="M27" s="1022"/>
      <c r="N27" s="1022"/>
      <c r="O27" s="1022"/>
      <c r="P27" s="1022"/>
      <c r="Q27" s="1020">
        <f t="shared" si="17"/>
        <v>91.043889177649248</v>
      </c>
      <c r="S27" s="1030">
        <f>SUM(S22:S26)</f>
        <v>-79.723026369004316</v>
      </c>
      <c r="T27" s="1030">
        <f t="shared" ref="T27:AH27" si="21">SUM(T22:T26)</f>
        <v>0</v>
      </c>
      <c r="U27" s="1030">
        <f t="shared" si="21"/>
        <v>0</v>
      </c>
      <c r="V27" s="1030">
        <f t="shared" si="21"/>
        <v>-0.57759167690104141</v>
      </c>
      <c r="W27" s="1030">
        <f t="shared" si="21"/>
        <v>-10.743271131743883</v>
      </c>
      <c r="X27" s="1030">
        <f t="shared" si="21"/>
        <v>0</v>
      </c>
      <c r="Y27" s="1030">
        <f t="shared" si="21"/>
        <v>0</v>
      </c>
      <c r="Z27" s="1030">
        <f t="shared" si="21"/>
        <v>0</v>
      </c>
      <c r="AA27" s="1030">
        <f t="shared" si="21"/>
        <v>0</v>
      </c>
      <c r="AB27" s="1030">
        <f t="shared" si="21"/>
        <v>0</v>
      </c>
      <c r="AC27" s="1030">
        <f t="shared" si="21"/>
        <v>0</v>
      </c>
      <c r="AD27" s="1030"/>
      <c r="AE27" s="1030">
        <f t="shared" si="21"/>
        <v>0</v>
      </c>
      <c r="AF27" s="1030">
        <f>SUM(AF22:AF26)</f>
        <v>0</v>
      </c>
      <c r="AG27" s="1030">
        <f>SUM(AG22:AG26)</f>
        <v>0</v>
      </c>
      <c r="AH27" s="1030">
        <f t="shared" si="21"/>
        <v>0</v>
      </c>
      <c r="AI27" s="1030">
        <f t="shared" si="18"/>
        <v>-91.043889177649234</v>
      </c>
      <c r="AK27" s="1042"/>
      <c r="AL27" s="1042"/>
      <c r="AM27" s="1042"/>
      <c r="AN27" s="1042"/>
      <c r="AO27" s="1042"/>
      <c r="AP27" s="1042"/>
      <c r="AQ27" s="1042"/>
      <c r="AR27" s="1042"/>
      <c r="AS27" s="1042"/>
      <c r="AT27" s="1042"/>
      <c r="AU27" s="1042"/>
      <c r="AV27" s="1042"/>
      <c r="AW27" s="1042"/>
      <c r="AX27" s="1042"/>
      <c r="AY27" s="1042"/>
      <c r="AZ27" s="1042"/>
      <c r="BA27" s="1042"/>
      <c r="BB27" s="1042"/>
      <c r="BC27" s="1042"/>
      <c r="BD27" s="1012">
        <f t="shared" si="19"/>
        <v>0</v>
      </c>
      <c r="BF27" s="1036"/>
      <c r="BG27" s="1036"/>
      <c r="BH27" s="1035">
        <f>SUM(BF27:BG27)</f>
        <v>0</v>
      </c>
      <c r="BJ27" s="814">
        <f t="shared" si="4"/>
        <v>1.4210854715202004E-14</v>
      </c>
      <c r="BK27" s="814"/>
      <c r="BL27" s="715"/>
      <c r="BM27" s="1147"/>
      <c r="BN27" s="1146"/>
      <c r="BO27" s="1146"/>
      <c r="BP27" s="1146"/>
      <c r="BQ27" s="1146"/>
      <c r="BR27" s="1146"/>
      <c r="BS27" s="1146"/>
      <c r="BT27" s="1146"/>
      <c r="BU27" s="1146"/>
      <c r="BV27" s="1146"/>
      <c r="BW27" s="1146"/>
      <c r="BX27" s="1146"/>
      <c r="BY27" s="1146"/>
      <c r="BZ27" s="1146"/>
      <c r="CA27" s="1146"/>
      <c r="CB27" s="1146"/>
      <c r="CC27" s="1146"/>
      <c r="CD27" s="1146"/>
      <c r="CE27" s="1146"/>
      <c r="CF27" s="1146"/>
      <c r="CG27" s="1146"/>
      <c r="CH27" s="1146"/>
      <c r="CI27" s="1146"/>
      <c r="CJ27" s="1146"/>
      <c r="CK27" s="1146"/>
      <c r="CL27" s="1146"/>
      <c r="CM27" s="1146"/>
      <c r="CN27" s="1146"/>
      <c r="CO27" s="1146"/>
      <c r="CP27" s="1146"/>
      <c r="CQ27" s="1146"/>
      <c r="CR27" s="1146"/>
      <c r="CS27" s="1146"/>
      <c r="CT27" s="1146"/>
      <c r="CU27" s="1146"/>
      <c r="CV27" s="1146"/>
      <c r="CW27" s="1146"/>
      <c r="CX27" s="1146"/>
      <c r="CY27" s="1146"/>
      <c r="CZ27" s="1146"/>
      <c r="DA27" s="1146"/>
      <c r="DB27" s="1146"/>
      <c r="DC27" s="1146"/>
      <c r="DD27" s="1146"/>
    </row>
    <row r="28" spans="1:108" ht="15.75" collapsed="1">
      <c r="A28" s="24"/>
      <c r="B28" s="3"/>
      <c r="C28" s="744" t="s">
        <v>677</v>
      </c>
      <c r="D28" s="517" t="str">
        <f>INDEX(Workstreams[Workstream], MATCH($C28, Workstreams[Code], 0))</f>
        <v>Lighting and appliances</v>
      </c>
      <c r="E28" s="512"/>
      <c r="F28" s="12"/>
      <c r="G28" s="1021">
        <f>G21+G27</f>
        <v>0</v>
      </c>
      <c r="H28" s="1021">
        <f t="shared" ref="H28:P28" si="22">H21+H27</f>
        <v>183.99501047219411</v>
      </c>
      <c r="I28" s="1021">
        <f t="shared" si="22"/>
        <v>0</v>
      </c>
      <c r="J28" s="1021">
        <f t="shared" si="22"/>
        <v>0</v>
      </c>
      <c r="K28" s="1021">
        <f t="shared" si="22"/>
        <v>0</v>
      </c>
      <c r="L28" s="1021">
        <f t="shared" si="22"/>
        <v>0</v>
      </c>
      <c r="M28" s="1021">
        <f t="shared" si="22"/>
        <v>0</v>
      </c>
      <c r="N28" s="1021">
        <f t="shared" si="22"/>
        <v>0</v>
      </c>
      <c r="O28" s="1021">
        <f t="shared" si="22"/>
        <v>0</v>
      </c>
      <c r="P28" s="1021">
        <f t="shared" si="22"/>
        <v>0</v>
      </c>
      <c r="Q28" s="1021">
        <f t="shared" si="17"/>
        <v>183.99501047219411</v>
      </c>
      <c r="S28" s="970">
        <f>S21+S27</f>
        <v>-164.62480584994731</v>
      </c>
      <c r="T28" s="970">
        <f t="shared" ref="T28:AH28" si="23">T21+T27</f>
        <v>0</v>
      </c>
      <c r="U28" s="970">
        <f t="shared" si="23"/>
        <v>-3.4633120849035942E-2</v>
      </c>
      <c r="V28" s="970">
        <f t="shared" si="23"/>
        <v>-0.61850787064079948</v>
      </c>
      <c r="W28" s="970">
        <f t="shared" si="23"/>
        <v>-18.717063630756972</v>
      </c>
      <c r="X28" s="970">
        <f>X21+X27</f>
        <v>0</v>
      </c>
      <c r="Y28" s="970">
        <f>Y21+Y27</f>
        <v>0</v>
      </c>
      <c r="Z28" s="970">
        <f>Z21+Z27</f>
        <v>0</v>
      </c>
      <c r="AA28" s="970">
        <f t="shared" si="23"/>
        <v>0</v>
      </c>
      <c r="AB28" s="970">
        <f t="shared" si="23"/>
        <v>0</v>
      </c>
      <c r="AC28" s="970">
        <f t="shared" si="23"/>
        <v>0</v>
      </c>
      <c r="AD28" s="970">
        <f t="shared" si="23"/>
        <v>0</v>
      </c>
      <c r="AE28" s="970">
        <f t="shared" si="23"/>
        <v>0</v>
      </c>
      <c r="AF28" s="970">
        <f>AF21+AF27</f>
        <v>0</v>
      </c>
      <c r="AG28" s="970">
        <f>AG21+AG27</f>
        <v>0</v>
      </c>
      <c r="AH28" s="970">
        <f t="shared" si="23"/>
        <v>0</v>
      </c>
      <c r="AI28" s="970">
        <f t="shared" si="18"/>
        <v>-183.99501047219411</v>
      </c>
      <c r="AK28" s="976">
        <f t="shared" ref="AK28:BC28" si="24">AK21+AK27</f>
        <v>0</v>
      </c>
      <c r="AL28" s="976">
        <f t="shared" si="24"/>
        <v>0</v>
      </c>
      <c r="AM28" s="976">
        <f t="shared" si="24"/>
        <v>0</v>
      </c>
      <c r="AN28" s="976">
        <f t="shared" si="24"/>
        <v>0</v>
      </c>
      <c r="AO28" s="976">
        <f t="shared" si="24"/>
        <v>0</v>
      </c>
      <c r="AP28" s="976">
        <f t="shared" si="24"/>
        <v>0</v>
      </c>
      <c r="AQ28" s="976">
        <f t="shared" si="24"/>
        <v>0</v>
      </c>
      <c r="AR28" s="976">
        <f t="shared" si="24"/>
        <v>0</v>
      </c>
      <c r="AS28" s="976">
        <f t="shared" si="24"/>
        <v>0</v>
      </c>
      <c r="AT28" s="976">
        <f t="shared" si="24"/>
        <v>0</v>
      </c>
      <c r="AU28" s="976">
        <f t="shared" si="24"/>
        <v>0</v>
      </c>
      <c r="AV28" s="976">
        <f t="shared" si="24"/>
        <v>0</v>
      </c>
      <c r="AW28" s="976">
        <f t="shared" si="24"/>
        <v>0</v>
      </c>
      <c r="AX28" s="976">
        <f t="shared" si="24"/>
        <v>0</v>
      </c>
      <c r="AY28" s="976">
        <f t="shared" si="24"/>
        <v>0</v>
      </c>
      <c r="AZ28" s="976">
        <f t="shared" si="24"/>
        <v>0</v>
      </c>
      <c r="BA28" s="976">
        <f t="shared" si="24"/>
        <v>0</v>
      </c>
      <c r="BB28" s="976">
        <f t="shared" si="24"/>
        <v>0</v>
      </c>
      <c r="BC28" s="976">
        <f t="shared" si="24"/>
        <v>0</v>
      </c>
      <c r="BD28" s="976">
        <f t="shared" si="19"/>
        <v>0</v>
      </c>
      <c r="BF28" s="990">
        <f>BF21+BF27</f>
        <v>0</v>
      </c>
      <c r="BG28" s="990">
        <f>BG21+BG27</f>
        <v>0</v>
      </c>
      <c r="BH28" s="990">
        <f>SUM(BF28:BG28)</f>
        <v>0</v>
      </c>
      <c r="BJ28" s="515">
        <f t="shared" si="4"/>
        <v>0</v>
      </c>
      <c r="BK28" s="515"/>
      <c r="BL28" s="24"/>
      <c r="BM28" s="1148"/>
      <c r="BN28" s="1146"/>
      <c r="BO28" s="1146"/>
      <c r="BP28" s="1146"/>
      <c r="BQ28" s="1146"/>
      <c r="BR28" s="1146"/>
      <c r="BS28" s="1146"/>
      <c r="BT28" s="1146"/>
      <c r="BU28" s="1146"/>
      <c r="BV28" s="1146"/>
      <c r="BW28" s="1146"/>
      <c r="BX28" s="1146"/>
      <c r="BY28" s="1146"/>
      <c r="BZ28" s="1146"/>
      <c r="CA28" s="1146"/>
      <c r="CB28" s="1146"/>
      <c r="CC28" s="1146"/>
      <c r="CD28" s="1146"/>
      <c r="CE28" s="1146"/>
      <c r="CF28" s="1146"/>
      <c r="CG28" s="1146"/>
      <c r="CH28" s="1146"/>
      <c r="CI28" s="1146"/>
      <c r="CJ28" s="1146"/>
      <c r="CK28" s="1146"/>
      <c r="CL28" s="1146"/>
      <c r="CM28" s="1146"/>
      <c r="CN28" s="1146"/>
      <c r="CO28" s="1146"/>
      <c r="CP28" s="1146"/>
      <c r="CQ28" s="1146"/>
      <c r="CR28" s="1146"/>
      <c r="CS28" s="1146"/>
      <c r="CT28" s="1146"/>
      <c r="CU28" s="1146"/>
      <c r="CV28" s="1146"/>
      <c r="CW28" s="1146"/>
      <c r="CX28" s="1146"/>
      <c r="CY28" s="1146"/>
      <c r="CZ28" s="1146"/>
      <c r="DA28" s="1146"/>
      <c r="DB28" s="1146"/>
      <c r="DC28" s="1146"/>
      <c r="DD28" s="1146"/>
    </row>
    <row r="29" spans="1:108" ht="12.75" hidden="1" customHeight="1" outlineLevel="1">
      <c r="A29" s="715"/>
      <c r="B29" s="715"/>
      <c r="C29" s="746"/>
      <c r="D29" s="521"/>
      <c r="E29" s="521"/>
      <c r="F29" s="12"/>
      <c r="G29" s="1019"/>
      <c r="H29" s="1019"/>
      <c r="I29" s="1019"/>
      <c r="J29" s="1019"/>
      <c r="K29" s="1019"/>
      <c r="L29" s="1019"/>
      <c r="M29" s="1019"/>
      <c r="N29" s="1019"/>
      <c r="O29" s="1019"/>
      <c r="P29" s="1019"/>
      <c r="Q29" s="1019"/>
      <c r="S29" s="1027"/>
      <c r="T29" s="1027"/>
      <c r="U29" s="1027"/>
      <c r="V29" s="1027"/>
      <c r="W29" s="1027"/>
      <c r="X29" s="1027"/>
      <c r="Y29" s="1027"/>
      <c r="Z29" s="1027"/>
      <c r="AA29" s="1027"/>
      <c r="AB29" s="1027"/>
      <c r="AC29" s="1027"/>
      <c r="AD29" s="1027"/>
      <c r="AE29" s="1027"/>
      <c r="AF29" s="1027"/>
      <c r="AG29" s="1027"/>
      <c r="AH29" s="1027"/>
      <c r="AI29" s="1027"/>
      <c r="AK29" s="1040"/>
      <c r="AL29" s="1040"/>
      <c r="AM29" s="1040"/>
      <c r="AN29" s="1040"/>
      <c r="AO29" s="1040"/>
      <c r="AP29" s="1040"/>
      <c r="AQ29" s="1040"/>
      <c r="AR29" s="1040"/>
      <c r="AS29" s="1040"/>
      <c r="AT29" s="1040"/>
      <c r="AU29" s="1040"/>
      <c r="AV29" s="1040"/>
      <c r="AW29" s="1040"/>
      <c r="AX29" s="1040"/>
      <c r="AY29" s="1040"/>
      <c r="AZ29" s="1040"/>
      <c r="BA29" s="1040"/>
      <c r="BB29" s="1040"/>
      <c r="BC29" s="1040"/>
      <c r="BD29" s="979"/>
      <c r="BF29" s="1034"/>
      <c r="BG29" s="1034"/>
      <c r="BH29" s="1034"/>
      <c r="BJ29" s="814">
        <f t="shared" si="4"/>
        <v>0</v>
      </c>
      <c r="BK29" s="814"/>
      <c r="BL29" s="715"/>
      <c r="BM29" s="1147"/>
      <c r="BN29" s="1146"/>
      <c r="BO29" s="1146"/>
      <c r="BP29" s="1146"/>
      <c r="BQ29" s="1146"/>
      <c r="BR29" s="1146"/>
      <c r="BS29" s="1146"/>
      <c r="BT29" s="1146"/>
      <c r="BU29" s="1146"/>
      <c r="BV29" s="1146"/>
      <c r="BW29" s="1146"/>
      <c r="BX29" s="1146"/>
      <c r="BY29" s="1146"/>
      <c r="BZ29" s="1146"/>
      <c r="CA29" s="1146"/>
      <c r="CB29" s="1146"/>
      <c r="CC29" s="1146"/>
      <c r="CD29" s="1146"/>
      <c r="CE29" s="1146"/>
      <c r="CF29" s="1146"/>
      <c r="CG29" s="1146"/>
      <c r="CH29" s="1146"/>
      <c r="CI29" s="1146"/>
      <c r="CJ29" s="1146"/>
      <c r="CK29" s="1146"/>
      <c r="CL29" s="1146"/>
      <c r="CM29" s="1146"/>
      <c r="CN29" s="1146"/>
      <c r="CO29" s="1146"/>
      <c r="CP29" s="1146"/>
      <c r="CQ29" s="1146"/>
      <c r="CR29" s="1146"/>
      <c r="CS29" s="1146"/>
      <c r="CT29" s="1146"/>
      <c r="CU29" s="1146"/>
      <c r="CV29" s="1146"/>
      <c r="CW29" s="1146"/>
      <c r="CX29" s="1146"/>
      <c r="CY29" s="1146"/>
      <c r="CZ29" s="1146"/>
      <c r="DA29" s="1146"/>
      <c r="DB29" s="1146"/>
      <c r="DC29" s="1146"/>
      <c r="DD29" s="1146"/>
    </row>
    <row r="30" spans="1:108" s="246" customFormat="1" ht="12.75" hidden="1" customHeight="1" outlineLevel="2">
      <c r="A30" s="849"/>
      <c r="B30" s="849"/>
      <c r="C30" s="1048"/>
      <c r="D30" s="851"/>
      <c r="E30" s="851" t="s">
        <v>1084</v>
      </c>
      <c r="F30" s="12" t="s">
        <v>1213</v>
      </c>
      <c r="G30" s="1299"/>
      <c r="H30" s="1299"/>
      <c r="I30" s="1299"/>
      <c r="J30" s="1299"/>
      <c r="K30" s="1299"/>
      <c r="L30" s="1299"/>
      <c r="M30" s="1299"/>
      <c r="N30" s="1299"/>
      <c r="O30" s="1299"/>
      <c r="P30" s="1299"/>
      <c r="Q30" s="1295">
        <f t="shared" ref="Q30:Q54" si="25">SUM(G30:P30)</f>
        <v>0</v>
      </c>
      <c r="S30" s="1312"/>
      <c r="T30" s="1312"/>
      <c r="U30" s="1312">
        <f>'DUKES 09 (1.2)'!$B$21*Unit.ktoe+'DUKES 09 (2.5)'!$B$8*1000000*Constants.GCV.Coke+'DUKES 09 (2.5)'!$C$8*1000000*Constants.GCV.CokeBreeze</f>
        <v>-13.20840677256111</v>
      </c>
      <c r="V30" s="1312"/>
      <c r="W30" s="1312">
        <f>'DUKES 09 (2.5)'!$G$8*Unit.GWh+'DUKES 09 (2.5)'!$H$8*Unit.GWh-'DUKES 09 (2.5)'!$H$38*Unit.GWh</f>
        <v>11.02332976186435</v>
      </c>
      <c r="X30" s="1312"/>
      <c r="Y30" s="1312"/>
      <c r="Z30" s="1312"/>
      <c r="AA30" s="1312"/>
      <c r="AB30" s="1312"/>
      <c r="AC30" s="1312"/>
      <c r="AD30" s="1312"/>
      <c r="AE30" s="1312"/>
      <c r="AF30" s="1312"/>
      <c r="AG30" s="1312"/>
      <c r="AH30" s="1312"/>
      <c r="AI30" s="1309">
        <f t="shared" ref="AI30:AI54" si="26">SUM(S30:AH30)</f>
        <v>-2.1850770106967605</v>
      </c>
      <c r="AK30" s="1300"/>
      <c r="AL30" s="1300"/>
      <c r="AM30" s="1300"/>
      <c r="AN30" s="1300"/>
      <c r="AO30" s="1300"/>
      <c r="AP30" s="1300"/>
      <c r="AQ30" s="1300"/>
      <c r="AR30" s="1300"/>
      <c r="AS30" s="1300"/>
      <c r="AT30" s="1300"/>
      <c r="AU30" s="1300"/>
      <c r="AV30" s="1300"/>
      <c r="AW30" s="1300"/>
      <c r="AX30" s="1300"/>
      <c r="AY30" s="1300"/>
      <c r="AZ30" s="1300"/>
      <c r="BA30" s="1300"/>
      <c r="BB30" s="1300"/>
      <c r="BC30" s="1300"/>
      <c r="BD30" s="978">
        <f t="shared" ref="BD30:BD56" si="27">SUM(AK30:BC30)</f>
        <v>0</v>
      </c>
      <c r="BF30" s="1301">
        <f>-($Q30+$AI30+$BD30)</f>
        <v>2.1850770106967605</v>
      </c>
      <c r="BG30" s="1301"/>
      <c r="BH30" s="1301">
        <f t="shared" ref="BH30:BH54" si="28">SUM(BF30:BG30)</f>
        <v>2.1850770106967605</v>
      </c>
      <c r="BJ30" s="852">
        <f t="shared" si="4"/>
        <v>0</v>
      </c>
      <c r="BK30" s="852"/>
      <c r="BL30" s="849"/>
      <c r="BM30" s="1149"/>
      <c r="BN30" s="1302"/>
      <c r="BO30" s="1302"/>
      <c r="BP30" s="1302"/>
      <c r="BQ30" s="1302"/>
      <c r="BR30" s="1302"/>
      <c r="BS30" s="1302"/>
      <c r="BT30" s="1302"/>
      <c r="BU30" s="1302"/>
      <c r="BV30" s="1302"/>
      <c r="BW30" s="1302"/>
      <c r="BX30" s="1302"/>
      <c r="BY30" s="1302"/>
      <c r="BZ30" s="1302"/>
      <c r="CA30" s="1302"/>
      <c r="CB30" s="1302"/>
      <c r="CC30" s="1302"/>
      <c r="CD30" s="1302"/>
      <c r="CE30" s="1302"/>
      <c r="CF30" s="1302"/>
      <c r="CG30" s="1302"/>
      <c r="CH30" s="1302"/>
      <c r="CI30" s="1302"/>
      <c r="CJ30" s="1302"/>
      <c r="CK30" s="1302"/>
      <c r="CL30" s="1302"/>
      <c r="CM30" s="1302"/>
      <c r="CN30" s="1302"/>
      <c r="CO30" s="1302"/>
      <c r="CP30" s="1302"/>
      <c r="CQ30" s="1302"/>
      <c r="CR30" s="1302"/>
      <c r="CS30" s="1302"/>
      <c r="CT30" s="1302"/>
      <c r="CU30" s="1302"/>
      <c r="CV30" s="1302"/>
      <c r="CW30" s="1302"/>
      <c r="CX30" s="1302"/>
      <c r="CY30" s="1302"/>
      <c r="CZ30" s="1302"/>
      <c r="DA30" s="1302"/>
      <c r="DB30" s="1302"/>
      <c r="DC30" s="1302"/>
      <c r="DD30" s="1302"/>
    </row>
    <row r="31" spans="1:108" s="246" customFormat="1" ht="12.75" hidden="1" customHeight="1" outlineLevel="2">
      <c r="A31" s="849"/>
      <c r="B31" s="849"/>
      <c r="C31" s="1048"/>
      <c r="D31" s="851"/>
      <c r="E31" s="851" t="s">
        <v>447</v>
      </c>
      <c r="F31" s="12" t="s">
        <v>447</v>
      </c>
      <c r="G31" s="1299"/>
      <c r="H31" s="1299"/>
      <c r="I31" s="1299"/>
      <c r="J31" s="1299"/>
      <c r="K31" s="1299"/>
      <c r="L31" s="1299"/>
      <c r="M31" s="1299"/>
      <c r="N31" s="1299"/>
      <c r="O31" s="1299"/>
      <c r="P31" s="1299"/>
      <c r="Q31" s="1295">
        <f t="shared" si="25"/>
        <v>0</v>
      </c>
      <c r="S31" s="1312"/>
      <c r="T31" s="1312"/>
      <c r="U31" s="1312">
        <f>(-'DUKES 09 (2.5)'!$B$25*1000000*Constants.GCV.Coke)+(-'DUKES 09 (2.5)'!$C$25*1000000*Constants.GCV.CokeBreeze)+('DUKES 09 (1.2)'!$B$22*Unit.ktoe)</f>
        <v>-46.207513154019061</v>
      </c>
      <c r="V31" s="1312">
        <f>'DUKES 09 (1.2)'!$E$22*Unit.ktoe</f>
        <v>-2.4382732434167682</v>
      </c>
      <c r="W31" s="1312"/>
      <c r="X31" s="1312"/>
      <c r="Y31" s="1312"/>
      <c r="Z31" s="1312"/>
      <c r="AA31" s="1312">
        <f>('DUKES 09 (2.5)'!$I$8-'DUKES 09 (2.5)'!$I$38)*Unit.GWh</f>
        <v>14.63015725722</v>
      </c>
      <c r="AB31" s="1312"/>
      <c r="AC31" s="1312"/>
      <c r="AD31" s="1312"/>
      <c r="AE31" s="1312"/>
      <c r="AF31" s="1312"/>
      <c r="AG31" s="1312"/>
      <c r="AH31" s="1312"/>
      <c r="AI31" s="1309">
        <f t="shared" si="26"/>
        <v>-34.015629140215829</v>
      </c>
      <c r="AK31" s="1300"/>
      <c r="AL31" s="1300"/>
      <c r="AM31" s="1300"/>
      <c r="AN31" s="1300"/>
      <c r="AO31" s="1300"/>
      <c r="AP31" s="1300"/>
      <c r="AQ31" s="1300"/>
      <c r="AR31" s="1300"/>
      <c r="AS31" s="1300"/>
      <c r="AT31" s="1300"/>
      <c r="AU31" s="1300"/>
      <c r="AV31" s="1300"/>
      <c r="AW31" s="1300"/>
      <c r="AX31" s="1300"/>
      <c r="AY31" s="1300"/>
      <c r="AZ31" s="1300"/>
      <c r="BA31" s="1300"/>
      <c r="BB31" s="1300"/>
      <c r="BC31" s="1300"/>
      <c r="BD31" s="978">
        <f t="shared" si="27"/>
        <v>0</v>
      </c>
      <c r="BF31" s="1301">
        <f>-($Q31+$AI31+$BD31)</f>
        <v>34.015629140215829</v>
      </c>
      <c r="BG31" s="1301"/>
      <c r="BH31" s="1301">
        <f t="shared" si="28"/>
        <v>34.015629140215829</v>
      </c>
      <c r="BJ31" s="852">
        <f t="shared" si="4"/>
        <v>0</v>
      </c>
      <c r="BK31" s="852"/>
      <c r="BL31" s="849"/>
      <c r="BM31" s="1149"/>
      <c r="BN31" s="1302"/>
      <c r="BO31" s="1302"/>
      <c r="BP31" s="1302"/>
      <c r="BQ31" s="1302"/>
      <c r="BR31" s="1302"/>
      <c r="BS31" s="1302"/>
      <c r="BT31" s="1302"/>
      <c r="BU31" s="1302"/>
      <c r="BV31" s="1302"/>
      <c r="BW31" s="1302"/>
      <c r="BX31" s="1302"/>
      <c r="BY31" s="1302"/>
      <c r="BZ31" s="1302"/>
      <c r="CA31" s="1302"/>
      <c r="CB31" s="1302"/>
      <c r="CC31" s="1302"/>
      <c r="CD31" s="1302"/>
      <c r="CE31" s="1302"/>
      <c r="CF31" s="1302"/>
      <c r="CG31" s="1302"/>
      <c r="CH31" s="1302"/>
      <c r="CI31" s="1302"/>
      <c r="CJ31" s="1302"/>
      <c r="CK31" s="1302"/>
      <c r="CL31" s="1302"/>
      <c r="CM31" s="1302"/>
      <c r="CN31" s="1302"/>
      <c r="CO31" s="1302"/>
      <c r="CP31" s="1302"/>
      <c r="CQ31" s="1302"/>
      <c r="CR31" s="1302"/>
      <c r="CS31" s="1302"/>
      <c r="CT31" s="1302"/>
      <c r="CU31" s="1302"/>
      <c r="CV31" s="1302"/>
      <c r="CW31" s="1302"/>
      <c r="CX31" s="1302"/>
      <c r="CY31" s="1302"/>
      <c r="CZ31" s="1302"/>
      <c r="DA31" s="1302"/>
      <c r="DB31" s="1302"/>
      <c r="DC31" s="1302"/>
      <c r="DD31" s="1302"/>
    </row>
    <row r="32" spans="1:108" s="246" customFormat="1" ht="12.75" hidden="1" customHeight="1" outlineLevel="2">
      <c r="A32" s="849"/>
      <c r="B32" s="849"/>
      <c r="C32" s="1048"/>
      <c r="D32" s="851"/>
      <c r="E32" s="851" t="s">
        <v>1082</v>
      </c>
      <c r="F32" s="12" t="s">
        <v>1082</v>
      </c>
      <c r="G32" s="1299"/>
      <c r="H32" s="1299"/>
      <c r="I32" s="1299">
        <f t="shared" ref="I32:I38" si="29">-($AI32+$BD32+$BH32)</f>
        <v>5.0201353737164549</v>
      </c>
      <c r="J32" s="1299"/>
      <c r="K32" s="1299"/>
      <c r="L32" s="1299"/>
      <c r="M32" s="1299"/>
      <c r="N32" s="1299"/>
      <c r="O32" s="1299"/>
      <c r="P32" s="1299"/>
      <c r="Q32" s="1295">
        <f t="shared" si="25"/>
        <v>5.0201353737164549</v>
      </c>
      <c r="S32" s="1312">
        <f>-'DUKES 09 (1.2)'!$I$30*Unit.ktoe</f>
        <v>-8.9714468944641065E-2</v>
      </c>
      <c r="T32" s="1312"/>
      <c r="U32" s="1312"/>
      <c r="V32" s="1312"/>
      <c r="W32" s="1312">
        <f>-'DUKES 09 (2.5)'!$H$33*Unit.GWh</f>
        <v>-4.2278516731518136</v>
      </c>
      <c r="X32" s="1312"/>
      <c r="Y32" s="1312"/>
      <c r="Z32" s="1312"/>
      <c r="AA32" s="1312">
        <f>-'DUKES 09 (2.5)'!$I$33*Unit.GWh</f>
        <v>-0.70256923162000007</v>
      </c>
      <c r="AB32" s="1312"/>
      <c r="AC32" s="1312"/>
      <c r="AD32" s="1312"/>
      <c r="AE32" s="1312"/>
      <c r="AF32" s="1312"/>
      <c r="AG32" s="1312"/>
      <c r="AH32" s="1312"/>
      <c r="AI32" s="1309">
        <f t="shared" si="26"/>
        <v>-5.0201353737164549</v>
      </c>
      <c r="AK32" s="1300"/>
      <c r="AL32" s="1300"/>
      <c r="AM32" s="1300"/>
      <c r="AN32" s="1300"/>
      <c r="AO32" s="1300"/>
      <c r="AP32" s="1300"/>
      <c r="AQ32" s="1300"/>
      <c r="AR32" s="1300"/>
      <c r="AS32" s="1300"/>
      <c r="AT32" s="1300"/>
      <c r="AU32" s="1300"/>
      <c r="AV32" s="1300"/>
      <c r="AW32" s="1300"/>
      <c r="AX32" s="1300"/>
      <c r="AY32" s="1300"/>
      <c r="AZ32" s="1300"/>
      <c r="BA32" s="1300"/>
      <c r="BB32" s="1300"/>
      <c r="BC32" s="1300"/>
      <c r="BD32" s="978">
        <f t="shared" si="27"/>
        <v>0</v>
      </c>
      <c r="BF32" s="1301"/>
      <c r="BG32" s="1301"/>
      <c r="BH32" s="1301">
        <f t="shared" si="28"/>
        <v>0</v>
      </c>
      <c r="BJ32" s="852">
        <f t="shared" si="4"/>
        <v>0</v>
      </c>
      <c r="BK32" s="852"/>
      <c r="BL32" s="849"/>
      <c r="BM32" s="1149"/>
      <c r="BN32" s="1302"/>
      <c r="BO32" s="1302"/>
      <c r="BP32" s="1302"/>
      <c r="BQ32" s="1302"/>
      <c r="BR32" s="1302"/>
      <c r="BS32" s="1302"/>
      <c r="BT32" s="1302"/>
      <c r="BU32" s="1302"/>
      <c r="BV32" s="1302"/>
      <c r="BW32" s="1302"/>
      <c r="BX32" s="1302"/>
      <c r="BY32" s="1302"/>
      <c r="BZ32" s="1302"/>
      <c r="CA32" s="1302"/>
      <c r="CB32" s="1302"/>
      <c r="CC32" s="1302"/>
      <c r="CD32" s="1302"/>
      <c r="CE32" s="1302"/>
      <c r="CF32" s="1302"/>
      <c r="CG32" s="1302"/>
      <c r="CH32" s="1302"/>
      <c r="CI32" s="1302"/>
      <c r="CJ32" s="1302"/>
      <c r="CK32" s="1302"/>
      <c r="CL32" s="1302"/>
      <c r="CM32" s="1302"/>
      <c r="CN32" s="1302"/>
      <c r="CO32" s="1302"/>
      <c r="CP32" s="1302"/>
      <c r="CQ32" s="1302"/>
      <c r="CR32" s="1302"/>
      <c r="CS32" s="1302"/>
      <c r="CT32" s="1302"/>
      <c r="CU32" s="1302"/>
      <c r="CV32" s="1302"/>
      <c r="CW32" s="1302"/>
      <c r="CX32" s="1302"/>
      <c r="CY32" s="1302"/>
      <c r="CZ32" s="1302"/>
      <c r="DA32" s="1302"/>
      <c r="DB32" s="1302"/>
      <c r="DC32" s="1302"/>
      <c r="DD32" s="1302"/>
    </row>
    <row r="33" spans="1:108" s="246" customFormat="1" ht="12.75" hidden="1" customHeight="1" outlineLevel="2">
      <c r="A33" s="849"/>
      <c r="B33" s="849"/>
      <c r="C33" s="1048"/>
      <c r="D33" s="851"/>
      <c r="E33" s="851" t="s">
        <v>1083</v>
      </c>
      <c r="F33" s="12" t="s">
        <v>1083</v>
      </c>
      <c r="G33" s="1299"/>
      <c r="H33" s="1299"/>
      <c r="I33" s="1299">
        <f t="shared" si="29"/>
        <v>6.5189456776271442</v>
      </c>
      <c r="J33" s="1299"/>
      <c r="K33" s="1299"/>
      <c r="L33" s="1299"/>
      <c r="M33" s="1299"/>
      <c r="N33" s="1299"/>
      <c r="O33" s="1299"/>
      <c r="P33" s="1299"/>
      <c r="Q33" s="1295">
        <f t="shared" si="25"/>
        <v>6.5189456776271442</v>
      </c>
      <c r="S33" s="1312">
        <f>-'DUKES 09 (1.2)'!$I$31*Unit.ktoe</f>
        <v>-0.47878538460714365</v>
      </c>
      <c r="T33" s="1312"/>
      <c r="U33" s="1312"/>
      <c r="V33" s="1312"/>
      <c r="W33" s="1312">
        <f>-'DUKES 09 (2.5)'!$H$34*Unit.GWh-'DUKES 09 (1.2)'!$F$31*Unit.ktoe</f>
        <v>-1.660831092</v>
      </c>
      <c r="X33" s="1312"/>
      <c r="Y33" s="1312"/>
      <c r="Z33" s="1312"/>
      <c r="AA33" s="1312">
        <f>-'DUKES 09 (2.5)'!$I$34*Unit.GWh</f>
        <v>-4.37932920102</v>
      </c>
      <c r="AB33" s="1312"/>
      <c r="AC33" s="1312"/>
      <c r="AD33" s="1312"/>
      <c r="AE33" s="1312"/>
      <c r="AF33" s="1312"/>
      <c r="AG33" s="1312"/>
      <c r="AH33" s="1312"/>
      <c r="AI33" s="1309">
        <f t="shared" si="26"/>
        <v>-6.5189456776271442</v>
      </c>
      <c r="AK33" s="1300"/>
      <c r="AL33" s="1300"/>
      <c r="AM33" s="1300"/>
      <c r="AN33" s="1300"/>
      <c r="AO33" s="1300"/>
      <c r="AP33" s="1300"/>
      <c r="AQ33" s="1300"/>
      <c r="AR33" s="1300"/>
      <c r="AS33" s="1300"/>
      <c r="AT33" s="1300"/>
      <c r="AU33" s="1300"/>
      <c r="AV33" s="1300"/>
      <c r="AW33" s="1300"/>
      <c r="AX33" s="1300"/>
      <c r="AY33" s="1300"/>
      <c r="AZ33" s="1300"/>
      <c r="BA33" s="1300"/>
      <c r="BB33" s="1300"/>
      <c r="BC33" s="1300"/>
      <c r="BD33" s="978">
        <f t="shared" si="27"/>
        <v>0</v>
      </c>
      <c r="BF33" s="1301"/>
      <c r="BG33" s="1301"/>
      <c r="BH33" s="1301">
        <f t="shared" si="28"/>
        <v>0</v>
      </c>
      <c r="BJ33" s="852">
        <f t="shared" si="4"/>
        <v>0</v>
      </c>
      <c r="BK33" s="852"/>
      <c r="BL33" s="849"/>
      <c r="BM33" s="1149"/>
      <c r="BN33" s="1302"/>
      <c r="BO33" s="1302"/>
      <c r="BP33" s="1302"/>
      <c r="BQ33" s="1302"/>
      <c r="BR33" s="1302"/>
      <c r="BS33" s="1302"/>
      <c r="BT33" s="1302"/>
      <c r="BU33" s="1302"/>
      <c r="BV33" s="1302"/>
      <c r="BW33" s="1302"/>
      <c r="BX33" s="1302"/>
      <c r="BY33" s="1302"/>
      <c r="BZ33" s="1302"/>
      <c r="CA33" s="1302"/>
      <c r="CB33" s="1302"/>
      <c r="CC33" s="1302"/>
      <c r="CD33" s="1302"/>
      <c r="CE33" s="1302"/>
      <c r="CF33" s="1302"/>
      <c r="CG33" s="1302"/>
      <c r="CH33" s="1302"/>
      <c r="CI33" s="1302"/>
      <c r="CJ33" s="1302"/>
      <c r="CK33" s="1302"/>
      <c r="CL33" s="1302"/>
      <c r="CM33" s="1302"/>
      <c r="CN33" s="1302"/>
      <c r="CO33" s="1302"/>
      <c r="CP33" s="1302"/>
      <c r="CQ33" s="1302"/>
      <c r="CR33" s="1302"/>
      <c r="CS33" s="1302"/>
      <c r="CT33" s="1302"/>
      <c r="CU33" s="1302"/>
      <c r="CV33" s="1302"/>
      <c r="CW33" s="1302"/>
      <c r="CX33" s="1302"/>
      <c r="CY33" s="1302"/>
      <c r="CZ33" s="1302"/>
      <c r="DA33" s="1302"/>
      <c r="DB33" s="1302"/>
      <c r="DC33" s="1302"/>
      <c r="DD33" s="1302"/>
    </row>
    <row r="34" spans="1:108" s="246" customFormat="1" ht="12.75" hidden="1" customHeight="1" outlineLevel="2">
      <c r="A34" s="849"/>
      <c r="B34" s="849"/>
      <c r="C34" s="1048"/>
      <c r="D34" s="851"/>
      <c r="E34" s="851" t="s">
        <v>591</v>
      </c>
      <c r="F34" s="12" t="s">
        <v>591</v>
      </c>
      <c r="G34" s="1299"/>
      <c r="H34" s="1299"/>
      <c r="I34" s="1299">
        <f t="shared" si="29"/>
        <v>7.6391600513258329</v>
      </c>
      <c r="J34" s="1299"/>
      <c r="K34" s="1299"/>
      <c r="L34" s="1299"/>
      <c r="M34" s="1299"/>
      <c r="N34" s="1299"/>
      <c r="O34" s="1299"/>
      <c r="P34" s="1299"/>
      <c r="Q34" s="1295">
        <f t="shared" si="25"/>
        <v>7.6391600513258329</v>
      </c>
      <c r="S34" s="1312">
        <f>-'DUKES 09 (1.2)'!$I$34*Unit.ktoe</f>
        <v>-1.8634191446533293</v>
      </c>
      <c r="T34" s="1312"/>
      <c r="U34" s="1312"/>
      <c r="V34" s="1312"/>
      <c r="W34" s="1312">
        <f>-'DUKES 09 (1.2)'!$F$34*Unit.ktoe</f>
        <v>-5.7757409066725032</v>
      </c>
      <c r="X34" s="1312"/>
      <c r="Y34" s="1312"/>
      <c r="Z34" s="1312"/>
      <c r="AA34" s="1312"/>
      <c r="AB34" s="1312"/>
      <c r="AC34" s="1312"/>
      <c r="AD34" s="1312"/>
      <c r="AE34" s="1312"/>
      <c r="AF34" s="1312"/>
      <c r="AG34" s="1312"/>
      <c r="AH34" s="1312"/>
      <c r="AI34" s="1309">
        <f t="shared" si="26"/>
        <v>-7.6391600513258329</v>
      </c>
      <c r="AK34" s="1300"/>
      <c r="AL34" s="1300"/>
      <c r="AM34" s="1300"/>
      <c r="AN34" s="1300"/>
      <c r="AO34" s="1300"/>
      <c r="AP34" s="1300"/>
      <c r="AQ34" s="1300"/>
      <c r="AR34" s="1300"/>
      <c r="AS34" s="1300"/>
      <c r="AT34" s="1300"/>
      <c r="AU34" s="1300"/>
      <c r="AV34" s="1300"/>
      <c r="AW34" s="1300"/>
      <c r="AX34" s="1300"/>
      <c r="AY34" s="1300"/>
      <c r="AZ34" s="1300"/>
      <c r="BA34" s="1300"/>
      <c r="BB34" s="1300"/>
      <c r="BC34" s="1300"/>
      <c r="BD34" s="978">
        <f t="shared" si="27"/>
        <v>0</v>
      </c>
      <c r="BF34" s="1301"/>
      <c r="BG34" s="1301"/>
      <c r="BH34" s="1301">
        <f t="shared" si="28"/>
        <v>0</v>
      </c>
      <c r="BJ34" s="852">
        <f t="shared" si="4"/>
        <v>0</v>
      </c>
      <c r="BK34" s="852"/>
      <c r="BL34" s="849"/>
      <c r="BM34" s="1149"/>
      <c r="BN34" s="1302"/>
      <c r="BO34" s="1302"/>
      <c r="BP34" s="1302"/>
      <c r="BQ34" s="1302"/>
      <c r="BR34" s="1302"/>
      <c r="BS34" s="1302"/>
      <c r="BT34" s="1302"/>
      <c r="BU34" s="1302"/>
      <c r="BV34" s="1302"/>
      <c r="BW34" s="1302"/>
      <c r="BX34" s="1302"/>
      <c r="BY34" s="1302"/>
      <c r="BZ34" s="1302"/>
      <c r="CA34" s="1302"/>
      <c r="CB34" s="1302"/>
      <c r="CC34" s="1302"/>
      <c r="CD34" s="1302"/>
      <c r="CE34" s="1302"/>
      <c r="CF34" s="1302"/>
      <c r="CG34" s="1302"/>
      <c r="CH34" s="1302"/>
      <c r="CI34" s="1302"/>
      <c r="CJ34" s="1302"/>
      <c r="CK34" s="1302"/>
      <c r="CL34" s="1302"/>
      <c r="CM34" s="1302"/>
      <c r="CN34" s="1302"/>
      <c r="CO34" s="1302"/>
      <c r="CP34" s="1302"/>
      <c r="CQ34" s="1302"/>
      <c r="CR34" s="1302"/>
      <c r="CS34" s="1302"/>
      <c r="CT34" s="1302"/>
      <c r="CU34" s="1302"/>
      <c r="CV34" s="1302"/>
      <c r="CW34" s="1302"/>
      <c r="CX34" s="1302"/>
      <c r="CY34" s="1302"/>
      <c r="CZ34" s="1302"/>
      <c r="DA34" s="1302"/>
      <c r="DB34" s="1302"/>
      <c r="DC34" s="1302"/>
      <c r="DD34" s="1302"/>
    </row>
    <row r="35" spans="1:108" s="849" customFormat="1" ht="12.75" hidden="1" customHeight="1" outlineLevel="2">
      <c r="C35" s="1048"/>
      <c r="D35" s="851"/>
      <c r="E35" s="851" t="s">
        <v>171</v>
      </c>
      <c r="F35" s="734" t="s">
        <v>43</v>
      </c>
      <c r="G35" s="1295"/>
      <c r="H35" s="1295"/>
      <c r="I35" s="1299">
        <f t="shared" si="29"/>
        <v>19.731811506250374</v>
      </c>
      <c r="J35" s="1295"/>
      <c r="K35" s="1295"/>
      <c r="L35" s="1295"/>
      <c r="M35" s="1295"/>
      <c r="N35" s="1295"/>
      <c r="O35" s="1295"/>
      <c r="P35" s="1295"/>
      <c r="Q35" s="1295">
        <f t="shared" si="25"/>
        <v>19.731811506250374</v>
      </c>
      <c r="S35" s="1311">
        <f>-'DUKES 09 (1.2)'!$I$39*Unit.ktoe</f>
        <v>-4.9236735106492704</v>
      </c>
      <c r="T35" s="1311"/>
      <c r="U35" s="1311">
        <f>-'DUKES 09 (1.2)'!$B$39*Unit.ktoe-('DUKES 09 (2.5)'!$B$42*1000000*Constants.GCV.Coke+'DUKES 09 (2.5)'!$C$42*1000000*Constants.GCV.CokeBreeze)</f>
        <v>-5.2541857222222221</v>
      </c>
      <c r="V35" s="1311">
        <f>-'DUKES 09 (1.2)'!$E$39*Unit.ktoe</f>
        <v>-0.23144272840054639</v>
      </c>
      <c r="W35" s="1311">
        <f>-'DUKES 09 (1.2)'!$F$39*Unit.ktoe-'DUKES 09 (2.5)'!$H$42*Unit.GWh</f>
        <v>-8.6344644980983354</v>
      </c>
      <c r="X35" s="1311"/>
      <c r="Y35" s="1311"/>
      <c r="Z35" s="1311"/>
      <c r="AA35" s="1311">
        <f>-'DUKES 09 (2.5)'!$I$42*Unit.GWh</f>
        <v>-0.68804504688000079</v>
      </c>
      <c r="AB35" s="1311"/>
      <c r="AC35" s="1311"/>
      <c r="AD35" s="1311"/>
      <c r="AE35" s="1311"/>
      <c r="AF35" s="1311"/>
      <c r="AG35" s="1311"/>
      <c r="AH35" s="1311"/>
      <c r="AI35" s="971">
        <f t="shared" si="26"/>
        <v>-19.731811506250374</v>
      </c>
      <c r="AK35" s="978"/>
      <c r="AL35" s="978"/>
      <c r="AM35" s="978"/>
      <c r="AN35" s="978"/>
      <c r="AO35" s="978"/>
      <c r="AP35" s="978"/>
      <c r="AQ35" s="978"/>
      <c r="AR35" s="978"/>
      <c r="AS35" s="978"/>
      <c r="AT35" s="978"/>
      <c r="AU35" s="978"/>
      <c r="AV35" s="978"/>
      <c r="AW35" s="978"/>
      <c r="AX35" s="978"/>
      <c r="AY35" s="978"/>
      <c r="AZ35" s="978"/>
      <c r="BA35" s="978"/>
      <c r="BB35" s="978"/>
      <c r="BC35" s="978"/>
      <c r="BD35" s="978">
        <f t="shared" si="27"/>
        <v>0</v>
      </c>
      <c r="BF35" s="991"/>
      <c r="BG35" s="991"/>
      <c r="BH35" s="991">
        <f t="shared" si="28"/>
        <v>0</v>
      </c>
      <c r="BJ35" s="852">
        <f t="shared" si="4"/>
        <v>0</v>
      </c>
      <c r="BK35" s="852"/>
      <c r="BM35" s="1149"/>
      <c r="BN35" s="1149"/>
      <c r="BO35" s="1149"/>
      <c r="BP35" s="1149"/>
      <c r="BQ35" s="1149"/>
      <c r="BR35" s="1149"/>
      <c r="BS35" s="1149"/>
      <c r="BT35" s="1149"/>
      <c r="BU35" s="1149"/>
      <c r="BV35" s="1149"/>
      <c r="BW35" s="1149"/>
      <c r="BX35" s="1149"/>
      <c r="BY35" s="1149"/>
      <c r="BZ35" s="1149"/>
      <c r="CA35" s="1149"/>
      <c r="CB35" s="1149"/>
      <c r="CC35" s="1149"/>
      <c r="CD35" s="1149"/>
      <c r="CE35" s="1149"/>
      <c r="CF35" s="1149"/>
      <c r="CG35" s="1149"/>
      <c r="CH35" s="1149"/>
      <c r="CI35" s="1149"/>
      <c r="CJ35" s="1149"/>
      <c r="CK35" s="1149"/>
      <c r="CL35" s="1149"/>
      <c r="CM35" s="1149"/>
      <c r="CN35" s="1149"/>
      <c r="CO35" s="1149"/>
      <c r="CP35" s="1149"/>
      <c r="CQ35" s="1149"/>
      <c r="CR35" s="1149"/>
      <c r="CS35" s="1149"/>
      <c r="CT35" s="1149"/>
      <c r="CU35" s="1149"/>
      <c r="CV35" s="1149"/>
      <c r="CW35" s="1149"/>
      <c r="CX35" s="1149"/>
      <c r="CY35" s="1149"/>
      <c r="CZ35" s="1149"/>
      <c r="DA35" s="1149"/>
      <c r="DB35" s="1149"/>
      <c r="DC35" s="1149"/>
      <c r="DD35" s="1149"/>
    </row>
    <row r="36" spans="1:108" s="849" customFormat="1" ht="12.75" hidden="1" customHeight="1" outlineLevel="2">
      <c r="C36" s="1048"/>
      <c r="D36" s="851"/>
      <c r="E36" s="851" t="s">
        <v>172</v>
      </c>
      <c r="F36" s="734" t="s">
        <v>43</v>
      </c>
      <c r="G36" s="1295"/>
      <c r="H36" s="1295"/>
      <c r="I36" s="1299">
        <f t="shared" si="29"/>
        <v>11.539222692518372</v>
      </c>
      <c r="J36" s="1295"/>
      <c r="K36" s="1295"/>
      <c r="L36" s="1295"/>
      <c r="M36" s="1295"/>
      <c r="N36" s="1295"/>
      <c r="O36" s="1295"/>
      <c r="P36" s="1295"/>
      <c r="Q36" s="1295">
        <f t="shared" si="25"/>
        <v>11.539222692518372</v>
      </c>
      <c r="S36" s="1311">
        <f>-'DUKES 09 (1.2)'!$I$40*Unit.ktoe</f>
        <v>-7.3305836262747759</v>
      </c>
      <c r="T36" s="1311"/>
      <c r="U36" s="1311">
        <f>-'DUKES 09 (1.2)'!$B$40*Unit.ktoe</f>
        <v>-0.25451653301210753</v>
      </c>
      <c r="V36" s="1311">
        <f>-'DUKES 09 (1.2)'!$E$40*Unit.ktoe</f>
        <v>-0.56247844522334201</v>
      </c>
      <c r="W36" s="1311">
        <f>-'DUKES 09 (1.2)'!$F$40*Unit.ktoe</f>
        <v>-3.3916440880081486</v>
      </c>
      <c r="X36" s="1311"/>
      <c r="Y36" s="1311"/>
      <c r="Z36" s="1311"/>
      <c r="AA36" s="1311"/>
      <c r="AB36" s="1311"/>
      <c r="AC36" s="1311"/>
      <c r="AD36" s="1311"/>
      <c r="AE36" s="1311"/>
      <c r="AF36" s="1311"/>
      <c r="AG36" s="1311"/>
      <c r="AH36" s="1311"/>
      <c r="AI36" s="971">
        <f t="shared" si="26"/>
        <v>-11.539222692518372</v>
      </c>
      <c r="AK36" s="978"/>
      <c r="AL36" s="978"/>
      <c r="AM36" s="978"/>
      <c r="AN36" s="978"/>
      <c r="AO36" s="978"/>
      <c r="AP36" s="978"/>
      <c r="AQ36" s="978"/>
      <c r="AR36" s="978"/>
      <c r="AS36" s="978"/>
      <c r="AT36" s="978"/>
      <c r="AU36" s="978"/>
      <c r="AV36" s="978"/>
      <c r="AW36" s="978"/>
      <c r="AX36" s="978"/>
      <c r="AY36" s="978"/>
      <c r="AZ36" s="978"/>
      <c r="BA36" s="978"/>
      <c r="BB36" s="978"/>
      <c r="BC36" s="978"/>
      <c r="BD36" s="978">
        <f t="shared" si="27"/>
        <v>0</v>
      </c>
      <c r="BF36" s="991"/>
      <c r="BG36" s="991"/>
      <c r="BH36" s="991">
        <f t="shared" si="28"/>
        <v>0</v>
      </c>
      <c r="BJ36" s="852">
        <f t="shared" si="4"/>
        <v>0</v>
      </c>
      <c r="BK36" s="852"/>
      <c r="BM36" s="1149"/>
      <c r="BN36" s="1149"/>
      <c r="BO36" s="1149"/>
      <c r="BP36" s="1149"/>
      <c r="BQ36" s="1149"/>
      <c r="BR36" s="1149"/>
      <c r="BS36" s="1149"/>
      <c r="BT36" s="1149"/>
      <c r="BU36" s="1149"/>
      <c r="BV36" s="1149"/>
      <c r="BW36" s="1149"/>
      <c r="BX36" s="1149"/>
      <c r="BY36" s="1149"/>
      <c r="BZ36" s="1149"/>
      <c r="CA36" s="1149"/>
      <c r="CB36" s="1149"/>
      <c r="CC36" s="1149"/>
      <c r="CD36" s="1149"/>
      <c r="CE36" s="1149"/>
      <c r="CF36" s="1149"/>
      <c r="CG36" s="1149"/>
      <c r="CH36" s="1149"/>
      <c r="CI36" s="1149"/>
      <c r="CJ36" s="1149"/>
      <c r="CK36" s="1149"/>
      <c r="CL36" s="1149"/>
      <c r="CM36" s="1149"/>
      <c r="CN36" s="1149"/>
      <c r="CO36" s="1149"/>
      <c r="CP36" s="1149"/>
      <c r="CQ36" s="1149"/>
      <c r="CR36" s="1149"/>
      <c r="CS36" s="1149"/>
      <c r="CT36" s="1149"/>
      <c r="CU36" s="1149"/>
      <c r="CV36" s="1149"/>
      <c r="CW36" s="1149"/>
      <c r="CX36" s="1149"/>
      <c r="CY36" s="1149"/>
      <c r="CZ36" s="1149"/>
      <c r="DA36" s="1149"/>
      <c r="DB36" s="1149"/>
      <c r="DC36" s="1149"/>
      <c r="DD36" s="1149"/>
    </row>
    <row r="37" spans="1:108" s="849" customFormat="1" ht="12.75" hidden="1" customHeight="1" outlineLevel="2">
      <c r="C37" s="1048"/>
      <c r="D37" s="851"/>
      <c r="E37" s="851" t="s">
        <v>175</v>
      </c>
      <c r="F37" s="734" t="s">
        <v>43</v>
      </c>
      <c r="G37" s="1295"/>
      <c r="H37" s="1295"/>
      <c r="I37" s="1299">
        <f t="shared" si="29"/>
        <v>17.663680361026071</v>
      </c>
      <c r="J37" s="1295"/>
      <c r="K37" s="1295"/>
      <c r="L37" s="1295"/>
      <c r="M37" s="1295"/>
      <c r="N37" s="1295"/>
      <c r="O37" s="1295"/>
      <c r="P37" s="1295"/>
      <c r="Q37" s="1295">
        <f t="shared" si="25"/>
        <v>17.663680361026071</v>
      </c>
      <c r="S37" s="1311">
        <f>-'DUKES 09 (1.2)'!$I$43*Unit.ktoe</f>
        <v>-8.5180652019653511</v>
      </c>
      <c r="T37" s="1311"/>
      <c r="U37" s="1311">
        <f>-'DUKES 09 (1.2)'!$B$43*Unit.ktoe</f>
        <v>-7.9754162510637341E-2</v>
      </c>
      <c r="V37" s="1311">
        <f>-'DUKES 09 (1.2)'!$E$43*Unit.ktoe</f>
        <v>-1.249127451386987</v>
      </c>
      <c r="W37" s="1311">
        <f>-'DUKES 09 (1.2)'!$F$43*Unit.ktoe</f>
        <v>-7.8167335451630962</v>
      </c>
      <c r="X37" s="1311"/>
      <c r="Y37" s="1311"/>
      <c r="Z37" s="1311"/>
      <c r="AA37" s="1311"/>
      <c r="AB37" s="1311"/>
      <c r="AC37" s="1311"/>
      <c r="AD37" s="1311"/>
      <c r="AE37" s="1311"/>
      <c r="AF37" s="1311"/>
      <c r="AG37" s="1311"/>
      <c r="AH37" s="1311"/>
      <c r="AI37" s="971">
        <f t="shared" si="26"/>
        <v>-17.663680361026071</v>
      </c>
      <c r="AK37" s="978"/>
      <c r="AL37" s="978"/>
      <c r="AM37" s="978"/>
      <c r="AN37" s="978"/>
      <c r="AO37" s="978"/>
      <c r="AP37" s="978"/>
      <c r="AQ37" s="978"/>
      <c r="AR37" s="978"/>
      <c r="AS37" s="978"/>
      <c r="AT37" s="978"/>
      <c r="AU37" s="978"/>
      <c r="AV37" s="978"/>
      <c r="AW37" s="978"/>
      <c r="AX37" s="978"/>
      <c r="AY37" s="978"/>
      <c r="AZ37" s="978"/>
      <c r="BA37" s="978"/>
      <c r="BB37" s="978"/>
      <c r="BC37" s="978"/>
      <c r="BD37" s="978">
        <f t="shared" si="27"/>
        <v>0</v>
      </c>
      <c r="BF37" s="991"/>
      <c r="BG37" s="991"/>
      <c r="BH37" s="991">
        <f t="shared" si="28"/>
        <v>0</v>
      </c>
      <c r="BJ37" s="852">
        <f t="shared" si="4"/>
        <v>0</v>
      </c>
      <c r="BK37" s="852"/>
      <c r="BM37" s="1149"/>
      <c r="BN37" s="1149"/>
      <c r="BO37" s="1149"/>
      <c r="BP37" s="1149"/>
      <c r="BQ37" s="1149"/>
      <c r="BR37" s="1149"/>
      <c r="BS37" s="1149"/>
      <c r="BT37" s="1149"/>
      <c r="BU37" s="1149"/>
      <c r="BV37" s="1149"/>
      <c r="BW37" s="1149"/>
      <c r="BX37" s="1149"/>
      <c r="BY37" s="1149"/>
      <c r="BZ37" s="1149"/>
      <c r="CA37" s="1149"/>
      <c r="CB37" s="1149"/>
      <c r="CC37" s="1149"/>
      <c r="CD37" s="1149"/>
      <c r="CE37" s="1149"/>
      <c r="CF37" s="1149"/>
      <c r="CG37" s="1149"/>
      <c r="CH37" s="1149"/>
      <c r="CI37" s="1149"/>
      <c r="CJ37" s="1149"/>
      <c r="CK37" s="1149"/>
      <c r="CL37" s="1149"/>
      <c r="CM37" s="1149"/>
      <c r="CN37" s="1149"/>
      <c r="CO37" s="1149"/>
      <c r="CP37" s="1149"/>
      <c r="CQ37" s="1149"/>
      <c r="CR37" s="1149"/>
      <c r="CS37" s="1149"/>
      <c r="CT37" s="1149"/>
      <c r="CU37" s="1149"/>
      <c r="CV37" s="1149"/>
      <c r="CW37" s="1149"/>
      <c r="CX37" s="1149"/>
      <c r="CY37" s="1149"/>
      <c r="CZ37" s="1149"/>
      <c r="DA37" s="1149"/>
      <c r="DB37" s="1149"/>
      <c r="DC37" s="1149"/>
      <c r="DD37" s="1149"/>
    </row>
    <row r="38" spans="1:108" s="849" customFormat="1" ht="12.75" hidden="1" customHeight="1" outlineLevel="2">
      <c r="C38" s="1048"/>
      <c r="D38" s="851"/>
      <c r="E38" s="851" t="s">
        <v>176</v>
      </c>
      <c r="F38" s="734" t="s">
        <v>43</v>
      </c>
      <c r="G38" s="1295"/>
      <c r="H38" s="1295"/>
      <c r="I38" s="1299">
        <f t="shared" si="29"/>
        <v>11.688629092161191</v>
      </c>
      <c r="J38" s="1295"/>
      <c r="K38" s="1295"/>
      <c r="L38" s="1295"/>
      <c r="M38" s="1295"/>
      <c r="N38" s="1295"/>
      <c r="O38" s="1295"/>
      <c r="P38" s="1295"/>
      <c r="Q38" s="1295">
        <f t="shared" si="25"/>
        <v>11.688629092161191</v>
      </c>
      <c r="S38" s="1311">
        <f>-'DUKES 09 (1.2)'!$I$44*Unit.ktoe</f>
        <v>-7.2894327269801078</v>
      </c>
      <c r="T38" s="1311"/>
      <c r="U38" s="1311">
        <f>-'DUKES 09 (1.2)'!$B$44*Unit.ktoe</f>
        <v>-4.5688034677035055E-2</v>
      </c>
      <c r="V38" s="1311">
        <f>-'DUKES 09 (1.2)'!$E$44*Unit.ktoe</f>
        <v>-0.41344752189730305</v>
      </c>
      <c r="W38" s="1311">
        <f>-'DUKES 09 (1.2)'!$F$44*Unit.ktoe</f>
        <v>-3.9400608086067463</v>
      </c>
      <c r="X38" s="1311"/>
      <c r="Y38" s="1311"/>
      <c r="Z38" s="1311"/>
      <c r="AA38" s="1311"/>
      <c r="AB38" s="1311"/>
      <c r="AC38" s="1311"/>
      <c r="AD38" s="1311"/>
      <c r="AE38" s="1311"/>
      <c r="AF38" s="1311"/>
      <c r="AG38" s="1311"/>
      <c r="AH38" s="1311"/>
      <c r="AI38" s="971">
        <f t="shared" si="26"/>
        <v>-11.688629092161191</v>
      </c>
      <c r="AK38" s="978"/>
      <c r="AL38" s="978"/>
      <c r="AM38" s="978"/>
      <c r="AN38" s="978"/>
      <c r="AO38" s="978"/>
      <c r="AP38" s="978"/>
      <c r="AQ38" s="978"/>
      <c r="AR38" s="978"/>
      <c r="AS38" s="978"/>
      <c r="AT38" s="978"/>
      <c r="AU38" s="978"/>
      <c r="AV38" s="978"/>
      <c r="AW38" s="978"/>
      <c r="AX38" s="978"/>
      <c r="AY38" s="978"/>
      <c r="AZ38" s="978"/>
      <c r="BA38" s="978"/>
      <c r="BB38" s="978"/>
      <c r="BC38" s="978"/>
      <c r="BD38" s="978">
        <f t="shared" si="27"/>
        <v>0</v>
      </c>
      <c r="BF38" s="991"/>
      <c r="BG38" s="991"/>
      <c r="BH38" s="991">
        <f t="shared" si="28"/>
        <v>0</v>
      </c>
      <c r="BJ38" s="852">
        <f t="shared" si="4"/>
        <v>0</v>
      </c>
      <c r="BK38" s="852"/>
      <c r="BM38" s="1149"/>
      <c r="BN38" s="1149"/>
      <c r="BO38" s="1149"/>
      <c r="BP38" s="1149"/>
      <c r="BQ38" s="1149"/>
      <c r="BR38" s="1149"/>
      <c r="BS38" s="1149"/>
      <c r="BT38" s="1149"/>
      <c r="BU38" s="1149"/>
      <c r="BV38" s="1149"/>
      <c r="BW38" s="1149"/>
      <c r="BX38" s="1149"/>
      <c r="BY38" s="1149"/>
      <c r="BZ38" s="1149"/>
      <c r="CA38" s="1149"/>
      <c r="CB38" s="1149"/>
      <c r="CC38" s="1149"/>
      <c r="CD38" s="1149"/>
      <c r="CE38" s="1149"/>
      <c r="CF38" s="1149"/>
      <c r="CG38" s="1149"/>
      <c r="CH38" s="1149"/>
      <c r="CI38" s="1149"/>
      <c r="CJ38" s="1149"/>
      <c r="CK38" s="1149"/>
      <c r="CL38" s="1149"/>
      <c r="CM38" s="1149"/>
      <c r="CN38" s="1149"/>
      <c r="CO38" s="1149"/>
      <c r="CP38" s="1149"/>
      <c r="CQ38" s="1149"/>
      <c r="CR38" s="1149"/>
      <c r="CS38" s="1149"/>
      <c r="CT38" s="1149"/>
      <c r="CU38" s="1149"/>
      <c r="CV38" s="1149"/>
      <c r="CW38" s="1149"/>
      <c r="CX38" s="1149"/>
      <c r="CY38" s="1149"/>
      <c r="CZ38" s="1149"/>
      <c r="DA38" s="1149"/>
      <c r="DB38" s="1149"/>
      <c r="DC38" s="1149"/>
      <c r="DD38" s="1149"/>
    </row>
    <row r="39" spans="1:108" ht="12.75" hidden="1" customHeight="1" outlineLevel="1" collapsed="1">
      <c r="A39" s="715"/>
      <c r="B39" s="715"/>
      <c r="C39" s="746"/>
      <c r="D39" s="521" t="s">
        <v>1080</v>
      </c>
      <c r="E39" s="521"/>
      <c r="F39" s="12"/>
      <c r="G39" s="1019">
        <f t="shared" ref="G39:P39" si="30">SUM(G30:G38)</f>
        <v>0</v>
      </c>
      <c r="H39" s="1019">
        <f t="shared" si="30"/>
        <v>0</v>
      </c>
      <c r="I39" s="1019">
        <f t="shared" si="30"/>
        <v>79.801584754625438</v>
      </c>
      <c r="J39" s="1019">
        <f t="shared" si="30"/>
        <v>0</v>
      </c>
      <c r="K39" s="1019">
        <f t="shared" si="30"/>
        <v>0</v>
      </c>
      <c r="L39" s="1019">
        <f t="shared" si="30"/>
        <v>0</v>
      </c>
      <c r="M39" s="1019">
        <f t="shared" si="30"/>
        <v>0</v>
      </c>
      <c r="N39" s="1019">
        <f t="shared" si="30"/>
        <v>0</v>
      </c>
      <c r="O39" s="1019">
        <f t="shared" si="30"/>
        <v>0</v>
      </c>
      <c r="P39" s="1019">
        <f t="shared" si="30"/>
        <v>0</v>
      </c>
      <c r="Q39" s="1019">
        <f t="shared" si="25"/>
        <v>79.801584754625438</v>
      </c>
      <c r="S39" s="1027">
        <f>SUM(S30:S38)</f>
        <v>-30.493674064074618</v>
      </c>
      <c r="T39" s="1027">
        <f t="shared" ref="T39:AH39" si="31">SUM(T30:T38)</f>
        <v>0</v>
      </c>
      <c r="U39" s="1027">
        <f t="shared" si="31"/>
        <v>-65.05006437900218</v>
      </c>
      <c r="V39" s="1027">
        <f t="shared" si="31"/>
        <v>-4.8947693903249467</v>
      </c>
      <c r="W39" s="1027">
        <f t="shared" si="31"/>
        <v>-24.423996849836293</v>
      </c>
      <c r="X39" s="1027">
        <f t="shared" si="31"/>
        <v>0</v>
      </c>
      <c r="Y39" s="1027">
        <f t="shared" si="31"/>
        <v>0</v>
      </c>
      <c r="Z39" s="1027">
        <f t="shared" si="31"/>
        <v>0</v>
      </c>
      <c r="AA39" s="1027">
        <f t="shared" si="31"/>
        <v>8.8602137776999985</v>
      </c>
      <c r="AB39" s="1027">
        <f t="shared" si="31"/>
        <v>0</v>
      </c>
      <c r="AC39" s="1027">
        <f t="shared" si="31"/>
        <v>0</v>
      </c>
      <c r="AD39" s="1027"/>
      <c r="AE39" s="1027">
        <f t="shared" si="31"/>
        <v>0</v>
      </c>
      <c r="AF39" s="1027">
        <f>SUM(AF30:AF38)</f>
        <v>0</v>
      </c>
      <c r="AG39" s="1027">
        <f>SUM(AG30:AG38)</f>
        <v>0</v>
      </c>
      <c r="AH39" s="1027">
        <f t="shared" si="31"/>
        <v>0</v>
      </c>
      <c r="AI39" s="1310">
        <f t="shared" si="26"/>
        <v>-116.00229090553803</v>
      </c>
      <c r="AK39" s="1040">
        <f t="shared" ref="AK39:BC39" si="32">SUM(AK30:AK38)</f>
        <v>0</v>
      </c>
      <c r="AL39" s="1040">
        <f t="shared" si="32"/>
        <v>0</v>
      </c>
      <c r="AM39" s="1040">
        <f t="shared" si="32"/>
        <v>0</v>
      </c>
      <c r="AN39" s="1040">
        <f t="shared" si="32"/>
        <v>0</v>
      </c>
      <c r="AO39" s="1040">
        <f t="shared" si="32"/>
        <v>0</v>
      </c>
      <c r="AP39" s="1040">
        <f t="shared" si="32"/>
        <v>0</v>
      </c>
      <c r="AQ39" s="1040">
        <f t="shared" si="32"/>
        <v>0</v>
      </c>
      <c r="AR39" s="1040">
        <f t="shared" si="32"/>
        <v>0</v>
      </c>
      <c r="AS39" s="1040">
        <f t="shared" si="32"/>
        <v>0</v>
      </c>
      <c r="AT39" s="1040">
        <f t="shared" si="32"/>
        <v>0</v>
      </c>
      <c r="AU39" s="1040">
        <f t="shared" si="32"/>
        <v>0</v>
      </c>
      <c r="AV39" s="1040">
        <f t="shared" si="32"/>
        <v>0</v>
      </c>
      <c r="AW39" s="1040">
        <f t="shared" si="32"/>
        <v>0</v>
      </c>
      <c r="AX39" s="1040">
        <f t="shared" si="32"/>
        <v>0</v>
      </c>
      <c r="AY39" s="1040">
        <f t="shared" si="32"/>
        <v>0</v>
      </c>
      <c r="AZ39" s="1040">
        <f t="shared" si="32"/>
        <v>0</v>
      </c>
      <c r="BA39" s="1040">
        <f t="shared" si="32"/>
        <v>0</v>
      </c>
      <c r="BB39" s="1040">
        <f t="shared" si="32"/>
        <v>0</v>
      </c>
      <c r="BC39" s="1040">
        <f t="shared" si="32"/>
        <v>0</v>
      </c>
      <c r="BD39" s="979">
        <f t="shared" si="27"/>
        <v>0</v>
      </c>
      <c r="BF39" s="1034">
        <f>SUM(BF30:BF38)</f>
        <v>36.200706150912588</v>
      </c>
      <c r="BG39" s="1034">
        <f>SUM(BG30:BG38)</f>
        <v>0</v>
      </c>
      <c r="BH39" s="1034">
        <f t="shared" si="28"/>
        <v>36.200706150912588</v>
      </c>
      <c r="BJ39" s="814">
        <f t="shared" si="4"/>
        <v>0</v>
      </c>
      <c r="BK39" s="814"/>
      <c r="BL39" s="715"/>
      <c r="BM39" s="1147"/>
      <c r="BN39" s="1146"/>
      <c r="BO39" s="1146"/>
      <c r="BP39" s="1146"/>
      <c r="BQ39" s="1146"/>
      <c r="BR39" s="1146"/>
      <c r="BS39" s="1146"/>
      <c r="BT39" s="1146"/>
      <c r="BU39" s="1146"/>
      <c r="BV39" s="1146"/>
      <c r="BW39" s="1146"/>
      <c r="BX39" s="1146"/>
      <c r="BY39" s="1146"/>
      <c r="BZ39" s="1146"/>
      <c r="CA39" s="1146"/>
      <c r="CB39" s="1146"/>
      <c r="CC39" s="1146"/>
      <c r="CD39" s="1146"/>
      <c r="CE39" s="1146"/>
      <c r="CF39" s="1146"/>
      <c r="CG39" s="1146"/>
      <c r="CH39" s="1146"/>
      <c r="CI39" s="1146"/>
      <c r="CJ39" s="1146"/>
      <c r="CK39" s="1146"/>
      <c r="CL39" s="1146"/>
      <c r="CM39" s="1146"/>
      <c r="CN39" s="1146"/>
      <c r="CO39" s="1146"/>
      <c r="CP39" s="1146"/>
      <c r="CQ39" s="1146"/>
      <c r="CR39" s="1146"/>
      <c r="CS39" s="1146"/>
      <c r="CT39" s="1146"/>
      <c r="CU39" s="1146"/>
      <c r="CV39" s="1146"/>
      <c r="CW39" s="1146"/>
      <c r="CX39" s="1146"/>
      <c r="CY39" s="1146"/>
      <c r="CZ39" s="1146"/>
      <c r="DA39" s="1146"/>
      <c r="DB39" s="1146"/>
      <c r="DC39" s="1146"/>
      <c r="DD39" s="1146"/>
    </row>
    <row r="40" spans="1:108" s="849" customFormat="1" ht="12.75" hidden="1" customHeight="1" outlineLevel="2">
      <c r="C40" s="1048"/>
      <c r="D40" s="851"/>
      <c r="E40" s="851" t="s">
        <v>173</v>
      </c>
      <c r="F40" s="734" t="s">
        <v>43</v>
      </c>
      <c r="G40" s="1295"/>
      <c r="H40" s="1295"/>
      <c r="I40" s="1299">
        <f>-($AI40+$BD40+$BH40)</f>
        <v>30.197356755285206</v>
      </c>
      <c r="J40" s="1295"/>
      <c r="K40" s="1295"/>
      <c r="L40" s="1295"/>
      <c r="M40" s="1295"/>
      <c r="N40" s="1295"/>
      <c r="O40" s="1295"/>
      <c r="P40" s="1295"/>
      <c r="Q40" s="1295">
        <f t="shared" si="25"/>
        <v>30.197356755285206</v>
      </c>
      <c r="S40" s="1311">
        <f>-'DUKES 09 (1.2)'!$I$41*Unit.ktoe</f>
        <v>-7.8594184101510143</v>
      </c>
      <c r="T40" s="1311"/>
      <c r="U40" s="1311">
        <f>-'DUKES 09 (1.2)'!$B$41*Unit.ktoe</f>
        <v>-8.8298277777777798</v>
      </c>
      <c r="V40" s="1311">
        <f>-'DUKES 09 (1.2)'!$E$41*Unit.ktoe</f>
        <v>-2.2921274343878464</v>
      </c>
      <c r="W40" s="1311">
        <f>-'DUKES 09 (1.2)'!$F$41*Unit.ktoe</f>
        <v>-11.215983132968562</v>
      </c>
      <c r="X40" s="1311"/>
      <c r="Y40" s="1311"/>
      <c r="Z40" s="1311"/>
      <c r="AA40" s="1311"/>
      <c r="AB40" s="1311"/>
      <c r="AC40" s="1311"/>
      <c r="AD40" s="1311"/>
      <c r="AE40" s="1311"/>
      <c r="AF40" s="1311"/>
      <c r="AG40" s="1311"/>
      <c r="AH40" s="1311"/>
      <c r="AI40" s="971">
        <f t="shared" si="26"/>
        <v>-30.197356755285206</v>
      </c>
      <c r="AK40" s="978"/>
      <c r="AL40" s="978"/>
      <c r="AM40" s="978"/>
      <c r="AN40" s="978"/>
      <c r="AO40" s="978"/>
      <c r="AP40" s="978"/>
      <c r="AQ40" s="978"/>
      <c r="AR40" s="978"/>
      <c r="AS40" s="978"/>
      <c r="AT40" s="978"/>
      <c r="AU40" s="978"/>
      <c r="AV40" s="978"/>
      <c r="AW40" s="978"/>
      <c r="AX40" s="978"/>
      <c r="AY40" s="978"/>
      <c r="AZ40" s="978"/>
      <c r="BA40" s="978"/>
      <c r="BB40" s="978"/>
      <c r="BC40" s="978"/>
      <c r="BD40" s="978">
        <f t="shared" si="27"/>
        <v>0</v>
      </c>
      <c r="BF40" s="991"/>
      <c r="BG40" s="991"/>
      <c r="BH40" s="991">
        <f t="shared" si="28"/>
        <v>0</v>
      </c>
      <c r="BJ40" s="852">
        <f t="shared" si="4"/>
        <v>0</v>
      </c>
      <c r="BK40" s="852"/>
      <c r="BM40" s="1149"/>
      <c r="BN40" s="1149"/>
      <c r="BO40" s="1149"/>
      <c r="BP40" s="1149"/>
      <c r="BQ40" s="1149"/>
      <c r="BR40" s="1149"/>
      <c r="BS40" s="1149"/>
      <c r="BT40" s="1149"/>
      <c r="BU40" s="1149"/>
      <c r="BV40" s="1149"/>
      <c r="BW40" s="1149"/>
      <c r="BX40" s="1149"/>
      <c r="BY40" s="1149"/>
      <c r="BZ40" s="1149"/>
      <c r="CA40" s="1149"/>
      <c r="CB40" s="1149"/>
      <c r="CC40" s="1149"/>
      <c r="CD40" s="1149"/>
      <c r="CE40" s="1149"/>
      <c r="CF40" s="1149"/>
      <c r="CG40" s="1149"/>
      <c r="CH40" s="1149"/>
      <c r="CI40" s="1149"/>
      <c r="CJ40" s="1149"/>
      <c r="CK40" s="1149"/>
      <c r="CL40" s="1149"/>
      <c r="CM40" s="1149"/>
      <c r="CN40" s="1149"/>
      <c r="CO40" s="1149"/>
      <c r="CP40" s="1149"/>
      <c r="CQ40" s="1149"/>
      <c r="CR40" s="1149"/>
      <c r="CS40" s="1149"/>
      <c r="CT40" s="1149"/>
      <c r="CU40" s="1149"/>
      <c r="CV40" s="1149"/>
      <c r="CW40" s="1149"/>
      <c r="CX40" s="1149"/>
      <c r="CY40" s="1149"/>
      <c r="CZ40" s="1149"/>
      <c r="DA40" s="1149"/>
      <c r="DB40" s="1149"/>
      <c r="DC40" s="1149"/>
      <c r="DD40" s="1149"/>
    </row>
    <row r="41" spans="1:108" s="734" customFormat="1" ht="12.75" hidden="1" customHeight="1" outlineLevel="1" collapsed="1">
      <c r="C41" s="750"/>
      <c r="D41" s="528" t="s">
        <v>1081</v>
      </c>
      <c r="E41" s="528"/>
      <c r="G41" s="1303">
        <f t="shared" ref="G41:P41" si="33">G40</f>
        <v>0</v>
      </c>
      <c r="H41" s="1303">
        <f t="shared" si="33"/>
        <v>0</v>
      </c>
      <c r="I41" s="1303">
        <f t="shared" si="33"/>
        <v>30.197356755285206</v>
      </c>
      <c r="J41" s="1303">
        <f t="shared" si="33"/>
        <v>0</v>
      </c>
      <c r="K41" s="1303">
        <f t="shared" si="33"/>
        <v>0</v>
      </c>
      <c r="L41" s="1303">
        <f t="shared" si="33"/>
        <v>0</v>
      </c>
      <c r="M41" s="1303">
        <f t="shared" si="33"/>
        <v>0</v>
      </c>
      <c r="N41" s="1303">
        <f t="shared" si="33"/>
        <v>0</v>
      </c>
      <c r="O41" s="1303">
        <f t="shared" si="33"/>
        <v>0</v>
      </c>
      <c r="P41" s="1303">
        <f t="shared" si="33"/>
        <v>0</v>
      </c>
      <c r="Q41" s="1303">
        <f t="shared" si="25"/>
        <v>30.197356755285206</v>
      </c>
      <c r="S41" s="1304">
        <f>S40</f>
        <v>-7.8594184101510143</v>
      </c>
      <c r="T41" s="1304">
        <f t="shared" ref="T41:AH41" si="34">T40</f>
        <v>0</v>
      </c>
      <c r="U41" s="1304">
        <f t="shared" si="34"/>
        <v>-8.8298277777777798</v>
      </c>
      <c r="V41" s="1304">
        <f t="shared" si="34"/>
        <v>-2.2921274343878464</v>
      </c>
      <c r="W41" s="1304">
        <f t="shared" si="34"/>
        <v>-11.215983132968562</v>
      </c>
      <c r="X41" s="1304">
        <f t="shared" si="34"/>
        <v>0</v>
      </c>
      <c r="Y41" s="1304">
        <f t="shared" si="34"/>
        <v>0</v>
      </c>
      <c r="Z41" s="1304">
        <f t="shared" si="34"/>
        <v>0</v>
      </c>
      <c r="AA41" s="1304">
        <f t="shared" si="34"/>
        <v>0</v>
      </c>
      <c r="AB41" s="1304">
        <f t="shared" si="34"/>
        <v>0</v>
      </c>
      <c r="AC41" s="1304">
        <f t="shared" si="34"/>
        <v>0</v>
      </c>
      <c r="AD41" s="1304"/>
      <c r="AE41" s="1304">
        <f t="shared" si="34"/>
        <v>0</v>
      </c>
      <c r="AF41" s="1304">
        <f>AF40</f>
        <v>0</v>
      </c>
      <c r="AG41" s="1304">
        <f>AG40</f>
        <v>0</v>
      </c>
      <c r="AH41" s="1304">
        <f t="shared" si="34"/>
        <v>0</v>
      </c>
      <c r="AI41" s="1304">
        <f t="shared" si="26"/>
        <v>-30.197356755285206</v>
      </c>
      <c r="AK41" s="1305">
        <f t="shared" ref="AK41:BC41" si="35">AK40</f>
        <v>0</v>
      </c>
      <c r="AL41" s="1305">
        <f t="shared" si="35"/>
        <v>0</v>
      </c>
      <c r="AM41" s="1305">
        <f t="shared" si="35"/>
        <v>0</v>
      </c>
      <c r="AN41" s="1305">
        <f t="shared" si="35"/>
        <v>0</v>
      </c>
      <c r="AO41" s="1305">
        <f t="shared" si="35"/>
        <v>0</v>
      </c>
      <c r="AP41" s="1305">
        <f t="shared" si="35"/>
        <v>0</v>
      </c>
      <c r="AQ41" s="1305">
        <f t="shared" si="35"/>
        <v>0</v>
      </c>
      <c r="AR41" s="1305">
        <f t="shared" si="35"/>
        <v>0</v>
      </c>
      <c r="AS41" s="1305">
        <f t="shared" si="35"/>
        <v>0</v>
      </c>
      <c r="AT41" s="1305">
        <f t="shared" si="35"/>
        <v>0</v>
      </c>
      <c r="AU41" s="1305">
        <f t="shared" si="35"/>
        <v>0</v>
      </c>
      <c r="AV41" s="1305">
        <f t="shared" si="35"/>
        <v>0</v>
      </c>
      <c r="AW41" s="1305">
        <f t="shared" si="35"/>
        <v>0</v>
      </c>
      <c r="AX41" s="1305">
        <f t="shared" si="35"/>
        <v>0</v>
      </c>
      <c r="AY41" s="1305">
        <f t="shared" si="35"/>
        <v>0</v>
      </c>
      <c r="AZ41" s="1305">
        <f t="shared" si="35"/>
        <v>0</v>
      </c>
      <c r="BA41" s="1305">
        <f t="shared" si="35"/>
        <v>0</v>
      </c>
      <c r="BB41" s="1305">
        <f t="shared" si="35"/>
        <v>0</v>
      </c>
      <c r="BC41" s="1305">
        <f t="shared" si="35"/>
        <v>0</v>
      </c>
      <c r="BD41" s="1305">
        <f t="shared" si="27"/>
        <v>0</v>
      </c>
      <c r="BF41" s="1306">
        <f>BF40</f>
        <v>0</v>
      </c>
      <c r="BG41" s="1306">
        <f>BG40</f>
        <v>0</v>
      </c>
      <c r="BH41" s="1306">
        <f t="shared" si="28"/>
        <v>0</v>
      </c>
      <c r="BJ41" s="1307">
        <f t="shared" ref="BJ41:BJ77" si="36">Q41+AI41+BD41+BH41</f>
        <v>0</v>
      </c>
      <c r="BK41" s="1307"/>
      <c r="BM41" s="1308"/>
      <c r="BN41" s="1308"/>
      <c r="BO41" s="1308"/>
      <c r="BP41" s="1308"/>
      <c r="BQ41" s="1308"/>
      <c r="BR41" s="1308"/>
      <c r="BS41" s="1308"/>
      <c r="BT41" s="1308"/>
      <c r="BU41" s="1308"/>
      <c r="BV41" s="1308"/>
      <c r="BW41" s="1308"/>
      <c r="BX41" s="1308"/>
      <c r="BY41" s="1308"/>
      <c r="BZ41" s="1308"/>
      <c r="CA41" s="1308"/>
      <c r="CB41" s="1308"/>
      <c r="CC41" s="1308"/>
      <c r="CD41" s="1308"/>
      <c r="CE41" s="1308"/>
      <c r="CF41" s="1308"/>
      <c r="CG41" s="1308"/>
      <c r="CH41" s="1308"/>
      <c r="CI41" s="1308"/>
      <c r="CJ41" s="1308"/>
      <c r="CK41" s="1308"/>
      <c r="CL41" s="1308"/>
      <c r="CM41" s="1308"/>
      <c r="CN41" s="1308"/>
      <c r="CO41" s="1308"/>
      <c r="CP41" s="1308"/>
      <c r="CQ41" s="1308"/>
      <c r="CR41" s="1308"/>
      <c r="CS41" s="1308"/>
      <c r="CT41" s="1308"/>
      <c r="CU41" s="1308"/>
      <c r="CV41" s="1308"/>
      <c r="CW41" s="1308"/>
      <c r="CX41" s="1308"/>
      <c r="CY41" s="1308"/>
      <c r="CZ41" s="1308"/>
      <c r="DA41" s="1308"/>
      <c r="DB41" s="1308"/>
      <c r="DC41" s="1308"/>
      <c r="DD41" s="1308"/>
    </row>
    <row r="42" spans="1:108" s="849" customFormat="1" ht="12.75" hidden="1" customHeight="1" outlineLevel="2">
      <c r="C42" s="1048"/>
      <c r="D42" s="851"/>
      <c r="E42" s="851" t="s">
        <v>174</v>
      </c>
      <c r="F42" s="734" t="s">
        <v>43</v>
      </c>
      <c r="G42" s="1295"/>
      <c r="H42" s="1295"/>
      <c r="I42" s="1299">
        <f>-($AI42+$BD42+$BH42)</f>
        <v>65.485133079938507</v>
      </c>
      <c r="J42" s="1295"/>
      <c r="K42" s="1295"/>
      <c r="L42" s="1295"/>
      <c r="M42" s="1295"/>
      <c r="N42" s="1295"/>
      <c r="O42" s="1295"/>
      <c r="P42" s="1295"/>
      <c r="Q42" s="1295">
        <f t="shared" si="25"/>
        <v>65.485133079938507</v>
      </c>
      <c r="S42" s="1311">
        <f>-'DUKES 09 (1.2)'!$I$42*Unit.ktoe</f>
        <v>-22.199505602922009</v>
      </c>
      <c r="T42" s="1311"/>
      <c r="U42" s="1311">
        <f>-'DUKES 09 (1.2)'!$B$42*Unit.ktoe</f>
        <v>-1.0631637519449721</v>
      </c>
      <c r="V42" s="1311">
        <f>-'DUKES 09 (1.2)'!$E$42*Unit.ktoe</f>
        <v>-2.2386073224018888</v>
      </c>
      <c r="W42" s="1311">
        <f>-'DUKES 09 (1.2)'!$F$42*Unit.ktoe</f>
        <v>-36.767114332669635</v>
      </c>
      <c r="X42" s="1311"/>
      <c r="Y42" s="1311"/>
      <c r="Z42" s="1311"/>
      <c r="AA42" s="1311"/>
      <c r="AB42" s="1311">
        <f>-'DUKES 09 (1.2)'!$J$42*Unit.ktoe</f>
        <v>-3.2167420699999996</v>
      </c>
      <c r="AC42" s="1311"/>
      <c r="AD42" s="1311"/>
      <c r="AE42" s="1311"/>
      <c r="AF42" s="1311"/>
      <c r="AG42" s="1311"/>
      <c r="AH42" s="1311"/>
      <c r="AI42" s="971">
        <f t="shared" si="26"/>
        <v>-65.485133079938507</v>
      </c>
      <c r="AK42" s="978"/>
      <c r="AL42" s="978"/>
      <c r="AM42" s="978"/>
      <c r="AN42" s="978"/>
      <c r="AO42" s="978"/>
      <c r="AP42" s="978"/>
      <c r="AQ42" s="978"/>
      <c r="AR42" s="978"/>
      <c r="AS42" s="978"/>
      <c r="AT42" s="978"/>
      <c r="AU42" s="978"/>
      <c r="AV42" s="978"/>
      <c r="AW42" s="978"/>
      <c r="AX42" s="978"/>
      <c r="AY42" s="978"/>
      <c r="AZ42" s="978"/>
      <c r="BA42" s="978"/>
      <c r="BB42" s="978"/>
      <c r="BC42" s="978"/>
      <c r="BD42" s="978">
        <f t="shared" si="27"/>
        <v>0</v>
      </c>
      <c r="BF42" s="991"/>
      <c r="BG42" s="991"/>
      <c r="BH42" s="991">
        <f t="shared" si="28"/>
        <v>0</v>
      </c>
      <c r="BJ42" s="852">
        <f t="shared" si="36"/>
        <v>0</v>
      </c>
      <c r="BK42" s="852"/>
      <c r="BM42" s="1149"/>
      <c r="BN42" s="1149"/>
      <c r="BO42" s="1149"/>
      <c r="BP42" s="1149"/>
      <c r="BQ42" s="1149"/>
      <c r="BR42" s="1149"/>
      <c r="BS42" s="1149"/>
      <c r="BT42" s="1149"/>
      <c r="BU42" s="1149"/>
      <c r="BV42" s="1149"/>
      <c r="BW42" s="1149"/>
      <c r="BX42" s="1149"/>
      <c r="BY42" s="1149"/>
      <c r="BZ42" s="1149"/>
      <c r="CA42" s="1149"/>
      <c r="CB42" s="1149"/>
      <c r="CC42" s="1149"/>
      <c r="CD42" s="1149"/>
      <c r="CE42" s="1149"/>
      <c r="CF42" s="1149"/>
      <c r="CG42" s="1149"/>
      <c r="CH42" s="1149"/>
      <c r="CI42" s="1149"/>
      <c r="CJ42" s="1149"/>
      <c r="CK42" s="1149"/>
      <c r="CL42" s="1149"/>
      <c r="CM42" s="1149"/>
      <c r="CN42" s="1149"/>
      <c r="CO42" s="1149"/>
      <c r="CP42" s="1149"/>
      <c r="CQ42" s="1149"/>
      <c r="CR42" s="1149"/>
      <c r="CS42" s="1149"/>
      <c r="CT42" s="1149"/>
      <c r="CU42" s="1149"/>
      <c r="CV42" s="1149"/>
      <c r="CW42" s="1149"/>
      <c r="CX42" s="1149"/>
      <c r="CY42" s="1149"/>
      <c r="CZ42" s="1149"/>
      <c r="DA42" s="1149"/>
      <c r="DB42" s="1149"/>
      <c r="DC42" s="1149"/>
      <c r="DD42" s="1149"/>
    </row>
    <row r="43" spans="1:108" s="734" customFormat="1" ht="12.75" hidden="1" customHeight="1" outlineLevel="1" collapsed="1">
      <c r="C43" s="750"/>
      <c r="D43" s="528" t="s">
        <v>174</v>
      </c>
      <c r="E43" s="528"/>
      <c r="G43" s="1303">
        <f t="shared" ref="G43:P43" si="37">G42</f>
        <v>0</v>
      </c>
      <c r="H43" s="1303">
        <f t="shared" si="37"/>
        <v>0</v>
      </c>
      <c r="I43" s="1303">
        <f t="shared" si="37"/>
        <v>65.485133079938507</v>
      </c>
      <c r="J43" s="1303">
        <f t="shared" si="37"/>
        <v>0</v>
      </c>
      <c r="K43" s="1303">
        <f t="shared" si="37"/>
        <v>0</v>
      </c>
      <c r="L43" s="1303">
        <f t="shared" si="37"/>
        <v>0</v>
      </c>
      <c r="M43" s="1303">
        <f t="shared" si="37"/>
        <v>0</v>
      </c>
      <c r="N43" s="1303">
        <f t="shared" si="37"/>
        <v>0</v>
      </c>
      <c r="O43" s="1303">
        <f t="shared" si="37"/>
        <v>0</v>
      </c>
      <c r="P43" s="1303">
        <f t="shared" si="37"/>
        <v>0</v>
      </c>
      <c r="Q43" s="1303">
        <f t="shared" si="25"/>
        <v>65.485133079938507</v>
      </c>
      <c r="S43" s="1304">
        <f>S42</f>
        <v>-22.199505602922009</v>
      </c>
      <c r="T43" s="1304">
        <f t="shared" ref="T43:AH43" si="38">T42</f>
        <v>0</v>
      </c>
      <c r="U43" s="1304">
        <f t="shared" si="38"/>
        <v>-1.0631637519449721</v>
      </c>
      <c r="V43" s="1304">
        <f t="shared" si="38"/>
        <v>-2.2386073224018888</v>
      </c>
      <c r="W43" s="1304">
        <f t="shared" si="38"/>
        <v>-36.767114332669635</v>
      </c>
      <c r="X43" s="1304">
        <f t="shared" si="38"/>
        <v>0</v>
      </c>
      <c r="Y43" s="1304">
        <f t="shared" si="38"/>
        <v>0</v>
      </c>
      <c r="Z43" s="1304">
        <f t="shared" si="38"/>
        <v>0</v>
      </c>
      <c r="AA43" s="1304">
        <f t="shared" si="38"/>
        <v>0</v>
      </c>
      <c r="AB43" s="1304">
        <f t="shared" si="38"/>
        <v>-3.2167420699999996</v>
      </c>
      <c r="AC43" s="1304">
        <f t="shared" si="38"/>
        <v>0</v>
      </c>
      <c r="AD43" s="1304"/>
      <c r="AE43" s="1304">
        <f t="shared" si="38"/>
        <v>0</v>
      </c>
      <c r="AF43" s="1304">
        <f>AF42</f>
        <v>0</v>
      </c>
      <c r="AG43" s="1304">
        <f>AG42</f>
        <v>0</v>
      </c>
      <c r="AH43" s="1304">
        <f t="shared" si="38"/>
        <v>0</v>
      </c>
      <c r="AI43" s="1304">
        <f t="shared" si="26"/>
        <v>-65.485133079938507</v>
      </c>
      <c r="AK43" s="1305">
        <f t="shared" ref="AK43:BC43" si="39">AK42</f>
        <v>0</v>
      </c>
      <c r="AL43" s="1305">
        <f t="shared" si="39"/>
        <v>0</v>
      </c>
      <c r="AM43" s="1305">
        <f t="shared" si="39"/>
        <v>0</v>
      </c>
      <c r="AN43" s="1305">
        <f t="shared" si="39"/>
        <v>0</v>
      </c>
      <c r="AO43" s="1305">
        <f t="shared" si="39"/>
        <v>0</v>
      </c>
      <c r="AP43" s="1305">
        <f t="shared" si="39"/>
        <v>0</v>
      </c>
      <c r="AQ43" s="1305">
        <f t="shared" si="39"/>
        <v>0</v>
      </c>
      <c r="AR43" s="1305">
        <f t="shared" si="39"/>
        <v>0</v>
      </c>
      <c r="AS43" s="1305">
        <f t="shared" si="39"/>
        <v>0</v>
      </c>
      <c r="AT43" s="1305">
        <f t="shared" si="39"/>
        <v>0</v>
      </c>
      <c r="AU43" s="1305">
        <f t="shared" si="39"/>
        <v>0</v>
      </c>
      <c r="AV43" s="1305">
        <f t="shared" si="39"/>
        <v>0</v>
      </c>
      <c r="AW43" s="1305">
        <f t="shared" si="39"/>
        <v>0</v>
      </c>
      <c r="AX43" s="1305">
        <f t="shared" si="39"/>
        <v>0</v>
      </c>
      <c r="AY43" s="1305">
        <f t="shared" si="39"/>
        <v>0</v>
      </c>
      <c r="AZ43" s="1305">
        <f t="shared" si="39"/>
        <v>0</v>
      </c>
      <c r="BA43" s="1305">
        <f t="shared" si="39"/>
        <v>0</v>
      </c>
      <c r="BB43" s="1305">
        <f t="shared" si="39"/>
        <v>0</v>
      </c>
      <c r="BC43" s="1305">
        <f t="shared" si="39"/>
        <v>0</v>
      </c>
      <c r="BD43" s="1305">
        <f t="shared" si="27"/>
        <v>0</v>
      </c>
      <c r="BF43" s="1306">
        <f>BF42</f>
        <v>0</v>
      </c>
      <c r="BG43" s="1306">
        <f>BG42</f>
        <v>0</v>
      </c>
      <c r="BH43" s="1306">
        <f t="shared" si="28"/>
        <v>0</v>
      </c>
      <c r="BJ43" s="1307">
        <f t="shared" si="36"/>
        <v>0</v>
      </c>
      <c r="BK43" s="1307"/>
      <c r="BM43" s="1308"/>
      <c r="BN43" s="1308"/>
      <c r="BO43" s="1308"/>
      <c r="BP43" s="1308"/>
      <c r="BQ43" s="1308"/>
      <c r="BR43" s="1308"/>
      <c r="BS43" s="1308"/>
      <c r="BT43" s="1308"/>
      <c r="BU43" s="1308"/>
      <c r="BV43" s="1308"/>
      <c r="BW43" s="1308"/>
      <c r="BX43" s="1308"/>
      <c r="BY43" s="1308"/>
      <c r="BZ43" s="1308"/>
      <c r="CA43" s="1308"/>
      <c r="CB43" s="1308"/>
      <c r="CC43" s="1308"/>
      <c r="CD43" s="1308"/>
      <c r="CE43" s="1308"/>
      <c r="CF43" s="1308"/>
      <c r="CG43" s="1308"/>
      <c r="CH43" s="1308"/>
      <c r="CI43" s="1308"/>
      <c r="CJ43" s="1308"/>
      <c r="CK43" s="1308"/>
      <c r="CL43" s="1308"/>
      <c r="CM43" s="1308"/>
      <c r="CN43" s="1308"/>
      <c r="CO43" s="1308"/>
      <c r="CP43" s="1308"/>
      <c r="CQ43" s="1308"/>
      <c r="CR43" s="1308"/>
      <c r="CS43" s="1308"/>
      <c r="CT43" s="1308"/>
      <c r="CU43" s="1308"/>
      <c r="CV43" s="1308"/>
      <c r="CW43" s="1308"/>
      <c r="CX43" s="1308"/>
      <c r="CY43" s="1308"/>
      <c r="CZ43" s="1308"/>
      <c r="DA43" s="1308"/>
      <c r="DB43" s="1308"/>
      <c r="DC43" s="1308"/>
      <c r="DD43" s="1308"/>
    </row>
    <row r="44" spans="1:108" s="849" customFormat="1" ht="12.75" hidden="1" customHeight="1" outlineLevel="2">
      <c r="C44" s="1048"/>
      <c r="D44" s="851"/>
      <c r="E44" s="851" t="s">
        <v>170</v>
      </c>
      <c r="F44" s="734" t="s">
        <v>43</v>
      </c>
      <c r="G44" s="1295"/>
      <c r="H44" s="1295"/>
      <c r="I44" s="1299">
        <f>-($AI44+$BD44+$BH44)</f>
        <v>36.562056606932089</v>
      </c>
      <c r="J44" s="1295"/>
      <c r="K44" s="1295"/>
      <c r="L44" s="1295"/>
      <c r="M44" s="1295"/>
      <c r="N44" s="1295"/>
      <c r="O44" s="1295"/>
      <c r="P44" s="1295"/>
      <c r="Q44" s="1295">
        <f t="shared" si="25"/>
        <v>36.562056606932089</v>
      </c>
      <c r="S44" s="1311">
        <f>-'DUKES 09 (1.2)'!$I$38*Unit.ktoe</f>
        <v>0</v>
      </c>
      <c r="T44" s="1311"/>
      <c r="U44" s="1311">
        <f>-'DUKES 09 (1.2)'!$B$38*Unit.ktoe-('DUKES 09 (2.5)'!$B$41*1000000*Constants.GCV.Coke+'DUKES 09 (2.5)'!$C$41*1000000*Constants.GCV.CokeBreeze)-'DUKES 09 (2.5)'!$G$41*Unit.GWh</f>
        <v>-2.5388507060896268</v>
      </c>
      <c r="V44" s="1311">
        <f>-'DUKES 09 (1.2)'!$E$38*Unit.ktoe</f>
        <v>-30.706209293478242</v>
      </c>
      <c r="W44" s="1311">
        <f>-'DUKES 09 (1.2)'!$F$38*Unit.ktoe-'DUKES 09 (2.5)'!$H$41*Unit.GWh</f>
        <v>-0.26121165071253571</v>
      </c>
      <c r="X44" s="1311"/>
      <c r="Y44" s="1311"/>
      <c r="Z44" s="1311"/>
      <c r="AA44" s="1311"/>
      <c r="AB44" s="1311"/>
      <c r="AC44" s="1311"/>
      <c r="AD44" s="1311"/>
      <c r="AE44" s="1311">
        <f>-('DUKES 09 (7.2)'!$B$41+'DUKES 09 (7.2)'!$E$41)*Unit.ktoe</f>
        <v>-1.4729146905589265</v>
      </c>
      <c r="AF44" s="1311"/>
      <c r="AG44" s="1311"/>
      <c r="AH44" s="1311"/>
      <c r="AI44" s="971">
        <f t="shared" si="26"/>
        <v>-34.979186340839334</v>
      </c>
      <c r="AK44" s="978"/>
      <c r="AL44" s="978"/>
      <c r="AM44" s="978"/>
      <c r="AN44" s="978"/>
      <c r="AO44" s="978"/>
      <c r="AP44" s="978"/>
      <c r="AQ44" s="978"/>
      <c r="AR44" s="978"/>
      <c r="AS44" s="978"/>
      <c r="AT44" s="978"/>
      <c r="AU44" s="978"/>
      <c r="AV44" s="978"/>
      <c r="AW44" s="978"/>
      <c r="AX44" s="978"/>
      <c r="AY44" s="978"/>
      <c r="AZ44" s="978"/>
      <c r="BA44" s="978"/>
      <c r="BB44" s="978"/>
      <c r="BC44" s="978">
        <f>-('DUKES 09 (7.2)'!$D$41+'DUKES 09 (7.2)'!$J$41)*Unit.ktoe</f>
        <v>-1.5828702660927567</v>
      </c>
      <c r="BD44" s="978">
        <f t="shared" si="27"/>
        <v>-1.5828702660927567</v>
      </c>
      <c r="BF44" s="991"/>
      <c r="BG44" s="991"/>
      <c r="BH44" s="991">
        <f t="shared" si="28"/>
        <v>0</v>
      </c>
      <c r="BJ44" s="852">
        <f t="shared" si="36"/>
        <v>-1.9984014443252818E-15</v>
      </c>
      <c r="BK44" s="852"/>
      <c r="BM44" s="1149"/>
      <c r="BN44" s="1149"/>
      <c r="BO44" s="1149"/>
      <c r="BP44" s="1149"/>
      <c r="BQ44" s="1149"/>
      <c r="BR44" s="1149"/>
      <c r="BS44" s="1149"/>
      <c r="BT44" s="1149"/>
      <c r="BU44" s="1149"/>
      <c r="BV44" s="1149"/>
      <c r="BW44" s="1149"/>
      <c r="BX44" s="1149"/>
      <c r="BY44" s="1149"/>
      <c r="BZ44" s="1149"/>
      <c r="CA44" s="1149"/>
      <c r="CB44" s="1149"/>
      <c r="CC44" s="1149"/>
      <c r="CD44" s="1149"/>
      <c r="CE44" s="1149"/>
      <c r="CF44" s="1149"/>
      <c r="CG44" s="1149"/>
      <c r="CH44" s="1149"/>
      <c r="CI44" s="1149"/>
      <c r="CJ44" s="1149"/>
      <c r="CK44" s="1149"/>
      <c r="CL44" s="1149"/>
      <c r="CM44" s="1149"/>
      <c r="CN44" s="1149"/>
      <c r="CO44" s="1149"/>
      <c r="CP44" s="1149"/>
      <c r="CQ44" s="1149"/>
      <c r="CR44" s="1149"/>
      <c r="CS44" s="1149"/>
      <c r="CT44" s="1149"/>
      <c r="CU44" s="1149"/>
      <c r="CV44" s="1149"/>
      <c r="CW44" s="1149"/>
      <c r="CX44" s="1149"/>
      <c r="CY44" s="1149"/>
      <c r="CZ44" s="1149"/>
      <c r="DA44" s="1149"/>
      <c r="DB44" s="1149"/>
      <c r="DC44" s="1149"/>
      <c r="DD44" s="1149"/>
    </row>
    <row r="45" spans="1:108" s="849" customFormat="1" ht="12.75" hidden="1" customHeight="1" outlineLevel="2">
      <c r="C45" s="1048"/>
      <c r="D45" s="851"/>
      <c r="E45" s="851" t="s">
        <v>177</v>
      </c>
      <c r="F45" s="734" t="s">
        <v>43</v>
      </c>
      <c r="G45" s="1295"/>
      <c r="H45" s="1295"/>
      <c r="I45" s="1299">
        <f>-($AI45+$BD45+$BH45)</f>
        <v>16.403308597480695</v>
      </c>
      <c r="J45" s="1295"/>
      <c r="K45" s="1295"/>
      <c r="L45" s="1295"/>
      <c r="M45" s="1295"/>
      <c r="N45" s="1295"/>
      <c r="O45" s="1295"/>
      <c r="P45" s="1295"/>
      <c r="Q45" s="1295">
        <f t="shared" si="25"/>
        <v>16.403308597480695</v>
      </c>
      <c r="S45" s="1311">
        <f>-'DUKES 09 (1.2)'!$I$45*Unit.ktoe</f>
        <v>-5.7310286487550925</v>
      </c>
      <c r="T45" s="1311"/>
      <c r="U45" s="1311">
        <f>-'DUKES 09 (1.2)'!$B$45*Unit.ktoe</f>
        <v>-0.4035231747156019</v>
      </c>
      <c r="V45" s="1311">
        <f>-'DUKES 09 (1.2)'!$E$45*Unit.ktoe</f>
        <v>-1.428078627085088</v>
      </c>
      <c r="W45" s="1311">
        <f>-'DUKES 09 (1.2)'!$F$45*Unit.ktoe</f>
        <v>-8.8406781469249118</v>
      </c>
      <c r="X45" s="1311"/>
      <c r="Y45" s="1311"/>
      <c r="Z45" s="1311"/>
      <c r="AA45" s="1311"/>
      <c r="AB45" s="1311"/>
      <c r="AC45" s="1311"/>
      <c r="AD45" s="1311"/>
      <c r="AE45" s="1311"/>
      <c r="AF45" s="1311"/>
      <c r="AG45" s="1311"/>
      <c r="AH45" s="1311"/>
      <c r="AI45" s="971">
        <f t="shared" si="26"/>
        <v>-16.403308597480695</v>
      </c>
      <c r="AK45" s="978"/>
      <c r="AL45" s="978"/>
      <c r="AM45" s="978"/>
      <c r="AN45" s="978"/>
      <c r="AO45" s="978"/>
      <c r="AP45" s="978"/>
      <c r="AQ45" s="978"/>
      <c r="AR45" s="978"/>
      <c r="AS45" s="978"/>
      <c r="AT45" s="978"/>
      <c r="AU45" s="978"/>
      <c r="AV45" s="978"/>
      <c r="AW45" s="978"/>
      <c r="AX45" s="978"/>
      <c r="AY45" s="978"/>
      <c r="AZ45" s="978"/>
      <c r="BA45" s="978"/>
      <c r="BB45" s="978"/>
      <c r="BC45" s="978"/>
      <c r="BD45" s="978">
        <f t="shared" si="27"/>
        <v>0</v>
      </c>
      <c r="BF45" s="991"/>
      <c r="BG45" s="991"/>
      <c r="BH45" s="991">
        <f t="shared" si="28"/>
        <v>0</v>
      </c>
      <c r="BJ45" s="852">
        <f t="shared" si="36"/>
        <v>0</v>
      </c>
      <c r="BK45" s="852"/>
      <c r="BM45" s="1149"/>
      <c r="BN45" s="1149"/>
      <c r="BO45" s="1149"/>
      <c r="BP45" s="1149"/>
      <c r="BQ45" s="1149"/>
      <c r="BR45" s="1149"/>
      <c r="BS45" s="1149"/>
      <c r="BT45" s="1149"/>
      <c r="BU45" s="1149"/>
      <c r="BV45" s="1149"/>
      <c r="BW45" s="1149"/>
      <c r="BX45" s="1149"/>
      <c r="BY45" s="1149"/>
      <c r="BZ45" s="1149"/>
      <c r="CA45" s="1149"/>
      <c r="CB45" s="1149"/>
      <c r="CC45" s="1149"/>
      <c r="CD45" s="1149"/>
      <c r="CE45" s="1149"/>
      <c r="CF45" s="1149"/>
      <c r="CG45" s="1149"/>
      <c r="CH45" s="1149"/>
      <c r="CI45" s="1149"/>
      <c r="CJ45" s="1149"/>
      <c r="CK45" s="1149"/>
      <c r="CL45" s="1149"/>
      <c r="CM45" s="1149"/>
      <c r="CN45" s="1149"/>
      <c r="CO45" s="1149"/>
      <c r="CP45" s="1149"/>
      <c r="CQ45" s="1149"/>
      <c r="CR45" s="1149"/>
      <c r="CS45" s="1149"/>
      <c r="CT45" s="1149"/>
      <c r="CU45" s="1149"/>
      <c r="CV45" s="1149"/>
      <c r="CW45" s="1149"/>
      <c r="CX45" s="1149"/>
      <c r="CY45" s="1149"/>
      <c r="CZ45" s="1149"/>
      <c r="DA45" s="1149"/>
      <c r="DB45" s="1149"/>
      <c r="DC45" s="1149"/>
      <c r="DD45" s="1149"/>
    </row>
    <row r="46" spans="1:108" s="849" customFormat="1" ht="12.75" hidden="1" customHeight="1" outlineLevel="2">
      <c r="C46" s="1048"/>
      <c r="D46" s="851"/>
      <c r="E46" s="851" t="s">
        <v>257</v>
      </c>
      <c r="F46" s="734" t="s">
        <v>43</v>
      </c>
      <c r="G46" s="1295"/>
      <c r="H46" s="1295"/>
      <c r="I46" s="1299">
        <f>-($AI46+$BD46+$BH46)</f>
        <v>41.931819669794322</v>
      </c>
      <c r="J46" s="1295"/>
      <c r="K46" s="1295"/>
      <c r="L46" s="1295"/>
      <c r="M46" s="1295"/>
      <c r="N46" s="1295"/>
      <c r="O46" s="1295"/>
      <c r="P46" s="1295"/>
      <c r="Q46" s="1295">
        <f t="shared" si="25"/>
        <v>41.931819669794322</v>
      </c>
      <c r="S46" s="1311">
        <f>-'DUKES 09 (1.2)'!$I$46*Unit.ktoe</f>
        <v>-12.283410094590781</v>
      </c>
      <c r="T46" s="1311"/>
      <c r="U46" s="1311">
        <f>-'DUKES 09 (1.2)'!$B$46*Unit.ktoe</f>
        <v>-0.34249934016251599</v>
      </c>
      <c r="V46" s="1311">
        <f>-'DUKES 09 (1.2)'!$E$46*Unit.ktoe</f>
        <v>-3.1125085351113739</v>
      </c>
      <c r="W46" s="1311">
        <f>-'DUKES 09 (1.2)'!$F$46*Unit.ktoe</f>
        <v>-26.171842679929654</v>
      </c>
      <c r="X46" s="1311"/>
      <c r="Y46" s="1311"/>
      <c r="Z46" s="1311"/>
      <c r="AA46" s="1311"/>
      <c r="AB46" s="1311">
        <f>-'DUKES 09 (1.2)'!$J$46*Unit.ktoe</f>
        <v>-2.1559019999999998E-2</v>
      </c>
      <c r="AC46" s="1311"/>
      <c r="AD46" s="1311"/>
      <c r="AE46" s="1311"/>
      <c r="AF46" s="1311"/>
      <c r="AG46" s="1311"/>
      <c r="AH46" s="1311"/>
      <c r="AI46" s="971">
        <f t="shared" si="26"/>
        <v>-41.931819669794322</v>
      </c>
      <c r="AK46" s="978"/>
      <c r="AL46" s="978"/>
      <c r="AM46" s="978"/>
      <c r="AN46" s="978"/>
      <c r="AO46" s="978"/>
      <c r="AP46" s="978"/>
      <c r="AQ46" s="978"/>
      <c r="AR46" s="978"/>
      <c r="AS46" s="978"/>
      <c r="AT46" s="978"/>
      <c r="AU46" s="978"/>
      <c r="AV46" s="978"/>
      <c r="AW46" s="978"/>
      <c r="AX46" s="978"/>
      <c r="AY46" s="978"/>
      <c r="AZ46" s="978"/>
      <c r="BA46" s="978"/>
      <c r="BB46" s="978"/>
      <c r="BC46" s="978"/>
      <c r="BD46" s="978">
        <f t="shared" si="27"/>
        <v>0</v>
      </c>
      <c r="BF46" s="991"/>
      <c r="BG46" s="991"/>
      <c r="BH46" s="991">
        <f t="shared" si="28"/>
        <v>0</v>
      </c>
      <c r="BJ46" s="852">
        <f t="shared" si="36"/>
        <v>0</v>
      </c>
      <c r="BK46" s="852"/>
      <c r="BM46" s="1149"/>
      <c r="BN46" s="1149"/>
      <c r="BO46" s="1149"/>
      <c r="BP46" s="1149"/>
      <c r="BQ46" s="1149"/>
      <c r="BR46" s="1149"/>
      <c r="BS46" s="1149"/>
      <c r="BT46" s="1149"/>
      <c r="BU46" s="1149"/>
      <c r="BV46" s="1149"/>
      <c r="BW46" s="1149"/>
      <c r="BX46" s="1149"/>
      <c r="BY46" s="1149"/>
      <c r="BZ46" s="1149"/>
      <c r="CA46" s="1149"/>
      <c r="CB46" s="1149"/>
      <c r="CC46" s="1149"/>
      <c r="CD46" s="1149"/>
      <c r="CE46" s="1149"/>
      <c r="CF46" s="1149"/>
      <c r="CG46" s="1149"/>
      <c r="CH46" s="1149"/>
      <c r="CI46" s="1149"/>
      <c r="CJ46" s="1149"/>
      <c r="CK46" s="1149"/>
      <c r="CL46" s="1149"/>
      <c r="CM46" s="1149"/>
      <c r="CN46" s="1149"/>
      <c r="CO46" s="1149"/>
      <c r="CP46" s="1149"/>
      <c r="CQ46" s="1149"/>
      <c r="CR46" s="1149"/>
      <c r="CS46" s="1149"/>
      <c r="CT46" s="1149"/>
      <c r="CU46" s="1149"/>
      <c r="CV46" s="1149"/>
      <c r="CW46" s="1149"/>
      <c r="CX46" s="1149"/>
      <c r="CY46" s="1149"/>
      <c r="CZ46" s="1149"/>
      <c r="DA46" s="1149"/>
      <c r="DB46" s="1149"/>
      <c r="DC46" s="1149"/>
      <c r="DD46" s="1149"/>
    </row>
    <row r="47" spans="1:108" s="849" customFormat="1" ht="12.75" hidden="1" customHeight="1" outlineLevel="2">
      <c r="C47" s="1048"/>
      <c r="D47" s="851"/>
      <c r="E47" s="851" t="s">
        <v>258</v>
      </c>
      <c r="F47" s="734" t="s">
        <v>43</v>
      </c>
      <c r="G47" s="1295"/>
      <c r="H47" s="1295"/>
      <c r="I47" s="1299">
        <f>-($AI47+$BD47+$BH47)</f>
        <v>11.723394295140942</v>
      </c>
      <c r="J47" s="1295"/>
      <c r="K47" s="1295"/>
      <c r="L47" s="1295"/>
      <c r="M47" s="1295"/>
      <c r="N47" s="1295"/>
      <c r="O47" s="1295"/>
      <c r="P47" s="1295"/>
      <c r="Q47" s="1295">
        <f t="shared" si="25"/>
        <v>11.723394295140942</v>
      </c>
      <c r="S47" s="1311">
        <f>-'DUKES 09 (1.2)'!$I$47*Unit.ktoe</f>
        <v>-3.3494086136065309</v>
      </c>
      <c r="T47" s="1311"/>
      <c r="U47" s="1311">
        <f>-'DUKES 09 (1.2)'!$B$47*Unit.ktoe</f>
        <v>-0.60935341109594265</v>
      </c>
      <c r="V47" s="1311">
        <f>-'DUKES 09 (1.2)'!$E$47*Unit.ktoe</f>
        <v>-1.3849995823965704</v>
      </c>
      <c r="W47" s="1311">
        <f>-'DUKES 09 (1.2)'!$F$47*Unit.ktoe</f>
        <v>-6.3796326880418972</v>
      </c>
      <c r="X47" s="1311"/>
      <c r="Y47" s="1311"/>
      <c r="Z47" s="1311"/>
      <c r="AA47" s="1311"/>
      <c r="AB47" s="1311"/>
      <c r="AC47" s="1311"/>
      <c r="AD47" s="1311"/>
      <c r="AE47" s="1311"/>
      <c r="AF47" s="1311"/>
      <c r="AG47" s="1311"/>
      <c r="AH47" s="1311"/>
      <c r="AI47" s="971">
        <f t="shared" si="26"/>
        <v>-11.723394295140942</v>
      </c>
      <c r="AK47" s="978"/>
      <c r="AL47" s="978"/>
      <c r="AM47" s="978"/>
      <c r="AN47" s="978"/>
      <c r="AO47" s="978"/>
      <c r="AP47" s="978"/>
      <c r="AQ47" s="978"/>
      <c r="AR47" s="978"/>
      <c r="AS47" s="978"/>
      <c r="AT47" s="978"/>
      <c r="AU47" s="978"/>
      <c r="AV47" s="978"/>
      <c r="AW47" s="978"/>
      <c r="AX47" s="978"/>
      <c r="AY47" s="978"/>
      <c r="AZ47" s="978"/>
      <c r="BA47" s="978"/>
      <c r="BB47" s="978"/>
      <c r="BC47" s="978"/>
      <c r="BD47" s="978">
        <f t="shared" si="27"/>
        <v>0</v>
      </c>
      <c r="BF47" s="991"/>
      <c r="BG47" s="991"/>
      <c r="BH47" s="991">
        <f t="shared" si="28"/>
        <v>0</v>
      </c>
      <c r="BJ47" s="852">
        <f t="shared" si="36"/>
        <v>0</v>
      </c>
      <c r="BK47" s="852"/>
      <c r="BM47" s="1149"/>
      <c r="BN47" s="1149"/>
      <c r="BO47" s="1149"/>
      <c r="BP47" s="1149"/>
      <c r="BQ47" s="1149"/>
      <c r="BR47" s="1149"/>
      <c r="BS47" s="1149"/>
      <c r="BT47" s="1149"/>
      <c r="BU47" s="1149"/>
      <c r="BV47" s="1149"/>
      <c r="BW47" s="1149"/>
      <c r="BX47" s="1149"/>
      <c r="BY47" s="1149"/>
      <c r="BZ47" s="1149"/>
      <c r="CA47" s="1149"/>
      <c r="CB47" s="1149"/>
      <c r="CC47" s="1149"/>
      <c r="CD47" s="1149"/>
      <c r="CE47" s="1149"/>
      <c r="CF47" s="1149"/>
      <c r="CG47" s="1149"/>
      <c r="CH47" s="1149"/>
      <c r="CI47" s="1149"/>
      <c r="CJ47" s="1149"/>
      <c r="CK47" s="1149"/>
      <c r="CL47" s="1149"/>
      <c r="CM47" s="1149"/>
      <c r="CN47" s="1149"/>
      <c r="CO47" s="1149"/>
      <c r="CP47" s="1149"/>
      <c r="CQ47" s="1149"/>
      <c r="CR47" s="1149"/>
      <c r="CS47" s="1149"/>
      <c r="CT47" s="1149"/>
      <c r="CU47" s="1149"/>
      <c r="CV47" s="1149"/>
      <c r="CW47" s="1149"/>
      <c r="CX47" s="1149"/>
      <c r="CY47" s="1149"/>
      <c r="CZ47" s="1149"/>
      <c r="DA47" s="1149"/>
      <c r="DB47" s="1149"/>
      <c r="DC47" s="1149"/>
      <c r="DD47" s="1149"/>
    </row>
    <row r="48" spans="1:108" s="849" customFormat="1" ht="12.75" hidden="1" customHeight="1" outlineLevel="2">
      <c r="C48" s="1048"/>
      <c r="D48" s="851"/>
      <c r="E48" s="851" t="s">
        <v>259</v>
      </c>
      <c r="F48" s="734" t="s">
        <v>43</v>
      </c>
      <c r="G48" s="1295"/>
      <c r="H48" s="1295"/>
      <c r="I48" s="1299">
        <f>-($AI48+$BD48+$BH48)</f>
        <v>26.121145824561591</v>
      </c>
      <c r="J48" s="1295"/>
      <c r="K48" s="1295"/>
      <c r="L48" s="1295"/>
      <c r="M48" s="1295"/>
      <c r="N48" s="1295"/>
      <c r="O48" s="1295"/>
      <c r="P48" s="1295"/>
      <c r="Q48" s="1295">
        <f t="shared" si="25"/>
        <v>26.121145824561591</v>
      </c>
      <c r="S48" s="1311">
        <f>-'DUKES 09 (1.2)'!$I$48*Unit.ktoe</f>
        <v>-13.356076571372961</v>
      </c>
      <c r="T48" s="1311"/>
      <c r="U48" s="1311">
        <f>-'DUKES 09 (1.2)'!$B$48*Unit.ktoe</f>
        <v>-1.1754751808185944</v>
      </c>
      <c r="V48" s="1311">
        <f>-'DUKES 09 (1.2)'!$E$48*Unit.ktoe</f>
        <v>-0.75354862786783305</v>
      </c>
      <c r="W48" s="1311">
        <f>-'DUKES 09 (1.2)'!$F$48*Unit.ktoe</f>
        <v>-10.821610444502204</v>
      </c>
      <c r="X48" s="1311"/>
      <c r="Y48" s="1311"/>
      <c r="Z48" s="1311"/>
      <c r="AA48" s="1311"/>
      <c r="AB48" s="1311">
        <f>-'DUKES 09 (1.2)'!$J$48*Unit.ktoe</f>
        <v>-1.4434999999999998E-2</v>
      </c>
      <c r="AC48" s="1311"/>
      <c r="AD48" s="1311"/>
      <c r="AE48" s="1311"/>
      <c r="AF48" s="1311"/>
      <c r="AG48" s="1311"/>
      <c r="AH48" s="1311"/>
      <c r="AI48" s="971">
        <f t="shared" si="26"/>
        <v>-26.121145824561591</v>
      </c>
      <c r="AK48" s="978"/>
      <c r="AL48" s="978"/>
      <c r="AM48" s="978"/>
      <c r="AN48" s="978"/>
      <c r="AO48" s="978"/>
      <c r="AP48" s="978"/>
      <c r="AQ48" s="978"/>
      <c r="AR48" s="978"/>
      <c r="AS48" s="978"/>
      <c r="AT48" s="978"/>
      <c r="AU48" s="978"/>
      <c r="AV48" s="978"/>
      <c r="AW48" s="978"/>
      <c r="AX48" s="978"/>
      <c r="AY48" s="978"/>
      <c r="AZ48" s="978"/>
      <c r="BA48" s="978"/>
      <c r="BB48" s="978"/>
      <c r="BC48" s="978"/>
      <c r="BD48" s="978">
        <f t="shared" si="27"/>
        <v>0</v>
      </c>
      <c r="BF48" s="991"/>
      <c r="BG48" s="991"/>
      <c r="BH48" s="991">
        <f t="shared" si="28"/>
        <v>0</v>
      </c>
      <c r="BJ48" s="852">
        <f t="shared" si="36"/>
        <v>0</v>
      </c>
      <c r="BK48" s="852"/>
      <c r="BM48" s="1149"/>
      <c r="BN48" s="1149"/>
      <c r="BO48" s="1149"/>
      <c r="BP48" s="1149"/>
      <c r="BQ48" s="1149"/>
      <c r="BR48" s="1149"/>
      <c r="BS48" s="1149"/>
      <c r="BT48" s="1149"/>
      <c r="BU48" s="1149"/>
      <c r="BV48" s="1149"/>
      <c r="BW48" s="1149"/>
      <c r="BX48" s="1149"/>
      <c r="BY48" s="1149"/>
      <c r="BZ48" s="1149"/>
      <c r="CA48" s="1149"/>
      <c r="CB48" s="1149"/>
      <c r="CC48" s="1149"/>
      <c r="CD48" s="1149"/>
      <c r="CE48" s="1149"/>
      <c r="CF48" s="1149"/>
      <c r="CG48" s="1149"/>
      <c r="CH48" s="1149"/>
      <c r="CI48" s="1149"/>
      <c r="CJ48" s="1149"/>
      <c r="CK48" s="1149"/>
      <c r="CL48" s="1149"/>
      <c r="CM48" s="1149"/>
      <c r="CN48" s="1149"/>
      <c r="CO48" s="1149"/>
      <c r="CP48" s="1149"/>
      <c r="CQ48" s="1149"/>
      <c r="CR48" s="1149"/>
      <c r="CS48" s="1149"/>
      <c r="CT48" s="1149"/>
      <c r="CU48" s="1149"/>
      <c r="CV48" s="1149"/>
      <c r="CW48" s="1149"/>
      <c r="CX48" s="1149"/>
      <c r="CY48" s="1149"/>
      <c r="CZ48" s="1149"/>
      <c r="DA48" s="1149"/>
      <c r="DB48" s="1149"/>
      <c r="DC48" s="1149"/>
      <c r="DD48" s="1149"/>
    </row>
    <row r="49" spans="1:108" s="246" customFormat="1" ht="12.75" hidden="1" customHeight="1" outlineLevel="2">
      <c r="A49" s="849"/>
      <c r="B49" s="849"/>
      <c r="C49" s="1048"/>
      <c r="D49" s="851"/>
      <c r="E49" s="851" t="s">
        <v>1085</v>
      </c>
      <c r="F49" s="734" t="s">
        <v>1085</v>
      </c>
      <c r="G49" s="1299"/>
      <c r="H49" s="1299"/>
      <c r="I49" s="1299"/>
      <c r="J49" s="1299"/>
      <c r="K49" s="1299"/>
      <c r="L49" s="1299"/>
      <c r="M49" s="1299"/>
      <c r="N49" s="1299"/>
      <c r="O49" s="1299"/>
      <c r="P49" s="1299"/>
      <c r="Q49" s="1299">
        <f t="shared" si="25"/>
        <v>0</v>
      </c>
      <c r="S49" s="1312">
        <f>-'DUKES 09 (1.2)'!$I$23*Unit.ktoe</f>
        <v>0</v>
      </c>
      <c r="T49" s="1312"/>
      <c r="U49" s="1312">
        <f>-('DUKES 09 (1.2)'!$B$23+'DUKES 09 (1.2)'!$C$23)*Unit.ktoe</f>
        <v>-5.3929002811516136E-2</v>
      </c>
      <c r="V49" s="1312">
        <f>-'DUKES 09 (1.2)'!$E$23*Unit.ktoe</f>
        <v>0</v>
      </c>
      <c r="W49" s="1312">
        <f>-'DUKES 09 (1.2)'!$F$23*Unit.ktoe</f>
        <v>0</v>
      </c>
      <c r="X49" s="1312"/>
      <c r="Y49" s="1312"/>
      <c r="Z49" s="1312"/>
      <c r="AA49" s="1312"/>
      <c r="AB49" s="1312"/>
      <c r="AC49" s="1312"/>
      <c r="AD49" s="1312"/>
      <c r="AE49" s="1312"/>
      <c r="AF49" s="1312"/>
      <c r="AG49" s="1312"/>
      <c r="AH49" s="1312"/>
      <c r="AI49" s="1309">
        <f t="shared" si="26"/>
        <v>-5.3929002811516136E-2</v>
      </c>
      <c r="AK49" s="1300"/>
      <c r="AL49" s="1300"/>
      <c r="AM49" s="1300"/>
      <c r="AN49" s="1300"/>
      <c r="AO49" s="1300"/>
      <c r="AP49" s="1300"/>
      <c r="AQ49" s="1300"/>
      <c r="AR49" s="1300"/>
      <c r="AS49" s="1300"/>
      <c r="AT49" s="1300"/>
      <c r="AU49" s="1300"/>
      <c r="AV49" s="1300"/>
      <c r="AW49" s="1300"/>
      <c r="AX49" s="1300"/>
      <c r="AY49" s="1300"/>
      <c r="AZ49" s="1300"/>
      <c r="BA49" s="1300"/>
      <c r="BB49" s="1300"/>
      <c r="BC49" s="1300"/>
      <c r="BD49" s="978">
        <f t="shared" si="27"/>
        <v>0</v>
      </c>
      <c r="BF49" s="1301">
        <f>-($Q49+$AI49+$BD49)</f>
        <v>5.3929002811516136E-2</v>
      </c>
      <c r="BG49" s="1301"/>
      <c r="BH49" s="1301">
        <f t="shared" si="28"/>
        <v>5.3929002811516136E-2</v>
      </c>
      <c r="BJ49" s="852">
        <f t="shared" si="36"/>
        <v>0</v>
      </c>
      <c r="BK49" s="852"/>
      <c r="BL49" s="849"/>
      <c r="BM49" s="1149"/>
      <c r="BN49" s="1302"/>
      <c r="BO49" s="1302"/>
      <c r="BP49" s="1302"/>
      <c r="BQ49" s="1302"/>
      <c r="BR49" s="1302"/>
      <c r="BS49" s="1302"/>
      <c r="BT49" s="1302"/>
      <c r="BU49" s="1302"/>
      <c r="BV49" s="1302"/>
      <c r="BW49" s="1302"/>
      <c r="BX49" s="1302"/>
      <c r="BY49" s="1302"/>
      <c r="BZ49" s="1302"/>
      <c r="CA49" s="1302"/>
      <c r="CB49" s="1302"/>
      <c r="CC49" s="1302"/>
      <c r="CD49" s="1302"/>
      <c r="CE49" s="1302"/>
      <c r="CF49" s="1302"/>
      <c r="CG49" s="1302"/>
      <c r="CH49" s="1302"/>
      <c r="CI49" s="1302"/>
      <c r="CJ49" s="1302"/>
      <c r="CK49" s="1302"/>
      <c r="CL49" s="1302"/>
      <c r="CM49" s="1302"/>
      <c r="CN49" s="1302"/>
      <c r="CO49" s="1302"/>
      <c r="CP49" s="1302"/>
      <c r="CQ49" s="1302"/>
      <c r="CR49" s="1302"/>
      <c r="CS49" s="1302"/>
      <c r="CT49" s="1302"/>
      <c r="CU49" s="1302"/>
      <c r="CV49" s="1302"/>
      <c r="CW49" s="1302"/>
      <c r="CX49" s="1302"/>
      <c r="CY49" s="1302"/>
      <c r="CZ49" s="1302"/>
      <c r="DA49" s="1302"/>
      <c r="DB49" s="1302"/>
      <c r="DC49" s="1302"/>
      <c r="DD49" s="1302"/>
    </row>
    <row r="50" spans="1:108" s="849" customFormat="1" ht="12.75" hidden="1" customHeight="1" outlineLevel="2">
      <c r="C50" s="1048"/>
      <c r="D50" s="851"/>
      <c r="E50" s="851" t="s">
        <v>181</v>
      </c>
      <c r="F50" s="734" t="s">
        <v>43</v>
      </c>
      <c r="G50" s="1295"/>
      <c r="H50" s="1295"/>
      <c r="I50" s="1299">
        <f>-($AI50+$BD50+$BH50)</f>
        <v>71.897629621536765</v>
      </c>
      <c r="J50" s="1295"/>
      <c r="K50" s="1295"/>
      <c r="L50" s="1295"/>
      <c r="M50" s="1295"/>
      <c r="N50" s="1295"/>
      <c r="O50" s="1295"/>
      <c r="P50" s="1295"/>
      <c r="Q50" s="1295">
        <f t="shared" si="25"/>
        <v>71.897629621536765</v>
      </c>
      <c r="S50" s="1311">
        <f>-'DUKES 09 (1.2)'!$I$49*Unit.ktoe</f>
        <v>-22.568014350701699</v>
      </c>
      <c r="T50" s="1311"/>
      <c r="U50" s="1311">
        <f>-'DUKES 09 (1.2)'!$B$49*Unit.ktoe</f>
        <v>-1.614624391048268</v>
      </c>
      <c r="V50" s="1311">
        <f>-'DUKES 09 (1.2)'!$E$49*Unit.ktoe</f>
        <v>-33.059141100313447</v>
      </c>
      <c r="W50" s="1311">
        <f>-'DUKES 09 (1.2)'!$F$49*Unit.ktoe</f>
        <v>-9.8808267794733595</v>
      </c>
      <c r="X50" s="1311"/>
      <c r="Y50" s="1311"/>
      <c r="Z50" s="1311"/>
      <c r="AA50" s="1311"/>
      <c r="AB50" s="1311">
        <f>-'DUKES 09 (1.2)'!$J$49*Unit.ktoe</f>
        <v>-4.775023</v>
      </c>
      <c r="AC50" s="1311"/>
      <c r="AD50" s="1311"/>
      <c r="AE50" s="1311"/>
      <c r="AF50" s="1311"/>
      <c r="AG50" s="1311"/>
      <c r="AH50" s="1311"/>
      <c r="AI50" s="971">
        <f t="shared" si="26"/>
        <v>-71.897629621536765</v>
      </c>
      <c r="AK50" s="978"/>
      <c r="AL50" s="978"/>
      <c r="AM50" s="978"/>
      <c r="AN50" s="978"/>
      <c r="AO50" s="978"/>
      <c r="AP50" s="978"/>
      <c r="AQ50" s="978"/>
      <c r="AR50" s="978"/>
      <c r="AS50" s="978"/>
      <c r="AT50" s="978"/>
      <c r="AU50" s="978"/>
      <c r="AV50" s="978"/>
      <c r="AW50" s="978"/>
      <c r="AX50" s="978"/>
      <c r="AY50" s="978"/>
      <c r="AZ50" s="978"/>
      <c r="BA50" s="978"/>
      <c r="BB50" s="978"/>
      <c r="BC50" s="978"/>
      <c r="BD50" s="978">
        <f t="shared" si="27"/>
        <v>0</v>
      </c>
      <c r="BF50" s="991"/>
      <c r="BG50" s="991"/>
      <c r="BH50" s="991">
        <f t="shared" si="28"/>
        <v>0</v>
      </c>
      <c r="BJ50" s="852">
        <f t="shared" si="36"/>
        <v>0</v>
      </c>
      <c r="BK50" s="852"/>
      <c r="BM50" s="1149"/>
      <c r="BN50" s="1149"/>
      <c r="BO50" s="1149"/>
      <c r="BP50" s="1149"/>
      <c r="BQ50" s="1149"/>
      <c r="BR50" s="1149"/>
      <c r="BS50" s="1149"/>
      <c r="BT50" s="1149"/>
      <c r="BU50" s="1149"/>
      <c r="BV50" s="1149"/>
      <c r="BW50" s="1149"/>
      <c r="BX50" s="1149"/>
      <c r="BY50" s="1149"/>
      <c r="BZ50" s="1149"/>
      <c r="CA50" s="1149"/>
      <c r="CB50" s="1149"/>
      <c r="CC50" s="1149"/>
      <c r="CD50" s="1149"/>
      <c r="CE50" s="1149"/>
      <c r="CF50" s="1149"/>
      <c r="CG50" s="1149"/>
      <c r="CH50" s="1149"/>
      <c r="CI50" s="1149"/>
      <c r="CJ50" s="1149"/>
      <c r="CK50" s="1149"/>
      <c r="CL50" s="1149"/>
      <c r="CM50" s="1149"/>
      <c r="CN50" s="1149"/>
      <c r="CO50" s="1149"/>
      <c r="CP50" s="1149"/>
      <c r="CQ50" s="1149"/>
      <c r="CR50" s="1149"/>
      <c r="CS50" s="1149"/>
      <c r="CT50" s="1149"/>
      <c r="CU50" s="1149"/>
      <c r="CV50" s="1149"/>
      <c r="CW50" s="1149"/>
      <c r="CX50" s="1149"/>
      <c r="CY50" s="1149"/>
      <c r="CZ50" s="1149"/>
      <c r="DA50" s="1149"/>
      <c r="DB50" s="1149"/>
      <c r="DC50" s="1149"/>
      <c r="DD50" s="1149"/>
    </row>
    <row r="51" spans="1:108" s="849" customFormat="1" ht="12.75" hidden="1" customHeight="1" outlineLevel="2">
      <c r="C51" s="1048"/>
      <c r="D51" s="851"/>
      <c r="E51" s="851" t="s">
        <v>182</v>
      </c>
      <c r="F51" s="734" t="s">
        <v>43</v>
      </c>
      <c r="G51" s="1295"/>
      <c r="H51" s="1295"/>
      <c r="I51" s="1299">
        <f>-($AI51+$BD51+$BH51)</f>
        <v>6.2460530842141022</v>
      </c>
      <c r="J51" s="1295"/>
      <c r="K51" s="1295"/>
      <c r="L51" s="1295"/>
      <c r="M51" s="1295"/>
      <c r="N51" s="1295"/>
      <c r="O51" s="1295"/>
      <c r="P51" s="1295"/>
      <c r="Q51" s="1295">
        <f t="shared" si="25"/>
        <v>6.2460530842141022</v>
      </c>
      <c r="S51" s="1311">
        <f>-'DUKES 09 (1.2)'!$I$50*Unit.ktoe</f>
        <v>-1.5985087727969405</v>
      </c>
      <c r="T51" s="1311"/>
      <c r="U51" s="1311">
        <f>-'DUKES 09 (1.2)'!$B$50*Unit.ktoe</f>
        <v>0</v>
      </c>
      <c r="V51" s="1311">
        <f>-'DUKES 09 (1.2)'!$E$50*Unit.ktoe</f>
        <v>-1.9641390214777721</v>
      </c>
      <c r="W51" s="1311">
        <f>-'DUKES 09 (1.2)'!$F$50*Unit.ktoe</f>
        <v>-2.683405289939389</v>
      </c>
      <c r="X51" s="1311"/>
      <c r="Y51" s="1311"/>
      <c r="Z51" s="1311"/>
      <c r="AA51" s="1311"/>
      <c r="AB51" s="1311"/>
      <c r="AC51" s="1311"/>
      <c r="AD51" s="1311"/>
      <c r="AE51" s="1311"/>
      <c r="AF51" s="1311"/>
      <c r="AG51" s="1311"/>
      <c r="AH51" s="1311"/>
      <c r="AI51" s="971">
        <f t="shared" si="26"/>
        <v>-6.2460530842141022</v>
      </c>
      <c r="AK51" s="978"/>
      <c r="AL51" s="978"/>
      <c r="AM51" s="978"/>
      <c r="AN51" s="978"/>
      <c r="AO51" s="978"/>
      <c r="AP51" s="978"/>
      <c r="AQ51" s="978"/>
      <c r="AR51" s="978"/>
      <c r="AS51" s="978"/>
      <c r="AT51" s="978"/>
      <c r="AU51" s="978"/>
      <c r="AV51" s="978"/>
      <c r="AW51" s="978"/>
      <c r="AX51" s="978"/>
      <c r="AY51" s="978"/>
      <c r="AZ51" s="978"/>
      <c r="BA51" s="978"/>
      <c r="BB51" s="978"/>
      <c r="BC51" s="978"/>
      <c r="BD51" s="978">
        <f t="shared" si="27"/>
        <v>0</v>
      </c>
      <c r="BF51" s="991"/>
      <c r="BG51" s="991"/>
      <c r="BH51" s="991">
        <f t="shared" si="28"/>
        <v>0</v>
      </c>
      <c r="BJ51" s="852">
        <f t="shared" si="36"/>
        <v>0</v>
      </c>
      <c r="BK51" s="852"/>
      <c r="BM51" s="1149"/>
      <c r="BN51" s="1149"/>
      <c r="BO51" s="1149"/>
      <c r="BP51" s="1149"/>
      <c r="BQ51" s="1149"/>
      <c r="BR51" s="1149"/>
      <c r="BS51" s="1149"/>
      <c r="BT51" s="1149"/>
      <c r="BU51" s="1149"/>
      <c r="BV51" s="1149"/>
      <c r="BW51" s="1149"/>
      <c r="BX51" s="1149"/>
      <c r="BY51" s="1149"/>
      <c r="BZ51" s="1149"/>
      <c r="CA51" s="1149"/>
      <c r="CB51" s="1149"/>
      <c r="CC51" s="1149"/>
      <c r="CD51" s="1149"/>
      <c r="CE51" s="1149"/>
      <c r="CF51" s="1149"/>
      <c r="CG51" s="1149"/>
      <c r="CH51" s="1149"/>
      <c r="CI51" s="1149"/>
      <c r="CJ51" s="1149"/>
      <c r="CK51" s="1149"/>
      <c r="CL51" s="1149"/>
      <c r="CM51" s="1149"/>
      <c r="CN51" s="1149"/>
      <c r="CO51" s="1149"/>
      <c r="CP51" s="1149"/>
      <c r="CQ51" s="1149"/>
      <c r="CR51" s="1149"/>
      <c r="CS51" s="1149"/>
      <c r="CT51" s="1149"/>
      <c r="CU51" s="1149"/>
      <c r="CV51" s="1149"/>
      <c r="CW51" s="1149"/>
      <c r="CX51" s="1149"/>
      <c r="CY51" s="1149"/>
      <c r="CZ51" s="1149"/>
      <c r="DA51" s="1149"/>
      <c r="DB51" s="1149"/>
      <c r="DC51" s="1149"/>
      <c r="DD51" s="1149"/>
    </row>
    <row r="52" spans="1:108" ht="12.75" hidden="1" customHeight="1" outlineLevel="1" collapsed="1">
      <c r="A52" s="715"/>
      <c r="B52" s="715"/>
      <c r="C52" s="746"/>
      <c r="D52" s="521" t="s">
        <v>123</v>
      </c>
      <c r="E52" s="851"/>
      <c r="F52" s="12"/>
      <c r="G52" s="1019">
        <f t="shared" ref="G52:P52" si="40">SUM(G44:G51)</f>
        <v>0</v>
      </c>
      <c r="H52" s="1019">
        <f t="shared" si="40"/>
        <v>0</v>
      </c>
      <c r="I52" s="1299">
        <f t="shared" si="40"/>
        <v>210.8854076996605</v>
      </c>
      <c r="J52" s="1019">
        <f t="shared" si="40"/>
        <v>0</v>
      </c>
      <c r="K52" s="1019">
        <f t="shared" si="40"/>
        <v>0</v>
      </c>
      <c r="L52" s="1019">
        <f t="shared" si="40"/>
        <v>0</v>
      </c>
      <c r="M52" s="1019">
        <f t="shared" si="40"/>
        <v>0</v>
      </c>
      <c r="N52" s="1019">
        <f t="shared" si="40"/>
        <v>0</v>
      </c>
      <c r="O52" s="1019">
        <f t="shared" si="40"/>
        <v>0</v>
      </c>
      <c r="P52" s="1019">
        <f t="shared" si="40"/>
        <v>0</v>
      </c>
      <c r="Q52" s="1019">
        <f t="shared" si="25"/>
        <v>210.8854076996605</v>
      </c>
      <c r="S52" s="1027">
        <f>SUM(S44:S51)</f>
        <v>-58.886447051824</v>
      </c>
      <c r="T52" s="1027">
        <f t="shared" ref="T52:AH52" si="41">SUM(T44:T51)</f>
        <v>0</v>
      </c>
      <c r="U52" s="1027">
        <f t="shared" si="41"/>
        <v>-6.7382552067420658</v>
      </c>
      <c r="V52" s="1027">
        <f t="shared" si="41"/>
        <v>-72.408624787730332</v>
      </c>
      <c r="W52" s="1027">
        <f t="shared" si="41"/>
        <v>-65.039207679523955</v>
      </c>
      <c r="X52" s="1027">
        <f t="shared" si="41"/>
        <v>0</v>
      </c>
      <c r="Y52" s="1027">
        <f t="shared" si="41"/>
        <v>0</v>
      </c>
      <c r="Z52" s="1027">
        <f t="shared" si="41"/>
        <v>0</v>
      </c>
      <c r="AA52" s="1027">
        <f t="shared" si="41"/>
        <v>0</v>
      </c>
      <c r="AB52" s="1027">
        <f t="shared" si="41"/>
        <v>-4.8110170200000004</v>
      </c>
      <c r="AC52" s="1027">
        <f t="shared" si="41"/>
        <v>0</v>
      </c>
      <c r="AD52" s="1027"/>
      <c r="AE52" s="1027">
        <f t="shared" si="41"/>
        <v>-1.4729146905589265</v>
      </c>
      <c r="AF52" s="1027">
        <f>SUM(AF44:AF51)</f>
        <v>0</v>
      </c>
      <c r="AG52" s="1027">
        <f>SUM(AG44:AG51)</f>
        <v>0</v>
      </c>
      <c r="AH52" s="1027">
        <f t="shared" si="41"/>
        <v>0</v>
      </c>
      <c r="AI52" s="1310">
        <f t="shared" si="26"/>
        <v>-209.35646643637926</v>
      </c>
      <c r="AK52" s="1040">
        <f t="shared" ref="AK52:BC52" si="42">SUM(AK44:AK51)</f>
        <v>0</v>
      </c>
      <c r="AL52" s="1040">
        <f t="shared" si="42"/>
        <v>0</v>
      </c>
      <c r="AM52" s="1040">
        <f t="shared" si="42"/>
        <v>0</v>
      </c>
      <c r="AN52" s="1040">
        <f t="shared" si="42"/>
        <v>0</v>
      </c>
      <c r="AO52" s="1040">
        <f t="shared" si="42"/>
        <v>0</v>
      </c>
      <c r="AP52" s="1040">
        <f t="shared" si="42"/>
        <v>0</v>
      </c>
      <c r="AQ52" s="1040">
        <f t="shared" si="42"/>
        <v>0</v>
      </c>
      <c r="AR52" s="1040">
        <f t="shared" si="42"/>
        <v>0</v>
      </c>
      <c r="AS52" s="1040">
        <f t="shared" si="42"/>
        <v>0</v>
      </c>
      <c r="AT52" s="1040">
        <f t="shared" si="42"/>
        <v>0</v>
      </c>
      <c r="AU52" s="1040">
        <f t="shared" si="42"/>
        <v>0</v>
      </c>
      <c r="AV52" s="1040">
        <f t="shared" si="42"/>
        <v>0</v>
      </c>
      <c r="AW52" s="1040">
        <f t="shared" si="42"/>
        <v>0</v>
      </c>
      <c r="AX52" s="1040">
        <f t="shared" si="42"/>
        <v>0</v>
      </c>
      <c r="AY52" s="1040">
        <f t="shared" si="42"/>
        <v>0</v>
      </c>
      <c r="AZ52" s="1040">
        <f t="shared" si="42"/>
        <v>0</v>
      </c>
      <c r="BA52" s="1040">
        <f t="shared" si="42"/>
        <v>0</v>
      </c>
      <c r="BB52" s="1040">
        <f t="shared" si="42"/>
        <v>0</v>
      </c>
      <c r="BC52" s="1040">
        <f t="shared" si="42"/>
        <v>-1.5828702660927567</v>
      </c>
      <c r="BD52" s="979">
        <f t="shared" si="27"/>
        <v>-1.5828702660927567</v>
      </c>
      <c r="BF52" s="1034">
        <f>SUM(BF44:BF51)</f>
        <v>5.3929002811516136E-2</v>
      </c>
      <c r="BG52" s="1034">
        <f>SUM(BG44:BG51)</f>
        <v>0</v>
      </c>
      <c r="BH52" s="1034">
        <f t="shared" si="28"/>
        <v>5.3929002811516136E-2</v>
      </c>
      <c r="BJ52" s="814">
        <f t="shared" si="36"/>
        <v>-5.5511151231257827E-16</v>
      </c>
      <c r="BK52" s="814"/>
      <c r="BL52" s="715"/>
      <c r="BM52" s="1147"/>
      <c r="BN52" s="1146"/>
      <c r="BO52" s="1146"/>
      <c r="BP52" s="1146"/>
      <c r="BQ52" s="1146"/>
      <c r="BR52" s="1146"/>
      <c r="BS52" s="1146"/>
      <c r="BT52" s="1146"/>
      <c r="BU52" s="1146"/>
      <c r="BV52" s="1146"/>
      <c r="BW52" s="1146"/>
      <c r="BX52" s="1146"/>
      <c r="BY52" s="1146"/>
      <c r="BZ52" s="1146"/>
      <c r="CA52" s="1146"/>
      <c r="CB52" s="1146"/>
      <c r="CC52" s="1146"/>
      <c r="CD52" s="1146"/>
      <c r="CE52" s="1146"/>
      <c r="CF52" s="1146"/>
      <c r="CG52" s="1146"/>
      <c r="CH52" s="1146"/>
      <c r="CI52" s="1146"/>
      <c r="CJ52" s="1146"/>
      <c r="CK52" s="1146"/>
      <c r="CL52" s="1146"/>
      <c r="CM52" s="1146"/>
      <c r="CN52" s="1146"/>
      <c r="CO52" s="1146"/>
      <c r="CP52" s="1146"/>
      <c r="CQ52" s="1146"/>
      <c r="CR52" s="1146"/>
      <c r="CS52" s="1146"/>
      <c r="CT52" s="1146"/>
      <c r="CU52" s="1146"/>
      <c r="CV52" s="1146"/>
      <c r="CW52" s="1146"/>
      <c r="CX52" s="1146"/>
      <c r="CY52" s="1146"/>
      <c r="CZ52" s="1146"/>
      <c r="DA52" s="1146"/>
      <c r="DB52" s="1146"/>
      <c r="DC52" s="1146"/>
      <c r="DD52" s="1146"/>
    </row>
    <row r="53" spans="1:108" ht="12.75" hidden="1" customHeight="1" outlineLevel="1">
      <c r="A53" s="715"/>
      <c r="B53" s="715"/>
      <c r="C53" s="746"/>
      <c r="D53" s="521" t="s">
        <v>125</v>
      </c>
      <c r="E53" s="521"/>
      <c r="F53" s="12" t="s">
        <v>445</v>
      </c>
      <c r="G53" s="1019"/>
      <c r="H53" s="1019"/>
      <c r="I53" s="1299">
        <f>-($AI53+$BD53+$BH53)</f>
        <v>40.153313366539898</v>
      </c>
      <c r="J53" s="1019"/>
      <c r="K53" s="1019"/>
      <c r="L53" s="1019"/>
      <c r="M53" s="1019"/>
      <c r="N53" s="1019"/>
      <c r="O53" s="1019"/>
      <c r="P53" s="1019"/>
      <c r="Q53" s="1019">
        <f t="shared" si="25"/>
        <v>40.153313366539898</v>
      </c>
      <c r="S53" s="1026"/>
      <c r="T53" s="1026">
        <f>('DUKES 09 (5.1)'!$K$78+'DUKES 09 (5.1)'!$K$90)*Unit.GWh-'DUKES 09 (5.6)'!$M$254*Unit.GWh</f>
        <v>34.033592131949163</v>
      </c>
      <c r="U53" s="1026">
        <f>'DUKES 09 (1.2)'!$B$18*Unit.ktoe</f>
        <v>-10.447897060423037</v>
      </c>
      <c r="V53" s="1026">
        <f>'DUKES 09 (1.2)'!$E$18*Unit.ktoe</f>
        <v>-5.4213372134718112</v>
      </c>
      <c r="W53" s="1026">
        <f>'DUKES 09 (1.2)'!$F$18*Unit.ktoe-'DUKES 09 (2.5)'!$H$21*Unit.GWh</f>
        <v>-34.996226999999998</v>
      </c>
      <c r="X53" s="1026"/>
      <c r="Y53" s="1026"/>
      <c r="Z53" s="1026"/>
      <c r="AA53" s="1026">
        <f>-'DUKES 09 (2.5)'!$I$21*Unit.GWh</f>
        <v>-8.7914049999999992</v>
      </c>
      <c r="AB53" s="1026"/>
      <c r="AC53" s="1026"/>
      <c r="AD53" s="1026"/>
      <c r="AE53" s="1026">
        <f>-'DUKES 09 (7.2)'!$E$21*Unit.ktoe</f>
        <v>-4.1138273605540494</v>
      </c>
      <c r="AF53" s="1026"/>
      <c r="AG53" s="1026"/>
      <c r="AH53" s="1026"/>
      <c r="AI53" s="1310">
        <f t="shared" si="26"/>
        <v>-29.737101502499733</v>
      </c>
      <c r="AK53" s="1038"/>
      <c r="AL53" s="1038"/>
      <c r="AM53" s="1038"/>
      <c r="AN53" s="1038"/>
      <c r="AO53" s="1038"/>
      <c r="AP53" s="1038"/>
      <c r="AQ53" s="1038"/>
      <c r="AR53" s="1038"/>
      <c r="AS53" s="1038"/>
      <c r="AT53" s="1038"/>
      <c r="AU53" s="1038">
        <f>-'DUKES 09 (7.2)'!$K$21*Unit.ktoe</f>
        <v>-1.4000077700000002E-2</v>
      </c>
      <c r="AV53" s="1038">
        <f>-'DUKES 09 (7.2)'!$M$21*Unit.ktoe</f>
        <v>-1.705027184782586</v>
      </c>
      <c r="AW53" s="1038"/>
      <c r="AX53" s="1038"/>
      <c r="AY53" s="1038"/>
      <c r="AZ53" s="1038">
        <f>-'DUKES 09 (7.2)'!$L$21*Unit.ktoe</f>
        <v>-0.94481533000000006</v>
      </c>
      <c r="BA53" s="1038"/>
      <c r="BB53" s="1038"/>
      <c r="BC53" s="1038">
        <f>-('DUKES 09 (7.2)'!$J$21+'DUKES 09 (7.2)'!$D$21)*Unit.ktoe</f>
        <v>-9.352342240608424</v>
      </c>
      <c r="BD53" s="979">
        <f t="shared" si="27"/>
        <v>-12.01618483309101</v>
      </c>
      <c r="BF53" s="1034"/>
      <c r="BG53" s="1034">
        <f>'DUKES 09 (5.6)'!$M$254*Unit.GWh</f>
        <v>1.5999729690508488</v>
      </c>
      <c r="BH53" s="1034">
        <f t="shared" si="28"/>
        <v>1.5999729690508488</v>
      </c>
      <c r="BJ53" s="814">
        <f t="shared" si="36"/>
        <v>2.886579864025407E-15</v>
      </c>
      <c r="BK53" s="814"/>
      <c r="BL53" s="715"/>
      <c r="BM53" s="1147"/>
      <c r="BN53" s="1146"/>
      <c r="BO53" s="1146"/>
      <c r="BP53" s="1146"/>
      <c r="BQ53" s="1146"/>
      <c r="BR53" s="1146"/>
      <c r="BS53" s="1146"/>
      <c r="BT53" s="1146"/>
      <c r="BU53" s="1146"/>
      <c r="BV53" s="1146"/>
      <c r="BW53" s="1146"/>
      <c r="BX53" s="1146"/>
      <c r="BY53" s="1146"/>
      <c r="BZ53" s="1146"/>
      <c r="CA53" s="1146"/>
      <c r="CB53" s="1146"/>
      <c r="CC53" s="1146"/>
      <c r="CD53" s="1146"/>
      <c r="CE53" s="1146"/>
      <c r="CF53" s="1146"/>
      <c r="CG53" s="1146"/>
      <c r="CH53" s="1146"/>
      <c r="CI53" s="1146"/>
      <c r="CJ53" s="1146"/>
      <c r="CK53" s="1146"/>
      <c r="CL53" s="1146"/>
      <c r="CM53" s="1146"/>
      <c r="CN53" s="1146"/>
      <c r="CO53" s="1146"/>
      <c r="CP53" s="1146"/>
      <c r="CQ53" s="1146"/>
      <c r="CR53" s="1146"/>
      <c r="CS53" s="1146"/>
      <c r="CT53" s="1146"/>
      <c r="CU53" s="1146"/>
      <c r="CV53" s="1146"/>
      <c r="CW53" s="1146"/>
      <c r="CX53" s="1146"/>
      <c r="CY53" s="1146"/>
      <c r="CZ53" s="1146"/>
      <c r="DA53" s="1146"/>
      <c r="DB53" s="1146"/>
      <c r="DC53" s="1146"/>
      <c r="DD53" s="1146"/>
    </row>
    <row r="54" spans="1:108" ht="12.75" hidden="1" customHeight="1" outlineLevel="1">
      <c r="A54" s="715"/>
      <c r="B54" s="715"/>
      <c r="C54" s="746"/>
      <c r="D54" s="521" t="s">
        <v>161</v>
      </c>
      <c r="E54" s="521"/>
      <c r="F54" s="12" t="s">
        <v>818</v>
      </c>
      <c r="G54" s="1019"/>
      <c r="H54" s="1019"/>
      <c r="I54" s="1299">
        <f>-($AI54+$BD54+$BH54)</f>
        <v>12.626359016737764</v>
      </c>
      <c r="J54" s="1019"/>
      <c r="K54" s="1019"/>
      <c r="L54" s="1019"/>
      <c r="M54" s="1019"/>
      <c r="N54" s="1019"/>
      <c r="O54" s="1019"/>
      <c r="P54" s="1019"/>
      <c r="Q54" s="1019">
        <f t="shared" si="25"/>
        <v>12.626359016737764</v>
      </c>
      <c r="S54" s="1026"/>
      <c r="T54" s="1026"/>
      <c r="U54" s="1026">
        <f>'DUKES 09 (1.2)'!$B$19*Unit.ktoe</f>
        <v>-3.3270032927989854</v>
      </c>
      <c r="V54" s="1026">
        <f>'DUKES 09 (1.2)'!$E$19*Unit.ktoe</f>
        <v>-0.69724933371891418</v>
      </c>
      <c r="W54" s="1026">
        <f>'DUKES 09 (1.2)'!$F$19*Unit.ktoe-'DUKES 09 (2.5)'!$H$22*Unit.GWh</f>
        <v>-22.326946044458992</v>
      </c>
      <c r="X54" s="1026"/>
      <c r="Y54" s="1026"/>
      <c r="Z54" s="1026"/>
      <c r="AA54" s="1026">
        <f>-'DUKES 09 (2.5)'!$I$22*Unit.GWh</f>
        <v>-0.17926499999999998</v>
      </c>
      <c r="AB54" s="1026">
        <f>'DUKES 09 (1.2)'!$J$19*Unit.ktoe</f>
        <v>13.904104654239129</v>
      </c>
      <c r="AC54" s="1026"/>
      <c r="AD54" s="1026"/>
      <c r="AE54" s="1026"/>
      <c r="AF54" s="1026"/>
      <c r="AG54" s="1026"/>
      <c r="AH54" s="1026"/>
      <c r="AI54" s="1310">
        <f t="shared" si="26"/>
        <v>-12.626359016737764</v>
      </c>
      <c r="AK54" s="1038"/>
      <c r="AL54" s="1038"/>
      <c r="AM54" s="1038"/>
      <c r="AN54" s="1038"/>
      <c r="AO54" s="1038"/>
      <c r="AP54" s="1038"/>
      <c r="AQ54" s="1038"/>
      <c r="AR54" s="1038"/>
      <c r="AS54" s="1038"/>
      <c r="AT54" s="1038"/>
      <c r="AU54" s="1038"/>
      <c r="AV54" s="1038"/>
      <c r="AW54" s="1038"/>
      <c r="AX54" s="1038"/>
      <c r="AY54" s="1038"/>
      <c r="AZ54" s="1038"/>
      <c r="BA54" s="1038"/>
      <c r="BB54" s="1038"/>
      <c r="BC54" s="1038"/>
      <c r="BD54" s="979">
        <f t="shared" si="27"/>
        <v>0</v>
      </c>
      <c r="BF54" s="1034"/>
      <c r="BG54" s="1034"/>
      <c r="BH54" s="1034">
        <f t="shared" si="28"/>
        <v>0</v>
      </c>
      <c r="BJ54" s="814">
        <f t="shared" si="36"/>
        <v>0</v>
      </c>
      <c r="BK54" s="814"/>
      <c r="BL54" s="715"/>
      <c r="BM54" s="1147"/>
      <c r="BN54" s="1146"/>
      <c r="BO54" s="1146"/>
      <c r="BP54" s="1146"/>
      <c r="BQ54" s="1146"/>
      <c r="BR54" s="1146"/>
      <c r="BS54" s="1146"/>
      <c r="BT54" s="1146"/>
      <c r="BU54" s="1146"/>
      <c r="BV54" s="1146"/>
      <c r="BW54" s="1146"/>
      <c r="BX54" s="1146"/>
      <c r="BY54" s="1146"/>
      <c r="BZ54" s="1146"/>
      <c r="CA54" s="1146"/>
      <c r="CB54" s="1146"/>
      <c r="CC54" s="1146"/>
      <c r="CD54" s="1146"/>
      <c r="CE54" s="1146"/>
      <c r="CF54" s="1146"/>
      <c r="CG54" s="1146"/>
      <c r="CH54" s="1146"/>
      <c r="CI54" s="1146"/>
      <c r="CJ54" s="1146"/>
      <c r="CK54" s="1146"/>
      <c r="CL54" s="1146"/>
      <c r="CM54" s="1146"/>
      <c r="CN54" s="1146"/>
      <c r="CO54" s="1146"/>
      <c r="CP54" s="1146"/>
      <c r="CQ54" s="1146"/>
      <c r="CR54" s="1146"/>
      <c r="CS54" s="1146"/>
      <c r="CT54" s="1146"/>
      <c r="CU54" s="1146"/>
      <c r="CV54" s="1146"/>
      <c r="CW54" s="1146"/>
      <c r="CX54" s="1146"/>
      <c r="CY54" s="1146"/>
      <c r="CZ54" s="1146"/>
      <c r="DA54" s="1146"/>
      <c r="DB54" s="1146"/>
      <c r="DC54" s="1146"/>
      <c r="DD54" s="1146"/>
    </row>
    <row r="55" spans="1:108" ht="12.75" hidden="1" customHeight="1" outlineLevel="1">
      <c r="A55" s="715"/>
      <c r="B55" s="715"/>
      <c r="C55" s="746" t="s">
        <v>900</v>
      </c>
      <c r="D55" s="1010" t="str">
        <f>INDEX(Modules[Module], MATCH($C55, Modules[Code], 0))</f>
        <v>Industrial processes</v>
      </c>
      <c r="E55" s="1010"/>
      <c r="F55" s="12"/>
      <c r="G55" s="1020">
        <f t="shared" ref="G55:P55" si="43">G$39+G$41+G$43+G$52+G$53+G$54</f>
        <v>0</v>
      </c>
      <c r="H55" s="1020">
        <f t="shared" si="43"/>
        <v>0</v>
      </c>
      <c r="I55" s="1020">
        <f t="shared" si="43"/>
        <v>439.14915467278735</v>
      </c>
      <c r="J55" s="1020">
        <f t="shared" si="43"/>
        <v>0</v>
      </c>
      <c r="K55" s="1020">
        <f t="shared" si="43"/>
        <v>0</v>
      </c>
      <c r="L55" s="1020">
        <f t="shared" si="43"/>
        <v>0</v>
      </c>
      <c r="M55" s="1020">
        <f t="shared" si="43"/>
        <v>0</v>
      </c>
      <c r="N55" s="1020">
        <f t="shared" si="43"/>
        <v>0</v>
      </c>
      <c r="O55" s="1020">
        <f t="shared" si="43"/>
        <v>0</v>
      </c>
      <c r="P55" s="1020">
        <f t="shared" si="43"/>
        <v>0</v>
      </c>
      <c r="Q55" s="1020">
        <f>SUM(G55:P55)</f>
        <v>439.14915467278735</v>
      </c>
      <c r="S55" s="1030">
        <f>S$39+S$41+S$43+S$52+S$53+S$54</f>
        <v>-119.43904512897164</v>
      </c>
      <c r="T55" s="1030">
        <f t="shared" ref="T55:AH55" si="44">T$39+T$41+T$43+T$52+T$53+T$54</f>
        <v>34.033592131949163</v>
      </c>
      <c r="U55" s="1030">
        <f t="shared" si="44"/>
        <v>-95.45621146868902</v>
      </c>
      <c r="V55" s="1030">
        <f t="shared" si="44"/>
        <v>-87.952715482035742</v>
      </c>
      <c r="W55" s="1030">
        <f t="shared" si="44"/>
        <v>-194.76947503945746</v>
      </c>
      <c r="X55" s="1030">
        <f t="shared" si="44"/>
        <v>0</v>
      </c>
      <c r="Y55" s="1030">
        <f t="shared" si="44"/>
        <v>0</v>
      </c>
      <c r="Z55" s="1030">
        <f t="shared" si="44"/>
        <v>0</v>
      </c>
      <c r="AA55" s="1030">
        <f t="shared" si="44"/>
        <v>-0.11045622230000071</v>
      </c>
      <c r="AB55" s="1030">
        <f t="shared" si="44"/>
        <v>5.8763455642391289</v>
      </c>
      <c r="AC55" s="1030">
        <f t="shared" si="44"/>
        <v>0</v>
      </c>
      <c r="AD55" s="1030"/>
      <c r="AE55" s="1030">
        <f t="shared" si="44"/>
        <v>-5.5867420511129762</v>
      </c>
      <c r="AF55" s="1030">
        <f t="shared" si="44"/>
        <v>0</v>
      </c>
      <c r="AG55" s="1030">
        <f t="shared" si="44"/>
        <v>0</v>
      </c>
      <c r="AH55" s="1030">
        <f t="shared" si="44"/>
        <v>0</v>
      </c>
      <c r="AI55" s="1030">
        <f>SUM(S55:AH55)</f>
        <v>-463.40470769637858</v>
      </c>
      <c r="AK55" s="1041">
        <f t="shared" ref="AK55:BC55" si="45">AK$39+AK$41+AK$43+AK$52+AK$53+AK$54</f>
        <v>0</v>
      </c>
      <c r="AL55" s="1041">
        <f t="shared" si="45"/>
        <v>0</v>
      </c>
      <c r="AM55" s="1041">
        <f t="shared" si="45"/>
        <v>0</v>
      </c>
      <c r="AN55" s="1041">
        <f t="shared" si="45"/>
        <v>0</v>
      </c>
      <c r="AO55" s="1041">
        <f t="shared" si="45"/>
        <v>0</v>
      </c>
      <c r="AP55" s="1041">
        <f t="shared" si="45"/>
        <v>0</v>
      </c>
      <c r="AQ55" s="1041">
        <f t="shared" si="45"/>
        <v>0</v>
      </c>
      <c r="AR55" s="1041">
        <f t="shared" si="45"/>
        <v>0</v>
      </c>
      <c r="AS55" s="1041">
        <f t="shared" si="45"/>
        <v>0</v>
      </c>
      <c r="AT55" s="1041">
        <f t="shared" si="45"/>
        <v>0</v>
      </c>
      <c r="AU55" s="1041">
        <f t="shared" si="45"/>
        <v>-1.4000077700000002E-2</v>
      </c>
      <c r="AV55" s="1041">
        <f t="shared" si="45"/>
        <v>-1.705027184782586</v>
      </c>
      <c r="AW55" s="1041">
        <f t="shared" si="45"/>
        <v>0</v>
      </c>
      <c r="AX55" s="1041">
        <f t="shared" si="45"/>
        <v>0</v>
      </c>
      <c r="AY55" s="1041">
        <f t="shared" si="45"/>
        <v>0</v>
      </c>
      <c r="AZ55" s="1041">
        <f t="shared" si="45"/>
        <v>-0.94481533000000006</v>
      </c>
      <c r="BA55" s="1041">
        <f t="shared" si="45"/>
        <v>0</v>
      </c>
      <c r="BB55" s="1041">
        <f t="shared" si="45"/>
        <v>0</v>
      </c>
      <c r="BC55" s="1041">
        <f t="shared" si="45"/>
        <v>-10.935212506701181</v>
      </c>
      <c r="BD55" s="1012">
        <f t="shared" si="27"/>
        <v>-13.599055099183767</v>
      </c>
      <c r="BF55" s="1035">
        <f>BF$39+BF$41+BF$43+BF$52+BF$53+BF$54</f>
        <v>36.254635153724102</v>
      </c>
      <c r="BG55" s="1035">
        <f>BG$39+BG$41+BG$43+BG$52+BG$53+BG$54</f>
        <v>1.5999729690508488</v>
      </c>
      <c r="BH55" s="1035">
        <f>SUM(BF55:BG55)</f>
        <v>37.854608122774948</v>
      </c>
      <c r="BJ55" s="814">
        <f t="shared" si="36"/>
        <v>0</v>
      </c>
      <c r="BK55" s="814"/>
      <c r="BL55" s="715"/>
      <c r="BM55" s="1147"/>
      <c r="BN55" s="1146"/>
      <c r="BO55" s="1146"/>
      <c r="BP55" s="1146"/>
      <c r="BQ55" s="1146"/>
      <c r="BR55" s="1146"/>
      <c r="BS55" s="1146"/>
      <c r="BT55" s="1146"/>
      <c r="BU55" s="1146"/>
      <c r="BV55" s="1146"/>
      <c r="BW55" s="1146"/>
      <c r="BX55" s="1146"/>
      <c r="BY55" s="1146"/>
      <c r="BZ55" s="1146"/>
      <c r="CA55" s="1146"/>
      <c r="CB55" s="1146"/>
      <c r="CC55" s="1146"/>
      <c r="CD55" s="1146"/>
      <c r="CE55" s="1146"/>
      <c r="CF55" s="1146"/>
      <c r="CG55" s="1146"/>
      <c r="CH55" s="1146"/>
      <c r="CI55" s="1146"/>
      <c r="CJ55" s="1146"/>
      <c r="CK55" s="1146"/>
      <c r="CL55" s="1146"/>
      <c r="CM55" s="1146"/>
      <c r="CN55" s="1146"/>
      <c r="CO55" s="1146"/>
      <c r="CP55" s="1146"/>
      <c r="CQ55" s="1146"/>
      <c r="CR55" s="1146"/>
      <c r="CS55" s="1146"/>
      <c r="CT55" s="1146"/>
      <c r="CU55" s="1146"/>
      <c r="CV55" s="1146"/>
      <c r="CW55" s="1146"/>
      <c r="CX55" s="1146"/>
      <c r="CY55" s="1146"/>
      <c r="CZ55" s="1146"/>
      <c r="DA55" s="1146"/>
      <c r="DB55" s="1146"/>
      <c r="DC55" s="1146"/>
      <c r="DD55" s="1146"/>
    </row>
    <row r="56" spans="1:108" ht="15.75" collapsed="1">
      <c r="A56" s="24"/>
      <c r="B56" s="3"/>
      <c r="C56" s="744" t="s">
        <v>678</v>
      </c>
      <c r="D56" s="517" t="str">
        <f>INDEX(Workstreams[Workstream], MATCH($C56, Workstreams[Code], 0))</f>
        <v>Industry</v>
      </c>
      <c r="E56" s="512"/>
      <c r="F56" s="12"/>
      <c r="G56" s="1021">
        <f>G55</f>
        <v>0</v>
      </c>
      <c r="H56" s="1021">
        <f t="shared" ref="H56:P56" si="46">H55</f>
        <v>0</v>
      </c>
      <c r="I56" s="1021">
        <f t="shared" si="46"/>
        <v>439.14915467278735</v>
      </c>
      <c r="J56" s="1021">
        <f t="shared" si="46"/>
        <v>0</v>
      </c>
      <c r="K56" s="1021">
        <f t="shared" si="46"/>
        <v>0</v>
      </c>
      <c r="L56" s="1021">
        <f t="shared" si="46"/>
        <v>0</v>
      </c>
      <c r="M56" s="1021">
        <f t="shared" si="46"/>
        <v>0</v>
      </c>
      <c r="N56" s="1021">
        <f t="shared" si="46"/>
        <v>0</v>
      </c>
      <c r="O56" s="1021">
        <f t="shared" si="46"/>
        <v>0</v>
      </c>
      <c r="P56" s="1021">
        <f t="shared" si="46"/>
        <v>0</v>
      </c>
      <c r="Q56" s="1021">
        <f>SUM(G56:P56)</f>
        <v>439.14915467278735</v>
      </c>
      <c r="S56" s="970">
        <f t="shared" ref="S56:Z56" si="47">S55</f>
        <v>-119.43904512897164</v>
      </c>
      <c r="T56" s="970">
        <f t="shared" si="47"/>
        <v>34.033592131949163</v>
      </c>
      <c r="U56" s="970">
        <f t="shared" si="47"/>
        <v>-95.45621146868902</v>
      </c>
      <c r="V56" s="970">
        <f t="shared" si="47"/>
        <v>-87.952715482035742</v>
      </c>
      <c r="W56" s="970">
        <f t="shared" si="47"/>
        <v>-194.76947503945746</v>
      </c>
      <c r="X56" s="970">
        <f t="shared" si="47"/>
        <v>0</v>
      </c>
      <c r="Y56" s="970">
        <f t="shared" si="47"/>
        <v>0</v>
      </c>
      <c r="Z56" s="970">
        <f t="shared" si="47"/>
        <v>0</v>
      </c>
      <c r="AA56" s="970">
        <f t="shared" ref="AA56:AH56" si="48">AA55</f>
        <v>-0.11045622230000071</v>
      </c>
      <c r="AB56" s="970">
        <f t="shared" si="48"/>
        <v>5.8763455642391289</v>
      </c>
      <c r="AC56" s="970">
        <f t="shared" si="48"/>
        <v>0</v>
      </c>
      <c r="AD56" s="970">
        <f t="shared" si="48"/>
        <v>0</v>
      </c>
      <c r="AE56" s="970">
        <f t="shared" si="48"/>
        <v>-5.5867420511129762</v>
      </c>
      <c r="AF56" s="970">
        <f>AF55</f>
        <v>0</v>
      </c>
      <c r="AG56" s="970">
        <f>AG55</f>
        <v>0</v>
      </c>
      <c r="AH56" s="970">
        <f t="shared" si="48"/>
        <v>0</v>
      </c>
      <c r="AI56" s="970">
        <f>SUM(S56:AH56)</f>
        <v>-463.40470769637858</v>
      </c>
      <c r="AK56" s="976">
        <f t="shared" ref="AK56:BC56" si="49">AK55</f>
        <v>0</v>
      </c>
      <c r="AL56" s="976">
        <f t="shared" si="49"/>
        <v>0</v>
      </c>
      <c r="AM56" s="976">
        <f t="shared" si="49"/>
        <v>0</v>
      </c>
      <c r="AN56" s="976">
        <f t="shared" si="49"/>
        <v>0</v>
      </c>
      <c r="AO56" s="976">
        <f t="shared" si="49"/>
        <v>0</v>
      </c>
      <c r="AP56" s="976">
        <f t="shared" si="49"/>
        <v>0</v>
      </c>
      <c r="AQ56" s="976">
        <f t="shared" si="49"/>
        <v>0</v>
      </c>
      <c r="AR56" s="976">
        <f t="shared" si="49"/>
        <v>0</v>
      </c>
      <c r="AS56" s="976">
        <f t="shared" si="49"/>
        <v>0</v>
      </c>
      <c r="AT56" s="976">
        <f t="shared" si="49"/>
        <v>0</v>
      </c>
      <c r="AU56" s="976">
        <f t="shared" si="49"/>
        <v>-1.4000077700000002E-2</v>
      </c>
      <c r="AV56" s="976">
        <f t="shared" si="49"/>
        <v>-1.705027184782586</v>
      </c>
      <c r="AW56" s="976">
        <f t="shared" si="49"/>
        <v>0</v>
      </c>
      <c r="AX56" s="976">
        <f t="shared" si="49"/>
        <v>0</v>
      </c>
      <c r="AY56" s="976">
        <f t="shared" si="49"/>
        <v>0</v>
      </c>
      <c r="AZ56" s="976">
        <f t="shared" si="49"/>
        <v>-0.94481533000000006</v>
      </c>
      <c r="BA56" s="976">
        <f t="shared" si="49"/>
        <v>0</v>
      </c>
      <c r="BB56" s="976">
        <f t="shared" si="49"/>
        <v>0</v>
      </c>
      <c r="BC56" s="976">
        <f t="shared" si="49"/>
        <v>-10.935212506701181</v>
      </c>
      <c r="BD56" s="976">
        <f t="shared" si="27"/>
        <v>-13.599055099183767</v>
      </c>
      <c r="BF56" s="990">
        <f>BF55</f>
        <v>36.254635153724102</v>
      </c>
      <c r="BG56" s="990">
        <f>BG55</f>
        <v>1.5999729690508488</v>
      </c>
      <c r="BH56" s="990">
        <f>SUM(BF56:BG56)</f>
        <v>37.854608122774948</v>
      </c>
      <c r="BJ56" s="515">
        <f t="shared" si="36"/>
        <v>0</v>
      </c>
      <c r="BK56" s="515"/>
      <c r="BL56" s="24"/>
      <c r="BM56" s="1148"/>
      <c r="BN56" s="1146"/>
      <c r="BO56" s="1146"/>
      <c r="BP56" s="1146"/>
      <c r="BQ56" s="1146"/>
      <c r="BR56" s="1146"/>
      <c r="BS56" s="1146"/>
      <c r="BT56" s="1146"/>
      <c r="BU56" s="1146"/>
      <c r="BV56" s="1146"/>
      <c r="BW56" s="1146"/>
      <c r="BX56" s="1146"/>
      <c r="BY56" s="1146"/>
      <c r="BZ56" s="1146"/>
      <c r="CA56" s="1146"/>
      <c r="CB56" s="1146"/>
      <c r="CC56" s="1146"/>
      <c r="CD56" s="1146"/>
      <c r="CE56" s="1146"/>
      <c r="CF56" s="1146"/>
      <c r="CG56" s="1146"/>
      <c r="CH56" s="1146"/>
      <c r="CI56" s="1146"/>
      <c r="CJ56" s="1146"/>
      <c r="CK56" s="1146"/>
      <c r="CL56" s="1146"/>
      <c r="CM56" s="1146"/>
      <c r="CN56" s="1146"/>
      <c r="CO56" s="1146"/>
      <c r="CP56" s="1146"/>
      <c r="CQ56" s="1146"/>
      <c r="CR56" s="1146"/>
      <c r="CS56" s="1146"/>
      <c r="CT56" s="1146"/>
      <c r="CU56" s="1146"/>
      <c r="CV56" s="1146"/>
      <c r="CW56" s="1146"/>
      <c r="CX56" s="1146"/>
      <c r="CY56" s="1146"/>
      <c r="CZ56" s="1146"/>
      <c r="DA56" s="1146"/>
      <c r="DB56" s="1146"/>
      <c r="DC56" s="1146"/>
      <c r="DD56" s="1146"/>
    </row>
    <row r="57" spans="1:108" ht="12.75" hidden="1" customHeight="1" outlineLevel="1">
      <c r="A57" s="24"/>
      <c r="B57" s="24"/>
      <c r="C57" s="751"/>
      <c r="D57" s="512"/>
      <c r="E57" s="512"/>
      <c r="F57" s="12"/>
      <c r="G57" s="1021"/>
      <c r="H57" s="1021"/>
      <c r="I57" s="1021"/>
      <c r="J57" s="1021"/>
      <c r="K57" s="1021"/>
      <c r="L57" s="1021"/>
      <c r="M57" s="1021"/>
      <c r="N57" s="1021"/>
      <c r="O57" s="1021"/>
      <c r="P57" s="1021"/>
      <c r="Q57" s="1021"/>
      <c r="S57" s="970"/>
      <c r="T57" s="970"/>
      <c r="U57" s="970"/>
      <c r="V57" s="970"/>
      <c r="W57" s="970"/>
      <c r="X57" s="970"/>
      <c r="Y57" s="970"/>
      <c r="Z57" s="970"/>
      <c r="AA57" s="970"/>
      <c r="AB57" s="970"/>
      <c r="AC57" s="970"/>
      <c r="AD57" s="970"/>
      <c r="AE57" s="970"/>
      <c r="AF57" s="970"/>
      <c r="AG57" s="970"/>
      <c r="AH57" s="970"/>
      <c r="AI57" s="970"/>
      <c r="AK57" s="976"/>
      <c r="AL57" s="976"/>
      <c r="AM57" s="976"/>
      <c r="AN57" s="976"/>
      <c r="AO57" s="976"/>
      <c r="AP57" s="976"/>
      <c r="AQ57" s="976"/>
      <c r="AR57" s="976"/>
      <c r="AS57" s="976"/>
      <c r="AT57" s="976"/>
      <c r="AU57" s="976"/>
      <c r="AV57" s="976"/>
      <c r="AW57" s="976"/>
      <c r="AX57" s="976"/>
      <c r="AY57" s="976"/>
      <c r="AZ57" s="976"/>
      <c r="BA57" s="976"/>
      <c r="BB57" s="976"/>
      <c r="BC57" s="976"/>
      <c r="BD57" s="976"/>
      <c r="BF57" s="990"/>
      <c r="BG57" s="990"/>
      <c r="BH57" s="990"/>
      <c r="BJ57" s="515">
        <f t="shared" si="36"/>
        <v>0</v>
      </c>
      <c r="BK57" s="515"/>
      <c r="BL57" s="24"/>
      <c r="BM57" s="1148"/>
      <c r="BN57" s="1146"/>
      <c r="BO57" s="1146"/>
      <c r="BP57" s="1146"/>
      <c r="BQ57" s="1146"/>
      <c r="BR57" s="1146"/>
      <c r="BS57" s="1146"/>
      <c r="BT57" s="1146"/>
      <c r="BU57" s="1146"/>
      <c r="BV57" s="1146"/>
      <c r="BW57" s="1146"/>
      <c r="BX57" s="1146"/>
      <c r="BY57" s="1146"/>
      <c r="BZ57" s="1146"/>
      <c r="CA57" s="1146"/>
      <c r="CB57" s="1146"/>
      <c r="CC57" s="1146"/>
      <c r="CD57" s="1146"/>
      <c r="CE57" s="1146"/>
      <c r="CF57" s="1146"/>
      <c r="CG57" s="1146"/>
      <c r="CH57" s="1146"/>
      <c r="CI57" s="1146"/>
      <c r="CJ57" s="1146"/>
      <c r="CK57" s="1146"/>
      <c r="CL57" s="1146"/>
      <c r="CM57" s="1146"/>
      <c r="CN57" s="1146"/>
      <c r="CO57" s="1146"/>
      <c r="CP57" s="1146"/>
      <c r="CQ57" s="1146"/>
      <c r="CR57" s="1146"/>
      <c r="CS57" s="1146"/>
      <c r="CT57" s="1146"/>
      <c r="CU57" s="1146"/>
      <c r="CV57" s="1146"/>
      <c r="CW57" s="1146"/>
      <c r="CX57" s="1146"/>
      <c r="CY57" s="1146"/>
      <c r="CZ57" s="1146"/>
      <c r="DA57" s="1146"/>
      <c r="DB57" s="1146"/>
      <c r="DC57" s="1146"/>
      <c r="DD57" s="1146"/>
    </row>
    <row r="58" spans="1:108" ht="12.75" hidden="1" customHeight="1" outlineLevel="1">
      <c r="A58" s="715"/>
      <c r="B58" s="715"/>
      <c r="C58" s="746" t="s">
        <v>903</v>
      </c>
      <c r="D58" s="523" t="str">
        <f>INDEX(Modules[Module], MATCH($C58, Modules[Code], 0))</f>
        <v>Domestic passenger transport</v>
      </c>
      <c r="E58" s="1006"/>
      <c r="F58" s="12" t="s">
        <v>478</v>
      </c>
      <c r="G58" s="1017"/>
      <c r="H58" s="1017"/>
      <c r="I58" s="1017"/>
      <c r="J58" s="1017">
        <f>-($AI58+$BD58+$BH58)</f>
        <v>502.50552967076953</v>
      </c>
      <c r="K58" s="1017"/>
      <c r="L58" s="1017"/>
      <c r="M58" s="1017"/>
      <c r="N58" s="1017"/>
      <c r="O58" s="1017"/>
      <c r="P58" s="1017"/>
      <c r="Q58" s="1019">
        <f>SUM(G58:P58)</f>
        <v>502.50552967076953</v>
      </c>
      <c r="S58" s="1026"/>
      <c r="T58" s="1026"/>
      <c r="U58" s="1026"/>
      <c r="V58" s="1026">
        <f>-'DUKES 09 (1.2)'!$E$54*Unit.ktoe-'DUKES 09 (1.2)'!$G$54*Unit.ktoe</f>
        <v>-502.50552967076953</v>
      </c>
      <c r="W58" s="1026"/>
      <c r="X58" s="1026"/>
      <c r="Y58" s="1026"/>
      <c r="Z58" s="1026"/>
      <c r="AA58" s="1026"/>
      <c r="AB58" s="1026"/>
      <c r="AC58" s="1026"/>
      <c r="AD58" s="1026"/>
      <c r="AE58" s="1026"/>
      <c r="AF58" s="1026"/>
      <c r="AG58" s="1026"/>
      <c r="AH58" s="1026"/>
      <c r="AI58" s="1027">
        <f t="shared" ref="AI58:AI66" si="50">SUM(S58:AH58)</f>
        <v>-502.50552967076953</v>
      </c>
      <c r="AK58" s="1038"/>
      <c r="AL58" s="1038"/>
      <c r="AM58" s="1038"/>
      <c r="AN58" s="1038"/>
      <c r="AO58" s="1038"/>
      <c r="AP58" s="1038"/>
      <c r="AQ58" s="1038"/>
      <c r="AR58" s="1038"/>
      <c r="AS58" s="1038"/>
      <c r="AT58" s="1038"/>
      <c r="AU58" s="1038"/>
      <c r="AV58" s="1038"/>
      <c r="AW58" s="1038"/>
      <c r="AX58" s="1038"/>
      <c r="AY58" s="1038"/>
      <c r="AZ58" s="1038"/>
      <c r="BA58" s="1038"/>
      <c r="BB58" s="1038"/>
      <c r="BC58" s="1038"/>
      <c r="BD58" s="979">
        <f t="shared" ref="BD58:BD66" si="51">SUM(AK58:BC58)</f>
        <v>0</v>
      </c>
      <c r="BF58" s="1032"/>
      <c r="BG58" s="1032"/>
      <c r="BH58" s="1034">
        <f t="shared" ref="BH58:BH66" si="52">SUM(BF58:BG58)</f>
        <v>0</v>
      </c>
      <c r="BJ58" s="814">
        <f t="shared" si="36"/>
        <v>0</v>
      </c>
      <c r="BK58" s="814"/>
      <c r="BL58" s="715"/>
      <c r="BM58" s="1147"/>
      <c r="BN58" s="1146"/>
      <c r="BO58" s="1146"/>
      <c r="BP58" s="1146"/>
      <c r="BQ58" s="1146"/>
      <c r="BR58" s="1146"/>
      <c r="BS58" s="1146"/>
      <c r="BT58" s="1146"/>
      <c r="BU58" s="1146"/>
      <c r="BV58" s="1146"/>
      <c r="BW58" s="1146"/>
      <c r="BX58" s="1146"/>
      <c r="BY58" s="1146"/>
      <c r="BZ58" s="1146"/>
      <c r="CA58" s="1146"/>
      <c r="CB58" s="1146"/>
      <c r="CC58" s="1146"/>
      <c r="CD58" s="1146"/>
      <c r="CE58" s="1146"/>
      <c r="CF58" s="1146"/>
      <c r="CG58" s="1146"/>
      <c r="CH58" s="1146"/>
      <c r="CI58" s="1146"/>
      <c r="CJ58" s="1146"/>
      <c r="CK58" s="1146"/>
      <c r="CL58" s="1146"/>
      <c r="CM58" s="1146"/>
      <c r="CN58" s="1146"/>
      <c r="CO58" s="1146"/>
      <c r="CP58" s="1146"/>
      <c r="CQ58" s="1146"/>
      <c r="CR58" s="1146"/>
      <c r="CS58" s="1146"/>
      <c r="CT58" s="1146"/>
      <c r="CU58" s="1146"/>
      <c r="CV58" s="1146"/>
      <c r="CW58" s="1146"/>
      <c r="CX58" s="1146"/>
      <c r="CY58" s="1146"/>
      <c r="CZ58" s="1146"/>
      <c r="DA58" s="1146"/>
      <c r="DB58" s="1146"/>
      <c r="DC58" s="1146"/>
      <c r="DD58" s="1146"/>
    </row>
    <row r="59" spans="1:108" ht="12.75" hidden="1" customHeight="1" outlineLevel="1">
      <c r="A59" s="715"/>
      <c r="B59" s="715"/>
      <c r="C59" s="746" t="s">
        <v>916</v>
      </c>
      <c r="D59" s="523" t="str">
        <f>INDEX(Modules[Module], MATCH($C59, Modules[Code], 0))</f>
        <v>Domestic freight</v>
      </c>
      <c r="E59" s="1006"/>
      <c r="F59" s="12" t="s">
        <v>477</v>
      </c>
      <c r="G59" s="1017"/>
      <c r="H59" s="1017"/>
      <c r="I59" s="1017"/>
      <c r="J59" s="1017"/>
      <c r="K59" s="1017">
        <f>-($AI59+$BD59+$BH59)</f>
        <v>16.246998166435951</v>
      </c>
      <c r="L59" s="1017"/>
      <c r="M59" s="1017"/>
      <c r="N59" s="1017"/>
      <c r="O59" s="1017"/>
      <c r="P59" s="1017"/>
      <c r="Q59" s="1019">
        <f>SUM(G59:P59)</f>
        <v>16.246998166435951</v>
      </c>
      <c r="S59" s="1026">
        <f>-'DUKES 09 (1.2)'!$I$53*Unit.ktoe</f>
        <v>-8.1002794197444299</v>
      </c>
      <c r="T59" s="1026"/>
      <c r="U59" s="1026"/>
      <c r="V59" s="1026">
        <f>-'DUKES 09 (1.2)'!$E$53*Unit.ktoe</f>
        <v>-8.146718746691521</v>
      </c>
      <c r="W59" s="1026"/>
      <c r="X59" s="1026"/>
      <c r="Y59" s="1026"/>
      <c r="Z59" s="1026"/>
      <c r="AA59" s="1026"/>
      <c r="AB59" s="1026"/>
      <c r="AC59" s="1026"/>
      <c r="AD59" s="1026"/>
      <c r="AE59" s="1026"/>
      <c r="AF59" s="1026"/>
      <c r="AG59" s="1026"/>
      <c r="AH59" s="1026"/>
      <c r="AI59" s="1027">
        <f t="shared" si="50"/>
        <v>-16.246998166435951</v>
      </c>
      <c r="AK59" s="1038"/>
      <c r="AL59" s="1038"/>
      <c r="AM59" s="1038"/>
      <c r="AN59" s="1038"/>
      <c r="AO59" s="1038"/>
      <c r="AP59" s="1038"/>
      <c r="AQ59" s="1038"/>
      <c r="AR59" s="1038"/>
      <c r="AS59" s="1038"/>
      <c r="AT59" s="1038"/>
      <c r="AU59" s="1038"/>
      <c r="AV59" s="1038"/>
      <c r="AW59" s="1038"/>
      <c r="AX59" s="1038"/>
      <c r="AY59" s="1038"/>
      <c r="AZ59" s="1038"/>
      <c r="BA59" s="1038"/>
      <c r="BB59" s="1038"/>
      <c r="BC59" s="1038"/>
      <c r="BD59" s="979">
        <f t="shared" si="51"/>
        <v>0</v>
      </c>
      <c r="BF59" s="1032"/>
      <c r="BG59" s="1032"/>
      <c r="BH59" s="1034">
        <f t="shared" si="52"/>
        <v>0</v>
      </c>
      <c r="BJ59" s="814">
        <f t="shared" si="36"/>
        <v>0</v>
      </c>
      <c r="BK59" s="814"/>
      <c r="BL59" s="715"/>
      <c r="BM59" s="1147"/>
      <c r="BN59" s="1146"/>
      <c r="BO59" s="1146"/>
      <c r="BP59" s="1146"/>
      <c r="BQ59" s="1146"/>
      <c r="BR59" s="1146"/>
      <c r="BS59" s="1146"/>
      <c r="BT59" s="1146"/>
      <c r="BU59" s="1146"/>
      <c r="BV59" s="1146"/>
      <c r="BW59" s="1146"/>
      <c r="BX59" s="1146"/>
      <c r="BY59" s="1146"/>
      <c r="BZ59" s="1146"/>
      <c r="CA59" s="1146"/>
      <c r="CB59" s="1146"/>
      <c r="CC59" s="1146"/>
      <c r="CD59" s="1146"/>
      <c r="CE59" s="1146"/>
      <c r="CF59" s="1146"/>
      <c r="CG59" s="1146"/>
      <c r="CH59" s="1146"/>
      <c r="CI59" s="1146"/>
      <c r="CJ59" s="1146"/>
      <c r="CK59" s="1146"/>
      <c r="CL59" s="1146"/>
      <c r="CM59" s="1146"/>
      <c r="CN59" s="1146"/>
      <c r="CO59" s="1146"/>
      <c r="CP59" s="1146"/>
      <c r="CQ59" s="1146"/>
      <c r="CR59" s="1146"/>
      <c r="CS59" s="1146"/>
      <c r="CT59" s="1146"/>
      <c r="CU59" s="1146"/>
      <c r="CV59" s="1146"/>
      <c r="CW59" s="1146"/>
      <c r="CX59" s="1146"/>
      <c r="CY59" s="1146"/>
      <c r="CZ59" s="1146"/>
      <c r="DA59" s="1146"/>
      <c r="DB59" s="1146"/>
      <c r="DC59" s="1146"/>
      <c r="DD59" s="1146"/>
    </row>
    <row r="60" spans="1:108" ht="10.5" hidden="1" customHeight="1" outlineLevel="2">
      <c r="A60" s="954"/>
      <c r="B60" s="954"/>
      <c r="C60" s="746" t="s">
        <v>919</v>
      </c>
      <c r="D60" s="523" t="str">
        <f>INDEX(Modules[Module], MATCH($C60, Modules[Code], 0))</f>
        <v>International aviation</v>
      </c>
      <c r="E60" s="1006"/>
      <c r="F60" s="12" t="s">
        <v>476</v>
      </c>
      <c r="G60" s="1017"/>
      <c r="H60" s="1017"/>
      <c r="I60" s="1017"/>
      <c r="J60" s="1017"/>
      <c r="K60" s="1017"/>
      <c r="L60" s="1017"/>
      <c r="M60" s="1017"/>
      <c r="N60" s="1017">
        <f>-($AI60+$BD60+$BH60)</f>
        <v>152.99167541479133</v>
      </c>
      <c r="O60" s="1017"/>
      <c r="P60" s="1017"/>
      <c r="Q60" s="1019">
        <f t="shared" ref="Q60:Q66" si="53">SUM(G60:P60)</f>
        <v>152.99167541479133</v>
      </c>
      <c r="S60" s="1026"/>
      <c r="T60" s="1026"/>
      <c r="U60" s="1026"/>
      <c r="V60" s="1026">
        <f>V62-V61</f>
        <v>-152.99167541479133</v>
      </c>
      <c r="W60" s="1026"/>
      <c r="X60" s="1026"/>
      <c r="Y60" s="1026"/>
      <c r="Z60" s="1026"/>
      <c r="AA60" s="1026"/>
      <c r="AB60" s="1026"/>
      <c r="AC60" s="1026"/>
      <c r="AD60" s="1026"/>
      <c r="AE60" s="1026"/>
      <c r="AF60" s="1026"/>
      <c r="AG60" s="1026"/>
      <c r="AH60" s="1026"/>
      <c r="AI60" s="1027">
        <f t="shared" si="50"/>
        <v>-152.99167541479133</v>
      </c>
      <c r="AK60" s="1038"/>
      <c r="AL60" s="1038"/>
      <c r="AM60" s="1038"/>
      <c r="AN60" s="1038"/>
      <c r="AO60" s="1038"/>
      <c r="AP60" s="1038"/>
      <c r="AQ60" s="1038"/>
      <c r="AR60" s="1038"/>
      <c r="AS60" s="1038"/>
      <c r="AT60" s="1038"/>
      <c r="AU60" s="1038"/>
      <c r="AV60" s="1038"/>
      <c r="AW60" s="1038"/>
      <c r="AX60" s="1038"/>
      <c r="AY60" s="1038"/>
      <c r="AZ60" s="1038"/>
      <c r="BA60" s="1038"/>
      <c r="BB60" s="1038"/>
      <c r="BC60" s="1038"/>
      <c r="BD60" s="977">
        <f t="shared" si="51"/>
        <v>0</v>
      </c>
      <c r="BF60" s="1032"/>
      <c r="BG60" s="1032"/>
      <c r="BH60" s="1034">
        <f t="shared" si="52"/>
        <v>0</v>
      </c>
      <c r="BJ60" s="524">
        <f t="shared" si="36"/>
        <v>0</v>
      </c>
      <c r="BK60" s="524"/>
      <c r="BL60" s="954"/>
      <c r="BM60" s="1147"/>
      <c r="BN60" s="1146"/>
      <c r="BO60" s="1146"/>
      <c r="BP60" s="1146"/>
      <c r="BQ60" s="1146"/>
      <c r="BR60" s="1146"/>
      <c r="BS60" s="1146"/>
      <c r="BT60" s="1146"/>
      <c r="BU60" s="1146"/>
      <c r="BV60" s="1146"/>
      <c r="BW60" s="1146"/>
      <c r="BX60" s="1146"/>
      <c r="BY60" s="1146"/>
      <c r="BZ60" s="1146"/>
      <c r="CA60" s="1146"/>
      <c r="CB60" s="1146"/>
      <c r="CC60" s="1146"/>
      <c r="CD60" s="1146"/>
      <c r="CE60" s="1146"/>
      <c r="CF60" s="1146"/>
      <c r="CG60" s="1146"/>
      <c r="CH60" s="1146"/>
      <c r="CI60" s="1146"/>
      <c r="CJ60" s="1146"/>
      <c r="CK60" s="1146"/>
      <c r="CL60" s="1146"/>
      <c r="CM60" s="1146"/>
      <c r="CN60" s="1146"/>
      <c r="CO60" s="1146"/>
      <c r="CP60" s="1146"/>
      <c r="CQ60" s="1146"/>
      <c r="CR60" s="1146"/>
      <c r="CS60" s="1146"/>
      <c r="CT60" s="1146"/>
      <c r="CU60" s="1146"/>
      <c r="CV60" s="1146"/>
      <c r="CW60" s="1146"/>
      <c r="CX60" s="1146"/>
      <c r="CY60" s="1146"/>
      <c r="CZ60" s="1146"/>
      <c r="DA60" s="1146"/>
      <c r="DB60" s="1146"/>
      <c r="DC60" s="1146"/>
      <c r="DD60" s="1146"/>
    </row>
    <row r="61" spans="1:108" ht="10.5" hidden="1" customHeight="1" outlineLevel="2">
      <c r="A61" s="1004"/>
      <c r="B61" s="1004"/>
      <c r="C61" s="1009" t="s">
        <v>954</v>
      </c>
      <c r="D61" s="1005" t="str">
        <f>INDEX(Modules[Module], MATCH($C61, Modules[Code], 0))</f>
        <v>Domestic aviation [UNUSED - see XII.a]</v>
      </c>
      <c r="E61" s="1006"/>
      <c r="F61" s="12" t="s">
        <v>476</v>
      </c>
      <c r="G61" s="1018"/>
      <c r="H61" s="1018"/>
      <c r="I61" s="1018"/>
      <c r="J61" s="1018"/>
      <c r="K61" s="1018"/>
      <c r="L61" s="1018">
        <f>-($AI61+$BD61+$BH61)</f>
        <v>8.7346938775510203</v>
      </c>
      <c r="M61" s="1018"/>
      <c r="N61" s="1018"/>
      <c r="O61" s="1018"/>
      <c r="P61" s="1018"/>
      <c r="Q61" s="1024">
        <f t="shared" si="53"/>
        <v>8.7346938775510203</v>
      </c>
      <c r="S61" s="1028"/>
      <c r="T61" s="1028"/>
      <c r="U61" s="1028"/>
      <c r="V61" s="1028">
        <f>-2.14/0.245*Unit.TWh</f>
        <v>-8.7346938775510203</v>
      </c>
      <c r="W61" s="1028"/>
      <c r="X61" s="1028"/>
      <c r="Y61" s="1028"/>
      <c r="Z61" s="1028"/>
      <c r="AA61" s="1028"/>
      <c r="AB61" s="1028"/>
      <c r="AC61" s="1028"/>
      <c r="AD61" s="1028"/>
      <c r="AE61" s="1028"/>
      <c r="AF61" s="1028"/>
      <c r="AG61" s="1028"/>
      <c r="AH61" s="1028"/>
      <c r="AI61" s="1029">
        <f t="shared" si="50"/>
        <v>-8.7346938775510203</v>
      </c>
      <c r="AK61" s="1039"/>
      <c r="AL61" s="1039"/>
      <c r="AM61" s="1039"/>
      <c r="AN61" s="1039"/>
      <c r="AO61" s="1039"/>
      <c r="AP61" s="1039"/>
      <c r="AQ61" s="1039"/>
      <c r="AR61" s="1039"/>
      <c r="AS61" s="1039"/>
      <c r="AT61" s="1039"/>
      <c r="AU61" s="1039"/>
      <c r="AV61" s="1039"/>
      <c r="AW61" s="1039"/>
      <c r="AX61" s="1039"/>
      <c r="AY61" s="1039"/>
      <c r="AZ61" s="1039"/>
      <c r="BA61" s="1039"/>
      <c r="BB61" s="1039"/>
      <c r="BC61" s="1039"/>
      <c r="BD61" s="1008">
        <f t="shared" si="51"/>
        <v>0</v>
      </c>
      <c r="BF61" s="1033"/>
      <c r="BG61" s="1033"/>
      <c r="BH61" s="1044">
        <f t="shared" si="52"/>
        <v>0</v>
      </c>
      <c r="BJ61" s="1007">
        <f t="shared" si="36"/>
        <v>0</v>
      </c>
      <c r="BK61" s="1007"/>
      <c r="BL61" s="1004"/>
      <c r="BM61" s="1147"/>
      <c r="BN61" s="1146"/>
      <c r="BO61" s="1146"/>
      <c r="BP61" s="1146"/>
      <c r="BQ61" s="1146"/>
      <c r="BR61" s="1146"/>
      <c r="BS61" s="1146"/>
      <c r="BT61" s="1146"/>
      <c r="BU61" s="1146"/>
      <c r="BV61" s="1146"/>
      <c r="BW61" s="1146"/>
      <c r="BX61" s="1146"/>
      <c r="BY61" s="1146"/>
      <c r="BZ61" s="1146"/>
      <c r="CA61" s="1146"/>
      <c r="CB61" s="1146"/>
      <c r="CC61" s="1146"/>
      <c r="CD61" s="1146"/>
      <c r="CE61" s="1146"/>
      <c r="CF61" s="1146"/>
      <c r="CG61" s="1146"/>
      <c r="CH61" s="1146"/>
      <c r="CI61" s="1146"/>
      <c r="CJ61" s="1146"/>
      <c r="CK61" s="1146"/>
      <c r="CL61" s="1146"/>
      <c r="CM61" s="1146"/>
      <c r="CN61" s="1146"/>
      <c r="CO61" s="1146"/>
      <c r="CP61" s="1146"/>
      <c r="CQ61" s="1146"/>
      <c r="CR61" s="1146"/>
      <c r="CS61" s="1146"/>
      <c r="CT61" s="1146"/>
      <c r="CU61" s="1146"/>
      <c r="CV61" s="1146"/>
      <c r="CW61" s="1146"/>
      <c r="CX61" s="1146"/>
      <c r="CY61" s="1146"/>
      <c r="CZ61" s="1146"/>
      <c r="DA61" s="1146"/>
      <c r="DB61" s="1146"/>
      <c r="DC61" s="1146"/>
      <c r="DD61" s="1146"/>
    </row>
    <row r="62" spans="1:108" ht="10.5" hidden="1" customHeight="1" outlineLevel="1" collapsed="1">
      <c r="A62" s="715"/>
      <c r="B62" s="715"/>
      <c r="C62" s="746"/>
      <c r="D62" s="523" t="s">
        <v>960</v>
      </c>
      <c r="E62" s="1006"/>
      <c r="F62" s="12"/>
      <c r="G62" s="1019">
        <f>SUM(G60:G61)</f>
        <v>0</v>
      </c>
      <c r="H62" s="1019">
        <f t="shared" ref="H62:P62" si="54">SUM(H60:H61)</f>
        <v>0</v>
      </c>
      <c r="I62" s="1019">
        <f t="shared" si="54"/>
        <v>0</v>
      </c>
      <c r="J62" s="1019">
        <f t="shared" si="54"/>
        <v>0</v>
      </c>
      <c r="K62" s="1019">
        <f t="shared" si="54"/>
        <v>0</v>
      </c>
      <c r="L62" s="1019">
        <f t="shared" si="54"/>
        <v>8.7346938775510203</v>
      </c>
      <c r="M62" s="1019">
        <f t="shared" si="54"/>
        <v>0</v>
      </c>
      <c r="N62" s="1019">
        <f t="shared" si="54"/>
        <v>152.99167541479133</v>
      </c>
      <c r="O62" s="1019">
        <f t="shared" si="54"/>
        <v>0</v>
      </c>
      <c r="P62" s="1019">
        <f t="shared" si="54"/>
        <v>0</v>
      </c>
      <c r="Q62" s="1019">
        <f t="shared" si="53"/>
        <v>161.72636929234235</v>
      </c>
      <c r="S62" s="1026">
        <f>SUM(S60:S61)</f>
        <v>0</v>
      </c>
      <c r="T62" s="1026">
        <f>SUM(T60:T61)</f>
        <v>0</v>
      </c>
      <c r="U62" s="1026">
        <f>SUM(U60:U61)</f>
        <v>0</v>
      </c>
      <c r="V62" s="1026">
        <f>-'DUKES 09 (1.2)'!$E$52*Unit.ktoe</f>
        <v>-161.72636929234235</v>
      </c>
      <c r="W62" s="1026">
        <f>SUM(W60:W61)</f>
        <v>0</v>
      </c>
      <c r="X62" s="1026">
        <f>SUM(X60:X61)</f>
        <v>0</v>
      </c>
      <c r="Y62" s="1026">
        <f>SUM(Y60:Y61)</f>
        <v>0</v>
      </c>
      <c r="Z62" s="1026">
        <f>SUM(Z60:Z61)</f>
        <v>0</v>
      </c>
      <c r="AA62" s="1026">
        <f t="shared" ref="AA62:AH62" si="55">SUM(AA60:AA61)</f>
        <v>0</v>
      </c>
      <c r="AB62" s="1026">
        <f t="shared" si="55"/>
        <v>0</v>
      </c>
      <c r="AC62" s="1026">
        <f t="shared" si="55"/>
        <v>0</v>
      </c>
      <c r="AD62" s="1026">
        <f t="shared" si="55"/>
        <v>0</v>
      </c>
      <c r="AE62" s="1026">
        <f t="shared" si="55"/>
        <v>0</v>
      </c>
      <c r="AF62" s="1026">
        <f>SUM(AF60:AF61)</f>
        <v>0</v>
      </c>
      <c r="AG62" s="1026">
        <f>SUM(AG60:AG61)</f>
        <v>0</v>
      </c>
      <c r="AH62" s="1026">
        <f t="shared" si="55"/>
        <v>0</v>
      </c>
      <c r="AI62" s="1027">
        <f t="shared" si="50"/>
        <v>-161.72636929234235</v>
      </c>
      <c r="AK62" s="1040">
        <f t="shared" ref="AK62:BC62" si="56">SUM(AK60:AK61)</f>
        <v>0</v>
      </c>
      <c r="AL62" s="1040">
        <f t="shared" si="56"/>
        <v>0</v>
      </c>
      <c r="AM62" s="1040">
        <f t="shared" si="56"/>
        <v>0</v>
      </c>
      <c r="AN62" s="1040">
        <f t="shared" si="56"/>
        <v>0</v>
      </c>
      <c r="AO62" s="1040">
        <f t="shared" si="56"/>
        <v>0</v>
      </c>
      <c r="AP62" s="1040">
        <f t="shared" si="56"/>
        <v>0</v>
      </c>
      <c r="AQ62" s="1040">
        <f t="shared" si="56"/>
        <v>0</v>
      </c>
      <c r="AR62" s="1040">
        <f t="shared" si="56"/>
        <v>0</v>
      </c>
      <c r="AS62" s="1040">
        <f t="shared" si="56"/>
        <v>0</v>
      </c>
      <c r="AT62" s="1040">
        <f t="shared" si="56"/>
        <v>0</v>
      </c>
      <c r="AU62" s="1040">
        <f t="shared" si="56"/>
        <v>0</v>
      </c>
      <c r="AV62" s="1040">
        <f t="shared" si="56"/>
        <v>0</v>
      </c>
      <c r="AW62" s="1040">
        <f t="shared" si="56"/>
        <v>0</v>
      </c>
      <c r="AX62" s="1040">
        <f t="shared" si="56"/>
        <v>0</v>
      </c>
      <c r="AY62" s="1040">
        <f t="shared" si="56"/>
        <v>0</v>
      </c>
      <c r="AZ62" s="1040">
        <f t="shared" si="56"/>
        <v>0</v>
      </c>
      <c r="BA62" s="1040">
        <f t="shared" si="56"/>
        <v>0</v>
      </c>
      <c r="BB62" s="1040">
        <f t="shared" si="56"/>
        <v>0</v>
      </c>
      <c r="BC62" s="1040">
        <f t="shared" si="56"/>
        <v>0</v>
      </c>
      <c r="BD62" s="977">
        <f t="shared" si="51"/>
        <v>0</v>
      </c>
      <c r="BF62" s="1034">
        <f>SUM(BF60:BF61)</f>
        <v>0</v>
      </c>
      <c r="BG62" s="1034">
        <f>SUM(BG60:BG61)</f>
        <v>0</v>
      </c>
      <c r="BH62" s="1034">
        <f t="shared" si="52"/>
        <v>0</v>
      </c>
      <c r="BJ62" s="524">
        <f t="shared" si="36"/>
        <v>0</v>
      </c>
      <c r="BK62" s="524"/>
      <c r="BL62" s="715"/>
      <c r="BM62" s="1147"/>
      <c r="BN62" s="1146"/>
      <c r="BO62" s="1146"/>
      <c r="BP62" s="1146"/>
      <c r="BQ62" s="1146"/>
      <c r="BR62" s="1146"/>
      <c r="BS62" s="1146"/>
      <c r="BT62" s="1146"/>
      <c r="BU62" s="1146"/>
      <c r="BV62" s="1146"/>
      <c r="BW62" s="1146"/>
      <c r="BX62" s="1146"/>
      <c r="BY62" s="1146"/>
      <c r="BZ62" s="1146"/>
      <c r="CA62" s="1146"/>
      <c r="CB62" s="1146"/>
      <c r="CC62" s="1146"/>
      <c r="CD62" s="1146"/>
      <c r="CE62" s="1146"/>
      <c r="CF62" s="1146"/>
      <c r="CG62" s="1146"/>
      <c r="CH62" s="1146"/>
      <c r="CI62" s="1146"/>
      <c r="CJ62" s="1146"/>
      <c r="CK62" s="1146"/>
      <c r="CL62" s="1146"/>
      <c r="CM62" s="1146"/>
      <c r="CN62" s="1146"/>
      <c r="CO62" s="1146"/>
      <c r="CP62" s="1146"/>
      <c r="CQ62" s="1146"/>
      <c r="CR62" s="1146"/>
      <c r="CS62" s="1146"/>
      <c r="CT62" s="1146"/>
      <c r="CU62" s="1146"/>
      <c r="CV62" s="1146"/>
      <c r="CW62" s="1146"/>
      <c r="CX62" s="1146"/>
      <c r="CY62" s="1146"/>
      <c r="CZ62" s="1146"/>
      <c r="DA62" s="1146"/>
      <c r="DB62" s="1146"/>
      <c r="DC62" s="1146"/>
      <c r="DD62" s="1146"/>
    </row>
    <row r="63" spans="1:108" ht="12.75" hidden="1" customHeight="1" outlineLevel="2">
      <c r="A63" s="954"/>
      <c r="B63" s="954"/>
      <c r="C63" s="746" t="s">
        <v>957</v>
      </c>
      <c r="D63" s="523" t="str">
        <f>INDEX(Modules[Module], MATCH($C63, Modules[Code], 0))</f>
        <v>International shipping (maritime bunkers)</v>
      </c>
      <c r="E63" s="1006"/>
      <c r="F63" s="12" t="s">
        <v>1214</v>
      </c>
      <c r="G63" s="1017"/>
      <c r="H63" s="1017"/>
      <c r="I63" s="1017"/>
      <c r="J63" s="1017"/>
      <c r="K63" s="1017"/>
      <c r="L63" s="1017"/>
      <c r="M63" s="1017"/>
      <c r="N63" s="1017"/>
      <c r="O63" s="1017">
        <f>-($AI63+$BD63+$BH63)</f>
        <v>29.222291428230907</v>
      </c>
      <c r="P63" s="1017"/>
      <c r="Q63" s="1019">
        <f t="shared" si="53"/>
        <v>29.222291428230907</v>
      </c>
      <c r="S63" s="1026"/>
      <c r="T63" s="1026"/>
      <c r="U63" s="1026"/>
      <c r="V63" s="1026">
        <f>'DUKES 09 (1.2)'!$E$8*Unit.ktoe</f>
        <v>-29.222291428230907</v>
      </c>
      <c r="W63" s="1026"/>
      <c r="X63" s="1026"/>
      <c r="Y63" s="1026"/>
      <c r="Z63" s="1026"/>
      <c r="AA63" s="1026"/>
      <c r="AB63" s="1026"/>
      <c r="AC63" s="1026"/>
      <c r="AD63" s="1026"/>
      <c r="AE63" s="1026"/>
      <c r="AF63" s="1026"/>
      <c r="AG63" s="1026"/>
      <c r="AH63" s="1026"/>
      <c r="AI63" s="1027">
        <f t="shared" si="50"/>
        <v>-29.222291428230907</v>
      </c>
      <c r="AK63" s="1038"/>
      <c r="AL63" s="1038"/>
      <c r="AM63" s="1038"/>
      <c r="AN63" s="1038"/>
      <c r="AO63" s="1038"/>
      <c r="AP63" s="1038"/>
      <c r="AQ63" s="1038"/>
      <c r="AR63" s="1038"/>
      <c r="AS63" s="1038"/>
      <c r="AT63" s="1038"/>
      <c r="AU63" s="1038"/>
      <c r="AV63" s="1038"/>
      <c r="AW63" s="1038"/>
      <c r="AX63" s="1038"/>
      <c r="AY63" s="1038"/>
      <c r="AZ63" s="1038"/>
      <c r="BA63" s="1038"/>
      <c r="BB63" s="1038"/>
      <c r="BC63" s="1038"/>
      <c r="BD63" s="979">
        <f t="shared" si="51"/>
        <v>0</v>
      </c>
      <c r="BF63" s="1032"/>
      <c r="BG63" s="1032"/>
      <c r="BH63" s="1034">
        <f t="shared" si="52"/>
        <v>0</v>
      </c>
      <c r="BJ63" s="814">
        <f t="shared" si="36"/>
        <v>0</v>
      </c>
      <c r="BK63" s="814"/>
      <c r="BL63" s="954"/>
      <c r="BM63" s="1147"/>
      <c r="BN63" s="1146"/>
      <c r="BO63" s="1146"/>
      <c r="BP63" s="1146"/>
      <c r="BQ63" s="1146"/>
      <c r="BR63" s="1146"/>
      <c r="BS63" s="1146"/>
      <c r="BT63" s="1146"/>
      <c r="BU63" s="1146"/>
      <c r="BV63" s="1146"/>
      <c r="BW63" s="1146"/>
      <c r="BX63" s="1146"/>
      <c r="BY63" s="1146"/>
      <c r="BZ63" s="1146"/>
      <c r="CA63" s="1146"/>
      <c r="CB63" s="1146"/>
      <c r="CC63" s="1146"/>
      <c r="CD63" s="1146"/>
      <c r="CE63" s="1146"/>
      <c r="CF63" s="1146"/>
      <c r="CG63" s="1146"/>
      <c r="CH63" s="1146"/>
      <c r="CI63" s="1146"/>
      <c r="CJ63" s="1146"/>
      <c r="CK63" s="1146"/>
      <c r="CL63" s="1146"/>
      <c r="CM63" s="1146"/>
      <c r="CN63" s="1146"/>
      <c r="CO63" s="1146"/>
      <c r="CP63" s="1146"/>
      <c r="CQ63" s="1146"/>
      <c r="CR63" s="1146"/>
      <c r="CS63" s="1146"/>
      <c r="CT63" s="1146"/>
      <c r="CU63" s="1146"/>
      <c r="CV63" s="1146"/>
      <c r="CW63" s="1146"/>
      <c r="CX63" s="1146"/>
      <c r="CY63" s="1146"/>
      <c r="CZ63" s="1146"/>
      <c r="DA63" s="1146"/>
      <c r="DB63" s="1146"/>
      <c r="DC63" s="1146"/>
      <c r="DD63" s="1146"/>
    </row>
    <row r="64" spans="1:108" ht="10.5" hidden="1" customHeight="1" outlineLevel="2">
      <c r="A64" s="1004"/>
      <c r="B64" s="1004"/>
      <c r="C64" s="1009" t="s">
        <v>959</v>
      </c>
      <c r="D64" s="1005" t="str">
        <f>INDEX(Modules[Module], MATCH($C64, Modules[Code], 0))</f>
        <v>National navigation [UNUSED - see XII.a]</v>
      </c>
      <c r="E64" s="1006"/>
      <c r="F64" s="12" t="s">
        <v>480</v>
      </c>
      <c r="G64" s="1018"/>
      <c r="H64" s="1018"/>
      <c r="I64" s="1018"/>
      <c r="J64" s="1018"/>
      <c r="K64" s="1018"/>
      <c r="L64" s="1018"/>
      <c r="M64" s="1018">
        <f>-($AI64+$BD64+$BH64)</f>
        <v>18.81937240536579</v>
      </c>
      <c r="N64" s="1018"/>
      <c r="O64" s="1018"/>
      <c r="P64" s="1018"/>
      <c r="Q64" s="1024">
        <f t="shared" si="53"/>
        <v>18.81937240536579</v>
      </c>
      <c r="S64" s="1028"/>
      <c r="T64" s="1028"/>
      <c r="U64" s="1028"/>
      <c r="V64" s="1028">
        <f>-'DUKES 09 (1.2)'!$E$55*Unit.ktoe</f>
        <v>-18.81937240536579</v>
      </c>
      <c r="W64" s="1028"/>
      <c r="X64" s="1028"/>
      <c r="Y64" s="1028"/>
      <c r="Z64" s="1028"/>
      <c r="AA64" s="1028"/>
      <c r="AB64" s="1028"/>
      <c r="AC64" s="1028"/>
      <c r="AD64" s="1028"/>
      <c r="AE64" s="1028"/>
      <c r="AF64" s="1028"/>
      <c r="AG64" s="1028"/>
      <c r="AH64" s="1028"/>
      <c r="AI64" s="1029">
        <f t="shared" si="50"/>
        <v>-18.81937240536579</v>
      </c>
      <c r="AK64" s="1039"/>
      <c r="AL64" s="1039"/>
      <c r="AM64" s="1039"/>
      <c r="AN64" s="1039"/>
      <c r="AO64" s="1039"/>
      <c r="AP64" s="1039"/>
      <c r="AQ64" s="1039"/>
      <c r="AR64" s="1039"/>
      <c r="AS64" s="1039"/>
      <c r="AT64" s="1039"/>
      <c r="AU64" s="1039"/>
      <c r="AV64" s="1039"/>
      <c r="AW64" s="1039"/>
      <c r="AX64" s="1039"/>
      <c r="AY64" s="1039"/>
      <c r="AZ64" s="1039"/>
      <c r="BA64" s="1039"/>
      <c r="BB64" s="1039"/>
      <c r="BC64" s="1039"/>
      <c r="BD64" s="1008">
        <f t="shared" si="51"/>
        <v>0</v>
      </c>
      <c r="BF64" s="1033"/>
      <c r="BG64" s="1033"/>
      <c r="BH64" s="1044">
        <f t="shared" si="52"/>
        <v>0</v>
      </c>
      <c r="BJ64" s="1007">
        <f t="shared" si="36"/>
        <v>0</v>
      </c>
      <c r="BK64" s="1007"/>
      <c r="BL64" s="1004"/>
      <c r="BM64" s="1147"/>
      <c r="BN64" s="1146"/>
      <c r="BO64" s="1146"/>
      <c r="BP64" s="1146"/>
      <c r="BQ64" s="1146"/>
      <c r="BR64" s="1146"/>
      <c r="BS64" s="1146"/>
      <c r="BT64" s="1146"/>
      <c r="BU64" s="1146"/>
      <c r="BV64" s="1146"/>
      <c r="BW64" s="1146"/>
      <c r="BX64" s="1146"/>
      <c r="BY64" s="1146"/>
      <c r="BZ64" s="1146"/>
      <c r="CA64" s="1146"/>
      <c r="CB64" s="1146"/>
      <c r="CC64" s="1146"/>
      <c r="CD64" s="1146"/>
      <c r="CE64" s="1146"/>
      <c r="CF64" s="1146"/>
      <c r="CG64" s="1146"/>
      <c r="CH64" s="1146"/>
      <c r="CI64" s="1146"/>
      <c r="CJ64" s="1146"/>
      <c r="CK64" s="1146"/>
      <c r="CL64" s="1146"/>
      <c r="CM64" s="1146"/>
      <c r="CN64" s="1146"/>
      <c r="CO64" s="1146"/>
      <c r="CP64" s="1146"/>
      <c r="CQ64" s="1146"/>
      <c r="CR64" s="1146"/>
      <c r="CS64" s="1146"/>
      <c r="CT64" s="1146"/>
      <c r="CU64" s="1146"/>
      <c r="CV64" s="1146"/>
      <c r="CW64" s="1146"/>
      <c r="CX64" s="1146"/>
      <c r="CY64" s="1146"/>
      <c r="CZ64" s="1146"/>
      <c r="DA64" s="1146"/>
      <c r="DB64" s="1146"/>
      <c r="DC64" s="1146"/>
      <c r="DD64" s="1146"/>
    </row>
    <row r="65" spans="1:108" ht="11.25" hidden="1" customHeight="1" outlineLevel="1" collapsed="1">
      <c r="A65" s="715"/>
      <c r="B65" s="715"/>
      <c r="C65" s="746"/>
      <c r="D65" s="1011" t="s">
        <v>961</v>
      </c>
      <c r="E65" s="1010"/>
      <c r="F65" s="12"/>
      <c r="G65" s="1020">
        <f>SUM(G63:G64)</f>
        <v>0</v>
      </c>
      <c r="H65" s="1020">
        <f t="shared" ref="H65:P65" si="57">SUM(H63:H64)</f>
        <v>0</v>
      </c>
      <c r="I65" s="1020">
        <f t="shared" si="57"/>
        <v>0</v>
      </c>
      <c r="J65" s="1020">
        <f t="shared" si="57"/>
        <v>0</v>
      </c>
      <c r="K65" s="1020">
        <f t="shared" si="57"/>
        <v>0</v>
      </c>
      <c r="L65" s="1020">
        <f t="shared" si="57"/>
        <v>0</v>
      </c>
      <c r="M65" s="1020">
        <f t="shared" si="57"/>
        <v>18.81937240536579</v>
      </c>
      <c r="N65" s="1020">
        <f t="shared" si="57"/>
        <v>0</v>
      </c>
      <c r="O65" s="1020">
        <f t="shared" si="57"/>
        <v>29.222291428230907</v>
      </c>
      <c r="P65" s="1020">
        <f t="shared" si="57"/>
        <v>0</v>
      </c>
      <c r="Q65" s="1020">
        <f t="shared" si="53"/>
        <v>48.041663833596701</v>
      </c>
      <c r="S65" s="1031">
        <f t="shared" ref="S65:Z65" si="58">SUM(S63:S64)</f>
        <v>0</v>
      </c>
      <c r="T65" s="1031">
        <f t="shared" si="58"/>
        <v>0</v>
      </c>
      <c r="U65" s="1031">
        <f t="shared" si="58"/>
        <v>0</v>
      </c>
      <c r="V65" s="1031">
        <f t="shared" si="58"/>
        <v>-48.041663833596701</v>
      </c>
      <c r="W65" s="1031">
        <f t="shared" si="58"/>
        <v>0</v>
      </c>
      <c r="X65" s="1031">
        <f t="shared" si="58"/>
        <v>0</v>
      </c>
      <c r="Y65" s="1031">
        <f t="shared" si="58"/>
        <v>0</v>
      </c>
      <c r="Z65" s="1031">
        <f t="shared" si="58"/>
        <v>0</v>
      </c>
      <c r="AA65" s="1031">
        <f t="shared" ref="AA65:AH65" si="59">SUM(AA63:AA64)</f>
        <v>0</v>
      </c>
      <c r="AB65" s="1031">
        <f t="shared" si="59"/>
        <v>0</v>
      </c>
      <c r="AC65" s="1031">
        <f t="shared" si="59"/>
        <v>0</v>
      </c>
      <c r="AD65" s="1031">
        <f t="shared" si="59"/>
        <v>0</v>
      </c>
      <c r="AE65" s="1031">
        <f t="shared" si="59"/>
        <v>0</v>
      </c>
      <c r="AF65" s="1031">
        <f>SUM(AF63:AF64)</f>
        <v>0</v>
      </c>
      <c r="AG65" s="1031">
        <f>SUM(AG63:AG64)</f>
        <v>0</v>
      </c>
      <c r="AH65" s="1031">
        <f t="shared" si="59"/>
        <v>0</v>
      </c>
      <c r="AI65" s="1030">
        <f t="shared" si="50"/>
        <v>-48.041663833596701</v>
      </c>
      <c r="AK65" s="1043">
        <f t="shared" ref="AK65:BC65" si="60">SUM(AK63:AK64)</f>
        <v>0</v>
      </c>
      <c r="AL65" s="1043">
        <f t="shared" si="60"/>
        <v>0</v>
      </c>
      <c r="AM65" s="1043">
        <f t="shared" si="60"/>
        <v>0</v>
      </c>
      <c r="AN65" s="1043">
        <f t="shared" si="60"/>
        <v>0</v>
      </c>
      <c r="AO65" s="1043">
        <f t="shared" si="60"/>
        <v>0</v>
      </c>
      <c r="AP65" s="1043">
        <f t="shared" si="60"/>
        <v>0</v>
      </c>
      <c r="AQ65" s="1043">
        <f t="shared" si="60"/>
        <v>0</v>
      </c>
      <c r="AR65" s="1043">
        <f t="shared" si="60"/>
        <v>0</v>
      </c>
      <c r="AS65" s="1043">
        <f t="shared" si="60"/>
        <v>0</v>
      </c>
      <c r="AT65" s="1043">
        <f t="shared" si="60"/>
        <v>0</v>
      </c>
      <c r="AU65" s="1043">
        <f t="shared" si="60"/>
        <v>0</v>
      </c>
      <c r="AV65" s="1043">
        <f t="shared" si="60"/>
        <v>0</v>
      </c>
      <c r="AW65" s="1043">
        <f t="shared" si="60"/>
        <v>0</v>
      </c>
      <c r="AX65" s="1043">
        <f t="shared" si="60"/>
        <v>0</v>
      </c>
      <c r="AY65" s="1043">
        <f t="shared" si="60"/>
        <v>0</v>
      </c>
      <c r="AZ65" s="1043">
        <f t="shared" si="60"/>
        <v>0</v>
      </c>
      <c r="BA65" s="1043">
        <f t="shared" si="60"/>
        <v>0</v>
      </c>
      <c r="BB65" s="1043">
        <f t="shared" si="60"/>
        <v>0</v>
      </c>
      <c r="BC65" s="1043">
        <f t="shared" si="60"/>
        <v>0</v>
      </c>
      <c r="BD65" s="1013">
        <f t="shared" si="51"/>
        <v>0</v>
      </c>
      <c r="BF65" s="1037">
        <f>SUM(BF63:BF64)</f>
        <v>0</v>
      </c>
      <c r="BG65" s="1037">
        <f>SUM(BG63:BG64)</f>
        <v>0</v>
      </c>
      <c r="BH65" s="1035">
        <f t="shared" si="52"/>
        <v>0</v>
      </c>
      <c r="BJ65" s="524">
        <f t="shared" si="36"/>
        <v>0</v>
      </c>
      <c r="BK65" s="524"/>
      <c r="BL65" s="715"/>
      <c r="BM65" s="1147"/>
      <c r="BN65" s="1146"/>
      <c r="BO65" s="1146"/>
      <c r="BP65" s="1146"/>
      <c r="BQ65" s="1146"/>
      <c r="BR65" s="1146"/>
      <c r="BS65" s="1146"/>
      <c r="BT65" s="1146"/>
      <c r="BU65" s="1146"/>
      <c r="BV65" s="1146"/>
      <c r="BW65" s="1146"/>
      <c r="BX65" s="1146"/>
      <c r="BY65" s="1146"/>
      <c r="BZ65" s="1146"/>
      <c r="CA65" s="1146"/>
      <c r="CB65" s="1146"/>
      <c r="CC65" s="1146"/>
      <c r="CD65" s="1146"/>
      <c r="CE65" s="1146"/>
      <c r="CF65" s="1146"/>
      <c r="CG65" s="1146"/>
      <c r="CH65" s="1146"/>
      <c r="CI65" s="1146"/>
      <c r="CJ65" s="1146"/>
      <c r="CK65" s="1146"/>
      <c r="CL65" s="1146"/>
      <c r="CM65" s="1146"/>
      <c r="CN65" s="1146"/>
      <c r="CO65" s="1146"/>
      <c r="CP65" s="1146"/>
      <c r="CQ65" s="1146"/>
      <c r="CR65" s="1146"/>
      <c r="CS65" s="1146"/>
      <c r="CT65" s="1146"/>
      <c r="CU65" s="1146"/>
      <c r="CV65" s="1146"/>
      <c r="CW65" s="1146"/>
      <c r="CX65" s="1146"/>
      <c r="CY65" s="1146"/>
      <c r="CZ65" s="1146"/>
      <c r="DA65" s="1146"/>
      <c r="DB65" s="1146"/>
      <c r="DC65" s="1146"/>
      <c r="DD65" s="1146"/>
    </row>
    <row r="66" spans="1:108" ht="15.75" collapsed="1">
      <c r="A66" s="24"/>
      <c r="B66" s="3"/>
      <c r="C66" s="744" t="s">
        <v>679</v>
      </c>
      <c r="D66" s="517" t="str">
        <f>INDEX(Workstreams[Workstream], MATCH($C66, Workstreams[Code], 0))</f>
        <v>Transport</v>
      </c>
      <c r="E66" s="512"/>
      <c r="F66" s="12"/>
      <c r="G66" s="1021">
        <f t="shared" ref="G66:P66" si="61">G58+G59+G62+G65</f>
        <v>0</v>
      </c>
      <c r="H66" s="1021">
        <f t="shared" si="61"/>
        <v>0</v>
      </c>
      <c r="I66" s="1021">
        <f t="shared" si="61"/>
        <v>0</v>
      </c>
      <c r="J66" s="1021">
        <f t="shared" si="61"/>
        <v>502.50552967076953</v>
      </c>
      <c r="K66" s="1021">
        <f t="shared" si="61"/>
        <v>16.246998166435951</v>
      </c>
      <c r="L66" s="1021">
        <f t="shared" si="61"/>
        <v>8.7346938775510203</v>
      </c>
      <c r="M66" s="1021">
        <f t="shared" si="61"/>
        <v>18.81937240536579</v>
      </c>
      <c r="N66" s="1021">
        <f t="shared" si="61"/>
        <v>152.99167541479133</v>
      </c>
      <c r="O66" s="1021">
        <f t="shared" si="61"/>
        <v>29.222291428230907</v>
      </c>
      <c r="P66" s="1021">
        <f t="shared" si="61"/>
        <v>0</v>
      </c>
      <c r="Q66" s="1021">
        <f t="shared" si="53"/>
        <v>728.52056096314448</v>
      </c>
      <c r="S66" s="970">
        <f t="shared" ref="S66:Z66" si="62">S58+S59+S62+S65</f>
        <v>-8.1002794197444299</v>
      </c>
      <c r="T66" s="970">
        <f t="shared" si="62"/>
        <v>0</v>
      </c>
      <c r="U66" s="970">
        <f t="shared" si="62"/>
        <v>0</v>
      </c>
      <c r="V66" s="970">
        <f t="shared" si="62"/>
        <v>-720.42028154340005</v>
      </c>
      <c r="W66" s="970">
        <f t="shared" si="62"/>
        <v>0</v>
      </c>
      <c r="X66" s="970">
        <f t="shared" si="62"/>
        <v>0</v>
      </c>
      <c r="Y66" s="970">
        <f t="shared" si="62"/>
        <v>0</v>
      </c>
      <c r="Z66" s="970">
        <f t="shared" si="62"/>
        <v>0</v>
      </c>
      <c r="AA66" s="970">
        <f t="shared" ref="AA66:AH66" si="63">AA58+AA59+AA62+AA65</f>
        <v>0</v>
      </c>
      <c r="AB66" s="970">
        <f t="shared" si="63"/>
        <v>0</v>
      </c>
      <c r="AC66" s="970">
        <f t="shared" si="63"/>
        <v>0</v>
      </c>
      <c r="AD66" s="970">
        <f t="shared" si="63"/>
        <v>0</v>
      </c>
      <c r="AE66" s="970">
        <f t="shared" si="63"/>
        <v>0</v>
      </c>
      <c r="AF66" s="970">
        <f>AF58+AF59+AF62+AF65</f>
        <v>0</v>
      </c>
      <c r="AG66" s="970">
        <f>AG58+AG59+AG62+AG65</f>
        <v>0</v>
      </c>
      <c r="AH66" s="970">
        <f t="shared" si="63"/>
        <v>0</v>
      </c>
      <c r="AI66" s="970">
        <f t="shared" si="50"/>
        <v>-728.52056096314448</v>
      </c>
      <c r="AK66" s="976">
        <f t="shared" ref="AK66:AQ66" si="64">AK58+AK59+AK62+AK65</f>
        <v>0</v>
      </c>
      <c r="AL66" s="976">
        <f t="shared" si="64"/>
        <v>0</v>
      </c>
      <c r="AM66" s="976">
        <f t="shared" si="64"/>
        <v>0</v>
      </c>
      <c r="AN66" s="976">
        <f t="shared" si="64"/>
        <v>0</v>
      </c>
      <c r="AO66" s="976">
        <f t="shared" si="64"/>
        <v>0</v>
      </c>
      <c r="AP66" s="976">
        <f t="shared" si="64"/>
        <v>0</v>
      </c>
      <c r="AQ66" s="976">
        <f t="shared" si="64"/>
        <v>0</v>
      </c>
      <c r="AR66" s="976">
        <f t="shared" ref="AR66:BC66" si="65">AR58+AR59+AR62+AR65</f>
        <v>0</v>
      </c>
      <c r="AS66" s="976">
        <f t="shared" si="65"/>
        <v>0</v>
      </c>
      <c r="AT66" s="976">
        <f t="shared" si="65"/>
        <v>0</v>
      </c>
      <c r="AU66" s="976">
        <f t="shared" si="65"/>
        <v>0</v>
      </c>
      <c r="AV66" s="976">
        <f t="shared" si="65"/>
        <v>0</v>
      </c>
      <c r="AW66" s="976">
        <f t="shared" si="65"/>
        <v>0</v>
      </c>
      <c r="AX66" s="976">
        <f t="shared" si="65"/>
        <v>0</v>
      </c>
      <c r="AY66" s="976">
        <f t="shared" si="65"/>
        <v>0</v>
      </c>
      <c r="AZ66" s="976">
        <f t="shared" si="65"/>
        <v>0</v>
      </c>
      <c r="BA66" s="976">
        <f t="shared" si="65"/>
        <v>0</v>
      </c>
      <c r="BB66" s="976">
        <f t="shared" si="65"/>
        <v>0</v>
      </c>
      <c r="BC66" s="976">
        <f t="shared" si="65"/>
        <v>0</v>
      </c>
      <c r="BD66" s="976">
        <f t="shared" si="51"/>
        <v>0</v>
      </c>
      <c r="BF66" s="990">
        <f>BF58+BF59+BF62+BF65</f>
        <v>0</v>
      </c>
      <c r="BG66" s="990">
        <f>BG58+BG59+BG62+BG65</f>
        <v>0</v>
      </c>
      <c r="BH66" s="990">
        <f t="shared" si="52"/>
        <v>0</v>
      </c>
      <c r="BJ66" s="515">
        <f t="shared" si="36"/>
        <v>0</v>
      </c>
      <c r="BK66" s="515"/>
      <c r="BL66" s="24"/>
      <c r="BM66" s="1148"/>
      <c r="BN66" s="1146"/>
      <c r="BO66" s="1146"/>
      <c r="BP66" s="1146"/>
      <c r="BQ66" s="1146"/>
      <c r="BR66" s="1146"/>
      <c r="BS66" s="1146"/>
      <c r="BT66" s="1146"/>
      <c r="BU66" s="1146"/>
      <c r="BV66" s="1146"/>
      <c r="BW66" s="1146"/>
      <c r="BX66" s="1146"/>
      <c r="BY66" s="1146"/>
      <c r="BZ66" s="1146"/>
      <c r="CA66" s="1146"/>
      <c r="CB66" s="1146"/>
      <c r="CC66" s="1146"/>
      <c r="CD66" s="1146"/>
      <c r="CE66" s="1146"/>
      <c r="CF66" s="1146"/>
      <c r="CG66" s="1146"/>
      <c r="CH66" s="1146"/>
      <c r="CI66" s="1146"/>
      <c r="CJ66" s="1146"/>
      <c r="CK66" s="1146"/>
      <c r="CL66" s="1146"/>
      <c r="CM66" s="1146"/>
      <c r="CN66" s="1146"/>
      <c r="CO66" s="1146"/>
      <c r="CP66" s="1146"/>
      <c r="CQ66" s="1146"/>
      <c r="CR66" s="1146"/>
      <c r="CS66" s="1146"/>
      <c r="CT66" s="1146"/>
      <c r="CU66" s="1146"/>
      <c r="CV66" s="1146"/>
      <c r="CW66" s="1146"/>
      <c r="CX66" s="1146"/>
      <c r="CY66" s="1146"/>
      <c r="CZ66" s="1146"/>
      <c r="DA66" s="1146"/>
      <c r="DB66" s="1146"/>
      <c r="DC66" s="1146"/>
      <c r="DD66" s="1146"/>
    </row>
    <row r="67" spans="1:108" ht="12.75" hidden="1" customHeight="1" outlineLevel="1">
      <c r="A67" s="24"/>
      <c r="B67" s="24"/>
      <c r="C67" s="751"/>
      <c r="D67" s="512"/>
      <c r="E67" s="512"/>
      <c r="F67" s="12"/>
      <c r="G67" s="1021"/>
      <c r="H67" s="1021"/>
      <c r="I67" s="1021"/>
      <c r="J67" s="1021"/>
      <c r="K67" s="1021"/>
      <c r="L67" s="1021"/>
      <c r="M67" s="1021"/>
      <c r="N67" s="1021"/>
      <c r="O67" s="1021"/>
      <c r="P67" s="1021"/>
      <c r="Q67" s="1021"/>
      <c r="S67" s="970"/>
      <c r="T67" s="970"/>
      <c r="U67" s="970"/>
      <c r="V67" s="970"/>
      <c r="W67" s="970"/>
      <c r="X67" s="970"/>
      <c r="Y67" s="970"/>
      <c r="Z67" s="970"/>
      <c r="AA67" s="970"/>
      <c r="AB67" s="970"/>
      <c r="AC67" s="970"/>
      <c r="AD67" s="970"/>
      <c r="AE67" s="970"/>
      <c r="AF67" s="970"/>
      <c r="AG67" s="970"/>
      <c r="AH67" s="970"/>
      <c r="AI67" s="970"/>
      <c r="AK67" s="976"/>
      <c r="AL67" s="976"/>
      <c r="AM67" s="976"/>
      <c r="AN67" s="976"/>
      <c r="AO67" s="976"/>
      <c r="AP67" s="976"/>
      <c r="AQ67" s="976"/>
      <c r="AR67" s="976"/>
      <c r="AS67" s="976"/>
      <c r="AT67" s="976"/>
      <c r="AU67" s="976"/>
      <c r="AV67" s="976"/>
      <c r="AW67" s="976"/>
      <c r="AX67" s="976"/>
      <c r="AY67" s="976"/>
      <c r="AZ67" s="976"/>
      <c r="BA67" s="976"/>
      <c r="BB67" s="976"/>
      <c r="BC67" s="976"/>
      <c r="BD67" s="976"/>
      <c r="BF67" s="990"/>
      <c r="BG67" s="990"/>
      <c r="BH67" s="990"/>
      <c r="BJ67" s="515">
        <f t="shared" si="36"/>
        <v>0</v>
      </c>
      <c r="BK67" s="515"/>
      <c r="BL67" s="24"/>
      <c r="BM67" s="1148"/>
      <c r="BN67" s="1146"/>
      <c r="BO67" s="1146"/>
      <c r="BP67" s="1146"/>
      <c r="BQ67" s="1146"/>
      <c r="BR67" s="1146"/>
      <c r="BS67" s="1146"/>
      <c r="BT67" s="1146"/>
      <c r="BU67" s="1146"/>
      <c r="BV67" s="1146"/>
      <c r="BW67" s="1146"/>
      <c r="BX67" s="1146"/>
      <c r="BY67" s="1146"/>
      <c r="BZ67" s="1146"/>
      <c r="CA67" s="1146"/>
      <c r="CB67" s="1146"/>
      <c r="CC67" s="1146"/>
      <c r="CD67" s="1146"/>
      <c r="CE67" s="1146"/>
      <c r="CF67" s="1146"/>
      <c r="CG67" s="1146"/>
      <c r="CH67" s="1146"/>
      <c r="CI67" s="1146"/>
      <c r="CJ67" s="1146"/>
      <c r="CK67" s="1146"/>
      <c r="CL67" s="1146"/>
      <c r="CM67" s="1146"/>
      <c r="CN67" s="1146"/>
      <c r="CO67" s="1146"/>
      <c r="CP67" s="1146"/>
      <c r="CQ67" s="1146"/>
      <c r="CR67" s="1146"/>
      <c r="CS67" s="1146"/>
      <c r="CT67" s="1146"/>
      <c r="CU67" s="1146"/>
      <c r="CV67" s="1146"/>
      <c r="CW67" s="1146"/>
      <c r="CX67" s="1146"/>
      <c r="CY67" s="1146"/>
      <c r="CZ67" s="1146"/>
      <c r="DA67" s="1146"/>
      <c r="DB67" s="1146"/>
      <c r="DC67" s="1146"/>
      <c r="DD67" s="1146"/>
    </row>
    <row r="68" spans="1:108" ht="12.75" hidden="1" customHeight="1" outlineLevel="1">
      <c r="A68" s="715"/>
      <c r="B68" s="715"/>
      <c r="C68" s="746" t="s">
        <v>930</v>
      </c>
      <c r="D68" s="1010" t="str">
        <f>INDEX(Modules[Module], MATCH($C68, Modules[Code], 0))</f>
        <v>Food consumption [UNUSED]</v>
      </c>
      <c r="E68" s="1010"/>
      <c r="F68" s="12" t="s">
        <v>475</v>
      </c>
      <c r="G68" s="1022"/>
      <c r="H68" s="1022"/>
      <c r="I68" s="1022"/>
      <c r="J68" s="1022"/>
      <c r="K68" s="1022"/>
      <c r="L68" s="1022"/>
      <c r="M68" s="1022"/>
      <c r="N68" s="1022"/>
      <c r="O68" s="1022"/>
      <c r="P68" s="1022">
        <f>60000000*2320000*Unit.calorie*365.25</f>
        <v>59.090632000000006</v>
      </c>
      <c r="Q68" s="1020">
        <f>SUM(G68:P68)</f>
        <v>59.090632000000006</v>
      </c>
      <c r="S68" s="1031"/>
      <c r="T68" s="1031"/>
      <c r="U68" s="1031"/>
      <c r="V68" s="1031"/>
      <c r="W68" s="1031"/>
      <c r="X68" s="1031"/>
      <c r="Y68" s="1031"/>
      <c r="Z68" s="1031"/>
      <c r="AA68" s="1031"/>
      <c r="AB68" s="1031"/>
      <c r="AC68" s="1031">
        <f>-P68/0.9</f>
        <v>-65.656257777777782</v>
      </c>
      <c r="AD68" s="1031"/>
      <c r="AE68" s="1031"/>
      <c r="AF68" s="1031"/>
      <c r="AG68" s="1031"/>
      <c r="AH68" s="1031"/>
      <c r="AI68" s="1030">
        <f>SUM(S68:AH68)</f>
        <v>-65.656257777777782</v>
      </c>
      <c r="AK68" s="1042"/>
      <c r="AL68" s="1042"/>
      <c r="AM68" s="1042"/>
      <c r="AN68" s="1042"/>
      <c r="AO68" s="1042"/>
      <c r="AP68" s="1042"/>
      <c r="AQ68" s="1042"/>
      <c r="AR68" s="1042"/>
      <c r="AS68" s="1042"/>
      <c r="AT68" s="1042"/>
      <c r="AU68" s="1042"/>
      <c r="AV68" s="1042"/>
      <c r="AW68" s="1042"/>
      <c r="AX68" s="1042"/>
      <c r="AY68" s="1042"/>
      <c r="AZ68" s="1042"/>
      <c r="BA68" s="1042"/>
      <c r="BB68" s="1042"/>
      <c r="BC68" s="1042"/>
      <c r="BD68" s="1012">
        <f>SUM(AK68:BC68)</f>
        <v>0</v>
      </c>
      <c r="BF68" s="1036">
        <f>-AC68*0.1</f>
        <v>6.5656257777777789</v>
      </c>
      <c r="BG68" s="1036"/>
      <c r="BH68" s="1035">
        <f>SUM(BF68:BG68)</f>
        <v>6.5656257777777789</v>
      </c>
      <c r="BJ68" s="814">
        <f t="shared" si="36"/>
        <v>0</v>
      </c>
      <c r="BK68" s="814"/>
      <c r="BL68" s="715"/>
      <c r="BM68" s="1147"/>
      <c r="BN68" s="1146"/>
      <c r="BO68" s="1146"/>
      <c r="BP68" s="1146"/>
      <c r="BQ68" s="1146"/>
      <c r="BR68" s="1146"/>
      <c r="BS68" s="1146"/>
      <c r="BT68" s="1146"/>
      <c r="BU68" s="1146"/>
      <c r="BV68" s="1146"/>
      <c r="BW68" s="1146"/>
      <c r="BX68" s="1146"/>
      <c r="BY68" s="1146"/>
      <c r="BZ68" s="1146"/>
      <c r="CA68" s="1146"/>
      <c r="CB68" s="1146"/>
      <c r="CC68" s="1146"/>
      <c r="CD68" s="1146"/>
      <c r="CE68" s="1146"/>
      <c r="CF68" s="1146"/>
      <c r="CG68" s="1146"/>
      <c r="CH68" s="1146"/>
      <c r="CI68" s="1146"/>
      <c r="CJ68" s="1146"/>
      <c r="CK68" s="1146"/>
      <c r="CL68" s="1146"/>
      <c r="CM68" s="1146"/>
      <c r="CN68" s="1146"/>
      <c r="CO68" s="1146"/>
      <c r="CP68" s="1146"/>
      <c r="CQ68" s="1146"/>
      <c r="CR68" s="1146"/>
      <c r="CS68" s="1146"/>
      <c r="CT68" s="1146"/>
      <c r="CU68" s="1146"/>
      <c r="CV68" s="1146"/>
      <c r="CW68" s="1146"/>
      <c r="CX68" s="1146"/>
      <c r="CY68" s="1146"/>
      <c r="CZ68" s="1146"/>
      <c r="DA68" s="1146"/>
      <c r="DB68" s="1146"/>
      <c r="DC68" s="1146"/>
      <c r="DD68" s="1146"/>
    </row>
    <row r="69" spans="1:108" ht="15.75" collapsed="1">
      <c r="A69" s="24"/>
      <c r="B69" s="3"/>
      <c r="C69" s="744" t="s">
        <v>680</v>
      </c>
      <c r="D69" s="517" t="str">
        <f>INDEX(Workstreams[Workstream], MATCH($C69, Workstreams[Code], 0))</f>
        <v>Food consumption [UNUSED]</v>
      </c>
      <c r="E69" s="512"/>
      <c r="F69" s="12"/>
      <c r="G69" s="1021">
        <f>G68</f>
        <v>0</v>
      </c>
      <c r="H69" s="1021">
        <f t="shared" ref="H69:P69" si="66">H68</f>
        <v>0</v>
      </c>
      <c r="I69" s="1021">
        <f t="shared" si="66"/>
        <v>0</v>
      </c>
      <c r="J69" s="1021">
        <f t="shared" si="66"/>
        <v>0</v>
      </c>
      <c r="K69" s="1021">
        <f t="shared" si="66"/>
        <v>0</v>
      </c>
      <c r="L69" s="1021">
        <f t="shared" si="66"/>
        <v>0</v>
      </c>
      <c r="M69" s="1021">
        <f t="shared" si="66"/>
        <v>0</v>
      </c>
      <c r="N69" s="1021">
        <f t="shared" si="66"/>
        <v>0</v>
      </c>
      <c r="O69" s="1021">
        <f t="shared" si="66"/>
        <v>0</v>
      </c>
      <c r="P69" s="1021">
        <f t="shared" si="66"/>
        <v>59.090632000000006</v>
      </c>
      <c r="Q69" s="1021">
        <f>SUM(G69:P69)</f>
        <v>59.090632000000006</v>
      </c>
      <c r="S69" s="970">
        <f>S68</f>
        <v>0</v>
      </c>
      <c r="T69" s="970">
        <f t="shared" ref="T69:AH69" si="67">T68</f>
        <v>0</v>
      </c>
      <c r="U69" s="970">
        <f t="shared" si="67"/>
        <v>0</v>
      </c>
      <c r="V69" s="970">
        <f t="shared" si="67"/>
        <v>0</v>
      </c>
      <c r="W69" s="970">
        <f t="shared" si="67"/>
        <v>0</v>
      </c>
      <c r="X69" s="970">
        <f>X68</f>
        <v>0</v>
      </c>
      <c r="Y69" s="970">
        <f>Y68</f>
        <v>0</v>
      </c>
      <c r="Z69" s="970">
        <f>Z68</f>
        <v>0</v>
      </c>
      <c r="AA69" s="970">
        <f t="shared" si="67"/>
        <v>0</v>
      </c>
      <c r="AB69" s="970">
        <f t="shared" si="67"/>
        <v>0</v>
      </c>
      <c r="AC69" s="970">
        <f t="shared" si="67"/>
        <v>-65.656257777777782</v>
      </c>
      <c r="AD69" s="970">
        <f t="shared" si="67"/>
        <v>0</v>
      </c>
      <c r="AE69" s="970">
        <f t="shared" si="67"/>
        <v>0</v>
      </c>
      <c r="AF69" s="970">
        <f>AF68</f>
        <v>0</v>
      </c>
      <c r="AG69" s="970">
        <f>AG68</f>
        <v>0</v>
      </c>
      <c r="AH69" s="970">
        <f t="shared" si="67"/>
        <v>0</v>
      </c>
      <c r="AI69" s="970">
        <f>SUM(S69:AH69)</f>
        <v>-65.656257777777782</v>
      </c>
      <c r="AK69" s="976">
        <f t="shared" ref="AK69:BC69" si="68">AK68</f>
        <v>0</v>
      </c>
      <c r="AL69" s="976">
        <f t="shared" si="68"/>
        <v>0</v>
      </c>
      <c r="AM69" s="976">
        <f t="shared" si="68"/>
        <v>0</v>
      </c>
      <c r="AN69" s="976">
        <f t="shared" si="68"/>
        <v>0</v>
      </c>
      <c r="AO69" s="976">
        <f t="shared" si="68"/>
        <v>0</v>
      </c>
      <c r="AP69" s="976">
        <f t="shared" si="68"/>
        <v>0</v>
      </c>
      <c r="AQ69" s="976">
        <f t="shared" si="68"/>
        <v>0</v>
      </c>
      <c r="AR69" s="976">
        <f t="shared" si="68"/>
        <v>0</v>
      </c>
      <c r="AS69" s="976">
        <f t="shared" si="68"/>
        <v>0</v>
      </c>
      <c r="AT69" s="976">
        <f t="shared" si="68"/>
        <v>0</v>
      </c>
      <c r="AU69" s="976">
        <f t="shared" si="68"/>
        <v>0</v>
      </c>
      <c r="AV69" s="976">
        <f t="shared" si="68"/>
        <v>0</v>
      </c>
      <c r="AW69" s="976">
        <f t="shared" si="68"/>
        <v>0</v>
      </c>
      <c r="AX69" s="976">
        <f t="shared" si="68"/>
        <v>0</v>
      </c>
      <c r="AY69" s="976">
        <f t="shared" si="68"/>
        <v>0</v>
      </c>
      <c r="AZ69" s="976">
        <f t="shared" si="68"/>
        <v>0</v>
      </c>
      <c r="BA69" s="976">
        <f t="shared" si="68"/>
        <v>0</v>
      </c>
      <c r="BB69" s="976">
        <f t="shared" si="68"/>
        <v>0</v>
      </c>
      <c r="BC69" s="976">
        <f t="shared" si="68"/>
        <v>0</v>
      </c>
      <c r="BD69" s="976">
        <f>SUM(AK69:BC69)</f>
        <v>0</v>
      </c>
      <c r="BF69" s="990">
        <f>BF68</f>
        <v>6.5656257777777789</v>
      </c>
      <c r="BG69" s="990">
        <f>BG68</f>
        <v>0</v>
      </c>
      <c r="BH69" s="990">
        <f>SUM(BF69:BG69)</f>
        <v>6.5656257777777789</v>
      </c>
      <c r="BJ69" s="515">
        <f t="shared" si="36"/>
        <v>0</v>
      </c>
      <c r="BK69" s="515"/>
      <c r="BL69" s="24"/>
      <c r="BM69" s="1148"/>
      <c r="BN69" s="1146"/>
      <c r="BO69" s="1146"/>
      <c r="BP69" s="1146"/>
      <c r="BQ69" s="1146"/>
      <c r="BR69" s="1146"/>
      <c r="BS69" s="1146"/>
      <c r="BT69" s="1146"/>
      <c r="BU69" s="1146"/>
      <c r="BV69" s="1146"/>
      <c r="BW69" s="1146"/>
      <c r="BX69" s="1146"/>
      <c r="BY69" s="1146"/>
      <c r="BZ69" s="1146"/>
      <c r="CA69" s="1146"/>
      <c r="CB69" s="1146"/>
      <c r="CC69" s="1146"/>
      <c r="CD69" s="1146"/>
      <c r="CE69" s="1146"/>
      <c r="CF69" s="1146"/>
      <c r="CG69" s="1146"/>
      <c r="CH69" s="1146"/>
      <c r="CI69" s="1146"/>
      <c r="CJ69" s="1146"/>
      <c r="CK69" s="1146"/>
      <c r="CL69" s="1146"/>
      <c r="CM69" s="1146"/>
      <c r="CN69" s="1146"/>
      <c r="CO69" s="1146"/>
      <c r="CP69" s="1146"/>
      <c r="CQ69" s="1146"/>
      <c r="CR69" s="1146"/>
      <c r="CS69" s="1146"/>
      <c r="CT69" s="1146"/>
      <c r="CU69" s="1146"/>
      <c r="CV69" s="1146"/>
      <c r="CW69" s="1146"/>
      <c r="CX69" s="1146"/>
      <c r="CY69" s="1146"/>
      <c r="CZ69" s="1146"/>
      <c r="DA69" s="1146"/>
      <c r="DB69" s="1146"/>
      <c r="DC69" s="1146"/>
      <c r="DD69" s="1146"/>
    </row>
    <row r="70" spans="1:108" ht="12.75" hidden="1" customHeight="1" outlineLevel="1">
      <c r="A70" s="24"/>
      <c r="B70" s="24"/>
      <c r="C70" s="751"/>
      <c r="D70" s="512"/>
      <c r="E70" s="512"/>
      <c r="F70" s="12"/>
      <c r="G70" s="1021"/>
      <c r="H70" s="1021"/>
      <c r="I70" s="1021"/>
      <c r="J70" s="1021"/>
      <c r="K70" s="1021"/>
      <c r="L70" s="1021"/>
      <c r="M70" s="1021"/>
      <c r="N70" s="1021"/>
      <c r="O70" s="1021"/>
      <c r="P70" s="1021"/>
      <c r="Q70" s="1021"/>
      <c r="S70" s="970"/>
      <c r="T70" s="970"/>
      <c r="U70" s="970"/>
      <c r="V70" s="970"/>
      <c r="W70" s="970"/>
      <c r="X70" s="970"/>
      <c r="Y70" s="970"/>
      <c r="Z70" s="970"/>
      <c r="AA70" s="970"/>
      <c r="AB70" s="970"/>
      <c r="AC70" s="970"/>
      <c r="AD70" s="970"/>
      <c r="AE70" s="970"/>
      <c r="AF70" s="970"/>
      <c r="AG70" s="970"/>
      <c r="AH70" s="970"/>
      <c r="AI70" s="970"/>
      <c r="AK70" s="976"/>
      <c r="AL70" s="976"/>
      <c r="AM70" s="976"/>
      <c r="AN70" s="976"/>
      <c r="AO70" s="976"/>
      <c r="AP70" s="976"/>
      <c r="AQ70" s="976"/>
      <c r="AR70" s="976"/>
      <c r="AS70" s="976"/>
      <c r="AT70" s="976"/>
      <c r="AU70" s="976"/>
      <c r="AV70" s="976"/>
      <c r="AW70" s="976"/>
      <c r="AX70" s="976"/>
      <c r="AY70" s="976"/>
      <c r="AZ70" s="976"/>
      <c r="BA70" s="976"/>
      <c r="BB70" s="976"/>
      <c r="BC70" s="976"/>
      <c r="BD70" s="976"/>
      <c r="BF70" s="990"/>
      <c r="BG70" s="990"/>
      <c r="BH70" s="990"/>
      <c r="BJ70" s="515">
        <f t="shared" si="36"/>
        <v>0</v>
      </c>
      <c r="BK70" s="515"/>
      <c r="BL70" s="24"/>
      <c r="BM70" s="1148"/>
      <c r="BN70" s="1146"/>
      <c r="BO70" s="1146"/>
      <c r="BP70" s="1146"/>
      <c r="BQ70" s="1146"/>
      <c r="BR70" s="1146"/>
      <c r="BS70" s="1146"/>
      <c r="BT70" s="1146"/>
      <c r="BU70" s="1146"/>
      <c r="BV70" s="1146"/>
      <c r="BW70" s="1146"/>
      <c r="BX70" s="1146"/>
      <c r="BY70" s="1146"/>
      <c r="BZ70" s="1146"/>
      <c r="CA70" s="1146"/>
      <c r="CB70" s="1146"/>
      <c r="CC70" s="1146"/>
      <c r="CD70" s="1146"/>
      <c r="CE70" s="1146"/>
      <c r="CF70" s="1146"/>
      <c r="CG70" s="1146"/>
      <c r="CH70" s="1146"/>
      <c r="CI70" s="1146"/>
      <c r="CJ70" s="1146"/>
      <c r="CK70" s="1146"/>
      <c r="CL70" s="1146"/>
      <c r="CM70" s="1146"/>
      <c r="CN70" s="1146"/>
      <c r="CO70" s="1146"/>
      <c r="CP70" s="1146"/>
      <c r="CQ70" s="1146"/>
      <c r="CR70" s="1146"/>
      <c r="CS70" s="1146"/>
      <c r="CT70" s="1146"/>
      <c r="CU70" s="1146"/>
      <c r="CV70" s="1146"/>
      <c r="CW70" s="1146"/>
      <c r="CX70" s="1146"/>
      <c r="CY70" s="1146"/>
      <c r="CZ70" s="1146"/>
      <c r="DA70" s="1146"/>
      <c r="DB70" s="1146"/>
      <c r="DC70" s="1146"/>
      <c r="DD70" s="1146"/>
    </row>
    <row r="71" spans="1:108" ht="12.75" hidden="1" customHeight="1" outlineLevel="1">
      <c r="A71" s="715"/>
      <c r="B71" s="715"/>
      <c r="C71" s="746" t="s">
        <v>962</v>
      </c>
      <c r="D71" s="1010" t="str">
        <f>INDEX(Modules[Module], MATCH($C71, Modules[Code], 0))</f>
        <v>Geosequestration</v>
      </c>
      <c r="E71" s="1010"/>
      <c r="F71" s="12" t="s">
        <v>475</v>
      </c>
      <c r="G71" s="1022"/>
      <c r="H71" s="1022"/>
      <c r="I71" s="1022"/>
      <c r="J71" s="1022"/>
      <c r="K71" s="1022"/>
      <c r="L71" s="1022"/>
      <c r="M71" s="1022"/>
      <c r="N71" s="1022"/>
      <c r="O71" s="1022"/>
      <c r="P71" s="1022"/>
      <c r="Q71" s="1020">
        <f>SUM(G71:P71)</f>
        <v>0</v>
      </c>
      <c r="S71" s="1031"/>
      <c r="T71" s="1031"/>
      <c r="U71" s="1031"/>
      <c r="V71" s="1031"/>
      <c r="W71" s="1031"/>
      <c r="X71" s="1031"/>
      <c r="Y71" s="1031"/>
      <c r="Z71" s="1031"/>
      <c r="AA71" s="1031"/>
      <c r="AB71" s="1031"/>
      <c r="AC71" s="1031"/>
      <c r="AD71" s="1031"/>
      <c r="AE71" s="1031"/>
      <c r="AF71" s="1031"/>
      <c r="AG71" s="1031"/>
      <c r="AH71" s="1031"/>
      <c r="AI71" s="1030">
        <f>SUM(S71:AH71)</f>
        <v>0</v>
      </c>
      <c r="AK71" s="1042"/>
      <c r="AL71" s="1042"/>
      <c r="AM71" s="1042"/>
      <c r="AN71" s="1042"/>
      <c r="AO71" s="1042"/>
      <c r="AP71" s="1042"/>
      <c r="AQ71" s="1042"/>
      <c r="AR71" s="1042"/>
      <c r="AS71" s="1042"/>
      <c r="AT71" s="1042"/>
      <c r="AU71" s="1042"/>
      <c r="AV71" s="1042"/>
      <c r="AW71" s="1042"/>
      <c r="AX71" s="1042"/>
      <c r="AY71" s="1042"/>
      <c r="AZ71" s="1042"/>
      <c r="BA71" s="1042"/>
      <c r="BB71" s="1042"/>
      <c r="BC71" s="1042"/>
      <c r="BD71" s="1012">
        <f>SUM(AK71:BC71)</f>
        <v>0</v>
      </c>
      <c r="BF71" s="1036"/>
      <c r="BG71" s="1036"/>
      <c r="BH71" s="1035">
        <f>SUM(BF71:BG71)</f>
        <v>0</v>
      </c>
      <c r="BJ71" s="814">
        <f t="shared" si="36"/>
        <v>0</v>
      </c>
      <c r="BK71" s="814"/>
      <c r="BL71" s="715"/>
      <c r="BM71" s="1147"/>
      <c r="BN71" s="1146"/>
      <c r="BO71" s="1146"/>
      <c r="BP71" s="1146"/>
      <c r="BQ71" s="1146"/>
      <c r="BR71" s="1146"/>
      <c r="BS71" s="1146"/>
      <c r="BT71" s="1146"/>
      <c r="BU71" s="1146"/>
      <c r="BV71" s="1146"/>
      <c r="BW71" s="1146"/>
      <c r="BX71" s="1146"/>
      <c r="BY71" s="1146"/>
      <c r="BZ71" s="1146"/>
      <c r="CA71" s="1146"/>
      <c r="CB71" s="1146"/>
      <c r="CC71" s="1146"/>
      <c r="CD71" s="1146"/>
      <c r="CE71" s="1146"/>
      <c r="CF71" s="1146"/>
      <c r="CG71" s="1146"/>
      <c r="CH71" s="1146"/>
      <c r="CI71" s="1146"/>
      <c r="CJ71" s="1146"/>
      <c r="CK71" s="1146"/>
      <c r="CL71" s="1146"/>
      <c r="CM71" s="1146"/>
      <c r="CN71" s="1146"/>
      <c r="CO71" s="1146"/>
      <c r="CP71" s="1146"/>
      <c r="CQ71" s="1146"/>
      <c r="CR71" s="1146"/>
      <c r="CS71" s="1146"/>
      <c r="CT71" s="1146"/>
      <c r="CU71" s="1146"/>
      <c r="CV71" s="1146"/>
      <c r="CW71" s="1146"/>
      <c r="CX71" s="1146"/>
      <c r="CY71" s="1146"/>
      <c r="CZ71" s="1146"/>
      <c r="DA71" s="1146"/>
      <c r="DB71" s="1146"/>
      <c r="DC71" s="1146"/>
      <c r="DD71" s="1146"/>
    </row>
    <row r="72" spans="1:108" ht="15.75" collapsed="1">
      <c r="A72" s="24"/>
      <c r="B72" s="3"/>
      <c r="C72" s="744" t="s">
        <v>675</v>
      </c>
      <c r="D72" s="517" t="str">
        <f>INDEX(Workstreams[Workstream], MATCH($C72, Workstreams[Code], 0))</f>
        <v>Geosequestration</v>
      </c>
      <c r="E72" s="512"/>
      <c r="F72" s="12"/>
      <c r="G72" s="1021">
        <f>G71</f>
        <v>0</v>
      </c>
      <c r="H72" s="1021">
        <f t="shared" ref="H72:P72" si="69">H71</f>
        <v>0</v>
      </c>
      <c r="I72" s="1021">
        <f t="shared" si="69"/>
        <v>0</v>
      </c>
      <c r="J72" s="1021">
        <f t="shared" si="69"/>
        <v>0</v>
      </c>
      <c r="K72" s="1021">
        <f t="shared" si="69"/>
        <v>0</v>
      </c>
      <c r="L72" s="1021">
        <f t="shared" si="69"/>
        <v>0</v>
      </c>
      <c r="M72" s="1021">
        <f t="shared" si="69"/>
        <v>0</v>
      </c>
      <c r="N72" s="1021">
        <f t="shared" si="69"/>
        <v>0</v>
      </c>
      <c r="O72" s="1021">
        <f t="shared" si="69"/>
        <v>0</v>
      </c>
      <c r="P72" s="1021">
        <f t="shared" si="69"/>
        <v>0</v>
      </c>
      <c r="Q72" s="1021">
        <f>SUM(G72:P72)</f>
        <v>0</v>
      </c>
      <c r="S72" s="970">
        <f t="shared" ref="S72:AH72" si="70">S71</f>
        <v>0</v>
      </c>
      <c r="T72" s="970">
        <f t="shared" si="70"/>
        <v>0</v>
      </c>
      <c r="U72" s="970">
        <f t="shared" si="70"/>
        <v>0</v>
      </c>
      <c r="V72" s="970">
        <f t="shared" si="70"/>
        <v>0</v>
      </c>
      <c r="W72" s="970">
        <f t="shared" si="70"/>
        <v>0</v>
      </c>
      <c r="X72" s="970">
        <f>X71</f>
        <v>0</v>
      </c>
      <c r="Y72" s="970">
        <f>Y71</f>
        <v>0</v>
      </c>
      <c r="Z72" s="970">
        <f>Z71</f>
        <v>0</v>
      </c>
      <c r="AA72" s="970">
        <f t="shared" si="70"/>
        <v>0</v>
      </c>
      <c r="AB72" s="970">
        <f t="shared" si="70"/>
        <v>0</v>
      </c>
      <c r="AC72" s="970">
        <f t="shared" si="70"/>
        <v>0</v>
      </c>
      <c r="AD72" s="970">
        <f t="shared" si="70"/>
        <v>0</v>
      </c>
      <c r="AE72" s="970">
        <f t="shared" si="70"/>
        <v>0</v>
      </c>
      <c r="AF72" s="970">
        <f>AF71</f>
        <v>0</v>
      </c>
      <c r="AG72" s="970">
        <f>AG71</f>
        <v>0</v>
      </c>
      <c r="AH72" s="970">
        <f t="shared" si="70"/>
        <v>0</v>
      </c>
      <c r="AI72" s="970">
        <f>SUM(S72:AH72)</f>
        <v>0</v>
      </c>
      <c r="AK72" s="976">
        <f t="shared" ref="AK72:AQ72" si="71">AK71</f>
        <v>0</v>
      </c>
      <c r="AL72" s="976">
        <f t="shared" si="71"/>
        <v>0</v>
      </c>
      <c r="AM72" s="976">
        <f t="shared" si="71"/>
        <v>0</v>
      </c>
      <c r="AN72" s="976">
        <f t="shared" si="71"/>
        <v>0</v>
      </c>
      <c r="AO72" s="976">
        <f t="shared" si="71"/>
        <v>0</v>
      </c>
      <c r="AP72" s="976">
        <f t="shared" si="71"/>
        <v>0</v>
      </c>
      <c r="AQ72" s="976">
        <f t="shared" si="71"/>
        <v>0</v>
      </c>
      <c r="AR72" s="976">
        <f t="shared" ref="AR72:BC72" si="72">AR71</f>
        <v>0</v>
      </c>
      <c r="AS72" s="976">
        <f t="shared" si="72"/>
        <v>0</v>
      </c>
      <c r="AT72" s="976">
        <f t="shared" si="72"/>
        <v>0</v>
      </c>
      <c r="AU72" s="976">
        <f t="shared" si="72"/>
        <v>0</v>
      </c>
      <c r="AV72" s="976">
        <f t="shared" si="72"/>
        <v>0</v>
      </c>
      <c r="AW72" s="976">
        <f t="shared" si="72"/>
        <v>0</v>
      </c>
      <c r="AX72" s="976">
        <f t="shared" si="72"/>
        <v>0</v>
      </c>
      <c r="AY72" s="976">
        <f t="shared" si="72"/>
        <v>0</v>
      </c>
      <c r="AZ72" s="976">
        <f t="shared" si="72"/>
        <v>0</v>
      </c>
      <c r="BA72" s="976">
        <f t="shared" si="72"/>
        <v>0</v>
      </c>
      <c r="BB72" s="976">
        <f t="shared" si="72"/>
        <v>0</v>
      </c>
      <c r="BC72" s="976">
        <f t="shared" si="72"/>
        <v>0</v>
      </c>
      <c r="BD72" s="976">
        <f>SUM(AK72:BC72)</f>
        <v>0</v>
      </c>
      <c r="BF72" s="990">
        <f>BF71</f>
        <v>0</v>
      </c>
      <c r="BG72" s="990">
        <f>BG71</f>
        <v>0</v>
      </c>
      <c r="BH72" s="990">
        <f>SUM(BF72:BG72)</f>
        <v>0</v>
      </c>
      <c r="BJ72" s="515">
        <f t="shared" si="36"/>
        <v>0</v>
      </c>
      <c r="BK72" s="515"/>
      <c r="BL72" s="24"/>
      <c r="BM72" s="1148"/>
      <c r="BN72" s="1146"/>
      <c r="BO72" s="1146"/>
      <c r="BP72" s="1146"/>
      <c r="BQ72" s="1146"/>
      <c r="BR72" s="1146"/>
      <c r="BS72" s="1146"/>
      <c r="BT72" s="1146"/>
      <c r="BU72" s="1146"/>
      <c r="BV72" s="1146"/>
      <c r="BW72" s="1146"/>
      <c r="BX72" s="1146"/>
      <c r="BY72" s="1146"/>
      <c r="BZ72" s="1146"/>
      <c r="CA72" s="1146"/>
      <c r="CB72" s="1146"/>
      <c r="CC72" s="1146"/>
      <c r="CD72" s="1146"/>
      <c r="CE72" s="1146"/>
      <c r="CF72" s="1146"/>
      <c r="CG72" s="1146"/>
      <c r="CH72" s="1146"/>
      <c r="CI72" s="1146"/>
      <c r="CJ72" s="1146"/>
      <c r="CK72" s="1146"/>
      <c r="CL72" s="1146"/>
      <c r="CM72" s="1146"/>
      <c r="CN72" s="1146"/>
      <c r="CO72" s="1146"/>
      <c r="CP72" s="1146"/>
      <c r="CQ72" s="1146"/>
      <c r="CR72" s="1146"/>
      <c r="CS72" s="1146"/>
      <c r="CT72" s="1146"/>
      <c r="CU72" s="1146"/>
      <c r="CV72" s="1146"/>
      <c r="CW72" s="1146"/>
      <c r="CX72" s="1146"/>
      <c r="CY72" s="1146"/>
      <c r="CZ72" s="1146"/>
      <c r="DA72" s="1146"/>
      <c r="DB72" s="1146"/>
      <c r="DC72" s="1146"/>
      <c r="DD72" s="1146"/>
    </row>
    <row r="73" spans="1:108" ht="6" customHeight="1">
      <c r="C73" s="516"/>
      <c r="D73" s="517"/>
      <c r="F73" s="12"/>
      <c r="G73" s="1021"/>
      <c r="H73" s="1021"/>
      <c r="I73" s="1021"/>
      <c r="J73" s="1021"/>
      <c r="K73" s="1021"/>
      <c r="L73" s="1021"/>
      <c r="M73" s="1021"/>
      <c r="N73" s="1021"/>
      <c r="O73" s="1021"/>
      <c r="P73" s="1021"/>
      <c r="Q73" s="1021"/>
      <c r="S73" s="970"/>
      <c r="T73" s="970"/>
      <c r="U73" s="970"/>
      <c r="V73" s="970"/>
      <c r="W73" s="970"/>
      <c r="X73" s="970"/>
      <c r="Y73" s="970"/>
      <c r="Z73" s="970"/>
      <c r="AA73" s="970"/>
      <c r="AB73" s="970"/>
      <c r="AC73" s="970"/>
      <c r="AD73" s="970"/>
      <c r="AE73" s="970"/>
      <c r="AF73" s="970"/>
      <c r="AG73" s="970"/>
      <c r="AH73" s="970"/>
      <c r="AI73" s="970"/>
      <c r="AK73" s="976"/>
      <c r="AL73" s="976"/>
      <c r="AM73" s="976"/>
      <c r="AN73" s="976"/>
      <c r="AO73" s="976"/>
      <c r="AP73" s="976"/>
      <c r="AQ73" s="976"/>
      <c r="AR73" s="976"/>
      <c r="AS73" s="976"/>
      <c r="AT73" s="976"/>
      <c r="AU73" s="976"/>
      <c r="AV73" s="976"/>
      <c r="AW73" s="976"/>
      <c r="AX73" s="976"/>
      <c r="AY73" s="976"/>
      <c r="AZ73" s="976"/>
      <c r="BA73" s="976"/>
      <c r="BB73" s="976"/>
      <c r="BC73" s="976"/>
      <c r="BD73" s="976">
        <f>SUM(AK73:BC73)</f>
        <v>0</v>
      </c>
      <c r="BF73" s="990"/>
      <c r="BG73" s="990"/>
      <c r="BH73" s="990"/>
      <c r="BJ73" s="515">
        <f t="shared" si="36"/>
        <v>0</v>
      </c>
      <c r="BK73" s="515"/>
      <c r="BM73" s="1146"/>
      <c r="BN73" s="1146"/>
      <c r="BO73" s="1146"/>
      <c r="BP73" s="1146"/>
      <c r="BQ73" s="1146"/>
      <c r="BR73" s="1146"/>
      <c r="BS73" s="1146"/>
      <c r="BT73" s="1146"/>
      <c r="BU73" s="1146"/>
      <c r="BV73" s="1146"/>
      <c r="BW73" s="1146"/>
      <c r="BX73" s="1146"/>
      <c r="BY73" s="1146"/>
      <c r="BZ73" s="1146"/>
      <c r="CA73" s="1146"/>
      <c r="CB73" s="1146"/>
      <c r="CC73" s="1146"/>
      <c r="CD73" s="1146"/>
      <c r="CE73" s="1146"/>
      <c r="CF73" s="1146"/>
      <c r="CG73" s="1146"/>
      <c r="CH73" s="1146"/>
      <c r="CI73" s="1146"/>
      <c r="CJ73" s="1146"/>
      <c r="CK73" s="1146"/>
      <c r="CL73" s="1146"/>
      <c r="CM73" s="1146"/>
      <c r="CN73" s="1146"/>
      <c r="CO73" s="1146"/>
      <c r="CP73" s="1146"/>
      <c r="CQ73" s="1146"/>
      <c r="CR73" s="1146"/>
      <c r="CS73" s="1146"/>
      <c r="CT73" s="1146"/>
      <c r="CU73" s="1146"/>
      <c r="CV73" s="1146"/>
      <c r="CW73" s="1146"/>
      <c r="CX73" s="1146"/>
      <c r="CY73" s="1146"/>
      <c r="CZ73" s="1146"/>
      <c r="DA73" s="1146"/>
      <c r="DB73" s="1146"/>
      <c r="DC73" s="1146"/>
      <c r="DD73" s="1146"/>
    </row>
    <row r="74" spans="1:108" ht="15.75">
      <c r="B74" s="3"/>
      <c r="C74" s="516"/>
      <c r="D74" s="643" t="s">
        <v>619</v>
      </c>
      <c r="E74" s="644"/>
      <c r="F74" s="12"/>
      <c r="G74" s="1023">
        <f t="shared" ref="G74:Q74" si="73">G$17+G$28+G$56+G$66+G$69+G$72</f>
        <v>544.74376989125381</v>
      </c>
      <c r="H74" s="1023">
        <f t="shared" si="73"/>
        <v>183.99501047219411</v>
      </c>
      <c r="I74" s="1023">
        <f t="shared" si="73"/>
        <v>439.14915467278735</v>
      </c>
      <c r="J74" s="1023">
        <f t="shared" si="73"/>
        <v>502.50552967076953</v>
      </c>
      <c r="K74" s="1023">
        <f t="shared" si="73"/>
        <v>16.246998166435951</v>
      </c>
      <c r="L74" s="1023">
        <f t="shared" si="73"/>
        <v>8.7346938775510203</v>
      </c>
      <c r="M74" s="1023">
        <f t="shared" si="73"/>
        <v>18.81937240536579</v>
      </c>
      <c r="N74" s="1023">
        <f t="shared" si="73"/>
        <v>152.99167541479133</v>
      </c>
      <c r="O74" s="1023">
        <f t="shared" si="73"/>
        <v>29.222291428230907</v>
      </c>
      <c r="P74" s="1023">
        <f t="shared" si="73"/>
        <v>59.090632000000006</v>
      </c>
      <c r="Q74" s="1023">
        <f t="shared" si="73"/>
        <v>1955.4991279993797</v>
      </c>
      <c r="S74" s="1014">
        <f t="shared" ref="S74:AH74" si="74">S$17+S$28+S$56+S$66+S$69+S$72</f>
        <v>-339.67117989236203</v>
      </c>
      <c r="T74" s="1014">
        <f t="shared" si="74"/>
        <v>34.033592131949163</v>
      </c>
      <c r="U74" s="1014">
        <f t="shared" si="74"/>
        <v>-103.49441455346809</v>
      </c>
      <c r="V74" s="1014">
        <f t="shared" si="74"/>
        <v>-855.85813688872099</v>
      </c>
      <c r="W74" s="1014">
        <f t="shared" si="74"/>
        <v>-645.44345367072924</v>
      </c>
      <c r="X74" s="1014">
        <f t="shared" si="74"/>
        <v>0</v>
      </c>
      <c r="Y74" s="1014">
        <f t="shared" si="74"/>
        <v>0</v>
      </c>
      <c r="Z74" s="1014">
        <f t="shared" si="74"/>
        <v>0</v>
      </c>
      <c r="AA74" s="1014">
        <f t="shared" si="74"/>
        <v>-0.11045622230000071</v>
      </c>
      <c r="AB74" s="1014">
        <f t="shared" si="74"/>
        <v>0.78922082423912965</v>
      </c>
      <c r="AC74" s="1014">
        <f t="shared" si="74"/>
        <v>-65.656257777777782</v>
      </c>
      <c r="AD74" s="1014">
        <f t="shared" si="74"/>
        <v>0</v>
      </c>
      <c r="AE74" s="1014">
        <f t="shared" si="74"/>
        <v>-9.4478531622240869</v>
      </c>
      <c r="AF74" s="1014">
        <f t="shared" si="74"/>
        <v>0</v>
      </c>
      <c r="AG74" s="1014">
        <f t="shared" si="74"/>
        <v>0</v>
      </c>
      <c r="AH74" s="1014">
        <f t="shared" si="74"/>
        <v>0</v>
      </c>
      <c r="AI74" s="1014">
        <f>T74+S74+U74+V74+W74+AA74+AB74+AC74+AE74+AH74</f>
        <v>-1984.8589392113938</v>
      </c>
      <c r="AK74" s="1015">
        <f t="shared" ref="AK74:BC74" si="75">AK$17+AK$28+AK$56+AK$66+AK$69+AK$72</f>
        <v>0</v>
      </c>
      <c r="AL74" s="1015">
        <f t="shared" si="75"/>
        <v>0</v>
      </c>
      <c r="AM74" s="1015">
        <f t="shared" si="75"/>
        <v>0</v>
      </c>
      <c r="AN74" s="1015">
        <f t="shared" si="75"/>
        <v>0</v>
      </c>
      <c r="AO74" s="1015">
        <f t="shared" si="75"/>
        <v>0</v>
      </c>
      <c r="AP74" s="1015">
        <f t="shared" si="75"/>
        <v>0</v>
      </c>
      <c r="AQ74" s="1015">
        <f t="shared" si="75"/>
        <v>0</v>
      </c>
      <c r="AR74" s="1015">
        <f t="shared" si="75"/>
        <v>0</v>
      </c>
      <c r="AS74" s="1015">
        <f t="shared" si="75"/>
        <v>0</v>
      </c>
      <c r="AT74" s="1015">
        <f t="shared" si="75"/>
        <v>0</v>
      </c>
      <c r="AU74" s="1015">
        <f t="shared" si="75"/>
        <v>-0.53605914770000007</v>
      </c>
      <c r="AV74" s="1015">
        <f t="shared" si="75"/>
        <v>-1.705027184782586</v>
      </c>
      <c r="AW74" s="1015">
        <f t="shared" si="75"/>
        <v>0</v>
      </c>
      <c r="AX74" s="1015">
        <f t="shared" si="75"/>
        <v>0</v>
      </c>
      <c r="AY74" s="1015">
        <f t="shared" si="75"/>
        <v>0</v>
      </c>
      <c r="AZ74" s="1015">
        <f t="shared" si="75"/>
        <v>-0.94481533000000006</v>
      </c>
      <c r="BA74" s="1015">
        <f t="shared" si="75"/>
        <v>0</v>
      </c>
      <c r="BB74" s="1015">
        <f t="shared" si="75"/>
        <v>0</v>
      </c>
      <c r="BC74" s="1015">
        <f t="shared" si="75"/>
        <v>-11.874521026056049</v>
      </c>
      <c r="BD74" s="1015">
        <f>SUM(AK74:BC74)</f>
        <v>-15.060422688538635</v>
      </c>
      <c r="BF74" s="1016">
        <f>BF$17+BF$28+BF$56+BF$66+BF$69+BF$72</f>
        <v>42.820260931501878</v>
      </c>
      <c r="BG74" s="1016">
        <f>BG$17+BG$28+BG$56+BG$66+BG$69+BG$72</f>
        <v>1.5999729690508488</v>
      </c>
      <c r="BH74" s="1016">
        <f>SUM(BF74:BG74)</f>
        <v>44.420233900552724</v>
      </c>
      <c r="BJ74" s="518">
        <f t="shared" si="36"/>
        <v>-7.815970093361102E-14</v>
      </c>
      <c r="BK74" s="518"/>
      <c r="BM74" s="1146"/>
      <c r="BN74" s="1146"/>
      <c r="BO74" s="1146"/>
      <c r="BP74" s="1146"/>
      <c r="BQ74" s="1146"/>
      <c r="BR74" s="1146"/>
      <c r="BS74" s="1146"/>
      <c r="BT74" s="1146"/>
      <c r="BU74" s="1146"/>
      <c r="BV74" s="1146"/>
      <c r="BW74" s="1146"/>
      <c r="BX74" s="1146"/>
      <c r="BY74" s="1146"/>
      <c r="BZ74" s="1146"/>
      <c r="CA74" s="1146"/>
      <c r="CB74" s="1146"/>
      <c r="CC74" s="1146"/>
      <c r="CD74" s="1146"/>
      <c r="CE74" s="1146"/>
      <c r="CF74" s="1146"/>
      <c r="CG74" s="1146"/>
      <c r="CH74" s="1146"/>
      <c r="CI74" s="1146"/>
      <c r="CJ74" s="1146"/>
      <c r="CK74" s="1146"/>
      <c r="CL74" s="1146"/>
      <c r="CM74" s="1146"/>
      <c r="CN74" s="1146"/>
      <c r="CO74" s="1146"/>
      <c r="CP74" s="1146"/>
      <c r="CQ74" s="1146"/>
      <c r="CR74" s="1146"/>
      <c r="CS74" s="1146"/>
      <c r="CT74" s="1146"/>
      <c r="CU74" s="1146"/>
      <c r="CV74" s="1146"/>
      <c r="CW74" s="1146"/>
      <c r="CX74" s="1146"/>
      <c r="CY74" s="1146"/>
      <c r="CZ74" s="1146"/>
      <c r="DA74" s="1146"/>
      <c r="DB74" s="1146"/>
      <c r="DC74" s="1146"/>
      <c r="DD74" s="1146"/>
    </row>
    <row r="75" spans="1:108" ht="6" customHeight="1">
      <c r="C75" s="509"/>
      <c r="F75" s="12"/>
      <c r="G75" s="958"/>
      <c r="H75" s="958"/>
      <c r="I75" s="958"/>
      <c r="J75" s="958"/>
      <c r="K75" s="960"/>
      <c r="L75" s="958"/>
      <c r="M75" s="958"/>
      <c r="N75" s="958"/>
      <c r="O75" s="958"/>
      <c r="P75" s="958"/>
      <c r="Q75" s="958"/>
      <c r="S75" s="970"/>
      <c r="T75" s="970"/>
      <c r="U75" s="970"/>
      <c r="V75" s="970"/>
      <c r="W75" s="970"/>
      <c r="X75" s="970"/>
      <c r="Y75" s="970"/>
      <c r="Z75" s="970"/>
      <c r="AA75" s="970"/>
      <c r="AB75" s="970"/>
      <c r="AC75" s="970"/>
      <c r="AD75" s="970"/>
      <c r="AE75" s="970"/>
      <c r="AF75" s="970"/>
      <c r="AG75" s="970"/>
      <c r="AH75" s="970"/>
      <c r="AI75" s="970"/>
      <c r="AK75" s="976"/>
      <c r="AL75" s="976"/>
      <c r="AM75" s="976"/>
      <c r="AN75" s="976"/>
      <c r="AO75" s="976"/>
      <c r="AP75" s="976"/>
      <c r="AQ75" s="976"/>
      <c r="AR75" s="976"/>
      <c r="AS75" s="976"/>
      <c r="AT75" s="976"/>
      <c r="AU75" s="976"/>
      <c r="AV75" s="976"/>
      <c r="AW75" s="976"/>
      <c r="AX75" s="976"/>
      <c r="AY75" s="976"/>
      <c r="AZ75" s="976"/>
      <c r="BA75" s="976"/>
      <c r="BB75" s="976"/>
      <c r="BC75" s="976"/>
      <c r="BD75" s="976"/>
      <c r="BF75" s="990"/>
      <c r="BG75" s="990"/>
      <c r="BH75" s="990"/>
      <c r="BJ75" s="515">
        <f t="shared" si="36"/>
        <v>0</v>
      </c>
      <c r="BK75" s="515"/>
      <c r="BM75" s="1146"/>
      <c r="BN75" s="1146"/>
      <c r="BO75" s="1146"/>
      <c r="BP75" s="1146"/>
      <c r="BQ75" s="1146"/>
      <c r="BR75" s="1146"/>
      <c r="BS75" s="1146"/>
      <c r="BT75" s="1146"/>
      <c r="BU75" s="1146"/>
      <c r="BV75" s="1146"/>
      <c r="BW75" s="1146"/>
      <c r="BX75" s="1146"/>
      <c r="BY75" s="1146"/>
      <c r="BZ75" s="1146"/>
      <c r="CA75" s="1146"/>
      <c r="CB75" s="1146"/>
      <c r="CC75" s="1146"/>
      <c r="CD75" s="1146"/>
      <c r="CE75" s="1146"/>
      <c r="CF75" s="1146"/>
      <c r="CG75" s="1146"/>
      <c r="CH75" s="1146"/>
      <c r="CI75" s="1146"/>
      <c r="CJ75" s="1146"/>
      <c r="CK75" s="1146"/>
      <c r="CL75" s="1146"/>
      <c r="CM75" s="1146"/>
      <c r="CN75" s="1146"/>
      <c r="CO75" s="1146"/>
      <c r="CP75" s="1146"/>
      <c r="CQ75" s="1146"/>
      <c r="CR75" s="1146"/>
      <c r="CS75" s="1146"/>
      <c r="CT75" s="1146"/>
      <c r="CU75" s="1146"/>
      <c r="CV75" s="1146"/>
      <c r="CW75" s="1146"/>
      <c r="CX75" s="1146"/>
      <c r="CY75" s="1146"/>
      <c r="CZ75" s="1146"/>
      <c r="DA75" s="1146"/>
      <c r="DB75" s="1146"/>
      <c r="DC75" s="1146"/>
      <c r="DD75" s="1146"/>
    </row>
    <row r="76" spans="1:108" ht="24" customHeight="1">
      <c r="C76" s="501" t="s">
        <v>72</v>
      </c>
      <c r="D76" s="501"/>
      <c r="E76" s="639"/>
      <c r="F76" s="12"/>
      <c r="G76" s="957"/>
      <c r="H76" s="957"/>
      <c r="I76" s="957"/>
      <c r="J76" s="957"/>
      <c r="K76" s="957"/>
      <c r="L76" s="957"/>
      <c r="M76" s="957"/>
      <c r="N76" s="957"/>
      <c r="O76" s="957"/>
      <c r="P76" s="957"/>
      <c r="Q76" s="957"/>
      <c r="S76" s="969"/>
      <c r="T76" s="969"/>
      <c r="U76" s="969"/>
      <c r="V76" s="969"/>
      <c r="W76" s="969"/>
      <c r="X76" s="969"/>
      <c r="Y76" s="969"/>
      <c r="Z76" s="969"/>
      <c r="AA76" s="969"/>
      <c r="AB76" s="969"/>
      <c r="AC76" s="969"/>
      <c r="AD76" s="969"/>
      <c r="AE76" s="969"/>
      <c r="AF76" s="969"/>
      <c r="AG76" s="969"/>
      <c r="AH76" s="969"/>
      <c r="AI76" s="969"/>
      <c r="AK76" s="975"/>
      <c r="AL76" s="975"/>
      <c r="AM76" s="975"/>
      <c r="AN76" s="975"/>
      <c r="AO76" s="975"/>
      <c r="AP76" s="975"/>
      <c r="AQ76" s="975"/>
      <c r="AR76" s="975"/>
      <c r="AS76" s="975"/>
      <c r="AT76" s="975"/>
      <c r="AU76" s="975"/>
      <c r="AV76" s="975"/>
      <c r="AW76" s="975"/>
      <c r="AX76" s="975"/>
      <c r="AY76" s="975"/>
      <c r="AZ76" s="975"/>
      <c r="BA76" s="975"/>
      <c r="BB76" s="975"/>
      <c r="BC76" s="975"/>
      <c r="BD76" s="975"/>
      <c r="BF76" s="989"/>
      <c r="BG76" s="989"/>
      <c r="BH76" s="989"/>
      <c r="BJ76" s="514">
        <f t="shared" si="36"/>
        <v>0</v>
      </c>
      <c r="BK76" s="514"/>
      <c r="BM76" s="1146"/>
      <c r="BN76" s="1146"/>
      <c r="BO76" s="1146"/>
      <c r="BP76" s="1146"/>
      <c r="BQ76" s="1146"/>
      <c r="BR76" s="1146"/>
      <c r="BS76" s="1146"/>
      <c r="BT76" s="1146"/>
      <c r="BU76" s="1146"/>
      <c r="BV76" s="1146"/>
      <c r="BW76" s="1146"/>
      <c r="BX76" s="1146"/>
      <c r="BY76" s="1146"/>
      <c r="BZ76" s="1146"/>
      <c r="CA76" s="1146"/>
      <c r="CB76" s="1146"/>
      <c r="CC76" s="1146"/>
      <c r="CD76" s="1146"/>
      <c r="CE76" s="1146"/>
      <c r="CF76" s="1146"/>
      <c r="CG76" s="1146"/>
      <c r="CH76" s="1146"/>
      <c r="CI76" s="1146"/>
      <c r="CJ76" s="1146"/>
      <c r="CK76" s="1146"/>
      <c r="CL76" s="1146"/>
      <c r="CM76" s="1146"/>
      <c r="CN76" s="1146"/>
      <c r="CO76" s="1146"/>
      <c r="CP76" s="1146"/>
      <c r="CQ76" s="1146"/>
      <c r="CR76" s="1146"/>
      <c r="CS76" s="1146"/>
      <c r="CT76" s="1146"/>
      <c r="CU76" s="1146"/>
      <c r="CV76" s="1146"/>
      <c r="CW76" s="1146"/>
      <c r="CX76" s="1146"/>
      <c r="CY76" s="1146"/>
      <c r="CZ76" s="1146"/>
      <c r="DA76" s="1146"/>
      <c r="DB76" s="1146"/>
      <c r="DC76" s="1146"/>
      <c r="DD76" s="1146"/>
    </row>
    <row r="77" spans="1:108" ht="12.75" hidden="1" customHeight="1" outlineLevel="1">
      <c r="A77" s="24"/>
      <c r="B77" s="24"/>
      <c r="C77" s="751"/>
      <c r="D77" s="512"/>
      <c r="E77" s="512"/>
      <c r="F77" s="12"/>
      <c r="G77" s="958"/>
      <c r="H77" s="958"/>
      <c r="I77" s="958"/>
      <c r="J77" s="958"/>
      <c r="K77" s="960"/>
      <c r="L77" s="958"/>
      <c r="M77" s="958"/>
      <c r="N77" s="958"/>
      <c r="O77" s="958"/>
      <c r="P77" s="958"/>
      <c r="Q77" s="958"/>
      <c r="S77" s="970"/>
      <c r="T77" s="970"/>
      <c r="U77" s="970"/>
      <c r="V77" s="970"/>
      <c r="W77" s="970"/>
      <c r="X77" s="970"/>
      <c r="Y77" s="970"/>
      <c r="Z77" s="970"/>
      <c r="AA77" s="970"/>
      <c r="AB77" s="970"/>
      <c r="AC77" s="970"/>
      <c r="AD77" s="970"/>
      <c r="AE77" s="970"/>
      <c r="AF77" s="970"/>
      <c r="AG77" s="970"/>
      <c r="AH77" s="970"/>
      <c r="AI77" s="970"/>
      <c r="AK77" s="976"/>
      <c r="AL77" s="976"/>
      <c r="AM77" s="976"/>
      <c r="AN77" s="976"/>
      <c r="AO77" s="976"/>
      <c r="AP77" s="976"/>
      <c r="AQ77" s="976"/>
      <c r="AR77" s="976"/>
      <c r="AS77" s="976"/>
      <c r="AT77" s="976"/>
      <c r="AU77" s="976"/>
      <c r="AV77" s="976"/>
      <c r="AW77" s="976"/>
      <c r="AX77" s="976"/>
      <c r="AY77" s="976"/>
      <c r="AZ77" s="976"/>
      <c r="BA77" s="976"/>
      <c r="BB77" s="976"/>
      <c r="BC77" s="976"/>
      <c r="BD77" s="976"/>
      <c r="BF77" s="990"/>
      <c r="BG77" s="990"/>
      <c r="BH77" s="990"/>
      <c r="BJ77" s="515">
        <f t="shared" si="36"/>
        <v>0</v>
      </c>
      <c r="BK77" s="515"/>
      <c r="BL77" s="24"/>
      <c r="BM77" s="1148"/>
      <c r="BN77" s="1146"/>
      <c r="BO77" s="1146"/>
      <c r="BP77" s="1146"/>
      <c r="BQ77" s="1146"/>
      <c r="BR77" s="1146"/>
      <c r="BS77" s="1146"/>
      <c r="BT77" s="1146"/>
      <c r="BU77" s="1146"/>
      <c r="BV77" s="1146"/>
      <c r="BW77" s="1146"/>
      <c r="BX77" s="1146"/>
      <c r="BY77" s="1146"/>
      <c r="BZ77" s="1146"/>
      <c r="CA77" s="1146"/>
      <c r="CB77" s="1146"/>
      <c r="CC77" s="1146"/>
      <c r="CD77" s="1146"/>
      <c r="CE77" s="1146"/>
      <c r="CF77" s="1146"/>
      <c r="CG77" s="1146"/>
      <c r="CH77" s="1146"/>
      <c r="CI77" s="1146"/>
      <c r="CJ77" s="1146"/>
      <c r="CK77" s="1146"/>
      <c r="CL77" s="1146"/>
      <c r="CM77" s="1146"/>
      <c r="CN77" s="1146"/>
      <c r="CO77" s="1146"/>
      <c r="CP77" s="1146"/>
      <c r="CQ77" s="1146"/>
      <c r="CR77" s="1146"/>
      <c r="CS77" s="1146"/>
      <c r="CT77" s="1146"/>
      <c r="CU77" s="1146"/>
      <c r="CV77" s="1146"/>
      <c r="CW77" s="1146"/>
      <c r="CX77" s="1146"/>
      <c r="CY77" s="1146"/>
      <c r="CZ77" s="1146"/>
      <c r="DA77" s="1146"/>
      <c r="DB77" s="1146"/>
      <c r="DC77" s="1146"/>
      <c r="DD77" s="1146"/>
    </row>
    <row r="78" spans="1:108" ht="12.75" hidden="1" customHeight="1" outlineLevel="1">
      <c r="A78" s="24"/>
      <c r="B78" s="24"/>
      <c r="C78" s="746" t="s">
        <v>981</v>
      </c>
      <c r="D78" s="1010" t="str">
        <f>INDEX(Modules[Module], MATCH($C78, Modules[Code], 0))</f>
        <v>H2 Production</v>
      </c>
      <c r="E78" s="1069"/>
      <c r="F78" s="12" t="s">
        <v>475</v>
      </c>
      <c r="G78" s="1022"/>
      <c r="H78" s="1022"/>
      <c r="I78" s="1022"/>
      <c r="J78" s="1022"/>
      <c r="K78" s="1022"/>
      <c r="L78" s="1022"/>
      <c r="M78" s="1022"/>
      <c r="N78" s="1022"/>
      <c r="O78" s="1022"/>
      <c r="P78" s="1022"/>
      <c r="Q78" s="1020">
        <f>SUM(G78:P78)</f>
        <v>0</v>
      </c>
      <c r="S78" s="1031"/>
      <c r="T78" s="1031"/>
      <c r="U78" s="1031"/>
      <c r="V78" s="1031"/>
      <c r="W78" s="1031"/>
      <c r="X78" s="1031"/>
      <c r="Y78" s="1031"/>
      <c r="Z78" s="1031"/>
      <c r="AA78" s="1031"/>
      <c r="AB78" s="1031"/>
      <c r="AC78" s="1031"/>
      <c r="AD78" s="1031"/>
      <c r="AE78" s="1031"/>
      <c r="AF78" s="1031"/>
      <c r="AG78" s="1031"/>
      <c r="AH78" s="1031"/>
      <c r="AI78" s="1030">
        <f>SUM(S78:AH78)</f>
        <v>0</v>
      </c>
      <c r="AK78" s="1042"/>
      <c r="AL78" s="1042"/>
      <c r="AM78" s="1042"/>
      <c r="AN78" s="1042"/>
      <c r="AO78" s="1042"/>
      <c r="AP78" s="1042"/>
      <c r="AQ78" s="1042"/>
      <c r="AR78" s="1042"/>
      <c r="AS78" s="1042"/>
      <c r="AT78" s="1042"/>
      <c r="AU78" s="1042"/>
      <c r="AV78" s="1042"/>
      <c r="AW78" s="1042"/>
      <c r="AX78" s="1042"/>
      <c r="AY78" s="1042"/>
      <c r="AZ78" s="1042"/>
      <c r="BA78" s="1042"/>
      <c r="BB78" s="1042"/>
      <c r="BC78" s="1042"/>
      <c r="BD78" s="1012">
        <f>SUM(AK78:BC78)</f>
        <v>0</v>
      </c>
      <c r="BF78" s="1036"/>
      <c r="BG78" s="1036"/>
      <c r="BH78" s="1035">
        <f>SUM(BF78:BG78)</f>
        <v>0</v>
      </c>
      <c r="BJ78" s="515"/>
      <c r="BK78" s="515"/>
      <c r="BL78" s="24"/>
      <c r="BM78" s="1148"/>
      <c r="BN78" s="1146"/>
      <c r="BO78" s="1146"/>
      <c r="BP78" s="1146"/>
      <c r="BQ78" s="1146"/>
      <c r="BR78" s="1146"/>
      <c r="BS78" s="1146"/>
      <c r="BT78" s="1146"/>
      <c r="BU78" s="1146"/>
      <c r="BV78" s="1146"/>
      <c r="BW78" s="1146"/>
      <c r="BX78" s="1146"/>
      <c r="BY78" s="1146"/>
      <c r="BZ78" s="1146"/>
      <c r="CA78" s="1146"/>
      <c r="CB78" s="1146"/>
      <c r="CC78" s="1146"/>
      <c r="CD78" s="1146"/>
      <c r="CE78" s="1146"/>
      <c r="CF78" s="1146"/>
      <c r="CG78" s="1146"/>
      <c r="CH78" s="1146"/>
      <c r="CI78" s="1146"/>
      <c r="CJ78" s="1146"/>
      <c r="CK78" s="1146"/>
      <c r="CL78" s="1146"/>
      <c r="CM78" s="1146"/>
      <c r="CN78" s="1146"/>
      <c r="CO78" s="1146"/>
      <c r="CP78" s="1146"/>
      <c r="CQ78" s="1146"/>
      <c r="CR78" s="1146"/>
      <c r="CS78" s="1146"/>
      <c r="CT78" s="1146"/>
      <c r="CU78" s="1146"/>
      <c r="CV78" s="1146"/>
      <c r="CW78" s="1146"/>
      <c r="CX78" s="1146"/>
      <c r="CY78" s="1146"/>
      <c r="CZ78" s="1146"/>
      <c r="DA78" s="1146"/>
      <c r="DB78" s="1146"/>
      <c r="DC78" s="1146"/>
      <c r="DD78" s="1146"/>
    </row>
    <row r="79" spans="1:108" ht="15.75" collapsed="1">
      <c r="A79" s="24"/>
      <c r="B79" s="3"/>
      <c r="C79" s="744" t="s">
        <v>674</v>
      </c>
      <c r="D79" s="517" t="str">
        <f>INDEX(Workstreams[Workstream], MATCH($C79, Workstreams[Code], 0))</f>
        <v>H2 Production</v>
      </c>
      <c r="E79" s="512"/>
      <c r="F79" s="12"/>
      <c r="G79" s="1021">
        <f>G78</f>
        <v>0</v>
      </c>
      <c r="H79" s="1021">
        <f t="shared" ref="H79:P79" si="76">H78</f>
        <v>0</v>
      </c>
      <c r="I79" s="1021">
        <f t="shared" si="76"/>
        <v>0</v>
      </c>
      <c r="J79" s="1021">
        <f t="shared" si="76"/>
        <v>0</v>
      </c>
      <c r="K79" s="1021">
        <f t="shared" si="76"/>
        <v>0</v>
      </c>
      <c r="L79" s="1021">
        <f t="shared" si="76"/>
        <v>0</v>
      </c>
      <c r="M79" s="1021">
        <f t="shared" si="76"/>
        <v>0</v>
      </c>
      <c r="N79" s="1021">
        <f t="shared" si="76"/>
        <v>0</v>
      </c>
      <c r="O79" s="1021">
        <f t="shared" si="76"/>
        <v>0</v>
      </c>
      <c r="P79" s="1021">
        <f t="shared" si="76"/>
        <v>0</v>
      </c>
      <c r="Q79" s="1021">
        <f>SUM(G79:P79)</f>
        <v>0</v>
      </c>
      <c r="S79" s="970">
        <f t="shared" ref="S79:AH79" si="77">S78</f>
        <v>0</v>
      </c>
      <c r="T79" s="970">
        <f t="shared" si="77"/>
        <v>0</v>
      </c>
      <c r="U79" s="970">
        <f t="shared" si="77"/>
        <v>0</v>
      </c>
      <c r="V79" s="970">
        <f t="shared" si="77"/>
        <v>0</v>
      </c>
      <c r="W79" s="970">
        <f t="shared" si="77"/>
        <v>0</v>
      </c>
      <c r="X79" s="970">
        <f t="shared" si="77"/>
        <v>0</v>
      </c>
      <c r="Y79" s="970">
        <f t="shared" si="77"/>
        <v>0</v>
      </c>
      <c r="Z79" s="970">
        <f t="shared" si="77"/>
        <v>0</v>
      </c>
      <c r="AA79" s="970">
        <f t="shared" si="77"/>
        <v>0</v>
      </c>
      <c r="AB79" s="970">
        <f t="shared" si="77"/>
        <v>0</v>
      </c>
      <c r="AC79" s="970">
        <f t="shared" si="77"/>
        <v>0</v>
      </c>
      <c r="AD79" s="970">
        <f t="shared" si="77"/>
        <v>0</v>
      </c>
      <c r="AE79" s="970">
        <f t="shared" si="77"/>
        <v>0</v>
      </c>
      <c r="AF79" s="970">
        <f>AF78</f>
        <v>0</v>
      </c>
      <c r="AG79" s="970">
        <f>AG78</f>
        <v>0</v>
      </c>
      <c r="AH79" s="970">
        <f t="shared" si="77"/>
        <v>0</v>
      </c>
      <c r="AI79" s="970">
        <f>SUM(S79:AH79)</f>
        <v>0</v>
      </c>
      <c r="AK79" s="976">
        <f>AK78</f>
        <v>0</v>
      </c>
      <c r="AL79" s="976">
        <f t="shared" ref="AL79:BC79" si="78">AL78</f>
        <v>0</v>
      </c>
      <c r="AM79" s="976">
        <f t="shared" si="78"/>
        <v>0</v>
      </c>
      <c r="AN79" s="976">
        <f t="shared" si="78"/>
        <v>0</v>
      </c>
      <c r="AO79" s="976">
        <f t="shared" si="78"/>
        <v>0</v>
      </c>
      <c r="AP79" s="976">
        <f t="shared" si="78"/>
        <v>0</v>
      </c>
      <c r="AQ79" s="976">
        <f t="shared" si="78"/>
        <v>0</v>
      </c>
      <c r="AR79" s="976">
        <f t="shared" si="78"/>
        <v>0</v>
      </c>
      <c r="AS79" s="976">
        <f t="shared" si="78"/>
        <v>0</v>
      </c>
      <c r="AT79" s="976">
        <f t="shared" si="78"/>
        <v>0</v>
      </c>
      <c r="AU79" s="976">
        <f t="shared" si="78"/>
        <v>0</v>
      </c>
      <c r="AV79" s="976">
        <f t="shared" si="78"/>
        <v>0</v>
      </c>
      <c r="AW79" s="976">
        <f t="shared" si="78"/>
        <v>0</v>
      </c>
      <c r="AX79" s="976">
        <f t="shared" si="78"/>
        <v>0</v>
      </c>
      <c r="AY79" s="976">
        <f t="shared" si="78"/>
        <v>0</v>
      </c>
      <c r="AZ79" s="976">
        <f t="shared" si="78"/>
        <v>0</v>
      </c>
      <c r="BA79" s="976">
        <f t="shared" si="78"/>
        <v>0</v>
      </c>
      <c r="BB79" s="976">
        <f t="shared" si="78"/>
        <v>0</v>
      </c>
      <c r="BC79" s="976">
        <f t="shared" si="78"/>
        <v>0</v>
      </c>
      <c r="BD79" s="976">
        <f>SUM(AK79:BC79)</f>
        <v>0</v>
      </c>
      <c r="BF79" s="990">
        <f>BF78</f>
        <v>0</v>
      </c>
      <c r="BG79" s="990">
        <f>BG78</f>
        <v>0</v>
      </c>
      <c r="BH79" s="990">
        <f>SUM(BF79:BG79)</f>
        <v>0</v>
      </c>
      <c r="BJ79" s="515">
        <f>Q79+AI79+BD79+BH79</f>
        <v>0</v>
      </c>
      <c r="BK79" s="515"/>
      <c r="BL79" s="24"/>
      <c r="BM79" s="1148"/>
      <c r="BN79" s="1146"/>
      <c r="BO79" s="1146"/>
      <c r="BP79" s="1146"/>
      <c r="BQ79" s="1146"/>
      <c r="BR79" s="1146"/>
      <c r="BS79" s="1146"/>
      <c r="BT79" s="1146"/>
      <c r="BU79" s="1146"/>
      <c r="BV79" s="1146"/>
      <c r="BW79" s="1146"/>
      <c r="BX79" s="1146"/>
      <c r="BY79" s="1146"/>
      <c r="BZ79" s="1146"/>
      <c r="CA79" s="1146"/>
      <c r="CB79" s="1146"/>
      <c r="CC79" s="1146"/>
      <c r="CD79" s="1146"/>
      <c r="CE79" s="1146"/>
      <c r="CF79" s="1146"/>
      <c r="CG79" s="1146"/>
      <c r="CH79" s="1146"/>
      <c r="CI79" s="1146"/>
      <c r="CJ79" s="1146"/>
      <c r="CK79" s="1146"/>
      <c r="CL79" s="1146"/>
      <c r="CM79" s="1146"/>
      <c r="CN79" s="1146"/>
      <c r="CO79" s="1146"/>
      <c r="CP79" s="1146"/>
      <c r="CQ79" s="1146"/>
      <c r="CR79" s="1146"/>
      <c r="CS79" s="1146"/>
      <c r="CT79" s="1146"/>
      <c r="CU79" s="1146"/>
      <c r="CV79" s="1146"/>
      <c r="CW79" s="1146"/>
      <c r="CX79" s="1146"/>
      <c r="CY79" s="1146"/>
      <c r="CZ79" s="1146"/>
      <c r="DA79" s="1146"/>
      <c r="DB79" s="1146"/>
      <c r="DC79" s="1146"/>
      <c r="DD79" s="1146"/>
    </row>
    <row r="80" spans="1:108" hidden="1" outlineLevel="1">
      <c r="F80" s="12"/>
      <c r="G80" s="958"/>
      <c r="H80" s="958"/>
      <c r="I80" s="958"/>
      <c r="J80" s="958"/>
      <c r="K80" s="960"/>
      <c r="L80" s="958"/>
      <c r="M80" s="958"/>
      <c r="N80" s="958"/>
      <c r="O80" s="958"/>
      <c r="P80" s="958"/>
      <c r="Q80" s="958"/>
      <c r="S80" s="970"/>
      <c r="T80" s="970"/>
      <c r="U80" s="970"/>
      <c r="V80" s="970"/>
      <c r="W80" s="970"/>
      <c r="X80" s="970"/>
      <c r="Y80" s="970"/>
      <c r="Z80" s="970"/>
      <c r="AA80" s="970"/>
      <c r="AB80" s="970"/>
      <c r="AC80" s="970"/>
      <c r="AD80" s="970"/>
      <c r="AE80" s="970"/>
      <c r="AF80" s="970"/>
      <c r="AG80" s="970"/>
      <c r="AH80" s="970"/>
      <c r="AI80" s="970"/>
      <c r="AK80" s="976"/>
      <c r="AL80" s="976"/>
      <c r="AM80" s="976"/>
      <c r="AN80" s="976"/>
      <c r="AO80" s="976"/>
      <c r="AP80" s="976"/>
      <c r="AQ80" s="976"/>
      <c r="AR80" s="976"/>
      <c r="AS80" s="976"/>
      <c r="AT80" s="976"/>
      <c r="AU80" s="976"/>
      <c r="AV80" s="976"/>
      <c r="AW80" s="976"/>
      <c r="AX80" s="976"/>
      <c r="AY80" s="976"/>
      <c r="AZ80" s="976"/>
      <c r="BA80" s="976"/>
      <c r="BB80" s="976"/>
      <c r="BC80" s="976"/>
      <c r="BD80" s="976"/>
      <c r="BF80" s="990"/>
      <c r="BG80" s="990"/>
      <c r="BH80" s="990"/>
      <c r="BJ80" s="814">
        <f>Q80+AI80+BD80+BH80</f>
        <v>0</v>
      </c>
      <c r="BK80" s="515"/>
      <c r="BM80" s="1146"/>
      <c r="BN80" s="1146"/>
      <c r="BO80" s="1146"/>
      <c r="BP80" s="1146"/>
      <c r="BQ80" s="1146"/>
      <c r="BR80" s="1146"/>
      <c r="BS80" s="1146"/>
      <c r="BT80" s="1146"/>
      <c r="BU80" s="1146"/>
      <c r="BV80" s="1146"/>
      <c r="BW80" s="1146"/>
      <c r="BX80" s="1146"/>
      <c r="BY80" s="1146"/>
      <c r="BZ80" s="1146"/>
      <c r="CA80" s="1146"/>
      <c r="CB80" s="1146"/>
      <c r="CC80" s="1146"/>
      <c r="CD80" s="1146"/>
      <c r="CE80" s="1146"/>
      <c r="CF80" s="1146"/>
      <c r="CG80" s="1146"/>
      <c r="CH80" s="1146"/>
      <c r="CI80" s="1146"/>
      <c r="CJ80" s="1146"/>
      <c r="CK80" s="1146"/>
      <c r="CL80" s="1146"/>
      <c r="CM80" s="1146"/>
      <c r="CN80" s="1146"/>
      <c r="CO80" s="1146"/>
      <c r="CP80" s="1146"/>
      <c r="CQ80" s="1146"/>
      <c r="CR80" s="1146"/>
      <c r="CS80" s="1146"/>
      <c r="CT80" s="1146"/>
      <c r="CU80" s="1146"/>
      <c r="CV80" s="1146"/>
      <c r="CW80" s="1146"/>
      <c r="CX80" s="1146"/>
      <c r="CY80" s="1146"/>
      <c r="CZ80" s="1146"/>
      <c r="DA80" s="1146"/>
      <c r="DB80" s="1146"/>
      <c r="DC80" s="1146"/>
      <c r="DD80" s="1146"/>
    </row>
    <row r="81" spans="1:108" hidden="1" outlineLevel="1">
      <c r="A81" s="715"/>
      <c r="B81" s="715"/>
      <c r="C81" s="746" t="s">
        <v>965</v>
      </c>
      <c r="D81" s="521" t="str">
        <f>INDEX(Modules[Module], MATCH($C81, Modules[Code], 0))</f>
        <v>Waste arising</v>
      </c>
      <c r="E81" s="521"/>
      <c r="F81" s="12" t="s">
        <v>1223</v>
      </c>
      <c r="G81" s="1017"/>
      <c r="H81" s="1017"/>
      <c r="I81" s="1017"/>
      <c r="J81" s="1017"/>
      <c r="K81" s="1017"/>
      <c r="L81" s="1017"/>
      <c r="M81" s="1017"/>
      <c r="N81" s="1017"/>
      <c r="O81" s="1017"/>
      <c r="P81" s="1017"/>
      <c r="Q81" s="1019">
        <f t="shared" ref="Q81:Q87" si="79">SUM(G81:P81)</f>
        <v>0</v>
      </c>
      <c r="S81" s="1026"/>
      <c r="T81" s="1026"/>
      <c r="U81" s="1026"/>
      <c r="V81" s="1026"/>
      <c r="W81" s="1026"/>
      <c r="X81" s="1026"/>
      <c r="Y81" s="1026"/>
      <c r="Z81" s="1026"/>
      <c r="AA81" s="1026"/>
      <c r="AB81" s="1026"/>
      <c r="AC81" s="1026"/>
      <c r="AD81" s="1026"/>
      <c r="AE81" s="1026"/>
      <c r="AF81" s="1026"/>
      <c r="AG81" s="1026"/>
      <c r="AH81" s="1026"/>
      <c r="AI81" s="1027">
        <f t="shared" ref="AI81:AI87" si="80">SUM(S81:AH81)</f>
        <v>0</v>
      </c>
      <c r="AK81" s="1038"/>
      <c r="AL81" s="1038"/>
      <c r="AM81" s="1038"/>
      <c r="AN81" s="1038"/>
      <c r="AO81" s="1038"/>
      <c r="AP81" s="1038"/>
      <c r="AQ81" s="1038"/>
      <c r="AR81" s="1038"/>
      <c r="AS81" s="1038"/>
      <c r="AT81" s="1038"/>
      <c r="AU81" s="1038"/>
      <c r="AV81" s="1038"/>
      <c r="AW81" s="1038"/>
      <c r="AX81" s="1038"/>
      <c r="AY81" s="1038"/>
      <c r="AZ81" s="1038"/>
      <c r="BA81" s="1038"/>
      <c r="BB81" s="1038"/>
      <c r="BC81" s="1038"/>
      <c r="BD81" s="979">
        <f t="shared" ref="BD81:BD87" si="81">SUM(AK81:BC81)</f>
        <v>0</v>
      </c>
      <c r="BF81" s="1032"/>
      <c r="BG81" s="1032"/>
      <c r="BH81" s="1034">
        <f t="shared" ref="BH81:BH87" si="82">SUM(BF81:BG81)</f>
        <v>0</v>
      </c>
      <c r="BJ81" s="814">
        <f>Q81+AI81+BD81+BH81</f>
        <v>0</v>
      </c>
      <c r="BK81" s="814"/>
      <c r="BL81" s="715"/>
      <c r="BM81" s="1147"/>
      <c r="BN81" s="1146"/>
      <c r="BO81" s="1146"/>
      <c r="BP81" s="1146"/>
      <c r="BQ81" s="1146"/>
      <c r="BR81" s="1146"/>
      <c r="BS81" s="1146"/>
      <c r="BT81" s="1146"/>
      <c r="BU81" s="1146"/>
      <c r="BV81" s="1146"/>
      <c r="BW81" s="1146"/>
      <c r="BX81" s="1146"/>
      <c r="BY81" s="1146"/>
      <c r="BZ81" s="1146"/>
      <c r="CA81" s="1146"/>
      <c r="CB81" s="1146"/>
      <c r="CC81" s="1146"/>
      <c r="CD81" s="1146"/>
      <c r="CE81" s="1146"/>
      <c r="CF81" s="1146"/>
      <c r="CG81" s="1146"/>
      <c r="CH81" s="1146"/>
      <c r="CI81" s="1146"/>
      <c r="CJ81" s="1146"/>
      <c r="CK81" s="1146"/>
      <c r="CL81" s="1146"/>
      <c r="CM81" s="1146"/>
      <c r="CN81" s="1146"/>
      <c r="CO81" s="1146"/>
      <c r="CP81" s="1146"/>
      <c r="CQ81" s="1146"/>
      <c r="CR81" s="1146"/>
      <c r="CS81" s="1146"/>
      <c r="CT81" s="1146"/>
      <c r="CU81" s="1146"/>
      <c r="CV81" s="1146"/>
      <c r="CW81" s="1146"/>
      <c r="CX81" s="1146"/>
      <c r="CY81" s="1146"/>
      <c r="CZ81" s="1146"/>
      <c r="DA81" s="1146"/>
      <c r="DB81" s="1146"/>
      <c r="DC81" s="1146"/>
      <c r="DD81" s="1146"/>
    </row>
    <row r="82" spans="1:108" s="246" customFormat="1" hidden="1" outlineLevel="1">
      <c r="A82" s="849"/>
      <c r="B82" s="849"/>
      <c r="C82" s="1048"/>
      <c r="D82" s="851"/>
      <c r="E82" s="851" t="s">
        <v>1241</v>
      </c>
      <c r="F82" s="1471"/>
      <c r="G82" s="1497"/>
      <c r="H82" s="1497"/>
      <c r="I82" s="1497"/>
      <c r="J82" s="1497"/>
      <c r="K82" s="1497"/>
      <c r="L82" s="1497"/>
      <c r="M82" s="1497"/>
      <c r="N82" s="1497"/>
      <c r="O82" s="1497"/>
      <c r="P82" s="1497"/>
      <c r="Q82" s="1019">
        <f t="shared" si="79"/>
        <v>0</v>
      </c>
      <c r="S82" s="1312"/>
      <c r="T82" s="1312"/>
      <c r="U82" s="1312"/>
      <c r="V82" s="1312"/>
      <c r="W82" s="1312"/>
      <c r="X82" s="1312"/>
      <c r="Y82" s="1312"/>
      <c r="Z82" s="1312"/>
      <c r="AA82" s="1312"/>
      <c r="AB82" s="1312"/>
      <c r="AC82" s="1312">
        <f>-AC74</f>
        <v>65.656257777777782</v>
      </c>
      <c r="AD82" s="1312"/>
      <c r="AE82" s="1312"/>
      <c r="AF82" s="1312"/>
      <c r="AG82" s="1312"/>
      <c r="AH82" s="1312"/>
      <c r="AI82" s="1027">
        <f t="shared" si="80"/>
        <v>65.656257777777782</v>
      </c>
      <c r="AK82" s="1498"/>
      <c r="AL82" s="1498"/>
      <c r="AM82" s="1498"/>
      <c r="AN82" s="1498">
        <f>-40%*AC82</f>
        <v>-26.262503111111116</v>
      </c>
      <c r="AO82" s="1498"/>
      <c r="AP82" s="1498"/>
      <c r="AQ82" s="1498"/>
      <c r="AR82" s="1498"/>
      <c r="AS82" s="1498"/>
      <c r="AT82" s="1498"/>
      <c r="AU82" s="1498"/>
      <c r="AV82" s="1498"/>
      <c r="AW82" s="1498"/>
      <c r="AX82" s="1498"/>
      <c r="AY82" s="1498"/>
      <c r="AZ82" s="1498"/>
      <c r="BA82" s="1498"/>
      <c r="BB82" s="1498">
        <f>-60%*AC82</f>
        <v>-39.393754666666666</v>
      </c>
      <c r="BC82" s="1498"/>
      <c r="BD82" s="979">
        <f t="shared" si="81"/>
        <v>-65.656257777777782</v>
      </c>
      <c r="BF82" s="1499"/>
      <c r="BG82" s="1499"/>
      <c r="BH82" s="1034">
        <f t="shared" si="82"/>
        <v>0</v>
      </c>
      <c r="BJ82" s="852"/>
      <c r="BK82" s="852"/>
      <c r="BL82" s="849"/>
      <c r="BM82" s="1149"/>
      <c r="BN82" s="1302"/>
      <c r="BO82" s="1302"/>
      <c r="BP82" s="1302"/>
      <c r="BQ82" s="1302"/>
      <c r="BR82" s="1302"/>
      <c r="BS82" s="1302"/>
      <c r="BT82" s="1302"/>
      <c r="BU82" s="1302"/>
      <c r="BV82" s="1302"/>
      <c r="BW82" s="1302"/>
      <c r="BX82" s="1302"/>
      <c r="BY82" s="1302"/>
      <c r="BZ82" s="1302"/>
      <c r="CA82" s="1302"/>
      <c r="CB82" s="1302"/>
      <c r="CC82" s="1302"/>
      <c r="CD82" s="1302"/>
      <c r="CE82" s="1302"/>
      <c r="CF82" s="1302"/>
      <c r="CG82" s="1302"/>
      <c r="CH82" s="1302"/>
      <c r="CI82" s="1302"/>
      <c r="CJ82" s="1302"/>
      <c r="CK82" s="1302"/>
      <c r="CL82" s="1302"/>
      <c r="CM82" s="1302"/>
      <c r="CN82" s="1302"/>
      <c r="CO82" s="1302"/>
      <c r="CP82" s="1302"/>
      <c r="CQ82" s="1302"/>
      <c r="CR82" s="1302"/>
      <c r="CS82" s="1302"/>
      <c r="CT82" s="1302"/>
      <c r="CU82" s="1302"/>
      <c r="CV82" s="1302"/>
      <c r="CW82" s="1302"/>
      <c r="CX82" s="1302"/>
      <c r="CY82" s="1302"/>
      <c r="CZ82" s="1302"/>
      <c r="DA82" s="1302"/>
      <c r="DB82" s="1302"/>
      <c r="DC82" s="1302"/>
      <c r="DD82" s="1302"/>
    </row>
    <row r="83" spans="1:108" s="246" customFormat="1" hidden="1" outlineLevel="1">
      <c r="A83" s="849"/>
      <c r="B83" s="849"/>
      <c r="C83" s="1048"/>
      <c r="D83" s="851"/>
      <c r="E83" s="851" t="s">
        <v>223</v>
      </c>
      <c r="F83" s="1471"/>
      <c r="G83" s="1497"/>
      <c r="H83" s="1497"/>
      <c r="I83" s="1497"/>
      <c r="J83" s="1497"/>
      <c r="K83" s="1497"/>
      <c r="L83" s="1497"/>
      <c r="M83" s="1497"/>
      <c r="N83" s="1497"/>
      <c r="O83" s="1497"/>
      <c r="P83" s="1497"/>
      <c r="Q83" s="1019">
        <f t="shared" si="79"/>
        <v>0</v>
      </c>
      <c r="S83" s="1312"/>
      <c r="T83" s="1312"/>
      <c r="U83" s="1312"/>
      <c r="V83" s="1312"/>
      <c r="W83" s="1312"/>
      <c r="X83" s="1312"/>
      <c r="Y83" s="1312"/>
      <c r="Z83" s="1312"/>
      <c r="AA83" s="1312"/>
      <c r="AB83" s="1312"/>
      <c r="AC83" s="1312"/>
      <c r="AD83" s="1312"/>
      <c r="AE83" s="1312">
        <f>'DUKES 09 (7.2)'!$C$8*Unit.ktoe</f>
        <v>3.8611111111111107</v>
      </c>
      <c r="AF83" s="1312"/>
      <c r="AG83" s="1312"/>
      <c r="AH83" s="1312"/>
      <c r="AI83" s="1027">
        <f t="shared" si="80"/>
        <v>3.8611111111111107</v>
      </c>
      <c r="AK83" s="1498"/>
      <c r="AL83" s="1498"/>
      <c r="AM83" s="1498"/>
      <c r="AN83" s="1498"/>
      <c r="AO83" s="1498"/>
      <c r="AP83" s="1498"/>
      <c r="AQ83" s="1498"/>
      <c r="AR83" s="1498"/>
      <c r="AS83" s="1498"/>
      <c r="AT83" s="1498"/>
      <c r="AU83" s="1498"/>
      <c r="AV83" s="1498"/>
      <c r="AW83" s="1498"/>
      <c r="AX83" s="1498"/>
      <c r="AY83" s="1498"/>
      <c r="AZ83" s="1498"/>
      <c r="BA83" s="1498"/>
      <c r="BB83" s="1498">
        <f>-AE83</f>
        <v>-3.8611111111111107</v>
      </c>
      <c r="BC83" s="1498"/>
      <c r="BD83" s="979">
        <f t="shared" si="81"/>
        <v>-3.8611111111111107</v>
      </c>
      <c r="BF83" s="1499"/>
      <c r="BG83" s="1499"/>
      <c r="BH83" s="1034">
        <f t="shared" si="82"/>
        <v>0</v>
      </c>
      <c r="BJ83" s="814">
        <f t="shared" ref="BJ83:BJ98" si="83">Q83+AI83+BD83+BH83</f>
        <v>0</v>
      </c>
      <c r="BK83" s="852"/>
      <c r="BL83" s="849"/>
      <c r="BM83" s="1149"/>
      <c r="BN83" s="1302"/>
      <c r="BO83" s="1302"/>
      <c r="BP83" s="1302"/>
      <c r="BQ83" s="1302"/>
      <c r="BR83" s="1302"/>
      <c r="BS83" s="1302"/>
      <c r="BT83" s="1302"/>
      <c r="BU83" s="1302"/>
      <c r="BV83" s="1302"/>
      <c r="BW83" s="1302"/>
      <c r="BX83" s="1302"/>
      <c r="BY83" s="1302"/>
      <c r="BZ83" s="1302"/>
      <c r="CA83" s="1302"/>
      <c r="CB83" s="1302"/>
      <c r="CC83" s="1302"/>
      <c r="CD83" s="1302"/>
      <c r="CE83" s="1302"/>
      <c r="CF83" s="1302"/>
      <c r="CG83" s="1302"/>
      <c r="CH83" s="1302"/>
      <c r="CI83" s="1302"/>
      <c r="CJ83" s="1302"/>
      <c r="CK83" s="1302"/>
      <c r="CL83" s="1302"/>
      <c r="CM83" s="1302"/>
      <c r="CN83" s="1302"/>
      <c r="CO83" s="1302"/>
      <c r="CP83" s="1302"/>
      <c r="CQ83" s="1302"/>
      <c r="CR83" s="1302"/>
      <c r="CS83" s="1302"/>
      <c r="CT83" s="1302"/>
      <c r="CU83" s="1302"/>
      <c r="CV83" s="1302"/>
      <c r="CW83" s="1302"/>
      <c r="CX83" s="1302"/>
      <c r="CY83" s="1302"/>
      <c r="CZ83" s="1302"/>
      <c r="DA83" s="1302"/>
      <c r="DB83" s="1302"/>
      <c r="DC83" s="1302"/>
      <c r="DD83" s="1302"/>
    </row>
    <row r="84" spans="1:108" s="246" customFormat="1" hidden="1" outlineLevel="1">
      <c r="A84" s="849"/>
      <c r="B84" s="849"/>
      <c r="C84" s="1048"/>
      <c r="D84" s="851"/>
      <c r="E84" s="851" t="s">
        <v>1242</v>
      </c>
      <c r="F84" s="1471"/>
      <c r="G84" s="1497"/>
      <c r="H84" s="1497"/>
      <c r="I84" s="1497"/>
      <c r="J84" s="1497"/>
      <c r="K84" s="1497"/>
      <c r="L84" s="1497"/>
      <c r="M84" s="1497"/>
      <c r="N84" s="1497"/>
      <c r="O84" s="1497"/>
      <c r="P84" s="1497"/>
      <c r="Q84" s="1019">
        <f t="shared" si="79"/>
        <v>0</v>
      </c>
      <c r="S84" s="1312"/>
      <c r="T84" s="1312"/>
      <c r="U84" s="1312"/>
      <c r="V84" s="1312"/>
      <c r="W84" s="1312"/>
      <c r="X84" s="1312"/>
      <c r="Y84" s="1312"/>
      <c r="Z84" s="1312"/>
      <c r="AA84" s="1312"/>
      <c r="AB84" s="1312"/>
      <c r="AC84" s="1312"/>
      <c r="AD84" s="1312"/>
      <c r="AE84" s="1312">
        <f>'DUKES 09 (7.2)'!$E$15*Unit.ktoe</f>
        <v>10.150994131564845</v>
      </c>
      <c r="AF84" s="1312"/>
      <c r="AG84" s="1312"/>
      <c r="AH84" s="1312"/>
      <c r="AI84" s="1027">
        <f t="shared" si="80"/>
        <v>10.150994131564845</v>
      </c>
      <c r="AK84" s="1498"/>
      <c r="AL84" s="1498"/>
      <c r="AM84" s="1498"/>
      <c r="AN84" s="1498"/>
      <c r="AO84" s="1498"/>
      <c r="AP84" s="1498"/>
      <c r="AQ84" s="1498"/>
      <c r="AR84" s="1498"/>
      <c r="AS84" s="1498"/>
      <c r="AT84" s="1498"/>
      <c r="AU84" s="1498"/>
      <c r="AV84" s="1498"/>
      <c r="AW84" s="1498"/>
      <c r="AX84" s="1498"/>
      <c r="AY84" s="1498"/>
      <c r="AZ84" s="1498"/>
      <c r="BA84" s="1498"/>
      <c r="BB84" s="1498">
        <f>-AE84</f>
        <v>-10.150994131564845</v>
      </c>
      <c r="BC84" s="1498"/>
      <c r="BD84" s="979">
        <f t="shared" si="81"/>
        <v>-10.150994131564845</v>
      </c>
      <c r="BF84" s="1499"/>
      <c r="BG84" s="1499"/>
      <c r="BH84" s="1034">
        <f t="shared" si="82"/>
        <v>0</v>
      </c>
      <c r="BJ84" s="814">
        <f t="shared" si="83"/>
        <v>0</v>
      </c>
      <c r="BK84" s="852"/>
      <c r="BL84" s="849"/>
      <c r="BM84" s="1149"/>
      <c r="BN84" s="1302"/>
      <c r="BO84" s="1302"/>
      <c r="BP84" s="1302"/>
      <c r="BQ84" s="1302"/>
      <c r="BR84" s="1302"/>
      <c r="BS84" s="1302"/>
      <c r="BT84" s="1302"/>
      <c r="BU84" s="1302"/>
      <c r="BV84" s="1302"/>
      <c r="BW84" s="1302"/>
      <c r="BX84" s="1302"/>
      <c r="BY84" s="1302"/>
      <c r="BZ84" s="1302"/>
      <c r="CA84" s="1302"/>
      <c r="CB84" s="1302"/>
      <c r="CC84" s="1302"/>
      <c r="CD84" s="1302"/>
      <c r="CE84" s="1302"/>
      <c r="CF84" s="1302"/>
      <c r="CG84" s="1302"/>
      <c r="CH84" s="1302"/>
      <c r="CI84" s="1302"/>
      <c r="CJ84" s="1302"/>
      <c r="CK84" s="1302"/>
      <c r="CL84" s="1302"/>
      <c r="CM84" s="1302"/>
      <c r="CN84" s="1302"/>
      <c r="CO84" s="1302"/>
      <c r="CP84" s="1302"/>
      <c r="CQ84" s="1302"/>
      <c r="CR84" s="1302"/>
      <c r="CS84" s="1302"/>
      <c r="CT84" s="1302"/>
      <c r="CU84" s="1302"/>
      <c r="CV84" s="1302"/>
      <c r="CW84" s="1302"/>
      <c r="CX84" s="1302"/>
      <c r="CY84" s="1302"/>
      <c r="CZ84" s="1302"/>
      <c r="DA84" s="1302"/>
      <c r="DB84" s="1302"/>
      <c r="DC84" s="1302"/>
      <c r="DD84" s="1302"/>
    </row>
    <row r="85" spans="1:108" s="246" customFormat="1" hidden="1" outlineLevel="1">
      <c r="A85" s="849"/>
      <c r="B85" s="849"/>
      <c r="C85" s="1048"/>
      <c r="D85" s="851"/>
      <c r="E85" s="851" t="s">
        <v>613</v>
      </c>
      <c r="F85" s="1471"/>
      <c r="G85" s="1497"/>
      <c r="H85" s="1497"/>
      <c r="I85" s="1497"/>
      <c r="J85" s="1497"/>
      <c r="K85" s="1497"/>
      <c r="L85" s="1497"/>
      <c r="M85" s="1497"/>
      <c r="N85" s="1497"/>
      <c r="O85" s="1497"/>
      <c r="P85" s="1497"/>
      <c r="Q85" s="1019">
        <f t="shared" si="79"/>
        <v>0</v>
      </c>
      <c r="S85" s="1312"/>
      <c r="T85" s="1312"/>
      <c r="U85" s="1312"/>
      <c r="V85" s="1312"/>
      <c r="W85" s="1312"/>
      <c r="X85" s="1312"/>
      <c r="Y85" s="1312"/>
      <c r="Z85" s="1312"/>
      <c r="AA85" s="1312"/>
      <c r="AB85" s="1312"/>
      <c r="AC85" s="1312"/>
      <c r="AD85" s="1312"/>
      <c r="AE85" s="1312">
        <f>'DUKES 09 (7.2)'!$N$8*Unit.ktoe</f>
        <v>4.5999123584699992</v>
      </c>
      <c r="AF85" s="1312"/>
      <c r="AG85" s="1312"/>
      <c r="AH85" s="1312"/>
      <c r="AI85" s="1027">
        <f t="shared" si="80"/>
        <v>4.5999123584699992</v>
      </c>
      <c r="AK85" s="1498"/>
      <c r="AL85" s="1498"/>
      <c r="AM85" s="1498"/>
      <c r="AN85" s="1498"/>
      <c r="AO85" s="1498"/>
      <c r="AP85" s="1498"/>
      <c r="AQ85" s="1498"/>
      <c r="AR85" s="1498"/>
      <c r="AS85" s="1498"/>
      <c r="AT85" s="1498"/>
      <c r="AU85" s="1498"/>
      <c r="AV85" s="1498"/>
      <c r="AW85" s="1498"/>
      <c r="AX85" s="1498"/>
      <c r="AY85" s="1498"/>
      <c r="AZ85" s="1498"/>
      <c r="BA85" s="1498"/>
      <c r="BB85" s="1498">
        <f>-AE85</f>
        <v>-4.5999123584699992</v>
      </c>
      <c r="BC85" s="1498"/>
      <c r="BD85" s="979">
        <f t="shared" si="81"/>
        <v>-4.5999123584699992</v>
      </c>
      <c r="BF85" s="1499"/>
      <c r="BG85" s="1499"/>
      <c r="BH85" s="1034">
        <f t="shared" si="82"/>
        <v>0</v>
      </c>
      <c r="BJ85" s="814">
        <f t="shared" si="83"/>
        <v>0</v>
      </c>
      <c r="BK85" s="852"/>
      <c r="BL85" s="849"/>
      <c r="BM85" s="1149"/>
      <c r="BN85" s="1302"/>
      <c r="BO85" s="1302"/>
      <c r="BP85" s="1302"/>
      <c r="BQ85" s="1302"/>
      <c r="BR85" s="1302"/>
      <c r="BS85" s="1302"/>
      <c r="BT85" s="1302"/>
      <c r="BU85" s="1302"/>
      <c r="BV85" s="1302"/>
      <c r="BW85" s="1302"/>
      <c r="BX85" s="1302"/>
      <c r="BY85" s="1302"/>
      <c r="BZ85" s="1302"/>
      <c r="CA85" s="1302"/>
      <c r="CB85" s="1302"/>
      <c r="CC85" s="1302"/>
      <c r="CD85" s="1302"/>
      <c r="CE85" s="1302"/>
      <c r="CF85" s="1302"/>
      <c r="CG85" s="1302"/>
      <c r="CH85" s="1302"/>
      <c r="CI85" s="1302"/>
      <c r="CJ85" s="1302"/>
      <c r="CK85" s="1302"/>
      <c r="CL85" s="1302"/>
      <c r="CM85" s="1302"/>
      <c r="CN85" s="1302"/>
      <c r="CO85" s="1302"/>
      <c r="CP85" s="1302"/>
      <c r="CQ85" s="1302"/>
      <c r="CR85" s="1302"/>
      <c r="CS85" s="1302"/>
      <c r="CT85" s="1302"/>
      <c r="CU85" s="1302"/>
      <c r="CV85" s="1302"/>
      <c r="CW85" s="1302"/>
      <c r="CX85" s="1302"/>
      <c r="CY85" s="1302"/>
      <c r="CZ85" s="1302"/>
      <c r="DA85" s="1302"/>
      <c r="DB85" s="1302"/>
      <c r="DC85" s="1302"/>
      <c r="DD85" s="1302"/>
    </row>
    <row r="86" spans="1:108" ht="12.75" hidden="1" customHeight="1" outlineLevel="1">
      <c r="A86" s="715"/>
      <c r="B86" s="715"/>
      <c r="C86" s="746" t="s">
        <v>924</v>
      </c>
      <c r="D86" s="1010" t="str">
        <f>INDEX(Modules[Module], MATCH($C86, Modules[Code], 0))</f>
        <v>Agriculture and land use</v>
      </c>
      <c r="E86" s="1010"/>
      <c r="F86" s="12" t="s">
        <v>1223</v>
      </c>
      <c r="G86" s="1022"/>
      <c r="H86" s="1022"/>
      <c r="I86" s="1022">
        <f>-S86</f>
        <v>4.1248585661758046</v>
      </c>
      <c r="J86" s="1022"/>
      <c r="K86" s="1022"/>
      <c r="L86" s="1022"/>
      <c r="M86" s="1022"/>
      <c r="N86" s="1022"/>
      <c r="O86" s="1022"/>
      <c r="P86" s="1022"/>
      <c r="Q86" s="1020">
        <f t="shared" si="79"/>
        <v>4.1248585661758046</v>
      </c>
      <c r="S86" s="1031">
        <f>-'DUKES 09 (1.2)'!$I$61*Unit.ktoe</f>
        <v>-4.1248585661758046</v>
      </c>
      <c r="T86" s="1031">
        <f t="shared" ref="T86:AH86" si="84">SUM(T82:T85)</f>
        <v>0</v>
      </c>
      <c r="U86" s="1031">
        <f t="shared" si="84"/>
        <v>0</v>
      </c>
      <c r="V86" s="1031">
        <f t="shared" si="84"/>
        <v>0</v>
      </c>
      <c r="W86" s="1031">
        <f t="shared" si="84"/>
        <v>0</v>
      </c>
      <c r="X86" s="1031">
        <f t="shared" si="84"/>
        <v>0</v>
      </c>
      <c r="Y86" s="1031">
        <f t="shared" si="84"/>
        <v>0</v>
      </c>
      <c r="Z86" s="1031">
        <f t="shared" si="84"/>
        <v>0</v>
      </c>
      <c r="AA86" s="1031">
        <f t="shared" si="84"/>
        <v>0</v>
      </c>
      <c r="AB86" s="1031">
        <f t="shared" si="84"/>
        <v>0</v>
      </c>
      <c r="AC86" s="1031">
        <f t="shared" si="84"/>
        <v>65.656257777777782</v>
      </c>
      <c r="AD86" s="1031"/>
      <c r="AE86" s="1031">
        <f t="shared" si="84"/>
        <v>18.612017601145954</v>
      </c>
      <c r="AF86" s="1031">
        <f>SUM(AF82:AF85)</f>
        <v>0</v>
      </c>
      <c r="AG86" s="1031">
        <f>SUM(AG82:AG85)</f>
        <v>0</v>
      </c>
      <c r="AH86" s="1031">
        <f t="shared" si="84"/>
        <v>0</v>
      </c>
      <c r="AI86" s="1030">
        <f t="shared" si="80"/>
        <v>80.14341681274793</v>
      </c>
      <c r="AK86" s="1042">
        <f t="shared" ref="AK86:BC86" si="85">SUM(AK82:AK85)</f>
        <v>0</v>
      </c>
      <c r="AL86" s="1042">
        <f t="shared" si="85"/>
        <v>0</v>
      </c>
      <c r="AM86" s="1042">
        <f t="shared" si="85"/>
        <v>0</v>
      </c>
      <c r="AN86" s="1042">
        <f t="shared" si="85"/>
        <v>-26.262503111111116</v>
      </c>
      <c r="AO86" s="1042">
        <f t="shared" si="85"/>
        <v>0</v>
      </c>
      <c r="AP86" s="1042">
        <f t="shared" si="85"/>
        <v>0</v>
      </c>
      <c r="AQ86" s="1042">
        <f t="shared" si="85"/>
        <v>0</v>
      </c>
      <c r="AR86" s="1042">
        <f t="shared" si="85"/>
        <v>0</v>
      </c>
      <c r="AS86" s="1042">
        <f t="shared" si="85"/>
        <v>0</v>
      </c>
      <c r="AT86" s="1042">
        <f t="shared" si="85"/>
        <v>0</v>
      </c>
      <c r="AU86" s="1042">
        <f t="shared" si="85"/>
        <v>0</v>
      </c>
      <c r="AV86" s="1042">
        <f t="shared" si="85"/>
        <v>0</v>
      </c>
      <c r="AW86" s="1042">
        <f t="shared" si="85"/>
        <v>0</v>
      </c>
      <c r="AX86" s="1042">
        <f t="shared" si="85"/>
        <v>0</v>
      </c>
      <c r="AY86" s="1042">
        <f t="shared" si="85"/>
        <v>0</v>
      </c>
      <c r="AZ86" s="1042">
        <f t="shared" si="85"/>
        <v>0</v>
      </c>
      <c r="BA86" s="1042">
        <f t="shared" si="85"/>
        <v>0</v>
      </c>
      <c r="BB86" s="1042">
        <f t="shared" si="85"/>
        <v>-58.005772267812624</v>
      </c>
      <c r="BC86" s="1042">
        <f t="shared" si="85"/>
        <v>0</v>
      </c>
      <c r="BD86" s="1012">
        <f t="shared" si="81"/>
        <v>-84.268275378923732</v>
      </c>
      <c r="BF86" s="1036">
        <f>SUM(BF82:BF85)</f>
        <v>0</v>
      </c>
      <c r="BG86" s="1036">
        <f>SUM(BG82:BG85)</f>
        <v>0</v>
      </c>
      <c r="BH86" s="1035">
        <f t="shared" si="82"/>
        <v>0</v>
      </c>
      <c r="BJ86" s="814">
        <f t="shared" si="83"/>
        <v>0</v>
      </c>
      <c r="BK86" s="814"/>
      <c r="BL86" s="715"/>
      <c r="BM86" s="1147"/>
      <c r="BN86" s="1146"/>
      <c r="BO86" s="1146"/>
      <c r="BP86" s="1146"/>
      <c r="BQ86" s="1146"/>
      <c r="BR86" s="1146"/>
      <c r="BS86" s="1146"/>
      <c r="BT86" s="1146"/>
      <c r="BU86" s="1146"/>
      <c r="BV86" s="1146"/>
      <c r="BW86" s="1146"/>
      <c r="BX86" s="1146"/>
      <c r="BY86" s="1146"/>
      <c r="BZ86" s="1146"/>
      <c r="CA86" s="1146"/>
      <c r="CB86" s="1146"/>
      <c r="CC86" s="1146"/>
      <c r="CD86" s="1146"/>
      <c r="CE86" s="1146"/>
      <c r="CF86" s="1146"/>
      <c r="CG86" s="1146"/>
      <c r="CH86" s="1146"/>
      <c r="CI86" s="1146"/>
      <c r="CJ86" s="1146"/>
      <c r="CK86" s="1146"/>
      <c r="CL86" s="1146"/>
      <c r="CM86" s="1146"/>
      <c r="CN86" s="1146"/>
      <c r="CO86" s="1146"/>
      <c r="CP86" s="1146"/>
      <c r="CQ86" s="1146"/>
      <c r="CR86" s="1146"/>
      <c r="CS86" s="1146"/>
      <c r="CT86" s="1146"/>
      <c r="CU86" s="1146"/>
      <c r="CV86" s="1146"/>
      <c r="CW86" s="1146"/>
      <c r="CX86" s="1146"/>
      <c r="CY86" s="1146"/>
      <c r="CZ86" s="1146"/>
      <c r="DA86" s="1146"/>
      <c r="DB86" s="1146"/>
      <c r="DC86" s="1146"/>
      <c r="DD86" s="1146"/>
    </row>
    <row r="87" spans="1:108" ht="15.75" collapsed="1">
      <c r="A87" s="24"/>
      <c r="B87" s="3" t="s">
        <v>798</v>
      </c>
      <c r="C87" s="744" t="s">
        <v>672</v>
      </c>
      <c r="D87" s="517" t="str">
        <f>INDEX(Workstreams[Workstream], MATCH($C87, Workstreams[Code], 0))</f>
        <v>Agriculture and waste</v>
      </c>
      <c r="E87" s="512"/>
      <c r="F87" s="12"/>
      <c r="G87" s="1021">
        <f>G81+G86</f>
        <v>0</v>
      </c>
      <c r="H87" s="1021">
        <f t="shared" ref="H87:P87" si="86">H81+H86</f>
        <v>0</v>
      </c>
      <c r="I87" s="1021">
        <f t="shared" si="86"/>
        <v>4.1248585661758046</v>
      </c>
      <c r="J87" s="1021">
        <f t="shared" si="86"/>
        <v>0</v>
      </c>
      <c r="K87" s="1021">
        <f t="shared" si="86"/>
        <v>0</v>
      </c>
      <c r="L87" s="1021">
        <f t="shared" si="86"/>
        <v>0</v>
      </c>
      <c r="M87" s="1021">
        <f t="shared" si="86"/>
        <v>0</v>
      </c>
      <c r="N87" s="1021">
        <f t="shared" si="86"/>
        <v>0</v>
      </c>
      <c r="O87" s="1021">
        <f t="shared" si="86"/>
        <v>0</v>
      </c>
      <c r="P87" s="1021">
        <f t="shared" si="86"/>
        <v>0</v>
      </c>
      <c r="Q87" s="1021">
        <f t="shared" si="79"/>
        <v>4.1248585661758046</v>
      </c>
      <c r="S87" s="970">
        <f t="shared" ref="S87:AH87" si="87">S81+S86</f>
        <v>-4.1248585661758046</v>
      </c>
      <c r="T87" s="970">
        <f t="shared" si="87"/>
        <v>0</v>
      </c>
      <c r="U87" s="970">
        <f t="shared" si="87"/>
        <v>0</v>
      </c>
      <c r="V87" s="970">
        <f t="shared" si="87"/>
        <v>0</v>
      </c>
      <c r="W87" s="970">
        <f t="shared" si="87"/>
        <v>0</v>
      </c>
      <c r="X87" s="970">
        <f t="shared" si="87"/>
        <v>0</v>
      </c>
      <c r="Y87" s="970">
        <f t="shared" si="87"/>
        <v>0</v>
      </c>
      <c r="Z87" s="970">
        <f t="shared" si="87"/>
        <v>0</v>
      </c>
      <c r="AA87" s="970">
        <f t="shared" si="87"/>
        <v>0</v>
      </c>
      <c r="AB87" s="970">
        <f t="shared" si="87"/>
        <v>0</v>
      </c>
      <c r="AC87" s="970">
        <f t="shared" si="87"/>
        <v>65.656257777777782</v>
      </c>
      <c r="AD87" s="970">
        <f t="shared" si="87"/>
        <v>0</v>
      </c>
      <c r="AE87" s="970">
        <f t="shared" si="87"/>
        <v>18.612017601145954</v>
      </c>
      <c r="AF87" s="970">
        <f>AF81+AF86</f>
        <v>0</v>
      </c>
      <c r="AG87" s="970">
        <f>AG81+AG86</f>
        <v>0</v>
      </c>
      <c r="AH87" s="970">
        <f t="shared" si="87"/>
        <v>0</v>
      </c>
      <c r="AI87" s="970">
        <f t="shared" si="80"/>
        <v>80.14341681274793</v>
      </c>
      <c r="AK87" s="976">
        <f t="shared" ref="AK87:BC87" si="88">AK81+AK86</f>
        <v>0</v>
      </c>
      <c r="AL87" s="976">
        <f t="shared" si="88"/>
        <v>0</v>
      </c>
      <c r="AM87" s="976">
        <f t="shared" si="88"/>
        <v>0</v>
      </c>
      <c r="AN87" s="976">
        <f t="shared" si="88"/>
        <v>-26.262503111111116</v>
      </c>
      <c r="AO87" s="976">
        <f t="shared" si="88"/>
        <v>0</v>
      </c>
      <c r="AP87" s="976">
        <f t="shared" si="88"/>
        <v>0</v>
      </c>
      <c r="AQ87" s="976">
        <f t="shared" si="88"/>
        <v>0</v>
      </c>
      <c r="AR87" s="976">
        <f t="shared" si="88"/>
        <v>0</v>
      </c>
      <c r="AS87" s="976">
        <f t="shared" si="88"/>
        <v>0</v>
      </c>
      <c r="AT87" s="976">
        <f t="shared" si="88"/>
        <v>0</v>
      </c>
      <c r="AU87" s="976">
        <f t="shared" si="88"/>
        <v>0</v>
      </c>
      <c r="AV87" s="976">
        <f t="shared" si="88"/>
        <v>0</v>
      </c>
      <c r="AW87" s="976">
        <f t="shared" si="88"/>
        <v>0</v>
      </c>
      <c r="AX87" s="976">
        <f t="shared" si="88"/>
        <v>0</v>
      </c>
      <c r="AY87" s="976">
        <f t="shared" si="88"/>
        <v>0</v>
      </c>
      <c r="AZ87" s="976">
        <f t="shared" si="88"/>
        <v>0</v>
      </c>
      <c r="BA87" s="976">
        <f t="shared" si="88"/>
        <v>0</v>
      </c>
      <c r="BB87" s="976">
        <f t="shared" si="88"/>
        <v>-58.005772267812624</v>
      </c>
      <c r="BC87" s="976">
        <f t="shared" si="88"/>
        <v>0</v>
      </c>
      <c r="BD87" s="976">
        <f t="shared" si="81"/>
        <v>-84.268275378923732</v>
      </c>
      <c r="BF87" s="990">
        <f>BF81+BF86</f>
        <v>0</v>
      </c>
      <c r="BG87" s="990">
        <f>BG81+BG86</f>
        <v>0</v>
      </c>
      <c r="BH87" s="990">
        <f t="shared" si="82"/>
        <v>0</v>
      </c>
      <c r="BJ87" s="515">
        <f t="shared" si="83"/>
        <v>0</v>
      </c>
      <c r="BK87" s="515"/>
      <c r="BL87" s="24"/>
      <c r="BM87" s="1148"/>
      <c r="BN87" s="1146"/>
      <c r="BO87" s="1146"/>
      <c r="BP87" s="1146"/>
      <c r="BQ87" s="1146"/>
      <c r="BR87" s="1146"/>
      <c r="BS87" s="1146"/>
      <c r="BT87" s="1146"/>
      <c r="BU87" s="1146"/>
      <c r="BV87" s="1146"/>
      <c r="BW87" s="1146"/>
      <c r="BX87" s="1146"/>
      <c r="BY87" s="1146"/>
      <c r="BZ87" s="1146"/>
      <c r="CA87" s="1146"/>
      <c r="CB87" s="1146"/>
      <c r="CC87" s="1146"/>
      <c r="CD87" s="1146"/>
      <c r="CE87" s="1146"/>
      <c r="CF87" s="1146"/>
      <c r="CG87" s="1146"/>
      <c r="CH87" s="1146"/>
      <c r="CI87" s="1146"/>
      <c r="CJ87" s="1146"/>
      <c r="CK87" s="1146"/>
      <c r="CL87" s="1146"/>
      <c r="CM87" s="1146"/>
      <c r="CN87" s="1146"/>
      <c r="CO87" s="1146"/>
      <c r="CP87" s="1146"/>
      <c r="CQ87" s="1146"/>
      <c r="CR87" s="1146"/>
      <c r="CS87" s="1146"/>
      <c r="CT87" s="1146"/>
      <c r="CU87" s="1146"/>
      <c r="CV87" s="1146"/>
      <c r="CW87" s="1146"/>
      <c r="CX87" s="1146"/>
      <c r="CY87" s="1146"/>
      <c r="CZ87" s="1146"/>
      <c r="DA87" s="1146"/>
      <c r="DB87" s="1146"/>
      <c r="DC87" s="1146"/>
      <c r="DD87" s="1146"/>
    </row>
    <row r="88" spans="1:108" ht="12.75" hidden="1" customHeight="1" outlineLevel="1">
      <c r="A88" s="24"/>
      <c r="B88" s="24"/>
      <c r="C88" s="751"/>
      <c r="D88" s="512"/>
      <c r="E88" s="512"/>
      <c r="F88" s="12"/>
      <c r="G88" s="958"/>
      <c r="H88" s="958"/>
      <c r="I88" s="958"/>
      <c r="J88" s="958"/>
      <c r="K88" s="960"/>
      <c r="L88" s="958"/>
      <c r="M88" s="958"/>
      <c r="N88" s="958"/>
      <c r="O88" s="958"/>
      <c r="P88" s="958"/>
      <c r="Q88" s="958"/>
      <c r="S88" s="970"/>
      <c r="T88" s="970"/>
      <c r="U88" s="970"/>
      <c r="V88" s="970"/>
      <c r="W88" s="970"/>
      <c r="X88" s="970"/>
      <c r="Y88" s="970"/>
      <c r="Z88" s="970"/>
      <c r="AA88" s="970"/>
      <c r="AB88" s="970"/>
      <c r="AC88" s="970"/>
      <c r="AD88" s="970"/>
      <c r="AE88" s="970"/>
      <c r="AF88" s="970"/>
      <c r="AG88" s="970"/>
      <c r="AH88" s="970"/>
      <c r="AI88" s="970"/>
      <c r="AK88" s="976"/>
      <c r="AL88" s="976"/>
      <c r="AM88" s="976"/>
      <c r="AN88" s="976"/>
      <c r="AO88" s="976"/>
      <c r="AP88" s="976"/>
      <c r="AQ88" s="976"/>
      <c r="AR88" s="976"/>
      <c r="AS88" s="976"/>
      <c r="AT88" s="976"/>
      <c r="AU88" s="976"/>
      <c r="AV88" s="976"/>
      <c r="AW88" s="976"/>
      <c r="AX88" s="976"/>
      <c r="AY88" s="976"/>
      <c r="AZ88" s="976"/>
      <c r="BA88" s="976"/>
      <c r="BB88" s="976"/>
      <c r="BC88" s="976"/>
      <c r="BD88" s="976"/>
      <c r="BF88" s="990"/>
      <c r="BG88" s="990"/>
      <c r="BH88" s="990"/>
      <c r="BJ88" s="515">
        <f t="shared" si="83"/>
        <v>0</v>
      </c>
      <c r="BK88" s="515"/>
      <c r="BL88" s="24"/>
      <c r="BM88" s="1148"/>
      <c r="BN88" s="1146"/>
      <c r="BO88" s="1146"/>
      <c r="BP88" s="1146"/>
      <c r="BQ88" s="1146"/>
      <c r="BR88" s="1146"/>
      <c r="BS88" s="1146"/>
      <c r="BT88" s="1146"/>
      <c r="BU88" s="1146"/>
      <c r="BV88" s="1146"/>
      <c r="BW88" s="1146"/>
      <c r="BX88" s="1146"/>
      <c r="BY88" s="1146"/>
      <c r="BZ88" s="1146"/>
      <c r="CA88" s="1146"/>
      <c r="CB88" s="1146"/>
      <c r="CC88" s="1146"/>
      <c r="CD88" s="1146"/>
      <c r="CE88" s="1146"/>
      <c r="CF88" s="1146"/>
      <c r="CG88" s="1146"/>
      <c r="CH88" s="1146"/>
      <c r="CI88" s="1146"/>
      <c r="CJ88" s="1146"/>
      <c r="CK88" s="1146"/>
      <c r="CL88" s="1146"/>
      <c r="CM88" s="1146"/>
      <c r="CN88" s="1146"/>
      <c r="CO88" s="1146"/>
      <c r="CP88" s="1146"/>
      <c r="CQ88" s="1146"/>
      <c r="CR88" s="1146"/>
      <c r="CS88" s="1146"/>
      <c r="CT88" s="1146"/>
      <c r="CU88" s="1146"/>
      <c r="CV88" s="1146"/>
      <c r="CW88" s="1146"/>
      <c r="CX88" s="1146"/>
      <c r="CY88" s="1146"/>
      <c r="CZ88" s="1146"/>
      <c r="DA88" s="1146"/>
      <c r="DB88" s="1146"/>
      <c r="DC88" s="1146"/>
      <c r="DD88" s="1146"/>
    </row>
    <row r="89" spans="1:108" ht="12.75" hidden="1" customHeight="1" outlineLevel="1">
      <c r="A89" s="715"/>
      <c r="B89" s="715"/>
      <c r="C89" s="746" t="s">
        <v>963</v>
      </c>
      <c r="D89" s="1010" t="str">
        <f>INDEX(Modules[Module], MATCH($C89, Modules[Code], 0))</f>
        <v>Biomatter to fuel conversion</v>
      </c>
      <c r="E89" s="1010"/>
      <c r="F89" s="12" t="s">
        <v>475</v>
      </c>
      <c r="G89" s="1022"/>
      <c r="H89" s="1022"/>
      <c r="I89" s="1022"/>
      <c r="J89" s="1022"/>
      <c r="K89" s="1022"/>
      <c r="L89" s="1022"/>
      <c r="M89" s="1022"/>
      <c r="N89" s="1022"/>
      <c r="O89" s="1022"/>
      <c r="P89" s="1022"/>
      <c r="Q89" s="1020">
        <f>SUM(G89:P89)</f>
        <v>0</v>
      </c>
      <c r="S89" s="1031"/>
      <c r="T89" s="1031"/>
      <c r="U89" s="1031"/>
      <c r="V89" s="1031">
        <f>-AE89</f>
        <v>4.5999123584699992</v>
      </c>
      <c r="W89" s="1031"/>
      <c r="X89" s="1031"/>
      <c r="Y89" s="1031"/>
      <c r="Z89" s="1031"/>
      <c r="AA89" s="1031"/>
      <c r="AB89" s="1031"/>
      <c r="AC89" s="1031"/>
      <c r="AD89" s="1031"/>
      <c r="AE89" s="1031">
        <f>-AE85</f>
        <v>-4.5999123584699992</v>
      </c>
      <c r="AF89" s="1031"/>
      <c r="AG89" s="1031"/>
      <c r="AH89" s="1031"/>
      <c r="AI89" s="1030">
        <f>SUM(S89:AH89)</f>
        <v>0</v>
      </c>
      <c r="AK89" s="1042"/>
      <c r="AL89" s="1042"/>
      <c r="AM89" s="1042"/>
      <c r="AN89" s="1042"/>
      <c r="AO89" s="1042"/>
      <c r="AP89" s="1042"/>
      <c r="AQ89" s="1042"/>
      <c r="AR89" s="1042"/>
      <c r="AS89" s="1042"/>
      <c r="AT89" s="1042"/>
      <c r="AU89" s="1042"/>
      <c r="AV89" s="1042"/>
      <c r="AW89" s="1042"/>
      <c r="AX89" s="1042"/>
      <c r="AY89" s="1042"/>
      <c r="AZ89" s="1042"/>
      <c r="BA89" s="1042"/>
      <c r="BB89" s="1042"/>
      <c r="BC89" s="1042"/>
      <c r="BD89" s="1012">
        <f>SUM(AK89:BC89)</f>
        <v>0</v>
      </c>
      <c r="BF89" s="1036"/>
      <c r="BG89" s="1036"/>
      <c r="BH89" s="1035">
        <f>SUM(BF89:BG89)</f>
        <v>0</v>
      </c>
      <c r="BJ89" s="814">
        <f t="shared" si="83"/>
        <v>0</v>
      </c>
      <c r="BK89" s="814"/>
      <c r="BL89" s="715"/>
      <c r="BM89" s="1147"/>
      <c r="BN89" s="1146"/>
      <c r="BO89" s="1146"/>
      <c r="BP89" s="1146"/>
      <c r="BQ89" s="1146"/>
      <c r="BR89" s="1146"/>
      <c r="BS89" s="1146"/>
      <c r="BT89" s="1146"/>
      <c r="BU89" s="1146"/>
      <c r="BV89" s="1146"/>
      <c r="BW89" s="1146"/>
      <c r="BX89" s="1146"/>
      <c r="BY89" s="1146"/>
      <c r="BZ89" s="1146"/>
      <c r="CA89" s="1146"/>
      <c r="CB89" s="1146"/>
      <c r="CC89" s="1146"/>
      <c r="CD89" s="1146"/>
      <c r="CE89" s="1146"/>
      <c r="CF89" s="1146"/>
      <c r="CG89" s="1146"/>
      <c r="CH89" s="1146"/>
      <c r="CI89" s="1146"/>
      <c r="CJ89" s="1146"/>
      <c r="CK89" s="1146"/>
      <c r="CL89" s="1146"/>
      <c r="CM89" s="1146"/>
      <c r="CN89" s="1146"/>
      <c r="CO89" s="1146"/>
      <c r="CP89" s="1146"/>
      <c r="CQ89" s="1146"/>
      <c r="CR89" s="1146"/>
      <c r="CS89" s="1146"/>
      <c r="CT89" s="1146"/>
      <c r="CU89" s="1146"/>
      <c r="CV89" s="1146"/>
      <c r="CW89" s="1146"/>
      <c r="CX89" s="1146"/>
      <c r="CY89" s="1146"/>
      <c r="CZ89" s="1146"/>
      <c r="DA89" s="1146"/>
      <c r="DB89" s="1146"/>
      <c r="DC89" s="1146"/>
      <c r="DD89" s="1146"/>
    </row>
    <row r="90" spans="1:108" ht="15.75" collapsed="1">
      <c r="A90" s="24"/>
      <c r="B90" s="3" t="s">
        <v>798</v>
      </c>
      <c r="C90" s="744" t="s">
        <v>671</v>
      </c>
      <c r="D90" s="517" t="str">
        <f>INDEX(Workstreams[Workstream], MATCH($C90, Workstreams[Code], 0))</f>
        <v>Bioenergy</v>
      </c>
      <c r="E90" s="512"/>
      <c r="F90" s="12"/>
      <c r="G90" s="1021">
        <f>G89</f>
        <v>0</v>
      </c>
      <c r="H90" s="1021">
        <f t="shared" ref="H90:P90" si="89">H89</f>
        <v>0</v>
      </c>
      <c r="I90" s="1021">
        <f t="shared" si="89"/>
        <v>0</v>
      </c>
      <c r="J90" s="1021">
        <f t="shared" si="89"/>
        <v>0</v>
      </c>
      <c r="K90" s="1021">
        <f t="shared" si="89"/>
        <v>0</v>
      </c>
      <c r="L90" s="1021">
        <f t="shared" si="89"/>
        <v>0</v>
      </c>
      <c r="M90" s="1021">
        <f t="shared" si="89"/>
        <v>0</v>
      </c>
      <c r="N90" s="1021">
        <f t="shared" si="89"/>
        <v>0</v>
      </c>
      <c r="O90" s="1021">
        <f t="shared" si="89"/>
        <v>0</v>
      </c>
      <c r="P90" s="1021">
        <f t="shared" si="89"/>
        <v>0</v>
      </c>
      <c r="Q90" s="1021">
        <f>SUM(G90:P90)</f>
        <v>0</v>
      </c>
      <c r="S90" s="970">
        <f t="shared" ref="S90:AH90" si="90">S89</f>
        <v>0</v>
      </c>
      <c r="T90" s="970">
        <f t="shared" si="90"/>
        <v>0</v>
      </c>
      <c r="U90" s="970">
        <f t="shared" si="90"/>
        <v>0</v>
      </c>
      <c r="V90" s="970">
        <f t="shared" si="90"/>
        <v>4.5999123584699992</v>
      </c>
      <c r="W90" s="970">
        <f t="shared" si="90"/>
        <v>0</v>
      </c>
      <c r="X90" s="970">
        <f t="shared" si="90"/>
        <v>0</v>
      </c>
      <c r="Y90" s="970">
        <f t="shared" si="90"/>
        <v>0</v>
      </c>
      <c r="Z90" s="970">
        <f t="shared" si="90"/>
        <v>0</v>
      </c>
      <c r="AA90" s="970">
        <f t="shared" si="90"/>
        <v>0</v>
      </c>
      <c r="AB90" s="970">
        <f t="shared" si="90"/>
        <v>0</v>
      </c>
      <c r="AC90" s="970">
        <f t="shared" si="90"/>
        <v>0</v>
      </c>
      <c r="AD90" s="970">
        <f t="shared" si="90"/>
        <v>0</v>
      </c>
      <c r="AE90" s="970">
        <f t="shared" si="90"/>
        <v>-4.5999123584699992</v>
      </c>
      <c r="AF90" s="970">
        <f>AF89</f>
        <v>0</v>
      </c>
      <c r="AG90" s="970">
        <f>AG89</f>
        <v>0</v>
      </c>
      <c r="AH90" s="970">
        <f t="shared" si="90"/>
        <v>0</v>
      </c>
      <c r="AI90" s="970">
        <f>SUM(S90:AH90)</f>
        <v>0</v>
      </c>
      <c r="AK90" s="976">
        <f>AK89</f>
        <v>0</v>
      </c>
      <c r="AL90" s="976">
        <f t="shared" ref="AL90:BC90" si="91">AL89</f>
        <v>0</v>
      </c>
      <c r="AM90" s="976">
        <f t="shared" si="91"/>
        <v>0</v>
      </c>
      <c r="AN90" s="976">
        <f t="shared" si="91"/>
        <v>0</v>
      </c>
      <c r="AO90" s="976">
        <f t="shared" si="91"/>
        <v>0</v>
      </c>
      <c r="AP90" s="976">
        <f t="shared" si="91"/>
        <v>0</v>
      </c>
      <c r="AQ90" s="976">
        <f t="shared" si="91"/>
        <v>0</v>
      </c>
      <c r="AR90" s="976">
        <f t="shared" si="91"/>
        <v>0</v>
      </c>
      <c r="AS90" s="976">
        <f t="shared" si="91"/>
        <v>0</v>
      </c>
      <c r="AT90" s="976">
        <f t="shared" si="91"/>
        <v>0</v>
      </c>
      <c r="AU90" s="976">
        <f t="shared" si="91"/>
        <v>0</v>
      </c>
      <c r="AV90" s="976">
        <f t="shared" si="91"/>
        <v>0</v>
      </c>
      <c r="AW90" s="976">
        <f t="shared" si="91"/>
        <v>0</v>
      </c>
      <c r="AX90" s="976">
        <f t="shared" si="91"/>
        <v>0</v>
      </c>
      <c r="AY90" s="976">
        <f t="shared" si="91"/>
        <v>0</v>
      </c>
      <c r="AZ90" s="976">
        <f t="shared" si="91"/>
        <v>0</v>
      </c>
      <c r="BA90" s="976">
        <f t="shared" si="91"/>
        <v>0</v>
      </c>
      <c r="BB90" s="976">
        <f t="shared" si="91"/>
        <v>0</v>
      </c>
      <c r="BC90" s="976">
        <f t="shared" si="91"/>
        <v>0</v>
      </c>
      <c r="BD90" s="976">
        <f>SUM(AK90:BC90)</f>
        <v>0</v>
      </c>
      <c r="BF90" s="990">
        <f>BF89</f>
        <v>0</v>
      </c>
      <c r="BG90" s="990">
        <f>BG89</f>
        <v>0</v>
      </c>
      <c r="BH90" s="990">
        <f>SUM(BF90:BG90)</f>
        <v>0</v>
      </c>
      <c r="BJ90" s="515">
        <f t="shared" si="83"/>
        <v>0</v>
      </c>
      <c r="BK90" s="515"/>
      <c r="BL90" s="24"/>
      <c r="BM90" s="1148"/>
      <c r="BN90" s="1146"/>
      <c r="BO90" s="1146"/>
      <c r="BP90" s="1146"/>
      <c r="BQ90" s="1146"/>
      <c r="BR90" s="1146"/>
      <c r="BS90" s="1146"/>
      <c r="BT90" s="1146"/>
      <c r="BU90" s="1146"/>
      <c r="BV90" s="1146"/>
      <c r="BW90" s="1146"/>
      <c r="BX90" s="1146"/>
      <c r="BY90" s="1146"/>
      <c r="BZ90" s="1146"/>
      <c r="CA90" s="1146"/>
      <c r="CB90" s="1146"/>
      <c r="CC90" s="1146"/>
      <c r="CD90" s="1146"/>
      <c r="CE90" s="1146"/>
      <c r="CF90" s="1146"/>
      <c r="CG90" s="1146"/>
      <c r="CH90" s="1146"/>
      <c r="CI90" s="1146"/>
      <c r="CJ90" s="1146"/>
      <c r="CK90" s="1146"/>
      <c r="CL90" s="1146"/>
      <c r="CM90" s="1146"/>
      <c r="CN90" s="1146"/>
      <c r="CO90" s="1146"/>
      <c r="CP90" s="1146"/>
      <c r="CQ90" s="1146"/>
      <c r="CR90" s="1146"/>
      <c r="CS90" s="1146"/>
      <c r="CT90" s="1146"/>
      <c r="CU90" s="1146"/>
      <c r="CV90" s="1146"/>
      <c r="CW90" s="1146"/>
      <c r="CX90" s="1146"/>
      <c r="CY90" s="1146"/>
      <c r="CZ90" s="1146"/>
      <c r="DA90" s="1146"/>
      <c r="DB90" s="1146"/>
      <c r="DC90" s="1146"/>
      <c r="DD90" s="1146"/>
    </row>
    <row r="91" spans="1:108" ht="12.75" hidden="1" customHeight="1" outlineLevel="1">
      <c r="A91" s="24"/>
      <c r="B91" s="24"/>
      <c r="C91" s="751"/>
      <c r="D91" s="512"/>
      <c r="E91" s="512"/>
      <c r="F91" s="12"/>
      <c r="G91" s="958"/>
      <c r="H91" s="958"/>
      <c r="I91" s="958"/>
      <c r="J91" s="958"/>
      <c r="K91" s="960"/>
      <c r="L91" s="958"/>
      <c r="M91" s="958"/>
      <c r="N91" s="958"/>
      <c r="O91" s="958"/>
      <c r="P91" s="958"/>
      <c r="Q91" s="958"/>
      <c r="S91" s="970"/>
      <c r="T91" s="970"/>
      <c r="U91" s="970"/>
      <c r="V91" s="970"/>
      <c r="W91" s="970"/>
      <c r="X91" s="970"/>
      <c r="Y91" s="970"/>
      <c r="Z91" s="970"/>
      <c r="AA91" s="970"/>
      <c r="AB91" s="970"/>
      <c r="AC91" s="970"/>
      <c r="AD91" s="970"/>
      <c r="AE91" s="970"/>
      <c r="AF91" s="970"/>
      <c r="AG91" s="970"/>
      <c r="AH91" s="970"/>
      <c r="AI91" s="970"/>
      <c r="AK91" s="976"/>
      <c r="AL91" s="976"/>
      <c r="AM91" s="976"/>
      <c r="AN91" s="976"/>
      <c r="AO91" s="976"/>
      <c r="AP91" s="976"/>
      <c r="AQ91" s="976"/>
      <c r="AR91" s="976"/>
      <c r="AS91" s="976"/>
      <c r="AT91" s="976"/>
      <c r="AU91" s="976"/>
      <c r="AV91" s="976"/>
      <c r="AW91" s="976"/>
      <c r="AX91" s="976"/>
      <c r="AY91" s="976"/>
      <c r="AZ91" s="976"/>
      <c r="BA91" s="976"/>
      <c r="BB91" s="976"/>
      <c r="BC91" s="976"/>
      <c r="BD91" s="976"/>
      <c r="BF91" s="990"/>
      <c r="BG91" s="990"/>
      <c r="BH91" s="990"/>
      <c r="BJ91" s="515">
        <f t="shared" si="83"/>
        <v>0</v>
      </c>
      <c r="BK91" s="515"/>
      <c r="BL91" s="24"/>
      <c r="BM91" s="1148"/>
      <c r="BN91" s="1146"/>
      <c r="BO91" s="1146"/>
      <c r="BP91" s="1146"/>
      <c r="BQ91" s="1146"/>
      <c r="BR91" s="1146"/>
      <c r="BS91" s="1146"/>
      <c r="BT91" s="1146"/>
      <c r="BU91" s="1146"/>
      <c r="BV91" s="1146"/>
      <c r="BW91" s="1146"/>
      <c r="BX91" s="1146"/>
      <c r="BY91" s="1146"/>
      <c r="BZ91" s="1146"/>
      <c r="CA91" s="1146"/>
      <c r="CB91" s="1146"/>
      <c r="CC91" s="1146"/>
      <c r="CD91" s="1146"/>
      <c r="CE91" s="1146"/>
      <c r="CF91" s="1146"/>
      <c r="CG91" s="1146"/>
      <c r="CH91" s="1146"/>
      <c r="CI91" s="1146"/>
      <c r="CJ91" s="1146"/>
      <c r="CK91" s="1146"/>
      <c r="CL91" s="1146"/>
      <c r="CM91" s="1146"/>
      <c r="CN91" s="1146"/>
      <c r="CO91" s="1146"/>
      <c r="CP91" s="1146"/>
      <c r="CQ91" s="1146"/>
      <c r="CR91" s="1146"/>
      <c r="CS91" s="1146"/>
      <c r="CT91" s="1146"/>
      <c r="CU91" s="1146"/>
      <c r="CV91" s="1146"/>
      <c r="CW91" s="1146"/>
      <c r="CX91" s="1146"/>
      <c r="CY91" s="1146"/>
      <c r="CZ91" s="1146"/>
      <c r="DA91" s="1146"/>
      <c r="DB91" s="1146"/>
      <c r="DC91" s="1146"/>
      <c r="DD91" s="1146"/>
    </row>
    <row r="92" spans="1:108" s="849" customFormat="1" ht="12.75" hidden="1" customHeight="1" outlineLevel="2">
      <c r="C92" s="1048"/>
      <c r="D92" s="851"/>
      <c r="E92" s="851" t="s">
        <v>485</v>
      </c>
      <c r="F92" s="734" t="s">
        <v>485</v>
      </c>
      <c r="G92" s="1473"/>
      <c r="H92" s="1473"/>
      <c r="I92" s="1473"/>
      <c r="J92" s="1473"/>
      <c r="K92" s="1474"/>
      <c r="L92" s="1473"/>
      <c r="M92" s="1473"/>
      <c r="N92" s="1473"/>
      <c r="O92" s="1473"/>
      <c r="P92" s="1473"/>
      <c r="Q92" s="961">
        <f>SUM(G92:P92)</f>
        <v>0</v>
      </c>
      <c r="R92" s="1475"/>
      <c r="S92" s="1311"/>
      <c r="T92" s="1311"/>
      <c r="U92" s="1311"/>
      <c r="V92" s="1311">
        <f>'DUKES 09 (1.2)'!$E$20*Unit.ktoe</f>
        <v>1032.840110743924</v>
      </c>
      <c r="W92" s="1311"/>
      <c r="X92" s="1311"/>
      <c r="Y92" s="1311">
        <f>'DUKES 09 (1.2)'!$D$20*Unit.ktoe</f>
        <v>-1029.5988829805192</v>
      </c>
      <c r="Z92" s="1311"/>
      <c r="AA92" s="1311"/>
      <c r="AB92" s="1311"/>
      <c r="AC92" s="1311"/>
      <c r="AD92" s="1311"/>
      <c r="AE92" s="1311"/>
      <c r="AF92" s="1311"/>
      <c r="AG92" s="1311"/>
      <c r="AH92" s="1311"/>
      <c r="AI92" s="971">
        <f t="shared" ref="AI92:AI98" si="92">SUM(S92:AH92)</f>
        <v>3.2412277634048223</v>
      </c>
      <c r="AJ92" s="1475"/>
      <c r="AK92" s="1476"/>
      <c r="AL92" s="1476"/>
      <c r="AM92" s="1476"/>
      <c r="AN92" s="1476"/>
      <c r="AO92" s="1476"/>
      <c r="AP92" s="1476"/>
      <c r="AQ92" s="1476"/>
      <c r="AR92" s="1476"/>
      <c r="AS92" s="1476"/>
      <c r="AT92" s="1476"/>
      <c r="AU92" s="1476"/>
      <c r="AV92" s="1476"/>
      <c r="AW92" s="1476"/>
      <c r="AX92" s="1476"/>
      <c r="AY92" s="1476"/>
      <c r="AZ92" s="1476"/>
      <c r="BA92" s="1476"/>
      <c r="BB92" s="1476"/>
      <c r="BC92" s="1476"/>
      <c r="BD92" s="978">
        <f t="shared" ref="BD92:BD98" si="93">SUM(AK92:BC92)</f>
        <v>0</v>
      </c>
      <c r="BE92" s="1475"/>
      <c r="BF92" s="1477">
        <f>-($Q92+$AI92)</f>
        <v>-3.2412277634048223</v>
      </c>
      <c r="BG92" s="1477"/>
      <c r="BH92" s="991">
        <f t="shared" ref="BH92:BH98" si="94">SUM(BF92:BG92)</f>
        <v>-3.2412277634048223</v>
      </c>
      <c r="BJ92" s="814">
        <f t="shared" si="83"/>
        <v>0</v>
      </c>
      <c r="BK92" s="852"/>
      <c r="BM92" s="1149"/>
      <c r="BN92" s="1149"/>
      <c r="BO92" s="1149"/>
      <c r="BP92" s="1149"/>
      <c r="BQ92" s="1149"/>
      <c r="BR92" s="1149"/>
      <c r="BS92" s="1149"/>
      <c r="BT92" s="1149"/>
      <c r="BU92" s="1149"/>
      <c r="BV92" s="1149"/>
      <c r="BW92" s="1149"/>
      <c r="BX92" s="1149"/>
      <c r="BY92" s="1149"/>
      <c r="BZ92" s="1149"/>
      <c r="CA92" s="1149"/>
      <c r="CB92" s="1149"/>
      <c r="CC92" s="1149"/>
      <c r="CD92" s="1149"/>
      <c r="CE92" s="1149"/>
      <c r="CF92" s="1149"/>
      <c r="CG92" s="1149"/>
      <c r="CH92" s="1149"/>
      <c r="CI92" s="1149"/>
      <c r="CJ92" s="1149"/>
      <c r="CK92" s="1149"/>
      <c r="CL92" s="1149"/>
      <c r="CM92" s="1149"/>
      <c r="CN92" s="1149"/>
      <c r="CO92" s="1149"/>
      <c r="CP92" s="1149"/>
      <c r="CQ92" s="1149"/>
      <c r="CR92" s="1149"/>
      <c r="CS92" s="1149"/>
      <c r="CT92" s="1149"/>
      <c r="CU92" s="1149"/>
      <c r="CV92" s="1149"/>
      <c r="CW92" s="1149"/>
      <c r="CX92" s="1149"/>
      <c r="CY92" s="1149"/>
      <c r="CZ92" s="1149"/>
      <c r="DA92" s="1149"/>
      <c r="DB92" s="1149"/>
      <c r="DC92" s="1149"/>
      <c r="DD92" s="1149"/>
    </row>
    <row r="93" spans="1:108" s="849" customFormat="1" ht="12.75" hidden="1" customHeight="1" outlineLevel="2">
      <c r="C93" s="1048"/>
      <c r="D93" s="851"/>
      <c r="E93" s="851" t="s">
        <v>587</v>
      </c>
      <c r="F93" s="734" t="s">
        <v>587</v>
      </c>
      <c r="G93" s="1473"/>
      <c r="H93" s="1473"/>
      <c r="I93" s="1473"/>
      <c r="J93" s="1473"/>
      <c r="K93" s="1474"/>
      <c r="L93" s="1473"/>
      <c r="M93" s="1473"/>
      <c r="N93" s="1473"/>
      <c r="O93" s="1473"/>
      <c r="P93" s="1473"/>
      <c r="Q93" s="961">
        <f>SUM(G93:P93)</f>
        <v>0</v>
      </c>
      <c r="R93" s="1475"/>
      <c r="S93" s="1311">
        <f>-'DUKES 09 (1.2)'!$I$28*Unit.ktoe</f>
        <v>-6.6955015551946326</v>
      </c>
      <c r="T93" s="1311"/>
      <c r="U93" s="1311"/>
      <c r="V93" s="1311">
        <f>-'DUKES 09 (1.2)'!$E$28*Unit.ktoe</f>
        <v>-54.878917433414344</v>
      </c>
      <c r="W93" s="1311">
        <f>-'DUKES 09 (1.2)'!$F$28*Unit.ktoe</f>
        <v>-2.4413780829676046</v>
      </c>
      <c r="X93" s="1311"/>
      <c r="Y93" s="1311"/>
      <c r="Z93" s="1311"/>
      <c r="AA93" s="1311"/>
      <c r="AB93" s="1311">
        <f>-'DUKES 09 (1.2)'!$J$28*Unit.ktoe</f>
        <v>-0.78625916423913134</v>
      </c>
      <c r="AC93" s="1311"/>
      <c r="AD93" s="1311"/>
      <c r="AE93" s="1311"/>
      <c r="AF93" s="1311"/>
      <c r="AG93" s="1311"/>
      <c r="AH93" s="1311"/>
      <c r="AI93" s="971">
        <f t="shared" si="92"/>
        <v>-64.802056235815712</v>
      </c>
      <c r="AJ93" s="1475"/>
      <c r="AK93" s="1476"/>
      <c r="AL93" s="1476"/>
      <c r="AM93" s="1476"/>
      <c r="AN93" s="1476"/>
      <c r="AO93" s="1476"/>
      <c r="AP93" s="1476"/>
      <c r="AQ93" s="1476"/>
      <c r="AR93" s="1476"/>
      <c r="AS93" s="1476"/>
      <c r="AT93" s="1476"/>
      <c r="AU93" s="1476"/>
      <c r="AV93" s="1476"/>
      <c r="AW93" s="1476"/>
      <c r="AX93" s="1476"/>
      <c r="AY93" s="1476"/>
      <c r="AZ93" s="1476"/>
      <c r="BA93" s="1476"/>
      <c r="BB93" s="1476"/>
      <c r="BC93" s="1476"/>
      <c r="BD93" s="978">
        <f t="shared" si="93"/>
        <v>0</v>
      </c>
      <c r="BE93" s="1475"/>
      <c r="BF93" s="1477"/>
      <c r="BG93" s="1477">
        <f>-($Q93+$AI93)</f>
        <v>64.802056235815712</v>
      </c>
      <c r="BH93" s="991">
        <f t="shared" si="94"/>
        <v>64.802056235815712</v>
      </c>
      <c r="BJ93" s="814">
        <f t="shared" si="83"/>
        <v>0</v>
      </c>
      <c r="BK93" s="852"/>
      <c r="BM93" s="1149"/>
      <c r="BN93" s="1149"/>
      <c r="BO93" s="1149"/>
      <c r="BP93" s="1149"/>
      <c r="BQ93" s="1149"/>
      <c r="BR93" s="1149"/>
      <c r="BS93" s="1149"/>
      <c r="BT93" s="1149"/>
      <c r="BU93" s="1149"/>
      <c r="BV93" s="1149"/>
      <c r="BW93" s="1149"/>
      <c r="BX93" s="1149"/>
      <c r="BY93" s="1149"/>
      <c r="BZ93" s="1149"/>
      <c r="CA93" s="1149"/>
      <c r="CB93" s="1149"/>
      <c r="CC93" s="1149"/>
      <c r="CD93" s="1149"/>
      <c r="CE93" s="1149"/>
      <c r="CF93" s="1149"/>
      <c r="CG93" s="1149"/>
      <c r="CH93" s="1149"/>
      <c r="CI93" s="1149"/>
      <c r="CJ93" s="1149"/>
      <c r="CK93" s="1149"/>
      <c r="CL93" s="1149"/>
      <c r="CM93" s="1149"/>
      <c r="CN93" s="1149"/>
      <c r="CO93" s="1149"/>
      <c r="CP93" s="1149"/>
      <c r="CQ93" s="1149"/>
      <c r="CR93" s="1149"/>
      <c r="CS93" s="1149"/>
      <c r="CT93" s="1149"/>
      <c r="CU93" s="1149"/>
      <c r="CV93" s="1149"/>
      <c r="CW93" s="1149"/>
      <c r="CX93" s="1149"/>
      <c r="CY93" s="1149"/>
      <c r="CZ93" s="1149"/>
      <c r="DA93" s="1149"/>
      <c r="DB93" s="1149"/>
      <c r="DC93" s="1149"/>
      <c r="DD93" s="1149"/>
    </row>
    <row r="94" spans="1:108" hidden="1" outlineLevel="1" collapsed="1">
      <c r="A94" s="715"/>
      <c r="B94" s="715"/>
      <c r="C94" s="522" t="s">
        <v>971</v>
      </c>
      <c r="D94" s="521" t="str">
        <f>INDEX(Modules[Module], MATCH($C94, Modules[Code], 0))</f>
        <v>Petroleum refineries</v>
      </c>
      <c r="E94" s="521"/>
      <c r="F94" s="12" t="s">
        <v>1215</v>
      </c>
      <c r="G94" s="1019">
        <f t="shared" ref="G94:P94" si="95">SUM(G92:G93)</f>
        <v>0</v>
      </c>
      <c r="H94" s="1019">
        <f t="shared" si="95"/>
        <v>0</v>
      </c>
      <c r="I94" s="1019">
        <f t="shared" si="95"/>
        <v>0</v>
      </c>
      <c r="J94" s="1019">
        <f t="shared" si="95"/>
        <v>0</v>
      </c>
      <c r="K94" s="1019">
        <f t="shared" si="95"/>
        <v>0</v>
      </c>
      <c r="L94" s="1019">
        <f t="shared" si="95"/>
        <v>0</v>
      </c>
      <c r="M94" s="1019">
        <f t="shared" si="95"/>
        <v>0</v>
      </c>
      <c r="N94" s="1019">
        <f t="shared" si="95"/>
        <v>0</v>
      </c>
      <c r="O94" s="1019">
        <f t="shared" si="95"/>
        <v>0</v>
      </c>
      <c r="P94" s="1019">
        <f t="shared" si="95"/>
        <v>0</v>
      </c>
      <c r="Q94" s="1019">
        <f>SUM(G94:P94)</f>
        <v>0</v>
      </c>
      <c r="R94" s="1472"/>
      <c r="S94" s="1027">
        <f>SUM(S92:S93)</f>
        <v>-6.6955015551946326</v>
      </c>
      <c r="T94" s="1027">
        <f t="shared" ref="T94:AH94" si="96">SUM(T92:T93)</f>
        <v>0</v>
      </c>
      <c r="U94" s="1027">
        <f t="shared" si="96"/>
        <v>0</v>
      </c>
      <c r="V94" s="1027">
        <f t="shared" si="96"/>
        <v>977.96119331050966</v>
      </c>
      <c r="W94" s="1027">
        <f t="shared" si="96"/>
        <v>-2.4413780829676046</v>
      </c>
      <c r="X94" s="1027">
        <f t="shared" si="96"/>
        <v>0</v>
      </c>
      <c r="Y94" s="1027">
        <f t="shared" si="96"/>
        <v>-1029.5988829805192</v>
      </c>
      <c r="Z94" s="1027">
        <f t="shared" si="96"/>
        <v>0</v>
      </c>
      <c r="AA94" s="1027">
        <f t="shared" si="96"/>
        <v>0</v>
      </c>
      <c r="AB94" s="1027">
        <f t="shared" si="96"/>
        <v>-0.78625916423913134</v>
      </c>
      <c r="AC94" s="1027">
        <f t="shared" si="96"/>
        <v>0</v>
      </c>
      <c r="AD94" s="1027"/>
      <c r="AE94" s="1027">
        <f t="shared" si="96"/>
        <v>0</v>
      </c>
      <c r="AF94" s="1027">
        <f>SUM(AF92:AF93)</f>
        <v>0</v>
      </c>
      <c r="AG94" s="1027">
        <f>SUM(AG92:AG93)</f>
        <v>0</v>
      </c>
      <c r="AH94" s="1027">
        <f t="shared" si="96"/>
        <v>0</v>
      </c>
      <c r="AI94" s="1027">
        <f t="shared" si="92"/>
        <v>-61.560828472410883</v>
      </c>
      <c r="AJ94" s="1472"/>
      <c r="AK94" s="1040">
        <f t="shared" ref="AK94:BC94" si="97">SUM(AK92:AK93)</f>
        <v>0</v>
      </c>
      <c r="AL94" s="1040">
        <f t="shared" si="97"/>
        <v>0</v>
      </c>
      <c r="AM94" s="1040">
        <f t="shared" si="97"/>
        <v>0</v>
      </c>
      <c r="AN94" s="1040">
        <f t="shared" si="97"/>
        <v>0</v>
      </c>
      <c r="AO94" s="1040">
        <f t="shared" si="97"/>
        <v>0</v>
      </c>
      <c r="AP94" s="1040">
        <f t="shared" si="97"/>
        <v>0</v>
      </c>
      <c r="AQ94" s="1040">
        <f t="shared" si="97"/>
        <v>0</v>
      </c>
      <c r="AR94" s="1040">
        <f t="shared" si="97"/>
        <v>0</v>
      </c>
      <c r="AS94" s="1040">
        <f t="shared" si="97"/>
        <v>0</v>
      </c>
      <c r="AT94" s="1040">
        <f t="shared" si="97"/>
        <v>0</v>
      </c>
      <c r="AU94" s="1040">
        <f t="shared" si="97"/>
        <v>0</v>
      </c>
      <c r="AV94" s="1040">
        <f t="shared" si="97"/>
        <v>0</v>
      </c>
      <c r="AW94" s="1040">
        <f t="shared" si="97"/>
        <v>0</v>
      </c>
      <c r="AX94" s="1040">
        <f t="shared" si="97"/>
        <v>0</v>
      </c>
      <c r="AY94" s="1040">
        <f t="shared" si="97"/>
        <v>0</v>
      </c>
      <c r="AZ94" s="1040">
        <f t="shared" si="97"/>
        <v>0</v>
      </c>
      <c r="BA94" s="1040">
        <f t="shared" si="97"/>
        <v>0</v>
      </c>
      <c r="BB94" s="1040">
        <f t="shared" si="97"/>
        <v>0</v>
      </c>
      <c r="BC94" s="1040">
        <f t="shared" si="97"/>
        <v>0</v>
      </c>
      <c r="BD94" s="1305">
        <f t="shared" si="93"/>
        <v>0</v>
      </c>
      <c r="BE94" s="1472"/>
      <c r="BF94" s="1034">
        <f>SUM(BF92:BF93)</f>
        <v>-3.2412277634048223</v>
      </c>
      <c r="BG94" s="1034">
        <f>SUM(BG92:BG93)</f>
        <v>64.802056235815712</v>
      </c>
      <c r="BH94" s="1034">
        <f t="shared" si="94"/>
        <v>61.56082847241089</v>
      </c>
      <c r="BJ94" s="814">
        <f t="shared" si="83"/>
        <v>0</v>
      </c>
      <c r="BK94" s="814"/>
      <c r="BL94" s="715"/>
      <c r="BM94" s="1147"/>
      <c r="BN94" s="1146"/>
      <c r="BO94" s="1146"/>
      <c r="BP94" s="1146"/>
      <c r="BQ94" s="1146"/>
      <c r="BR94" s="1146"/>
      <c r="BS94" s="1146"/>
      <c r="BT94" s="1146"/>
      <c r="BU94" s="1146"/>
      <c r="BV94" s="1146"/>
      <c r="BW94" s="1146"/>
      <c r="BX94" s="1146"/>
      <c r="BY94" s="1146"/>
      <c r="BZ94" s="1146"/>
      <c r="CA94" s="1146"/>
      <c r="CB94" s="1146"/>
      <c r="CC94" s="1146"/>
      <c r="CD94" s="1146"/>
      <c r="CE94" s="1146"/>
      <c r="CF94" s="1146"/>
      <c r="CG94" s="1146"/>
      <c r="CH94" s="1146"/>
      <c r="CI94" s="1146"/>
      <c r="CJ94" s="1146"/>
      <c r="CK94" s="1146"/>
      <c r="CL94" s="1146"/>
      <c r="CM94" s="1146"/>
      <c r="CN94" s="1146"/>
      <c r="CO94" s="1146"/>
      <c r="CP94" s="1146"/>
      <c r="CQ94" s="1146"/>
      <c r="CR94" s="1146"/>
      <c r="CS94" s="1146"/>
      <c r="CT94" s="1146"/>
      <c r="CU94" s="1146"/>
      <c r="CV94" s="1146"/>
      <c r="CW94" s="1146"/>
      <c r="CX94" s="1146"/>
      <c r="CY94" s="1146"/>
      <c r="CZ94" s="1146"/>
      <c r="DA94" s="1146"/>
      <c r="DB94" s="1146"/>
      <c r="DC94" s="1146"/>
      <c r="DD94" s="1146"/>
    </row>
    <row r="95" spans="1:108" s="849" customFormat="1" ht="10.5" hidden="1" outlineLevel="2">
      <c r="C95" s="850"/>
      <c r="D95" s="851"/>
      <c r="E95" s="851" t="s">
        <v>245</v>
      </c>
      <c r="F95" s="734" t="s">
        <v>1228</v>
      </c>
      <c r="G95" s="1295"/>
      <c r="H95" s="1295"/>
      <c r="I95" s="1295"/>
      <c r="J95" s="1295"/>
      <c r="K95" s="1295"/>
      <c r="L95" s="1295"/>
      <c r="M95" s="1295"/>
      <c r="N95" s="1295"/>
      <c r="O95" s="1295"/>
      <c r="P95" s="1295"/>
      <c r="Q95" s="1295"/>
      <c r="S95" s="1311"/>
      <c r="T95" s="1311"/>
      <c r="U95" s="1311"/>
      <c r="V95" s="1311">
        <f>'DUKES 09 (1.2)'!$E$9*Unit.ktoe-'DUKES 09 (1.2)'!$E$63*Unit.ktoe</f>
        <v>-98.388950769950753</v>
      </c>
      <c r="W95" s="1311"/>
      <c r="X95" s="1311">
        <f>'DUKES 09 (1.2)'!$B$5*Unit.ktoe+('DUKES 09 (1.2)'!$B$9+'DUKES 09 (1.2)'!$C$9)*Unit.ktoe</f>
        <v>145.79944495555736</v>
      </c>
      <c r="Y95" s="1311">
        <f>'DUKES 09 (1.2)'!$D$5*Unit.ktoe+'DUKES 09 (1.2)'!$D$9*Unit.ktoe</f>
        <v>985.84902649998276</v>
      </c>
      <c r="Z95" s="1312">
        <f>('DUKES 09 (1.2)'!$F$5+'DUKES 09 (1.2)'!$F$9-'DUKES 09 (1.2)'!$F$63)*Unit.ktoe</f>
        <v>834.0611502141918</v>
      </c>
      <c r="AA95" s="1311"/>
      <c r="AB95" s="1311"/>
      <c r="AC95" s="1311"/>
      <c r="AD95" s="1311"/>
      <c r="AE95" s="1311"/>
      <c r="AF95" s="1311"/>
      <c r="AG95" s="1311"/>
      <c r="AH95" s="1311"/>
      <c r="AI95" s="971">
        <f t="shared" si="92"/>
        <v>1867.3206708997814</v>
      </c>
      <c r="AK95" s="1476">
        <f>-('DUKES 09 (1.2)'!$B$5*Unit.ktoe+('DUKES 09 (1.2)'!$B$9+'DUKES 09 (1.2)'!$C$9)*Unit.ktoe)</f>
        <v>-145.79944495555736</v>
      </c>
      <c r="AL95" s="1476">
        <f>-('DUKES 09 (1.2)'!$D$5+'DUKES 09 (1.2)'!$D$9+'DUKES 09 (1.2)'!$E$9-'DUKES 09 (1.2)'!$E$63)*Unit.ktoe</f>
        <v>-887.46007573003203</v>
      </c>
      <c r="AM95" s="1476">
        <f>-('DUKES 09 (1.2)'!$F$5+'DUKES 09 (1.2)'!$F$9-'DUKES 09 (1.2)'!$F$63)*Unit.ktoe</f>
        <v>-834.0611502141918</v>
      </c>
      <c r="AN95" s="1476"/>
      <c r="AO95" s="1476"/>
      <c r="AP95" s="1476"/>
      <c r="AQ95" s="1476"/>
      <c r="AR95" s="1476"/>
      <c r="AS95" s="1476"/>
      <c r="AT95" s="1476"/>
      <c r="AU95" s="1476"/>
      <c r="AV95" s="1476"/>
      <c r="AW95" s="1476"/>
      <c r="AX95" s="1476"/>
      <c r="AY95" s="1476"/>
      <c r="AZ95" s="1476"/>
      <c r="BA95" s="1476"/>
      <c r="BB95" s="1476"/>
      <c r="BC95" s="1476"/>
      <c r="BD95" s="978">
        <f t="shared" si="93"/>
        <v>-1867.3206708997814</v>
      </c>
      <c r="BF95" s="1477"/>
      <c r="BG95" s="1477"/>
      <c r="BH95" s="991">
        <f t="shared" si="94"/>
        <v>0</v>
      </c>
      <c r="BJ95" s="814">
        <f t="shared" si="83"/>
        <v>0</v>
      </c>
      <c r="BK95" s="852"/>
      <c r="BM95" s="1149"/>
      <c r="BN95" s="1149"/>
      <c r="BO95" s="1149"/>
      <c r="BP95" s="1149"/>
      <c r="BQ95" s="1149"/>
      <c r="BR95" s="1149"/>
      <c r="BS95" s="1149"/>
      <c r="BT95" s="1149"/>
      <c r="BU95" s="1149"/>
      <c r="BV95" s="1149"/>
      <c r="BW95" s="1149"/>
      <c r="BX95" s="1149"/>
      <c r="BY95" s="1149"/>
      <c r="BZ95" s="1149"/>
      <c r="CA95" s="1149"/>
      <c r="CB95" s="1149"/>
      <c r="CC95" s="1149"/>
      <c r="CD95" s="1149"/>
      <c r="CE95" s="1149"/>
      <c r="CF95" s="1149"/>
      <c r="CG95" s="1149"/>
      <c r="CH95" s="1149"/>
      <c r="CI95" s="1149"/>
      <c r="CJ95" s="1149"/>
      <c r="CK95" s="1149"/>
      <c r="CL95" s="1149"/>
      <c r="CM95" s="1149"/>
      <c r="CN95" s="1149"/>
      <c r="CO95" s="1149"/>
      <c r="CP95" s="1149"/>
      <c r="CQ95" s="1149"/>
      <c r="CR95" s="1149"/>
      <c r="CS95" s="1149"/>
      <c r="CT95" s="1149"/>
      <c r="CU95" s="1149"/>
      <c r="CV95" s="1149"/>
      <c r="CW95" s="1149"/>
      <c r="CX95" s="1149"/>
      <c r="CY95" s="1149"/>
      <c r="CZ95" s="1149"/>
      <c r="DA95" s="1149"/>
      <c r="DB95" s="1149"/>
      <c r="DC95" s="1149"/>
      <c r="DD95" s="1149"/>
    </row>
    <row r="96" spans="1:108" s="849" customFormat="1" ht="10.5" hidden="1" outlineLevel="2">
      <c r="C96" s="850"/>
      <c r="D96" s="851"/>
      <c r="E96" s="851" t="s">
        <v>975</v>
      </c>
      <c r="F96" s="12" t="s">
        <v>1229</v>
      </c>
      <c r="G96" s="1295"/>
      <c r="H96" s="1295"/>
      <c r="I96" s="1295"/>
      <c r="J96" s="1295"/>
      <c r="K96" s="1295"/>
      <c r="L96" s="1295"/>
      <c r="M96" s="1295"/>
      <c r="N96" s="1295"/>
      <c r="O96" s="1295"/>
      <c r="P96" s="1295"/>
      <c r="Q96" s="1295"/>
      <c r="S96" s="1311">
        <f>-('DUKES 09 (1.2)'!$I$27+'DUKES 09 (1.2)'!$I$29)*Unit.ktoe</f>
        <v>-1.5434122188034556</v>
      </c>
      <c r="T96" s="1311"/>
      <c r="U96" s="1311"/>
      <c r="V96" s="1311"/>
      <c r="W96" s="1311">
        <f>-('DUKES 09 (1.2)'!$F$29+'DUKES 09 (1.2)'!$F$27)*Unit.ktoe</f>
        <v>-64.320792277183429</v>
      </c>
      <c r="X96" s="1311">
        <f>-('DUKES 09 (1.2)'!$B$29+'DUKES 09 (1.2)'!$B$27)*Unit.ktoe</f>
        <v>-4.4692473051785787E-2</v>
      </c>
      <c r="Y96" s="1311"/>
      <c r="Z96" s="1311"/>
      <c r="AA96" s="1311"/>
      <c r="AB96" s="1311"/>
      <c r="AC96" s="1311"/>
      <c r="AD96" s="1311"/>
      <c r="AE96" s="1311"/>
      <c r="AF96" s="1311"/>
      <c r="AG96" s="1311"/>
      <c r="AH96" s="1311"/>
      <c r="AI96" s="971">
        <f t="shared" si="92"/>
        <v>-65.908896969038665</v>
      </c>
      <c r="AK96" s="1476"/>
      <c r="AL96" s="1476"/>
      <c r="AM96" s="1476"/>
      <c r="AN96" s="1476"/>
      <c r="AO96" s="1476"/>
      <c r="AP96" s="1476"/>
      <c r="AQ96" s="1476"/>
      <c r="AR96" s="1476"/>
      <c r="AS96" s="1476"/>
      <c r="AT96" s="1476"/>
      <c r="AU96" s="1476"/>
      <c r="AV96" s="1476"/>
      <c r="AW96" s="1476"/>
      <c r="AX96" s="1476"/>
      <c r="AY96" s="1476"/>
      <c r="AZ96" s="1476"/>
      <c r="BA96" s="1476"/>
      <c r="BB96" s="1476"/>
      <c r="BC96" s="1476"/>
      <c r="BD96" s="978">
        <f t="shared" si="93"/>
        <v>0</v>
      </c>
      <c r="BF96" s="1477"/>
      <c r="BG96" s="1477">
        <f>-$AI96</f>
        <v>65.908896969038665</v>
      </c>
      <c r="BH96" s="991">
        <f t="shared" si="94"/>
        <v>65.908896969038665</v>
      </c>
      <c r="BJ96" s="814">
        <f t="shared" si="83"/>
        <v>0</v>
      </c>
      <c r="BK96" s="852"/>
      <c r="BM96" s="1149"/>
      <c r="BN96" s="1149"/>
      <c r="BO96" s="1149"/>
      <c r="BP96" s="1149"/>
      <c r="BQ96" s="1149"/>
      <c r="BR96" s="1149"/>
      <c r="BS96" s="1149"/>
      <c r="BT96" s="1149"/>
      <c r="BU96" s="1149"/>
      <c r="BV96" s="1149"/>
      <c r="BW96" s="1149"/>
      <c r="BX96" s="1149"/>
      <c r="BY96" s="1149"/>
      <c r="BZ96" s="1149"/>
      <c r="CA96" s="1149"/>
      <c r="CB96" s="1149"/>
      <c r="CC96" s="1149"/>
      <c r="CD96" s="1149"/>
      <c r="CE96" s="1149"/>
      <c r="CF96" s="1149"/>
      <c r="CG96" s="1149"/>
      <c r="CH96" s="1149"/>
      <c r="CI96" s="1149"/>
      <c r="CJ96" s="1149"/>
      <c r="CK96" s="1149"/>
      <c r="CL96" s="1149"/>
      <c r="CM96" s="1149"/>
      <c r="CN96" s="1149"/>
      <c r="CO96" s="1149"/>
      <c r="CP96" s="1149"/>
      <c r="CQ96" s="1149"/>
      <c r="CR96" s="1149"/>
      <c r="CS96" s="1149"/>
      <c r="CT96" s="1149"/>
      <c r="CU96" s="1149"/>
      <c r="CV96" s="1149"/>
      <c r="CW96" s="1149"/>
      <c r="CX96" s="1149"/>
      <c r="CY96" s="1149"/>
      <c r="CZ96" s="1149"/>
      <c r="DA96" s="1149"/>
      <c r="DB96" s="1149"/>
      <c r="DC96" s="1149"/>
      <c r="DD96" s="1149"/>
    </row>
    <row r="97" spans="1:108" hidden="1" outlineLevel="1" collapsed="1">
      <c r="A97" s="715"/>
      <c r="B97" s="715"/>
      <c r="C97" s="522" t="s">
        <v>989</v>
      </c>
      <c r="D97" s="1010" t="str">
        <f>INDEX(Modules[Module], MATCH($C97, Modules[Code], 0))</f>
        <v>Indigenous fossil-fuel production</v>
      </c>
      <c r="E97" s="1010"/>
      <c r="F97" s="12" t="s">
        <v>1243</v>
      </c>
      <c r="G97" s="1022"/>
      <c r="H97" s="1022"/>
      <c r="I97" s="1022"/>
      <c r="J97" s="1022"/>
      <c r="K97" s="1022"/>
      <c r="L97" s="1022"/>
      <c r="M97" s="1022"/>
      <c r="N97" s="1022"/>
      <c r="O97" s="1022"/>
      <c r="P97" s="1022"/>
      <c r="Q97" s="1020">
        <f>SUM(G97:P97)</f>
        <v>0</v>
      </c>
      <c r="S97" s="1030">
        <f>SUM(S95:S96)</f>
        <v>-1.5434122188034556</v>
      </c>
      <c r="T97" s="1030">
        <f t="shared" ref="T97:AH97" si="98">SUM(T95:T96)</f>
        <v>0</v>
      </c>
      <c r="U97" s="1030">
        <f t="shared" si="98"/>
        <v>0</v>
      </c>
      <c r="V97" s="1030">
        <f t="shared" si="98"/>
        <v>-98.388950769950753</v>
      </c>
      <c r="W97" s="1030">
        <f t="shared" si="98"/>
        <v>-64.320792277183429</v>
      </c>
      <c r="X97" s="1030">
        <f t="shared" si="98"/>
        <v>145.75475248250558</v>
      </c>
      <c r="Y97" s="1030">
        <f t="shared" si="98"/>
        <v>985.84902649998276</v>
      </c>
      <c r="Z97" s="1030">
        <f t="shared" si="98"/>
        <v>834.0611502141918</v>
      </c>
      <c r="AA97" s="1030">
        <f t="shared" si="98"/>
        <v>0</v>
      </c>
      <c r="AB97" s="1030">
        <f t="shared" si="98"/>
        <v>0</v>
      </c>
      <c r="AC97" s="1030">
        <f t="shared" si="98"/>
        <v>0</v>
      </c>
      <c r="AD97" s="1030"/>
      <c r="AE97" s="1030">
        <f t="shared" si="98"/>
        <v>0</v>
      </c>
      <c r="AF97" s="1030">
        <f>SUM(AF95:AF96)</f>
        <v>0</v>
      </c>
      <c r="AG97" s="1030">
        <f>SUM(AG95:AG96)</f>
        <v>0</v>
      </c>
      <c r="AH97" s="1030">
        <f t="shared" si="98"/>
        <v>0</v>
      </c>
      <c r="AI97" s="1030">
        <f t="shared" si="92"/>
        <v>1801.4117739307426</v>
      </c>
      <c r="AK97" s="1041">
        <f t="shared" ref="AK97:BC97" si="99">SUM(AK95:AK96)</f>
        <v>-145.79944495555736</v>
      </c>
      <c r="AL97" s="1041">
        <f t="shared" si="99"/>
        <v>-887.46007573003203</v>
      </c>
      <c r="AM97" s="1041">
        <f t="shared" si="99"/>
        <v>-834.0611502141918</v>
      </c>
      <c r="AN97" s="1041">
        <f t="shared" si="99"/>
        <v>0</v>
      </c>
      <c r="AO97" s="1041">
        <f t="shared" si="99"/>
        <v>0</v>
      </c>
      <c r="AP97" s="1041">
        <f t="shared" si="99"/>
        <v>0</v>
      </c>
      <c r="AQ97" s="1041">
        <f t="shared" si="99"/>
        <v>0</v>
      </c>
      <c r="AR97" s="1041">
        <f t="shared" si="99"/>
        <v>0</v>
      </c>
      <c r="AS97" s="1041">
        <f t="shared" si="99"/>
        <v>0</v>
      </c>
      <c r="AT97" s="1041">
        <f t="shared" si="99"/>
        <v>0</v>
      </c>
      <c r="AU97" s="1041">
        <f t="shared" si="99"/>
        <v>0</v>
      </c>
      <c r="AV97" s="1041">
        <f t="shared" si="99"/>
        <v>0</v>
      </c>
      <c r="AW97" s="1041">
        <f t="shared" si="99"/>
        <v>0</v>
      </c>
      <c r="AX97" s="1041">
        <f t="shared" si="99"/>
        <v>0</v>
      </c>
      <c r="AY97" s="1041">
        <f t="shared" si="99"/>
        <v>0</v>
      </c>
      <c r="AZ97" s="1041">
        <f t="shared" si="99"/>
        <v>0</v>
      </c>
      <c r="BA97" s="1041">
        <f t="shared" si="99"/>
        <v>0</v>
      </c>
      <c r="BB97" s="1041">
        <f t="shared" si="99"/>
        <v>0</v>
      </c>
      <c r="BC97" s="1041">
        <f t="shared" si="99"/>
        <v>0</v>
      </c>
      <c r="BD97" s="1012">
        <f t="shared" si="93"/>
        <v>-1867.3206708997814</v>
      </c>
      <c r="BF97" s="1035">
        <f>SUM(BF95:BF96)</f>
        <v>0</v>
      </c>
      <c r="BG97" s="1035">
        <f>SUM(BG95:BG96)</f>
        <v>65.908896969038665</v>
      </c>
      <c r="BH97" s="1035">
        <f t="shared" si="94"/>
        <v>65.908896969038665</v>
      </c>
      <c r="BJ97" s="814">
        <f t="shared" si="83"/>
        <v>-1.1368683772161603E-13</v>
      </c>
      <c r="BK97" s="814"/>
      <c r="BL97" s="715"/>
      <c r="BM97" s="1147"/>
      <c r="BN97" s="1146"/>
      <c r="BO97" s="1146"/>
      <c r="BP97" s="1146"/>
      <c r="BQ97" s="1146"/>
      <c r="BR97" s="1146"/>
      <c r="BS97" s="1146"/>
      <c r="BT97" s="1146"/>
      <c r="BU97" s="1146"/>
      <c r="BV97" s="1146"/>
      <c r="BW97" s="1146"/>
      <c r="BX97" s="1146"/>
      <c r="BY97" s="1146"/>
      <c r="BZ97" s="1146"/>
      <c r="CA97" s="1146"/>
      <c r="CB97" s="1146"/>
      <c r="CC97" s="1146"/>
      <c r="CD97" s="1146"/>
      <c r="CE97" s="1146"/>
      <c r="CF97" s="1146"/>
      <c r="CG97" s="1146"/>
      <c r="CH97" s="1146"/>
      <c r="CI97" s="1146"/>
      <c r="CJ97" s="1146"/>
      <c r="CK97" s="1146"/>
      <c r="CL97" s="1146"/>
      <c r="CM97" s="1146"/>
      <c r="CN97" s="1146"/>
      <c r="CO97" s="1146"/>
      <c r="CP97" s="1146"/>
      <c r="CQ97" s="1146"/>
      <c r="CR97" s="1146"/>
      <c r="CS97" s="1146"/>
      <c r="CT97" s="1146"/>
      <c r="CU97" s="1146"/>
      <c r="CV97" s="1146"/>
      <c r="CW97" s="1146"/>
      <c r="CX97" s="1146"/>
      <c r="CY97" s="1146"/>
      <c r="CZ97" s="1146"/>
      <c r="DA97" s="1146"/>
      <c r="DB97" s="1146"/>
      <c r="DC97" s="1146"/>
      <c r="DD97" s="1146"/>
    </row>
    <row r="98" spans="1:108" ht="15.75" collapsed="1">
      <c r="A98" s="849"/>
      <c r="B98" s="1077"/>
      <c r="C98" s="744" t="s">
        <v>969</v>
      </c>
      <c r="D98" s="517" t="str">
        <f>INDEX(Workstreams[Workstream], MATCH($C98, Workstreams[Code], 0))</f>
        <v>Fossil fuel production</v>
      </c>
      <c r="E98" s="512"/>
      <c r="F98" s="12"/>
      <c r="G98" s="1021">
        <f>G94+G97</f>
        <v>0</v>
      </c>
      <c r="H98" s="1021">
        <f t="shared" ref="H98:P98" si="100">H94+H97</f>
        <v>0</v>
      </c>
      <c r="I98" s="1021">
        <f t="shared" si="100"/>
        <v>0</v>
      </c>
      <c r="J98" s="1021">
        <f t="shared" si="100"/>
        <v>0</v>
      </c>
      <c r="K98" s="1021">
        <f t="shared" si="100"/>
        <v>0</v>
      </c>
      <c r="L98" s="1021">
        <f t="shared" si="100"/>
        <v>0</v>
      </c>
      <c r="M98" s="1021">
        <f t="shared" si="100"/>
        <v>0</v>
      </c>
      <c r="N98" s="1021">
        <f t="shared" si="100"/>
        <v>0</v>
      </c>
      <c r="O98" s="1021">
        <f t="shared" si="100"/>
        <v>0</v>
      </c>
      <c r="P98" s="1021">
        <f t="shared" si="100"/>
        <v>0</v>
      </c>
      <c r="Q98" s="1021">
        <f>SUM(G98:P98)</f>
        <v>0</v>
      </c>
      <c r="S98" s="970">
        <f t="shared" ref="S98:AH98" si="101">S94+S97</f>
        <v>-8.2389137739980889</v>
      </c>
      <c r="T98" s="970">
        <f t="shared" si="101"/>
        <v>0</v>
      </c>
      <c r="U98" s="970">
        <f t="shared" si="101"/>
        <v>0</v>
      </c>
      <c r="V98" s="970">
        <f t="shared" si="101"/>
        <v>879.57224254055893</v>
      </c>
      <c r="W98" s="970">
        <f t="shared" si="101"/>
        <v>-66.762170360151032</v>
      </c>
      <c r="X98" s="970">
        <f t="shared" si="101"/>
        <v>145.75475248250558</v>
      </c>
      <c r="Y98" s="970">
        <f t="shared" si="101"/>
        <v>-43.749856480536437</v>
      </c>
      <c r="Z98" s="970">
        <f t="shared" si="101"/>
        <v>834.0611502141918</v>
      </c>
      <c r="AA98" s="970">
        <f t="shared" si="101"/>
        <v>0</v>
      </c>
      <c r="AB98" s="970">
        <f t="shared" si="101"/>
        <v>-0.78625916423913134</v>
      </c>
      <c r="AC98" s="970">
        <f t="shared" si="101"/>
        <v>0</v>
      </c>
      <c r="AD98" s="970">
        <f t="shared" si="101"/>
        <v>0</v>
      </c>
      <c r="AE98" s="970">
        <f t="shared" si="101"/>
        <v>0</v>
      </c>
      <c r="AF98" s="970">
        <f>AF94+AF97</f>
        <v>0</v>
      </c>
      <c r="AG98" s="970">
        <f>AG94+AG97</f>
        <v>0</v>
      </c>
      <c r="AH98" s="970">
        <f t="shared" si="101"/>
        <v>0</v>
      </c>
      <c r="AI98" s="970">
        <f t="shared" si="92"/>
        <v>1739.8509454583316</v>
      </c>
      <c r="AK98" s="976">
        <f t="shared" ref="AK98:BC98" si="102">AK94+AK97</f>
        <v>-145.79944495555736</v>
      </c>
      <c r="AL98" s="976">
        <f t="shared" si="102"/>
        <v>-887.46007573003203</v>
      </c>
      <c r="AM98" s="976">
        <f t="shared" si="102"/>
        <v>-834.0611502141918</v>
      </c>
      <c r="AN98" s="976">
        <f t="shared" si="102"/>
        <v>0</v>
      </c>
      <c r="AO98" s="976">
        <f t="shared" si="102"/>
        <v>0</v>
      </c>
      <c r="AP98" s="976">
        <f t="shared" si="102"/>
        <v>0</v>
      </c>
      <c r="AQ98" s="976">
        <f t="shared" si="102"/>
        <v>0</v>
      </c>
      <c r="AR98" s="976">
        <f t="shared" si="102"/>
        <v>0</v>
      </c>
      <c r="AS98" s="976">
        <f t="shared" si="102"/>
        <v>0</v>
      </c>
      <c r="AT98" s="976">
        <f t="shared" si="102"/>
        <v>0</v>
      </c>
      <c r="AU98" s="976">
        <f t="shared" si="102"/>
        <v>0</v>
      </c>
      <c r="AV98" s="976">
        <f t="shared" si="102"/>
        <v>0</v>
      </c>
      <c r="AW98" s="976">
        <f t="shared" si="102"/>
        <v>0</v>
      </c>
      <c r="AX98" s="976">
        <f t="shared" si="102"/>
        <v>0</v>
      </c>
      <c r="AY98" s="976">
        <f t="shared" si="102"/>
        <v>0</v>
      </c>
      <c r="AZ98" s="976">
        <f t="shared" si="102"/>
        <v>0</v>
      </c>
      <c r="BA98" s="976">
        <f t="shared" si="102"/>
        <v>0</v>
      </c>
      <c r="BB98" s="976">
        <f t="shared" si="102"/>
        <v>0</v>
      </c>
      <c r="BC98" s="976">
        <f t="shared" si="102"/>
        <v>0</v>
      </c>
      <c r="BD98" s="976">
        <f t="shared" si="93"/>
        <v>-1867.3206708997814</v>
      </c>
      <c r="BF98" s="990">
        <f>BF94+BF97</f>
        <v>-3.2412277634048223</v>
      </c>
      <c r="BG98" s="990">
        <f>BG94+BG97</f>
        <v>130.71095320485438</v>
      </c>
      <c r="BH98" s="990">
        <f t="shared" si="94"/>
        <v>127.46972544144955</v>
      </c>
      <c r="BJ98" s="515">
        <f t="shared" si="83"/>
        <v>-2.2737367544323206E-13</v>
      </c>
      <c r="BK98" s="852"/>
      <c r="BL98" s="849"/>
      <c r="BM98" s="1149"/>
      <c r="BN98" s="1146"/>
      <c r="BO98" s="1146"/>
      <c r="BP98" s="1146"/>
      <c r="BQ98" s="1146"/>
      <c r="BR98" s="1146"/>
      <c r="BS98" s="1146"/>
      <c r="BT98" s="1146"/>
      <c r="BU98" s="1146"/>
      <c r="BV98" s="1146"/>
      <c r="BW98" s="1146"/>
      <c r="BX98" s="1146"/>
      <c r="BY98" s="1146"/>
      <c r="BZ98" s="1146"/>
      <c r="CA98" s="1146"/>
      <c r="CB98" s="1146"/>
      <c r="CC98" s="1146"/>
      <c r="CD98" s="1146"/>
      <c r="CE98" s="1146"/>
      <c r="CF98" s="1146"/>
      <c r="CG98" s="1146"/>
      <c r="CH98" s="1146"/>
      <c r="CI98" s="1146"/>
      <c r="CJ98" s="1146"/>
      <c r="CK98" s="1146"/>
      <c r="CL98" s="1146"/>
      <c r="CM98" s="1146"/>
      <c r="CN98" s="1146"/>
      <c r="CO98" s="1146"/>
      <c r="CP98" s="1146"/>
      <c r="CQ98" s="1146"/>
      <c r="CR98" s="1146"/>
      <c r="CS98" s="1146"/>
      <c r="CT98" s="1146"/>
      <c r="CU98" s="1146"/>
      <c r="CV98" s="1146"/>
      <c r="CW98" s="1146"/>
      <c r="CX98" s="1146"/>
      <c r="CY98" s="1146"/>
      <c r="CZ98" s="1146"/>
      <c r="DA98" s="1146"/>
      <c r="DB98" s="1146"/>
      <c r="DC98" s="1146"/>
      <c r="DD98" s="1146"/>
    </row>
    <row r="99" spans="1:108" ht="15" customHeight="1">
      <c r="A99" s="849"/>
      <c r="B99" s="1077"/>
      <c r="C99" s="744"/>
      <c r="D99" s="517"/>
      <c r="E99" s="512"/>
      <c r="F99" s="12"/>
      <c r="G99" s="1021"/>
      <c r="H99" s="1021"/>
      <c r="I99" s="1021"/>
      <c r="J99" s="1021"/>
      <c r="K99" s="1021"/>
      <c r="L99" s="1021"/>
      <c r="M99" s="1021"/>
      <c r="N99" s="1021"/>
      <c r="O99" s="1021"/>
      <c r="P99" s="1021"/>
      <c r="Q99" s="1021"/>
      <c r="S99" s="970"/>
      <c r="T99" s="970"/>
      <c r="U99" s="970"/>
      <c r="V99" s="970"/>
      <c r="W99" s="970"/>
      <c r="X99" s="970"/>
      <c r="Y99" s="970"/>
      <c r="Z99" s="970"/>
      <c r="AA99" s="970"/>
      <c r="AB99" s="970"/>
      <c r="AC99" s="970"/>
      <c r="AD99" s="970"/>
      <c r="AE99" s="970"/>
      <c r="AF99" s="970"/>
      <c r="AG99" s="970"/>
      <c r="AH99" s="970"/>
      <c r="AI99" s="970"/>
      <c r="AK99" s="976"/>
      <c r="AL99" s="976"/>
      <c r="AM99" s="976"/>
      <c r="AN99" s="976"/>
      <c r="AO99" s="976"/>
      <c r="AP99" s="976"/>
      <c r="AQ99" s="976"/>
      <c r="AR99" s="976"/>
      <c r="AS99" s="976"/>
      <c r="AT99" s="976"/>
      <c r="AU99" s="976"/>
      <c r="AV99" s="976"/>
      <c r="AW99" s="976"/>
      <c r="AX99" s="976"/>
      <c r="AY99" s="976"/>
      <c r="AZ99" s="976"/>
      <c r="BA99" s="976"/>
      <c r="BB99" s="976"/>
      <c r="BC99" s="976"/>
      <c r="BD99" s="976"/>
      <c r="BF99" s="990"/>
      <c r="BG99" s="990"/>
      <c r="BH99" s="990"/>
      <c r="BJ99" s="515"/>
      <c r="BK99" s="852"/>
      <c r="BL99" s="849"/>
      <c r="BM99" s="1149"/>
      <c r="BN99" s="1146"/>
      <c r="BO99" s="1146"/>
      <c r="BP99" s="1146"/>
      <c r="BQ99" s="1146"/>
      <c r="BR99" s="1146"/>
      <c r="BS99" s="1146"/>
      <c r="BT99" s="1146"/>
      <c r="BU99" s="1146"/>
      <c r="BV99" s="1146"/>
      <c r="BW99" s="1146"/>
      <c r="BX99" s="1146"/>
      <c r="BY99" s="1146"/>
      <c r="BZ99" s="1146"/>
      <c r="CA99" s="1146"/>
      <c r="CB99" s="1146"/>
      <c r="CC99" s="1146"/>
      <c r="CD99" s="1146"/>
      <c r="CE99" s="1146"/>
      <c r="CF99" s="1146"/>
      <c r="CG99" s="1146"/>
      <c r="CH99" s="1146"/>
      <c r="CI99" s="1146"/>
      <c r="CJ99" s="1146"/>
      <c r="CK99" s="1146"/>
      <c r="CL99" s="1146"/>
      <c r="CM99" s="1146"/>
      <c r="CN99" s="1146"/>
      <c r="CO99" s="1146"/>
      <c r="CP99" s="1146"/>
      <c r="CQ99" s="1146"/>
      <c r="CR99" s="1146"/>
      <c r="CS99" s="1146"/>
      <c r="CT99" s="1146"/>
      <c r="CU99" s="1146"/>
      <c r="CV99" s="1146"/>
      <c r="CW99" s="1146"/>
      <c r="CX99" s="1146"/>
      <c r="CY99" s="1146"/>
      <c r="CZ99" s="1146"/>
      <c r="DA99" s="1146"/>
      <c r="DB99" s="1146"/>
      <c r="DC99" s="1146"/>
      <c r="DD99" s="1146"/>
    </row>
    <row r="100" spans="1:108" hidden="1" outlineLevel="1">
      <c r="C100" s="520"/>
      <c r="D100" s="38"/>
      <c r="F100" s="12"/>
      <c r="G100" s="958"/>
      <c r="H100" s="958"/>
      <c r="I100" s="958"/>
      <c r="J100" s="958"/>
      <c r="K100" s="960"/>
      <c r="L100" s="958"/>
      <c r="M100" s="958"/>
      <c r="N100" s="958"/>
      <c r="O100" s="958"/>
      <c r="P100" s="958"/>
      <c r="Q100" s="958"/>
      <c r="S100" s="970"/>
      <c r="T100" s="970"/>
      <c r="U100" s="970"/>
      <c r="V100" s="970"/>
      <c r="W100" s="970"/>
      <c r="X100" s="970"/>
      <c r="Y100" s="970"/>
      <c r="Z100" s="970"/>
      <c r="AA100" s="970"/>
      <c r="AB100" s="970"/>
      <c r="AC100" s="970"/>
      <c r="AD100" s="970"/>
      <c r="AE100" s="970"/>
      <c r="AF100" s="970"/>
      <c r="AG100" s="970"/>
      <c r="AH100" s="970"/>
      <c r="AI100" s="970"/>
      <c r="AK100" s="976"/>
      <c r="AL100" s="976"/>
      <c r="AM100" s="976"/>
      <c r="AN100" s="976"/>
      <c r="AO100" s="976"/>
      <c r="AP100" s="976"/>
      <c r="AQ100" s="976"/>
      <c r="AR100" s="976"/>
      <c r="AS100" s="976"/>
      <c r="AT100" s="976"/>
      <c r="AU100" s="976"/>
      <c r="AV100" s="976"/>
      <c r="AW100" s="976"/>
      <c r="AX100" s="976"/>
      <c r="AY100" s="976"/>
      <c r="AZ100" s="976"/>
      <c r="BA100" s="976"/>
      <c r="BB100" s="976"/>
      <c r="BC100" s="976"/>
      <c r="BD100" s="976"/>
      <c r="BF100" s="990"/>
      <c r="BG100" s="990"/>
      <c r="BH100" s="990"/>
      <c r="BJ100" s="515">
        <f t="shared" ref="BJ100:BJ109" si="103">Q100+AI100+BD100+BH100</f>
        <v>0</v>
      </c>
      <c r="BK100" s="515"/>
      <c r="BM100" s="1146"/>
      <c r="BN100" s="1146"/>
      <c r="BO100" s="1146"/>
      <c r="BP100" s="1146"/>
      <c r="BQ100" s="1146"/>
      <c r="BR100" s="1146"/>
      <c r="BS100" s="1146"/>
      <c r="BT100" s="1146"/>
      <c r="BU100" s="1146"/>
      <c r="BV100" s="1146"/>
      <c r="BW100" s="1146"/>
      <c r="BX100" s="1146"/>
      <c r="BY100" s="1146"/>
      <c r="BZ100" s="1146"/>
      <c r="CA100" s="1146"/>
      <c r="CB100" s="1146"/>
      <c r="CC100" s="1146"/>
      <c r="CD100" s="1146"/>
      <c r="CE100" s="1146"/>
      <c r="CF100" s="1146"/>
      <c r="CG100" s="1146"/>
      <c r="CH100" s="1146"/>
      <c r="CI100" s="1146"/>
      <c r="CJ100" s="1146"/>
      <c r="CK100" s="1146"/>
      <c r="CL100" s="1146"/>
      <c r="CM100" s="1146"/>
      <c r="CN100" s="1146"/>
      <c r="CO100" s="1146"/>
      <c r="CP100" s="1146"/>
      <c r="CQ100" s="1146"/>
      <c r="CR100" s="1146"/>
      <c r="CS100" s="1146"/>
      <c r="CT100" s="1146"/>
      <c r="CU100" s="1146"/>
      <c r="CV100" s="1146"/>
      <c r="CW100" s="1146"/>
      <c r="CX100" s="1146"/>
      <c r="CY100" s="1146"/>
      <c r="CZ100" s="1146"/>
      <c r="DA100" s="1146"/>
      <c r="DB100" s="1146"/>
      <c r="DC100" s="1146"/>
      <c r="DD100" s="1146"/>
    </row>
    <row r="101" spans="1:108" s="715" customFormat="1" ht="12.75" hidden="1" customHeight="1" outlineLevel="1">
      <c r="C101" s="746" t="s">
        <v>1730</v>
      </c>
      <c r="D101" s="521" t="str">
        <f>INDEX(Modules[Module], MATCH($C101, Modules[Code], 0))</f>
        <v>Onshore wind</v>
      </c>
      <c r="E101" s="521"/>
      <c r="F101" s="12" t="s">
        <v>1216</v>
      </c>
      <c r="G101" s="1017"/>
      <c r="H101" s="1017"/>
      <c r="I101" s="1017"/>
      <c r="J101" s="1017"/>
      <c r="K101" s="1017"/>
      <c r="L101" s="1017"/>
      <c r="M101" s="1017"/>
      <c r="N101" s="1017"/>
      <c r="O101" s="1017"/>
      <c r="P101" s="1017"/>
      <c r="Q101" s="1019">
        <f t="shared" ref="Q101:Q108" si="104">SUM(G101:P101)</f>
        <v>0</v>
      </c>
      <c r="R101" s="121"/>
      <c r="S101" s="1026"/>
      <c r="T101" s="1026">
        <f>'DUKES 09 (7.4)'!$M$25*Unit.GWh</f>
        <v>4.4912822999999999</v>
      </c>
      <c r="U101" s="1026"/>
      <c r="V101" s="1026"/>
      <c r="W101" s="1026"/>
      <c r="X101" s="1026"/>
      <c r="Y101" s="1026"/>
      <c r="Z101" s="1026"/>
      <c r="AA101" s="1026"/>
      <c r="AB101" s="1026"/>
      <c r="AC101" s="1026"/>
      <c r="AD101" s="1026"/>
      <c r="AE101" s="1026"/>
      <c r="AF101" s="1026"/>
      <c r="AG101" s="1026"/>
      <c r="AH101" s="1026"/>
      <c r="AI101" s="1027">
        <f t="shared" ref="AI101:AI108" si="105">SUM(S101:AH101)</f>
        <v>4.4912822999999999</v>
      </c>
      <c r="AJ101" s="121"/>
      <c r="AK101" s="1038"/>
      <c r="AL101" s="1038"/>
      <c r="AM101" s="1038"/>
      <c r="AN101" s="1038"/>
      <c r="AO101" s="1038"/>
      <c r="AP101" s="1038"/>
      <c r="AQ101" s="1038"/>
      <c r="AR101" s="1038"/>
      <c r="AS101" s="1038"/>
      <c r="AT101" s="1038"/>
      <c r="AU101" s="1038"/>
      <c r="AV101" s="1038">
        <f>-T101</f>
        <v>-4.4912822999999999</v>
      </c>
      <c r="AW101" s="1038"/>
      <c r="AX101" s="1038"/>
      <c r="AY101" s="1038"/>
      <c r="AZ101" s="1038"/>
      <c r="BA101" s="1038"/>
      <c r="BB101" s="1038"/>
      <c r="BC101" s="1038"/>
      <c r="BD101" s="979">
        <f t="shared" ref="BD101:BD108" si="106">SUM(AK101:BC101)</f>
        <v>-4.4912822999999999</v>
      </c>
      <c r="BE101" s="121"/>
      <c r="BF101" s="1032"/>
      <c r="BG101" s="1032"/>
      <c r="BH101" s="1034">
        <f t="shared" ref="BH101:BH108" si="107">SUM(BF101:BG101)</f>
        <v>0</v>
      </c>
      <c r="BI101" s="121"/>
      <c r="BJ101" s="814">
        <f t="shared" si="103"/>
        <v>0</v>
      </c>
      <c r="BK101" s="814"/>
      <c r="BM101" s="1147"/>
      <c r="BN101" s="1147"/>
      <c r="BO101" s="1147"/>
      <c r="BP101" s="1147"/>
      <c r="BQ101" s="1147"/>
      <c r="BR101" s="1147"/>
      <c r="BS101" s="1147"/>
      <c r="BT101" s="1147"/>
      <c r="BU101" s="1147"/>
      <c r="BV101" s="1147"/>
      <c r="BW101" s="1147"/>
      <c r="BX101" s="1147"/>
      <c r="BY101" s="1147"/>
      <c r="BZ101" s="1147"/>
      <c r="CA101" s="1147"/>
      <c r="CB101" s="1147"/>
      <c r="CC101" s="1147"/>
      <c r="CD101" s="1147"/>
      <c r="CE101" s="1147"/>
      <c r="CF101" s="1147"/>
      <c r="CG101" s="1147"/>
      <c r="CH101" s="1147"/>
      <c r="CI101" s="1147"/>
      <c r="CJ101" s="1147"/>
      <c r="CK101" s="1147"/>
      <c r="CL101" s="1147"/>
      <c r="CM101" s="1147"/>
      <c r="CN101" s="1147"/>
      <c r="CO101" s="1147"/>
      <c r="CP101" s="1147"/>
      <c r="CQ101" s="1147"/>
      <c r="CR101" s="1147"/>
      <c r="CS101" s="1147"/>
      <c r="CT101" s="1147"/>
      <c r="CU101" s="1147"/>
      <c r="CV101" s="1147"/>
      <c r="CW101" s="1147"/>
      <c r="CX101" s="1147"/>
      <c r="CY101" s="1147"/>
      <c r="CZ101" s="1147"/>
      <c r="DA101" s="1147"/>
      <c r="DB101" s="1147"/>
      <c r="DC101" s="1147"/>
      <c r="DD101" s="1147"/>
    </row>
    <row r="102" spans="1:108" s="715" customFormat="1" ht="12.75" hidden="1" customHeight="1" outlineLevel="1">
      <c r="C102" s="746" t="s">
        <v>1731</v>
      </c>
      <c r="D102" s="521" t="str">
        <f>INDEX(Modules[Module], MATCH($C102, Modules[Code], 0))</f>
        <v>Offshore wind</v>
      </c>
      <c r="E102" s="521"/>
      <c r="F102" s="12" t="s">
        <v>1216</v>
      </c>
      <c r="G102" s="1017"/>
      <c r="H102" s="1017"/>
      <c r="I102" s="1017"/>
      <c r="J102" s="1017"/>
      <c r="K102" s="1017"/>
      <c r="L102" s="1017"/>
      <c r="M102" s="1017"/>
      <c r="N102" s="1017"/>
      <c r="O102" s="1017"/>
      <c r="P102" s="1017"/>
      <c r="Q102" s="1019">
        <f t="shared" si="104"/>
        <v>0</v>
      </c>
      <c r="R102" s="121"/>
      <c r="S102" s="1026"/>
      <c r="T102" s="1026">
        <f>'DUKES 09 (7.4)'!$M$26*Unit.GWh</f>
        <v>0.78255239999999993</v>
      </c>
      <c r="U102" s="1026"/>
      <c r="V102" s="1026"/>
      <c r="W102" s="1026"/>
      <c r="X102" s="1026"/>
      <c r="Y102" s="1026"/>
      <c r="Z102" s="1026"/>
      <c r="AA102" s="1026"/>
      <c r="AB102" s="1026"/>
      <c r="AC102" s="1026"/>
      <c r="AD102" s="1026"/>
      <c r="AE102" s="1026"/>
      <c r="AF102" s="1026"/>
      <c r="AG102" s="1026"/>
      <c r="AH102" s="1026"/>
      <c r="AI102" s="1027">
        <f t="shared" si="105"/>
        <v>0.78255239999999993</v>
      </c>
      <c r="AJ102" s="121"/>
      <c r="AK102" s="1038"/>
      <c r="AL102" s="1038"/>
      <c r="AM102" s="1038"/>
      <c r="AN102" s="1038"/>
      <c r="AO102" s="1038"/>
      <c r="AP102" s="1038"/>
      <c r="AQ102" s="1038"/>
      <c r="AR102" s="1038"/>
      <c r="AS102" s="1038"/>
      <c r="AT102" s="1038"/>
      <c r="AU102" s="1038"/>
      <c r="AV102" s="1038">
        <f>-T102</f>
        <v>-0.78255239999999993</v>
      </c>
      <c r="AW102" s="1038"/>
      <c r="AX102" s="1038"/>
      <c r="AY102" s="1038"/>
      <c r="AZ102" s="1038"/>
      <c r="BA102" s="1038"/>
      <c r="BB102" s="1038"/>
      <c r="BC102" s="1038"/>
      <c r="BD102" s="979">
        <f t="shared" si="106"/>
        <v>-0.78255239999999993</v>
      </c>
      <c r="BE102" s="121"/>
      <c r="BF102" s="1032"/>
      <c r="BG102" s="1032"/>
      <c r="BH102" s="1034">
        <f t="shared" si="107"/>
        <v>0</v>
      </c>
      <c r="BI102" s="121"/>
      <c r="BJ102" s="814">
        <f t="shared" si="103"/>
        <v>0</v>
      </c>
      <c r="BK102" s="814"/>
      <c r="BM102" s="1147"/>
      <c r="BN102" s="1147"/>
      <c r="BO102" s="1147"/>
      <c r="BP102" s="1147"/>
      <c r="BQ102" s="1147"/>
      <c r="BR102" s="1147"/>
      <c r="BS102" s="1147"/>
      <c r="BT102" s="1147"/>
      <c r="BU102" s="1147"/>
      <c r="BV102" s="1147"/>
      <c r="BW102" s="1147"/>
      <c r="BX102" s="1147"/>
      <c r="BY102" s="1147"/>
      <c r="BZ102" s="1147"/>
      <c r="CA102" s="1147"/>
      <c r="CB102" s="1147"/>
      <c r="CC102" s="1147"/>
      <c r="CD102" s="1147"/>
      <c r="CE102" s="1147"/>
      <c r="CF102" s="1147"/>
      <c r="CG102" s="1147"/>
      <c r="CH102" s="1147"/>
      <c r="CI102" s="1147"/>
      <c r="CJ102" s="1147"/>
      <c r="CK102" s="1147"/>
      <c r="CL102" s="1147"/>
      <c r="CM102" s="1147"/>
      <c r="CN102" s="1147"/>
      <c r="CO102" s="1147"/>
      <c r="CP102" s="1147"/>
      <c r="CQ102" s="1147"/>
      <c r="CR102" s="1147"/>
      <c r="CS102" s="1147"/>
      <c r="CT102" s="1147"/>
      <c r="CU102" s="1147"/>
      <c r="CV102" s="1147"/>
      <c r="CW102" s="1147"/>
      <c r="CX102" s="1147"/>
      <c r="CY102" s="1147"/>
      <c r="CZ102" s="1147"/>
      <c r="DA102" s="1147"/>
      <c r="DB102" s="1147"/>
      <c r="DC102" s="1147"/>
      <c r="DD102" s="1147"/>
    </row>
    <row r="103" spans="1:108" s="715" customFormat="1" ht="12.75" hidden="1" customHeight="1" outlineLevel="1">
      <c r="C103" s="746" t="s">
        <v>803</v>
      </c>
      <c r="D103" s="521" t="str">
        <f>INDEX(Modules[Module], MATCH($C103, Modules[Code], 0))</f>
        <v>Hydroelectric</v>
      </c>
      <c r="E103" s="521"/>
      <c r="F103" s="12" t="s">
        <v>1216</v>
      </c>
      <c r="G103" s="1017"/>
      <c r="H103" s="1017"/>
      <c r="I103" s="1017"/>
      <c r="J103" s="1017"/>
      <c r="K103" s="1017"/>
      <c r="L103" s="1017"/>
      <c r="M103" s="1017"/>
      <c r="N103" s="1017"/>
      <c r="O103" s="1017"/>
      <c r="P103" s="1017"/>
      <c r="Q103" s="1019">
        <f t="shared" si="104"/>
        <v>0</v>
      </c>
      <c r="R103" s="121"/>
      <c r="S103" s="1026"/>
      <c r="T103" s="1026">
        <f>('DUKES 09 (5.6)'!$J$246-'DUKES 09 (5.6)'!$J$247)*Unit.GWh</f>
        <v>4.1137551000000006</v>
      </c>
      <c r="U103" s="1026"/>
      <c r="V103" s="1026"/>
      <c r="W103" s="1026"/>
      <c r="X103" s="1026"/>
      <c r="Y103" s="1026"/>
      <c r="Z103" s="1026"/>
      <c r="AA103" s="1026"/>
      <c r="AB103" s="1026"/>
      <c r="AC103" s="1026"/>
      <c r="AD103" s="1026"/>
      <c r="AE103" s="1026"/>
      <c r="AF103" s="1026"/>
      <c r="AG103" s="1026"/>
      <c r="AH103" s="1026"/>
      <c r="AI103" s="1027">
        <f t="shared" si="105"/>
        <v>4.1137551000000006</v>
      </c>
      <c r="AJ103" s="121"/>
      <c r="AK103" s="1038"/>
      <c r="AL103" s="1038"/>
      <c r="AM103" s="1038"/>
      <c r="AN103" s="1038"/>
      <c r="AO103" s="1038"/>
      <c r="AP103" s="1038"/>
      <c r="AQ103" s="1038"/>
      <c r="AR103" s="1038"/>
      <c r="AS103" s="1038"/>
      <c r="AT103" s="1038"/>
      <c r="AU103" s="1038"/>
      <c r="AV103" s="1038"/>
      <c r="AW103" s="1038"/>
      <c r="AX103" s="1038"/>
      <c r="AY103" s="1038"/>
      <c r="AZ103" s="1038">
        <f>-'DUKES 09 (5.6)'!$J$245*Unit.GWh</f>
        <v>-4.1435790100000007</v>
      </c>
      <c r="BA103" s="1038"/>
      <c r="BB103" s="1038"/>
      <c r="BC103" s="1038"/>
      <c r="BD103" s="979">
        <f t="shared" si="106"/>
        <v>-4.1435790100000007</v>
      </c>
      <c r="BE103" s="121"/>
      <c r="BF103" s="1032"/>
      <c r="BG103" s="1032">
        <f>'DUKES 09 (5.6)'!$J$247*Unit.GWh</f>
        <v>2.9823910000000068E-2</v>
      </c>
      <c r="BH103" s="1034">
        <f t="shared" si="107"/>
        <v>2.9823910000000068E-2</v>
      </c>
      <c r="BI103" s="121"/>
      <c r="BJ103" s="814">
        <f t="shared" si="103"/>
        <v>-1.0755285551056204E-16</v>
      </c>
      <c r="BK103" s="814"/>
      <c r="BM103" s="1147"/>
      <c r="BN103" s="1147"/>
      <c r="BO103" s="1147"/>
      <c r="BP103" s="1147"/>
      <c r="BQ103" s="1147"/>
      <c r="BR103" s="1147"/>
      <c r="BS103" s="1147"/>
      <c r="BT103" s="1147"/>
      <c r="BU103" s="1147"/>
      <c r="BV103" s="1147"/>
      <c r="BW103" s="1147"/>
      <c r="BX103" s="1147"/>
      <c r="BY103" s="1147"/>
      <c r="BZ103" s="1147"/>
      <c r="CA103" s="1147"/>
      <c r="CB103" s="1147"/>
      <c r="CC103" s="1147"/>
      <c r="CD103" s="1147"/>
      <c r="CE103" s="1147"/>
      <c r="CF103" s="1147"/>
      <c r="CG103" s="1147"/>
      <c r="CH103" s="1147"/>
      <c r="CI103" s="1147"/>
      <c r="CJ103" s="1147"/>
      <c r="CK103" s="1147"/>
      <c r="CL103" s="1147"/>
      <c r="CM103" s="1147"/>
      <c r="CN103" s="1147"/>
      <c r="CO103" s="1147"/>
      <c r="CP103" s="1147"/>
      <c r="CQ103" s="1147"/>
      <c r="CR103" s="1147"/>
      <c r="CS103" s="1147"/>
      <c r="CT103" s="1147"/>
      <c r="CU103" s="1147"/>
      <c r="CV103" s="1147"/>
      <c r="CW103" s="1147"/>
      <c r="CX103" s="1147"/>
      <c r="CY103" s="1147"/>
      <c r="CZ103" s="1147"/>
      <c r="DA103" s="1147"/>
      <c r="DB103" s="1147"/>
      <c r="DC103" s="1147"/>
      <c r="DD103" s="1147"/>
    </row>
    <row r="104" spans="1:108" s="715" customFormat="1" ht="12.75" hidden="1" customHeight="1" outlineLevel="1">
      <c r="C104" s="746" t="s">
        <v>808</v>
      </c>
      <c r="D104" s="521" t="str">
        <f>INDEX(Modules[Module], MATCH($C104, Modules[Code], 0))</f>
        <v>Wave and Tidal</v>
      </c>
      <c r="E104" s="521"/>
      <c r="F104" s="12" t="s">
        <v>1216</v>
      </c>
      <c r="G104" s="1017"/>
      <c r="H104" s="1017"/>
      <c r="I104" s="1017"/>
      <c r="J104" s="1017"/>
      <c r="K104" s="1017"/>
      <c r="L104" s="1017"/>
      <c r="M104" s="1017"/>
      <c r="N104" s="1017"/>
      <c r="O104" s="1017"/>
      <c r="P104" s="1017"/>
      <c r="Q104" s="1019">
        <f t="shared" si="104"/>
        <v>0</v>
      </c>
      <c r="R104" s="121"/>
      <c r="S104" s="1026"/>
      <c r="T104" s="1026"/>
      <c r="U104" s="1026"/>
      <c r="V104" s="1026"/>
      <c r="W104" s="1026"/>
      <c r="X104" s="1026"/>
      <c r="Y104" s="1026"/>
      <c r="Z104" s="1026"/>
      <c r="AA104" s="1026"/>
      <c r="AB104" s="1026"/>
      <c r="AC104" s="1026"/>
      <c r="AD104" s="1026"/>
      <c r="AE104" s="1026"/>
      <c r="AF104" s="1026"/>
      <c r="AG104" s="1026"/>
      <c r="AH104" s="1026"/>
      <c r="AI104" s="1027">
        <f t="shared" si="105"/>
        <v>0</v>
      </c>
      <c r="AJ104" s="121"/>
      <c r="AK104" s="1038"/>
      <c r="AL104" s="1038"/>
      <c r="AM104" s="1038"/>
      <c r="AN104" s="1038"/>
      <c r="AO104" s="1038"/>
      <c r="AP104" s="1038"/>
      <c r="AQ104" s="1038"/>
      <c r="AR104" s="1038"/>
      <c r="AS104" s="1038"/>
      <c r="AT104" s="1038"/>
      <c r="AU104" s="1038"/>
      <c r="AV104" s="1038"/>
      <c r="AW104" s="1038"/>
      <c r="AX104" s="1038"/>
      <c r="AY104" s="1038"/>
      <c r="AZ104" s="1038"/>
      <c r="BA104" s="1038"/>
      <c r="BB104" s="1038"/>
      <c r="BC104" s="1038"/>
      <c r="BD104" s="979">
        <f t="shared" si="106"/>
        <v>0</v>
      </c>
      <c r="BE104" s="121"/>
      <c r="BF104" s="1032"/>
      <c r="BG104" s="1032"/>
      <c r="BH104" s="1034">
        <f t="shared" si="107"/>
        <v>0</v>
      </c>
      <c r="BI104" s="121"/>
      <c r="BJ104" s="814">
        <f t="shared" si="103"/>
        <v>0</v>
      </c>
      <c r="BK104" s="814"/>
      <c r="BM104" s="1147"/>
      <c r="BN104" s="1147"/>
      <c r="BO104" s="1147"/>
      <c r="BP104" s="1147"/>
      <c r="BQ104" s="1147"/>
      <c r="BR104" s="1147"/>
      <c r="BS104" s="1147"/>
      <c r="BT104" s="1147"/>
      <c r="BU104" s="1147"/>
      <c r="BV104" s="1147"/>
      <c r="BW104" s="1147"/>
      <c r="BX104" s="1147"/>
      <c r="BY104" s="1147"/>
      <c r="BZ104" s="1147"/>
      <c r="CA104" s="1147"/>
      <c r="CB104" s="1147"/>
      <c r="CC104" s="1147"/>
      <c r="CD104" s="1147"/>
      <c r="CE104" s="1147"/>
      <c r="CF104" s="1147"/>
      <c r="CG104" s="1147"/>
      <c r="CH104" s="1147"/>
      <c r="CI104" s="1147"/>
      <c r="CJ104" s="1147"/>
      <c r="CK104" s="1147"/>
      <c r="CL104" s="1147"/>
      <c r="CM104" s="1147"/>
      <c r="CN104" s="1147"/>
      <c r="CO104" s="1147"/>
      <c r="CP104" s="1147"/>
      <c r="CQ104" s="1147"/>
      <c r="CR104" s="1147"/>
      <c r="CS104" s="1147"/>
      <c r="CT104" s="1147"/>
      <c r="CU104" s="1147"/>
      <c r="CV104" s="1147"/>
      <c r="CW104" s="1147"/>
      <c r="CX104" s="1147"/>
      <c r="CY104" s="1147"/>
      <c r="CZ104" s="1147"/>
      <c r="DA104" s="1147"/>
      <c r="DB104" s="1147"/>
      <c r="DC104" s="1147"/>
      <c r="DD104" s="1147"/>
    </row>
    <row r="105" spans="1:108" s="715" customFormat="1" ht="12.75" hidden="1" customHeight="1" outlineLevel="1">
      <c r="C105" s="746" t="s">
        <v>809</v>
      </c>
      <c r="D105" s="521" t="str">
        <f>INDEX(Modules[Module], MATCH($C105, Modules[Code], 0))</f>
        <v>Geothermal</v>
      </c>
      <c r="E105" s="521"/>
      <c r="F105" s="12" t="s">
        <v>1216</v>
      </c>
      <c r="G105" s="1017"/>
      <c r="H105" s="1017"/>
      <c r="I105" s="1017"/>
      <c r="J105" s="1017"/>
      <c r="K105" s="1017"/>
      <c r="L105" s="1017"/>
      <c r="M105" s="1017"/>
      <c r="N105" s="1017"/>
      <c r="O105" s="1017"/>
      <c r="P105" s="1017"/>
      <c r="Q105" s="1019">
        <f t="shared" si="104"/>
        <v>0</v>
      </c>
      <c r="R105" s="121"/>
      <c r="S105" s="1026"/>
      <c r="T105" s="1026"/>
      <c r="U105" s="1026"/>
      <c r="V105" s="1026"/>
      <c r="W105" s="1026"/>
      <c r="X105" s="1026"/>
      <c r="Y105" s="1026"/>
      <c r="Z105" s="1026"/>
      <c r="AA105" s="1026"/>
      <c r="AB105" s="1026"/>
      <c r="AC105" s="1026"/>
      <c r="AD105" s="1026"/>
      <c r="AE105" s="1026"/>
      <c r="AF105" s="1026"/>
      <c r="AG105" s="1026"/>
      <c r="AH105" s="1026"/>
      <c r="AI105" s="1027">
        <f t="shared" si="105"/>
        <v>0</v>
      </c>
      <c r="AJ105" s="121"/>
      <c r="AK105" s="1038"/>
      <c r="AL105" s="1038"/>
      <c r="AM105" s="1038"/>
      <c r="AN105" s="1038"/>
      <c r="AO105" s="1038"/>
      <c r="AP105" s="1038"/>
      <c r="AQ105" s="1038"/>
      <c r="AR105" s="1038"/>
      <c r="AS105" s="1038"/>
      <c r="AT105" s="1038"/>
      <c r="AU105" s="1038"/>
      <c r="AV105" s="1038"/>
      <c r="AW105" s="1038"/>
      <c r="AX105" s="1038"/>
      <c r="AY105" s="1038"/>
      <c r="AZ105" s="1038"/>
      <c r="BA105" s="1038"/>
      <c r="BB105" s="1038"/>
      <c r="BC105" s="1038"/>
      <c r="BD105" s="979">
        <f t="shared" si="106"/>
        <v>0</v>
      </c>
      <c r="BE105" s="121"/>
      <c r="BF105" s="1032"/>
      <c r="BG105" s="1032"/>
      <c r="BH105" s="1034">
        <f t="shared" si="107"/>
        <v>0</v>
      </c>
      <c r="BI105" s="121"/>
      <c r="BJ105" s="814">
        <f t="shared" si="103"/>
        <v>0</v>
      </c>
      <c r="BK105" s="814"/>
      <c r="BM105" s="1147"/>
      <c r="BN105" s="1147"/>
      <c r="BO105" s="1147"/>
      <c r="BP105" s="1147"/>
      <c r="BQ105" s="1147"/>
      <c r="BR105" s="1147"/>
      <c r="BS105" s="1147"/>
      <c r="BT105" s="1147"/>
      <c r="BU105" s="1147"/>
      <c r="BV105" s="1147"/>
      <c r="BW105" s="1147"/>
      <c r="BX105" s="1147"/>
      <c r="BY105" s="1147"/>
      <c r="BZ105" s="1147"/>
      <c r="CA105" s="1147"/>
      <c r="CB105" s="1147"/>
      <c r="CC105" s="1147"/>
      <c r="CD105" s="1147"/>
      <c r="CE105" s="1147"/>
      <c r="CF105" s="1147"/>
      <c r="CG105" s="1147"/>
      <c r="CH105" s="1147"/>
      <c r="CI105" s="1147"/>
      <c r="CJ105" s="1147"/>
      <c r="CK105" s="1147"/>
      <c r="CL105" s="1147"/>
      <c r="CM105" s="1147"/>
      <c r="CN105" s="1147"/>
      <c r="CO105" s="1147"/>
      <c r="CP105" s="1147"/>
      <c r="CQ105" s="1147"/>
      <c r="CR105" s="1147"/>
      <c r="CS105" s="1147"/>
      <c r="CT105" s="1147"/>
      <c r="CU105" s="1147"/>
      <c r="CV105" s="1147"/>
      <c r="CW105" s="1147"/>
      <c r="CX105" s="1147"/>
      <c r="CY105" s="1147"/>
      <c r="CZ105" s="1147"/>
      <c r="DA105" s="1147"/>
      <c r="DB105" s="1147"/>
      <c r="DC105" s="1147"/>
      <c r="DD105" s="1147"/>
    </row>
    <row r="106" spans="1:108" s="715" customFormat="1" ht="12.75" hidden="1" customHeight="1" outlineLevel="1">
      <c r="C106" s="746" t="s">
        <v>810</v>
      </c>
      <c r="D106" s="521" t="str">
        <f>INDEX(Modules[Module], MATCH($C106, Modules[Code], 0))</f>
        <v>Tidal [UNUSED - See III.c]</v>
      </c>
      <c r="E106" s="521"/>
      <c r="F106" s="12" t="s">
        <v>1216</v>
      </c>
      <c r="G106" s="1017"/>
      <c r="H106" s="1017"/>
      <c r="I106" s="1017"/>
      <c r="J106" s="1017"/>
      <c r="K106" s="1017"/>
      <c r="L106" s="1017"/>
      <c r="M106" s="1017"/>
      <c r="N106" s="1017"/>
      <c r="O106" s="1017"/>
      <c r="P106" s="1017"/>
      <c r="Q106" s="1019">
        <f t="shared" si="104"/>
        <v>0</v>
      </c>
      <c r="R106" s="121"/>
      <c r="S106" s="1026"/>
      <c r="T106" s="1026"/>
      <c r="U106" s="1026"/>
      <c r="V106" s="1026"/>
      <c r="W106" s="1026"/>
      <c r="X106" s="1026"/>
      <c r="Y106" s="1026"/>
      <c r="Z106" s="1026"/>
      <c r="AA106" s="1026"/>
      <c r="AB106" s="1026"/>
      <c r="AC106" s="1026"/>
      <c r="AD106" s="1026"/>
      <c r="AE106" s="1026"/>
      <c r="AF106" s="1026"/>
      <c r="AG106" s="1026"/>
      <c r="AH106" s="1026"/>
      <c r="AI106" s="1027">
        <f t="shared" si="105"/>
        <v>0</v>
      </c>
      <c r="AJ106" s="121"/>
      <c r="AK106" s="1038"/>
      <c r="AL106" s="1038"/>
      <c r="AM106" s="1038"/>
      <c r="AN106" s="1038"/>
      <c r="AO106" s="1038"/>
      <c r="AP106" s="1038"/>
      <c r="AQ106" s="1038"/>
      <c r="AR106" s="1038"/>
      <c r="AS106" s="1038"/>
      <c r="AT106" s="1038"/>
      <c r="AU106" s="1038"/>
      <c r="AV106" s="1038"/>
      <c r="AW106" s="1038"/>
      <c r="AX106" s="1038"/>
      <c r="AY106" s="1038"/>
      <c r="AZ106" s="1038"/>
      <c r="BA106" s="1038"/>
      <c r="BB106" s="1038"/>
      <c r="BC106" s="1038"/>
      <c r="BD106" s="979">
        <f t="shared" si="106"/>
        <v>0</v>
      </c>
      <c r="BE106" s="121"/>
      <c r="BF106" s="1032"/>
      <c r="BG106" s="1032"/>
      <c r="BH106" s="1034">
        <f t="shared" si="107"/>
        <v>0</v>
      </c>
      <c r="BI106" s="121"/>
      <c r="BJ106" s="814">
        <f t="shared" si="103"/>
        <v>0</v>
      </c>
      <c r="BK106" s="814"/>
      <c r="BM106" s="1147"/>
      <c r="BN106" s="1147"/>
      <c r="BO106" s="1147"/>
      <c r="BP106" s="1147"/>
      <c r="BQ106" s="1147"/>
      <c r="BR106" s="1147"/>
      <c r="BS106" s="1147"/>
      <c r="BT106" s="1147"/>
      <c r="BU106" s="1147"/>
      <c r="BV106" s="1147"/>
      <c r="BW106" s="1147"/>
      <c r="BX106" s="1147"/>
      <c r="BY106" s="1147"/>
      <c r="BZ106" s="1147"/>
      <c r="CA106" s="1147"/>
      <c r="CB106" s="1147"/>
      <c r="CC106" s="1147"/>
      <c r="CD106" s="1147"/>
      <c r="CE106" s="1147"/>
      <c r="CF106" s="1147"/>
      <c r="CG106" s="1147"/>
      <c r="CH106" s="1147"/>
      <c r="CI106" s="1147"/>
      <c r="CJ106" s="1147"/>
      <c r="CK106" s="1147"/>
      <c r="CL106" s="1147"/>
      <c r="CM106" s="1147"/>
      <c r="CN106" s="1147"/>
      <c r="CO106" s="1147"/>
      <c r="CP106" s="1147"/>
      <c r="CQ106" s="1147"/>
      <c r="CR106" s="1147"/>
      <c r="CS106" s="1147"/>
      <c r="CT106" s="1147"/>
      <c r="CU106" s="1147"/>
      <c r="CV106" s="1147"/>
      <c r="CW106" s="1147"/>
      <c r="CX106" s="1147"/>
      <c r="CY106" s="1147"/>
      <c r="CZ106" s="1147"/>
      <c r="DA106" s="1147"/>
      <c r="DB106" s="1147"/>
      <c r="DC106" s="1147"/>
      <c r="DD106" s="1147"/>
    </row>
    <row r="107" spans="1:108" s="715" customFormat="1" ht="12.75" hidden="1" customHeight="1" outlineLevel="1">
      <c r="C107" s="746"/>
      <c r="D107" s="1010" t="s">
        <v>3</v>
      </c>
      <c r="E107" s="1010"/>
      <c r="F107" s="12"/>
      <c r="G107" s="1022"/>
      <c r="H107" s="1022"/>
      <c r="I107" s="1022"/>
      <c r="J107" s="1022"/>
      <c r="K107" s="1022"/>
      <c r="L107" s="1022"/>
      <c r="M107" s="1022"/>
      <c r="N107" s="1022"/>
      <c r="O107" s="1022"/>
      <c r="P107" s="1022"/>
      <c r="Q107" s="1020">
        <f t="shared" si="104"/>
        <v>0</v>
      </c>
      <c r="R107" s="121"/>
      <c r="S107" s="1031"/>
      <c r="T107" s="1031"/>
      <c r="U107" s="1031"/>
      <c r="V107" s="1031"/>
      <c r="W107" s="1031"/>
      <c r="X107" s="1031"/>
      <c r="Y107" s="1031"/>
      <c r="Z107" s="1031"/>
      <c r="AA107" s="1031"/>
      <c r="AB107" s="1031"/>
      <c r="AC107" s="1031"/>
      <c r="AD107" s="1031"/>
      <c r="AE107" s="1031"/>
      <c r="AF107" s="1031"/>
      <c r="AG107" s="1031"/>
      <c r="AH107" s="1031"/>
      <c r="AI107" s="1030">
        <f t="shared" si="105"/>
        <v>0</v>
      </c>
      <c r="AJ107" s="121"/>
      <c r="AK107" s="1042"/>
      <c r="AL107" s="1042"/>
      <c r="AM107" s="1042"/>
      <c r="AN107" s="1042"/>
      <c r="AO107" s="1042"/>
      <c r="AP107" s="1042"/>
      <c r="AQ107" s="1042"/>
      <c r="AR107" s="1042"/>
      <c r="AS107" s="1042"/>
      <c r="AT107" s="1042"/>
      <c r="AU107" s="1042"/>
      <c r="AV107" s="1042"/>
      <c r="AW107" s="1042"/>
      <c r="AX107" s="1042"/>
      <c r="AY107" s="1042"/>
      <c r="AZ107" s="1042"/>
      <c r="BA107" s="1042"/>
      <c r="BB107" s="1042"/>
      <c r="BC107" s="1042"/>
      <c r="BD107" s="1012">
        <f t="shared" si="106"/>
        <v>0</v>
      </c>
      <c r="BE107" s="121"/>
      <c r="BF107" s="1036"/>
      <c r="BG107" s="1036"/>
      <c r="BH107" s="1035">
        <f t="shared" si="107"/>
        <v>0</v>
      </c>
      <c r="BI107" s="121"/>
      <c r="BJ107" s="814">
        <f t="shared" si="103"/>
        <v>0</v>
      </c>
      <c r="BK107" s="814"/>
      <c r="BM107" s="1147"/>
      <c r="BN107" s="1147"/>
      <c r="BO107" s="1147"/>
      <c r="BP107" s="1147"/>
      <c r="BQ107" s="1147"/>
      <c r="BR107" s="1147"/>
      <c r="BS107" s="1147"/>
      <c r="BT107" s="1147"/>
      <c r="BU107" s="1147"/>
      <c r="BV107" s="1147"/>
      <c r="BW107" s="1147"/>
      <c r="BX107" s="1147"/>
      <c r="BY107" s="1147"/>
      <c r="BZ107" s="1147"/>
      <c r="CA107" s="1147"/>
      <c r="CB107" s="1147"/>
      <c r="CC107" s="1147"/>
      <c r="CD107" s="1147"/>
      <c r="CE107" s="1147"/>
      <c r="CF107" s="1147"/>
      <c r="CG107" s="1147"/>
      <c r="CH107" s="1147"/>
      <c r="CI107" s="1147"/>
      <c r="CJ107" s="1147"/>
      <c r="CK107" s="1147"/>
      <c r="CL107" s="1147"/>
      <c r="CM107" s="1147"/>
      <c r="CN107" s="1147"/>
      <c r="CO107" s="1147"/>
      <c r="CP107" s="1147"/>
      <c r="CQ107" s="1147"/>
      <c r="CR107" s="1147"/>
      <c r="CS107" s="1147"/>
      <c r="CT107" s="1147"/>
      <c r="CU107" s="1147"/>
      <c r="CV107" s="1147"/>
      <c r="CW107" s="1147"/>
      <c r="CX107" s="1147"/>
      <c r="CY107" s="1147"/>
      <c r="CZ107" s="1147"/>
      <c r="DA107" s="1147"/>
      <c r="DB107" s="1147"/>
      <c r="DC107" s="1147"/>
      <c r="DD107" s="1147"/>
    </row>
    <row r="108" spans="1:108" ht="15.75" collapsed="1">
      <c r="A108" s="24"/>
      <c r="B108" s="3"/>
      <c r="C108" s="744" t="s">
        <v>76</v>
      </c>
      <c r="D108" s="517" t="str">
        <f>INDEX(Workstreams[Workstream], MATCH($C108, Workstreams[Code], 0))</f>
        <v>National renewable power generation</v>
      </c>
      <c r="E108" s="512"/>
      <c r="F108" s="12"/>
      <c r="G108" s="958">
        <f>SUM(G101:G107)</f>
        <v>0</v>
      </c>
      <c r="H108" s="958">
        <f t="shared" ref="H108:P108" si="108">SUM(H101:H107)</f>
        <v>0</v>
      </c>
      <c r="I108" s="958">
        <f t="shared" si="108"/>
        <v>0</v>
      </c>
      <c r="J108" s="958">
        <f t="shared" si="108"/>
        <v>0</v>
      </c>
      <c r="K108" s="958">
        <f t="shared" si="108"/>
        <v>0</v>
      </c>
      <c r="L108" s="958">
        <f t="shared" si="108"/>
        <v>0</v>
      </c>
      <c r="M108" s="958">
        <f t="shared" si="108"/>
        <v>0</v>
      </c>
      <c r="N108" s="958">
        <f t="shared" si="108"/>
        <v>0</v>
      </c>
      <c r="O108" s="958">
        <f t="shared" si="108"/>
        <v>0</v>
      </c>
      <c r="P108" s="958">
        <f t="shared" si="108"/>
        <v>0</v>
      </c>
      <c r="Q108" s="1021">
        <f t="shared" si="104"/>
        <v>0</v>
      </c>
      <c r="S108" s="970">
        <f t="shared" ref="S108:AH108" si="109">SUM(S101:S107)</f>
        <v>0</v>
      </c>
      <c r="T108" s="970">
        <f t="shared" si="109"/>
        <v>9.3875898000000007</v>
      </c>
      <c r="U108" s="970">
        <f t="shared" si="109"/>
        <v>0</v>
      </c>
      <c r="V108" s="970">
        <f t="shared" si="109"/>
        <v>0</v>
      </c>
      <c r="W108" s="970">
        <f t="shared" si="109"/>
        <v>0</v>
      </c>
      <c r="X108" s="970">
        <f>SUM(X101:X107)</f>
        <v>0</v>
      </c>
      <c r="Y108" s="970">
        <f>SUM(Y101:Y107)</f>
        <v>0</v>
      </c>
      <c r="Z108" s="970">
        <f>SUM(Z101:Z107)</f>
        <v>0</v>
      </c>
      <c r="AA108" s="970">
        <f t="shared" si="109"/>
        <v>0</v>
      </c>
      <c r="AB108" s="970">
        <f t="shared" si="109"/>
        <v>0</v>
      </c>
      <c r="AC108" s="970">
        <f t="shared" si="109"/>
        <v>0</v>
      </c>
      <c r="AD108" s="970">
        <f t="shared" si="109"/>
        <v>0</v>
      </c>
      <c r="AE108" s="970">
        <f t="shared" si="109"/>
        <v>0</v>
      </c>
      <c r="AF108" s="970">
        <f>SUM(AF101:AF107)</f>
        <v>0</v>
      </c>
      <c r="AG108" s="970">
        <f>SUM(AG101:AG107)</f>
        <v>0</v>
      </c>
      <c r="AH108" s="970">
        <f t="shared" si="109"/>
        <v>0</v>
      </c>
      <c r="AI108" s="970">
        <f t="shared" si="105"/>
        <v>9.3875898000000007</v>
      </c>
      <c r="AK108" s="976">
        <f t="shared" ref="AK108:AQ108" si="110">SUM(AK101:AK107)</f>
        <v>0</v>
      </c>
      <c r="AL108" s="976">
        <f t="shared" si="110"/>
        <v>0</v>
      </c>
      <c r="AM108" s="976">
        <f t="shared" si="110"/>
        <v>0</v>
      </c>
      <c r="AN108" s="976">
        <f t="shared" si="110"/>
        <v>0</v>
      </c>
      <c r="AO108" s="976">
        <f t="shared" si="110"/>
        <v>0</v>
      </c>
      <c r="AP108" s="976">
        <f t="shared" si="110"/>
        <v>0</v>
      </c>
      <c r="AQ108" s="976">
        <f t="shared" si="110"/>
        <v>0</v>
      </c>
      <c r="AR108" s="976">
        <f t="shared" ref="AR108:BC108" si="111">SUM(AR101:AR107)</f>
        <v>0</v>
      </c>
      <c r="AS108" s="976">
        <f t="shared" si="111"/>
        <v>0</v>
      </c>
      <c r="AT108" s="976">
        <f t="shared" si="111"/>
        <v>0</v>
      </c>
      <c r="AU108" s="976">
        <f t="shared" si="111"/>
        <v>0</v>
      </c>
      <c r="AV108" s="976">
        <f t="shared" si="111"/>
        <v>-5.2738347000000001</v>
      </c>
      <c r="AW108" s="976">
        <f t="shared" si="111"/>
        <v>0</v>
      </c>
      <c r="AX108" s="976">
        <f t="shared" si="111"/>
        <v>0</v>
      </c>
      <c r="AY108" s="976">
        <f t="shared" si="111"/>
        <v>0</v>
      </c>
      <c r="AZ108" s="976">
        <f t="shared" si="111"/>
        <v>-4.1435790100000007</v>
      </c>
      <c r="BA108" s="976">
        <f t="shared" si="111"/>
        <v>0</v>
      </c>
      <c r="BB108" s="976">
        <f t="shared" si="111"/>
        <v>0</v>
      </c>
      <c r="BC108" s="976">
        <f t="shared" si="111"/>
        <v>0</v>
      </c>
      <c r="BD108" s="976">
        <f t="shared" si="106"/>
        <v>-9.4174137100000017</v>
      </c>
      <c r="BF108" s="990">
        <f>SUM(BF101:BF107)</f>
        <v>0</v>
      </c>
      <c r="BG108" s="990">
        <f>SUM(BG101:BG107)</f>
        <v>2.9823910000000068E-2</v>
      </c>
      <c r="BH108" s="990">
        <f t="shared" si="107"/>
        <v>2.9823910000000068E-2</v>
      </c>
      <c r="BJ108" s="515">
        <f t="shared" si="103"/>
        <v>-9.9573127521068727E-16</v>
      </c>
      <c r="BK108" s="515"/>
      <c r="BL108" s="24"/>
      <c r="BM108" s="1148"/>
      <c r="BN108" s="1146"/>
      <c r="BO108" s="1146"/>
      <c r="BP108" s="1146"/>
      <c r="BQ108" s="1146"/>
      <c r="BR108" s="1146"/>
      <c r="BS108" s="1146"/>
      <c r="BT108" s="1146"/>
      <c r="BU108" s="1146"/>
      <c r="BV108" s="1146"/>
      <c r="BW108" s="1146"/>
      <c r="BX108" s="1146"/>
      <c r="BY108" s="1146"/>
      <c r="BZ108" s="1146"/>
      <c r="CA108" s="1146"/>
      <c r="CB108" s="1146"/>
      <c r="CC108" s="1146"/>
      <c r="CD108" s="1146"/>
      <c r="CE108" s="1146"/>
      <c r="CF108" s="1146"/>
      <c r="CG108" s="1146"/>
      <c r="CH108" s="1146"/>
      <c r="CI108" s="1146"/>
      <c r="CJ108" s="1146"/>
      <c r="CK108" s="1146"/>
      <c r="CL108" s="1146"/>
      <c r="CM108" s="1146"/>
      <c r="CN108" s="1146"/>
      <c r="CO108" s="1146"/>
      <c r="CP108" s="1146"/>
      <c r="CQ108" s="1146"/>
      <c r="CR108" s="1146"/>
      <c r="CS108" s="1146"/>
      <c r="CT108" s="1146"/>
      <c r="CU108" s="1146"/>
      <c r="CV108" s="1146"/>
      <c r="CW108" s="1146"/>
      <c r="CX108" s="1146"/>
      <c r="CY108" s="1146"/>
      <c r="CZ108" s="1146"/>
      <c r="DA108" s="1146"/>
      <c r="DB108" s="1146"/>
      <c r="DC108" s="1146"/>
      <c r="DD108" s="1146"/>
    </row>
    <row r="109" spans="1:108" ht="12.75" hidden="1" customHeight="1" outlineLevel="1">
      <c r="A109" s="24"/>
      <c r="B109" s="24"/>
      <c r="C109" s="751"/>
      <c r="D109" s="512"/>
      <c r="E109" s="512"/>
      <c r="F109" s="12"/>
      <c r="G109" s="958"/>
      <c r="H109" s="958"/>
      <c r="I109" s="958"/>
      <c r="J109" s="958"/>
      <c r="K109" s="960"/>
      <c r="L109" s="958"/>
      <c r="M109" s="958"/>
      <c r="N109" s="958"/>
      <c r="O109" s="958"/>
      <c r="P109" s="958"/>
      <c r="Q109" s="958"/>
      <c r="S109" s="970"/>
      <c r="T109" s="970"/>
      <c r="U109" s="970"/>
      <c r="V109" s="970"/>
      <c r="W109" s="970"/>
      <c r="X109" s="970"/>
      <c r="Y109" s="970"/>
      <c r="Z109" s="970"/>
      <c r="AA109" s="970"/>
      <c r="AB109" s="970"/>
      <c r="AC109" s="970"/>
      <c r="AD109" s="970"/>
      <c r="AE109" s="970"/>
      <c r="AF109" s="970"/>
      <c r="AG109" s="970"/>
      <c r="AH109" s="970"/>
      <c r="AI109" s="970"/>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F109" s="990"/>
      <c r="BG109" s="990"/>
      <c r="BH109" s="990"/>
      <c r="BJ109" s="515">
        <f t="shared" si="103"/>
        <v>0</v>
      </c>
      <c r="BK109" s="515"/>
      <c r="BL109" s="24"/>
      <c r="BM109" s="1148"/>
      <c r="BN109" s="1146"/>
      <c r="BO109" s="1146"/>
      <c r="BP109" s="1146"/>
      <c r="BQ109" s="1146"/>
      <c r="BR109" s="1146"/>
      <c r="BS109" s="1146"/>
      <c r="BT109" s="1146"/>
      <c r="BU109" s="1146"/>
      <c r="BV109" s="1146"/>
      <c r="BW109" s="1146"/>
      <c r="BX109" s="1146"/>
      <c r="BY109" s="1146"/>
      <c r="BZ109" s="1146"/>
      <c r="CA109" s="1146"/>
      <c r="CB109" s="1146"/>
      <c r="CC109" s="1146"/>
      <c r="CD109" s="1146"/>
      <c r="CE109" s="1146"/>
      <c r="CF109" s="1146"/>
      <c r="CG109" s="1146"/>
      <c r="CH109" s="1146"/>
      <c r="CI109" s="1146"/>
      <c r="CJ109" s="1146"/>
      <c r="CK109" s="1146"/>
      <c r="CL109" s="1146"/>
      <c r="CM109" s="1146"/>
      <c r="CN109" s="1146"/>
      <c r="CO109" s="1146"/>
      <c r="CP109" s="1146"/>
      <c r="CQ109" s="1146"/>
      <c r="CR109" s="1146"/>
      <c r="CS109" s="1146"/>
      <c r="CT109" s="1146"/>
      <c r="CU109" s="1146"/>
      <c r="CV109" s="1146"/>
      <c r="CW109" s="1146"/>
      <c r="CX109" s="1146"/>
      <c r="CY109" s="1146"/>
      <c r="CZ109" s="1146"/>
      <c r="DA109" s="1146"/>
      <c r="DB109" s="1146"/>
      <c r="DC109" s="1146"/>
      <c r="DD109" s="1146"/>
    </row>
    <row r="110" spans="1:108" s="715" customFormat="1" ht="12.75" hidden="1" customHeight="1" outlineLevel="1">
      <c r="C110" s="746" t="s">
        <v>976</v>
      </c>
      <c r="D110" s="1010" t="str">
        <f>INDEX(Modules[Module], MATCH($C110, Modules[Code], 0))</f>
        <v>Distributed solar PV</v>
      </c>
      <c r="E110" s="1010"/>
      <c r="F110" s="12" t="s">
        <v>288</v>
      </c>
      <c r="G110" s="1022"/>
      <c r="H110" s="1022"/>
      <c r="I110" s="1022"/>
      <c r="J110" s="1022"/>
      <c r="K110" s="1022"/>
      <c r="L110" s="1022"/>
      <c r="M110" s="1022"/>
      <c r="N110" s="1022"/>
      <c r="O110" s="1022"/>
      <c r="P110" s="1022"/>
      <c r="Q110" s="1020">
        <f>SUM(G110:P110)</f>
        <v>0</v>
      </c>
      <c r="R110" s="121"/>
      <c r="S110" s="1031"/>
      <c r="T110" s="1031"/>
      <c r="U110" s="1031"/>
      <c r="V110" s="1031"/>
      <c r="W110" s="1031"/>
      <c r="X110" s="1031"/>
      <c r="Y110" s="1031"/>
      <c r="Z110" s="1031"/>
      <c r="AA110" s="1031"/>
      <c r="AB110" s="1031"/>
      <c r="AC110" s="1031"/>
      <c r="AD110" s="1031"/>
      <c r="AE110" s="1031"/>
      <c r="AF110" s="1031"/>
      <c r="AG110" s="1031"/>
      <c r="AH110" s="1031"/>
      <c r="AI110" s="1030">
        <f>SUM(S110:AH110)</f>
        <v>0</v>
      </c>
      <c r="AJ110" s="121"/>
      <c r="AK110" s="1042"/>
      <c r="AL110" s="1042"/>
      <c r="AM110" s="1042"/>
      <c r="AN110" s="1042"/>
      <c r="AO110" s="1042"/>
      <c r="AP110" s="1042"/>
      <c r="AQ110" s="1042"/>
      <c r="AR110" s="1042"/>
      <c r="AS110" s="1042"/>
      <c r="AT110" s="1042"/>
      <c r="AU110" s="1042"/>
      <c r="AV110" s="1042"/>
      <c r="AW110" s="1042"/>
      <c r="AX110" s="1042"/>
      <c r="AY110" s="1042"/>
      <c r="AZ110" s="1042"/>
      <c r="BA110" s="1042"/>
      <c r="BB110" s="1042"/>
      <c r="BC110" s="1042"/>
      <c r="BD110" s="1012">
        <f>SUM(AK110:BC110)</f>
        <v>0</v>
      </c>
      <c r="BE110" s="121"/>
      <c r="BF110" s="1036"/>
      <c r="BG110" s="1036"/>
      <c r="BH110" s="1035">
        <f>SUM(BF110:BG110)</f>
        <v>0</v>
      </c>
      <c r="BI110" s="121"/>
      <c r="BJ110" s="814"/>
      <c r="BK110" s="814"/>
      <c r="BM110" s="1147"/>
      <c r="BN110" s="1147"/>
      <c r="BO110" s="1147"/>
      <c r="BP110" s="1147"/>
      <c r="BQ110" s="1147"/>
      <c r="BR110" s="1147"/>
      <c r="BS110" s="1147"/>
      <c r="BT110" s="1147"/>
      <c r="BU110" s="1147"/>
      <c r="BV110" s="1147"/>
      <c r="BW110" s="1147"/>
      <c r="BX110" s="1147"/>
      <c r="BY110" s="1147"/>
      <c r="BZ110" s="1147"/>
      <c r="CA110" s="1147"/>
      <c r="CB110" s="1147"/>
      <c r="CC110" s="1147"/>
      <c r="CD110" s="1147"/>
      <c r="CE110" s="1147"/>
      <c r="CF110" s="1147"/>
      <c r="CG110" s="1147"/>
      <c r="CH110" s="1147"/>
      <c r="CI110" s="1147"/>
      <c r="CJ110" s="1147"/>
      <c r="CK110" s="1147"/>
      <c r="CL110" s="1147"/>
      <c r="CM110" s="1147"/>
      <c r="CN110" s="1147"/>
      <c r="CO110" s="1147"/>
      <c r="CP110" s="1147"/>
      <c r="CQ110" s="1147"/>
      <c r="CR110" s="1147"/>
      <c r="CS110" s="1147"/>
      <c r="CT110" s="1147"/>
      <c r="CU110" s="1147"/>
      <c r="CV110" s="1147"/>
      <c r="CW110" s="1147"/>
      <c r="CX110" s="1147"/>
      <c r="CY110" s="1147"/>
      <c r="CZ110" s="1147"/>
      <c r="DA110" s="1147"/>
      <c r="DB110" s="1147"/>
      <c r="DC110" s="1147"/>
      <c r="DD110" s="1147"/>
    </row>
    <row r="111" spans="1:108" ht="15.75" collapsed="1">
      <c r="A111" s="24"/>
      <c r="B111" s="3"/>
      <c r="C111" s="744" t="s">
        <v>77</v>
      </c>
      <c r="D111" s="517" t="str">
        <f>INDEX(Workstreams[Workstream], MATCH($C111, Workstreams[Code], 0))</f>
        <v>Distributed renewable power generation</v>
      </c>
      <c r="E111" s="512"/>
      <c r="F111" s="12"/>
      <c r="G111" s="1021">
        <f>G110</f>
        <v>0</v>
      </c>
      <c r="H111" s="1021">
        <f t="shared" ref="H111:P111" si="112">H110</f>
        <v>0</v>
      </c>
      <c r="I111" s="1021">
        <f t="shared" si="112"/>
        <v>0</v>
      </c>
      <c r="J111" s="1021">
        <f t="shared" si="112"/>
        <v>0</v>
      </c>
      <c r="K111" s="1021">
        <f t="shared" si="112"/>
        <v>0</v>
      </c>
      <c r="L111" s="1021">
        <f t="shared" si="112"/>
        <v>0</v>
      </c>
      <c r="M111" s="1021">
        <f t="shared" si="112"/>
        <v>0</v>
      </c>
      <c r="N111" s="1021">
        <f t="shared" si="112"/>
        <v>0</v>
      </c>
      <c r="O111" s="1021">
        <f t="shared" si="112"/>
        <v>0</v>
      </c>
      <c r="P111" s="1021">
        <f t="shared" si="112"/>
        <v>0</v>
      </c>
      <c r="Q111" s="1021">
        <f>SUM(G111:P111)</f>
        <v>0</v>
      </c>
      <c r="S111" s="970">
        <f t="shared" ref="S111:AH111" si="113">S110</f>
        <v>0</v>
      </c>
      <c r="T111" s="970">
        <f t="shared" si="113"/>
        <v>0</v>
      </c>
      <c r="U111" s="970">
        <f t="shared" si="113"/>
        <v>0</v>
      </c>
      <c r="V111" s="970">
        <f t="shared" si="113"/>
        <v>0</v>
      </c>
      <c r="W111" s="970">
        <f t="shared" si="113"/>
        <v>0</v>
      </c>
      <c r="X111" s="970">
        <f t="shared" si="113"/>
        <v>0</v>
      </c>
      <c r="Y111" s="970">
        <f t="shared" si="113"/>
        <v>0</v>
      </c>
      <c r="Z111" s="970">
        <f t="shared" si="113"/>
        <v>0</v>
      </c>
      <c r="AA111" s="970">
        <f t="shared" si="113"/>
        <v>0</v>
      </c>
      <c r="AB111" s="970">
        <f t="shared" si="113"/>
        <v>0</v>
      </c>
      <c r="AC111" s="970">
        <f t="shared" si="113"/>
        <v>0</v>
      </c>
      <c r="AD111" s="970">
        <f t="shared" si="113"/>
        <v>0</v>
      </c>
      <c r="AE111" s="970">
        <f t="shared" si="113"/>
        <v>0</v>
      </c>
      <c r="AF111" s="970">
        <f>AF110</f>
        <v>0</v>
      </c>
      <c r="AG111" s="970">
        <f>AG110</f>
        <v>0</v>
      </c>
      <c r="AH111" s="970">
        <f t="shared" si="113"/>
        <v>0</v>
      </c>
      <c r="AI111" s="970">
        <f>SUM(S111:AH111)</f>
        <v>0</v>
      </c>
      <c r="AK111" s="976">
        <f>AK110</f>
        <v>0</v>
      </c>
      <c r="AL111" s="976">
        <f t="shared" ref="AL111:BC111" si="114">AL110</f>
        <v>0</v>
      </c>
      <c r="AM111" s="976">
        <f t="shared" si="114"/>
        <v>0</v>
      </c>
      <c r="AN111" s="976">
        <f t="shared" si="114"/>
        <v>0</v>
      </c>
      <c r="AO111" s="976">
        <f t="shared" si="114"/>
        <v>0</v>
      </c>
      <c r="AP111" s="976">
        <f t="shared" si="114"/>
        <v>0</v>
      </c>
      <c r="AQ111" s="976">
        <f t="shared" si="114"/>
        <v>0</v>
      </c>
      <c r="AR111" s="976">
        <f t="shared" si="114"/>
        <v>0</v>
      </c>
      <c r="AS111" s="976">
        <f t="shared" si="114"/>
        <v>0</v>
      </c>
      <c r="AT111" s="976">
        <f t="shared" si="114"/>
        <v>0</v>
      </c>
      <c r="AU111" s="976">
        <f t="shared" si="114"/>
        <v>0</v>
      </c>
      <c r="AV111" s="976">
        <f t="shared" si="114"/>
        <v>0</v>
      </c>
      <c r="AW111" s="976">
        <f t="shared" si="114"/>
        <v>0</v>
      </c>
      <c r="AX111" s="976">
        <f t="shared" si="114"/>
        <v>0</v>
      </c>
      <c r="AY111" s="976">
        <f t="shared" si="114"/>
        <v>0</v>
      </c>
      <c r="AZ111" s="976">
        <f t="shared" si="114"/>
        <v>0</v>
      </c>
      <c r="BA111" s="976">
        <f t="shared" si="114"/>
        <v>0</v>
      </c>
      <c r="BB111" s="976">
        <f t="shared" si="114"/>
        <v>0</v>
      </c>
      <c r="BC111" s="976">
        <f t="shared" si="114"/>
        <v>0</v>
      </c>
      <c r="BD111" s="976">
        <f>SUM(AK111:BC111)</f>
        <v>0</v>
      </c>
      <c r="BF111" s="990">
        <f>BF110</f>
        <v>0</v>
      </c>
      <c r="BG111" s="990">
        <f>BG110</f>
        <v>0</v>
      </c>
      <c r="BH111" s="990">
        <f>SUM(BF111:BG111)</f>
        <v>0</v>
      </c>
      <c r="BJ111" s="515">
        <f>Q111+AI111+BD111+BH111</f>
        <v>0</v>
      </c>
      <c r="BK111" s="515"/>
      <c r="BL111" s="24"/>
      <c r="BM111" s="1148"/>
      <c r="BN111" s="1146"/>
      <c r="BO111" s="1146"/>
      <c r="BP111" s="1146"/>
      <c r="BQ111" s="1146"/>
      <c r="BR111" s="1146"/>
      <c r="BS111" s="1146"/>
      <c r="BT111" s="1146"/>
      <c r="BU111" s="1146"/>
      <c r="BV111" s="1146"/>
      <c r="BW111" s="1146"/>
      <c r="BX111" s="1146"/>
      <c r="BY111" s="1146"/>
      <c r="BZ111" s="1146"/>
      <c r="CA111" s="1146"/>
      <c r="CB111" s="1146"/>
      <c r="CC111" s="1146"/>
      <c r="CD111" s="1146"/>
      <c r="CE111" s="1146"/>
      <c r="CF111" s="1146"/>
      <c r="CG111" s="1146"/>
      <c r="CH111" s="1146"/>
      <c r="CI111" s="1146"/>
      <c r="CJ111" s="1146"/>
      <c r="CK111" s="1146"/>
      <c r="CL111" s="1146"/>
      <c r="CM111" s="1146"/>
      <c r="CN111" s="1146"/>
      <c r="CO111" s="1146"/>
      <c r="CP111" s="1146"/>
      <c r="CQ111" s="1146"/>
      <c r="CR111" s="1146"/>
      <c r="CS111" s="1146"/>
      <c r="CT111" s="1146"/>
      <c r="CU111" s="1146"/>
      <c r="CV111" s="1146"/>
      <c r="CW111" s="1146"/>
      <c r="CX111" s="1146"/>
      <c r="CY111" s="1146"/>
      <c r="CZ111" s="1146"/>
      <c r="DA111" s="1146"/>
      <c r="DB111" s="1146"/>
      <c r="DC111" s="1146"/>
      <c r="DD111" s="1146"/>
    </row>
    <row r="112" spans="1:108" ht="12.75" hidden="1" customHeight="1" outlineLevel="1">
      <c r="A112" s="24"/>
      <c r="B112" s="24"/>
      <c r="C112" s="751"/>
      <c r="D112" s="512"/>
      <c r="E112" s="512"/>
      <c r="F112" s="12"/>
      <c r="G112" s="958"/>
      <c r="H112" s="958"/>
      <c r="I112" s="958"/>
      <c r="J112" s="958"/>
      <c r="K112" s="960"/>
      <c r="L112" s="958"/>
      <c r="M112" s="958"/>
      <c r="N112" s="958"/>
      <c r="O112" s="958"/>
      <c r="P112" s="958"/>
      <c r="Q112" s="958"/>
      <c r="S112" s="970"/>
      <c r="T112" s="970"/>
      <c r="U112" s="970"/>
      <c r="V112" s="970"/>
      <c r="W112" s="970"/>
      <c r="X112" s="970"/>
      <c r="Y112" s="970"/>
      <c r="Z112" s="970"/>
      <c r="AA112" s="970"/>
      <c r="AB112" s="970"/>
      <c r="AC112" s="970"/>
      <c r="AD112" s="970"/>
      <c r="AE112" s="970"/>
      <c r="AF112" s="970"/>
      <c r="AG112" s="970"/>
      <c r="AH112" s="970"/>
      <c r="AI112" s="970"/>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F112" s="990"/>
      <c r="BG112" s="990"/>
      <c r="BH112" s="990"/>
      <c r="BJ112" s="515">
        <f>Q112+AI112+BD112+BH112</f>
        <v>0</v>
      </c>
      <c r="BK112" s="515"/>
      <c r="BL112" s="24"/>
      <c r="BM112" s="1148"/>
      <c r="BN112" s="1146"/>
      <c r="BO112" s="1146"/>
      <c r="BP112" s="1146"/>
      <c r="BQ112" s="1146"/>
      <c r="BR112" s="1146"/>
      <c r="BS112" s="1146"/>
      <c r="BT112" s="1146"/>
      <c r="BU112" s="1146"/>
      <c r="BV112" s="1146"/>
      <c r="BW112" s="1146"/>
      <c r="BX112" s="1146"/>
      <c r="BY112" s="1146"/>
      <c r="BZ112" s="1146"/>
      <c r="CA112" s="1146"/>
      <c r="CB112" s="1146"/>
      <c r="CC112" s="1146"/>
      <c r="CD112" s="1146"/>
      <c r="CE112" s="1146"/>
      <c r="CF112" s="1146"/>
      <c r="CG112" s="1146"/>
      <c r="CH112" s="1146"/>
      <c r="CI112" s="1146"/>
      <c r="CJ112" s="1146"/>
      <c r="CK112" s="1146"/>
      <c r="CL112" s="1146"/>
      <c r="CM112" s="1146"/>
      <c r="CN112" s="1146"/>
      <c r="CO112" s="1146"/>
      <c r="CP112" s="1146"/>
      <c r="CQ112" s="1146"/>
      <c r="CR112" s="1146"/>
      <c r="CS112" s="1146"/>
      <c r="CT112" s="1146"/>
      <c r="CU112" s="1146"/>
      <c r="CV112" s="1146"/>
      <c r="CW112" s="1146"/>
      <c r="CX112" s="1146"/>
      <c r="CY112" s="1146"/>
      <c r="CZ112" s="1146"/>
      <c r="DA112" s="1146"/>
      <c r="DB112" s="1146"/>
      <c r="DC112" s="1146"/>
      <c r="DD112" s="1146"/>
    </row>
    <row r="113" spans="1:108" s="849" customFormat="1" ht="12.75" hidden="1" customHeight="1" outlineLevel="1">
      <c r="C113" s="1048"/>
      <c r="D113" s="1049" t="s">
        <v>978</v>
      </c>
      <c r="E113" s="1049"/>
      <c r="F113" s="12"/>
      <c r="G113" s="1050"/>
      <c r="H113" s="1050"/>
      <c r="I113" s="1050"/>
      <c r="J113" s="1050"/>
      <c r="K113" s="1051"/>
      <c r="L113" s="1050"/>
      <c r="M113" s="1050"/>
      <c r="N113" s="1050"/>
      <c r="O113" s="1050"/>
      <c r="P113" s="1050"/>
      <c r="Q113" s="1050"/>
      <c r="R113" s="121"/>
      <c r="S113" s="1052"/>
      <c r="T113" s="1052"/>
      <c r="U113" s="1052"/>
      <c r="V113" s="1052"/>
      <c r="W113" s="1052"/>
      <c r="X113" s="1052"/>
      <c r="Y113" s="1052"/>
      <c r="Z113" s="1052"/>
      <c r="AA113" s="1052"/>
      <c r="AB113" s="1052"/>
      <c r="AC113" s="1052"/>
      <c r="AD113" s="1052"/>
      <c r="AE113" s="1052"/>
      <c r="AF113" s="1052"/>
      <c r="AG113" s="1052"/>
      <c r="AH113" s="1052"/>
      <c r="AI113" s="1052"/>
      <c r="AJ113" s="121"/>
      <c r="AK113" s="1053"/>
      <c r="AL113" s="1053"/>
      <c r="AM113" s="1053"/>
      <c r="AN113" s="1053"/>
      <c r="AO113" s="1053"/>
      <c r="AP113" s="1053"/>
      <c r="AQ113" s="1053"/>
      <c r="AR113" s="1053"/>
      <c r="AS113" s="1053"/>
      <c r="AT113" s="1053"/>
      <c r="AU113" s="1053"/>
      <c r="AV113" s="1053"/>
      <c r="AW113" s="1053"/>
      <c r="AX113" s="1053"/>
      <c r="AY113" s="1053"/>
      <c r="AZ113" s="1053"/>
      <c r="BA113" s="1053"/>
      <c r="BB113" s="1053"/>
      <c r="BC113" s="1053"/>
      <c r="BD113" s="1053"/>
      <c r="BE113" s="121"/>
      <c r="BF113" s="1054"/>
      <c r="BG113" s="1054"/>
      <c r="BH113" s="1054">
        <f>SUM(BF113:BG113)</f>
        <v>0</v>
      </c>
      <c r="BI113" s="121"/>
      <c r="BJ113" s="852">
        <f>Q113+AI113+BD113+BH113</f>
        <v>0</v>
      </c>
      <c r="BK113" s="852"/>
      <c r="BM113" s="1149"/>
      <c r="BN113" s="1149"/>
      <c r="BO113" s="1149"/>
      <c r="BP113" s="1149"/>
      <c r="BQ113" s="1149"/>
      <c r="BR113" s="1149"/>
      <c r="BS113" s="1149"/>
      <c r="BT113" s="1149"/>
      <c r="BU113" s="1149"/>
      <c r="BV113" s="1149"/>
      <c r="BW113" s="1149"/>
      <c r="BX113" s="1149"/>
      <c r="BY113" s="1149"/>
      <c r="BZ113" s="1149"/>
      <c r="CA113" s="1149"/>
      <c r="CB113" s="1149"/>
      <c r="CC113" s="1149"/>
      <c r="CD113" s="1149"/>
      <c r="CE113" s="1149"/>
      <c r="CF113" s="1149"/>
      <c r="CG113" s="1149"/>
      <c r="CH113" s="1149"/>
      <c r="CI113" s="1149"/>
      <c r="CJ113" s="1149"/>
      <c r="CK113" s="1149"/>
      <c r="CL113" s="1149"/>
      <c r="CM113" s="1149"/>
      <c r="CN113" s="1149"/>
      <c r="CO113" s="1149"/>
      <c r="CP113" s="1149"/>
      <c r="CQ113" s="1149"/>
      <c r="CR113" s="1149"/>
      <c r="CS113" s="1149"/>
      <c r="CT113" s="1149"/>
      <c r="CU113" s="1149"/>
      <c r="CV113" s="1149"/>
      <c r="CW113" s="1149"/>
      <c r="CX113" s="1149"/>
      <c r="CY113" s="1149"/>
      <c r="CZ113" s="1149"/>
      <c r="DA113" s="1149"/>
      <c r="DB113" s="1149"/>
      <c r="DC113" s="1149"/>
      <c r="DD113" s="1149"/>
    </row>
    <row r="114" spans="1:108" s="849" customFormat="1" ht="12.75" hidden="1" customHeight="1" outlineLevel="1">
      <c r="C114" s="1048"/>
      <c r="D114" s="1055" t="s">
        <v>977</v>
      </c>
      <c r="E114" s="1055"/>
      <c r="F114" s="12"/>
      <c r="G114" s="1056"/>
      <c r="H114" s="1056"/>
      <c r="I114" s="1056"/>
      <c r="J114" s="1056"/>
      <c r="K114" s="1057"/>
      <c r="L114" s="1056"/>
      <c r="M114" s="1056"/>
      <c r="N114" s="1056"/>
      <c r="O114" s="1056"/>
      <c r="P114" s="1056"/>
      <c r="Q114" s="1056"/>
      <c r="R114" s="121"/>
      <c r="S114" s="1058"/>
      <c r="T114" s="1058"/>
      <c r="U114" s="1058"/>
      <c r="V114" s="1058"/>
      <c r="W114" s="1058"/>
      <c r="X114" s="1058"/>
      <c r="Y114" s="1058"/>
      <c r="Z114" s="1058"/>
      <c r="AA114" s="1058"/>
      <c r="AB114" s="1058"/>
      <c r="AC114" s="1058"/>
      <c r="AD114" s="1058"/>
      <c r="AE114" s="1058"/>
      <c r="AF114" s="1058"/>
      <c r="AG114" s="1058"/>
      <c r="AH114" s="1058"/>
      <c r="AI114" s="1058"/>
      <c r="AJ114" s="121"/>
      <c r="AK114" s="1059"/>
      <c r="AL114" s="1059"/>
      <c r="AM114" s="1059"/>
      <c r="AN114" s="1059"/>
      <c r="AO114" s="1059"/>
      <c r="AP114" s="1059"/>
      <c r="AQ114" s="1059"/>
      <c r="AR114" s="1059"/>
      <c r="AS114" s="1059"/>
      <c r="AT114" s="1059"/>
      <c r="AU114" s="1059"/>
      <c r="AV114" s="1059"/>
      <c r="AW114" s="1059"/>
      <c r="AX114" s="1059"/>
      <c r="AY114" s="1059"/>
      <c r="AZ114" s="1059"/>
      <c r="BA114" s="1059"/>
      <c r="BB114" s="1059"/>
      <c r="BC114" s="1059"/>
      <c r="BD114" s="1059"/>
      <c r="BE114" s="121"/>
      <c r="BF114" s="1060"/>
      <c r="BG114" s="1060"/>
      <c r="BH114" s="1060">
        <f>SUM(BF114:BG114)</f>
        <v>0</v>
      </c>
      <c r="BI114" s="121"/>
      <c r="BJ114" s="852"/>
      <c r="BK114" s="852"/>
      <c r="BM114" s="1149"/>
      <c r="BN114" s="1149"/>
      <c r="BO114" s="1149"/>
      <c r="BP114" s="1149"/>
      <c r="BQ114" s="1149"/>
      <c r="BR114" s="1149"/>
      <c r="BS114" s="1149"/>
      <c r="BT114" s="1149"/>
      <c r="BU114" s="1149"/>
      <c r="BV114" s="1149"/>
      <c r="BW114" s="1149"/>
      <c r="BX114" s="1149"/>
      <c r="BY114" s="1149"/>
      <c r="BZ114" s="1149"/>
      <c r="CA114" s="1149"/>
      <c r="CB114" s="1149"/>
      <c r="CC114" s="1149"/>
      <c r="CD114" s="1149"/>
      <c r="CE114" s="1149"/>
      <c r="CF114" s="1149"/>
      <c r="CG114" s="1149"/>
      <c r="CH114" s="1149"/>
      <c r="CI114" s="1149"/>
      <c r="CJ114" s="1149"/>
      <c r="CK114" s="1149"/>
      <c r="CL114" s="1149"/>
      <c r="CM114" s="1149"/>
      <c r="CN114" s="1149"/>
      <c r="CO114" s="1149"/>
      <c r="CP114" s="1149"/>
      <c r="CQ114" s="1149"/>
      <c r="CR114" s="1149"/>
      <c r="CS114" s="1149"/>
      <c r="CT114" s="1149"/>
      <c r="CU114" s="1149"/>
      <c r="CV114" s="1149"/>
      <c r="CW114" s="1149"/>
      <c r="CX114" s="1149"/>
      <c r="CY114" s="1149"/>
      <c r="CZ114" s="1149"/>
      <c r="DA114" s="1149"/>
      <c r="DB114" s="1149"/>
      <c r="DC114" s="1149"/>
      <c r="DD114" s="1149"/>
    </row>
    <row r="115" spans="1:108" s="715" customFormat="1" ht="12.75" hidden="1" customHeight="1" outlineLevel="1">
      <c r="C115" s="746" t="s">
        <v>756</v>
      </c>
      <c r="D115" s="1010" t="str">
        <f>INDEX(Modules[Module], MATCH($C115, Modules[Code], 0))</f>
        <v>Nuclear power</v>
      </c>
      <c r="E115" s="1010"/>
      <c r="F115" s="12" t="s">
        <v>1218</v>
      </c>
      <c r="G115" s="1022"/>
      <c r="H115" s="1022"/>
      <c r="I115" s="1022"/>
      <c r="J115" s="1022"/>
      <c r="K115" s="1022"/>
      <c r="L115" s="1022"/>
      <c r="M115" s="1022"/>
      <c r="N115" s="1022"/>
      <c r="O115" s="1022"/>
      <c r="P115" s="1022"/>
      <c r="Q115" s="1020">
        <f>SUM(G115:P115)</f>
        <v>0</v>
      </c>
      <c r="R115" s="121"/>
      <c r="S115" s="1031"/>
      <c r="T115" s="1031">
        <f>('DUKES 09 (5.6)'!$E$246-'DUKES 09 (5.6)'!$E$247)*Unit.GWh</f>
        <v>57.248895000000005</v>
      </c>
      <c r="U115" s="1031"/>
      <c r="V115" s="1031"/>
      <c r="W115" s="1031"/>
      <c r="X115" s="1031"/>
      <c r="Y115" s="1031"/>
      <c r="Z115" s="1031"/>
      <c r="AA115" s="1031"/>
      <c r="AB115" s="1031"/>
      <c r="AC115" s="1031"/>
      <c r="AD115" s="1031"/>
      <c r="AE115" s="1031"/>
      <c r="AF115" s="1031"/>
      <c r="AG115" s="1031"/>
      <c r="AH115" s="1031"/>
      <c r="AI115" s="1030">
        <f>SUM(S115:AH115)</f>
        <v>57.248895000000005</v>
      </c>
      <c r="AJ115" s="121"/>
      <c r="AK115" s="1042"/>
      <c r="AL115" s="1042"/>
      <c r="AM115" s="1042"/>
      <c r="AN115" s="1042"/>
      <c r="AO115" s="1042"/>
      <c r="AP115" s="1042"/>
      <c r="AQ115" s="1042"/>
      <c r="AR115" s="1042"/>
      <c r="AS115" s="1042"/>
      <c r="AT115" s="1042">
        <f>-'DUKES 09 (5.6)'!$E$245*Unit.GWh</f>
        <v>-163.24447683045062</v>
      </c>
      <c r="AU115" s="1042"/>
      <c r="AV115" s="1042"/>
      <c r="AW115" s="1042"/>
      <c r="AX115" s="1042"/>
      <c r="AY115" s="1042"/>
      <c r="AZ115" s="1042"/>
      <c r="BA115" s="1042"/>
      <c r="BB115" s="1042"/>
      <c r="BC115" s="1042"/>
      <c r="BD115" s="1012">
        <f>SUM(AK115:BC115)</f>
        <v>-163.24447683045062</v>
      </c>
      <c r="BE115" s="121"/>
      <c r="BF115" s="1036">
        <f>-($AI115+$BD115+$BG115)</f>
        <v>100.21613413351562</v>
      </c>
      <c r="BG115" s="1036">
        <f>'DUKES 09 (5.6)'!$E$247*Unit.GWh</f>
        <v>5.7794476969349997</v>
      </c>
      <c r="BH115" s="1035">
        <f>SUM(BF115:BG115)</f>
        <v>105.99558183045062</v>
      </c>
      <c r="BI115" s="121"/>
      <c r="BJ115" s="814">
        <f t="shared" ref="BJ115:BJ133" si="115">Q115+AI115+BD115+BH115</f>
        <v>0</v>
      </c>
      <c r="BK115" s="814"/>
      <c r="BM115" s="1147"/>
      <c r="BN115" s="1147"/>
      <c r="BO115" s="1147"/>
      <c r="BP115" s="1147"/>
      <c r="BQ115" s="1147"/>
      <c r="BR115" s="1147"/>
      <c r="BS115" s="1147"/>
      <c r="BT115" s="1147"/>
      <c r="BU115" s="1147"/>
      <c r="BV115" s="1147"/>
      <c r="BW115" s="1147"/>
      <c r="BX115" s="1147"/>
      <c r="BY115" s="1147"/>
      <c r="BZ115" s="1147"/>
      <c r="CA115" s="1147"/>
      <c r="CB115" s="1147"/>
      <c r="CC115" s="1147"/>
      <c r="CD115" s="1147"/>
      <c r="CE115" s="1147"/>
      <c r="CF115" s="1147"/>
      <c r="CG115" s="1147"/>
      <c r="CH115" s="1147"/>
      <c r="CI115" s="1147"/>
      <c r="CJ115" s="1147"/>
      <c r="CK115" s="1147"/>
      <c r="CL115" s="1147"/>
      <c r="CM115" s="1147"/>
      <c r="CN115" s="1147"/>
      <c r="CO115" s="1147"/>
      <c r="CP115" s="1147"/>
      <c r="CQ115" s="1147"/>
      <c r="CR115" s="1147"/>
      <c r="CS115" s="1147"/>
      <c r="CT115" s="1147"/>
      <c r="CU115" s="1147"/>
      <c r="CV115" s="1147"/>
      <c r="CW115" s="1147"/>
      <c r="CX115" s="1147"/>
      <c r="CY115" s="1147"/>
      <c r="CZ115" s="1147"/>
      <c r="DA115" s="1147"/>
      <c r="DB115" s="1147"/>
      <c r="DC115" s="1147"/>
      <c r="DD115" s="1147"/>
    </row>
    <row r="116" spans="1:108" ht="15.75" collapsed="1">
      <c r="A116" s="24"/>
      <c r="B116" s="3"/>
      <c r="C116" s="744" t="s">
        <v>75</v>
      </c>
      <c r="D116" s="517" t="str">
        <f>INDEX(Workstreams[Workstream], MATCH($C116, Workstreams[Code], 0))</f>
        <v>Nuclear power generation</v>
      </c>
      <c r="E116" s="512"/>
      <c r="F116" s="12"/>
      <c r="G116" s="1021">
        <f>G115</f>
        <v>0</v>
      </c>
      <c r="H116" s="1021">
        <f t="shared" ref="H116:P116" si="116">H115</f>
        <v>0</v>
      </c>
      <c r="I116" s="1021">
        <f t="shared" si="116"/>
        <v>0</v>
      </c>
      <c r="J116" s="1021">
        <f t="shared" si="116"/>
        <v>0</v>
      </c>
      <c r="K116" s="1021">
        <f t="shared" si="116"/>
        <v>0</v>
      </c>
      <c r="L116" s="1021">
        <f t="shared" si="116"/>
        <v>0</v>
      </c>
      <c r="M116" s="1021">
        <f t="shared" si="116"/>
        <v>0</v>
      </c>
      <c r="N116" s="1021">
        <f t="shared" si="116"/>
        <v>0</v>
      </c>
      <c r="O116" s="1021">
        <f t="shared" si="116"/>
        <v>0</v>
      </c>
      <c r="P116" s="1021">
        <f t="shared" si="116"/>
        <v>0</v>
      </c>
      <c r="Q116" s="1021">
        <f>SUM(G116:P116)</f>
        <v>0</v>
      </c>
      <c r="S116" s="970">
        <f t="shared" ref="S116:AH116" si="117">S115</f>
        <v>0</v>
      </c>
      <c r="T116" s="970">
        <f t="shared" si="117"/>
        <v>57.248895000000005</v>
      </c>
      <c r="U116" s="970">
        <f t="shared" si="117"/>
        <v>0</v>
      </c>
      <c r="V116" s="970">
        <f t="shared" si="117"/>
        <v>0</v>
      </c>
      <c r="W116" s="970">
        <f t="shared" si="117"/>
        <v>0</v>
      </c>
      <c r="X116" s="970">
        <f t="shared" si="117"/>
        <v>0</v>
      </c>
      <c r="Y116" s="970">
        <f t="shared" si="117"/>
        <v>0</v>
      </c>
      <c r="Z116" s="970">
        <f t="shared" si="117"/>
        <v>0</v>
      </c>
      <c r="AA116" s="970">
        <f t="shared" si="117"/>
        <v>0</v>
      </c>
      <c r="AB116" s="970">
        <f t="shared" si="117"/>
        <v>0</v>
      </c>
      <c r="AC116" s="970">
        <f t="shared" si="117"/>
        <v>0</v>
      </c>
      <c r="AD116" s="970">
        <f t="shared" si="117"/>
        <v>0</v>
      </c>
      <c r="AE116" s="970">
        <f t="shared" si="117"/>
        <v>0</v>
      </c>
      <c r="AF116" s="970">
        <f>AF115</f>
        <v>0</v>
      </c>
      <c r="AG116" s="970">
        <f>AG115</f>
        <v>0</v>
      </c>
      <c r="AH116" s="970">
        <f t="shared" si="117"/>
        <v>0</v>
      </c>
      <c r="AI116" s="970">
        <f>SUM(S116:AH116)</f>
        <v>57.248895000000005</v>
      </c>
      <c r="AK116" s="976">
        <f>AK115</f>
        <v>0</v>
      </c>
      <c r="AL116" s="976">
        <f t="shared" ref="AL116:BC116" si="118">AL115</f>
        <v>0</v>
      </c>
      <c r="AM116" s="976">
        <f t="shared" si="118"/>
        <v>0</v>
      </c>
      <c r="AN116" s="976">
        <f t="shared" si="118"/>
        <v>0</v>
      </c>
      <c r="AO116" s="976">
        <f t="shared" si="118"/>
        <v>0</v>
      </c>
      <c r="AP116" s="976">
        <f t="shared" si="118"/>
        <v>0</v>
      </c>
      <c r="AQ116" s="976">
        <f t="shared" si="118"/>
        <v>0</v>
      </c>
      <c r="AR116" s="976">
        <f t="shared" si="118"/>
        <v>0</v>
      </c>
      <c r="AS116" s="976">
        <f t="shared" si="118"/>
        <v>0</v>
      </c>
      <c r="AT116" s="976">
        <f t="shared" si="118"/>
        <v>-163.24447683045062</v>
      </c>
      <c r="AU116" s="976">
        <f t="shared" si="118"/>
        <v>0</v>
      </c>
      <c r="AV116" s="976">
        <f t="shared" si="118"/>
        <v>0</v>
      </c>
      <c r="AW116" s="976">
        <f t="shared" si="118"/>
        <v>0</v>
      </c>
      <c r="AX116" s="976">
        <f t="shared" si="118"/>
        <v>0</v>
      </c>
      <c r="AY116" s="976">
        <f t="shared" si="118"/>
        <v>0</v>
      </c>
      <c r="AZ116" s="976">
        <f t="shared" si="118"/>
        <v>0</v>
      </c>
      <c r="BA116" s="976">
        <f t="shared" si="118"/>
        <v>0</v>
      </c>
      <c r="BB116" s="976">
        <f t="shared" si="118"/>
        <v>0</v>
      </c>
      <c r="BC116" s="976">
        <f t="shared" si="118"/>
        <v>0</v>
      </c>
      <c r="BD116" s="976">
        <f>SUM(AK116:BC116)</f>
        <v>-163.24447683045062</v>
      </c>
      <c r="BF116" s="990">
        <f>BF115</f>
        <v>100.21613413351562</v>
      </c>
      <c r="BG116" s="990">
        <f>BG115</f>
        <v>5.7794476969349997</v>
      </c>
      <c r="BH116" s="990">
        <f>SUM(BF116:BG116)</f>
        <v>105.99558183045062</v>
      </c>
      <c r="BJ116" s="515">
        <f t="shared" si="115"/>
        <v>0</v>
      </c>
      <c r="BK116" s="515"/>
      <c r="BL116" s="24"/>
      <c r="BM116" s="1148"/>
      <c r="BN116" s="1146"/>
      <c r="BO116" s="1146"/>
      <c r="BP116" s="1146"/>
      <c r="BQ116" s="1146"/>
      <c r="BR116" s="1146"/>
      <c r="BS116" s="1146"/>
      <c r="BT116" s="1146"/>
      <c r="BU116" s="1146"/>
      <c r="BV116" s="1146"/>
      <c r="BW116" s="1146"/>
      <c r="BX116" s="1146"/>
      <c r="BY116" s="1146"/>
      <c r="BZ116" s="1146"/>
      <c r="CA116" s="1146"/>
      <c r="CB116" s="1146"/>
      <c r="CC116" s="1146"/>
      <c r="CD116" s="1146"/>
      <c r="CE116" s="1146"/>
      <c r="CF116" s="1146"/>
      <c r="CG116" s="1146"/>
      <c r="CH116" s="1146"/>
      <c r="CI116" s="1146"/>
      <c r="CJ116" s="1146"/>
      <c r="CK116" s="1146"/>
      <c r="CL116" s="1146"/>
      <c r="CM116" s="1146"/>
      <c r="CN116" s="1146"/>
      <c r="CO116" s="1146"/>
      <c r="CP116" s="1146"/>
      <c r="CQ116" s="1146"/>
      <c r="CR116" s="1146"/>
      <c r="CS116" s="1146"/>
      <c r="CT116" s="1146"/>
      <c r="CU116" s="1146"/>
      <c r="CV116" s="1146"/>
      <c r="CW116" s="1146"/>
      <c r="CX116" s="1146"/>
      <c r="CY116" s="1146"/>
      <c r="CZ116" s="1146"/>
      <c r="DA116" s="1146"/>
      <c r="DB116" s="1146"/>
      <c r="DC116" s="1146"/>
      <c r="DD116" s="1146"/>
    </row>
    <row r="117" spans="1:108" ht="12.75" hidden="1" customHeight="1" outlineLevel="1">
      <c r="A117" s="24"/>
      <c r="B117" s="24"/>
      <c r="C117" s="751"/>
      <c r="D117" s="512"/>
      <c r="E117" s="512"/>
      <c r="F117" s="12"/>
      <c r="G117" s="958"/>
      <c r="H117" s="958"/>
      <c r="I117" s="958"/>
      <c r="J117" s="958"/>
      <c r="K117" s="960"/>
      <c r="L117" s="958"/>
      <c r="M117" s="958"/>
      <c r="N117" s="958"/>
      <c r="O117" s="958"/>
      <c r="P117" s="958"/>
      <c r="Q117" s="958"/>
      <c r="S117" s="970"/>
      <c r="T117" s="970"/>
      <c r="U117" s="970"/>
      <c r="V117" s="970"/>
      <c r="W117" s="970"/>
      <c r="X117" s="970"/>
      <c r="Y117" s="970"/>
      <c r="Z117" s="970"/>
      <c r="AA117" s="970"/>
      <c r="AB117" s="970"/>
      <c r="AC117" s="970"/>
      <c r="AD117" s="970"/>
      <c r="AE117" s="970"/>
      <c r="AF117" s="970"/>
      <c r="AG117" s="970"/>
      <c r="AH117" s="970"/>
      <c r="AI117" s="970"/>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F117" s="990"/>
      <c r="BG117" s="990"/>
      <c r="BH117" s="990"/>
      <c r="BJ117" s="515">
        <f t="shared" si="115"/>
        <v>0</v>
      </c>
      <c r="BK117" s="515"/>
      <c r="BL117" s="24"/>
      <c r="BM117" s="1148"/>
      <c r="BN117" s="1146"/>
      <c r="BO117" s="1146"/>
      <c r="BP117" s="1146"/>
      <c r="BQ117" s="1146"/>
      <c r="BR117" s="1146"/>
      <c r="BS117" s="1146"/>
      <c r="BT117" s="1146"/>
      <c r="BU117" s="1146"/>
      <c r="BV117" s="1146"/>
      <c r="BW117" s="1146"/>
      <c r="BX117" s="1146"/>
      <c r="BY117" s="1146"/>
      <c r="BZ117" s="1146"/>
      <c r="CA117" s="1146"/>
      <c r="CB117" s="1146"/>
      <c r="CC117" s="1146"/>
      <c r="CD117" s="1146"/>
      <c r="CE117" s="1146"/>
      <c r="CF117" s="1146"/>
      <c r="CG117" s="1146"/>
      <c r="CH117" s="1146"/>
      <c r="CI117" s="1146"/>
      <c r="CJ117" s="1146"/>
      <c r="CK117" s="1146"/>
      <c r="CL117" s="1146"/>
      <c r="CM117" s="1146"/>
      <c r="CN117" s="1146"/>
      <c r="CO117" s="1146"/>
      <c r="CP117" s="1146"/>
      <c r="CQ117" s="1146"/>
      <c r="CR117" s="1146"/>
      <c r="CS117" s="1146"/>
      <c r="CT117" s="1146"/>
      <c r="CU117" s="1146"/>
      <c r="CV117" s="1146"/>
      <c r="CW117" s="1146"/>
      <c r="CX117" s="1146"/>
      <c r="CY117" s="1146"/>
      <c r="CZ117" s="1146"/>
      <c r="DA117" s="1146"/>
      <c r="DB117" s="1146"/>
      <c r="DC117" s="1146"/>
      <c r="DD117" s="1146"/>
    </row>
    <row r="118" spans="1:108" s="849" customFormat="1" ht="12.75" hidden="1" customHeight="1" outlineLevel="1">
      <c r="C118" s="1048"/>
      <c r="D118" s="1049" t="s">
        <v>978</v>
      </c>
      <c r="E118" s="1049"/>
      <c r="F118" s="12"/>
      <c r="G118" s="1050"/>
      <c r="H118" s="1050"/>
      <c r="I118" s="1050"/>
      <c r="J118" s="1050"/>
      <c r="K118" s="1051"/>
      <c r="L118" s="1050"/>
      <c r="M118" s="1050"/>
      <c r="N118" s="1050"/>
      <c r="O118" s="1050"/>
      <c r="P118" s="1050"/>
      <c r="Q118" s="1050"/>
      <c r="R118" s="121"/>
      <c r="S118" s="1052"/>
      <c r="T118" s="1052"/>
      <c r="U118" s="1052"/>
      <c r="V118" s="1052"/>
      <c r="W118" s="1052"/>
      <c r="X118" s="1052"/>
      <c r="Y118" s="1052"/>
      <c r="Z118" s="1052"/>
      <c r="AA118" s="1052"/>
      <c r="AB118" s="1052"/>
      <c r="AC118" s="1052"/>
      <c r="AD118" s="1052"/>
      <c r="AE118" s="1052"/>
      <c r="AF118" s="1052"/>
      <c r="AG118" s="1052"/>
      <c r="AH118" s="1052"/>
      <c r="AI118" s="1052"/>
      <c r="AJ118" s="121"/>
      <c r="AK118" s="1053"/>
      <c r="AL118" s="1053"/>
      <c r="AM118" s="1053"/>
      <c r="AN118" s="1053"/>
      <c r="AO118" s="1053"/>
      <c r="AP118" s="1053"/>
      <c r="AQ118" s="1053"/>
      <c r="AR118" s="1053"/>
      <c r="AS118" s="1053"/>
      <c r="AT118" s="1053"/>
      <c r="AU118" s="1053"/>
      <c r="AV118" s="1053"/>
      <c r="AW118" s="1053"/>
      <c r="AX118" s="1053"/>
      <c r="AY118" s="1053"/>
      <c r="AZ118" s="1053"/>
      <c r="BA118" s="1053"/>
      <c r="BB118" s="1053"/>
      <c r="BC118" s="1053"/>
      <c r="BD118" s="1053"/>
      <c r="BE118" s="121"/>
      <c r="BF118" s="1054"/>
      <c r="BG118" s="1054"/>
      <c r="BH118" s="1054">
        <f t="shared" ref="BH118:BH128" si="119">SUM(BF118:BG118)</f>
        <v>0</v>
      </c>
      <c r="BI118" s="121"/>
      <c r="BJ118" s="852">
        <f t="shared" si="115"/>
        <v>0</v>
      </c>
      <c r="BK118" s="852"/>
      <c r="BM118" s="1149"/>
      <c r="BN118" s="1149"/>
      <c r="BO118" s="1149"/>
      <c r="BP118" s="1149"/>
      <c r="BQ118" s="1149"/>
      <c r="BR118" s="1149"/>
      <c r="BS118" s="1149"/>
      <c r="BT118" s="1149"/>
      <c r="BU118" s="1149"/>
      <c r="BV118" s="1149"/>
      <c r="BW118" s="1149"/>
      <c r="BX118" s="1149"/>
      <c r="BY118" s="1149"/>
      <c r="BZ118" s="1149"/>
      <c r="CA118" s="1149"/>
      <c r="CB118" s="1149"/>
      <c r="CC118" s="1149"/>
      <c r="CD118" s="1149"/>
      <c r="CE118" s="1149"/>
      <c r="CF118" s="1149"/>
      <c r="CG118" s="1149"/>
      <c r="CH118" s="1149"/>
      <c r="CI118" s="1149"/>
      <c r="CJ118" s="1149"/>
      <c r="CK118" s="1149"/>
      <c r="CL118" s="1149"/>
      <c r="CM118" s="1149"/>
      <c r="CN118" s="1149"/>
      <c r="CO118" s="1149"/>
      <c r="CP118" s="1149"/>
      <c r="CQ118" s="1149"/>
      <c r="CR118" s="1149"/>
      <c r="CS118" s="1149"/>
      <c r="CT118" s="1149"/>
      <c r="CU118" s="1149"/>
      <c r="CV118" s="1149"/>
      <c r="CW118" s="1149"/>
      <c r="CX118" s="1149"/>
      <c r="CY118" s="1149"/>
      <c r="CZ118" s="1149"/>
      <c r="DA118" s="1149"/>
      <c r="DB118" s="1149"/>
      <c r="DC118" s="1149"/>
      <c r="DD118" s="1149"/>
    </row>
    <row r="119" spans="1:108" s="849" customFormat="1" ht="12.75" hidden="1" customHeight="1" outlineLevel="1">
      <c r="C119" s="1048"/>
      <c r="D119" s="1055" t="s">
        <v>979</v>
      </c>
      <c r="E119" s="1055"/>
      <c r="F119" s="12"/>
      <c r="G119" s="1056"/>
      <c r="H119" s="1056"/>
      <c r="I119" s="1056"/>
      <c r="J119" s="1056"/>
      <c r="K119" s="1057"/>
      <c r="L119" s="1056"/>
      <c r="M119" s="1056"/>
      <c r="N119" s="1056"/>
      <c r="O119" s="1056"/>
      <c r="P119" s="1056"/>
      <c r="Q119" s="1056"/>
      <c r="R119" s="121"/>
      <c r="S119" s="1058"/>
      <c r="T119" s="1058"/>
      <c r="U119" s="1058"/>
      <c r="V119" s="1058"/>
      <c r="W119" s="1058"/>
      <c r="X119" s="1058"/>
      <c r="Y119" s="1058"/>
      <c r="Z119" s="1058"/>
      <c r="AA119" s="1058"/>
      <c r="AB119" s="1058"/>
      <c r="AC119" s="1058"/>
      <c r="AD119" s="1058"/>
      <c r="AE119" s="1058"/>
      <c r="AF119" s="1058"/>
      <c r="AG119" s="1058"/>
      <c r="AH119" s="1058"/>
      <c r="AI119" s="1058"/>
      <c r="AJ119" s="121"/>
      <c r="AK119" s="1059"/>
      <c r="AL119" s="1059"/>
      <c r="AM119" s="1059"/>
      <c r="AN119" s="1059"/>
      <c r="AO119" s="1059"/>
      <c r="AP119" s="1059"/>
      <c r="AQ119" s="1059"/>
      <c r="AR119" s="1059"/>
      <c r="AS119" s="1059"/>
      <c r="AT119" s="1059"/>
      <c r="AU119" s="1059"/>
      <c r="AV119" s="1059"/>
      <c r="AW119" s="1059"/>
      <c r="AX119" s="1059"/>
      <c r="AY119" s="1059"/>
      <c r="AZ119" s="1059"/>
      <c r="BA119" s="1059"/>
      <c r="BB119" s="1059"/>
      <c r="BC119" s="1059"/>
      <c r="BD119" s="1059"/>
      <c r="BE119" s="121"/>
      <c r="BF119" s="1060"/>
      <c r="BG119" s="1060"/>
      <c r="BH119" s="1060">
        <f t="shared" si="119"/>
        <v>0</v>
      </c>
      <c r="BI119" s="121"/>
      <c r="BJ119" s="814">
        <f t="shared" si="115"/>
        <v>0</v>
      </c>
      <c r="BK119" s="852"/>
      <c r="BM119" s="1149"/>
      <c r="BN119" s="1149"/>
      <c r="BO119" s="1149"/>
      <c r="BP119" s="1149"/>
      <c r="BQ119" s="1149"/>
      <c r="BR119" s="1149"/>
      <c r="BS119" s="1149"/>
      <c r="BT119" s="1149"/>
      <c r="BU119" s="1149"/>
      <c r="BV119" s="1149"/>
      <c r="BW119" s="1149"/>
      <c r="BX119" s="1149"/>
      <c r="BY119" s="1149"/>
      <c r="BZ119" s="1149"/>
      <c r="CA119" s="1149"/>
      <c r="CB119" s="1149"/>
      <c r="CC119" s="1149"/>
      <c r="CD119" s="1149"/>
      <c r="CE119" s="1149"/>
      <c r="CF119" s="1149"/>
      <c r="CG119" s="1149"/>
      <c r="CH119" s="1149"/>
      <c r="CI119" s="1149"/>
      <c r="CJ119" s="1149"/>
      <c r="CK119" s="1149"/>
      <c r="CL119" s="1149"/>
      <c r="CM119" s="1149"/>
      <c r="CN119" s="1149"/>
      <c r="CO119" s="1149"/>
      <c r="CP119" s="1149"/>
      <c r="CQ119" s="1149"/>
      <c r="CR119" s="1149"/>
      <c r="CS119" s="1149"/>
      <c r="CT119" s="1149"/>
      <c r="CU119" s="1149"/>
      <c r="CV119" s="1149"/>
      <c r="CW119" s="1149"/>
      <c r="CX119" s="1149"/>
      <c r="CY119" s="1149"/>
      <c r="CZ119" s="1149"/>
      <c r="DA119" s="1149"/>
      <c r="DB119" s="1149"/>
      <c r="DC119" s="1149"/>
      <c r="DD119" s="1149"/>
    </row>
    <row r="120" spans="1:108" s="715" customFormat="1" ht="12.75" hidden="1" customHeight="1" outlineLevel="1">
      <c r="C120" s="746" t="s">
        <v>878</v>
      </c>
      <c r="D120" s="521" t="str">
        <f>INDEX(Modules[Module], MATCH($C120, Modules[Code], 0))</f>
        <v>Combustion + CCS</v>
      </c>
      <c r="E120" s="521"/>
      <c r="F120" s="12" t="s">
        <v>475</v>
      </c>
      <c r="G120" s="1061"/>
      <c r="H120" s="1061"/>
      <c r="I120" s="1061"/>
      <c r="J120" s="1061"/>
      <c r="K120" s="1061"/>
      <c r="L120" s="1061"/>
      <c r="M120" s="1061"/>
      <c r="N120" s="1061"/>
      <c r="O120" s="1061"/>
      <c r="P120" s="1061"/>
      <c r="Q120" s="1062">
        <f>SUM(G120:P120)</f>
        <v>0</v>
      </c>
      <c r="R120" s="121"/>
      <c r="S120" s="1063"/>
      <c r="T120" s="1063"/>
      <c r="U120" s="1063"/>
      <c r="V120" s="1063"/>
      <c r="W120" s="1063"/>
      <c r="X120" s="1063"/>
      <c r="Y120" s="1063"/>
      <c r="Z120" s="1063"/>
      <c r="AA120" s="1063"/>
      <c r="AB120" s="1063"/>
      <c r="AC120" s="1063"/>
      <c r="AD120" s="1063"/>
      <c r="AE120" s="1063"/>
      <c r="AF120" s="1063"/>
      <c r="AG120" s="1063"/>
      <c r="AH120" s="1063"/>
      <c r="AI120" s="1064">
        <f>SUM(S120:AH120)</f>
        <v>0</v>
      </c>
      <c r="AJ120" s="121"/>
      <c r="AK120" s="1065">
        <f t="shared" ref="AK120:AS120" ca="1" si="120">IFERROR(INDEX(INDIRECT($C120&amp;".Outputs["&amp;this.Year&amp;"]"), MATCH(AK$5, INDIRECT($C120&amp;".Outputs[Vector]"), 0)), 0)</f>
        <v>0</v>
      </c>
      <c r="AL120" s="1065">
        <f t="shared" ca="1" si="120"/>
        <v>0</v>
      </c>
      <c r="AM120" s="1065">
        <f t="shared" ca="1" si="120"/>
        <v>0</v>
      </c>
      <c r="AN120" s="1065">
        <f t="shared" ca="1" si="120"/>
        <v>0</v>
      </c>
      <c r="AO120" s="1065">
        <f t="shared" ca="1" si="120"/>
        <v>0</v>
      </c>
      <c r="AP120" s="1065">
        <f t="shared" ca="1" si="120"/>
        <v>0</v>
      </c>
      <c r="AQ120" s="1065">
        <f t="shared" ca="1" si="120"/>
        <v>0</v>
      </c>
      <c r="AR120" s="1065">
        <f t="shared" ca="1" si="120"/>
        <v>0</v>
      </c>
      <c r="AS120" s="1065">
        <f t="shared" ca="1" si="120"/>
        <v>0</v>
      </c>
      <c r="AT120" s="1065">
        <f t="shared" ref="AT120:BC120" ca="1" si="121">IFERROR(INDEX(INDIRECT($C120&amp;".Outputs["&amp;this.Year&amp;"]"), MATCH(AT$5, INDIRECT($C120&amp;".Outputs[Vector]"), 0)), 0)</f>
        <v>0</v>
      </c>
      <c r="AU120" s="1065">
        <f t="shared" ca="1" si="121"/>
        <v>0</v>
      </c>
      <c r="AV120" s="1065">
        <f t="shared" ca="1" si="121"/>
        <v>0</v>
      </c>
      <c r="AW120" s="1065">
        <f t="shared" ca="1" si="121"/>
        <v>0</v>
      </c>
      <c r="AX120" s="1065">
        <f t="shared" ca="1" si="121"/>
        <v>0</v>
      </c>
      <c r="AY120" s="1065">
        <f t="shared" ca="1" si="121"/>
        <v>0</v>
      </c>
      <c r="AZ120" s="1065">
        <f t="shared" ca="1" si="121"/>
        <v>0</v>
      </c>
      <c r="BA120" s="1065">
        <f t="shared" ca="1" si="121"/>
        <v>0</v>
      </c>
      <c r="BB120" s="1065">
        <f t="shared" ca="1" si="121"/>
        <v>0</v>
      </c>
      <c r="BC120" s="1065">
        <f t="shared" ca="1" si="121"/>
        <v>0</v>
      </c>
      <c r="BD120" s="1066">
        <f ca="1">SUM(AK120:BC120)</f>
        <v>0</v>
      </c>
      <c r="BE120" s="121"/>
      <c r="BF120" s="1067"/>
      <c r="BG120" s="1067"/>
      <c r="BH120" s="1068">
        <f t="shared" si="119"/>
        <v>0</v>
      </c>
      <c r="BI120" s="121"/>
      <c r="BJ120" s="814">
        <f t="shared" ca="1" si="115"/>
        <v>0</v>
      </c>
      <c r="BK120" s="814"/>
      <c r="BM120" s="1147"/>
      <c r="BN120" s="1147"/>
      <c r="BO120" s="1147"/>
      <c r="BP120" s="1147"/>
      <c r="BQ120" s="1147"/>
      <c r="BR120" s="1147"/>
      <c r="BS120" s="1147"/>
      <c r="BT120" s="1147"/>
      <c r="BU120" s="1147"/>
      <c r="BV120" s="1147"/>
      <c r="BW120" s="1147"/>
      <c r="BX120" s="1147"/>
      <c r="BY120" s="1147"/>
      <c r="BZ120" s="1147"/>
      <c r="CA120" s="1147"/>
      <c r="CB120" s="1147"/>
      <c r="CC120" s="1147"/>
      <c r="CD120" s="1147"/>
      <c r="CE120" s="1147"/>
      <c r="CF120" s="1147"/>
      <c r="CG120" s="1147"/>
      <c r="CH120" s="1147"/>
      <c r="CI120" s="1147"/>
      <c r="CJ120" s="1147"/>
      <c r="CK120" s="1147"/>
      <c r="CL120" s="1147"/>
      <c r="CM120" s="1147"/>
      <c r="CN120" s="1147"/>
      <c r="CO120" s="1147"/>
      <c r="CP120" s="1147"/>
      <c r="CQ120" s="1147"/>
      <c r="CR120" s="1147"/>
      <c r="CS120" s="1147"/>
      <c r="CT120" s="1147"/>
      <c r="CU120" s="1147"/>
      <c r="CV120" s="1147"/>
      <c r="CW120" s="1147"/>
      <c r="CX120" s="1147"/>
      <c r="CY120" s="1147"/>
      <c r="CZ120" s="1147"/>
      <c r="DA120" s="1147"/>
      <c r="DB120" s="1147"/>
      <c r="DC120" s="1147"/>
      <c r="DD120" s="1147"/>
    </row>
    <row r="121" spans="1:108" s="849" customFormat="1" ht="12.75" hidden="1" customHeight="1" outlineLevel="1">
      <c r="C121" s="1048"/>
      <c r="D121" s="1049" t="s">
        <v>978</v>
      </c>
      <c r="E121" s="1049"/>
      <c r="F121" s="12"/>
      <c r="G121" s="961"/>
      <c r="H121" s="961"/>
      <c r="I121" s="961"/>
      <c r="J121" s="961"/>
      <c r="K121" s="962"/>
      <c r="L121" s="961"/>
      <c r="M121" s="961"/>
      <c r="N121" s="961"/>
      <c r="O121" s="961"/>
      <c r="P121" s="961"/>
      <c r="Q121" s="961"/>
      <c r="R121" s="121"/>
      <c r="S121" s="971"/>
      <c r="T121" s="971"/>
      <c r="U121" s="971"/>
      <c r="V121" s="971"/>
      <c r="W121" s="971"/>
      <c r="X121" s="971"/>
      <c r="Y121" s="971"/>
      <c r="Z121" s="971"/>
      <c r="AA121" s="971"/>
      <c r="AB121" s="971"/>
      <c r="AC121" s="971"/>
      <c r="AD121" s="971"/>
      <c r="AE121" s="971"/>
      <c r="AF121" s="971"/>
      <c r="AG121" s="971"/>
      <c r="AH121" s="971"/>
      <c r="AI121" s="971"/>
      <c r="AJ121" s="121"/>
      <c r="AK121" s="978"/>
      <c r="AL121" s="978"/>
      <c r="AM121" s="978"/>
      <c r="AN121" s="978"/>
      <c r="AO121" s="978"/>
      <c r="AP121" s="978"/>
      <c r="AQ121" s="978"/>
      <c r="AR121" s="978"/>
      <c r="AS121" s="978"/>
      <c r="AT121" s="978"/>
      <c r="AU121" s="978"/>
      <c r="AV121" s="978"/>
      <c r="AW121" s="978"/>
      <c r="AX121" s="978"/>
      <c r="AY121" s="978"/>
      <c r="AZ121" s="978"/>
      <c r="BA121" s="978"/>
      <c r="BB121" s="978"/>
      <c r="BC121" s="978"/>
      <c r="BD121" s="978"/>
      <c r="BE121" s="121"/>
      <c r="BF121" s="991"/>
      <c r="BG121" s="991"/>
      <c r="BH121" s="991">
        <f t="shared" si="119"/>
        <v>0</v>
      </c>
      <c r="BI121" s="121"/>
      <c r="BJ121" s="852">
        <f t="shared" si="115"/>
        <v>0</v>
      </c>
      <c r="BK121" s="852"/>
      <c r="BM121" s="1149"/>
      <c r="BN121" s="1149"/>
      <c r="BO121" s="1149"/>
      <c r="BP121" s="1149"/>
      <c r="BQ121" s="1149"/>
      <c r="BR121" s="1149"/>
      <c r="BS121" s="1149"/>
      <c r="BT121" s="1149"/>
      <c r="BU121" s="1149"/>
      <c r="BV121" s="1149"/>
      <c r="BW121" s="1149"/>
      <c r="BX121" s="1149"/>
      <c r="BY121" s="1149"/>
      <c r="BZ121" s="1149"/>
      <c r="CA121" s="1149"/>
      <c r="CB121" s="1149"/>
      <c r="CC121" s="1149"/>
      <c r="CD121" s="1149"/>
      <c r="CE121" s="1149"/>
      <c r="CF121" s="1149"/>
      <c r="CG121" s="1149"/>
      <c r="CH121" s="1149"/>
      <c r="CI121" s="1149"/>
      <c r="CJ121" s="1149"/>
      <c r="CK121" s="1149"/>
      <c r="CL121" s="1149"/>
      <c r="CM121" s="1149"/>
      <c r="CN121" s="1149"/>
      <c r="CO121" s="1149"/>
      <c r="CP121" s="1149"/>
      <c r="CQ121" s="1149"/>
      <c r="CR121" s="1149"/>
      <c r="CS121" s="1149"/>
      <c r="CT121" s="1149"/>
      <c r="CU121" s="1149"/>
      <c r="CV121" s="1149"/>
      <c r="CW121" s="1149"/>
      <c r="CX121" s="1149"/>
      <c r="CY121" s="1149"/>
      <c r="CZ121" s="1149"/>
      <c r="DA121" s="1149"/>
      <c r="DB121" s="1149"/>
      <c r="DC121" s="1149"/>
      <c r="DD121" s="1149"/>
    </row>
    <row r="122" spans="1:108" s="849" customFormat="1" ht="12.75" hidden="1" customHeight="1" outlineLevel="1">
      <c r="C122" s="1048"/>
      <c r="D122" s="1055" t="s">
        <v>980</v>
      </c>
      <c r="E122" s="1055"/>
      <c r="F122" s="12"/>
      <c r="G122" s="1056"/>
      <c r="H122" s="1056"/>
      <c r="I122" s="1056"/>
      <c r="J122" s="1056"/>
      <c r="K122" s="1057"/>
      <c r="L122" s="1056"/>
      <c r="M122" s="1056"/>
      <c r="N122" s="1056"/>
      <c r="O122" s="1056"/>
      <c r="P122" s="1056"/>
      <c r="Q122" s="1056"/>
      <c r="R122" s="121"/>
      <c r="S122" s="1058"/>
      <c r="T122" s="1058"/>
      <c r="U122" s="1058"/>
      <c r="V122" s="1058"/>
      <c r="W122" s="1058"/>
      <c r="X122" s="1058"/>
      <c r="Y122" s="1058"/>
      <c r="Z122" s="1058"/>
      <c r="AA122" s="1058"/>
      <c r="AB122" s="1058"/>
      <c r="AC122" s="1058"/>
      <c r="AD122" s="1058"/>
      <c r="AE122" s="1058"/>
      <c r="AF122" s="1058"/>
      <c r="AG122" s="1058"/>
      <c r="AH122" s="1058"/>
      <c r="AI122" s="1058"/>
      <c r="AJ122" s="121"/>
      <c r="AK122" s="1059"/>
      <c r="AL122" s="1059"/>
      <c r="AM122" s="1059"/>
      <c r="AN122" s="1059"/>
      <c r="AO122" s="1059"/>
      <c r="AP122" s="1059"/>
      <c r="AQ122" s="1059"/>
      <c r="AR122" s="1059"/>
      <c r="AS122" s="1059"/>
      <c r="AT122" s="1059"/>
      <c r="AU122" s="1059"/>
      <c r="AV122" s="1059"/>
      <c r="AW122" s="1059"/>
      <c r="AX122" s="1059"/>
      <c r="AY122" s="1059"/>
      <c r="AZ122" s="1059"/>
      <c r="BA122" s="1059"/>
      <c r="BB122" s="1059"/>
      <c r="BC122" s="1059"/>
      <c r="BD122" s="1059"/>
      <c r="BE122" s="121"/>
      <c r="BF122" s="1060"/>
      <c r="BG122" s="1060"/>
      <c r="BH122" s="1060">
        <f>SUM(BF122:BG122)</f>
        <v>0</v>
      </c>
      <c r="BI122" s="121"/>
      <c r="BJ122" s="814">
        <f t="shared" si="115"/>
        <v>0</v>
      </c>
      <c r="BK122" s="852"/>
      <c r="BM122" s="1149"/>
      <c r="BN122" s="1149"/>
      <c r="BO122" s="1149"/>
      <c r="BP122" s="1149"/>
      <c r="BQ122" s="1149"/>
      <c r="BR122" s="1149"/>
      <c r="BS122" s="1149"/>
      <c r="BT122" s="1149"/>
      <c r="BU122" s="1149"/>
      <c r="BV122" s="1149"/>
      <c r="BW122" s="1149"/>
      <c r="BX122" s="1149"/>
      <c r="BY122" s="1149"/>
      <c r="BZ122" s="1149"/>
      <c r="CA122" s="1149"/>
      <c r="CB122" s="1149"/>
      <c r="CC122" s="1149"/>
      <c r="CD122" s="1149"/>
      <c r="CE122" s="1149"/>
      <c r="CF122" s="1149"/>
      <c r="CG122" s="1149"/>
      <c r="CH122" s="1149"/>
      <c r="CI122" s="1149"/>
      <c r="CJ122" s="1149"/>
      <c r="CK122" s="1149"/>
      <c r="CL122" s="1149"/>
      <c r="CM122" s="1149"/>
      <c r="CN122" s="1149"/>
      <c r="CO122" s="1149"/>
      <c r="CP122" s="1149"/>
      <c r="CQ122" s="1149"/>
      <c r="CR122" s="1149"/>
      <c r="CS122" s="1149"/>
      <c r="CT122" s="1149"/>
      <c r="CU122" s="1149"/>
      <c r="CV122" s="1149"/>
      <c r="CW122" s="1149"/>
      <c r="CX122" s="1149"/>
      <c r="CY122" s="1149"/>
      <c r="CZ122" s="1149"/>
      <c r="DA122" s="1149"/>
      <c r="DB122" s="1149"/>
      <c r="DC122" s="1149"/>
      <c r="DD122" s="1149"/>
    </row>
    <row r="123" spans="1:108" s="849" customFormat="1" ht="12.75" hidden="1" customHeight="1" outlineLevel="1">
      <c r="C123" s="1048"/>
      <c r="D123" s="851" t="s">
        <v>141</v>
      </c>
      <c r="E123" s="851"/>
      <c r="F123" s="12"/>
      <c r="G123" s="961"/>
      <c r="H123" s="961"/>
      <c r="I123" s="961"/>
      <c r="J123" s="961"/>
      <c r="K123" s="962"/>
      <c r="L123" s="961"/>
      <c r="M123" s="961"/>
      <c r="N123" s="961"/>
      <c r="O123" s="961"/>
      <c r="P123" s="961"/>
      <c r="Q123" s="961"/>
      <c r="R123" s="121"/>
      <c r="S123" s="1311"/>
      <c r="T123" s="1311">
        <f>('DUKES 09 (5.6)'!$B$246-'DUKES 09 (5.6)'!$B$247)*Unit.GWh</f>
        <v>125.93794534209844</v>
      </c>
      <c r="U123" s="1311">
        <f>-'DUKES 09 (5.6)'!$B$245*Unit.GWh</f>
        <v>-371.39618674674301</v>
      </c>
      <c r="V123" s="1311"/>
      <c r="W123" s="1311"/>
      <c r="X123" s="1311"/>
      <c r="Y123" s="1311"/>
      <c r="Z123" s="1311"/>
      <c r="AA123" s="1311"/>
      <c r="AB123" s="1311"/>
      <c r="AC123" s="1311"/>
      <c r="AD123" s="1311"/>
      <c r="AE123" s="1311"/>
      <c r="AF123" s="1311"/>
      <c r="AG123" s="1311"/>
      <c r="AH123" s="1311"/>
      <c r="AI123" s="971">
        <f t="shared" ref="AI123:AI128" si="122">SUM(S123:AH123)</f>
        <v>-245.45824140464458</v>
      </c>
      <c r="AJ123" s="121"/>
      <c r="AK123" s="978"/>
      <c r="AL123" s="978"/>
      <c r="AM123" s="978"/>
      <c r="AN123" s="978"/>
      <c r="AO123" s="978"/>
      <c r="AP123" s="978"/>
      <c r="AQ123" s="978"/>
      <c r="AR123" s="978"/>
      <c r="AS123" s="978"/>
      <c r="AT123" s="978"/>
      <c r="AU123" s="978"/>
      <c r="AV123" s="978"/>
      <c r="AW123" s="978"/>
      <c r="AX123" s="978"/>
      <c r="AY123" s="978"/>
      <c r="AZ123" s="978"/>
      <c r="BA123" s="978"/>
      <c r="BB123" s="978"/>
      <c r="BC123" s="978"/>
      <c r="BD123" s="978">
        <f t="shared" ref="BD123:BD128" si="123">SUM(AK123:BC123)</f>
        <v>0</v>
      </c>
      <c r="BE123" s="121"/>
      <c r="BF123" s="991">
        <f>-($AI123+$BD123+$BG123)</f>
        <v>238.72086653696022</v>
      </c>
      <c r="BG123" s="1477">
        <f>'DUKES 09 (5.6)'!$B$247*Unit.GWh</f>
        <v>6.7373748676843679</v>
      </c>
      <c r="BH123" s="991">
        <f t="shared" si="119"/>
        <v>245.45824140464458</v>
      </c>
      <c r="BI123" s="121"/>
      <c r="BJ123" s="814">
        <f t="shared" si="115"/>
        <v>0</v>
      </c>
      <c r="BK123" s="852"/>
      <c r="BM123" s="1149"/>
      <c r="BN123" s="1149"/>
      <c r="BO123" s="1149"/>
      <c r="BP123" s="1149"/>
      <c r="BQ123" s="1149"/>
      <c r="BR123" s="1149"/>
      <c r="BS123" s="1149"/>
      <c r="BT123" s="1149"/>
      <c r="BU123" s="1149"/>
      <c r="BV123" s="1149"/>
      <c r="BW123" s="1149"/>
      <c r="BX123" s="1149"/>
      <c r="BY123" s="1149"/>
      <c r="BZ123" s="1149"/>
      <c r="CA123" s="1149"/>
      <c r="CB123" s="1149"/>
      <c r="CC123" s="1149"/>
      <c r="CD123" s="1149"/>
      <c r="CE123" s="1149"/>
      <c r="CF123" s="1149"/>
      <c r="CG123" s="1149"/>
      <c r="CH123" s="1149"/>
      <c r="CI123" s="1149"/>
      <c r="CJ123" s="1149"/>
      <c r="CK123" s="1149"/>
      <c r="CL123" s="1149"/>
      <c r="CM123" s="1149"/>
      <c r="CN123" s="1149"/>
      <c r="CO123" s="1149"/>
      <c r="CP123" s="1149"/>
      <c r="CQ123" s="1149"/>
      <c r="CR123" s="1149"/>
      <c r="CS123" s="1149"/>
      <c r="CT123" s="1149"/>
      <c r="CU123" s="1149"/>
      <c r="CV123" s="1149"/>
      <c r="CW123" s="1149"/>
      <c r="CX123" s="1149"/>
      <c r="CY123" s="1149"/>
      <c r="CZ123" s="1149"/>
      <c r="DA123" s="1149"/>
      <c r="DB123" s="1149"/>
      <c r="DC123" s="1149"/>
      <c r="DD123" s="1149"/>
    </row>
    <row r="124" spans="1:108" s="849" customFormat="1" ht="12.75" hidden="1" customHeight="1" outlineLevel="1">
      <c r="C124" s="1048"/>
      <c r="D124" s="851" t="s">
        <v>202</v>
      </c>
      <c r="E124" s="851"/>
      <c r="F124" s="12"/>
      <c r="G124" s="961"/>
      <c r="H124" s="961"/>
      <c r="I124" s="961"/>
      <c r="J124" s="961"/>
      <c r="K124" s="962"/>
      <c r="L124" s="961"/>
      <c r="M124" s="961"/>
      <c r="N124" s="961"/>
      <c r="O124" s="961"/>
      <c r="P124" s="961"/>
      <c r="Q124" s="961"/>
      <c r="R124" s="121"/>
      <c r="S124" s="1311"/>
      <c r="T124" s="1311">
        <f>('DUKES 09 (5.6)'!$C$246-'DUKES 09 (5.6)'!$C$247)*Unit.GWh</f>
        <v>1.9959590190899115</v>
      </c>
      <c r="U124" s="1311"/>
      <c r="V124" s="1311">
        <f>-'DUKES 09 (5.6)'!$C$245*Unit.GWh</f>
        <v>-8.718214578336493</v>
      </c>
      <c r="W124" s="1311"/>
      <c r="X124" s="1311"/>
      <c r="Y124" s="1311"/>
      <c r="Z124" s="1311"/>
      <c r="AA124" s="1311"/>
      <c r="AB124" s="1311"/>
      <c r="AC124" s="1311"/>
      <c r="AD124" s="1311"/>
      <c r="AE124" s="1311"/>
      <c r="AF124" s="1311"/>
      <c r="AG124" s="1311"/>
      <c r="AH124" s="1311"/>
      <c r="AI124" s="971">
        <f t="shared" si="122"/>
        <v>-6.722255559246582</v>
      </c>
      <c r="AJ124" s="121"/>
      <c r="AK124" s="1476"/>
      <c r="AL124" s="1476"/>
      <c r="AM124" s="1476"/>
      <c r="AN124" s="1476"/>
      <c r="AO124" s="1476"/>
      <c r="AP124" s="1476"/>
      <c r="AQ124" s="1476"/>
      <c r="AR124" s="1476"/>
      <c r="AS124" s="1476"/>
      <c r="AT124" s="1476"/>
      <c r="AU124" s="1476"/>
      <c r="AV124" s="1476"/>
      <c r="AW124" s="1476"/>
      <c r="AX124" s="1476"/>
      <c r="AY124" s="1476"/>
      <c r="AZ124" s="1476"/>
      <c r="BA124" s="1476"/>
      <c r="BB124" s="1476"/>
      <c r="BC124" s="1476"/>
      <c r="BD124" s="978">
        <f t="shared" si="123"/>
        <v>0</v>
      </c>
      <c r="BE124" s="121"/>
      <c r="BF124" s="991">
        <f>-($AI124+$BD124+$BG124)</f>
        <v>6.3174518861840294</v>
      </c>
      <c r="BG124" s="1477">
        <f>'DUKES 09 (5.6)'!$C$247*Unit.GWh</f>
        <v>0.40480367306255288</v>
      </c>
      <c r="BH124" s="991">
        <f t="shared" si="119"/>
        <v>6.722255559246582</v>
      </c>
      <c r="BI124" s="121"/>
      <c r="BJ124" s="814">
        <f t="shared" si="115"/>
        <v>0</v>
      </c>
      <c r="BK124" s="852"/>
      <c r="BM124" s="1149"/>
      <c r="BN124" s="1149"/>
      <c r="BO124" s="1149"/>
      <c r="BP124" s="1149"/>
      <c r="BQ124" s="1149"/>
      <c r="BR124" s="1149"/>
      <c r="BS124" s="1149"/>
      <c r="BT124" s="1149"/>
      <c r="BU124" s="1149"/>
      <c r="BV124" s="1149"/>
      <c r="BW124" s="1149"/>
      <c r="BX124" s="1149"/>
      <c r="BY124" s="1149"/>
      <c r="BZ124" s="1149"/>
      <c r="CA124" s="1149"/>
      <c r="CB124" s="1149"/>
      <c r="CC124" s="1149"/>
      <c r="CD124" s="1149"/>
      <c r="CE124" s="1149"/>
      <c r="CF124" s="1149"/>
      <c r="CG124" s="1149"/>
      <c r="CH124" s="1149"/>
      <c r="CI124" s="1149"/>
      <c r="CJ124" s="1149"/>
      <c r="CK124" s="1149"/>
      <c r="CL124" s="1149"/>
      <c r="CM124" s="1149"/>
      <c r="CN124" s="1149"/>
      <c r="CO124" s="1149"/>
      <c r="CP124" s="1149"/>
      <c r="CQ124" s="1149"/>
      <c r="CR124" s="1149"/>
      <c r="CS124" s="1149"/>
      <c r="CT124" s="1149"/>
      <c r="CU124" s="1149"/>
      <c r="CV124" s="1149"/>
      <c r="CW124" s="1149"/>
      <c r="CX124" s="1149"/>
      <c r="CY124" s="1149"/>
      <c r="CZ124" s="1149"/>
      <c r="DA124" s="1149"/>
      <c r="DB124" s="1149"/>
      <c r="DC124" s="1149"/>
      <c r="DD124" s="1149"/>
    </row>
    <row r="125" spans="1:108" s="849" customFormat="1" ht="12.75" hidden="1" customHeight="1" outlineLevel="1">
      <c r="C125" s="1048"/>
      <c r="D125" s="851" t="s">
        <v>14</v>
      </c>
      <c r="E125" s="851"/>
      <c r="F125" s="12"/>
      <c r="G125" s="961"/>
      <c r="H125" s="961"/>
      <c r="I125" s="961"/>
      <c r="J125" s="961"/>
      <c r="K125" s="962"/>
      <c r="L125" s="961"/>
      <c r="M125" s="961"/>
      <c r="N125" s="961"/>
      <c r="O125" s="961"/>
      <c r="P125" s="961"/>
      <c r="Q125" s="961"/>
      <c r="R125" s="121"/>
      <c r="S125" s="1311"/>
      <c r="T125" s="1311">
        <f>('DUKES 09 (5.6)'!$D$246-'DUKES 09 (5.6)'!$D$247)*Unit.GWh</f>
        <v>146.45188162344687</v>
      </c>
      <c r="U125" s="1311"/>
      <c r="V125" s="1311"/>
      <c r="W125" s="1311">
        <f>-'DUKES 09 (5.6)'!$D$245*Unit.GWh</f>
        <v>-319.83646584224255</v>
      </c>
      <c r="X125" s="1311"/>
      <c r="Y125" s="1311"/>
      <c r="Z125" s="1311"/>
      <c r="AA125" s="1311"/>
      <c r="AB125" s="1311"/>
      <c r="AC125" s="1311"/>
      <c r="AD125" s="1311"/>
      <c r="AE125" s="1311"/>
      <c r="AF125" s="1311"/>
      <c r="AG125" s="1311"/>
      <c r="AH125" s="1311"/>
      <c r="AI125" s="971">
        <f t="shared" si="122"/>
        <v>-173.38458421879568</v>
      </c>
      <c r="AJ125" s="121"/>
      <c r="AK125" s="1476"/>
      <c r="AL125" s="1476"/>
      <c r="AM125" s="1476"/>
      <c r="AN125" s="1476"/>
      <c r="AO125" s="1476"/>
      <c r="AP125" s="1476"/>
      <c r="AQ125" s="1476"/>
      <c r="AR125" s="1476"/>
      <c r="AS125" s="1476"/>
      <c r="AT125" s="1476"/>
      <c r="AU125" s="1476"/>
      <c r="AV125" s="1476"/>
      <c r="AW125" s="1476"/>
      <c r="AX125" s="1476"/>
      <c r="AY125" s="1476"/>
      <c r="AZ125" s="1476"/>
      <c r="BA125" s="1476"/>
      <c r="BB125" s="1476"/>
      <c r="BC125" s="1476"/>
      <c r="BD125" s="978">
        <f t="shared" si="123"/>
        <v>0</v>
      </c>
      <c r="BE125" s="121"/>
      <c r="BF125" s="991">
        <f>-($AI125+$BD125+$BG125)</f>
        <v>170.49051986783476</v>
      </c>
      <c r="BG125" s="1477">
        <f>'DUKES 09 (5.6)'!$D$247*Unit.GWh</f>
        <v>2.8940643509609218</v>
      </c>
      <c r="BH125" s="991">
        <f t="shared" si="119"/>
        <v>173.38458421879568</v>
      </c>
      <c r="BI125" s="121"/>
      <c r="BJ125" s="814">
        <f t="shared" si="115"/>
        <v>0</v>
      </c>
      <c r="BK125" s="852"/>
      <c r="BM125" s="1149"/>
      <c r="BN125" s="1149"/>
      <c r="BO125" s="1149"/>
      <c r="BP125" s="1149"/>
      <c r="BQ125" s="1149"/>
      <c r="BR125" s="1149"/>
      <c r="BS125" s="1149"/>
      <c r="BT125" s="1149"/>
      <c r="BU125" s="1149"/>
      <c r="BV125" s="1149"/>
      <c r="BW125" s="1149"/>
      <c r="BX125" s="1149"/>
      <c r="BY125" s="1149"/>
      <c r="BZ125" s="1149"/>
      <c r="CA125" s="1149"/>
      <c r="CB125" s="1149"/>
      <c r="CC125" s="1149"/>
      <c r="CD125" s="1149"/>
      <c r="CE125" s="1149"/>
      <c r="CF125" s="1149"/>
      <c r="CG125" s="1149"/>
      <c r="CH125" s="1149"/>
      <c r="CI125" s="1149"/>
      <c r="CJ125" s="1149"/>
      <c r="CK125" s="1149"/>
      <c r="CL125" s="1149"/>
      <c r="CM125" s="1149"/>
      <c r="CN125" s="1149"/>
      <c r="CO125" s="1149"/>
      <c r="CP125" s="1149"/>
      <c r="CQ125" s="1149"/>
      <c r="CR125" s="1149"/>
      <c r="CS125" s="1149"/>
      <c r="CT125" s="1149"/>
      <c r="CU125" s="1149"/>
      <c r="CV125" s="1149"/>
      <c r="CW125" s="1149"/>
      <c r="CX125" s="1149"/>
      <c r="CY125" s="1149"/>
      <c r="CZ125" s="1149"/>
      <c r="DA125" s="1149"/>
      <c r="DB125" s="1149"/>
      <c r="DC125" s="1149"/>
      <c r="DD125" s="1149"/>
    </row>
    <row r="126" spans="1:108" s="849" customFormat="1" ht="12.75" hidden="1" customHeight="1" outlineLevel="1">
      <c r="C126" s="1048"/>
      <c r="D126" s="851" t="s">
        <v>51</v>
      </c>
      <c r="E126" s="851"/>
      <c r="F126" s="12"/>
      <c r="G126" s="961"/>
      <c r="H126" s="961"/>
      <c r="I126" s="961"/>
      <c r="J126" s="961"/>
      <c r="K126" s="962"/>
      <c r="L126" s="961"/>
      <c r="M126" s="961"/>
      <c r="N126" s="961"/>
      <c r="O126" s="961"/>
      <c r="P126" s="961"/>
      <c r="Q126" s="961"/>
      <c r="R126" s="121"/>
      <c r="S126" s="1311"/>
      <c r="T126" s="1311">
        <f>('DUKES 09 (5.6)'!$F$246-'DUKES 09 (5.6)'!$F$247)*Unit.GWh</f>
        <v>2.1482301985894212</v>
      </c>
      <c r="U126" s="1311"/>
      <c r="V126" s="1311"/>
      <c r="W126" s="1311"/>
      <c r="X126" s="1311"/>
      <c r="Y126" s="1311"/>
      <c r="Z126" s="1311"/>
      <c r="AA126" s="1311"/>
      <c r="AB126" s="1311"/>
      <c r="AC126" s="1311"/>
      <c r="AD126" s="1311"/>
      <c r="AE126" s="1311">
        <f>-'DUKES 09 (7.2)'!$E$20*Unit.ktoe</f>
        <v>-4.9052401149690734</v>
      </c>
      <c r="AF126" s="1311"/>
      <c r="AG126" s="1311"/>
      <c r="AH126" s="1311"/>
      <c r="AI126" s="971">
        <f t="shared" si="122"/>
        <v>-2.7570099163796522</v>
      </c>
      <c r="AJ126" s="121"/>
      <c r="AK126" s="1476"/>
      <c r="AL126" s="1476"/>
      <c r="AM126" s="1476"/>
      <c r="AN126" s="1476"/>
      <c r="AO126" s="1476"/>
      <c r="AP126" s="1476"/>
      <c r="AQ126" s="1476"/>
      <c r="AR126" s="1476"/>
      <c r="AS126" s="1476"/>
      <c r="AT126" s="1476"/>
      <c r="AU126" s="1476"/>
      <c r="AV126" s="1476"/>
      <c r="AW126" s="1476"/>
      <c r="AX126" s="1476"/>
      <c r="AY126" s="1476"/>
      <c r="AZ126" s="1476"/>
      <c r="BA126" s="1476"/>
      <c r="BB126" s="1476"/>
      <c r="BC126" s="1476">
        <f>-('DUKES 09 (7.2)'!$D$20+'DUKES 09 (7.2)'!$J$20)*Unit.ktoe</f>
        <v>-2.3660032518434662</v>
      </c>
      <c r="BD126" s="978">
        <f t="shared" si="123"/>
        <v>-2.3660032518434662</v>
      </c>
      <c r="BE126" s="121"/>
      <c r="BF126" s="991">
        <f>-($AI126+$BD126+$BG126)</f>
        <v>4.8832570768526988</v>
      </c>
      <c r="BG126" s="1477">
        <f>'DUKES 09 (5.6)'!$F$247*Unit.GWh</f>
        <v>0.2397560913704192</v>
      </c>
      <c r="BH126" s="991">
        <f t="shared" si="119"/>
        <v>5.1230131682231184</v>
      </c>
      <c r="BI126" s="121"/>
      <c r="BJ126" s="814">
        <f t="shared" si="115"/>
        <v>0</v>
      </c>
      <c r="BK126" s="852"/>
      <c r="BM126" s="1149"/>
      <c r="BN126" s="1149"/>
      <c r="BO126" s="1149"/>
      <c r="BP126" s="1149"/>
      <c r="BQ126" s="1149"/>
      <c r="BR126" s="1149"/>
      <c r="BS126" s="1149"/>
      <c r="BT126" s="1149"/>
      <c r="BU126" s="1149"/>
      <c r="BV126" s="1149"/>
      <c r="BW126" s="1149"/>
      <c r="BX126" s="1149"/>
      <c r="BY126" s="1149"/>
      <c r="BZ126" s="1149"/>
      <c r="CA126" s="1149"/>
      <c r="CB126" s="1149"/>
      <c r="CC126" s="1149"/>
      <c r="CD126" s="1149"/>
      <c r="CE126" s="1149"/>
      <c r="CF126" s="1149"/>
      <c r="CG126" s="1149"/>
      <c r="CH126" s="1149"/>
      <c r="CI126" s="1149"/>
      <c r="CJ126" s="1149"/>
      <c r="CK126" s="1149"/>
      <c r="CL126" s="1149"/>
      <c r="CM126" s="1149"/>
      <c r="CN126" s="1149"/>
      <c r="CO126" s="1149"/>
      <c r="CP126" s="1149"/>
      <c r="CQ126" s="1149"/>
      <c r="CR126" s="1149"/>
      <c r="CS126" s="1149"/>
      <c r="CT126" s="1149"/>
      <c r="CU126" s="1149"/>
      <c r="CV126" s="1149"/>
      <c r="CW126" s="1149"/>
      <c r="CX126" s="1149"/>
      <c r="CY126" s="1149"/>
      <c r="CZ126" s="1149"/>
      <c r="DA126" s="1149"/>
      <c r="DB126" s="1149"/>
      <c r="DC126" s="1149"/>
      <c r="DD126" s="1149"/>
    </row>
    <row r="127" spans="1:108" s="715" customFormat="1" ht="12.75" hidden="1" customHeight="1" outlineLevel="1">
      <c r="C127" s="746" t="s">
        <v>742</v>
      </c>
      <c r="D127" s="521" t="str">
        <f>INDEX(Modules[Module], MATCH($C127, Modules[Code], 0))</f>
        <v>Conventional thermal plant</v>
      </c>
      <c r="E127" s="521"/>
      <c r="F127" s="12" t="s">
        <v>1217</v>
      </c>
      <c r="G127" s="1022"/>
      <c r="H127" s="1022"/>
      <c r="I127" s="1022"/>
      <c r="J127" s="1022"/>
      <c r="K127" s="1022"/>
      <c r="L127" s="1022"/>
      <c r="M127" s="1022"/>
      <c r="N127" s="1022"/>
      <c r="O127" s="1022"/>
      <c r="P127" s="1022"/>
      <c r="Q127" s="1020">
        <f>SUM(G127:P127)</f>
        <v>0</v>
      </c>
      <c r="R127" s="121"/>
      <c r="S127" s="1030">
        <f>SUM(S123:S126)</f>
        <v>0</v>
      </c>
      <c r="T127" s="1030">
        <f t="shared" ref="T127:AH127" si="124">SUM(T123:T126)</f>
        <v>276.53401618322465</v>
      </c>
      <c r="U127" s="1030">
        <f t="shared" si="124"/>
        <v>-371.39618674674301</v>
      </c>
      <c r="V127" s="1030">
        <f t="shared" si="124"/>
        <v>-8.718214578336493</v>
      </c>
      <c r="W127" s="1030">
        <f t="shared" si="124"/>
        <v>-319.83646584224255</v>
      </c>
      <c r="X127" s="1030">
        <f t="shared" si="124"/>
        <v>0</v>
      </c>
      <c r="Y127" s="1030">
        <f t="shared" si="124"/>
        <v>0</v>
      </c>
      <c r="Z127" s="1030">
        <f t="shared" si="124"/>
        <v>0</v>
      </c>
      <c r="AA127" s="1030">
        <f t="shared" si="124"/>
        <v>0</v>
      </c>
      <c r="AB127" s="1030">
        <f t="shared" si="124"/>
        <v>0</v>
      </c>
      <c r="AC127" s="1030">
        <f t="shared" si="124"/>
        <v>0</v>
      </c>
      <c r="AD127" s="1030"/>
      <c r="AE127" s="1030">
        <f t="shared" si="124"/>
        <v>-4.9052401149690734</v>
      </c>
      <c r="AF127" s="1030">
        <f>SUM(AF123:AF126)</f>
        <v>0</v>
      </c>
      <c r="AG127" s="1030">
        <f>SUM(AG123:AG126)</f>
        <v>0</v>
      </c>
      <c r="AH127" s="1030">
        <f t="shared" si="124"/>
        <v>0</v>
      </c>
      <c r="AI127" s="1030">
        <f t="shared" si="122"/>
        <v>-428.32209109906648</v>
      </c>
      <c r="AJ127" s="121"/>
      <c r="AK127" s="1041">
        <f t="shared" ref="AK127:BC127" si="125">SUM(AK123:AK126)</f>
        <v>0</v>
      </c>
      <c r="AL127" s="1041">
        <f t="shared" si="125"/>
        <v>0</v>
      </c>
      <c r="AM127" s="1041">
        <f t="shared" si="125"/>
        <v>0</v>
      </c>
      <c r="AN127" s="1041">
        <f t="shared" si="125"/>
        <v>0</v>
      </c>
      <c r="AO127" s="1041">
        <f t="shared" si="125"/>
        <v>0</v>
      </c>
      <c r="AP127" s="1041">
        <f t="shared" si="125"/>
        <v>0</v>
      </c>
      <c r="AQ127" s="1041">
        <f t="shared" si="125"/>
        <v>0</v>
      </c>
      <c r="AR127" s="1041">
        <f t="shared" si="125"/>
        <v>0</v>
      </c>
      <c r="AS127" s="1041">
        <f t="shared" si="125"/>
        <v>0</v>
      </c>
      <c r="AT127" s="1041">
        <f t="shared" si="125"/>
        <v>0</v>
      </c>
      <c r="AU127" s="1041">
        <f t="shared" si="125"/>
        <v>0</v>
      </c>
      <c r="AV127" s="1041">
        <f t="shared" si="125"/>
        <v>0</v>
      </c>
      <c r="AW127" s="1041">
        <f t="shared" si="125"/>
        <v>0</v>
      </c>
      <c r="AX127" s="1041">
        <f t="shared" si="125"/>
        <v>0</v>
      </c>
      <c r="AY127" s="1041">
        <f t="shared" si="125"/>
        <v>0</v>
      </c>
      <c r="AZ127" s="1041">
        <f t="shared" si="125"/>
        <v>0</v>
      </c>
      <c r="BA127" s="1041">
        <f t="shared" si="125"/>
        <v>0</v>
      </c>
      <c r="BB127" s="1041">
        <f t="shared" si="125"/>
        <v>0</v>
      </c>
      <c r="BC127" s="1041">
        <f t="shared" si="125"/>
        <v>-2.3660032518434662</v>
      </c>
      <c r="BD127" s="1496">
        <f t="shared" si="123"/>
        <v>-2.3660032518434662</v>
      </c>
      <c r="BE127" s="121"/>
      <c r="BF127" s="1035">
        <f>SUM(BF123:BF126)</f>
        <v>420.41209536783174</v>
      </c>
      <c r="BG127" s="1035">
        <f>SUM(BG123:BG126)</f>
        <v>10.275998983078262</v>
      </c>
      <c r="BH127" s="1035">
        <f t="shared" si="119"/>
        <v>430.68809435090998</v>
      </c>
      <c r="BI127" s="121"/>
      <c r="BJ127" s="814">
        <f t="shared" si="115"/>
        <v>0</v>
      </c>
      <c r="BK127" s="814"/>
      <c r="BM127" s="1147"/>
      <c r="BN127" s="1147"/>
      <c r="BO127" s="1147"/>
      <c r="BP127" s="1147"/>
      <c r="BQ127" s="1147"/>
      <c r="BR127" s="1147"/>
      <c r="BS127" s="1147"/>
      <c r="BT127" s="1147"/>
      <c r="BU127" s="1147"/>
      <c r="BV127" s="1147"/>
      <c r="BW127" s="1147"/>
      <c r="BX127" s="1147"/>
      <c r="BY127" s="1147"/>
      <c r="BZ127" s="1147"/>
      <c r="CA127" s="1147"/>
      <c r="CB127" s="1147"/>
      <c r="CC127" s="1147"/>
      <c r="CD127" s="1147"/>
      <c r="CE127" s="1147"/>
      <c r="CF127" s="1147"/>
      <c r="CG127" s="1147"/>
      <c r="CH127" s="1147"/>
      <c r="CI127" s="1147"/>
      <c r="CJ127" s="1147"/>
      <c r="CK127" s="1147"/>
      <c r="CL127" s="1147"/>
      <c r="CM127" s="1147"/>
      <c r="CN127" s="1147"/>
      <c r="CO127" s="1147"/>
      <c r="CP127" s="1147"/>
      <c r="CQ127" s="1147"/>
      <c r="CR127" s="1147"/>
      <c r="CS127" s="1147"/>
      <c r="CT127" s="1147"/>
      <c r="CU127" s="1147"/>
      <c r="CV127" s="1147"/>
      <c r="CW127" s="1147"/>
      <c r="CX127" s="1147"/>
      <c r="CY127" s="1147"/>
      <c r="CZ127" s="1147"/>
      <c r="DA127" s="1147"/>
      <c r="DB127" s="1147"/>
      <c r="DC127" s="1147"/>
      <c r="DD127" s="1147"/>
    </row>
    <row r="128" spans="1:108" ht="15.75" collapsed="1">
      <c r="A128" s="24"/>
      <c r="B128" s="3"/>
      <c r="C128" s="744" t="s">
        <v>74</v>
      </c>
      <c r="D128" s="517" t="str">
        <f>INDEX(Workstreams[Workstream], MATCH($C128, Workstreams[Code], 0))</f>
        <v>Hydrocarbon fuel power generation</v>
      </c>
      <c r="E128" s="512"/>
      <c r="F128" s="12"/>
      <c r="G128" s="1021">
        <f>G120+G127</f>
        <v>0</v>
      </c>
      <c r="H128" s="1021">
        <f t="shared" ref="H128:P128" si="126">H120+H127</f>
        <v>0</v>
      </c>
      <c r="I128" s="1021">
        <f t="shared" si="126"/>
        <v>0</v>
      </c>
      <c r="J128" s="1021">
        <f t="shared" si="126"/>
        <v>0</v>
      </c>
      <c r="K128" s="1021">
        <f t="shared" si="126"/>
        <v>0</v>
      </c>
      <c r="L128" s="1021">
        <f t="shared" si="126"/>
        <v>0</v>
      </c>
      <c r="M128" s="1021">
        <f t="shared" si="126"/>
        <v>0</v>
      </c>
      <c r="N128" s="1021">
        <f t="shared" si="126"/>
        <v>0</v>
      </c>
      <c r="O128" s="1021">
        <f t="shared" si="126"/>
        <v>0</v>
      </c>
      <c r="P128" s="1021">
        <f t="shared" si="126"/>
        <v>0</v>
      </c>
      <c r="Q128" s="1021">
        <f>SUM(G128:P128)</f>
        <v>0</v>
      </c>
      <c r="S128" s="970">
        <f t="shared" ref="S128:AH128" si="127">S120+S127</f>
        <v>0</v>
      </c>
      <c r="T128" s="970">
        <f t="shared" si="127"/>
        <v>276.53401618322465</v>
      </c>
      <c r="U128" s="970">
        <f t="shared" si="127"/>
        <v>-371.39618674674301</v>
      </c>
      <c r="V128" s="970">
        <f t="shared" si="127"/>
        <v>-8.718214578336493</v>
      </c>
      <c r="W128" s="970">
        <f t="shared" si="127"/>
        <v>-319.83646584224255</v>
      </c>
      <c r="X128" s="970">
        <f>X120+X127</f>
        <v>0</v>
      </c>
      <c r="Y128" s="970">
        <f>Y120+Y127</f>
        <v>0</v>
      </c>
      <c r="Z128" s="970">
        <f>Z120+Z127</f>
        <v>0</v>
      </c>
      <c r="AA128" s="970">
        <f t="shared" si="127"/>
        <v>0</v>
      </c>
      <c r="AB128" s="970">
        <f t="shared" si="127"/>
        <v>0</v>
      </c>
      <c r="AC128" s="970">
        <f t="shared" si="127"/>
        <v>0</v>
      </c>
      <c r="AD128" s="970">
        <f t="shared" si="127"/>
        <v>0</v>
      </c>
      <c r="AE128" s="970">
        <f t="shared" si="127"/>
        <v>-4.9052401149690734</v>
      </c>
      <c r="AF128" s="970">
        <f>AF120+AF127</f>
        <v>0</v>
      </c>
      <c r="AG128" s="970">
        <f>AG120+AG127</f>
        <v>0</v>
      </c>
      <c r="AH128" s="970">
        <f t="shared" si="127"/>
        <v>0</v>
      </c>
      <c r="AI128" s="970">
        <f t="shared" si="122"/>
        <v>-428.32209109906648</v>
      </c>
      <c r="AK128" s="976">
        <f t="shared" ref="AK128:AQ128" ca="1" si="128">AK120+AK127</f>
        <v>0</v>
      </c>
      <c r="AL128" s="976">
        <f t="shared" ca="1" si="128"/>
        <v>0</v>
      </c>
      <c r="AM128" s="976">
        <f t="shared" ca="1" si="128"/>
        <v>0</v>
      </c>
      <c r="AN128" s="976">
        <f t="shared" ca="1" si="128"/>
        <v>0</v>
      </c>
      <c r="AO128" s="976">
        <f t="shared" ca="1" si="128"/>
        <v>0</v>
      </c>
      <c r="AP128" s="976">
        <f t="shared" ca="1" si="128"/>
        <v>0</v>
      </c>
      <c r="AQ128" s="976">
        <f t="shared" ca="1" si="128"/>
        <v>0</v>
      </c>
      <c r="AR128" s="976">
        <f t="shared" ref="AR128:BC128" ca="1" si="129">AR120+AR127</f>
        <v>0</v>
      </c>
      <c r="AS128" s="976">
        <f t="shared" ca="1" si="129"/>
        <v>0</v>
      </c>
      <c r="AT128" s="976">
        <f t="shared" ca="1" si="129"/>
        <v>0</v>
      </c>
      <c r="AU128" s="976">
        <f t="shared" ca="1" si="129"/>
        <v>0</v>
      </c>
      <c r="AV128" s="976">
        <f t="shared" ca="1" si="129"/>
        <v>0</v>
      </c>
      <c r="AW128" s="976">
        <f t="shared" ca="1" si="129"/>
        <v>0</v>
      </c>
      <c r="AX128" s="976">
        <f t="shared" ca="1" si="129"/>
        <v>0</v>
      </c>
      <c r="AY128" s="976">
        <f t="shared" ca="1" si="129"/>
        <v>0</v>
      </c>
      <c r="AZ128" s="976">
        <f t="shared" ca="1" si="129"/>
        <v>0</v>
      </c>
      <c r="BA128" s="976">
        <f t="shared" ca="1" si="129"/>
        <v>0</v>
      </c>
      <c r="BB128" s="976">
        <f t="shared" ca="1" si="129"/>
        <v>0</v>
      </c>
      <c r="BC128" s="976">
        <f t="shared" ca="1" si="129"/>
        <v>-2.3660032518434662</v>
      </c>
      <c r="BD128" s="976">
        <f t="shared" ca="1" si="123"/>
        <v>-2.3660032518434662</v>
      </c>
      <c r="BF128" s="990">
        <f>BF120+BF127</f>
        <v>420.41209536783174</v>
      </c>
      <c r="BG128" s="990">
        <f>BG120+BG127</f>
        <v>10.275998983078262</v>
      </c>
      <c r="BH128" s="990">
        <f t="shared" si="119"/>
        <v>430.68809435090998</v>
      </c>
      <c r="BJ128" s="515">
        <f t="shared" ca="1" si="115"/>
        <v>0</v>
      </c>
      <c r="BK128" s="515"/>
      <c r="BL128" s="24"/>
      <c r="BM128" s="1148"/>
      <c r="BN128" s="1146"/>
      <c r="BO128" s="1146"/>
      <c r="BP128" s="1146"/>
      <c r="BQ128" s="1146"/>
      <c r="BR128" s="1146"/>
      <c r="BS128" s="1146"/>
      <c r="BT128" s="1146"/>
      <c r="BU128" s="1146"/>
      <c r="BV128" s="1146"/>
      <c r="BW128" s="1146"/>
      <c r="BX128" s="1146"/>
      <c r="BY128" s="1146"/>
      <c r="BZ128" s="1146"/>
      <c r="CA128" s="1146"/>
      <c r="CB128" s="1146"/>
      <c r="CC128" s="1146"/>
      <c r="CD128" s="1146"/>
      <c r="CE128" s="1146"/>
      <c r="CF128" s="1146"/>
      <c r="CG128" s="1146"/>
      <c r="CH128" s="1146"/>
      <c r="CI128" s="1146"/>
      <c r="CJ128" s="1146"/>
      <c r="CK128" s="1146"/>
      <c r="CL128" s="1146"/>
      <c r="CM128" s="1146"/>
      <c r="CN128" s="1146"/>
      <c r="CO128" s="1146"/>
      <c r="CP128" s="1146"/>
      <c r="CQ128" s="1146"/>
      <c r="CR128" s="1146"/>
      <c r="CS128" s="1146"/>
      <c r="CT128" s="1146"/>
      <c r="CU128" s="1146"/>
      <c r="CV128" s="1146"/>
      <c r="CW128" s="1146"/>
      <c r="CX128" s="1146"/>
      <c r="CY128" s="1146"/>
      <c r="CZ128" s="1146"/>
      <c r="DA128" s="1146"/>
      <c r="DB128" s="1146"/>
      <c r="DC128" s="1146"/>
      <c r="DD128" s="1146"/>
    </row>
    <row r="129" spans="1:108" ht="6" customHeight="1">
      <c r="C129" s="516"/>
      <c r="D129" s="517"/>
      <c r="F129" s="12"/>
      <c r="G129" s="958"/>
      <c r="H129" s="958"/>
      <c r="I129" s="958"/>
      <c r="J129" s="958"/>
      <c r="K129" s="960"/>
      <c r="L129" s="958"/>
      <c r="M129" s="958"/>
      <c r="N129" s="958"/>
      <c r="O129" s="958"/>
      <c r="P129" s="958"/>
      <c r="Q129" s="958"/>
      <c r="S129" s="970"/>
      <c r="T129" s="970"/>
      <c r="U129" s="970"/>
      <c r="V129" s="970"/>
      <c r="W129" s="970"/>
      <c r="X129" s="970"/>
      <c r="Y129" s="970"/>
      <c r="Z129" s="970"/>
      <c r="AA129" s="970"/>
      <c r="AB129" s="970"/>
      <c r="AC129" s="970"/>
      <c r="AD129" s="970"/>
      <c r="AE129" s="970"/>
      <c r="AF129" s="970"/>
      <c r="AG129" s="970"/>
      <c r="AH129" s="970"/>
      <c r="AI129" s="970"/>
      <c r="AK129" s="976"/>
      <c r="AL129" s="976"/>
      <c r="AM129" s="976"/>
      <c r="AN129" s="976"/>
      <c r="AO129" s="976"/>
      <c r="AP129" s="976"/>
      <c r="AQ129" s="976"/>
      <c r="AR129" s="976"/>
      <c r="AS129" s="976"/>
      <c r="AT129" s="976"/>
      <c r="AU129" s="976"/>
      <c r="AV129" s="976"/>
      <c r="AW129" s="976"/>
      <c r="AX129" s="976"/>
      <c r="AY129" s="976"/>
      <c r="AZ129" s="976"/>
      <c r="BA129" s="976"/>
      <c r="BB129" s="976"/>
      <c r="BC129" s="976"/>
      <c r="BD129" s="976"/>
      <c r="BF129" s="990"/>
      <c r="BG129" s="990"/>
      <c r="BH129" s="990"/>
      <c r="BJ129" s="515">
        <f t="shared" si="115"/>
        <v>0</v>
      </c>
      <c r="BK129" s="515"/>
      <c r="BM129" s="1146"/>
      <c r="BN129" s="1146"/>
      <c r="BO129" s="1146"/>
      <c r="BP129" s="1146"/>
      <c r="BQ129" s="1146"/>
      <c r="BR129" s="1146"/>
      <c r="BS129" s="1146"/>
      <c r="BT129" s="1146"/>
      <c r="BU129" s="1146"/>
      <c r="BV129" s="1146"/>
      <c r="BW129" s="1146"/>
      <c r="BX129" s="1146"/>
      <c r="BY129" s="1146"/>
      <c r="BZ129" s="1146"/>
      <c r="CA129" s="1146"/>
      <c r="CB129" s="1146"/>
      <c r="CC129" s="1146"/>
      <c r="CD129" s="1146"/>
      <c r="CE129" s="1146"/>
      <c r="CF129" s="1146"/>
      <c r="CG129" s="1146"/>
      <c r="CH129" s="1146"/>
      <c r="CI129" s="1146"/>
      <c r="CJ129" s="1146"/>
      <c r="CK129" s="1146"/>
      <c r="CL129" s="1146"/>
      <c r="CM129" s="1146"/>
      <c r="CN129" s="1146"/>
      <c r="CO129" s="1146"/>
      <c r="CP129" s="1146"/>
      <c r="CQ129" s="1146"/>
      <c r="CR129" s="1146"/>
      <c r="CS129" s="1146"/>
      <c r="CT129" s="1146"/>
      <c r="CU129" s="1146"/>
      <c r="CV129" s="1146"/>
      <c r="CW129" s="1146"/>
      <c r="CX129" s="1146"/>
      <c r="CY129" s="1146"/>
      <c r="CZ129" s="1146"/>
      <c r="DA129" s="1146"/>
      <c r="DB129" s="1146"/>
      <c r="DC129" s="1146"/>
      <c r="DD129" s="1146"/>
    </row>
    <row r="130" spans="1:108" ht="15.75">
      <c r="B130" s="3"/>
      <c r="C130" s="516"/>
      <c r="D130" s="643" t="s">
        <v>249</v>
      </c>
      <c r="E130" s="644"/>
      <c r="F130" s="12"/>
      <c r="G130" s="1075">
        <f t="shared" ref="G130:P130" si="130">G$87+G$90+G$98+G$108+G$111+G$116+G$128+G$79</f>
        <v>0</v>
      </c>
      <c r="H130" s="1075">
        <f t="shared" si="130"/>
        <v>0</v>
      </c>
      <c r="I130" s="1075">
        <f t="shared" si="130"/>
        <v>4.1248585661758046</v>
      </c>
      <c r="J130" s="1075">
        <f t="shared" si="130"/>
        <v>0</v>
      </c>
      <c r="K130" s="1076">
        <f t="shared" si="130"/>
        <v>0</v>
      </c>
      <c r="L130" s="1075">
        <f t="shared" si="130"/>
        <v>0</v>
      </c>
      <c r="M130" s="1075">
        <f t="shared" si="130"/>
        <v>0</v>
      </c>
      <c r="N130" s="1075">
        <f t="shared" si="130"/>
        <v>0</v>
      </c>
      <c r="O130" s="1075">
        <f t="shared" si="130"/>
        <v>0</v>
      </c>
      <c r="P130" s="1075">
        <f t="shared" si="130"/>
        <v>0</v>
      </c>
      <c r="Q130" s="1023">
        <f>SUM(G130:P130)</f>
        <v>4.1248585661758046</v>
      </c>
      <c r="S130" s="1014">
        <f t="shared" ref="S130:AH130" si="131">S$87+S$90+S$98+S$108+S$111+S$116+S$128+S$79</f>
        <v>-12.363772340173893</v>
      </c>
      <c r="T130" s="1014">
        <f t="shared" si="131"/>
        <v>343.17050098322466</v>
      </c>
      <c r="U130" s="1014">
        <f t="shared" si="131"/>
        <v>-371.39618674674301</v>
      </c>
      <c r="V130" s="1014">
        <f t="shared" si="131"/>
        <v>875.45394032069237</v>
      </c>
      <c r="W130" s="1014">
        <f t="shared" si="131"/>
        <v>-386.59863620239355</v>
      </c>
      <c r="X130" s="1014">
        <f t="shared" si="131"/>
        <v>145.75475248250558</v>
      </c>
      <c r="Y130" s="1014">
        <f t="shared" si="131"/>
        <v>-43.749856480536437</v>
      </c>
      <c r="Z130" s="1014">
        <f t="shared" si="131"/>
        <v>834.0611502141918</v>
      </c>
      <c r="AA130" s="1014">
        <f t="shared" si="131"/>
        <v>0</v>
      </c>
      <c r="AB130" s="1014">
        <f t="shared" si="131"/>
        <v>-0.78625916423913134</v>
      </c>
      <c r="AC130" s="1014">
        <f t="shared" si="131"/>
        <v>65.656257777777782</v>
      </c>
      <c r="AD130" s="1014">
        <f t="shared" si="131"/>
        <v>0</v>
      </c>
      <c r="AE130" s="1014">
        <f t="shared" si="131"/>
        <v>9.1068651277068806</v>
      </c>
      <c r="AF130" s="1014">
        <f t="shared" si="131"/>
        <v>0</v>
      </c>
      <c r="AG130" s="1014">
        <f t="shared" si="131"/>
        <v>0</v>
      </c>
      <c r="AH130" s="1014">
        <f t="shared" si="131"/>
        <v>0</v>
      </c>
      <c r="AI130" s="1014">
        <f>SUM(S130:AH130)</f>
        <v>1458.3087559720132</v>
      </c>
      <c r="AK130" s="1015">
        <f t="shared" ref="AK130:BC130" ca="1" si="132">AK$87+AK$90+AK$98+AK$108+AK$111+AK$116+AK$128+AK$79</f>
        <v>-145.79944495555736</v>
      </c>
      <c r="AL130" s="1015">
        <f t="shared" ca="1" si="132"/>
        <v>-887.46007573003203</v>
      </c>
      <c r="AM130" s="1015">
        <f t="shared" ca="1" si="132"/>
        <v>-834.0611502141918</v>
      </c>
      <c r="AN130" s="1015">
        <f t="shared" ca="1" si="132"/>
        <v>-26.262503111111116</v>
      </c>
      <c r="AO130" s="1015">
        <f t="shared" ca="1" si="132"/>
        <v>0</v>
      </c>
      <c r="AP130" s="1015">
        <f t="shared" ca="1" si="132"/>
        <v>0</v>
      </c>
      <c r="AQ130" s="1015">
        <f t="shared" ca="1" si="132"/>
        <v>0</v>
      </c>
      <c r="AR130" s="1015">
        <f t="shared" ca="1" si="132"/>
        <v>0</v>
      </c>
      <c r="AS130" s="1015">
        <f t="shared" ca="1" si="132"/>
        <v>0</v>
      </c>
      <c r="AT130" s="1015">
        <f t="shared" ca="1" si="132"/>
        <v>-163.24447683045062</v>
      </c>
      <c r="AU130" s="1015">
        <f t="shared" ca="1" si="132"/>
        <v>0</v>
      </c>
      <c r="AV130" s="1015">
        <f t="shared" ca="1" si="132"/>
        <v>-5.2738347000000001</v>
      </c>
      <c r="AW130" s="1015">
        <f t="shared" ca="1" si="132"/>
        <v>0</v>
      </c>
      <c r="AX130" s="1015">
        <f t="shared" ca="1" si="132"/>
        <v>0</v>
      </c>
      <c r="AY130" s="1015">
        <f t="shared" ca="1" si="132"/>
        <v>0</v>
      </c>
      <c r="AZ130" s="1015">
        <f t="shared" ca="1" si="132"/>
        <v>-4.1435790100000007</v>
      </c>
      <c r="BA130" s="1015">
        <f t="shared" ca="1" si="132"/>
        <v>0</v>
      </c>
      <c r="BB130" s="1015">
        <f t="shared" ca="1" si="132"/>
        <v>-58.005772267812624</v>
      </c>
      <c r="BC130" s="1015">
        <f t="shared" ca="1" si="132"/>
        <v>-2.3660032518434662</v>
      </c>
      <c r="BD130" s="1015">
        <f ca="1">SUM(AK130:BC130)</f>
        <v>-2126.6168400709989</v>
      </c>
      <c r="BF130" s="1016">
        <f>BF$87+BF$90+BF$98+BF$108+BF$111+BF$116+BF$128+BF$79</f>
        <v>517.38700173794257</v>
      </c>
      <c r="BG130" s="1016">
        <f>BG$87+BG$90+BG$98+BG$108+BG$111+BG$116+BG$128+BG$79</f>
        <v>146.79622379486764</v>
      </c>
      <c r="BH130" s="1016">
        <f>SUM(BF130:BG130)</f>
        <v>664.18322553281018</v>
      </c>
      <c r="BJ130" s="518">
        <f t="shared" ca="1" si="115"/>
        <v>0</v>
      </c>
      <c r="BK130" s="518"/>
      <c r="BM130" s="1146"/>
      <c r="BN130" s="1146"/>
      <c r="BO130" s="1146"/>
      <c r="BP130" s="1146"/>
      <c r="BQ130" s="1146"/>
      <c r="BR130" s="1146"/>
      <c r="BS130" s="1146"/>
      <c r="BT130" s="1146"/>
      <c r="BU130" s="1146"/>
      <c r="BV130" s="1146"/>
      <c r="BW130" s="1146"/>
      <c r="BX130" s="1146"/>
      <c r="BY130" s="1146"/>
      <c r="BZ130" s="1146"/>
      <c r="CA130" s="1146"/>
      <c r="CB130" s="1146"/>
      <c r="CC130" s="1146"/>
      <c r="CD130" s="1146"/>
      <c r="CE130" s="1146"/>
      <c r="CF130" s="1146"/>
      <c r="CG130" s="1146"/>
      <c r="CH130" s="1146"/>
      <c r="CI130" s="1146"/>
      <c r="CJ130" s="1146"/>
      <c r="CK130" s="1146"/>
      <c r="CL130" s="1146"/>
      <c r="CM130" s="1146"/>
      <c r="CN130" s="1146"/>
      <c r="CO130" s="1146"/>
      <c r="CP130" s="1146"/>
      <c r="CQ130" s="1146"/>
      <c r="CR130" s="1146"/>
      <c r="CS130" s="1146"/>
      <c r="CT130" s="1146"/>
      <c r="CU130" s="1146"/>
      <c r="CV130" s="1146"/>
      <c r="CW130" s="1146"/>
      <c r="CX130" s="1146"/>
      <c r="CY130" s="1146"/>
      <c r="CZ130" s="1146"/>
      <c r="DA130" s="1146"/>
      <c r="DB130" s="1146"/>
      <c r="DC130" s="1146"/>
      <c r="DD130" s="1146"/>
    </row>
    <row r="131" spans="1:108" ht="6" customHeight="1">
      <c r="C131" s="516"/>
      <c r="D131" s="517"/>
      <c r="F131" s="12"/>
      <c r="G131" s="958"/>
      <c r="H131" s="958"/>
      <c r="I131" s="958"/>
      <c r="J131" s="958"/>
      <c r="K131" s="960"/>
      <c r="L131" s="958"/>
      <c r="M131" s="958"/>
      <c r="N131" s="958"/>
      <c r="O131" s="958"/>
      <c r="P131" s="958"/>
      <c r="Q131" s="958"/>
      <c r="S131" s="970"/>
      <c r="T131" s="970"/>
      <c r="U131" s="970"/>
      <c r="V131" s="970"/>
      <c r="W131" s="970"/>
      <c r="X131" s="970"/>
      <c r="Y131" s="970"/>
      <c r="Z131" s="970"/>
      <c r="AA131" s="970"/>
      <c r="AB131" s="970"/>
      <c r="AC131" s="970"/>
      <c r="AD131" s="970"/>
      <c r="AE131" s="970"/>
      <c r="AF131" s="970"/>
      <c r="AG131" s="970"/>
      <c r="AH131" s="970"/>
      <c r="AI131" s="970"/>
      <c r="AK131" s="976"/>
      <c r="AL131" s="976"/>
      <c r="AM131" s="976"/>
      <c r="AN131" s="976"/>
      <c r="AO131" s="976"/>
      <c r="AP131" s="976"/>
      <c r="AQ131" s="976"/>
      <c r="AR131" s="976"/>
      <c r="AS131" s="976"/>
      <c r="AT131" s="976"/>
      <c r="AU131" s="976"/>
      <c r="AV131" s="976"/>
      <c r="AW131" s="976"/>
      <c r="AX131" s="976"/>
      <c r="AY131" s="976"/>
      <c r="AZ131" s="976"/>
      <c r="BA131" s="976"/>
      <c r="BB131" s="976"/>
      <c r="BC131" s="976"/>
      <c r="BD131" s="976"/>
      <c r="BF131" s="990"/>
      <c r="BG131" s="990"/>
      <c r="BH131" s="990"/>
      <c r="BJ131" s="515">
        <f t="shared" si="115"/>
        <v>0</v>
      </c>
      <c r="BK131" s="515"/>
      <c r="BM131" s="1146"/>
      <c r="BN131" s="1146"/>
      <c r="BO131" s="1146"/>
      <c r="BP131" s="1146"/>
      <c r="BQ131" s="1146"/>
      <c r="BR131" s="1146"/>
      <c r="BS131" s="1146"/>
      <c r="BT131" s="1146"/>
      <c r="BU131" s="1146"/>
      <c r="BV131" s="1146"/>
      <c r="BW131" s="1146"/>
      <c r="BX131" s="1146"/>
      <c r="BY131" s="1146"/>
      <c r="BZ131" s="1146"/>
      <c r="CA131" s="1146"/>
      <c r="CB131" s="1146"/>
      <c r="CC131" s="1146"/>
      <c r="CD131" s="1146"/>
      <c r="CE131" s="1146"/>
      <c r="CF131" s="1146"/>
      <c r="CG131" s="1146"/>
      <c r="CH131" s="1146"/>
      <c r="CI131" s="1146"/>
      <c r="CJ131" s="1146"/>
      <c r="CK131" s="1146"/>
      <c r="CL131" s="1146"/>
      <c r="CM131" s="1146"/>
      <c r="CN131" s="1146"/>
      <c r="CO131" s="1146"/>
      <c r="CP131" s="1146"/>
      <c r="CQ131" s="1146"/>
      <c r="CR131" s="1146"/>
      <c r="CS131" s="1146"/>
      <c r="CT131" s="1146"/>
      <c r="CU131" s="1146"/>
      <c r="CV131" s="1146"/>
      <c r="CW131" s="1146"/>
      <c r="CX131" s="1146"/>
      <c r="CY131" s="1146"/>
      <c r="CZ131" s="1146"/>
      <c r="DA131" s="1146"/>
      <c r="DB131" s="1146"/>
      <c r="DC131" s="1146"/>
      <c r="DD131" s="1146"/>
    </row>
    <row r="132" spans="1:108" ht="24" customHeight="1">
      <c r="C132" s="501" t="s">
        <v>987</v>
      </c>
      <c r="D132" s="501"/>
      <c r="E132" s="639"/>
      <c r="F132" s="12"/>
      <c r="G132" s="957"/>
      <c r="H132" s="957"/>
      <c r="I132" s="957"/>
      <c r="J132" s="957"/>
      <c r="K132" s="957"/>
      <c r="L132" s="957"/>
      <c r="M132" s="957"/>
      <c r="N132" s="957"/>
      <c r="O132" s="957"/>
      <c r="P132" s="957"/>
      <c r="Q132" s="957"/>
      <c r="S132" s="973"/>
      <c r="T132" s="973"/>
      <c r="U132" s="973"/>
      <c r="V132" s="973"/>
      <c r="W132" s="973"/>
      <c r="X132" s="969"/>
      <c r="Y132" s="969"/>
      <c r="Z132" s="969"/>
      <c r="AA132" s="973"/>
      <c r="AB132" s="973"/>
      <c r="AC132" s="973"/>
      <c r="AD132" s="973"/>
      <c r="AE132" s="973"/>
      <c r="AF132" s="973"/>
      <c r="AG132" s="973"/>
      <c r="AH132" s="973"/>
      <c r="AI132" s="973"/>
      <c r="AK132" s="980"/>
      <c r="AL132" s="980"/>
      <c r="AM132" s="980"/>
      <c r="AN132" s="980"/>
      <c r="AO132" s="980"/>
      <c r="AP132" s="980"/>
      <c r="AQ132" s="980"/>
      <c r="AR132" s="980"/>
      <c r="AS132" s="980"/>
      <c r="AT132" s="980"/>
      <c r="AU132" s="975"/>
      <c r="AV132" s="975"/>
      <c r="AW132" s="975"/>
      <c r="AX132" s="975"/>
      <c r="AY132" s="975"/>
      <c r="AZ132" s="975"/>
      <c r="BA132" s="975"/>
      <c r="BB132" s="975"/>
      <c r="BC132" s="975"/>
      <c r="BD132" s="980"/>
      <c r="BF132" s="993"/>
      <c r="BG132" s="993"/>
      <c r="BH132" s="993"/>
      <c r="BJ132" s="514">
        <f t="shared" si="115"/>
        <v>0</v>
      </c>
      <c r="BK132" s="514"/>
      <c r="BM132" s="1146"/>
      <c r="BN132" s="1146"/>
      <c r="BO132" s="1146"/>
      <c r="BP132" s="1146"/>
      <c r="BQ132" s="1146"/>
      <c r="BR132" s="1146"/>
      <c r="BS132" s="1146"/>
      <c r="BT132" s="1146"/>
      <c r="BU132" s="1146"/>
      <c r="BV132" s="1146"/>
      <c r="BW132" s="1146"/>
      <c r="BX132" s="1146"/>
      <c r="BY132" s="1146"/>
      <c r="BZ132" s="1146"/>
      <c r="CA132" s="1146"/>
      <c r="CB132" s="1146"/>
      <c r="CC132" s="1146"/>
      <c r="CD132" s="1146"/>
      <c r="CE132" s="1146"/>
      <c r="CF132" s="1146"/>
      <c r="CG132" s="1146"/>
      <c r="CH132" s="1146"/>
      <c r="CI132" s="1146"/>
      <c r="CJ132" s="1146"/>
      <c r="CK132" s="1146"/>
      <c r="CL132" s="1146"/>
      <c r="CM132" s="1146"/>
      <c r="CN132" s="1146"/>
      <c r="CO132" s="1146"/>
      <c r="CP132" s="1146"/>
      <c r="CQ132" s="1146"/>
      <c r="CR132" s="1146"/>
      <c r="CS132" s="1146"/>
      <c r="CT132" s="1146"/>
      <c r="CU132" s="1146"/>
      <c r="CV132" s="1146"/>
      <c r="CW132" s="1146"/>
      <c r="CX132" s="1146"/>
      <c r="CY132" s="1146"/>
      <c r="CZ132" s="1146"/>
      <c r="DA132" s="1146"/>
      <c r="DB132" s="1146"/>
      <c r="DC132" s="1146"/>
      <c r="DD132" s="1146"/>
    </row>
    <row r="133" spans="1:108" ht="6" customHeight="1">
      <c r="C133" s="520"/>
      <c r="D133" s="38"/>
      <c r="F133" s="12"/>
      <c r="G133" s="958"/>
      <c r="H133" s="958"/>
      <c r="I133" s="958"/>
      <c r="J133" s="958"/>
      <c r="K133" s="960"/>
      <c r="L133" s="958"/>
      <c r="M133" s="958"/>
      <c r="N133" s="958"/>
      <c r="O133" s="958"/>
      <c r="P133" s="958"/>
      <c r="Q133" s="958"/>
      <c r="S133" s="970"/>
      <c r="T133" s="970"/>
      <c r="U133" s="970"/>
      <c r="V133" s="970"/>
      <c r="W133" s="970"/>
      <c r="X133" s="970"/>
      <c r="Y133" s="970"/>
      <c r="Z133" s="970"/>
      <c r="AA133" s="970"/>
      <c r="AB133" s="970"/>
      <c r="AC133" s="970"/>
      <c r="AD133" s="970"/>
      <c r="AE133" s="970"/>
      <c r="AF133" s="970"/>
      <c r="AG133" s="970"/>
      <c r="AH133" s="970"/>
      <c r="AI133" s="970"/>
      <c r="AK133" s="976"/>
      <c r="AL133" s="976"/>
      <c r="AM133" s="976"/>
      <c r="AN133" s="976"/>
      <c r="AO133" s="976"/>
      <c r="AP133" s="976"/>
      <c r="AQ133" s="976"/>
      <c r="AR133" s="976"/>
      <c r="AS133" s="976"/>
      <c r="AT133" s="976"/>
      <c r="AU133" s="976"/>
      <c r="AV133" s="976"/>
      <c r="AW133" s="976"/>
      <c r="AX133" s="976"/>
      <c r="AY133" s="976"/>
      <c r="AZ133" s="976"/>
      <c r="BA133" s="976"/>
      <c r="BB133" s="976"/>
      <c r="BC133" s="976"/>
      <c r="BD133" s="976"/>
      <c r="BF133" s="990"/>
      <c r="BG133" s="990"/>
      <c r="BH133" s="990"/>
      <c r="BJ133" s="515">
        <f t="shared" si="115"/>
        <v>0</v>
      </c>
      <c r="BK133" s="515"/>
      <c r="BM133" s="1146"/>
      <c r="BN133" s="1146"/>
      <c r="BO133" s="1146"/>
      <c r="BP133" s="1146"/>
      <c r="BQ133" s="1146"/>
      <c r="BR133" s="1146"/>
      <c r="BS133" s="1146"/>
      <c r="BT133" s="1146"/>
      <c r="BU133" s="1146"/>
      <c r="BV133" s="1146"/>
      <c r="BW133" s="1146"/>
      <c r="BX133" s="1146"/>
      <c r="BY133" s="1146"/>
      <c r="BZ133" s="1146"/>
      <c r="CA133" s="1146"/>
      <c r="CB133" s="1146"/>
      <c r="CC133" s="1146"/>
      <c r="CD133" s="1146"/>
      <c r="CE133" s="1146"/>
      <c r="CF133" s="1146"/>
      <c r="CG133" s="1146"/>
      <c r="CH133" s="1146"/>
      <c r="CI133" s="1146"/>
      <c r="CJ133" s="1146"/>
      <c r="CK133" s="1146"/>
      <c r="CL133" s="1146"/>
      <c r="CM133" s="1146"/>
      <c r="CN133" s="1146"/>
      <c r="CO133" s="1146"/>
      <c r="CP133" s="1146"/>
      <c r="CQ133" s="1146"/>
      <c r="CR133" s="1146"/>
      <c r="CS133" s="1146"/>
      <c r="CT133" s="1146"/>
      <c r="CU133" s="1146"/>
      <c r="CV133" s="1146"/>
      <c r="CW133" s="1146"/>
      <c r="CX133" s="1146"/>
      <c r="CY133" s="1146"/>
      <c r="CZ133" s="1146"/>
      <c r="DA133" s="1146"/>
      <c r="DB133" s="1146"/>
      <c r="DC133" s="1146"/>
      <c r="DD133" s="1146"/>
    </row>
    <row r="134" spans="1:108" hidden="1" outlineLevel="1">
      <c r="A134" s="849"/>
      <c r="B134" s="849"/>
      <c r="C134" s="850"/>
      <c r="D134" s="851"/>
      <c r="E134" s="851"/>
      <c r="F134" s="12"/>
      <c r="G134" s="961"/>
      <c r="H134" s="961"/>
      <c r="I134" s="961"/>
      <c r="J134" s="961"/>
      <c r="K134" s="962"/>
      <c r="L134" s="961"/>
      <c r="M134" s="961"/>
      <c r="N134" s="961"/>
      <c r="O134" s="961"/>
      <c r="P134" s="961"/>
      <c r="Q134" s="961"/>
      <c r="S134" s="971"/>
      <c r="T134" s="971"/>
      <c r="U134" s="971"/>
      <c r="V134" s="971"/>
      <c r="W134" s="971"/>
      <c r="X134" s="971"/>
      <c r="Y134" s="971"/>
      <c r="Z134" s="971"/>
      <c r="AA134" s="971"/>
      <c r="AB134" s="971"/>
      <c r="AC134" s="971"/>
      <c r="AD134" s="971"/>
      <c r="AE134" s="971"/>
      <c r="AF134" s="971"/>
      <c r="AG134" s="971"/>
      <c r="AH134" s="971"/>
      <c r="AI134" s="971"/>
      <c r="AK134" s="978"/>
      <c r="AL134" s="978"/>
      <c r="AM134" s="978"/>
      <c r="AN134" s="978"/>
      <c r="AO134" s="978"/>
      <c r="AP134" s="978"/>
      <c r="AQ134" s="978"/>
      <c r="AR134" s="978"/>
      <c r="AS134" s="978"/>
      <c r="AT134" s="978"/>
      <c r="AU134" s="978"/>
      <c r="AV134" s="978"/>
      <c r="AW134" s="978"/>
      <c r="AX134" s="978"/>
      <c r="AY134" s="978"/>
      <c r="AZ134" s="978"/>
      <c r="BA134" s="978"/>
      <c r="BB134" s="978"/>
      <c r="BC134" s="978"/>
      <c r="BD134" s="978"/>
      <c r="BF134" s="991"/>
      <c r="BG134" s="991"/>
      <c r="BH134" s="991"/>
      <c r="BJ134" s="852"/>
      <c r="BK134" s="852"/>
      <c r="BL134" s="849"/>
      <c r="BM134" s="1149"/>
      <c r="BN134" s="1146"/>
      <c r="BO134" s="1146"/>
      <c r="BP134" s="1146"/>
      <c r="BQ134" s="1146"/>
      <c r="BR134" s="1146"/>
      <c r="BS134" s="1146"/>
      <c r="BT134" s="1146"/>
      <c r="BU134" s="1146"/>
      <c r="BV134" s="1146"/>
      <c r="BW134" s="1146"/>
      <c r="BX134" s="1146"/>
      <c r="BY134" s="1146"/>
      <c r="BZ134" s="1146"/>
      <c r="CA134" s="1146"/>
      <c r="CB134" s="1146"/>
      <c r="CC134" s="1146"/>
      <c r="CD134" s="1146"/>
      <c r="CE134" s="1146"/>
      <c r="CF134" s="1146"/>
      <c r="CG134" s="1146"/>
      <c r="CH134" s="1146"/>
      <c r="CI134" s="1146"/>
      <c r="CJ134" s="1146"/>
      <c r="CK134" s="1146"/>
      <c r="CL134" s="1146"/>
      <c r="CM134" s="1146"/>
      <c r="CN134" s="1146"/>
      <c r="CO134" s="1146"/>
      <c r="CP134" s="1146"/>
      <c r="CQ134" s="1146"/>
      <c r="CR134" s="1146"/>
      <c r="CS134" s="1146"/>
      <c r="CT134" s="1146"/>
      <c r="CU134" s="1146"/>
      <c r="CV134" s="1146"/>
      <c r="CW134" s="1146"/>
      <c r="CX134" s="1146"/>
      <c r="CY134" s="1146"/>
      <c r="CZ134" s="1146"/>
      <c r="DA134" s="1146"/>
      <c r="DB134" s="1146"/>
      <c r="DC134" s="1146"/>
      <c r="DD134" s="1146"/>
    </row>
    <row r="135" spans="1:108" s="715" customFormat="1" hidden="1" outlineLevel="1">
      <c r="C135" s="522" t="s">
        <v>774</v>
      </c>
      <c r="D135" s="521" t="str">
        <f>INDEX(Modules[Module], MATCH($C135, Modules[Code], 0))</f>
        <v>Electricity imports / exports</v>
      </c>
      <c r="E135" s="521"/>
      <c r="F135" s="12" t="s">
        <v>1219</v>
      </c>
      <c r="G135" s="1017"/>
      <c r="H135" s="1017"/>
      <c r="I135" s="1017"/>
      <c r="J135" s="1017"/>
      <c r="K135" s="1017"/>
      <c r="L135" s="1017"/>
      <c r="M135" s="1017"/>
      <c r="N135" s="1017"/>
      <c r="O135" s="1017"/>
      <c r="P135" s="1017"/>
      <c r="Q135" s="1019">
        <f>SUM(G135:P135)</f>
        <v>0</v>
      </c>
      <c r="R135" s="121"/>
      <c r="S135" s="1026"/>
      <c r="T135" s="1026">
        <f>('DUKES 09 (5.1)'!$K$9+'DUKES 09 (5.1)'!$K$10)*Unit.GWh</f>
        <v>5.2145242500000002</v>
      </c>
      <c r="U135" s="1026"/>
      <c r="V135" s="1026"/>
      <c r="W135" s="1026"/>
      <c r="X135" s="1026"/>
      <c r="Y135" s="1026"/>
      <c r="Z135" s="1026"/>
      <c r="AA135" s="1026"/>
      <c r="AB135" s="1026"/>
      <c r="AC135" s="1026"/>
      <c r="AD135" s="1026"/>
      <c r="AE135" s="1026"/>
      <c r="AF135" s="1026"/>
      <c r="AG135" s="1026"/>
      <c r="AH135" s="1026"/>
      <c r="AI135" s="1027">
        <f>SUM(S135:AH135)</f>
        <v>5.2145242500000002</v>
      </c>
      <c r="AJ135" s="121"/>
      <c r="AK135" s="1038"/>
      <c r="AL135" s="1038"/>
      <c r="AM135" s="1038"/>
      <c r="AN135" s="1038"/>
      <c r="AO135" s="1038">
        <f>-('DUKES 09 (5.1)'!$K$9+'DUKES 09 (5.1)'!$K$10)*Unit.GWh</f>
        <v>-5.2145242500000002</v>
      </c>
      <c r="AP135" s="1038"/>
      <c r="AQ135" s="1038"/>
      <c r="AR135" s="1038"/>
      <c r="AS135" s="1038"/>
      <c r="AT135" s="1038"/>
      <c r="AU135" s="1038"/>
      <c r="AV135" s="1038"/>
      <c r="AW135" s="1038"/>
      <c r="AX135" s="1038"/>
      <c r="AY135" s="1038"/>
      <c r="AZ135" s="1038"/>
      <c r="BA135" s="1038"/>
      <c r="BB135" s="1038"/>
      <c r="BC135" s="1038"/>
      <c r="BD135" s="979">
        <f>SUM(AK135:BC135)</f>
        <v>-5.2145242500000002</v>
      </c>
      <c r="BE135" s="121"/>
      <c r="BF135" s="1032"/>
      <c r="BG135" s="1032"/>
      <c r="BH135" s="1034">
        <f>SUM(BF135:BG135)</f>
        <v>0</v>
      </c>
      <c r="BI135" s="121"/>
      <c r="BJ135" s="814">
        <f>Q135+AI135+BD135+BH135</f>
        <v>0</v>
      </c>
      <c r="BK135" s="814"/>
      <c r="BM135" s="1147"/>
      <c r="BN135" s="1147"/>
      <c r="BO135" s="1147"/>
      <c r="BP135" s="1147"/>
      <c r="BQ135" s="1147"/>
      <c r="BR135" s="1147"/>
      <c r="BS135" s="1147"/>
      <c r="BT135" s="1147"/>
      <c r="BU135" s="1147"/>
      <c r="BV135" s="1147"/>
      <c r="BW135" s="1147"/>
      <c r="BX135" s="1147"/>
      <c r="BY135" s="1147"/>
      <c r="BZ135" s="1147"/>
      <c r="CA135" s="1147"/>
      <c r="CB135" s="1147"/>
      <c r="CC135" s="1147"/>
      <c r="CD135" s="1147"/>
      <c r="CE135" s="1147"/>
      <c r="CF135" s="1147"/>
      <c r="CG135" s="1147"/>
      <c r="CH135" s="1147"/>
      <c r="CI135" s="1147"/>
      <c r="CJ135" s="1147"/>
      <c r="CK135" s="1147"/>
      <c r="CL135" s="1147"/>
      <c r="CM135" s="1147"/>
      <c r="CN135" s="1147"/>
      <c r="CO135" s="1147"/>
      <c r="CP135" s="1147"/>
      <c r="CQ135" s="1147"/>
      <c r="CR135" s="1147"/>
      <c r="CS135" s="1147"/>
      <c r="CT135" s="1147"/>
      <c r="CU135" s="1147"/>
      <c r="CV135" s="1147"/>
      <c r="CW135" s="1147"/>
      <c r="CX135" s="1147"/>
      <c r="CY135" s="1147"/>
      <c r="CZ135" s="1147"/>
      <c r="DA135" s="1147"/>
      <c r="DB135" s="1147"/>
      <c r="DC135" s="1147"/>
      <c r="DD135" s="1147"/>
    </row>
    <row r="136" spans="1:108" s="849" customFormat="1" ht="12.75" hidden="1" customHeight="1" outlineLevel="1">
      <c r="C136" s="1048"/>
      <c r="D136" s="1049" t="s">
        <v>986</v>
      </c>
      <c r="E136" s="1049"/>
      <c r="F136" s="12"/>
      <c r="G136" s="1070"/>
      <c r="H136" s="1070"/>
      <c r="I136" s="1070"/>
      <c r="J136" s="1070"/>
      <c r="K136" s="1071"/>
      <c r="L136" s="1070"/>
      <c r="M136" s="1070"/>
      <c r="N136" s="1070"/>
      <c r="O136" s="1070"/>
      <c r="P136" s="1070"/>
      <c r="Q136" s="1070"/>
      <c r="R136" s="121"/>
      <c r="S136" s="1072"/>
      <c r="T136" s="1072"/>
      <c r="U136" s="1072"/>
      <c r="V136" s="1072"/>
      <c r="W136" s="1072"/>
      <c r="X136" s="1072"/>
      <c r="Y136" s="1072"/>
      <c r="Z136" s="1072"/>
      <c r="AA136" s="1072"/>
      <c r="AB136" s="1072"/>
      <c r="AC136" s="1072"/>
      <c r="AD136" s="1072"/>
      <c r="AE136" s="1072"/>
      <c r="AF136" s="1072"/>
      <c r="AG136" s="1072"/>
      <c r="AH136" s="1072"/>
      <c r="AI136" s="1072"/>
      <c r="AJ136" s="121"/>
      <c r="AK136" s="1073"/>
      <c r="AL136" s="1073"/>
      <c r="AM136" s="1073"/>
      <c r="AN136" s="1073"/>
      <c r="AO136" s="1073"/>
      <c r="AP136" s="1073"/>
      <c r="AQ136" s="1073"/>
      <c r="AR136" s="1073"/>
      <c r="AS136" s="1073"/>
      <c r="AT136" s="1073"/>
      <c r="AU136" s="1073"/>
      <c r="AV136" s="1073"/>
      <c r="AW136" s="1073"/>
      <c r="AX136" s="1073"/>
      <c r="AY136" s="1073"/>
      <c r="AZ136" s="1073"/>
      <c r="BA136" s="1073"/>
      <c r="BB136" s="1073"/>
      <c r="BC136" s="1073"/>
      <c r="BD136" s="1073">
        <f>SUM(AK136:BC136)</f>
        <v>0</v>
      </c>
      <c r="BE136" s="121"/>
      <c r="BF136" s="1074"/>
      <c r="BG136" s="1074"/>
      <c r="BH136" s="1074">
        <f>SUM(BF136:BG136)</f>
        <v>0</v>
      </c>
      <c r="BI136" s="121"/>
      <c r="BJ136" s="852">
        <f>Q136+AI136+BD136+BH136</f>
        <v>0</v>
      </c>
      <c r="BK136" s="852"/>
      <c r="BM136" s="1149"/>
      <c r="BN136" s="1149"/>
      <c r="BO136" s="1149"/>
      <c r="BP136" s="1149"/>
      <c r="BQ136" s="1149"/>
      <c r="BR136" s="1149"/>
      <c r="BS136" s="1149"/>
      <c r="BT136" s="1149"/>
      <c r="BU136" s="1149"/>
      <c r="BV136" s="1149"/>
      <c r="BW136" s="1149"/>
      <c r="BX136" s="1149"/>
      <c r="BY136" s="1149"/>
      <c r="BZ136" s="1149"/>
      <c r="CA136" s="1149"/>
      <c r="CB136" s="1149"/>
      <c r="CC136" s="1149"/>
      <c r="CD136" s="1149"/>
      <c r="CE136" s="1149"/>
      <c r="CF136" s="1149"/>
      <c r="CG136" s="1149"/>
      <c r="CH136" s="1149"/>
      <c r="CI136" s="1149"/>
      <c r="CJ136" s="1149"/>
      <c r="CK136" s="1149"/>
      <c r="CL136" s="1149"/>
      <c r="CM136" s="1149"/>
      <c r="CN136" s="1149"/>
      <c r="CO136" s="1149"/>
      <c r="CP136" s="1149"/>
      <c r="CQ136" s="1149"/>
      <c r="CR136" s="1149"/>
      <c r="CS136" s="1149"/>
      <c r="CT136" s="1149"/>
      <c r="CU136" s="1149"/>
      <c r="CV136" s="1149"/>
      <c r="CW136" s="1149"/>
      <c r="CX136" s="1149"/>
      <c r="CY136" s="1149"/>
      <c r="CZ136" s="1149"/>
      <c r="DA136" s="1149"/>
      <c r="DB136" s="1149"/>
      <c r="DC136" s="1149"/>
      <c r="DD136" s="1149"/>
    </row>
    <row r="137" spans="1:108" s="715" customFormat="1" hidden="1" outlineLevel="1">
      <c r="C137" s="522" t="s">
        <v>784</v>
      </c>
      <c r="D137" s="521" t="str">
        <f>INDEX(Modules[Module], MATCH($C137, Modules[Code], 0))</f>
        <v>Electricity grid distribution</v>
      </c>
      <c r="E137" s="521"/>
      <c r="F137" s="12" t="s">
        <v>1221</v>
      </c>
      <c r="G137" s="1017"/>
      <c r="H137" s="1017"/>
      <c r="I137" s="1017"/>
      <c r="J137" s="1017"/>
      <c r="K137" s="1017"/>
      <c r="L137" s="1017"/>
      <c r="M137" s="1017"/>
      <c r="N137" s="1017"/>
      <c r="O137" s="1017"/>
      <c r="P137" s="1017"/>
      <c r="Q137" s="1019">
        <f>SUM(G137:P137)</f>
        <v>0</v>
      </c>
      <c r="R137" s="121"/>
      <c r="S137" s="1026"/>
      <c r="T137" s="1026">
        <f>-'DUKES 09 (1.2)'!$I$35*Unit.ktoe</f>
        <v>-26.469290502553953</v>
      </c>
      <c r="U137" s="1026"/>
      <c r="V137" s="1026"/>
      <c r="W137" s="1026"/>
      <c r="X137" s="1026"/>
      <c r="Y137" s="1026"/>
      <c r="Z137" s="1026"/>
      <c r="AA137" s="1026"/>
      <c r="AB137" s="1026"/>
      <c r="AC137" s="1026"/>
      <c r="AD137" s="1026"/>
      <c r="AE137" s="1026"/>
      <c r="AF137" s="1026"/>
      <c r="AG137" s="1026"/>
      <c r="AH137" s="1026"/>
      <c r="AI137" s="1027">
        <f>SUM(S137:AH137)</f>
        <v>-26.469290502553953</v>
      </c>
      <c r="AJ137" s="121"/>
      <c r="AK137" s="1038"/>
      <c r="AL137" s="1038"/>
      <c r="AM137" s="1038"/>
      <c r="AN137" s="1038"/>
      <c r="AO137" s="1038"/>
      <c r="AP137" s="1038"/>
      <c r="AQ137" s="1038"/>
      <c r="AR137" s="1038"/>
      <c r="AS137" s="1038"/>
      <c r="AT137" s="1038"/>
      <c r="AU137" s="1038"/>
      <c r="AV137" s="1038"/>
      <c r="AW137" s="1038"/>
      <c r="AX137" s="1038"/>
      <c r="AY137" s="1038"/>
      <c r="AZ137" s="1038"/>
      <c r="BA137" s="1038"/>
      <c r="BB137" s="1038"/>
      <c r="BC137" s="1038"/>
      <c r="BD137" s="979">
        <f>SUM(AK137:BC137)</f>
        <v>0</v>
      </c>
      <c r="BE137" s="121"/>
      <c r="BF137" s="1032"/>
      <c r="BG137" s="1032">
        <f>'DUKES 09 (1.2)'!$I$35*Unit.ktoe</f>
        <v>26.469290502553953</v>
      </c>
      <c r="BH137" s="1034">
        <f>SUM(BF137:BG137)</f>
        <v>26.469290502553953</v>
      </c>
      <c r="BI137" s="121"/>
      <c r="BJ137" s="852">
        <f>Q137+AI137+BD137+BH137</f>
        <v>0</v>
      </c>
      <c r="BK137" s="814"/>
      <c r="BM137" s="1147"/>
      <c r="BN137" s="1147"/>
      <c r="BO137" s="1147"/>
      <c r="BP137" s="1147"/>
      <c r="BQ137" s="1147"/>
      <c r="BR137" s="1147"/>
      <c r="BS137" s="1147"/>
      <c r="BT137" s="1147"/>
      <c r="BU137" s="1147"/>
      <c r="BV137" s="1147"/>
      <c r="BW137" s="1147"/>
      <c r="BX137" s="1147"/>
      <c r="BY137" s="1147"/>
      <c r="BZ137" s="1147"/>
      <c r="CA137" s="1147"/>
      <c r="CB137" s="1147"/>
      <c r="CC137" s="1147"/>
      <c r="CD137" s="1147"/>
      <c r="CE137" s="1147"/>
      <c r="CF137" s="1147"/>
      <c r="CG137" s="1147"/>
      <c r="CH137" s="1147"/>
      <c r="CI137" s="1147"/>
      <c r="CJ137" s="1147"/>
      <c r="CK137" s="1147"/>
      <c r="CL137" s="1147"/>
      <c r="CM137" s="1147"/>
      <c r="CN137" s="1147"/>
      <c r="CO137" s="1147"/>
      <c r="CP137" s="1147"/>
      <c r="CQ137" s="1147"/>
      <c r="CR137" s="1147"/>
      <c r="CS137" s="1147"/>
      <c r="CT137" s="1147"/>
      <c r="CU137" s="1147"/>
      <c r="CV137" s="1147"/>
      <c r="CW137" s="1147"/>
      <c r="CX137" s="1147"/>
      <c r="CY137" s="1147"/>
      <c r="CZ137" s="1147"/>
      <c r="DA137" s="1147"/>
      <c r="DB137" s="1147"/>
      <c r="DC137" s="1147"/>
      <c r="DD137" s="1147"/>
    </row>
    <row r="138" spans="1:108" s="715" customFormat="1" hidden="1" outlineLevel="1">
      <c r="C138" s="522" t="s">
        <v>796</v>
      </c>
      <c r="D138" s="1010" t="str">
        <f>INDEX(Modules[Module], MATCH($C138, Modules[Code], 0))</f>
        <v>Storage, demand shifting, backup</v>
      </c>
      <c r="E138" s="1010"/>
      <c r="F138" s="12" t="s">
        <v>1220</v>
      </c>
      <c r="G138" s="1022"/>
      <c r="H138" s="1022"/>
      <c r="I138" s="1022"/>
      <c r="J138" s="1022"/>
      <c r="K138" s="1022"/>
      <c r="L138" s="1022"/>
      <c r="M138" s="1022"/>
      <c r="N138" s="1022"/>
      <c r="O138" s="1022"/>
      <c r="P138" s="1022"/>
      <c r="Q138" s="1020">
        <f>SUM(G138:P138)</f>
        <v>0</v>
      </c>
      <c r="R138" s="121"/>
      <c r="S138" s="1031"/>
      <c r="T138" s="1031">
        <f>('DUKES 09 (5.6)'!$K$248-'DUKES 09 (5.6)'!$M$249)*Unit.GWh</f>
        <v>-1.2254999999999996</v>
      </c>
      <c r="U138" s="1031"/>
      <c r="V138" s="1031"/>
      <c r="W138" s="1031"/>
      <c r="X138" s="1031"/>
      <c r="Y138" s="1031"/>
      <c r="Z138" s="1031"/>
      <c r="AA138" s="1031"/>
      <c r="AB138" s="1031"/>
      <c r="AC138" s="1031"/>
      <c r="AD138" s="1031"/>
      <c r="AE138" s="1031"/>
      <c r="AF138" s="1031"/>
      <c r="AG138" s="1031"/>
      <c r="AH138" s="1031"/>
      <c r="AI138" s="1030">
        <f>SUM(S138:AH138)</f>
        <v>-1.2254999999999996</v>
      </c>
      <c r="AJ138" s="121"/>
      <c r="AK138" s="1042"/>
      <c r="AL138" s="1042"/>
      <c r="AM138" s="1042"/>
      <c r="AN138" s="1042"/>
      <c r="AO138" s="1042"/>
      <c r="AP138" s="1042"/>
      <c r="AQ138" s="1042"/>
      <c r="AR138" s="1042"/>
      <c r="AS138" s="1042"/>
      <c r="AT138" s="1042"/>
      <c r="AU138" s="1042"/>
      <c r="AV138" s="1042"/>
      <c r="AW138" s="1042"/>
      <c r="AX138" s="1042"/>
      <c r="AY138" s="1042"/>
      <c r="AZ138" s="1042"/>
      <c r="BA138" s="1042"/>
      <c r="BB138" s="1042"/>
      <c r="BC138" s="1042"/>
      <c r="BD138" s="1012">
        <f>SUM(AK138:BC138)</f>
        <v>0</v>
      </c>
      <c r="BE138" s="121"/>
      <c r="BF138" s="1036">
        <f>('DUKES 09 (5.6)'!$M$249-'DUKES 09 (5.6)'!$K$245)*Unit.GWh</f>
        <v>1.2120398189999997</v>
      </c>
      <c r="BG138" s="1036">
        <f>'DUKES 09 (5.6)'!$K$247*Unit.GWh</f>
        <v>1.346018099999992E-2</v>
      </c>
      <c r="BH138" s="1035">
        <f>SUM(BF138:BG138)</f>
        <v>1.2254999999999996</v>
      </c>
      <c r="BI138" s="121"/>
      <c r="BJ138" s="852">
        <f>Q138+AI138+BD138+BH138</f>
        <v>0</v>
      </c>
      <c r="BK138" s="814"/>
      <c r="BM138" s="1147"/>
      <c r="BN138" s="1147"/>
      <c r="BO138" s="1147"/>
      <c r="BP138" s="1147"/>
      <c r="BQ138" s="1147"/>
      <c r="BR138" s="1147"/>
      <c r="BS138" s="1147"/>
      <c r="BT138" s="1147"/>
      <c r="BU138" s="1147"/>
      <c r="BV138" s="1147"/>
      <c r="BW138" s="1147"/>
      <c r="BX138" s="1147"/>
      <c r="BY138" s="1147"/>
      <c r="BZ138" s="1147"/>
      <c r="CA138" s="1147"/>
      <c r="CB138" s="1147"/>
      <c r="CC138" s="1147"/>
      <c r="CD138" s="1147"/>
      <c r="CE138" s="1147"/>
      <c r="CF138" s="1147"/>
      <c r="CG138" s="1147"/>
      <c r="CH138" s="1147"/>
      <c r="CI138" s="1147"/>
      <c r="CJ138" s="1147"/>
      <c r="CK138" s="1147"/>
      <c r="CL138" s="1147"/>
      <c r="CM138" s="1147"/>
      <c r="CN138" s="1147"/>
      <c r="CO138" s="1147"/>
      <c r="CP138" s="1147"/>
      <c r="CQ138" s="1147"/>
      <c r="CR138" s="1147"/>
      <c r="CS138" s="1147"/>
      <c r="CT138" s="1147"/>
      <c r="CU138" s="1147"/>
      <c r="CV138" s="1147"/>
      <c r="CW138" s="1147"/>
      <c r="CX138" s="1147"/>
      <c r="CY138" s="1147"/>
      <c r="CZ138" s="1147"/>
      <c r="DA138" s="1147"/>
      <c r="DB138" s="1147"/>
      <c r="DC138" s="1147"/>
      <c r="DD138" s="1147"/>
    </row>
    <row r="139" spans="1:108" s="24" customFormat="1" ht="12.75" customHeight="1" collapsed="1">
      <c r="B139" s="3"/>
      <c r="C139" s="744" t="s">
        <v>673</v>
      </c>
      <c r="D139" s="517" t="str">
        <f>INDEX(Workstreams[Workstream], MATCH($C139, Workstreams[Code], 0))</f>
        <v>Electricity distribution, storage, and balancing</v>
      </c>
      <c r="E139" s="512"/>
      <c r="F139" s="12"/>
      <c r="G139" s="958">
        <f t="shared" ref="G139:P139" si="133">G$135+G$137+G$138</f>
        <v>0</v>
      </c>
      <c r="H139" s="958">
        <f t="shared" si="133"/>
        <v>0</v>
      </c>
      <c r="I139" s="958">
        <f t="shared" si="133"/>
        <v>0</v>
      </c>
      <c r="J139" s="958">
        <f t="shared" si="133"/>
        <v>0</v>
      </c>
      <c r="K139" s="960">
        <f t="shared" si="133"/>
        <v>0</v>
      </c>
      <c r="L139" s="958">
        <f t="shared" si="133"/>
        <v>0</v>
      </c>
      <c r="M139" s="958">
        <f t="shared" si="133"/>
        <v>0</v>
      </c>
      <c r="N139" s="958">
        <f t="shared" si="133"/>
        <v>0</v>
      </c>
      <c r="O139" s="958">
        <f t="shared" si="133"/>
        <v>0</v>
      </c>
      <c r="P139" s="958">
        <f t="shared" si="133"/>
        <v>0</v>
      </c>
      <c r="Q139" s="1021">
        <f>SUM(G139:P139)</f>
        <v>0</v>
      </c>
      <c r="R139" s="121"/>
      <c r="S139" s="970">
        <f t="shared" ref="S139:AH139" si="134">S$135+S$137+S$138</f>
        <v>0</v>
      </c>
      <c r="T139" s="970">
        <f t="shared" si="134"/>
        <v>-22.480266252553953</v>
      </c>
      <c r="U139" s="970">
        <f t="shared" si="134"/>
        <v>0</v>
      </c>
      <c r="V139" s="970">
        <f t="shared" si="134"/>
        <v>0</v>
      </c>
      <c r="W139" s="970">
        <f t="shared" si="134"/>
        <v>0</v>
      </c>
      <c r="X139" s="970">
        <f>X$135+X$137+X$138</f>
        <v>0</v>
      </c>
      <c r="Y139" s="970">
        <f>Y$135+Y$137+Y$138</f>
        <v>0</v>
      </c>
      <c r="Z139" s="970">
        <f>Z$135+Z$137+Z$138</f>
        <v>0</v>
      </c>
      <c r="AA139" s="970">
        <f t="shared" si="134"/>
        <v>0</v>
      </c>
      <c r="AB139" s="970">
        <f t="shared" si="134"/>
        <v>0</v>
      </c>
      <c r="AC139" s="970">
        <f t="shared" si="134"/>
        <v>0</v>
      </c>
      <c r="AD139" s="970">
        <f t="shared" si="134"/>
        <v>0</v>
      </c>
      <c r="AE139" s="970">
        <f t="shared" si="134"/>
        <v>0</v>
      </c>
      <c r="AF139" s="970">
        <f t="shared" si="134"/>
        <v>0</v>
      </c>
      <c r="AG139" s="970">
        <f t="shared" si="134"/>
        <v>0</v>
      </c>
      <c r="AH139" s="970">
        <f t="shared" si="134"/>
        <v>0</v>
      </c>
      <c r="AI139" s="970">
        <f>SUM(S139:AH139)</f>
        <v>-22.480266252553953</v>
      </c>
      <c r="AJ139" s="121"/>
      <c r="AK139" s="976">
        <f t="shared" ref="AK139:BC139" si="135">AK$135+AK$137+AK$138</f>
        <v>0</v>
      </c>
      <c r="AL139" s="976">
        <f t="shared" si="135"/>
        <v>0</v>
      </c>
      <c r="AM139" s="976">
        <f t="shared" si="135"/>
        <v>0</v>
      </c>
      <c r="AN139" s="976">
        <f t="shared" si="135"/>
        <v>0</v>
      </c>
      <c r="AO139" s="976">
        <f t="shared" si="135"/>
        <v>-5.2145242500000002</v>
      </c>
      <c r="AP139" s="976">
        <f t="shared" si="135"/>
        <v>0</v>
      </c>
      <c r="AQ139" s="976">
        <f t="shared" si="135"/>
        <v>0</v>
      </c>
      <c r="AR139" s="976">
        <f t="shared" si="135"/>
        <v>0</v>
      </c>
      <c r="AS139" s="976">
        <f t="shared" si="135"/>
        <v>0</v>
      </c>
      <c r="AT139" s="976">
        <f t="shared" si="135"/>
        <v>0</v>
      </c>
      <c r="AU139" s="976">
        <f t="shared" si="135"/>
        <v>0</v>
      </c>
      <c r="AV139" s="976">
        <f t="shared" si="135"/>
        <v>0</v>
      </c>
      <c r="AW139" s="976">
        <f t="shared" si="135"/>
        <v>0</v>
      </c>
      <c r="AX139" s="976">
        <f t="shared" si="135"/>
        <v>0</v>
      </c>
      <c r="AY139" s="976">
        <f t="shared" si="135"/>
        <v>0</v>
      </c>
      <c r="AZ139" s="976">
        <f t="shared" si="135"/>
        <v>0</v>
      </c>
      <c r="BA139" s="976">
        <f t="shared" si="135"/>
        <v>0</v>
      </c>
      <c r="BB139" s="976">
        <f t="shared" si="135"/>
        <v>0</v>
      </c>
      <c r="BC139" s="976">
        <f t="shared" si="135"/>
        <v>0</v>
      </c>
      <c r="BD139" s="976">
        <f>SUM(AK139:BC139)</f>
        <v>-5.2145242500000002</v>
      </c>
      <c r="BE139" s="121"/>
      <c r="BF139" s="990">
        <f>BF$135+BF$137+BF$138</f>
        <v>1.2120398189999997</v>
      </c>
      <c r="BG139" s="990">
        <f>BG$135+BG$137+BG$138</f>
        <v>26.482750683553952</v>
      </c>
      <c r="BH139" s="990">
        <f>SUM(BF139:BG139)</f>
        <v>27.694790502553953</v>
      </c>
      <c r="BI139" s="121"/>
      <c r="BJ139" s="515">
        <f>Q139+AI139+BD139+BH139</f>
        <v>0</v>
      </c>
      <c r="BK139" s="515"/>
      <c r="BM139" s="1148"/>
      <c r="BN139" s="1148"/>
      <c r="BO139" s="1148"/>
      <c r="BP139" s="1148"/>
      <c r="BQ139" s="1148"/>
      <c r="BR139" s="1148"/>
      <c r="BS139" s="1148"/>
      <c r="BT139" s="1148"/>
      <c r="BU139" s="1148"/>
      <c r="BV139" s="1148"/>
      <c r="BW139" s="1148"/>
      <c r="BX139" s="1148"/>
      <c r="BY139" s="1148"/>
      <c r="BZ139" s="1148"/>
      <c r="CA139" s="1148"/>
      <c r="CB139" s="1148"/>
      <c r="CC139" s="1148"/>
      <c r="CD139" s="1148"/>
      <c r="CE139" s="1148"/>
      <c r="CF139" s="1148"/>
      <c r="CG139" s="1148"/>
      <c r="CH139" s="1148"/>
      <c r="CI139" s="1148"/>
      <c r="CJ139" s="1148"/>
      <c r="CK139" s="1148"/>
      <c r="CL139" s="1148"/>
      <c r="CM139" s="1148"/>
      <c r="CN139" s="1148"/>
      <c r="CO139" s="1148"/>
      <c r="CP139" s="1148"/>
      <c r="CQ139" s="1148"/>
      <c r="CR139" s="1148"/>
      <c r="CS139" s="1148"/>
      <c r="CT139" s="1148"/>
      <c r="CU139" s="1148"/>
      <c r="CV139" s="1148"/>
      <c r="CW139" s="1148"/>
      <c r="CX139" s="1148"/>
      <c r="CY139" s="1148"/>
      <c r="CZ139" s="1148"/>
      <c r="DA139" s="1148"/>
      <c r="DB139" s="1148"/>
      <c r="DC139" s="1148"/>
      <c r="DD139" s="1148"/>
    </row>
    <row r="140" spans="1:108" s="24" customFormat="1" ht="12.75" hidden="1" customHeight="1" outlineLevel="1">
      <c r="B140" s="3"/>
      <c r="C140" s="744"/>
      <c r="D140" s="517"/>
      <c r="E140" s="512"/>
      <c r="F140" s="12"/>
      <c r="G140" s="958"/>
      <c r="H140" s="958"/>
      <c r="I140" s="958"/>
      <c r="J140" s="958"/>
      <c r="K140" s="960"/>
      <c r="L140" s="958"/>
      <c r="M140" s="958"/>
      <c r="N140" s="958"/>
      <c r="O140" s="958"/>
      <c r="P140" s="958"/>
      <c r="Q140" s="1021"/>
      <c r="R140" s="121"/>
      <c r="S140" s="970"/>
      <c r="T140" s="970"/>
      <c r="U140" s="970"/>
      <c r="V140" s="970"/>
      <c r="W140" s="970"/>
      <c r="X140" s="970"/>
      <c r="Y140" s="970"/>
      <c r="Z140" s="970"/>
      <c r="AA140" s="970"/>
      <c r="AB140" s="970"/>
      <c r="AC140" s="970"/>
      <c r="AD140" s="970"/>
      <c r="AE140" s="970"/>
      <c r="AF140" s="970"/>
      <c r="AG140" s="970"/>
      <c r="AH140" s="970"/>
      <c r="AI140" s="970"/>
      <c r="AJ140" s="121"/>
      <c r="AK140" s="976"/>
      <c r="AL140" s="976"/>
      <c r="AM140" s="976"/>
      <c r="AN140" s="976"/>
      <c r="AO140" s="976"/>
      <c r="AP140" s="976"/>
      <c r="AQ140" s="976"/>
      <c r="AR140" s="976"/>
      <c r="AS140" s="976"/>
      <c r="AT140" s="976"/>
      <c r="AU140" s="976"/>
      <c r="AV140" s="976"/>
      <c r="AW140" s="976"/>
      <c r="AX140" s="976"/>
      <c r="AY140" s="976"/>
      <c r="AZ140" s="976"/>
      <c r="BA140" s="976"/>
      <c r="BB140" s="976"/>
      <c r="BC140" s="976"/>
      <c r="BD140" s="976"/>
      <c r="BE140" s="121"/>
      <c r="BF140" s="990"/>
      <c r="BG140" s="990"/>
      <c r="BH140" s="990"/>
      <c r="BI140" s="121"/>
      <c r="BJ140" s="515"/>
      <c r="BK140" s="515"/>
      <c r="BM140" s="1148"/>
      <c r="BN140" s="1148"/>
      <c r="BO140" s="1148"/>
      <c r="BP140" s="1148"/>
      <c r="BQ140" s="1148"/>
      <c r="BR140" s="1148"/>
      <c r="BS140" s="1148"/>
      <c r="BT140" s="1148"/>
      <c r="BU140" s="1148"/>
      <c r="BV140" s="1148"/>
      <c r="BW140" s="1148"/>
      <c r="BX140" s="1148"/>
      <c r="BY140" s="1148"/>
      <c r="BZ140" s="1148"/>
      <c r="CA140" s="1148"/>
      <c r="CB140" s="1148"/>
      <c r="CC140" s="1148"/>
      <c r="CD140" s="1148"/>
      <c r="CE140" s="1148"/>
      <c r="CF140" s="1148"/>
      <c r="CG140" s="1148"/>
      <c r="CH140" s="1148"/>
      <c r="CI140" s="1148"/>
      <c r="CJ140" s="1148"/>
      <c r="CK140" s="1148"/>
      <c r="CL140" s="1148"/>
      <c r="CM140" s="1148"/>
      <c r="CN140" s="1148"/>
      <c r="CO140" s="1148"/>
      <c r="CP140" s="1148"/>
      <c r="CQ140" s="1148"/>
      <c r="CR140" s="1148"/>
      <c r="CS140" s="1148"/>
      <c r="CT140" s="1148"/>
      <c r="CU140" s="1148"/>
      <c r="CV140" s="1148"/>
      <c r="CW140" s="1148"/>
      <c r="CX140" s="1148"/>
      <c r="CY140" s="1148"/>
      <c r="CZ140" s="1148"/>
      <c r="DA140" s="1148"/>
      <c r="DB140" s="1148"/>
      <c r="DC140" s="1148"/>
      <c r="DD140" s="1148"/>
    </row>
    <row r="141" spans="1:108" s="715" customFormat="1" ht="12.75" hidden="1" customHeight="1" outlineLevel="1">
      <c r="B141" s="1097"/>
      <c r="C141" s="522" t="s">
        <v>1013</v>
      </c>
      <c r="D141" s="521" t="str">
        <f>INDEX(Modules[Module], MATCH($C141, Modules[Code], 0))</f>
        <v>Fossil fuel transfers</v>
      </c>
      <c r="E141" s="521"/>
      <c r="F141" s="12" t="s">
        <v>1222</v>
      </c>
      <c r="G141" s="963"/>
      <c r="H141" s="963"/>
      <c r="I141" s="963"/>
      <c r="J141" s="963"/>
      <c r="K141" s="964"/>
      <c r="L141" s="963"/>
      <c r="M141" s="963"/>
      <c r="N141" s="963"/>
      <c r="O141" s="963"/>
      <c r="P141" s="963"/>
      <c r="Q141" s="1096">
        <f>SUM(G141:P141)</f>
        <v>0</v>
      </c>
      <c r="R141" s="121"/>
      <c r="S141" s="972"/>
      <c r="T141" s="972"/>
      <c r="U141" s="972">
        <f>-(U$74+U$130+U$139)</f>
        <v>474.89060130021107</v>
      </c>
      <c r="V141" s="972"/>
      <c r="W141" s="972">
        <f>-Z141-'DUKES 09 (1.2)'!$F$35*Unit.ktoe</f>
        <v>1047.089858423868</v>
      </c>
      <c r="X141" s="972">
        <f>-U141</f>
        <v>-474.89060130021107</v>
      </c>
      <c r="Y141" s="972"/>
      <c r="Z141" s="972">
        <f>-'DUKES 09 (1.2)'!$F$10*Unit.ktoe</f>
        <v>-1059.1579462969482</v>
      </c>
      <c r="AA141" s="972"/>
      <c r="AB141" s="972"/>
      <c r="AC141" s="972"/>
      <c r="AD141" s="972"/>
      <c r="AE141" s="972"/>
      <c r="AF141" s="972"/>
      <c r="AG141" s="972"/>
      <c r="AH141" s="972"/>
      <c r="AI141" s="972">
        <f>SUM(S141:AH141)</f>
        <v>-12.068087873080231</v>
      </c>
      <c r="AJ141" s="121"/>
      <c r="AK141" s="979"/>
      <c r="AL141" s="979"/>
      <c r="AM141" s="979"/>
      <c r="AN141" s="979"/>
      <c r="AO141" s="979"/>
      <c r="AP141" s="979"/>
      <c r="AQ141" s="979"/>
      <c r="AR141" s="979"/>
      <c r="AS141" s="979"/>
      <c r="AT141" s="979"/>
      <c r="AU141" s="979"/>
      <c r="AV141" s="979"/>
      <c r="AW141" s="979"/>
      <c r="AX141" s="979"/>
      <c r="AY141" s="979"/>
      <c r="AZ141" s="979"/>
      <c r="BA141" s="979"/>
      <c r="BB141" s="979"/>
      <c r="BC141" s="979"/>
      <c r="BD141" s="979"/>
      <c r="BE141" s="121"/>
      <c r="BF141" s="992"/>
      <c r="BG141" s="992">
        <f>'DUKES 09 (1.2)'!$F$35*Unit.ktoe</f>
        <v>12.068087873080305</v>
      </c>
      <c r="BH141" s="992">
        <f>SUM(BF141:BG141)</f>
        <v>12.068087873080305</v>
      </c>
      <c r="BI141" s="121"/>
      <c r="BJ141" s="515">
        <f t="shared" ref="BJ141:BJ148" si="136">Q141+AI141+BD141+BH141</f>
        <v>7.460698725481052E-14</v>
      </c>
      <c r="BK141" s="814"/>
      <c r="BM141" s="1147"/>
      <c r="BN141" s="1147"/>
      <c r="BO141" s="1147"/>
      <c r="BP141" s="1147"/>
      <c r="BQ141" s="1147"/>
      <c r="BR141" s="1147"/>
      <c r="BS141" s="1147"/>
      <c r="BT141" s="1147"/>
      <c r="BU141" s="1147"/>
      <c r="BV141" s="1147"/>
      <c r="BW141" s="1147"/>
      <c r="BX141" s="1147"/>
      <c r="BY141" s="1147"/>
      <c r="BZ141" s="1147"/>
      <c r="CA141" s="1147"/>
      <c r="CB141" s="1147"/>
      <c r="CC141" s="1147"/>
      <c r="CD141" s="1147"/>
      <c r="CE141" s="1147"/>
      <c r="CF141" s="1147"/>
      <c r="CG141" s="1147"/>
      <c r="CH141" s="1147"/>
      <c r="CI141" s="1147"/>
      <c r="CJ141" s="1147"/>
      <c r="CK141" s="1147"/>
      <c r="CL141" s="1147"/>
      <c r="CM141" s="1147"/>
      <c r="CN141" s="1147"/>
      <c r="CO141" s="1147"/>
      <c r="CP141" s="1147"/>
      <c r="CQ141" s="1147"/>
      <c r="CR141" s="1147"/>
      <c r="CS141" s="1147"/>
      <c r="CT141" s="1147"/>
      <c r="CU141" s="1147"/>
      <c r="CV141" s="1147"/>
      <c r="CW141" s="1147"/>
      <c r="CX141" s="1147"/>
      <c r="CY141" s="1147"/>
      <c r="CZ141" s="1147"/>
      <c r="DA141" s="1147"/>
      <c r="DB141" s="1147"/>
      <c r="DC141" s="1147"/>
      <c r="DD141" s="1147"/>
    </row>
    <row r="142" spans="1:108" s="715" customFormat="1" ht="12.75" hidden="1" customHeight="1" outlineLevel="1">
      <c r="B142" s="1097"/>
      <c r="C142" s="522" t="s">
        <v>1014</v>
      </c>
      <c r="D142" s="1010" t="str">
        <f>INDEX(Modules[Module], MATCH($C142, Modules[Code], 0))</f>
        <v>Balancing imports</v>
      </c>
      <c r="E142" s="1010"/>
      <c r="F142" s="12" t="s">
        <v>1219</v>
      </c>
      <c r="G142" s="1102"/>
      <c r="H142" s="1102"/>
      <c r="I142" s="1102"/>
      <c r="J142" s="1102"/>
      <c r="K142" s="1103"/>
      <c r="L142" s="1102"/>
      <c r="M142" s="1102"/>
      <c r="N142" s="1102"/>
      <c r="O142" s="1102"/>
      <c r="P142" s="1102"/>
      <c r="Q142" s="1104">
        <f>SUM(G142:P142)</f>
        <v>0</v>
      </c>
      <c r="R142" s="121"/>
      <c r="S142" s="1105"/>
      <c r="T142" s="1105"/>
      <c r="U142" s="1105"/>
      <c r="V142" s="1105">
        <f>('DUKES 09 (1.2)'!$E$6+'DUKES 09 (1.2)'!$E$7)*Unit.ktoe</f>
        <v>-60.581053896315709</v>
      </c>
      <c r="W142" s="1105"/>
      <c r="X142" s="1105">
        <f>('DUKES 09 (1.2)'!$B$6+'DUKES 09 (1.2)'!$B$7+'DUKES 09 (1.2)'!$C$6+'DUKES 09 (1.2)'!$C$7)*Unit.ktoe</f>
        <v>329.60273235621702</v>
      </c>
      <c r="Y142" s="1105">
        <f>('DUKES 09 (1.2)'!$D$6+'DUKES 09 (1.2)'!$D$7)*Unit.ktoe</f>
        <v>79.743976905201578</v>
      </c>
      <c r="Z142" s="1105">
        <f>('DUKES 09 (1.2)'!$F$6+'DUKES 09 (1.2)'!$F$7)*Unit.ktoe</f>
        <v>214.86865308275657</v>
      </c>
      <c r="AA142" s="1105"/>
      <c r="AB142" s="1105"/>
      <c r="AC142" s="1105"/>
      <c r="AD142" s="1105"/>
      <c r="AE142" s="1105"/>
      <c r="AF142" s="1105"/>
      <c r="AG142" s="1105"/>
      <c r="AH142" s="1105"/>
      <c r="AI142" s="1105">
        <f>SUM(S142:AH142)</f>
        <v>563.63430844785944</v>
      </c>
      <c r="AJ142" s="121"/>
      <c r="AK142" s="1012"/>
      <c r="AL142" s="1012"/>
      <c r="AM142" s="1012"/>
      <c r="AN142" s="1012"/>
      <c r="AO142" s="1012"/>
      <c r="AP142" s="1012">
        <f>-('DUKES 09 (1.2)'!$E$6+'DUKES 09 (1.2)'!$E$7)*Unit.ktoe</f>
        <v>60.581053896315709</v>
      </c>
      <c r="AQ142" s="1012">
        <f>-('DUKES 09 (1.2)'!$B$6+'DUKES 09 (1.2)'!$B$7+'DUKES 09 (1.2)'!$C$6+'DUKES 09 (1.2)'!$C$7)*Unit.ktoe</f>
        <v>-329.60273235621702</v>
      </c>
      <c r="AR142" s="1012">
        <f>-('DUKES 09 (1.2)'!$D$6+'DUKES 09 (1.2)'!$D$7)*Unit.ktoe</f>
        <v>-79.743976905201578</v>
      </c>
      <c r="AS142" s="1012">
        <f>-('DUKES 09 (1.2)'!$F$6+'DUKES 09 (1.2)'!$F$7)*Unit.ktoe</f>
        <v>-214.86865308275657</v>
      </c>
      <c r="AT142" s="1012"/>
      <c r="AU142" s="1012"/>
      <c r="AV142" s="1012"/>
      <c r="AW142" s="1012"/>
      <c r="AX142" s="1012"/>
      <c r="AY142" s="1012"/>
      <c r="AZ142" s="1012"/>
      <c r="BA142" s="1012"/>
      <c r="BB142" s="1012"/>
      <c r="BC142" s="1012"/>
      <c r="BD142" s="1012">
        <f>SUM(AK142:BC142)</f>
        <v>-563.63430844785944</v>
      </c>
      <c r="BE142" s="121"/>
      <c r="BF142" s="1106"/>
      <c r="BG142" s="1106"/>
      <c r="BH142" s="1106">
        <f>SUM(BF142:BG142)</f>
        <v>0</v>
      </c>
      <c r="BI142" s="121"/>
      <c r="BJ142" s="515">
        <f t="shared" si="136"/>
        <v>0</v>
      </c>
      <c r="BK142" s="814"/>
      <c r="BM142" s="1147"/>
      <c r="BN142" s="1147"/>
      <c r="BO142" s="1147"/>
      <c r="BP142" s="1147"/>
      <c r="BQ142" s="1147"/>
      <c r="BR142" s="1147"/>
      <c r="BS142" s="1147"/>
      <c r="BT142" s="1147"/>
      <c r="BU142" s="1147"/>
      <c r="BV142" s="1147"/>
      <c r="BW142" s="1147"/>
      <c r="BX142" s="1147"/>
      <c r="BY142" s="1147"/>
      <c r="BZ142" s="1147"/>
      <c r="CA142" s="1147"/>
      <c r="CB142" s="1147"/>
      <c r="CC142" s="1147"/>
      <c r="CD142" s="1147"/>
      <c r="CE142" s="1147"/>
      <c r="CF142" s="1147"/>
      <c r="CG142" s="1147"/>
      <c r="CH142" s="1147"/>
      <c r="CI142" s="1147"/>
      <c r="CJ142" s="1147"/>
      <c r="CK142" s="1147"/>
      <c r="CL142" s="1147"/>
      <c r="CM142" s="1147"/>
      <c r="CN142" s="1147"/>
      <c r="CO142" s="1147"/>
      <c r="CP142" s="1147"/>
      <c r="CQ142" s="1147"/>
      <c r="CR142" s="1147"/>
      <c r="CS142" s="1147"/>
      <c r="CT142" s="1147"/>
      <c r="CU142" s="1147"/>
      <c r="CV142" s="1147"/>
      <c r="CW142" s="1147"/>
      <c r="CX142" s="1147"/>
      <c r="CY142" s="1147"/>
      <c r="CZ142" s="1147"/>
      <c r="DA142" s="1147"/>
      <c r="DB142" s="1147"/>
      <c r="DC142" s="1147"/>
      <c r="DD142" s="1147"/>
    </row>
    <row r="143" spans="1:108" ht="15.75" collapsed="1">
      <c r="B143" s="3"/>
      <c r="C143" s="516" t="s">
        <v>1012</v>
      </c>
      <c r="D143" s="517" t="str">
        <f>INDEX(Workstreams[Workstream], MATCH($C143, Workstreams[Code], 0))</f>
        <v>Transfers</v>
      </c>
      <c r="F143" s="12"/>
      <c r="G143" s="1021">
        <f>SUM(G141:G142)</f>
        <v>0</v>
      </c>
      <c r="H143" s="1021">
        <f t="shared" ref="H143:P143" si="137">SUM(H141:H142)</f>
        <v>0</v>
      </c>
      <c r="I143" s="1021">
        <f t="shared" si="137"/>
        <v>0</v>
      </c>
      <c r="J143" s="1021">
        <f t="shared" si="137"/>
        <v>0</v>
      </c>
      <c r="K143" s="1021">
        <f t="shared" si="137"/>
        <v>0</v>
      </c>
      <c r="L143" s="1021">
        <f t="shared" si="137"/>
        <v>0</v>
      </c>
      <c r="M143" s="1021">
        <f t="shared" si="137"/>
        <v>0</v>
      </c>
      <c r="N143" s="1021">
        <f t="shared" si="137"/>
        <v>0</v>
      </c>
      <c r="O143" s="1021">
        <f t="shared" si="137"/>
        <v>0</v>
      </c>
      <c r="P143" s="1021">
        <f t="shared" si="137"/>
        <v>0</v>
      </c>
      <c r="Q143" s="1021">
        <f>SUM(G143:P143)</f>
        <v>0</v>
      </c>
      <c r="S143" s="970">
        <f t="shared" ref="S143:AH143" si="138">SUM(S141:S142)</f>
        <v>0</v>
      </c>
      <c r="T143" s="970">
        <f t="shared" si="138"/>
        <v>0</v>
      </c>
      <c r="U143" s="970">
        <f t="shared" si="138"/>
        <v>474.89060130021107</v>
      </c>
      <c r="V143" s="970">
        <f t="shared" si="138"/>
        <v>-60.581053896315709</v>
      </c>
      <c r="W143" s="970">
        <f t="shared" si="138"/>
        <v>1047.089858423868</v>
      </c>
      <c r="X143" s="970">
        <f t="shared" si="138"/>
        <v>-145.28786894399406</v>
      </c>
      <c r="Y143" s="970">
        <f t="shared" si="138"/>
        <v>79.743976905201578</v>
      </c>
      <c r="Z143" s="970">
        <f t="shared" si="138"/>
        <v>-844.28929321419173</v>
      </c>
      <c r="AA143" s="970">
        <f t="shared" si="138"/>
        <v>0</v>
      </c>
      <c r="AB143" s="970">
        <f t="shared" si="138"/>
        <v>0</v>
      </c>
      <c r="AC143" s="970">
        <f t="shared" si="138"/>
        <v>0</v>
      </c>
      <c r="AD143" s="970">
        <f t="shared" si="138"/>
        <v>0</v>
      </c>
      <c r="AE143" s="970">
        <f t="shared" si="138"/>
        <v>0</v>
      </c>
      <c r="AF143" s="970">
        <f>SUM(AF141:AF142)</f>
        <v>0</v>
      </c>
      <c r="AG143" s="970">
        <f>SUM(AG141:AG142)</f>
        <v>0</v>
      </c>
      <c r="AH143" s="970">
        <f t="shared" si="138"/>
        <v>0</v>
      </c>
      <c r="AI143" s="970">
        <f>SUM(S143:AH143)</f>
        <v>551.56622057477921</v>
      </c>
      <c r="AK143" s="976">
        <f t="shared" ref="AK143:BC143" si="139">SUM(AK141:AK142)</f>
        <v>0</v>
      </c>
      <c r="AL143" s="976">
        <f t="shared" si="139"/>
        <v>0</v>
      </c>
      <c r="AM143" s="976">
        <f t="shared" si="139"/>
        <v>0</v>
      </c>
      <c r="AN143" s="976">
        <f t="shared" si="139"/>
        <v>0</v>
      </c>
      <c r="AO143" s="976">
        <f t="shared" si="139"/>
        <v>0</v>
      </c>
      <c r="AP143" s="976">
        <f t="shared" si="139"/>
        <v>60.581053896315709</v>
      </c>
      <c r="AQ143" s="976">
        <f t="shared" si="139"/>
        <v>-329.60273235621702</v>
      </c>
      <c r="AR143" s="976">
        <f t="shared" si="139"/>
        <v>-79.743976905201578</v>
      </c>
      <c r="AS143" s="976">
        <f t="shared" si="139"/>
        <v>-214.86865308275657</v>
      </c>
      <c r="AT143" s="976">
        <f t="shared" si="139"/>
        <v>0</v>
      </c>
      <c r="AU143" s="976">
        <f t="shared" si="139"/>
        <v>0</v>
      </c>
      <c r="AV143" s="976">
        <f t="shared" si="139"/>
        <v>0</v>
      </c>
      <c r="AW143" s="976">
        <f t="shared" si="139"/>
        <v>0</v>
      </c>
      <c r="AX143" s="976">
        <f t="shared" si="139"/>
        <v>0</v>
      </c>
      <c r="AY143" s="976">
        <f t="shared" si="139"/>
        <v>0</v>
      </c>
      <c r="AZ143" s="976">
        <f t="shared" si="139"/>
        <v>0</v>
      </c>
      <c r="BA143" s="976">
        <f t="shared" si="139"/>
        <v>0</v>
      </c>
      <c r="BB143" s="976">
        <f t="shared" si="139"/>
        <v>0</v>
      </c>
      <c r="BC143" s="976">
        <f t="shared" si="139"/>
        <v>0</v>
      </c>
      <c r="BD143" s="976">
        <f>SUM(AK143:BC143)</f>
        <v>-563.63430844785944</v>
      </c>
      <c r="BF143" s="990">
        <f>SUM(BF141:BF142)</f>
        <v>0</v>
      </c>
      <c r="BG143" s="990">
        <f>SUM(BG141:BG142)</f>
        <v>12.068087873080305</v>
      </c>
      <c r="BH143" s="990">
        <f>SUM(BF143:BG143)</f>
        <v>12.068087873080305</v>
      </c>
      <c r="BJ143" s="515">
        <f t="shared" si="136"/>
        <v>7.460698725481052E-14</v>
      </c>
      <c r="BK143" s="515"/>
      <c r="BM143" s="1146"/>
      <c r="BN143" s="1146"/>
      <c r="BO143" s="1146"/>
      <c r="BP143" s="1146"/>
      <c r="BQ143" s="1146"/>
      <c r="BR143" s="1146"/>
      <c r="BS143" s="1146"/>
      <c r="BT143" s="1146"/>
      <c r="BU143" s="1146"/>
      <c r="BV143" s="1146"/>
      <c r="BW143" s="1146"/>
      <c r="BX143" s="1146"/>
      <c r="BY143" s="1146"/>
      <c r="BZ143" s="1146"/>
      <c r="CA143" s="1146"/>
      <c r="CB143" s="1146"/>
      <c r="CC143" s="1146"/>
      <c r="CD143" s="1146"/>
      <c r="CE143" s="1146"/>
      <c r="CF143" s="1146"/>
      <c r="CG143" s="1146"/>
      <c r="CH143" s="1146"/>
      <c r="CI143" s="1146"/>
      <c r="CJ143" s="1146"/>
      <c r="CK143" s="1146"/>
      <c r="CL143" s="1146"/>
      <c r="CM143" s="1146"/>
      <c r="CN143" s="1146"/>
      <c r="CO143" s="1146"/>
      <c r="CP143" s="1146"/>
      <c r="CQ143" s="1146"/>
      <c r="CR143" s="1146"/>
      <c r="CS143" s="1146"/>
      <c r="CT143" s="1146"/>
      <c r="CU143" s="1146"/>
      <c r="CV143" s="1146"/>
      <c r="CW143" s="1146"/>
      <c r="CX143" s="1146"/>
      <c r="CY143" s="1146"/>
      <c r="CZ143" s="1146"/>
      <c r="DA143" s="1146"/>
      <c r="DB143" s="1146"/>
      <c r="DC143" s="1146"/>
      <c r="DD143" s="1146"/>
    </row>
    <row r="144" spans="1:108" ht="6" customHeight="1">
      <c r="F144" s="12"/>
      <c r="G144" s="958"/>
      <c r="H144" s="958"/>
      <c r="I144" s="958"/>
      <c r="J144" s="958"/>
      <c r="K144" s="960"/>
      <c r="L144" s="958"/>
      <c r="M144" s="958"/>
      <c r="N144" s="958"/>
      <c r="O144" s="958"/>
      <c r="P144" s="958"/>
      <c r="Q144" s="958"/>
      <c r="S144" s="970"/>
      <c r="T144" s="970"/>
      <c r="U144" s="970"/>
      <c r="V144" s="970"/>
      <c r="W144" s="970"/>
      <c r="X144" s="970"/>
      <c r="Y144" s="970"/>
      <c r="Z144" s="970"/>
      <c r="AA144" s="970"/>
      <c r="AB144" s="970"/>
      <c r="AC144" s="970"/>
      <c r="AD144" s="970"/>
      <c r="AE144" s="970"/>
      <c r="AF144" s="970"/>
      <c r="AG144" s="970"/>
      <c r="AH144" s="970"/>
      <c r="AI144" s="970"/>
      <c r="AK144" s="976"/>
      <c r="AL144" s="976"/>
      <c r="AM144" s="976"/>
      <c r="AN144" s="976"/>
      <c r="AO144" s="976"/>
      <c r="AP144" s="976"/>
      <c r="AQ144" s="976"/>
      <c r="AR144" s="976"/>
      <c r="AS144" s="976"/>
      <c r="AT144" s="976"/>
      <c r="AU144" s="976"/>
      <c r="AV144" s="976"/>
      <c r="AW144" s="976"/>
      <c r="AX144" s="976"/>
      <c r="AY144" s="976"/>
      <c r="AZ144" s="976"/>
      <c r="BA144" s="976"/>
      <c r="BB144" s="976"/>
      <c r="BC144" s="976"/>
      <c r="BD144" s="976"/>
      <c r="BF144" s="990"/>
      <c r="BG144" s="990"/>
      <c r="BH144" s="990"/>
      <c r="BJ144" s="515">
        <f t="shared" si="136"/>
        <v>0</v>
      </c>
      <c r="BK144" s="515"/>
      <c r="BM144" s="1146"/>
      <c r="BN144" s="1146"/>
      <c r="BO144" s="1146"/>
      <c r="BP144" s="1146"/>
      <c r="BQ144" s="1146"/>
      <c r="BR144" s="1146"/>
      <c r="BS144" s="1146"/>
      <c r="BT144" s="1146"/>
      <c r="BU144" s="1146"/>
      <c r="BV144" s="1146"/>
      <c r="BW144" s="1146"/>
      <c r="BX144" s="1146"/>
      <c r="BY144" s="1146"/>
      <c r="BZ144" s="1146"/>
      <c r="CA144" s="1146"/>
      <c r="CB144" s="1146"/>
      <c r="CC144" s="1146"/>
      <c r="CD144" s="1146"/>
      <c r="CE144" s="1146"/>
      <c r="CF144" s="1146"/>
      <c r="CG144" s="1146"/>
      <c r="CH144" s="1146"/>
      <c r="CI144" s="1146"/>
      <c r="CJ144" s="1146"/>
      <c r="CK144" s="1146"/>
      <c r="CL144" s="1146"/>
      <c r="CM144" s="1146"/>
      <c r="CN144" s="1146"/>
      <c r="CO144" s="1146"/>
      <c r="CP144" s="1146"/>
      <c r="CQ144" s="1146"/>
      <c r="CR144" s="1146"/>
      <c r="CS144" s="1146"/>
      <c r="CT144" s="1146"/>
      <c r="CU144" s="1146"/>
      <c r="CV144" s="1146"/>
      <c r="CW144" s="1146"/>
      <c r="CX144" s="1146"/>
      <c r="CY144" s="1146"/>
      <c r="CZ144" s="1146"/>
      <c r="DA144" s="1146"/>
      <c r="DB144" s="1146"/>
      <c r="DC144" s="1146"/>
      <c r="DD144" s="1146"/>
    </row>
    <row r="145" spans="2:108" ht="15.75">
      <c r="B145" s="3"/>
      <c r="C145" s="516"/>
      <c r="D145" s="643" t="s">
        <v>1016</v>
      </c>
      <c r="E145" s="644"/>
      <c r="F145" s="12"/>
      <c r="G145" s="1075">
        <f>G$139+G$143</f>
        <v>0</v>
      </c>
      <c r="H145" s="1075">
        <f t="shared" ref="H145:P145" si="140">H$139+H$143</f>
        <v>0</v>
      </c>
      <c r="I145" s="1075">
        <f t="shared" si="140"/>
        <v>0</v>
      </c>
      <c r="J145" s="1075">
        <f t="shared" si="140"/>
        <v>0</v>
      </c>
      <c r="K145" s="1075">
        <f t="shared" si="140"/>
        <v>0</v>
      </c>
      <c r="L145" s="1075">
        <f t="shared" si="140"/>
        <v>0</v>
      </c>
      <c r="M145" s="1075">
        <f t="shared" si="140"/>
        <v>0</v>
      </c>
      <c r="N145" s="1075">
        <f t="shared" si="140"/>
        <v>0</v>
      </c>
      <c r="O145" s="1075">
        <f t="shared" si="140"/>
        <v>0</v>
      </c>
      <c r="P145" s="1075">
        <f t="shared" si="140"/>
        <v>0</v>
      </c>
      <c r="Q145" s="1023">
        <f>SUM(G145:P145)</f>
        <v>0</v>
      </c>
      <c r="S145" s="1014">
        <f t="shared" ref="S145:AH145" si="141">S$139+S$143</f>
        <v>0</v>
      </c>
      <c r="T145" s="1014">
        <f t="shared" si="141"/>
        <v>-22.480266252553953</v>
      </c>
      <c r="U145" s="1014">
        <f t="shared" si="141"/>
        <v>474.89060130021107</v>
      </c>
      <c r="V145" s="1014">
        <f t="shared" si="141"/>
        <v>-60.581053896315709</v>
      </c>
      <c r="W145" s="1014">
        <f t="shared" si="141"/>
        <v>1047.089858423868</v>
      </c>
      <c r="X145" s="1014">
        <f>X$139+X$143</f>
        <v>-145.28786894399406</v>
      </c>
      <c r="Y145" s="1014">
        <f>Y$139+Y$143</f>
        <v>79.743976905201578</v>
      </c>
      <c r="Z145" s="1014">
        <f>Z$139+Z$143</f>
        <v>-844.28929321419173</v>
      </c>
      <c r="AA145" s="1014">
        <f t="shared" si="141"/>
        <v>0</v>
      </c>
      <c r="AB145" s="1014">
        <f t="shared" si="141"/>
        <v>0</v>
      </c>
      <c r="AC145" s="1014">
        <f t="shared" si="141"/>
        <v>0</v>
      </c>
      <c r="AD145" s="1014">
        <f t="shared" si="141"/>
        <v>0</v>
      </c>
      <c r="AE145" s="1014">
        <f t="shared" si="141"/>
        <v>0</v>
      </c>
      <c r="AF145" s="1014">
        <f t="shared" si="141"/>
        <v>0</v>
      </c>
      <c r="AG145" s="1014">
        <f t="shared" si="141"/>
        <v>0</v>
      </c>
      <c r="AH145" s="1014">
        <f t="shared" si="141"/>
        <v>0</v>
      </c>
      <c r="AI145" s="1014">
        <f>SUM(S145:AH145)</f>
        <v>529.08595432222523</v>
      </c>
      <c r="AK145" s="1015">
        <f t="shared" ref="AK145:BC145" si="142">AK$139+AK$143</f>
        <v>0</v>
      </c>
      <c r="AL145" s="1015">
        <f t="shared" si="142"/>
        <v>0</v>
      </c>
      <c r="AM145" s="1015">
        <f t="shared" si="142"/>
        <v>0</v>
      </c>
      <c r="AN145" s="1015">
        <f t="shared" si="142"/>
        <v>0</v>
      </c>
      <c r="AO145" s="1015">
        <f t="shared" si="142"/>
        <v>-5.2145242500000002</v>
      </c>
      <c r="AP145" s="1015">
        <f t="shared" si="142"/>
        <v>60.581053896315709</v>
      </c>
      <c r="AQ145" s="1015">
        <f t="shared" si="142"/>
        <v>-329.60273235621702</v>
      </c>
      <c r="AR145" s="1015">
        <f t="shared" si="142"/>
        <v>-79.743976905201578</v>
      </c>
      <c r="AS145" s="1015">
        <f t="shared" si="142"/>
        <v>-214.86865308275657</v>
      </c>
      <c r="AT145" s="1015">
        <f t="shared" si="142"/>
        <v>0</v>
      </c>
      <c r="AU145" s="1015">
        <f t="shared" si="142"/>
        <v>0</v>
      </c>
      <c r="AV145" s="1015">
        <f t="shared" si="142"/>
        <v>0</v>
      </c>
      <c r="AW145" s="1015">
        <f t="shared" si="142"/>
        <v>0</v>
      </c>
      <c r="AX145" s="1015">
        <f t="shared" si="142"/>
        <v>0</v>
      </c>
      <c r="AY145" s="1015">
        <f t="shared" si="142"/>
        <v>0</v>
      </c>
      <c r="AZ145" s="1015">
        <f t="shared" si="142"/>
        <v>0</v>
      </c>
      <c r="BA145" s="1015">
        <f t="shared" si="142"/>
        <v>0</v>
      </c>
      <c r="BB145" s="1015">
        <f t="shared" si="142"/>
        <v>0</v>
      </c>
      <c r="BC145" s="1015">
        <f t="shared" si="142"/>
        <v>0</v>
      </c>
      <c r="BD145" s="1015">
        <f>SUM(AK145:BC145)</f>
        <v>-568.84883269785951</v>
      </c>
      <c r="BF145" s="1016">
        <f>BF$139+BF$143</f>
        <v>1.2120398189999997</v>
      </c>
      <c r="BG145" s="1016">
        <f>BG$139+BG$143</f>
        <v>38.550838556634261</v>
      </c>
      <c r="BH145" s="1016">
        <f>SUM(BF145:BG145)</f>
        <v>39.762878375634259</v>
      </c>
      <c r="BJ145" s="518">
        <f t="shared" si="136"/>
        <v>0</v>
      </c>
      <c r="BK145" s="518"/>
      <c r="BM145" s="1146"/>
      <c r="BN145" s="1146"/>
      <c r="BO145" s="1146"/>
      <c r="BP145" s="1146"/>
      <c r="BQ145" s="1146"/>
      <c r="BR145" s="1146"/>
      <c r="BS145" s="1146"/>
      <c r="BT145" s="1146"/>
      <c r="BU145" s="1146"/>
      <c r="BV145" s="1146"/>
      <c r="BW145" s="1146"/>
      <c r="BX145" s="1146"/>
      <c r="BY145" s="1146"/>
      <c r="BZ145" s="1146"/>
      <c r="CA145" s="1146"/>
      <c r="CB145" s="1146"/>
      <c r="CC145" s="1146"/>
      <c r="CD145" s="1146"/>
      <c r="CE145" s="1146"/>
      <c r="CF145" s="1146"/>
      <c r="CG145" s="1146"/>
      <c r="CH145" s="1146"/>
      <c r="CI145" s="1146"/>
      <c r="CJ145" s="1146"/>
      <c r="CK145" s="1146"/>
      <c r="CL145" s="1146"/>
      <c r="CM145" s="1146"/>
      <c r="CN145" s="1146"/>
      <c r="CO145" s="1146"/>
      <c r="CP145" s="1146"/>
      <c r="CQ145" s="1146"/>
      <c r="CR145" s="1146"/>
      <c r="CS145" s="1146"/>
      <c r="CT145" s="1146"/>
      <c r="CU145" s="1146"/>
      <c r="CV145" s="1146"/>
      <c r="CW145" s="1146"/>
      <c r="CX145" s="1146"/>
      <c r="CY145" s="1146"/>
      <c r="CZ145" s="1146"/>
      <c r="DA145" s="1146"/>
      <c r="DB145" s="1146"/>
      <c r="DC145" s="1146"/>
      <c r="DD145" s="1146"/>
    </row>
    <row r="146" spans="2:108">
      <c r="F146" s="12"/>
      <c r="G146" s="958"/>
      <c r="H146" s="958"/>
      <c r="I146" s="958"/>
      <c r="J146" s="958"/>
      <c r="K146" s="960"/>
      <c r="L146" s="958"/>
      <c r="M146" s="958"/>
      <c r="N146" s="958"/>
      <c r="O146" s="958"/>
      <c r="P146" s="958"/>
      <c r="Q146" s="958"/>
      <c r="S146" s="970"/>
      <c r="T146" s="970"/>
      <c r="U146" s="970"/>
      <c r="V146" s="970"/>
      <c r="W146" s="970"/>
      <c r="X146" s="970"/>
      <c r="Y146" s="970"/>
      <c r="Z146" s="970"/>
      <c r="AA146" s="970"/>
      <c r="AB146" s="970"/>
      <c r="AC146" s="970"/>
      <c r="AD146" s="970"/>
      <c r="AE146" s="970"/>
      <c r="AF146" s="970"/>
      <c r="AG146" s="970"/>
      <c r="AH146" s="970"/>
      <c r="AI146" s="970"/>
      <c r="AK146" s="976"/>
      <c r="AL146" s="976"/>
      <c r="AM146" s="976"/>
      <c r="AN146" s="976"/>
      <c r="AO146" s="976"/>
      <c r="AP146" s="976"/>
      <c r="AQ146" s="976"/>
      <c r="AR146" s="976"/>
      <c r="AS146" s="976"/>
      <c r="AT146" s="976"/>
      <c r="AU146" s="976"/>
      <c r="AV146" s="976"/>
      <c r="AW146" s="976"/>
      <c r="AX146" s="976"/>
      <c r="AY146" s="976"/>
      <c r="AZ146" s="976"/>
      <c r="BA146" s="976"/>
      <c r="BB146" s="976"/>
      <c r="BC146" s="976"/>
      <c r="BD146" s="976"/>
      <c r="BF146" s="990"/>
      <c r="BG146" s="990"/>
      <c r="BH146" s="990"/>
      <c r="BJ146" s="515">
        <f t="shared" si="136"/>
        <v>0</v>
      </c>
      <c r="BK146" s="515"/>
      <c r="BM146" s="1146"/>
      <c r="BN146" s="1146"/>
      <c r="BO146" s="1146"/>
      <c r="BP146" s="1146"/>
      <c r="BQ146" s="1146"/>
      <c r="BR146" s="1146"/>
      <c r="BS146" s="1146"/>
      <c r="BT146" s="1146"/>
      <c r="BU146" s="1146"/>
      <c r="BV146" s="1146"/>
      <c r="BW146" s="1146"/>
      <c r="BX146" s="1146"/>
      <c r="BY146" s="1146"/>
      <c r="BZ146" s="1146"/>
      <c r="CA146" s="1146"/>
      <c r="CB146" s="1146"/>
      <c r="CC146" s="1146"/>
      <c r="CD146" s="1146"/>
      <c r="CE146" s="1146"/>
      <c r="CF146" s="1146"/>
      <c r="CG146" s="1146"/>
      <c r="CH146" s="1146"/>
      <c r="CI146" s="1146"/>
      <c r="CJ146" s="1146"/>
      <c r="CK146" s="1146"/>
      <c r="CL146" s="1146"/>
      <c r="CM146" s="1146"/>
      <c r="CN146" s="1146"/>
      <c r="CO146" s="1146"/>
      <c r="CP146" s="1146"/>
      <c r="CQ146" s="1146"/>
      <c r="CR146" s="1146"/>
      <c r="CS146" s="1146"/>
      <c r="CT146" s="1146"/>
      <c r="CU146" s="1146"/>
      <c r="CV146" s="1146"/>
      <c r="CW146" s="1146"/>
      <c r="CX146" s="1146"/>
      <c r="CY146" s="1146"/>
      <c r="CZ146" s="1146"/>
      <c r="DA146" s="1146"/>
      <c r="DB146" s="1146"/>
      <c r="DC146" s="1146"/>
      <c r="DD146" s="1146"/>
    </row>
    <row r="147" spans="2:108" ht="13.5" thickBot="1">
      <c r="F147" s="12"/>
      <c r="G147" s="958"/>
      <c r="H147" s="958"/>
      <c r="I147" s="958"/>
      <c r="J147" s="958"/>
      <c r="K147" s="960"/>
      <c r="L147" s="958"/>
      <c r="M147" s="958"/>
      <c r="N147" s="958"/>
      <c r="O147" s="958"/>
      <c r="P147" s="958"/>
      <c r="Q147" s="958"/>
      <c r="S147" s="970"/>
      <c r="T147" s="970"/>
      <c r="U147" s="970"/>
      <c r="V147" s="970"/>
      <c r="W147" s="970"/>
      <c r="X147" s="970"/>
      <c r="Y147" s="970"/>
      <c r="Z147" s="970"/>
      <c r="AA147" s="970"/>
      <c r="AB147" s="970"/>
      <c r="AC147" s="970"/>
      <c r="AD147" s="970"/>
      <c r="AE147" s="970"/>
      <c r="AF147" s="970"/>
      <c r="AG147" s="970"/>
      <c r="AH147" s="970"/>
      <c r="AI147" s="970"/>
      <c r="AK147" s="976"/>
      <c r="AL147" s="976"/>
      <c r="AM147" s="976"/>
      <c r="AN147" s="976"/>
      <c r="AO147" s="976"/>
      <c r="AP147" s="976"/>
      <c r="AQ147" s="976"/>
      <c r="AR147" s="976"/>
      <c r="AS147" s="976"/>
      <c r="AT147" s="976"/>
      <c r="AU147" s="976"/>
      <c r="AV147" s="976"/>
      <c r="AW147" s="976"/>
      <c r="AX147" s="976"/>
      <c r="AY147" s="976"/>
      <c r="AZ147" s="976"/>
      <c r="BA147" s="976"/>
      <c r="BB147" s="976"/>
      <c r="BC147" s="976"/>
      <c r="BD147" s="976"/>
      <c r="BF147" s="990"/>
      <c r="BG147" s="990"/>
      <c r="BH147" s="990"/>
      <c r="BJ147" s="515">
        <f t="shared" si="136"/>
        <v>0</v>
      </c>
      <c r="BK147" s="515"/>
      <c r="BM147" s="1146"/>
      <c r="BN147" s="1146"/>
      <c r="BO147" s="1146"/>
      <c r="BP147" s="1146"/>
      <c r="BQ147" s="1146"/>
      <c r="BR147" s="1146"/>
      <c r="BS147" s="1146"/>
      <c r="BT147" s="1146"/>
      <c r="BU147" s="1146"/>
      <c r="BV147" s="1146"/>
      <c r="BW147" s="1146"/>
      <c r="BX147" s="1146"/>
      <c r="BY147" s="1146"/>
      <c r="BZ147" s="1146"/>
      <c r="CA147" s="1146"/>
      <c r="CB147" s="1146"/>
      <c r="CC147" s="1146"/>
      <c r="CD147" s="1146"/>
      <c r="CE147" s="1146"/>
      <c r="CF147" s="1146"/>
      <c r="CG147" s="1146"/>
      <c r="CH147" s="1146"/>
      <c r="CI147" s="1146"/>
      <c r="CJ147" s="1146"/>
      <c r="CK147" s="1146"/>
      <c r="CL147" s="1146"/>
      <c r="CM147" s="1146"/>
      <c r="CN147" s="1146"/>
      <c r="CO147" s="1146"/>
      <c r="CP147" s="1146"/>
      <c r="CQ147" s="1146"/>
      <c r="CR147" s="1146"/>
      <c r="CS147" s="1146"/>
      <c r="CT147" s="1146"/>
      <c r="CU147" s="1146"/>
      <c r="CV147" s="1146"/>
      <c r="CW147" s="1146"/>
      <c r="CX147" s="1146"/>
      <c r="CY147" s="1146"/>
      <c r="CZ147" s="1146"/>
      <c r="DA147" s="1146"/>
      <c r="DB147" s="1146"/>
      <c r="DC147" s="1146"/>
      <c r="DD147" s="1146"/>
    </row>
    <row r="148" spans="2:108" ht="24" customHeight="1" thickBot="1">
      <c r="C148" s="608" t="s">
        <v>593</v>
      </c>
      <c r="D148" s="608"/>
      <c r="E148" s="608"/>
      <c r="F148" s="12"/>
      <c r="G148" s="1098">
        <f t="shared" ref="G148:P148" si="143">G$74+G$130+G$145</f>
        <v>544.74376989125381</v>
      </c>
      <c r="H148" s="1098">
        <f t="shared" si="143"/>
        <v>183.99501047219411</v>
      </c>
      <c r="I148" s="1098">
        <f t="shared" si="143"/>
        <v>443.27401323896316</v>
      </c>
      <c r="J148" s="1098">
        <f t="shared" si="143"/>
        <v>502.50552967076953</v>
      </c>
      <c r="K148" s="1098">
        <f t="shared" si="143"/>
        <v>16.246998166435951</v>
      </c>
      <c r="L148" s="1098">
        <f t="shared" si="143"/>
        <v>8.7346938775510203</v>
      </c>
      <c r="M148" s="1098">
        <f t="shared" si="143"/>
        <v>18.81937240536579</v>
      </c>
      <c r="N148" s="1098">
        <f t="shared" si="143"/>
        <v>152.99167541479133</v>
      </c>
      <c r="O148" s="1098">
        <f t="shared" si="143"/>
        <v>29.222291428230907</v>
      </c>
      <c r="P148" s="1098">
        <f t="shared" si="143"/>
        <v>59.090632000000006</v>
      </c>
      <c r="Q148" s="1098">
        <f>SUM(G148:P148)</f>
        <v>1959.6239865655557</v>
      </c>
      <c r="S148" s="1099">
        <f t="shared" ref="S148:AH148" si="144">S$74+S$130+S$145</f>
        <v>-352.03495223253594</v>
      </c>
      <c r="T148" s="1099">
        <f t="shared" si="144"/>
        <v>354.72382686261983</v>
      </c>
      <c r="U148" s="1099">
        <f t="shared" si="144"/>
        <v>0</v>
      </c>
      <c r="V148" s="1099">
        <f t="shared" si="144"/>
        <v>-40.985250464344332</v>
      </c>
      <c r="W148" s="1099">
        <f t="shared" si="144"/>
        <v>15.047768550745332</v>
      </c>
      <c r="X148" s="1099">
        <f t="shared" si="144"/>
        <v>0.46688353851152442</v>
      </c>
      <c r="Y148" s="1099">
        <f t="shared" si="144"/>
        <v>35.994120424665141</v>
      </c>
      <c r="Z148" s="1099">
        <f t="shared" si="144"/>
        <v>-10.228142999999932</v>
      </c>
      <c r="AA148" s="1099">
        <f t="shared" si="144"/>
        <v>-0.11045622230000071</v>
      </c>
      <c r="AB148" s="1099">
        <f t="shared" si="144"/>
        <v>2.9616599999983118E-3</v>
      </c>
      <c r="AC148" s="1099">
        <f t="shared" si="144"/>
        <v>0</v>
      </c>
      <c r="AD148" s="1099">
        <f t="shared" si="144"/>
        <v>0</v>
      </c>
      <c r="AE148" s="1099">
        <f t="shared" si="144"/>
        <v>-0.34098803451720627</v>
      </c>
      <c r="AF148" s="1099">
        <f t="shared" si="144"/>
        <v>0</v>
      </c>
      <c r="AG148" s="1099">
        <f t="shared" si="144"/>
        <v>0</v>
      </c>
      <c r="AH148" s="1099">
        <f t="shared" si="144"/>
        <v>0</v>
      </c>
      <c r="AI148" s="1099">
        <f>SUM(S148:AH148)</f>
        <v>2.5357710828444113</v>
      </c>
      <c r="AK148" s="1100">
        <f t="shared" ref="AK148:BC148" ca="1" si="145">AK$74+AK$130+AK$145</f>
        <v>-145.79944495555736</v>
      </c>
      <c r="AL148" s="1100">
        <f t="shared" ca="1" si="145"/>
        <v>-887.46007573003203</v>
      </c>
      <c r="AM148" s="1100">
        <f t="shared" ca="1" si="145"/>
        <v>-834.0611502141918</v>
      </c>
      <c r="AN148" s="1100">
        <f t="shared" ca="1" si="145"/>
        <v>-26.262503111111116</v>
      </c>
      <c r="AO148" s="1100">
        <f t="shared" ca="1" si="145"/>
        <v>-5.2145242500000002</v>
      </c>
      <c r="AP148" s="1100">
        <f t="shared" ca="1" si="145"/>
        <v>60.581053896315709</v>
      </c>
      <c r="AQ148" s="1100">
        <f t="shared" ca="1" si="145"/>
        <v>-329.60273235621702</v>
      </c>
      <c r="AR148" s="1100">
        <f t="shared" ca="1" si="145"/>
        <v>-79.743976905201578</v>
      </c>
      <c r="AS148" s="1100">
        <f t="shared" ca="1" si="145"/>
        <v>-214.86865308275657</v>
      </c>
      <c r="AT148" s="1100">
        <f t="shared" ca="1" si="145"/>
        <v>-163.24447683045062</v>
      </c>
      <c r="AU148" s="1100">
        <f t="shared" ca="1" si="145"/>
        <v>-0.53605914770000007</v>
      </c>
      <c r="AV148" s="1100">
        <f t="shared" ca="1" si="145"/>
        <v>-6.9788618847825861</v>
      </c>
      <c r="AW148" s="1100">
        <f t="shared" ca="1" si="145"/>
        <v>0</v>
      </c>
      <c r="AX148" s="1100">
        <f t="shared" ca="1" si="145"/>
        <v>0</v>
      </c>
      <c r="AY148" s="1100">
        <f t="shared" ca="1" si="145"/>
        <v>0</v>
      </c>
      <c r="AZ148" s="1100">
        <f t="shared" ca="1" si="145"/>
        <v>-5.0883943400000007</v>
      </c>
      <c r="BA148" s="1100">
        <f t="shared" ca="1" si="145"/>
        <v>0</v>
      </c>
      <c r="BB148" s="1100">
        <f t="shared" ca="1" si="145"/>
        <v>-58.005772267812624</v>
      </c>
      <c r="BC148" s="1100">
        <f t="shared" ca="1" si="145"/>
        <v>-14.240524277899516</v>
      </c>
      <c r="BD148" s="1100">
        <f ca="1">SUM(AK148:BC148)</f>
        <v>-2710.5260954573973</v>
      </c>
      <c r="BF148" s="1101">
        <f>BF$74+BF$130+BF$145</f>
        <v>561.41930248844437</v>
      </c>
      <c r="BG148" s="1101">
        <f>BG$74+BG$130+BG$145</f>
        <v>186.94703532055274</v>
      </c>
      <c r="BH148" s="1101">
        <f>SUM(BF148:BG148)</f>
        <v>748.36633780899706</v>
      </c>
      <c r="BJ148" s="514">
        <f t="shared" ca="1" si="136"/>
        <v>0</v>
      </c>
      <c r="BK148" s="514"/>
      <c r="BM148" s="1146"/>
      <c r="BN148" s="1146"/>
      <c r="BO148" s="1146"/>
      <c r="BP148" s="1146"/>
      <c r="BQ148" s="1146"/>
      <c r="BR148" s="1146"/>
      <c r="BS148" s="1146"/>
      <c r="BT148" s="1146"/>
      <c r="BU148" s="1146"/>
      <c r="BV148" s="1146"/>
      <c r="BW148" s="1146"/>
      <c r="BX148" s="1146"/>
      <c r="BY148" s="1146"/>
      <c r="BZ148" s="1146"/>
      <c r="CA148" s="1146"/>
      <c r="CB148" s="1146"/>
      <c r="CC148" s="1146"/>
      <c r="CD148" s="1146"/>
      <c r="CE148" s="1146"/>
      <c r="CF148" s="1146"/>
      <c r="CG148" s="1146"/>
      <c r="CH148" s="1146"/>
      <c r="CI148" s="1146"/>
      <c r="CJ148" s="1146"/>
      <c r="CK148" s="1146"/>
      <c r="CL148" s="1146"/>
      <c r="CM148" s="1146"/>
      <c r="CN148" s="1146"/>
      <c r="CO148" s="1146"/>
      <c r="CP148" s="1146"/>
      <c r="CQ148" s="1146"/>
      <c r="CR148" s="1146"/>
      <c r="CS148" s="1146"/>
      <c r="CT148" s="1146"/>
      <c r="CU148" s="1146"/>
      <c r="CV148" s="1146"/>
      <c r="CW148" s="1146"/>
      <c r="CX148" s="1146"/>
      <c r="CY148" s="1146"/>
      <c r="CZ148" s="1146"/>
      <c r="DA148" s="1146"/>
      <c r="DB148" s="1146"/>
      <c r="DC148" s="1146"/>
      <c r="DD148" s="1146"/>
    </row>
    <row r="149" spans="2:108">
      <c r="F149" s="12"/>
      <c r="G149" s="995"/>
      <c r="H149" s="995"/>
      <c r="I149" s="995"/>
      <c r="J149" s="995"/>
      <c r="K149" s="996"/>
      <c r="L149" s="995"/>
      <c r="M149" s="995"/>
      <c r="N149" s="995"/>
      <c r="O149" s="995"/>
      <c r="P149" s="995"/>
      <c r="Q149" s="995"/>
      <c r="S149" s="998"/>
      <c r="T149" s="998"/>
      <c r="U149" s="998"/>
      <c r="V149" s="998"/>
      <c r="W149" s="998"/>
      <c r="X149" s="998"/>
      <c r="Y149" s="998"/>
      <c r="Z149" s="998"/>
      <c r="AA149" s="998"/>
      <c r="AB149" s="998"/>
      <c r="AC149" s="998"/>
      <c r="AD149" s="998"/>
      <c r="AE149" s="998"/>
      <c r="AF149" s="998"/>
      <c r="AG149" s="998"/>
      <c r="AH149" s="998"/>
      <c r="AI149" s="998"/>
      <c r="AK149" s="1000"/>
      <c r="AL149" s="1000"/>
      <c r="AM149" s="1000"/>
      <c r="AN149" s="1000"/>
      <c r="AO149" s="1000"/>
      <c r="AP149" s="1000"/>
      <c r="AQ149" s="1000"/>
      <c r="AR149" s="1000"/>
      <c r="AS149" s="1000"/>
      <c r="AT149" s="1000"/>
      <c r="AU149" s="1000"/>
      <c r="AV149" s="1000"/>
      <c r="AW149" s="1000"/>
      <c r="AX149" s="1000"/>
      <c r="AY149" s="1000"/>
      <c r="AZ149" s="1000"/>
      <c r="BA149" s="1000"/>
      <c r="BB149" s="1000"/>
      <c r="BC149" s="1000"/>
      <c r="BD149" s="1000"/>
      <c r="BF149" s="1002"/>
      <c r="BG149" s="1002"/>
      <c r="BH149" s="1002"/>
      <c r="BJ149" s="515"/>
      <c r="BK149" s="515"/>
      <c r="BM149" s="1150"/>
      <c r="BN149" s="1150"/>
      <c r="BO149" s="1150"/>
      <c r="BP149" s="1150"/>
      <c r="BQ149" s="1150"/>
      <c r="BR149" s="1150"/>
      <c r="BS149" s="1150"/>
      <c r="BT149" s="1150"/>
      <c r="BU149" s="1150"/>
      <c r="BV149" s="1150"/>
      <c r="BW149" s="1150"/>
      <c r="BX149" s="1150"/>
      <c r="BY149" s="1150"/>
      <c r="BZ149" s="1150"/>
      <c r="CA149" s="1150"/>
      <c r="CB149" s="1150"/>
      <c r="CC149" s="1150"/>
      <c r="CD149" s="1150"/>
      <c r="CE149" s="1150"/>
      <c r="CF149" s="1150"/>
      <c r="CG149" s="1150"/>
      <c r="CH149" s="1150"/>
      <c r="CI149" s="1150"/>
      <c r="CJ149" s="1150"/>
      <c r="CK149" s="1150"/>
      <c r="CL149" s="1150"/>
      <c r="CM149" s="1150"/>
      <c r="CN149" s="1150"/>
      <c r="CO149" s="1150"/>
      <c r="CP149" s="1150"/>
      <c r="CQ149" s="1150"/>
      <c r="CR149" s="1150"/>
      <c r="CS149" s="1150"/>
      <c r="CT149" s="1150"/>
      <c r="CU149" s="1150"/>
      <c r="CV149" s="1150"/>
      <c r="CW149" s="1150"/>
      <c r="CX149" s="1150"/>
      <c r="CY149" s="1150"/>
      <c r="CZ149" s="1150"/>
      <c r="DA149" s="1150"/>
      <c r="DB149" s="1150"/>
      <c r="DC149" s="1150"/>
      <c r="DD149" s="1150"/>
    </row>
    <row r="150" spans="2:108">
      <c r="F150" s="12"/>
      <c r="G150" s="515"/>
      <c r="H150" s="515"/>
      <c r="I150" s="515"/>
      <c r="J150" s="515"/>
      <c r="K150" s="519"/>
      <c r="L150" s="515"/>
      <c r="M150" s="515"/>
      <c r="N150" s="515"/>
      <c r="O150" s="515"/>
      <c r="P150" s="515"/>
      <c r="Q150" s="515"/>
      <c r="S150" s="515"/>
      <c r="T150" s="515"/>
      <c r="U150" s="515"/>
      <c r="V150" s="515"/>
      <c r="W150" s="515"/>
      <c r="X150" s="515"/>
      <c r="Y150" s="515"/>
      <c r="Z150" s="515"/>
      <c r="AA150" s="515"/>
      <c r="AB150" s="515"/>
      <c r="AC150" s="515"/>
      <c r="AD150" s="515"/>
      <c r="AE150" s="515"/>
      <c r="AF150" s="515"/>
      <c r="AG150" s="515"/>
      <c r="AH150" s="515"/>
      <c r="AI150" s="515"/>
      <c r="AK150" s="515"/>
      <c r="AL150" s="515"/>
      <c r="AM150" s="515"/>
      <c r="AN150" s="515"/>
      <c r="AO150" s="515"/>
      <c r="AP150" s="515"/>
      <c r="AQ150" s="515"/>
      <c r="AR150" s="515"/>
      <c r="AS150" s="515"/>
      <c r="AT150" s="515"/>
      <c r="AU150" s="515"/>
      <c r="AV150" s="515"/>
      <c r="AW150" s="515"/>
      <c r="AX150" s="515"/>
      <c r="AY150" s="515"/>
      <c r="AZ150" s="515"/>
      <c r="BA150" s="515"/>
      <c r="BB150" s="515"/>
      <c r="BC150" s="515"/>
      <c r="BD150" s="515"/>
      <c r="BF150" s="515"/>
      <c r="BG150" s="515"/>
      <c r="BH150" s="515"/>
      <c r="BJ150" s="515"/>
      <c r="BK150" s="515"/>
    </row>
    <row r="151" spans="2:108">
      <c r="B151" s="121" t="s">
        <v>798</v>
      </c>
      <c r="C151" s="1095" t="s">
        <v>1240</v>
      </c>
      <c r="F151" s="12"/>
      <c r="G151" s="515"/>
      <c r="H151" s="515"/>
      <c r="I151" s="515"/>
      <c r="J151" s="515"/>
      <c r="K151" s="519"/>
      <c r="L151" s="515"/>
      <c r="M151" s="515"/>
      <c r="N151" s="515"/>
      <c r="O151" s="515"/>
      <c r="P151" s="515"/>
      <c r="Q151" s="515"/>
      <c r="S151" s="515"/>
      <c r="T151" s="515"/>
      <c r="U151" s="515"/>
      <c r="V151" s="515"/>
      <c r="W151" s="515"/>
      <c r="X151" s="515"/>
      <c r="Y151" s="515"/>
      <c r="Z151" s="515"/>
      <c r="AA151" s="515"/>
      <c r="AB151" s="515"/>
      <c r="AC151" s="515"/>
      <c r="AD151" s="515"/>
      <c r="AE151" s="515"/>
      <c r="AF151" s="515"/>
      <c r="AG151" s="515"/>
      <c r="AH151" s="515"/>
      <c r="AI151" s="515"/>
      <c r="AK151" s="515"/>
      <c r="AL151" s="515"/>
      <c r="AM151" s="515"/>
      <c r="AN151" s="515"/>
      <c r="AO151" s="515"/>
      <c r="AP151" s="515"/>
      <c r="AQ151" s="515"/>
      <c r="AR151" s="515"/>
      <c r="AS151" s="515"/>
      <c r="AT151" s="515"/>
      <c r="AU151" s="515"/>
      <c r="AV151" s="515"/>
      <c r="AW151" s="515"/>
      <c r="AX151" s="515"/>
      <c r="AY151" s="515"/>
      <c r="AZ151" s="515"/>
      <c r="BA151" s="515"/>
      <c r="BB151" s="515"/>
      <c r="BC151" s="515"/>
      <c r="BD151" s="515"/>
      <c r="BF151" s="515"/>
      <c r="BG151" s="515"/>
      <c r="BH151" s="515"/>
      <c r="BJ151" s="515"/>
      <c r="BK151" s="515"/>
    </row>
    <row r="152" spans="2:108">
      <c r="C152" s="1095"/>
      <c r="F152" s="12"/>
      <c r="G152" s="515"/>
      <c r="H152" s="515"/>
      <c r="I152" s="515"/>
      <c r="J152" s="515"/>
      <c r="K152" s="519"/>
      <c r="L152" s="515"/>
      <c r="M152" s="515"/>
      <c r="N152" s="515"/>
      <c r="O152" s="515"/>
      <c r="P152" s="515"/>
      <c r="Q152" s="515"/>
      <c r="S152" s="515"/>
      <c r="T152" s="515"/>
      <c r="U152" s="515"/>
      <c r="V152" s="515"/>
      <c r="W152" s="515"/>
      <c r="X152" s="515"/>
      <c r="Y152" s="515"/>
      <c r="Z152" s="515"/>
      <c r="AA152" s="515"/>
      <c r="AB152" s="515"/>
      <c r="AC152" s="515"/>
      <c r="AD152" s="515"/>
      <c r="AE152" s="515"/>
      <c r="AF152" s="515"/>
      <c r="AG152" s="515"/>
      <c r="AH152" s="515"/>
      <c r="AI152" s="515"/>
      <c r="AK152" s="515"/>
      <c r="AL152" s="515"/>
      <c r="AM152" s="515"/>
      <c r="AN152" s="515"/>
      <c r="AO152" s="515"/>
      <c r="AP152" s="515"/>
      <c r="AQ152" s="515"/>
      <c r="AR152" s="515"/>
      <c r="AS152" s="515"/>
      <c r="AT152" s="515"/>
      <c r="AU152" s="515"/>
      <c r="AV152" s="515"/>
      <c r="AW152" s="515"/>
      <c r="AX152" s="515"/>
      <c r="AY152" s="515"/>
      <c r="AZ152" s="515"/>
      <c r="BA152" s="515"/>
      <c r="BB152" s="515"/>
      <c r="BC152" s="515"/>
      <c r="BD152" s="515"/>
      <c r="BF152" s="515"/>
      <c r="BG152" s="515"/>
      <c r="BH152" s="515"/>
      <c r="BJ152" s="515"/>
      <c r="BK152" s="515"/>
    </row>
    <row r="153" spans="2:108" ht="15.75">
      <c r="B153" s="3"/>
      <c r="F153" s="12"/>
      <c r="G153" s="515"/>
      <c r="H153" s="515"/>
      <c r="I153" s="515"/>
      <c r="J153" s="515"/>
      <c r="K153" s="519"/>
      <c r="L153" s="515"/>
      <c r="M153" s="515"/>
      <c r="N153" s="515"/>
      <c r="O153" s="515"/>
      <c r="P153" s="515"/>
      <c r="Q153" s="515"/>
      <c r="S153" s="515"/>
      <c r="T153" s="515"/>
      <c r="U153" s="515"/>
      <c r="V153" s="515"/>
      <c r="W153" s="515"/>
      <c r="X153" s="515"/>
      <c r="Y153" s="515"/>
      <c r="Z153" s="515"/>
      <c r="AA153" s="515"/>
      <c r="AB153" s="515"/>
      <c r="AC153" s="515"/>
      <c r="AD153" s="515"/>
      <c r="AE153" s="515"/>
      <c r="AF153" s="515"/>
      <c r="AG153" s="515"/>
      <c r="AH153" s="515"/>
      <c r="AI153" s="515"/>
      <c r="AK153" s="515"/>
      <c r="AL153" s="515"/>
      <c r="AM153" s="515"/>
      <c r="AN153" s="515"/>
      <c r="AO153" s="515"/>
      <c r="AP153" s="515"/>
      <c r="AQ153" s="515"/>
      <c r="AR153" s="515"/>
      <c r="AS153" s="515"/>
      <c r="AT153" s="515"/>
      <c r="AU153" s="515"/>
      <c r="AV153" s="515"/>
      <c r="AW153" s="515"/>
      <c r="AX153" s="515"/>
      <c r="AY153" s="515"/>
      <c r="AZ153" s="515"/>
      <c r="BA153" s="515"/>
      <c r="BB153" s="515"/>
      <c r="BC153" s="515"/>
      <c r="BD153" s="515"/>
      <c r="BF153" s="515"/>
      <c r="BG153" s="515"/>
      <c r="BH153" s="515"/>
      <c r="BJ153" s="515"/>
      <c r="BK153" s="515"/>
    </row>
    <row r="154" spans="2:108">
      <c r="F154" s="12"/>
      <c r="G154" s="515"/>
      <c r="H154" s="515"/>
      <c r="I154" s="515"/>
      <c r="J154" s="515"/>
      <c r="K154" s="519"/>
      <c r="L154" s="515"/>
      <c r="M154" s="515"/>
      <c r="N154" s="515"/>
      <c r="O154" s="515"/>
      <c r="P154" s="515"/>
      <c r="Q154" s="515"/>
      <c r="S154" s="515"/>
      <c r="T154" s="515"/>
      <c r="U154" s="515"/>
      <c r="V154" s="515"/>
      <c r="W154" s="515"/>
      <c r="X154" s="515"/>
      <c r="Y154" s="515"/>
      <c r="Z154" s="515"/>
      <c r="AA154" s="515"/>
      <c r="AB154" s="515"/>
      <c r="AC154" s="515"/>
      <c r="AD154" s="515"/>
      <c r="AE154" s="515"/>
      <c r="AF154" s="515"/>
      <c r="AG154" s="515"/>
      <c r="AH154" s="515"/>
      <c r="AI154" s="515"/>
      <c r="AK154" s="515"/>
      <c r="AL154" s="515"/>
      <c r="AM154" s="515"/>
      <c r="AN154" s="515"/>
      <c r="AO154" s="515"/>
      <c r="AP154" s="515"/>
      <c r="AQ154" s="515"/>
      <c r="AR154" s="515"/>
      <c r="AS154" s="515"/>
      <c r="AT154" s="515"/>
      <c r="AU154" s="515"/>
      <c r="AV154" s="515"/>
      <c r="AW154" s="515"/>
      <c r="AX154" s="515"/>
      <c r="AY154" s="515"/>
      <c r="AZ154" s="515"/>
      <c r="BA154" s="515"/>
      <c r="BB154" s="515"/>
      <c r="BC154" s="515"/>
      <c r="BD154" s="515"/>
      <c r="BF154" s="515"/>
      <c r="BG154" s="515"/>
      <c r="BH154" s="515"/>
      <c r="BJ154" s="515"/>
      <c r="BK154" s="515"/>
    </row>
    <row r="155" spans="2:108" ht="15.75">
      <c r="B155" s="3"/>
      <c r="F155" s="12"/>
      <c r="G155" s="515"/>
      <c r="H155" s="515"/>
      <c r="I155" s="515"/>
      <c r="J155" s="515"/>
      <c r="K155" s="519"/>
      <c r="L155" s="515"/>
      <c r="M155" s="515"/>
      <c r="N155" s="515"/>
      <c r="O155" s="515"/>
      <c r="P155" s="515"/>
      <c r="Q155" s="515"/>
      <c r="S155" s="515"/>
      <c r="T155" s="515"/>
      <c r="U155" s="515"/>
      <c r="V155" s="515"/>
      <c r="W155" s="515"/>
      <c r="X155" s="515"/>
      <c r="Y155" s="515"/>
      <c r="Z155" s="515"/>
      <c r="AA155" s="515"/>
      <c r="AB155" s="515"/>
      <c r="AC155" s="515"/>
      <c r="AD155" s="515"/>
      <c r="AE155" s="515"/>
      <c r="AF155" s="515"/>
      <c r="AG155" s="515"/>
      <c r="AH155" s="515"/>
      <c r="AI155" s="515"/>
      <c r="AK155" s="515"/>
      <c r="AL155" s="515"/>
      <c r="AM155" s="515"/>
      <c r="AN155" s="515"/>
      <c r="AO155" s="515"/>
      <c r="AP155" s="515"/>
      <c r="AQ155" s="515"/>
      <c r="AR155" s="515"/>
      <c r="AS155" s="515"/>
      <c r="AT155" s="515"/>
      <c r="AU155" s="515"/>
      <c r="AV155" s="515"/>
      <c r="AW155" s="515"/>
      <c r="AX155" s="515"/>
      <c r="AY155" s="515"/>
      <c r="AZ155" s="515"/>
      <c r="BA155" s="515"/>
      <c r="BB155" s="515"/>
      <c r="BC155" s="515"/>
      <c r="BD155" s="515"/>
      <c r="BF155" s="515"/>
      <c r="BG155" s="515"/>
      <c r="BH155" s="515"/>
      <c r="BJ155" s="515"/>
      <c r="BK155" s="515"/>
    </row>
    <row r="156" spans="2:108" ht="15.75">
      <c r="B156" s="3"/>
      <c r="F156" s="12"/>
      <c r="G156" s="515"/>
      <c r="H156" s="515"/>
      <c r="I156" s="515"/>
      <c r="J156" s="515"/>
      <c r="K156" s="519"/>
      <c r="L156" s="515"/>
      <c r="M156" s="515"/>
      <c r="N156" s="515"/>
      <c r="O156" s="515"/>
      <c r="P156" s="515"/>
      <c r="Q156" s="515"/>
      <c r="S156" s="515"/>
      <c r="T156" s="515"/>
      <c r="U156" s="515"/>
      <c r="V156" s="515"/>
      <c r="W156" s="515"/>
      <c r="X156" s="515"/>
      <c r="Y156" s="515"/>
      <c r="Z156" s="515"/>
      <c r="AA156" s="515"/>
      <c r="AB156" s="515"/>
      <c r="AC156" s="515"/>
      <c r="AD156" s="515"/>
      <c r="AE156" s="515"/>
      <c r="AF156" s="515"/>
      <c r="AG156" s="515"/>
      <c r="AH156" s="515"/>
      <c r="AI156" s="515"/>
      <c r="AK156" s="515"/>
      <c r="AL156" s="515"/>
      <c r="AM156" s="515"/>
      <c r="AN156" s="515"/>
      <c r="AO156" s="515"/>
      <c r="AP156" s="515"/>
      <c r="AQ156" s="515"/>
      <c r="AR156" s="515"/>
      <c r="AS156" s="515"/>
      <c r="AT156" s="515"/>
      <c r="AU156" s="515"/>
      <c r="AV156" s="515"/>
      <c r="AW156" s="515"/>
      <c r="AX156" s="515"/>
      <c r="AY156" s="515"/>
      <c r="AZ156" s="515"/>
      <c r="BA156" s="515"/>
      <c r="BB156" s="515"/>
      <c r="BC156" s="515"/>
      <c r="BD156" s="515"/>
      <c r="BF156" s="515"/>
      <c r="BG156" s="515"/>
      <c r="BH156" s="515"/>
      <c r="BJ156" s="515"/>
      <c r="BK156" s="515"/>
    </row>
    <row r="157" spans="2:108" ht="15.75">
      <c r="B157" s="3"/>
      <c r="F157" s="12"/>
      <c r="G157" s="515"/>
      <c r="H157" s="515"/>
      <c r="I157" s="515"/>
      <c r="J157" s="515"/>
      <c r="K157" s="519"/>
      <c r="L157" s="515"/>
      <c r="M157" s="515"/>
      <c r="N157" s="515"/>
      <c r="O157" s="515"/>
      <c r="P157" s="515"/>
      <c r="Q157" s="515"/>
      <c r="S157" s="515"/>
      <c r="T157" s="515"/>
      <c r="U157" s="515"/>
      <c r="V157" s="515"/>
      <c r="W157" s="515"/>
      <c r="X157" s="515"/>
      <c r="Y157" s="515"/>
      <c r="Z157" s="515"/>
      <c r="AA157" s="515"/>
      <c r="AB157" s="515"/>
      <c r="AC157" s="515"/>
      <c r="AD157" s="515"/>
      <c r="AE157" s="515"/>
      <c r="AF157" s="515"/>
      <c r="AG157" s="515"/>
      <c r="AH157" s="515"/>
      <c r="AI157" s="515"/>
      <c r="AK157" s="515"/>
      <c r="AL157" s="515"/>
      <c r="AM157" s="515"/>
      <c r="AN157" s="515"/>
      <c r="AO157" s="515"/>
      <c r="AP157" s="515"/>
      <c r="AQ157" s="515"/>
      <c r="AR157" s="515"/>
      <c r="AS157" s="515"/>
      <c r="AT157" s="515"/>
      <c r="AU157" s="515"/>
      <c r="AV157" s="515"/>
      <c r="AW157" s="515"/>
      <c r="AX157" s="515"/>
      <c r="AY157" s="515"/>
      <c r="AZ157" s="515"/>
      <c r="BA157" s="515"/>
      <c r="BB157" s="515"/>
      <c r="BC157" s="515"/>
      <c r="BD157" s="515"/>
      <c r="BF157" s="515"/>
      <c r="BG157" s="515"/>
      <c r="BH157" s="515"/>
      <c r="BJ157" s="515"/>
      <c r="BK157" s="515"/>
    </row>
    <row r="158" spans="2:108" ht="15.75">
      <c r="B158" s="3"/>
      <c r="F158" s="12"/>
      <c r="G158" s="515"/>
      <c r="H158" s="515"/>
      <c r="I158" s="515"/>
      <c r="J158" s="515"/>
      <c r="K158" s="519"/>
      <c r="L158" s="515"/>
      <c r="M158" s="515"/>
      <c r="N158" s="515"/>
      <c r="O158" s="515"/>
      <c r="P158" s="515"/>
      <c r="Q158" s="515"/>
      <c r="S158" s="515"/>
      <c r="T158" s="515"/>
      <c r="U158" s="515"/>
      <c r="V158" s="515"/>
      <c r="W158" s="515"/>
      <c r="X158" s="515"/>
      <c r="Y158" s="515"/>
      <c r="Z158" s="515"/>
      <c r="AA158" s="515"/>
      <c r="AB158" s="515"/>
      <c r="AC158" s="515"/>
      <c r="AD158" s="515"/>
      <c r="AE158" s="515"/>
      <c r="AF158" s="515"/>
      <c r="AG158" s="515"/>
      <c r="AH158" s="515"/>
      <c r="AI158" s="515"/>
      <c r="AK158" s="515"/>
      <c r="AL158" s="515"/>
      <c r="AM158" s="515"/>
      <c r="AN158" s="515"/>
      <c r="AO158" s="515"/>
      <c r="AP158" s="515"/>
      <c r="AQ158" s="515"/>
      <c r="AR158" s="515"/>
      <c r="AS158" s="515"/>
      <c r="AT158" s="515"/>
      <c r="AU158" s="515"/>
      <c r="AV158" s="515"/>
      <c r="AW158" s="515"/>
      <c r="AX158" s="515"/>
      <c r="AY158" s="515"/>
      <c r="AZ158" s="515"/>
      <c r="BA158" s="515"/>
      <c r="BB158" s="515"/>
      <c r="BC158" s="515"/>
      <c r="BD158" s="515"/>
      <c r="BF158" s="515"/>
      <c r="BG158" s="515"/>
      <c r="BH158" s="515"/>
      <c r="BJ158" s="515"/>
      <c r="BK158" s="515"/>
    </row>
    <row r="159" spans="2:108" ht="15.75">
      <c r="B159" s="3"/>
      <c r="F159" s="12"/>
      <c r="G159" s="515"/>
      <c r="H159" s="515"/>
      <c r="I159" s="515"/>
      <c r="J159" s="515"/>
      <c r="K159" s="519"/>
      <c r="L159" s="515"/>
      <c r="M159" s="515"/>
      <c r="N159" s="515"/>
      <c r="O159" s="515"/>
      <c r="P159" s="515"/>
      <c r="Q159" s="515"/>
      <c r="S159" s="515"/>
      <c r="T159" s="515"/>
      <c r="U159" s="515"/>
      <c r="V159" s="515"/>
      <c r="W159" s="515"/>
      <c r="X159" s="515"/>
      <c r="Y159" s="515"/>
      <c r="Z159" s="515"/>
      <c r="AA159" s="515"/>
      <c r="AB159" s="515"/>
      <c r="AC159" s="515"/>
      <c r="AD159" s="515"/>
      <c r="AE159" s="515"/>
      <c r="AF159" s="515"/>
      <c r="AG159" s="515"/>
      <c r="AH159" s="515"/>
      <c r="AI159" s="515"/>
      <c r="AK159" s="515"/>
      <c r="AL159" s="515"/>
      <c r="AM159" s="515"/>
      <c r="AN159" s="515"/>
      <c r="AO159" s="515"/>
      <c r="AP159" s="515"/>
      <c r="AQ159" s="515"/>
      <c r="AR159" s="515"/>
      <c r="AS159" s="515"/>
      <c r="AT159" s="515"/>
      <c r="AU159" s="515"/>
      <c r="AV159" s="515"/>
      <c r="AW159" s="515"/>
      <c r="AX159" s="515"/>
      <c r="AY159" s="515"/>
      <c r="AZ159" s="515"/>
      <c r="BA159" s="515"/>
      <c r="BB159" s="515"/>
      <c r="BC159" s="515"/>
      <c r="BD159" s="515"/>
      <c r="BF159" s="515"/>
      <c r="BG159" s="515"/>
      <c r="BH159" s="515"/>
      <c r="BJ159" s="515"/>
      <c r="BK159" s="515"/>
    </row>
    <row r="160" spans="2:108" ht="15.75">
      <c r="B160" s="3"/>
      <c r="F160" s="12"/>
      <c r="G160" s="515"/>
      <c r="H160" s="515"/>
      <c r="I160" s="515"/>
      <c r="J160" s="515"/>
      <c r="K160" s="519"/>
      <c r="L160" s="515"/>
      <c r="M160" s="515"/>
      <c r="N160" s="515"/>
      <c r="O160" s="515"/>
      <c r="P160" s="515"/>
      <c r="Q160" s="515"/>
      <c r="S160" s="515"/>
      <c r="T160" s="515"/>
      <c r="U160" s="515"/>
      <c r="V160" s="515"/>
      <c r="W160" s="515"/>
      <c r="X160" s="515"/>
      <c r="Y160" s="515"/>
      <c r="Z160" s="515"/>
      <c r="AA160" s="515"/>
      <c r="AB160" s="515"/>
      <c r="AC160" s="515"/>
      <c r="AD160" s="515"/>
      <c r="AE160" s="515"/>
      <c r="AF160" s="515"/>
      <c r="AG160" s="515"/>
      <c r="AH160" s="515"/>
      <c r="AI160" s="515"/>
      <c r="AK160" s="515"/>
      <c r="AL160" s="515"/>
      <c r="AM160" s="515"/>
      <c r="AN160" s="515"/>
      <c r="AO160" s="515"/>
      <c r="AP160" s="515"/>
      <c r="AQ160" s="515"/>
      <c r="AR160" s="515"/>
      <c r="AS160" s="515"/>
      <c r="AT160" s="515"/>
      <c r="AU160" s="515"/>
      <c r="AV160" s="515"/>
      <c r="AW160" s="515"/>
      <c r="AX160" s="515"/>
      <c r="AY160" s="515"/>
      <c r="AZ160" s="515"/>
      <c r="BA160" s="515"/>
      <c r="BB160" s="515"/>
      <c r="BC160" s="515"/>
      <c r="BD160" s="515"/>
      <c r="BF160" s="515"/>
      <c r="BG160" s="515"/>
      <c r="BH160" s="515"/>
      <c r="BJ160" s="515"/>
      <c r="BK160" s="515"/>
    </row>
    <row r="161" spans="3:63">
      <c r="F161" s="12"/>
      <c r="G161" s="515"/>
      <c r="H161" s="515"/>
      <c r="I161" s="515"/>
      <c r="J161" s="515"/>
      <c r="K161" s="519"/>
      <c r="L161" s="515"/>
      <c r="M161" s="515"/>
      <c r="N161" s="515"/>
      <c r="O161" s="515"/>
      <c r="P161" s="515"/>
      <c r="Q161" s="515"/>
      <c r="S161" s="515"/>
      <c r="T161" s="515"/>
      <c r="U161" s="515"/>
      <c r="V161" s="515"/>
      <c r="W161" s="515"/>
      <c r="X161" s="515"/>
      <c r="Y161" s="515"/>
      <c r="Z161" s="515"/>
      <c r="AA161" s="515"/>
      <c r="AB161" s="515"/>
      <c r="AC161" s="515"/>
      <c r="AD161" s="515"/>
      <c r="AE161" s="515"/>
      <c r="AF161" s="515"/>
      <c r="AG161" s="515"/>
      <c r="AH161" s="515"/>
      <c r="AI161" s="515"/>
      <c r="AK161" s="515"/>
      <c r="AL161" s="515"/>
      <c r="AM161" s="515"/>
      <c r="AN161" s="515"/>
      <c r="AO161" s="515"/>
      <c r="AP161" s="515"/>
      <c r="AQ161" s="515"/>
      <c r="AR161" s="515"/>
      <c r="AS161" s="515"/>
      <c r="AT161" s="515"/>
      <c r="AU161" s="515"/>
      <c r="AV161" s="515"/>
      <c r="AW161" s="515"/>
      <c r="AX161" s="515"/>
      <c r="AY161" s="515"/>
      <c r="AZ161" s="515"/>
      <c r="BA161" s="515"/>
      <c r="BB161" s="515"/>
      <c r="BC161" s="515"/>
      <c r="BD161" s="515"/>
      <c r="BF161" s="515"/>
      <c r="BG161" s="515"/>
      <c r="BH161" s="515"/>
      <c r="BJ161" s="515"/>
      <c r="BK161" s="515"/>
    </row>
    <row r="162" spans="3:63" ht="24" customHeight="1">
      <c r="F162" s="12"/>
      <c r="G162" s="515"/>
      <c r="H162" s="515"/>
      <c r="I162" s="515"/>
      <c r="J162" s="515"/>
      <c r="K162" s="519"/>
      <c r="L162" s="515"/>
      <c r="M162" s="515"/>
      <c r="N162" s="515"/>
      <c r="O162" s="515"/>
      <c r="P162" s="515"/>
      <c r="Q162" s="515"/>
      <c r="S162" s="515"/>
      <c r="T162" s="515"/>
      <c r="U162" s="515"/>
      <c r="V162" s="515"/>
      <c r="W162" s="515"/>
      <c r="X162" s="515"/>
      <c r="Y162" s="515"/>
      <c r="Z162" s="515"/>
      <c r="AA162" s="515"/>
      <c r="AB162" s="515"/>
      <c r="AC162" s="515"/>
      <c r="AD162" s="515"/>
      <c r="AE162" s="515"/>
      <c r="AF162" s="515"/>
      <c r="AG162" s="515"/>
      <c r="AH162" s="515"/>
      <c r="AI162" s="515"/>
      <c r="AK162" s="515"/>
      <c r="AL162" s="515"/>
      <c r="AM162" s="515"/>
      <c r="AN162" s="515"/>
      <c r="AO162" s="515"/>
      <c r="AP162" s="515"/>
      <c r="AQ162" s="515"/>
      <c r="AR162" s="515"/>
      <c r="AS162" s="515"/>
      <c r="AT162" s="515"/>
      <c r="AU162" s="515"/>
      <c r="AV162" s="515"/>
      <c r="AW162" s="515"/>
      <c r="AX162" s="515"/>
      <c r="AY162" s="515"/>
      <c r="AZ162" s="515"/>
      <c r="BA162" s="515"/>
      <c r="BB162" s="515"/>
      <c r="BC162" s="515"/>
      <c r="BD162" s="515"/>
      <c r="BF162" s="515"/>
      <c r="BG162" s="515"/>
      <c r="BH162" s="515"/>
      <c r="BJ162" s="515"/>
      <c r="BK162" s="515"/>
    </row>
    <row r="163" spans="3:63">
      <c r="F163" s="12"/>
      <c r="G163" s="515"/>
      <c r="H163" s="515"/>
      <c r="I163" s="515"/>
      <c r="J163" s="515"/>
      <c r="K163" s="519"/>
      <c r="L163" s="515"/>
      <c r="M163" s="515"/>
      <c r="N163" s="515"/>
      <c r="O163" s="515"/>
      <c r="P163" s="515"/>
      <c r="Q163" s="515"/>
      <c r="S163" s="515"/>
      <c r="T163" s="515"/>
      <c r="U163" s="515"/>
      <c r="V163" s="515"/>
      <c r="W163" s="515"/>
      <c r="X163" s="515"/>
      <c r="Y163" s="515"/>
      <c r="Z163" s="515"/>
      <c r="AA163" s="515"/>
      <c r="AB163" s="515"/>
      <c r="AC163" s="515"/>
      <c r="AD163" s="515"/>
      <c r="AE163" s="515"/>
      <c r="AF163" s="515"/>
      <c r="AG163" s="515"/>
      <c r="AH163" s="515"/>
      <c r="AI163" s="515"/>
      <c r="AK163" s="515"/>
      <c r="AL163" s="515"/>
      <c r="AM163" s="515"/>
      <c r="AN163" s="515"/>
      <c r="AO163" s="515"/>
      <c r="AP163" s="515"/>
      <c r="AQ163" s="515"/>
      <c r="AR163" s="515"/>
      <c r="AS163" s="515"/>
      <c r="AT163" s="515"/>
      <c r="AU163" s="515"/>
      <c r="AV163" s="515"/>
      <c r="AW163" s="515"/>
      <c r="AX163" s="515"/>
      <c r="AY163" s="515"/>
      <c r="AZ163" s="515"/>
      <c r="BA163" s="515"/>
      <c r="BB163" s="515"/>
      <c r="BC163" s="515"/>
      <c r="BD163" s="515"/>
      <c r="BF163" s="515"/>
      <c r="BG163" s="515"/>
      <c r="BH163" s="515"/>
      <c r="BJ163" s="515"/>
      <c r="BK163" s="515"/>
    </row>
    <row r="164" spans="3:63">
      <c r="C164" s="520"/>
      <c r="D164" s="38"/>
      <c r="F164" s="12"/>
      <c r="G164" s="515"/>
      <c r="H164" s="515"/>
      <c r="I164" s="515"/>
      <c r="J164" s="515"/>
      <c r="K164" s="519"/>
      <c r="L164" s="515"/>
      <c r="M164" s="515"/>
      <c r="N164" s="515"/>
      <c r="O164" s="515"/>
      <c r="P164" s="515"/>
      <c r="Q164" s="515"/>
      <c r="S164" s="515"/>
      <c r="T164" s="515"/>
      <c r="U164" s="515"/>
      <c r="V164" s="515"/>
      <c r="W164" s="515"/>
      <c r="X164" s="515"/>
      <c r="Y164" s="515"/>
      <c r="Z164" s="515"/>
      <c r="AA164" s="515"/>
      <c r="AB164" s="515"/>
      <c r="AC164" s="515"/>
      <c r="AD164" s="515"/>
      <c r="AE164" s="515"/>
      <c r="AF164" s="515"/>
      <c r="AG164" s="515"/>
      <c r="AH164" s="515"/>
      <c r="AI164" s="515"/>
      <c r="AK164" s="515"/>
      <c r="AL164" s="515"/>
      <c r="AM164" s="515"/>
      <c r="AN164" s="515"/>
      <c r="AO164" s="515"/>
      <c r="AP164" s="515"/>
      <c r="AQ164" s="515"/>
      <c r="AR164" s="515"/>
      <c r="AS164" s="515"/>
      <c r="AT164" s="515"/>
      <c r="AU164" s="515"/>
      <c r="AV164" s="515"/>
      <c r="AW164" s="515"/>
      <c r="AX164" s="515"/>
      <c r="AY164" s="515"/>
      <c r="AZ164" s="515"/>
      <c r="BA164" s="515"/>
      <c r="BB164" s="515"/>
      <c r="BC164" s="515"/>
      <c r="BD164" s="515"/>
      <c r="BF164" s="515"/>
      <c r="BG164" s="515"/>
      <c r="BH164" s="515"/>
      <c r="BJ164" s="515"/>
      <c r="BK164" s="515"/>
    </row>
    <row r="165" spans="3:63">
      <c r="F165" s="12"/>
      <c r="G165" s="515"/>
      <c r="H165" s="515"/>
      <c r="I165" s="515"/>
      <c r="J165" s="515"/>
      <c r="K165" s="519"/>
      <c r="L165" s="515"/>
      <c r="M165" s="515"/>
      <c r="N165" s="515"/>
      <c r="O165" s="515"/>
      <c r="P165" s="515"/>
      <c r="Q165" s="515"/>
      <c r="S165" s="515"/>
      <c r="T165" s="515"/>
      <c r="U165" s="515"/>
      <c r="V165" s="515"/>
      <c r="W165" s="515"/>
      <c r="X165" s="515"/>
      <c r="Y165" s="515"/>
      <c r="Z165" s="515"/>
      <c r="AA165" s="515"/>
      <c r="AB165" s="515"/>
      <c r="AC165" s="515"/>
      <c r="AD165" s="515"/>
      <c r="AE165" s="515"/>
      <c r="AF165" s="515"/>
      <c r="AG165" s="515"/>
      <c r="AH165" s="515"/>
      <c r="AI165" s="515"/>
      <c r="AK165" s="515"/>
      <c r="AL165" s="515"/>
      <c r="AM165" s="515"/>
      <c r="AN165" s="515"/>
      <c r="AO165" s="515"/>
      <c r="AP165" s="515"/>
      <c r="AQ165" s="515"/>
      <c r="AR165" s="515"/>
      <c r="AS165" s="515"/>
      <c r="AT165" s="515"/>
      <c r="AU165" s="515"/>
      <c r="AV165" s="515"/>
      <c r="AW165" s="515"/>
      <c r="AX165" s="515"/>
      <c r="AY165" s="515"/>
      <c r="AZ165" s="515"/>
      <c r="BA165" s="515"/>
      <c r="BB165" s="515"/>
      <c r="BC165" s="515"/>
      <c r="BD165" s="515"/>
      <c r="BF165" s="515"/>
      <c r="BG165" s="515"/>
      <c r="BH165" s="515"/>
      <c r="BJ165" s="515"/>
      <c r="BK165" s="515"/>
    </row>
    <row r="166" spans="3:63">
      <c r="F166" s="12"/>
      <c r="G166" s="515"/>
      <c r="H166" s="515"/>
      <c r="I166" s="515"/>
      <c r="J166" s="515"/>
      <c r="K166" s="519"/>
      <c r="L166" s="515"/>
      <c r="M166" s="515"/>
      <c r="N166" s="515"/>
      <c r="O166" s="515"/>
      <c r="P166" s="515"/>
      <c r="Q166" s="515"/>
      <c r="S166" s="515"/>
      <c r="T166" s="515"/>
      <c r="U166" s="515"/>
      <c r="V166" s="515"/>
      <c r="W166" s="515"/>
      <c r="X166" s="515"/>
      <c r="Y166" s="515"/>
      <c r="Z166" s="515"/>
      <c r="AA166" s="515"/>
      <c r="AB166" s="515"/>
      <c r="AC166" s="515"/>
      <c r="AD166" s="515"/>
      <c r="AE166" s="515"/>
      <c r="AF166" s="515"/>
      <c r="AG166" s="515"/>
      <c r="AH166" s="515"/>
      <c r="AI166" s="515"/>
      <c r="AK166" s="515"/>
      <c r="AL166" s="515"/>
      <c r="AM166" s="515"/>
      <c r="AN166" s="515"/>
      <c r="AO166" s="515"/>
      <c r="AP166" s="515"/>
      <c r="AQ166" s="515"/>
      <c r="AR166" s="515"/>
      <c r="AS166" s="515"/>
      <c r="AT166" s="515"/>
      <c r="AU166" s="515"/>
      <c r="AV166" s="515"/>
      <c r="AW166" s="515"/>
      <c r="AX166" s="515"/>
      <c r="AY166" s="515"/>
      <c r="AZ166" s="515"/>
      <c r="BA166" s="515"/>
      <c r="BB166" s="515"/>
      <c r="BC166" s="515"/>
      <c r="BD166" s="515"/>
      <c r="BF166" s="515"/>
      <c r="BG166" s="515"/>
      <c r="BH166" s="515"/>
      <c r="BJ166" s="515"/>
      <c r="BK166" s="515"/>
    </row>
    <row r="167" spans="3:63">
      <c r="F167" s="12"/>
      <c r="G167" s="515"/>
      <c r="H167" s="515"/>
      <c r="I167" s="515"/>
      <c r="J167" s="515"/>
      <c r="K167" s="519"/>
      <c r="L167" s="515"/>
      <c r="M167" s="515"/>
      <c r="N167" s="515"/>
      <c r="O167" s="515"/>
      <c r="P167" s="515"/>
      <c r="Q167" s="515"/>
      <c r="S167" s="515"/>
      <c r="T167" s="515"/>
      <c r="U167" s="515"/>
      <c r="V167" s="515"/>
      <c r="W167" s="515"/>
      <c r="X167" s="515"/>
      <c r="Y167" s="515"/>
      <c r="Z167" s="515"/>
      <c r="AA167" s="515"/>
      <c r="AB167" s="515"/>
      <c r="AC167" s="515"/>
      <c r="AD167" s="515"/>
      <c r="AE167" s="515"/>
      <c r="AF167" s="515"/>
      <c r="AG167" s="515"/>
      <c r="AH167" s="515"/>
      <c r="AI167" s="515"/>
      <c r="AK167" s="515"/>
      <c r="AL167" s="515"/>
      <c r="AM167" s="515"/>
      <c r="AN167" s="515"/>
      <c r="AO167" s="515"/>
      <c r="AP167" s="515"/>
      <c r="AQ167" s="515"/>
      <c r="AR167" s="515"/>
      <c r="AS167" s="515"/>
      <c r="AT167" s="515"/>
      <c r="AU167" s="515"/>
      <c r="AV167" s="515"/>
      <c r="AW167" s="515"/>
      <c r="AX167" s="515"/>
      <c r="AY167" s="515"/>
      <c r="AZ167" s="515"/>
      <c r="BA167" s="515"/>
      <c r="BB167" s="515"/>
      <c r="BC167" s="515"/>
      <c r="BD167" s="515"/>
      <c r="BF167" s="515"/>
      <c r="BG167" s="515"/>
      <c r="BH167" s="515"/>
      <c r="BJ167" s="515"/>
      <c r="BK167" s="515"/>
    </row>
    <row r="168" spans="3:63">
      <c r="F168" s="12"/>
      <c r="G168" s="515"/>
      <c r="H168" s="515"/>
      <c r="I168" s="515"/>
      <c r="J168" s="515"/>
      <c r="K168" s="519"/>
      <c r="L168" s="515"/>
      <c r="M168" s="515"/>
      <c r="N168" s="515"/>
      <c r="O168" s="515"/>
      <c r="P168" s="515"/>
      <c r="Q168" s="515"/>
      <c r="S168" s="515"/>
      <c r="T168" s="515"/>
      <c r="U168" s="515"/>
      <c r="V168" s="515"/>
      <c r="W168" s="515"/>
      <c r="X168" s="515"/>
      <c r="Y168" s="515"/>
      <c r="Z168" s="515"/>
      <c r="AA168" s="515"/>
      <c r="AB168" s="515"/>
      <c r="AC168" s="515"/>
      <c r="AD168" s="515"/>
      <c r="AE168" s="515"/>
      <c r="AF168" s="515"/>
      <c r="AG168" s="515"/>
      <c r="AH168" s="515"/>
      <c r="AI168" s="515"/>
      <c r="AK168" s="515"/>
      <c r="AL168" s="515"/>
      <c r="AM168" s="515"/>
      <c r="AN168" s="515"/>
      <c r="AO168" s="515"/>
      <c r="AP168" s="515"/>
      <c r="AQ168" s="515"/>
      <c r="AR168" s="515"/>
      <c r="AS168" s="515"/>
      <c r="AT168" s="515"/>
      <c r="AU168" s="515"/>
      <c r="AV168" s="515"/>
      <c r="AW168" s="515"/>
      <c r="AX168" s="515"/>
      <c r="AY168" s="515"/>
      <c r="AZ168" s="515"/>
      <c r="BA168" s="515"/>
      <c r="BB168" s="515"/>
      <c r="BC168" s="515"/>
      <c r="BD168" s="515"/>
      <c r="BF168" s="515"/>
      <c r="BG168" s="515"/>
      <c r="BH168" s="515"/>
      <c r="BJ168" s="515"/>
      <c r="BK168" s="515"/>
    </row>
    <row r="169" spans="3:63">
      <c r="F169" s="12"/>
      <c r="G169" s="515"/>
      <c r="H169" s="515"/>
      <c r="I169" s="515"/>
      <c r="J169" s="515"/>
      <c r="K169" s="519"/>
      <c r="L169" s="515"/>
      <c r="M169" s="515"/>
      <c r="N169" s="515"/>
      <c r="O169" s="515"/>
      <c r="P169" s="515"/>
      <c r="Q169" s="515"/>
      <c r="S169" s="515"/>
      <c r="T169" s="515"/>
      <c r="U169" s="515"/>
      <c r="V169" s="515"/>
      <c r="W169" s="515"/>
      <c r="X169" s="515"/>
      <c r="Y169" s="515"/>
      <c r="Z169" s="515"/>
      <c r="AA169" s="515"/>
      <c r="AB169" s="515"/>
      <c r="AC169" s="515"/>
      <c r="AD169" s="515"/>
      <c r="AE169" s="515"/>
      <c r="AF169" s="515"/>
      <c r="AG169" s="515"/>
      <c r="AH169" s="515"/>
      <c r="AI169" s="515"/>
      <c r="AK169" s="515"/>
      <c r="AL169" s="515"/>
      <c r="AM169" s="515"/>
      <c r="AN169" s="515"/>
      <c r="AO169" s="515"/>
      <c r="AP169" s="515"/>
      <c r="AQ169" s="515"/>
      <c r="AR169" s="515"/>
      <c r="AS169" s="515"/>
      <c r="AT169" s="515"/>
      <c r="AU169" s="515"/>
      <c r="AV169" s="515"/>
      <c r="AW169" s="515"/>
      <c r="AX169" s="515"/>
      <c r="AY169" s="515"/>
      <c r="AZ169" s="515"/>
      <c r="BA169" s="515"/>
      <c r="BB169" s="515"/>
      <c r="BC169" s="515"/>
      <c r="BD169" s="515"/>
      <c r="BF169" s="515"/>
      <c r="BG169" s="515"/>
      <c r="BH169" s="515"/>
      <c r="BJ169" s="515"/>
      <c r="BK169" s="515"/>
    </row>
    <row r="170" spans="3:63">
      <c r="F170" s="12"/>
      <c r="G170" s="515"/>
      <c r="H170" s="515"/>
      <c r="I170" s="515"/>
      <c r="J170" s="515"/>
      <c r="K170" s="519"/>
      <c r="L170" s="515"/>
      <c r="M170" s="515"/>
      <c r="N170" s="515"/>
      <c r="O170" s="515"/>
      <c r="P170" s="515"/>
      <c r="Q170" s="515"/>
      <c r="S170" s="515"/>
      <c r="T170" s="515"/>
      <c r="U170" s="515"/>
      <c r="V170" s="515"/>
      <c r="W170" s="515"/>
      <c r="X170" s="515"/>
      <c r="Y170" s="515"/>
      <c r="Z170" s="515"/>
      <c r="AA170" s="515"/>
      <c r="AB170" s="515"/>
      <c r="AC170" s="515"/>
      <c r="AD170" s="515"/>
      <c r="AE170" s="515"/>
      <c r="AF170" s="515"/>
      <c r="AG170" s="515"/>
      <c r="AH170" s="515"/>
      <c r="AI170" s="515"/>
      <c r="AK170" s="515"/>
      <c r="AL170" s="515"/>
      <c r="AM170" s="515"/>
      <c r="AN170" s="515"/>
      <c r="AO170" s="515"/>
      <c r="AP170" s="515"/>
      <c r="AQ170" s="515"/>
      <c r="AR170" s="515"/>
      <c r="AS170" s="515"/>
      <c r="AT170" s="515"/>
      <c r="AU170" s="515"/>
      <c r="AV170" s="515"/>
      <c r="AW170" s="515"/>
      <c r="AX170" s="515"/>
      <c r="AY170" s="515"/>
      <c r="AZ170" s="515"/>
      <c r="BA170" s="515"/>
      <c r="BB170" s="515"/>
      <c r="BC170" s="515"/>
      <c r="BD170" s="515"/>
      <c r="BF170" s="515"/>
      <c r="BG170" s="515"/>
      <c r="BH170" s="515"/>
      <c r="BJ170" s="515"/>
      <c r="BK170" s="515"/>
    </row>
    <row r="171" spans="3:63">
      <c r="F171" s="12"/>
      <c r="G171" s="515"/>
      <c r="H171" s="515"/>
      <c r="I171" s="515"/>
      <c r="J171" s="515"/>
      <c r="K171" s="519"/>
      <c r="L171" s="515"/>
      <c r="M171" s="515"/>
      <c r="N171" s="515"/>
      <c r="O171" s="515"/>
      <c r="P171" s="515"/>
      <c r="Q171" s="515"/>
      <c r="S171" s="515"/>
      <c r="T171" s="515"/>
      <c r="U171" s="515"/>
      <c r="V171" s="515"/>
      <c r="W171" s="515"/>
      <c r="X171" s="515"/>
      <c r="Y171" s="515"/>
      <c r="Z171" s="515"/>
      <c r="AA171" s="515"/>
      <c r="AB171" s="515"/>
      <c r="AC171" s="515"/>
      <c r="AD171" s="515"/>
      <c r="AE171" s="515"/>
      <c r="AF171" s="515"/>
      <c r="AG171" s="515"/>
      <c r="AH171" s="515"/>
      <c r="AI171" s="515"/>
      <c r="AK171" s="515"/>
      <c r="AL171" s="515"/>
      <c r="AM171" s="515"/>
      <c r="AN171" s="515"/>
      <c r="AO171" s="515"/>
      <c r="AP171" s="515"/>
      <c r="AQ171" s="515"/>
      <c r="AR171" s="515"/>
      <c r="AS171" s="515"/>
      <c r="AT171" s="515"/>
      <c r="AU171" s="515"/>
      <c r="AV171" s="515"/>
      <c r="AW171" s="515"/>
      <c r="AX171" s="515"/>
      <c r="AY171" s="515"/>
      <c r="AZ171" s="515"/>
      <c r="BA171" s="515"/>
      <c r="BB171" s="515"/>
      <c r="BC171" s="515"/>
      <c r="BD171" s="515"/>
      <c r="BF171" s="515"/>
      <c r="BG171" s="515"/>
      <c r="BH171" s="515"/>
      <c r="BJ171" s="515"/>
      <c r="BK171" s="515"/>
    </row>
    <row r="172" spans="3:63">
      <c r="F172" s="12"/>
      <c r="G172" s="515"/>
      <c r="H172" s="515"/>
      <c r="I172" s="515"/>
      <c r="J172" s="515"/>
      <c r="K172" s="519"/>
      <c r="L172" s="515"/>
      <c r="M172" s="515"/>
      <c r="N172" s="515"/>
      <c r="O172" s="515"/>
      <c r="P172" s="515"/>
      <c r="Q172" s="515"/>
      <c r="S172" s="515"/>
      <c r="T172" s="515"/>
      <c r="U172" s="515"/>
      <c r="V172" s="515"/>
      <c r="W172" s="515"/>
      <c r="X172" s="515"/>
      <c r="Y172" s="515"/>
      <c r="Z172" s="515"/>
      <c r="AA172" s="515"/>
      <c r="AB172" s="515"/>
      <c r="AC172" s="515"/>
      <c r="AD172" s="515"/>
      <c r="AE172" s="515"/>
      <c r="AF172" s="515"/>
      <c r="AG172" s="515"/>
      <c r="AH172" s="515"/>
      <c r="AI172" s="515"/>
      <c r="AK172" s="515"/>
      <c r="AL172" s="515"/>
      <c r="AM172" s="515"/>
      <c r="AN172" s="515"/>
      <c r="AO172" s="515"/>
      <c r="AP172" s="515"/>
      <c r="AQ172" s="515"/>
      <c r="AR172" s="515"/>
      <c r="AS172" s="515"/>
      <c r="AT172" s="515"/>
      <c r="AU172" s="515"/>
      <c r="AV172" s="515"/>
      <c r="AW172" s="515"/>
      <c r="AX172" s="515"/>
      <c r="AY172" s="515"/>
      <c r="AZ172" s="515"/>
      <c r="BA172" s="515"/>
      <c r="BB172" s="515"/>
      <c r="BC172" s="515"/>
      <c r="BD172" s="515"/>
      <c r="BF172" s="515"/>
      <c r="BG172" s="515"/>
      <c r="BH172" s="515"/>
      <c r="BJ172" s="515"/>
      <c r="BK172" s="515"/>
    </row>
    <row r="173" spans="3:63">
      <c r="F173" s="12"/>
      <c r="G173" s="515"/>
      <c r="H173" s="515"/>
      <c r="I173" s="515"/>
      <c r="J173" s="515"/>
      <c r="K173" s="519"/>
      <c r="L173" s="515"/>
      <c r="M173" s="515"/>
      <c r="N173" s="515"/>
      <c r="O173" s="515"/>
      <c r="P173" s="515"/>
      <c r="Q173" s="515"/>
      <c r="S173" s="515"/>
      <c r="T173" s="515"/>
      <c r="U173" s="515"/>
      <c r="V173" s="515"/>
      <c r="W173" s="515"/>
      <c r="X173" s="515"/>
      <c r="Y173" s="515"/>
      <c r="Z173" s="515"/>
      <c r="AA173" s="515"/>
      <c r="AB173" s="515"/>
      <c r="AC173" s="515"/>
      <c r="AD173" s="515"/>
      <c r="AE173" s="515"/>
      <c r="AF173" s="515"/>
      <c r="AG173" s="515"/>
      <c r="AH173" s="515"/>
      <c r="AI173" s="515"/>
      <c r="AK173" s="515"/>
      <c r="AL173" s="515"/>
      <c r="AM173" s="515"/>
      <c r="AN173" s="515"/>
      <c r="AO173" s="515"/>
      <c r="AP173" s="515"/>
      <c r="AQ173" s="515"/>
      <c r="AR173" s="515"/>
      <c r="AS173" s="515"/>
      <c r="AT173" s="515"/>
      <c r="AU173" s="515"/>
      <c r="AV173" s="515"/>
      <c r="AW173" s="515"/>
      <c r="AX173" s="515"/>
      <c r="AY173" s="515"/>
      <c r="AZ173" s="515"/>
      <c r="BA173" s="515"/>
      <c r="BB173" s="515"/>
      <c r="BC173" s="515"/>
      <c r="BD173" s="515"/>
      <c r="BF173" s="515"/>
      <c r="BG173" s="515"/>
      <c r="BH173" s="515"/>
      <c r="BJ173" s="515"/>
      <c r="BK173" s="515"/>
    </row>
    <row r="174" spans="3:63">
      <c r="F174" s="12"/>
      <c r="G174" s="515"/>
      <c r="H174" s="515"/>
      <c r="I174" s="515"/>
      <c r="J174" s="515"/>
      <c r="K174" s="519"/>
      <c r="L174" s="515"/>
      <c r="M174" s="515"/>
      <c r="N174" s="515"/>
      <c r="O174" s="515"/>
      <c r="P174" s="515"/>
      <c r="Q174" s="515"/>
      <c r="S174" s="515"/>
      <c r="T174" s="515"/>
      <c r="U174" s="515"/>
      <c r="V174" s="515"/>
      <c r="W174" s="515"/>
      <c r="X174" s="515"/>
      <c r="Y174" s="515"/>
      <c r="Z174" s="515"/>
      <c r="AA174" s="515"/>
      <c r="AB174" s="515"/>
      <c r="AC174" s="515"/>
      <c r="AD174" s="515"/>
      <c r="AE174" s="515"/>
      <c r="AF174" s="515"/>
      <c r="AG174" s="515"/>
      <c r="AH174" s="515"/>
      <c r="AI174" s="515"/>
      <c r="AK174" s="515"/>
      <c r="AL174" s="515"/>
      <c r="AM174" s="515"/>
      <c r="AN174" s="515"/>
      <c r="AO174" s="515"/>
      <c r="AP174" s="515"/>
      <c r="AQ174" s="515"/>
      <c r="AR174" s="515"/>
      <c r="AS174" s="515"/>
      <c r="AT174" s="515"/>
      <c r="AU174" s="515"/>
      <c r="AV174" s="515"/>
      <c r="AW174" s="515"/>
      <c r="AX174" s="515"/>
      <c r="AY174" s="515"/>
      <c r="AZ174" s="515"/>
      <c r="BA174" s="515"/>
      <c r="BB174" s="515"/>
      <c r="BC174" s="515"/>
      <c r="BD174" s="515"/>
      <c r="BF174" s="515"/>
      <c r="BG174" s="515"/>
      <c r="BH174" s="515"/>
      <c r="BJ174" s="515"/>
      <c r="BK174" s="515"/>
    </row>
    <row r="175" spans="3:63">
      <c r="F175" s="12"/>
      <c r="G175" s="515"/>
      <c r="H175" s="515"/>
      <c r="I175" s="515"/>
      <c r="J175" s="515"/>
      <c r="K175" s="519"/>
      <c r="L175" s="515"/>
      <c r="M175" s="515"/>
      <c r="N175" s="515"/>
      <c r="O175" s="515"/>
      <c r="P175" s="515"/>
      <c r="Q175" s="515"/>
      <c r="S175" s="515"/>
      <c r="T175" s="515"/>
      <c r="U175" s="515"/>
      <c r="V175" s="515"/>
      <c r="W175" s="515"/>
      <c r="X175" s="515"/>
      <c r="Y175" s="515"/>
      <c r="Z175" s="515"/>
      <c r="AA175" s="515"/>
      <c r="AB175" s="515"/>
      <c r="AC175" s="515"/>
      <c r="AD175" s="515"/>
      <c r="AE175" s="515"/>
      <c r="AF175" s="515"/>
      <c r="AG175" s="515"/>
      <c r="AH175" s="515"/>
      <c r="AI175" s="515"/>
      <c r="AK175" s="515"/>
      <c r="AL175" s="515"/>
      <c r="AM175" s="515"/>
      <c r="AN175" s="515"/>
      <c r="AO175" s="515"/>
      <c r="AP175" s="515"/>
      <c r="AQ175" s="515"/>
      <c r="AR175" s="515"/>
      <c r="AS175" s="515"/>
      <c r="AT175" s="515"/>
      <c r="AU175" s="515"/>
      <c r="AV175" s="515"/>
      <c r="AW175" s="515"/>
      <c r="AX175" s="515"/>
      <c r="AY175" s="515"/>
      <c r="AZ175" s="515"/>
      <c r="BA175" s="515"/>
      <c r="BB175" s="515"/>
      <c r="BC175" s="515"/>
      <c r="BD175" s="515"/>
      <c r="BF175" s="515"/>
      <c r="BG175" s="515"/>
      <c r="BH175" s="515"/>
      <c r="BJ175" s="515"/>
      <c r="BK175" s="515"/>
    </row>
    <row r="176" spans="3:63">
      <c r="F176" s="12"/>
      <c r="G176" s="515"/>
      <c r="H176" s="515"/>
      <c r="I176" s="515"/>
      <c r="J176" s="515"/>
      <c r="K176" s="519"/>
      <c r="L176" s="515"/>
      <c r="M176" s="515"/>
      <c r="N176" s="515"/>
      <c r="O176" s="515"/>
      <c r="P176" s="515"/>
      <c r="Q176" s="515"/>
      <c r="S176" s="515"/>
      <c r="T176" s="515"/>
      <c r="U176" s="515"/>
      <c r="V176" s="515"/>
      <c r="W176" s="515"/>
      <c r="X176" s="515"/>
      <c r="Y176" s="515"/>
      <c r="Z176" s="515"/>
      <c r="AA176" s="515"/>
      <c r="AB176" s="515"/>
      <c r="AC176" s="515"/>
      <c r="AD176" s="515"/>
      <c r="AE176" s="515"/>
      <c r="AF176" s="515"/>
      <c r="AG176" s="515"/>
      <c r="AH176" s="515"/>
      <c r="AI176" s="515"/>
      <c r="AK176" s="515"/>
      <c r="AL176" s="515"/>
      <c r="AM176" s="515"/>
      <c r="AN176" s="515"/>
      <c r="AO176" s="515"/>
      <c r="AP176" s="515"/>
      <c r="AQ176" s="515"/>
      <c r="AR176" s="515"/>
      <c r="AS176" s="515"/>
      <c r="AT176" s="515"/>
      <c r="AU176" s="515"/>
      <c r="AV176" s="515"/>
      <c r="AW176" s="515"/>
      <c r="AX176" s="515"/>
      <c r="AY176" s="515"/>
      <c r="AZ176" s="515"/>
      <c r="BA176" s="515"/>
      <c r="BB176" s="515"/>
      <c r="BC176" s="515"/>
      <c r="BD176" s="515"/>
      <c r="BF176" s="515"/>
      <c r="BG176" s="515"/>
      <c r="BH176" s="515"/>
      <c r="BJ176" s="515"/>
      <c r="BK176" s="515"/>
    </row>
    <row r="177" spans="6:63">
      <c r="F177" s="12"/>
      <c r="G177" s="515"/>
      <c r="H177" s="515"/>
      <c r="I177" s="515"/>
      <c r="J177" s="515"/>
      <c r="K177" s="519"/>
      <c r="L177" s="515"/>
      <c r="M177" s="515"/>
      <c r="N177" s="515"/>
      <c r="O177" s="515"/>
      <c r="P177" s="515"/>
      <c r="Q177" s="515"/>
      <c r="S177" s="515"/>
      <c r="T177" s="515"/>
      <c r="U177" s="515"/>
      <c r="V177" s="515"/>
      <c r="W177" s="515"/>
      <c r="X177" s="515"/>
      <c r="Y177" s="515"/>
      <c r="Z177" s="515"/>
      <c r="AA177" s="515"/>
      <c r="AB177" s="515"/>
      <c r="AC177" s="515"/>
      <c r="AD177" s="515"/>
      <c r="AE177" s="515"/>
      <c r="AF177" s="515"/>
      <c r="AG177" s="515"/>
      <c r="AH177" s="515"/>
      <c r="AI177" s="515"/>
      <c r="AK177" s="515"/>
      <c r="AL177" s="515"/>
      <c r="AM177" s="515"/>
      <c r="AN177" s="515"/>
      <c r="AO177" s="515"/>
      <c r="AP177" s="515"/>
      <c r="AQ177" s="515"/>
      <c r="AR177" s="515"/>
      <c r="AS177" s="515"/>
      <c r="AT177" s="515"/>
      <c r="AU177" s="515"/>
      <c r="AV177" s="515"/>
      <c r="AW177" s="515"/>
      <c r="AX177" s="515"/>
      <c r="AY177" s="515"/>
      <c r="AZ177" s="515"/>
      <c r="BA177" s="515"/>
      <c r="BB177" s="515"/>
      <c r="BC177" s="515"/>
      <c r="BD177" s="515"/>
      <c r="BF177" s="515"/>
      <c r="BG177" s="515"/>
      <c r="BH177" s="515"/>
      <c r="BJ177" s="515"/>
      <c r="BK177" s="515"/>
    </row>
    <row r="178" spans="6:63">
      <c r="F178" s="12"/>
      <c r="G178" s="515"/>
      <c r="H178" s="515"/>
      <c r="I178" s="515"/>
      <c r="J178" s="515"/>
      <c r="K178" s="519"/>
      <c r="L178" s="515"/>
      <c r="M178" s="515"/>
      <c r="N178" s="515"/>
      <c r="O178" s="515"/>
      <c r="P178" s="515"/>
      <c r="Q178" s="515"/>
      <c r="S178" s="515"/>
      <c r="T178" s="515"/>
      <c r="U178" s="515"/>
      <c r="V178" s="515"/>
      <c r="W178" s="515"/>
      <c r="X178" s="515"/>
      <c r="Y178" s="515"/>
      <c r="Z178" s="515"/>
      <c r="AA178" s="515"/>
      <c r="AB178" s="515"/>
      <c r="AC178" s="515"/>
      <c r="AD178" s="515"/>
      <c r="AE178" s="515"/>
      <c r="AF178" s="515"/>
      <c r="AG178" s="515"/>
      <c r="AH178" s="515"/>
      <c r="AI178" s="515"/>
      <c r="AK178" s="515"/>
      <c r="AL178" s="515"/>
      <c r="AM178" s="515"/>
      <c r="AN178" s="515"/>
      <c r="AO178" s="515"/>
      <c r="AP178" s="515"/>
      <c r="AQ178" s="515"/>
      <c r="AR178" s="515"/>
      <c r="AS178" s="515"/>
      <c r="AT178" s="515"/>
      <c r="AU178" s="515"/>
      <c r="AV178" s="515"/>
      <c r="AW178" s="515"/>
      <c r="AX178" s="515"/>
      <c r="AY178" s="515"/>
      <c r="AZ178" s="515"/>
      <c r="BA178" s="515"/>
      <c r="BB178" s="515"/>
      <c r="BC178" s="515"/>
      <c r="BD178" s="515"/>
      <c r="BF178" s="515"/>
      <c r="BG178" s="515"/>
      <c r="BH178" s="515"/>
      <c r="BJ178" s="515"/>
      <c r="BK178" s="515"/>
    </row>
    <row r="179" spans="6:63">
      <c r="F179" s="12"/>
      <c r="G179" s="515"/>
      <c r="H179" s="515"/>
      <c r="I179" s="515"/>
      <c r="J179" s="515"/>
      <c r="K179" s="519"/>
      <c r="L179" s="515"/>
      <c r="M179" s="515"/>
      <c r="N179" s="515"/>
      <c r="O179" s="515"/>
      <c r="P179" s="515"/>
      <c r="Q179" s="515"/>
      <c r="S179" s="515"/>
      <c r="T179" s="515"/>
      <c r="U179" s="515"/>
      <c r="V179" s="515"/>
      <c r="W179" s="515"/>
      <c r="X179" s="515"/>
      <c r="Y179" s="515"/>
      <c r="Z179" s="515"/>
      <c r="AA179" s="515"/>
      <c r="AB179" s="515"/>
      <c r="AC179" s="515"/>
      <c r="AD179" s="515"/>
      <c r="AE179" s="515"/>
      <c r="AF179" s="515"/>
      <c r="AG179" s="515"/>
      <c r="AH179" s="515"/>
      <c r="AI179" s="515"/>
      <c r="AK179" s="515"/>
      <c r="AL179" s="515"/>
      <c r="AM179" s="515"/>
      <c r="AN179" s="515"/>
      <c r="AO179" s="515"/>
      <c r="AP179" s="515"/>
      <c r="AQ179" s="515"/>
      <c r="AR179" s="515"/>
      <c r="AS179" s="515"/>
      <c r="AT179" s="515"/>
      <c r="AU179" s="515"/>
      <c r="AV179" s="515"/>
      <c r="AW179" s="515"/>
      <c r="AX179" s="515"/>
      <c r="AY179" s="515"/>
      <c r="AZ179" s="515"/>
      <c r="BA179" s="515"/>
      <c r="BB179" s="515"/>
      <c r="BC179" s="515"/>
      <c r="BD179" s="515"/>
      <c r="BF179" s="515"/>
      <c r="BG179" s="515"/>
      <c r="BH179" s="515"/>
      <c r="BJ179" s="515"/>
      <c r="BK179" s="515"/>
    </row>
    <row r="180" spans="6:63">
      <c r="F180" s="12"/>
      <c r="G180" s="515"/>
      <c r="H180" s="515"/>
      <c r="I180" s="515"/>
      <c r="J180" s="515"/>
      <c r="K180" s="519"/>
      <c r="L180" s="515"/>
      <c r="M180" s="515"/>
      <c r="N180" s="515"/>
      <c r="O180" s="515"/>
      <c r="P180" s="515"/>
      <c r="Q180" s="515"/>
      <c r="S180" s="515"/>
      <c r="T180" s="515"/>
      <c r="U180" s="515"/>
      <c r="V180" s="515"/>
      <c r="W180" s="515"/>
      <c r="X180" s="515"/>
      <c r="Y180" s="515"/>
      <c r="Z180" s="515"/>
      <c r="AA180" s="515"/>
      <c r="AB180" s="515"/>
      <c r="AC180" s="515"/>
      <c r="AD180" s="515"/>
      <c r="AE180" s="515"/>
      <c r="AF180" s="515"/>
      <c r="AG180" s="515"/>
      <c r="AH180" s="515"/>
      <c r="AI180" s="515"/>
      <c r="AK180" s="515"/>
      <c r="AL180" s="515"/>
      <c r="AM180" s="515"/>
      <c r="AN180" s="515"/>
      <c r="AO180" s="515"/>
      <c r="AP180" s="515"/>
      <c r="AQ180" s="515"/>
      <c r="AR180" s="515"/>
      <c r="AS180" s="515"/>
      <c r="AT180" s="515"/>
      <c r="AU180" s="515"/>
      <c r="AV180" s="515"/>
      <c r="AW180" s="515"/>
      <c r="AX180" s="515"/>
      <c r="AY180" s="515"/>
      <c r="AZ180" s="515"/>
      <c r="BA180" s="515"/>
      <c r="BB180" s="515"/>
      <c r="BC180" s="515"/>
      <c r="BD180" s="515"/>
      <c r="BF180" s="515"/>
      <c r="BG180" s="515"/>
      <c r="BH180" s="515"/>
      <c r="BJ180" s="515"/>
      <c r="BK180" s="515"/>
    </row>
    <row r="181" spans="6:63">
      <c r="F181" s="12"/>
      <c r="G181" s="515"/>
      <c r="H181" s="515"/>
      <c r="I181" s="515"/>
      <c r="J181" s="515"/>
      <c r="K181" s="519"/>
      <c r="L181" s="515"/>
      <c r="M181" s="515"/>
      <c r="N181" s="515"/>
      <c r="O181" s="515"/>
      <c r="P181" s="515"/>
      <c r="Q181" s="515"/>
      <c r="S181" s="515"/>
      <c r="T181" s="515"/>
      <c r="U181" s="515"/>
      <c r="V181" s="515"/>
      <c r="W181" s="515"/>
      <c r="X181" s="515"/>
      <c r="Y181" s="515"/>
      <c r="Z181" s="515"/>
      <c r="AA181" s="515"/>
      <c r="AB181" s="515"/>
      <c r="AC181" s="515"/>
      <c r="AD181" s="515"/>
      <c r="AE181" s="515"/>
      <c r="AF181" s="515"/>
      <c r="AG181" s="515"/>
      <c r="AH181" s="515"/>
      <c r="AI181" s="515"/>
      <c r="AK181" s="515"/>
      <c r="AL181" s="515"/>
      <c r="AM181" s="515"/>
      <c r="AN181" s="515"/>
      <c r="AO181" s="515"/>
      <c r="AP181" s="515"/>
      <c r="AQ181" s="515"/>
      <c r="AR181" s="515"/>
      <c r="AS181" s="515"/>
      <c r="AT181" s="515"/>
      <c r="AU181" s="515"/>
      <c r="AV181" s="515"/>
      <c r="AW181" s="515"/>
      <c r="AX181" s="515"/>
      <c r="AY181" s="515"/>
      <c r="AZ181" s="515"/>
      <c r="BA181" s="515"/>
      <c r="BB181" s="515"/>
      <c r="BC181" s="515"/>
      <c r="BD181" s="515"/>
      <c r="BF181" s="515"/>
      <c r="BG181" s="515"/>
      <c r="BH181" s="515"/>
      <c r="BJ181" s="515"/>
      <c r="BK181" s="515"/>
    </row>
    <row r="182" spans="6:63">
      <c r="F182" s="12"/>
      <c r="G182" s="515"/>
      <c r="H182" s="515"/>
      <c r="I182" s="515"/>
      <c r="J182" s="515"/>
      <c r="K182" s="519"/>
      <c r="L182" s="515"/>
      <c r="M182" s="515"/>
      <c r="N182" s="515"/>
      <c r="O182" s="515"/>
      <c r="P182" s="515"/>
      <c r="Q182" s="515"/>
      <c r="S182" s="515"/>
      <c r="T182" s="515"/>
      <c r="U182" s="515"/>
      <c r="V182" s="515"/>
      <c r="W182" s="515"/>
      <c r="X182" s="515"/>
      <c r="Y182" s="515"/>
      <c r="Z182" s="515"/>
      <c r="AA182" s="515"/>
      <c r="AB182" s="515"/>
      <c r="AC182" s="515"/>
      <c r="AD182" s="515"/>
      <c r="AE182" s="515"/>
      <c r="AF182" s="515"/>
      <c r="AG182" s="515"/>
      <c r="AH182" s="515"/>
      <c r="AI182" s="515"/>
      <c r="AK182" s="515"/>
      <c r="AL182" s="515"/>
      <c r="AM182" s="515"/>
      <c r="AN182" s="515"/>
      <c r="AO182" s="515"/>
      <c r="AP182" s="515"/>
      <c r="AQ182" s="515"/>
      <c r="AR182" s="515"/>
      <c r="AS182" s="515"/>
      <c r="AT182" s="515"/>
      <c r="AU182" s="515"/>
      <c r="AV182" s="515"/>
      <c r="AW182" s="515"/>
      <c r="AX182" s="515"/>
      <c r="AY182" s="515"/>
      <c r="AZ182" s="515"/>
      <c r="BA182" s="515"/>
      <c r="BB182" s="515"/>
      <c r="BC182" s="515"/>
      <c r="BD182" s="515"/>
      <c r="BF182" s="515"/>
      <c r="BG182" s="515"/>
      <c r="BH182" s="515"/>
      <c r="BJ182" s="515"/>
      <c r="BK182" s="515"/>
    </row>
    <row r="183" spans="6:63">
      <c r="G183" s="515"/>
      <c r="H183" s="515"/>
      <c r="I183" s="515"/>
      <c r="J183" s="515"/>
      <c r="K183" s="519"/>
      <c r="L183" s="515"/>
      <c r="M183" s="515"/>
      <c r="N183" s="515"/>
      <c r="O183" s="515"/>
      <c r="P183" s="515"/>
      <c r="Q183" s="515"/>
      <c r="S183" s="515"/>
      <c r="T183" s="515"/>
      <c r="U183" s="515"/>
      <c r="V183" s="515"/>
      <c r="W183" s="515"/>
      <c r="X183" s="515"/>
      <c r="Y183" s="515"/>
      <c r="Z183" s="515"/>
      <c r="AA183" s="515"/>
      <c r="AB183" s="515"/>
      <c r="AC183" s="515"/>
      <c r="AD183" s="515"/>
      <c r="AE183" s="515"/>
      <c r="AF183" s="515"/>
      <c r="AG183" s="515"/>
      <c r="AH183" s="515"/>
      <c r="AI183" s="515"/>
      <c r="AK183" s="515"/>
      <c r="AL183" s="515"/>
      <c r="AM183" s="515"/>
      <c r="AN183" s="515"/>
      <c r="AO183" s="515"/>
      <c r="AP183" s="515"/>
      <c r="AQ183" s="515"/>
      <c r="AR183" s="515"/>
      <c r="AS183" s="515"/>
      <c r="AT183" s="515"/>
      <c r="AU183" s="515"/>
      <c r="AV183" s="515"/>
      <c r="AW183" s="515"/>
      <c r="AX183" s="515"/>
      <c r="AY183" s="515"/>
      <c r="AZ183" s="515"/>
      <c r="BA183" s="515"/>
      <c r="BB183" s="515"/>
      <c r="BC183" s="515"/>
      <c r="BD183" s="515"/>
      <c r="BF183" s="515"/>
      <c r="BG183" s="515"/>
      <c r="BH183" s="515"/>
      <c r="BJ183" s="515"/>
      <c r="BK183" s="515"/>
    </row>
    <row r="184" spans="6:63">
      <c r="G184" s="515"/>
      <c r="H184" s="515"/>
      <c r="I184" s="515"/>
      <c r="J184" s="515"/>
      <c r="K184" s="519"/>
      <c r="L184" s="515"/>
      <c r="M184" s="515"/>
      <c r="N184" s="515"/>
      <c r="O184" s="515"/>
      <c r="P184" s="515"/>
      <c r="Q184" s="515"/>
      <c r="S184" s="515"/>
      <c r="T184" s="515"/>
      <c r="U184" s="515"/>
      <c r="V184" s="515"/>
      <c r="W184" s="515"/>
      <c r="X184" s="515"/>
      <c r="Y184" s="515"/>
      <c r="Z184" s="515"/>
      <c r="AA184" s="515"/>
      <c r="AB184" s="515"/>
      <c r="AC184" s="515"/>
      <c r="AD184" s="515"/>
      <c r="AE184" s="515"/>
      <c r="AF184" s="515"/>
      <c r="AG184" s="515"/>
      <c r="AH184" s="515"/>
      <c r="AI184" s="515"/>
      <c r="AK184" s="515"/>
      <c r="AL184" s="515"/>
      <c r="AM184" s="515"/>
      <c r="AN184" s="515"/>
      <c r="AO184" s="515"/>
      <c r="AP184" s="515"/>
      <c r="AQ184" s="515"/>
      <c r="AR184" s="515"/>
      <c r="AS184" s="515"/>
      <c r="AT184" s="515"/>
      <c r="AU184" s="515"/>
      <c r="AV184" s="515"/>
      <c r="AW184" s="515"/>
      <c r="AX184" s="515"/>
      <c r="AY184" s="515"/>
      <c r="AZ184" s="515"/>
      <c r="BA184" s="515"/>
      <c r="BB184" s="515"/>
      <c r="BC184" s="515"/>
      <c r="BD184" s="515"/>
      <c r="BF184" s="515"/>
      <c r="BG184" s="515"/>
      <c r="BH184" s="515"/>
      <c r="BJ184" s="515"/>
      <c r="BK184" s="515"/>
    </row>
    <row r="185" spans="6:63">
      <c r="G185" s="515"/>
      <c r="H185" s="515"/>
      <c r="I185" s="515"/>
      <c r="J185" s="515"/>
      <c r="K185" s="519"/>
      <c r="L185" s="515"/>
      <c r="M185" s="515"/>
      <c r="N185" s="515"/>
      <c r="O185" s="515"/>
      <c r="P185" s="515"/>
      <c r="Q185" s="515"/>
      <c r="S185" s="515"/>
      <c r="T185" s="515"/>
      <c r="U185" s="515"/>
      <c r="V185" s="515"/>
      <c r="W185" s="515"/>
      <c r="X185" s="515"/>
      <c r="Y185" s="515"/>
      <c r="Z185" s="515"/>
      <c r="AA185" s="515"/>
      <c r="AB185" s="515"/>
      <c r="AC185" s="515"/>
      <c r="AD185" s="515"/>
      <c r="AE185" s="515"/>
      <c r="AF185" s="515"/>
      <c r="AG185" s="515"/>
      <c r="AH185" s="515"/>
      <c r="AI185" s="515"/>
      <c r="AK185" s="515"/>
      <c r="AL185" s="515"/>
      <c r="AM185" s="515"/>
      <c r="AN185" s="515"/>
      <c r="AO185" s="515"/>
      <c r="AP185" s="515"/>
      <c r="AQ185" s="515"/>
      <c r="AR185" s="515"/>
      <c r="AS185" s="515"/>
      <c r="AT185" s="515"/>
      <c r="AU185" s="515"/>
      <c r="AV185" s="515"/>
      <c r="AW185" s="515"/>
      <c r="AX185" s="515"/>
      <c r="AY185" s="515"/>
      <c r="AZ185" s="515"/>
      <c r="BA185" s="515"/>
      <c r="BB185" s="515"/>
      <c r="BC185" s="515"/>
      <c r="BD185" s="515"/>
      <c r="BF185" s="515"/>
      <c r="BG185" s="515"/>
      <c r="BH185" s="515"/>
      <c r="BJ185" s="515"/>
      <c r="BK185" s="515"/>
    </row>
    <row r="186" spans="6:63">
      <c r="G186" s="515"/>
      <c r="H186" s="515"/>
      <c r="I186" s="515"/>
      <c r="J186" s="515"/>
      <c r="K186" s="519"/>
      <c r="L186" s="515"/>
      <c r="M186" s="515"/>
      <c r="N186" s="515"/>
      <c r="O186" s="515"/>
      <c r="P186" s="515"/>
      <c r="Q186" s="515"/>
      <c r="S186" s="515"/>
      <c r="T186" s="515"/>
      <c r="U186" s="515"/>
      <c r="V186" s="515"/>
      <c r="W186" s="515"/>
      <c r="X186" s="515"/>
      <c r="Y186" s="515"/>
      <c r="Z186" s="515"/>
      <c r="AA186" s="515"/>
      <c r="AB186" s="515"/>
      <c r="AC186" s="515"/>
      <c r="AD186" s="515"/>
      <c r="AE186" s="515"/>
      <c r="AF186" s="515"/>
      <c r="AG186" s="515"/>
      <c r="AH186" s="515"/>
      <c r="AI186" s="515"/>
      <c r="AK186" s="515"/>
      <c r="AL186" s="515"/>
      <c r="AM186" s="515"/>
      <c r="AN186" s="515"/>
      <c r="AO186" s="515"/>
      <c r="AP186" s="515"/>
      <c r="AQ186" s="515"/>
      <c r="AR186" s="515"/>
      <c r="AS186" s="515"/>
      <c r="AT186" s="515"/>
      <c r="AU186" s="515"/>
      <c r="AV186" s="515"/>
      <c r="AW186" s="515"/>
      <c r="AX186" s="515"/>
      <c r="AY186" s="515"/>
      <c r="AZ186" s="515"/>
      <c r="BA186" s="515"/>
      <c r="BB186" s="515"/>
      <c r="BC186" s="515"/>
      <c r="BD186" s="515"/>
      <c r="BF186" s="515"/>
      <c r="BG186" s="515"/>
      <c r="BH186" s="515"/>
      <c r="BJ186" s="515"/>
      <c r="BK186" s="515"/>
    </row>
    <row r="187" spans="6:63">
      <c r="G187" s="515"/>
      <c r="H187" s="515"/>
      <c r="I187" s="515"/>
      <c r="J187" s="515"/>
      <c r="K187" s="519"/>
      <c r="L187" s="515"/>
      <c r="M187" s="515"/>
      <c r="N187" s="515"/>
      <c r="O187" s="515"/>
      <c r="P187" s="515"/>
      <c r="Q187" s="515"/>
      <c r="S187" s="515"/>
      <c r="T187" s="515"/>
      <c r="U187" s="515"/>
      <c r="V187" s="515"/>
      <c r="W187" s="515"/>
      <c r="X187" s="515"/>
      <c r="Y187" s="515"/>
      <c r="Z187" s="515"/>
      <c r="AA187" s="515"/>
      <c r="AB187" s="515"/>
      <c r="AC187" s="515"/>
      <c r="AD187" s="515"/>
      <c r="AE187" s="515"/>
      <c r="AF187" s="515"/>
      <c r="AG187" s="515"/>
      <c r="AH187" s="515"/>
      <c r="AI187" s="515"/>
      <c r="AK187" s="515"/>
      <c r="AL187" s="515"/>
      <c r="AM187" s="515"/>
      <c r="AN187" s="515"/>
      <c r="AO187" s="515"/>
      <c r="AP187" s="515"/>
      <c r="AQ187" s="515"/>
      <c r="AR187" s="515"/>
      <c r="AS187" s="515"/>
      <c r="AT187" s="515"/>
      <c r="AU187" s="515"/>
      <c r="AV187" s="515"/>
      <c r="AW187" s="515"/>
      <c r="AX187" s="515"/>
      <c r="AY187" s="515"/>
      <c r="AZ187" s="515"/>
      <c r="BA187" s="515"/>
      <c r="BB187" s="515"/>
      <c r="BC187" s="515"/>
      <c r="BD187" s="515"/>
      <c r="BF187" s="515"/>
      <c r="BG187" s="515"/>
      <c r="BH187" s="515"/>
      <c r="BJ187" s="515"/>
      <c r="BK187" s="515"/>
    </row>
  </sheetData>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ignoredErrors>
    <ignoredError sqref="I39 I41 I43 I52 AH42:AI42 AE42 S42:AC42" formula="1"/>
  </ignoredErrors>
</worksheet>
</file>

<file path=xl/worksheets/sheet53.xml><?xml version="1.0" encoding="utf-8"?>
<worksheet xmlns="http://schemas.openxmlformats.org/spreadsheetml/2006/main" xmlns:r="http://schemas.openxmlformats.org/officeDocument/2006/relationships">
  <sheetPr codeName="Sheet5">
    <tabColor theme="6" tint="0.39997558519241921"/>
    <pageSetUpPr autoPageBreaks="0"/>
  </sheetPr>
  <dimension ref="A1:DH148"/>
  <sheetViews>
    <sheetView showGridLines="0" zoomScale="80" zoomScaleNormal="80" workbookViewId="0">
      <pane xSplit="5" ySplit="5" topLeftCell="G6" activePane="bottomRight" state="frozen"/>
      <selection pane="topRight"/>
      <selection pane="bottomLeft"/>
      <selection pane="bottomRight"/>
    </sheetView>
  </sheetViews>
  <sheetFormatPr defaultRowHeight="12.75" outlineLevelRow="2" outlineLevelCol="2"/>
  <cols>
    <col min="1" max="1" width="1.7109375" customWidth="1"/>
    <col min="2" max="2" width="1.5703125" style="121" customWidth="1"/>
    <col min="3" max="3" width="4.42578125" style="508" customWidth="1"/>
    <col min="4" max="4" width="3.85546875" style="509" customWidth="1"/>
    <col min="5" max="5" width="41.7109375" style="509" customWidth="1"/>
    <col min="6" max="6" width="1.140625" customWidth="1" outlineLevel="1"/>
    <col min="7" max="10" width="10" style="509" customWidth="1" outlineLevel="2"/>
    <col min="11" max="11" width="10" style="530" customWidth="1" outlineLevel="2"/>
    <col min="12" max="16" width="10" style="509" customWidth="1" outlineLevel="2"/>
    <col min="17" max="17" width="10" style="509" customWidth="1" outlineLevel="1"/>
    <col min="18" max="18" width="1.140625" customWidth="1" outlineLevel="1"/>
    <col min="19" max="19" width="11.7109375" style="509" customWidth="1" outlineLevel="2"/>
    <col min="20" max="36" width="10" style="509" customWidth="1" outlineLevel="2"/>
    <col min="37" max="37" width="10" style="509" customWidth="1" outlineLevel="1"/>
    <col min="38" max="38" width="1.140625" customWidth="1" outlineLevel="1"/>
    <col min="39" max="57" width="10" style="509" customWidth="1" outlineLevel="2"/>
    <col min="58" max="58" width="10" style="509" customWidth="1" outlineLevel="1"/>
    <col min="59" max="59" width="1.140625" customWidth="1" outlineLevel="1"/>
    <col min="60" max="61" width="10" style="509" customWidth="1" outlineLevel="2"/>
    <col min="62" max="62" width="10" style="509" customWidth="1" outlineLevel="1"/>
    <col min="63" max="63" width="1.140625" customWidth="1" outlineLevel="1"/>
    <col min="64" max="64" width="11" style="509" customWidth="1" outlineLevel="1"/>
    <col min="65" max="65" width="5.28515625" style="509" customWidth="1"/>
    <col min="66" max="66" width="9.140625" style="121"/>
    <col min="67" max="67" width="7.5703125" style="121" customWidth="1"/>
    <col min="68" max="110" width="7.5703125" customWidth="1"/>
    <col min="111" max="111" width="2.5703125" customWidth="1"/>
  </cols>
  <sheetData>
    <row r="1" spans="1:112" ht="6" customHeight="1"/>
    <row r="2" spans="1:112" ht="21" customHeight="1">
      <c r="D2" s="495"/>
      <c r="E2" s="965">
        <v>2007</v>
      </c>
      <c r="G2"/>
      <c r="H2"/>
      <c r="I2"/>
      <c r="J2"/>
      <c r="K2"/>
      <c r="L2"/>
      <c r="M2"/>
      <c r="N2" s="121"/>
      <c r="O2" s="121"/>
      <c r="P2"/>
      <c r="Q2"/>
      <c r="S2" s="1712"/>
      <c r="T2" s="1712"/>
      <c r="U2" s="1712"/>
      <c r="V2" s="1712"/>
      <c r="W2" s="1712"/>
      <c r="X2"/>
      <c r="Y2"/>
      <c r="Z2"/>
      <c r="AA2"/>
      <c r="AB2"/>
      <c r="AC2"/>
      <c r="AD2" s="121"/>
      <c r="AE2" s="121"/>
      <c r="AF2"/>
      <c r="AG2" s="121"/>
      <c r="AH2" s="121"/>
      <c r="AI2" s="121"/>
      <c r="AJ2"/>
      <c r="AK2"/>
      <c r="AM2" s="121"/>
      <c r="AN2" s="121"/>
      <c r="AO2" s="121"/>
      <c r="AP2"/>
      <c r="AQ2"/>
      <c r="AR2"/>
      <c r="AS2" s="121"/>
      <c r="AT2" s="121"/>
      <c r="AU2" s="121"/>
      <c r="AV2"/>
      <c r="AW2"/>
      <c r="AX2"/>
      <c r="AY2"/>
      <c r="AZ2"/>
      <c r="BA2"/>
      <c r="BB2"/>
      <c r="BC2"/>
      <c r="BD2" s="121"/>
      <c r="BE2"/>
      <c r="BF2"/>
      <c r="BH2"/>
      <c r="BI2"/>
      <c r="BJ2"/>
      <c r="BL2"/>
      <c r="BM2" s="681"/>
    </row>
    <row r="3" spans="1:112" ht="39" customHeight="1">
      <c r="A3" s="754"/>
      <c r="B3" s="754"/>
      <c r="C3" s="754"/>
      <c r="D3" s="500"/>
      <c r="E3" s="808" t="str">
        <f>Preferences.EnergyUnits</f>
        <v>TWh</v>
      </c>
      <c r="G3" s="994" t="s">
        <v>751</v>
      </c>
      <c r="H3" s="994"/>
      <c r="I3" s="994"/>
      <c r="J3" s="994"/>
      <c r="K3" s="994"/>
      <c r="L3" s="994"/>
      <c r="M3" s="994"/>
      <c r="N3" s="994"/>
      <c r="O3" s="994"/>
      <c r="P3" s="994"/>
      <c r="Q3" s="994"/>
      <c r="S3" s="1133" t="s">
        <v>689</v>
      </c>
      <c r="T3" s="1134"/>
      <c r="U3" s="1134"/>
      <c r="V3" s="1134"/>
      <c r="W3" s="1134"/>
      <c r="X3" s="1138"/>
      <c r="Y3" s="1134"/>
      <c r="Z3" s="1134"/>
      <c r="AA3" s="1134"/>
      <c r="AB3" s="1134"/>
      <c r="AC3" s="1134"/>
      <c r="AD3" s="1134"/>
      <c r="AE3" s="1134"/>
      <c r="AF3" s="1134"/>
      <c r="AG3" s="1134"/>
      <c r="AH3" s="1134"/>
      <c r="AI3" s="1134"/>
      <c r="AJ3" s="1134"/>
      <c r="AK3" s="1137"/>
      <c r="AM3" s="1135" t="s">
        <v>1063</v>
      </c>
      <c r="AN3" s="1136"/>
      <c r="AO3" s="1136"/>
      <c r="AP3" s="1139"/>
      <c r="AQ3" s="1136"/>
      <c r="AR3" s="1136"/>
      <c r="AS3" s="1136"/>
      <c r="AT3" s="1136"/>
      <c r="AU3" s="1136"/>
      <c r="AV3" s="1136"/>
      <c r="AW3" s="1136"/>
      <c r="AX3" s="1136"/>
      <c r="AY3" s="1136"/>
      <c r="AZ3" s="1136"/>
      <c r="BA3" s="1136"/>
      <c r="BB3" s="1136"/>
      <c r="BC3" s="1136"/>
      <c r="BD3" s="1136"/>
      <c r="BE3" s="1136"/>
      <c r="BF3" s="1140"/>
      <c r="BH3" s="1025" t="s">
        <v>944</v>
      </c>
      <c r="BI3" s="1003"/>
      <c r="BJ3" s="1003"/>
      <c r="BL3" s="504"/>
      <c r="BM3" s="504"/>
      <c r="BN3" s="754"/>
      <c r="BO3" s="1142" t="s">
        <v>1067</v>
      </c>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3"/>
      <c r="CM3" s="1143"/>
      <c r="CN3" s="1143"/>
      <c r="CO3" s="1143"/>
      <c r="CP3" s="1143"/>
      <c r="CQ3" s="1143"/>
      <c r="CR3" s="1143"/>
      <c r="CS3" s="1143"/>
      <c r="CT3" s="1143"/>
      <c r="CU3" s="1143"/>
      <c r="CV3" s="1143"/>
      <c r="CW3" s="1143"/>
      <c r="CX3" s="1143"/>
      <c r="CY3" s="1143"/>
      <c r="CZ3" s="1143"/>
      <c r="DA3" s="1143"/>
      <c r="DB3" s="1143"/>
      <c r="DC3" s="1280"/>
      <c r="DD3" s="1280"/>
      <c r="DE3" s="1280"/>
      <c r="DF3" s="1280"/>
    </row>
    <row r="4" spans="1:112" ht="36.75" customHeight="1">
      <c r="C4" s="505"/>
      <c r="D4" s="505"/>
      <c r="G4" s="966" t="str">
        <f>INDEX(Vectors[Description], MATCH(G$5,Vectors[Code],FALSE))</f>
        <v>Heating and cooling</v>
      </c>
      <c r="H4" s="966" t="str">
        <f>INDEX(Vectors[Description], MATCH(H$5,Vectors[Code],FALSE))</f>
        <v>Lighting &amp; appliances</v>
      </c>
      <c r="I4" s="966" t="str">
        <f>INDEX(Vectors[Description], MATCH(I$5,Vectors[Code],FALSE))</f>
        <v>Industry</v>
      </c>
      <c r="J4" s="966" t="str">
        <f>INDEX(Vectors[Description], MATCH(J$5,Vectors[Code],FALSE))</f>
        <v>Road transport</v>
      </c>
      <c r="K4" s="966" t="str">
        <f>INDEX(Vectors[Description], MATCH(K$5,Vectors[Code],FALSE))</f>
        <v>Rail transport</v>
      </c>
      <c r="L4" s="966" t="str">
        <f>INDEX(Vectors[Description], MATCH(L$5,Vectors[Code],FALSE))</f>
        <v>Domestic aviation</v>
      </c>
      <c r="M4" s="966" t="str">
        <f>INDEX(Vectors[Description], MATCH(M$5,Vectors[Code],FALSE))</f>
        <v>National navigation</v>
      </c>
      <c r="N4" s="966" t="str">
        <f>INDEX(Vectors[Description], MATCH(N$5,Vectors[Code],FALSE))</f>
        <v>International aviation</v>
      </c>
      <c r="O4" s="966" t="str">
        <f>INDEX(Vectors[Description], MATCH(O$5,Vectors[Code],FALSE))</f>
        <v>International shipping</v>
      </c>
      <c r="P4" s="966" t="str">
        <f>INDEX(Vectors[Description], MATCH(P$5,Vectors[Code],FALSE))</f>
        <v>Food consumption [UNUSED]</v>
      </c>
      <c r="Q4" s="983" t="s">
        <v>949</v>
      </c>
      <c r="S4" s="967" t="str">
        <f>INDEX(Vectors[Description], MATCH(S$5,Vectors[Code],FALSE))</f>
        <v>Electricity (delivered to end user)</v>
      </c>
      <c r="T4" s="967" t="str">
        <f>INDEX(Vectors[Description], MATCH(T$5,Vectors[Code],FALSE))</f>
        <v>Electricity (supplied to grid)</v>
      </c>
      <c r="U4" s="967" t="str">
        <f>INDEX(Vectors[Description], MATCH(U$5,Vectors[Code],FALSE))</f>
        <v>Solid hydrocarbons</v>
      </c>
      <c r="V4" s="967" t="str">
        <f>INDEX(Vectors[Description], MATCH(V$5,Vectors[Code],FALSE))</f>
        <v>Liquid hydrocarbons</v>
      </c>
      <c r="W4" s="967" t="str">
        <f>INDEX(Vectors[Description], MATCH(W$5,Vectors[Code],FALSE))</f>
        <v>Gaseous hydrocarbons</v>
      </c>
      <c r="X4" s="967" t="str">
        <f>INDEX(Vectors[Description], MATCH(X$5,Vectors[Code],FALSE))</f>
        <v>Coal and fossil waste</v>
      </c>
      <c r="Y4" s="967" t="str">
        <f>INDEX(Vectors[Description], MATCH(Y$5,Vectors[Code],FALSE))</f>
        <v>Oil and petroleum products</v>
      </c>
      <c r="Z4" s="967" t="str">
        <f>INDEX(Vectors[Description], MATCH(Z$5,Vectors[Code],FALSE))</f>
        <v>Natural gas</v>
      </c>
      <c r="AA4" s="967" t="str">
        <f>INDEX(Vectors[Description], MATCH(AA$5,Vectors[Code],FALSE))</f>
        <v>Blast furnace gas</v>
      </c>
      <c r="AB4" s="967" t="str">
        <f>INDEX(Vectors[Description], MATCH(AB$5,Vectors[Code],FALSE))</f>
        <v>Heat transport</v>
      </c>
      <c r="AC4" s="967" t="str">
        <f>INDEX(Vectors[Description], MATCH(AC$5,Vectors[Code],FALSE))</f>
        <v>Edible biomatter</v>
      </c>
      <c r="AD4" s="967" t="str">
        <f>INDEX(Vectors[Description], MATCH(AD$5,Vectors[Code],FALSE))</f>
        <v>Energy crops (second generation)</v>
      </c>
      <c r="AE4" s="967" t="str">
        <f>INDEX(Vectors[Description], MATCH(AE$5,Vectors[Code],FALSE))</f>
        <v>Energy crops (first generation)</v>
      </c>
      <c r="AF4" s="967" t="str">
        <f>INDEX(Vectors[Description], MATCH(AF$5,Vectors[Code],FALSE))</f>
        <v>Dry biomatter and waste</v>
      </c>
      <c r="AG4" s="967" t="str">
        <f>INDEX(Vectors[Description], MATCH(AG$5,Vectors[Code],FALSE))</f>
        <v>Wet biomatter and waste</v>
      </c>
      <c r="AH4" s="967" t="str">
        <f>INDEX(Vectors[Description], MATCH(AH$5,Vectors[Code],FALSE))</f>
        <v>Gaseous waste</v>
      </c>
      <c r="AI4" s="967" t="str">
        <f>INDEX(Vectors[Description], MATCH(AI$5,Vectors[Code],FALSE))</f>
        <v>Domestic solar thermal</v>
      </c>
      <c r="AJ4" s="967" t="str">
        <f>INDEX(Vectors[Description], MATCH(AJ$5,Vectors[Code],FALSE))</f>
        <v>H2</v>
      </c>
      <c r="AK4" s="997" t="s">
        <v>685</v>
      </c>
      <c r="AM4" s="981" t="str">
        <f>INDEX(Vectors[Description], MATCH(AM$5,Vectors[Code],FALSE))</f>
        <v>Coal reserves</v>
      </c>
      <c r="AN4" s="981" t="str">
        <f>INDEX(Vectors[Description], MATCH(AN$5,Vectors[Code],FALSE))</f>
        <v>Oil reserves</v>
      </c>
      <c r="AO4" s="981" t="str">
        <f>INDEX(Vectors[Description], MATCH(AO$5,Vectors[Code],FALSE))</f>
        <v>Gas reserves</v>
      </c>
      <c r="AP4" s="981" t="str">
        <f>INDEX(Vectors[Description], MATCH(AP$5,Vectors[Code],FALSE))</f>
        <v>Biomatter exports (imports)</v>
      </c>
      <c r="AQ4" s="981" t="str">
        <f>INDEX(Vectors[Description], MATCH(AQ$5,Vectors[Code],FALSE))</f>
        <v>Electricity exports (imports)</v>
      </c>
      <c r="AR4" s="981" t="str">
        <f>INDEX(Vectors[Description], MATCH(AR$5,Vectors[Code],FALSE))</f>
        <v>Petroleum products exports</v>
      </c>
      <c r="AS4" s="981" t="str">
        <f>INDEX(Vectors[Description], MATCH(AS$5,Vectors[Code],FALSE))</f>
        <v>Coal exports (imports)</v>
      </c>
      <c r="AT4" s="981" t="str">
        <f>INDEX(Vectors[Description], MATCH(AT$5,Vectors[Code],FALSE))</f>
        <v>Oil and petroleum products exports (imports)</v>
      </c>
      <c r="AU4" s="981" t="str">
        <f>INDEX(Vectors[Description], MATCH(AU$5,Vectors[Code],FALSE))</f>
        <v>Gas exports (imports)</v>
      </c>
      <c r="AV4" s="981" t="str">
        <f>INDEX(Vectors[Description], MATCH(AV$5,Vectors[Code],FALSE))</f>
        <v>Nuclear fission</v>
      </c>
      <c r="AW4" s="981" t="str">
        <f>INDEX(Vectors[Description], MATCH(AW$5,Vectors[Code],FALSE))</f>
        <v>Solar</v>
      </c>
      <c r="AX4" s="981" t="str">
        <f>INDEX(Vectors[Description], MATCH(AX$5,Vectors[Code],FALSE))</f>
        <v>Wind</v>
      </c>
      <c r="AY4" s="981" t="str">
        <f>INDEX(Vectors[Description], MATCH(AY$5,Vectors[Code],FALSE))</f>
        <v>Tidal</v>
      </c>
      <c r="AZ4" s="981" t="str">
        <f>INDEX(Vectors[Description], MATCH(AZ$5,Vectors[Code],FALSE))</f>
        <v>Wave</v>
      </c>
      <c r="BA4" s="981" t="str">
        <f>INDEX(Vectors[Description], MATCH(BA$5,Vectors[Code],FALSE))</f>
        <v>Geothermal</v>
      </c>
      <c r="BB4" s="981" t="str">
        <f>INDEX(Vectors[Description], MATCH(BB$5,Vectors[Code],FALSE))</f>
        <v>Hydro</v>
      </c>
      <c r="BC4" s="981" t="str">
        <f>INDEX(Vectors[Description], MATCH(BC$5,Vectors[Code],FALSE))</f>
        <v>Environmental heat</v>
      </c>
      <c r="BD4" s="981" t="str">
        <f>INDEX(Vectors[Description], MATCH(BD$5,Vectors[Code],FALSE))</f>
        <v>Agriculture</v>
      </c>
      <c r="BE4" s="981" t="str">
        <f>INDEX(Vectors[Description], MATCH(BE$5,Vectors[Code],FALSE))</f>
        <v>Waste</v>
      </c>
      <c r="BF4" s="999" t="s">
        <v>686</v>
      </c>
      <c r="BH4" s="986" t="str">
        <f>INDEX(Vectors[Description], MATCH(BH$5,Vectors[Code],FALSE))</f>
        <v>Conversion losses</v>
      </c>
      <c r="BI4" s="986" t="str">
        <f>INDEX(Vectors[Description], MATCH(BI$5,Vectors[Code],FALSE))</f>
        <v>Distribution losses and own use</v>
      </c>
      <c r="BJ4" s="1001" t="s">
        <v>943</v>
      </c>
      <c r="BL4" s="507" t="str">
        <f>INDEX(Vectors[Description], MATCH(BL$5,Vectors[Code],FALSE))</f>
        <v>Unallocated</v>
      </c>
      <c r="BM4" s="507"/>
      <c r="BO4" s="1151" t="str">
        <f>INDEX(IPCC[Sector_description], MATCH(BO$5, IPCC[Sector_code], 0))</f>
        <v>Fuel Combustion</v>
      </c>
      <c r="BP4" s="1152"/>
      <c r="BQ4" s="1152"/>
      <c r="BR4" s="1153"/>
      <c r="BS4" s="1151" t="str">
        <f>INDEX(IPCC[Sector_description], MATCH(BS$5, IPCC[Sector_code], 0))</f>
        <v>Fugitive Emissions from Fuels</v>
      </c>
      <c r="BT4" s="1152"/>
      <c r="BU4" s="1152"/>
      <c r="BV4" s="1153"/>
      <c r="BW4" s="1151" t="str">
        <f>INDEX(IPCC[Sector_description], MATCH(BW$5, IPCC[Sector_code], 0))</f>
        <v>Industrial Processes</v>
      </c>
      <c r="BX4" s="1152"/>
      <c r="BY4" s="1152"/>
      <c r="BZ4" s="1153"/>
      <c r="CA4" s="1151" t="str">
        <f>INDEX(IPCC[Sector_description], MATCH(CA$5, IPCC[Sector_code], 0))</f>
        <v>Solvent and Other Product Use</v>
      </c>
      <c r="CB4" s="1152"/>
      <c r="CC4" s="1152"/>
      <c r="CD4" s="1153"/>
      <c r="CE4" s="1151" t="str">
        <f>INDEX(IPCC[Sector_description], MATCH(CE$5, IPCC[Sector_code], 0))</f>
        <v>Agriculture</v>
      </c>
      <c r="CF4" s="1152"/>
      <c r="CG4" s="1152"/>
      <c r="CH4" s="1153"/>
      <c r="CI4" s="1151" t="str">
        <f>INDEX(IPCC[Sector_description], MATCH(CI$5, IPCC[Sector_code], 0))</f>
        <v>Land Use, Land-Use Change and Forestry</v>
      </c>
      <c r="CJ4" s="1152"/>
      <c r="CK4" s="1152"/>
      <c r="CL4" s="1153"/>
      <c r="CM4" s="1151" t="str">
        <f>INDEX(IPCC[Sector_description], MATCH(CM$5, IPCC[Sector_code], 0))</f>
        <v>Waste</v>
      </c>
      <c r="CN4" s="1152"/>
      <c r="CO4" s="1152"/>
      <c r="CP4" s="1153"/>
      <c r="CQ4" s="1151" t="str">
        <f>INDEX(IPCC[Sector_description], MATCH(CQ$5, IPCC[Sector_code], 0))</f>
        <v>Other</v>
      </c>
      <c r="CR4" s="1152"/>
      <c r="CS4" s="1152"/>
      <c r="CT4" s="1153"/>
      <c r="CU4" s="1151" t="str">
        <f>INDEX(IPCC[Sector_description], MATCH(CU$5, IPCC[Sector_code], 0))</f>
        <v>International Aviation and Shipping</v>
      </c>
      <c r="CV4" s="1152"/>
      <c r="CW4" s="1152"/>
      <c r="CX4" s="1153"/>
      <c r="CY4" s="1151" t="str">
        <f>INDEX(IPCC[Sector_description], MATCH(CY$5, IPCC[Sector_code], 0))</f>
        <v>Bioenergy credit</v>
      </c>
      <c r="CZ4" s="1152"/>
      <c r="DA4" s="1152"/>
      <c r="DB4" s="1153"/>
      <c r="DC4" s="1151" t="str">
        <f>INDEX(IPCC[Sector_description], MATCH(DC$5, IPCC[Sector_code], 0))</f>
        <v>Carbon capture</v>
      </c>
      <c r="DD4" s="1152"/>
      <c r="DE4" s="1152"/>
      <c r="DF4" s="1153"/>
      <c r="DH4" s="1479" t="s">
        <v>148</v>
      </c>
    </row>
    <row r="5" spans="1:112">
      <c r="D5" s="951" t="s">
        <v>200</v>
      </c>
      <c r="G5" s="984" t="s">
        <v>6</v>
      </c>
      <c r="H5" s="984" t="s">
        <v>57</v>
      </c>
      <c r="I5" s="984" t="s">
        <v>13</v>
      </c>
      <c r="J5" s="984" t="s">
        <v>36</v>
      </c>
      <c r="K5" s="984" t="s">
        <v>37</v>
      </c>
      <c r="L5" s="984" t="s">
        <v>38</v>
      </c>
      <c r="M5" s="984" t="s">
        <v>39</v>
      </c>
      <c r="N5" s="984" t="s">
        <v>966</v>
      </c>
      <c r="O5" s="984" t="s">
        <v>967</v>
      </c>
      <c r="P5" s="984" t="s">
        <v>40</v>
      </c>
      <c r="Q5" s="984"/>
      <c r="S5" s="985" t="s">
        <v>45</v>
      </c>
      <c r="T5" s="985" t="s">
        <v>46</v>
      </c>
      <c r="U5" s="985" t="s">
        <v>47</v>
      </c>
      <c r="V5" s="985" t="s">
        <v>49</v>
      </c>
      <c r="W5" s="985" t="s">
        <v>50</v>
      </c>
      <c r="X5" s="985" t="s">
        <v>64</v>
      </c>
      <c r="Y5" s="985" t="s">
        <v>65</v>
      </c>
      <c r="Z5" s="985" t="s">
        <v>66</v>
      </c>
      <c r="AA5" s="985" t="s">
        <v>108</v>
      </c>
      <c r="AB5" s="985" t="s">
        <v>753</v>
      </c>
      <c r="AC5" s="985" t="s">
        <v>754</v>
      </c>
      <c r="AD5" s="985" t="s">
        <v>1801</v>
      </c>
      <c r="AE5" s="985" t="s">
        <v>2291</v>
      </c>
      <c r="AF5" s="985" t="s">
        <v>755</v>
      </c>
      <c r="AG5" s="985" t="s">
        <v>929</v>
      </c>
      <c r="AH5" s="985" t="s">
        <v>2294</v>
      </c>
      <c r="AI5" s="985" t="s">
        <v>1331</v>
      </c>
      <c r="AJ5" s="985" t="s">
        <v>1476</v>
      </c>
      <c r="AK5" s="985"/>
      <c r="AM5" s="982" t="s">
        <v>999</v>
      </c>
      <c r="AN5" s="982" t="s">
        <v>1000</v>
      </c>
      <c r="AO5" s="982" t="s">
        <v>1001</v>
      </c>
      <c r="AP5" s="982" t="s">
        <v>59</v>
      </c>
      <c r="AQ5" s="982" t="s">
        <v>60</v>
      </c>
      <c r="AR5" s="982" t="s">
        <v>799</v>
      </c>
      <c r="AS5" s="982" t="s">
        <v>991</v>
      </c>
      <c r="AT5" s="982" t="s">
        <v>992</v>
      </c>
      <c r="AU5" s="982" t="s">
        <v>993</v>
      </c>
      <c r="AV5" s="982" t="s">
        <v>7</v>
      </c>
      <c r="AW5" s="982" t="s">
        <v>33</v>
      </c>
      <c r="AX5" s="982" t="s">
        <v>8</v>
      </c>
      <c r="AY5" s="982" t="s">
        <v>9</v>
      </c>
      <c r="AZ5" s="982" t="s">
        <v>10</v>
      </c>
      <c r="BA5" s="982" t="s">
        <v>11</v>
      </c>
      <c r="BB5" s="982" t="s">
        <v>12</v>
      </c>
      <c r="BC5" s="982" t="s">
        <v>104</v>
      </c>
      <c r="BD5" s="982" t="s">
        <v>1027</v>
      </c>
      <c r="BE5" s="982" t="s">
        <v>54</v>
      </c>
      <c r="BF5" s="982"/>
      <c r="BH5" s="987" t="s">
        <v>34</v>
      </c>
      <c r="BI5" s="987" t="s">
        <v>35</v>
      </c>
      <c r="BJ5" s="987"/>
      <c r="BL5" s="502" t="s">
        <v>61</v>
      </c>
      <c r="BM5" s="502"/>
      <c r="BO5" s="1154" t="s">
        <v>1065</v>
      </c>
      <c r="BP5" s="1155" t="s">
        <v>1065</v>
      </c>
      <c r="BQ5" s="1155" t="s">
        <v>1065</v>
      </c>
      <c r="BR5" s="1156" t="s">
        <v>1065</v>
      </c>
      <c r="BS5" s="1154" t="s">
        <v>1064</v>
      </c>
      <c r="BT5" s="1155" t="s">
        <v>1064</v>
      </c>
      <c r="BU5" s="1155" t="s">
        <v>1064</v>
      </c>
      <c r="BV5" s="1156" t="s">
        <v>1064</v>
      </c>
      <c r="BW5" s="1154">
        <v>2</v>
      </c>
      <c r="BX5" s="1155">
        <v>2</v>
      </c>
      <c r="BY5" s="1155">
        <v>2</v>
      </c>
      <c r="BZ5" s="1156">
        <v>2</v>
      </c>
      <c r="CA5" s="1154">
        <v>3</v>
      </c>
      <c r="CB5" s="1155">
        <v>3</v>
      </c>
      <c r="CC5" s="1155">
        <v>3</v>
      </c>
      <c r="CD5" s="1156">
        <v>3</v>
      </c>
      <c r="CE5" s="1154">
        <v>4</v>
      </c>
      <c r="CF5" s="1155">
        <v>4</v>
      </c>
      <c r="CG5" s="1155">
        <v>4</v>
      </c>
      <c r="CH5" s="1156">
        <v>4</v>
      </c>
      <c r="CI5" s="1154">
        <v>5</v>
      </c>
      <c r="CJ5" s="1155">
        <v>5</v>
      </c>
      <c r="CK5" s="1155">
        <v>5</v>
      </c>
      <c r="CL5" s="1156">
        <v>5</v>
      </c>
      <c r="CM5" s="1154">
        <v>6</v>
      </c>
      <c r="CN5" s="1155">
        <v>6</v>
      </c>
      <c r="CO5" s="1155">
        <v>6</v>
      </c>
      <c r="CP5" s="1156">
        <v>6</v>
      </c>
      <c r="CQ5" s="1154">
        <v>7</v>
      </c>
      <c r="CR5" s="1155">
        <v>7</v>
      </c>
      <c r="CS5" s="1155">
        <v>7</v>
      </c>
      <c r="CT5" s="1156">
        <v>7</v>
      </c>
      <c r="CU5" s="1154" t="s">
        <v>1050</v>
      </c>
      <c r="CV5" s="1155" t="s">
        <v>1050</v>
      </c>
      <c r="CW5" s="1155" t="s">
        <v>1050</v>
      </c>
      <c r="CX5" s="1156" t="s">
        <v>1050</v>
      </c>
      <c r="CY5" s="1154" t="s">
        <v>1051</v>
      </c>
      <c r="CZ5" s="1155" t="s">
        <v>1051</v>
      </c>
      <c r="DA5" s="1155" t="s">
        <v>1051</v>
      </c>
      <c r="DB5" s="1156" t="s">
        <v>1051</v>
      </c>
      <c r="DC5" s="1154" t="s">
        <v>1078</v>
      </c>
      <c r="DD5" s="1155" t="s">
        <v>1078</v>
      </c>
      <c r="DE5" s="1155" t="s">
        <v>1078</v>
      </c>
      <c r="DF5" s="1156" t="s">
        <v>1078</v>
      </c>
    </row>
    <row r="6" spans="1:112" ht="15.75" customHeight="1">
      <c r="G6" s="955"/>
      <c r="H6" s="955"/>
      <c r="I6" s="955"/>
      <c r="J6" s="955"/>
      <c r="K6" s="956"/>
      <c r="L6" s="955"/>
      <c r="M6" s="955"/>
      <c r="N6" s="955"/>
      <c r="O6" s="955"/>
      <c r="P6" s="955"/>
      <c r="Q6" s="955"/>
      <c r="S6" s="968"/>
      <c r="T6" s="968"/>
      <c r="U6" s="968"/>
      <c r="V6" s="968"/>
      <c r="W6" s="968"/>
      <c r="X6" s="968"/>
      <c r="Y6" s="968"/>
      <c r="Z6" s="968"/>
      <c r="AA6" s="968"/>
      <c r="AB6" s="968"/>
      <c r="AC6" s="968"/>
      <c r="AD6" s="968"/>
      <c r="AE6" s="968"/>
      <c r="AF6" s="968"/>
      <c r="AG6" s="968"/>
      <c r="AH6" s="968"/>
      <c r="AI6" s="968"/>
      <c r="AJ6" s="968"/>
      <c r="AK6" s="968"/>
      <c r="AM6" s="974"/>
      <c r="AN6" s="974"/>
      <c r="AO6" s="974"/>
      <c r="AP6" s="974"/>
      <c r="AQ6" s="974"/>
      <c r="AR6" s="974"/>
      <c r="AS6" s="974"/>
      <c r="AT6" s="974"/>
      <c r="AU6" s="974"/>
      <c r="AV6" s="974"/>
      <c r="AW6" s="974"/>
      <c r="AX6" s="974"/>
      <c r="AY6" s="974"/>
      <c r="AZ6" s="974"/>
      <c r="BA6" s="974"/>
      <c r="BB6" s="974"/>
      <c r="BC6" s="974"/>
      <c r="BD6" s="974"/>
      <c r="BE6" s="974"/>
      <c r="BF6" s="974"/>
      <c r="BH6" s="988"/>
      <c r="BI6" s="988"/>
      <c r="BJ6" s="988"/>
      <c r="BL6" s="511"/>
      <c r="BM6" s="511"/>
      <c r="BO6" s="1144" t="s">
        <v>1055</v>
      </c>
      <c r="BP6" s="1144" t="s">
        <v>1056</v>
      </c>
      <c r="BQ6" s="1144" t="s">
        <v>1057</v>
      </c>
      <c r="BR6" s="1144" t="s">
        <v>1058</v>
      </c>
      <c r="BS6" s="1144" t="s">
        <v>1055</v>
      </c>
      <c r="BT6" s="1144" t="s">
        <v>1056</v>
      </c>
      <c r="BU6" s="1144" t="s">
        <v>1057</v>
      </c>
      <c r="BV6" s="1144" t="s">
        <v>1058</v>
      </c>
      <c r="BW6" s="1144" t="s">
        <v>1055</v>
      </c>
      <c r="BX6" s="1144" t="s">
        <v>1056</v>
      </c>
      <c r="BY6" s="1144" t="s">
        <v>1057</v>
      </c>
      <c r="BZ6" s="1144" t="s">
        <v>1058</v>
      </c>
      <c r="CA6" s="1144" t="s">
        <v>1055</v>
      </c>
      <c r="CB6" s="1144" t="s">
        <v>1056</v>
      </c>
      <c r="CC6" s="1144" t="s">
        <v>1057</v>
      </c>
      <c r="CD6" s="1144" t="s">
        <v>1058</v>
      </c>
      <c r="CE6" s="1144" t="s">
        <v>1055</v>
      </c>
      <c r="CF6" s="1144" t="s">
        <v>1056</v>
      </c>
      <c r="CG6" s="1144" t="s">
        <v>1057</v>
      </c>
      <c r="CH6" s="1144" t="s">
        <v>1058</v>
      </c>
      <c r="CI6" s="1144" t="s">
        <v>1055</v>
      </c>
      <c r="CJ6" s="1144" t="s">
        <v>1056</v>
      </c>
      <c r="CK6" s="1144" t="s">
        <v>1057</v>
      </c>
      <c r="CL6" s="1144" t="s">
        <v>1058</v>
      </c>
      <c r="CM6" s="1144" t="s">
        <v>1055</v>
      </c>
      <c r="CN6" s="1144" t="s">
        <v>1056</v>
      </c>
      <c r="CO6" s="1144" t="s">
        <v>1057</v>
      </c>
      <c r="CP6" s="1144" t="s">
        <v>1058</v>
      </c>
      <c r="CQ6" s="1144" t="s">
        <v>1055</v>
      </c>
      <c r="CR6" s="1144" t="s">
        <v>1056</v>
      </c>
      <c r="CS6" s="1144" t="s">
        <v>1057</v>
      </c>
      <c r="CT6" s="1144" t="s">
        <v>1058</v>
      </c>
      <c r="CU6" s="1144" t="s">
        <v>1055</v>
      </c>
      <c r="CV6" s="1144" t="s">
        <v>1056</v>
      </c>
      <c r="CW6" s="1144" t="s">
        <v>1057</v>
      </c>
      <c r="CX6" s="1144" t="s">
        <v>1058</v>
      </c>
      <c r="CY6" s="1144" t="s">
        <v>1055</v>
      </c>
      <c r="CZ6" s="1144" t="s">
        <v>1056</v>
      </c>
      <c r="DA6" s="1144" t="s">
        <v>1057</v>
      </c>
      <c r="DB6" s="1144" t="s">
        <v>1058</v>
      </c>
      <c r="DC6" s="1144" t="s">
        <v>1055</v>
      </c>
      <c r="DD6" s="1144" t="s">
        <v>1056</v>
      </c>
      <c r="DE6" s="1144" t="s">
        <v>1057</v>
      </c>
      <c r="DF6" s="1144" t="s">
        <v>1058</v>
      </c>
    </row>
    <row r="7" spans="1:112" ht="18" customHeight="1">
      <c r="C7" s="501" t="s">
        <v>592</v>
      </c>
      <c r="D7" s="501"/>
      <c r="E7" s="639"/>
      <c r="G7" s="957"/>
      <c r="H7" s="957"/>
      <c r="I7" s="957"/>
      <c r="J7" s="957"/>
      <c r="K7" s="957"/>
      <c r="L7" s="957"/>
      <c r="M7" s="957"/>
      <c r="N7" s="957"/>
      <c r="O7" s="957"/>
      <c r="P7" s="957"/>
      <c r="Q7" s="957"/>
      <c r="S7" s="969"/>
      <c r="T7" s="969"/>
      <c r="U7" s="969"/>
      <c r="V7" s="969"/>
      <c r="W7" s="969"/>
      <c r="X7" s="969"/>
      <c r="Y7" s="969"/>
      <c r="Z7" s="969"/>
      <c r="AA7" s="969"/>
      <c r="AB7" s="969"/>
      <c r="AC7" s="969"/>
      <c r="AD7" s="969"/>
      <c r="AE7" s="969"/>
      <c r="AF7" s="969"/>
      <c r="AG7" s="969"/>
      <c r="AH7" s="969"/>
      <c r="AI7" s="969"/>
      <c r="AJ7" s="969"/>
      <c r="AK7" s="969"/>
      <c r="AM7" s="975"/>
      <c r="AN7" s="975"/>
      <c r="AO7" s="975"/>
      <c r="AP7" s="975"/>
      <c r="AQ7" s="975"/>
      <c r="AR7" s="975"/>
      <c r="AS7" s="975"/>
      <c r="AT7" s="975"/>
      <c r="AU7" s="975"/>
      <c r="AV7" s="975"/>
      <c r="AW7" s="975"/>
      <c r="AX7" s="975"/>
      <c r="AY7" s="975"/>
      <c r="AZ7" s="975"/>
      <c r="BA7" s="975"/>
      <c r="BB7" s="975"/>
      <c r="BC7" s="975"/>
      <c r="BD7" s="975"/>
      <c r="BE7" s="975"/>
      <c r="BF7" s="975"/>
      <c r="BH7" s="989"/>
      <c r="BI7" s="989"/>
      <c r="BJ7" s="989"/>
      <c r="BL7" s="514"/>
      <c r="BM7" s="514"/>
      <c r="BO7" s="1145"/>
      <c r="BP7" s="1145"/>
      <c r="BQ7" s="1145"/>
      <c r="BR7" s="1145"/>
      <c r="BS7" s="1145"/>
      <c r="BT7" s="1145"/>
      <c r="BU7" s="1145"/>
      <c r="BV7" s="1145"/>
      <c r="BW7" s="1145"/>
      <c r="BX7" s="1145"/>
      <c r="BY7" s="1145"/>
      <c r="BZ7" s="1145"/>
      <c r="CA7" s="1145"/>
      <c r="CB7" s="1145"/>
      <c r="CC7" s="1145"/>
      <c r="CD7" s="1145"/>
      <c r="CE7" s="1145"/>
      <c r="CF7" s="1145"/>
      <c r="CG7" s="1145"/>
      <c r="CH7" s="1145"/>
      <c r="CI7" s="1145"/>
      <c r="CJ7" s="1145"/>
      <c r="CK7" s="1145"/>
      <c r="CL7" s="1145"/>
      <c r="CM7" s="1145"/>
      <c r="CN7" s="1145"/>
      <c r="CO7" s="1145"/>
      <c r="CP7" s="1145"/>
      <c r="CQ7" s="1145"/>
      <c r="CR7" s="1145"/>
      <c r="CS7" s="1145"/>
      <c r="CT7" s="1145"/>
      <c r="CU7" s="1145"/>
      <c r="CV7" s="1145"/>
      <c r="CW7" s="1145"/>
      <c r="CX7" s="1145"/>
      <c r="CY7" s="1145"/>
      <c r="CZ7" s="1145"/>
      <c r="DA7" s="1145"/>
      <c r="DB7" s="1145"/>
      <c r="DC7" s="1145"/>
      <c r="DD7" s="1145"/>
      <c r="DE7" s="1145"/>
      <c r="DF7" s="1145"/>
    </row>
    <row r="8" spans="1:112" ht="6" hidden="1" customHeight="1" outlineLevel="1">
      <c r="G8" s="958"/>
      <c r="H8" s="958"/>
      <c r="I8" s="958"/>
      <c r="J8" s="958"/>
      <c r="K8" s="959"/>
      <c r="L8" s="958"/>
      <c r="M8" s="958"/>
      <c r="N8" s="958"/>
      <c r="O8" s="958"/>
      <c r="P8" s="958"/>
      <c r="Q8" s="958"/>
      <c r="S8" s="970"/>
      <c r="T8" s="970"/>
      <c r="U8" s="970"/>
      <c r="V8" s="970"/>
      <c r="W8" s="970"/>
      <c r="X8" s="970"/>
      <c r="Y8" s="970"/>
      <c r="Z8" s="970"/>
      <c r="AA8" s="970"/>
      <c r="AB8" s="970"/>
      <c r="AC8" s="970"/>
      <c r="AD8" s="970"/>
      <c r="AE8" s="970"/>
      <c r="AF8" s="970"/>
      <c r="AG8" s="970"/>
      <c r="AH8" s="970"/>
      <c r="AI8" s="970"/>
      <c r="AJ8" s="970"/>
      <c r="AK8" s="970"/>
      <c r="AM8" s="976"/>
      <c r="AN8" s="976"/>
      <c r="AO8" s="976"/>
      <c r="AP8" s="976"/>
      <c r="AQ8" s="976"/>
      <c r="AR8" s="976"/>
      <c r="AS8" s="976"/>
      <c r="AT8" s="976"/>
      <c r="AU8" s="976"/>
      <c r="AV8" s="976"/>
      <c r="AW8" s="976"/>
      <c r="AX8" s="976"/>
      <c r="AY8" s="976"/>
      <c r="AZ8" s="976"/>
      <c r="BA8" s="976"/>
      <c r="BB8" s="976"/>
      <c r="BC8" s="976"/>
      <c r="BD8" s="976"/>
      <c r="BE8" s="976"/>
      <c r="BF8" s="976"/>
      <c r="BH8" s="990"/>
      <c r="BI8" s="990"/>
      <c r="BJ8" s="990"/>
      <c r="BL8" s="515"/>
      <c r="BM8" s="515"/>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1146"/>
      <c r="DA8" s="1146"/>
      <c r="DB8" s="1146"/>
      <c r="DC8" s="1146"/>
      <c r="DD8" s="1146"/>
      <c r="DE8" s="1146"/>
      <c r="DF8" s="1146"/>
    </row>
    <row r="9" spans="1:112" s="743" customFormat="1" ht="10.5" hidden="1" customHeight="1" outlineLevel="2">
      <c r="A9" s="1480"/>
      <c r="B9" s="1480"/>
      <c r="C9" s="746" t="s">
        <v>829</v>
      </c>
      <c r="D9" s="1480" t="str">
        <f>INDEX(Modules[Module], MATCH($C9, Modules[Code], 0))</f>
        <v>Domestic space heating and hot water</v>
      </c>
      <c r="E9" s="521"/>
      <c r="G9" s="1017">
        <f ca="1">IFERROR(INDEX(INDIRECT($C9&amp;".Outputs["&amp;this.Year&amp;"]"), MATCH(G$5, INDIRECT($C9&amp;".Outputs[Vector]"), 0)), 0)</f>
        <v>382.53018590696547</v>
      </c>
      <c r="H9" s="1017">
        <f t="shared" ref="G9:P13" ca="1" si="0">IFERROR(INDEX(INDIRECT($C9&amp;".Outputs["&amp;this.Year&amp;"]"), MATCH(H$5, INDIRECT($C9&amp;".Outputs[Vector]"), 0)), 0)</f>
        <v>0</v>
      </c>
      <c r="I9" s="1017">
        <f t="shared" ca="1" si="0"/>
        <v>0</v>
      </c>
      <c r="J9" s="1017">
        <f t="shared" ca="1" si="0"/>
        <v>0</v>
      </c>
      <c r="K9" s="1017">
        <f t="shared" ca="1" si="0"/>
        <v>0</v>
      </c>
      <c r="L9" s="1017">
        <f t="shared" ca="1" si="0"/>
        <v>0</v>
      </c>
      <c r="M9" s="1017">
        <f t="shared" ca="1" si="0"/>
        <v>0</v>
      </c>
      <c r="N9" s="1017">
        <f t="shared" ca="1" si="0"/>
        <v>0</v>
      </c>
      <c r="O9" s="1017">
        <f t="shared" ca="1" si="0"/>
        <v>0</v>
      </c>
      <c r="P9" s="1017">
        <f t="shared" ca="1" si="0"/>
        <v>0</v>
      </c>
      <c r="Q9" s="1019">
        <f t="shared" ref="Q9:Q15" ca="1" si="1">SUM(G9:P9)</f>
        <v>382.53018590696547</v>
      </c>
      <c r="S9" s="1026">
        <f t="shared" ref="S9:BE13" ca="1" si="2">IFERROR(INDEX(INDIRECT($C9&amp;".Outputs["&amp;this.Year&amp;"]"), MATCH(S$5, INDIRECT($C9&amp;".Outputs[Vector]"), 0)), 0)</f>
        <v>-31.008546529888466</v>
      </c>
      <c r="T9" s="1026">
        <f t="shared" ca="1" si="2"/>
        <v>0</v>
      </c>
      <c r="U9" s="1026">
        <f t="shared" ca="1" si="2"/>
        <v>-14.256803002247571</v>
      </c>
      <c r="V9" s="1026">
        <f t="shared" ca="1" si="2"/>
        <v>-12.787029496861225</v>
      </c>
      <c r="W9" s="1026">
        <f t="shared" ca="1" si="2"/>
        <v>-324.47780687796825</v>
      </c>
      <c r="X9" s="1026">
        <f t="shared" ref="X9:Z10" ca="1" si="3">IFERROR(INDEX(INDIRECT($C9&amp;".Outputs["&amp;this.Year&amp;"]"), MATCH(X$5, INDIRECT($C9&amp;".Outputs[Vector]"), 0)), 0)</f>
        <v>0</v>
      </c>
      <c r="Y9" s="1026">
        <f t="shared" ca="1" si="3"/>
        <v>0</v>
      </c>
      <c r="Z9" s="1026">
        <f t="shared" ca="1" si="3"/>
        <v>0</v>
      </c>
      <c r="AA9" s="1026">
        <f t="shared" ca="1" si="2"/>
        <v>0</v>
      </c>
      <c r="AB9" s="1026">
        <f t="shared" ca="1" si="2"/>
        <v>0</v>
      </c>
      <c r="AC9" s="1026">
        <f t="shared" ca="1" si="2"/>
        <v>0</v>
      </c>
      <c r="AD9" s="1026">
        <f t="shared" ca="1" si="2"/>
        <v>0</v>
      </c>
      <c r="AE9" s="1026">
        <f t="shared" ca="1" si="2"/>
        <v>0</v>
      </c>
      <c r="AF9" s="1026">
        <f t="shared" ca="1" si="2"/>
        <v>0</v>
      </c>
      <c r="AG9" s="1026">
        <f t="shared" ca="1" si="2"/>
        <v>0</v>
      </c>
      <c r="AH9" s="1026">
        <f t="shared" ca="1" si="2"/>
        <v>0</v>
      </c>
      <c r="AI9" s="1026">
        <f t="shared" ca="1" si="2"/>
        <v>0</v>
      </c>
      <c r="AJ9" s="1026">
        <f t="shared" ca="1" si="2"/>
        <v>0</v>
      </c>
      <c r="AK9" s="1027">
        <f t="shared" ref="AK9:AK15" ca="1" si="4">SUM(S9:AJ9)</f>
        <v>-382.53018590696553</v>
      </c>
      <c r="AM9" s="1038">
        <f t="shared" ref="AM9:AU10" ca="1" si="5">IFERROR(INDEX(INDIRECT($C9&amp;".Outputs["&amp;this.Year&amp;"]"), MATCH(AM$5, INDIRECT($C9&amp;".Outputs[Vector]"), 0)), 0)</f>
        <v>0</v>
      </c>
      <c r="AN9" s="1038">
        <f t="shared" ca="1" si="5"/>
        <v>0</v>
      </c>
      <c r="AO9" s="1038">
        <f t="shared" ca="1" si="5"/>
        <v>0</v>
      </c>
      <c r="AP9" s="1038">
        <f t="shared" ca="1" si="5"/>
        <v>0</v>
      </c>
      <c r="AQ9" s="1038">
        <f t="shared" ca="1" si="5"/>
        <v>0</v>
      </c>
      <c r="AR9" s="1038">
        <f t="shared" ca="1" si="5"/>
        <v>0</v>
      </c>
      <c r="AS9" s="1038">
        <f t="shared" ca="1" si="5"/>
        <v>0</v>
      </c>
      <c r="AT9" s="1038">
        <f t="shared" ca="1" si="5"/>
        <v>0</v>
      </c>
      <c r="AU9" s="1038">
        <f t="shared" ca="1" si="5"/>
        <v>0</v>
      </c>
      <c r="AV9" s="1038">
        <f t="shared" ca="1" si="2"/>
        <v>0</v>
      </c>
      <c r="AW9" s="1038">
        <f t="shared" ca="1" si="2"/>
        <v>0</v>
      </c>
      <c r="AX9" s="1038">
        <f t="shared" ca="1" si="2"/>
        <v>0</v>
      </c>
      <c r="AY9" s="1038">
        <f t="shared" ca="1" si="2"/>
        <v>0</v>
      </c>
      <c r="AZ9" s="1038">
        <f t="shared" ca="1" si="2"/>
        <v>0</v>
      </c>
      <c r="BA9" s="1038">
        <f t="shared" ca="1" si="2"/>
        <v>0</v>
      </c>
      <c r="BB9" s="1038">
        <f t="shared" ca="1" si="2"/>
        <v>0</v>
      </c>
      <c r="BC9" s="1038">
        <f t="shared" ca="1" si="2"/>
        <v>0</v>
      </c>
      <c r="BD9" s="1038">
        <f t="shared" ca="1" si="2"/>
        <v>0</v>
      </c>
      <c r="BE9" s="1038">
        <f t="shared" ca="1" si="2"/>
        <v>0</v>
      </c>
      <c r="BF9" s="977">
        <f t="shared" ref="BF9:BF15" ca="1" si="6">SUM(AM9:BE9)</f>
        <v>0</v>
      </c>
      <c r="BH9" s="1032">
        <f t="shared" ref="BH9:BI13" ca="1" si="7">IFERROR(INDEX(INDIRECT($C9&amp;".Outputs["&amp;this.Year&amp;"]"), MATCH(BH$5, INDIRECT($C9&amp;".Outputs[Vector]"), 0)), 0)</f>
        <v>0</v>
      </c>
      <c r="BI9" s="1032">
        <f t="shared" ca="1" si="7"/>
        <v>0</v>
      </c>
      <c r="BJ9" s="1034">
        <f t="shared" ref="BJ9:BJ15" ca="1" si="8">SUM(BH9:BI9)</f>
        <v>0</v>
      </c>
      <c r="BL9" s="524">
        <f t="shared" ref="BL9:BL44" ca="1" si="9">Q9+AK9+BF9+BJ9</f>
        <v>-5.6843418860808015E-14</v>
      </c>
      <c r="BM9" s="524"/>
      <c r="BN9" s="840"/>
      <c r="BO9" s="1481">
        <f t="shared" ref="BO9:BX10" ca="1" si="10">IFERROR(SUMIFS(INDIRECT($C9&amp;".Emissions["&amp;this.Year&amp;"]"), INDIRECT($C9&amp;".Emissions[GHG]"), BO$6, INDIRECT($C9&amp;".Emissions[IPCC Sector]"), BO$5),0)</f>
        <v>67.291769164453711</v>
      </c>
      <c r="BP9" s="1482">
        <f t="shared" ca="1" si="10"/>
        <v>0.13655504882378258</v>
      </c>
      <c r="BQ9" s="1482">
        <f t="shared" ca="1" si="10"/>
        <v>0.22513176941521534</v>
      </c>
      <c r="BR9" s="1482">
        <f t="shared" ca="1" si="10"/>
        <v>0</v>
      </c>
      <c r="BS9" s="1482">
        <f t="shared" ca="1" si="10"/>
        <v>0</v>
      </c>
      <c r="BT9" s="1482">
        <f t="shared" ca="1" si="10"/>
        <v>0</v>
      </c>
      <c r="BU9" s="1482">
        <f t="shared" ca="1" si="10"/>
        <v>0</v>
      </c>
      <c r="BV9" s="1482">
        <f t="shared" ca="1" si="10"/>
        <v>0</v>
      </c>
      <c r="BW9" s="1482">
        <f t="shared" ca="1" si="10"/>
        <v>0</v>
      </c>
      <c r="BX9" s="1482">
        <f t="shared" ca="1" si="10"/>
        <v>0</v>
      </c>
      <c r="BY9" s="1482">
        <f t="shared" ref="BY9:CH10" ca="1" si="11">IFERROR(SUMIFS(INDIRECT($C9&amp;".Emissions["&amp;this.Year&amp;"]"), INDIRECT($C9&amp;".Emissions[GHG]"), BY$6, INDIRECT($C9&amp;".Emissions[IPCC Sector]"), BY$5),0)</f>
        <v>0</v>
      </c>
      <c r="BZ9" s="1482">
        <f t="shared" ca="1" si="11"/>
        <v>0</v>
      </c>
      <c r="CA9" s="1482">
        <f t="shared" ca="1" si="11"/>
        <v>0</v>
      </c>
      <c r="CB9" s="1482">
        <f t="shared" ca="1" si="11"/>
        <v>0</v>
      </c>
      <c r="CC9" s="1482">
        <f t="shared" ca="1" si="11"/>
        <v>0</v>
      </c>
      <c r="CD9" s="1482">
        <f t="shared" ca="1" si="11"/>
        <v>0</v>
      </c>
      <c r="CE9" s="1482">
        <f t="shared" ca="1" si="11"/>
        <v>0</v>
      </c>
      <c r="CF9" s="1482">
        <f t="shared" ca="1" si="11"/>
        <v>0</v>
      </c>
      <c r="CG9" s="1482">
        <f t="shared" ca="1" si="11"/>
        <v>0</v>
      </c>
      <c r="CH9" s="1482">
        <f t="shared" ca="1" si="11"/>
        <v>0</v>
      </c>
      <c r="CI9" s="1482">
        <f t="shared" ref="CI9:CR10" ca="1" si="12">IFERROR(SUMIFS(INDIRECT($C9&amp;".Emissions["&amp;this.Year&amp;"]"), INDIRECT($C9&amp;".Emissions[GHG]"), CI$6, INDIRECT($C9&amp;".Emissions[IPCC Sector]"), CI$5),0)</f>
        <v>0</v>
      </c>
      <c r="CJ9" s="1482">
        <f t="shared" ca="1" si="12"/>
        <v>0</v>
      </c>
      <c r="CK9" s="1482">
        <f t="shared" ca="1" si="12"/>
        <v>0</v>
      </c>
      <c r="CL9" s="1482">
        <f t="shared" ca="1" si="12"/>
        <v>0</v>
      </c>
      <c r="CM9" s="1482">
        <f t="shared" ca="1" si="12"/>
        <v>0</v>
      </c>
      <c r="CN9" s="1482">
        <f t="shared" ca="1" si="12"/>
        <v>0</v>
      </c>
      <c r="CO9" s="1482">
        <f t="shared" ca="1" si="12"/>
        <v>0</v>
      </c>
      <c r="CP9" s="1482">
        <f t="shared" ca="1" si="12"/>
        <v>0</v>
      </c>
      <c r="CQ9" s="1482">
        <f t="shared" ca="1" si="12"/>
        <v>0</v>
      </c>
      <c r="CR9" s="1482">
        <f t="shared" ca="1" si="12"/>
        <v>0</v>
      </c>
      <c r="CS9" s="1482">
        <f t="shared" ref="CS9:DF10" ca="1" si="13">IFERROR(SUMIFS(INDIRECT($C9&amp;".Emissions["&amp;this.Year&amp;"]"), INDIRECT($C9&amp;".Emissions[GHG]"), CS$6, INDIRECT($C9&amp;".Emissions[IPCC Sector]"), CS$5),0)</f>
        <v>0</v>
      </c>
      <c r="CT9" s="1482">
        <f t="shared" ca="1" si="13"/>
        <v>0</v>
      </c>
      <c r="CU9" s="1482">
        <f t="shared" ca="1" si="13"/>
        <v>0</v>
      </c>
      <c r="CV9" s="1482">
        <f t="shared" ca="1" si="13"/>
        <v>0</v>
      </c>
      <c r="CW9" s="1482">
        <f t="shared" ca="1" si="13"/>
        <v>0</v>
      </c>
      <c r="CX9" s="1482">
        <f t="shared" ca="1" si="13"/>
        <v>0</v>
      </c>
      <c r="CY9" s="1482">
        <f t="shared" ca="1" si="13"/>
        <v>0</v>
      </c>
      <c r="CZ9" s="1482">
        <f t="shared" ca="1" si="13"/>
        <v>0</v>
      </c>
      <c r="DA9" s="1482">
        <f t="shared" ca="1" si="13"/>
        <v>0</v>
      </c>
      <c r="DB9" s="1482">
        <f t="shared" ca="1" si="13"/>
        <v>0</v>
      </c>
      <c r="DC9" s="1482">
        <f t="shared" ca="1" si="13"/>
        <v>0</v>
      </c>
      <c r="DD9" s="1482">
        <f t="shared" ca="1" si="13"/>
        <v>0</v>
      </c>
      <c r="DE9" s="1482">
        <f t="shared" ca="1" si="13"/>
        <v>0</v>
      </c>
      <c r="DF9" s="1482">
        <f t="shared" ca="1" si="13"/>
        <v>0</v>
      </c>
      <c r="DH9" s="838"/>
    </row>
    <row r="10" spans="1:112" s="743" customFormat="1" ht="10.5" hidden="1" customHeight="1" outlineLevel="2">
      <c r="A10" s="1483"/>
      <c r="B10" s="1483"/>
      <c r="C10" s="1009" t="s">
        <v>898</v>
      </c>
      <c r="D10" s="1483" t="str">
        <f>INDEX(Modules[Module], MATCH($C10, Modules[Code], 0))</f>
        <v>Domestic hot water [UNUSED - See IX.a]</v>
      </c>
      <c r="E10" s="1006"/>
      <c r="G10" s="1018">
        <f t="shared" ca="1" si="0"/>
        <v>0</v>
      </c>
      <c r="H10" s="1018">
        <f t="shared" ca="1" si="0"/>
        <v>0</v>
      </c>
      <c r="I10" s="1018">
        <f t="shared" ca="1" si="0"/>
        <v>0</v>
      </c>
      <c r="J10" s="1018">
        <f t="shared" ca="1" si="0"/>
        <v>0</v>
      </c>
      <c r="K10" s="1018">
        <f t="shared" ca="1" si="0"/>
        <v>0</v>
      </c>
      <c r="L10" s="1018">
        <f t="shared" ca="1" si="0"/>
        <v>0</v>
      </c>
      <c r="M10" s="1018">
        <f t="shared" ca="1" si="0"/>
        <v>0</v>
      </c>
      <c r="N10" s="1018">
        <f t="shared" ca="1" si="0"/>
        <v>0</v>
      </c>
      <c r="O10" s="1018">
        <f t="shared" ca="1" si="0"/>
        <v>0</v>
      </c>
      <c r="P10" s="1018">
        <f t="shared" ca="1" si="0"/>
        <v>0</v>
      </c>
      <c r="Q10" s="1024">
        <f t="shared" ca="1" si="1"/>
        <v>0</v>
      </c>
      <c r="S10" s="1028">
        <f t="shared" ca="1" si="2"/>
        <v>0</v>
      </c>
      <c r="T10" s="1028">
        <f t="shared" ca="1" si="2"/>
        <v>0</v>
      </c>
      <c r="U10" s="1028">
        <f t="shared" ca="1" si="2"/>
        <v>0</v>
      </c>
      <c r="V10" s="1028">
        <f t="shared" ca="1" si="2"/>
        <v>0</v>
      </c>
      <c r="W10" s="1028">
        <f t="shared" ca="1" si="2"/>
        <v>0</v>
      </c>
      <c r="X10" s="1028">
        <f t="shared" ca="1" si="3"/>
        <v>0</v>
      </c>
      <c r="Y10" s="1028">
        <f t="shared" ca="1" si="3"/>
        <v>0</v>
      </c>
      <c r="Z10" s="1028">
        <f t="shared" ca="1" si="3"/>
        <v>0</v>
      </c>
      <c r="AA10" s="1028">
        <f t="shared" ca="1" si="2"/>
        <v>0</v>
      </c>
      <c r="AB10" s="1028">
        <f t="shared" ca="1" si="2"/>
        <v>0</v>
      </c>
      <c r="AC10" s="1028">
        <f t="shared" ca="1" si="2"/>
        <v>0</v>
      </c>
      <c r="AD10" s="1028">
        <f t="shared" ca="1" si="2"/>
        <v>0</v>
      </c>
      <c r="AE10" s="1028">
        <f t="shared" ca="1" si="2"/>
        <v>0</v>
      </c>
      <c r="AF10" s="1028">
        <f t="shared" ca="1" si="2"/>
        <v>0</v>
      </c>
      <c r="AG10" s="1028">
        <f t="shared" ca="1" si="2"/>
        <v>0</v>
      </c>
      <c r="AH10" s="1028">
        <f t="shared" ca="1" si="2"/>
        <v>0</v>
      </c>
      <c r="AI10" s="1028">
        <f t="shared" ca="1" si="2"/>
        <v>0</v>
      </c>
      <c r="AJ10" s="1028">
        <f t="shared" ca="1" si="2"/>
        <v>0</v>
      </c>
      <c r="AK10" s="1029">
        <f t="shared" ca="1" si="4"/>
        <v>0</v>
      </c>
      <c r="AM10" s="1039">
        <f t="shared" ca="1" si="5"/>
        <v>0</v>
      </c>
      <c r="AN10" s="1039">
        <f t="shared" ca="1" si="5"/>
        <v>0</v>
      </c>
      <c r="AO10" s="1039">
        <f t="shared" ca="1" si="5"/>
        <v>0</v>
      </c>
      <c r="AP10" s="1039">
        <f t="shared" ca="1" si="5"/>
        <v>0</v>
      </c>
      <c r="AQ10" s="1039">
        <f t="shared" ca="1" si="5"/>
        <v>0</v>
      </c>
      <c r="AR10" s="1039">
        <f t="shared" ca="1" si="5"/>
        <v>0</v>
      </c>
      <c r="AS10" s="1039">
        <f t="shared" ca="1" si="5"/>
        <v>0</v>
      </c>
      <c r="AT10" s="1039">
        <f t="shared" ca="1" si="5"/>
        <v>0</v>
      </c>
      <c r="AU10" s="1039">
        <f t="shared" ca="1" si="5"/>
        <v>0</v>
      </c>
      <c r="AV10" s="1039">
        <f t="shared" ca="1" si="2"/>
        <v>0</v>
      </c>
      <c r="AW10" s="1039">
        <f t="shared" ca="1" si="2"/>
        <v>0</v>
      </c>
      <c r="AX10" s="1039">
        <f t="shared" ca="1" si="2"/>
        <v>0</v>
      </c>
      <c r="AY10" s="1039">
        <f t="shared" ca="1" si="2"/>
        <v>0</v>
      </c>
      <c r="AZ10" s="1039">
        <f t="shared" ca="1" si="2"/>
        <v>0</v>
      </c>
      <c r="BA10" s="1039">
        <f t="shared" ca="1" si="2"/>
        <v>0</v>
      </c>
      <c r="BB10" s="1039">
        <f t="shared" ca="1" si="2"/>
        <v>0</v>
      </c>
      <c r="BC10" s="1039">
        <f t="shared" ca="1" si="2"/>
        <v>0</v>
      </c>
      <c r="BD10" s="1039">
        <f t="shared" ca="1" si="2"/>
        <v>0</v>
      </c>
      <c r="BE10" s="1039">
        <f t="shared" ca="1" si="2"/>
        <v>0</v>
      </c>
      <c r="BF10" s="1008">
        <f t="shared" ca="1" si="6"/>
        <v>0</v>
      </c>
      <c r="BH10" s="1033">
        <f t="shared" ca="1" si="7"/>
        <v>0</v>
      </c>
      <c r="BI10" s="1033">
        <f t="shared" ca="1" si="7"/>
        <v>0</v>
      </c>
      <c r="BJ10" s="1044">
        <f t="shared" ca="1" si="8"/>
        <v>0</v>
      </c>
      <c r="BL10" s="1007">
        <f t="shared" ca="1" si="9"/>
        <v>0</v>
      </c>
      <c r="BM10" s="1007"/>
      <c r="BN10" s="840"/>
      <c r="BO10" s="1481">
        <f t="shared" ca="1" si="10"/>
        <v>0</v>
      </c>
      <c r="BP10" s="1482">
        <f t="shared" ca="1" si="10"/>
        <v>0</v>
      </c>
      <c r="BQ10" s="1482">
        <f t="shared" ca="1" si="10"/>
        <v>0</v>
      </c>
      <c r="BR10" s="1482">
        <f t="shared" ca="1" si="10"/>
        <v>0</v>
      </c>
      <c r="BS10" s="1482">
        <f t="shared" ca="1" si="10"/>
        <v>0</v>
      </c>
      <c r="BT10" s="1482">
        <f t="shared" ca="1" si="10"/>
        <v>0</v>
      </c>
      <c r="BU10" s="1482">
        <f t="shared" ca="1" si="10"/>
        <v>0</v>
      </c>
      <c r="BV10" s="1482">
        <f t="shared" ca="1" si="10"/>
        <v>0</v>
      </c>
      <c r="BW10" s="1482">
        <f t="shared" ca="1" si="10"/>
        <v>0</v>
      </c>
      <c r="BX10" s="1482">
        <f t="shared" ca="1" si="10"/>
        <v>0</v>
      </c>
      <c r="BY10" s="1482">
        <f t="shared" ca="1" si="11"/>
        <v>0</v>
      </c>
      <c r="BZ10" s="1482">
        <f t="shared" ca="1" si="11"/>
        <v>0</v>
      </c>
      <c r="CA10" s="1482">
        <f t="shared" ca="1" si="11"/>
        <v>0</v>
      </c>
      <c r="CB10" s="1482">
        <f t="shared" ca="1" si="11"/>
        <v>0</v>
      </c>
      <c r="CC10" s="1482">
        <f t="shared" ca="1" si="11"/>
        <v>0</v>
      </c>
      <c r="CD10" s="1482">
        <f t="shared" ca="1" si="11"/>
        <v>0</v>
      </c>
      <c r="CE10" s="1482">
        <f t="shared" ca="1" si="11"/>
        <v>0</v>
      </c>
      <c r="CF10" s="1482">
        <f t="shared" ca="1" si="11"/>
        <v>0</v>
      </c>
      <c r="CG10" s="1482">
        <f t="shared" ca="1" si="11"/>
        <v>0</v>
      </c>
      <c r="CH10" s="1482">
        <f t="shared" ca="1" si="11"/>
        <v>0</v>
      </c>
      <c r="CI10" s="1482">
        <f t="shared" ca="1" si="12"/>
        <v>0</v>
      </c>
      <c r="CJ10" s="1482">
        <f t="shared" ca="1" si="12"/>
        <v>0</v>
      </c>
      <c r="CK10" s="1482">
        <f t="shared" ca="1" si="12"/>
        <v>0</v>
      </c>
      <c r="CL10" s="1482">
        <f t="shared" ca="1" si="12"/>
        <v>0</v>
      </c>
      <c r="CM10" s="1482">
        <f t="shared" ca="1" si="12"/>
        <v>0</v>
      </c>
      <c r="CN10" s="1482">
        <f t="shared" ca="1" si="12"/>
        <v>0</v>
      </c>
      <c r="CO10" s="1482">
        <f t="shared" ca="1" si="12"/>
        <v>0</v>
      </c>
      <c r="CP10" s="1482">
        <f t="shared" ca="1" si="12"/>
        <v>0</v>
      </c>
      <c r="CQ10" s="1482">
        <f t="shared" ca="1" si="12"/>
        <v>0</v>
      </c>
      <c r="CR10" s="1482">
        <f t="shared" ca="1" si="12"/>
        <v>0</v>
      </c>
      <c r="CS10" s="1482">
        <f t="shared" ca="1" si="13"/>
        <v>0</v>
      </c>
      <c r="CT10" s="1482">
        <f t="shared" ca="1" si="13"/>
        <v>0</v>
      </c>
      <c r="CU10" s="1482">
        <f t="shared" ca="1" si="13"/>
        <v>0</v>
      </c>
      <c r="CV10" s="1482">
        <f t="shared" ca="1" si="13"/>
        <v>0</v>
      </c>
      <c r="CW10" s="1482">
        <f t="shared" ca="1" si="13"/>
        <v>0</v>
      </c>
      <c r="CX10" s="1482">
        <f t="shared" ca="1" si="13"/>
        <v>0</v>
      </c>
      <c r="CY10" s="1482">
        <f t="shared" ca="1" si="13"/>
        <v>0</v>
      </c>
      <c r="CZ10" s="1482">
        <f t="shared" ca="1" si="13"/>
        <v>0</v>
      </c>
      <c r="DA10" s="1482">
        <f t="shared" ca="1" si="13"/>
        <v>0</v>
      </c>
      <c r="DB10" s="1482">
        <f t="shared" ca="1" si="13"/>
        <v>0</v>
      </c>
      <c r="DC10" s="1482">
        <f t="shared" ca="1" si="13"/>
        <v>0</v>
      </c>
      <c r="DD10" s="1482">
        <f t="shared" ca="1" si="13"/>
        <v>0</v>
      </c>
      <c r="DE10" s="1482">
        <f t="shared" ca="1" si="13"/>
        <v>0</v>
      </c>
      <c r="DF10" s="1482">
        <f t="shared" ca="1" si="13"/>
        <v>0</v>
      </c>
      <c r="DH10" s="838"/>
    </row>
    <row r="11" spans="1:112" s="743" customFormat="1" ht="12.75" hidden="1" customHeight="1" outlineLevel="1">
      <c r="A11" s="1484"/>
      <c r="B11" s="1484"/>
      <c r="C11" s="746"/>
      <c r="D11" s="1484" t="s">
        <v>947</v>
      </c>
      <c r="E11" s="521"/>
      <c r="G11" s="1019">
        <f ca="1">SUM(G9:G10)</f>
        <v>382.53018590696547</v>
      </c>
      <c r="H11" s="1019">
        <f t="shared" ref="H11:P11" ca="1" si="14">SUM(H9:H10)</f>
        <v>0</v>
      </c>
      <c r="I11" s="1019">
        <f t="shared" ca="1" si="14"/>
        <v>0</v>
      </c>
      <c r="J11" s="1019">
        <f t="shared" ca="1" si="14"/>
        <v>0</v>
      </c>
      <c r="K11" s="1019">
        <f t="shared" ca="1" si="14"/>
        <v>0</v>
      </c>
      <c r="L11" s="1019">
        <f t="shared" ca="1" si="14"/>
        <v>0</v>
      </c>
      <c r="M11" s="1019">
        <f t="shared" ca="1" si="14"/>
        <v>0</v>
      </c>
      <c r="N11" s="1019">
        <f ca="1">SUM(N9:N10)</f>
        <v>0</v>
      </c>
      <c r="O11" s="1019">
        <f ca="1">SUM(O9:O10)</f>
        <v>0</v>
      </c>
      <c r="P11" s="1019">
        <f t="shared" ca="1" si="14"/>
        <v>0</v>
      </c>
      <c r="Q11" s="1019">
        <f t="shared" ca="1" si="1"/>
        <v>382.53018590696547</v>
      </c>
      <c r="S11" s="1027">
        <f ca="1">SUM(S9:S10)</f>
        <v>-31.008546529888466</v>
      </c>
      <c r="T11" s="1027">
        <f t="shared" ref="T11:AJ11" ca="1" si="15">SUM(T9:T10)</f>
        <v>0</v>
      </c>
      <c r="U11" s="1027">
        <f t="shared" ca="1" si="15"/>
        <v>-14.256803002247571</v>
      </c>
      <c r="V11" s="1027">
        <f t="shared" ca="1" si="15"/>
        <v>-12.787029496861225</v>
      </c>
      <c r="W11" s="1027">
        <f t="shared" ca="1" si="15"/>
        <v>-324.47780687796825</v>
      </c>
      <c r="X11" s="1027">
        <f ca="1">SUM(X9:X10)</f>
        <v>0</v>
      </c>
      <c r="Y11" s="1027">
        <f ca="1">SUM(Y9:Y10)</f>
        <v>0</v>
      </c>
      <c r="Z11" s="1027">
        <f ca="1">SUM(Z9:Z10)</f>
        <v>0</v>
      </c>
      <c r="AA11" s="1027">
        <f t="shared" ca="1" si="15"/>
        <v>0</v>
      </c>
      <c r="AB11" s="1027">
        <f t="shared" ca="1" si="15"/>
        <v>0</v>
      </c>
      <c r="AC11" s="1027">
        <f t="shared" ca="1" si="15"/>
        <v>0</v>
      </c>
      <c r="AD11" s="1027">
        <f ca="1">SUM(AD9:AD10)</f>
        <v>0</v>
      </c>
      <c r="AE11" s="1027">
        <f ca="1">SUM(AE9:AE10)</f>
        <v>0</v>
      </c>
      <c r="AF11" s="1027">
        <f t="shared" ca="1" si="15"/>
        <v>0</v>
      </c>
      <c r="AG11" s="1027">
        <f ca="1">SUM(AG9:AG10)</f>
        <v>0</v>
      </c>
      <c r="AH11" s="1027">
        <f ca="1">SUM(AH9:AH10)</f>
        <v>0</v>
      </c>
      <c r="AI11" s="1027">
        <f ca="1">SUM(AI9:AI10)</f>
        <v>0</v>
      </c>
      <c r="AJ11" s="1027">
        <f t="shared" ca="1" si="15"/>
        <v>0</v>
      </c>
      <c r="AK11" s="1027">
        <f t="shared" ca="1" si="4"/>
        <v>-382.53018590696553</v>
      </c>
      <c r="AM11" s="1040">
        <f t="shared" ref="AM11:AU11" ca="1" si="16">SUM(AM9:AM10)</f>
        <v>0</v>
      </c>
      <c r="AN11" s="1040">
        <f t="shared" ca="1" si="16"/>
        <v>0</v>
      </c>
      <c r="AO11" s="1040">
        <f t="shared" ca="1" si="16"/>
        <v>0</v>
      </c>
      <c r="AP11" s="1040">
        <f t="shared" ca="1" si="16"/>
        <v>0</v>
      </c>
      <c r="AQ11" s="1040">
        <f t="shared" ca="1" si="16"/>
        <v>0</v>
      </c>
      <c r="AR11" s="1040">
        <f t="shared" ca="1" si="16"/>
        <v>0</v>
      </c>
      <c r="AS11" s="1040">
        <f t="shared" ca="1" si="16"/>
        <v>0</v>
      </c>
      <c r="AT11" s="1040">
        <f t="shared" ca="1" si="16"/>
        <v>0</v>
      </c>
      <c r="AU11" s="1040">
        <f t="shared" ca="1" si="16"/>
        <v>0</v>
      </c>
      <c r="AV11" s="1040">
        <f t="shared" ref="AV11:BE11" ca="1" si="17">SUM(AV9:AV10)</f>
        <v>0</v>
      </c>
      <c r="AW11" s="1040">
        <f t="shared" ca="1" si="17"/>
        <v>0</v>
      </c>
      <c r="AX11" s="1040">
        <f t="shared" ca="1" si="17"/>
        <v>0</v>
      </c>
      <c r="AY11" s="1040">
        <f t="shared" ca="1" si="17"/>
        <v>0</v>
      </c>
      <c r="AZ11" s="1040">
        <f t="shared" ca="1" si="17"/>
        <v>0</v>
      </c>
      <c r="BA11" s="1040">
        <f t="shared" ca="1" si="17"/>
        <v>0</v>
      </c>
      <c r="BB11" s="1040">
        <f t="shared" ca="1" si="17"/>
        <v>0</v>
      </c>
      <c r="BC11" s="1040">
        <f t="shared" ca="1" si="17"/>
        <v>0</v>
      </c>
      <c r="BD11" s="1040">
        <f ca="1">SUM(BD9:BD10)</f>
        <v>0</v>
      </c>
      <c r="BE11" s="1040">
        <f t="shared" ca="1" si="17"/>
        <v>0</v>
      </c>
      <c r="BF11" s="979">
        <f t="shared" ca="1" si="6"/>
        <v>0</v>
      </c>
      <c r="BH11" s="1034">
        <f ca="1">SUM(BH9:BH10)</f>
        <v>0</v>
      </c>
      <c r="BI11" s="1034">
        <f ca="1">SUM(BI9:BI10)</f>
        <v>0</v>
      </c>
      <c r="BJ11" s="1034">
        <f t="shared" ca="1" si="8"/>
        <v>0</v>
      </c>
      <c r="BL11" s="814">
        <f t="shared" ca="1" si="9"/>
        <v>-5.6843418860808015E-14</v>
      </c>
      <c r="BM11" s="814"/>
      <c r="BN11" s="840"/>
      <c r="BO11" s="1481">
        <f t="shared" ref="BO11:DF11" ca="1" si="18">SUM(BO9:BO10)</f>
        <v>67.291769164453711</v>
      </c>
      <c r="BP11" s="1482">
        <f t="shared" ca="1" si="18"/>
        <v>0.13655504882378258</v>
      </c>
      <c r="BQ11" s="1482">
        <f t="shared" ca="1" si="18"/>
        <v>0.22513176941521534</v>
      </c>
      <c r="BR11" s="1482">
        <f t="shared" ca="1" si="18"/>
        <v>0</v>
      </c>
      <c r="BS11" s="1482">
        <f t="shared" ca="1" si="18"/>
        <v>0</v>
      </c>
      <c r="BT11" s="1482">
        <f t="shared" ca="1" si="18"/>
        <v>0</v>
      </c>
      <c r="BU11" s="1482">
        <f t="shared" ca="1" si="18"/>
        <v>0</v>
      </c>
      <c r="BV11" s="1482">
        <f t="shared" ca="1" si="18"/>
        <v>0</v>
      </c>
      <c r="BW11" s="1482">
        <f t="shared" ca="1" si="18"/>
        <v>0</v>
      </c>
      <c r="BX11" s="1482">
        <f t="shared" ca="1" si="18"/>
        <v>0</v>
      </c>
      <c r="BY11" s="1482">
        <f t="shared" ca="1" si="18"/>
        <v>0</v>
      </c>
      <c r="BZ11" s="1482">
        <f t="shared" ca="1" si="18"/>
        <v>0</v>
      </c>
      <c r="CA11" s="1482">
        <f t="shared" ca="1" si="18"/>
        <v>0</v>
      </c>
      <c r="CB11" s="1482">
        <f t="shared" ca="1" si="18"/>
        <v>0</v>
      </c>
      <c r="CC11" s="1482">
        <f t="shared" ca="1" si="18"/>
        <v>0</v>
      </c>
      <c r="CD11" s="1482">
        <f t="shared" ca="1" si="18"/>
        <v>0</v>
      </c>
      <c r="CE11" s="1482">
        <f t="shared" ca="1" si="18"/>
        <v>0</v>
      </c>
      <c r="CF11" s="1482">
        <f t="shared" ca="1" si="18"/>
        <v>0</v>
      </c>
      <c r="CG11" s="1482">
        <f t="shared" ca="1" si="18"/>
        <v>0</v>
      </c>
      <c r="CH11" s="1482">
        <f t="shared" ca="1" si="18"/>
        <v>0</v>
      </c>
      <c r="CI11" s="1482">
        <f t="shared" ca="1" si="18"/>
        <v>0</v>
      </c>
      <c r="CJ11" s="1482">
        <f t="shared" ca="1" si="18"/>
        <v>0</v>
      </c>
      <c r="CK11" s="1482">
        <f t="shared" ca="1" si="18"/>
        <v>0</v>
      </c>
      <c r="CL11" s="1482">
        <f t="shared" ca="1" si="18"/>
        <v>0</v>
      </c>
      <c r="CM11" s="1482">
        <f t="shared" ca="1" si="18"/>
        <v>0</v>
      </c>
      <c r="CN11" s="1482">
        <f t="shared" ca="1" si="18"/>
        <v>0</v>
      </c>
      <c r="CO11" s="1482">
        <f t="shared" ca="1" si="18"/>
        <v>0</v>
      </c>
      <c r="CP11" s="1482">
        <f t="shared" ca="1" si="18"/>
        <v>0</v>
      </c>
      <c r="CQ11" s="1482">
        <f t="shared" ca="1" si="18"/>
        <v>0</v>
      </c>
      <c r="CR11" s="1482">
        <f t="shared" ca="1" si="18"/>
        <v>0</v>
      </c>
      <c r="CS11" s="1482">
        <f t="shared" ca="1" si="18"/>
        <v>0</v>
      </c>
      <c r="CT11" s="1482">
        <f t="shared" ca="1" si="18"/>
        <v>0</v>
      </c>
      <c r="CU11" s="1482">
        <f t="shared" ca="1" si="18"/>
        <v>0</v>
      </c>
      <c r="CV11" s="1482">
        <f t="shared" ca="1" si="18"/>
        <v>0</v>
      </c>
      <c r="CW11" s="1482">
        <f t="shared" ca="1" si="18"/>
        <v>0</v>
      </c>
      <c r="CX11" s="1482">
        <f t="shared" ca="1" si="18"/>
        <v>0</v>
      </c>
      <c r="CY11" s="1482">
        <f t="shared" ca="1" si="18"/>
        <v>0</v>
      </c>
      <c r="CZ11" s="1482">
        <f t="shared" ca="1" si="18"/>
        <v>0</v>
      </c>
      <c r="DA11" s="1482">
        <f t="shared" ca="1" si="18"/>
        <v>0</v>
      </c>
      <c r="DB11" s="1482">
        <f t="shared" ca="1" si="18"/>
        <v>0</v>
      </c>
      <c r="DC11" s="1482">
        <f t="shared" ca="1" si="18"/>
        <v>0</v>
      </c>
      <c r="DD11" s="1482">
        <f t="shared" ca="1" si="18"/>
        <v>0</v>
      </c>
      <c r="DE11" s="1482">
        <f t="shared" ca="1" si="18"/>
        <v>0</v>
      </c>
      <c r="DF11" s="1482">
        <f t="shared" ca="1" si="18"/>
        <v>0</v>
      </c>
      <c r="DH11" s="838"/>
    </row>
    <row r="12" spans="1:112" s="743" customFormat="1" ht="10.5" hidden="1" customHeight="1" outlineLevel="2">
      <c r="A12" s="1480"/>
      <c r="B12" s="1480"/>
      <c r="C12" s="746" t="s">
        <v>945</v>
      </c>
      <c r="D12" s="1480" t="str">
        <f>INDEX(Modules[Module], MATCH($C12, Modules[Code], 0))</f>
        <v>Commercial heating and cooling</v>
      </c>
      <c r="E12" s="1006"/>
      <c r="G12" s="1017">
        <f t="shared" ca="1" si="0"/>
        <v>115.89465262742715</v>
      </c>
      <c r="H12" s="1017">
        <f t="shared" ca="1" si="0"/>
        <v>0</v>
      </c>
      <c r="I12" s="1017">
        <f t="shared" ca="1" si="0"/>
        <v>0</v>
      </c>
      <c r="J12" s="1017">
        <f t="shared" ca="1" si="0"/>
        <v>0</v>
      </c>
      <c r="K12" s="1017">
        <f t="shared" ca="1" si="0"/>
        <v>0</v>
      </c>
      <c r="L12" s="1017">
        <f t="shared" ca="1" si="0"/>
        <v>0</v>
      </c>
      <c r="M12" s="1017">
        <f t="shared" ca="1" si="0"/>
        <v>0</v>
      </c>
      <c r="N12" s="1017">
        <f t="shared" ca="1" si="0"/>
        <v>0</v>
      </c>
      <c r="O12" s="1017">
        <f t="shared" ca="1" si="0"/>
        <v>0</v>
      </c>
      <c r="P12" s="1017">
        <f t="shared" ca="1" si="0"/>
        <v>0</v>
      </c>
      <c r="Q12" s="1019">
        <f t="shared" ca="1" si="1"/>
        <v>115.89465262742715</v>
      </c>
      <c r="S12" s="1026">
        <f t="shared" ca="1" si="2"/>
        <v>-28.551697890247862</v>
      </c>
      <c r="T12" s="1026">
        <f t="shared" ca="1" si="2"/>
        <v>0</v>
      </c>
      <c r="U12" s="1026">
        <f t="shared" ca="1" si="2"/>
        <v>0</v>
      </c>
      <c r="V12" s="1026">
        <f t="shared" ca="1" si="2"/>
        <v>-9.0805949109298663</v>
      </c>
      <c r="W12" s="1026">
        <f t="shared" ca="1" si="2"/>
        <v>-78.262359826249423</v>
      </c>
      <c r="X12" s="1026">
        <f t="shared" ref="X12:Z13" ca="1" si="19">IFERROR(INDEX(INDIRECT($C12&amp;".Outputs["&amp;this.Year&amp;"]"), MATCH(X$5, INDIRECT($C12&amp;".Outputs[Vector]"), 0)), 0)</f>
        <v>0</v>
      </c>
      <c r="Y12" s="1026">
        <f t="shared" ca="1" si="19"/>
        <v>0</v>
      </c>
      <c r="Z12" s="1026">
        <f t="shared" ca="1" si="19"/>
        <v>0</v>
      </c>
      <c r="AA12" s="1026">
        <f t="shared" ca="1" si="2"/>
        <v>0</v>
      </c>
      <c r="AB12" s="1026">
        <f t="shared" ca="1" si="2"/>
        <v>0</v>
      </c>
      <c r="AC12" s="1026">
        <f t="shared" ca="1" si="2"/>
        <v>0</v>
      </c>
      <c r="AD12" s="1026">
        <f t="shared" ca="1" si="2"/>
        <v>0</v>
      </c>
      <c r="AE12" s="1026">
        <f t="shared" ca="1" si="2"/>
        <v>0</v>
      </c>
      <c r="AF12" s="1026">
        <f t="shared" ca="1" si="2"/>
        <v>0</v>
      </c>
      <c r="AG12" s="1026">
        <f t="shared" ca="1" si="2"/>
        <v>0</v>
      </c>
      <c r="AH12" s="1026">
        <f t="shared" ca="1" si="2"/>
        <v>0</v>
      </c>
      <c r="AI12" s="1026">
        <f t="shared" ca="1" si="2"/>
        <v>0</v>
      </c>
      <c r="AJ12" s="1026">
        <f t="shared" ca="1" si="2"/>
        <v>0</v>
      </c>
      <c r="AK12" s="1027">
        <f t="shared" ca="1" si="4"/>
        <v>-115.89465262742715</v>
      </c>
      <c r="AM12" s="1038">
        <f t="shared" ref="AM12:AU13" ca="1" si="20">IFERROR(INDEX(INDIRECT($C12&amp;".Outputs["&amp;this.Year&amp;"]"), MATCH(AM$5, INDIRECT($C12&amp;".Outputs[Vector]"), 0)), 0)</f>
        <v>0</v>
      </c>
      <c r="AN12" s="1038">
        <f t="shared" ca="1" si="20"/>
        <v>0</v>
      </c>
      <c r="AO12" s="1038">
        <f t="shared" ca="1" si="20"/>
        <v>0</v>
      </c>
      <c r="AP12" s="1038">
        <f t="shared" ca="1" si="20"/>
        <v>0</v>
      </c>
      <c r="AQ12" s="1038">
        <f t="shared" ca="1" si="20"/>
        <v>0</v>
      </c>
      <c r="AR12" s="1038">
        <f t="shared" ca="1" si="20"/>
        <v>0</v>
      </c>
      <c r="AS12" s="1038">
        <f t="shared" ca="1" si="20"/>
        <v>0</v>
      </c>
      <c r="AT12" s="1038">
        <f t="shared" ca="1" si="20"/>
        <v>0</v>
      </c>
      <c r="AU12" s="1038">
        <f t="shared" ca="1" si="20"/>
        <v>0</v>
      </c>
      <c r="AV12" s="1038">
        <f t="shared" ca="1" si="2"/>
        <v>0</v>
      </c>
      <c r="AW12" s="1038">
        <f t="shared" ca="1" si="2"/>
        <v>0</v>
      </c>
      <c r="AX12" s="1038">
        <f t="shared" ca="1" si="2"/>
        <v>0</v>
      </c>
      <c r="AY12" s="1038">
        <f t="shared" ca="1" si="2"/>
        <v>0</v>
      </c>
      <c r="AZ12" s="1038">
        <f t="shared" ca="1" si="2"/>
        <v>0</v>
      </c>
      <c r="BA12" s="1038">
        <f t="shared" ca="1" si="2"/>
        <v>0</v>
      </c>
      <c r="BB12" s="1038">
        <f t="shared" ca="1" si="2"/>
        <v>0</v>
      </c>
      <c r="BC12" s="1038">
        <f t="shared" ca="1" si="2"/>
        <v>0</v>
      </c>
      <c r="BD12" s="1038">
        <f t="shared" ca="1" si="2"/>
        <v>0</v>
      </c>
      <c r="BE12" s="1038">
        <f t="shared" ca="1" si="2"/>
        <v>0</v>
      </c>
      <c r="BF12" s="977">
        <f t="shared" ca="1" si="6"/>
        <v>0</v>
      </c>
      <c r="BH12" s="1032">
        <f t="shared" ca="1" si="7"/>
        <v>0</v>
      </c>
      <c r="BI12" s="1032">
        <f t="shared" ca="1" si="7"/>
        <v>0</v>
      </c>
      <c r="BJ12" s="1034">
        <f t="shared" ca="1" si="8"/>
        <v>0</v>
      </c>
      <c r="BL12" s="524">
        <f t="shared" ca="1" si="9"/>
        <v>0</v>
      </c>
      <c r="BM12" s="524"/>
      <c r="BN12" s="840"/>
      <c r="BO12" s="1481">
        <f t="shared" ref="BO12:BX13" ca="1" si="21">IFERROR(SUMIFS(INDIRECT($C12&amp;".Emissions["&amp;this.Year&amp;"]"), INDIRECT($C12&amp;".Emissions[GHG]"), BO$6, INDIRECT($C12&amp;".Emissions[IPCC Sector]"), BO$5),0)</f>
        <v>16.670422935762357</v>
      </c>
      <c r="BP12" s="1482">
        <f t="shared" ca="1" si="21"/>
        <v>3.1691470049996472E-2</v>
      </c>
      <c r="BQ12" s="1482">
        <f t="shared" ca="1" si="21"/>
        <v>7.1890492881915569E-2</v>
      </c>
      <c r="BR12" s="1482">
        <f t="shared" ca="1" si="21"/>
        <v>0</v>
      </c>
      <c r="BS12" s="1482">
        <f t="shared" ca="1" si="21"/>
        <v>0</v>
      </c>
      <c r="BT12" s="1482">
        <f t="shared" ca="1" si="21"/>
        <v>0</v>
      </c>
      <c r="BU12" s="1482">
        <f t="shared" ca="1" si="21"/>
        <v>0</v>
      </c>
      <c r="BV12" s="1482">
        <f t="shared" ca="1" si="21"/>
        <v>0</v>
      </c>
      <c r="BW12" s="1482">
        <f t="shared" ca="1" si="21"/>
        <v>0</v>
      </c>
      <c r="BX12" s="1482">
        <f t="shared" ca="1" si="21"/>
        <v>0</v>
      </c>
      <c r="BY12" s="1482">
        <f t="shared" ref="BY12:CH13" ca="1" si="22">IFERROR(SUMIFS(INDIRECT($C12&amp;".Emissions["&amp;this.Year&amp;"]"), INDIRECT($C12&amp;".Emissions[GHG]"), BY$6, INDIRECT($C12&amp;".Emissions[IPCC Sector]"), BY$5),0)</f>
        <v>0</v>
      </c>
      <c r="BZ12" s="1482">
        <f t="shared" ca="1" si="22"/>
        <v>0</v>
      </c>
      <c r="CA12" s="1482">
        <f t="shared" ca="1" si="22"/>
        <v>0</v>
      </c>
      <c r="CB12" s="1482">
        <f t="shared" ca="1" si="22"/>
        <v>0</v>
      </c>
      <c r="CC12" s="1482">
        <f t="shared" ca="1" si="22"/>
        <v>0</v>
      </c>
      <c r="CD12" s="1482">
        <f t="shared" ca="1" si="22"/>
        <v>0</v>
      </c>
      <c r="CE12" s="1482">
        <f t="shared" ca="1" si="22"/>
        <v>0</v>
      </c>
      <c r="CF12" s="1482">
        <f t="shared" ca="1" si="22"/>
        <v>0</v>
      </c>
      <c r="CG12" s="1482">
        <f t="shared" ca="1" si="22"/>
        <v>0</v>
      </c>
      <c r="CH12" s="1482">
        <f t="shared" ca="1" si="22"/>
        <v>0</v>
      </c>
      <c r="CI12" s="1482">
        <f t="shared" ref="CI12:CR13" ca="1" si="23">IFERROR(SUMIFS(INDIRECT($C12&amp;".Emissions["&amp;this.Year&amp;"]"), INDIRECT($C12&amp;".Emissions[GHG]"), CI$6, INDIRECT($C12&amp;".Emissions[IPCC Sector]"), CI$5),0)</f>
        <v>0</v>
      </c>
      <c r="CJ12" s="1482">
        <f t="shared" ca="1" si="23"/>
        <v>0</v>
      </c>
      <c r="CK12" s="1482">
        <f t="shared" ca="1" si="23"/>
        <v>0</v>
      </c>
      <c r="CL12" s="1482">
        <f t="shared" ca="1" si="23"/>
        <v>0</v>
      </c>
      <c r="CM12" s="1482">
        <f t="shared" ca="1" si="23"/>
        <v>0</v>
      </c>
      <c r="CN12" s="1482">
        <f t="shared" ca="1" si="23"/>
        <v>0</v>
      </c>
      <c r="CO12" s="1482">
        <f t="shared" ca="1" si="23"/>
        <v>0</v>
      </c>
      <c r="CP12" s="1482">
        <f t="shared" ca="1" si="23"/>
        <v>0</v>
      </c>
      <c r="CQ12" s="1482">
        <f t="shared" ca="1" si="23"/>
        <v>0</v>
      </c>
      <c r="CR12" s="1482">
        <f t="shared" ca="1" si="23"/>
        <v>0</v>
      </c>
      <c r="CS12" s="1482">
        <f t="shared" ref="CS12:DF13" ca="1" si="24">IFERROR(SUMIFS(INDIRECT($C12&amp;".Emissions["&amp;this.Year&amp;"]"), INDIRECT($C12&amp;".Emissions[GHG]"), CS$6, INDIRECT($C12&amp;".Emissions[IPCC Sector]"), CS$5),0)</f>
        <v>0</v>
      </c>
      <c r="CT12" s="1482">
        <f t="shared" ca="1" si="24"/>
        <v>0</v>
      </c>
      <c r="CU12" s="1482">
        <f t="shared" ca="1" si="24"/>
        <v>0</v>
      </c>
      <c r="CV12" s="1482">
        <f t="shared" ca="1" si="24"/>
        <v>0</v>
      </c>
      <c r="CW12" s="1482">
        <f t="shared" ca="1" si="24"/>
        <v>0</v>
      </c>
      <c r="CX12" s="1482">
        <f t="shared" ca="1" si="24"/>
        <v>0</v>
      </c>
      <c r="CY12" s="1482">
        <f t="shared" ca="1" si="24"/>
        <v>0</v>
      </c>
      <c r="CZ12" s="1482">
        <f t="shared" ca="1" si="24"/>
        <v>0</v>
      </c>
      <c r="DA12" s="1482">
        <f t="shared" ca="1" si="24"/>
        <v>0</v>
      </c>
      <c r="DB12" s="1482">
        <f t="shared" ca="1" si="24"/>
        <v>0</v>
      </c>
      <c r="DC12" s="1482">
        <f t="shared" ca="1" si="24"/>
        <v>0</v>
      </c>
      <c r="DD12" s="1482">
        <f t="shared" ca="1" si="24"/>
        <v>0</v>
      </c>
      <c r="DE12" s="1482">
        <f t="shared" ca="1" si="24"/>
        <v>0</v>
      </c>
      <c r="DF12" s="1482">
        <f t="shared" ca="1" si="24"/>
        <v>0</v>
      </c>
      <c r="DH12" s="838"/>
    </row>
    <row r="13" spans="1:112" s="743" customFormat="1" ht="10.5" hidden="1" customHeight="1" outlineLevel="2">
      <c r="A13" s="1483"/>
      <c r="B13" s="1483"/>
      <c r="C13" s="1009" t="s">
        <v>946</v>
      </c>
      <c r="D13" s="1483" t="str">
        <f>INDEX(Modules[Module], MATCH($C13, Modules[Code], 0))</f>
        <v>Commercial hot water [UNUSED - See IX.c]</v>
      </c>
      <c r="E13" s="1006"/>
      <c r="G13" s="1018">
        <f t="shared" ca="1" si="0"/>
        <v>0</v>
      </c>
      <c r="H13" s="1018">
        <f t="shared" ca="1" si="0"/>
        <v>0</v>
      </c>
      <c r="I13" s="1018">
        <f t="shared" ca="1" si="0"/>
        <v>0</v>
      </c>
      <c r="J13" s="1018">
        <f t="shared" ca="1" si="0"/>
        <v>0</v>
      </c>
      <c r="K13" s="1018">
        <f t="shared" ca="1" si="0"/>
        <v>0</v>
      </c>
      <c r="L13" s="1018">
        <f t="shared" ca="1" si="0"/>
        <v>0</v>
      </c>
      <c r="M13" s="1018">
        <f t="shared" ca="1" si="0"/>
        <v>0</v>
      </c>
      <c r="N13" s="1018">
        <f t="shared" ca="1" si="0"/>
        <v>0</v>
      </c>
      <c r="O13" s="1018">
        <f t="shared" ca="1" si="0"/>
        <v>0</v>
      </c>
      <c r="P13" s="1018">
        <f t="shared" ca="1" si="0"/>
        <v>0</v>
      </c>
      <c r="Q13" s="1024">
        <f t="shared" ca="1" si="1"/>
        <v>0</v>
      </c>
      <c r="S13" s="1028">
        <f t="shared" ca="1" si="2"/>
        <v>0</v>
      </c>
      <c r="T13" s="1028">
        <f t="shared" ca="1" si="2"/>
        <v>0</v>
      </c>
      <c r="U13" s="1028">
        <f t="shared" ca="1" si="2"/>
        <v>0</v>
      </c>
      <c r="V13" s="1028">
        <f t="shared" ca="1" si="2"/>
        <v>0</v>
      </c>
      <c r="W13" s="1028">
        <f t="shared" ca="1" si="2"/>
        <v>0</v>
      </c>
      <c r="X13" s="1028">
        <f t="shared" ca="1" si="19"/>
        <v>0</v>
      </c>
      <c r="Y13" s="1028">
        <f t="shared" ca="1" si="19"/>
        <v>0</v>
      </c>
      <c r="Z13" s="1028">
        <f t="shared" ca="1" si="19"/>
        <v>0</v>
      </c>
      <c r="AA13" s="1028">
        <f t="shared" ca="1" si="2"/>
        <v>0</v>
      </c>
      <c r="AB13" s="1028">
        <f t="shared" ca="1" si="2"/>
        <v>0</v>
      </c>
      <c r="AC13" s="1028">
        <f t="shared" ca="1" si="2"/>
        <v>0</v>
      </c>
      <c r="AD13" s="1028">
        <f t="shared" ca="1" si="2"/>
        <v>0</v>
      </c>
      <c r="AE13" s="1028">
        <f t="shared" ca="1" si="2"/>
        <v>0</v>
      </c>
      <c r="AF13" s="1028">
        <f t="shared" ca="1" si="2"/>
        <v>0</v>
      </c>
      <c r="AG13" s="1028">
        <f t="shared" ca="1" si="2"/>
        <v>0</v>
      </c>
      <c r="AH13" s="1028">
        <f t="shared" ca="1" si="2"/>
        <v>0</v>
      </c>
      <c r="AI13" s="1028">
        <f t="shared" ca="1" si="2"/>
        <v>0</v>
      </c>
      <c r="AJ13" s="1028">
        <f t="shared" ca="1" si="2"/>
        <v>0</v>
      </c>
      <c r="AK13" s="1029">
        <f t="shared" ca="1" si="4"/>
        <v>0</v>
      </c>
      <c r="AM13" s="1039">
        <f t="shared" ca="1" si="20"/>
        <v>0</v>
      </c>
      <c r="AN13" s="1039">
        <f t="shared" ca="1" si="20"/>
        <v>0</v>
      </c>
      <c r="AO13" s="1039">
        <f t="shared" ca="1" si="20"/>
        <v>0</v>
      </c>
      <c r="AP13" s="1039">
        <f t="shared" ca="1" si="20"/>
        <v>0</v>
      </c>
      <c r="AQ13" s="1039">
        <f t="shared" ca="1" si="20"/>
        <v>0</v>
      </c>
      <c r="AR13" s="1039">
        <f t="shared" ca="1" si="20"/>
        <v>0</v>
      </c>
      <c r="AS13" s="1039">
        <f t="shared" ca="1" si="20"/>
        <v>0</v>
      </c>
      <c r="AT13" s="1039">
        <f t="shared" ca="1" si="20"/>
        <v>0</v>
      </c>
      <c r="AU13" s="1039">
        <f t="shared" ca="1" si="20"/>
        <v>0</v>
      </c>
      <c r="AV13" s="1039">
        <f t="shared" ca="1" si="2"/>
        <v>0</v>
      </c>
      <c r="AW13" s="1039">
        <f t="shared" ca="1" si="2"/>
        <v>0</v>
      </c>
      <c r="AX13" s="1039">
        <f t="shared" ca="1" si="2"/>
        <v>0</v>
      </c>
      <c r="AY13" s="1039">
        <f t="shared" ca="1" si="2"/>
        <v>0</v>
      </c>
      <c r="AZ13" s="1039">
        <f t="shared" ca="1" si="2"/>
        <v>0</v>
      </c>
      <c r="BA13" s="1039">
        <f t="shared" ca="1" si="2"/>
        <v>0</v>
      </c>
      <c r="BB13" s="1039">
        <f t="shared" ca="1" si="2"/>
        <v>0</v>
      </c>
      <c r="BC13" s="1039">
        <f t="shared" ca="1" si="2"/>
        <v>0</v>
      </c>
      <c r="BD13" s="1039">
        <f t="shared" ca="1" si="2"/>
        <v>0</v>
      </c>
      <c r="BE13" s="1039">
        <f t="shared" ca="1" si="2"/>
        <v>0</v>
      </c>
      <c r="BF13" s="1008">
        <f t="shared" ca="1" si="6"/>
        <v>0</v>
      </c>
      <c r="BH13" s="1033">
        <f t="shared" ca="1" si="7"/>
        <v>0</v>
      </c>
      <c r="BI13" s="1033">
        <f t="shared" ca="1" si="7"/>
        <v>0</v>
      </c>
      <c r="BJ13" s="1044">
        <f t="shared" ca="1" si="8"/>
        <v>0</v>
      </c>
      <c r="BL13" s="1007">
        <f t="shared" ca="1" si="9"/>
        <v>0</v>
      </c>
      <c r="BM13" s="1007"/>
      <c r="BN13" s="840"/>
      <c r="BO13" s="1481">
        <f t="shared" ca="1" si="21"/>
        <v>0</v>
      </c>
      <c r="BP13" s="1482">
        <f t="shared" ca="1" si="21"/>
        <v>0</v>
      </c>
      <c r="BQ13" s="1482">
        <f t="shared" ca="1" si="21"/>
        <v>0</v>
      </c>
      <c r="BR13" s="1482">
        <f t="shared" ca="1" si="21"/>
        <v>0</v>
      </c>
      <c r="BS13" s="1482">
        <f t="shared" ca="1" si="21"/>
        <v>0</v>
      </c>
      <c r="BT13" s="1482">
        <f t="shared" ca="1" si="21"/>
        <v>0</v>
      </c>
      <c r="BU13" s="1482">
        <f t="shared" ca="1" si="21"/>
        <v>0</v>
      </c>
      <c r="BV13" s="1482">
        <f t="shared" ca="1" si="21"/>
        <v>0</v>
      </c>
      <c r="BW13" s="1482">
        <f t="shared" ca="1" si="21"/>
        <v>0</v>
      </c>
      <c r="BX13" s="1482">
        <f t="shared" ca="1" si="21"/>
        <v>0</v>
      </c>
      <c r="BY13" s="1482">
        <f t="shared" ca="1" si="22"/>
        <v>0</v>
      </c>
      <c r="BZ13" s="1482">
        <f t="shared" ca="1" si="22"/>
        <v>0</v>
      </c>
      <c r="CA13" s="1482">
        <f t="shared" ca="1" si="22"/>
        <v>0</v>
      </c>
      <c r="CB13" s="1482">
        <f t="shared" ca="1" si="22"/>
        <v>0</v>
      </c>
      <c r="CC13" s="1482">
        <f t="shared" ca="1" si="22"/>
        <v>0</v>
      </c>
      <c r="CD13" s="1482">
        <f t="shared" ca="1" si="22"/>
        <v>0</v>
      </c>
      <c r="CE13" s="1482">
        <f t="shared" ca="1" si="22"/>
        <v>0</v>
      </c>
      <c r="CF13" s="1482">
        <f t="shared" ca="1" si="22"/>
        <v>0</v>
      </c>
      <c r="CG13" s="1482">
        <f t="shared" ca="1" si="22"/>
        <v>0</v>
      </c>
      <c r="CH13" s="1482">
        <f t="shared" ca="1" si="22"/>
        <v>0</v>
      </c>
      <c r="CI13" s="1482">
        <f t="shared" ca="1" si="23"/>
        <v>0</v>
      </c>
      <c r="CJ13" s="1482">
        <f t="shared" ca="1" si="23"/>
        <v>0</v>
      </c>
      <c r="CK13" s="1482">
        <f t="shared" ca="1" si="23"/>
        <v>0</v>
      </c>
      <c r="CL13" s="1482">
        <f t="shared" ca="1" si="23"/>
        <v>0</v>
      </c>
      <c r="CM13" s="1482">
        <f t="shared" ca="1" si="23"/>
        <v>0</v>
      </c>
      <c r="CN13" s="1482">
        <f t="shared" ca="1" si="23"/>
        <v>0</v>
      </c>
      <c r="CO13" s="1482">
        <f t="shared" ca="1" si="23"/>
        <v>0</v>
      </c>
      <c r="CP13" s="1482">
        <f t="shared" ca="1" si="23"/>
        <v>0</v>
      </c>
      <c r="CQ13" s="1482">
        <f t="shared" ca="1" si="23"/>
        <v>0</v>
      </c>
      <c r="CR13" s="1482">
        <f t="shared" ca="1" si="23"/>
        <v>0</v>
      </c>
      <c r="CS13" s="1482">
        <f t="shared" ca="1" si="24"/>
        <v>0</v>
      </c>
      <c r="CT13" s="1482">
        <f t="shared" ca="1" si="24"/>
        <v>0</v>
      </c>
      <c r="CU13" s="1482">
        <f t="shared" ca="1" si="24"/>
        <v>0</v>
      </c>
      <c r="CV13" s="1482">
        <f t="shared" ca="1" si="24"/>
        <v>0</v>
      </c>
      <c r="CW13" s="1482">
        <f t="shared" ca="1" si="24"/>
        <v>0</v>
      </c>
      <c r="CX13" s="1482">
        <f t="shared" ca="1" si="24"/>
        <v>0</v>
      </c>
      <c r="CY13" s="1482">
        <f t="shared" ca="1" si="24"/>
        <v>0</v>
      </c>
      <c r="CZ13" s="1482">
        <f t="shared" ca="1" si="24"/>
        <v>0</v>
      </c>
      <c r="DA13" s="1482">
        <f t="shared" ca="1" si="24"/>
        <v>0</v>
      </c>
      <c r="DB13" s="1482">
        <f t="shared" ca="1" si="24"/>
        <v>0</v>
      </c>
      <c r="DC13" s="1482">
        <f t="shared" ca="1" si="24"/>
        <v>0</v>
      </c>
      <c r="DD13" s="1482">
        <f t="shared" ca="1" si="24"/>
        <v>0</v>
      </c>
      <c r="DE13" s="1482">
        <f t="shared" ca="1" si="24"/>
        <v>0</v>
      </c>
      <c r="DF13" s="1482">
        <f t="shared" ca="1" si="24"/>
        <v>0</v>
      </c>
      <c r="DH13" s="838"/>
    </row>
    <row r="14" spans="1:112" s="743" customFormat="1" ht="12.75" hidden="1" customHeight="1" outlineLevel="1">
      <c r="A14" s="1484"/>
      <c r="B14" s="1484"/>
      <c r="C14" s="746"/>
      <c r="D14" s="1010" t="s">
        <v>948</v>
      </c>
      <c r="E14" s="1010"/>
      <c r="G14" s="1020">
        <f ca="1">SUM(G12:G13)</f>
        <v>115.89465262742715</v>
      </c>
      <c r="H14" s="1020">
        <f t="shared" ref="H14:P14" ca="1" si="25">SUM(H12:H13)</f>
        <v>0</v>
      </c>
      <c r="I14" s="1020">
        <f t="shared" ca="1" si="25"/>
        <v>0</v>
      </c>
      <c r="J14" s="1020">
        <f t="shared" ca="1" si="25"/>
        <v>0</v>
      </c>
      <c r="K14" s="1020">
        <f t="shared" ca="1" si="25"/>
        <v>0</v>
      </c>
      <c r="L14" s="1020">
        <f t="shared" ca="1" si="25"/>
        <v>0</v>
      </c>
      <c r="M14" s="1020">
        <f t="shared" ca="1" si="25"/>
        <v>0</v>
      </c>
      <c r="N14" s="1020">
        <f ca="1">SUM(N12:N13)</f>
        <v>0</v>
      </c>
      <c r="O14" s="1020">
        <f ca="1">SUM(O12:O13)</f>
        <v>0</v>
      </c>
      <c r="P14" s="1020">
        <f t="shared" ca="1" si="25"/>
        <v>0</v>
      </c>
      <c r="Q14" s="1020">
        <f t="shared" ca="1" si="1"/>
        <v>115.89465262742715</v>
      </c>
      <c r="S14" s="1030">
        <f t="shared" ref="S14:AJ14" ca="1" si="26">SUM(S12:S13)</f>
        <v>-28.551697890247862</v>
      </c>
      <c r="T14" s="1030">
        <f t="shared" ca="1" si="26"/>
        <v>0</v>
      </c>
      <c r="U14" s="1030">
        <f t="shared" ca="1" si="26"/>
        <v>0</v>
      </c>
      <c r="V14" s="1030">
        <f t="shared" ca="1" si="26"/>
        <v>-9.0805949109298663</v>
      </c>
      <c r="W14" s="1030">
        <f t="shared" ca="1" si="26"/>
        <v>-78.262359826249423</v>
      </c>
      <c r="X14" s="1030">
        <f ca="1">SUM(X12:X13)</f>
        <v>0</v>
      </c>
      <c r="Y14" s="1030">
        <f ca="1">SUM(Y12:Y13)</f>
        <v>0</v>
      </c>
      <c r="Z14" s="1030">
        <f ca="1">SUM(Z12:Z13)</f>
        <v>0</v>
      </c>
      <c r="AA14" s="1030">
        <f t="shared" ca="1" si="26"/>
        <v>0</v>
      </c>
      <c r="AB14" s="1030">
        <f t="shared" ca="1" si="26"/>
        <v>0</v>
      </c>
      <c r="AC14" s="1030">
        <f t="shared" ca="1" si="26"/>
        <v>0</v>
      </c>
      <c r="AD14" s="1030">
        <f ca="1">SUM(AD12:AD13)</f>
        <v>0</v>
      </c>
      <c r="AE14" s="1030">
        <f ca="1">SUM(AE12:AE13)</f>
        <v>0</v>
      </c>
      <c r="AF14" s="1030">
        <f t="shared" ca="1" si="26"/>
        <v>0</v>
      </c>
      <c r="AG14" s="1030">
        <f ca="1">SUM(AG12:AG13)</f>
        <v>0</v>
      </c>
      <c r="AH14" s="1030">
        <f ca="1">SUM(AH12:AH13)</f>
        <v>0</v>
      </c>
      <c r="AI14" s="1030">
        <f ca="1">SUM(AI12:AI13)</f>
        <v>0</v>
      </c>
      <c r="AJ14" s="1030">
        <f t="shared" ca="1" si="26"/>
        <v>0</v>
      </c>
      <c r="AK14" s="1030">
        <f t="shared" ca="1" si="4"/>
        <v>-115.89465262742715</v>
      </c>
      <c r="AM14" s="1041">
        <f t="shared" ref="AM14:AU14" ca="1" si="27">SUM(AM12:AM13)</f>
        <v>0</v>
      </c>
      <c r="AN14" s="1041">
        <f t="shared" ca="1" si="27"/>
        <v>0</v>
      </c>
      <c r="AO14" s="1041">
        <f t="shared" ca="1" si="27"/>
        <v>0</v>
      </c>
      <c r="AP14" s="1041">
        <f t="shared" ca="1" si="27"/>
        <v>0</v>
      </c>
      <c r="AQ14" s="1041">
        <f t="shared" ca="1" si="27"/>
        <v>0</v>
      </c>
      <c r="AR14" s="1041">
        <f t="shared" ca="1" si="27"/>
        <v>0</v>
      </c>
      <c r="AS14" s="1041">
        <f t="shared" ca="1" si="27"/>
        <v>0</v>
      </c>
      <c r="AT14" s="1041">
        <f t="shared" ca="1" si="27"/>
        <v>0</v>
      </c>
      <c r="AU14" s="1041">
        <f t="shared" ca="1" si="27"/>
        <v>0</v>
      </c>
      <c r="AV14" s="1041">
        <f t="shared" ref="AV14:BE14" ca="1" si="28">SUM(AV12:AV13)</f>
        <v>0</v>
      </c>
      <c r="AW14" s="1041">
        <f t="shared" ca="1" si="28"/>
        <v>0</v>
      </c>
      <c r="AX14" s="1041">
        <f t="shared" ca="1" si="28"/>
        <v>0</v>
      </c>
      <c r="AY14" s="1041">
        <f t="shared" ca="1" si="28"/>
        <v>0</v>
      </c>
      <c r="AZ14" s="1041">
        <f t="shared" ca="1" si="28"/>
        <v>0</v>
      </c>
      <c r="BA14" s="1041">
        <f t="shared" ca="1" si="28"/>
        <v>0</v>
      </c>
      <c r="BB14" s="1041">
        <f t="shared" ca="1" si="28"/>
        <v>0</v>
      </c>
      <c r="BC14" s="1041">
        <f t="shared" ca="1" si="28"/>
        <v>0</v>
      </c>
      <c r="BD14" s="1041">
        <f ca="1">SUM(BD12:BD13)</f>
        <v>0</v>
      </c>
      <c r="BE14" s="1041">
        <f t="shared" ca="1" si="28"/>
        <v>0</v>
      </c>
      <c r="BF14" s="1012">
        <f t="shared" ca="1" si="6"/>
        <v>0</v>
      </c>
      <c r="BH14" s="1035">
        <f ca="1">SUM(BH12:BH13)</f>
        <v>0</v>
      </c>
      <c r="BI14" s="1035">
        <f ca="1">SUM(BI12:BI13)</f>
        <v>0</v>
      </c>
      <c r="BJ14" s="1035">
        <f t="shared" ca="1" si="8"/>
        <v>0</v>
      </c>
      <c r="BL14" s="814">
        <f t="shared" ca="1" si="9"/>
        <v>0</v>
      </c>
      <c r="BM14" s="814"/>
      <c r="BN14" s="840"/>
      <c r="BO14" s="1485">
        <f t="shared" ref="BO14:DF14" ca="1" si="29">SUM(BO12:BO13)</f>
        <v>16.670422935762357</v>
      </c>
      <c r="BP14" s="1486">
        <f t="shared" ca="1" si="29"/>
        <v>3.1691470049996472E-2</v>
      </c>
      <c r="BQ14" s="1486">
        <f t="shared" ca="1" si="29"/>
        <v>7.1890492881915569E-2</v>
      </c>
      <c r="BR14" s="1486">
        <f t="shared" ca="1" si="29"/>
        <v>0</v>
      </c>
      <c r="BS14" s="1486">
        <f t="shared" ca="1" si="29"/>
        <v>0</v>
      </c>
      <c r="BT14" s="1486">
        <f t="shared" ca="1" si="29"/>
        <v>0</v>
      </c>
      <c r="BU14" s="1486">
        <f t="shared" ca="1" si="29"/>
        <v>0</v>
      </c>
      <c r="BV14" s="1486">
        <f t="shared" ca="1" si="29"/>
        <v>0</v>
      </c>
      <c r="BW14" s="1486">
        <f t="shared" ca="1" si="29"/>
        <v>0</v>
      </c>
      <c r="BX14" s="1486">
        <f t="shared" ca="1" si="29"/>
        <v>0</v>
      </c>
      <c r="BY14" s="1486">
        <f t="shared" ca="1" si="29"/>
        <v>0</v>
      </c>
      <c r="BZ14" s="1486">
        <f t="shared" ca="1" si="29"/>
        <v>0</v>
      </c>
      <c r="CA14" s="1486">
        <f t="shared" ca="1" si="29"/>
        <v>0</v>
      </c>
      <c r="CB14" s="1486">
        <f t="shared" ca="1" si="29"/>
        <v>0</v>
      </c>
      <c r="CC14" s="1486">
        <f t="shared" ca="1" si="29"/>
        <v>0</v>
      </c>
      <c r="CD14" s="1486">
        <f t="shared" ca="1" si="29"/>
        <v>0</v>
      </c>
      <c r="CE14" s="1486">
        <f t="shared" ca="1" si="29"/>
        <v>0</v>
      </c>
      <c r="CF14" s="1486">
        <f t="shared" ca="1" si="29"/>
        <v>0</v>
      </c>
      <c r="CG14" s="1486">
        <f t="shared" ca="1" si="29"/>
        <v>0</v>
      </c>
      <c r="CH14" s="1486">
        <f t="shared" ca="1" si="29"/>
        <v>0</v>
      </c>
      <c r="CI14" s="1486">
        <f t="shared" ca="1" si="29"/>
        <v>0</v>
      </c>
      <c r="CJ14" s="1486">
        <f t="shared" ca="1" si="29"/>
        <v>0</v>
      </c>
      <c r="CK14" s="1486">
        <f t="shared" ca="1" si="29"/>
        <v>0</v>
      </c>
      <c r="CL14" s="1486">
        <f t="shared" ca="1" si="29"/>
        <v>0</v>
      </c>
      <c r="CM14" s="1486">
        <f t="shared" ca="1" si="29"/>
        <v>0</v>
      </c>
      <c r="CN14" s="1486">
        <f t="shared" ca="1" si="29"/>
        <v>0</v>
      </c>
      <c r="CO14" s="1486">
        <f t="shared" ca="1" si="29"/>
        <v>0</v>
      </c>
      <c r="CP14" s="1486">
        <f t="shared" ca="1" si="29"/>
        <v>0</v>
      </c>
      <c r="CQ14" s="1486">
        <f t="shared" ca="1" si="29"/>
        <v>0</v>
      </c>
      <c r="CR14" s="1486">
        <f t="shared" ca="1" si="29"/>
        <v>0</v>
      </c>
      <c r="CS14" s="1486">
        <f t="shared" ca="1" si="29"/>
        <v>0</v>
      </c>
      <c r="CT14" s="1486">
        <f t="shared" ca="1" si="29"/>
        <v>0</v>
      </c>
      <c r="CU14" s="1486">
        <f t="shared" ca="1" si="29"/>
        <v>0</v>
      </c>
      <c r="CV14" s="1486">
        <f t="shared" ca="1" si="29"/>
        <v>0</v>
      </c>
      <c r="CW14" s="1486">
        <f t="shared" ca="1" si="29"/>
        <v>0</v>
      </c>
      <c r="CX14" s="1486">
        <f t="shared" ca="1" si="29"/>
        <v>0</v>
      </c>
      <c r="CY14" s="1486">
        <f t="shared" ca="1" si="29"/>
        <v>0</v>
      </c>
      <c r="CZ14" s="1486">
        <f t="shared" ca="1" si="29"/>
        <v>0</v>
      </c>
      <c r="DA14" s="1486">
        <f t="shared" ca="1" si="29"/>
        <v>0</v>
      </c>
      <c r="DB14" s="1486">
        <f t="shared" ca="1" si="29"/>
        <v>0</v>
      </c>
      <c r="DC14" s="1486">
        <f t="shared" ca="1" si="29"/>
        <v>0</v>
      </c>
      <c r="DD14" s="1486">
        <f t="shared" ca="1" si="29"/>
        <v>0</v>
      </c>
      <c r="DE14" s="1486">
        <f t="shared" ca="1" si="29"/>
        <v>0</v>
      </c>
      <c r="DF14" s="1486">
        <f t="shared" ca="1" si="29"/>
        <v>0</v>
      </c>
      <c r="DH14" s="838"/>
    </row>
    <row r="15" spans="1:112" s="743" customFormat="1" ht="15.75" collapsed="1">
      <c r="A15" s="22"/>
      <c r="B15" s="753"/>
      <c r="C15" s="744" t="s">
        <v>676</v>
      </c>
      <c r="D15" s="517" t="str">
        <f>INDEX(Workstreams[Workstream], MATCH($C15, Workstreams[Code], 0))</f>
        <v>Heating</v>
      </c>
      <c r="E15" s="512"/>
      <c r="G15" s="1021">
        <f t="shared" ref="G15:P15" ca="1" si="30">G14+G11</f>
        <v>498.42483853439262</v>
      </c>
      <c r="H15" s="1021">
        <f t="shared" ca="1" si="30"/>
        <v>0</v>
      </c>
      <c r="I15" s="1021">
        <f t="shared" ca="1" si="30"/>
        <v>0</v>
      </c>
      <c r="J15" s="1021">
        <f t="shared" ca="1" si="30"/>
        <v>0</v>
      </c>
      <c r="K15" s="1021">
        <f t="shared" ca="1" si="30"/>
        <v>0</v>
      </c>
      <c r="L15" s="1021">
        <f t="shared" ca="1" si="30"/>
        <v>0</v>
      </c>
      <c r="M15" s="1021">
        <f t="shared" ca="1" si="30"/>
        <v>0</v>
      </c>
      <c r="N15" s="1021">
        <f t="shared" ca="1" si="30"/>
        <v>0</v>
      </c>
      <c r="O15" s="1021">
        <f t="shared" ca="1" si="30"/>
        <v>0</v>
      </c>
      <c r="P15" s="1021">
        <f t="shared" ca="1" si="30"/>
        <v>0</v>
      </c>
      <c r="Q15" s="1021">
        <f t="shared" ca="1" si="1"/>
        <v>498.42483853439262</v>
      </c>
      <c r="S15" s="970">
        <f t="shared" ref="S15:AJ15" ca="1" si="31">S14+S11</f>
        <v>-59.560244420136328</v>
      </c>
      <c r="T15" s="970">
        <f t="shared" ca="1" si="31"/>
        <v>0</v>
      </c>
      <c r="U15" s="970">
        <f t="shared" ca="1" si="31"/>
        <v>-14.256803002247571</v>
      </c>
      <c r="V15" s="970">
        <f t="shared" ca="1" si="31"/>
        <v>-21.867624407791091</v>
      </c>
      <c r="W15" s="970">
        <f t="shared" ca="1" si="31"/>
        <v>-402.7401667042177</v>
      </c>
      <c r="X15" s="970">
        <f t="shared" ca="1" si="31"/>
        <v>0</v>
      </c>
      <c r="Y15" s="970">
        <f t="shared" ca="1" si="31"/>
        <v>0</v>
      </c>
      <c r="Z15" s="970">
        <f t="shared" ca="1" si="31"/>
        <v>0</v>
      </c>
      <c r="AA15" s="970">
        <f t="shared" ca="1" si="31"/>
        <v>0</v>
      </c>
      <c r="AB15" s="970">
        <f t="shared" ca="1" si="31"/>
        <v>0</v>
      </c>
      <c r="AC15" s="970">
        <f t="shared" ca="1" si="31"/>
        <v>0</v>
      </c>
      <c r="AD15" s="970">
        <f t="shared" ca="1" si="31"/>
        <v>0</v>
      </c>
      <c r="AE15" s="970">
        <f ca="1">AE14+AE11</f>
        <v>0</v>
      </c>
      <c r="AF15" s="970">
        <f t="shared" ca="1" si="31"/>
        <v>0</v>
      </c>
      <c r="AG15" s="970">
        <f t="shared" ca="1" si="31"/>
        <v>0</v>
      </c>
      <c r="AH15" s="970">
        <f ca="1">AH14+AH11</f>
        <v>0</v>
      </c>
      <c r="AI15" s="970">
        <f t="shared" ca="1" si="31"/>
        <v>0</v>
      </c>
      <c r="AJ15" s="970">
        <f t="shared" ca="1" si="31"/>
        <v>0</v>
      </c>
      <c r="AK15" s="970">
        <f t="shared" ca="1" si="4"/>
        <v>-498.42483853439268</v>
      </c>
      <c r="AM15" s="976">
        <f t="shared" ref="AM15:AU15" ca="1" si="32">AM14+AM11</f>
        <v>0</v>
      </c>
      <c r="AN15" s="976">
        <f t="shared" ca="1" si="32"/>
        <v>0</v>
      </c>
      <c r="AO15" s="976">
        <f t="shared" ca="1" si="32"/>
        <v>0</v>
      </c>
      <c r="AP15" s="976">
        <f t="shared" ca="1" si="32"/>
        <v>0</v>
      </c>
      <c r="AQ15" s="976">
        <f t="shared" ca="1" si="32"/>
        <v>0</v>
      </c>
      <c r="AR15" s="976">
        <f t="shared" ca="1" si="32"/>
        <v>0</v>
      </c>
      <c r="AS15" s="976">
        <f t="shared" ca="1" si="32"/>
        <v>0</v>
      </c>
      <c r="AT15" s="976">
        <f t="shared" ca="1" si="32"/>
        <v>0</v>
      </c>
      <c r="AU15" s="976">
        <f t="shared" ca="1" si="32"/>
        <v>0</v>
      </c>
      <c r="AV15" s="976">
        <f t="shared" ref="AV15:BE15" ca="1" si="33">AV14+AV11</f>
        <v>0</v>
      </c>
      <c r="AW15" s="976">
        <f t="shared" ca="1" si="33"/>
        <v>0</v>
      </c>
      <c r="AX15" s="976">
        <f t="shared" ca="1" si="33"/>
        <v>0</v>
      </c>
      <c r="AY15" s="976">
        <f t="shared" ca="1" si="33"/>
        <v>0</v>
      </c>
      <c r="AZ15" s="976">
        <f t="shared" ca="1" si="33"/>
        <v>0</v>
      </c>
      <c r="BA15" s="976">
        <f t="shared" ca="1" si="33"/>
        <v>0</v>
      </c>
      <c r="BB15" s="976">
        <f t="shared" ca="1" si="33"/>
        <v>0</v>
      </c>
      <c r="BC15" s="976">
        <f t="shared" ca="1" si="33"/>
        <v>0</v>
      </c>
      <c r="BD15" s="976">
        <f ca="1">BD14+BD11</f>
        <v>0</v>
      </c>
      <c r="BE15" s="976">
        <f t="shared" ca="1" si="33"/>
        <v>0</v>
      </c>
      <c r="BF15" s="976">
        <f t="shared" ca="1" si="6"/>
        <v>0</v>
      </c>
      <c r="BH15" s="990">
        <f ca="1">BH14+BH11</f>
        <v>0</v>
      </c>
      <c r="BI15" s="990">
        <f ca="1">BI14+BI11</f>
        <v>0</v>
      </c>
      <c r="BJ15" s="990">
        <f t="shared" ca="1" si="8"/>
        <v>0</v>
      </c>
      <c r="BL15" s="515">
        <f t="shared" ca="1" si="9"/>
        <v>-5.6843418860808015E-14</v>
      </c>
      <c r="BM15" s="515"/>
      <c r="BN15" s="840"/>
      <c r="BO15" s="1482">
        <f t="shared" ref="BO15:DF15" ca="1" si="34">BO14+BO11</f>
        <v>83.962192100216072</v>
      </c>
      <c r="BP15" s="1482">
        <f t="shared" ca="1" si="34"/>
        <v>0.16824651887377906</v>
      </c>
      <c r="BQ15" s="1482">
        <f t="shared" ca="1" si="34"/>
        <v>0.29702226229713091</v>
      </c>
      <c r="BR15" s="1482">
        <f t="shared" ca="1" si="34"/>
        <v>0</v>
      </c>
      <c r="BS15" s="1482">
        <f t="shared" ca="1" si="34"/>
        <v>0</v>
      </c>
      <c r="BT15" s="1482">
        <f t="shared" ca="1" si="34"/>
        <v>0</v>
      </c>
      <c r="BU15" s="1482">
        <f t="shared" ca="1" si="34"/>
        <v>0</v>
      </c>
      <c r="BV15" s="1482">
        <f t="shared" ca="1" si="34"/>
        <v>0</v>
      </c>
      <c r="BW15" s="1482">
        <f t="shared" ca="1" si="34"/>
        <v>0</v>
      </c>
      <c r="BX15" s="1482">
        <f t="shared" ca="1" si="34"/>
        <v>0</v>
      </c>
      <c r="BY15" s="1482">
        <f t="shared" ca="1" si="34"/>
        <v>0</v>
      </c>
      <c r="BZ15" s="1482">
        <f t="shared" ca="1" si="34"/>
        <v>0</v>
      </c>
      <c r="CA15" s="1482">
        <f t="shared" ca="1" si="34"/>
        <v>0</v>
      </c>
      <c r="CB15" s="1482">
        <f t="shared" ca="1" si="34"/>
        <v>0</v>
      </c>
      <c r="CC15" s="1482">
        <f t="shared" ca="1" si="34"/>
        <v>0</v>
      </c>
      <c r="CD15" s="1482">
        <f t="shared" ca="1" si="34"/>
        <v>0</v>
      </c>
      <c r="CE15" s="1482">
        <f t="shared" ca="1" si="34"/>
        <v>0</v>
      </c>
      <c r="CF15" s="1482">
        <f t="shared" ca="1" si="34"/>
        <v>0</v>
      </c>
      <c r="CG15" s="1482">
        <f t="shared" ca="1" si="34"/>
        <v>0</v>
      </c>
      <c r="CH15" s="1482">
        <f t="shared" ca="1" si="34"/>
        <v>0</v>
      </c>
      <c r="CI15" s="1482">
        <f t="shared" ca="1" si="34"/>
        <v>0</v>
      </c>
      <c r="CJ15" s="1482">
        <f t="shared" ca="1" si="34"/>
        <v>0</v>
      </c>
      <c r="CK15" s="1482">
        <f t="shared" ca="1" si="34"/>
        <v>0</v>
      </c>
      <c r="CL15" s="1482">
        <f t="shared" ca="1" si="34"/>
        <v>0</v>
      </c>
      <c r="CM15" s="1482">
        <f t="shared" ca="1" si="34"/>
        <v>0</v>
      </c>
      <c r="CN15" s="1482">
        <f t="shared" ca="1" si="34"/>
        <v>0</v>
      </c>
      <c r="CO15" s="1482">
        <f t="shared" ca="1" si="34"/>
        <v>0</v>
      </c>
      <c r="CP15" s="1482">
        <f t="shared" ca="1" si="34"/>
        <v>0</v>
      </c>
      <c r="CQ15" s="1482">
        <f t="shared" ca="1" si="34"/>
        <v>0</v>
      </c>
      <c r="CR15" s="1482">
        <f t="shared" ca="1" si="34"/>
        <v>0</v>
      </c>
      <c r="CS15" s="1482">
        <f t="shared" ca="1" si="34"/>
        <v>0</v>
      </c>
      <c r="CT15" s="1482">
        <f t="shared" ca="1" si="34"/>
        <v>0</v>
      </c>
      <c r="CU15" s="1482">
        <f t="shared" ca="1" si="34"/>
        <v>0</v>
      </c>
      <c r="CV15" s="1482">
        <f t="shared" ca="1" si="34"/>
        <v>0</v>
      </c>
      <c r="CW15" s="1482">
        <f t="shared" ca="1" si="34"/>
        <v>0</v>
      </c>
      <c r="CX15" s="1482">
        <f t="shared" ca="1" si="34"/>
        <v>0</v>
      </c>
      <c r="CY15" s="1482">
        <f t="shared" ca="1" si="34"/>
        <v>0</v>
      </c>
      <c r="CZ15" s="1482">
        <f t="shared" ca="1" si="34"/>
        <v>0</v>
      </c>
      <c r="DA15" s="1482">
        <f t="shared" ca="1" si="34"/>
        <v>0</v>
      </c>
      <c r="DB15" s="1482">
        <f t="shared" ca="1" si="34"/>
        <v>0</v>
      </c>
      <c r="DC15" s="1482">
        <f t="shared" ca="1" si="34"/>
        <v>0</v>
      </c>
      <c r="DD15" s="1482">
        <f t="shared" ca="1" si="34"/>
        <v>0</v>
      </c>
      <c r="DE15" s="1482">
        <f t="shared" ca="1" si="34"/>
        <v>0</v>
      </c>
      <c r="DF15" s="1482">
        <f t="shared" ca="1" si="34"/>
        <v>0</v>
      </c>
      <c r="DH15" s="838">
        <f t="shared" ref="DH15:DH38" ca="1" si="35">SUM(BO15:DF15)</f>
        <v>84.427460881386978</v>
      </c>
    </row>
    <row r="16" spans="1:112" s="743" customFormat="1" hidden="1" outlineLevel="1">
      <c r="A16" s="1484"/>
      <c r="B16" s="1484"/>
      <c r="C16" s="746"/>
      <c r="D16" s="521"/>
      <c r="E16" s="521"/>
      <c r="G16" s="1019"/>
      <c r="H16" s="1019"/>
      <c r="I16" s="1019"/>
      <c r="J16" s="1019"/>
      <c r="K16" s="1019"/>
      <c r="L16" s="1019"/>
      <c r="M16" s="1019"/>
      <c r="N16" s="1019"/>
      <c r="O16" s="1019"/>
      <c r="P16" s="1019"/>
      <c r="Q16" s="1019"/>
      <c r="S16" s="1027"/>
      <c r="T16" s="1027"/>
      <c r="U16" s="1027"/>
      <c r="V16" s="1027"/>
      <c r="W16" s="1027"/>
      <c r="X16" s="1027"/>
      <c r="Y16" s="1027"/>
      <c r="Z16" s="1027"/>
      <c r="AA16" s="1027"/>
      <c r="AB16" s="1027"/>
      <c r="AC16" s="1027"/>
      <c r="AD16" s="1027"/>
      <c r="AE16" s="1027"/>
      <c r="AF16" s="1027"/>
      <c r="AG16" s="1027"/>
      <c r="AH16" s="1027"/>
      <c r="AI16" s="1027"/>
      <c r="AJ16" s="1027"/>
      <c r="AK16" s="1027"/>
      <c r="AM16" s="1040"/>
      <c r="AN16" s="1040"/>
      <c r="AO16" s="1040"/>
      <c r="AP16" s="1040"/>
      <c r="AQ16" s="1040"/>
      <c r="AR16" s="1040"/>
      <c r="AS16" s="1040"/>
      <c r="AT16" s="1040"/>
      <c r="AU16" s="1040"/>
      <c r="AV16" s="1040"/>
      <c r="AW16" s="1040"/>
      <c r="AX16" s="1040"/>
      <c r="AY16" s="1040"/>
      <c r="AZ16" s="1040"/>
      <c r="BA16" s="1040"/>
      <c r="BB16" s="1040"/>
      <c r="BC16" s="1040"/>
      <c r="BD16" s="1040"/>
      <c r="BE16" s="1040"/>
      <c r="BF16" s="979"/>
      <c r="BH16" s="1034"/>
      <c r="BI16" s="1034"/>
      <c r="BJ16" s="1034"/>
      <c r="BL16" s="814">
        <f t="shared" si="9"/>
        <v>0</v>
      </c>
      <c r="BM16" s="814"/>
      <c r="BN16" s="1484"/>
      <c r="BO16" s="1481"/>
      <c r="BP16" s="1482"/>
      <c r="BQ16" s="1482"/>
      <c r="BR16" s="1482"/>
      <c r="BS16" s="1482"/>
      <c r="BT16" s="1482"/>
      <c r="BU16" s="1482"/>
      <c r="BV16" s="1482"/>
      <c r="BW16" s="1482"/>
      <c r="BX16" s="1482"/>
      <c r="BY16" s="1482"/>
      <c r="BZ16" s="1482"/>
      <c r="CA16" s="1482"/>
      <c r="CB16" s="1482"/>
      <c r="CC16" s="1482"/>
      <c r="CD16" s="1482"/>
      <c r="CE16" s="1482"/>
      <c r="CF16" s="1482"/>
      <c r="CG16" s="1482"/>
      <c r="CH16" s="1482"/>
      <c r="CI16" s="1482"/>
      <c r="CJ16" s="1482"/>
      <c r="CK16" s="1482"/>
      <c r="CL16" s="1482"/>
      <c r="CM16" s="1482"/>
      <c r="CN16" s="1482"/>
      <c r="CO16" s="1482"/>
      <c r="CP16" s="1482"/>
      <c r="CQ16" s="1482"/>
      <c r="CR16" s="1482"/>
      <c r="CS16" s="1482"/>
      <c r="CT16" s="1482"/>
      <c r="CU16" s="1482"/>
      <c r="CV16" s="1482"/>
      <c r="CW16" s="1482"/>
      <c r="CX16" s="1482"/>
      <c r="CY16" s="1482"/>
      <c r="CZ16" s="1482"/>
      <c r="DA16" s="1482"/>
      <c r="DB16" s="1482"/>
      <c r="DC16" s="1482"/>
      <c r="DD16" s="1482"/>
      <c r="DE16" s="1482"/>
      <c r="DF16" s="1482"/>
      <c r="DH16" s="838">
        <f t="shared" si="35"/>
        <v>0</v>
      </c>
    </row>
    <row r="17" spans="1:112" s="743" customFormat="1" ht="12.75" hidden="1" customHeight="1" outlineLevel="1">
      <c r="A17" s="1484"/>
      <c r="B17" s="1484"/>
      <c r="C17" s="746" t="s">
        <v>950</v>
      </c>
      <c r="D17" s="1480" t="str">
        <f>INDEX(Modules[Module], MATCH($C17, Modules[Code], 0))</f>
        <v>Domestic lighting, appliances, and cooking</v>
      </c>
      <c r="E17" s="1006"/>
      <c r="G17" s="1017">
        <f t="shared" ref="G17:P18" ca="1" si="36">IFERROR(INDEX(INDIRECT($C17&amp;".Outputs["&amp;this.Year&amp;"]"), MATCH(G$5, INDIRECT($C17&amp;".Outputs[Vector]"), 0)), 0)</f>
        <v>0</v>
      </c>
      <c r="H17" s="1017">
        <f t="shared" ca="1" si="36"/>
        <v>94.740506175844104</v>
      </c>
      <c r="I17" s="1017">
        <f t="shared" ca="1" si="36"/>
        <v>0</v>
      </c>
      <c r="J17" s="1017">
        <f t="shared" ca="1" si="36"/>
        <v>0</v>
      </c>
      <c r="K17" s="1017">
        <f t="shared" ca="1" si="36"/>
        <v>0</v>
      </c>
      <c r="L17" s="1017">
        <f t="shared" ca="1" si="36"/>
        <v>0</v>
      </c>
      <c r="M17" s="1017">
        <f t="shared" ca="1" si="36"/>
        <v>0</v>
      </c>
      <c r="N17" s="1017">
        <f t="shared" ca="1" si="36"/>
        <v>0</v>
      </c>
      <c r="O17" s="1017">
        <f t="shared" ca="1" si="36"/>
        <v>0</v>
      </c>
      <c r="P17" s="1017">
        <f t="shared" ca="1" si="36"/>
        <v>0</v>
      </c>
      <c r="Q17" s="1019">
        <f ca="1">SUM(G17:P17)</f>
        <v>94.740506175844104</v>
      </c>
      <c r="S17" s="1026">
        <f t="shared" ref="S17:BE18" ca="1" si="37">IFERROR(INDEX(INDIRECT($C17&amp;".Outputs["&amp;this.Year&amp;"]"), MATCH(S$5, INDIRECT($C17&amp;".Outputs[Vector]"), 0)), 0)</f>
        <v>-86.725000238056495</v>
      </c>
      <c r="T17" s="1026">
        <f t="shared" ca="1" si="37"/>
        <v>0</v>
      </c>
      <c r="U17" s="1026">
        <f t="shared" ca="1" si="37"/>
        <v>0</v>
      </c>
      <c r="V17" s="1026">
        <f t="shared" ca="1" si="37"/>
        <v>0</v>
      </c>
      <c r="W17" s="1026">
        <f t="shared" ca="1" si="37"/>
        <v>-8.0155059377876015</v>
      </c>
      <c r="X17" s="1026">
        <f t="shared" ref="X17:Z18" ca="1" si="38">IFERROR(INDEX(INDIRECT($C17&amp;".Outputs["&amp;this.Year&amp;"]"), MATCH(X$5, INDIRECT($C17&amp;".Outputs[Vector]"), 0)), 0)</f>
        <v>0</v>
      </c>
      <c r="Y17" s="1026">
        <f t="shared" ca="1" si="38"/>
        <v>0</v>
      </c>
      <c r="Z17" s="1026">
        <f t="shared" ca="1" si="38"/>
        <v>0</v>
      </c>
      <c r="AA17" s="1026">
        <f t="shared" ca="1" si="37"/>
        <v>0</v>
      </c>
      <c r="AB17" s="1026">
        <f t="shared" ca="1" si="37"/>
        <v>0</v>
      </c>
      <c r="AC17" s="1026">
        <f t="shared" ca="1" si="37"/>
        <v>0</v>
      </c>
      <c r="AD17" s="1026">
        <f t="shared" ca="1" si="37"/>
        <v>0</v>
      </c>
      <c r="AE17" s="1026">
        <f t="shared" ca="1" si="37"/>
        <v>0</v>
      </c>
      <c r="AF17" s="1026">
        <f t="shared" ca="1" si="37"/>
        <v>0</v>
      </c>
      <c r="AG17" s="1026">
        <f t="shared" ca="1" si="37"/>
        <v>0</v>
      </c>
      <c r="AH17" s="1026">
        <f t="shared" ca="1" si="37"/>
        <v>0</v>
      </c>
      <c r="AI17" s="1026">
        <f t="shared" ca="1" si="37"/>
        <v>0</v>
      </c>
      <c r="AJ17" s="1026">
        <f t="shared" ca="1" si="37"/>
        <v>0</v>
      </c>
      <c r="AK17" s="1027">
        <f ca="1">SUM(S17:AJ17)</f>
        <v>-94.740506175844104</v>
      </c>
      <c r="AM17" s="1038">
        <f t="shared" ref="AM17:AU18" ca="1" si="39">IFERROR(INDEX(INDIRECT($C17&amp;".Outputs["&amp;this.Year&amp;"]"), MATCH(AM$5, INDIRECT($C17&amp;".Outputs[Vector]"), 0)), 0)</f>
        <v>0</v>
      </c>
      <c r="AN17" s="1038">
        <f t="shared" ca="1" si="39"/>
        <v>0</v>
      </c>
      <c r="AO17" s="1038">
        <f t="shared" ca="1" si="39"/>
        <v>0</v>
      </c>
      <c r="AP17" s="1038">
        <f t="shared" ca="1" si="39"/>
        <v>0</v>
      </c>
      <c r="AQ17" s="1038">
        <f t="shared" ca="1" si="39"/>
        <v>0</v>
      </c>
      <c r="AR17" s="1038">
        <f t="shared" ca="1" si="39"/>
        <v>0</v>
      </c>
      <c r="AS17" s="1038">
        <f t="shared" ca="1" si="39"/>
        <v>0</v>
      </c>
      <c r="AT17" s="1038">
        <f t="shared" ca="1" si="39"/>
        <v>0</v>
      </c>
      <c r="AU17" s="1038">
        <f t="shared" ca="1" si="39"/>
        <v>0</v>
      </c>
      <c r="AV17" s="1038">
        <f t="shared" ca="1" si="37"/>
        <v>0</v>
      </c>
      <c r="AW17" s="1038">
        <f t="shared" ca="1" si="37"/>
        <v>0</v>
      </c>
      <c r="AX17" s="1038">
        <f t="shared" ca="1" si="37"/>
        <v>0</v>
      </c>
      <c r="AY17" s="1038">
        <f t="shared" ca="1" si="37"/>
        <v>0</v>
      </c>
      <c r="AZ17" s="1038">
        <f t="shared" ca="1" si="37"/>
        <v>0</v>
      </c>
      <c r="BA17" s="1038">
        <f t="shared" ca="1" si="37"/>
        <v>0</v>
      </c>
      <c r="BB17" s="1038">
        <f t="shared" ca="1" si="37"/>
        <v>0</v>
      </c>
      <c r="BC17" s="1038">
        <f t="shared" ca="1" si="37"/>
        <v>0</v>
      </c>
      <c r="BD17" s="1038">
        <f t="shared" ca="1" si="37"/>
        <v>0</v>
      </c>
      <c r="BE17" s="1038">
        <f t="shared" ca="1" si="37"/>
        <v>0</v>
      </c>
      <c r="BF17" s="979">
        <f ca="1">SUM(AM17:BE17)</f>
        <v>0</v>
      </c>
      <c r="BH17" s="1032">
        <f ca="1">IFERROR(INDEX(INDIRECT($C17&amp;".Outputs["&amp;this.Year&amp;"]"), MATCH(BH$5, INDIRECT($C17&amp;".Outputs[Vector]"), 0)), 0)</f>
        <v>0</v>
      </c>
      <c r="BI17" s="1032">
        <f ca="1">IFERROR(INDEX(INDIRECT($C17&amp;".Outputs["&amp;this.Year&amp;"]"), MATCH(BI$5, INDIRECT($C17&amp;".Outputs[Vector]"), 0)), 0)</f>
        <v>0</v>
      </c>
      <c r="BJ17" s="1034">
        <f ca="1">SUM(BH17:BI17)</f>
        <v>0</v>
      </c>
      <c r="BL17" s="814">
        <f t="shared" ca="1" si="9"/>
        <v>0</v>
      </c>
      <c r="BM17" s="814"/>
      <c r="BN17" s="840"/>
      <c r="BO17" s="1481">
        <f t="shared" ref="BO17:BX18" ca="1" si="40">IFERROR(SUMIFS(INDIRECT($C17&amp;".Emissions["&amp;this.Year&amp;"]"), INDIRECT($C17&amp;".Emissions[GHG]"), BO$6, INDIRECT($C17&amp;".Emissions[IPCC Sector]"), BO$5),0)</f>
        <v>1.4748530925529184</v>
      </c>
      <c r="BP17" s="1482">
        <f t="shared" ca="1" si="40"/>
        <v>2.9563219459007228E-3</v>
      </c>
      <c r="BQ17" s="1482">
        <f t="shared" ca="1" si="40"/>
        <v>3.1796679789373723E-3</v>
      </c>
      <c r="BR17" s="1482">
        <f t="shared" ca="1" si="40"/>
        <v>0</v>
      </c>
      <c r="BS17" s="1482">
        <f t="shared" ca="1" si="40"/>
        <v>0</v>
      </c>
      <c r="BT17" s="1482">
        <f t="shared" ca="1" si="40"/>
        <v>0</v>
      </c>
      <c r="BU17" s="1482">
        <f t="shared" ca="1" si="40"/>
        <v>0</v>
      </c>
      <c r="BV17" s="1482">
        <f t="shared" ca="1" si="40"/>
        <v>0</v>
      </c>
      <c r="BW17" s="1482">
        <f t="shared" ca="1" si="40"/>
        <v>0</v>
      </c>
      <c r="BX17" s="1482">
        <f t="shared" ca="1" si="40"/>
        <v>0</v>
      </c>
      <c r="BY17" s="1482">
        <f t="shared" ref="BY17:CH18" ca="1" si="41">IFERROR(SUMIFS(INDIRECT($C17&amp;".Emissions["&amp;this.Year&amp;"]"), INDIRECT($C17&amp;".Emissions[GHG]"), BY$6, INDIRECT($C17&amp;".Emissions[IPCC Sector]"), BY$5),0)</f>
        <v>0</v>
      </c>
      <c r="BZ17" s="1482">
        <f t="shared" ca="1" si="41"/>
        <v>0</v>
      </c>
      <c r="CA17" s="1482">
        <f t="shared" ca="1" si="41"/>
        <v>0</v>
      </c>
      <c r="CB17" s="1482">
        <f t="shared" ca="1" si="41"/>
        <v>0</v>
      </c>
      <c r="CC17" s="1482">
        <f t="shared" ca="1" si="41"/>
        <v>0</v>
      </c>
      <c r="CD17" s="1482">
        <f t="shared" ca="1" si="41"/>
        <v>0</v>
      </c>
      <c r="CE17" s="1482">
        <f t="shared" ca="1" si="41"/>
        <v>0</v>
      </c>
      <c r="CF17" s="1482">
        <f t="shared" ca="1" si="41"/>
        <v>0</v>
      </c>
      <c r="CG17" s="1482">
        <f t="shared" ca="1" si="41"/>
        <v>0</v>
      </c>
      <c r="CH17" s="1482">
        <f t="shared" ca="1" si="41"/>
        <v>0</v>
      </c>
      <c r="CI17" s="1482">
        <f t="shared" ref="CI17:CR18" ca="1" si="42">IFERROR(SUMIFS(INDIRECT($C17&amp;".Emissions["&amp;this.Year&amp;"]"), INDIRECT($C17&amp;".Emissions[GHG]"), CI$6, INDIRECT($C17&amp;".Emissions[IPCC Sector]"), CI$5),0)</f>
        <v>0</v>
      </c>
      <c r="CJ17" s="1482">
        <f t="shared" ca="1" si="42"/>
        <v>0</v>
      </c>
      <c r="CK17" s="1482">
        <f t="shared" ca="1" si="42"/>
        <v>0</v>
      </c>
      <c r="CL17" s="1482">
        <f t="shared" ca="1" si="42"/>
        <v>0</v>
      </c>
      <c r="CM17" s="1482">
        <f t="shared" ca="1" si="42"/>
        <v>0</v>
      </c>
      <c r="CN17" s="1482">
        <f t="shared" ca="1" si="42"/>
        <v>0</v>
      </c>
      <c r="CO17" s="1482">
        <f t="shared" ca="1" si="42"/>
        <v>0</v>
      </c>
      <c r="CP17" s="1482">
        <f t="shared" ca="1" si="42"/>
        <v>0</v>
      </c>
      <c r="CQ17" s="1482">
        <f t="shared" ca="1" si="42"/>
        <v>0</v>
      </c>
      <c r="CR17" s="1482">
        <f t="shared" ca="1" si="42"/>
        <v>0</v>
      </c>
      <c r="CS17" s="1482">
        <f t="shared" ref="CS17:DF18" ca="1" si="43">IFERROR(SUMIFS(INDIRECT($C17&amp;".Emissions["&amp;this.Year&amp;"]"), INDIRECT($C17&amp;".Emissions[GHG]"), CS$6, INDIRECT($C17&amp;".Emissions[IPCC Sector]"), CS$5),0)</f>
        <v>0</v>
      </c>
      <c r="CT17" s="1482">
        <f t="shared" ca="1" si="43"/>
        <v>0</v>
      </c>
      <c r="CU17" s="1482">
        <f t="shared" ca="1" si="43"/>
        <v>0</v>
      </c>
      <c r="CV17" s="1482">
        <f t="shared" ca="1" si="43"/>
        <v>0</v>
      </c>
      <c r="CW17" s="1482">
        <f t="shared" ca="1" si="43"/>
        <v>0</v>
      </c>
      <c r="CX17" s="1482">
        <f t="shared" ca="1" si="43"/>
        <v>0</v>
      </c>
      <c r="CY17" s="1482">
        <f t="shared" ca="1" si="43"/>
        <v>0</v>
      </c>
      <c r="CZ17" s="1482">
        <f t="shared" ca="1" si="43"/>
        <v>0</v>
      </c>
      <c r="DA17" s="1482">
        <f t="shared" ca="1" si="43"/>
        <v>0</v>
      </c>
      <c r="DB17" s="1482">
        <f t="shared" ca="1" si="43"/>
        <v>0</v>
      </c>
      <c r="DC17" s="1482">
        <f t="shared" ca="1" si="43"/>
        <v>0</v>
      </c>
      <c r="DD17" s="1482">
        <f t="shared" ca="1" si="43"/>
        <v>0</v>
      </c>
      <c r="DE17" s="1482">
        <f t="shared" ca="1" si="43"/>
        <v>0</v>
      </c>
      <c r="DF17" s="1482">
        <f t="shared" ca="1" si="43"/>
        <v>0</v>
      </c>
      <c r="DH17" s="838">
        <f t="shared" ca="1" si="35"/>
        <v>1.4809890824777565</v>
      </c>
    </row>
    <row r="18" spans="1:112" s="743" customFormat="1" ht="12.75" hidden="1" customHeight="1" outlineLevel="1">
      <c r="A18" s="1484"/>
      <c r="B18" s="1484"/>
      <c r="C18" s="746" t="s">
        <v>951</v>
      </c>
      <c r="D18" s="1010" t="str">
        <f>INDEX(Modules[Module], MATCH($C18, Modules[Code], 0))</f>
        <v>Commercial lighting, appliances, and catering</v>
      </c>
      <c r="E18" s="1010"/>
      <c r="G18" s="1022">
        <f t="shared" ca="1" si="36"/>
        <v>0</v>
      </c>
      <c r="H18" s="1022">
        <f t="shared" ca="1" si="36"/>
        <v>81.620295883801745</v>
      </c>
      <c r="I18" s="1022">
        <f t="shared" ca="1" si="36"/>
        <v>0</v>
      </c>
      <c r="J18" s="1022">
        <f t="shared" ca="1" si="36"/>
        <v>0</v>
      </c>
      <c r="K18" s="1022">
        <f t="shared" ca="1" si="36"/>
        <v>0</v>
      </c>
      <c r="L18" s="1022">
        <f t="shared" ca="1" si="36"/>
        <v>0</v>
      </c>
      <c r="M18" s="1022">
        <f t="shared" ca="1" si="36"/>
        <v>0</v>
      </c>
      <c r="N18" s="1022">
        <f t="shared" ca="1" si="36"/>
        <v>0</v>
      </c>
      <c r="O18" s="1022">
        <f t="shared" ca="1" si="36"/>
        <v>0</v>
      </c>
      <c r="P18" s="1022">
        <f t="shared" ca="1" si="36"/>
        <v>0</v>
      </c>
      <c r="Q18" s="1020">
        <f ca="1">SUM(G18:P18)</f>
        <v>81.620295883801745</v>
      </c>
      <c r="S18" s="1031">
        <f t="shared" ca="1" si="37"/>
        <v>-72.634879079699601</v>
      </c>
      <c r="T18" s="1031">
        <f t="shared" ca="1" si="37"/>
        <v>0</v>
      </c>
      <c r="U18" s="1031">
        <f t="shared" ca="1" si="37"/>
        <v>0</v>
      </c>
      <c r="V18" s="1031">
        <f t="shared" ca="1" si="37"/>
        <v>0</v>
      </c>
      <c r="W18" s="1031">
        <f t="shared" ca="1" si="37"/>
        <v>-8.9854168041021438</v>
      </c>
      <c r="X18" s="1031">
        <f t="shared" ca="1" si="38"/>
        <v>0</v>
      </c>
      <c r="Y18" s="1031">
        <f t="shared" ca="1" si="38"/>
        <v>0</v>
      </c>
      <c r="Z18" s="1031">
        <f t="shared" ca="1" si="38"/>
        <v>0</v>
      </c>
      <c r="AA18" s="1031">
        <f t="shared" ca="1" si="37"/>
        <v>0</v>
      </c>
      <c r="AB18" s="1031">
        <f t="shared" ca="1" si="37"/>
        <v>0</v>
      </c>
      <c r="AC18" s="1031">
        <f t="shared" ca="1" si="37"/>
        <v>0</v>
      </c>
      <c r="AD18" s="1031">
        <f t="shared" ca="1" si="37"/>
        <v>0</v>
      </c>
      <c r="AE18" s="1031">
        <f t="shared" ca="1" si="37"/>
        <v>0</v>
      </c>
      <c r="AF18" s="1031">
        <f t="shared" ca="1" si="37"/>
        <v>0</v>
      </c>
      <c r="AG18" s="1031">
        <f t="shared" ca="1" si="37"/>
        <v>0</v>
      </c>
      <c r="AH18" s="1031">
        <f t="shared" ca="1" si="37"/>
        <v>0</v>
      </c>
      <c r="AI18" s="1031">
        <f t="shared" ca="1" si="37"/>
        <v>0</v>
      </c>
      <c r="AJ18" s="1031">
        <f t="shared" ca="1" si="37"/>
        <v>0</v>
      </c>
      <c r="AK18" s="1030">
        <f ca="1">SUM(S18:AJ18)</f>
        <v>-81.620295883801745</v>
      </c>
      <c r="AM18" s="1042">
        <f t="shared" ca="1" si="39"/>
        <v>0</v>
      </c>
      <c r="AN18" s="1042">
        <f t="shared" ca="1" si="39"/>
        <v>0</v>
      </c>
      <c r="AO18" s="1042">
        <f t="shared" ca="1" si="39"/>
        <v>0</v>
      </c>
      <c r="AP18" s="1042">
        <f t="shared" ca="1" si="39"/>
        <v>0</v>
      </c>
      <c r="AQ18" s="1042">
        <f t="shared" ca="1" si="39"/>
        <v>0</v>
      </c>
      <c r="AR18" s="1042">
        <f t="shared" ca="1" si="39"/>
        <v>0</v>
      </c>
      <c r="AS18" s="1042">
        <f t="shared" ca="1" si="39"/>
        <v>0</v>
      </c>
      <c r="AT18" s="1042">
        <f t="shared" ca="1" si="39"/>
        <v>0</v>
      </c>
      <c r="AU18" s="1042">
        <f t="shared" ca="1" si="39"/>
        <v>0</v>
      </c>
      <c r="AV18" s="1042">
        <f t="shared" ca="1" si="37"/>
        <v>0</v>
      </c>
      <c r="AW18" s="1042">
        <f t="shared" ca="1" si="37"/>
        <v>0</v>
      </c>
      <c r="AX18" s="1042">
        <f t="shared" ca="1" si="37"/>
        <v>0</v>
      </c>
      <c r="AY18" s="1042">
        <f t="shared" ca="1" si="37"/>
        <v>0</v>
      </c>
      <c r="AZ18" s="1042">
        <f t="shared" ca="1" si="37"/>
        <v>0</v>
      </c>
      <c r="BA18" s="1042">
        <f t="shared" ca="1" si="37"/>
        <v>0</v>
      </c>
      <c r="BB18" s="1042">
        <f t="shared" ca="1" si="37"/>
        <v>0</v>
      </c>
      <c r="BC18" s="1042">
        <f t="shared" ca="1" si="37"/>
        <v>0</v>
      </c>
      <c r="BD18" s="1042">
        <f t="shared" ca="1" si="37"/>
        <v>0</v>
      </c>
      <c r="BE18" s="1042">
        <f t="shared" ca="1" si="37"/>
        <v>0</v>
      </c>
      <c r="BF18" s="1012">
        <f ca="1">SUM(AM18:BE18)</f>
        <v>0</v>
      </c>
      <c r="BH18" s="1036">
        <f ca="1">IFERROR(INDEX(INDIRECT($C18&amp;".Outputs["&amp;this.Year&amp;"]"), MATCH(BH$5, INDIRECT($C18&amp;".Outputs[Vector]"), 0)), 0)</f>
        <v>0</v>
      </c>
      <c r="BI18" s="1036">
        <f ca="1">IFERROR(INDEX(INDIRECT($C18&amp;".Outputs["&amp;this.Year&amp;"]"), MATCH(BI$5, INDIRECT($C18&amp;".Outputs[Vector]"), 0)), 0)</f>
        <v>0</v>
      </c>
      <c r="BJ18" s="1035">
        <f ca="1">SUM(BH18:BI18)</f>
        <v>0</v>
      </c>
      <c r="BL18" s="814">
        <f t="shared" ca="1" si="9"/>
        <v>0</v>
      </c>
      <c r="BM18" s="814"/>
      <c r="BN18" s="840"/>
      <c r="BO18" s="1485">
        <f t="shared" ca="1" si="40"/>
        <v>1.6533166919547941</v>
      </c>
      <c r="BP18" s="1486">
        <f t="shared" ca="1" si="40"/>
        <v>3.3140496803579565E-3</v>
      </c>
      <c r="BQ18" s="1486">
        <f t="shared" ca="1" si="40"/>
        <v>3.5644215488280567E-3</v>
      </c>
      <c r="BR18" s="1486">
        <f t="shared" ca="1" si="40"/>
        <v>0</v>
      </c>
      <c r="BS18" s="1486">
        <f t="shared" ca="1" si="40"/>
        <v>0</v>
      </c>
      <c r="BT18" s="1486">
        <f t="shared" ca="1" si="40"/>
        <v>0</v>
      </c>
      <c r="BU18" s="1486">
        <f t="shared" ca="1" si="40"/>
        <v>0</v>
      </c>
      <c r="BV18" s="1486">
        <f t="shared" ca="1" si="40"/>
        <v>0</v>
      </c>
      <c r="BW18" s="1486">
        <f t="shared" ca="1" si="40"/>
        <v>0</v>
      </c>
      <c r="BX18" s="1486">
        <f t="shared" ca="1" si="40"/>
        <v>0</v>
      </c>
      <c r="BY18" s="1486">
        <f t="shared" ca="1" si="41"/>
        <v>0</v>
      </c>
      <c r="BZ18" s="1486">
        <f t="shared" ca="1" si="41"/>
        <v>0</v>
      </c>
      <c r="CA18" s="1486">
        <f t="shared" ca="1" si="41"/>
        <v>0</v>
      </c>
      <c r="CB18" s="1486">
        <f t="shared" ca="1" si="41"/>
        <v>0</v>
      </c>
      <c r="CC18" s="1486">
        <f t="shared" ca="1" si="41"/>
        <v>0</v>
      </c>
      <c r="CD18" s="1486">
        <f t="shared" ca="1" si="41"/>
        <v>0</v>
      </c>
      <c r="CE18" s="1486">
        <f t="shared" ca="1" si="41"/>
        <v>0</v>
      </c>
      <c r="CF18" s="1486">
        <f t="shared" ca="1" si="41"/>
        <v>0</v>
      </c>
      <c r="CG18" s="1486">
        <f t="shared" ca="1" si="41"/>
        <v>0</v>
      </c>
      <c r="CH18" s="1486">
        <f t="shared" ca="1" si="41"/>
        <v>0</v>
      </c>
      <c r="CI18" s="1486">
        <f t="shared" ca="1" si="42"/>
        <v>0</v>
      </c>
      <c r="CJ18" s="1486">
        <f t="shared" ca="1" si="42"/>
        <v>0</v>
      </c>
      <c r="CK18" s="1486">
        <f t="shared" ca="1" si="42"/>
        <v>0</v>
      </c>
      <c r="CL18" s="1486">
        <f t="shared" ca="1" si="42"/>
        <v>0</v>
      </c>
      <c r="CM18" s="1486">
        <f t="shared" ca="1" si="42"/>
        <v>0</v>
      </c>
      <c r="CN18" s="1486">
        <f t="shared" ca="1" si="42"/>
        <v>0</v>
      </c>
      <c r="CO18" s="1486">
        <f t="shared" ca="1" si="42"/>
        <v>0</v>
      </c>
      <c r="CP18" s="1486">
        <f t="shared" ca="1" si="42"/>
        <v>0</v>
      </c>
      <c r="CQ18" s="1486">
        <f t="shared" ca="1" si="42"/>
        <v>0</v>
      </c>
      <c r="CR18" s="1486">
        <f t="shared" ca="1" si="42"/>
        <v>0</v>
      </c>
      <c r="CS18" s="1486">
        <f t="shared" ca="1" si="43"/>
        <v>0</v>
      </c>
      <c r="CT18" s="1486">
        <f t="shared" ca="1" si="43"/>
        <v>0</v>
      </c>
      <c r="CU18" s="1486">
        <f t="shared" ca="1" si="43"/>
        <v>0</v>
      </c>
      <c r="CV18" s="1486">
        <f t="shared" ca="1" si="43"/>
        <v>0</v>
      </c>
      <c r="CW18" s="1486">
        <f t="shared" ca="1" si="43"/>
        <v>0</v>
      </c>
      <c r="CX18" s="1486">
        <f t="shared" ca="1" si="43"/>
        <v>0</v>
      </c>
      <c r="CY18" s="1486">
        <f t="shared" ca="1" si="43"/>
        <v>0</v>
      </c>
      <c r="CZ18" s="1486">
        <f t="shared" ca="1" si="43"/>
        <v>0</v>
      </c>
      <c r="DA18" s="1486">
        <f t="shared" ca="1" si="43"/>
        <v>0</v>
      </c>
      <c r="DB18" s="1486">
        <f t="shared" ca="1" si="43"/>
        <v>0</v>
      </c>
      <c r="DC18" s="1486">
        <f t="shared" ca="1" si="43"/>
        <v>0</v>
      </c>
      <c r="DD18" s="1486">
        <f t="shared" ca="1" si="43"/>
        <v>0</v>
      </c>
      <c r="DE18" s="1486">
        <f t="shared" ca="1" si="43"/>
        <v>0</v>
      </c>
      <c r="DF18" s="1486">
        <f t="shared" ca="1" si="43"/>
        <v>0</v>
      </c>
      <c r="DH18" s="838">
        <f t="shared" ca="1" si="35"/>
        <v>1.66019516318398</v>
      </c>
    </row>
    <row r="19" spans="1:112" s="743" customFormat="1" ht="15.75" collapsed="1">
      <c r="A19" s="22"/>
      <c r="B19" s="753"/>
      <c r="C19" s="744" t="s">
        <v>677</v>
      </c>
      <c r="D19" s="517" t="str">
        <f>INDEX(Workstreams[Workstream], MATCH($C19, Workstreams[Code], 0))</f>
        <v>Lighting and appliances</v>
      </c>
      <c r="E19" s="512"/>
      <c r="G19" s="1021">
        <f ca="1">G17+G18</f>
        <v>0</v>
      </c>
      <c r="H19" s="1021">
        <f t="shared" ref="H19:P19" ca="1" si="44">H17+H18</f>
        <v>176.36080205964583</v>
      </c>
      <c r="I19" s="1021">
        <f t="shared" ca="1" si="44"/>
        <v>0</v>
      </c>
      <c r="J19" s="1021">
        <f t="shared" ca="1" si="44"/>
        <v>0</v>
      </c>
      <c r="K19" s="1021">
        <f t="shared" ca="1" si="44"/>
        <v>0</v>
      </c>
      <c r="L19" s="1021">
        <f t="shared" ca="1" si="44"/>
        <v>0</v>
      </c>
      <c r="M19" s="1021">
        <f t="shared" ca="1" si="44"/>
        <v>0</v>
      </c>
      <c r="N19" s="1021">
        <f ca="1">N17+N18</f>
        <v>0</v>
      </c>
      <c r="O19" s="1021">
        <f ca="1">O17+O18</f>
        <v>0</v>
      </c>
      <c r="P19" s="1021">
        <f t="shared" ca="1" si="44"/>
        <v>0</v>
      </c>
      <c r="Q19" s="1021">
        <f ca="1">SUM(G19:P19)</f>
        <v>176.36080205964583</v>
      </c>
      <c r="S19" s="970">
        <f ca="1">S17+S18</f>
        <v>-159.35987931775611</v>
      </c>
      <c r="T19" s="970">
        <f t="shared" ref="T19:AJ19" ca="1" si="45">T17+T18</f>
        <v>0</v>
      </c>
      <c r="U19" s="970">
        <f t="shared" ca="1" si="45"/>
        <v>0</v>
      </c>
      <c r="V19" s="970">
        <f t="shared" ca="1" si="45"/>
        <v>0</v>
      </c>
      <c r="W19" s="970">
        <f t="shared" ca="1" si="45"/>
        <v>-17.000922741889745</v>
      </c>
      <c r="X19" s="970">
        <f ca="1">X17+X18</f>
        <v>0</v>
      </c>
      <c r="Y19" s="970">
        <f ca="1">Y17+Y18</f>
        <v>0</v>
      </c>
      <c r="Z19" s="970">
        <f ca="1">Z17+Z18</f>
        <v>0</v>
      </c>
      <c r="AA19" s="970">
        <f t="shared" ca="1" si="45"/>
        <v>0</v>
      </c>
      <c r="AB19" s="970">
        <f t="shared" ca="1" si="45"/>
        <v>0</v>
      </c>
      <c r="AC19" s="970">
        <f t="shared" ca="1" si="45"/>
        <v>0</v>
      </c>
      <c r="AD19" s="970">
        <f ca="1">AD17+AD18</f>
        <v>0</v>
      </c>
      <c r="AE19" s="970">
        <f ca="1">AE17+AE18</f>
        <v>0</v>
      </c>
      <c r="AF19" s="970">
        <f t="shared" ca="1" si="45"/>
        <v>0</v>
      </c>
      <c r="AG19" s="970">
        <f ca="1">AG17+AG18</f>
        <v>0</v>
      </c>
      <c r="AH19" s="970">
        <f ca="1">AH17+AH18</f>
        <v>0</v>
      </c>
      <c r="AI19" s="970">
        <f ca="1">AI17+AI18</f>
        <v>0</v>
      </c>
      <c r="AJ19" s="970">
        <f t="shared" ca="1" si="45"/>
        <v>0</v>
      </c>
      <c r="AK19" s="970">
        <f ca="1">SUM(S19:AJ19)</f>
        <v>-176.36080205964586</v>
      </c>
      <c r="AM19" s="976">
        <f t="shared" ref="AM19:AU19" ca="1" si="46">AM17+AM18</f>
        <v>0</v>
      </c>
      <c r="AN19" s="976">
        <f t="shared" ca="1" si="46"/>
        <v>0</v>
      </c>
      <c r="AO19" s="976">
        <f t="shared" ca="1" si="46"/>
        <v>0</v>
      </c>
      <c r="AP19" s="976">
        <f t="shared" ca="1" si="46"/>
        <v>0</v>
      </c>
      <c r="AQ19" s="976">
        <f t="shared" ca="1" si="46"/>
        <v>0</v>
      </c>
      <c r="AR19" s="976">
        <f t="shared" ca="1" si="46"/>
        <v>0</v>
      </c>
      <c r="AS19" s="976">
        <f t="shared" ca="1" si="46"/>
        <v>0</v>
      </c>
      <c r="AT19" s="976">
        <f t="shared" ca="1" si="46"/>
        <v>0</v>
      </c>
      <c r="AU19" s="976">
        <f t="shared" ca="1" si="46"/>
        <v>0</v>
      </c>
      <c r="AV19" s="976">
        <f t="shared" ref="AV19:BE19" ca="1" si="47">AV17+AV18</f>
        <v>0</v>
      </c>
      <c r="AW19" s="976">
        <f t="shared" ca="1" si="47"/>
        <v>0</v>
      </c>
      <c r="AX19" s="976">
        <f t="shared" ca="1" si="47"/>
        <v>0</v>
      </c>
      <c r="AY19" s="976">
        <f t="shared" ca="1" si="47"/>
        <v>0</v>
      </c>
      <c r="AZ19" s="976">
        <f t="shared" ca="1" si="47"/>
        <v>0</v>
      </c>
      <c r="BA19" s="976">
        <f t="shared" ca="1" si="47"/>
        <v>0</v>
      </c>
      <c r="BB19" s="976">
        <f t="shared" ca="1" si="47"/>
        <v>0</v>
      </c>
      <c r="BC19" s="976">
        <f t="shared" ca="1" si="47"/>
        <v>0</v>
      </c>
      <c r="BD19" s="976">
        <f ca="1">BD17+BD18</f>
        <v>0</v>
      </c>
      <c r="BE19" s="976">
        <f t="shared" ca="1" si="47"/>
        <v>0</v>
      </c>
      <c r="BF19" s="976">
        <f ca="1">SUM(AM19:BE19)</f>
        <v>0</v>
      </c>
      <c r="BH19" s="990">
        <f ca="1">BH17+BH18</f>
        <v>0</v>
      </c>
      <c r="BI19" s="990">
        <f ca="1">BI17+BI18</f>
        <v>0</v>
      </c>
      <c r="BJ19" s="990">
        <f ca="1">SUM(BH19:BI19)</f>
        <v>0</v>
      </c>
      <c r="BL19" s="515">
        <f t="shared" ca="1" si="9"/>
        <v>-2.8421709430404007E-14</v>
      </c>
      <c r="BM19" s="515"/>
      <c r="BN19" s="840"/>
      <c r="BO19" s="1482">
        <f t="shared" ref="BO19:DF19" ca="1" si="48">BO17+BO18</f>
        <v>3.1281697845077128</v>
      </c>
      <c r="BP19" s="1482">
        <f t="shared" ca="1" si="48"/>
        <v>6.2703716262586789E-3</v>
      </c>
      <c r="BQ19" s="1482">
        <f t="shared" ca="1" si="48"/>
        <v>6.7440895277654286E-3</v>
      </c>
      <c r="BR19" s="1482">
        <f t="shared" ca="1" si="48"/>
        <v>0</v>
      </c>
      <c r="BS19" s="1482">
        <f t="shared" ca="1" si="48"/>
        <v>0</v>
      </c>
      <c r="BT19" s="1482">
        <f t="shared" ca="1" si="48"/>
        <v>0</v>
      </c>
      <c r="BU19" s="1482">
        <f t="shared" ca="1" si="48"/>
        <v>0</v>
      </c>
      <c r="BV19" s="1482">
        <f t="shared" ca="1" si="48"/>
        <v>0</v>
      </c>
      <c r="BW19" s="1482">
        <f t="shared" ca="1" si="48"/>
        <v>0</v>
      </c>
      <c r="BX19" s="1482">
        <f t="shared" ca="1" si="48"/>
        <v>0</v>
      </c>
      <c r="BY19" s="1482">
        <f t="shared" ca="1" si="48"/>
        <v>0</v>
      </c>
      <c r="BZ19" s="1482">
        <f t="shared" ca="1" si="48"/>
        <v>0</v>
      </c>
      <c r="CA19" s="1482">
        <f t="shared" ca="1" si="48"/>
        <v>0</v>
      </c>
      <c r="CB19" s="1482">
        <f t="shared" ca="1" si="48"/>
        <v>0</v>
      </c>
      <c r="CC19" s="1482">
        <f t="shared" ca="1" si="48"/>
        <v>0</v>
      </c>
      <c r="CD19" s="1482">
        <f t="shared" ca="1" si="48"/>
        <v>0</v>
      </c>
      <c r="CE19" s="1482">
        <f t="shared" ca="1" si="48"/>
        <v>0</v>
      </c>
      <c r="CF19" s="1482">
        <f t="shared" ca="1" si="48"/>
        <v>0</v>
      </c>
      <c r="CG19" s="1482">
        <f t="shared" ca="1" si="48"/>
        <v>0</v>
      </c>
      <c r="CH19" s="1482">
        <f t="shared" ca="1" si="48"/>
        <v>0</v>
      </c>
      <c r="CI19" s="1482">
        <f t="shared" ca="1" si="48"/>
        <v>0</v>
      </c>
      <c r="CJ19" s="1482">
        <f t="shared" ca="1" si="48"/>
        <v>0</v>
      </c>
      <c r="CK19" s="1482">
        <f t="shared" ca="1" si="48"/>
        <v>0</v>
      </c>
      <c r="CL19" s="1482">
        <f t="shared" ca="1" si="48"/>
        <v>0</v>
      </c>
      <c r="CM19" s="1482">
        <f t="shared" ca="1" si="48"/>
        <v>0</v>
      </c>
      <c r="CN19" s="1482">
        <f t="shared" ca="1" si="48"/>
        <v>0</v>
      </c>
      <c r="CO19" s="1482">
        <f t="shared" ca="1" si="48"/>
        <v>0</v>
      </c>
      <c r="CP19" s="1482">
        <f t="shared" ca="1" si="48"/>
        <v>0</v>
      </c>
      <c r="CQ19" s="1482">
        <f t="shared" ca="1" si="48"/>
        <v>0</v>
      </c>
      <c r="CR19" s="1482">
        <f t="shared" ca="1" si="48"/>
        <v>0</v>
      </c>
      <c r="CS19" s="1482">
        <f t="shared" ca="1" si="48"/>
        <v>0</v>
      </c>
      <c r="CT19" s="1482">
        <f t="shared" ca="1" si="48"/>
        <v>0</v>
      </c>
      <c r="CU19" s="1482">
        <f t="shared" ca="1" si="48"/>
        <v>0</v>
      </c>
      <c r="CV19" s="1482">
        <f t="shared" ca="1" si="48"/>
        <v>0</v>
      </c>
      <c r="CW19" s="1482">
        <f t="shared" ca="1" si="48"/>
        <v>0</v>
      </c>
      <c r="CX19" s="1482">
        <f t="shared" ca="1" si="48"/>
        <v>0</v>
      </c>
      <c r="CY19" s="1482">
        <f t="shared" ca="1" si="48"/>
        <v>0</v>
      </c>
      <c r="CZ19" s="1482">
        <f t="shared" ca="1" si="48"/>
        <v>0</v>
      </c>
      <c r="DA19" s="1482">
        <f t="shared" ca="1" si="48"/>
        <v>0</v>
      </c>
      <c r="DB19" s="1482">
        <f t="shared" ca="1" si="48"/>
        <v>0</v>
      </c>
      <c r="DC19" s="1482">
        <f t="shared" ca="1" si="48"/>
        <v>0</v>
      </c>
      <c r="DD19" s="1482">
        <f t="shared" ca="1" si="48"/>
        <v>0</v>
      </c>
      <c r="DE19" s="1482">
        <f t="shared" ca="1" si="48"/>
        <v>0</v>
      </c>
      <c r="DF19" s="1482">
        <f t="shared" ca="1" si="48"/>
        <v>0</v>
      </c>
      <c r="DH19" s="838">
        <f t="shared" ca="1" si="35"/>
        <v>3.1411842456617372</v>
      </c>
    </row>
    <row r="20" spans="1:112" s="743" customFormat="1" ht="12.75" hidden="1" customHeight="1" outlineLevel="1">
      <c r="A20" s="1484"/>
      <c r="B20" s="1484"/>
      <c r="C20" s="746"/>
      <c r="D20" s="521"/>
      <c r="E20" s="521"/>
      <c r="G20" s="1019"/>
      <c r="H20" s="1019"/>
      <c r="I20" s="1019"/>
      <c r="J20" s="1019"/>
      <c r="K20" s="1019"/>
      <c r="L20" s="1019"/>
      <c r="M20" s="1019"/>
      <c r="N20" s="1019"/>
      <c r="O20" s="1019"/>
      <c r="P20" s="1019"/>
      <c r="Q20" s="1019"/>
      <c r="S20" s="1027"/>
      <c r="T20" s="1027"/>
      <c r="U20" s="1027"/>
      <c r="V20" s="1027"/>
      <c r="W20" s="1027"/>
      <c r="X20" s="1027"/>
      <c r="Y20" s="1027"/>
      <c r="Z20" s="1027"/>
      <c r="AA20" s="1027"/>
      <c r="AB20" s="1027"/>
      <c r="AC20" s="1027"/>
      <c r="AD20" s="1027"/>
      <c r="AE20" s="1027"/>
      <c r="AF20" s="1027"/>
      <c r="AG20" s="1027"/>
      <c r="AH20" s="1027"/>
      <c r="AI20" s="1027"/>
      <c r="AJ20" s="1027"/>
      <c r="AK20" s="1027"/>
      <c r="AM20" s="1040"/>
      <c r="AN20" s="1040"/>
      <c r="AO20" s="1040"/>
      <c r="AP20" s="1040"/>
      <c r="AQ20" s="1040"/>
      <c r="AR20" s="1040"/>
      <c r="AS20" s="1040"/>
      <c r="AT20" s="1040"/>
      <c r="AU20" s="1040"/>
      <c r="AV20" s="1040"/>
      <c r="AW20" s="1040"/>
      <c r="AX20" s="1040"/>
      <c r="AY20" s="1040"/>
      <c r="AZ20" s="1040"/>
      <c r="BA20" s="1040"/>
      <c r="BB20" s="1040"/>
      <c r="BC20" s="1040"/>
      <c r="BD20" s="1040"/>
      <c r="BE20" s="1040"/>
      <c r="BF20" s="979"/>
      <c r="BH20" s="1034"/>
      <c r="BI20" s="1034"/>
      <c r="BJ20" s="1034"/>
      <c r="BL20" s="814">
        <f t="shared" si="9"/>
        <v>0</v>
      </c>
      <c r="BM20" s="814"/>
      <c r="BN20" s="1484"/>
      <c r="BO20" s="1481"/>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H20" s="838">
        <f t="shared" si="35"/>
        <v>0</v>
      </c>
    </row>
    <row r="21" spans="1:112" s="743" customFormat="1" ht="12.75" hidden="1" customHeight="1" outlineLevel="1">
      <c r="A21" s="1484"/>
      <c r="B21" s="1484"/>
      <c r="C21" s="746" t="s">
        <v>900</v>
      </c>
      <c r="D21" s="1010" t="str">
        <f>INDEX(Modules[Module], MATCH($C21, Modules[Code], 0))</f>
        <v>Industrial processes</v>
      </c>
      <c r="E21" s="1010"/>
      <c r="G21" s="1022">
        <f t="shared" ref="G21:P21" ca="1" si="49">IFERROR(INDEX(INDIRECT($C21&amp;".Outputs["&amp;this.Year&amp;"]"), MATCH(G$5, INDIRECT($C21&amp;".Outputs[Vector]"), 0)), 0)</f>
        <v>0</v>
      </c>
      <c r="H21" s="1022">
        <f t="shared" ca="1" si="49"/>
        <v>0</v>
      </c>
      <c r="I21" s="1022">
        <f t="shared" ca="1" si="49"/>
        <v>408.60866455868427</v>
      </c>
      <c r="J21" s="1022">
        <f t="shared" ca="1" si="49"/>
        <v>0</v>
      </c>
      <c r="K21" s="1022">
        <f t="shared" ca="1" si="49"/>
        <v>0</v>
      </c>
      <c r="L21" s="1022">
        <f t="shared" ca="1" si="49"/>
        <v>0</v>
      </c>
      <c r="M21" s="1022">
        <f t="shared" ca="1" si="49"/>
        <v>0</v>
      </c>
      <c r="N21" s="1022">
        <f t="shared" ca="1" si="49"/>
        <v>0</v>
      </c>
      <c r="O21" s="1022">
        <f t="shared" ca="1" si="49"/>
        <v>0</v>
      </c>
      <c r="P21" s="1022">
        <f t="shared" ca="1" si="49"/>
        <v>0</v>
      </c>
      <c r="Q21" s="1020">
        <f ca="1">SUM(G21:P21)</f>
        <v>408.60866455868427</v>
      </c>
      <c r="S21" s="1031">
        <f t="shared" ref="S21:BE21" ca="1" si="50">IFERROR(INDEX(INDIRECT($C21&amp;".Outputs["&amp;this.Year&amp;"]"), MATCH(S$5, INDIRECT($C21&amp;".Outputs[Vector]"), 0)), 0)</f>
        <v>-114.37233546157294</v>
      </c>
      <c r="T21" s="1031">
        <f t="shared" ca="1" si="50"/>
        <v>0</v>
      </c>
      <c r="U21" s="1031">
        <f t="shared" ca="1" si="50"/>
        <v>-54.553269110073614</v>
      </c>
      <c r="V21" s="1031">
        <f t="shared" ca="1" si="50"/>
        <v>-81.623034879123125</v>
      </c>
      <c r="W21" s="1031">
        <f t="shared" ca="1" si="50"/>
        <v>-150.05297390894643</v>
      </c>
      <c r="X21" s="1031">
        <f ca="1">IFERROR(INDEX(INDIRECT($C21&amp;".Outputs["&amp;this.Year&amp;"]"), MATCH(X$5, INDIRECT($C21&amp;".Outputs[Vector]"), 0)), 0)</f>
        <v>0</v>
      </c>
      <c r="Y21" s="1031">
        <f ca="1">IFERROR(INDEX(INDIRECT($C21&amp;".Outputs["&amp;this.Year&amp;"]"), MATCH(Y$5, INDIRECT($C21&amp;".Outputs[Vector]"), 0)), 0)</f>
        <v>0</v>
      </c>
      <c r="Z21" s="1031">
        <f ca="1">IFERROR(INDEX(INDIRECT($C21&amp;".Outputs["&amp;this.Year&amp;"]"), MATCH(Z$5, INDIRECT($C21&amp;".Outputs[Vector]"), 0)), 0)</f>
        <v>0</v>
      </c>
      <c r="AA21" s="1031">
        <f t="shared" ca="1" si="50"/>
        <v>0</v>
      </c>
      <c r="AB21" s="1031">
        <f t="shared" ca="1" si="50"/>
        <v>-8.007051198968183</v>
      </c>
      <c r="AC21" s="1031">
        <f t="shared" ca="1" si="50"/>
        <v>0</v>
      </c>
      <c r="AD21" s="1031">
        <f t="shared" ca="1" si="50"/>
        <v>0</v>
      </c>
      <c r="AE21" s="1031">
        <f t="shared" ca="1" si="50"/>
        <v>0</v>
      </c>
      <c r="AF21" s="1031">
        <f t="shared" ca="1" si="50"/>
        <v>0</v>
      </c>
      <c r="AG21" s="1031">
        <f t="shared" ca="1" si="50"/>
        <v>0</v>
      </c>
      <c r="AH21" s="1031">
        <f t="shared" ca="1" si="50"/>
        <v>0</v>
      </c>
      <c r="AI21" s="1031">
        <f t="shared" ca="1" si="50"/>
        <v>0</v>
      </c>
      <c r="AJ21" s="1031">
        <f t="shared" ca="1" si="50"/>
        <v>0</v>
      </c>
      <c r="AK21" s="1030">
        <f ca="1">SUM(S21:AJ21)</f>
        <v>-408.60866455868427</v>
      </c>
      <c r="AM21" s="1042">
        <f t="shared" ref="AM21:AU21" ca="1" si="51">IFERROR(INDEX(INDIRECT($C21&amp;".Outputs["&amp;this.Year&amp;"]"), MATCH(AM$5, INDIRECT($C21&amp;".Outputs[Vector]"), 0)), 0)</f>
        <v>0</v>
      </c>
      <c r="AN21" s="1042">
        <f t="shared" ca="1" si="51"/>
        <v>0</v>
      </c>
      <c r="AO21" s="1042">
        <f t="shared" ca="1" si="51"/>
        <v>0</v>
      </c>
      <c r="AP21" s="1042">
        <f t="shared" ca="1" si="51"/>
        <v>0</v>
      </c>
      <c r="AQ21" s="1042">
        <f t="shared" ca="1" si="51"/>
        <v>0</v>
      </c>
      <c r="AR21" s="1042">
        <f t="shared" ca="1" si="51"/>
        <v>0</v>
      </c>
      <c r="AS21" s="1042">
        <f t="shared" ca="1" si="51"/>
        <v>0</v>
      </c>
      <c r="AT21" s="1042">
        <f t="shared" ca="1" si="51"/>
        <v>0</v>
      </c>
      <c r="AU21" s="1042">
        <f t="shared" ca="1" si="51"/>
        <v>0</v>
      </c>
      <c r="AV21" s="1042">
        <f t="shared" ca="1" si="50"/>
        <v>0</v>
      </c>
      <c r="AW21" s="1042">
        <f t="shared" ca="1" si="50"/>
        <v>0</v>
      </c>
      <c r="AX21" s="1042">
        <f t="shared" ca="1" si="50"/>
        <v>0</v>
      </c>
      <c r="AY21" s="1042">
        <f t="shared" ca="1" si="50"/>
        <v>0</v>
      </c>
      <c r="AZ21" s="1042">
        <f t="shared" ca="1" si="50"/>
        <v>0</v>
      </c>
      <c r="BA21" s="1042">
        <f t="shared" ca="1" si="50"/>
        <v>0</v>
      </c>
      <c r="BB21" s="1042">
        <f t="shared" ca="1" si="50"/>
        <v>0</v>
      </c>
      <c r="BC21" s="1042">
        <f t="shared" ca="1" si="50"/>
        <v>0</v>
      </c>
      <c r="BD21" s="1042">
        <f t="shared" ca="1" si="50"/>
        <v>0</v>
      </c>
      <c r="BE21" s="1042">
        <f t="shared" ca="1" si="50"/>
        <v>0</v>
      </c>
      <c r="BF21" s="1012">
        <f ca="1">SUM(AM21:BE21)</f>
        <v>0</v>
      </c>
      <c r="BH21" s="1036">
        <f ca="1">IFERROR(INDEX(INDIRECT($C21&amp;".Outputs["&amp;this.Year&amp;"]"), MATCH(BH$5, INDIRECT($C21&amp;".Outputs[Vector]"), 0)), 0)</f>
        <v>0</v>
      </c>
      <c r="BI21" s="1036">
        <f ca="1">IFERROR(INDEX(INDIRECT($C21&amp;".Outputs["&amp;this.Year&amp;"]"), MATCH(BI$5, INDIRECT($C21&amp;".Outputs[Vector]"), 0)), 0)</f>
        <v>0</v>
      </c>
      <c r="BJ21" s="1035">
        <f ca="1">SUM(BH21:BI21)</f>
        <v>0</v>
      </c>
      <c r="BL21" s="814">
        <f t="shared" ca="1" si="9"/>
        <v>0</v>
      </c>
      <c r="BM21" s="814"/>
      <c r="BN21" s="840"/>
      <c r="BO21" s="1485">
        <f t="shared" ref="BO21:DF21" ca="1" si="52">IFERROR(SUMIFS(INDIRECT($C21&amp;".Emissions["&amp;this.Year&amp;"]"), INDIRECT($C21&amp;".Emissions[GHG]"), BO$6, INDIRECT($C21&amp;".Emissions[IPCC Sector]"), BO$5),0)</f>
        <v>64.817912804929591</v>
      </c>
      <c r="BP21" s="1486">
        <f t="shared" ca="1" si="52"/>
        <v>0.13010783216178268</v>
      </c>
      <c r="BQ21" s="1486">
        <f t="shared" ca="1" si="52"/>
        <v>0.57551021650787848</v>
      </c>
      <c r="BR21" s="1486">
        <f t="shared" ca="1" si="52"/>
        <v>0</v>
      </c>
      <c r="BS21" s="1486">
        <f t="shared" ca="1" si="52"/>
        <v>0</v>
      </c>
      <c r="BT21" s="1486">
        <f t="shared" ca="1" si="52"/>
        <v>0</v>
      </c>
      <c r="BU21" s="1486">
        <f t="shared" ca="1" si="52"/>
        <v>0</v>
      </c>
      <c r="BV21" s="1486">
        <f t="shared" ca="1" si="52"/>
        <v>0</v>
      </c>
      <c r="BW21" s="1486">
        <f t="shared" ca="1" si="52"/>
        <v>14.39565925511863</v>
      </c>
      <c r="BX21" s="1486">
        <f t="shared" ca="1" si="52"/>
        <v>0.11288744235152412</v>
      </c>
      <c r="BY21" s="1486">
        <f t="shared" ca="1" si="52"/>
        <v>2.7624692105907238</v>
      </c>
      <c r="BZ21" s="1486">
        <f t="shared" ca="1" si="52"/>
        <v>10.620296151887526</v>
      </c>
      <c r="CA21" s="1486">
        <f t="shared" ca="1" si="52"/>
        <v>0</v>
      </c>
      <c r="CB21" s="1486">
        <f t="shared" ca="1" si="52"/>
        <v>0</v>
      </c>
      <c r="CC21" s="1486">
        <f t="shared" ca="1" si="52"/>
        <v>0</v>
      </c>
      <c r="CD21" s="1486">
        <f t="shared" ca="1" si="52"/>
        <v>0</v>
      </c>
      <c r="CE21" s="1486">
        <f t="shared" ca="1" si="52"/>
        <v>0</v>
      </c>
      <c r="CF21" s="1486">
        <f t="shared" ca="1" si="52"/>
        <v>0</v>
      </c>
      <c r="CG21" s="1486">
        <f t="shared" ca="1" si="52"/>
        <v>0</v>
      </c>
      <c r="CH21" s="1486">
        <f t="shared" ca="1" si="52"/>
        <v>0</v>
      </c>
      <c r="CI21" s="1486">
        <f t="shared" ca="1" si="52"/>
        <v>0</v>
      </c>
      <c r="CJ21" s="1486">
        <f t="shared" ca="1" si="52"/>
        <v>0</v>
      </c>
      <c r="CK21" s="1486">
        <f t="shared" ca="1" si="52"/>
        <v>0</v>
      </c>
      <c r="CL21" s="1486">
        <f t="shared" ca="1" si="52"/>
        <v>0</v>
      </c>
      <c r="CM21" s="1486">
        <f t="shared" ca="1" si="52"/>
        <v>0</v>
      </c>
      <c r="CN21" s="1486">
        <f t="shared" ca="1" si="52"/>
        <v>0</v>
      </c>
      <c r="CO21" s="1486">
        <f t="shared" ca="1" si="52"/>
        <v>0</v>
      </c>
      <c r="CP21" s="1486">
        <f t="shared" ca="1" si="52"/>
        <v>0</v>
      </c>
      <c r="CQ21" s="1486">
        <f t="shared" ca="1" si="52"/>
        <v>0</v>
      </c>
      <c r="CR21" s="1486">
        <f t="shared" ca="1" si="52"/>
        <v>0</v>
      </c>
      <c r="CS21" s="1486">
        <f t="shared" ca="1" si="52"/>
        <v>0</v>
      </c>
      <c r="CT21" s="1486">
        <f t="shared" ca="1" si="52"/>
        <v>0</v>
      </c>
      <c r="CU21" s="1486">
        <f t="shared" ca="1" si="52"/>
        <v>0</v>
      </c>
      <c r="CV21" s="1486">
        <f t="shared" ca="1" si="52"/>
        <v>0</v>
      </c>
      <c r="CW21" s="1486">
        <f t="shared" ca="1" si="52"/>
        <v>0</v>
      </c>
      <c r="CX21" s="1486">
        <f t="shared" ca="1" si="52"/>
        <v>0</v>
      </c>
      <c r="CY21" s="1486">
        <f t="shared" ca="1" si="52"/>
        <v>0</v>
      </c>
      <c r="CZ21" s="1486">
        <f t="shared" ca="1" si="52"/>
        <v>0</v>
      </c>
      <c r="DA21" s="1486">
        <f t="shared" ca="1" si="52"/>
        <v>0</v>
      </c>
      <c r="DB21" s="1486">
        <f t="shared" ca="1" si="52"/>
        <v>0</v>
      </c>
      <c r="DC21" s="1486">
        <f t="shared" ca="1" si="52"/>
        <v>0</v>
      </c>
      <c r="DD21" s="1486">
        <f t="shared" ca="1" si="52"/>
        <v>0</v>
      </c>
      <c r="DE21" s="1486">
        <f t="shared" ca="1" si="52"/>
        <v>0</v>
      </c>
      <c r="DF21" s="1486">
        <f t="shared" ca="1" si="52"/>
        <v>0</v>
      </c>
      <c r="DH21" s="838">
        <f t="shared" ca="1" si="35"/>
        <v>93.414842913547659</v>
      </c>
    </row>
    <row r="22" spans="1:112" s="743" customFormat="1" ht="15.75" collapsed="1">
      <c r="A22" s="22"/>
      <c r="B22" s="753"/>
      <c r="C22" s="744" t="s">
        <v>678</v>
      </c>
      <c r="D22" s="517" t="str">
        <f>INDEX(Workstreams[Workstream], MATCH($C22, Workstreams[Code], 0))</f>
        <v>Industry</v>
      </c>
      <c r="E22" s="512"/>
      <c r="G22" s="1021">
        <f ca="1">G21</f>
        <v>0</v>
      </c>
      <c r="H22" s="1021">
        <f t="shared" ref="H22:P22" ca="1" si="53">H21</f>
        <v>0</v>
      </c>
      <c r="I22" s="1021">
        <f t="shared" ca="1" si="53"/>
        <v>408.60866455868427</v>
      </c>
      <c r="J22" s="1021">
        <f t="shared" ca="1" si="53"/>
        <v>0</v>
      </c>
      <c r="K22" s="1021">
        <f t="shared" ca="1" si="53"/>
        <v>0</v>
      </c>
      <c r="L22" s="1021">
        <f t="shared" ca="1" si="53"/>
        <v>0</v>
      </c>
      <c r="M22" s="1021">
        <f t="shared" ca="1" si="53"/>
        <v>0</v>
      </c>
      <c r="N22" s="1021">
        <f t="shared" ca="1" si="53"/>
        <v>0</v>
      </c>
      <c r="O22" s="1021">
        <f t="shared" ca="1" si="53"/>
        <v>0</v>
      </c>
      <c r="P22" s="1021">
        <f t="shared" ca="1" si="53"/>
        <v>0</v>
      </c>
      <c r="Q22" s="1021">
        <f ca="1">SUM(G22:P22)</f>
        <v>408.60866455868427</v>
      </c>
      <c r="S22" s="970">
        <f t="shared" ref="S22:AJ22" ca="1" si="54">S21</f>
        <v>-114.37233546157294</v>
      </c>
      <c r="T22" s="970">
        <f t="shared" ca="1" si="54"/>
        <v>0</v>
      </c>
      <c r="U22" s="970">
        <f t="shared" ca="1" si="54"/>
        <v>-54.553269110073614</v>
      </c>
      <c r="V22" s="970">
        <f t="shared" ca="1" si="54"/>
        <v>-81.623034879123125</v>
      </c>
      <c r="W22" s="970">
        <f t="shared" ca="1" si="54"/>
        <v>-150.05297390894643</v>
      </c>
      <c r="X22" s="970">
        <f t="shared" ca="1" si="54"/>
        <v>0</v>
      </c>
      <c r="Y22" s="970">
        <f t="shared" ca="1" si="54"/>
        <v>0</v>
      </c>
      <c r="Z22" s="970">
        <f t="shared" ca="1" si="54"/>
        <v>0</v>
      </c>
      <c r="AA22" s="970">
        <f t="shared" ca="1" si="54"/>
        <v>0</v>
      </c>
      <c r="AB22" s="970">
        <f t="shared" ca="1" si="54"/>
        <v>-8.007051198968183</v>
      </c>
      <c r="AC22" s="970">
        <f t="shared" ca="1" si="54"/>
        <v>0</v>
      </c>
      <c r="AD22" s="970">
        <f t="shared" ca="1" si="54"/>
        <v>0</v>
      </c>
      <c r="AE22" s="970">
        <f ca="1">AE21</f>
        <v>0</v>
      </c>
      <c r="AF22" s="970">
        <f t="shared" ca="1" si="54"/>
        <v>0</v>
      </c>
      <c r="AG22" s="970">
        <f t="shared" ca="1" si="54"/>
        <v>0</v>
      </c>
      <c r="AH22" s="970">
        <f ca="1">AH21</f>
        <v>0</v>
      </c>
      <c r="AI22" s="970">
        <f t="shared" ca="1" si="54"/>
        <v>0</v>
      </c>
      <c r="AJ22" s="970">
        <f t="shared" ca="1" si="54"/>
        <v>0</v>
      </c>
      <c r="AK22" s="970">
        <f ca="1">SUM(S22:AJ22)</f>
        <v>-408.60866455868427</v>
      </c>
      <c r="AM22" s="976">
        <f t="shared" ref="AM22:AU22" ca="1" si="55">AM21</f>
        <v>0</v>
      </c>
      <c r="AN22" s="976">
        <f t="shared" ca="1" si="55"/>
        <v>0</v>
      </c>
      <c r="AO22" s="976">
        <f t="shared" ca="1" si="55"/>
        <v>0</v>
      </c>
      <c r="AP22" s="976">
        <f t="shared" ca="1" si="55"/>
        <v>0</v>
      </c>
      <c r="AQ22" s="976">
        <f t="shared" ca="1" si="55"/>
        <v>0</v>
      </c>
      <c r="AR22" s="976">
        <f t="shared" ca="1" si="55"/>
        <v>0</v>
      </c>
      <c r="AS22" s="976">
        <f t="shared" ca="1" si="55"/>
        <v>0</v>
      </c>
      <c r="AT22" s="976">
        <f t="shared" ca="1" si="55"/>
        <v>0</v>
      </c>
      <c r="AU22" s="976">
        <f t="shared" ca="1" si="55"/>
        <v>0</v>
      </c>
      <c r="AV22" s="976">
        <f t="shared" ref="AV22:BE22" ca="1" si="56">AV21</f>
        <v>0</v>
      </c>
      <c r="AW22" s="976">
        <f t="shared" ca="1" si="56"/>
        <v>0</v>
      </c>
      <c r="AX22" s="976">
        <f t="shared" ca="1" si="56"/>
        <v>0</v>
      </c>
      <c r="AY22" s="976">
        <f t="shared" ca="1" si="56"/>
        <v>0</v>
      </c>
      <c r="AZ22" s="976">
        <f t="shared" ca="1" si="56"/>
        <v>0</v>
      </c>
      <c r="BA22" s="976">
        <f t="shared" ca="1" si="56"/>
        <v>0</v>
      </c>
      <c r="BB22" s="976">
        <f t="shared" ca="1" si="56"/>
        <v>0</v>
      </c>
      <c r="BC22" s="976">
        <f t="shared" ca="1" si="56"/>
        <v>0</v>
      </c>
      <c r="BD22" s="976">
        <f ca="1">BD21</f>
        <v>0</v>
      </c>
      <c r="BE22" s="976">
        <f t="shared" ca="1" si="56"/>
        <v>0</v>
      </c>
      <c r="BF22" s="976">
        <f ca="1">SUM(AM22:BE22)</f>
        <v>0</v>
      </c>
      <c r="BH22" s="990">
        <f ca="1">BH21</f>
        <v>0</v>
      </c>
      <c r="BI22" s="990">
        <f ca="1">BI21</f>
        <v>0</v>
      </c>
      <c r="BJ22" s="990">
        <f ca="1">SUM(BH22:BI22)</f>
        <v>0</v>
      </c>
      <c r="BL22" s="515">
        <f t="shared" ca="1" si="9"/>
        <v>0</v>
      </c>
      <c r="BM22" s="515"/>
      <c r="BN22" s="840"/>
      <c r="BO22" s="1482">
        <f t="shared" ref="BO22:DF22" ca="1" si="57">BO21</f>
        <v>64.817912804929591</v>
      </c>
      <c r="BP22" s="1482">
        <f t="shared" ca="1" si="57"/>
        <v>0.13010783216178268</v>
      </c>
      <c r="BQ22" s="1482">
        <f t="shared" ca="1" si="57"/>
        <v>0.57551021650787848</v>
      </c>
      <c r="BR22" s="1482">
        <f t="shared" ca="1" si="57"/>
        <v>0</v>
      </c>
      <c r="BS22" s="1482">
        <f t="shared" ca="1" si="57"/>
        <v>0</v>
      </c>
      <c r="BT22" s="1482">
        <f t="shared" ca="1" si="57"/>
        <v>0</v>
      </c>
      <c r="BU22" s="1482">
        <f t="shared" ca="1" si="57"/>
        <v>0</v>
      </c>
      <c r="BV22" s="1482">
        <f t="shared" ca="1" si="57"/>
        <v>0</v>
      </c>
      <c r="BW22" s="1482">
        <f t="shared" ca="1" si="57"/>
        <v>14.39565925511863</v>
      </c>
      <c r="BX22" s="1482">
        <f t="shared" ca="1" si="57"/>
        <v>0.11288744235152412</v>
      </c>
      <c r="BY22" s="1482">
        <f t="shared" ca="1" si="57"/>
        <v>2.7624692105907238</v>
      </c>
      <c r="BZ22" s="1482">
        <f t="shared" ca="1" si="57"/>
        <v>10.620296151887526</v>
      </c>
      <c r="CA22" s="1482">
        <f t="shared" ca="1" si="57"/>
        <v>0</v>
      </c>
      <c r="CB22" s="1482">
        <f t="shared" ca="1" si="57"/>
        <v>0</v>
      </c>
      <c r="CC22" s="1482">
        <f t="shared" ca="1" si="57"/>
        <v>0</v>
      </c>
      <c r="CD22" s="1482">
        <f t="shared" ca="1" si="57"/>
        <v>0</v>
      </c>
      <c r="CE22" s="1482">
        <f t="shared" ca="1" si="57"/>
        <v>0</v>
      </c>
      <c r="CF22" s="1482">
        <f t="shared" ca="1" si="57"/>
        <v>0</v>
      </c>
      <c r="CG22" s="1482">
        <f t="shared" ca="1" si="57"/>
        <v>0</v>
      </c>
      <c r="CH22" s="1482">
        <f t="shared" ca="1" si="57"/>
        <v>0</v>
      </c>
      <c r="CI22" s="1482">
        <f t="shared" ca="1" si="57"/>
        <v>0</v>
      </c>
      <c r="CJ22" s="1482">
        <f t="shared" ca="1" si="57"/>
        <v>0</v>
      </c>
      <c r="CK22" s="1482">
        <f t="shared" ca="1" si="57"/>
        <v>0</v>
      </c>
      <c r="CL22" s="1482">
        <f t="shared" ca="1" si="57"/>
        <v>0</v>
      </c>
      <c r="CM22" s="1482">
        <f t="shared" ca="1" si="57"/>
        <v>0</v>
      </c>
      <c r="CN22" s="1482">
        <f t="shared" ca="1" si="57"/>
        <v>0</v>
      </c>
      <c r="CO22" s="1482">
        <f t="shared" ca="1" si="57"/>
        <v>0</v>
      </c>
      <c r="CP22" s="1482">
        <f t="shared" ca="1" si="57"/>
        <v>0</v>
      </c>
      <c r="CQ22" s="1482">
        <f t="shared" ca="1" si="57"/>
        <v>0</v>
      </c>
      <c r="CR22" s="1482">
        <f t="shared" ca="1" si="57"/>
        <v>0</v>
      </c>
      <c r="CS22" s="1482">
        <f t="shared" ca="1" si="57"/>
        <v>0</v>
      </c>
      <c r="CT22" s="1482">
        <f t="shared" ca="1" si="57"/>
        <v>0</v>
      </c>
      <c r="CU22" s="1482">
        <f t="shared" ca="1" si="57"/>
        <v>0</v>
      </c>
      <c r="CV22" s="1482">
        <f t="shared" ca="1" si="57"/>
        <v>0</v>
      </c>
      <c r="CW22" s="1482">
        <f t="shared" ca="1" si="57"/>
        <v>0</v>
      </c>
      <c r="CX22" s="1482">
        <f t="shared" ca="1" si="57"/>
        <v>0</v>
      </c>
      <c r="CY22" s="1482">
        <f t="shared" ca="1" si="57"/>
        <v>0</v>
      </c>
      <c r="CZ22" s="1482">
        <f t="shared" ca="1" si="57"/>
        <v>0</v>
      </c>
      <c r="DA22" s="1482">
        <f t="shared" ca="1" si="57"/>
        <v>0</v>
      </c>
      <c r="DB22" s="1482">
        <f t="shared" ca="1" si="57"/>
        <v>0</v>
      </c>
      <c r="DC22" s="1482">
        <f t="shared" ca="1" si="57"/>
        <v>0</v>
      </c>
      <c r="DD22" s="1482">
        <f t="shared" ca="1" si="57"/>
        <v>0</v>
      </c>
      <c r="DE22" s="1482">
        <f t="shared" ca="1" si="57"/>
        <v>0</v>
      </c>
      <c r="DF22" s="1482">
        <f t="shared" ca="1" si="57"/>
        <v>0</v>
      </c>
      <c r="DH22" s="838">
        <f t="shared" ca="1" si="35"/>
        <v>93.414842913547659</v>
      </c>
    </row>
    <row r="23" spans="1:112" s="743" customFormat="1" ht="12.75" hidden="1" customHeight="1" outlineLevel="1">
      <c r="A23" s="22"/>
      <c r="B23" s="22"/>
      <c r="C23" s="751"/>
      <c r="D23" s="512"/>
      <c r="E23" s="512"/>
      <c r="G23" s="1021"/>
      <c r="H23" s="1021"/>
      <c r="I23" s="1021"/>
      <c r="J23" s="1021"/>
      <c r="K23" s="1021"/>
      <c r="L23" s="1021"/>
      <c r="M23" s="1021"/>
      <c r="N23" s="1021"/>
      <c r="O23" s="1021"/>
      <c r="P23" s="1021"/>
      <c r="Q23" s="1021"/>
      <c r="S23" s="970"/>
      <c r="T23" s="970"/>
      <c r="U23" s="970"/>
      <c r="V23" s="970"/>
      <c r="W23" s="970"/>
      <c r="X23" s="970"/>
      <c r="Y23" s="970"/>
      <c r="Z23" s="970"/>
      <c r="AA23" s="970"/>
      <c r="AB23" s="970"/>
      <c r="AC23" s="970"/>
      <c r="AD23" s="970"/>
      <c r="AE23" s="970"/>
      <c r="AF23" s="970"/>
      <c r="AG23" s="970"/>
      <c r="AH23" s="970"/>
      <c r="AI23" s="970"/>
      <c r="AJ23" s="970"/>
      <c r="AK23" s="970"/>
      <c r="AM23" s="976"/>
      <c r="AN23" s="976"/>
      <c r="AO23" s="976"/>
      <c r="AP23" s="976"/>
      <c r="AQ23" s="976"/>
      <c r="AR23" s="976"/>
      <c r="AS23" s="976"/>
      <c r="AT23" s="976"/>
      <c r="AU23" s="976"/>
      <c r="AV23" s="976"/>
      <c r="AW23" s="976"/>
      <c r="AX23" s="976"/>
      <c r="AY23" s="976"/>
      <c r="AZ23" s="976"/>
      <c r="BA23" s="976"/>
      <c r="BB23" s="976"/>
      <c r="BC23" s="976"/>
      <c r="BD23" s="976"/>
      <c r="BE23" s="976"/>
      <c r="BF23" s="976"/>
      <c r="BH23" s="990"/>
      <c r="BI23" s="990"/>
      <c r="BJ23" s="990"/>
      <c r="BL23" s="515">
        <f t="shared" si="9"/>
        <v>0</v>
      </c>
      <c r="BM23" s="515"/>
      <c r="BN23" s="22"/>
      <c r="BO23" s="1482"/>
      <c r="BP23" s="1482"/>
      <c r="BQ23" s="1482"/>
      <c r="BR23" s="1482"/>
      <c r="BS23" s="1482"/>
      <c r="BT23" s="1482"/>
      <c r="BU23" s="1482"/>
      <c r="BV23" s="1482"/>
      <c r="BW23" s="1482"/>
      <c r="BX23" s="1482"/>
      <c r="BY23" s="1482"/>
      <c r="BZ23" s="1482"/>
      <c r="CA23" s="1482"/>
      <c r="CB23" s="1482"/>
      <c r="CC23" s="1482"/>
      <c r="CD23" s="1482"/>
      <c r="CE23" s="1482"/>
      <c r="CF23" s="1482"/>
      <c r="CG23" s="1482"/>
      <c r="CH23" s="1482"/>
      <c r="CI23" s="1482"/>
      <c r="CJ23" s="1482"/>
      <c r="CK23" s="1482"/>
      <c r="CL23" s="1482"/>
      <c r="CM23" s="1482"/>
      <c r="CN23" s="1482"/>
      <c r="CO23" s="1482"/>
      <c r="CP23" s="1482"/>
      <c r="CQ23" s="1482"/>
      <c r="CR23" s="1482"/>
      <c r="CS23" s="1482"/>
      <c r="CT23" s="1482"/>
      <c r="CU23" s="1482"/>
      <c r="CV23" s="1482"/>
      <c r="CW23" s="1482"/>
      <c r="CX23" s="1482"/>
      <c r="CY23" s="1482"/>
      <c r="CZ23" s="1482"/>
      <c r="DA23" s="1482"/>
      <c r="DB23" s="1482"/>
      <c r="DC23" s="1482"/>
      <c r="DD23" s="1482"/>
      <c r="DE23" s="1482"/>
      <c r="DF23" s="1482"/>
      <c r="DH23" s="838">
        <f t="shared" si="35"/>
        <v>0</v>
      </c>
    </row>
    <row r="24" spans="1:112" s="743" customFormat="1" ht="12.75" hidden="1" customHeight="1" outlineLevel="1">
      <c r="A24" s="1484"/>
      <c r="B24" s="1484"/>
      <c r="C24" s="746" t="s">
        <v>903</v>
      </c>
      <c r="D24" s="523" t="str">
        <f>INDEX(Modules[Module], MATCH($C24, Modules[Code], 0))</f>
        <v>Domestic passenger transport</v>
      </c>
      <c r="E24" s="1006"/>
      <c r="G24" s="1017">
        <f t="shared" ref="G24:P27" ca="1" si="58">IFERROR(INDEX(INDIRECT($C24&amp;".Outputs["&amp;this.Year&amp;"]"), MATCH(G$5, INDIRECT($C24&amp;".Outputs[Vector]"), 0)), 0)</f>
        <v>0</v>
      </c>
      <c r="H24" s="1017">
        <f t="shared" ca="1" si="58"/>
        <v>0</v>
      </c>
      <c r="I24" s="1017">
        <f t="shared" ca="1" si="58"/>
        <v>0</v>
      </c>
      <c r="J24" s="1017">
        <f t="shared" ca="1" si="58"/>
        <v>403.19918225742038</v>
      </c>
      <c r="K24" s="1017">
        <f t="shared" ca="1" si="58"/>
        <v>13.441593847982816</v>
      </c>
      <c r="L24" s="1017">
        <f t="shared" ca="1" si="58"/>
        <v>9.0198346087095516</v>
      </c>
      <c r="M24" s="1017">
        <f t="shared" ca="1" si="58"/>
        <v>0</v>
      </c>
      <c r="N24" s="1017">
        <f t="shared" ca="1" si="58"/>
        <v>0</v>
      </c>
      <c r="O24" s="1017">
        <f t="shared" ca="1" si="58"/>
        <v>0</v>
      </c>
      <c r="P24" s="1017">
        <f t="shared" ca="1" si="58"/>
        <v>0</v>
      </c>
      <c r="Q24" s="1019">
        <f t="shared" ref="Q24:Q32" ca="1" si="59">SUM(G24:P24)</f>
        <v>425.66061071411275</v>
      </c>
      <c r="S24" s="1026">
        <f t="shared" ref="S24:BE30" ca="1" si="60">IFERROR(INDEX(INDIRECT($C24&amp;".Outputs["&amp;this.Year&amp;"]"), MATCH(S$5, INDIRECT($C24&amp;".Outputs[Vector]"), 0)), 0)</f>
        <v>-8.5803924571345469</v>
      </c>
      <c r="T24" s="1026">
        <f t="shared" ca="1" si="60"/>
        <v>0</v>
      </c>
      <c r="U24" s="1026">
        <f t="shared" ca="1" si="60"/>
        <v>0</v>
      </c>
      <c r="V24" s="1026">
        <f t="shared" ca="1" si="60"/>
        <v>-417.08021825697824</v>
      </c>
      <c r="W24" s="1026">
        <f t="shared" ca="1" si="60"/>
        <v>0</v>
      </c>
      <c r="X24" s="1026">
        <f t="shared" ref="X24:Z27" ca="1" si="61">IFERROR(INDEX(INDIRECT($C24&amp;".Outputs["&amp;this.Year&amp;"]"), MATCH(X$5, INDIRECT($C24&amp;".Outputs[Vector]"), 0)), 0)</f>
        <v>0</v>
      </c>
      <c r="Y24" s="1026">
        <f t="shared" ca="1" si="61"/>
        <v>0</v>
      </c>
      <c r="Z24" s="1026">
        <f t="shared" ca="1" si="61"/>
        <v>0</v>
      </c>
      <c r="AA24" s="1026">
        <f t="shared" ca="1" si="60"/>
        <v>0</v>
      </c>
      <c r="AB24" s="1026">
        <f t="shared" ca="1" si="60"/>
        <v>0</v>
      </c>
      <c r="AC24" s="1026">
        <f t="shared" ca="1" si="60"/>
        <v>0</v>
      </c>
      <c r="AD24" s="1026">
        <f t="shared" ca="1" si="60"/>
        <v>0</v>
      </c>
      <c r="AE24" s="1026">
        <f t="shared" ca="1" si="60"/>
        <v>0</v>
      </c>
      <c r="AF24" s="1026">
        <f t="shared" ca="1" si="60"/>
        <v>0</v>
      </c>
      <c r="AG24" s="1026">
        <f t="shared" ca="1" si="60"/>
        <v>0</v>
      </c>
      <c r="AH24" s="1026">
        <f t="shared" ca="1" si="60"/>
        <v>0</v>
      </c>
      <c r="AI24" s="1026">
        <f t="shared" ca="1" si="60"/>
        <v>0</v>
      </c>
      <c r="AJ24" s="1026">
        <f t="shared" ca="1" si="60"/>
        <v>0</v>
      </c>
      <c r="AK24" s="1027">
        <f t="shared" ref="AK24:AK32" ca="1" si="62">SUM(S24:AJ24)</f>
        <v>-425.66061071411281</v>
      </c>
      <c r="AM24" s="1038">
        <f t="shared" ref="AM24:AU27" ca="1" si="63">IFERROR(INDEX(INDIRECT($C24&amp;".Outputs["&amp;this.Year&amp;"]"), MATCH(AM$5, INDIRECT($C24&amp;".Outputs[Vector]"), 0)), 0)</f>
        <v>0</v>
      </c>
      <c r="AN24" s="1038">
        <f t="shared" ca="1" si="63"/>
        <v>0</v>
      </c>
      <c r="AO24" s="1038">
        <f t="shared" ca="1" si="63"/>
        <v>0</v>
      </c>
      <c r="AP24" s="1038">
        <f t="shared" ca="1" si="63"/>
        <v>0</v>
      </c>
      <c r="AQ24" s="1038">
        <f t="shared" ca="1" si="63"/>
        <v>0</v>
      </c>
      <c r="AR24" s="1038">
        <f t="shared" ca="1" si="63"/>
        <v>0</v>
      </c>
      <c r="AS24" s="1038">
        <f t="shared" ca="1" si="63"/>
        <v>0</v>
      </c>
      <c r="AT24" s="1038">
        <f t="shared" ca="1" si="63"/>
        <v>0</v>
      </c>
      <c r="AU24" s="1038">
        <f t="shared" ca="1" si="63"/>
        <v>0</v>
      </c>
      <c r="AV24" s="1038">
        <f t="shared" ca="1" si="60"/>
        <v>0</v>
      </c>
      <c r="AW24" s="1038">
        <f t="shared" ca="1" si="60"/>
        <v>0</v>
      </c>
      <c r="AX24" s="1038">
        <f t="shared" ca="1" si="60"/>
        <v>0</v>
      </c>
      <c r="AY24" s="1038">
        <f t="shared" ca="1" si="60"/>
        <v>0</v>
      </c>
      <c r="AZ24" s="1038">
        <f t="shared" ca="1" si="60"/>
        <v>0</v>
      </c>
      <c r="BA24" s="1038">
        <f t="shared" ca="1" si="60"/>
        <v>0</v>
      </c>
      <c r="BB24" s="1038">
        <f t="shared" ca="1" si="60"/>
        <v>0</v>
      </c>
      <c r="BC24" s="1038">
        <f t="shared" ca="1" si="60"/>
        <v>0</v>
      </c>
      <c r="BD24" s="1038">
        <f t="shared" ca="1" si="60"/>
        <v>0</v>
      </c>
      <c r="BE24" s="1038">
        <f t="shared" ca="1" si="60"/>
        <v>0</v>
      </c>
      <c r="BF24" s="979">
        <f t="shared" ref="BF24:BF32" ca="1" si="64">SUM(AM24:BE24)</f>
        <v>0</v>
      </c>
      <c r="BH24" s="1032">
        <f t="shared" ref="BH24:BI30" ca="1" si="65">IFERROR(INDEX(INDIRECT($C24&amp;".Outputs["&amp;this.Year&amp;"]"), MATCH(BH$5, INDIRECT($C24&amp;".Outputs[Vector]"), 0)), 0)</f>
        <v>0</v>
      </c>
      <c r="BI24" s="1032">
        <f t="shared" ca="1" si="65"/>
        <v>0</v>
      </c>
      <c r="BJ24" s="1034">
        <f t="shared" ref="BJ24:BJ32" ca="1" si="66">SUM(BH24:BI24)</f>
        <v>0</v>
      </c>
      <c r="BL24" s="814">
        <f t="shared" ca="1" si="9"/>
        <v>-5.6843418860808015E-14</v>
      </c>
      <c r="BM24" s="814"/>
      <c r="BN24" s="840"/>
      <c r="BO24" s="1481">
        <f t="shared" ref="BO24:BX27" ca="1" si="67">IFERROR(SUMIFS(INDIRECT($C24&amp;".Emissions["&amp;this.Year&amp;"]"), INDIRECT($C24&amp;".Emissions[GHG]"), BO$6, INDIRECT($C24&amp;".Emissions[IPCC Sector]"), BO$5),0)</f>
        <v>104.27005456424456</v>
      </c>
      <c r="BP24" s="1482">
        <f t="shared" ca="1" si="67"/>
        <v>0.12981580630025488</v>
      </c>
      <c r="BQ24" s="1482">
        <f t="shared" ca="1" si="67"/>
        <v>1.8760319404027712</v>
      </c>
      <c r="BR24" s="1482">
        <f t="shared" ca="1" si="67"/>
        <v>0</v>
      </c>
      <c r="BS24" s="1482">
        <f t="shared" ca="1" si="67"/>
        <v>0</v>
      </c>
      <c r="BT24" s="1482">
        <f t="shared" ca="1" si="67"/>
        <v>0</v>
      </c>
      <c r="BU24" s="1482">
        <f t="shared" ca="1" si="67"/>
        <v>0</v>
      </c>
      <c r="BV24" s="1482">
        <f t="shared" ca="1" si="67"/>
        <v>0</v>
      </c>
      <c r="BW24" s="1482">
        <f t="shared" ca="1" si="67"/>
        <v>0</v>
      </c>
      <c r="BX24" s="1482">
        <f t="shared" ca="1" si="67"/>
        <v>0</v>
      </c>
      <c r="BY24" s="1482">
        <f t="shared" ref="BY24:CH27" ca="1" si="68">IFERROR(SUMIFS(INDIRECT($C24&amp;".Emissions["&amp;this.Year&amp;"]"), INDIRECT($C24&amp;".Emissions[GHG]"), BY$6, INDIRECT($C24&amp;".Emissions[IPCC Sector]"), BY$5),0)</f>
        <v>0</v>
      </c>
      <c r="BZ24" s="1482">
        <f t="shared" ca="1" si="68"/>
        <v>0</v>
      </c>
      <c r="CA24" s="1482">
        <f t="shared" ca="1" si="68"/>
        <v>0</v>
      </c>
      <c r="CB24" s="1482">
        <f t="shared" ca="1" si="68"/>
        <v>0</v>
      </c>
      <c r="CC24" s="1482">
        <f t="shared" ca="1" si="68"/>
        <v>0</v>
      </c>
      <c r="CD24" s="1482">
        <f t="shared" ca="1" si="68"/>
        <v>0</v>
      </c>
      <c r="CE24" s="1482">
        <f t="shared" ca="1" si="68"/>
        <v>0</v>
      </c>
      <c r="CF24" s="1482">
        <f t="shared" ca="1" si="68"/>
        <v>0</v>
      </c>
      <c r="CG24" s="1482">
        <f t="shared" ca="1" si="68"/>
        <v>0</v>
      </c>
      <c r="CH24" s="1482">
        <f t="shared" ca="1" si="68"/>
        <v>0</v>
      </c>
      <c r="CI24" s="1482">
        <f t="shared" ref="CI24:CR27" ca="1" si="69">IFERROR(SUMIFS(INDIRECT($C24&amp;".Emissions["&amp;this.Year&amp;"]"), INDIRECT($C24&amp;".Emissions[GHG]"), CI$6, INDIRECT($C24&amp;".Emissions[IPCC Sector]"), CI$5),0)</f>
        <v>0</v>
      </c>
      <c r="CJ24" s="1482">
        <f t="shared" ca="1" si="69"/>
        <v>0</v>
      </c>
      <c r="CK24" s="1482">
        <f t="shared" ca="1" si="69"/>
        <v>0</v>
      </c>
      <c r="CL24" s="1482">
        <f t="shared" ca="1" si="69"/>
        <v>0</v>
      </c>
      <c r="CM24" s="1482">
        <f t="shared" ca="1" si="69"/>
        <v>0</v>
      </c>
      <c r="CN24" s="1482">
        <f t="shared" ca="1" si="69"/>
        <v>0</v>
      </c>
      <c r="CO24" s="1482">
        <f t="shared" ca="1" si="69"/>
        <v>0</v>
      </c>
      <c r="CP24" s="1482">
        <f t="shared" ca="1" si="69"/>
        <v>0</v>
      </c>
      <c r="CQ24" s="1482">
        <f t="shared" ca="1" si="69"/>
        <v>0</v>
      </c>
      <c r="CR24" s="1482">
        <f t="shared" ca="1" si="69"/>
        <v>0</v>
      </c>
      <c r="CS24" s="1482">
        <f t="shared" ref="CS24:DF27" ca="1" si="70">IFERROR(SUMIFS(INDIRECT($C24&amp;".Emissions["&amp;this.Year&amp;"]"), INDIRECT($C24&amp;".Emissions[GHG]"), CS$6, INDIRECT($C24&amp;".Emissions[IPCC Sector]"), CS$5),0)</f>
        <v>0</v>
      </c>
      <c r="CT24" s="1482">
        <f t="shared" ca="1" si="70"/>
        <v>0</v>
      </c>
      <c r="CU24" s="1482">
        <f t="shared" ca="1" si="70"/>
        <v>0</v>
      </c>
      <c r="CV24" s="1482">
        <f t="shared" ca="1" si="70"/>
        <v>0</v>
      </c>
      <c r="CW24" s="1482">
        <f t="shared" ca="1" si="70"/>
        <v>0</v>
      </c>
      <c r="CX24" s="1482">
        <f t="shared" ca="1" si="70"/>
        <v>0</v>
      </c>
      <c r="CY24" s="1482">
        <f t="shared" ca="1" si="70"/>
        <v>0</v>
      </c>
      <c r="CZ24" s="1482">
        <f t="shared" ca="1" si="70"/>
        <v>0</v>
      </c>
      <c r="DA24" s="1482">
        <f t="shared" ca="1" si="70"/>
        <v>0</v>
      </c>
      <c r="DB24" s="1482">
        <f t="shared" ca="1" si="70"/>
        <v>0</v>
      </c>
      <c r="DC24" s="1482">
        <f t="shared" ca="1" si="70"/>
        <v>0</v>
      </c>
      <c r="DD24" s="1482">
        <f t="shared" ca="1" si="70"/>
        <v>0</v>
      </c>
      <c r="DE24" s="1482">
        <f t="shared" ca="1" si="70"/>
        <v>0</v>
      </c>
      <c r="DF24" s="1482">
        <f t="shared" ca="1" si="70"/>
        <v>0</v>
      </c>
      <c r="DH24" s="838">
        <f t="shared" ca="1" si="35"/>
        <v>106.27590231094759</v>
      </c>
    </row>
    <row r="25" spans="1:112" s="743" customFormat="1" ht="12.75" hidden="1" customHeight="1" outlineLevel="1">
      <c r="A25" s="1484"/>
      <c r="B25" s="1484"/>
      <c r="C25" s="746" t="s">
        <v>916</v>
      </c>
      <c r="D25" s="523" t="str">
        <f>INDEX(Modules[Module], MATCH($C25, Modules[Code], 0))</f>
        <v>Domestic freight</v>
      </c>
      <c r="E25" s="1006"/>
      <c r="G25" s="1017">
        <f t="shared" ca="1" si="58"/>
        <v>0</v>
      </c>
      <c r="H25" s="1017">
        <f t="shared" ca="1" si="58"/>
        <v>0</v>
      </c>
      <c r="I25" s="1017">
        <f t="shared" ca="1" si="58"/>
        <v>0</v>
      </c>
      <c r="J25" s="1017">
        <f t="shared" ca="1" si="58"/>
        <v>87.654867521058719</v>
      </c>
      <c r="K25" s="1017">
        <f t="shared" ca="1" si="58"/>
        <v>2.4108529550428361</v>
      </c>
      <c r="L25" s="1017">
        <f t="shared" ca="1" si="58"/>
        <v>0</v>
      </c>
      <c r="M25" s="1017">
        <f t="shared" ca="1" si="58"/>
        <v>18.817339999999998</v>
      </c>
      <c r="N25" s="1017">
        <f t="shared" ca="1" si="58"/>
        <v>0</v>
      </c>
      <c r="O25" s="1017">
        <f t="shared" ca="1" si="58"/>
        <v>0</v>
      </c>
      <c r="P25" s="1017">
        <f t="shared" ca="1" si="58"/>
        <v>0</v>
      </c>
      <c r="Q25" s="1019">
        <f t="shared" ca="1" si="59"/>
        <v>108.88306047610156</v>
      </c>
      <c r="S25" s="1026">
        <f t="shared" ca="1" si="60"/>
        <v>-0.10120000000000001</v>
      </c>
      <c r="T25" s="1026">
        <f t="shared" ca="1" si="60"/>
        <v>0</v>
      </c>
      <c r="U25" s="1026">
        <f t="shared" ca="1" si="60"/>
        <v>0</v>
      </c>
      <c r="V25" s="1026">
        <f t="shared" ca="1" si="60"/>
        <v>-108.78186047610156</v>
      </c>
      <c r="W25" s="1026">
        <f t="shared" ca="1" si="60"/>
        <v>0</v>
      </c>
      <c r="X25" s="1026">
        <f t="shared" ca="1" si="61"/>
        <v>0</v>
      </c>
      <c r="Y25" s="1026">
        <f t="shared" ca="1" si="61"/>
        <v>0</v>
      </c>
      <c r="Z25" s="1026">
        <f t="shared" ca="1" si="61"/>
        <v>0</v>
      </c>
      <c r="AA25" s="1026">
        <f t="shared" ca="1" si="60"/>
        <v>0</v>
      </c>
      <c r="AB25" s="1026">
        <f t="shared" ca="1" si="60"/>
        <v>0</v>
      </c>
      <c r="AC25" s="1026">
        <f t="shared" ca="1" si="60"/>
        <v>0</v>
      </c>
      <c r="AD25" s="1026">
        <f t="shared" ca="1" si="60"/>
        <v>0</v>
      </c>
      <c r="AE25" s="1026">
        <f t="shared" ca="1" si="60"/>
        <v>0</v>
      </c>
      <c r="AF25" s="1026">
        <f t="shared" ca="1" si="60"/>
        <v>0</v>
      </c>
      <c r="AG25" s="1026">
        <f t="shared" ca="1" si="60"/>
        <v>0</v>
      </c>
      <c r="AH25" s="1026">
        <f t="shared" ca="1" si="60"/>
        <v>0</v>
      </c>
      <c r="AI25" s="1026">
        <f t="shared" ca="1" si="60"/>
        <v>0</v>
      </c>
      <c r="AJ25" s="1026">
        <f t="shared" ca="1" si="60"/>
        <v>0</v>
      </c>
      <c r="AK25" s="1027">
        <f t="shared" ca="1" si="62"/>
        <v>-108.88306047610156</v>
      </c>
      <c r="AM25" s="1038">
        <f t="shared" ca="1" si="63"/>
        <v>0</v>
      </c>
      <c r="AN25" s="1038">
        <f t="shared" ca="1" si="63"/>
        <v>0</v>
      </c>
      <c r="AO25" s="1038">
        <f t="shared" ca="1" si="63"/>
        <v>0</v>
      </c>
      <c r="AP25" s="1038">
        <f t="shared" ca="1" si="63"/>
        <v>0</v>
      </c>
      <c r="AQ25" s="1038">
        <f t="shared" ca="1" si="63"/>
        <v>0</v>
      </c>
      <c r="AR25" s="1038">
        <f t="shared" ca="1" si="63"/>
        <v>0</v>
      </c>
      <c r="AS25" s="1038">
        <f t="shared" ca="1" si="63"/>
        <v>0</v>
      </c>
      <c r="AT25" s="1038">
        <f t="shared" ca="1" si="63"/>
        <v>0</v>
      </c>
      <c r="AU25" s="1038">
        <f t="shared" ca="1" si="63"/>
        <v>0</v>
      </c>
      <c r="AV25" s="1038">
        <f t="shared" ca="1" si="60"/>
        <v>0</v>
      </c>
      <c r="AW25" s="1038">
        <f t="shared" ca="1" si="60"/>
        <v>0</v>
      </c>
      <c r="AX25" s="1038">
        <f t="shared" ca="1" si="60"/>
        <v>0</v>
      </c>
      <c r="AY25" s="1038">
        <f t="shared" ca="1" si="60"/>
        <v>0</v>
      </c>
      <c r="AZ25" s="1038">
        <f t="shared" ca="1" si="60"/>
        <v>0</v>
      </c>
      <c r="BA25" s="1038">
        <f t="shared" ca="1" si="60"/>
        <v>0</v>
      </c>
      <c r="BB25" s="1038">
        <f t="shared" ca="1" si="60"/>
        <v>0</v>
      </c>
      <c r="BC25" s="1038">
        <f t="shared" ca="1" si="60"/>
        <v>0</v>
      </c>
      <c r="BD25" s="1038">
        <f t="shared" ca="1" si="60"/>
        <v>0</v>
      </c>
      <c r="BE25" s="1038">
        <f t="shared" ca="1" si="60"/>
        <v>0</v>
      </c>
      <c r="BF25" s="979">
        <f t="shared" ca="1" si="64"/>
        <v>0</v>
      </c>
      <c r="BH25" s="1032">
        <f t="shared" ca="1" si="65"/>
        <v>0</v>
      </c>
      <c r="BI25" s="1032">
        <f t="shared" ca="1" si="65"/>
        <v>0</v>
      </c>
      <c r="BJ25" s="1034">
        <f t="shared" ca="1" si="66"/>
        <v>0</v>
      </c>
      <c r="BL25" s="814">
        <f t="shared" ca="1" si="9"/>
        <v>0</v>
      </c>
      <c r="BM25" s="814"/>
      <c r="BN25" s="840"/>
      <c r="BO25" s="1481">
        <f t="shared" ca="1" si="67"/>
        <v>27.195465119025389</v>
      </c>
      <c r="BP25" s="1482">
        <f t="shared" ca="1" si="67"/>
        <v>3.3858246712257449E-2</v>
      </c>
      <c r="BQ25" s="1482">
        <f t="shared" ca="1" si="67"/>
        <v>0.48930214346407658</v>
      </c>
      <c r="BR25" s="1482">
        <f t="shared" ca="1" si="67"/>
        <v>0</v>
      </c>
      <c r="BS25" s="1482">
        <f t="shared" ca="1" si="67"/>
        <v>0</v>
      </c>
      <c r="BT25" s="1482">
        <f t="shared" ca="1" si="67"/>
        <v>0</v>
      </c>
      <c r="BU25" s="1482">
        <f t="shared" ca="1" si="67"/>
        <v>0</v>
      </c>
      <c r="BV25" s="1482">
        <f t="shared" ca="1" si="67"/>
        <v>0</v>
      </c>
      <c r="BW25" s="1482">
        <f t="shared" ca="1" si="67"/>
        <v>0</v>
      </c>
      <c r="BX25" s="1482">
        <f t="shared" ca="1" si="67"/>
        <v>0</v>
      </c>
      <c r="BY25" s="1482">
        <f t="shared" ca="1" si="68"/>
        <v>0</v>
      </c>
      <c r="BZ25" s="1482">
        <f t="shared" ca="1" si="68"/>
        <v>0</v>
      </c>
      <c r="CA25" s="1482">
        <f t="shared" ca="1" si="68"/>
        <v>0</v>
      </c>
      <c r="CB25" s="1482">
        <f t="shared" ca="1" si="68"/>
        <v>0</v>
      </c>
      <c r="CC25" s="1482">
        <f t="shared" ca="1" si="68"/>
        <v>0</v>
      </c>
      <c r="CD25" s="1482">
        <f t="shared" ca="1" si="68"/>
        <v>0</v>
      </c>
      <c r="CE25" s="1482">
        <f t="shared" ca="1" si="68"/>
        <v>0</v>
      </c>
      <c r="CF25" s="1482">
        <f t="shared" ca="1" si="68"/>
        <v>0</v>
      </c>
      <c r="CG25" s="1482">
        <f t="shared" ca="1" si="68"/>
        <v>0</v>
      </c>
      <c r="CH25" s="1482">
        <f t="shared" ca="1" si="68"/>
        <v>0</v>
      </c>
      <c r="CI25" s="1482">
        <f t="shared" ca="1" si="69"/>
        <v>0</v>
      </c>
      <c r="CJ25" s="1482">
        <f t="shared" ca="1" si="69"/>
        <v>0</v>
      </c>
      <c r="CK25" s="1482">
        <f t="shared" ca="1" si="69"/>
        <v>0</v>
      </c>
      <c r="CL25" s="1482">
        <f t="shared" ca="1" si="69"/>
        <v>0</v>
      </c>
      <c r="CM25" s="1482">
        <f t="shared" ca="1" si="69"/>
        <v>0</v>
      </c>
      <c r="CN25" s="1482">
        <f t="shared" ca="1" si="69"/>
        <v>0</v>
      </c>
      <c r="CO25" s="1482">
        <f t="shared" ca="1" si="69"/>
        <v>0</v>
      </c>
      <c r="CP25" s="1482">
        <f t="shared" ca="1" si="69"/>
        <v>0</v>
      </c>
      <c r="CQ25" s="1482">
        <f t="shared" ca="1" si="69"/>
        <v>0</v>
      </c>
      <c r="CR25" s="1482">
        <f t="shared" ca="1" si="69"/>
        <v>0</v>
      </c>
      <c r="CS25" s="1482">
        <f t="shared" ca="1" si="70"/>
        <v>0</v>
      </c>
      <c r="CT25" s="1482">
        <f t="shared" ca="1" si="70"/>
        <v>0</v>
      </c>
      <c r="CU25" s="1482">
        <f t="shared" ca="1" si="70"/>
        <v>0</v>
      </c>
      <c r="CV25" s="1482">
        <f t="shared" ca="1" si="70"/>
        <v>0</v>
      </c>
      <c r="CW25" s="1482">
        <f t="shared" ca="1" si="70"/>
        <v>0</v>
      </c>
      <c r="CX25" s="1482">
        <f t="shared" ca="1" si="70"/>
        <v>0</v>
      </c>
      <c r="CY25" s="1482">
        <f t="shared" ca="1" si="70"/>
        <v>0</v>
      </c>
      <c r="CZ25" s="1482">
        <f t="shared" ca="1" si="70"/>
        <v>0</v>
      </c>
      <c r="DA25" s="1482">
        <f t="shared" ca="1" si="70"/>
        <v>0</v>
      </c>
      <c r="DB25" s="1482">
        <f t="shared" ca="1" si="70"/>
        <v>0</v>
      </c>
      <c r="DC25" s="1482">
        <f t="shared" ca="1" si="70"/>
        <v>0</v>
      </c>
      <c r="DD25" s="1482">
        <f t="shared" ca="1" si="70"/>
        <v>0</v>
      </c>
      <c r="DE25" s="1482">
        <f t="shared" ca="1" si="70"/>
        <v>0</v>
      </c>
      <c r="DF25" s="1482">
        <f t="shared" ca="1" si="70"/>
        <v>0</v>
      </c>
      <c r="DH25" s="838">
        <f t="shared" ca="1" si="35"/>
        <v>27.718625509201722</v>
      </c>
    </row>
    <row r="26" spans="1:112" s="743" customFormat="1" ht="10.5" hidden="1" customHeight="1" outlineLevel="2">
      <c r="A26" s="1480"/>
      <c r="B26" s="1480"/>
      <c r="C26" s="746" t="s">
        <v>919</v>
      </c>
      <c r="D26" s="523" t="str">
        <f>INDEX(Modules[Module], MATCH($C26, Modules[Code], 0))</f>
        <v>International aviation</v>
      </c>
      <c r="E26" s="1006"/>
      <c r="G26" s="1017">
        <f t="shared" ca="1" si="58"/>
        <v>0</v>
      </c>
      <c r="H26" s="1017">
        <f t="shared" ca="1" si="58"/>
        <v>0</v>
      </c>
      <c r="I26" s="1017">
        <f t="shared" ca="1" si="58"/>
        <v>0</v>
      </c>
      <c r="J26" s="1017">
        <f t="shared" ca="1" si="58"/>
        <v>0</v>
      </c>
      <c r="K26" s="1017">
        <f t="shared" ca="1" si="58"/>
        <v>0</v>
      </c>
      <c r="L26" s="1017">
        <f t="shared" ca="1" si="58"/>
        <v>0</v>
      </c>
      <c r="M26" s="1017">
        <f t="shared" ca="1" si="58"/>
        <v>0</v>
      </c>
      <c r="N26" s="1017">
        <f t="shared" ca="1" si="58"/>
        <v>152.99167541479133</v>
      </c>
      <c r="O26" s="1017">
        <f t="shared" ca="1" si="58"/>
        <v>0</v>
      </c>
      <c r="P26" s="1017">
        <f t="shared" ca="1" si="58"/>
        <v>0</v>
      </c>
      <c r="Q26" s="1019">
        <f t="shared" ca="1" si="59"/>
        <v>152.99167541479133</v>
      </c>
      <c r="S26" s="1026">
        <f t="shared" ca="1" si="60"/>
        <v>0</v>
      </c>
      <c r="T26" s="1026">
        <f t="shared" ca="1" si="60"/>
        <v>0</v>
      </c>
      <c r="U26" s="1026">
        <f t="shared" ca="1" si="60"/>
        <v>0</v>
      </c>
      <c r="V26" s="1026">
        <f t="shared" ca="1" si="60"/>
        <v>-152.99167541479133</v>
      </c>
      <c r="W26" s="1026">
        <f t="shared" ca="1" si="60"/>
        <v>0</v>
      </c>
      <c r="X26" s="1026">
        <f t="shared" ca="1" si="61"/>
        <v>0</v>
      </c>
      <c r="Y26" s="1026">
        <f t="shared" ca="1" si="61"/>
        <v>0</v>
      </c>
      <c r="Z26" s="1026">
        <f t="shared" ca="1" si="61"/>
        <v>0</v>
      </c>
      <c r="AA26" s="1026">
        <f t="shared" ca="1" si="60"/>
        <v>0</v>
      </c>
      <c r="AB26" s="1026">
        <f t="shared" ca="1" si="60"/>
        <v>0</v>
      </c>
      <c r="AC26" s="1026">
        <f t="shared" ca="1" si="60"/>
        <v>0</v>
      </c>
      <c r="AD26" s="1026">
        <f t="shared" ca="1" si="60"/>
        <v>0</v>
      </c>
      <c r="AE26" s="1026">
        <f t="shared" ca="1" si="60"/>
        <v>0</v>
      </c>
      <c r="AF26" s="1026">
        <f t="shared" ca="1" si="60"/>
        <v>0</v>
      </c>
      <c r="AG26" s="1026">
        <f t="shared" ca="1" si="60"/>
        <v>0</v>
      </c>
      <c r="AH26" s="1026">
        <f t="shared" ca="1" si="60"/>
        <v>0</v>
      </c>
      <c r="AI26" s="1026">
        <f t="shared" ca="1" si="60"/>
        <v>0</v>
      </c>
      <c r="AJ26" s="1026">
        <f t="shared" ca="1" si="60"/>
        <v>0</v>
      </c>
      <c r="AK26" s="1027">
        <f t="shared" ca="1" si="62"/>
        <v>-152.99167541479133</v>
      </c>
      <c r="AM26" s="1038">
        <f t="shared" ca="1" si="63"/>
        <v>0</v>
      </c>
      <c r="AN26" s="1038">
        <f t="shared" ca="1" si="63"/>
        <v>0</v>
      </c>
      <c r="AO26" s="1038">
        <f t="shared" ca="1" si="63"/>
        <v>0</v>
      </c>
      <c r="AP26" s="1038">
        <f t="shared" ca="1" si="63"/>
        <v>0</v>
      </c>
      <c r="AQ26" s="1038">
        <f t="shared" ca="1" si="63"/>
        <v>0</v>
      </c>
      <c r="AR26" s="1038">
        <f t="shared" ca="1" si="63"/>
        <v>0</v>
      </c>
      <c r="AS26" s="1038">
        <f t="shared" ca="1" si="63"/>
        <v>0</v>
      </c>
      <c r="AT26" s="1038">
        <f t="shared" ca="1" si="63"/>
        <v>0</v>
      </c>
      <c r="AU26" s="1038">
        <f t="shared" ca="1" si="63"/>
        <v>0</v>
      </c>
      <c r="AV26" s="1038">
        <f t="shared" ca="1" si="60"/>
        <v>0</v>
      </c>
      <c r="AW26" s="1038">
        <f t="shared" ca="1" si="60"/>
        <v>0</v>
      </c>
      <c r="AX26" s="1038">
        <f t="shared" ca="1" si="60"/>
        <v>0</v>
      </c>
      <c r="AY26" s="1038">
        <f t="shared" ca="1" si="60"/>
        <v>0</v>
      </c>
      <c r="AZ26" s="1038">
        <f t="shared" ca="1" si="60"/>
        <v>0</v>
      </c>
      <c r="BA26" s="1038">
        <f t="shared" ca="1" si="60"/>
        <v>0</v>
      </c>
      <c r="BB26" s="1038">
        <f t="shared" ca="1" si="60"/>
        <v>0</v>
      </c>
      <c r="BC26" s="1038">
        <f t="shared" ca="1" si="60"/>
        <v>0</v>
      </c>
      <c r="BD26" s="1038">
        <f t="shared" ca="1" si="60"/>
        <v>0</v>
      </c>
      <c r="BE26" s="1038">
        <f t="shared" ca="1" si="60"/>
        <v>0</v>
      </c>
      <c r="BF26" s="977">
        <f t="shared" ca="1" si="64"/>
        <v>0</v>
      </c>
      <c r="BH26" s="1032">
        <f t="shared" ca="1" si="65"/>
        <v>0</v>
      </c>
      <c r="BI26" s="1032">
        <f t="shared" ca="1" si="65"/>
        <v>0</v>
      </c>
      <c r="BJ26" s="1034">
        <f t="shared" ca="1" si="66"/>
        <v>0</v>
      </c>
      <c r="BL26" s="524">
        <f t="shared" ca="1" si="9"/>
        <v>0</v>
      </c>
      <c r="BM26" s="524"/>
      <c r="BN26" s="840"/>
      <c r="BO26" s="1481">
        <f t="shared" ca="1" si="67"/>
        <v>0</v>
      </c>
      <c r="BP26" s="1482">
        <f t="shared" ca="1" si="67"/>
        <v>0</v>
      </c>
      <c r="BQ26" s="1482">
        <f t="shared" ca="1" si="67"/>
        <v>0</v>
      </c>
      <c r="BR26" s="1482">
        <f t="shared" ca="1" si="67"/>
        <v>0</v>
      </c>
      <c r="BS26" s="1482">
        <f t="shared" ca="1" si="67"/>
        <v>0</v>
      </c>
      <c r="BT26" s="1482">
        <f t="shared" ca="1" si="67"/>
        <v>0</v>
      </c>
      <c r="BU26" s="1482">
        <f t="shared" ca="1" si="67"/>
        <v>0</v>
      </c>
      <c r="BV26" s="1482">
        <f t="shared" ca="1" si="67"/>
        <v>0</v>
      </c>
      <c r="BW26" s="1482">
        <f t="shared" ca="1" si="67"/>
        <v>0</v>
      </c>
      <c r="BX26" s="1482">
        <f t="shared" ca="1" si="67"/>
        <v>0</v>
      </c>
      <c r="BY26" s="1482">
        <f t="shared" ca="1" si="68"/>
        <v>0</v>
      </c>
      <c r="BZ26" s="1482">
        <f t="shared" ca="1" si="68"/>
        <v>0</v>
      </c>
      <c r="CA26" s="1482">
        <f t="shared" ca="1" si="68"/>
        <v>0</v>
      </c>
      <c r="CB26" s="1482">
        <f t="shared" ca="1" si="68"/>
        <v>0</v>
      </c>
      <c r="CC26" s="1482">
        <f t="shared" ca="1" si="68"/>
        <v>0</v>
      </c>
      <c r="CD26" s="1482">
        <f t="shared" ca="1" si="68"/>
        <v>0</v>
      </c>
      <c r="CE26" s="1482">
        <f t="shared" ca="1" si="68"/>
        <v>0</v>
      </c>
      <c r="CF26" s="1482">
        <f t="shared" ca="1" si="68"/>
        <v>0</v>
      </c>
      <c r="CG26" s="1482">
        <f t="shared" ca="1" si="68"/>
        <v>0</v>
      </c>
      <c r="CH26" s="1482">
        <f t="shared" ca="1" si="68"/>
        <v>0</v>
      </c>
      <c r="CI26" s="1482">
        <f t="shared" ca="1" si="69"/>
        <v>0</v>
      </c>
      <c r="CJ26" s="1482">
        <f t="shared" ca="1" si="69"/>
        <v>0</v>
      </c>
      <c r="CK26" s="1482">
        <f t="shared" ca="1" si="69"/>
        <v>0</v>
      </c>
      <c r="CL26" s="1482">
        <f t="shared" ca="1" si="69"/>
        <v>0</v>
      </c>
      <c r="CM26" s="1482">
        <f t="shared" ca="1" si="69"/>
        <v>0</v>
      </c>
      <c r="CN26" s="1482">
        <f t="shared" ca="1" si="69"/>
        <v>0</v>
      </c>
      <c r="CO26" s="1482">
        <f t="shared" ca="1" si="69"/>
        <v>0</v>
      </c>
      <c r="CP26" s="1482">
        <f t="shared" ca="1" si="69"/>
        <v>0</v>
      </c>
      <c r="CQ26" s="1482">
        <f t="shared" ca="1" si="69"/>
        <v>0</v>
      </c>
      <c r="CR26" s="1482">
        <f t="shared" ca="1" si="69"/>
        <v>0</v>
      </c>
      <c r="CS26" s="1482">
        <f t="shared" ca="1" si="70"/>
        <v>0</v>
      </c>
      <c r="CT26" s="1482">
        <f t="shared" ca="1" si="70"/>
        <v>0</v>
      </c>
      <c r="CU26" s="1482">
        <f t="shared" ca="1" si="70"/>
        <v>38.247918853697833</v>
      </c>
      <c r="CV26" s="1482">
        <f t="shared" ca="1" si="70"/>
        <v>4.7618507979587513E-2</v>
      </c>
      <c r="CW26" s="1482">
        <f t="shared" ca="1" si="70"/>
        <v>0.68815843363024276</v>
      </c>
      <c r="CX26" s="1482">
        <f t="shared" ca="1" si="70"/>
        <v>0</v>
      </c>
      <c r="CY26" s="1482">
        <f t="shared" ca="1" si="70"/>
        <v>0</v>
      </c>
      <c r="CZ26" s="1482">
        <f t="shared" ca="1" si="70"/>
        <v>0</v>
      </c>
      <c r="DA26" s="1482">
        <f t="shared" ca="1" si="70"/>
        <v>0</v>
      </c>
      <c r="DB26" s="1482">
        <f t="shared" ca="1" si="70"/>
        <v>0</v>
      </c>
      <c r="DC26" s="1482">
        <f t="shared" ca="1" si="70"/>
        <v>0</v>
      </c>
      <c r="DD26" s="1482">
        <f t="shared" ca="1" si="70"/>
        <v>0</v>
      </c>
      <c r="DE26" s="1482">
        <f t="shared" ca="1" si="70"/>
        <v>0</v>
      </c>
      <c r="DF26" s="1482">
        <f t="shared" ca="1" si="70"/>
        <v>0</v>
      </c>
      <c r="DH26" s="838">
        <f t="shared" ca="1" si="35"/>
        <v>38.983695795307661</v>
      </c>
    </row>
    <row r="27" spans="1:112" s="743" customFormat="1" ht="10.5" hidden="1" customHeight="1" outlineLevel="2">
      <c r="A27" s="1483"/>
      <c r="B27" s="1483"/>
      <c r="C27" s="1009" t="s">
        <v>954</v>
      </c>
      <c r="D27" s="1005" t="str">
        <f>INDEX(Modules[Module], MATCH($C27, Modules[Code], 0))</f>
        <v>Domestic aviation [UNUSED - see XII.a]</v>
      </c>
      <c r="E27" s="1006"/>
      <c r="G27" s="1018">
        <f t="shared" ca="1" si="58"/>
        <v>0</v>
      </c>
      <c r="H27" s="1018">
        <f t="shared" ca="1" si="58"/>
        <v>0</v>
      </c>
      <c r="I27" s="1018">
        <f t="shared" ca="1" si="58"/>
        <v>0</v>
      </c>
      <c r="J27" s="1018">
        <f t="shared" ca="1" si="58"/>
        <v>0</v>
      </c>
      <c r="K27" s="1018">
        <f t="shared" ca="1" si="58"/>
        <v>0</v>
      </c>
      <c r="L27" s="1018">
        <f t="shared" ca="1" si="58"/>
        <v>0</v>
      </c>
      <c r="M27" s="1018">
        <f t="shared" ca="1" si="58"/>
        <v>0</v>
      </c>
      <c r="N27" s="1018">
        <f t="shared" ca="1" si="58"/>
        <v>0</v>
      </c>
      <c r="O27" s="1018">
        <f t="shared" ca="1" si="58"/>
        <v>0</v>
      </c>
      <c r="P27" s="1018">
        <f t="shared" ca="1" si="58"/>
        <v>0</v>
      </c>
      <c r="Q27" s="1024">
        <f t="shared" ca="1" si="59"/>
        <v>0</v>
      </c>
      <c r="S27" s="1028">
        <f t="shared" ca="1" si="60"/>
        <v>0</v>
      </c>
      <c r="T27" s="1028">
        <f t="shared" ca="1" si="60"/>
        <v>0</v>
      </c>
      <c r="U27" s="1028">
        <f t="shared" ca="1" si="60"/>
        <v>0</v>
      </c>
      <c r="V27" s="1028">
        <f t="shared" ca="1" si="60"/>
        <v>0</v>
      </c>
      <c r="W27" s="1028">
        <f t="shared" ca="1" si="60"/>
        <v>0</v>
      </c>
      <c r="X27" s="1028">
        <f t="shared" ca="1" si="61"/>
        <v>0</v>
      </c>
      <c r="Y27" s="1028">
        <f t="shared" ca="1" si="61"/>
        <v>0</v>
      </c>
      <c r="Z27" s="1028">
        <f t="shared" ca="1" si="61"/>
        <v>0</v>
      </c>
      <c r="AA27" s="1028">
        <f t="shared" ca="1" si="60"/>
        <v>0</v>
      </c>
      <c r="AB27" s="1028">
        <f t="shared" ca="1" si="60"/>
        <v>0</v>
      </c>
      <c r="AC27" s="1028">
        <f t="shared" ca="1" si="60"/>
        <v>0</v>
      </c>
      <c r="AD27" s="1028">
        <f t="shared" ca="1" si="60"/>
        <v>0</v>
      </c>
      <c r="AE27" s="1028">
        <f t="shared" ca="1" si="60"/>
        <v>0</v>
      </c>
      <c r="AF27" s="1028">
        <f t="shared" ca="1" si="60"/>
        <v>0</v>
      </c>
      <c r="AG27" s="1028">
        <f t="shared" ca="1" si="60"/>
        <v>0</v>
      </c>
      <c r="AH27" s="1028">
        <f t="shared" ca="1" si="60"/>
        <v>0</v>
      </c>
      <c r="AI27" s="1028">
        <f t="shared" ca="1" si="60"/>
        <v>0</v>
      </c>
      <c r="AJ27" s="1028">
        <f t="shared" ca="1" si="60"/>
        <v>0</v>
      </c>
      <c r="AK27" s="1029">
        <f t="shared" ca="1" si="62"/>
        <v>0</v>
      </c>
      <c r="AM27" s="1039">
        <f t="shared" ca="1" si="63"/>
        <v>0</v>
      </c>
      <c r="AN27" s="1039">
        <f t="shared" ca="1" si="63"/>
        <v>0</v>
      </c>
      <c r="AO27" s="1039">
        <f t="shared" ca="1" si="63"/>
        <v>0</v>
      </c>
      <c r="AP27" s="1039">
        <f t="shared" ca="1" si="63"/>
        <v>0</v>
      </c>
      <c r="AQ27" s="1039">
        <f t="shared" ca="1" si="63"/>
        <v>0</v>
      </c>
      <c r="AR27" s="1039">
        <f t="shared" ca="1" si="63"/>
        <v>0</v>
      </c>
      <c r="AS27" s="1039">
        <f t="shared" ca="1" si="63"/>
        <v>0</v>
      </c>
      <c r="AT27" s="1039">
        <f t="shared" ca="1" si="63"/>
        <v>0</v>
      </c>
      <c r="AU27" s="1039">
        <f t="shared" ca="1" si="63"/>
        <v>0</v>
      </c>
      <c r="AV27" s="1039">
        <f t="shared" ca="1" si="60"/>
        <v>0</v>
      </c>
      <c r="AW27" s="1039">
        <f t="shared" ca="1" si="60"/>
        <v>0</v>
      </c>
      <c r="AX27" s="1039">
        <f t="shared" ca="1" si="60"/>
        <v>0</v>
      </c>
      <c r="AY27" s="1039">
        <f t="shared" ca="1" si="60"/>
        <v>0</v>
      </c>
      <c r="AZ27" s="1039">
        <f t="shared" ca="1" si="60"/>
        <v>0</v>
      </c>
      <c r="BA27" s="1039">
        <f t="shared" ca="1" si="60"/>
        <v>0</v>
      </c>
      <c r="BB27" s="1039">
        <f t="shared" ca="1" si="60"/>
        <v>0</v>
      </c>
      <c r="BC27" s="1039">
        <f t="shared" ca="1" si="60"/>
        <v>0</v>
      </c>
      <c r="BD27" s="1039">
        <f t="shared" ca="1" si="60"/>
        <v>0</v>
      </c>
      <c r="BE27" s="1039">
        <f t="shared" ca="1" si="60"/>
        <v>0</v>
      </c>
      <c r="BF27" s="1008">
        <f t="shared" ca="1" si="64"/>
        <v>0</v>
      </c>
      <c r="BH27" s="1033">
        <f t="shared" ca="1" si="65"/>
        <v>0</v>
      </c>
      <c r="BI27" s="1033">
        <f t="shared" ca="1" si="65"/>
        <v>0</v>
      </c>
      <c r="BJ27" s="1044">
        <f t="shared" ca="1" si="66"/>
        <v>0</v>
      </c>
      <c r="BL27" s="1007">
        <f t="shared" ca="1" si="9"/>
        <v>0</v>
      </c>
      <c r="BM27" s="1007"/>
      <c r="BN27" s="840"/>
      <c r="BO27" s="1481">
        <f t="shared" ca="1" si="67"/>
        <v>0</v>
      </c>
      <c r="BP27" s="1482">
        <f t="shared" ca="1" si="67"/>
        <v>0</v>
      </c>
      <c r="BQ27" s="1482">
        <f t="shared" ca="1" si="67"/>
        <v>0</v>
      </c>
      <c r="BR27" s="1482">
        <f t="shared" ca="1" si="67"/>
        <v>0</v>
      </c>
      <c r="BS27" s="1482">
        <f t="shared" ca="1" si="67"/>
        <v>0</v>
      </c>
      <c r="BT27" s="1482">
        <f t="shared" ca="1" si="67"/>
        <v>0</v>
      </c>
      <c r="BU27" s="1482">
        <f t="shared" ca="1" si="67"/>
        <v>0</v>
      </c>
      <c r="BV27" s="1482">
        <f t="shared" ca="1" si="67"/>
        <v>0</v>
      </c>
      <c r="BW27" s="1482">
        <f t="shared" ca="1" si="67"/>
        <v>0</v>
      </c>
      <c r="BX27" s="1482">
        <f t="shared" ca="1" si="67"/>
        <v>0</v>
      </c>
      <c r="BY27" s="1482">
        <f t="shared" ca="1" si="68"/>
        <v>0</v>
      </c>
      <c r="BZ27" s="1482">
        <f t="shared" ca="1" si="68"/>
        <v>0</v>
      </c>
      <c r="CA27" s="1482">
        <f t="shared" ca="1" si="68"/>
        <v>0</v>
      </c>
      <c r="CB27" s="1482">
        <f t="shared" ca="1" si="68"/>
        <v>0</v>
      </c>
      <c r="CC27" s="1482">
        <f t="shared" ca="1" si="68"/>
        <v>0</v>
      </c>
      <c r="CD27" s="1482">
        <f t="shared" ca="1" si="68"/>
        <v>0</v>
      </c>
      <c r="CE27" s="1482">
        <f t="shared" ca="1" si="68"/>
        <v>0</v>
      </c>
      <c r="CF27" s="1482">
        <f t="shared" ca="1" si="68"/>
        <v>0</v>
      </c>
      <c r="CG27" s="1482">
        <f t="shared" ca="1" si="68"/>
        <v>0</v>
      </c>
      <c r="CH27" s="1482">
        <f t="shared" ca="1" si="68"/>
        <v>0</v>
      </c>
      <c r="CI27" s="1482">
        <f t="shared" ca="1" si="69"/>
        <v>0</v>
      </c>
      <c r="CJ27" s="1482">
        <f t="shared" ca="1" si="69"/>
        <v>0</v>
      </c>
      <c r="CK27" s="1482">
        <f t="shared" ca="1" si="69"/>
        <v>0</v>
      </c>
      <c r="CL27" s="1482">
        <f t="shared" ca="1" si="69"/>
        <v>0</v>
      </c>
      <c r="CM27" s="1482">
        <f t="shared" ca="1" si="69"/>
        <v>0</v>
      </c>
      <c r="CN27" s="1482">
        <f t="shared" ca="1" si="69"/>
        <v>0</v>
      </c>
      <c r="CO27" s="1482">
        <f t="shared" ca="1" si="69"/>
        <v>0</v>
      </c>
      <c r="CP27" s="1482">
        <f t="shared" ca="1" si="69"/>
        <v>0</v>
      </c>
      <c r="CQ27" s="1482">
        <f t="shared" ca="1" si="69"/>
        <v>0</v>
      </c>
      <c r="CR27" s="1482">
        <f t="shared" ca="1" si="69"/>
        <v>0</v>
      </c>
      <c r="CS27" s="1482">
        <f t="shared" ca="1" si="70"/>
        <v>0</v>
      </c>
      <c r="CT27" s="1482">
        <f t="shared" ca="1" si="70"/>
        <v>0</v>
      </c>
      <c r="CU27" s="1482">
        <f t="shared" ca="1" si="70"/>
        <v>0</v>
      </c>
      <c r="CV27" s="1482">
        <f t="shared" ca="1" si="70"/>
        <v>0</v>
      </c>
      <c r="CW27" s="1482">
        <f t="shared" ca="1" si="70"/>
        <v>0</v>
      </c>
      <c r="CX27" s="1482">
        <f t="shared" ca="1" si="70"/>
        <v>0</v>
      </c>
      <c r="CY27" s="1482">
        <f t="shared" ca="1" si="70"/>
        <v>0</v>
      </c>
      <c r="CZ27" s="1482">
        <f t="shared" ca="1" si="70"/>
        <v>0</v>
      </c>
      <c r="DA27" s="1482">
        <f t="shared" ca="1" si="70"/>
        <v>0</v>
      </c>
      <c r="DB27" s="1482">
        <f t="shared" ca="1" si="70"/>
        <v>0</v>
      </c>
      <c r="DC27" s="1482">
        <f t="shared" ca="1" si="70"/>
        <v>0</v>
      </c>
      <c r="DD27" s="1482">
        <f t="shared" ca="1" si="70"/>
        <v>0</v>
      </c>
      <c r="DE27" s="1482">
        <f t="shared" ca="1" si="70"/>
        <v>0</v>
      </c>
      <c r="DF27" s="1482">
        <f t="shared" ca="1" si="70"/>
        <v>0</v>
      </c>
      <c r="DH27" s="838">
        <f t="shared" ca="1" si="35"/>
        <v>0</v>
      </c>
    </row>
    <row r="28" spans="1:112" s="743" customFormat="1" ht="10.5" hidden="1" customHeight="1" outlineLevel="1">
      <c r="A28" s="1484"/>
      <c r="B28" s="1484"/>
      <c r="C28" s="746"/>
      <c r="D28" s="523" t="s">
        <v>960</v>
      </c>
      <c r="E28" s="1006"/>
      <c r="G28" s="1019">
        <f ca="1">SUM(G26:G27)</f>
        <v>0</v>
      </c>
      <c r="H28" s="1019">
        <f t="shared" ref="H28:P28" ca="1" si="71">SUM(H26:H27)</f>
        <v>0</v>
      </c>
      <c r="I28" s="1019">
        <f t="shared" ca="1" si="71"/>
        <v>0</v>
      </c>
      <c r="J28" s="1019">
        <f t="shared" ca="1" si="71"/>
        <v>0</v>
      </c>
      <c r="K28" s="1019">
        <f t="shared" ca="1" si="71"/>
        <v>0</v>
      </c>
      <c r="L28" s="1019">
        <f t="shared" ca="1" si="71"/>
        <v>0</v>
      </c>
      <c r="M28" s="1019">
        <f t="shared" ca="1" si="71"/>
        <v>0</v>
      </c>
      <c r="N28" s="1019">
        <f ca="1">SUM(N26:N27)</f>
        <v>152.99167541479133</v>
      </c>
      <c r="O28" s="1019">
        <f ca="1">SUM(O26:O27)</f>
        <v>0</v>
      </c>
      <c r="P28" s="1019">
        <f t="shared" ca="1" si="71"/>
        <v>0</v>
      </c>
      <c r="Q28" s="1019">
        <f t="shared" ca="1" si="59"/>
        <v>152.99167541479133</v>
      </c>
      <c r="S28" s="1027">
        <f t="shared" ref="S28:AJ28" ca="1" si="72">SUM(S26:S27)</f>
        <v>0</v>
      </c>
      <c r="T28" s="1027">
        <f t="shared" ca="1" si="72"/>
        <v>0</v>
      </c>
      <c r="U28" s="1027">
        <f t="shared" ca="1" si="72"/>
        <v>0</v>
      </c>
      <c r="V28" s="1027">
        <f t="shared" ca="1" si="72"/>
        <v>-152.99167541479133</v>
      </c>
      <c r="W28" s="1027">
        <f t="shared" ca="1" si="72"/>
        <v>0</v>
      </c>
      <c r="X28" s="1027">
        <f t="shared" ca="1" si="72"/>
        <v>0</v>
      </c>
      <c r="Y28" s="1027">
        <f t="shared" ca="1" si="72"/>
        <v>0</v>
      </c>
      <c r="Z28" s="1027">
        <f t="shared" ca="1" si="72"/>
        <v>0</v>
      </c>
      <c r="AA28" s="1027">
        <f t="shared" ca="1" si="72"/>
        <v>0</v>
      </c>
      <c r="AB28" s="1027">
        <f t="shared" ca="1" si="72"/>
        <v>0</v>
      </c>
      <c r="AC28" s="1027">
        <f t="shared" ca="1" si="72"/>
        <v>0</v>
      </c>
      <c r="AD28" s="1027">
        <f t="shared" ca="1" si="72"/>
        <v>0</v>
      </c>
      <c r="AE28" s="1027">
        <f ca="1">SUM(AE26:AE27)</f>
        <v>0</v>
      </c>
      <c r="AF28" s="1027">
        <f t="shared" ca="1" si="72"/>
        <v>0</v>
      </c>
      <c r="AG28" s="1027">
        <f t="shared" ca="1" si="72"/>
        <v>0</v>
      </c>
      <c r="AH28" s="1027">
        <f ca="1">SUM(AH26:AH27)</f>
        <v>0</v>
      </c>
      <c r="AI28" s="1027">
        <f t="shared" ca="1" si="72"/>
        <v>0</v>
      </c>
      <c r="AJ28" s="1027">
        <f t="shared" ca="1" si="72"/>
        <v>0</v>
      </c>
      <c r="AK28" s="1027">
        <f t="shared" ca="1" si="62"/>
        <v>-152.99167541479133</v>
      </c>
      <c r="AM28" s="1040">
        <f t="shared" ref="AM28:AU28" ca="1" si="73">SUM(AM26:AM27)</f>
        <v>0</v>
      </c>
      <c r="AN28" s="1040">
        <f t="shared" ca="1" si="73"/>
        <v>0</v>
      </c>
      <c r="AO28" s="1040">
        <f t="shared" ca="1" si="73"/>
        <v>0</v>
      </c>
      <c r="AP28" s="1040">
        <f t="shared" ca="1" si="73"/>
        <v>0</v>
      </c>
      <c r="AQ28" s="1040">
        <f t="shared" ca="1" si="73"/>
        <v>0</v>
      </c>
      <c r="AR28" s="1040">
        <f t="shared" ca="1" si="73"/>
        <v>0</v>
      </c>
      <c r="AS28" s="1040">
        <f t="shared" ca="1" si="73"/>
        <v>0</v>
      </c>
      <c r="AT28" s="1040">
        <f t="shared" ca="1" si="73"/>
        <v>0</v>
      </c>
      <c r="AU28" s="1040">
        <f t="shared" ca="1" si="73"/>
        <v>0</v>
      </c>
      <c r="AV28" s="1040">
        <f t="shared" ref="AV28:BE28" ca="1" si="74">SUM(AV26:AV27)</f>
        <v>0</v>
      </c>
      <c r="AW28" s="1040">
        <f t="shared" ca="1" si="74"/>
        <v>0</v>
      </c>
      <c r="AX28" s="1040">
        <f t="shared" ca="1" si="74"/>
        <v>0</v>
      </c>
      <c r="AY28" s="1040">
        <f t="shared" ca="1" si="74"/>
        <v>0</v>
      </c>
      <c r="AZ28" s="1040">
        <f t="shared" ca="1" si="74"/>
        <v>0</v>
      </c>
      <c r="BA28" s="1040">
        <f t="shared" ca="1" si="74"/>
        <v>0</v>
      </c>
      <c r="BB28" s="1040">
        <f t="shared" ca="1" si="74"/>
        <v>0</v>
      </c>
      <c r="BC28" s="1040">
        <f t="shared" ca="1" si="74"/>
        <v>0</v>
      </c>
      <c r="BD28" s="1040">
        <f ca="1">SUM(BD26:BD27)</f>
        <v>0</v>
      </c>
      <c r="BE28" s="1040">
        <f t="shared" ca="1" si="74"/>
        <v>0</v>
      </c>
      <c r="BF28" s="977">
        <f t="shared" ca="1" si="64"/>
        <v>0</v>
      </c>
      <c r="BH28" s="1034">
        <f ca="1">SUM(BH26:BH27)</f>
        <v>0</v>
      </c>
      <c r="BI28" s="1034">
        <f ca="1">SUM(BI26:BI27)</f>
        <v>0</v>
      </c>
      <c r="BJ28" s="1034">
        <f t="shared" ca="1" si="66"/>
        <v>0</v>
      </c>
      <c r="BL28" s="524">
        <f t="shared" ca="1" si="9"/>
        <v>0</v>
      </c>
      <c r="BM28" s="524"/>
      <c r="BN28" s="840"/>
      <c r="BO28" s="1481">
        <f t="shared" ref="BO28:DF28" ca="1" si="75">SUM(BO26:BO27)</f>
        <v>0</v>
      </c>
      <c r="BP28" s="1482">
        <f t="shared" ca="1" si="75"/>
        <v>0</v>
      </c>
      <c r="BQ28" s="1482">
        <f t="shared" ca="1" si="75"/>
        <v>0</v>
      </c>
      <c r="BR28" s="1482">
        <f t="shared" ca="1" si="75"/>
        <v>0</v>
      </c>
      <c r="BS28" s="1482">
        <f t="shared" ca="1" si="75"/>
        <v>0</v>
      </c>
      <c r="BT28" s="1482">
        <f t="shared" ca="1" si="75"/>
        <v>0</v>
      </c>
      <c r="BU28" s="1482">
        <f t="shared" ca="1" si="75"/>
        <v>0</v>
      </c>
      <c r="BV28" s="1482">
        <f t="shared" ca="1" si="75"/>
        <v>0</v>
      </c>
      <c r="BW28" s="1482">
        <f t="shared" ca="1" si="75"/>
        <v>0</v>
      </c>
      <c r="BX28" s="1482">
        <f t="shared" ca="1" si="75"/>
        <v>0</v>
      </c>
      <c r="BY28" s="1482">
        <f t="shared" ca="1" si="75"/>
        <v>0</v>
      </c>
      <c r="BZ28" s="1482">
        <f t="shared" ca="1" si="75"/>
        <v>0</v>
      </c>
      <c r="CA28" s="1482">
        <f t="shared" ca="1" si="75"/>
        <v>0</v>
      </c>
      <c r="CB28" s="1482">
        <f t="shared" ca="1" si="75"/>
        <v>0</v>
      </c>
      <c r="CC28" s="1482">
        <f t="shared" ca="1" si="75"/>
        <v>0</v>
      </c>
      <c r="CD28" s="1482">
        <f t="shared" ca="1" si="75"/>
        <v>0</v>
      </c>
      <c r="CE28" s="1482">
        <f t="shared" ca="1" si="75"/>
        <v>0</v>
      </c>
      <c r="CF28" s="1482">
        <f t="shared" ca="1" si="75"/>
        <v>0</v>
      </c>
      <c r="CG28" s="1482">
        <f t="shared" ca="1" si="75"/>
        <v>0</v>
      </c>
      <c r="CH28" s="1482">
        <f t="shared" ca="1" si="75"/>
        <v>0</v>
      </c>
      <c r="CI28" s="1482">
        <f t="shared" ca="1" si="75"/>
        <v>0</v>
      </c>
      <c r="CJ28" s="1482">
        <f t="shared" ca="1" si="75"/>
        <v>0</v>
      </c>
      <c r="CK28" s="1482">
        <f t="shared" ca="1" si="75"/>
        <v>0</v>
      </c>
      <c r="CL28" s="1482">
        <f t="shared" ca="1" si="75"/>
        <v>0</v>
      </c>
      <c r="CM28" s="1482">
        <f t="shared" ca="1" si="75"/>
        <v>0</v>
      </c>
      <c r="CN28" s="1482">
        <f t="shared" ca="1" si="75"/>
        <v>0</v>
      </c>
      <c r="CO28" s="1482">
        <f t="shared" ca="1" si="75"/>
        <v>0</v>
      </c>
      <c r="CP28" s="1482">
        <f t="shared" ca="1" si="75"/>
        <v>0</v>
      </c>
      <c r="CQ28" s="1482">
        <f t="shared" ca="1" si="75"/>
        <v>0</v>
      </c>
      <c r="CR28" s="1482">
        <f t="shared" ca="1" si="75"/>
        <v>0</v>
      </c>
      <c r="CS28" s="1482">
        <f t="shared" ca="1" si="75"/>
        <v>0</v>
      </c>
      <c r="CT28" s="1482">
        <f t="shared" ca="1" si="75"/>
        <v>0</v>
      </c>
      <c r="CU28" s="1482">
        <f t="shared" ca="1" si="75"/>
        <v>38.247918853697833</v>
      </c>
      <c r="CV28" s="1482">
        <f t="shared" ca="1" si="75"/>
        <v>4.7618507979587513E-2</v>
      </c>
      <c r="CW28" s="1482">
        <f t="shared" ca="1" si="75"/>
        <v>0.68815843363024276</v>
      </c>
      <c r="CX28" s="1482">
        <f t="shared" ca="1" si="75"/>
        <v>0</v>
      </c>
      <c r="CY28" s="1482">
        <f t="shared" ca="1" si="75"/>
        <v>0</v>
      </c>
      <c r="CZ28" s="1482">
        <f t="shared" ca="1" si="75"/>
        <v>0</v>
      </c>
      <c r="DA28" s="1482">
        <f t="shared" ca="1" si="75"/>
        <v>0</v>
      </c>
      <c r="DB28" s="1482">
        <f t="shared" ca="1" si="75"/>
        <v>0</v>
      </c>
      <c r="DC28" s="1482">
        <f t="shared" ca="1" si="75"/>
        <v>0</v>
      </c>
      <c r="DD28" s="1482">
        <f t="shared" ca="1" si="75"/>
        <v>0</v>
      </c>
      <c r="DE28" s="1482">
        <f t="shared" ca="1" si="75"/>
        <v>0</v>
      </c>
      <c r="DF28" s="1482">
        <f t="shared" ca="1" si="75"/>
        <v>0</v>
      </c>
      <c r="DH28" s="838">
        <f t="shared" ca="1" si="35"/>
        <v>38.983695795307661</v>
      </c>
    </row>
    <row r="29" spans="1:112" s="743" customFormat="1" ht="12.75" hidden="1" customHeight="1" outlineLevel="2">
      <c r="A29" s="1480"/>
      <c r="B29" s="1480"/>
      <c r="C29" s="746" t="s">
        <v>957</v>
      </c>
      <c r="D29" s="523" t="str">
        <f>INDEX(Modules[Module], MATCH($C29, Modules[Code], 0))</f>
        <v>International shipping (maritime bunkers)</v>
      </c>
      <c r="E29" s="1006"/>
      <c r="G29" s="1017">
        <f t="shared" ref="G29:P30" ca="1" si="76">IFERROR(INDEX(INDIRECT($C29&amp;".Outputs["&amp;this.Year&amp;"]"), MATCH(G$5, INDIRECT($C29&amp;".Outputs[Vector]"), 0)), 0)</f>
        <v>0</v>
      </c>
      <c r="H29" s="1017">
        <f t="shared" ca="1" si="76"/>
        <v>0</v>
      </c>
      <c r="I29" s="1017">
        <f t="shared" ca="1" si="76"/>
        <v>0</v>
      </c>
      <c r="J29" s="1017">
        <f t="shared" ca="1" si="76"/>
        <v>0</v>
      </c>
      <c r="K29" s="1017">
        <f t="shared" ca="1" si="76"/>
        <v>0</v>
      </c>
      <c r="L29" s="1017">
        <f t="shared" ca="1" si="76"/>
        <v>0</v>
      </c>
      <c r="M29" s="1017">
        <f t="shared" ca="1" si="76"/>
        <v>0</v>
      </c>
      <c r="N29" s="1017">
        <f t="shared" ca="1" si="76"/>
        <v>0</v>
      </c>
      <c r="O29" s="1017">
        <f t="shared" ca="1" si="76"/>
        <v>29.222291428230907</v>
      </c>
      <c r="P29" s="1017">
        <f t="shared" ca="1" si="76"/>
        <v>0</v>
      </c>
      <c r="Q29" s="1019">
        <f t="shared" ca="1" si="59"/>
        <v>29.222291428230907</v>
      </c>
      <c r="S29" s="1026">
        <f t="shared" ca="1" si="60"/>
        <v>0</v>
      </c>
      <c r="T29" s="1026">
        <f t="shared" ca="1" si="60"/>
        <v>0</v>
      </c>
      <c r="U29" s="1026">
        <f t="shared" ca="1" si="60"/>
        <v>0</v>
      </c>
      <c r="V29" s="1026">
        <f t="shared" ca="1" si="60"/>
        <v>-29.222291428230907</v>
      </c>
      <c r="W29" s="1026">
        <f t="shared" ca="1" si="60"/>
        <v>0</v>
      </c>
      <c r="X29" s="1026">
        <f t="shared" ref="X29:Z30" ca="1" si="77">IFERROR(INDEX(INDIRECT($C29&amp;".Outputs["&amp;this.Year&amp;"]"), MATCH(X$5, INDIRECT($C29&amp;".Outputs[Vector]"), 0)), 0)</f>
        <v>0</v>
      </c>
      <c r="Y29" s="1026">
        <f t="shared" ca="1" si="77"/>
        <v>0</v>
      </c>
      <c r="Z29" s="1026">
        <f t="shared" ca="1" si="77"/>
        <v>0</v>
      </c>
      <c r="AA29" s="1026">
        <f t="shared" ca="1" si="60"/>
        <v>0</v>
      </c>
      <c r="AB29" s="1026">
        <f t="shared" ca="1" si="60"/>
        <v>0</v>
      </c>
      <c r="AC29" s="1026">
        <f t="shared" ca="1" si="60"/>
        <v>0</v>
      </c>
      <c r="AD29" s="1026">
        <f t="shared" ca="1" si="60"/>
        <v>0</v>
      </c>
      <c r="AE29" s="1026">
        <f t="shared" ca="1" si="60"/>
        <v>0</v>
      </c>
      <c r="AF29" s="1026">
        <f t="shared" ca="1" si="60"/>
        <v>0</v>
      </c>
      <c r="AG29" s="1026">
        <f t="shared" ca="1" si="60"/>
        <v>0</v>
      </c>
      <c r="AH29" s="1026">
        <f t="shared" ca="1" si="60"/>
        <v>0</v>
      </c>
      <c r="AI29" s="1026">
        <f t="shared" ca="1" si="60"/>
        <v>0</v>
      </c>
      <c r="AJ29" s="1026">
        <f t="shared" ca="1" si="60"/>
        <v>0</v>
      </c>
      <c r="AK29" s="1027">
        <f t="shared" ca="1" si="62"/>
        <v>-29.222291428230907</v>
      </c>
      <c r="AM29" s="1038">
        <f t="shared" ref="AM29:AU30" ca="1" si="78">IFERROR(INDEX(INDIRECT($C29&amp;".Outputs["&amp;this.Year&amp;"]"), MATCH(AM$5, INDIRECT($C29&amp;".Outputs[Vector]"), 0)), 0)</f>
        <v>0</v>
      </c>
      <c r="AN29" s="1038">
        <f t="shared" ca="1" si="78"/>
        <v>0</v>
      </c>
      <c r="AO29" s="1038">
        <f t="shared" ca="1" si="78"/>
        <v>0</v>
      </c>
      <c r="AP29" s="1038">
        <f t="shared" ca="1" si="78"/>
        <v>0</v>
      </c>
      <c r="AQ29" s="1038">
        <f t="shared" ca="1" si="78"/>
        <v>0</v>
      </c>
      <c r="AR29" s="1038">
        <f t="shared" ca="1" si="78"/>
        <v>0</v>
      </c>
      <c r="AS29" s="1038">
        <f t="shared" ca="1" si="78"/>
        <v>0</v>
      </c>
      <c r="AT29" s="1038">
        <f t="shared" ca="1" si="78"/>
        <v>0</v>
      </c>
      <c r="AU29" s="1038">
        <f t="shared" ca="1" si="78"/>
        <v>0</v>
      </c>
      <c r="AV29" s="1038">
        <f t="shared" ca="1" si="60"/>
        <v>0</v>
      </c>
      <c r="AW29" s="1038">
        <f t="shared" ca="1" si="60"/>
        <v>0</v>
      </c>
      <c r="AX29" s="1038">
        <f t="shared" ca="1" si="60"/>
        <v>0</v>
      </c>
      <c r="AY29" s="1038">
        <f t="shared" ca="1" si="60"/>
        <v>0</v>
      </c>
      <c r="AZ29" s="1038">
        <f t="shared" ca="1" si="60"/>
        <v>0</v>
      </c>
      <c r="BA29" s="1038">
        <f t="shared" ca="1" si="60"/>
        <v>0</v>
      </c>
      <c r="BB29" s="1038">
        <f t="shared" ca="1" si="60"/>
        <v>0</v>
      </c>
      <c r="BC29" s="1038">
        <f t="shared" ca="1" si="60"/>
        <v>0</v>
      </c>
      <c r="BD29" s="1038">
        <f t="shared" ca="1" si="60"/>
        <v>0</v>
      </c>
      <c r="BE29" s="1038">
        <f t="shared" ca="1" si="60"/>
        <v>0</v>
      </c>
      <c r="BF29" s="979">
        <f t="shared" ca="1" si="64"/>
        <v>0</v>
      </c>
      <c r="BH29" s="1032">
        <f t="shared" ca="1" si="65"/>
        <v>0</v>
      </c>
      <c r="BI29" s="1032">
        <f t="shared" ca="1" si="65"/>
        <v>0</v>
      </c>
      <c r="BJ29" s="1034">
        <f t="shared" ca="1" si="66"/>
        <v>0</v>
      </c>
      <c r="BL29" s="814">
        <f t="shared" ca="1" si="9"/>
        <v>0</v>
      </c>
      <c r="BM29" s="814"/>
      <c r="BN29" s="840"/>
      <c r="BO29" s="1481">
        <f t="shared" ref="BO29:BX30" ca="1" si="79">IFERROR(SUMIFS(INDIRECT($C29&amp;".Emissions["&amp;this.Year&amp;"]"), INDIRECT($C29&amp;".Emissions[GHG]"), BO$6, INDIRECT($C29&amp;".Emissions[IPCC Sector]"), BO$5),0)</f>
        <v>0</v>
      </c>
      <c r="BP29" s="1482">
        <f t="shared" ca="1" si="79"/>
        <v>0</v>
      </c>
      <c r="BQ29" s="1482">
        <f t="shared" ca="1" si="79"/>
        <v>0</v>
      </c>
      <c r="BR29" s="1482">
        <f t="shared" ca="1" si="79"/>
        <v>0</v>
      </c>
      <c r="BS29" s="1482">
        <f t="shared" ca="1" si="79"/>
        <v>0</v>
      </c>
      <c r="BT29" s="1482">
        <f t="shared" ca="1" si="79"/>
        <v>0</v>
      </c>
      <c r="BU29" s="1482">
        <f t="shared" ca="1" si="79"/>
        <v>0</v>
      </c>
      <c r="BV29" s="1482">
        <f t="shared" ca="1" si="79"/>
        <v>0</v>
      </c>
      <c r="BW29" s="1482">
        <f t="shared" ca="1" si="79"/>
        <v>0</v>
      </c>
      <c r="BX29" s="1482">
        <f t="shared" ca="1" si="79"/>
        <v>0</v>
      </c>
      <c r="BY29" s="1482">
        <f t="shared" ref="BY29:CH30" ca="1" si="80">IFERROR(SUMIFS(INDIRECT($C29&amp;".Emissions["&amp;this.Year&amp;"]"), INDIRECT($C29&amp;".Emissions[GHG]"), BY$6, INDIRECT($C29&amp;".Emissions[IPCC Sector]"), BY$5),0)</f>
        <v>0</v>
      </c>
      <c r="BZ29" s="1482">
        <f t="shared" ca="1" si="80"/>
        <v>0</v>
      </c>
      <c r="CA29" s="1482">
        <f t="shared" ca="1" si="80"/>
        <v>0</v>
      </c>
      <c r="CB29" s="1482">
        <f t="shared" ca="1" si="80"/>
        <v>0</v>
      </c>
      <c r="CC29" s="1482">
        <f t="shared" ca="1" si="80"/>
        <v>0</v>
      </c>
      <c r="CD29" s="1482">
        <f t="shared" ca="1" si="80"/>
        <v>0</v>
      </c>
      <c r="CE29" s="1482">
        <f t="shared" ca="1" si="80"/>
        <v>0</v>
      </c>
      <c r="CF29" s="1482">
        <f t="shared" ca="1" si="80"/>
        <v>0</v>
      </c>
      <c r="CG29" s="1482">
        <f t="shared" ca="1" si="80"/>
        <v>0</v>
      </c>
      <c r="CH29" s="1482">
        <f t="shared" ca="1" si="80"/>
        <v>0</v>
      </c>
      <c r="CI29" s="1482">
        <f t="shared" ref="CI29:CR30" ca="1" si="81">IFERROR(SUMIFS(INDIRECT($C29&amp;".Emissions["&amp;this.Year&amp;"]"), INDIRECT($C29&amp;".Emissions[GHG]"), CI$6, INDIRECT($C29&amp;".Emissions[IPCC Sector]"), CI$5),0)</f>
        <v>0</v>
      </c>
      <c r="CJ29" s="1482">
        <f t="shared" ca="1" si="81"/>
        <v>0</v>
      </c>
      <c r="CK29" s="1482">
        <f t="shared" ca="1" si="81"/>
        <v>0</v>
      </c>
      <c r="CL29" s="1482">
        <f t="shared" ca="1" si="81"/>
        <v>0</v>
      </c>
      <c r="CM29" s="1482">
        <f t="shared" ca="1" si="81"/>
        <v>0</v>
      </c>
      <c r="CN29" s="1482">
        <f t="shared" ca="1" si="81"/>
        <v>0</v>
      </c>
      <c r="CO29" s="1482">
        <f t="shared" ca="1" si="81"/>
        <v>0</v>
      </c>
      <c r="CP29" s="1482">
        <f t="shared" ca="1" si="81"/>
        <v>0</v>
      </c>
      <c r="CQ29" s="1482">
        <f t="shared" ca="1" si="81"/>
        <v>0</v>
      </c>
      <c r="CR29" s="1482">
        <f t="shared" ca="1" si="81"/>
        <v>0</v>
      </c>
      <c r="CS29" s="1482">
        <f t="shared" ref="CS29:DF30" ca="1" si="82">IFERROR(SUMIFS(INDIRECT($C29&amp;".Emissions["&amp;this.Year&amp;"]"), INDIRECT($C29&amp;".Emissions[GHG]"), CS$6, INDIRECT($C29&amp;".Emissions[IPCC Sector]"), CS$5),0)</f>
        <v>0</v>
      </c>
      <c r="CT29" s="1482">
        <f t="shared" ca="1" si="82"/>
        <v>0</v>
      </c>
      <c r="CU29" s="1482">
        <f t="shared" ca="1" si="82"/>
        <v>7.3055728570577267</v>
      </c>
      <c r="CV29" s="1482">
        <f t="shared" ca="1" si="82"/>
        <v>9.0954093664530975E-3</v>
      </c>
      <c r="CW29" s="1482">
        <f t="shared" ca="1" si="82"/>
        <v>0.1314422254793717</v>
      </c>
      <c r="CX29" s="1482">
        <f t="shared" ca="1" si="82"/>
        <v>0</v>
      </c>
      <c r="CY29" s="1482">
        <f t="shared" ca="1" si="82"/>
        <v>0</v>
      </c>
      <c r="CZ29" s="1482">
        <f t="shared" ca="1" si="82"/>
        <v>0</v>
      </c>
      <c r="DA29" s="1482">
        <f t="shared" ca="1" si="82"/>
        <v>0</v>
      </c>
      <c r="DB29" s="1482">
        <f t="shared" ca="1" si="82"/>
        <v>0</v>
      </c>
      <c r="DC29" s="1482">
        <f t="shared" ca="1" si="82"/>
        <v>0</v>
      </c>
      <c r="DD29" s="1482">
        <f t="shared" ca="1" si="82"/>
        <v>0</v>
      </c>
      <c r="DE29" s="1482">
        <f t="shared" ca="1" si="82"/>
        <v>0</v>
      </c>
      <c r="DF29" s="1482">
        <f t="shared" ca="1" si="82"/>
        <v>0</v>
      </c>
      <c r="DH29" s="838">
        <f t="shared" ca="1" si="35"/>
        <v>7.4461104919035517</v>
      </c>
    </row>
    <row r="30" spans="1:112" s="743" customFormat="1" ht="10.5" hidden="1" customHeight="1" outlineLevel="2">
      <c r="A30" s="1483"/>
      <c r="B30" s="1483"/>
      <c r="C30" s="1009" t="s">
        <v>959</v>
      </c>
      <c r="D30" s="1005" t="str">
        <f>INDEX(Modules[Module], MATCH($C30, Modules[Code], 0))</f>
        <v>National navigation [UNUSED - see XII.a]</v>
      </c>
      <c r="E30" s="1006"/>
      <c r="G30" s="1018">
        <f t="shared" ca="1" si="76"/>
        <v>0</v>
      </c>
      <c r="H30" s="1018">
        <f t="shared" ca="1" si="76"/>
        <v>0</v>
      </c>
      <c r="I30" s="1018">
        <f t="shared" ca="1" si="76"/>
        <v>0</v>
      </c>
      <c r="J30" s="1018">
        <f t="shared" ca="1" si="76"/>
        <v>0</v>
      </c>
      <c r="K30" s="1018">
        <f t="shared" ca="1" si="76"/>
        <v>0</v>
      </c>
      <c r="L30" s="1018">
        <f t="shared" ca="1" si="76"/>
        <v>0</v>
      </c>
      <c r="M30" s="1018">
        <f t="shared" ca="1" si="76"/>
        <v>0</v>
      </c>
      <c r="N30" s="1018">
        <f t="shared" ca="1" si="76"/>
        <v>0</v>
      </c>
      <c r="O30" s="1018">
        <f t="shared" ca="1" si="76"/>
        <v>0</v>
      </c>
      <c r="P30" s="1018">
        <f t="shared" ca="1" si="76"/>
        <v>0</v>
      </c>
      <c r="Q30" s="1024">
        <f t="shared" ca="1" si="59"/>
        <v>0</v>
      </c>
      <c r="S30" s="1028">
        <f t="shared" ca="1" si="60"/>
        <v>0</v>
      </c>
      <c r="T30" s="1028">
        <f t="shared" ca="1" si="60"/>
        <v>0</v>
      </c>
      <c r="U30" s="1028">
        <f t="shared" ca="1" si="60"/>
        <v>0</v>
      </c>
      <c r="V30" s="1028">
        <f t="shared" ca="1" si="60"/>
        <v>0</v>
      </c>
      <c r="W30" s="1028">
        <f t="shared" ca="1" si="60"/>
        <v>0</v>
      </c>
      <c r="X30" s="1028">
        <f t="shared" ca="1" si="77"/>
        <v>0</v>
      </c>
      <c r="Y30" s="1028">
        <f t="shared" ca="1" si="77"/>
        <v>0</v>
      </c>
      <c r="Z30" s="1028">
        <f t="shared" ca="1" si="77"/>
        <v>0</v>
      </c>
      <c r="AA30" s="1028">
        <f t="shared" ca="1" si="60"/>
        <v>0</v>
      </c>
      <c r="AB30" s="1028">
        <f t="shared" ca="1" si="60"/>
        <v>0</v>
      </c>
      <c r="AC30" s="1028">
        <f t="shared" ca="1" si="60"/>
        <v>0</v>
      </c>
      <c r="AD30" s="1028">
        <f t="shared" ca="1" si="60"/>
        <v>0</v>
      </c>
      <c r="AE30" s="1028">
        <f t="shared" ca="1" si="60"/>
        <v>0</v>
      </c>
      <c r="AF30" s="1028">
        <f t="shared" ca="1" si="60"/>
        <v>0</v>
      </c>
      <c r="AG30" s="1028">
        <f t="shared" ca="1" si="60"/>
        <v>0</v>
      </c>
      <c r="AH30" s="1028">
        <f t="shared" ca="1" si="60"/>
        <v>0</v>
      </c>
      <c r="AI30" s="1028">
        <f t="shared" ca="1" si="60"/>
        <v>0</v>
      </c>
      <c r="AJ30" s="1028">
        <f t="shared" ca="1" si="60"/>
        <v>0</v>
      </c>
      <c r="AK30" s="1029">
        <f t="shared" ca="1" si="62"/>
        <v>0</v>
      </c>
      <c r="AM30" s="1039">
        <f t="shared" ca="1" si="78"/>
        <v>0</v>
      </c>
      <c r="AN30" s="1039">
        <f t="shared" ca="1" si="78"/>
        <v>0</v>
      </c>
      <c r="AO30" s="1039">
        <f t="shared" ca="1" si="78"/>
        <v>0</v>
      </c>
      <c r="AP30" s="1039">
        <f t="shared" ca="1" si="78"/>
        <v>0</v>
      </c>
      <c r="AQ30" s="1039">
        <f t="shared" ca="1" si="78"/>
        <v>0</v>
      </c>
      <c r="AR30" s="1039">
        <f t="shared" ca="1" si="78"/>
        <v>0</v>
      </c>
      <c r="AS30" s="1039">
        <f t="shared" ca="1" si="78"/>
        <v>0</v>
      </c>
      <c r="AT30" s="1039">
        <f t="shared" ca="1" si="78"/>
        <v>0</v>
      </c>
      <c r="AU30" s="1039">
        <f t="shared" ca="1" si="78"/>
        <v>0</v>
      </c>
      <c r="AV30" s="1039">
        <f t="shared" ca="1" si="60"/>
        <v>0</v>
      </c>
      <c r="AW30" s="1039">
        <f t="shared" ca="1" si="60"/>
        <v>0</v>
      </c>
      <c r="AX30" s="1039">
        <f t="shared" ca="1" si="60"/>
        <v>0</v>
      </c>
      <c r="AY30" s="1039">
        <f t="shared" ca="1" si="60"/>
        <v>0</v>
      </c>
      <c r="AZ30" s="1039">
        <f t="shared" ca="1" si="60"/>
        <v>0</v>
      </c>
      <c r="BA30" s="1039">
        <f t="shared" ca="1" si="60"/>
        <v>0</v>
      </c>
      <c r="BB30" s="1039">
        <f t="shared" ca="1" si="60"/>
        <v>0</v>
      </c>
      <c r="BC30" s="1039">
        <f t="shared" ca="1" si="60"/>
        <v>0</v>
      </c>
      <c r="BD30" s="1039">
        <f t="shared" ca="1" si="60"/>
        <v>0</v>
      </c>
      <c r="BE30" s="1039">
        <f t="shared" ca="1" si="60"/>
        <v>0</v>
      </c>
      <c r="BF30" s="1008">
        <f t="shared" ca="1" si="64"/>
        <v>0</v>
      </c>
      <c r="BH30" s="1033">
        <f t="shared" ca="1" si="65"/>
        <v>0</v>
      </c>
      <c r="BI30" s="1033">
        <f t="shared" ca="1" si="65"/>
        <v>0</v>
      </c>
      <c r="BJ30" s="1044">
        <f t="shared" ca="1" si="66"/>
        <v>0</v>
      </c>
      <c r="BL30" s="1007">
        <f t="shared" ca="1" si="9"/>
        <v>0</v>
      </c>
      <c r="BM30" s="1007"/>
      <c r="BN30" s="840"/>
      <c r="BO30" s="1481">
        <f t="shared" ca="1" si="79"/>
        <v>0</v>
      </c>
      <c r="BP30" s="1482">
        <f t="shared" ca="1" si="79"/>
        <v>0</v>
      </c>
      <c r="BQ30" s="1482">
        <f t="shared" ca="1" si="79"/>
        <v>0</v>
      </c>
      <c r="BR30" s="1482">
        <f t="shared" ca="1" si="79"/>
        <v>0</v>
      </c>
      <c r="BS30" s="1482">
        <f t="shared" ca="1" si="79"/>
        <v>0</v>
      </c>
      <c r="BT30" s="1482">
        <f t="shared" ca="1" si="79"/>
        <v>0</v>
      </c>
      <c r="BU30" s="1482">
        <f t="shared" ca="1" si="79"/>
        <v>0</v>
      </c>
      <c r="BV30" s="1482">
        <f t="shared" ca="1" si="79"/>
        <v>0</v>
      </c>
      <c r="BW30" s="1482">
        <f t="shared" ca="1" si="79"/>
        <v>0</v>
      </c>
      <c r="BX30" s="1482">
        <f t="shared" ca="1" si="79"/>
        <v>0</v>
      </c>
      <c r="BY30" s="1482">
        <f t="shared" ca="1" si="80"/>
        <v>0</v>
      </c>
      <c r="BZ30" s="1482">
        <f t="shared" ca="1" si="80"/>
        <v>0</v>
      </c>
      <c r="CA30" s="1482">
        <f t="shared" ca="1" si="80"/>
        <v>0</v>
      </c>
      <c r="CB30" s="1482">
        <f t="shared" ca="1" si="80"/>
        <v>0</v>
      </c>
      <c r="CC30" s="1482">
        <f t="shared" ca="1" si="80"/>
        <v>0</v>
      </c>
      <c r="CD30" s="1482">
        <f t="shared" ca="1" si="80"/>
        <v>0</v>
      </c>
      <c r="CE30" s="1482">
        <f t="shared" ca="1" si="80"/>
        <v>0</v>
      </c>
      <c r="CF30" s="1482">
        <f t="shared" ca="1" si="80"/>
        <v>0</v>
      </c>
      <c r="CG30" s="1482">
        <f t="shared" ca="1" si="80"/>
        <v>0</v>
      </c>
      <c r="CH30" s="1482">
        <f t="shared" ca="1" si="80"/>
        <v>0</v>
      </c>
      <c r="CI30" s="1482">
        <f t="shared" ca="1" si="81"/>
        <v>0</v>
      </c>
      <c r="CJ30" s="1482">
        <f t="shared" ca="1" si="81"/>
        <v>0</v>
      </c>
      <c r="CK30" s="1482">
        <f t="shared" ca="1" si="81"/>
        <v>0</v>
      </c>
      <c r="CL30" s="1482">
        <f t="shared" ca="1" si="81"/>
        <v>0</v>
      </c>
      <c r="CM30" s="1482">
        <f t="shared" ca="1" si="81"/>
        <v>0</v>
      </c>
      <c r="CN30" s="1482">
        <f t="shared" ca="1" si="81"/>
        <v>0</v>
      </c>
      <c r="CO30" s="1482">
        <f t="shared" ca="1" si="81"/>
        <v>0</v>
      </c>
      <c r="CP30" s="1482">
        <f t="shared" ca="1" si="81"/>
        <v>0</v>
      </c>
      <c r="CQ30" s="1482">
        <f t="shared" ca="1" si="81"/>
        <v>0</v>
      </c>
      <c r="CR30" s="1482">
        <f t="shared" ca="1" si="81"/>
        <v>0</v>
      </c>
      <c r="CS30" s="1482">
        <f t="shared" ca="1" si="82"/>
        <v>0</v>
      </c>
      <c r="CT30" s="1482">
        <f t="shared" ca="1" si="82"/>
        <v>0</v>
      </c>
      <c r="CU30" s="1482">
        <f t="shared" ca="1" si="82"/>
        <v>0</v>
      </c>
      <c r="CV30" s="1482">
        <f t="shared" ca="1" si="82"/>
        <v>0</v>
      </c>
      <c r="CW30" s="1482">
        <f t="shared" ca="1" si="82"/>
        <v>0</v>
      </c>
      <c r="CX30" s="1482">
        <f t="shared" ca="1" si="82"/>
        <v>0</v>
      </c>
      <c r="CY30" s="1482">
        <f t="shared" ca="1" si="82"/>
        <v>0</v>
      </c>
      <c r="CZ30" s="1482">
        <f t="shared" ca="1" si="82"/>
        <v>0</v>
      </c>
      <c r="DA30" s="1482">
        <f t="shared" ca="1" si="82"/>
        <v>0</v>
      </c>
      <c r="DB30" s="1482">
        <f t="shared" ca="1" si="82"/>
        <v>0</v>
      </c>
      <c r="DC30" s="1482">
        <f t="shared" ca="1" si="82"/>
        <v>0</v>
      </c>
      <c r="DD30" s="1482">
        <f t="shared" ca="1" si="82"/>
        <v>0</v>
      </c>
      <c r="DE30" s="1482">
        <f t="shared" ca="1" si="82"/>
        <v>0</v>
      </c>
      <c r="DF30" s="1482">
        <f t="shared" ca="1" si="82"/>
        <v>0</v>
      </c>
      <c r="DH30" s="838">
        <f t="shared" ca="1" si="35"/>
        <v>0</v>
      </c>
    </row>
    <row r="31" spans="1:112" s="743" customFormat="1" ht="11.25" hidden="1" customHeight="1" outlineLevel="1">
      <c r="A31" s="1484"/>
      <c r="B31" s="1484"/>
      <c r="C31" s="746"/>
      <c r="D31" s="1011" t="s">
        <v>961</v>
      </c>
      <c r="E31" s="1010"/>
      <c r="G31" s="1020">
        <f t="shared" ref="G31:P31" ca="1" si="83">SUM(G29:G30)</f>
        <v>0</v>
      </c>
      <c r="H31" s="1020">
        <f t="shared" ca="1" si="83"/>
        <v>0</v>
      </c>
      <c r="I31" s="1020">
        <f t="shared" ca="1" si="83"/>
        <v>0</v>
      </c>
      <c r="J31" s="1020">
        <f t="shared" ca="1" si="83"/>
        <v>0</v>
      </c>
      <c r="K31" s="1020">
        <f t="shared" ca="1" si="83"/>
        <v>0</v>
      </c>
      <c r="L31" s="1020">
        <f t="shared" ca="1" si="83"/>
        <v>0</v>
      </c>
      <c r="M31" s="1020">
        <f t="shared" ca="1" si="83"/>
        <v>0</v>
      </c>
      <c r="N31" s="1020">
        <f t="shared" ca="1" si="83"/>
        <v>0</v>
      </c>
      <c r="O31" s="1020">
        <f t="shared" ca="1" si="83"/>
        <v>29.222291428230907</v>
      </c>
      <c r="P31" s="1020">
        <f t="shared" ca="1" si="83"/>
        <v>0</v>
      </c>
      <c r="Q31" s="1020">
        <f t="shared" ca="1" si="59"/>
        <v>29.222291428230907</v>
      </c>
      <c r="S31" s="1030">
        <f t="shared" ref="S31:AJ31" ca="1" si="84">SUM(S29:S30)</f>
        <v>0</v>
      </c>
      <c r="T31" s="1030">
        <f t="shared" ca="1" si="84"/>
        <v>0</v>
      </c>
      <c r="U31" s="1030">
        <f t="shared" ca="1" si="84"/>
        <v>0</v>
      </c>
      <c r="V31" s="1030">
        <f t="shared" ca="1" si="84"/>
        <v>-29.222291428230907</v>
      </c>
      <c r="W31" s="1030">
        <f t="shared" ca="1" si="84"/>
        <v>0</v>
      </c>
      <c r="X31" s="1132">
        <f t="shared" ca="1" si="84"/>
        <v>0</v>
      </c>
      <c r="Y31" s="1132">
        <f t="shared" ca="1" si="84"/>
        <v>0</v>
      </c>
      <c r="Z31" s="1132">
        <f t="shared" ca="1" si="84"/>
        <v>0</v>
      </c>
      <c r="AA31" s="1030">
        <f t="shared" ca="1" si="84"/>
        <v>0</v>
      </c>
      <c r="AB31" s="1030">
        <f t="shared" ca="1" si="84"/>
        <v>0</v>
      </c>
      <c r="AC31" s="1030">
        <f t="shared" ca="1" si="84"/>
        <v>0</v>
      </c>
      <c r="AD31" s="1030">
        <f t="shared" ca="1" si="84"/>
        <v>0</v>
      </c>
      <c r="AE31" s="1030">
        <f ca="1">SUM(AE29:AE30)</f>
        <v>0</v>
      </c>
      <c r="AF31" s="1030">
        <f t="shared" ca="1" si="84"/>
        <v>0</v>
      </c>
      <c r="AG31" s="1030">
        <f t="shared" ca="1" si="84"/>
        <v>0</v>
      </c>
      <c r="AH31" s="1030">
        <f ca="1">SUM(AH29:AH30)</f>
        <v>0</v>
      </c>
      <c r="AI31" s="1030">
        <f t="shared" ca="1" si="84"/>
        <v>0</v>
      </c>
      <c r="AJ31" s="1030">
        <f t="shared" ca="1" si="84"/>
        <v>0</v>
      </c>
      <c r="AK31" s="1030">
        <f t="shared" ca="1" si="62"/>
        <v>-29.222291428230907</v>
      </c>
      <c r="AM31" s="1043">
        <f t="shared" ref="AM31:AU31" ca="1" si="85">SUM(AM29:AM30)</f>
        <v>0</v>
      </c>
      <c r="AN31" s="1043">
        <f t="shared" ca="1" si="85"/>
        <v>0</v>
      </c>
      <c r="AO31" s="1043">
        <f t="shared" ca="1" si="85"/>
        <v>0</v>
      </c>
      <c r="AP31" s="1043">
        <f t="shared" ca="1" si="85"/>
        <v>0</v>
      </c>
      <c r="AQ31" s="1043">
        <f t="shared" ca="1" si="85"/>
        <v>0</v>
      </c>
      <c r="AR31" s="1043">
        <f t="shared" ca="1" si="85"/>
        <v>0</v>
      </c>
      <c r="AS31" s="1043">
        <f t="shared" ca="1" si="85"/>
        <v>0</v>
      </c>
      <c r="AT31" s="1043">
        <f t="shared" ca="1" si="85"/>
        <v>0</v>
      </c>
      <c r="AU31" s="1043">
        <f t="shared" ca="1" si="85"/>
        <v>0</v>
      </c>
      <c r="AV31" s="1043">
        <f t="shared" ref="AV31:BE31" ca="1" si="86">SUM(AV29:AV30)</f>
        <v>0</v>
      </c>
      <c r="AW31" s="1043">
        <f t="shared" ca="1" si="86"/>
        <v>0</v>
      </c>
      <c r="AX31" s="1043">
        <f t="shared" ca="1" si="86"/>
        <v>0</v>
      </c>
      <c r="AY31" s="1043">
        <f t="shared" ca="1" si="86"/>
        <v>0</v>
      </c>
      <c r="AZ31" s="1043">
        <f t="shared" ca="1" si="86"/>
        <v>0</v>
      </c>
      <c r="BA31" s="1043">
        <f t="shared" ca="1" si="86"/>
        <v>0</v>
      </c>
      <c r="BB31" s="1043">
        <f t="shared" ca="1" si="86"/>
        <v>0</v>
      </c>
      <c r="BC31" s="1043">
        <f t="shared" ca="1" si="86"/>
        <v>0</v>
      </c>
      <c r="BD31" s="1043">
        <f ca="1">SUM(BD29:BD30)</f>
        <v>0</v>
      </c>
      <c r="BE31" s="1043">
        <f t="shared" ca="1" si="86"/>
        <v>0</v>
      </c>
      <c r="BF31" s="1013">
        <f t="shared" ca="1" si="64"/>
        <v>0</v>
      </c>
      <c r="BH31" s="1037">
        <f ca="1">SUM(BH29:BH30)</f>
        <v>0</v>
      </c>
      <c r="BI31" s="1037">
        <f ca="1">SUM(BI29:BI30)</f>
        <v>0</v>
      </c>
      <c r="BJ31" s="1035">
        <f t="shared" ca="1" si="66"/>
        <v>0</v>
      </c>
      <c r="BL31" s="524">
        <f t="shared" ca="1" si="9"/>
        <v>0</v>
      </c>
      <c r="BM31" s="524"/>
      <c r="BN31" s="1484"/>
      <c r="BO31" s="1485">
        <f t="shared" ref="BO31:DF31" ca="1" si="87">SUM(BO29:BO30)</f>
        <v>0</v>
      </c>
      <c r="BP31" s="1486">
        <f t="shared" ca="1" si="87"/>
        <v>0</v>
      </c>
      <c r="BQ31" s="1486">
        <f t="shared" ca="1" si="87"/>
        <v>0</v>
      </c>
      <c r="BR31" s="1486">
        <f t="shared" ca="1" si="87"/>
        <v>0</v>
      </c>
      <c r="BS31" s="1486">
        <f t="shared" ca="1" si="87"/>
        <v>0</v>
      </c>
      <c r="BT31" s="1486">
        <f t="shared" ca="1" si="87"/>
        <v>0</v>
      </c>
      <c r="BU31" s="1486">
        <f t="shared" ca="1" si="87"/>
        <v>0</v>
      </c>
      <c r="BV31" s="1486">
        <f t="shared" ca="1" si="87"/>
        <v>0</v>
      </c>
      <c r="BW31" s="1486">
        <f t="shared" ca="1" si="87"/>
        <v>0</v>
      </c>
      <c r="BX31" s="1486">
        <f t="shared" ca="1" si="87"/>
        <v>0</v>
      </c>
      <c r="BY31" s="1486">
        <f t="shared" ca="1" si="87"/>
        <v>0</v>
      </c>
      <c r="BZ31" s="1486">
        <f t="shared" ca="1" si="87"/>
        <v>0</v>
      </c>
      <c r="CA31" s="1486">
        <f t="shared" ca="1" si="87"/>
        <v>0</v>
      </c>
      <c r="CB31" s="1486">
        <f t="shared" ca="1" si="87"/>
        <v>0</v>
      </c>
      <c r="CC31" s="1486">
        <f t="shared" ca="1" si="87"/>
        <v>0</v>
      </c>
      <c r="CD31" s="1486">
        <f t="shared" ca="1" si="87"/>
        <v>0</v>
      </c>
      <c r="CE31" s="1486">
        <f t="shared" ca="1" si="87"/>
        <v>0</v>
      </c>
      <c r="CF31" s="1486">
        <f t="shared" ca="1" si="87"/>
        <v>0</v>
      </c>
      <c r="CG31" s="1486">
        <f t="shared" ca="1" si="87"/>
        <v>0</v>
      </c>
      <c r="CH31" s="1486">
        <f t="shared" ca="1" si="87"/>
        <v>0</v>
      </c>
      <c r="CI31" s="1486">
        <f t="shared" ca="1" si="87"/>
        <v>0</v>
      </c>
      <c r="CJ31" s="1486">
        <f t="shared" ca="1" si="87"/>
        <v>0</v>
      </c>
      <c r="CK31" s="1486">
        <f t="shared" ca="1" si="87"/>
        <v>0</v>
      </c>
      <c r="CL31" s="1486">
        <f t="shared" ca="1" si="87"/>
        <v>0</v>
      </c>
      <c r="CM31" s="1486">
        <f t="shared" ca="1" si="87"/>
        <v>0</v>
      </c>
      <c r="CN31" s="1486">
        <f t="shared" ca="1" si="87"/>
        <v>0</v>
      </c>
      <c r="CO31" s="1486">
        <f t="shared" ca="1" si="87"/>
        <v>0</v>
      </c>
      <c r="CP31" s="1486">
        <f t="shared" ca="1" si="87"/>
        <v>0</v>
      </c>
      <c r="CQ31" s="1486">
        <f t="shared" ca="1" si="87"/>
        <v>0</v>
      </c>
      <c r="CR31" s="1486">
        <f t="shared" ca="1" si="87"/>
        <v>0</v>
      </c>
      <c r="CS31" s="1486">
        <f t="shared" ca="1" si="87"/>
        <v>0</v>
      </c>
      <c r="CT31" s="1486">
        <f t="shared" ca="1" si="87"/>
        <v>0</v>
      </c>
      <c r="CU31" s="1486">
        <f t="shared" ca="1" si="87"/>
        <v>7.3055728570577267</v>
      </c>
      <c r="CV31" s="1486">
        <f t="shared" ca="1" si="87"/>
        <v>9.0954093664530975E-3</v>
      </c>
      <c r="CW31" s="1486">
        <f t="shared" ca="1" si="87"/>
        <v>0.1314422254793717</v>
      </c>
      <c r="CX31" s="1486">
        <f t="shared" ca="1" si="87"/>
        <v>0</v>
      </c>
      <c r="CY31" s="1486">
        <f t="shared" ca="1" si="87"/>
        <v>0</v>
      </c>
      <c r="CZ31" s="1486">
        <f t="shared" ca="1" si="87"/>
        <v>0</v>
      </c>
      <c r="DA31" s="1486">
        <f t="shared" ca="1" si="87"/>
        <v>0</v>
      </c>
      <c r="DB31" s="1486">
        <f t="shared" ca="1" si="87"/>
        <v>0</v>
      </c>
      <c r="DC31" s="1486">
        <f t="shared" ca="1" si="87"/>
        <v>0</v>
      </c>
      <c r="DD31" s="1486">
        <f t="shared" ca="1" si="87"/>
        <v>0</v>
      </c>
      <c r="DE31" s="1486">
        <f t="shared" ca="1" si="87"/>
        <v>0</v>
      </c>
      <c r="DF31" s="1486">
        <f t="shared" ca="1" si="87"/>
        <v>0</v>
      </c>
      <c r="DH31" s="838">
        <f t="shared" ca="1" si="35"/>
        <v>7.4461104919035517</v>
      </c>
    </row>
    <row r="32" spans="1:112" s="743" customFormat="1" ht="15.75" collapsed="1">
      <c r="A32" s="22"/>
      <c r="B32" s="753"/>
      <c r="C32" s="744" t="s">
        <v>679</v>
      </c>
      <c r="D32" s="517" t="str">
        <f>INDEX(Workstreams[Workstream], MATCH($C32, Workstreams[Code], 0))</f>
        <v>Transport</v>
      </c>
      <c r="E32" s="512"/>
      <c r="G32" s="1021">
        <f t="shared" ref="G32:P32" ca="1" si="88">G24+G25+G28+G31</f>
        <v>0</v>
      </c>
      <c r="H32" s="1021">
        <f t="shared" ca="1" si="88"/>
        <v>0</v>
      </c>
      <c r="I32" s="1021">
        <f t="shared" ca="1" si="88"/>
        <v>0</v>
      </c>
      <c r="J32" s="1021">
        <f t="shared" ca="1" si="88"/>
        <v>490.85404977847907</v>
      </c>
      <c r="K32" s="1021">
        <f t="shared" ca="1" si="88"/>
        <v>15.852446803025652</v>
      </c>
      <c r="L32" s="1021">
        <f t="shared" ca="1" si="88"/>
        <v>9.0198346087095516</v>
      </c>
      <c r="M32" s="1021">
        <f t="shared" ca="1" si="88"/>
        <v>18.817339999999998</v>
      </c>
      <c r="N32" s="1021">
        <f t="shared" ca="1" si="88"/>
        <v>152.99167541479133</v>
      </c>
      <c r="O32" s="1021">
        <f t="shared" ca="1" si="88"/>
        <v>29.222291428230907</v>
      </c>
      <c r="P32" s="1021">
        <f t="shared" ca="1" si="88"/>
        <v>0</v>
      </c>
      <c r="Q32" s="1021">
        <f t="shared" ca="1" si="59"/>
        <v>716.7576380332365</v>
      </c>
      <c r="S32" s="970">
        <f t="shared" ref="S32:AJ32" ca="1" si="89">S24+S25+S28+S31</f>
        <v>-8.6815924571345473</v>
      </c>
      <c r="T32" s="970">
        <f t="shared" ca="1" si="89"/>
        <v>0</v>
      </c>
      <c r="U32" s="970">
        <f t="shared" ca="1" si="89"/>
        <v>0</v>
      </c>
      <c r="V32" s="970">
        <f t="shared" ca="1" si="89"/>
        <v>-708.07604557610205</v>
      </c>
      <c r="W32" s="970">
        <f t="shared" ca="1" si="89"/>
        <v>0</v>
      </c>
      <c r="X32" s="970">
        <f t="shared" ca="1" si="89"/>
        <v>0</v>
      </c>
      <c r="Y32" s="970">
        <f t="shared" ca="1" si="89"/>
        <v>0</v>
      </c>
      <c r="Z32" s="970">
        <f t="shared" ca="1" si="89"/>
        <v>0</v>
      </c>
      <c r="AA32" s="970">
        <f t="shared" ca="1" si="89"/>
        <v>0</v>
      </c>
      <c r="AB32" s="970">
        <f t="shared" ca="1" si="89"/>
        <v>0</v>
      </c>
      <c r="AC32" s="970">
        <f t="shared" ca="1" si="89"/>
        <v>0</v>
      </c>
      <c r="AD32" s="970">
        <f t="shared" ca="1" si="89"/>
        <v>0</v>
      </c>
      <c r="AE32" s="970">
        <f ca="1">AE24+AE25+AE28+AE31</f>
        <v>0</v>
      </c>
      <c r="AF32" s="970">
        <f t="shared" ca="1" si="89"/>
        <v>0</v>
      </c>
      <c r="AG32" s="970">
        <f t="shared" ca="1" si="89"/>
        <v>0</v>
      </c>
      <c r="AH32" s="970">
        <f ca="1">AH24+AH25+AH28+AH31</f>
        <v>0</v>
      </c>
      <c r="AI32" s="970">
        <f t="shared" ca="1" si="89"/>
        <v>0</v>
      </c>
      <c r="AJ32" s="970">
        <f t="shared" ca="1" si="89"/>
        <v>0</v>
      </c>
      <c r="AK32" s="970">
        <f t="shared" ca="1" si="62"/>
        <v>-716.75763803323662</v>
      </c>
      <c r="AM32" s="976">
        <f t="shared" ref="AM32:AU32" ca="1" si="90">AM24+AM25+AM28+AM31</f>
        <v>0</v>
      </c>
      <c r="AN32" s="976">
        <f t="shared" ca="1" si="90"/>
        <v>0</v>
      </c>
      <c r="AO32" s="976">
        <f t="shared" ca="1" si="90"/>
        <v>0</v>
      </c>
      <c r="AP32" s="976">
        <f t="shared" ca="1" si="90"/>
        <v>0</v>
      </c>
      <c r="AQ32" s="976">
        <f t="shared" ca="1" si="90"/>
        <v>0</v>
      </c>
      <c r="AR32" s="976">
        <f t="shared" ca="1" si="90"/>
        <v>0</v>
      </c>
      <c r="AS32" s="976">
        <f t="shared" ca="1" si="90"/>
        <v>0</v>
      </c>
      <c r="AT32" s="976">
        <f t="shared" ca="1" si="90"/>
        <v>0</v>
      </c>
      <c r="AU32" s="976">
        <f t="shared" ca="1" si="90"/>
        <v>0</v>
      </c>
      <c r="AV32" s="976">
        <f t="shared" ref="AV32:BE32" ca="1" si="91">AV24+AV25+AV28+AV31</f>
        <v>0</v>
      </c>
      <c r="AW32" s="976">
        <f t="shared" ca="1" si="91"/>
        <v>0</v>
      </c>
      <c r="AX32" s="976">
        <f t="shared" ca="1" si="91"/>
        <v>0</v>
      </c>
      <c r="AY32" s="976">
        <f t="shared" ca="1" si="91"/>
        <v>0</v>
      </c>
      <c r="AZ32" s="976">
        <f t="shared" ca="1" si="91"/>
        <v>0</v>
      </c>
      <c r="BA32" s="976">
        <f t="shared" ca="1" si="91"/>
        <v>0</v>
      </c>
      <c r="BB32" s="976">
        <f t="shared" ca="1" si="91"/>
        <v>0</v>
      </c>
      <c r="BC32" s="976">
        <f t="shared" ca="1" si="91"/>
        <v>0</v>
      </c>
      <c r="BD32" s="976">
        <f ca="1">BD24+BD25+BD28+BD31</f>
        <v>0</v>
      </c>
      <c r="BE32" s="976">
        <f t="shared" ca="1" si="91"/>
        <v>0</v>
      </c>
      <c r="BF32" s="976">
        <f t="shared" ca="1" si="64"/>
        <v>0</v>
      </c>
      <c r="BH32" s="990">
        <f ca="1">BH24+BH25+BH28+BH31</f>
        <v>0</v>
      </c>
      <c r="BI32" s="990">
        <f ca="1">BI24+BI25+BI28+BI31</f>
        <v>0</v>
      </c>
      <c r="BJ32" s="990">
        <f t="shared" ca="1" si="66"/>
        <v>0</v>
      </c>
      <c r="BL32" s="515">
        <f t="shared" ca="1" si="9"/>
        <v>-1.1368683772161603E-13</v>
      </c>
      <c r="BM32" s="515"/>
      <c r="BN32" s="840"/>
      <c r="BO32" s="1482">
        <f t="shared" ref="BO32:DF32" ca="1" si="92">BO24+BO25+BO28+BO31</f>
        <v>131.46551968326995</v>
      </c>
      <c r="BP32" s="1482">
        <f t="shared" ca="1" si="92"/>
        <v>0.16367405301251234</v>
      </c>
      <c r="BQ32" s="1482">
        <f t="shared" ca="1" si="92"/>
        <v>2.365334083866848</v>
      </c>
      <c r="BR32" s="1482">
        <f t="shared" ca="1" si="92"/>
        <v>0</v>
      </c>
      <c r="BS32" s="1482">
        <f t="shared" ca="1" si="92"/>
        <v>0</v>
      </c>
      <c r="BT32" s="1482">
        <f t="shared" ca="1" si="92"/>
        <v>0</v>
      </c>
      <c r="BU32" s="1482">
        <f t="shared" ca="1" si="92"/>
        <v>0</v>
      </c>
      <c r="BV32" s="1482">
        <f t="shared" ca="1" si="92"/>
        <v>0</v>
      </c>
      <c r="BW32" s="1482">
        <f t="shared" ca="1" si="92"/>
        <v>0</v>
      </c>
      <c r="BX32" s="1482">
        <f t="shared" ca="1" si="92"/>
        <v>0</v>
      </c>
      <c r="BY32" s="1482">
        <f t="shared" ca="1" si="92"/>
        <v>0</v>
      </c>
      <c r="BZ32" s="1482">
        <f t="shared" ca="1" si="92"/>
        <v>0</v>
      </c>
      <c r="CA32" s="1482">
        <f t="shared" ca="1" si="92"/>
        <v>0</v>
      </c>
      <c r="CB32" s="1482">
        <f t="shared" ca="1" si="92"/>
        <v>0</v>
      </c>
      <c r="CC32" s="1482">
        <f t="shared" ca="1" si="92"/>
        <v>0</v>
      </c>
      <c r="CD32" s="1482">
        <f t="shared" ca="1" si="92"/>
        <v>0</v>
      </c>
      <c r="CE32" s="1482">
        <f t="shared" ca="1" si="92"/>
        <v>0</v>
      </c>
      <c r="CF32" s="1482">
        <f t="shared" ca="1" si="92"/>
        <v>0</v>
      </c>
      <c r="CG32" s="1482">
        <f t="shared" ca="1" si="92"/>
        <v>0</v>
      </c>
      <c r="CH32" s="1482">
        <f t="shared" ca="1" si="92"/>
        <v>0</v>
      </c>
      <c r="CI32" s="1482">
        <f t="shared" ca="1" si="92"/>
        <v>0</v>
      </c>
      <c r="CJ32" s="1482">
        <f t="shared" ca="1" si="92"/>
        <v>0</v>
      </c>
      <c r="CK32" s="1482">
        <f t="shared" ca="1" si="92"/>
        <v>0</v>
      </c>
      <c r="CL32" s="1482">
        <f t="shared" ca="1" si="92"/>
        <v>0</v>
      </c>
      <c r="CM32" s="1482">
        <f t="shared" ca="1" si="92"/>
        <v>0</v>
      </c>
      <c r="CN32" s="1482">
        <f t="shared" ca="1" si="92"/>
        <v>0</v>
      </c>
      <c r="CO32" s="1482">
        <f t="shared" ca="1" si="92"/>
        <v>0</v>
      </c>
      <c r="CP32" s="1482">
        <f t="shared" ca="1" si="92"/>
        <v>0</v>
      </c>
      <c r="CQ32" s="1482">
        <f t="shared" ca="1" si="92"/>
        <v>0</v>
      </c>
      <c r="CR32" s="1482">
        <f t="shared" ca="1" si="92"/>
        <v>0</v>
      </c>
      <c r="CS32" s="1482">
        <f t="shared" ca="1" si="92"/>
        <v>0</v>
      </c>
      <c r="CT32" s="1482">
        <f t="shared" ca="1" si="92"/>
        <v>0</v>
      </c>
      <c r="CU32" s="1482">
        <f t="shared" ca="1" si="92"/>
        <v>45.553491710755559</v>
      </c>
      <c r="CV32" s="1482">
        <f t="shared" ca="1" si="92"/>
        <v>5.6713917346040608E-2</v>
      </c>
      <c r="CW32" s="1482">
        <f t="shared" ca="1" si="92"/>
        <v>0.81960065910961444</v>
      </c>
      <c r="CX32" s="1482">
        <f t="shared" ca="1" si="92"/>
        <v>0</v>
      </c>
      <c r="CY32" s="1482">
        <f t="shared" ca="1" si="92"/>
        <v>0</v>
      </c>
      <c r="CZ32" s="1482">
        <f t="shared" ca="1" si="92"/>
        <v>0</v>
      </c>
      <c r="DA32" s="1482">
        <f t="shared" ca="1" si="92"/>
        <v>0</v>
      </c>
      <c r="DB32" s="1482">
        <f t="shared" ca="1" si="92"/>
        <v>0</v>
      </c>
      <c r="DC32" s="1482">
        <f t="shared" ca="1" si="92"/>
        <v>0</v>
      </c>
      <c r="DD32" s="1482">
        <f t="shared" ca="1" si="92"/>
        <v>0</v>
      </c>
      <c r="DE32" s="1482">
        <f t="shared" ca="1" si="92"/>
        <v>0</v>
      </c>
      <c r="DF32" s="1482">
        <f t="shared" ca="1" si="92"/>
        <v>0</v>
      </c>
      <c r="DH32" s="838">
        <f t="shared" ca="1" si="35"/>
        <v>180.42433410736052</v>
      </c>
    </row>
    <row r="33" spans="1:112" s="743" customFormat="1" ht="12.75" hidden="1" customHeight="1" outlineLevel="1">
      <c r="A33" s="22"/>
      <c r="B33" s="22"/>
      <c r="C33" s="751"/>
      <c r="D33" s="512"/>
      <c r="E33" s="512"/>
      <c r="G33" s="1021"/>
      <c r="H33" s="1021"/>
      <c r="I33" s="1021"/>
      <c r="J33" s="1021"/>
      <c r="K33" s="1021"/>
      <c r="L33" s="1021"/>
      <c r="M33" s="1021"/>
      <c r="N33" s="1021"/>
      <c r="O33" s="1021"/>
      <c r="P33" s="1021"/>
      <c r="Q33" s="1021"/>
      <c r="S33" s="970"/>
      <c r="T33" s="970"/>
      <c r="U33" s="970"/>
      <c r="V33" s="970"/>
      <c r="W33" s="970"/>
      <c r="X33" s="970"/>
      <c r="Y33" s="970"/>
      <c r="Z33" s="970"/>
      <c r="AA33" s="970"/>
      <c r="AB33" s="970"/>
      <c r="AC33" s="970"/>
      <c r="AD33" s="970"/>
      <c r="AE33" s="970"/>
      <c r="AF33" s="970"/>
      <c r="AG33" s="970"/>
      <c r="AH33" s="970"/>
      <c r="AI33" s="970"/>
      <c r="AJ33" s="970"/>
      <c r="AK33" s="970"/>
      <c r="AM33" s="976"/>
      <c r="AN33" s="976"/>
      <c r="AO33" s="976"/>
      <c r="AP33" s="976"/>
      <c r="AQ33" s="976"/>
      <c r="AR33" s="976"/>
      <c r="AS33" s="976"/>
      <c r="AT33" s="976"/>
      <c r="AU33" s="976"/>
      <c r="AV33" s="976"/>
      <c r="AW33" s="976"/>
      <c r="AX33" s="976"/>
      <c r="AY33" s="976"/>
      <c r="AZ33" s="976"/>
      <c r="BA33" s="976"/>
      <c r="BB33" s="976"/>
      <c r="BC33" s="976"/>
      <c r="BD33" s="976"/>
      <c r="BE33" s="976"/>
      <c r="BF33" s="976"/>
      <c r="BH33" s="990"/>
      <c r="BI33" s="990"/>
      <c r="BJ33" s="990"/>
      <c r="BL33" s="515">
        <f t="shared" si="9"/>
        <v>0</v>
      </c>
      <c r="BM33" s="515"/>
      <c r="BN33" s="22"/>
      <c r="BO33" s="1482"/>
      <c r="BP33" s="1482"/>
      <c r="BQ33" s="1482"/>
      <c r="BR33" s="1482"/>
      <c r="BS33" s="1482"/>
      <c r="BT33" s="1482"/>
      <c r="BU33" s="1482"/>
      <c r="BV33" s="1482"/>
      <c r="BW33" s="1482"/>
      <c r="BX33" s="1482"/>
      <c r="BY33" s="1482"/>
      <c r="BZ33" s="1482"/>
      <c r="CA33" s="1482"/>
      <c r="CB33" s="1482"/>
      <c r="CC33" s="1482"/>
      <c r="CD33" s="1482"/>
      <c r="CE33" s="1482"/>
      <c r="CF33" s="1482"/>
      <c r="CG33" s="1482"/>
      <c r="CH33" s="1482"/>
      <c r="CI33" s="1482"/>
      <c r="CJ33" s="1482"/>
      <c r="CK33" s="1482"/>
      <c r="CL33" s="1482"/>
      <c r="CM33" s="1482"/>
      <c r="CN33" s="1482"/>
      <c r="CO33" s="1482"/>
      <c r="CP33" s="1482"/>
      <c r="CQ33" s="1482"/>
      <c r="CR33" s="1482"/>
      <c r="CS33" s="1482"/>
      <c r="CT33" s="1482"/>
      <c r="CU33" s="1482"/>
      <c r="CV33" s="1482"/>
      <c r="CW33" s="1482"/>
      <c r="CX33" s="1482"/>
      <c r="CY33" s="1482"/>
      <c r="CZ33" s="1482"/>
      <c r="DA33" s="1482"/>
      <c r="DB33" s="1482"/>
      <c r="DC33" s="1482"/>
      <c r="DD33" s="1482"/>
      <c r="DE33" s="1482"/>
      <c r="DF33" s="1482"/>
      <c r="DH33" s="838">
        <f t="shared" si="35"/>
        <v>0</v>
      </c>
    </row>
    <row r="34" spans="1:112" s="743" customFormat="1" ht="12.75" hidden="1" customHeight="1" outlineLevel="1">
      <c r="A34" s="1484"/>
      <c r="B34" s="1484"/>
      <c r="C34" s="746" t="s">
        <v>930</v>
      </c>
      <c r="D34" s="1010" t="str">
        <f>INDEX(Modules[Module], MATCH($C34, Modules[Code], 0))</f>
        <v>Food consumption [UNUSED]</v>
      </c>
      <c r="E34" s="1010"/>
      <c r="G34" s="1022">
        <f t="shared" ref="G34:P34" ca="1" si="93">IFERROR(INDEX(INDIRECT($C34&amp;".Outputs["&amp;this.Year&amp;"]"), MATCH(G$5, INDIRECT($C34&amp;".Outputs[Vector]"), 0)), 0)</f>
        <v>0</v>
      </c>
      <c r="H34" s="1022">
        <f t="shared" ca="1" si="93"/>
        <v>0</v>
      </c>
      <c r="I34" s="1022">
        <f t="shared" ca="1" si="93"/>
        <v>0</v>
      </c>
      <c r="J34" s="1022">
        <f t="shared" ca="1" si="93"/>
        <v>0</v>
      </c>
      <c r="K34" s="1022">
        <f t="shared" ca="1" si="93"/>
        <v>0</v>
      </c>
      <c r="L34" s="1022">
        <f t="shared" ca="1" si="93"/>
        <v>0</v>
      </c>
      <c r="M34" s="1022">
        <f t="shared" ca="1" si="93"/>
        <v>0</v>
      </c>
      <c r="N34" s="1022">
        <f t="shared" ca="1" si="93"/>
        <v>0</v>
      </c>
      <c r="O34" s="1022">
        <f t="shared" ca="1" si="93"/>
        <v>0</v>
      </c>
      <c r="P34" s="1022">
        <f t="shared" ca="1" si="93"/>
        <v>0</v>
      </c>
      <c r="Q34" s="1020">
        <f ca="1">SUM(G34:P34)</f>
        <v>0</v>
      </c>
      <c r="S34" s="1031">
        <f t="shared" ref="S34:BE34" ca="1" si="94">IFERROR(INDEX(INDIRECT($C34&amp;".Outputs["&amp;this.Year&amp;"]"), MATCH(S$5, INDIRECT($C34&amp;".Outputs[Vector]"), 0)), 0)</f>
        <v>0</v>
      </c>
      <c r="T34" s="1031">
        <f t="shared" ca="1" si="94"/>
        <v>0</v>
      </c>
      <c r="U34" s="1031">
        <f t="shared" ca="1" si="94"/>
        <v>0</v>
      </c>
      <c r="V34" s="1031">
        <f t="shared" ca="1" si="94"/>
        <v>0</v>
      </c>
      <c r="W34" s="1031">
        <f t="shared" ca="1" si="94"/>
        <v>0</v>
      </c>
      <c r="X34" s="1031">
        <f ca="1">IFERROR(INDEX(INDIRECT($C34&amp;".Outputs["&amp;this.Year&amp;"]"), MATCH(X$5, INDIRECT($C34&amp;".Outputs[Vector]"), 0)), 0)</f>
        <v>0</v>
      </c>
      <c r="Y34" s="1031">
        <f ca="1">IFERROR(INDEX(INDIRECT($C34&amp;".Outputs["&amp;this.Year&amp;"]"), MATCH(Y$5, INDIRECT($C34&amp;".Outputs[Vector]"), 0)), 0)</f>
        <v>0</v>
      </c>
      <c r="Z34" s="1031">
        <f ca="1">IFERROR(INDEX(INDIRECT($C34&amp;".Outputs["&amp;this.Year&amp;"]"), MATCH(Z$5, INDIRECT($C34&amp;".Outputs[Vector]"), 0)), 0)</f>
        <v>0</v>
      </c>
      <c r="AA34" s="1031">
        <f t="shared" ca="1" si="94"/>
        <v>0</v>
      </c>
      <c r="AB34" s="1031">
        <f t="shared" ca="1" si="94"/>
        <v>0</v>
      </c>
      <c r="AC34" s="1031">
        <f t="shared" ca="1" si="94"/>
        <v>0</v>
      </c>
      <c r="AD34" s="1031">
        <f t="shared" ca="1" si="94"/>
        <v>0</v>
      </c>
      <c r="AE34" s="1031">
        <f t="shared" ca="1" si="94"/>
        <v>0</v>
      </c>
      <c r="AF34" s="1031">
        <f t="shared" ca="1" si="94"/>
        <v>0</v>
      </c>
      <c r="AG34" s="1031">
        <f t="shared" ca="1" si="94"/>
        <v>0</v>
      </c>
      <c r="AH34" s="1031">
        <f t="shared" ca="1" si="94"/>
        <v>0</v>
      </c>
      <c r="AI34" s="1031">
        <f t="shared" ca="1" si="94"/>
        <v>0</v>
      </c>
      <c r="AJ34" s="1031">
        <f t="shared" ca="1" si="94"/>
        <v>0</v>
      </c>
      <c r="AK34" s="1030">
        <f ca="1">SUM(S34:AJ34)</f>
        <v>0</v>
      </c>
      <c r="AM34" s="1042">
        <f t="shared" ref="AM34:AU34" ca="1" si="95">IFERROR(INDEX(INDIRECT($C34&amp;".Outputs["&amp;this.Year&amp;"]"), MATCH(AM$5, INDIRECT($C34&amp;".Outputs[Vector]"), 0)), 0)</f>
        <v>0</v>
      </c>
      <c r="AN34" s="1042">
        <f t="shared" ca="1" si="95"/>
        <v>0</v>
      </c>
      <c r="AO34" s="1042">
        <f t="shared" ca="1" si="95"/>
        <v>0</v>
      </c>
      <c r="AP34" s="1042">
        <f t="shared" ca="1" si="95"/>
        <v>0</v>
      </c>
      <c r="AQ34" s="1042">
        <f t="shared" ca="1" si="95"/>
        <v>0</v>
      </c>
      <c r="AR34" s="1042">
        <f t="shared" ca="1" si="95"/>
        <v>0</v>
      </c>
      <c r="AS34" s="1042">
        <f t="shared" ca="1" si="95"/>
        <v>0</v>
      </c>
      <c r="AT34" s="1042">
        <f t="shared" ca="1" si="95"/>
        <v>0</v>
      </c>
      <c r="AU34" s="1042">
        <f t="shared" ca="1" si="95"/>
        <v>0</v>
      </c>
      <c r="AV34" s="1042">
        <f t="shared" ca="1" si="94"/>
        <v>0</v>
      </c>
      <c r="AW34" s="1042">
        <f t="shared" ca="1" si="94"/>
        <v>0</v>
      </c>
      <c r="AX34" s="1042">
        <f t="shared" ca="1" si="94"/>
        <v>0</v>
      </c>
      <c r="AY34" s="1042">
        <f t="shared" ca="1" si="94"/>
        <v>0</v>
      </c>
      <c r="AZ34" s="1042">
        <f t="shared" ca="1" si="94"/>
        <v>0</v>
      </c>
      <c r="BA34" s="1042">
        <f t="shared" ca="1" si="94"/>
        <v>0</v>
      </c>
      <c r="BB34" s="1042">
        <f t="shared" ca="1" si="94"/>
        <v>0</v>
      </c>
      <c r="BC34" s="1042">
        <f t="shared" ca="1" si="94"/>
        <v>0</v>
      </c>
      <c r="BD34" s="1042">
        <f t="shared" ca="1" si="94"/>
        <v>0</v>
      </c>
      <c r="BE34" s="1042">
        <f t="shared" ca="1" si="94"/>
        <v>0</v>
      </c>
      <c r="BF34" s="1012">
        <f ca="1">SUM(AM34:BE34)</f>
        <v>0</v>
      </c>
      <c r="BH34" s="1036">
        <f ca="1">IFERROR(INDEX(INDIRECT($C34&amp;".Outputs["&amp;this.Year&amp;"]"), MATCH(BH$5, INDIRECT($C34&amp;".Outputs[Vector]"), 0)), 0)</f>
        <v>0</v>
      </c>
      <c r="BI34" s="1036">
        <f ca="1">IFERROR(INDEX(INDIRECT($C34&amp;".Outputs["&amp;this.Year&amp;"]"), MATCH(BI$5, INDIRECT($C34&amp;".Outputs[Vector]"), 0)), 0)</f>
        <v>0</v>
      </c>
      <c r="BJ34" s="1035">
        <f ca="1">SUM(BH34:BI34)</f>
        <v>0</v>
      </c>
      <c r="BL34" s="814">
        <f t="shared" ca="1" si="9"/>
        <v>0</v>
      </c>
      <c r="BM34" s="814"/>
      <c r="BN34" s="840"/>
      <c r="BO34" s="1485">
        <f t="shared" ref="BO34:DF34" ca="1" si="96">IFERROR(SUMIFS(INDIRECT($C34&amp;".Emissions["&amp;this.Year&amp;"]"), INDIRECT($C34&amp;".Emissions[GHG]"), BO$6, INDIRECT($C34&amp;".Emissions[IPCC Sector]"), BO$5),0)</f>
        <v>0</v>
      </c>
      <c r="BP34" s="1486">
        <f t="shared" ca="1" si="96"/>
        <v>0</v>
      </c>
      <c r="BQ34" s="1486">
        <f t="shared" ca="1" si="96"/>
        <v>0</v>
      </c>
      <c r="BR34" s="1486">
        <f t="shared" ca="1" si="96"/>
        <v>0</v>
      </c>
      <c r="BS34" s="1486">
        <f t="shared" ca="1" si="96"/>
        <v>0</v>
      </c>
      <c r="BT34" s="1486">
        <f t="shared" ca="1" si="96"/>
        <v>0</v>
      </c>
      <c r="BU34" s="1486">
        <f t="shared" ca="1" si="96"/>
        <v>0</v>
      </c>
      <c r="BV34" s="1486">
        <f t="shared" ca="1" si="96"/>
        <v>0</v>
      </c>
      <c r="BW34" s="1486">
        <f t="shared" ca="1" si="96"/>
        <v>0</v>
      </c>
      <c r="BX34" s="1486">
        <f t="shared" ca="1" si="96"/>
        <v>0</v>
      </c>
      <c r="BY34" s="1486">
        <f t="shared" ca="1" si="96"/>
        <v>0</v>
      </c>
      <c r="BZ34" s="1486">
        <f t="shared" ca="1" si="96"/>
        <v>0</v>
      </c>
      <c r="CA34" s="1486">
        <f t="shared" ca="1" si="96"/>
        <v>0</v>
      </c>
      <c r="CB34" s="1486">
        <f t="shared" ca="1" si="96"/>
        <v>0</v>
      </c>
      <c r="CC34" s="1486">
        <f t="shared" ca="1" si="96"/>
        <v>0</v>
      </c>
      <c r="CD34" s="1486">
        <f t="shared" ca="1" si="96"/>
        <v>0</v>
      </c>
      <c r="CE34" s="1486">
        <f t="shared" ca="1" si="96"/>
        <v>0</v>
      </c>
      <c r="CF34" s="1486">
        <f t="shared" ca="1" si="96"/>
        <v>0</v>
      </c>
      <c r="CG34" s="1486">
        <f t="shared" ca="1" si="96"/>
        <v>0</v>
      </c>
      <c r="CH34" s="1486">
        <f t="shared" ca="1" si="96"/>
        <v>0</v>
      </c>
      <c r="CI34" s="1486">
        <f t="shared" ca="1" si="96"/>
        <v>0</v>
      </c>
      <c r="CJ34" s="1486">
        <f t="shared" ca="1" si="96"/>
        <v>0</v>
      </c>
      <c r="CK34" s="1486">
        <f t="shared" ca="1" si="96"/>
        <v>0</v>
      </c>
      <c r="CL34" s="1486">
        <f t="shared" ca="1" si="96"/>
        <v>0</v>
      </c>
      <c r="CM34" s="1486">
        <f t="shared" ca="1" si="96"/>
        <v>0</v>
      </c>
      <c r="CN34" s="1486">
        <f t="shared" ca="1" si="96"/>
        <v>0</v>
      </c>
      <c r="CO34" s="1486">
        <f t="shared" ca="1" si="96"/>
        <v>0</v>
      </c>
      <c r="CP34" s="1486">
        <f t="shared" ca="1" si="96"/>
        <v>0</v>
      </c>
      <c r="CQ34" s="1486">
        <f t="shared" ca="1" si="96"/>
        <v>0</v>
      </c>
      <c r="CR34" s="1486">
        <f t="shared" ca="1" si="96"/>
        <v>0</v>
      </c>
      <c r="CS34" s="1486">
        <f t="shared" ca="1" si="96"/>
        <v>0</v>
      </c>
      <c r="CT34" s="1486">
        <f t="shared" ca="1" si="96"/>
        <v>0</v>
      </c>
      <c r="CU34" s="1486">
        <f t="shared" ca="1" si="96"/>
        <v>0</v>
      </c>
      <c r="CV34" s="1486">
        <f t="shared" ca="1" si="96"/>
        <v>0</v>
      </c>
      <c r="CW34" s="1486">
        <f t="shared" ca="1" si="96"/>
        <v>0</v>
      </c>
      <c r="CX34" s="1486">
        <f t="shared" ca="1" si="96"/>
        <v>0</v>
      </c>
      <c r="CY34" s="1486">
        <f t="shared" ca="1" si="96"/>
        <v>0</v>
      </c>
      <c r="CZ34" s="1486">
        <f t="shared" ca="1" si="96"/>
        <v>0</v>
      </c>
      <c r="DA34" s="1486">
        <f t="shared" ca="1" si="96"/>
        <v>0</v>
      </c>
      <c r="DB34" s="1486">
        <f t="shared" ca="1" si="96"/>
        <v>0</v>
      </c>
      <c r="DC34" s="1486">
        <f t="shared" ca="1" si="96"/>
        <v>0</v>
      </c>
      <c r="DD34" s="1486">
        <f t="shared" ca="1" si="96"/>
        <v>0</v>
      </c>
      <c r="DE34" s="1486">
        <f t="shared" ca="1" si="96"/>
        <v>0</v>
      </c>
      <c r="DF34" s="1486">
        <f t="shared" ca="1" si="96"/>
        <v>0</v>
      </c>
      <c r="DH34" s="838">
        <f t="shared" ca="1" si="35"/>
        <v>0</v>
      </c>
    </row>
    <row r="35" spans="1:112" s="743" customFormat="1" ht="15.75" collapsed="1">
      <c r="A35" s="22"/>
      <c r="B35" s="753"/>
      <c r="C35" s="744" t="s">
        <v>680</v>
      </c>
      <c r="D35" s="517" t="str">
        <f>INDEX(Workstreams[Workstream], MATCH($C35, Workstreams[Code], 0))</f>
        <v>Food consumption [UNUSED]</v>
      </c>
      <c r="E35" s="512"/>
      <c r="G35" s="1021">
        <f ca="1">G34</f>
        <v>0</v>
      </c>
      <c r="H35" s="1021">
        <f t="shared" ref="H35:P35" ca="1" si="97">H34</f>
        <v>0</v>
      </c>
      <c r="I35" s="1021">
        <f t="shared" ca="1" si="97"/>
        <v>0</v>
      </c>
      <c r="J35" s="1021">
        <f t="shared" ca="1" si="97"/>
        <v>0</v>
      </c>
      <c r="K35" s="1021">
        <f t="shared" ca="1" si="97"/>
        <v>0</v>
      </c>
      <c r="L35" s="1021">
        <f t="shared" ca="1" si="97"/>
        <v>0</v>
      </c>
      <c r="M35" s="1021">
        <f t="shared" ca="1" si="97"/>
        <v>0</v>
      </c>
      <c r="N35" s="1021">
        <f ca="1">N34</f>
        <v>0</v>
      </c>
      <c r="O35" s="1021">
        <f ca="1">O34</f>
        <v>0</v>
      </c>
      <c r="P35" s="1021">
        <f t="shared" ca="1" si="97"/>
        <v>0</v>
      </c>
      <c r="Q35" s="1021">
        <f ca="1">SUM(G35:P35)</f>
        <v>0</v>
      </c>
      <c r="S35" s="970">
        <f ca="1">S34</f>
        <v>0</v>
      </c>
      <c r="T35" s="970">
        <f t="shared" ref="T35:AJ35" ca="1" si="98">T34</f>
        <v>0</v>
      </c>
      <c r="U35" s="970">
        <f t="shared" ca="1" si="98"/>
        <v>0</v>
      </c>
      <c r="V35" s="970">
        <f t="shared" ca="1" si="98"/>
        <v>0</v>
      </c>
      <c r="W35" s="970">
        <f t="shared" ca="1" si="98"/>
        <v>0</v>
      </c>
      <c r="X35" s="970">
        <f ca="1">X34</f>
        <v>0</v>
      </c>
      <c r="Y35" s="970">
        <f ca="1">Y34</f>
        <v>0</v>
      </c>
      <c r="Z35" s="970">
        <f ca="1">Z34</f>
        <v>0</v>
      </c>
      <c r="AA35" s="970">
        <f t="shared" ca="1" si="98"/>
        <v>0</v>
      </c>
      <c r="AB35" s="970">
        <f t="shared" ca="1" si="98"/>
        <v>0</v>
      </c>
      <c r="AC35" s="970">
        <f t="shared" ca="1" si="98"/>
        <v>0</v>
      </c>
      <c r="AD35" s="970">
        <f ca="1">AD34</f>
        <v>0</v>
      </c>
      <c r="AE35" s="970">
        <f ca="1">AE34</f>
        <v>0</v>
      </c>
      <c r="AF35" s="970">
        <f t="shared" ca="1" si="98"/>
        <v>0</v>
      </c>
      <c r="AG35" s="970">
        <f ca="1">AG34</f>
        <v>0</v>
      </c>
      <c r="AH35" s="970">
        <f ca="1">AH34</f>
        <v>0</v>
      </c>
      <c r="AI35" s="970">
        <f ca="1">AI34</f>
        <v>0</v>
      </c>
      <c r="AJ35" s="970">
        <f t="shared" ca="1" si="98"/>
        <v>0</v>
      </c>
      <c r="AK35" s="970">
        <f ca="1">SUM(S35:AJ35)</f>
        <v>0</v>
      </c>
      <c r="AM35" s="976">
        <f t="shared" ref="AM35:AU35" ca="1" si="99">AM34</f>
        <v>0</v>
      </c>
      <c r="AN35" s="976">
        <f t="shared" ca="1" si="99"/>
        <v>0</v>
      </c>
      <c r="AO35" s="976">
        <f t="shared" ca="1" si="99"/>
        <v>0</v>
      </c>
      <c r="AP35" s="976">
        <f t="shared" ca="1" si="99"/>
        <v>0</v>
      </c>
      <c r="AQ35" s="976">
        <f t="shared" ca="1" si="99"/>
        <v>0</v>
      </c>
      <c r="AR35" s="976">
        <f t="shared" ca="1" si="99"/>
        <v>0</v>
      </c>
      <c r="AS35" s="976">
        <f t="shared" ca="1" si="99"/>
        <v>0</v>
      </c>
      <c r="AT35" s="976">
        <f t="shared" ca="1" si="99"/>
        <v>0</v>
      </c>
      <c r="AU35" s="976">
        <f t="shared" ca="1" si="99"/>
        <v>0</v>
      </c>
      <c r="AV35" s="976">
        <f t="shared" ref="AV35:BE35" ca="1" si="100">AV34</f>
        <v>0</v>
      </c>
      <c r="AW35" s="976">
        <f t="shared" ca="1" si="100"/>
        <v>0</v>
      </c>
      <c r="AX35" s="976">
        <f t="shared" ca="1" si="100"/>
        <v>0</v>
      </c>
      <c r="AY35" s="976">
        <f t="shared" ca="1" si="100"/>
        <v>0</v>
      </c>
      <c r="AZ35" s="976">
        <f t="shared" ca="1" si="100"/>
        <v>0</v>
      </c>
      <c r="BA35" s="976">
        <f t="shared" ca="1" si="100"/>
        <v>0</v>
      </c>
      <c r="BB35" s="976">
        <f t="shared" ca="1" si="100"/>
        <v>0</v>
      </c>
      <c r="BC35" s="976">
        <f t="shared" ca="1" si="100"/>
        <v>0</v>
      </c>
      <c r="BD35" s="976">
        <f ca="1">BD34</f>
        <v>0</v>
      </c>
      <c r="BE35" s="976">
        <f t="shared" ca="1" si="100"/>
        <v>0</v>
      </c>
      <c r="BF35" s="976">
        <f ca="1">SUM(AM35:BE35)</f>
        <v>0</v>
      </c>
      <c r="BH35" s="990">
        <f ca="1">BH34</f>
        <v>0</v>
      </c>
      <c r="BI35" s="990">
        <f ca="1">BI34</f>
        <v>0</v>
      </c>
      <c r="BJ35" s="990">
        <f ca="1">SUM(BH35:BI35)</f>
        <v>0</v>
      </c>
      <c r="BL35" s="515">
        <f t="shared" ca="1" si="9"/>
        <v>0</v>
      </c>
      <c r="BM35" s="515"/>
      <c r="BN35" s="840"/>
      <c r="BO35" s="1482">
        <f t="shared" ref="BO35:DF35" ca="1" si="101">BO34</f>
        <v>0</v>
      </c>
      <c r="BP35" s="1482">
        <f t="shared" ca="1" si="101"/>
        <v>0</v>
      </c>
      <c r="BQ35" s="1482">
        <f t="shared" ca="1" si="101"/>
        <v>0</v>
      </c>
      <c r="BR35" s="1482">
        <f t="shared" ca="1" si="101"/>
        <v>0</v>
      </c>
      <c r="BS35" s="1482">
        <f t="shared" ca="1" si="101"/>
        <v>0</v>
      </c>
      <c r="BT35" s="1482">
        <f t="shared" ca="1" si="101"/>
        <v>0</v>
      </c>
      <c r="BU35" s="1482">
        <f t="shared" ca="1" si="101"/>
        <v>0</v>
      </c>
      <c r="BV35" s="1482">
        <f t="shared" ca="1" si="101"/>
        <v>0</v>
      </c>
      <c r="BW35" s="1482">
        <f t="shared" ca="1" si="101"/>
        <v>0</v>
      </c>
      <c r="BX35" s="1482">
        <f t="shared" ca="1" si="101"/>
        <v>0</v>
      </c>
      <c r="BY35" s="1482">
        <f t="shared" ca="1" si="101"/>
        <v>0</v>
      </c>
      <c r="BZ35" s="1482">
        <f t="shared" ca="1" si="101"/>
        <v>0</v>
      </c>
      <c r="CA35" s="1482">
        <f t="shared" ca="1" si="101"/>
        <v>0</v>
      </c>
      <c r="CB35" s="1482">
        <f t="shared" ca="1" si="101"/>
        <v>0</v>
      </c>
      <c r="CC35" s="1482">
        <f t="shared" ca="1" si="101"/>
        <v>0</v>
      </c>
      <c r="CD35" s="1482">
        <f t="shared" ca="1" si="101"/>
        <v>0</v>
      </c>
      <c r="CE35" s="1482">
        <f t="shared" ca="1" si="101"/>
        <v>0</v>
      </c>
      <c r="CF35" s="1482">
        <f t="shared" ca="1" si="101"/>
        <v>0</v>
      </c>
      <c r="CG35" s="1482">
        <f t="shared" ca="1" si="101"/>
        <v>0</v>
      </c>
      <c r="CH35" s="1482">
        <f t="shared" ca="1" si="101"/>
        <v>0</v>
      </c>
      <c r="CI35" s="1482">
        <f t="shared" ca="1" si="101"/>
        <v>0</v>
      </c>
      <c r="CJ35" s="1482">
        <f t="shared" ca="1" si="101"/>
        <v>0</v>
      </c>
      <c r="CK35" s="1482">
        <f t="shared" ca="1" si="101"/>
        <v>0</v>
      </c>
      <c r="CL35" s="1482">
        <f t="shared" ca="1" si="101"/>
        <v>0</v>
      </c>
      <c r="CM35" s="1482">
        <f t="shared" ca="1" si="101"/>
        <v>0</v>
      </c>
      <c r="CN35" s="1482">
        <f t="shared" ca="1" si="101"/>
        <v>0</v>
      </c>
      <c r="CO35" s="1482">
        <f t="shared" ca="1" si="101"/>
        <v>0</v>
      </c>
      <c r="CP35" s="1482">
        <f t="shared" ca="1" si="101"/>
        <v>0</v>
      </c>
      <c r="CQ35" s="1482">
        <f t="shared" ca="1" si="101"/>
        <v>0</v>
      </c>
      <c r="CR35" s="1482">
        <f t="shared" ca="1" si="101"/>
        <v>0</v>
      </c>
      <c r="CS35" s="1482">
        <f t="shared" ca="1" si="101"/>
        <v>0</v>
      </c>
      <c r="CT35" s="1482">
        <f t="shared" ca="1" si="101"/>
        <v>0</v>
      </c>
      <c r="CU35" s="1482">
        <f t="shared" ca="1" si="101"/>
        <v>0</v>
      </c>
      <c r="CV35" s="1482">
        <f t="shared" ca="1" si="101"/>
        <v>0</v>
      </c>
      <c r="CW35" s="1482">
        <f t="shared" ca="1" si="101"/>
        <v>0</v>
      </c>
      <c r="CX35" s="1482">
        <f t="shared" ca="1" si="101"/>
        <v>0</v>
      </c>
      <c r="CY35" s="1482">
        <f t="shared" ca="1" si="101"/>
        <v>0</v>
      </c>
      <c r="CZ35" s="1482">
        <f t="shared" ca="1" si="101"/>
        <v>0</v>
      </c>
      <c r="DA35" s="1482">
        <f t="shared" ca="1" si="101"/>
        <v>0</v>
      </c>
      <c r="DB35" s="1482">
        <f t="shared" ca="1" si="101"/>
        <v>0</v>
      </c>
      <c r="DC35" s="1482">
        <f t="shared" ca="1" si="101"/>
        <v>0</v>
      </c>
      <c r="DD35" s="1482">
        <f t="shared" ca="1" si="101"/>
        <v>0</v>
      </c>
      <c r="DE35" s="1482">
        <f t="shared" ca="1" si="101"/>
        <v>0</v>
      </c>
      <c r="DF35" s="1482">
        <f t="shared" ca="1" si="101"/>
        <v>0</v>
      </c>
      <c r="DH35" s="838">
        <f t="shared" ca="1" si="35"/>
        <v>0</v>
      </c>
    </row>
    <row r="36" spans="1:112" s="743" customFormat="1" ht="12.75" hidden="1" customHeight="1" outlineLevel="1">
      <c r="A36" s="22"/>
      <c r="B36" s="22"/>
      <c r="C36" s="751"/>
      <c r="D36" s="512"/>
      <c r="E36" s="512"/>
      <c r="G36" s="1021"/>
      <c r="H36" s="1021"/>
      <c r="I36" s="1021"/>
      <c r="J36" s="1021"/>
      <c r="K36" s="1021"/>
      <c r="L36" s="1021"/>
      <c r="M36" s="1021"/>
      <c r="N36" s="1021"/>
      <c r="O36" s="1021"/>
      <c r="P36" s="1021"/>
      <c r="Q36" s="1021"/>
      <c r="S36" s="970"/>
      <c r="T36" s="970"/>
      <c r="U36" s="970"/>
      <c r="V36" s="970"/>
      <c r="W36" s="970"/>
      <c r="X36" s="970"/>
      <c r="Y36" s="970"/>
      <c r="Z36" s="970"/>
      <c r="AA36" s="970"/>
      <c r="AB36" s="970"/>
      <c r="AC36" s="970"/>
      <c r="AD36" s="970"/>
      <c r="AE36" s="970"/>
      <c r="AF36" s="970"/>
      <c r="AG36" s="970"/>
      <c r="AH36" s="970"/>
      <c r="AI36" s="970"/>
      <c r="AJ36" s="970"/>
      <c r="AK36" s="970"/>
      <c r="AM36" s="976"/>
      <c r="AN36" s="976"/>
      <c r="AO36" s="976"/>
      <c r="AP36" s="976"/>
      <c r="AQ36" s="976"/>
      <c r="AR36" s="976"/>
      <c r="AS36" s="976"/>
      <c r="AT36" s="976"/>
      <c r="AU36" s="976"/>
      <c r="AV36" s="976"/>
      <c r="AW36" s="976"/>
      <c r="AX36" s="976"/>
      <c r="AY36" s="976"/>
      <c r="AZ36" s="976"/>
      <c r="BA36" s="976"/>
      <c r="BB36" s="976"/>
      <c r="BC36" s="976"/>
      <c r="BD36" s="976"/>
      <c r="BE36" s="976"/>
      <c r="BF36" s="976"/>
      <c r="BH36" s="990"/>
      <c r="BI36" s="990"/>
      <c r="BJ36" s="990"/>
      <c r="BL36" s="515">
        <f t="shared" si="9"/>
        <v>0</v>
      </c>
      <c r="BM36" s="515"/>
      <c r="BN36" s="22"/>
      <c r="BO36" s="1481"/>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H36" s="838">
        <f t="shared" si="35"/>
        <v>0</v>
      </c>
    </row>
    <row r="37" spans="1:112" s="743" customFormat="1" ht="12.75" hidden="1" customHeight="1" outlineLevel="1">
      <c r="A37" s="1484"/>
      <c r="B37" s="1484"/>
      <c r="C37" s="746" t="s">
        <v>962</v>
      </c>
      <c r="D37" s="1010" t="str">
        <f>INDEX(Modules[Module], MATCH($C37, Modules[Code], 0))</f>
        <v>Geosequestration</v>
      </c>
      <c r="E37" s="1010"/>
      <c r="G37" s="1022">
        <f t="shared" ref="G37:P37" ca="1" si="102">IFERROR(INDEX(INDIRECT($C37&amp;".Outputs["&amp;this.Year&amp;"]"), MATCH(G$5, INDIRECT($C37&amp;".Outputs[Vector]"), 0)), 0)</f>
        <v>0</v>
      </c>
      <c r="H37" s="1022">
        <f t="shared" ca="1" si="102"/>
        <v>0</v>
      </c>
      <c r="I37" s="1022">
        <f t="shared" ca="1" si="102"/>
        <v>0</v>
      </c>
      <c r="J37" s="1022">
        <f t="shared" ca="1" si="102"/>
        <v>0</v>
      </c>
      <c r="K37" s="1022">
        <f t="shared" ca="1" si="102"/>
        <v>0</v>
      </c>
      <c r="L37" s="1022">
        <f t="shared" ca="1" si="102"/>
        <v>0</v>
      </c>
      <c r="M37" s="1022">
        <f t="shared" ca="1" si="102"/>
        <v>0</v>
      </c>
      <c r="N37" s="1022">
        <f t="shared" ca="1" si="102"/>
        <v>0</v>
      </c>
      <c r="O37" s="1022">
        <f t="shared" ca="1" si="102"/>
        <v>0</v>
      </c>
      <c r="P37" s="1022">
        <f t="shared" ca="1" si="102"/>
        <v>0</v>
      </c>
      <c r="Q37" s="1020">
        <f ca="1">SUM(G37:P37)</f>
        <v>0</v>
      </c>
      <c r="S37" s="1031">
        <f t="shared" ref="S37:BE37" ca="1" si="103">IFERROR(INDEX(INDIRECT($C37&amp;".Outputs["&amp;this.Year&amp;"]"), MATCH(S$5, INDIRECT($C37&amp;".Outputs[Vector]"), 0)), 0)</f>
        <v>0</v>
      </c>
      <c r="T37" s="1031">
        <f t="shared" ca="1" si="103"/>
        <v>0</v>
      </c>
      <c r="U37" s="1031">
        <f t="shared" ca="1" si="103"/>
        <v>0</v>
      </c>
      <c r="V37" s="1031">
        <f t="shared" ca="1" si="103"/>
        <v>0</v>
      </c>
      <c r="W37" s="1031">
        <f t="shared" ca="1" si="103"/>
        <v>0</v>
      </c>
      <c r="X37" s="1031">
        <f ca="1">IFERROR(INDEX(INDIRECT($C37&amp;".Outputs["&amp;this.Year&amp;"]"), MATCH(X$5, INDIRECT($C37&amp;".Outputs[Vector]"), 0)), 0)</f>
        <v>0</v>
      </c>
      <c r="Y37" s="1031">
        <f ca="1">IFERROR(INDEX(INDIRECT($C37&amp;".Outputs["&amp;this.Year&amp;"]"), MATCH(Y$5, INDIRECT($C37&amp;".Outputs[Vector]"), 0)), 0)</f>
        <v>0</v>
      </c>
      <c r="Z37" s="1031">
        <f ca="1">IFERROR(INDEX(INDIRECT($C37&amp;".Outputs["&amp;this.Year&amp;"]"), MATCH(Z$5, INDIRECT($C37&amp;".Outputs[Vector]"), 0)), 0)</f>
        <v>0</v>
      </c>
      <c r="AA37" s="1031">
        <f t="shared" ca="1" si="103"/>
        <v>0</v>
      </c>
      <c r="AB37" s="1031">
        <f t="shared" ca="1" si="103"/>
        <v>0</v>
      </c>
      <c r="AC37" s="1031">
        <f t="shared" ca="1" si="103"/>
        <v>0</v>
      </c>
      <c r="AD37" s="1031">
        <f t="shared" ca="1" si="103"/>
        <v>0</v>
      </c>
      <c r="AE37" s="1031">
        <f t="shared" ca="1" si="103"/>
        <v>0</v>
      </c>
      <c r="AF37" s="1031">
        <f t="shared" ca="1" si="103"/>
        <v>0</v>
      </c>
      <c r="AG37" s="1031">
        <f t="shared" ca="1" si="103"/>
        <v>0</v>
      </c>
      <c r="AH37" s="1031">
        <f t="shared" ca="1" si="103"/>
        <v>0</v>
      </c>
      <c r="AI37" s="1031">
        <f t="shared" ca="1" si="103"/>
        <v>0</v>
      </c>
      <c r="AJ37" s="1031">
        <f t="shared" ca="1" si="103"/>
        <v>0</v>
      </c>
      <c r="AK37" s="1030">
        <f ca="1">SUM(S37:AJ37)</f>
        <v>0</v>
      </c>
      <c r="AM37" s="1042">
        <f t="shared" ref="AM37:AU37" ca="1" si="104">IFERROR(INDEX(INDIRECT($C37&amp;".Outputs["&amp;this.Year&amp;"]"), MATCH(AM$5, INDIRECT($C37&amp;".Outputs[Vector]"), 0)), 0)</f>
        <v>0</v>
      </c>
      <c r="AN37" s="1042">
        <f t="shared" ca="1" si="104"/>
        <v>0</v>
      </c>
      <c r="AO37" s="1042">
        <f t="shared" ca="1" si="104"/>
        <v>0</v>
      </c>
      <c r="AP37" s="1042">
        <f t="shared" ca="1" si="104"/>
        <v>0</v>
      </c>
      <c r="AQ37" s="1042">
        <f t="shared" ca="1" si="104"/>
        <v>0</v>
      </c>
      <c r="AR37" s="1042">
        <f t="shared" ca="1" si="104"/>
        <v>0</v>
      </c>
      <c r="AS37" s="1042">
        <f t="shared" ca="1" si="104"/>
        <v>0</v>
      </c>
      <c r="AT37" s="1042">
        <f t="shared" ca="1" si="104"/>
        <v>0</v>
      </c>
      <c r="AU37" s="1042">
        <f t="shared" ca="1" si="104"/>
        <v>0</v>
      </c>
      <c r="AV37" s="1042">
        <f t="shared" ca="1" si="103"/>
        <v>0</v>
      </c>
      <c r="AW37" s="1042">
        <f t="shared" ca="1" si="103"/>
        <v>0</v>
      </c>
      <c r="AX37" s="1042">
        <f t="shared" ca="1" si="103"/>
        <v>0</v>
      </c>
      <c r="AY37" s="1042">
        <f t="shared" ca="1" si="103"/>
        <v>0</v>
      </c>
      <c r="AZ37" s="1042">
        <f t="shared" ca="1" si="103"/>
        <v>0</v>
      </c>
      <c r="BA37" s="1042">
        <f t="shared" ca="1" si="103"/>
        <v>0</v>
      </c>
      <c r="BB37" s="1042">
        <f t="shared" ca="1" si="103"/>
        <v>0</v>
      </c>
      <c r="BC37" s="1042">
        <f t="shared" ca="1" si="103"/>
        <v>0</v>
      </c>
      <c r="BD37" s="1042">
        <f t="shared" ca="1" si="103"/>
        <v>0</v>
      </c>
      <c r="BE37" s="1042">
        <f t="shared" ca="1" si="103"/>
        <v>0</v>
      </c>
      <c r="BF37" s="1012">
        <f ca="1">SUM(AM37:BE37)</f>
        <v>0</v>
      </c>
      <c r="BH37" s="1036">
        <f ca="1">IFERROR(INDEX(INDIRECT($C37&amp;".Outputs["&amp;this.Year&amp;"]"), MATCH(BH$5, INDIRECT($C37&amp;".Outputs[Vector]"), 0)), 0)</f>
        <v>0</v>
      </c>
      <c r="BI37" s="1036">
        <f ca="1">IFERROR(INDEX(INDIRECT($C37&amp;".Outputs["&amp;this.Year&amp;"]"), MATCH(BI$5, INDIRECT($C37&amp;".Outputs[Vector]"), 0)), 0)</f>
        <v>0</v>
      </c>
      <c r="BJ37" s="1035">
        <f ca="1">SUM(BH37:BI37)</f>
        <v>0</v>
      </c>
      <c r="BL37" s="814">
        <f t="shared" ca="1" si="9"/>
        <v>0</v>
      </c>
      <c r="BM37" s="814"/>
      <c r="BN37" s="840"/>
      <c r="BO37" s="1485">
        <f t="shared" ref="BO37:DF37" ca="1" si="105">IFERROR(SUMIFS(INDIRECT($C37&amp;".Emissions["&amp;this.Year&amp;"]"), INDIRECT($C37&amp;".Emissions[GHG]"), BO$6, INDIRECT($C37&amp;".Emissions[IPCC Sector]"), BO$5),0)</f>
        <v>0</v>
      </c>
      <c r="BP37" s="1486">
        <f t="shared" ca="1" si="105"/>
        <v>0</v>
      </c>
      <c r="BQ37" s="1486">
        <f t="shared" ca="1" si="105"/>
        <v>0</v>
      </c>
      <c r="BR37" s="1486">
        <f t="shared" ca="1" si="105"/>
        <v>0</v>
      </c>
      <c r="BS37" s="1486">
        <f t="shared" ca="1" si="105"/>
        <v>0</v>
      </c>
      <c r="BT37" s="1486">
        <f t="shared" ca="1" si="105"/>
        <v>0</v>
      </c>
      <c r="BU37" s="1486">
        <f t="shared" ca="1" si="105"/>
        <v>0</v>
      </c>
      <c r="BV37" s="1486">
        <f t="shared" ca="1" si="105"/>
        <v>0</v>
      </c>
      <c r="BW37" s="1486">
        <f t="shared" ca="1" si="105"/>
        <v>0</v>
      </c>
      <c r="BX37" s="1486">
        <f t="shared" ca="1" si="105"/>
        <v>0</v>
      </c>
      <c r="BY37" s="1486">
        <f t="shared" ca="1" si="105"/>
        <v>0</v>
      </c>
      <c r="BZ37" s="1486">
        <f t="shared" ca="1" si="105"/>
        <v>0</v>
      </c>
      <c r="CA37" s="1486">
        <f t="shared" ca="1" si="105"/>
        <v>0</v>
      </c>
      <c r="CB37" s="1486">
        <f t="shared" ca="1" si="105"/>
        <v>0</v>
      </c>
      <c r="CC37" s="1486">
        <f t="shared" ca="1" si="105"/>
        <v>0</v>
      </c>
      <c r="CD37" s="1486">
        <f t="shared" ca="1" si="105"/>
        <v>0</v>
      </c>
      <c r="CE37" s="1486">
        <f t="shared" ca="1" si="105"/>
        <v>0</v>
      </c>
      <c r="CF37" s="1486">
        <f t="shared" ca="1" si="105"/>
        <v>0</v>
      </c>
      <c r="CG37" s="1486">
        <f t="shared" ca="1" si="105"/>
        <v>0</v>
      </c>
      <c r="CH37" s="1486">
        <f t="shared" ca="1" si="105"/>
        <v>0</v>
      </c>
      <c r="CI37" s="1486">
        <f t="shared" ca="1" si="105"/>
        <v>0</v>
      </c>
      <c r="CJ37" s="1486">
        <f t="shared" ca="1" si="105"/>
        <v>0</v>
      </c>
      <c r="CK37" s="1486">
        <f t="shared" ca="1" si="105"/>
        <v>0</v>
      </c>
      <c r="CL37" s="1486">
        <f t="shared" ca="1" si="105"/>
        <v>0</v>
      </c>
      <c r="CM37" s="1486">
        <f t="shared" ca="1" si="105"/>
        <v>0</v>
      </c>
      <c r="CN37" s="1486">
        <f t="shared" ca="1" si="105"/>
        <v>0</v>
      </c>
      <c r="CO37" s="1486">
        <f t="shared" ca="1" si="105"/>
        <v>0</v>
      </c>
      <c r="CP37" s="1486">
        <f t="shared" ca="1" si="105"/>
        <v>0</v>
      </c>
      <c r="CQ37" s="1486">
        <f t="shared" ca="1" si="105"/>
        <v>0</v>
      </c>
      <c r="CR37" s="1486">
        <f t="shared" ca="1" si="105"/>
        <v>0</v>
      </c>
      <c r="CS37" s="1486">
        <f t="shared" ca="1" si="105"/>
        <v>0</v>
      </c>
      <c r="CT37" s="1486">
        <f t="shared" ca="1" si="105"/>
        <v>0</v>
      </c>
      <c r="CU37" s="1486">
        <f t="shared" ca="1" si="105"/>
        <v>0</v>
      </c>
      <c r="CV37" s="1486">
        <f t="shared" ca="1" si="105"/>
        <v>0</v>
      </c>
      <c r="CW37" s="1486">
        <f t="shared" ca="1" si="105"/>
        <v>0</v>
      </c>
      <c r="CX37" s="1486">
        <f t="shared" ca="1" si="105"/>
        <v>0</v>
      </c>
      <c r="CY37" s="1486">
        <f t="shared" ca="1" si="105"/>
        <v>0</v>
      </c>
      <c r="CZ37" s="1486">
        <f t="shared" ca="1" si="105"/>
        <v>0</v>
      </c>
      <c r="DA37" s="1486">
        <f t="shared" ca="1" si="105"/>
        <v>0</v>
      </c>
      <c r="DB37" s="1486">
        <f t="shared" ca="1" si="105"/>
        <v>0</v>
      </c>
      <c r="DC37" s="1486">
        <f t="shared" ca="1" si="105"/>
        <v>0</v>
      </c>
      <c r="DD37" s="1486">
        <f t="shared" ca="1" si="105"/>
        <v>0</v>
      </c>
      <c r="DE37" s="1486">
        <f t="shared" ca="1" si="105"/>
        <v>0</v>
      </c>
      <c r="DF37" s="1486">
        <f t="shared" ca="1" si="105"/>
        <v>0</v>
      </c>
      <c r="DH37" s="838">
        <f t="shared" ca="1" si="35"/>
        <v>0</v>
      </c>
    </row>
    <row r="38" spans="1:112" s="743" customFormat="1" ht="15.75" collapsed="1">
      <c r="A38" s="22"/>
      <c r="B38" s="753"/>
      <c r="C38" s="744" t="s">
        <v>675</v>
      </c>
      <c r="D38" s="517" t="str">
        <f>INDEX(Workstreams[Workstream], MATCH($C38, Workstreams[Code], 0))</f>
        <v>Geosequestration</v>
      </c>
      <c r="E38" s="512"/>
      <c r="G38" s="1021">
        <f t="shared" ref="G38:P38" ca="1" si="106">G37</f>
        <v>0</v>
      </c>
      <c r="H38" s="1021">
        <f t="shared" ca="1" si="106"/>
        <v>0</v>
      </c>
      <c r="I38" s="1021">
        <f t="shared" ca="1" si="106"/>
        <v>0</v>
      </c>
      <c r="J38" s="1021">
        <f t="shared" ca="1" si="106"/>
        <v>0</v>
      </c>
      <c r="K38" s="1021">
        <f t="shared" ca="1" si="106"/>
        <v>0</v>
      </c>
      <c r="L38" s="1021">
        <f t="shared" ca="1" si="106"/>
        <v>0</v>
      </c>
      <c r="M38" s="1021">
        <f t="shared" ca="1" si="106"/>
        <v>0</v>
      </c>
      <c r="N38" s="1021">
        <f t="shared" ca="1" si="106"/>
        <v>0</v>
      </c>
      <c r="O38" s="1021">
        <f t="shared" ca="1" si="106"/>
        <v>0</v>
      </c>
      <c r="P38" s="1021">
        <f t="shared" ca="1" si="106"/>
        <v>0</v>
      </c>
      <c r="Q38" s="1021">
        <f ca="1">SUM(G38:P38)</f>
        <v>0</v>
      </c>
      <c r="S38" s="970">
        <f t="shared" ref="S38:AJ38" ca="1" si="107">S37</f>
        <v>0</v>
      </c>
      <c r="T38" s="970">
        <f t="shared" ca="1" si="107"/>
        <v>0</v>
      </c>
      <c r="U38" s="970">
        <f t="shared" ca="1" si="107"/>
        <v>0</v>
      </c>
      <c r="V38" s="970">
        <f t="shared" ca="1" si="107"/>
        <v>0</v>
      </c>
      <c r="W38" s="970">
        <f t="shared" ca="1" si="107"/>
        <v>0</v>
      </c>
      <c r="X38" s="970">
        <f ca="1">X37</f>
        <v>0</v>
      </c>
      <c r="Y38" s="970">
        <f ca="1">Y37</f>
        <v>0</v>
      </c>
      <c r="Z38" s="970">
        <f ca="1">Z37</f>
        <v>0</v>
      </c>
      <c r="AA38" s="970">
        <f t="shared" ca="1" si="107"/>
        <v>0</v>
      </c>
      <c r="AB38" s="970">
        <f t="shared" ca="1" si="107"/>
        <v>0</v>
      </c>
      <c r="AC38" s="970">
        <f t="shared" ca="1" si="107"/>
        <v>0</v>
      </c>
      <c r="AD38" s="970">
        <f ca="1">AD37</f>
        <v>0</v>
      </c>
      <c r="AE38" s="970">
        <f ca="1">AE37</f>
        <v>0</v>
      </c>
      <c r="AF38" s="970">
        <f t="shared" ca="1" si="107"/>
        <v>0</v>
      </c>
      <c r="AG38" s="970">
        <f ca="1">AG37</f>
        <v>0</v>
      </c>
      <c r="AH38" s="970">
        <f ca="1">AH37</f>
        <v>0</v>
      </c>
      <c r="AI38" s="970">
        <f ca="1">AI37</f>
        <v>0</v>
      </c>
      <c r="AJ38" s="970">
        <f t="shared" ca="1" si="107"/>
        <v>0</v>
      </c>
      <c r="AK38" s="970">
        <f ca="1">SUM(S38:AJ38)</f>
        <v>0</v>
      </c>
      <c r="AM38" s="976">
        <f t="shared" ref="AM38:AU38" ca="1" si="108">AM37</f>
        <v>0</v>
      </c>
      <c r="AN38" s="976">
        <f t="shared" ca="1" si="108"/>
        <v>0</v>
      </c>
      <c r="AO38" s="976">
        <f t="shared" ca="1" si="108"/>
        <v>0</v>
      </c>
      <c r="AP38" s="976">
        <f t="shared" ca="1" si="108"/>
        <v>0</v>
      </c>
      <c r="AQ38" s="976">
        <f t="shared" ca="1" si="108"/>
        <v>0</v>
      </c>
      <c r="AR38" s="976">
        <f t="shared" ca="1" si="108"/>
        <v>0</v>
      </c>
      <c r="AS38" s="976">
        <f t="shared" ca="1" si="108"/>
        <v>0</v>
      </c>
      <c r="AT38" s="976">
        <f t="shared" ca="1" si="108"/>
        <v>0</v>
      </c>
      <c r="AU38" s="976">
        <f t="shared" ca="1" si="108"/>
        <v>0</v>
      </c>
      <c r="AV38" s="976">
        <f t="shared" ref="AV38:BE38" ca="1" si="109">AV37</f>
        <v>0</v>
      </c>
      <c r="AW38" s="976">
        <f t="shared" ca="1" si="109"/>
        <v>0</v>
      </c>
      <c r="AX38" s="976">
        <f t="shared" ca="1" si="109"/>
        <v>0</v>
      </c>
      <c r="AY38" s="976">
        <f t="shared" ca="1" si="109"/>
        <v>0</v>
      </c>
      <c r="AZ38" s="976">
        <f t="shared" ca="1" si="109"/>
        <v>0</v>
      </c>
      <c r="BA38" s="976">
        <f t="shared" ca="1" si="109"/>
        <v>0</v>
      </c>
      <c r="BB38" s="976">
        <f t="shared" ca="1" si="109"/>
        <v>0</v>
      </c>
      <c r="BC38" s="976">
        <f t="shared" ca="1" si="109"/>
        <v>0</v>
      </c>
      <c r="BD38" s="976">
        <f ca="1">BD37</f>
        <v>0</v>
      </c>
      <c r="BE38" s="976">
        <f t="shared" ca="1" si="109"/>
        <v>0</v>
      </c>
      <c r="BF38" s="976">
        <f ca="1">SUM(AM38:BE38)</f>
        <v>0</v>
      </c>
      <c r="BH38" s="990">
        <f ca="1">BH37</f>
        <v>0</v>
      </c>
      <c r="BI38" s="990">
        <f ca="1">BI37</f>
        <v>0</v>
      </c>
      <c r="BJ38" s="990">
        <f ca="1">SUM(BH38:BI38)</f>
        <v>0</v>
      </c>
      <c r="BL38" s="515">
        <f t="shared" ca="1" si="9"/>
        <v>0</v>
      </c>
      <c r="BM38" s="515"/>
      <c r="BN38" s="840"/>
      <c r="BO38" s="1482">
        <f t="shared" ref="BO38:DF38" ca="1" si="110">BO37</f>
        <v>0</v>
      </c>
      <c r="BP38" s="1482">
        <f t="shared" ca="1" si="110"/>
        <v>0</v>
      </c>
      <c r="BQ38" s="1482">
        <f t="shared" ca="1" si="110"/>
        <v>0</v>
      </c>
      <c r="BR38" s="1482">
        <f t="shared" ca="1" si="110"/>
        <v>0</v>
      </c>
      <c r="BS38" s="1482">
        <f t="shared" ca="1" si="110"/>
        <v>0</v>
      </c>
      <c r="BT38" s="1482">
        <f t="shared" ca="1" si="110"/>
        <v>0</v>
      </c>
      <c r="BU38" s="1482">
        <f t="shared" ca="1" si="110"/>
        <v>0</v>
      </c>
      <c r="BV38" s="1482">
        <f t="shared" ca="1" si="110"/>
        <v>0</v>
      </c>
      <c r="BW38" s="1482">
        <f t="shared" ca="1" si="110"/>
        <v>0</v>
      </c>
      <c r="BX38" s="1482">
        <f t="shared" ca="1" si="110"/>
        <v>0</v>
      </c>
      <c r="BY38" s="1482">
        <f t="shared" ca="1" si="110"/>
        <v>0</v>
      </c>
      <c r="BZ38" s="1482">
        <f t="shared" ca="1" si="110"/>
        <v>0</v>
      </c>
      <c r="CA38" s="1482">
        <f t="shared" ca="1" si="110"/>
        <v>0</v>
      </c>
      <c r="CB38" s="1482">
        <f t="shared" ca="1" si="110"/>
        <v>0</v>
      </c>
      <c r="CC38" s="1482">
        <f t="shared" ca="1" si="110"/>
        <v>0</v>
      </c>
      <c r="CD38" s="1482">
        <f t="shared" ca="1" si="110"/>
        <v>0</v>
      </c>
      <c r="CE38" s="1482">
        <f t="shared" ca="1" si="110"/>
        <v>0</v>
      </c>
      <c r="CF38" s="1482">
        <f t="shared" ca="1" si="110"/>
        <v>0</v>
      </c>
      <c r="CG38" s="1482">
        <f t="shared" ca="1" si="110"/>
        <v>0</v>
      </c>
      <c r="CH38" s="1482">
        <f t="shared" ca="1" si="110"/>
        <v>0</v>
      </c>
      <c r="CI38" s="1482">
        <f t="shared" ca="1" si="110"/>
        <v>0</v>
      </c>
      <c r="CJ38" s="1482">
        <f t="shared" ca="1" si="110"/>
        <v>0</v>
      </c>
      <c r="CK38" s="1482">
        <f t="shared" ca="1" si="110"/>
        <v>0</v>
      </c>
      <c r="CL38" s="1482">
        <f t="shared" ca="1" si="110"/>
        <v>0</v>
      </c>
      <c r="CM38" s="1482">
        <f t="shared" ca="1" si="110"/>
        <v>0</v>
      </c>
      <c r="CN38" s="1482">
        <f t="shared" ca="1" si="110"/>
        <v>0</v>
      </c>
      <c r="CO38" s="1482">
        <f t="shared" ca="1" si="110"/>
        <v>0</v>
      </c>
      <c r="CP38" s="1482">
        <f t="shared" ca="1" si="110"/>
        <v>0</v>
      </c>
      <c r="CQ38" s="1482">
        <f t="shared" ca="1" si="110"/>
        <v>0</v>
      </c>
      <c r="CR38" s="1482">
        <f t="shared" ca="1" si="110"/>
        <v>0</v>
      </c>
      <c r="CS38" s="1482">
        <f t="shared" ca="1" si="110"/>
        <v>0</v>
      </c>
      <c r="CT38" s="1482">
        <f t="shared" ca="1" si="110"/>
        <v>0</v>
      </c>
      <c r="CU38" s="1482">
        <f t="shared" ca="1" si="110"/>
        <v>0</v>
      </c>
      <c r="CV38" s="1482">
        <f t="shared" ca="1" si="110"/>
        <v>0</v>
      </c>
      <c r="CW38" s="1482">
        <f t="shared" ca="1" si="110"/>
        <v>0</v>
      </c>
      <c r="CX38" s="1482">
        <f t="shared" ca="1" si="110"/>
        <v>0</v>
      </c>
      <c r="CY38" s="1482">
        <f t="shared" ca="1" si="110"/>
        <v>0</v>
      </c>
      <c r="CZ38" s="1482">
        <f t="shared" ca="1" si="110"/>
        <v>0</v>
      </c>
      <c r="DA38" s="1482">
        <f t="shared" ca="1" si="110"/>
        <v>0</v>
      </c>
      <c r="DB38" s="1482">
        <f t="shared" ca="1" si="110"/>
        <v>0</v>
      </c>
      <c r="DC38" s="1482">
        <f t="shared" ca="1" si="110"/>
        <v>0</v>
      </c>
      <c r="DD38" s="1482">
        <f t="shared" ca="1" si="110"/>
        <v>0</v>
      </c>
      <c r="DE38" s="1482">
        <f t="shared" ca="1" si="110"/>
        <v>0</v>
      </c>
      <c r="DF38" s="1482">
        <f t="shared" ca="1" si="110"/>
        <v>0</v>
      </c>
      <c r="DH38" s="838">
        <f t="shared" ca="1" si="35"/>
        <v>0</v>
      </c>
    </row>
    <row r="39" spans="1:112" s="743" customFormat="1" ht="6" customHeight="1">
      <c r="C39" s="516"/>
      <c r="D39" s="517"/>
      <c r="E39" s="509"/>
      <c r="G39" s="1021"/>
      <c r="H39" s="1021"/>
      <c r="I39" s="1021"/>
      <c r="J39" s="1021"/>
      <c r="K39" s="1021"/>
      <c r="L39" s="1021"/>
      <c r="M39" s="1021"/>
      <c r="N39" s="1021"/>
      <c r="O39" s="1021"/>
      <c r="P39" s="1021"/>
      <c r="Q39" s="1021"/>
      <c r="S39" s="970"/>
      <c r="T39" s="970"/>
      <c r="U39" s="970"/>
      <c r="V39" s="970"/>
      <c r="W39" s="970"/>
      <c r="X39" s="970"/>
      <c r="Y39" s="970"/>
      <c r="Z39" s="970"/>
      <c r="AA39" s="970"/>
      <c r="AB39" s="970"/>
      <c r="AC39" s="970"/>
      <c r="AD39" s="970"/>
      <c r="AE39" s="970"/>
      <c r="AF39" s="970"/>
      <c r="AG39" s="970"/>
      <c r="AH39" s="970"/>
      <c r="AI39" s="970"/>
      <c r="AJ39" s="970"/>
      <c r="AK39" s="970"/>
      <c r="AM39" s="976"/>
      <c r="AN39" s="976"/>
      <c r="AO39" s="976"/>
      <c r="AP39" s="976"/>
      <c r="AQ39" s="976"/>
      <c r="AR39" s="976"/>
      <c r="AS39" s="976"/>
      <c r="AT39" s="976"/>
      <c r="AU39" s="976"/>
      <c r="AV39" s="976"/>
      <c r="AW39" s="976"/>
      <c r="AX39" s="976"/>
      <c r="AY39" s="976"/>
      <c r="AZ39" s="976"/>
      <c r="BA39" s="976"/>
      <c r="BB39" s="976"/>
      <c r="BC39" s="976"/>
      <c r="BD39" s="976"/>
      <c r="BE39" s="976"/>
      <c r="BF39" s="976">
        <f>SUM(AM39:BE39)</f>
        <v>0</v>
      </c>
      <c r="BH39" s="990"/>
      <c r="BI39" s="990"/>
      <c r="BJ39" s="990"/>
      <c r="BL39" s="515">
        <f t="shared" si="9"/>
        <v>0</v>
      </c>
      <c r="BM39" s="515"/>
      <c r="BO39" s="1482"/>
      <c r="BP39" s="1482"/>
      <c r="BQ39" s="1482"/>
      <c r="BR39" s="1482"/>
      <c r="BS39" s="1482"/>
      <c r="BT39" s="1482"/>
      <c r="BU39" s="1482"/>
      <c r="BV39" s="1482"/>
      <c r="BW39" s="1482"/>
      <c r="BX39" s="1482"/>
      <c r="BY39" s="1482"/>
      <c r="BZ39" s="1482"/>
      <c r="CA39" s="1482"/>
      <c r="CB39" s="1482"/>
      <c r="CC39" s="1482"/>
      <c r="CD39" s="1482"/>
      <c r="CE39" s="1482"/>
      <c r="CF39" s="1482"/>
      <c r="CG39" s="1482"/>
      <c r="CH39" s="1482"/>
      <c r="CI39" s="1482"/>
      <c r="CJ39" s="1482"/>
      <c r="CK39" s="1482"/>
      <c r="CL39" s="1482"/>
      <c r="CM39" s="1482"/>
      <c r="CN39" s="1482"/>
      <c r="CO39" s="1482"/>
      <c r="CP39" s="1482"/>
      <c r="CQ39" s="1482"/>
      <c r="CR39" s="1482"/>
      <c r="CS39" s="1482"/>
      <c r="CT39" s="1482"/>
      <c r="CU39" s="1482"/>
      <c r="CV39" s="1482"/>
      <c r="CW39" s="1482"/>
      <c r="CX39" s="1482"/>
      <c r="CY39" s="1482"/>
      <c r="CZ39" s="1482"/>
      <c r="DA39" s="1482"/>
      <c r="DB39" s="1482"/>
      <c r="DC39" s="1482"/>
      <c r="DD39" s="1482"/>
      <c r="DE39" s="1482"/>
      <c r="DF39" s="1482"/>
      <c r="DH39" s="838"/>
    </row>
    <row r="40" spans="1:112" s="743" customFormat="1" ht="15.75">
      <c r="B40" s="753"/>
      <c r="C40" s="2050" t="s">
        <v>1815</v>
      </c>
      <c r="D40" s="643" t="s">
        <v>619</v>
      </c>
      <c r="E40" s="644"/>
      <c r="G40" s="1023">
        <f t="shared" ref="G40:Q40" ca="1" si="111">G$15+G$19+G$22+G$32+G$35+G$38</f>
        <v>498.42483853439262</v>
      </c>
      <c r="H40" s="1023">
        <f t="shared" ca="1" si="111"/>
        <v>176.36080205964583</v>
      </c>
      <c r="I40" s="1023">
        <f t="shared" ca="1" si="111"/>
        <v>408.60866455868427</v>
      </c>
      <c r="J40" s="1023">
        <f t="shared" ca="1" si="111"/>
        <v>490.85404977847907</v>
      </c>
      <c r="K40" s="1023">
        <f t="shared" ca="1" si="111"/>
        <v>15.852446803025652</v>
      </c>
      <c r="L40" s="1023">
        <f t="shared" ca="1" si="111"/>
        <v>9.0198346087095516</v>
      </c>
      <c r="M40" s="1023">
        <f t="shared" ca="1" si="111"/>
        <v>18.817339999999998</v>
      </c>
      <c r="N40" s="1023">
        <f t="shared" ca="1" si="111"/>
        <v>152.99167541479133</v>
      </c>
      <c r="O40" s="1023">
        <f t="shared" ca="1" si="111"/>
        <v>29.222291428230907</v>
      </c>
      <c r="P40" s="1023">
        <f t="shared" ca="1" si="111"/>
        <v>0</v>
      </c>
      <c r="Q40" s="1023">
        <f t="shared" ca="1" si="111"/>
        <v>1800.1519431859592</v>
      </c>
      <c r="S40" s="1014">
        <f t="shared" ref="S40:AJ40" ca="1" si="112">S$15+S$19+S$22+S$32+S$35+S$38</f>
        <v>-341.97405165659995</v>
      </c>
      <c r="T40" s="1014">
        <f t="shared" ca="1" si="112"/>
        <v>0</v>
      </c>
      <c r="U40" s="1014">
        <f t="shared" ca="1" si="112"/>
        <v>-68.81007211232118</v>
      </c>
      <c r="V40" s="1014">
        <f t="shared" ca="1" si="112"/>
        <v>-811.5667048630163</v>
      </c>
      <c r="W40" s="1014">
        <f t="shared" ca="1" si="112"/>
        <v>-569.79406335505382</v>
      </c>
      <c r="X40" s="1014">
        <f ca="1">X$15+X$19+X$22+X$32+X$35+X$38</f>
        <v>0</v>
      </c>
      <c r="Y40" s="1014">
        <f ca="1">Y$15+Y$19+Y$22+Y$32+Y$35+Y$38</f>
        <v>0</v>
      </c>
      <c r="Z40" s="1014">
        <f ca="1">Z$15+Z$19+Z$22+Z$32+Z$35+Z$38</f>
        <v>0</v>
      </c>
      <c r="AA40" s="1014">
        <f t="shared" ca="1" si="112"/>
        <v>0</v>
      </c>
      <c r="AB40" s="1014">
        <f t="shared" ca="1" si="112"/>
        <v>-8.007051198968183</v>
      </c>
      <c r="AC40" s="1014">
        <f t="shared" ca="1" si="112"/>
        <v>0</v>
      </c>
      <c r="AD40" s="1014">
        <f t="shared" ca="1" si="112"/>
        <v>0</v>
      </c>
      <c r="AE40" s="1014">
        <f t="shared" ca="1" si="112"/>
        <v>0</v>
      </c>
      <c r="AF40" s="1014">
        <f t="shared" ca="1" si="112"/>
        <v>0</v>
      </c>
      <c r="AG40" s="1014">
        <f t="shared" ca="1" si="112"/>
        <v>0</v>
      </c>
      <c r="AH40" s="1014">
        <f t="shared" ca="1" si="112"/>
        <v>0</v>
      </c>
      <c r="AI40" s="1014">
        <f t="shared" ca="1" si="112"/>
        <v>0</v>
      </c>
      <c r="AJ40" s="1014">
        <f t="shared" ca="1" si="112"/>
        <v>0</v>
      </c>
      <c r="AK40" s="1014">
        <f ca="1">SUM(S40:AJ40)</f>
        <v>-1800.1519431859595</v>
      </c>
      <c r="AM40" s="1015">
        <f t="shared" ref="AM40:AU40" ca="1" si="113">AM$15+AM$19+AM$22+AM$32+AM$35+AM$38</f>
        <v>0</v>
      </c>
      <c r="AN40" s="1015">
        <f t="shared" ca="1" si="113"/>
        <v>0</v>
      </c>
      <c r="AO40" s="1015">
        <f t="shared" ca="1" si="113"/>
        <v>0</v>
      </c>
      <c r="AP40" s="1015">
        <f t="shared" ca="1" si="113"/>
        <v>0</v>
      </c>
      <c r="AQ40" s="1015">
        <f t="shared" ca="1" si="113"/>
        <v>0</v>
      </c>
      <c r="AR40" s="1015">
        <f t="shared" ca="1" si="113"/>
        <v>0</v>
      </c>
      <c r="AS40" s="1015">
        <f t="shared" ca="1" si="113"/>
        <v>0</v>
      </c>
      <c r="AT40" s="1015">
        <f t="shared" ca="1" si="113"/>
        <v>0</v>
      </c>
      <c r="AU40" s="1015">
        <f t="shared" ca="1" si="113"/>
        <v>0</v>
      </c>
      <c r="AV40" s="1015">
        <f t="shared" ref="AV40:BE40" ca="1" si="114">AV$15+AV$19+AV$22+AV$32+AV$35+AV$38</f>
        <v>0</v>
      </c>
      <c r="AW40" s="1015">
        <f t="shared" ca="1" si="114"/>
        <v>0</v>
      </c>
      <c r="AX40" s="1015">
        <f t="shared" ca="1" si="114"/>
        <v>0</v>
      </c>
      <c r="AY40" s="1015">
        <f t="shared" ca="1" si="114"/>
        <v>0</v>
      </c>
      <c r="AZ40" s="1015">
        <f t="shared" ca="1" si="114"/>
        <v>0</v>
      </c>
      <c r="BA40" s="1015">
        <f t="shared" ca="1" si="114"/>
        <v>0</v>
      </c>
      <c r="BB40" s="1015">
        <f t="shared" ca="1" si="114"/>
        <v>0</v>
      </c>
      <c r="BC40" s="1015">
        <f t="shared" ca="1" si="114"/>
        <v>0</v>
      </c>
      <c r="BD40" s="1015">
        <f t="shared" ca="1" si="114"/>
        <v>0</v>
      </c>
      <c r="BE40" s="1015">
        <f t="shared" ca="1" si="114"/>
        <v>0</v>
      </c>
      <c r="BF40" s="1015">
        <f ca="1">SUM(AM40:BE40)</f>
        <v>0</v>
      </c>
      <c r="BH40" s="1016">
        <f ca="1">BH$15+BH$19+BH$22+BH$32+BH$35+BH$38</f>
        <v>0</v>
      </c>
      <c r="BI40" s="1016">
        <f ca="1">BI$15+BI$19+BI$22+BI$32+BI$35+BI$38</f>
        <v>0</v>
      </c>
      <c r="BJ40" s="1016">
        <f ca="1">SUM(BH40:BI40)</f>
        <v>0</v>
      </c>
      <c r="BL40" s="518">
        <f t="shared" ca="1" si="9"/>
        <v>-2.2737367544323206E-13</v>
      </c>
      <c r="BM40" s="518"/>
      <c r="BO40" s="1487">
        <f t="shared" ref="BO40:DF40" ca="1" si="115">BO$15+BO$19+BO$22+BO$32+BO$35+BO$38</f>
        <v>283.37379437292333</v>
      </c>
      <c r="BP40" s="1487">
        <f t="shared" ca="1" si="115"/>
        <v>0.46829877567433276</v>
      </c>
      <c r="BQ40" s="1487">
        <f t="shared" ca="1" si="115"/>
        <v>3.244610652199623</v>
      </c>
      <c r="BR40" s="1487">
        <f t="shared" ca="1" si="115"/>
        <v>0</v>
      </c>
      <c r="BS40" s="1487">
        <f t="shared" ca="1" si="115"/>
        <v>0</v>
      </c>
      <c r="BT40" s="1487">
        <f t="shared" ca="1" si="115"/>
        <v>0</v>
      </c>
      <c r="BU40" s="1487">
        <f t="shared" ca="1" si="115"/>
        <v>0</v>
      </c>
      <c r="BV40" s="1487">
        <f t="shared" ca="1" si="115"/>
        <v>0</v>
      </c>
      <c r="BW40" s="1487">
        <f t="shared" ca="1" si="115"/>
        <v>14.39565925511863</v>
      </c>
      <c r="BX40" s="1487">
        <f t="shared" ca="1" si="115"/>
        <v>0.11288744235152412</v>
      </c>
      <c r="BY40" s="1487">
        <f t="shared" ca="1" si="115"/>
        <v>2.7624692105907238</v>
      </c>
      <c r="BZ40" s="1487">
        <f t="shared" ca="1" si="115"/>
        <v>10.620296151887526</v>
      </c>
      <c r="CA40" s="1487">
        <f t="shared" ca="1" si="115"/>
        <v>0</v>
      </c>
      <c r="CB40" s="1487">
        <f t="shared" ca="1" si="115"/>
        <v>0</v>
      </c>
      <c r="CC40" s="1487">
        <f t="shared" ca="1" si="115"/>
        <v>0</v>
      </c>
      <c r="CD40" s="1487">
        <f t="shared" ca="1" si="115"/>
        <v>0</v>
      </c>
      <c r="CE40" s="1487">
        <f t="shared" ca="1" si="115"/>
        <v>0</v>
      </c>
      <c r="CF40" s="1487">
        <f t="shared" ca="1" si="115"/>
        <v>0</v>
      </c>
      <c r="CG40" s="1487">
        <f t="shared" ca="1" si="115"/>
        <v>0</v>
      </c>
      <c r="CH40" s="1487">
        <f t="shared" ca="1" si="115"/>
        <v>0</v>
      </c>
      <c r="CI40" s="1487">
        <f t="shared" ca="1" si="115"/>
        <v>0</v>
      </c>
      <c r="CJ40" s="1487">
        <f t="shared" ca="1" si="115"/>
        <v>0</v>
      </c>
      <c r="CK40" s="1487">
        <f t="shared" ca="1" si="115"/>
        <v>0</v>
      </c>
      <c r="CL40" s="1487">
        <f t="shared" ca="1" si="115"/>
        <v>0</v>
      </c>
      <c r="CM40" s="1487">
        <f t="shared" ca="1" si="115"/>
        <v>0</v>
      </c>
      <c r="CN40" s="1487">
        <f t="shared" ca="1" si="115"/>
        <v>0</v>
      </c>
      <c r="CO40" s="1487">
        <f t="shared" ca="1" si="115"/>
        <v>0</v>
      </c>
      <c r="CP40" s="1487">
        <f t="shared" ca="1" si="115"/>
        <v>0</v>
      </c>
      <c r="CQ40" s="1487">
        <f t="shared" ca="1" si="115"/>
        <v>0</v>
      </c>
      <c r="CR40" s="1487">
        <f t="shared" ca="1" si="115"/>
        <v>0</v>
      </c>
      <c r="CS40" s="1487">
        <f t="shared" ca="1" si="115"/>
        <v>0</v>
      </c>
      <c r="CT40" s="1487">
        <f t="shared" ca="1" si="115"/>
        <v>0</v>
      </c>
      <c r="CU40" s="1487">
        <f t="shared" ca="1" si="115"/>
        <v>45.553491710755559</v>
      </c>
      <c r="CV40" s="1487">
        <f t="shared" ca="1" si="115"/>
        <v>5.6713917346040608E-2</v>
      </c>
      <c r="CW40" s="1487">
        <f t="shared" ca="1" si="115"/>
        <v>0.81960065910961444</v>
      </c>
      <c r="CX40" s="1487">
        <f t="shared" ca="1" si="115"/>
        <v>0</v>
      </c>
      <c r="CY40" s="1487">
        <f t="shared" ca="1" si="115"/>
        <v>0</v>
      </c>
      <c r="CZ40" s="1487">
        <f t="shared" ca="1" si="115"/>
        <v>0</v>
      </c>
      <c r="DA40" s="1487">
        <f t="shared" ca="1" si="115"/>
        <v>0</v>
      </c>
      <c r="DB40" s="1487">
        <f t="shared" ca="1" si="115"/>
        <v>0</v>
      </c>
      <c r="DC40" s="1487">
        <f t="shared" ca="1" si="115"/>
        <v>0</v>
      </c>
      <c r="DD40" s="1487">
        <f t="shared" ca="1" si="115"/>
        <v>0</v>
      </c>
      <c r="DE40" s="1487">
        <f t="shared" ca="1" si="115"/>
        <v>0</v>
      </c>
      <c r="DF40" s="1487">
        <f t="shared" ca="1" si="115"/>
        <v>0</v>
      </c>
      <c r="DH40" s="835">
        <f ca="1">SUM(BO40:DF40)</f>
        <v>361.40782214795689</v>
      </c>
    </row>
    <row r="41" spans="1:112" s="743" customFormat="1" ht="6" customHeight="1">
      <c r="C41" s="509"/>
      <c r="D41" s="509"/>
      <c r="E41" s="509"/>
      <c r="G41" s="958"/>
      <c r="H41" s="958"/>
      <c r="I41" s="958"/>
      <c r="J41" s="958"/>
      <c r="K41" s="960"/>
      <c r="L41" s="958"/>
      <c r="M41" s="958"/>
      <c r="N41" s="958"/>
      <c r="O41" s="958"/>
      <c r="P41" s="958"/>
      <c r="Q41" s="958"/>
      <c r="S41" s="970"/>
      <c r="T41" s="970"/>
      <c r="U41" s="970"/>
      <c r="V41" s="970"/>
      <c r="W41" s="970"/>
      <c r="X41" s="970"/>
      <c r="Y41" s="970"/>
      <c r="Z41" s="970"/>
      <c r="AA41" s="970"/>
      <c r="AB41" s="970"/>
      <c r="AC41" s="970"/>
      <c r="AD41" s="970"/>
      <c r="AE41" s="970"/>
      <c r="AF41" s="970"/>
      <c r="AG41" s="970"/>
      <c r="AH41" s="970"/>
      <c r="AI41" s="970"/>
      <c r="AJ41" s="970"/>
      <c r="AK41" s="970"/>
      <c r="AM41" s="976"/>
      <c r="AN41" s="976"/>
      <c r="AO41" s="976"/>
      <c r="AP41" s="976"/>
      <c r="AQ41" s="976"/>
      <c r="AR41" s="976"/>
      <c r="AS41" s="976"/>
      <c r="AT41" s="976"/>
      <c r="AU41" s="976"/>
      <c r="AV41" s="976"/>
      <c r="AW41" s="976"/>
      <c r="AX41" s="976"/>
      <c r="AY41" s="976"/>
      <c r="AZ41" s="976"/>
      <c r="BA41" s="976"/>
      <c r="BB41" s="976"/>
      <c r="BC41" s="976"/>
      <c r="BD41" s="976"/>
      <c r="BE41" s="976"/>
      <c r="BF41" s="976"/>
      <c r="BH41" s="990"/>
      <c r="BI41" s="990"/>
      <c r="BJ41" s="990"/>
      <c r="BL41" s="515">
        <f t="shared" si="9"/>
        <v>0</v>
      </c>
      <c r="BM41" s="515"/>
      <c r="BO41" s="1482"/>
      <c r="BP41" s="1482"/>
      <c r="BQ41" s="1482"/>
      <c r="BR41" s="1482"/>
      <c r="BS41" s="1482"/>
      <c r="BT41" s="1482"/>
      <c r="BU41" s="1482"/>
      <c r="BV41" s="1482"/>
      <c r="BW41" s="1482"/>
      <c r="BX41" s="1482"/>
      <c r="BY41" s="1482"/>
      <c r="BZ41" s="1482"/>
      <c r="CA41" s="1482"/>
      <c r="CB41" s="1482"/>
      <c r="CC41" s="1482"/>
      <c r="CD41" s="1482"/>
      <c r="CE41" s="1482"/>
      <c r="CF41" s="1482"/>
      <c r="CG41" s="1482"/>
      <c r="CH41" s="1482"/>
      <c r="CI41" s="1482"/>
      <c r="CJ41" s="1482"/>
      <c r="CK41" s="1482"/>
      <c r="CL41" s="1482"/>
      <c r="CM41" s="1482"/>
      <c r="CN41" s="1482"/>
      <c r="CO41" s="1482"/>
      <c r="CP41" s="1482"/>
      <c r="CQ41" s="1482"/>
      <c r="CR41" s="1482"/>
      <c r="CS41" s="1482"/>
      <c r="CT41" s="1482"/>
      <c r="CU41" s="1482"/>
      <c r="CV41" s="1482"/>
      <c r="CW41" s="1482"/>
      <c r="CX41" s="1482"/>
      <c r="CY41" s="1482"/>
      <c r="CZ41" s="1482"/>
      <c r="DA41" s="1482"/>
      <c r="DB41" s="1482"/>
      <c r="DC41" s="1482"/>
      <c r="DD41" s="1482"/>
      <c r="DE41" s="1482"/>
      <c r="DF41" s="1482"/>
      <c r="DH41" s="838"/>
    </row>
    <row r="42" spans="1:112" s="743" customFormat="1" ht="24" customHeight="1">
      <c r="C42" s="501" t="s">
        <v>72</v>
      </c>
      <c r="D42" s="501"/>
      <c r="E42" s="639"/>
      <c r="G42" s="957"/>
      <c r="H42" s="957"/>
      <c r="I42" s="957"/>
      <c r="J42" s="957"/>
      <c r="K42" s="957"/>
      <c r="L42" s="957"/>
      <c r="M42" s="957"/>
      <c r="N42" s="957"/>
      <c r="O42" s="957"/>
      <c r="P42" s="957"/>
      <c r="Q42" s="957"/>
      <c r="S42" s="969"/>
      <c r="T42" s="969"/>
      <c r="U42" s="969"/>
      <c r="V42" s="969"/>
      <c r="W42" s="969"/>
      <c r="X42" s="969"/>
      <c r="Y42" s="969"/>
      <c r="Z42" s="969"/>
      <c r="AA42" s="969"/>
      <c r="AB42" s="969"/>
      <c r="AC42" s="969"/>
      <c r="AD42" s="969"/>
      <c r="AE42" s="969"/>
      <c r="AF42" s="969"/>
      <c r="AG42" s="969"/>
      <c r="AH42" s="969"/>
      <c r="AI42" s="969"/>
      <c r="AJ42" s="969"/>
      <c r="AK42" s="969"/>
      <c r="AM42" s="975"/>
      <c r="AN42" s="975"/>
      <c r="AO42" s="975"/>
      <c r="AP42" s="975"/>
      <c r="AQ42" s="975"/>
      <c r="AR42" s="975"/>
      <c r="AS42" s="975"/>
      <c r="AT42" s="975"/>
      <c r="AU42" s="975"/>
      <c r="AV42" s="975"/>
      <c r="AW42" s="975"/>
      <c r="AX42" s="975"/>
      <c r="AY42" s="975"/>
      <c r="AZ42" s="975"/>
      <c r="BA42" s="975"/>
      <c r="BB42" s="975"/>
      <c r="BC42" s="975"/>
      <c r="BD42" s="975"/>
      <c r="BE42" s="975"/>
      <c r="BF42" s="975"/>
      <c r="BH42" s="989"/>
      <c r="BI42" s="989"/>
      <c r="BJ42" s="989"/>
      <c r="BL42" s="514">
        <f t="shared" si="9"/>
        <v>0</v>
      </c>
      <c r="BM42" s="514"/>
      <c r="BO42" s="1482"/>
      <c r="BP42" s="1482"/>
      <c r="BQ42" s="1482"/>
      <c r="BR42" s="1482"/>
      <c r="BS42" s="1482"/>
      <c r="BT42" s="1482"/>
      <c r="BU42" s="1482"/>
      <c r="BV42" s="1482"/>
      <c r="BW42" s="1482"/>
      <c r="BX42" s="1482"/>
      <c r="BY42" s="1482"/>
      <c r="BZ42" s="1482"/>
      <c r="CA42" s="1482"/>
      <c r="CB42" s="1482"/>
      <c r="CC42" s="1482"/>
      <c r="CD42" s="1482"/>
      <c r="CE42" s="1482"/>
      <c r="CF42" s="1482"/>
      <c r="CG42" s="1482"/>
      <c r="CH42" s="1482"/>
      <c r="CI42" s="1482"/>
      <c r="CJ42" s="1482"/>
      <c r="CK42" s="1482"/>
      <c r="CL42" s="1482"/>
      <c r="CM42" s="1482"/>
      <c r="CN42" s="1482"/>
      <c r="CO42" s="1482"/>
      <c r="CP42" s="1482"/>
      <c r="CQ42" s="1482"/>
      <c r="CR42" s="1482"/>
      <c r="CS42" s="1482"/>
      <c r="CT42" s="1482"/>
      <c r="CU42" s="1482"/>
      <c r="CV42" s="1482"/>
      <c r="CW42" s="1482"/>
      <c r="CX42" s="1482"/>
      <c r="CY42" s="1482"/>
      <c r="CZ42" s="1482"/>
      <c r="DA42" s="1482"/>
      <c r="DB42" s="1482"/>
      <c r="DC42" s="1482"/>
      <c r="DD42" s="1482"/>
      <c r="DE42" s="1482"/>
      <c r="DF42" s="1482"/>
      <c r="DH42" s="838"/>
    </row>
    <row r="43" spans="1:112" s="743" customFormat="1" ht="12.75" hidden="1" customHeight="1" outlineLevel="1">
      <c r="A43" s="22"/>
      <c r="B43" s="22"/>
      <c r="C43" s="751"/>
      <c r="D43" s="512"/>
      <c r="E43" s="512"/>
      <c r="G43" s="958"/>
      <c r="H43" s="958"/>
      <c r="I43" s="958"/>
      <c r="J43" s="958"/>
      <c r="K43" s="960"/>
      <c r="L43" s="958"/>
      <c r="M43" s="958"/>
      <c r="N43" s="958"/>
      <c r="O43" s="958"/>
      <c r="P43" s="958"/>
      <c r="Q43" s="958"/>
      <c r="S43" s="970"/>
      <c r="T43" s="970"/>
      <c r="U43" s="970"/>
      <c r="V43" s="970"/>
      <c r="W43" s="970"/>
      <c r="X43" s="970"/>
      <c r="Y43" s="970"/>
      <c r="Z43" s="970"/>
      <c r="AA43" s="970"/>
      <c r="AB43" s="970"/>
      <c r="AC43" s="970"/>
      <c r="AD43" s="970"/>
      <c r="AE43" s="970"/>
      <c r="AF43" s="970"/>
      <c r="AG43" s="970"/>
      <c r="AH43" s="970"/>
      <c r="AI43" s="970"/>
      <c r="AJ43" s="970"/>
      <c r="AK43" s="970"/>
      <c r="AM43" s="976"/>
      <c r="AN43" s="976"/>
      <c r="AO43" s="976"/>
      <c r="AP43" s="976"/>
      <c r="AQ43" s="976"/>
      <c r="AR43" s="976"/>
      <c r="AS43" s="976"/>
      <c r="AT43" s="976"/>
      <c r="AU43" s="976"/>
      <c r="AV43" s="976"/>
      <c r="AW43" s="976"/>
      <c r="AX43" s="976"/>
      <c r="AY43" s="976"/>
      <c r="AZ43" s="976"/>
      <c r="BA43" s="976"/>
      <c r="BB43" s="976"/>
      <c r="BC43" s="976"/>
      <c r="BD43" s="976"/>
      <c r="BE43" s="976"/>
      <c r="BF43" s="976"/>
      <c r="BH43" s="990"/>
      <c r="BI43" s="990"/>
      <c r="BJ43" s="990"/>
      <c r="BL43" s="515">
        <f t="shared" si="9"/>
        <v>0</v>
      </c>
      <c r="BM43" s="515"/>
      <c r="BN43" s="22"/>
      <c r="BO43" s="1482"/>
      <c r="BP43" s="1482"/>
      <c r="BQ43" s="1482"/>
      <c r="BR43" s="1482"/>
      <c r="BS43" s="1482"/>
      <c r="BT43" s="1482"/>
      <c r="BU43" s="1482"/>
      <c r="BV43" s="1482"/>
      <c r="BW43" s="1482"/>
      <c r="BX43" s="1482"/>
      <c r="BY43" s="1482"/>
      <c r="BZ43" s="1482"/>
      <c r="CA43" s="1482"/>
      <c r="CB43" s="1482"/>
      <c r="CC43" s="1482"/>
      <c r="CD43" s="1482"/>
      <c r="CE43" s="1482"/>
      <c r="CF43" s="1482"/>
      <c r="CG43" s="1482"/>
      <c r="CH43" s="1482"/>
      <c r="CI43" s="1482"/>
      <c r="CJ43" s="1482"/>
      <c r="CK43" s="1482"/>
      <c r="CL43" s="1482"/>
      <c r="CM43" s="1482"/>
      <c r="CN43" s="1482"/>
      <c r="CO43" s="1482"/>
      <c r="CP43" s="1482"/>
      <c r="CQ43" s="1482"/>
      <c r="CR43" s="1482"/>
      <c r="CS43" s="1482"/>
      <c r="CT43" s="1482"/>
      <c r="CU43" s="1482"/>
      <c r="CV43" s="1482"/>
      <c r="CW43" s="1482"/>
      <c r="CX43" s="1482"/>
      <c r="CY43" s="1482"/>
      <c r="CZ43" s="1482"/>
      <c r="DA43" s="1482"/>
      <c r="DB43" s="1482"/>
      <c r="DC43" s="1482"/>
      <c r="DD43" s="1482"/>
      <c r="DE43" s="1482"/>
      <c r="DF43" s="1482"/>
      <c r="DH43" s="838"/>
    </row>
    <row r="44" spans="1:112" s="1491" customFormat="1" ht="12.75" hidden="1" customHeight="1" outlineLevel="1">
      <c r="C44" s="1534" t="s">
        <v>1925</v>
      </c>
      <c r="D44" s="1535" t="s">
        <v>1926</v>
      </c>
      <c r="E44" s="1535"/>
      <c r="F44" s="1957"/>
      <c r="G44" s="1070"/>
      <c r="H44" s="1070"/>
      <c r="I44" s="1070"/>
      <c r="J44" s="1070"/>
      <c r="K44" s="1071"/>
      <c r="L44" s="1070"/>
      <c r="M44" s="1070"/>
      <c r="N44" s="1070"/>
      <c r="O44" s="1070"/>
      <c r="P44" s="1070"/>
      <c r="Q44" s="1070"/>
      <c r="R44" s="1957"/>
      <c r="S44" s="1072"/>
      <c r="T44" s="1072"/>
      <c r="U44" s="1072"/>
      <c r="V44" s="1072"/>
      <c r="W44" s="1072"/>
      <c r="X44" s="1072"/>
      <c r="Y44" s="1072"/>
      <c r="Z44" s="1072"/>
      <c r="AA44" s="1072"/>
      <c r="AB44" s="1072"/>
      <c r="AC44" s="1072"/>
      <c r="AD44" s="1072"/>
      <c r="AE44" s="1072"/>
      <c r="AF44" s="1072"/>
      <c r="AG44" s="1072"/>
      <c r="AH44" s="1072"/>
      <c r="AI44" s="1072"/>
      <c r="AJ44" s="1072">
        <f ca="1">AJ$40</f>
        <v>0</v>
      </c>
      <c r="AK44" s="1072"/>
      <c r="AL44" s="1957"/>
      <c r="AM44" s="1073"/>
      <c r="AN44" s="1073"/>
      <c r="AO44" s="1073"/>
      <c r="AP44" s="1073"/>
      <c r="AQ44" s="1073"/>
      <c r="AR44" s="1073"/>
      <c r="AS44" s="1073"/>
      <c r="AT44" s="1073"/>
      <c r="AU44" s="1073"/>
      <c r="AV44" s="1073"/>
      <c r="AW44" s="1073"/>
      <c r="AX44" s="1073"/>
      <c r="AY44" s="1073"/>
      <c r="AZ44" s="1073"/>
      <c r="BA44" s="1073"/>
      <c r="BB44" s="1073"/>
      <c r="BC44" s="1073"/>
      <c r="BD44" s="1073"/>
      <c r="BE44" s="1073"/>
      <c r="BF44" s="1073"/>
      <c r="BG44" s="1957"/>
      <c r="BH44" s="1074"/>
      <c r="BI44" s="1074"/>
      <c r="BJ44" s="1074"/>
      <c r="BK44" s="1957"/>
      <c r="BL44" s="1536">
        <f t="shared" si="9"/>
        <v>0</v>
      </c>
      <c r="BM44" s="1536"/>
      <c r="BO44" s="1963"/>
      <c r="BP44" s="1963"/>
      <c r="BQ44" s="1963"/>
      <c r="BR44" s="1963"/>
      <c r="BS44" s="1963"/>
      <c r="BT44" s="1963"/>
      <c r="BU44" s="1963"/>
      <c r="BV44" s="1963"/>
      <c r="BW44" s="1963"/>
      <c r="BX44" s="1963"/>
      <c r="BY44" s="1963"/>
      <c r="BZ44" s="1963"/>
      <c r="CA44" s="1963"/>
      <c r="CB44" s="1963"/>
      <c r="CC44" s="1963"/>
      <c r="CD44" s="1963"/>
      <c r="CE44" s="1963"/>
      <c r="CF44" s="1963"/>
      <c r="CG44" s="1963"/>
      <c r="CH44" s="1963"/>
      <c r="CI44" s="1963"/>
      <c r="CJ44" s="1963"/>
      <c r="CK44" s="1963"/>
      <c r="CL44" s="1963"/>
      <c r="CM44" s="1963"/>
      <c r="CN44" s="1963"/>
      <c r="CO44" s="1963"/>
      <c r="CP44" s="1963"/>
      <c r="CQ44" s="1963"/>
      <c r="CR44" s="1963"/>
      <c r="CS44" s="1963"/>
      <c r="CT44" s="1963"/>
      <c r="CU44" s="1963"/>
      <c r="CV44" s="1963"/>
      <c r="CW44" s="1963"/>
      <c r="CX44" s="1963"/>
      <c r="CY44" s="1963"/>
      <c r="CZ44" s="1963"/>
      <c r="DA44" s="1963"/>
      <c r="DB44" s="1963"/>
      <c r="DC44" s="1963"/>
      <c r="DD44" s="1963"/>
      <c r="DE44" s="1963"/>
      <c r="DF44" s="1963"/>
      <c r="DH44" s="1962">
        <f>SUM(BO44:DF44)</f>
        <v>0</v>
      </c>
    </row>
    <row r="45" spans="1:112" s="743" customFormat="1" ht="12.75" hidden="1" customHeight="1" outlineLevel="1">
      <c r="A45" s="22"/>
      <c r="B45" s="22"/>
      <c r="C45" s="746" t="s">
        <v>981</v>
      </c>
      <c r="D45" s="1010" t="str">
        <f>INDEX(Modules[Module], MATCH($C45, Modules[Code], 0))</f>
        <v>H2 Production</v>
      </c>
      <c r="E45" s="1069"/>
      <c r="G45" s="1022">
        <f t="shared" ref="G45:P45" ca="1" si="116">IFERROR(INDEX(INDIRECT($C45&amp;".Outputs["&amp;this.Year&amp;"]"), MATCH(G$5, INDIRECT($C45&amp;".Outputs[Vector]"), 0)), 0)</f>
        <v>0</v>
      </c>
      <c r="H45" s="1022">
        <f t="shared" ca="1" si="116"/>
        <v>0</v>
      </c>
      <c r="I45" s="1022">
        <f t="shared" ca="1" si="116"/>
        <v>0</v>
      </c>
      <c r="J45" s="1022">
        <f t="shared" ca="1" si="116"/>
        <v>0</v>
      </c>
      <c r="K45" s="1022">
        <f t="shared" ca="1" si="116"/>
        <v>0</v>
      </c>
      <c r="L45" s="1022">
        <f t="shared" ca="1" si="116"/>
        <v>0</v>
      </c>
      <c r="M45" s="1022">
        <f t="shared" ca="1" si="116"/>
        <v>0</v>
      </c>
      <c r="N45" s="1022">
        <f t="shared" ca="1" si="116"/>
        <v>0</v>
      </c>
      <c r="O45" s="1022">
        <f t="shared" ca="1" si="116"/>
        <v>0</v>
      </c>
      <c r="P45" s="1022">
        <f t="shared" ca="1" si="116"/>
        <v>0</v>
      </c>
      <c r="Q45" s="1020">
        <f ca="1">SUM(G45:P45)</f>
        <v>0</v>
      </c>
      <c r="S45" s="1031">
        <f t="shared" ref="S45:AJ45" ca="1" si="117">IFERROR(INDEX(INDIRECT($C45&amp;".Outputs["&amp;this.Year&amp;"]"), MATCH(S$5, INDIRECT($C45&amp;".Outputs[Vector]"), 0)), 0)</f>
        <v>0</v>
      </c>
      <c r="T45" s="1031">
        <f t="shared" ca="1" si="117"/>
        <v>0</v>
      </c>
      <c r="U45" s="1031">
        <f t="shared" ca="1" si="117"/>
        <v>0</v>
      </c>
      <c r="V45" s="1031">
        <f t="shared" ca="1" si="117"/>
        <v>0</v>
      </c>
      <c r="W45" s="1031">
        <f t="shared" ca="1" si="117"/>
        <v>0</v>
      </c>
      <c r="X45" s="1031">
        <f ca="1">IFERROR(INDEX(INDIRECT($C45&amp;".Outputs["&amp;this.Year&amp;"]"), MATCH(X$5, INDIRECT($C45&amp;".Outputs[Vector]"), 0)), 0)</f>
        <v>0</v>
      </c>
      <c r="Y45" s="1031">
        <f ca="1">IFERROR(INDEX(INDIRECT($C45&amp;".Outputs["&amp;this.Year&amp;"]"), MATCH(Y$5, INDIRECT($C45&amp;".Outputs[Vector]"), 0)), 0)</f>
        <v>0</v>
      </c>
      <c r="Z45" s="1031">
        <f ca="1">IFERROR(INDEX(INDIRECT($C45&amp;".Outputs["&amp;this.Year&amp;"]"), MATCH(Z$5, INDIRECT($C45&amp;".Outputs[Vector]"), 0)), 0)</f>
        <v>0</v>
      </c>
      <c r="AA45" s="1031">
        <f t="shared" ca="1" si="117"/>
        <v>0</v>
      </c>
      <c r="AB45" s="1031">
        <f t="shared" ca="1" si="117"/>
        <v>0</v>
      </c>
      <c r="AC45" s="1031">
        <f t="shared" ca="1" si="117"/>
        <v>0</v>
      </c>
      <c r="AD45" s="1031">
        <f t="shared" ca="1" si="117"/>
        <v>0</v>
      </c>
      <c r="AE45" s="1031">
        <f t="shared" ca="1" si="117"/>
        <v>0</v>
      </c>
      <c r="AF45" s="1031">
        <f t="shared" ca="1" si="117"/>
        <v>0</v>
      </c>
      <c r="AG45" s="1031">
        <f t="shared" ca="1" si="117"/>
        <v>0</v>
      </c>
      <c r="AH45" s="1031">
        <f t="shared" ca="1" si="117"/>
        <v>0</v>
      </c>
      <c r="AI45" s="1031">
        <f t="shared" ca="1" si="117"/>
        <v>0</v>
      </c>
      <c r="AJ45" s="1031">
        <f t="shared" ca="1" si="117"/>
        <v>0</v>
      </c>
      <c r="AK45" s="1030">
        <f ca="1">SUM(S45:AJ45)</f>
        <v>0</v>
      </c>
      <c r="AM45" s="1042">
        <f t="shared" ref="AM45:AU45" ca="1" si="118">IFERROR(INDEX(INDIRECT($C45&amp;".Outputs["&amp;this.Year&amp;"]"), MATCH(AM$5, INDIRECT($C45&amp;".Outputs[Vector]"), 0)), 0)</f>
        <v>0</v>
      </c>
      <c r="AN45" s="1042">
        <f t="shared" ca="1" si="118"/>
        <v>0</v>
      </c>
      <c r="AO45" s="1042">
        <f t="shared" ca="1" si="118"/>
        <v>0</v>
      </c>
      <c r="AP45" s="1042">
        <f t="shared" ca="1" si="118"/>
        <v>0</v>
      </c>
      <c r="AQ45" s="1042">
        <f t="shared" ca="1" si="118"/>
        <v>0</v>
      </c>
      <c r="AR45" s="1042">
        <f t="shared" ca="1" si="118"/>
        <v>0</v>
      </c>
      <c r="AS45" s="1042">
        <f t="shared" ca="1" si="118"/>
        <v>0</v>
      </c>
      <c r="AT45" s="1042">
        <f t="shared" ca="1" si="118"/>
        <v>0</v>
      </c>
      <c r="AU45" s="1042">
        <f t="shared" ca="1" si="118"/>
        <v>0</v>
      </c>
      <c r="AV45" s="1042">
        <f t="shared" ref="AV45:BE45" ca="1" si="119">IFERROR(INDEX(INDIRECT($C45&amp;".Outputs["&amp;this.Year&amp;"]"), MATCH(AV$5, INDIRECT($C45&amp;".Outputs[Vector]"), 0)), 0)</f>
        <v>0</v>
      </c>
      <c r="AW45" s="1042">
        <f t="shared" ca="1" si="119"/>
        <v>0</v>
      </c>
      <c r="AX45" s="1042">
        <f t="shared" ca="1" si="119"/>
        <v>0</v>
      </c>
      <c r="AY45" s="1042">
        <f t="shared" ca="1" si="119"/>
        <v>0</v>
      </c>
      <c r="AZ45" s="1042">
        <f t="shared" ca="1" si="119"/>
        <v>0</v>
      </c>
      <c r="BA45" s="1042">
        <f t="shared" ca="1" si="119"/>
        <v>0</v>
      </c>
      <c r="BB45" s="1042">
        <f t="shared" ca="1" si="119"/>
        <v>0</v>
      </c>
      <c r="BC45" s="1042">
        <f t="shared" ca="1" si="119"/>
        <v>0</v>
      </c>
      <c r="BD45" s="1042">
        <f t="shared" ca="1" si="119"/>
        <v>0</v>
      </c>
      <c r="BE45" s="1042">
        <f t="shared" ca="1" si="119"/>
        <v>0</v>
      </c>
      <c r="BF45" s="1012">
        <f ca="1">SUM(AM45:BE45)</f>
        <v>0</v>
      </c>
      <c r="BH45" s="1036">
        <f ca="1">IFERROR(INDEX(INDIRECT($C45&amp;".Outputs["&amp;this.Year&amp;"]"), MATCH(BH$5, INDIRECT($C45&amp;".Outputs[Vector]"), 0)), 0)</f>
        <v>0</v>
      </c>
      <c r="BI45" s="1036">
        <f ca="1">IFERROR(INDEX(INDIRECT($C45&amp;".Outputs["&amp;this.Year&amp;"]"), MATCH(BI$5, INDIRECT($C45&amp;".Outputs[Vector]"), 0)), 0)</f>
        <v>0</v>
      </c>
      <c r="BJ45" s="1035">
        <f ca="1">SUM(BH45:BI45)</f>
        <v>0</v>
      </c>
      <c r="BL45" s="515"/>
      <c r="BM45" s="515"/>
      <c r="BN45" s="840"/>
      <c r="BO45" s="1485">
        <f t="shared" ref="BO45:DF45" ca="1" si="120">IFERROR(SUMIFS(INDIRECT($C45&amp;".Emissions["&amp;this.Year&amp;"]"), INDIRECT($C45&amp;".Emissions[GHG]"), BO$6, INDIRECT($C45&amp;".Emissions[IPCC Sector]"), BO$5),0)</f>
        <v>0</v>
      </c>
      <c r="BP45" s="1486">
        <f t="shared" ca="1" si="120"/>
        <v>0</v>
      </c>
      <c r="BQ45" s="1486">
        <f t="shared" ca="1" si="120"/>
        <v>0</v>
      </c>
      <c r="BR45" s="1486">
        <f t="shared" ca="1" si="120"/>
        <v>0</v>
      </c>
      <c r="BS45" s="1486">
        <f t="shared" ca="1" si="120"/>
        <v>0</v>
      </c>
      <c r="BT45" s="1486">
        <f t="shared" ca="1" si="120"/>
        <v>0</v>
      </c>
      <c r="BU45" s="1486">
        <f t="shared" ca="1" si="120"/>
        <v>0</v>
      </c>
      <c r="BV45" s="1486">
        <f t="shared" ca="1" si="120"/>
        <v>0</v>
      </c>
      <c r="BW45" s="1486">
        <f t="shared" ca="1" si="120"/>
        <v>0</v>
      </c>
      <c r="BX45" s="1486">
        <f t="shared" ca="1" si="120"/>
        <v>0</v>
      </c>
      <c r="BY45" s="1486">
        <f t="shared" ca="1" si="120"/>
        <v>0</v>
      </c>
      <c r="BZ45" s="1486">
        <f t="shared" ca="1" si="120"/>
        <v>0</v>
      </c>
      <c r="CA45" s="1486">
        <f t="shared" ca="1" si="120"/>
        <v>0</v>
      </c>
      <c r="CB45" s="1486">
        <f t="shared" ca="1" si="120"/>
        <v>0</v>
      </c>
      <c r="CC45" s="1486">
        <f t="shared" ca="1" si="120"/>
        <v>0</v>
      </c>
      <c r="CD45" s="1486">
        <f t="shared" ca="1" si="120"/>
        <v>0</v>
      </c>
      <c r="CE45" s="1486">
        <f t="shared" ca="1" si="120"/>
        <v>0</v>
      </c>
      <c r="CF45" s="1486">
        <f t="shared" ca="1" si="120"/>
        <v>0</v>
      </c>
      <c r="CG45" s="1486">
        <f t="shared" ca="1" si="120"/>
        <v>0</v>
      </c>
      <c r="CH45" s="1486">
        <f t="shared" ca="1" si="120"/>
        <v>0</v>
      </c>
      <c r="CI45" s="1486">
        <f t="shared" ca="1" si="120"/>
        <v>0</v>
      </c>
      <c r="CJ45" s="1486">
        <f t="shared" ca="1" si="120"/>
        <v>0</v>
      </c>
      <c r="CK45" s="1486">
        <f t="shared" ca="1" si="120"/>
        <v>0</v>
      </c>
      <c r="CL45" s="1486">
        <f t="shared" ca="1" si="120"/>
        <v>0</v>
      </c>
      <c r="CM45" s="1486">
        <f t="shared" ca="1" si="120"/>
        <v>0</v>
      </c>
      <c r="CN45" s="1486">
        <f t="shared" ca="1" si="120"/>
        <v>0</v>
      </c>
      <c r="CO45" s="1486">
        <f t="shared" ca="1" si="120"/>
        <v>0</v>
      </c>
      <c r="CP45" s="1486">
        <f t="shared" ca="1" si="120"/>
        <v>0</v>
      </c>
      <c r="CQ45" s="1486">
        <f t="shared" ca="1" si="120"/>
        <v>0</v>
      </c>
      <c r="CR45" s="1486">
        <f t="shared" ca="1" si="120"/>
        <v>0</v>
      </c>
      <c r="CS45" s="1486">
        <f t="shared" ca="1" si="120"/>
        <v>0</v>
      </c>
      <c r="CT45" s="1486">
        <f t="shared" ca="1" si="120"/>
        <v>0</v>
      </c>
      <c r="CU45" s="1486">
        <f t="shared" ca="1" si="120"/>
        <v>0</v>
      </c>
      <c r="CV45" s="1486">
        <f t="shared" ca="1" si="120"/>
        <v>0</v>
      </c>
      <c r="CW45" s="1486">
        <f t="shared" ca="1" si="120"/>
        <v>0</v>
      </c>
      <c r="CX45" s="1486">
        <f t="shared" ca="1" si="120"/>
        <v>0</v>
      </c>
      <c r="CY45" s="1486">
        <f t="shared" ca="1" si="120"/>
        <v>0</v>
      </c>
      <c r="CZ45" s="1486">
        <f t="shared" ca="1" si="120"/>
        <v>0</v>
      </c>
      <c r="DA45" s="1486">
        <f t="shared" ca="1" si="120"/>
        <v>0</v>
      </c>
      <c r="DB45" s="1486">
        <f t="shared" ca="1" si="120"/>
        <v>0</v>
      </c>
      <c r="DC45" s="1486">
        <f t="shared" ca="1" si="120"/>
        <v>0</v>
      </c>
      <c r="DD45" s="1486">
        <f t="shared" ca="1" si="120"/>
        <v>0</v>
      </c>
      <c r="DE45" s="1486">
        <f t="shared" ca="1" si="120"/>
        <v>0</v>
      </c>
      <c r="DF45" s="1486">
        <f t="shared" ca="1" si="120"/>
        <v>0</v>
      </c>
      <c r="DH45" s="838"/>
    </row>
    <row r="46" spans="1:112" s="743" customFormat="1" ht="15.75" collapsed="1">
      <c r="A46" s="22"/>
      <c r="B46" s="753"/>
      <c r="C46" s="744" t="s">
        <v>674</v>
      </c>
      <c r="D46" s="517" t="str">
        <f>INDEX(Workstreams[Workstream], MATCH($C46, Workstreams[Code], 0))</f>
        <v>H2 Production</v>
      </c>
      <c r="E46" s="512"/>
      <c r="G46" s="1021">
        <f ca="1">G45</f>
        <v>0</v>
      </c>
      <c r="H46" s="1021">
        <f t="shared" ref="H46:P46" ca="1" si="121">H45</f>
        <v>0</v>
      </c>
      <c r="I46" s="1021">
        <f t="shared" ca="1" si="121"/>
        <v>0</v>
      </c>
      <c r="J46" s="1021">
        <f t="shared" ca="1" si="121"/>
        <v>0</v>
      </c>
      <c r="K46" s="1021">
        <f t="shared" ca="1" si="121"/>
        <v>0</v>
      </c>
      <c r="L46" s="1021">
        <f t="shared" ca="1" si="121"/>
        <v>0</v>
      </c>
      <c r="M46" s="1021">
        <f t="shared" ca="1" si="121"/>
        <v>0</v>
      </c>
      <c r="N46" s="1021">
        <f t="shared" ca="1" si="121"/>
        <v>0</v>
      </c>
      <c r="O46" s="1021">
        <f t="shared" ca="1" si="121"/>
        <v>0</v>
      </c>
      <c r="P46" s="1021">
        <f t="shared" ca="1" si="121"/>
        <v>0</v>
      </c>
      <c r="Q46" s="1021">
        <f ca="1">SUM(G46:P46)</f>
        <v>0</v>
      </c>
      <c r="S46" s="970">
        <f t="shared" ref="S46:AJ46" ca="1" si="122">S45</f>
        <v>0</v>
      </c>
      <c r="T46" s="970">
        <f t="shared" ca="1" si="122"/>
        <v>0</v>
      </c>
      <c r="U46" s="970">
        <f t="shared" ca="1" si="122"/>
        <v>0</v>
      </c>
      <c r="V46" s="970">
        <f t="shared" ca="1" si="122"/>
        <v>0</v>
      </c>
      <c r="W46" s="970">
        <f t="shared" ca="1" si="122"/>
        <v>0</v>
      </c>
      <c r="X46" s="970">
        <f t="shared" ca="1" si="122"/>
        <v>0</v>
      </c>
      <c r="Y46" s="970">
        <f t="shared" ca="1" si="122"/>
        <v>0</v>
      </c>
      <c r="Z46" s="970">
        <f t="shared" ca="1" si="122"/>
        <v>0</v>
      </c>
      <c r="AA46" s="970">
        <f t="shared" ca="1" si="122"/>
        <v>0</v>
      </c>
      <c r="AB46" s="970">
        <f t="shared" ca="1" si="122"/>
        <v>0</v>
      </c>
      <c r="AC46" s="970">
        <f t="shared" ca="1" si="122"/>
        <v>0</v>
      </c>
      <c r="AD46" s="970">
        <f t="shared" ca="1" si="122"/>
        <v>0</v>
      </c>
      <c r="AE46" s="970">
        <f ca="1">AE45</f>
        <v>0</v>
      </c>
      <c r="AF46" s="970">
        <f t="shared" ca="1" si="122"/>
        <v>0</v>
      </c>
      <c r="AG46" s="970">
        <f t="shared" ca="1" si="122"/>
        <v>0</v>
      </c>
      <c r="AH46" s="970">
        <f ca="1">AH45</f>
        <v>0</v>
      </c>
      <c r="AI46" s="970">
        <f t="shared" ca="1" si="122"/>
        <v>0</v>
      </c>
      <c r="AJ46" s="970">
        <f t="shared" ca="1" si="122"/>
        <v>0</v>
      </c>
      <c r="AK46" s="970">
        <f ca="1">SUM(S46:AJ46)</f>
        <v>0</v>
      </c>
      <c r="AM46" s="976">
        <f t="shared" ref="AM46:BE46" ca="1" si="123">AM45</f>
        <v>0</v>
      </c>
      <c r="AN46" s="976">
        <f t="shared" ca="1" si="123"/>
        <v>0</v>
      </c>
      <c r="AO46" s="976">
        <f t="shared" ca="1" si="123"/>
        <v>0</v>
      </c>
      <c r="AP46" s="976">
        <f t="shared" ca="1" si="123"/>
        <v>0</v>
      </c>
      <c r="AQ46" s="976">
        <f t="shared" ca="1" si="123"/>
        <v>0</v>
      </c>
      <c r="AR46" s="976">
        <f t="shared" ca="1" si="123"/>
        <v>0</v>
      </c>
      <c r="AS46" s="976">
        <f t="shared" ca="1" si="123"/>
        <v>0</v>
      </c>
      <c r="AT46" s="976">
        <f t="shared" ca="1" si="123"/>
        <v>0</v>
      </c>
      <c r="AU46" s="976">
        <f t="shared" ca="1" si="123"/>
        <v>0</v>
      </c>
      <c r="AV46" s="976">
        <f t="shared" ca="1" si="123"/>
        <v>0</v>
      </c>
      <c r="AW46" s="976">
        <f t="shared" ca="1" si="123"/>
        <v>0</v>
      </c>
      <c r="AX46" s="976">
        <f t="shared" ca="1" si="123"/>
        <v>0</v>
      </c>
      <c r="AY46" s="976">
        <f t="shared" ca="1" si="123"/>
        <v>0</v>
      </c>
      <c r="AZ46" s="976">
        <f t="shared" ca="1" si="123"/>
        <v>0</v>
      </c>
      <c r="BA46" s="976">
        <f t="shared" ca="1" si="123"/>
        <v>0</v>
      </c>
      <c r="BB46" s="976">
        <f t="shared" ca="1" si="123"/>
        <v>0</v>
      </c>
      <c r="BC46" s="976">
        <f t="shared" ca="1" si="123"/>
        <v>0</v>
      </c>
      <c r="BD46" s="976">
        <f t="shared" ca="1" si="123"/>
        <v>0</v>
      </c>
      <c r="BE46" s="976">
        <f t="shared" ca="1" si="123"/>
        <v>0</v>
      </c>
      <c r="BF46" s="976">
        <f ca="1">SUM(AM46:BE46)</f>
        <v>0</v>
      </c>
      <c r="BH46" s="990">
        <f ca="1">BH45</f>
        <v>0</v>
      </c>
      <c r="BI46" s="990">
        <f ca="1">BI45</f>
        <v>0</v>
      </c>
      <c r="BJ46" s="990">
        <f ca="1">SUM(BH46:BI46)</f>
        <v>0</v>
      </c>
      <c r="BL46" s="515">
        <f ca="1">Q46+AK46+BF46+BJ46</f>
        <v>0</v>
      </c>
      <c r="BM46" s="515"/>
      <c r="BN46" s="840"/>
      <c r="BO46" s="1482">
        <f t="shared" ref="BO46:DF46" ca="1" si="124">BO45</f>
        <v>0</v>
      </c>
      <c r="BP46" s="1482">
        <f t="shared" ca="1" si="124"/>
        <v>0</v>
      </c>
      <c r="BQ46" s="1482">
        <f t="shared" ca="1" si="124"/>
        <v>0</v>
      </c>
      <c r="BR46" s="1482">
        <f t="shared" ca="1" si="124"/>
        <v>0</v>
      </c>
      <c r="BS46" s="1482">
        <f t="shared" ca="1" si="124"/>
        <v>0</v>
      </c>
      <c r="BT46" s="1482">
        <f t="shared" ca="1" si="124"/>
        <v>0</v>
      </c>
      <c r="BU46" s="1482">
        <f t="shared" ca="1" si="124"/>
        <v>0</v>
      </c>
      <c r="BV46" s="1482">
        <f t="shared" ca="1" si="124"/>
        <v>0</v>
      </c>
      <c r="BW46" s="1482">
        <f t="shared" ca="1" si="124"/>
        <v>0</v>
      </c>
      <c r="BX46" s="1482">
        <f t="shared" ca="1" si="124"/>
        <v>0</v>
      </c>
      <c r="BY46" s="1482">
        <f t="shared" ca="1" si="124"/>
        <v>0</v>
      </c>
      <c r="BZ46" s="1482">
        <f t="shared" ca="1" si="124"/>
        <v>0</v>
      </c>
      <c r="CA46" s="1482">
        <f t="shared" ca="1" si="124"/>
        <v>0</v>
      </c>
      <c r="CB46" s="1482">
        <f t="shared" ca="1" si="124"/>
        <v>0</v>
      </c>
      <c r="CC46" s="1482">
        <f t="shared" ca="1" si="124"/>
        <v>0</v>
      </c>
      <c r="CD46" s="1482">
        <f t="shared" ca="1" si="124"/>
        <v>0</v>
      </c>
      <c r="CE46" s="1482">
        <f t="shared" ca="1" si="124"/>
        <v>0</v>
      </c>
      <c r="CF46" s="1482">
        <f t="shared" ca="1" si="124"/>
        <v>0</v>
      </c>
      <c r="CG46" s="1482">
        <f t="shared" ca="1" si="124"/>
        <v>0</v>
      </c>
      <c r="CH46" s="1482">
        <f t="shared" ca="1" si="124"/>
        <v>0</v>
      </c>
      <c r="CI46" s="1482">
        <f t="shared" ca="1" si="124"/>
        <v>0</v>
      </c>
      <c r="CJ46" s="1482">
        <f t="shared" ca="1" si="124"/>
        <v>0</v>
      </c>
      <c r="CK46" s="1482">
        <f t="shared" ca="1" si="124"/>
        <v>0</v>
      </c>
      <c r="CL46" s="1482">
        <f t="shared" ca="1" si="124"/>
        <v>0</v>
      </c>
      <c r="CM46" s="1482">
        <f t="shared" ca="1" si="124"/>
        <v>0</v>
      </c>
      <c r="CN46" s="1482">
        <f t="shared" ca="1" si="124"/>
        <v>0</v>
      </c>
      <c r="CO46" s="1482">
        <f t="shared" ca="1" si="124"/>
        <v>0</v>
      </c>
      <c r="CP46" s="1482">
        <f t="shared" ca="1" si="124"/>
        <v>0</v>
      </c>
      <c r="CQ46" s="1482">
        <f t="shared" ca="1" si="124"/>
        <v>0</v>
      </c>
      <c r="CR46" s="1482">
        <f t="shared" ca="1" si="124"/>
        <v>0</v>
      </c>
      <c r="CS46" s="1482">
        <f t="shared" ca="1" si="124"/>
        <v>0</v>
      </c>
      <c r="CT46" s="1482">
        <f t="shared" ca="1" si="124"/>
        <v>0</v>
      </c>
      <c r="CU46" s="1482">
        <f t="shared" ca="1" si="124"/>
        <v>0</v>
      </c>
      <c r="CV46" s="1482">
        <f t="shared" ca="1" si="124"/>
        <v>0</v>
      </c>
      <c r="CW46" s="1482">
        <f t="shared" ca="1" si="124"/>
        <v>0</v>
      </c>
      <c r="CX46" s="1482">
        <f t="shared" ca="1" si="124"/>
        <v>0</v>
      </c>
      <c r="CY46" s="1482">
        <f t="shared" ca="1" si="124"/>
        <v>0</v>
      </c>
      <c r="CZ46" s="1482">
        <f t="shared" ca="1" si="124"/>
        <v>0</v>
      </c>
      <c r="DA46" s="1482">
        <f t="shared" ca="1" si="124"/>
        <v>0</v>
      </c>
      <c r="DB46" s="1482">
        <f t="shared" ca="1" si="124"/>
        <v>0</v>
      </c>
      <c r="DC46" s="1482">
        <f t="shared" ca="1" si="124"/>
        <v>0</v>
      </c>
      <c r="DD46" s="1482">
        <f t="shared" ca="1" si="124"/>
        <v>0</v>
      </c>
      <c r="DE46" s="1482">
        <f t="shared" ca="1" si="124"/>
        <v>0</v>
      </c>
      <c r="DF46" s="1482">
        <f t="shared" ca="1" si="124"/>
        <v>0</v>
      </c>
      <c r="DH46" s="838">
        <f t="shared" ref="DH46:DH82" ca="1" si="125">SUM(BO46:DF46)</f>
        <v>0</v>
      </c>
    </row>
    <row r="47" spans="1:112" s="743" customFormat="1" hidden="1" outlineLevel="1">
      <c r="C47" s="508"/>
      <c r="D47" s="509"/>
      <c r="E47" s="509"/>
      <c r="G47" s="958"/>
      <c r="H47" s="958"/>
      <c r="I47" s="958"/>
      <c r="J47" s="958"/>
      <c r="K47" s="960"/>
      <c r="L47" s="958"/>
      <c r="M47" s="958"/>
      <c r="N47" s="958"/>
      <c r="O47" s="958"/>
      <c r="P47" s="958"/>
      <c r="Q47" s="958"/>
      <c r="S47" s="970"/>
      <c r="T47" s="970"/>
      <c r="U47" s="970"/>
      <c r="V47" s="970"/>
      <c r="W47" s="970"/>
      <c r="X47" s="970"/>
      <c r="Y47" s="970"/>
      <c r="Z47" s="970"/>
      <c r="AA47" s="970"/>
      <c r="AB47" s="970"/>
      <c r="AC47" s="970"/>
      <c r="AD47" s="970"/>
      <c r="AE47" s="970"/>
      <c r="AF47" s="970"/>
      <c r="AG47" s="970"/>
      <c r="AH47" s="970"/>
      <c r="AI47" s="970"/>
      <c r="AJ47" s="970"/>
      <c r="AK47" s="970"/>
      <c r="AM47" s="976"/>
      <c r="AN47" s="976"/>
      <c r="AO47" s="976"/>
      <c r="AP47" s="976"/>
      <c r="AQ47" s="976"/>
      <c r="AR47" s="976"/>
      <c r="AS47" s="976"/>
      <c r="AT47" s="976"/>
      <c r="AU47" s="976"/>
      <c r="AV47" s="976"/>
      <c r="AW47" s="976"/>
      <c r="AX47" s="976"/>
      <c r="AY47" s="976"/>
      <c r="AZ47" s="976"/>
      <c r="BA47" s="976"/>
      <c r="BB47" s="976"/>
      <c r="BC47" s="976"/>
      <c r="BD47" s="976"/>
      <c r="BE47" s="976"/>
      <c r="BF47" s="976"/>
      <c r="BH47" s="990"/>
      <c r="BI47" s="990"/>
      <c r="BJ47" s="990"/>
      <c r="BL47" s="515">
        <f>Q47+AK47+BF47+BJ47</f>
        <v>0</v>
      </c>
      <c r="BM47" s="515"/>
      <c r="BO47" s="1482"/>
      <c r="BP47" s="1482"/>
      <c r="BQ47" s="1482"/>
      <c r="BR47" s="1482"/>
      <c r="BS47" s="1482"/>
      <c r="BT47" s="1482"/>
      <c r="BU47" s="1482"/>
      <c r="BV47" s="1482"/>
      <c r="BW47" s="1482"/>
      <c r="BX47" s="1482"/>
      <c r="BY47" s="1482"/>
      <c r="BZ47" s="1482"/>
      <c r="CA47" s="1482"/>
      <c r="CB47" s="1482"/>
      <c r="CC47" s="1482"/>
      <c r="CD47" s="1482"/>
      <c r="CE47" s="1482"/>
      <c r="CF47" s="1482"/>
      <c r="CG47" s="1482"/>
      <c r="CH47" s="1482"/>
      <c r="CI47" s="1482"/>
      <c r="CJ47" s="1482"/>
      <c r="CK47" s="1482"/>
      <c r="CL47" s="1482"/>
      <c r="CM47" s="1482"/>
      <c r="CN47" s="1482"/>
      <c r="CO47" s="1482"/>
      <c r="CP47" s="1482"/>
      <c r="CQ47" s="1482"/>
      <c r="CR47" s="1482"/>
      <c r="CS47" s="1482"/>
      <c r="CT47" s="1482"/>
      <c r="CU47" s="1482"/>
      <c r="CV47" s="1482"/>
      <c r="CW47" s="1482"/>
      <c r="CX47" s="1482"/>
      <c r="CY47" s="1482"/>
      <c r="CZ47" s="1482"/>
      <c r="DA47" s="1482"/>
      <c r="DB47" s="1482"/>
      <c r="DC47" s="1482"/>
      <c r="DD47" s="1482"/>
      <c r="DE47" s="1482"/>
      <c r="DF47" s="1482"/>
      <c r="DH47" s="838">
        <f t="shared" si="125"/>
        <v>0</v>
      </c>
    </row>
    <row r="48" spans="1:112" s="743" customFormat="1" hidden="1" outlineLevel="1">
      <c r="A48" s="1484"/>
      <c r="B48" s="1484"/>
      <c r="C48" s="746" t="s">
        <v>2280</v>
      </c>
      <c r="D48" s="521" t="str">
        <f>INDEX(Modules[Module], MATCH($C48, Modules[Code], 0))</f>
        <v>Marine algae</v>
      </c>
      <c r="E48" s="521"/>
      <c r="G48" s="1017">
        <f t="shared" ref="G48:P49" ca="1" si="126">IFERROR(INDEX(INDIRECT($C48&amp;".Outputs["&amp;this.Year&amp;"]"), MATCH(G$5, INDIRECT($C48&amp;".Outputs[Vector]"), 0)), 0)</f>
        <v>0</v>
      </c>
      <c r="H48" s="1017">
        <f t="shared" ca="1" si="126"/>
        <v>0</v>
      </c>
      <c r="I48" s="1017">
        <f t="shared" ca="1" si="126"/>
        <v>0</v>
      </c>
      <c r="J48" s="1017">
        <f t="shared" ca="1" si="126"/>
        <v>0</v>
      </c>
      <c r="K48" s="1017">
        <f t="shared" ca="1" si="126"/>
        <v>0</v>
      </c>
      <c r="L48" s="1017">
        <f t="shared" ca="1" si="126"/>
        <v>0</v>
      </c>
      <c r="M48" s="1017">
        <f t="shared" ca="1" si="126"/>
        <v>0</v>
      </c>
      <c r="N48" s="1017">
        <f t="shared" ca="1" si="126"/>
        <v>0</v>
      </c>
      <c r="O48" s="1017">
        <f t="shared" ca="1" si="126"/>
        <v>0</v>
      </c>
      <c r="P48" s="1017">
        <f t="shared" ca="1" si="126"/>
        <v>0</v>
      </c>
      <c r="Q48" s="1019">
        <f ca="1">SUM(G48:P48)</f>
        <v>0</v>
      </c>
      <c r="S48" s="1026">
        <f t="shared" ref="S48:BE49" ca="1" si="127">IFERROR(INDEX(INDIRECT($C48&amp;".Outputs["&amp;this.Year&amp;"]"), MATCH(S$5, INDIRECT($C48&amp;".Outputs[Vector]"), 0)), 0)</f>
        <v>0</v>
      </c>
      <c r="T48" s="1026">
        <f t="shared" ca="1" si="127"/>
        <v>0</v>
      </c>
      <c r="U48" s="1026">
        <f t="shared" ca="1" si="127"/>
        <v>0</v>
      </c>
      <c r="V48" s="1026">
        <f t="shared" ca="1" si="127"/>
        <v>0</v>
      </c>
      <c r="W48" s="1026">
        <f t="shared" ca="1" si="127"/>
        <v>0</v>
      </c>
      <c r="X48" s="1026">
        <f t="shared" ref="X48:Z50" ca="1" si="128">IFERROR(INDEX(INDIRECT($C48&amp;".Outputs["&amp;this.Year&amp;"]"), MATCH(X$5, INDIRECT($C48&amp;".Outputs[Vector]"), 0)), 0)</f>
        <v>0</v>
      </c>
      <c r="Y48" s="1026">
        <f t="shared" ca="1" si="128"/>
        <v>0</v>
      </c>
      <c r="Z48" s="1026">
        <f t="shared" ca="1" si="128"/>
        <v>0</v>
      </c>
      <c r="AA48" s="1026">
        <f t="shared" ca="1" si="127"/>
        <v>0</v>
      </c>
      <c r="AB48" s="1026">
        <f t="shared" ca="1" si="127"/>
        <v>0</v>
      </c>
      <c r="AC48" s="1026">
        <f t="shared" ca="1" si="127"/>
        <v>0</v>
      </c>
      <c r="AD48" s="1026">
        <f t="shared" ca="1" si="127"/>
        <v>0</v>
      </c>
      <c r="AE48" s="1026">
        <f t="shared" ca="1" si="127"/>
        <v>0</v>
      </c>
      <c r="AF48" s="1026">
        <f t="shared" ca="1" si="127"/>
        <v>0</v>
      </c>
      <c r="AG48" s="1026">
        <f t="shared" ca="1" si="127"/>
        <v>0</v>
      </c>
      <c r="AH48" s="1026">
        <f t="shared" ca="1" si="127"/>
        <v>0</v>
      </c>
      <c r="AI48" s="1026">
        <f t="shared" ca="1" si="127"/>
        <v>0</v>
      </c>
      <c r="AJ48" s="1026">
        <f t="shared" ca="1" si="127"/>
        <v>0</v>
      </c>
      <c r="AK48" s="1027">
        <f ca="1">SUM(S48:AJ48)</f>
        <v>0</v>
      </c>
      <c r="AM48" s="1038">
        <f t="shared" ref="AM48:AU50" ca="1" si="129">IFERROR(INDEX(INDIRECT($C48&amp;".Outputs["&amp;this.Year&amp;"]"), MATCH(AM$5, INDIRECT($C48&amp;".Outputs[Vector]"), 0)), 0)</f>
        <v>0</v>
      </c>
      <c r="AN48" s="1038">
        <f t="shared" ca="1" si="129"/>
        <v>0</v>
      </c>
      <c r="AO48" s="1038">
        <f t="shared" ca="1" si="129"/>
        <v>0</v>
      </c>
      <c r="AP48" s="1038">
        <f t="shared" ca="1" si="129"/>
        <v>0</v>
      </c>
      <c r="AQ48" s="1038">
        <f t="shared" ca="1" si="129"/>
        <v>0</v>
      </c>
      <c r="AR48" s="1038">
        <f t="shared" ca="1" si="129"/>
        <v>0</v>
      </c>
      <c r="AS48" s="1038">
        <f t="shared" ca="1" si="129"/>
        <v>0</v>
      </c>
      <c r="AT48" s="1038">
        <f t="shared" ca="1" si="129"/>
        <v>0</v>
      </c>
      <c r="AU48" s="1038">
        <f t="shared" ca="1" si="129"/>
        <v>0</v>
      </c>
      <c r="AV48" s="1038">
        <f t="shared" ca="1" si="127"/>
        <v>0</v>
      </c>
      <c r="AW48" s="1038">
        <f t="shared" ca="1" si="127"/>
        <v>0</v>
      </c>
      <c r="AX48" s="1038">
        <f t="shared" ca="1" si="127"/>
        <v>0</v>
      </c>
      <c r="AY48" s="1038">
        <f t="shared" ca="1" si="127"/>
        <v>0</v>
      </c>
      <c r="AZ48" s="1038">
        <f t="shared" ca="1" si="127"/>
        <v>0</v>
      </c>
      <c r="BA48" s="1038">
        <f t="shared" ca="1" si="127"/>
        <v>0</v>
      </c>
      <c r="BB48" s="1038">
        <f t="shared" ca="1" si="127"/>
        <v>0</v>
      </c>
      <c r="BC48" s="1038">
        <f t="shared" ca="1" si="127"/>
        <v>0</v>
      </c>
      <c r="BD48" s="1038">
        <f t="shared" ca="1" si="127"/>
        <v>0</v>
      </c>
      <c r="BE48" s="1038">
        <f t="shared" ca="1" si="127"/>
        <v>0</v>
      </c>
      <c r="BF48" s="979">
        <f ca="1">SUM(AM48:BE48)</f>
        <v>0</v>
      </c>
      <c r="BH48" s="1032">
        <f t="shared" ref="BH48:BI50" ca="1" si="130">IFERROR(INDEX(INDIRECT($C48&amp;".Outputs["&amp;this.Year&amp;"]"), MATCH(BH$5, INDIRECT($C48&amp;".Outputs[Vector]"), 0)), 0)</f>
        <v>0</v>
      </c>
      <c r="BI48" s="1032">
        <f t="shared" ca="1" si="130"/>
        <v>0</v>
      </c>
      <c r="BJ48" s="1034">
        <f ca="1">SUM(BH48:BI48)</f>
        <v>0</v>
      </c>
      <c r="BL48" s="814"/>
      <c r="BM48" s="814"/>
      <c r="BN48" s="840"/>
      <c r="BO48" s="1481">
        <f t="shared" ref="BO48:BX50" ca="1" si="131">IFERROR(SUMIFS(INDIRECT($C48&amp;".Emissions["&amp;this.Year&amp;"]"), INDIRECT($C48&amp;".Emissions[GHG]"), BO$6, INDIRECT($C48&amp;".Emissions[IPCC Sector]"), BO$5),0)</f>
        <v>0</v>
      </c>
      <c r="BP48" s="1482">
        <f t="shared" ca="1" si="131"/>
        <v>0</v>
      </c>
      <c r="BQ48" s="1482">
        <f t="shared" ca="1" si="131"/>
        <v>0</v>
      </c>
      <c r="BR48" s="1482">
        <f t="shared" ca="1" si="131"/>
        <v>0</v>
      </c>
      <c r="BS48" s="1482">
        <f t="shared" ca="1" si="131"/>
        <v>0</v>
      </c>
      <c r="BT48" s="1482">
        <f t="shared" ca="1" si="131"/>
        <v>0</v>
      </c>
      <c r="BU48" s="1482">
        <f t="shared" ca="1" si="131"/>
        <v>0</v>
      </c>
      <c r="BV48" s="1482">
        <f t="shared" ca="1" si="131"/>
        <v>0</v>
      </c>
      <c r="BW48" s="1482">
        <f t="shared" ca="1" si="131"/>
        <v>0</v>
      </c>
      <c r="BX48" s="1482">
        <f t="shared" ca="1" si="131"/>
        <v>0</v>
      </c>
      <c r="BY48" s="1482">
        <f t="shared" ref="BY48:CH50" ca="1" si="132">IFERROR(SUMIFS(INDIRECT($C48&amp;".Emissions["&amp;this.Year&amp;"]"), INDIRECT($C48&amp;".Emissions[GHG]"), BY$6, INDIRECT($C48&amp;".Emissions[IPCC Sector]"), BY$5),0)</f>
        <v>0</v>
      </c>
      <c r="BZ48" s="1482">
        <f t="shared" ca="1" si="132"/>
        <v>0</v>
      </c>
      <c r="CA48" s="1482">
        <f t="shared" ca="1" si="132"/>
        <v>0</v>
      </c>
      <c r="CB48" s="1482">
        <f t="shared" ca="1" si="132"/>
        <v>0</v>
      </c>
      <c r="CC48" s="1482">
        <f t="shared" ca="1" si="132"/>
        <v>0</v>
      </c>
      <c r="CD48" s="1482">
        <f t="shared" ca="1" si="132"/>
        <v>0</v>
      </c>
      <c r="CE48" s="1482">
        <f t="shared" ca="1" si="132"/>
        <v>0</v>
      </c>
      <c r="CF48" s="1482">
        <f t="shared" ca="1" si="132"/>
        <v>0</v>
      </c>
      <c r="CG48" s="1482">
        <f t="shared" ca="1" si="132"/>
        <v>0</v>
      </c>
      <c r="CH48" s="1482">
        <f t="shared" ca="1" si="132"/>
        <v>0</v>
      </c>
      <c r="CI48" s="1482">
        <f t="shared" ref="CI48:CR50" ca="1" si="133">IFERROR(SUMIFS(INDIRECT($C48&amp;".Emissions["&amp;this.Year&amp;"]"), INDIRECT($C48&amp;".Emissions[GHG]"), CI$6, INDIRECT($C48&amp;".Emissions[IPCC Sector]"), CI$5),0)</f>
        <v>0</v>
      </c>
      <c r="CJ48" s="1482">
        <f t="shared" ca="1" si="133"/>
        <v>0</v>
      </c>
      <c r="CK48" s="1482">
        <f t="shared" ca="1" si="133"/>
        <v>0</v>
      </c>
      <c r="CL48" s="1482">
        <f t="shared" ca="1" si="133"/>
        <v>0</v>
      </c>
      <c r="CM48" s="1482">
        <f t="shared" ca="1" si="133"/>
        <v>0</v>
      </c>
      <c r="CN48" s="1482">
        <f t="shared" ca="1" si="133"/>
        <v>0</v>
      </c>
      <c r="CO48" s="1482">
        <f t="shared" ca="1" si="133"/>
        <v>0</v>
      </c>
      <c r="CP48" s="1482">
        <f t="shared" ca="1" si="133"/>
        <v>0</v>
      </c>
      <c r="CQ48" s="1482">
        <f t="shared" ca="1" si="133"/>
        <v>0</v>
      </c>
      <c r="CR48" s="1482">
        <f t="shared" ca="1" si="133"/>
        <v>0</v>
      </c>
      <c r="CS48" s="1482">
        <f t="shared" ref="CS48:DF50" ca="1" si="134">IFERROR(SUMIFS(INDIRECT($C48&amp;".Emissions["&amp;this.Year&amp;"]"), INDIRECT($C48&amp;".Emissions[GHG]"), CS$6, INDIRECT($C48&amp;".Emissions[IPCC Sector]"), CS$5),0)</f>
        <v>0</v>
      </c>
      <c r="CT48" s="1482">
        <f t="shared" ca="1" si="134"/>
        <v>0</v>
      </c>
      <c r="CU48" s="1482">
        <f t="shared" ca="1" si="134"/>
        <v>0</v>
      </c>
      <c r="CV48" s="1482">
        <f t="shared" ca="1" si="134"/>
        <v>0</v>
      </c>
      <c r="CW48" s="1482">
        <f t="shared" ca="1" si="134"/>
        <v>0</v>
      </c>
      <c r="CX48" s="1482">
        <f t="shared" ca="1" si="134"/>
        <v>0</v>
      </c>
      <c r="CY48" s="1482">
        <f t="shared" ca="1" si="134"/>
        <v>0</v>
      </c>
      <c r="CZ48" s="1482">
        <f t="shared" ca="1" si="134"/>
        <v>0</v>
      </c>
      <c r="DA48" s="1482">
        <f t="shared" ca="1" si="134"/>
        <v>0</v>
      </c>
      <c r="DB48" s="1482">
        <f t="shared" ca="1" si="134"/>
        <v>0</v>
      </c>
      <c r="DC48" s="1482">
        <f t="shared" ca="1" si="134"/>
        <v>0</v>
      </c>
      <c r="DD48" s="1482">
        <f t="shared" ca="1" si="134"/>
        <v>0</v>
      </c>
      <c r="DE48" s="1482">
        <f t="shared" ca="1" si="134"/>
        <v>0</v>
      </c>
      <c r="DF48" s="1482">
        <f t="shared" ca="1" si="134"/>
        <v>0</v>
      </c>
      <c r="DH48" s="838">
        <f ca="1">SUM(BO48:DF48)</f>
        <v>0</v>
      </c>
    </row>
    <row r="49" spans="1:112" s="743" customFormat="1" hidden="1" outlineLevel="1">
      <c r="A49" s="1484"/>
      <c r="B49" s="1484"/>
      <c r="C49" s="746" t="s">
        <v>965</v>
      </c>
      <c r="D49" s="521" t="str">
        <f>INDEX(Modules[Module], MATCH($C49, Modules[Code], 0))</f>
        <v>Waste arising</v>
      </c>
      <c r="E49" s="521"/>
      <c r="G49" s="1017">
        <f t="shared" ca="1" si="126"/>
        <v>0</v>
      </c>
      <c r="H49" s="1017">
        <f t="shared" ca="1" si="126"/>
        <v>0</v>
      </c>
      <c r="I49" s="1017">
        <f t="shared" ca="1" si="126"/>
        <v>0</v>
      </c>
      <c r="J49" s="1017">
        <f t="shared" ca="1" si="126"/>
        <v>0</v>
      </c>
      <c r="K49" s="1017">
        <f t="shared" ca="1" si="126"/>
        <v>0</v>
      </c>
      <c r="L49" s="1017">
        <f t="shared" ca="1" si="126"/>
        <v>0</v>
      </c>
      <c r="M49" s="1017">
        <f t="shared" ca="1" si="126"/>
        <v>0</v>
      </c>
      <c r="N49" s="1017">
        <f t="shared" ca="1" si="126"/>
        <v>0</v>
      </c>
      <c r="O49" s="1017">
        <f t="shared" ca="1" si="126"/>
        <v>0</v>
      </c>
      <c r="P49" s="1017">
        <f t="shared" ca="1" si="126"/>
        <v>0</v>
      </c>
      <c r="Q49" s="1019">
        <f ca="1">SUM(G49:P49)</f>
        <v>0</v>
      </c>
      <c r="S49" s="1026">
        <f t="shared" ca="1" si="127"/>
        <v>0</v>
      </c>
      <c r="T49" s="1026">
        <f t="shared" ca="1" si="127"/>
        <v>0</v>
      </c>
      <c r="U49" s="1026">
        <f t="shared" ca="1" si="127"/>
        <v>0</v>
      </c>
      <c r="V49" s="1026">
        <f t="shared" ca="1" si="127"/>
        <v>0</v>
      </c>
      <c r="W49" s="1026">
        <f t="shared" ca="1" si="127"/>
        <v>0</v>
      </c>
      <c r="X49" s="1026">
        <f t="shared" ca="1" si="128"/>
        <v>26.003927322234723</v>
      </c>
      <c r="Y49" s="1026">
        <f t="shared" ca="1" si="128"/>
        <v>0</v>
      </c>
      <c r="Z49" s="1026">
        <f t="shared" ca="1" si="128"/>
        <v>0</v>
      </c>
      <c r="AA49" s="1026">
        <f t="shared" ca="1" si="127"/>
        <v>0</v>
      </c>
      <c r="AB49" s="1026">
        <f t="shared" ca="1" si="127"/>
        <v>0</v>
      </c>
      <c r="AC49" s="1026">
        <f t="shared" ca="1" si="127"/>
        <v>0</v>
      </c>
      <c r="AD49" s="1026">
        <f t="shared" ca="1" si="127"/>
        <v>0</v>
      </c>
      <c r="AE49" s="1026">
        <f t="shared" ca="1" si="127"/>
        <v>0</v>
      </c>
      <c r="AF49" s="1026">
        <f t="shared" ca="1" si="127"/>
        <v>10.480732039364923</v>
      </c>
      <c r="AG49" s="1026">
        <f t="shared" ca="1" si="127"/>
        <v>3.9889383333333339</v>
      </c>
      <c r="AH49" s="1026">
        <f t="shared" ca="1" si="127"/>
        <v>18.283196551267896</v>
      </c>
      <c r="AI49" s="1026">
        <f t="shared" ca="1" si="127"/>
        <v>0</v>
      </c>
      <c r="AJ49" s="1026">
        <f t="shared" ca="1" si="127"/>
        <v>0</v>
      </c>
      <c r="AK49" s="1027">
        <f ca="1">SUM(S49:AJ49)</f>
        <v>58.756794246200883</v>
      </c>
      <c r="AM49" s="1038">
        <f t="shared" ca="1" si="129"/>
        <v>0</v>
      </c>
      <c r="AN49" s="1038">
        <f t="shared" ca="1" si="129"/>
        <v>0</v>
      </c>
      <c r="AO49" s="1038">
        <f t="shared" ca="1" si="129"/>
        <v>0</v>
      </c>
      <c r="AP49" s="1038">
        <f t="shared" ca="1" si="129"/>
        <v>0</v>
      </c>
      <c r="AQ49" s="1038">
        <f t="shared" ca="1" si="129"/>
        <v>0</v>
      </c>
      <c r="AR49" s="1038">
        <f t="shared" ca="1" si="129"/>
        <v>0</v>
      </c>
      <c r="AS49" s="1038">
        <f t="shared" ca="1" si="129"/>
        <v>0</v>
      </c>
      <c r="AT49" s="1038">
        <f t="shared" ca="1" si="129"/>
        <v>0</v>
      </c>
      <c r="AU49" s="1038">
        <f t="shared" ca="1" si="129"/>
        <v>0</v>
      </c>
      <c r="AV49" s="1038">
        <f t="shared" ca="1" si="127"/>
        <v>0</v>
      </c>
      <c r="AW49" s="1038">
        <f t="shared" ca="1" si="127"/>
        <v>0</v>
      </c>
      <c r="AX49" s="1038">
        <f t="shared" ca="1" si="127"/>
        <v>0</v>
      </c>
      <c r="AY49" s="1038">
        <f t="shared" ca="1" si="127"/>
        <v>0</v>
      </c>
      <c r="AZ49" s="1038">
        <f t="shared" ca="1" si="127"/>
        <v>0</v>
      </c>
      <c r="BA49" s="1038">
        <f t="shared" ca="1" si="127"/>
        <v>0</v>
      </c>
      <c r="BB49" s="1038">
        <f t="shared" ca="1" si="127"/>
        <v>0</v>
      </c>
      <c r="BC49" s="1038">
        <f t="shared" ca="1" si="127"/>
        <v>0</v>
      </c>
      <c r="BD49" s="1038">
        <f t="shared" ca="1" si="127"/>
        <v>0</v>
      </c>
      <c r="BE49" s="1038">
        <f t="shared" ca="1" si="127"/>
        <v>-58.756794246200883</v>
      </c>
      <c r="BF49" s="979">
        <f ca="1">SUM(AM49:BE49)</f>
        <v>-58.756794246200883</v>
      </c>
      <c r="BH49" s="1032">
        <f t="shared" ca="1" si="130"/>
        <v>0</v>
      </c>
      <c r="BI49" s="1032">
        <f t="shared" ca="1" si="130"/>
        <v>0</v>
      </c>
      <c r="BJ49" s="1034">
        <f ca="1">SUM(BH49:BI49)</f>
        <v>0</v>
      </c>
      <c r="BL49" s="814"/>
      <c r="BM49" s="814"/>
      <c r="BN49" s="840"/>
      <c r="BO49" s="1481">
        <f t="shared" ca="1" si="131"/>
        <v>0</v>
      </c>
      <c r="BP49" s="1482">
        <f t="shared" ca="1" si="131"/>
        <v>0</v>
      </c>
      <c r="BQ49" s="1482">
        <f t="shared" ca="1" si="131"/>
        <v>0</v>
      </c>
      <c r="BR49" s="1482">
        <f t="shared" ca="1" si="131"/>
        <v>0</v>
      </c>
      <c r="BS49" s="1482">
        <f t="shared" ca="1" si="131"/>
        <v>0</v>
      </c>
      <c r="BT49" s="1482">
        <f t="shared" ca="1" si="131"/>
        <v>0</v>
      </c>
      <c r="BU49" s="1482">
        <f t="shared" ca="1" si="131"/>
        <v>0</v>
      </c>
      <c r="BV49" s="1482">
        <f t="shared" ca="1" si="131"/>
        <v>0</v>
      </c>
      <c r="BW49" s="1482">
        <f t="shared" ca="1" si="131"/>
        <v>0</v>
      </c>
      <c r="BX49" s="1482">
        <f t="shared" ca="1" si="131"/>
        <v>0</v>
      </c>
      <c r="BY49" s="1482">
        <f t="shared" ca="1" si="132"/>
        <v>0</v>
      </c>
      <c r="BZ49" s="1482">
        <f t="shared" ca="1" si="132"/>
        <v>0</v>
      </c>
      <c r="CA49" s="1482">
        <f t="shared" ca="1" si="132"/>
        <v>0</v>
      </c>
      <c r="CB49" s="1482">
        <f t="shared" ca="1" si="132"/>
        <v>0</v>
      </c>
      <c r="CC49" s="1482">
        <f t="shared" ca="1" si="132"/>
        <v>0</v>
      </c>
      <c r="CD49" s="1482">
        <f t="shared" ca="1" si="132"/>
        <v>0</v>
      </c>
      <c r="CE49" s="1482">
        <f t="shared" ca="1" si="132"/>
        <v>0</v>
      </c>
      <c r="CF49" s="1482">
        <f t="shared" ca="1" si="132"/>
        <v>0</v>
      </c>
      <c r="CG49" s="1482">
        <f t="shared" ca="1" si="132"/>
        <v>0</v>
      </c>
      <c r="CH49" s="1482">
        <f t="shared" ca="1" si="132"/>
        <v>0</v>
      </c>
      <c r="CI49" s="1482">
        <f t="shared" ca="1" si="133"/>
        <v>0</v>
      </c>
      <c r="CJ49" s="1482">
        <f t="shared" ca="1" si="133"/>
        <v>0</v>
      </c>
      <c r="CK49" s="1482">
        <f t="shared" ca="1" si="133"/>
        <v>0</v>
      </c>
      <c r="CL49" s="1482">
        <f t="shared" ca="1" si="133"/>
        <v>0</v>
      </c>
      <c r="CM49" s="1482">
        <f t="shared" ca="1" si="133"/>
        <v>0</v>
      </c>
      <c r="CN49" s="1482">
        <f t="shared" ca="1" si="133"/>
        <v>21.671866768039205</v>
      </c>
      <c r="CO49" s="1482">
        <f t="shared" ca="1" si="133"/>
        <v>1.2492999999999999</v>
      </c>
      <c r="CP49" s="1482">
        <f t="shared" ca="1" si="133"/>
        <v>0</v>
      </c>
      <c r="CQ49" s="1482">
        <f t="shared" ca="1" si="133"/>
        <v>0</v>
      </c>
      <c r="CR49" s="1482">
        <f t="shared" ca="1" si="133"/>
        <v>0</v>
      </c>
      <c r="CS49" s="1482">
        <f t="shared" ca="1" si="134"/>
        <v>0</v>
      </c>
      <c r="CT49" s="1482">
        <f t="shared" ca="1" si="134"/>
        <v>0</v>
      </c>
      <c r="CU49" s="1482">
        <f t="shared" ca="1" si="134"/>
        <v>0</v>
      </c>
      <c r="CV49" s="1482">
        <f t="shared" ca="1" si="134"/>
        <v>0</v>
      </c>
      <c r="CW49" s="1482">
        <f t="shared" ca="1" si="134"/>
        <v>0</v>
      </c>
      <c r="CX49" s="1482">
        <f t="shared" ca="1" si="134"/>
        <v>0</v>
      </c>
      <c r="CY49" s="1482">
        <f t="shared" ca="1" si="134"/>
        <v>0</v>
      </c>
      <c r="CZ49" s="1482">
        <f t="shared" ca="1" si="134"/>
        <v>0</v>
      </c>
      <c r="DA49" s="1482">
        <f t="shared" ca="1" si="134"/>
        <v>0</v>
      </c>
      <c r="DB49" s="1482">
        <f t="shared" ca="1" si="134"/>
        <v>0</v>
      </c>
      <c r="DC49" s="1482">
        <f t="shared" ca="1" si="134"/>
        <v>0</v>
      </c>
      <c r="DD49" s="1482">
        <f t="shared" ca="1" si="134"/>
        <v>0</v>
      </c>
      <c r="DE49" s="1482">
        <f t="shared" ca="1" si="134"/>
        <v>0</v>
      </c>
      <c r="DF49" s="1482">
        <f t="shared" ca="1" si="134"/>
        <v>0</v>
      </c>
      <c r="DH49" s="838">
        <f t="shared" ca="1" si="125"/>
        <v>22.921166768039207</v>
      </c>
    </row>
    <row r="50" spans="1:112" s="743" customFormat="1" ht="12.75" hidden="1" customHeight="1" outlineLevel="1">
      <c r="A50" s="1484"/>
      <c r="B50" s="1484"/>
      <c r="C50" s="746" t="s">
        <v>924</v>
      </c>
      <c r="D50" s="1010" t="str">
        <f>INDEX(Modules[Module], MATCH($C50, Modules[Code], 0))</f>
        <v>Agriculture and land use</v>
      </c>
      <c r="E50" s="1010"/>
      <c r="G50" s="1022">
        <f t="shared" ref="G50:P50" ca="1" si="135">IFERROR(INDEX(INDIRECT($C50&amp;".Outputs["&amp;this.Year&amp;"]"), MATCH(G$5, INDIRECT($C50&amp;".Outputs[Vector]"), 0)), 0)</f>
        <v>0</v>
      </c>
      <c r="H50" s="1022">
        <f t="shared" ca="1" si="135"/>
        <v>0</v>
      </c>
      <c r="I50" s="1022">
        <f t="shared" ca="1" si="135"/>
        <v>10.43211</v>
      </c>
      <c r="J50" s="1022">
        <f t="shared" ca="1" si="135"/>
        <v>0</v>
      </c>
      <c r="K50" s="1022">
        <f t="shared" ca="1" si="135"/>
        <v>0</v>
      </c>
      <c r="L50" s="1022">
        <f t="shared" ca="1" si="135"/>
        <v>0</v>
      </c>
      <c r="M50" s="1022">
        <f t="shared" ca="1" si="135"/>
        <v>0</v>
      </c>
      <c r="N50" s="1022">
        <f t="shared" ca="1" si="135"/>
        <v>0</v>
      </c>
      <c r="O50" s="1022">
        <f t="shared" ca="1" si="135"/>
        <v>0</v>
      </c>
      <c r="P50" s="1022">
        <f t="shared" ca="1" si="135"/>
        <v>0</v>
      </c>
      <c r="Q50" s="1020">
        <f ca="1">SUM(G50:P50)</f>
        <v>10.43211</v>
      </c>
      <c r="S50" s="1031">
        <f t="shared" ref="S50:AJ50" ca="1" si="136">IFERROR(INDEX(INDIRECT($C50&amp;".Outputs["&amp;this.Year&amp;"]"), MATCH(S$5, INDIRECT($C50&amp;".Outputs[Vector]"), 0)), 0)</f>
        <v>-4.1728440000000004</v>
      </c>
      <c r="T50" s="1031">
        <f t="shared" ca="1" si="136"/>
        <v>0</v>
      </c>
      <c r="U50" s="1031">
        <f t="shared" ca="1" si="136"/>
        <v>-0.8345688</v>
      </c>
      <c r="V50" s="1031">
        <f t="shared" ca="1" si="136"/>
        <v>-3.4425962999999999</v>
      </c>
      <c r="W50" s="1031">
        <f t="shared" ca="1" si="136"/>
        <v>-1.9821009000000001</v>
      </c>
      <c r="X50" s="1031">
        <f t="shared" ca="1" si="128"/>
        <v>0</v>
      </c>
      <c r="Y50" s="1031">
        <f t="shared" ca="1" si="128"/>
        <v>0</v>
      </c>
      <c r="Z50" s="1031">
        <f t="shared" ca="1" si="128"/>
        <v>0</v>
      </c>
      <c r="AA50" s="1031">
        <f t="shared" ca="1" si="136"/>
        <v>0</v>
      </c>
      <c r="AB50" s="1031">
        <f t="shared" ca="1" si="136"/>
        <v>0</v>
      </c>
      <c r="AC50" s="1031">
        <f t="shared" ca="1" si="136"/>
        <v>0</v>
      </c>
      <c r="AD50" s="1031">
        <f t="shared" ca="1" si="136"/>
        <v>0.82222222222222219</v>
      </c>
      <c r="AE50" s="1031">
        <f t="shared" ca="1" si="136"/>
        <v>4.0593000000000004</v>
      </c>
      <c r="AF50" s="1031">
        <f t="shared" ca="1" si="136"/>
        <v>2.3378822956666663</v>
      </c>
      <c r="AG50" s="1031">
        <f t="shared" ca="1" si="136"/>
        <v>0.97210936666666681</v>
      </c>
      <c r="AH50" s="1031">
        <f t="shared" ca="1" si="136"/>
        <v>0</v>
      </c>
      <c r="AI50" s="1031">
        <f t="shared" ca="1" si="136"/>
        <v>0</v>
      </c>
      <c r="AJ50" s="1031">
        <f t="shared" ca="1" si="136"/>
        <v>0</v>
      </c>
      <c r="AK50" s="1030">
        <f ca="1">SUM(S50:AJ50)</f>
        <v>-2.2405961154444451</v>
      </c>
      <c r="AM50" s="1042">
        <f t="shared" ca="1" si="129"/>
        <v>0</v>
      </c>
      <c r="AN50" s="1042">
        <f t="shared" ca="1" si="129"/>
        <v>0</v>
      </c>
      <c r="AO50" s="1042">
        <f t="shared" ca="1" si="129"/>
        <v>0</v>
      </c>
      <c r="AP50" s="1042">
        <f t="shared" ca="1" si="129"/>
        <v>0</v>
      </c>
      <c r="AQ50" s="1042">
        <f t="shared" ca="1" si="129"/>
        <v>0</v>
      </c>
      <c r="AR50" s="1042">
        <f t="shared" ca="1" si="129"/>
        <v>0</v>
      </c>
      <c r="AS50" s="1042">
        <f t="shared" ca="1" si="129"/>
        <v>0</v>
      </c>
      <c r="AT50" s="1042">
        <f t="shared" ca="1" si="129"/>
        <v>0</v>
      </c>
      <c r="AU50" s="1042">
        <f t="shared" ca="1" si="129"/>
        <v>0</v>
      </c>
      <c r="AV50" s="1042">
        <f t="shared" ref="AV50:BE50" ca="1" si="137">IFERROR(INDEX(INDIRECT($C50&amp;".Outputs["&amp;this.Year&amp;"]"), MATCH(AV$5, INDIRECT($C50&amp;".Outputs[Vector]"), 0)), 0)</f>
        <v>0</v>
      </c>
      <c r="AW50" s="1042">
        <f t="shared" ca="1" si="137"/>
        <v>0</v>
      </c>
      <c r="AX50" s="1042">
        <f t="shared" ca="1" si="137"/>
        <v>0</v>
      </c>
      <c r="AY50" s="1042">
        <f t="shared" ca="1" si="137"/>
        <v>0</v>
      </c>
      <c r="AZ50" s="1042">
        <f t="shared" ca="1" si="137"/>
        <v>0</v>
      </c>
      <c r="BA50" s="1042">
        <f t="shared" ca="1" si="137"/>
        <v>0</v>
      </c>
      <c r="BB50" s="1042">
        <f t="shared" ca="1" si="137"/>
        <v>0</v>
      </c>
      <c r="BC50" s="1042">
        <f t="shared" ca="1" si="137"/>
        <v>0</v>
      </c>
      <c r="BD50" s="1042">
        <f t="shared" ca="1" si="137"/>
        <v>-4.8815222222222223</v>
      </c>
      <c r="BE50" s="1042">
        <f t="shared" ca="1" si="137"/>
        <v>-3.3099916623333332</v>
      </c>
      <c r="BF50" s="1012">
        <f ca="1">SUM(AM50:BE50)</f>
        <v>-8.1915138845555546</v>
      </c>
      <c r="BH50" s="1036">
        <f t="shared" ca="1" si="130"/>
        <v>0</v>
      </c>
      <c r="BI50" s="1036">
        <f t="shared" ca="1" si="130"/>
        <v>0</v>
      </c>
      <c r="BJ50" s="1035">
        <f ca="1">SUM(BH50:BI50)</f>
        <v>0</v>
      </c>
      <c r="BL50" s="814">
        <f ca="1">Q50+AK50+BF50+BJ50</f>
        <v>0</v>
      </c>
      <c r="BM50" s="814"/>
      <c r="BN50" s="840"/>
      <c r="BO50" s="1485">
        <f t="shared" ca="1" si="131"/>
        <v>1.4824028309999999</v>
      </c>
      <c r="BP50" s="1486">
        <f t="shared" ca="1" si="131"/>
        <v>2.5576655538874478E-3</v>
      </c>
      <c r="BQ50" s="1486">
        <f t="shared" ca="1" si="131"/>
        <v>1.8548175243751668E-2</v>
      </c>
      <c r="BR50" s="1486">
        <f t="shared" ca="1" si="131"/>
        <v>0</v>
      </c>
      <c r="BS50" s="1486">
        <f t="shared" ca="1" si="131"/>
        <v>0</v>
      </c>
      <c r="BT50" s="1486">
        <f t="shared" ca="1" si="131"/>
        <v>0</v>
      </c>
      <c r="BU50" s="1486">
        <f t="shared" ca="1" si="131"/>
        <v>0</v>
      </c>
      <c r="BV50" s="1486">
        <f t="shared" ca="1" si="131"/>
        <v>0</v>
      </c>
      <c r="BW50" s="1486">
        <f t="shared" ca="1" si="131"/>
        <v>0</v>
      </c>
      <c r="BX50" s="1486">
        <f t="shared" ca="1" si="131"/>
        <v>0</v>
      </c>
      <c r="BY50" s="1486">
        <f t="shared" ca="1" si="132"/>
        <v>0</v>
      </c>
      <c r="BZ50" s="1486">
        <f t="shared" ca="1" si="132"/>
        <v>0</v>
      </c>
      <c r="CA50" s="1486">
        <f t="shared" ca="1" si="132"/>
        <v>0</v>
      </c>
      <c r="CB50" s="1486">
        <f t="shared" ca="1" si="132"/>
        <v>0</v>
      </c>
      <c r="CC50" s="1486">
        <f t="shared" ca="1" si="132"/>
        <v>0</v>
      </c>
      <c r="CD50" s="1486">
        <f t="shared" ca="1" si="132"/>
        <v>0</v>
      </c>
      <c r="CE50" s="1486">
        <f t="shared" ca="1" si="132"/>
        <v>0</v>
      </c>
      <c r="CF50" s="1486">
        <f t="shared" ca="1" si="132"/>
        <v>20.026732599999995</v>
      </c>
      <c r="CG50" s="1486">
        <f t="shared" ca="1" si="132"/>
        <v>23.28</v>
      </c>
      <c r="CH50" s="1486">
        <f t="shared" ca="1" si="132"/>
        <v>0</v>
      </c>
      <c r="CI50" s="1486">
        <f t="shared" ca="1" si="133"/>
        <v>-1.8247953999999991</v>
      </c>
      <c r="CJ50" s="1486">
        <f t="shared" ca="1" si="133"/>
        <v>0</v>
      </c>
      <c r="CK50" s="1486">
        <f t="shared" ca="1" si="133"/>
        <v>0</v>
      </c>
      <c r="CL50" s="1486">
        <f t="shared" ca="1" si="133"/>
        <v>0</v>
      </c>
      <c r="CM50" s="1486">
        <f t="shared" ca="1" si="133"/>
        <v>0</v>
      </c>
      <c r="CN50" s="1486">
        <f t="shared" ca="1" si="133"/>
        <v>0</v>
      </c>
      <c r="CO50" s="1486">
        <f t="shared" ca="1" si="133"/>
        <v>0</v>
      </c>
      <c r="CP50" s="1486">
        <f t="shared" ca="1" si="133"/>
        <v>0</v>
      </c>
      <c r="CQ50" s="1486">
        <f t="shared" ca="1" si="133"/>
        <v>0</v>
      </c>
      <c r="CR50" s="1486">
        <f t="shared" ca="1" si="133"/>
        <v>0</v>
      </c>
      <c r="CS50" s="1486">
        <f t="shared" ca="1" si="134"/>
        <v>0</v>
      </c>
      <c r="CT50" s="1486">
        <f t="shared" ca="1" si="134"/>
        <v>0</v>
      </c>
      <c r="CU50" s="1486">
        <f t="shared" ca="1" si="134"/>
        <v>0</v>
      </c>
      <c r="CV50" s="1486">
        <f t="shared" ca="1" si="134"/>
        <v>0</v>
      </c>
      <c r="CW50" s="1486">
        <f t="shared" ca="1" si="134"/>
        <v>0</v>
      </c>
      <c r="CX50" s="1486">
        <f t="shared" ca="1" si="134"/>
        <v>0</v>
      </c>
      <c r="CY50" s="1486">
        <f t="shared" ca="1" si="134"/>
        <v>0</v>
      </c>
      <c r="CZ50" s="1486">
        <f t="shared" ca="1" si="134"/>
        <v>0</v>
      </c>
      <c r="DA50" s="1486">
        <f t="shared" ca="1" si="134"/>
        <v>0</v>
      </c>
      <c r="DB50" s="1486">
        <f t="shared" ca="1" si="134"/>
        <v>0</v>
      </c>
      <c r="DC50" s="1486">
        <f t="shared" ca="1" si="134"/>
        <v>0</v>
      </c>
      <c r="DD50" s="1486">
        <f t="shared" ca="1" si="134"/>
        <v>0</v>
      </c>
      <c r="DE50" s="1486">
        <f t="shared" ca="1" si="134"/>
        <v>0</v>
      </c>
      <c r="DF50" s="1486">
        <f t="shared" ca="1" si="134"/>
        <v>0</v>
      </c>
      <c r="DH50" s="838">
        <f t="shared" ca="1" si="125"/>
        <v>42.985445871797637</v>
      </c>
    </row>
    <row r="51" spans="1:112" s="743" customFormat="1" ht="15.75" collapsed="1">
      <c r="A51" s="22"/>
      <c r="B51" s="753"/>
      <c r="C51" s="744" t="s">
        <v>672</v>
      </c>
      <c r="D51" s="517" t="str">
        <f>INDEX(Workstreams[Workstream], MATCH($C51, Workstreams[Code], 0))</f>
        <v>Agriculture and waste</v>
      </c>
      <c r="E51" s="512"/>
      <c r="G51" s="1021">
        <f ca="1">SUM(G48:G50)</f>
        <v>0</v>
      </c>
      <c r="H51" s="1021">
        <f t="shared" ref="H51:P51" ca="1" si="138">SUM(H48:H50)</f>
        <v>0</v>
      </c>
      <c r="I51" s="1021">
        <f t="shared" ca="1" si="138"/>
        <v>10.43211</v>
      </c>
      <c r="J51" s="1021">
        <f t="shared" ca="1" si="138"/>
        <v>0</v>
      </c>
      <c r="K51" s="1021">
        <f t="shared" ca="1" si="138"/>
        <v>0</v>
      </c>
      <c r="L51" s="1021">
        <f t="shared" ca="1" si="138"/>
        <v>0</v>
      </c>
      <c r="M51" s="1021">
        <f t="shared" ca="1" si="138"/>
        <v>0</v>
      </c>
      <c r="N51" s="1021">
        <f t="shared" ca="1" si="138"/>
        <v>0</v>
      </c>
      <c r="O51" s="1021">
        <f t="shared" ca="1" si="138"/>
        <v>0</v>
      </c>
      <c r="P51" s="1021">
        <f t="shared" ca="1" si="138"/>
        <v>0</v>
      </c>
      <c r="Q51" s="1021">
        <f ca="1">SUM(G51:P51)</f>
        <v>10.43211</v>
      </c>
      <c r="S51" s="970">
        <f t="shared" ref="S51:AJ51" ca="1" si="139">SUM(S48:S50)</f>
        <v>-4.1728440000000004</v>
      </c>
      <c r="T51" s="970">
        <f t="shared" ca="1" si="139"/>
        <v>0</v>
      </c>
      <c r="U51" s="970">
        <f t="shared" ca="1" si="139"/>
        <v>-0.8345688</v>
      </c>
      <c r="V51" s="970">
        <f t="shared" ca="1" si="139"/>
        <v>-3.4425962999999999</v>
      </c>
      <c r="W51" s="970">
        <f t="shared" ca="1" si="139"/>
        <v>-1.9821009000000001</v>
      </c>
      <c r="X51" s="970">
        <f t="shared" ca="1" si="139"/>
        <v>26.003927322234723</v>
      </c>
      <c r="Y51" s="970">
        <f t="shared" ca="1" si="139"/>
        <v>0</v>
      </c>
      <c r="Z51" s="970">
        <f t="shared" ca="1" si="139"/>
        <v>0</v>
      </c>
      <c r="AA51" s="970">
        <f t="shared" ca="1" si="139"/>
        <v>0</v>
      </c>
      <c r="AB51" s="970">
        <f t="shared" ca="1" si="139"/>
        <v>0</v>
      </c>
      <c r="AC51" s="970">
        <f t="shared" ca="1" si="139"/>
        <v>0</v>
      </c>
      <c r="AD51" s="970">
        <f t="shared" ca="1" si="139"/>
        <v>0.82222222222222219</v>
      </c>
      <c r="AE51" s="970">
        <f ca="1">SUM(AE48:AE50)</f>
        <v>4.0593000000000004</v>
      </c>
      <c r="AF51" s="970">
        <f t="shared" ca="1" si="139"/>
        <v>12.81861433503159</v>
      </c>
      <c r="AG51" s="970">
        <f t="shared" ca="1" si="139"/>
        <v>4.9610477000000008</v>
      </c>
      <c r="AH51" s="970">
        <f ca="1">SUM(AH48:AH50)</f>
        <v>18.283196551267896</v>
      </c>
      <c r="AI51" s="970">
        <f t="shared" ca="1" si="139"/>
        <v>0</v>
      </c>
      <c r="AJ51" s="970">
        <f t="shared" ca="1" si="139"/>
        <v>0</v>
      </c>
      <c r="AK51" s="970">
        <f ca="1">SUM(S51:AJ51)</f>
        <v>56.516198130756436</v>
      </c>
      <c r="AM51" s="976">
        <f t="shared" ref="AM51:BE51" ca="1" si="140">SUM(AM48:AM50)</f>
        <v>0</v>
      </c>
      <c r="AN51" s="976">
        <f t="shared" ca="1" si="140"/>
        <v>0</v>
      </c>
      <c r="AO51" s="976">
        <f t="shared" ca="1" si="140"/>
        <v>0</v>
      </c>
      <c r="AP51" s="976">
        <f t="shared" ca="1" si="140"/>
        <v>0</v>
      </c>
      <c r="AQ51" s="976">
        <f t="shared" ca="1" si="140"/>
        <v>0</v>
      </c>
      <c r="AR51" s="976">
        <f t="shared" ca="1" si="140"/>
        <v>0</v>
      </c>
      <c r="AS51" s="976">
        <f t="shared" ca="1" si="140"/>
        <v>0</v>
      </c>
      <c r="AT51" s="976">
        <f t="shared" ca="1" si="140"/>
        <v>0</v>
      </c>
      <c r="AU51" s="976">
        <f t="shared" ca="1" si="140"/>
        <v>0</v>
      </c>
      <c r="AV51" s="976">
        <f t="shared" ca="1" si="140"/>
        <v>0</v>
      </c>
      <c r="AW51" s="976">
        <f t="shared" ca="1" si="140"/>
        <v>0</v>
      </c>
      <c r="AX51" s="976">
        <f t="shared" ca="1" si="140"/>
        <v>0</v>
      </c>
      <c r="AY51" s="976">
        <f t="shared" ca="1" si="140"/>
        <v>0</v>
      </c>
      <c r="AZ51" s="976">
        <f t="shared" ca="1" si="140"/>
        <v>0</v>
      </c>
      <c r="BA51" s="976">
        <f t="shared" ca="1" si="140"/>
        <v>0</v>
      </c>
      <c r="BB51" s="976">
        <f t="shared" ca="1" si="140"/>
        <v>0</v>
      </c>
      <c r="BC51" s="976">
        <f t="shared" ca="1" si="140"/>
        <v>0</v>
      </c>
      <c r="BD51" s="976">
        <f t="shared" ca="1" si="140"/>
        <v>-4.8815222222222223</v>
      </c>
      <c r="BE51" s="976">
        <f t="shared" ca="1" si="140"/>
        <v>-62.066785908534214</v>
      </c>
      <c r="BF51" s="976">
        <f ca="1">SUM(AM51:BE51)</f>
        <v>-66.948308130756431</v>
      </c>
      <c r="BH51" s="990">
        <f ca="1">SUM(BH48:BH50)</f>
        <v>0</v>
      </c>
      <c r="BI51" s="990">
        <f ca="1">SUM(BI48:BI50)</f>
        <v>0</v>
      </c>
      <c r="BJ51" s="990">
        <f ca="1">SUM(BH51:BI51)</f>
        <v>0</v>
      </c>
      <c r="BL51" s="515">
        <f ca="1">Q51+AK51+BF51+BJ51</f>
        <v>0</v>
      </c>
      <c r="BM51" s="515"/>
      <c r="BN51" s="840"/>
      <c r="BO51" s="1482">
        <f t="shared" ref="BO51:DF51" ca="1" si="141">SUM(BO48:BO50)</f>
        <v>1.4824028309999999</v>
      </c>
      <c r="BP51" s="1482">
        <f t="shared" ca="1" si="141"/>
        <v>2.5576655538874478E-3</v>
      </c>
      <c r="BQ51" s="1482">
        <f t="shared" ca="1" si="141"/>
        <v>1.8548175243751668E-2</v>
      </c>
      <c r="BR51" s="1482">
        <f t="shared" ca="1" si="141"/>
        <v>0</v>
      </c>
      <c r="BS51" s="1482">
        <f t="shared" ca="1" si="141"/>
        <v>0</v>
      </c>
      <c r="BT51" s="1482">
        <f t="shared" ca="1" si="141"/>
        <v>0</v>
      </c>
      <c r="BU51" s="1482">
        <f t="shared" ca="1" si="141"/>
        <v>0</v>
      </c>
      <c r="BV51" s="1482">
        <f t="shared" ca="1" si="141"/>
        <v>0</v>
      </c>
      <c r="BW51" s="1482">
        <f t="shared" ca="1" si="141"/>
        <v>0</v>
      </c>
      <c r="BX51" s="1482">
        <f t="shared" ca="1" si="141"/>
        <v>0</v>
      </c>
      <c r="BY51" s="1482">
        <f t="shared" ca="1" si="141"/>
        <v>0</v>
      </c>
      <c r="BZ51" s="1482">
        <f t="shared" ca="1" si="141"/>
        <v>0</v>
      </c>
      <c r="CA51" s="1482">
        <f t="shared" ca="1" si="141"/>
        <v>0</v>
      </c>
      <c r="CB51" s="1482">
        <f t="shared" ca="1" si="141"/>
        <v>0</v>
      </c>
      <c r="CC51" s="1482">
        <f t="shared" ca="1" si="141"/>
        <v>0</v>
      </c>
      <c r="CD51" s="1482">
        <f t="shared" ca="1" si="141"/>
        <v>0</v>
      </c>
      <c r="CE51" s="1482">
        <f t="shared" ca="1" si="141"/>
        <v>0</v>
      </c>
      <c r="CF51" s="1482">
        <f t="shared" ca="1" si="141"/>
        <v>20.026732599999995</v>
      </c>
      <c r="CG51" s="1482">
        <f t="shared" ca="1" si="141"/>
        <v>23.28</v>
      </c>
      <c r="CH51" s="1482">
        <f t="shared" ca="1" si="141"/>
        <v>0</v>
      </c>
      <c r="CI51" s="1482">
        <f t="shared" ca="1" si="141"/>
        <v>-1.8247953999999991</v>
      </c>
      <c r="CJ51" s="1482">
        <f t="shared" ca="1" si="141"/>
        <v>0</v>
      </c>
      <c r="CK51" s="1482">
        <f t="shared" ca="1" si="141"/>
        <v>0</v>
      </c>
      <c r="CL51" s="1482">
        <f t="shared" ca="1" si="141"/>
        <v>0</v>
      </c>
      <c r="CM51" s="1482">
        <f t="shared" ca="1" si="141"/>
        <v>0</v>
      </c>
      <c r="CN51" s="1482">
        <f t="shared" ca="1" si="141"/>
        <v>21.671866768039205</v>
      </c>
      <c r="CO51" s="1482">
        <f t="shared" ca="1" si="141"/>
        <v>1.2492999999999999</v>
      </c>
      <c r="CP51" s="1482">
        <f t="shared" ca="1" si="141"/>
        <v>0</v>
      </c>
      <c r="CQ51" s="1482">
        <f t="shared" ca="1" si="141"/>
        <v>0</v>
      </c>
      <c r="CR51" s="1482">
        <f t="shared" ca="1" si="141"/>
        <v>0</v>
      </c>
      <c r="CS51" s="1482">
        <f t="shared" ca="1" si="141"/>
        <v>0</v>
      </c>
      <c r="CT51" s="1482">
        <f t="shared" ca="1" si="141"/>
        <v>0</v>
      </c>
      <c r="CU51" s="1482">
        <f t="shared" ca="1" si="141"/>
        <v>0</v>
      </c>
      <c r="CV51" s="1482">
        <f t="shared" ca="1" si="141"/>
        <v>0</v>
      </c>
      <c r="CW51" s="1482">
        <f t="shared" ca="1" si="141"/>
        <v>0</v>
      </c>
      <c r="CX51" s="1482">
        <f t="shared" ca="1" si="141"/>
        <v>0</v>
      </c>
      <c r="CY51" s="1482">
        <f t="shared" ca="1" si="141"/>
        <v>0</v>
      </c>
      <c r="CZ51" s="1482">
        <f t="shared" ca="1" si="141"/>
        <v>0</v>
      </c>
      <c r="DA51" s="1482">
        <f t="shared" ca="1" si="141"/>
        <v>0</v>
      </c>
      <c r="DB51" s="1482">
        <f t="shared" ca="1" si="141"/>
        <v>0</v>
      </c>
      <c r="DC51" s="1482">
        <f t="shared" ca="1" si="141"/>
        <v>0</v>
      </c>
      <c r="DD51" s="1482">
        <f t="shared" ca="1" si="141"/>
        <v>0</v>
      </c>
      <c r="DE51" s="1482">
        <f t="shared" ca="1" si="141"/>
        <v>0</v>
      </c>
      <c r="DF51" s="1482">
        <f t="shared" ca="1" si="141"/>
        <v>0</v>
      </c>
      <c r="DH51" s="838">
        <f t="shared" ca="1" si="125"/>
        <v>65.906612639836851</v>
      </c>
    </row>
    <row r="52" spans="1:112" s="743" customFormat="1" ht="12.75" hidden="1" customHeight="1" outlineLevel="1">
      <c r="A52" s="22"/>
      <c r="B52" s="22"/>
      <c r="C52" s="751"/>
      <c r="D52" s="512"/>
      <c r="E52" s="512"/>
      <c r="G52" s="958"/>
      <c r="H52" s="958"/>
      <c r="I52" s="958"/>
      <c r="J52" s="958"/>
      <c r="K52" s="960"/>
      <c r="L52" s="958"/>
      <c r="M52" s="958"/>
      <c r="N52" s="958"/>
      <c r="O52" s="958"/>
      <c r="P52" s="958"/>
      <c r="Q52" s="958"/>
      <c r="S52" s="970"/>
      <c r="T52" s="970"/>
      <c r="U52" s="970"/>
      <c r="V52" s="970"/>
      <c r="W52" s="970"/>
      <c r="X52" s="970"/>
      <c r="Y52" s="970"/>
      <c r="Z52" s="970"/>
      <c r="AA52" s="970"/>
      <c r="AB52" s="970"/>
      <c r="AC52" s="970"/>
      <c r="AD52" s="970"/>
      <c r="AE52" s="970"/>
      <c r="AF52" s="970"/>
      <c r="AG52" s="970"/>
      <c r="AH52" s="970"/>
      <c r="AI52" s="970"/>
      <c r="AJ52" s="970"/>
      <c r="AK52" s="970"/>
      <c r="AM52" s="976"/>
      <c r="AN52" s="976"/>
      <c r="AO52" s="976"/>
      <c r="AP52" s="976"/>
      <c r="AQ52" s="976"/>
      <c r="AR52" s="976"/>
      <c r="AS52" s="976"/>
      <c r="AT52" s="976"/>
      <c r="AU52" s="976"/>
      <c r="AV52" s="976"/>
      <c r="AW52" s="976"/>
      <c r="AX52" s="976"/>
      <c r="AY52" s="976"/>
      <c r="AZ52" s="976"/>
      <c r="BA52" s="976"/>
      <c r="BB52" s="976"/>
      <c r="BC52" s="976"/>
      <c r="BD52" s="976"/>
      <c r="BE52" s="976"/>
      <c r="BF52" s="976"/>
      <c r="BH52" s="990"/>
      <c r="BI52" s="990"/>
      <c r="BJ52" s="990"/>
      <c r="BL52" s="515">
        <f>Q52+AK52+BF52+BJ52</f>
        <v>0</v>
      </c>
      <c r="BM52" s="515"/>
      <c r="BN52" s="22"/>
      <c r="BO52" s="1482"/>
      <c r="BP52" s="1482"/>
      <c r="BQ52" s="1482"/>
      <c r="BR52" s="1482"/>
      <c r="BS52" s="1482"/>
      <c r="BT52" s="1482"/>
      <c r="BU52" s="1482"/>
      <c r="BV52" s="1482"/>
      <c r="BW52" s="1482"/>
      <c r="BX52" s="1482"/>
      <c r="BY52" s="1482"/>
      <c r="BZ52" s="1482"/>
      <c r="CA52" s="1482"/>
      <c r="CB52" s="1482"/>
      <c r="CC52" s="1482"/>
      <c r="CD52" s="1482"/>
      <c r="CE52" s="1482"/>
      <c r="CF52" s="1482"/>
      <c r="CG52" s="1482"/>
      <c r="CH52" s="1482"/>
      <c r="CI52" s="1482"/>
      <c r="CJ52" s="1482"/>
      <c r="CK52" s="1482"/>
      <c r="CL52" s="1482"/>
      <c r="CM52" s="1482"/>
      <c r="CN52" s="1482"/>
      <c r="CO52" s="1482"/>
      <c r="CP52" s="1482"/>
      <c r="CQ52" s="1482"/>
      <c r="CR52" s="1482"/>
      <c r="CS52" s="1482"/>
      <c r="CT52" s="1482"/>
      <c r="CU52" s="1482"/>
      <c r="CV52" s="1482"/>
      <c r="CW52" s="1482"/>
      <c r="CX52" s="1482"/>
      <c r="CY52" s="1482"/>
      <c r="CZ52" s="1482"/>
      <c r="DA52" s="1482"/>
      <c r="DB52" s="1482"/>
      <c r="DC52" s="1482"/>
      <c r="DD52" s="1482"/>
      <c r="DE52" s="1482"/>
      <c r="DF52" s="1482"/>
      <c r="DH52" s="838">
        <f t="shared" si="125"/>
        <v>0</v>
      </c>
    </row>
    <row r="53" spans="1:112" s="743" customFormat="1" hidden="1" outlineLevel="1">
      <c r="A53" s="1484"/>
      <c r="B53" s="1484"/>
      <c r="C53" s="522" t="s">
        <v>971</v>
      </c>
      <c r="D53" s="521" t="str">
        <f>INDEX(Modules[Module], MATCH($C53, Modules[Code], 0))</f>
        <v>Petroleum refineries</v>
      </c>
      <c r="E53" s="521"/>
      <c r="G53" s="1017">
        <f t="shared" ref="G53:P54" ca="1" si="142">IFERROR(INDEX(INDIRECT($C53&amp;".Outputs["&amp;this.Year&amp;"]"), MATCH(G$5, INDIRECT($C53&amp;".Outputs[Vector]"), 0)), 0)</f>
        <v>0</v>
      </c>
      <c r="H53" s="1017">
        <f t="shared" ca="1" si="142"/>
        <v>0</v>
      </c>
      <c r="I53" s="1017">
        <f t="shared" ca="1" si="142"/>
        <v>0</v>
      </c>
      <c r="J53" s="1017">
        <f t="shared" ca="1" si="142"/>
        <v>0</v>
      </c>
      <c r="K53" s="1017">
        <f t="shared" ca="1" si="142"/>
        <v>0</v>
      </c>
      <c r="L53" s="1017">
        <f t="shared" ca="1" si="142"/>
        <v>0</v>
      </c>
      <c r="M53" s="1017">
        <f t="shared" ca="1" si="142"/>
        <v>0</v>
      </c>
      <c r="N53" s="1017">
        <f t="shared" ca="1" si="142"/>
        <v>0</v>
      </c>
      <c r="O53" s="1017">
        <f t="shared" ca="1" si="142"/>
        <v>0</v>
      </c>
      <c r="P53" s="1017">
        <f t="shared" ca="1" si="142"/>
        <v>0</v>
      </c>
      <c r="Q53" s="1019">
        <f ca="1">SUM(G53:P53)</f>
        <v>0</v>
      </c>
      <c r="S53" s="1026">
        <f t="shared" ref="S53:BE54" ca="1" si="143">IFERROR(INDEX(INDIRECT($C53&amp;".Outputs["&amp;this.Year&amp;"]"), MATCH(S$5, INDIRECT($C53&amp;".Outputs[Vector]"), 0)), 0)</f>
        <v>-6.8648161351266319</v>
      </c>
      <c r="T53" s="1026">
        <f t="shared" ca="1" si="143"/>
        <v>0</v>
      </c>
      <c r="U53" s="1026">
        <f t="shared" ca="1" si="143"/>
        <v>0</v>
      </c>
      <c r="V53" s="1026">
        <f t="shared" ca="1" si="143"/>
        <v>-56.266685142190759</v>
      </c>
      <c r="W53" s="1026">
        <f t="shared" ca="1" si="143"/>
        <v>-2.5031151912581922</v>
      </c>
      <c r="X53" s="1026">
        <f t="shared" ref="X53:Z54" ca="1" si="144">IFERROR(INDEX(INDIRECT($C53&amp;".Outputs["&amp;this.Year&amp;"]"), MATCH(X$5, INDIRECT($C53&amp;".Outputs[Vector]"), 0)), 0)</f>
        <v>0</v>
      </c>
      <c r="Y53" s="1026">
        <f t="shared" ca="1" si="144"/>
        <v>3.3231913194881599</v>
      </c>
      <c r="Z53" s="1026">
        <f t="shared" ca="1" si="144"/>
        <v>0</v>
      </c>
      <c r="AA53" s="1026">
        <f t="shared" ca="1" si="143"/>
        <v>0</v>
      </c>
      <c r="AB53" s="1026">
        <f t="shared" ca="1" si="143"/>
        <v>-0.80614193762263531</v>
      </c>
      <c r="AC53" s="1026">
        <f t="shared" ca="1" si="143"/>
        <v>0</v>
      </c>
      <c r="AD53" s="1026">
        <f t="shared" ca="1" si="143"/>
        <v>0</v>
      </c>
      <c r="AE53" s="1026">
        <f t="shared" ca="1" si="143"/>
        <v>0</v>
      </c>
      <c r="AF53" s="1026">
        <f t="shared" ca="1" si="143"/>
        <v>0</v>
      </c>
      <c r="AG53" s="1026">
        <f t="shared" ca="1" si="143"/>
        <v>0</v>
      </c>
      <c r="AH53" s="1026">
        <f t="shared" ca="1" si="143"/>
        <v>0</v>
      </c>
      <c r="AI53" s="1026">
        <f t="shared" ca="1" si="143"/>
        <v>0</v>
      </c>
      <c r="AJ53" s="1026">
        <f t="shared" ca="1" si="143"/>
        <v>0</v>
      </c>
      <c r="AK53" s="1027">
        <f ca="1">SUM(S53:AJ53)</f>
        <v>-63.117567086710061</v>
      </c>
      <c r="AM53" s="1038">
        <f t="shared" ref="AM53:AU54" ca="1" si="145">IFERROR(INDEX(INDIRECT($C53&amp;".Outputs["&amp;this.Year&amp;"]"), MATCH(AM$5, INDIRECT($C53&amp;".Outputs[Vector]"), 0)), 0)</f>
        <v>0</v>
      </c>
      <c r="AN53" s="1038">
        <f t="shared" ca="1" si="145"/>
        <v>0</v>
      </c>
      <c r="AO53" s="1038">
        <f t="shared" ca="1" si="145"/>
        <v>0</v>
      </c>
      <c r="AP53" s="1038">
        <f t="shared" ca="1" si="145"/>
        <v>0</v>
      </c>
      <c r="AQ53" s="1038">
        <f t="shared" ca="1" si="145"/>
        <v>0</v>
      </c>
      <c r="AR53" s="1038">
        <f t="shared" ca="1" si="145"/>
        <v>0</v>
      </c>
      <c r="AS53" s="1038">
        <f t="shared" ca="1" si="145"/>
        <v>0</v>
      </c>
      <c r="AT53" s="1038">
        <f t="shared" ca="1" si="145"/>
        <v>0</v>
      </c>
      <c r="AU53" s="1038">
        <f t="shared" ca="1" si="145"/>
        <v>0</v>
      </c>
      <c r="AV53" s="1038">
        <f t="shared" ca="1" si="143"/>
        <v>0</v>
      </c>
      <c r="AW53" s="1038">
        <f t="shared" ca="1" si="143"/>
        <v>0</v>
      </c>
      <c r="AX53" s="1038">
        <f t="shared" ca="1" si="143"/>
        <v>0</v>
      </c>
      <c r="AY53" s="1038">
        <f t="shared" ca="1" si="143"/>
        <v>0</v>
      </c>
      <c r="AZ53" s="1038">
        <f t="shared" ca="1" si="143"/>
        <v>0</v>
      </c>
      <c r="BA53" s="1038">
        <f t="shared" ca="1" si="143"/>
        <v>0</v>
      </c>
      <c r="BB53" s="1038">
        <f t="shared" ca="1" si="143"/>
        <v>0</v>
      </c>
      <c r="BC53" s="1038">
        <f t="shared" ca="1" si="143"/>
        <v>0</v>
      </c>
      <c r="BD53" s="1038">
        <f t="shared" ca="1" si="143"/>
        <v>0</v>
      </c>
      <c r="BE53" s="1038">
        <f t="shared" ca="1" si="143"/>
        <v>0</v>
      </c>
      <c r="BF53" s="979">
        <f ca="1">SUM(AM53:BE53)</f>
        <v>0</v>
      </c>
      <c r="BH53" s="1032">
        <f ca="1">IFERROR(INDEX(INDIRECT($C53&amp;".Outputs["&amp;this.Year&amp;"]"), MATCH(BH$5, INDIRECT($C53&amp;".Outputs[Vector]"), 0)), 0)</f>
        <v>-3.3231913194880929</v>
      </c>
      <c r="BI53" s="1032">
        <f ca="1">IFERROR(INDEX(INDIRECT($C53&amp;".Outputs["&amp;this.Year&amp;"]"), MATCH(BI$5, INDIRECT($C53&amp;".Outputs[Vector]"), 0)), 0)</f>
        <v>66.440758406198228</v>
      </c>
      <c r="BJ53" s="1034">
        <f ca="1">SUM(BH53:BI53)</f>
        <v>63.117567086710132</v>
      </c>
      <c r="BL53" s="814">
        <f ca="1">Q53+AK53+BF53+BJ53</f>
        <v>7.1054273576010019E-14</v>
      </c>
      <c r="BM53" s="814"/>
      <c r="BN53" s="840"/>
      <c r="BO53" s="1481">
        <f t="shared" ref="BO53:BX54" ca="1" si="146">IFERROR(SUMIFS(INDIRECT($C53&amp;".Emissions["&amp;this.Year&amp;"]"), INDIRECT($C53&amp;".Emissions[GHG]"), BO$6, INDIRECT($C53&amp;".Emissions[IPCC Sector]"), BO$5),0)</f>
        <v>14.527244480739197</v>
      </c>
      <c r="BP53" s="1482">
        <f t="shared" ca="1" si="146"/>
        <v>1.8436162606187682E-2</v>
      </c>
      <c r="BQ53" s="1482">
        <f t="shared" ca="1" si="146"/>
        <v>0.2540812001173906</v>
      </c>
      <c r="BR53" s="1482">
        <f t="shared" ca="1" si="146"/>
        <v>0</v>
      </c>
      <c r="BS53" s="1482">
        <f t="shared" ca="1" si="146"/>
        <v>0</v>
      </c>
      <c r="BT53" s="1482">
        <f t="shared" ca="1" si="146"/>
        <v>0</v>
      </c>
      <c r="BU53" s="1482">
        <f t="shared" ca="1" si="146"/>
        <v>0</v>
      </c>
      <c r="BV53" s="1482">
        <f t="shared" ca="1" si="146"/>
        <v>0</v>
      </c>
      <c r="BW53" s="1482">
        <f t="shared" ca="1" si="146"/>
        <v>0</v>
      </c>
      <c r="BX53" s="1482">
        <f t="shared" ca="1" si="146"/>
        <v>0</v>
      </c>
      <c r="BY53" s="1482">
        <f t="shared" ref="BY53:CH54" ca="1" si="147">IFERROR(SUMIFS(INDIRECT($C53&amp;".Emissions["&amp;this.Year&amp;"]"), INDIRECT($C53&amp;".Emissions[GHG]"), BY$6, INDIRECT($C53&amp;".Emissions[IPCC Sector]"), BY$5),0)</f>
        <v>0</v>
      </c>
      <c r="BZ53" s="1482">
        <f t="shared" ca="1" si="147"/>
        <v>0</v>
      </c>
      <c r="CA53" s="1482">
        <f t="shared" ca="1" si="147"/>
        <v>0</v>
      </c>
      <c r="CB53" s="1482">
        <f t="shared" ca="1" si="147"/>
        <v>0</v>
      </c>
      <c r="CC53" s="1482">
        <f t="shared" ca="1" si="147"/>
        <v>0</v>
      </c>
      <c r="CD53" s="1482">
        <f t="shared" ca="1" si="147"/>
        <v>0</v>
      </c>
      <c r="CE53" s="1482">
        <f t="shared" ca="1" si="147"/>
        <v>0</v>
      </c>
      <c r="CF53" s="1482">
        <f t="shared" ca="1" si="147"/>
        <v>0</v>
      </c>
      <c r="CG53" s="1482">
        <f t="shared" ca="1" si="147"/>
        <v>0</v>
      </c>
      <c r="CH53" s="1482">
        <f t="shared" ca="1" si="147"/>
        <v>0</v>
      </c>
      <c r="CI53" s="1482">
        <f t="shared" ref="CI53:CR54" ca="1" si="148">IFERROR(SUMIFS(INDIRECT($C53&amp;".Emissions["&amp;this.Year&amp;"]"), INDIRECT($C53&amp;".Emissions[GHG]"), CI$6, INDIRECT($C53&amp;".Emissions[IPCC Sector]"), CI$5),0)</f>
        <v>0</v>
      </c>
      <c r="CJ53" s="1482">
        <f t="shared" ca="1" si="148"/>
        <v>0</v>
      </c>
      <c r="CK53" s="1482">
        <f t="shared" ca="1" si="148"/>
        <v>0</v>
      </c>
      <c r="CL53" s="1482">
        <f t="shared" ca="1" si="148"/>
        <v>0</v>
      </c>
      <c r="CM53" s="1482">
        <f t="shared" ca="1" si="148"/>
        <v>0</v>
      </c>
      <c r="CN53" s="1482">
        <f t="shared" ca="1" si="148"/>
        <v>0</v>
      </c>
      <c r="CO53" s="1482">
        <f t="shared" ca="1" si="148"/>
        <v>0</v>
      </c>
      <c r="CP53" s="1482">
        <f t="shared" ca="1" si="148"/>
        <v>0</v>
      </c>
      <c r="CQ53" s="1482">
        <f t="shared" ca="1" si="148"/>
        <v>0</v>
      </c>
      <c r="CR53" s="1482">
        <f t="shared" ca="1" si="148"/>
        <v>0</v>
      </c>
      <c r="CS53" s="1482">
        <f t="shared" ref="CS53:DF54" ca="1" si="149">IFERROR(SUMIFS(INDIRECT($C53&amp;".Emissions["&amp;this.Year&amp;"]"), INDIRECT($C53&amp;".Emissions[GHG]"), CS$6, INDIRECT($C53&amp;".Emissions[IPCC Sector]"), CS$5),0)</f>
        <v>0</v>
      </c>
      <c r="CT53" s="1482">
        <f t="shared" ca="1" si="149"/>
        <v>0</v>
      </c>
      <c r="CU53" s="1482">
        <f t="shared" ca="1" si="149"/>
        <v>0</v>
      </c>
      <c r="CV53" s="1482">
        <f t="shared" ca="1" si="149"/>
        <v>0</v>
      </c>
      <c r="CW53" s="1482">
        <f t="shared" ca="1" si="149"/>
        <v>0</v>
      </c>
      <c r="CX53" s="1482">
        <f t="shared" ca="1" si="149"/>
        <v>0</v>
      </c>
      <c r="CY53" s="1482">
        <f t="shared" ca="1" si="149"/>
        <v>0</v>
      </c>
      <c r="CZ53" s="1482">
        <f t="shared" ca="1" si="149"/>
        <v>0</v>
      </c>
      <c r="DA53" s="1482">
        <f t="shared" ca="1" si="149"/>
        <v>0</v>
      </c>
      <c r="DB53" s="1482">
        <f t="shared" ca="1" si="149"/>
        <v>0</v>
      </c>
      <c r="DC53" s="1482">
        <f t="shared" ca="1" si="149"/>
        <v>0</v>
      </c>
      <c r="DD53" s="1482">
        <f t="shared" ca="1" si="149"/>
        <v>0</v>
      </c>
      <c r="DE53" s="1482">
        <f t="shared" ca="1" si="149"/>
        <v>0</v>
      </c>
      <c r="DF53" s="1482">
        <f t="shared" ca="1" si="149"/>
        <v>0</v>
      </c>
      <c r="DH53" s="838">
        <f t="shared" ca="1" si="125"/>
        <v>14.799761843462775</v>
      </c>
    </row>
    <row r="54" spans="1:112" s="743" customFormat="1" hidden="1" outlineLevel="1">
      <c r="A54" s="1484"/>
      <c r="B54" s="1484"/>
      <c r="C54" s="522" t="s">
        <v>989</v>
      </c>
      <c r="D54" s="1010" t="str">
        <f>INDEX(Modules[Module], MATCH($C54, Modules[Code], 0))</f>
        <v>Indigenous fossil-fuel production</v>
      </c>
      <c r="E54" s="1010"/>
      <c r="G54" s="1022">
        <f t="shared" ca="1" si="142"/>
        <v>0</v>
      </c>
      <c r="H54" s="1022">
        <f t="shared" ca="1" si="142"/>
        <v>0</v>
      </c>
      <c r="I54" s="1022">
        <f t="shared" ca="1" si="142"/>
        <v>65.908896969038679</v>
      </c>
      <c r="J54" s="1022">
        <f t="shared" ca="1" si="142"/>
        <v>0</v>
      </c>
      <c r="K54" s="1022">
        <f t="shared" ca="1" si="142"/>
        <v>0</v>
      </c>
      <c r="L54" s="1022">
        <f t="shared" ca="1" si="142"/>
        <v>0</v>
      </c>
      <c r="M54" s="1022">
        <f t="shared" ca="1" si="142"/>
        <v>0</v>
      </c>
      <c r="N54" s="1022">
        <f t="shared" ca="1" si="142"/>
        <v>0</v>
      </c>
      <c r="O54" s="1022">
        <f t="shared" ca="1" si="142"/>
        <v>0</v>
      </c>
      <c r="P54" s="1022">
        <f t="shared" ca="1" si="142"/>
        <v>0</v>
      </c>
      <c r="Q54" s="1020">
        <f ca="1">SUM(G54:P54)</f>
        <v>65.908896969038679</v>
      </c>
      <c r="S54" s="1031">
        <f t="shared" ca="1" si="143"/>
        <v>-1.5434122188034558</v>
      </c>
      <c r="T54" s="1031">
        <f t="shared" ca="1" si="143"/>
        <v>0</v>
      </c>
      <c r="U54" s="1031">
        <f t="shared" ca="1" si="143"/>
        <v>-4.4692473051785787E-2</v>
      </c>
      <c r="V54" s="1031">
        <f t="shared" ca="1" si="143"/>
        <v>0</v>
      </c>
      <c r="W54" s="1031">
        <f t="shared" ca="1" si="143"/>
        <v>-64.320792277183429</v>
      </c>
      <c r="X54" s="1031">
        <f t="shared" ca="1" si="144"/>
        <v>124.39544583847987</v>
      </c>
      <c r="Y54" s="1031">
        <f t="shared" ca="1" si="144"/>
        <v>975.89120834979803</v>
      </c>
      <c r="Z54" s="1031">
        <f t="shared" ca="1" si="144"/>
        <v>838.80929321419171</v>
      </c>
      <c r="AA54" s="1031">
        <f t="shared" ca="1" si="143"/>
        <v>0</v>
      </c>
      <c r="AB54" s="1031">
        <f t="shared" ca="1" si="143"/>
        <v>0</v>
      </c>
      <c r="AC54" s="1031">
        <f t="shared" ca="1" si="143"/>
        <v>0</v>
      </c>
      <c r="AD54" s="1031">
        <f t="shared" ca="1" si="143"/>
        <v>0</v>
      </c>
      <c r="AE54" s="1031">
        <f t="shared" ca="1" si="143"/>
        <v>0</v>
      </c>
      <c r="AF54" s="1031">
        <f t="shared" ca="1" si="143"/>
        <v>0</v>
      </c>
      <c r="AG54" s="1031">
        <f t="shared" ca="1" si="143"/>
        <v>0</v>
      </c>
      <c r="AH54" s="1031">
        <f t="shared" ca="1" si="143"/>
        <v>0</v>
      </c>
      <c r="AI54" s="1031">
        <f t="shared" ca="1" si="143"/>
        <v>0</v>
      </c>
      <c r="AJ54" s="1031">
        <f t="shared" ca="1" si="143"/>
        <v>0</v>
      </c>
      <c r="AK54" s="1030">
        <f ca="1">SUM(S54:AJ54)</f>
        <v>1873.1870504334311</v>
      </c>
      <c r="AM54" s="1042">
        <f t="shared" ca="1" si="145"/>
        <v>-124.39544583847987</v>
      </c>
      <c r="AN54" s="1042">
        <f t="shared" ca="1" si="145"/>
        <v>-975.89120834979803</v>
      </c>
      <c r="AO54" s="1042">
        <f t="shared" ca="1" si="145"/>
        <v>-838.80929321419171</v>
      </c>
      <c r="AP54" s="1042">
        <f t="shared" ca="1" si="145"/>
        <v>0</v>
      </c>
      <c r="AQ54" s="1042">
        <f t="shared" ca="1" si="145"/>
        <v>0</v>
      </c>
      <c r="AR54" s="1042">
        <f t="shared" ca="1" si="145"/>
        <v>0</v>
      </c>
      <c r="AS54" s="1042">
        <f t="shared" ca="1" si="145"/>
        <v>0</v>
      </c>
      <c r="AT54" s="1042">
        <f t="shared" ca="1" si="145"/>
        <v>0</v>
      </c>
      <c r="AU54" s="1042">
        <f t="shared" ca="1" si="145"/>
        <v>0</v>
      </c>
      <c r="AV54" s="1042">
        <f t="shared" ca="1" si="143"/>
        <v>0</v>
      </c>
      <c r="AW54" s="1042">
        <f t="shared" ca="1" si="143"/>
        <v>0</v>
      </c>
      <c r="AX54" s="1042">
        <f t="shared" ca="1" si="143"/>
        <v>0</v>
      </c>
      <c r="AY54" s="1042">
        <f t="shared" ca="1" si="143"/>
        <v>0</v>
      </c>
      <c r="AZ54" s="1042">
        <f t="shared" ca="1" si="143"/>
        <v>0</v>
      </c>
      <c r="BA54" s="1042">
        <f t="shared" ca="1" si="143"/>
        <v>0</v>
      </c>
      <c r="BB54" s="1042">
        <f t="shared" ca="1" si="143"/>
        <v>0</v>
      </c>
      <c r="BC54" s="1042">
        <f t="shared" ca="1" si="143"/>
        <v>0</v>
      </c>
      <c r="BD54" s="1042">
        <f t="shared" ca="1" si="143"/>
        <v>0</v>
      </c>
      <c r="BE54" s="1042">
        <f t="shared" ca="1" si="143"/>
        <v>0</v>
      </c>
      <c r="BF54" s="1012">
        <f ca="1">SUM(AM54:BE54)</f>
        <v>-1939.0959474024696</v>
      </c>
      <c r="BH54" s="1036">
        <f ca="1">IFERROR(INDEX(INDIRECT($C54&amp;".Outputs["&amp;this.Year&amp;"]"), MATCH(BH$5, INDIRECT($C54&amp;".Outputs[Vector]"), 0)), 0)</f>
        <v>0</v>
      </c>
      <c r="BI54" s="1036">
        <f ca="1">IFERROR(INDEX(INDIRECT($C54&amp;".Outputs["&amp;this.Year&amp;"]"), MATCH(BI$5, INDIRECT($C54&amp;".Outputs[Vector]"), 0)), 0)</f>
        <v>0</v>
      </c>
      <c r="BJ54" s="1035">
        <f ca="1">SUM(BH54:BI54)</f>
        <v>0</v>
      </c>
      <c r="BL54" s="814"/>
      <c r="BM54" s="814"/>
      <c r="BN54" s="840"/>
      <c r="BO54" s="1485">
        <f t="shared" ca="1" si="146"/>
        <v>11.818281779001751</v>
      </c>
      <c r="BP54" s="1486">
        <f t="shared" ca="1" si="146"/>
        <v>2.3689576922962512E-2</v>
      </c>
      <c r="BQ54" s="1486">
        <f t="shared" ca="1" si="146"/>
        <v>2.5479291685726012E-2</v>
      </c>
      <c r="BR54" s="1486">
        <f t="shared" ca="1" si="146"/>
        <v>0</v>
      </c>
      <c r="BS54" s="1486">
        <f t="shared" ca="1" si="146"/>
        <v>5.0916819860234304</v>
      </c>
      <c r="BT54" s="1486">
        <f t="shared" ca="1" si="146"/>
        <v>2.6403129612517775</v>
      </c>
      <c r="BU54" s="1486">
        <f t="shared" ca="1" si="146"/>
        <v>0</v>
      </c>
      <c r="BV54" s="1486">
        <f t="shared" ca="1" si="146"/>
        <v>0</v>
      </c>
      <c r="BW54" s="1486">
        <f t="shared" ca="1" si="146"/>
        <v>0</v>
      </c>
      <c r="BX54" s="1486">
        <f t="shared" ca="1" si="146"/>
        <v>0</v>
      </c>
      <c r="BY54" s="1486">
        <f t="shared" ca="1" si="147"/>
        <v>0</v>
      </c>
      <c r="BZ54" s="1486">
        <f t="shared" ca="1" si="147"/>
        <v>0</v>
      </c>
      <c r="CA54" s="1486">
        <f t="shared" ca="1" si="147"/>
        <v>0</v>
      </c>
      <c r="CB54" s="1486">
        <f t="shared" ca="1" si="147"/>
        <v>0</v>
      </c>
      <c r="CC54" s="1486">
        <f t="shared" ca="1" si="147"/>
        <v>0</v>
      </c>
      <c r="CD54" s="1486">
        <f t="shared" ca="1" si="147"/>
        <v>0</v>
      </c>
      <c r="CE54" s="1486">
        <f t="shared" ca="1" si="147"/>
        <v>0</v>
      </c>
      <c r="CF54" s="1486">
        <f t="shared" ca="1" si="147"/>
        <v>0</v>
      </c>
      <c r="CG54" s="1486">
        <f t="shared" ca="1" si="147"/>
        <v>0</v>
      </c>
      <c r="CH54" s="1486">
        <f t="shared" ca="1" si="147"/>
        <v>0</v>
      </c>
      <c r="CI54" s="1486">
        <f t="shared" ca="1" si="148"/>
        <v>0</v>
      </c>
      <c r="CJ54" s="1486">
        <f t="shared" ca="1" si="148"/>
        <v>0</v>
      </c>
      <c r="CK54" s="1486">
        <f t="shared" ca="1" si="148"/>
        <v>0</v>
      </c>
      <c r="CL54" s="1486">
        <f t="shared" ca="1" si="148"/>
        <v>0</v>
      </c>
      <c r="CM54" s="1486">
        <f t="shared" ca="1" si="148"/>
        <v>0</v>
      </c>
      <c r="CN54" s="1486">
        <f t="shared" ca="1" si="148"/>
        <v>0</v>
      </c>
      <c r="CO54" s="1486">
        <f t="shared" ca="1" si="148"/>
        <v>0</v>
      </c>
      <c r="CP54" s="1486">
        <f t="shared" ca="1" si="148"/>
        <v>0</v>
      </c>
      <c r="CQ54" s="1486">
        <f t="shared" ca="1" si="148"/>
        <v>0</v>
      </c>
      <c r="CR54" s="1486">
        <f t="shared" ca="1" si="148"/>
        <v>0</v>
      </c>
      <c r="CS54" s="1486">
        <f t="shared" ca="1" si="149"/>
        <v>0</v>
      </c>
      <c r="CT54" s="1486">
        <f t="shared" ca="1" si="149"/>
        <v>0</v>
      </c>
      <c r="CU54" s="1486">
        <f t="shared" ca="1" si="149"/>
        <v>0</v>
      </c>
      <c r="CV54" s="1486">
        <f t="shared" ca="1" si="149"/>
        <v>0</v>
      </c>
      <c r="CW54" s="1486">
        <f t="shared" ca="1" si="149"/>
        <v>0</v>
      </c>
      <c r="CX54" s="1486">
        <f t="shared" ca="1" si="149"/>
        <v>0</v>
      </c>
      <c r="CY54" s="1486">
        <f t="shared" ca="1" si="149"/>
        <v>0</v>
      </c>
      <c r="CZ54" s="1486">
        <f t="shared" ca="1" si="149"/>
        <v>0</v>
      </c>
      <c r="DA54" s="1486">
        <f t="shared" ca="1" si="149"/>
        <v>0</v>
      </c>
      <c r="DB54" s="1486">
        <f t="shared" ca="1" si="149"/>
        <v>0</v>
      </c>
      <c r="DC54" s="1486">
        <f t="shared" ca="1" si="149"/>
        <v>0</v>
      </c>
      <c r="DD54" s="1486">
        <f t="shared" ca="1" si="149"/>
        <v>0</v>
      </c>
      <c r="DE54" s="1486">
        <f t="shared" ca="1" si="149"/>
        <v>0</v>
      </c>
      <c r="DF54" s="1486">
        <f t="shared" ca="1" si="149"/>
        <v>0</v>
      </c>
      <c r="DH54" s="838">
        <f t="shared" ca="1" si="125"/>
        <v>19.599445594885644</v>
      </c>
    </row>
    <row r="55" spans="1:112" s="743" customFormat="1" ht="15.75" collapsed="1">
      <c r="A55" s="1488"/>
      <c r="B55" s="1489"/>
      <c r="C55" s="744" t="s">
        <v>969</v>
      </c>
      <c r="D55" s="517" t="str">
        <f>INDEX(Workstreams[Workstream], MATCH($C55, Workstreams[Code], 0))</f>
        <v>Fossil fuel production</v>
      </c>
      <c r="E55" s="512"/>
      <c r="G55" s="1021">
        <f ca="1">SUM(G53:G54)</f>
        <v>0</v>
      </c>
      <c r="H55" s="1021">
        <f t="shared" ref="H55:P55" ca="1" si="150">SUM(H53:H54)</f>
        <v>0</v>
      </c>
      <c r="I55" s="1021">
        <f t="shared" ca="1" si="150"/>
        <v>65.908896969038679</v>
      </c>
      <c r="J55" s="1021">
        <f t="shared" ca="1" si="150"/>
        <v>0</v>
      </c>
      <c r="K55" s="1021">
        <f t="shared" ca="1" si="150"/>
        <v>0</v>
      </c>
      <c r="L55" s="1021">
        <f t="shared" ca="1" si="150"/>
        <v>0</v>
      </c>
      <c r="M55" s="1021">
        <f t="shared" ca="1" si="150"/>
        <v>0</v>
      </c>
      <c r="N55" s="1021">
        <f t="shared" ca="1" si="150"/>
        <v>0</v>
      </c>
      <c r="O55" s="1021">
        <f t="shared" ca="1" si="150"/>
        <v>0</v>
      </c>
      <c r="P55" s="1021">
        <f t="shared" ca="1" si="150"/>
        <v>0</v>
      </c>
      <c r="Q55" s="1021">
        <f ca="1">SUM(G55:P55)</f>
        <v>65.908896969038679</v>
      </c>
      <c r="S55" s="970">
        <f t="shared" ref="S55:AJ55" ca="1" si="151">SUM(S53:S54)</f>
        <v>-8.4082283539300882</v>
      </c>
      <c r="T55" s="970">
        <f t="shared" ca="1" si="151"/>
        <v>0</v>
      </c>
      <c r="U55" s="970">
        <f t="shared" ca="1" si="151"/>
        <v>-4.4692473051785787E-2</v>
      </c>
      <c r="V55" s="970">
        <f t="shared" ca="1" si="151"/>
        <v>-56.266685142190759</v>
      </c>
      <c r="W55" s="970">
        <f t="shared" ca="1" si="151"/>
        <v>-66.823907468441618</v>
      </c>
      <c r="X55" s="970">
        <f ca="1">SUM(X53:X54)</f>
        <v>124.39544583847987</v>
      </c>
      <c r="Y55" s="970">
        <f ca="1">SUM(Y53:Y54)</f>
        <v>979.21439966928619</v>
      </c>
      <c r="Z55" s="970">
        <f ca="1">SUM(Z53:Z54)</f>
        <v>838.80929321419171</v>
      </c>
      <c r="AA55" s="970">
        <f t="shared" ca="1" si="151"/>
        <v>0</v>
      </c>
      <c r="AB55" s="970">
        <f t="shared" ca="1" si="151"/>
        <v>-0.80614193762263531</v>
      </c>
      <c r="AC55" s="970">
        <f t="shared" ca="1" si="151"/>
        <v>0</v>
      </c>
      <c r="AD55" s="970">
        <f ca="1">SUM(AD53:AD54)</f>
        <v>0</v>
      </c>
      <c r="AE55" s="970">
        <f ca="1">SUM(AE53:AE54)</f>
        <v>0</v>
      </c>
      <c r="AF55" s="970">
        <f t="shared" ca="1" si="151"/>
        <v>0</v>
      </c>
      <c r="AG55" s="970">
        <f ca="1">SUM(AG53:AG54)</f>
        <v>0</v>
      </c>
      <c r="AH55" s="970">
        <f ca="1">SUM(AH53:AH54)</f>
        <v>0</v>
      </c>
      <c r="AI55" s="970">
        <f ca="1">SUM(AI53:AI54)</f>
        <v>0</v>
      </c>
      <c r="AJ55" s="970">
        <f t="shared" ca="1" si="151"/>
        <v>0</v>
      </c>
      <c r="AK55" s="970">
        <f ca="1">SUM(S55:AJ55)</f>
        <v>1810.069483346721</v>
      </c>
      <c r="AM55" s="976">
        <f t="shared" ref="AM55:AU55" ca="1" si="152">SUM(AM53:AM54)</f>
        <v>-124.39544583847987</v>
      </c>
      <c r="AN55" s="976">
        <f t="shared" ca="1" si="152"/>
        <v>-975.89120834979803</v>
      </c>
      <c r="AO55" s="976">
        <f t="shared" ca="1" si="152"/>
        <v>-838.80929321419171</v>
      </c>
      <c r="AP55" s="976">
        <f t="shared" ca="1" si="152"/>
        <v>0</v>
      </c>
      <c r="AQ55" s="976">
        <f t="shared" ca="1" si="152"/>
        <v>0</v>
      </c>
      <c r="AR55" s="976">
        <f t="shared" ca="1" si="152"/>
        <v>0</v>
      </c>
      <c r="AS55" s="976">
        <f t="shared" ca="1" si="152"/>
        <v>0</v>
      </c>
      <c r="AT55" s="976">
        <f t="shared" ca="1" si="152"/>
        <v>0</v>
      </c>
      <c r="AU55" s="976">
        <f t="shared" ca="1" si="152"/>
        <v>0</v>
      </c>
      <c r="AV55" s="976">
        <f t="shared" ref="AV55:BE55" ca="1" si="153">SUM(AV53:AV54)</f>
        <v>0</v>
      </c>
      <c r="AW55" s="976">
        <f t="shared" ca="1" si="153"/>
        <v>0</v>
      </c>
      <c r="AX55" s="976">
        <f t="shared" ca="1" si="153"/>
        <v>0</v>
      </c>
      <c r="AY55" s="976">
        <f t="shared" ca="1" si="153"/>
        <v>0</v>
      </c>
      <c r="AZ55" s="976">
        <f t="shared" ca="1" si="153"/>
        <v>0</v>
      </c>
      <c r="BA55" s="976">
        <f t="shared" ca="1" si="153"/>
        <v>0</v>
      </c>
      <c r="BB55" s="976">
        <f t="shared" ca="1" si="153"/>
        <v>0</v>
      </c>
      <c r="BC55" s="976">
        <f t="shared" ca="1" si="153"/>
        <v>0</v>
      </c>
      <c r="BD55" s="976">
        <f ca="1">SUM(BD53:BD54)</f>
        <v>0</v>
      </c>
      <c r="BE55" s="976">
        <f t="shared" ca="1" si="153"/>
        <v>0</v>
      </c>
      <c r="BF55" s="976">
        <f ca="1">SUM(AM55:BE55)</f>
        <v>-1939.0959474024696</v>
      </c>
      <c r="BH55" s="990">
        <f ca="1">SUM(BH53:BH54)</f>
        <v>-3.3231913194880929</v>
      </c>
      <c r="BI55" s="990">
        <f ca="1">SUM(BI53:BI54)</f>
        <v>66.440758406198228</v>
      </c>
      <c r="BJ55" s="990">
        <f ca="1">SUM(BH55:BI55)</f>
        <v>63.117567086710132</v>
      </c>
      <c r="BL55" s="515">
        <f ca="1">Q55+AK55+BF55+BJ55</f>
        <v>2.6290081223123707E-13</v>
      </c>
      <c r="BM55" s="852"/>
      <c r="BN55" s="840"/>
      <c r="BO55" s="1481">
        <f t="shared" ref="BO55:DF55" ca="1" si="154">SUM(BO53:BO54)</f>
        <v>26.34552625974095</v>
      </c>
      <c r="BP55" s="1482">
        <f t="shared" ca="1" si="154"/>
        <v>4.2125739529150191E-2</v>
      </c>
      <c r="BQ55" s="1482">
        <f t="shared" ca="1" si="154"/>
        <v>0.2795604918031166</v>
      </c>
      <c r="BR55" s="1482">
        <f t="shared" ca="1" si="154"/>
        <v>0</v>
      </c>
      <c r="BS55" s="1482">
        <f t="shared" ca="1" si="154"/>
        <v>5.0916819860234304</v>
      </c>
      <c r="BT55" s="1482">
        <f t="shared" ca="1" si="154"/>
        <v>2.6403129612517775</v>
      </c>
      <c r="BU55" s="1482">
        <f t="shared" ca="1" si="154"/>
        <v>0</v>
      </c>
      <c r="BV55" s="1482">
        <f t="shared" ca="1" si="154"/>
        <v>0</v>
      </c>
      <c r="BW55" s="1482">
        <f t="shared" ca="1" si="154"/>
        <v>0</v>
      </c>
      <c r="BX55" s="1482">
        <f t="shared" ca="1" si="154"/>
        <v>0</v>
      </c>
      <c r="BY55" s="1482">
        <f t="shared" ca="1" si="154"/>
        <v>0</v>
      </c>
      <c r="BZ55" s="1482">
        <f t="shared" ca="1" si="154"/>
        <v>0</v>
      </c>
      <c r="CA55" s="1482">
        <f t="shared" ca="1" si="154"/>
        <v>0</v>
      </c>
      <c r="CB55" s="1482">
        <f t="shared" ca="1" si="154"/>
        <v>0</v>
      </c>
      <c r="CC55" s="1482">
        <f t="shared" ca="1" si="154"/>
        <v>0</v>
      </c>
      <c r="CD55" s="1482">
        <f t="shared" ca="1" si="154"/>
        <v>0</v>
      </c>
      <c r="CE55" s="1482">
        <f t="shared" ca="1" si="154"/>
        <v>0</v>
      </c>
      <c r="CF55" s="1482">
        <f t="shared" ca="1" si="154"/>
        <v>0</v>
      </c>
      <c r="CG55" s="1482">
        <f t="shared" ca="1" si="154"/>
        <v>0</v>
      </c>
      <c r="CH55" s="1482">
        <f t="shared" ca="1" si="154"/>
        <v>0</v>
      </c>
      <c r="CI55" s="1482">
        <f t="shared" ca="1" si="154"/>
        <v>0</v>
      </c>
      <c r="CJ55" s="1482">
        <f t="shared" ca="1" si="154"/>
        <v>0</v>
      </c>
      <c r="CK55" s="1482">
        <f t="shared" ca="1" si="154"/>
        <v>0</v>
      </c>
      <c r="CL55" s="1482">
        <f t="shared" ca="1" si="154"/>
        <v>0</v>
      </c>
      <c r="CM55" s="1482">
        <f t="shared" ca="1" si="154"/>
        <v>0</v>
      </c>
      <c r="CN55" s="1482">
        <f t="shared" ca="1" si="154"/>
        <v>0</v>
      </c>
      <c r="CO55" s="1482">
        <f t="shared" ca="1" si="154"/>
        <v>0</v>
      </c>
      <c r="CP55" s="1482">
        <f t="shared" ca="1" si="154"/>
        <v>0</v>
      </c>
      <c r="CQ55" s="1482">
        <f t="shared" ca="1" si="154"/>
        <v>0</v>
      </c>
      <c r="CR55" s="1482">
        <f t="shared" ca="1" si="154"/>
        <v>0</v>
      </c>
      <c r="CS55" s="1482">
        <f t="shared" ca="1" si="154"/>
        <v>0</v>
      </c>
      <c r="CT55" s="1482">
        <f t="shared" ca="1" si="154"/>
        <v>0</v>
      </c>
      <c r="CU55" s="1482">
        <f t="shared" ca="1" si="154"/>
        <v>0</v>
      </c>
      <c r="CV55" s="1482">
        <f t="shared" ca="1" si="154"/>
        <v>0</v>
      </c>
      <c r="CW55" s="1482">
        <f t="shared" ca="1" si="154"/>
        <v>0</v>
      </c>
      <c r="CX55" s="1482">
        <f t="shared" ca="1" si="154"/>
        <v>0</v>
      </c>
      <c r="CY55" s="1482">
        <f t="shared" ca="1" si="154"/>
        <v>0</v>
      </c>
      <c r="CZ55" s="1482">
        <f t="shared" ca="1" si="154"/>
        <v>0</v>
      </c>
      <c r="DA55" s="1482">
        <f t="shared" ca="1" si="154"/>
        <v>0</v>
      </c>
      <c r="DB55" s="1482">
        <f t="shared" ca="1" si="154"/>
        <v>0</v>
      </c>
      <c r="DC55" s="1482">
        <f t="shared" ca="1" si="154"/>
        <v>0</v>
      </c>
      <c r="DD55" s="1482">
        <f t="shared" ca="1" si="154"/>
        <v>0</v>
      </c>
      <c r="DE55" s="1482">
        <f t="shared" ca="1" si="154"/>
        <v>0</v>
      </c>
      <c r="DF55" s="1482">
        <f t="shared" ca="1" si="154"/>
        <v>0</v>
      </c>
      <c r="DH55" s="838">
        <f t="shared" ca="1" si="125"/>
        <v>34.399207438348427</v>
      </c>
    </row>
    <row r="56" spans="1:112" s="743" customFormat="1" hidden="1" outlineLevel="1">
      <c r="C56" s="520"/>
      <c r="D56" s="38"/>
      <c r="E56" s="509"/>
      <c r="G56" s="958"/>
      <c r="H56" s="958"/>
      <c r="I56" s="958"/>
      <c r="J56" s="958"/>
      <c r="K56" s="960"/>
      <c r="L56" s="958"/>
      <c r="M56" s="958"/>
      <c r="N56" s="958"/>
      <c r="O56" s="958"/>
      <c r="P56" s="958"/>
      <c r="Q56" s="958"/>
      <c r="S56" s="970"/>
      <c r="T56" s="970"/>
      <c r="U56" s="970"/>
      <c r="V56" s="970"/>
      <c r="W56" s="970"/>
      <c r="X56" s="970"/>
      <c r="Y56" s="970"/>
      <c r="Z56" s="970"/>
      <c r="AA56" s="970"/>
      <c r="AB56" s="970"/>
      <c r="AC56" s="970"/>
      <c r="AD56" s="970"/>
      <c r="AE56" s="970"/>
      <c r="AF56" s="970"/>
      <c r="AG56" s="970"/>
      <c r="AH56" s="970"/>
      <c r="AI56" s="970"/>
      <c r="AJ56" s="970"/>
      <c r="AK56" s="970"/>
      <c r="AM56" s="976"/>
      <c r="AN56" s="976"/>
      <c r="AO56" s="976"/>
      <c r="AP56" s="976"/>
      <c r="AQ56" s="976"/>
      <c r="AR56" s="976"/>
      <c r="AS56" s="976"/>
      <c r="AT56" s="976"/>
      <c r="AU56" s="976"/>
      <c r="AV56" s="976"/>
      <c r="AW56" s="976"/>
      <c r="AX56" s="976"/>
      <c r="AY56" s="976"/>
      <c r="AZ56" s="976"/>
      <c r="BA56" s="976"/>
      <c r="BB56" s="976"/>
      <c r="BC56" s="976"/>
      <c r="BD56" s="976"/>
      <c r="BE56" s="976"/>
      <c r="BF56" s="976"/>
      <c r="BH56" s="990"/>
      <c r="BI56" s="990"/>
      <c r="BJ56" s="990"/>
      <c r="BL56" s="515">
        <f t="shared" ref="BL56:BL63" si="155">Q56+AK56+BF56+BJ56</f>
        <v>0</v>
      </c>
      <c r="BM56" s="515"/>
      <c r="BO56" s="1482"/>
      <c r="BP56" s="1482"/>
      <c r="BQ56" s="1482"/>
      <c r="BR56" s="1482"/>
      <c r="BS56" s="1482"/>
      <c r="BT56" s="1482"/>
      <c r="BU56" s="1482"/>
      <c r="BV56" s="1482"/>
      <c r="BW56" s="1482"/>
      <c r="BX56" s="1482"/>
      <c r="BY56" s="1482"/>
      <c r="BZ56" s="1482"/>
      <c r="CA56" s="1482"/>
      <c r="CB56" s="1482"/>
      <c r="CC56" s="1482"/>
      <c r="CD56" s="1482"/>
      <c r="CE56" s="1482"/>
      <c r="CF56" s="1482"/>
      <c r="CG56" s="1482"/>
      <c r="CH56" s="1482"/>
      <c r="CI56" s="1482"/>
      <c r="CJ56" s="1482"/>
      <c r="CK56" s="1482"/>
      <c r="CL56" s="1482"/>
      <c r="CM56" s="1482"/>
      <c r="CN56" s="1482"/>
      <c r="CO56" s="1482"/>
      <c r="CP56" s="1482"/>
      <c r="CQ56" s="1482"/>
      <c r="CR56" s="1482"/>
      <c r="CS56" s="1482"/>
      <c r="CT56" s="1482"/>
      <c r="CU56" s="1482"/>
      <c r="CV56" s="1482"/>
      <c r="CW56" s="1482"/>
      <c r="CX56" s="1482"/>
      <c r="CY56" s="1482"/>
      <c r="CZ56" s="1482"/>
      <c r="DA56" s="1482"/>
      <c r="DB56" s="1482"/>
      <c r="DC56" s="1482"/>
      <c r="DD56" s="1482"/>
      <c r="DE56" s="1482"/>
      <c r="DF56" s="1482"/>
      <c r="DH56" s="838">
        <f t="shared" si="125"/>
        <v>0</v>
      </c>
    </row>
    <row r="57" spans="1:112" s="1484" customFormat="1" ht="12.75" hidden="1" customHeight="1" outlineLevel="1">
      <c r="C57" s="746" t="s">
        <v>1730</v>
      </c>
      <c r="D57" s="521" t="str">
        <f>INDEX(Modules[Module], MATCH($C57, Modules[Code], 0))</f>
        <v>Onshore wind</v>
      </c>
      <c r="E57" s="521"/>
      <c r="F57" s="743"/>
      <c r="G57" s="1017">
        <f t="shared" ref="G57:P62" ca="1" si="156">IFERROR(INDEX(INDIRECT($C57&amp;".Outputs["&amp;this.Year&amp;"]"), MATCH(G$5, INDIRECT($C57&amp;".Outputs[Vector]"), 0)), 0)</f>
        <v>0</v>
      </c>
      <c r="H57" s="1017">
        <f t="shared" ca="1" si="156"/>
        <v>0</v>
      </c>
      <c r="I57" s="1017">
        <f t="shared" ca="1" si="156"/>
        <v>0</v>
      </c>
      <c r="J57" s="1017">
        <f t="shared" ca="1" si="156"/>
        <v>0</v>
      </c>
      <c r="K57" s="1017">
        <f t="shared" ca="1" si="156"/>
        <v>0</v>
      </c>
      <c r="L57" s="1017">
        <f t="shared" ca="1" si="156"/>
        <v>0</v>
      </c>
      <c r="M57" s="1017">
        <f t="shared" ca="1" si="156"/>
        <v>0</v>
      </c>
      <c r="N57" s="1017">
        <f t="shared" ca="1" si="156"/>
        <v>0</v>
      </c>
      <c r="O57" s="1017">
        <f t="shared" ca="1" si="156"/>
        <v>0</v>
      </c>
      <c r="P57" s="1017">
        <f t="shared" ca="1" si="156"/>
        <v>0</v>
      </c>
      <c r="Q57" s="1019">
        <f t="shared" ref="Q57:Q63" ca="1" si="157">SUM(G57:P57)</f>
        <v>0</v>
      </c>
      <c r="R57" s="743"/>
      <c r="S57" s="1026">
        <f t="shared" ref="S57:BE62" ca="1" si="158">IFERROR(INDEX(INDIRECT($C57&amp;".Outputs["&amp;this.Year&amp;"]"), MATCH(S$5, INDIRECT($C57&amp;".Outputs[Vector]"), 0)), 0)</f>
        <v>0</v>
      </c>
      <c r="T57" s="1026">
        <f t="shared" ca="1" si="158"/>
        <v>4.9858220412000005</v>
      </c>
      <c r="U57" s="1026">
        <f t="shared" ca="1" si="158"/>
        <v>0</v>
      </c>
      <c r="V57" s="1026">
        <f t="shared" ca="1" si="158"/>
        <v>0</v>
      </c>
      <c r="W57" s="1026">
        <f t="shared" ca="1" si="158"/>
        <v>0</v>
      </c>
      <c r="X57" s="1026">
        <f t="shared" ref="X57:Z62" ca="1" si="159">IFERROR(INDEX(INDIRECT($C57&amp;".Outputs["&amp;this.Year&amp;"]"), MATCH(X$5, INDIRECT($C57&amp;".Outputs[Vector]"), 0)), 0)</f>
        <v>0</v>
      </c>
      <c r="Y57" s="1026">
        <f t="shared" ca="1" si="159"/>
        <v>0</v>
      </c>
      <c r="Z57" s="1026">
        <f t="shared" ca="1" si="159"/>
        <v>0</v>
      </c>
      <c r="AA57" s="1026">
        <f t="shared" ca="1" si="158"/>
        <v>0</v>
      </c>
      <c r="AB57" s="1026">
        <f t="shared" ca="1" si="158"/>
        <v>0</v>
      </c>
      <c r="AC57" s="1026">
        <f t="shared" ca="1" si="158"/>
        <v>0</v>
      </c>
      <c r="AD57" s="1026">
        <f t="shared" ca="1" si="158"/>
        <v>0</v>
      </c>
      <c r="AE57" s="1026">
        <f t="shared" ca="1" si="158"/>
        <v>0</v>
      </c>
      <c r="AF57" s="1026">
        <f t="shared" ca="1" si="158"/>
        <v>0</v>
      </c>
      <c r="AG57" s="1026">
        <f t="shared" ca="1" si="158"/>
        <v>0</v>
      </c>
      <c r="AH57" s="1026">
        <f t="shared" ca="1" si="158"/>
        <v>0</v>
      </c>
      <c r="AI57" s="1026">
        <f t="shared" ca="1" si="158"/>
        <v>0</v>
      </c>
      <c r="AJ57" s="1026">
        <f t="shared" ca="1" si="158"/>
        <v>0</v>
      </c>
      <c r="AK57" s="1027">
        <f t="shared" ref="AK57:AK63" ca="1" si="160">SUM(S57:AJ57)</f>
        <v>4.9858220412000005</v>
      </c>
      <c r="AL57" s="743"/>
      <c r="AM57" s="1038">
        <f t="shared" ref="AM57:AU62" ca="1" si="161">IFERROR(INDEX(INDIRECT($C57&amp;".Outputs["&amp;this.Year&amp;"]"), MATCH(AM$5, INDIRECT($C57&amp;".Outputs[Vector]"), 0)), 0)</f>
        <v>0</v>
      </c>
      <c r="AN57" s="1038">
        <f t="shared" ca="1" si="161"/>
        <v>0</v>
      </c>
      <c r="AO57" s="1038">
        <f t="shared" ca="1" si="161"/>
        <v>0</v>
      </c>
      <c r="AP57" s="1038">
        <f t="shared" ca="1" si="161"/>
        <v>0</v>
      </c>
      <c r="AQ57" s="1038">
        <f t="shared" ca="1" si="161"/>
        <v>0</v>
      </c>
      <c r="AR57" s="1038">
        <f t="shared" ca="1" si="161"/>
        <v>0</v>
      </c>
      <c r="AS57" s="1038">
        <f t="shared" ca="1" si="161"/>
        <v>0</v>
      </c>
      <c r="AT57" s="1038">
        <f t="shared" ca="1" si="161"/>
        <v>0</v>
      </c>
      <c r="AU57" s="1038">
        <f t="shared" ca="1" si="161"/>
        <v>0</v>
      </c>
      <c r="AV57" s="1038">
        <f t="shared" ca="1" si="158"/>
        <v>0</v>
      </c>
      <c r="AW57" s="1038">
        <f t="shared" ca="1" si="158"/>
        <v>0</v>
      </c>
      <c r="AX57" s="1038">
        <f t="shared" ca="1" si="158"/>
        <v>-4.9858220412000005</v>
      </c>
      <c r="AY57" s="1038">
        <f t="shared" ca="1" si="158"/>
        <v>0</v>
      </c>
      <c r="AZ57" s="1038">
        <f t="shared" ca="1" si="158"/>
        <v>0</v>
      </c>
      <c r="BA57" s="1038">
        <f t="shared" ca="1" si="158"/>
        <v>0</v>
      </c>
      <c r="BB57" s="1038">
        <f t="shared" ca="1" si="158"/>
        <v>0</v>
      </c>
      <c r="BC57" s="1038">
        <f t="shared" ca="1" si="158"/>
        <v>0</v>
      </c>
      <c r="BD57" s="1038">
        <f t="shared" ca="1" si="158"/>
        <v>0</v>
      </c>
      <c r="BE57" s="1038">
        <f t="shared" ca="1" si="158"/>
        <v>0</v>
      </c>
      <c r="BF57" s="979">
        <f t="shared" ref="BF57:BF63" ca="1" si="162">SUM(AM57:BE57)</f>
        <v>-4.9858220412000005</v>
      </c>
      <c r="BG57" s="743"/>
      <c r="BH57" s="1032">
        <f t="shared" ref="BH57:BI62" ca="1" si="163">IFERROR(INDEX(INDIRECT($C57&amp;".Outputs["&amp;this.Year&amp;"]"), MATCH(BH$5, INDIRECT($C57&amp;".Outputs[Vector]"), 0)), 0)</f>
        <v>0</v>
      </c>
      <c r="BI57" s="1032">
        <f t="shared" ca="1" si="163"/>
        <v>0</v>
      </c>
      <c r="BJ57" s="1034">
        <f t="shared" ref="BJ57:BJ63" ca="1" si="164">SUM(BH57:BI57)</f>
        <v>0</v>
      </c>
      <c r="BK57" s="743"/>
      <c r="BL57" s="814">
        <f t="shared" ca="1" si="155"/>
        <v>0</v>
      </c>
      <c r="BM57" s="814"/>
      <c r="BN57" s="840"/>
      <c r="BO57" s="1481">
        <f t="shared" ref="BO57:BX62" ca="1" si="165">IFERROR(SUMIFS(INDIRECT($C57&amp;".Emissions["&amp;this.Year&amp;"]"), INDIRECT($C57&amp;".Emissions[GHG]"), BO$6, INDIRECT($C57&amp;".Emissions[IPCC Sector]"), BO$5),0)</f>
        <v>0</v>
      </c>
      <c r="BP57" s="1482">
        <f t="shared" ca="1" si="165"/>
        <v>0</v>
      </c>
      <c r="BQ57" s="1482">
        <f t="shared" ca="1" si="165"/>
        <v>0</v>
      </c>
      <c r="BR57" s="1482">
        <f t="shared" ca="1" si="165"/>
        <v>0</v>
      </c>
      <c r="BS57" s="1482">
        <f t="shared" ca="1" si="165"/>
        <v>0</v>
      </c>
      <c r="BT57" s="1482">
        <f t="shared" ca="1" si="165"/>
        <v>0</v>
      </c>
      <c r="BU57" s="1482">
        <f t="shared" ca="1" si="165"/>
        <v>0</v>
      </c>
      <c r="BV57" s="1482">
        <f t="shared" ca="1" si="165"/>
        <v>0</v>
      </c>
      <c r="BW57" s="1482">
        <f t="shared" ca="1" si="165"/>
        <v>0</v>
      </c>
      <c r="BX57" s="1482">
        <f t="shared" ca="1" si="165"/>
        <v>0</v>
      </c>
      <c r="BY57" s="1482">
        <f t="shared" ref="BY57:CH62" ca="1" si="166">IFERROR(SUMIFS(INDIRECT($C57&amp;".Emissions["&amp;this.Year&amp;"]"), INDIRECT($C57&amp;".Emissions[GHG]"), BY$6, INDIRECT($C57&amp;".Emissions[IPCC Sector]"), BY$5),0)</f>
        <v>0</v>
      </c>
      <c r="BZ57" s="1482">
        <f t="shared" ca="1" si="166"/>
        <v>0</v>
      </c>
      <c r="CA57" s="1482">
        <f t="shared" ca="1" si="166"/>
        <v>0</v>
      </c>
      <c r="CB57" s="1482">
        <f t="shared" ca="1" si="166"/>
        <v>0</v>
      </c>
      <c r="CC57" s="1482">
        <f t="shared" ca="1" si="166"/>
        <v>0</v>
      </c>
      <c r="CD57" s="1482">
        <f t="shared" ca="1" si="166"/>
        <v>0</v>
      </c>
      <c r="CE57" s="1482">
        <f t="shared" ca="1" si="166"/>
        <v>0</v>
      </c>
      <c r="CF57" s="1482">
        <f t="shared" ca="1" si="166"/>
        <v>0</v>
      </c>
      <c r="CG57" s="1482">
        <f t="shared" ca="1" si="166"/>
        <v>0</v>
      </c>
      <c r="CH57" s="1482">
        <f t="shared" ca="1" si="166"/>
        <v>0</v>
      </c>
      <c r="CI57" s="1482">
        <f t="shared" ref="CI57:CR62" ca="1" si="167">IFERROR(SUMIFS(INDIRECT($C57&amp;".Emissions["&amp;this.Year&amp;"]"), INDIRECT($C57&amp;".Emissions[GHG]"), CI$6, INDIRECT($C57&amp;".Emissions[IPCC Sector]"), CI$5),0)</f>
        <v>0</v>
      </c>
      <c r="CJ57" s="1482">
        <f t="shared" ca="1" si="167"/>
        <v>0</v>
      </c>
      <c r="CK57" s="1482">
        <f t="shared" ca="1" si="167"/>
        <v>0</v>
      </c>
      <c r="CL57" s="1482">
        <f t="shared" ca="1" si="167"/>
        <v>0</v>
      </c>
      <c r="CM57" s="1482">
        <f t="shared" ca="1" si="167"/>
        <v>0</v>
      </c>
      <c r="CN57" s="1482">
        <f t="shared" ca="1" si="167"/>
        <v>0</v>
      </c>
      <c r="CO57" s="1482">
        <f t="shared" ca="1" si="167"/>
        <v>0</v>
      </c>
      <c r="CP57" s="1482">
        <f t="shared" ca="1" si="167"/>
        <v>0</v>
      </c>
      <c r="CQ57" s="1482">
        <f t="shared" ca="1" si="167"/>
        <v>0</v>
      </c>
      <c r="CR57" s="1482">
        <f t="shared" ca="1" si="167"/>
        <v>0</v>
      </c>
      <c r="CS57" s="1482">
        <f t="shared" ref="CS57:DF62" ca="1" si="168">IFERROR(SUMIFS(INDIRECT($C57&amp;".Emissions["&amp;this.Year&amp;"]"), INDIRECT($C57&amp;".Emissions[GHG]"), CS$6, INDIRECT($C57&amp;".Emissions[IPCC Sector]"), CS$5),0)</f>
        <v>0</v>
      </c>
      <c r="CT57" s="1482">
        <f t="shared" ca="1" si="168"/>
        <v>0</v>
      </c>
      <c r="CU57" s="1482">
        <f t="shared" ca="1" si="168"/>
        <v>0</v>
      </c>
      <c r="CV57" s="1482">
        <f t="shared" ca="1" si="168"/>
        <v>0</v>
      </c>
      <c r="CW57" s="1482">
        <f t="shared" ca="1" si="168"/>
        <v>0</v>
      </c>
      <c r="CX57" s="1482">
        <f t="shared" ca="1" si="168"/>
        <v>0</v>
      </c>
      <c r="CY57" s="1482">
        <f t="shared" ca="1" si="168"/>
        <v>0</v>
      </c>
      <c r="CZ57" s="1482">
        <f t="shared" ca="1" si="168"/>
        <v>0</v>
      </c>
      <c r="DA57" s="1482">
        <f t="shared" ca="1" si="168"/>
        <v>0</v>
      </c>
      <c r="DB57" s="1482">
        <f t="shared" ca="1" si="168"/>
        <v>0</v>
      </c>
      <c r="DC57" s="1482">
        <f t="shared" ca="1" si="168"/>
        <v>0</v>
      </c>
      <c r="DD57" s="1482">
        <f t="shared" ca="1" si="168"/>
        <v>0</v>
      </c>
      <c r="DE57" s="1482">
        <f t="shared" ca="1" si="168"/>
        <v>0</v>
      </c>
      <c r="DF57" s="1482">
        <f t="shared" ca="1" si="168"/>
        <v>0</v>
      </c>
      <c r="DH57" s="838">
        <f t="shared" ca="1" si="125"/>
        <v>0</v>
      </c>
    </row>
    <row r="58" spans="1:112" s="1484" customFormat="1" ht="12.75" hidden="1" customHeight="1" outlineLevel="1">
      <c r="C58" s="746" t="s">
        <v>1731</v>
      </c>
      <c r="D58" s="521" t="str">
        <f>INDEX(Modules[Module], MATCH($C58, Modules[Code], 0))</f>
        <v>Offshore wind</v>
      </c>
      <c r="E58" s="521"/>
      <c r="F58" s="743"/>
      <c r="G58" s="1017">
        <f t="shared" ca="1" si="156"/>
        <v>0</v>
      </c>
      <c r="H58" s="1017">
        <f t="shared" ca="1" si="156"/>
        <v>0</v>
      </c>
      <c r="I58" s="1017">
        <f t="shared" ca="1" si="156"/>
        <v>0</v>
      </c>
      <c r="J58" s="1017">
        <f t="shared" ca="1" si="156"/>
        <v>0</v>
      </c>
      <c r="K58" s="1017">
        <f t="shared" ca="1" si="156"/>
        <v>0</v>
      </c>
      <c r="L58" s="1017">
        <f t="shared" ca="1" si="156"/>
        <v>0</v>
      </c>
      <c r="M58" s="1017">
        <f t="shared" ca="1" si="156"/>
        <v>0</v>
      </c>
      <c r="N58" s="1017">
        <f t="shared" ca="1" si="156"/>
        <v>0</v>
      </c>
      <c r="O58" s="1017">
        <f t="shared" ca="1" si="156"/>
        <v>0</v>
      </c>
      <c r="P58" s="1017">
        <f t="shared" ca="1" si="156"/>
        <v>0</v>
      </c>
      <c r="Q58" s="1019">
        <f ca="1">SUM(G58:P58)</f>
        <v>0</v>
      </c>
      <c r="R58" s="743"/>
      <c r="S58" s="1026">
        <f t="shared" ca="1" si="158"/>
        <v>0</v>
      </c>
      <c r="T58" s="1026">
        <f t="shared" ca="1" si="158"/>
        <v>0.97693037639999991</v>
      </c>
      <c r="U58" s="1026">
        <f t="shared" ca="1" si="158"/>
        <v>0</v>
      </c>
      <c r="V58" s="1026">
        <f t="shared" ca="1" si="158"/>
        <v>0</v>
      </c>
      <c r="W58" s="1026">
        <f t="shared" ca="1" si="158"/>
        <v>0</v>
      </c>
      <c r="X58" s="1026">
        <f t="shared" ca="1" si="159"/>
        <v>0</v>
      </c>
      <c r="Y58" s="1026">
        <f t="shared" ca="1" si="159"/>
        <v>0</v>
      </c>
      <c r="Z58" s="1026">
        <f t="shared" ca="1" si="159"/>
        <v>0</v>
      </c>
      <c r="AA58" s="1026">
        <f t="shared" ca="1" si="158"/>
        <v>0</v>
      </c>
      <c r="AB58" s="1026">
        <f t="shared" ca="1" si="158"/>
        <v>0</v>
      </c>
      <c r="AC58" s="1026">
        <f t="shared" ca="1" si="158"/>
        <v>0</v>
      </c>
      <c r="AD58" s="1026">
        <f t="shared" ca="1" si="158"/>
        <v>0</v>
      </c>
      <c r="AE58" s="1026">
        <f t="shared" ca="1" si="158"/>
        <v>0</v>
      </c>
      <c r="AF58" s="1026">
        <f t="shared" ca="1" si="158"/>
        <v>0</v>
      </c>
      <c r="AG58" s="1026">
        <f t="shared" ca="1" si="158"/>
        <v>0</v>
      </c>
      <c r="AH58" s="1026">
        <f t="shared" ca="1" si="158"/>
        <v>0</v>
      </c>
      <c r="AI58" s="1026">
        <f t="shared" ca="1" si="158"/>
        <v>0</v>
      </c>
      <c r="AJ58" s="1026">
        <f t="shared" ca="1" si="158"/>
        <v>0</v>
      </c>
      <c r="AK58" s="1027">
        <f ca="1">SUM(S58:AJ58)</f>
        <v>0.97693037639999991</v>
      </c>
      <c r="AL58" s="743"/>
      <c r="AM58" s="1038">
        <f t="shared" ca="1" si="161"/>
        <v>0</v>
      </c>
      <c r="AN58" s="1038">
        <f t="shared" ca="1" si="161"/>
        <v>0</v>
      </c>
      <c r="AO58" s="1038">
        <f t="shared" ca="1" si="161"/>
        <v>0</v>
      </c>
      <c r="AP58" s="1038">
        <f t="shared" ca="1" si="161"/>
        <v>0</v>
      </c>
      <c r="AQ58" s="1038">
        <f t="shared" ca="1" si="161"/>
        <v>0</v>
      </c>
      <c r="AR58" s="1038">
        <f t="shared" ca="1" si="161"/>
        <v>0</v>
      </c>
      <c r="AS58" s="1038">
        <f t="shared" ca="1" si="161"/>
        <v>0</v>
      </c>
      <c r="AT58" s="1038">
        <f t="shared" ca="1" si="161"/>
        <v>0</v>
      </c>
      <c r="AU58" s="1038">
        <f t="shared" ca="1" si="161"/>
        <v>0</v>
      </c>
      <c r="AV58" s="1038">
        <f t="shared" ca="1" si="158"/>
        <v>0</v>
      </c>
      <c r="AW58" s="1038">
        <f t="shared" ca="1" si="158"/>
        <v>0</v>
      </c>
      <c r="AX58" s="1038">
        <f t="shared" ca="1" si="158"/>
        <v>-0.97693037639999991</v>
      </c>
      <c r="AY58" s="1038">
        <f t="shared" ca="1" si="158"/>
        <v>0</v>
      </c>
      <c r="AZ58" s="1038">
        <f t="shared" ca="1" si="158"/>
        <v>0</v>
      </c>
      <c r="BA58" s="1038">
        <f t="shared" ca="1" si="158"/>
        <v>0</v>
      </c>
      <c r="BB58" s="1038">
        <f t="shared" ca="1" si="158"/>
        <v>0</v>
      </c>
      <c r="BC58" s="1038">
        <f t="shared" ca="1" si="158"/>
        <v>0</v>
      </c>
      <c r="BD58" s="1038">
        <f t="shared" ca="1" si="158"/>
        <v>0</v>
      </c>
      <c r="BE58" s="1038">
        <f t="shared" ca="1" si="158"/>
        <v>0</v>
      </c>
      <c r="BF58" s="979">
        <f ca="1">SUM(AM58:BE58)</f>
        <v>-0.97693037639999991</v>
      </c>
      <c r="BG58" s="743"/>
      <c r="BH58" s="1032">
        <f t="shared" ca="1" si="163"/>
        <v>0</v>
      </c>
      <c r="BI58" s="1032">
        <f t="shared" ca="1" si="163"/>
        <v>0</v>
      </c>
      <c r="BJ58" s="1034">
        <f ca="1">SUM(BH58:BI58)</f>
        <v>0</v>
      </c>
      <c r="BK58" s="743"/>
      <c r="BL58" s="814">
        <f ca="1">Q58+AK58+BF58+BJ58</f>
        <v>0</v>
      </c>
      <c r="BM58" s="814"/>
      <c r="BN58" s="840"/>
      <c r="BO58" s="1481">
        <f t="shared" ca="1" si="165"/>
        <v>0</v>
      </c>
      <c r="BP58" s="1482">
        <f t="shared" ca="1" si="165"/>
        <v>0</v>
      </c>
      <c r="BQ58" s="1482">
        <f t="shared" ca="1" si="165"/>
        <v>0</v>
      </c>
      <c r="BR58" s="1482">
        <f t="shared" ca="1" si="165"/>
        <v>0</v>
      </c>
      <c r="BS58" s="1482">
        <f t="shared" ca="1" si="165"/>
        <v>0</v>
      </c>
      <c r="BT58" s="1482">
        <f t="shared" ca="1" si="165"/>
        <v>0</v>
      </c>
      <c r="BU58" s="1482">
        <f t="shared" ca="1" si="165"/>
        <v>0</v>
      </c>
      <c r="BV58" s="1482">
        <f t="shared" ca="1" si="165"/>
        <v>0</v>
      </c>
      <c r="BW58" s="1482">
        <f t="shared" ca="1" si="165"/>
        <v>0</v>
      </c>
      <c r="BX58" s="1482">
        <f t="shared" ca="1" si="165"/>
        <v>0</v>
      </c>
      <c r="BY58" s="1482">
        <f t="shared" ca="1" si="166"/>
        <v>0</v>
      </c>
      <c r="BZ58" s="1482">
        <f t="shared" ca="1" si="166"/>
        <v>0</v>
      </c>
      <c r="CA58" s="1482">
        <f t="shared" ca="1" si="166"/>
        <v>0</v>
      </c>
      <c r="CB58" s="1482">
        <f t="shared" ca="1" si="166"/>
        <v>0</v>
      </c>
      <c r="CC58" s="1482">
        <f t="shared" ca="1" si="166"/>
        <v>0</v>
      </c>
      <c r="CD58" s="1482">
        <f t="shared" ca="1" si="166"/>
        <v>0</v>
      </c>
      <c r="CE58" s="1482">
        <f t="shared" ca="1" si="166"/>
        <v>0</v>
      </c>
      <c r="CF58" s="1482">
        <f t="shared" ca="1" si="166"/>
        <v>0</v>
      </c>
      <c r="CG58" s="1482">
        <f t="shared" ca="1" si="166"/>
        <v>0</v>
      </c>
      <c r="CH58" s="1482">
        <f t="shared" ca="1" si="166"/>
        <v>0</v>
      </c>
      <c r="CI58" s="1482">
        <f t="shared" ca="1" si="167"/>
        <v>0</v>
      </c>
      <c r="CJ58" s="1482">
        <f t="shared" ca="1" si="167"/>
        <v>0</v>
      </c>
      <c r="CK58" s="1482">
        <f t="shared" ca="1" si="167"/>
        <v>0</v>
      </c>
      <c r="CL58" s="1482">
        <f t="shared" ca="1" si="167"/>
        <v>0</v>
      </c>
      <c r="CM58" s="1482">
        <f t="shared" ca="1" si="167"/>
        <v>0</v>
      </c>
      <c r="CN58" s="1482">
        <f t="shared" ca="1" si="167"/>
        <v>0</v>
      </c>
      <c r="CO58" s="1482">
        <f t="shared" ca="1" si="167"/>
        <v>0</v>
      </c>
      <c r="CP58" s="1482">
        <f t="shared" ca="1" si="167"/>
        <v>0</v>
      </c>
      <c r="CQ58" s="1482">
        <f t="shared" ca="1" si="167"/>
        <v>0</v>
      </c>
      <c r="CR58" s="1482">
        <f t="shared" ca="1" si="167"/>
        <v>0</v>
      </c>
      <c r="CS58" s="1482">
        <f t="shared" ca="1" si="168"/>
        <v>0</v>
      </c>
      <c r="CT58" s="1482">
        <f t="shared" ca="1" si="168"/>
        <v>0</v>
      </c>
      <c r="CU58" s="1482">
        <f t="shared" ca="1" si="168"/>
        <v>0</v>
      </c>
      <c r="CV58" s="1482">
        <f t="shared" ca="1" si="168"/>
        <v>0</v>
      </c>
      <c r="CW58" s="1482">
        <f t="shared" ca="1" si="168"/>
        <v>0</v>
      </c>
      <c r="CX58" s="1482">
        <f t="shared" ca="1" si="168"/>
        <v>0</v>
      </c>
      <c r="CY58" s="1482">
        <f t="shared" ca="1" si="168"/>
        <v>0</v>
      </c>
      <c r="CZ58" s="1482">
        <f t="shared" ca="1" si="168"/>
        <v>0</v>
      </c>
      <c r="DA58" s="1482">
        <f t="shared" ca="1" si="168"/>
        <v>0</v>
      </c>
      <c r="DB58" s="1482">
        <f t="shared" ca="1" si="168"/>
        <v>0</v>
      </c>
      <c r="DC58" s="1482">
        <f t="shared" ca="1" si="168"/>
        <v>0</v>
      </c>
      <c r="DD58" s="1482">
        <f t="shared" ca="1" si="168"/>
        <v>0</v>
      </c>
      <c r="DE58" s="1482">
        <f t="shared" ca="1" si="168"/>
        <v>0</v>
      </c>
      <c r="DF58" s="1482">
        <f t="shared" ca="1" si="168"/>
        <v>0</v>
      </c>
      <c r="DH58" s="838">
        <f ca="1">SUM(BO58:DF58)</f>
        <v>0</v>
      </c>
    </row>
    <row r="59" spans="1:112" s="1484" customFormat="1" ht="12.75" hidden="1" customHeight="1" outlineLevel="1">
      <c r="C59" s="746" t="s">
        <v>803</v>
      </c>
      <c r="D59" s="521" t="str">
        <f>INDEX(Modules[Module], MATCH($C59, Modules[Code], 0))</f>
        <v>Hydroelectric</v>
      </c>
      <c r="E59" s="521"/>
      <c r="F59" s="743"/>
      <c r="G59" s="1017">
        <f t="shared" ca="1" si="156"/>
        <v>0</v>
      </c>
      <c r="H59" s="1017">
        <f t="shared" ca="1" si="156"/>
        <v>0</v>
      </c>
      <c r="I59" s="1017">
        <f t="shared" ca="1" si="156"/>
        <v>0</v>
      </c>
      <c r="J59" s="1017">
        <f t="shared" ca="1" si="156"/>
        <v>0</v>
      </c>
      <c r="K59" s="1017">
        <f t="shared" ca="1" si="156"/>
        <v>0</v>
      </c>
      <c r="L59" s="1017">
        <f t="shared" ca="1" si="156"/>
        <v>0</v>
      </c>
      <c r="M59" s="1017">
        <f t="shared" ca="1" si="156"/>
        <v>0</v>
      </c>
      <c r="N59" s="1017">
        <f t="shared" ca="1" si="156"/>
        <v>0</v>
      </c>
      <c r="O59" s="1017">
        <f t="shared" ca="1" si="156"/>
        <v>0</v>
      </c>
      <c r="P59" s="1017">
        <f t="shared" ca="1" si="156"/>
        <v>0</v>
      </c>
      <c r="Q59" s="1019">
        <f t="shared" ca="1" si="157"/>
        <v>0</v>
      </c>
      <c r="R59" s="743"/>
      <c r="S59" s="1026">
        <f t="shared" ca="1" si="158"/>
        <v>0</v>
      </c>
      <c r="T59" s="1026">
        <f t="shared" ca="1" si="158"/>
        <v>4.1144009940000004</v>
      </c>
      <c r="U59" s="1026">
        <f t="shared" ca="1" si="158"/>
        <v>0</v>
      </c>
      <c r="V59" s="1026">
        <f t="shared" ca="1" si="158"/>
        <v>0</v>
      </c>
      <c r="W59" s="1026">
        <f t="shared" ca="1" si="158"/>
        <v>0</v>
      </c>
      <c r="X59" s="1026">
        <f t="shared" ca="1" si="159"/>
        <v>0</v>
      </c>
      <c r="Y59" s="1026">
        <f t="shared" ca="1" si="159"/>
        <v>0</v>
      </c>
      <c r="Z59" s="1026">
        <f t="shared" ca="1" si="159"/>
        <v>0</v>
      </c>
      <c r="AA59" s="1026">
        <f t="shared" ca="1" si="158"/>
        <v>0</v>
      </c>
      <c r="AB59" s="1026">
        <f t="shared" ca="1" si="158"/>
        <v>0</v>
      </c>
      <c r="AC59" s="1026">
        <f t="shared" ca="1" si="158"/>
        <v>0</v>
      </c>
      <c r="AD59" s="1026">
        <f t="shared" ca="1" si="158"/>
        <v>0</v>
      </c>
      <c r="AE59" s="1026">
        <f t="shared" ca="1" si="158"/>
        <v>0</v>
      </c>
      <c r="AF59" s="1026">
        <f t="shared" ca="1" si="158"/>
        <v>0</v>
      </c>
      <c r="AG59" s="1026">
        <f t="shared" ca="1" si="158"/>
        <v>0</v>
      </c>
      <c r="AH59" s="1026">
        <f t="shared" ca="1" si="158"/>
        <v>0</v>
      </c>
      <c r="AI59" s="1026">
        <f t="shared" ca="1" si="158"/>
        <v>0</v>
      </c>
      <c r="AJ59" s="1026">
        <f t="shared" ca="1" si="158"/>
        <v>0</v>
      </c>
      <c r="AK59" s="1027">
        <f t="shared" ca="1" si="160"/>
        <v>4.1144009940000004</v>
      </c>
      <c r="AL59" s="743"/>
      <c r="AM59" s="1038">
        <f t="shared" ca="1" si="161"/>
        <v>0</v>
      </c>
      <c r="AN59" s="1038">
        <f t="shared" ca="1" si="161"/>
        <v>0</v>
      </c>
      <c r="AO59" s="1038">
        <f t="shared" ca="1" si="161"/>
        <v>0</v>
      </c>
      <c r="AP59" s="1038">
        <f t="shared" ca="1" si="161"/>
        <v>0</v>
      </c>
      <c r="AQ59" s="1038">
        <f t="shared" ca="1" si="161"/>
        <v>0</v>
      </c>
      <c r="AR59" s="1038">
        <f t="shared" ca="1" si="161"/>
        <v>0</v>
      </c>
      <c r="AS59" s="1038">
        <f t="shared" ca="1" si="161"/>
        <v>0</v>
      </c>
      <c r="AT59" s="1038">
        <f t="shared" ca="1" si="161"/>
        <v>0</v>
      </c>
      <c r="AU59" s="1038">
        <f t="shared" ca="1" si="161"/>
        <v>0</v>
      </c>
      <c r="AV59" s="1038">
        <f t="shared" ca="1" si="158"/>
        <v>0</v>
      </c>
      <c r="AW59" s="1038">
        <f t="shared" ca="1" si="158"/>
        <v>0</v>
      </c>
      <c r="AX59" s="1038">
        <f t="shared" ca="1" si="158"/>
        <v>0</v>
      </c>
      <c r="AY59" s="1038">
        <f t="shared" ca="1" si="158"/>
        <v>0</v>
      </c>
      <c r="AZ59" s="1038">
        <f t="shared" ca="1" si="158"/>
        <v>0</v>
      </c>
      <c r="BA59" s="1038">
        <f t="shared" ca="1" si="158"/>
        <v>0</v>
      </c>
      <c r="BB59" s="1038">
        <f t="shared" ca="1" si="158"/>
        <v>-4.1144009940000004</v>
      </c>
      <c r="BC59" s="1038">
        <f t="shared" ca="1" si="158"/>
        <v>0</v>
      </c>
      <c r="BD59" s="1038">
        <f t="shared" ca="1" si="158"/>
        <v>0</v>
      </c>
      <c r="BE59" s="1038">
        <f t="shared" ca="1" si="158"/>
        <v>0</v>
      </c>
      <c r="BF59" s="979">
        <f t="shared" ca="1" si="162"/>
        <v>-4.1144009940000004</v>
      </c>
      <c r="BG59" s="743"/>
      <c r="BH59" s="1032">
        <f t="shared" ca="1" si="163"/>
        <v>0</v>
      </c>
      <c r="BI59" s="1032">
        <f t="shared" ca="1" si="163"/>
        <v>0</v>
      </c>
      <c r="BJ59" s="1034">
        <f t="shared" ca="1" si="164"/>
        <v>0</v>
      </c>
      <c r="BK59" s="743"/>
      <c r="BL59" s="814">
        <f t="shared" ca="1" si="155"/>
        <v>0</v>
      </c>
      <c r="BM59" s="814"/>
      <c r="BN59" s="840"/>
      <c r="BO59" s="1481">
        <f t="shared" ca="1" si="165"/>
        <v>0</v>
      </c>
      <c r="BP59" s="1482">
        <f t="shared" ca="1" si="165"/>
        <v>0</v>
      </c>
      <c r="BQ59" s="1482">
        <f t="shared" ca="1" si="165"/>
        <v>0</v>
      </c>
      <c r="BR59" s="1482">
        <f t="shared" ca="1" si="165"/>
        <v>0</v>
      </c>
      <c r="BS59" s="1482">
        <f t="shared" ca="1" si="165"/>
        <v>0</v>
      </c>
      <c r="BT59" s="1482">
        <f t="shared" ca="1" si="165"/>
        <v>0</v>
      </c>
      <c r="BU59" s="1482">
        <f t="shared" ca="1" si="165"/>
        <v>0</v>
      </c>
      <c r="BV59" s="1482">
        <f t="shared" ca="1" si="165"/>
        <v>0</v>
      </c>
      <c r="BW59" s="1482">
        <f t="shared" ca="1" si="165"/>
        <v>0</v>
      </c>
      <c r="BX59" s="1482">
        <f t="shared" ca="1" si="165"/>
        <v>0</v>
      </c>
      <c r="BY59" s="1482">
        <f t="shared" ca="1" si="166"/>
        <v>0</v>
      </c>
      <c r="BZ59" s="1482">
        <f t="shared" ca="1" si="166"/>
        <v>0</v>
      </c>
      <c r="CA59" s="1482">
        <f t="shared" ca="1" si="166"/>
        <v>0</v>
      </c>
      <c r="CB59" s="1482">
        <f t="shared" ca="1" si="166"/>
        <v>0</v>
      </c>
      <c r="CC59" s="1482">
        <f t="shared" ca="1" si="166"/>
        <v>0</v>
      </c>
      <c r="CD59" s="1482">
        <f t="shared" ca="1" si="166"/>
        <v>0</v>
      </c>
      <c r="CE59" s="1482">
        <f t="shared" ca="1" si="166"/>
        <v>0</v>
      </c>
      <c r="CF59" s="1482">
        <f t="shared" ca="1" si="166"/>
        <v>0</v>
      </c>
      <c r="CG59" s="1482">
        <f t="shared" ca="1" si="166"/>
        <v>0</v>
      </c>
      <c r="CH59" s="1482">
        <f t="shared" ca="1" si="166"/>
        <v>0</v>
      </c>
      <c r="CI59" s="1482">
        <f t="shared" ca="1" si="167"/>
        <v>0</v>
      </c>
      <c r="CJ59" s="1482">
        <f t="shared" ca="1" si="167"/>
        <v>0</v>
      </c>
      <c r="CK59" s="1482">
        <f t="shared" ca="1" si="167"/>
        <v>0</v>
      </c>
      <c r="CL59" s="1482">
        <f t="shared" ca="1" si="167"/>
        <v>0</v>
      </c>
      <c r="CM59" s="1482">
        <f t="shared" ca="1" si="167"/>
        <v>0</v>
      </c>
      <c r="CN59" s="1482">
        <f t="shared" ca="1" si="167"/>
        <v>0</v>
      </c>
      <c r="CO59" s="1482">
        <f t="shared" ca="1" si="167"/>
        <v>0</v>
      </c>
      <c r="CP59" s="1482">
        <f t="shared" ca="1" si="167"/>
        <v>0</v>
      </c>
      <c r="CQ59" s="1482">
        <f t="shared" ca="1" si="167"/>
        <v>0</v>
      </c>
      <c r="CR59" s="1482">
        <f t="shared" ca="1" si="167"/>
        <v>0</v>
      </c>
      <c r="CS59" s="1482">
        <f t="shared" ca="1" si="168"/>
        <v>0</v>
      </c>
      <c r="CT59" s="1482">
        <f t="shared" ca="1" si="168"/>
        <v>0</v>
      </c>
      <c r="CU59" s="1482">
        <f t="shared" ca="1" si="168"/>
        <v>0</v>
      </c>
      <c r="CV59" s="1482">
        <f t="shared" ca="1" si="168"/>
        <v>0</v>
      </c>
      <c r="CW59" s="1482">
        <f t="shared" ca="1" si="168"/>
        <v>0</v>
      </c>
      <c r="CX59" s="1482">
        <f t="shared" ca="1" si="168"/>
        <v>0</v>
      </c>
      <c r="CY59" s="1482">
        <f t="shared" ca="1" si="168"/>
        <v>0</v>
      </c>
      <c r="CZ59" s="1482">
        <f t="shared" ca="1" si="168"/>
        <v>0</v>
      </c>
      <c r="DA59" s="1482">
        <f t="shared" ca="1" si="168"/>
        <v>0</v>
      </c>
      <c r="DB59" s="1482">
        <f t="shared" ca="1" si="168"/>
        <v>0</v>
      </c>
      <c r="DC59" s="1482">
        <f t="shared" ca="1" si="168"/>
        <v>0</v>
      </c>
      <c r="DD59" s="1482">
        <f t="shared" ca="1" si="168"/>
        <v>0</v>
      </c>
      <c r="DE59" s="1482">
        <f t="shared" ca="1" si="168"/>
        <v>0</v>
      </c>
      <c r="DF59" s="1482">
        <f t="shared" ca="1" si="168"/>
        <v>0</v>
      </c>
      <c r="DH59" s="838">
        <f t="shared" ca="1" si="125"/>
        <v>0</v>
      </c>
    </row>
    <row r="60" spans="1:112" s="1484" customFormat="1" ht="12.75" hidden="1" customHeight="1" outlineLevel="1">
      <c r="C60" s="746" t="s">
        <v>808</v>
      </c>
      <c r="D60" s="521" t="str">
        <f>INDEX(Modules[Module], MATCH($C60, Modules[Code], 0))</f>
        <v>Wave and Tidal</v>
      </c>
      <c r="E60" s="521"/>
      <c r="F60" s="743"/>
      <c r="G60" s="1017">
        <f t="shared" ca="1" si="156"/>
        <v>0</v>
      </c>
      <c r="H60" s="1017">
        <f t="shared" ca="1" si="156"/>
        <v>0</v>
      </c>
      <c r="I60" s="1017">
        <f t="shared" ca="1" si="156"/>
        <v>0</v>
      </c>
      <c r="J60" s="1017">
        <f t="shared" ca="1" si="156"/>
        <v>0</v>
      </c>
      <c r="K60" s="1017">
        <f t="shared" ca="1" si="156"/>
        <v>0</v>
      </c>
      <c r="L60" s="1017">
        <f t="shared" ca="1" si="156"/>
        <v>0</v>
      </c>
      <c r="M60" s="1017">
        <f t="shared" ca="1" si="156"/>
        <v>0</v>
      </c>
      <c r="N60" s="1017">
        <f t="shared" ca="1" si="156"/>
        <v>0</v>
      </c>
      <c r="O60" s="1017">
        <f t="shared" ca="1" si="156"/>
        <v>0</v>
      </c>
      <c r="P60" s="1017">
        <f t="shared" ca="1" si="156"/>
        <v>0</v>
      </c>
      <c r="Q60" s="1019">
        <f t="shared" ca="1" si="157"/>
        <v>0</v>
      </c>
      <c r="R60" s="743"/>
      <c r="S60" s="1026">
        <f t="shared" ca="1" si="158"/>
        <v>0</v>
      </c>
      <c r="T60" s="1026">
        <f t="shared" ca="1" si="158"/>
        <v>0</v>
      </c>
      <c r="U60" s="1026">
        <f t="shared" ca="1" si="158"/>
        <v>0</v>
      </c>
      <c r="V60" s="1026">
        <f t="shared" ca="1" si="158"/>
        <v>0</v>
      </c>
      <c r="W60" s="1026">
        <f t="shared" ca="1" si="158"/>
        <v>0</v>
      </c>
      <c r="X60" s="1026">
        <f t="shared" ca="1" si="159"/>
        <v>0</v>
      </c>
      <c r="Y60" s="1026">
        <f t="shared" ca="1" si="159"/>
        <v>0</v>
      </c>
      <c r="Z60" s="1026">
        <f t="shared" ca="1" si="159"/>
        <v>0</v>
      </c>
      <c r="AA60" s="1026">
        <f t="shared" ca="1" si="158"/>
        <v>0</v>
      </c>
      <c r="AB60" s="1026">
        <f t="shared" ca="1" si="158"/>
        <v>0</v>
      </c>
      <c r="AC60" s="1026">
        <f t="shared" ca="1" si="158"/>
        <v>0</v>
      </c>
      <c r="AD60" s="1026">
        <f t="shared" ca="1" si="158"/>
        <v>0</v>
      </c>
      <c r="AE60" s="1026">
        <f t="shared" ca="1" si="158"/>
        <v>0</v>
      </c>
      <c r="AF60" s="1026">
        <f t="shared" ca="1" si="158"/>
        <v>0</v>
      </c>
      <c r="AG60" s="1026">
        <f t="shared" ca="1" si="158"/>
        <v>0</v>
      </c>
      <c r="AH60" s="1026">
        <f t="shared" ca="1" si="158"/>
        <v>0</v>
      </c>
      <c r="AI60" s="1026">
        <f t="shared" ca="1" si="158"/>
        <v>0</v>
      </c>
      <c r="AJ60" s="1026">
        <f t="shared" ca="1" si="158"/>
        <v>0</v>
      </c>
      <c r="AK60" s="1027">
        <f t="shared" ca="1" si="160"/>
        <v>0</v>
      </c>
      <c r="AL60" s="743"/>
      <c r="AM60" s="1038">
        <f t="shared" ca="1" si="161"/>
        <v>0</v>
      </c>
      <c r="AN60" s="1038">
        <f t="shared" ca="1" si="161"/>
        <v>0</v>
      </c>
      <c r="AO60" s="1038">
        <f t="shared" ca="1" si="161"/>
        <v>0</v>
      </c>
      <c r="AP60" s="1038">
        <f t="shared" ca="1" si="161"/>
        <v>0</v>
      </c>
      <c r="AQ60" s="1038">
        <f t="shared" ca="1" si="161"/>
        <v>0</v>
      </c>
      <c r="AR60" s="1038">
        <f t="shared" ca="1" si="161"/>
        <v>0</v>
      </c>
      <c r="AS60" s="1038">
        <f t="shared" ca="1" si="161"/>
        <v>0</v>
      </c>
      <c r="AT60" s="1038">
        <f t="shared" ca="1" si="161"/>
        <v>0</v>
      </c>
      <c r="AU60" s="1038">
        <f t="shared" ca="1" si="161"/>
        <v>0</v>
      </c>
      <c r="AV60" s="1038">
        <f t="shared" ca="1" si="158"/>
        <v>0</v>
      </c>
      <c r="AW60" s="1038">
        <f t="shared" ca="1" si="158"/>
        <v>0</v>
      </c>
      <c r="AX60" s="1038">
        <f t="shared" ca="1" si="158"/>
        <v>0</v>
      </c>
      <c r="AY60" s="1038">
        <f t="shared" ca="1" si="158"/>
        <v>0</v>
      </c>
      <c r="AZ60" s="1038">
        <f t="shared" ca="1" si="158"/>
        <v>0</v>
      </c>
      <c r="BA60" s="1038">
        <f t="shared" ca="1" si="158"/>
        <v>0</v>
      </c>
      <c r="BB60" s="1038">
        <f t="shared" ca="1" si="158"/>
        <v>0</v>
      </c>
      <c r="BC60" s="1038">
        <f t="shared" ca="1" si="158"/>
        <v>0</v>
      </c>
      <c r="BD60" s="1038">
        <f t="shared" ca="1" si="158"/>
        <v>0</v>
      </c>
      <c r="BE60" s="1038">
        <f t="shared" ca="1" si="158"/>
        <v>0</v>
      </c>
      <c r="BF60" s="979">
        <f t="shared" ca="1" si="162"/>
        <v>0</v>
      </c>
      <c r="BG60" s="743"/>
      <c r="BH60" s="1032">
        <f t="shared" ca="1" si="163"/>
        <v>0</v>
      </c>
      <c r="BI60" s="1032">
        <f t="shared" ca="1" si="163"/>
        <v>0</v>
      </c>
      <c r="BJ60" s="1034">
        <f t="shared" ca="1" si="164"/>
        <v>0</v>
      </c>
      <c r="BK60" s="743"/>
      <c r="BL60" s="814">
        <f t="shared" ca="1" si="155"/>
        <v>0</v>
      </c>
      <c r="BM60" s="814"/>
      <c r="BN60" s="840"/>
      <c r="BO60" s="1481">
        <f t="shared" ca="1" si="165"/>
        <v>0</v>
      </c>
      <c r="BP60" s="1482">
        <f t="shared" ca="1" si="165"/>
        <v>0</v>
      </c>
      <c r="BQ60" s="1482">
        <f t="shared" ca="1" si="165"/>
        <v>0</v>
      </c>
      <c r="BR60" s="1482">
        <f t="shared" ca="1" si="165"/>
        <v>0</v>
      </c>
      <c r="BS60" s="1482">
        <f t="shared" ca="1" si="165"/>
        <v>0</v>
      </c>
      <c r="BT60" s="1482">
        <f t="shared" ca="1" si="165"/>
        <v>0</v>
      </c>
      <c r="BU60" s="1482">
        <f t="shared" ca="1" si="165"/>
        <v>0</v>
      </c>
      <c r="BV60" s="1482">
        <f t="shared" ca="1" si="165"/>
        <v>0</v>
      </c>
      <c r="BW60" s="1482">
        <f t="shared" ca="1" si="165"/>
        <v>0</v>
      </c>
      <c r="BX60" s="1482">
        <f t="shared" ca="1" si="165"/>
        <v>0</v>
      </c>
      <c r="BY60" s="1482">
        <f t="shared" ca="1" si="166"/>
        <v>0</v>
      </c>
      <c r="BZ60" s="1482">
        <f t="shared" ca="1" si="166"/>
        <v>0</v>
      </c>
      <c r="CA60" s="1482">
        <f t="shared" ca="1" si="166"/>
        <v>0</v>
      </c>
      <c r="CB60" s="1482">
        <f t="shared" ca="1" si="166"/>
        <v>0</v>
      </c>
      <c r="CC60" s="1482">
        <f t="shared" ca="1" si="166"/>
        <v>0</v>
      </c>
      <c r="CD60" s="1482">
        <f t="shared" ca="1" si="166"/>
        <v>0</v>
      </c>
      <c r="CE60" s="1482">
        <f t="shared" ca="1" si="166"/>
        <v>0</v>
      </c>
      <c r="CF60" s="1482">
        <f t="shared" ca="1" si="166"/>
        <v>0</v>
      </c>
      <c r="CG60" s="1482">
        <f t="shared" ca="1" si="166"/>
        <v>0</v>
      </c>
      <c r="CH60" s="1482">
        <f t="shared" ca="1" si="166"/>
        <v>0</v>
      </c>
      <c r="CI60" s="1482">
        <f t="shared" ca="1" si="167"/>
        <v>0</v>
      </c>
      <c r="CJ60" s="1482">
        <f t="shared" ca="1" si="167"/>
        <v>0</v>
      </c>
      <c r="CK60" s="1482">
        <f t="shared" ca="1" si="167"/>
        <v>0</v>
      </c>
      <c r="CL60" s="1482">
        <f t="shared" ca="1" si="167"/>
        <v>0</v>
      </c>
      <c r="CM60" s="1482">
        <f t="shared" ca="1" si="167"/>
        <v>0</v>
      </c>
      <c r="CN60" s="1482">
        <f t="shared" ca="1" si="167"/>
        <v>0</v>
      </c>
      <c r="CO60" s="1482">
        <f t="shared" ca="1" si="167"/>
        <v>0</v>
      </c>
      <c r="CP60" s="1482">
        <f t="shared" ca="1" si="167"/>
        <v>0</v>
      </c>
      <c r="CQ60" s="1482">
        <f t="shared" ca="1" si="167"/>
        <v>0</v>
      </c>
      <c r="CR60" s="1482">
        <f t="shared" ca="1" si="167"/>
        <v>0</v>
      </c>
      <c r="CS60" s="1482">
        <f t="shared" ca="1" si="168"/>
        <v>0</v>
      </c>
      <c r="CT60" s="1482">
        <f t="shared" ca="1" si="168"/>
        <v>0</v>
      </c>
      <c r="CU60" s="1482">
        <f t="shared" ca="1" si="168"/>
        <v>0</v>
      </c>
      <c r="CV60" s="1482">
        <f t="shared" ca="1" si="168"/>
        <v>0</v>
      </c>
      <c r="CW60" s="1482">
        <f t="shared" ca="1" si="168"/>
        <v>0</v>
      </c>
      <c r="CX60" s="1482">
        <f t="shared" ca="1" si="168"/>
        <v>0</v>
      </c>
      <c r="CY60" s="1482">
        <f t="shared" ca="1" si="168"/>
        <v>0</v>
      </c>
      <c r="CZ60" s="1482">
        <f t="shared" ca="1" si="168"/>
        <v>0</v>
      </c>
      <c r="DA60" s="1482">
        <f t="shared" ca="1" si="168"/>
        <v>0</v>
      </c>
      <c r="DB60" s="1482">
        <f t="shared" ca="1" si="168"/>
        <v>0</v>
      </c>
      <c r="DC60" s="1482">
        <f t="shared" ca="1" si="168"/>
        <v>0</v>
      </c>
      <c r="DD60" s="1482">
        <f t="shared" ca="1" si="168"/>
        <v>0</v>
      </c>
      <c r="DE60" s="1482">
        <f t="shared" ca="1" si="168"/>
        <v>0</v>
      </c>
      <c r="DF60" s="1482">
        <f t="shared" ca="1" si="168"/>
        <v>0</v>
      </c>
      <c r="DH60" s="838">
        <f t="shared" ca="1" si="125"/>
        <v>0</v>
      </c>
    </row>
    <row r="61" spans="1:112" s="1484" customFormat="1" ht="12.75" hidden="1" customHeight="1" outlineLevel="1">
      <c r="C61" s="746" t="s">
        <v>809</v>
      </c>
      <c r="D61" s="521" t="str">
        <f>INDEX(Modules[Module], MATCH($C61, Modules[Code], 0))</f>
        <v>Geothermal</v>
      </c>
      <c r="E61" s="521"/>
      <c r="F61" s="743"/>
      <c r="G61" s="1017">
        <f t="shared" ca="1" si="156"/>
        <v>0</v>
      </c>
      <c r="H61" s="1017">
        <f t="shared" ca="1" si="156"/>
        <v>0</v>
      </c>
      <c r="I61" s="1017">
        <f t="shared" ca="1" si="156"/>
        <v>0</v>
      </c>
      <c r="J61" s="1017">
        <f t="shared" ca="1" si="156"/>
        <v>0</v>
      </c>
      <c r="K61" s="1017">
        <f t="shared" ca="1" si="156"/>
        <v>0</v>
      </c>
      <c r="L61" s="1017">
        <f t="shared" ca="1" si="156"/>
        <v>0</v>
      </c>
      <c r="M61" s="1017">
        <f t="shared" ca="1" si="156"/>
        <v>0</v>
      </c>
      <c r="N61" s="1017">
        <f t="shared" ca="1" si="156"/>
        <v>0</v>
      </c>
      <c r="O61" s="1017">
        <f t="shared" ca="1" si="156"/>
        <v>0</v>
      </c>
      <c r="P61" s="1017">
        <f t="shared" ca="1" si="156"/>
        <v>0</v>
      </c>
      <c r="Q61" s="1019">
        <f t="shared" ca="1" si="157"/>
        <v>0</v>
      </c>
      <c r="R61" s="743"/>
      <c r="S61" s="1026">
        <f t="shared" ca="1" si="158"/>
        <v>0</v>
      </c>
      <c r="T61" s="1026">
        <f t="shared" ca="1" si="158"/>
        <v>0</v>
      </c>
      <c r="U61" s="1026">
        <f t="shared" ca="1" si="158"/>
        <v>0</v>
      </c>
      <c r="V61" s="1026">
        <f t="shared" ca="1" si="158"/>
        <v>0</v>
      </c>
      <c r="W61" s="1026">
        <f t="shared" ca="1" si="158"/>
        <v>0</v>
      </c>
      <c r="X61" s="1026">
        <f t="shared" ca="1" si="159"/>
        <v>0</v>
      </c>
      <c r="Y61" s="1026">
        <f t="shared" ca="1" si="159"/>
        <v>0</v>
      </c>
      <c r="Z61" s="1026">
        <f t="shared" ca="1" si="159"/>
        <v>0</v>
      </c>
      <c r="AA61" s="1026">
        <f t="shared" ca="1" si="158"/>
        <v>0</v>
      </c>
      <c r="AB61" s="1026">
        <f t="shared" ca="1" si="158"/>
        <v>0</v>
      </c>
      <c r="AC61" s="1026">
        <f t="shared" ca="1" si="158"/>
        <v>0</v>
      </c>
      <c r="AD61" s="1026">
        <f t="shared" ca="1" si="158"/>
        <v>0</v>
      </c>
      <c r="AE61" s="1026">
        <f t="shared" ca="1" si="158"/>
        <v>0</v>
      </c>
      <c r="AF61" s="1026">
        <f t="shared" ca="1" si="158"/>
        <v>0</v>
      </c>
      <c r="AG61" s="1026">
        <f t="shared" ca="1" si="158"/>
        <v>0</v>
      </c>
      <c r="AH61" s="1026">
        <f t="shared" ca="1" si="158"/>
        <v>0</v>
      </c>
      <c r="AI61" s="1026">
        <f t="shared" ca="1" si="158"/>
        <v>0</v>
      </c>
      <c r="AJ61" s="1026">
        <f t="shared" ca="1" si="158"/>
        <v>0</v>
      </c>
      <c r="AK61" s="1027">
        <f t="shared" ca="1" si="160"/>
        <v>0</v>
      </c>
      <c r="AL61" s="743"/>
      <c r="AM61" s="1038">
        <f t="shared" ca="1" si="161"/>
        <v>0</v>
      </c>
      <c r="AN61" s="1038">
        <f t="shared" ca="1" si="161"/>
        <v>0</v>
      </c>
      <c r="AO61" s="1038">
        <f t="shared" ca="1" si="161"/>
        <v>0</v>
      </c>
      <c r="AP61" s="1038">
        <f t="shared" ca="1" si="161"/>
        <v>0</v>
      </c>
      <c r="AQ61" s="1038">
        <f t="shared" ca="1" si="161"/>
        <v>0</v>
      </c>
      <c r="AR61" s="1038">
        <f t="shared" ca="1" si="161"/>
        <v>0</v>
      </c>
      <c r="AS61" s="1038">
        <f t="shared" ca="1" si="161"/>
        <v>0</v>
      </c>
      <c r="AT61" s="1038">
        <f t="shared" ca="1" si="161"/>
        <v>0</v>
      </c>
      <c r="AU61" s="1038">
        <f t="shared" ca="1" si="161"/>
        <v>0</v>
      </c>
      <c r="AV61" s="1038">
        <f t="shared" ca="1" si="158"/>
        <v>0</v>
      </c>
      <c r="AW61" s="1038">
        <f t="shared" ca="1" si="158"/>
        <v>0</v>
      </c>
      <c r="AX61" s="1038">
        <f t="shared" ca="1" si="158"/>
        <v>0</v>
      </c>
      <c r="AY61" s="1038">
        <f t="shared" ca="1" si="158"/>
        <v>0</v>
      </c>
      <c r="AZ61" s="1038">
        <f t="shared" ca="1" si="158"/>
        <v>0</v>
      </c>
      <c r="BA61" s="1038">
        <f t="shared" ca="1" si="158"/>
        <v>0</v>
      </c>
      <c r="BB61" s="1038">
        <f t="shared" ca="1" si="158"/>
        <v>0</v>
      </c>
      <c r="BC61" s="1038">
        <f t="shared" ca="1" si="158"/>
        <v>0</v>
      </c>
      <c r="BD61" s="1038">
        <f t="shared" ca="1" si="158"/>
        <v>0</v>
      </c>
      <c r="BE61" s="1038">
        <f t="shared" ca="1" si="158"/>
        <v>0</v>
      </c>
      <c r="BF61" s="979">
        <f t="shared" ca="1" si="162"/>
        <v>0</v>
      </c>
      <c r="BG61" s="743"/>
      <c r="BH61" s="1032">
        <f t="shared" ca="1" si="163"/>
        <v>0</v>
      </c>
      <c r="BI61" s="1032">
        <f t="shared" ca="1" si="163"/>
        <v>0</v>
      </c>
      <c r="BJ61" s="1034">
        <f t="shared" ca="1" si="164"/>
        <v>0</v>
      </c>
      <c r="BK61" s="743"/>
      <c r="BL61" s="814">
        <f t="shared" ca="1" si="155"/>
        <v>0</v>
      </c>
      <c r="BM61" s="814"/>
      <c r="BN61" s="840"/>
      <c r="BO61" s="1481">
        <f t="shared" ca="1" si="165"/>
        <v>0</v>
      </c>
      <c r="BP61" s="1482">
        <f t="shared" ca="1" si="165"/>
        <v>0</v>
      </c>
      <c r="BQ61" s="1482">
        <f t="shared" ca="1" si="165"/>
        <v>0</v>
      </c>
      <c r="BR61" s="1482">
        <f t="shared" ca="1" si="165"/>
        <v>0</v>
      </c>
      <c r="BS61" s="1482">
        <f t="shared" ca="1" si="165"/>
        <v>0</v>
      </c>
      <c r="BT61" s="1482">
        <f t="shared" ca="1" si="165"/>
        <v>0</v>
      </c>
      <c r="BU61" s="1482">
        <f t="shared" ca="1" si="165"/>
        <v>0</v>
      </c>
      <c r="BV61" s="1482">
        <f t="shared" ca="1" si="165"/>
        <v>0</v>
      </c>
      <c r="BW61" s="1482">
        <f t="shared" ca="1" si="165"/>
        <v>0</v>
      </c>
      <c r="BX61" s="1482">
        <f t="shared" ca="1" si="165"/>
        <v>0</v>
      </c>
      <c r="BY61" s="1482">
        <f t="shared" ca="1" si="166"/>
        <v>0</v>
      </c>
      <c r="BZ61" s="1482">
        <f t="shared" ca="1" si="166"/>
        <v>0</v>
      </c>
      <c r="CA61" s="1482">
        <f t="shared" ca="1" si="166"/>
        <v>0</v>
      </c>
      <c r="CB61" s="1482">
        <f t="shared" ca="1" si="166"/>
        <v>0</v>
      </c>
      <c r="CC61" s="1482">
        <f t="shared" ca="1" si="166"/>
        <v>0</v>
      </c>
      <c r="CD61" s="1482">
        <f t="shared" ca="1" si="166"/>
        <v>0</v>
      </c>
      <c r="CE61" s="1482">
        <f t="shared" ca="1" si="166"/>
        <v>0</v>
      </c>
      <c r="CF61" s="1482">
        <f t="shared" ca="1" si="166"/>
        <v>0</v>
      </c>
      <c r="CG61" s="1482">
        <f t="shared" ca="1" si="166"/>
        <v>0</v>
      </c>
      <c r="CH61" s="1482">
        <f t="shared" ca="1" si="166"/>
        <v>0</v>
      </c>
      <c r="CI61" s="1482">
        <f t="shared" ca="1" si="167"/>
        <v>0</v>
      </c>
      <c r="CJ61" s="1482">
        <f t="shared" ca="1" si="167"/>
        <v>0</v>
      </c>
      <c r="CK61" s="1482">
        <f t="shared" ca="1" si="167"/>
        <v>0</v>
      </c>
      <c r="CL61" s="1482">
        <f t="shared" ca="1" si="167"/>
        <v>0</v>
      </c>
      <c r="CM61" s="1482">
        <f t="shared" ca="1" si="167"/>
        <v>0</v>
      </c>
      <c r="CN61" s="1482">
        <f t="shared" ca="1" si="167"/>
        <v>0</v>
      </c>
      <c r="CO61" s="1482">
        <f t="shared" ca="1" si="167"/>
        <v>0</v>
      </c>
      <c r="CP61" s="1482">
        <f t="shared" ca="1" si="167"/>
        <v>0</v>
      </c>
      <c r="CQ61" s="1482">
        <f t="shared" ca="1" si="167"/>
        <v>0</v>
      </c>
      <c r="CR61" s="1482">
        <f t="shared" ca="1" si="167"/>
        <v>0</v>
      </c>
      <c r="CS61" s="1482">
        <f t="shared" ca="1" si="168"/>
        <v>0</v>
      </c>
      <c r="CT61" s="1482">
        <f t="shared" ca="1" si="168"/>
        <v>0</v>
      </c>
      <c r="CU61" s="1482">
        <f t="shared" ca="1" si="168"/>
        <v>0</v>
      </c>
      <c r="CV61" s="1482">
        <f t="shared" ca="1" si="168"/>
        <v>0</v>
      </c>
      <c r="CW61" s="1482">
        <f t="shared" ca="1" si="168"/>
        <v>0</v>
      </c>
      <c r="CX61" s="1482">
        <f t="shared" ca="1" si="168"/>
        <v>0</v>
      </c>
      <c r="CY61" s="1482">
        <f t="shared" ca="1" si="168"/>
        <v>0</v>
      </c>
      <c r="CZ61" s="1482">
        <f t="shared" ca="1" si="168"/>
        <v>0</v>
      </c>
      <c r="DA61" s="1482">
        <f t="shared" ca="1" si="168"/>
        <v>0</v>
      </c>
      <c r="DB61" s="1482">
        <f t="shared" ca="1" si="168"/>
        <v>0</v>
      </c>
      <c r="DC61" s="1482">
        <f t="shared" ca="1" si="168"/>
        <v>0</v>
      </c>
      <c r="DD61" s="1482">
        <f t="shared" ca="1" si="168"/>
        <v>0</v>
      </c>
      <c r="DE61" s="1482">
        <f t="shared" ca="1" si="168"/>
        <v>0</v>
      </c>
      <c r="DF61" s="1482">
        <f t="shared" ca="1" si="168"/>
        <v>0</v>
      </c>
      <c r="DH61" s="838">
        <f t="shared" ca="1" si="125"/>
        <v>0</v>
      </c>
    </row>
    <row r="62" spans="1:112" s="743" customFormat="1" ht="12.75" hidden="1" customHeight="1" outlineLevel="1">
      <c r="A62" s="1484"/>
      <c r="B62" s="1484"/>
      <c r="C62" s="746" t="s">
        <v>810</v>
      </c>
      <c r="D62" s="1010" t="str">
        <f>INDEX(Modules[Module], MATCH($C62, Modules[Code], 0))</f>
        <v>Tidal [UNUSED - See III.c]</v>
      </c>
      <c r="E62" s="1010"/>
      <c r="G62" s="1022">
        <f t="shared" ca="1" si="156"/>
        <v>0</v>
      </c>
      <c r="H62" s="1022">
        <f t="shared" ca="1" si="156"/>
        <v>0</v>
      </c>
      <c r="I62" s="1022">
        <f t="shared" ca="1" si="156"/>
        <v>0</v>
      </c>
      <c r="J62" s="1022">
        <f t="shared" ca="1" si="156"/>
        <v>0</v>
      </c>
      <c r="K62" s="1022">
        <f t="shared" ca="1" si="156"/>
        <v>0</v>
      </c>
      <c r="L62" s="1022">
        <f t="shared" ca="1" si="156"/>
        <v>0</v>
      </c>
      <c r="M62" s="1022">
        <f t="shared" ca="1" si="156"/>
        <v>0</v>
      </c>
      <c r="N62" s="1022">
        <f t="shared" ca="1" si="156"/>
        <v>0</v>
      </c>
      <c r="O62" s="1022">
        <f t="shared" ca="1" si="156"/>
        <v>0</v>
      </c>
      <c r="P62" s="1022">
        <f t="shared" ca="1" si="156"/>
        <v>0</v>
      </c>
      <c r="Q62" s="1020">
        <f t="shared" ca="1" si="157"/>
        <v>0</v>
      </c>
      <c r="S62" s="1031">
        <f t="shared" ca="1" si="158"/>
        <v>0</v>
      </c>
      <c r="T62" s="1031">
        <f t="shared" ca="1" si="158"/>
        <v>0</v>
      </c>
      <c r="U62" s="1031">
        <f t="shared" ca="1" si="158"/>
        <v>0</v>
      </c>
      <c r="V62" s="1031">
        <f t="shared" ca="1" si="158"/>
        <v>0</v>
      </c>
      <c r="W62" s="1031">
        <f t="shared" ca="1" si="158"/>
        <v>0</v>
      </c>
      <c r="X62" s="1031">
        <f t="shared" ca="1" si="159"/>
        <v>0</v>
      </c>
      <c r="Y62" s="1031">
        <f t="shared" ca="1" si="159"/>
        <v>0</v>
      </c>
      <c r="Z62" s="1031">
        <f t="shared" ca="1" si="159"/>
        <v>0</v>
      </c>
      <c r="AA62" s="1031">
        <f t="shared" ca="1" si="158"/>
        <v>0</v>
      </c>
      <c r="AB62" s="1031">
        <f t="shared" ca="1" si="158"/>
        <v>0</v>
      </c>
      <c r="AC62" s="1031">
        <f t="shared" ca="1" si="158"/>
        <v>0</v>
      </c>
      <c r="AD62" s="1031">
        <f t="shared" ca="1" si="158"/>
        <v>0</v>
      </c>
      <c r="AE62" s="1031">
        <f t="shared" ca="1" si="158"/>
        <v>0</v>
      </c>
      <c r="AF62" s="1031">
        <f t="shared" ca="1" si="158"/>
        <v>0</v>
      </c>
      <c r="AG62" s="1031">
        <f t="shared" ca="1" si="158"/>
        <v>0</v>
      </c>
      <c r="AH62" s="1031">
        <f t="shared" ca="1" si="158"/>
        <v>0</v>
      </c>
      <c r="AI62" s="1031">
        <f t="shared" ca="1" si="158"/>
        <v>0</v>
      </c>
      <c r="AJ62" s="1031">
        <f t="shared" ca="1" si="158"/>
        <v>0</v>
      </c>
      <c r="AK62" s="1030">
        <f t="shared" ca="1" si="160"/>
        <v>0</v>
      </c>
      <c r="AM62" s="1042">
        <f t="shared" ca="1" si="161"/>
        <v>0</v>
      </c>
      <c r="AN62" s="1042">
        <f t="shared" ca="1" si="161"/>
        <v>0</v>
      </c>
      <c r="AO62" s="1042">
        <f t="shared" ca="1" si="161"/>
        <v>0</v>
      </c>
      <c r="AP62" s="1042">
        <f t="shared" ca="1" si="161"/>
        <v>0</v>
      </c>
      <c r="AQ62" s="1042">
        <f t="shared" ca="1" si="161"/>
        <v>0</v>
      </c>
      <c r="AR62" s="1042">
        <f t="shared" ca="1" si="161"/>
        <v>0</v>
      </c>
      <c r="AS62" s="1042">
        <f t="shared" ca="1" si="161"/>
        <v>0</v>
      </c>
      <c r="AT62" s="1042">
        <f t="shared" ca="1" si="161"/>
        <v>0</v>
      </c>
      <c r="AU62" s="1042">
        <f t="shared" ca="1" si="161"/>
        <v>0</v>
      </c>
      <c r="AV62" s="1042">
        <f t="shared" ca="1" si="158"/>
        <v>0</v>
      </c>
      <c r="AW62" s="1042">
        <f t="shared" ca="1" si="158"/>
        <v>0</v>
      </c>
      <c r="AX62" s="1042">
        <f t="shared" ca="1" si="158"/>
        <v>0</v>
      </c>
      <c r="AY62" s="1042">
        <f t="shared" ca="1" si="158"/>
        <v>0</v>
      </c>
      <c r="AZ62" s="1042">
        <f t="shared" ca="1" si="158"/>
        <v>0</v>
      </c>
      <c r="BA62" s="1042">
        <f t="shared" ca="1" si="158"/>
        <v>0</v>
      </c>
      <c r="BB62" s="1042">
        <f t="shared" ca="1" si="158"/>
        <v>0</v>
      </c>
      <c r="BC62" s="1042">
        <f t="shared" ca="1" si="158"/>
        <v>0</v>
      </c>
      <c r="BD62" s="1042">
        <f t="shared" ca="1" si="158"/>
        <v>0</v>
      </c>
      <c r="BE62" s="1042">
        <f t="shared" ca="1" si="158"/>
        <v>0</v>
      </c>
      <c r="BF62" s="1012">
        <f t="shared" ca="1" si="162"/>
        <v>0</v>
      </c>
      <c r="BH62" s="1036">
        <f t="shared" ca="1" si="163"/>
        <v>0</v>
      </c>
      <c r="BI62" s="1036">
        <f t="shared" ca="1" si="163"/>
        <v>0</v>
      </c>
      <c r="BJ62" s="1035">
        <f t="shared" ca="1" si="164"/>
        <v>0</v>
      </c>
      <c r="BL62" s="814">
        <f t="shared" ca="1" si="155"/>
        <v>0</v>
      </c>
      <c r="BM62" s="814"/>
      <c r="BN62" s="840"/>
      <c r="BO62" s="1485">
        <f t="shared" ca="1" si="165"/>
        <v>0</v>
      </c>
      <c r="BP62" s="1486">
        <f t="shared" ca="1" si="165"/>
        <v>0</v>
      </c>
      <c r="BQ62" s="1486">
        <f t="shared" ca="1" si="165"/>
        <v>0</v>
      </c>
      <c r="BR62" s="1486">
        <f t="shared" ca="1" si="165"/>
        <v>0</v>
      </c>
      <c r="BS62" s="1486">
        <f t="shared" ca="1" si="165"/>
        <v>0</v>
      </c>
      <c r="BT62" s="1486">
        <f t="shared" ca="1" si="165"/>
        <v>0</v>
      </c>
      <c r="BU62" s="1486">
        <f t="shared" ca="1" si="165"/>
        <v>0</v>
      </c>
      <c r="BV62" s="1486">
        <f t="shared" ca="1" si="165"/>
        <v>0</v>
      </c>
      <c r="BW62" s="1486">
        <f t="shared" ca="1" si="165"/>
        <v>0</v>
      </c>
      <c r="BX62" s="1486">
        <f t="shared" ca="1" si="165"/>
        <v>0</v>
      </c>
      <c r="BY62" s="1486">
        <f t="shared" ca="1" si="166"/>
        <v>0</v>
      </c>
      <c r="BZ62" s="1486">
        <f t="shared" ca="1" si="166"/>
        <v>0</v>
      </c>
      <c r="CA62" s="1486">
        <f t="shared" ca="1" si="166"/>
        <v>0</v>
      </c>
      <c r="CB62" s="1486">
        <f t="shared" ca="1" si="166"/>
        <v>0</v>
      </c>
      <c r="CC62" s="1486">
        <f t="shared" ca="1" si="166"/>
        <v>0</v>
      </c>
      <c r="CD62" s="1486">
        <f t="shared" ca="1" si="166"/>
        <v>0</v>
      </c>
      <c r="CE62" s="1486">
        <f t="shared" ca="1" si="166"/>
        <v>0</v>
      </c>
      <c r="CF62" s="1486">
        <f t="shared" ca="1" si="166"/>
        <v>0</v>
      </c>
      <c r="CG62" s="1486">
        <f t="shared" ca="1" si="166"/>
        <v>0</v>
      </c>
      <c r="CH62" s="1486">
        <f t="shared" ca="1" si="166"/>
        <v>0</v>
      </c>
      <c r="CI62" s="1486">
        <f t="shared" ca="1" si="167"/>
        <v>0</v>
      </c>
      <c r="CJ62" s="1486">
        <f t="shared" ca="1" si="167"/>
        <v>0</v>
      </c>
      <c r="CK62" s="1486">
        <f t="shared" ca="1" si="167"/>
        <v>0</v>
      </c>
      <c r="CL62" s="1486">
        <f t="shared" ca="1" si="167"/>
        <v>0</v>
      </c>
      <c r="CM62" s="1486">
        <f t="shared" ca="1" si="167"/>
        <v>0</v>
      </c>
      <c r="CN62" s="1486">
        <f t="shared" ca="1" si="167"/>
        <v>0</v>
      </c>
      <c r="CO62" s="1486">
        <f t="shared" ca="1" si="167"/>
        <v>0</v>
      </c>
      <c r="CP62" s="1486">
        <f t="shared" ca="1" si="167"/>
        <v>0</v>
      </c>
      <c r="CQ62" s="1486">
        <f t="shared" ca="1" si="167"/>
        <v>0</v>
      </c>
      <c r="CR62" s="1486">
        <f t="shared" ca="1" si="167"/>
        <v>0</v>
      </c>
      <c r="CS62" s="1486">
        <f t="shared" ca="1" si="168"/>
        <v>0</v>
      </c>
      <c r="CT62" s="1486">
        <f t="shared" ca="1" si="168"/>
        <v>0</v>
      </c>
      <c r="CU62" s="1486">
        <f t="shared" ca="1" si="168"/>
        <v>0</v>
      </c>
      <c r="CV62" s="1486">
        <f t="shared" ca="1" si="168"/>
        <v>0</v>
      </c>
      <c r="CW62" s="1486">
        <f t="shared" ca="1" si="168"/>
        <v>0</v>
      </c>
      <c r="CX62" s="1486">
        <f t="shared" ca="1" si="168"/>
        <v>0</v>
      </c>
      <c r="CY62" s="1486">
        <f t="shared" ca="1" si="168"/>
        <v>0</v>
      </c>
      <c r="CZ62" s="1486">
        <f t="shared" ca="1" si="168"/>
        <v>0</v>
      </c>
      <c r="DA62" s="1486">
        <f t="shared" ca="1" si="168"/>
        <v>0</v>
      </c>
      <c r="DB62" s="1486">
        <f t="shared" ca="1" si="168"/>
        <v>0</v>
      </c>
      <c r="DC62" s="1486">
        <f t="shared" ca="1" si="168"/>
        <v>0</v>
      </c>
      <c r="DD62" s="1486">
        <f t="shared" ca="1" si="168"/>
        <v>0</v>
      </c>
      <c r="DE62" s="1486">
        <f t="shared" ca="1" si="168"/>
        <v>0</v>
      </c>
      <c r="DF62" s="1486">
        <f t="shared" ca="1" si="168"/>
        <v>0</v>
      </c>
      <c r="DH62" s="838">
        <f t="shared" ca="1" si="125"/>
        <v>0</v>
      </c>
    </row>
    <row r="63" spans="1:112" s="743" customFormat="1" ht="15.75" collapsed="1">
      <c r="A63" s="22"/>
      <c r="B63" s="753"/>
      <c r="C63" s="744" t="s">
        <v>76</v>
      </c>
      <c r="D63" s="517" t="str">
        <f>INDEX(Workstreams[Workstream], MATCH($C63, Workstreams[Code], 0))</f>
        <v>National renewable power generation</v>
      </c>
      <c r="E63" s="512"/>
      <c r="G63" s="958">
        <f t="shared" ref="G63:P63" ca="1" si="169">SUM(G57:G62)</f>
        <v>0</v>
      </c>
      <c r="H63" s="958">
        <f t="shared" ca="1" si="169"/>
        <v>0</v>
      </c>
      <c r="I63" s="958">
        <f t="shared" ca="1" si="169"/>
        <v>0</v>
      </c>
      <c r="J63" s="958">
        <f t="shared" ca="1" si="169"/>
        <v>0</v>
      </c>
      <c r="K63" s="958">
        <f t="shared" ca="1" si="169"/>
        <v>0</v>
      </c>
      <c r="L63" s="958">
        <f t="shared" ca="1" si="169"/>
        <v>0</v>
      </c>
      <c r="M63" s="958">
        <f t="shared" ca="1" si="169"/>
        <v>0</v>
      </c>
      <c r="N63" s="958">
        <f t="shared" ca="1" si="169"/>
        <v>0</v>
      </c>
      <c r="O63" s="958">
        <f t="shared" ca="1" si="169"/>
        <v>0</v>
      </c>
      <c r="P63" s="958">
        <f t="shared" ca="1" si="169"/>
        <v>0</v>
      </c>
      <c r="Q63" s="1021">
        <f t="shared" ca="1" si="157"/>
        <v>0</v>
      </c>
      <c r="S63" s="970">
        <f t="shared" ref="S63:AJ63" ca="1" si="170">SUM(S57:S62)</f>
        <v>0</v>
      </c>
      <c r="T63" s="970">
        <f t="shared" ca="1" si="170"/>
        <v>10.077153411600001</v>
      </c>
      <c r="U63" s="970">
        <f t="shared" ca="1" si="170"/>
        <v>0</v>
      </c>
      <c r="V63" s="970">
        <f t="shared" ca="1" si="170"/>
        <v>0</v>
      </c>
      <c r="W63" s="970">
        <f t="shared" ca="1" si="170"/>
        <v>0</v>
      </c>
      <c r="X63" s="970">
        <f t="shared" ca="1" si="170"/>
        <v>0</v>
      </c>
      <c r="Y63" s="970">
        <f t="shared" ca="1" si="170"/>
        <v>0</v>
      </c>
      <c r="Z63" s="970">
        <f t="shared" ca="1" si="170"/>
        <v>0</v>
      </c>
      <c r="AA63" s="970">
        <f t="shared" ca="1" si="170"/>
        <v>0</v>
      </c>
      <c r="AB63" s="970">
        <f t="shared" ca="1" si="170"/>
        <v>0</v>
      </c>
      <c r="AC63" s="970">
        <f t="shared" ca="1" si="170"/>
        <v>0</v>
      </c>
      <c r="AD63" s="970">
        <f t="shared" ca="1" si="170"/>
        <v>0</v>
      </c>
      <c r="AE63" s="970">
        <f ca="1">SUM(AE57:AE62)</f>
        <v>0</v>
      </c>
      <c r="AF63" s="970">
        <f t="shared" ca="1" si="170"/>
        <v>0</v>
      </c>
      <c r="AG63" s="970">
        <f t="shared" ca="1" si="170"/>
        <v>0</v>
      </c>
      <c r="AH63" s="970">
        <f ca="1">SUM(AH57:AH62)</f>
        <v>0</v>
      </c>
      <c r="AI63" s="970">
        <f t="shared" ca="1" si="170"/>
        <v>0</v>
      </c>
      <c r="AJ63" s="970">
        <f t="shared" ca="1" si="170"/>
        <v>0</v>
      </c>
      <c r="AK63" s="970">
        <f t="shared" ca="1" si="160"/>
        <v>10.077153411600001</v>
      </c>
      <c r="AM63" s="976">
        <f t="shared" ref="AM63:BE63" ca="1" si="171">SUM(AM57:AM62)</f>
        <v>0</v>
      </c>
      <c r="AN63" s="976">
        <f t="shared" ca="1" si="171"/>
        <v>0</v>
      </c>
      <c r="AO63" s="976">
        <f t="shared" ca="1" si="171"/>
        <v>0</v>
      </c>
      <c r="AP63" s="976">
        <f t="shared" ca="1" si="171"/>
        <v>0</v>
      </c>
      <c r="AQ63" s="976">
        <f t="shared" ca="1" si="171"/>
        <v>0</v>
      </c>
      <c r="AR63" s="976">
        <f t="shared" ca="1" si="171"/>
        <v>0</v>
      </c>
      <c r="AS63" s="976">
        <f t="shared" ca="1" si="171"/>
        <v>0</v>
      </c>
      <c r="AT63" s="976">
        <f t="shared" ca="1" si="171"/>
        <v>0</v>
      </c>
      <c r="AU63" s="976">
        <f t="shared" ca="1" si="171"/>
        <v>0</v>
      </c>
      <c r="AV63" s="976">
        <f t="shared" ca="1" si="171"/>
        <v>0</v>
      </c>
      <c r="AW63" s="976">
        <f t="shared" ca="1" si="171"/>
        <v>0</v>
      </c>
      <c r="AX63" s="976">
        <f t="shared" ca="1" si="171"/>
        <v>-5.9627524176000009</v>
      </c>
      <c r="AY63" s="976">
        <f t="shared" ca="1" si="171"/>
        <v>0</v>
      </c>
      <c r="AZ63" s="976">
        <f t="shared" ca="1" si="171"/>
        <v>0</v>
      </c>
      <c r="BA63" s="976">
        <f t="shared" ca="1" si="171"/>
        <v>0</v>
      </c>
      <c r="BB63" s="976">
        <f t="shared" ca="1" si="171"/>
        <v>-4.1144009940000004</v>
      </c>
      <c r="BC63" s="976">
        <f t="shared" ca="1" si="171"/>
        <v>0</v>
      </c>
      <c r="BD63" s="976">
        <f t="shared" ca="1" si="171"/>
        <v>0</v>
      </c>
      <c r="BE63" s="976">
        <f t="shared" ca="1" si="171"/>
        <v>0</v>
      </c>
      <c r="BF63" s="976">
        <f t="shared" ca="1" si="162"/>
        <v>-10.077153411600001</v>
      </c>
      <c r="BH63" s="990">
        <f ca="1">SUM(BH57:BH62)</f>
        <v>0</v>
      </c>
      <c r="BI63" s="990">
        <f ca="1">SUM(BI57:BI62)</f>
        <v>0</v>
      </c>
      <c r="BJ63" s="990">
        <f t="shared" ca="1" si="164"/>
        <v>0</v>
      </c>
      <c r="BL63" s="515">
        <f t="shared" ca="1" si="155"/>
        <v>0</v>
      </c>
      <c r="BM63" s="515"/>
      <c r="BN63" s="840"/>
      <c r="BO63" s="1482">
        <f t="shared" ref="BO63:DF63" ca="1" si="172">SUM(BO57:BO62)</f>
        <v>0</v>
      </c>
      <c r="BP63" s="1482">
        <f t="shared" ca="1" si="172"/>
        <v>0</v>
      </c>
      <c r="BQ63" s="1482">
        <f t="shared" ca="1" si="172"/>
        <v>0</v>
      </c>
      <c r="BR63" s="1482">
        <f t="shared" ca="1" si="172"/>
        <v>0</v>
      </c>
      <c r="BS63" s="1482">
        <f t="shared" ca="1" si="172"/>
        <v>0</v>
      </c>
      <c r="BT63" s="1482">
        <f t="shared" ca="1" si="172"/>
        <v>0</v>
      </c>
      <c r="BU63" s="1482">
        <f t="shared" ca="1" si="172"/>
        <v>0</v>
      </c>
      <c r="BV63" s="1482">
        <f t="shared" ca="1" si="172"/>
        <v>0</v>
      </c>
      <c r="BW63" s="1482">
        <f t="shared" ca="1" si="172"/>
        <v>0</v>
      </c>
      <c r="BX63" s="1482">
        <f t="shared" ca="1" si="172"/>
        <v>0</v>
      </c>
      <c r="BY63" s="1482">
        <f t="shared" ca="1" si="172"/>
        <v>0</v>
      </c>
      <c r="BZ63" s="1482">
        <f t="shared" ca="1" si="172"/>
        <v>0</v>
      </c>
      <c r="CA63" s="1482">
        <f t="shared" ca="1" si="172"/>
        <v>0</v>
      </c>
      <c r="CB63" s="1482">
        <f t="shared" ca="1" si="172"/>
        <v>0</v>
      </c>
      <c r="CC63" s="1482">
        <f t="shared" ca="1" si="172"/>
        <v>0</v>
      </c>
      <c r="CD63" s="1482">
        <f t="shared" ca="1" si="172"/>
        <v>0</v>
      </c>
      <c r="CE63" s="1482">
        <f t="shared" ca="1" si="172"/>
        <v>0</v>
      </c>
      <c r="CF63" s="1482">
        <f t="shared" ca="1" si="172"/>
        <v>0</v>
      </c>
      <c r="CG63" s="1482">
        <f t="shared" ca="1" si="172"/>
        <v>0</v>
      </c>
      <c r="CH63" s="1482">
        <f t="shared" ca="1" si="172"/>
        <v>0</v>
      </c>
      <c r="CI63" s="1482">
        <f t="shared" ca="1" si="172"/>
        <v>0</v>
      </c>
      <c r="CJ63" s="1482">
        <f t="shared" ca="1" si="172"/>
        <v>0</v>
      </c>
      <c r="CK63" s="1482">
        <f t="shared" ca="1" si="172"/>
        <v>0</v>
      </c>
      <c r="CL63" s="1482">
        <f t="shared" ca="1" si="172"/>
        <v>0</v>
      </c>
      <c r="CM63" s="1482">
        <f t="shared" ca="1" si="172"/>
        <v>0</v>
      </c>
      <c r="CN63" s="1482">
        <f t="shared" ca="1" si="172"/>
        <v>0</v>
      </c>
      <c r="CO63" s="1482">
        <f t="shared" ca="1" si="172"/>
        <v>0</v>
      </c>
      <c r="CP63" s="1482">
        <f t="shared" ca="1" si="172"/>
        <v>0</v>
      </c>
      <c r="CQ63" s="1482">
        <f t="shared" ca="1" si="172"/>
        <v>0</v>
      </c>
      <c r="CR63" s="1482">
        <f t="shared" ca="1" si="172"/>
        <v>0</v>
      </c>
      <c r="CS63" s="1482">
        <f t="shared" ca="1" si="172"/>
        <v>0</v>
      </c>
      <c r="CT63" s="1482">
        <f t="shared" ca="1" si="172"/>
        <v>0</v>
      </c>
      <c r="CU63" s="1482">
        <f t="shared" ca="1" si="172"/>
        <v>0</v>
      </c>
      <c r="CV63" s="1482">
        <f t="shared" ca="1" si="172"/>
        <v>0</v>
      </c>
      <c r="CW63" s="1482">
        <f t="shared" ca="1" si="172"/>
        <v>0</v>
      </c>
      <c r="CX63" s="1482">
        <f t="shared" ca="1" si="172"/>
        <v>0</v>
      </c>
      <c r="CY63" s="1482">
        <f t="shared" ca="1" si="172"/>
        <v>0</v>
      </c>
      <c r="CZ63" s="1482">
        <f t="shared" ca="1" si="172"/>
        <v>0</v>
      </c>
      <c r="DA63" s="1482">
        <f t="shared" ca="1" si="172"/>
        <v>0</v>
      </c>
      <c r="DB63" s="1482">
        <f t="shared" ca="1" si="172"/>
        <v>0</v>
      </c>
      <c r="DC63" s="1482">
        <f t="shared" ca="1" si="172"/>
        <v>0</v>
      </c>
      <c r="DD63" s="1482">
        <f t="shared" ca="1" si="172"/>
        <v>0</v>
      </c>
      <c r="DE63" s="1482">
        <f t="shared" ca="1" si="172"/>
        <v>0</v>
      </c>
      <c r="DF63" s="1482">
        <f t="shared" ca="1" si="172"/>
        <v>0</v>
      </c>
      <c r="DH63" s="838">
        <f t="shared" ca="1" si="125"/>
        <v>0</v>
      </c>
    </row>
    <row r="64" spans="1:112" s="743" customFormat="1" ht="12.75" hidden="1" customHeight="1" outlineLevel="1">
      <c r="A64" s="22"/>
      <c r="B64" s="22"/>
      <c r="C64" s="751"/>
      <c r="D64" s="512"/>
      <c r="E64" s="512"/>
      <c r="G64" s="958"/>
      <c r="H64" s="958"/>
      <c r="I64" s="958"/>
      <c r="J64" s="958"/>
      <c r="K64" s="960"/>
      <c r="L64" s="958"/>
      <c r="M64" s="958"/>
      <c r="N64" s="958"/>
      <c r="O64" s="958"/>
      <c r="P64" s="958"/>
      <c r="Q64" s="958"/>
      <c r="S64" s="970"/>
      <c r="T64" s="970"/>
      <c r="U64" s="970"/>
      <c r="V64" s="970"/>
      <c r="W64" s="970"/>
      <c r="X64" s="970"/>
      <c r="Y64" s="970"/>
      <c r="Z64" s="970"/>
      <c r="AA64" s="970"/>
      <c r="AB64" s="970"/>
      <c r="AC64" s="970"/>
      <c r="AD64" s="970"/>
      <c r="AE64" s="970"/>
      <c r="AF64" s="970"/>
      <c r="AG64" s="970"/>
      <c r="AH64" s="970"/>
      <c r="AI64" s="970"/>
      <c r="AJ64" s="970"/>
      <c r="AK64" s="970"/>
      <c r="AM64" s="976"/>
      <c r="AN64" s="976"/>
      <c r="AO64" s="976"/>
      <c r="AP64" s="976"/>
      <c r="AQ64" s="976"/>
      <c r="AR64" s="976"/>
      <c r="AS64" s="976"/>
      <c r="AT64" s="976"/>
      <c r="AU64" s="976"/>
      <c r="AV64" s="976"/>
      <c r="AW64" s="976"/>
      <c r="AX64" s="976"/>
      <c r="AY64" s="976"/>
      <c r="AZ64" s="976"/>
      <c r="BA64" s="976"/>
      <c r="BB64" s="976"/>
      <c r="BC64" s="976"/>
      <c r="BD64" s="976"/>
      <c r="BE64" s="976"/>
      <c r="BF64" s="976"/>
      <c r="BH64" s="990"/>
      <c r="BI64" s="990"/>
      <c r="BJ64" s="990"/>
      <c r="BL64" s="515"/>
      <c r="BM64" s="515"/>
      <c r="BN64" s="22"/>
      <c r="BO64" s="1482"/>
      <c r="BP64" s="1482"/>
      <c r="BQ64" s="1482"/>
      <c r="BR64" s="1482"/>
      <c r="BS64" s="1482"/>
      <c r="BT64" s="1482"/>
      <c r="BU64" s="1482"/>
      <c r="BV64" s="1482"/>
      <c r="BW64" s="1482"/>
      <c r="BX64" s="1482"/>
      <c r="BY64" s="1482"/>
      <c r="BZ64" s="1482"/>
      <c r="CA64" s="1482"/>
      <c r="CB64" s="1482"/>
      <c r="CC64" s="1482"/>
      <c r="CD64" s="1482"/>
      <c r="CE64" s="1482"/>
      <c r="CF64" s="1482"/>
      <c r="CG64" s="1482"/>
      <c r="CH64" s="1482"/>
      <c r="CI64" s="1482"/>
      <c r="CJ64" s="1482"/>
      <c r="CK64" s="1482"/>
      <c r="CL64" s="1482"/>
      <c r="CM64" s="1482"/>
      <c r="CN64" s="1482"/>
      <c r="CO64" s="1482"/>
      <c r="CP64" s="1482"/>
      <c r="CQ64" s="1482"/>
      <c r="CR64" s="1482"/>
      <c r="CS64" s="1482"/>
      <c r="CT64" s="1482"/>
      <c r="CU64" s="1482"/>
      <c r="CV64" s="1482"/>
      <c r="CW64" s="1482"/>
      <c r="CX64" s="1482"/>
      <c r="CY64" s="1482"/>
      <c r="CZ64" s="1482"/>
      <c r="DA64" s="1482"/>
      <c r="DB64" s="1482"/>
      <c r="DC64" s="1482"/>
      <c r="DD64" s="1482"/>
      <c r="DE64" s="1482"/>
      <c r="DF64" s="1482"/>
      <c r="DH64" s="838">
        <f t="shared" si="125"/>
        <v>0</v>
      </c>
    </row>
    <row r="65" spans="1:112" s="1484" customFormat="1" ht="12.75" hidden="1" customHeight="1" outlineLevel="1">
      <c r="C65" s="746" t="s">
        <v>976</v>
      </c>
      <c r="D65" s="521" t="str">
        <f>INDEX(Modules[Module], MATCH($C65, Modules[Code], 0))</f>
        <v>Distributed solar PV</v>
      </c>
      <c r="E65" s="521"/>
      <c r="G65" s="1604">
        <f t="shared" ref="G65:P67" ca="1" si="173">IFERROR(INDEX(INDIRECT($C65&amp;".Outputs["&amp;this.Year&amp;"]"), MATCH(G$5, INDIRECT($C65&amp;".Outputs[Vector]"), 0)), 0)</f>
        <v>0</v>
      </c>
      <c r="H65" s="1604">
        <f t="shared" ca="1" si="173"/>
        <v>0</v>
      </c>
      <c r="I65" s="1604">
        <f t="shared" ca="1" si="173"/>
        <v>0</v>
      </c>
      <c r="J65" s="1604">
        <f t="shared" ca="1" si="173"/>
        <v>0</v>
      </c>
      <c r="K65" s="1605">
        <f t="shared" ca="1" si="173"/>
        <v>0</v>
      </c>
      <c r="L65" s="1604">
        <f t="shared" ca="1" si="173"/>
        <v>0</v>
      </c>
      <c r="M65" s="1604">
        <f t="shared" ca="1" si="173"/>
        <v>0</v>
      </c>
      <c r="N65" s="1604">
        <f t="shared" ca="1" si="173"/>
        <v>0</v>
      </c>
      <c r="O65" s="1604">
        <f t="shared" ca="1" si="173"/>
        <v>0</v>
      </c>
      <c r="P65" s="1604">
        <f t="shared" ca="1" si="173"/>
        <v>0</v>
      </c>
      <c r="Q65" s="963">
        <f ca="1">SUM(G65:P65)</f>
        <v>0</v>
      </c>
      <c r="S65" s="1606">
        <f t="shared" ref="S65:BE67" ca="1" si="174">IFERROR(INDEX(INDIRECT($C65&amp;".Outputs["&amp;this.Year&amp;"]"), MATCH(S$5, INDIRECT($C65&amp;".Outputs[Vector]"), 0)), 0)</f>
        <v>0</v>
      </c>
      <c r="T65" s="1606">
        <f t="shared" ca="1" si="174"/>
        <v>1.700604E-2</v>
      </c>
      <c r="U65" s="1606">
        <f t="shared" ca="1" si="174"/>
        <v>0</v>
      </c>
      <c r="V65" s="1606">
        <f t="shared" ca="1" si="174"/>
        <v>0</v>
      </c>
      <c r="W65" s="1606">
        <f t="shared" ca="1" si="174"/>
        <v>0</v>
      </c>
      <c r="X65" s="1606">
        <f t="shared" ref="X65:Z67" ca="1" si="175">IFERROR(INDEX(INDIRECT($C65&amp;".Outputs["&amp;this.Year&amp;"]"), MATCH(X$5, INDIRECT($C65&amp;".Outputs[Vector]"), 0)), 0)</f>
        <v>0</v>
      </c>
      <c r="Y65" s="1606">
        <f t="shared" ca="1" si="175"/>
        <v>0</v>
      </c>
      <c r="Z65" s="1606">
        <f t="shared" ca="1" si="175"/>
        <v>0</v>
      </c>
      <c r="AA65" s="1606">
        <f t="shared" ca="1" si="174"/>
        <v>0</v>
      </c>
      <c r="AB65" s="1606">
        <f t="shared" ca="1" si="174"/>
        <v>0</v>
      </c>
      <c r="AC65" s="1606">
        <f t="shared" ca="1" si="174"/>
        <v>0</v>
      </c>
      <c r="AD65" s="1606">
        <f t="shared" ca="1" si="174"/>
        <v>0</v>
      </c>
      <c r="AE65" s="1606">
        <f t="shared" ca="1" si="174"/>
        <v>0</v>
      </c>
      <c r="AF65" s="1606">
        <f t="shared" ca="1" si="174"/>
        <v>0</v>
      </c>
      <c r="AG65" s="1606">
        <f t="shared" ca="1" si="174"/>
        <v>0</v>
      </c>
      <c r="AH65" s="1606">
        <f t="shared" ca="1" si="174"/>
        <v>0</v>
      </c>
      <c r="AI65" s="1606">
        <f t="shared" ca="1" si="174"/>
        <v>0</v>
      </c>
      <c r="AJ65" s="1606">
        <f t="shared" ca="1" si="174"/>
        <v>0</v>
      </c>
      <c r="AK65" s="972">
        <f ca="1">SUM(S65:AJ65)</f>
        <v>1.700604E-2</v>
      </c>
      <c r="AM65" s="1607">
        <f t="shared" ref="AM65:AU67" ca="1" si="176">IFERROR(INDEX(INDIRECT($C65&amp;".Outputs["&amp;this.Year&amp;"]"), MATCH(AM$5, INDIRECT($C65&amp;".Outputs[Vector]"), 0)), 0)</f>
        <v>0</v>
      </c>
      <c r="AN65" s="1607">
        <f t="shared" ca="1" si="176"/>
        <v>0</v>
      </c>
      <c r="AO65" s="1607">
        <f t="shared" ca="1" si="176"/>
        <v>0</v>
      </c>
      <c r="AP65" s="1607">
        <f t="shared" ca="1" si="176"/>
        <v>0</v>
      </c>
      <c r="AQ65" s="1607">
        <f t="shared" ca="1" si="176"/>
        <v>0</v>
      </c>
      <c r="AR65" s="1607">
        <f t="shared" ca="1" si="176"/>
        <v>0</v>
      </c>
      <c r="AS65" s="1607">
        <f t="shared" ca="1" si="176"/>
        <v>0</v>
      </c>
      <c r="AT65" s="1607">
        <f t="shared" ca="1" si="176"/>
        <v>0</v>
      </c>
      <c r="AU65" s="1607">
        <f t="shared" ca="1" si="176"/>
        <v>0</v>
      </c>
      <c r="AV65" s="1607">
        <f t="shared" ca="1" si="174"/>
        <v>0</v>
      </c>
      <c r="AW65" s="1607">
        <f t="shared" ca="1" si="174"/>
        <v>-1.700604E-2</v>
      </c>
      <c r="AX65" s="1607">
        <f t="shared" ca="1" si="174"/>
        <v>0</v>
      </c>
      <c r="AY65" s="1607">
        <f t="shared" ca="1" si="174"/>
        <v>0</v>
      </c>
      <c r="AZ65" s="1607">
        <f t="shared" ca="1" si="174"/>
        <v>0</v>
      </c>
      <c r="BA65" s="1607">
        <f t="shared" ca="1" si="174"/>
        <v>0</v>
      </c>
      <c r="BB65" s="1607">
        <f t="shared" ca="1" si="174"/>
        <v>0</v>
      </c>
      <c r="BC65" s="1607">
        <f t="shared" ca="1" si="174"/>
        <v>0</v>
      </c>
      <c r="BD65" s="1607">
        <f t="shared" ca="1" si="174"/>
        <v>0</v>
      </c>
      <c r="BE65" s="1607">
        <f t="shared" ca="1" si="174"/>
        <v>0</v>
      </c>
      <c r="BF65" s="979">
        <f ca="1">SUM(AM65:BE65)</f>
        <v>-1.700604E-2</v>
      </c>
      <c r="BH65" s="1608">
        <f t="shared" ref="BH65:BI67" ca="1" si="177">IFERROR(INDEX(INDIRECT($C65&amp;".Outputs["&amp;this.Year&amp;"]"), MATCH(BH$5, INDIRECT($C65&amp;".Outputs[Vector]"), 0)), 0)</f>
        <v>0</v>
      </c>
      <c r="BI65" s="1608">
        <f t="shared" ca="1" si="177"/>
        <v>0</v>
      </c>
      <c r="BJ65" s="992">
        <f ca="1">SUM(BH65:BI65)</f>
        <v>0</v>
      </c>
      <c r="BL65" s="814">
        <f t="shared" ref="BL65:BL70" ca="1" si="178">Q65+AK65+BF65+BJ65</f>
        <v>0</v>
      </c>
      <c r="BM65" s="814"/>
      <c r="BO65" s="1602">
        <f t="shared" ref="BO65:DF67" ca="1" si="179">IFERROR(SUMIFS(INDIRECT($C65&amp;".Emissions["&amp;this.Year&amp;"]"), INDIRECT($C65&amp;".Emissions[GHG]"), BO$6, INDIRECT($C65&amp;".Emissions[IPCC Sector]"), BO$5),0)</f>
        <v>0</v>
      </c>
      <c r="BP65" s="1602">
        <f t="shared" ca="1" si="179"/>
        <v>0</v>
      </c>
      <c r="BQ65" s="1602">
        <f t="shared" ca="1" si="179"/>
        <v>0</v>
      </c>
      <c r="BR65" s="1602">
        <f t="shared" ca="1" si="179"/>
        <v>0</v>
      </c>
      <c r="BS65" s="1602">
        <f t="shared" ca="1" si="179"/>
        <v>0</v>
      </c>
      <c r="BT65" s="1602">
        <f t="shared" ca="1" si="179"/>
        <v>0</v>
      </c>
      <c r="BU65" s="1602">
        <f t="shared" ca="1" si="179"/>
        <v>0</v>
      </c>
      <c r="BV65" s="1602">
        <f t="shared" ca="1" si="179"/>
        <v>0</v>
      </c>
      <c r="BW65" s="1602">
        <f t="shared" ca="1" si="179"/>
        <v>0</v>
      </c>
      <c r="BX65" s="1602">
        <f t="shared" ca="1" si="179"/>
        <v>0</v>
      </c>
      <c r="BY65" s="1602">
        <f t="shared" ca="1" si="179"/>
        <v>0</v>
      </c>
      <c r="BZ65" s="1602">
        <f t="shared" ca="1" si="179"/>
        <v>0</v>
      </c>
      <c r="CA65" s="1602">
        <f t="shared" ca="1" si="179"/>
        <v>0</v>
      </c>
      <c r="CB65" s="1602">
        <f t="shared" ca="1" si="179"/>
        <v>0</v>
      </c>
      <c r="CC65" s="1602">
        <f t="shared" ca="1" si="179"/>
        <v>0</v>
      </c>
      <c r="CD65" s="1602">
        <f t="shared" ca="1" si="179"/>
        <v>0</v>
      </c>
      <c r="CE65" s="1602">
        <f t="shared" ca="1" si="179"/>
        <v>0</v>
      </c>
      <c r="CF65" s="1602">
        <f t="shared" ca="1" si="179"/>
        <v>0</v>
      </c>
      <c r="CG65" s="1602">
        <f t="shared" ca="1" si="179"/>
        <v>0</v>
      </c>
      <c r="CH65" s="1602">
        <f t="shared" ca="1" si="179"/>
        <v>0</v>
      </c>
      <c r="CI65" s="1602">
        <f t="shared" ca="1" si="179"/>
        <v>0</v>
      </c>
      <c r="CJ65" s="1602">
        <f t="shared" ca="1" si="179"/>
        <v>0</v>
      </c>
      <c r="CK65" s="1602">
        <f t="shared" ca="1" si="179"/>
        <v>0</v>
      </c>
      <c r="CL65" s="1602">
        <f t="shared" ca="1" si="179"/>
        <v>0</v>
      </c>
      <c r="CM65" s="1602">
        <f t="shared" ca="1" si="179"/>
        <v>0</v>
      </c>
      <c r="CN65" s="1602">
        <f t="shared" ca="1" si="179"/>
        <v>0</v>
      </c>
      <c r="CO65" s="1602">
        <f t="shared" ca="1" si="179"/>
        <v>0</v>
      </c>
      <c r="CP65" s="1602">
        <f t="shared" ca="1" si="179"/>
        <v>0</v>
      </c>
      <c r="CQ65" s="1602">
        <f t="shared" ca="1" si="179"/>
        <v>0</v>
      </c>
      <c r="CR65" s="1602">
        <f t="shared" ca="1" si="179"/>
        <v>0</v>
      </c>
      <c r="CS65" s="1602">
        <f t="shared" ca="1" si="179"/>
        <v>0</v>
      </c>
      <c r="CT65" s="1602">
        <f t="shared" ca="1" si="179"/>
        <v>0</v>
      </c>
      <c r="CU65" s="1602">
        <f t="shared" ca="1" si="179"/>
        <v>0</v>
      </c>
      <c r="CV65" s="1602">
        <f t="shared" ca="1" si="179"/>
        <v>0</v>
      </c>
      <c r="CW65" s="1602">
        <f t="shared" ca="1" si="179"/>
        <v>0</v>
      </c>
      <c r="CX65" s="1602">
        <f t="shared" ca="1" si="179"/>
        <v>0</v>
      </c>
      <c r="CY65" s="1602">
        <f t="shared" ca="1" si="179"/>
        <v>0</v>
      </c>
      <c r="CZ65" s="1602">
        <f t="shared" ca="1" si="179"/>
        <v>0</v>
      </c>
      <c r="DA65" s="1602">
        <f t="shared" ca="1" si="179"/>
        <v>0</v>
      </c>
      <c r="DB65" s="1602">
        <f t="shared" ca="1" si="179"/>
        <v>0</v>
      </c>
      <c r="DC65" s="1602">
        <f t="shared" ca="1" si="179"/>
        <v>0</v>
      </c>
      <c r="DD65" s="1602">
        <f t="shared" ca="1" si="179"/>
        <v>0</v>
      </c>
      <c r="DE65" s="1602">
        <f t="shared" ca="1" si="179"/>
        <v>0</v>
      </c>
      <c r="DF65" s="1602">
        <f t="shared" ca="1" si="179"/>
        <v>0</v>
      </c>
      <c r="DH65" s="1603">
        <f t="shared" ca="1" si="125"/>
        <v>0</v>
      </c>
    </row>
    <row r="66" spans="1:112" s="1484" customFormat="1" ht="12.75" hidden="1" customHeight="1" outlineLevel="1">
      <c r="C66" s="746" t="s">
        <v>1329</v>
      </c>
      <c r="D66" s="521" t="str">
        <f>INDEX(Modules[Module], MATCH($C66, Modules[Code], 0))</f>
        <v>Distributed solar thermal</v>
      </c>
      <c r="E66" s="521"/>
      <c r="G66" s="1604">
        <f t="shared" ca="1" si="173"/>
        <v>0</v>
      </c>
      <c r="H66" s="1604">
        <f t="shared" ca="1" si="173"/>
        <v>0</v>
      </c>
      <c r="I66" s="1604">
        <f t="shared" ca="1" si="173"/>
        <v>0</v>
      </c>
      <c r="J66" s="1604">
        <f t="shared" ca="1" si="173"/>
        <v>0</v>
      </c>
      <c r="K66" s="1605">
        <f t="shared" ca="1" si="173"/>
        <v>0</v>
      </c>
      <c r="L66" s="1604">
        <f t="shared" ca="1" si="173"/>
        <v>0</v>
      </c>
      <c r="M66" s="1604">
        <f t="shared" ca="1" si="173"/>
        <v>0</v>
      </c>
      <c r="N66" s="1604">
        <f t="shared" ca="1" si="173"/>
        <v>0</v>
      </c>
      <c r="O66" s="1604">
        <f t="shared" ca="1" si="173"/>
        <v>0</v>
      </c>
      <c r="P66" s="1604">
        <f t="shared" ca="1" si="173"/>
        <v>0</v>
      </c>
      <c r="Q66" s="963">
        <f ca="1">SUM(G66:P66)</f>
        <v>0</v>
      </c>
      <c r="S66" s="1606">
        <f t="shared" ca="1" si="174"/>
        <v>0</v>
      </c>
      <c r="T66" s="1606">
        <f t="shared" ca="1" si="174"/>
        <v>0</v>
      </c>
      <c r="U66" s="1606">
        <f t="shared" ca="1" si="174"/>
        <v>0</v>
      </c>
      <c r="V66" s="1606">
        <f t="shared" ca="1" si="174"/>
        <v>0</v>
      </c>
      <c r="W66" s="1606">
        <f t="shared" ca="1" si="174"/>
        <v>0</v>
      </c>
      <c r="X66" s="1606">
        <f t="shared" ca="1" si="175"/>
        <v>0</v>
      </c>
      <c r="Y66" s="1606">
        <f t="shared" ca="1" si="175"/>
        <v>0</v>
      </c>
      <c r="Z66" s="1606">
        <f t="shared" ca="1" si="175"/>
        <v>0</v>
      </c>
      <c r="AA66" s="1606">
        <f t="shared" ca="1" si="174"/>
        <v>0</v>
      </c>
      <c r="AB66" s="1606">
        <f t="shared" ca="1" si="174"/>
        <v>0</v>
      </c>
      <c r="AC66" s="1606">
        <f t="shared" ca="1" si="174"/>
        <v>0</v>
      </c>
      <c r="AD66" s="1606">
        <f t="shared" ca="1" si="174"/>
        <v>0</v>
      </c>
      <c r="AE66" s="1606">
        <f t="shared" ca="1" si="174"/>
        <v>0</v>
      </c>
      <c r="AF66" s="1606">
        <f t="shared" ca="1" si="174"/>
        <v>0</v>
      </c>
      <c r="AG66" s="1606">
        <f t="shared" ca="1" si="174"/>
        <v>0</v>
      </c>
      <c r="AH66" s="1606">
        <f t="shared" ca="1" si="174"/>
        <v>0</v>
      </c>
      <c r="AI66" s="1606">
        <f t="shared" ca="1" si="174"/>
        <v>0</v>
      </c>
      <c r="AJ66" s="1606">
        <f t="shared" ca="1" si="174"/>
        <v>0</v>
      </c>
      <c r="AK66" s="972">
        <f ca="1">SUM(S66:AJ66)</f>
        <v>0</v>
      </c>
      <c r="AM66" s="1607">
        <f t="shared" ca="1" si="176"/>
        <v>0</v>
      </c>
      <c r="AN66" s="1607">
        <f t="shared" ca="1" si="176"/>
        <v>0</v>
      </c>
      <c r="AO66" s="1607">
        <f t="shared" ca="1" si="176"/>
        <v>0</v>
      </c>
      <c r="AP66" s="1607">
        <f t="shared" ca="1" si="176"/>
        <v>0</v>
      </c>
      <c r="AQ66" s="1607">
        <f t="shared" ca="1" si="176"/>
        <v>0</v>
      </c>
      <c r="AR66" s="1607">
        <f t="shared" ca="1" si="176"/>
        <v>0</v>
      </c>
      <c r="AS66" s="1607">
        <f t="shared" ca="1" si="176"/>
        <v>0</v>
      </c>
      <c r="AT66" s="1607">
        <f t="shared" ca="1" si="176"/>
        <v>0</v>
      </c>
      <c r="AU66" s="1607">
        <f t="shared" ca="1" si="176"/>
        <v>0</v>
      </c>
      <c r="AV66" s="1607">
        <f t="shared" ca="1" si="174"/>
        <v>0</v>
      </c>
      <c r="AW66" s="1607">
        <f t="shared" ca="1" si="174"/>
        <v>0</v>
      </c>
      <c r="AX66" s="1607">
        <f t="shared" ca="1" si="174"/>
        <v>0</v>
      </c>
      <c r="AY66" s="1607">
        <f t="shared" ca="1" si="174"/>
        <v>0</v>
      </c>
      <c r="AZ66" s="1607">
        <f t="shared" ca="1" si="174"/>
        <v>0</v>
      </c>
      <c r="BA66" s="1607">
        <f t="shared" ca="1" si="174"/>
        <v>0</v>
      </c>
      <c r="BB66" s="1607">
        <f t="shared" ca="1" si="174"/>
        <v>0</v>
      </c>
      <c r="BC66" s="1607">
        <f t="shared" ca="1" si="174"/>
        <v>0</v>
      </c>
      <c r="BD66" s="1607">
        <f t="shared" ca="1" si="174"/>
        <v>0</v>
      </c>
      <c r="BE66" s="1607">
        <f t="shared" ca="1" si="174"/>
        <v>0</v>
      </c>
      <c r="BF66" s="979">
        <f ca="1">SUM(AM66:BE66)</f>
        <v>0</v>
      </c>
      <c r="BH66" s="1608">
        <f t="shared" ca="1" si="177"/>
        <v>0</v>
      </c>
      <c r="BI66" s="1608">
        <f t="shared" ca="1" si="177"/>
        <v>0</v>
      </c>
      <c r="BJ66" s="992">
        <f ca="1">SUM(BH66:BI66)</f>
        <v>0</v>
      </c>
      <c r="BL66" s="814">
        <f t="shared" ca="1" si="178"/>
        <v>0</v>
      </c>
      <c r="BM66" s="814"/>
      <c r="BO66" s="1602">
        <f t="shared" ca="1" si="179"/>
        <v>0</v>
      </c>
      <c r="BP66" s="1602">
        <f t="shared" ca="1" si="179"/>
        <v>0</v>
      </c>
      <c r="BQ66" s="1602">
        <f t="shared" ca="1" si="179"/>
        <v>0</v>
      </c>
      <c r="BR66" s="1602">
        <f t="shared" ca="1" si="179"/>
        <v>0</v>
      </c>
      <c r="BS66" s="1602">
        <f t="shared" ca="1" si="179"/>
        <v>0</v>
      </c>
      <c r="BT66" s="1602">
        <f t="shared" ca="1" si="179"/>
        <v>0</v>
      </c>
      <c r="BU66" s="1602">
        <f t="shared" ca="1" si="179"/>
        <v>0</v>
      </c>
      <c r="BV66" s="1602">
        <f t="shared" ca="1" si="179"/>
        <v>0</v>
      </c>
      <c r="BW66" s="1602">
        <f t="shared" ca="1" si="179"/>
        <v>0</v>
      </c>
      <c r="BX66" s="1602">
        <f t="shared" ca="1" si="179"/>
        <v>0</v>
      </c>
      <c r="BY66" s="1602">
        <f t="shared" ca="1" si="179"/>
        <v>0</v>
      </c>
      <c r="BZ66" s="1602">
        <f t="shared" ca="1" si="179"/>
        <v>0</v>
      </c>
      <c r="CA66" s="1602">
        <f t="shared" ca="1" si="179"/>
        <v>0</v>
      </c>
      <c r="CB66" s="1602">
        <f t="shared" ca="1" si="179"/>
        <v>0</v>
      </c>
      <c r="CC66" s="1602">
        <f t="shared" ca="1" si="179"/>
        <v>0</v>
      </c>
      <c r="CD66" s="1602">
        <f t="shared" ca="1" si="179"/>
        <v>0</v>
      </c>
      <c r="CE66" s="1602">
        <f t="shared" ca="1" si="179"/>
        <v>0</v>
      </c>
      <c r="CF66" s="1602">
        <f t="shared" ca="1" si="179"/>
        <v>0</v>
      </c>
      <c r="CG66" s="1602">
        <f t="shared" ca="1" si="179"/>
        <v>0</v>
      </c>
      <c r="CH66" s="1602">
        <f t="shared" ca="1" si="179"/>
        <v>0</v>
      </c>
      <c r="CI66" s="1602">
        <f t="shared" ca="1" si="179"/>
        <v>0</v>
      </c>
      <c r="CJ66" s="1602">
        <f t="shared" ca="1" si="179"/>
        <v>0</v>
      </c>
      <c r="CK66" s="1602">
        <f t="shared" ca="1" si="179"/>
        <v>0</v>
      </c>
      <c r="CL66" s="1602">
        <f t="shared" ca="1" si="179"/>
        <v>0</v>
      </c>
      <c r="CM66" s="1602">
        <f t="shared" ca="1" si="179"/>
        <v>0</v>
      </c>
      <c r="CN66" s="1602">
        <f t="shared" ca="1" si="179"/>
        <v>0</v>
      </c>
      <c r="CO66" s="1602">
        <f t="shared" ca="1" si="179"/>
        <v>0</v>
      </c>
      <c r="CP66" s="1602">
        <f t="shared" ca="1" si="179"/>
        <v>0</v>
      </c>
      <c r="CQ66" s="1602">
        <f t="shared" ca="1" si="179"/>
        <v>0</v>
      </c>
      <c r="CR66" s="1602">
        <f t="shared" ca="1" si="179"/>
        <v>0</v>
      </c>
      <c r="CS66" s="1602">
        <f t="shared" ca="1" si="179"/>
        <v>0</v>
      </c>
      <c r="CT66" s="1602">
        <f t="shared" ca="1" si="179"/>
        <v>0</v>
      </c>
      <c r="CU66" s="1602">
        <f t="shared" ca="1" si="179"/>
        <v>0</v>
      </c>
      <c r="CV66" s="1602">
        <f t="shared" ca="1" si="179"/>
        <v>0</v>
      </c>
      <c r="CW66" s="1602">
        <f t="shared" ca="1" si="179"/>
        <v>0</v>
      </c>
      <c r="CX66" s="1602">
        <f t="shared" ca="1" si="179"/>
        <v>0</v>
      </c>
      <c r="CY66" s="1602">
        <f t="shared" ca="1" si="179"/>
        <v>0</v>
      </c>
      <c r="CZ66" s="1602">
        <f t="shared" ca="1" si="179"/>
        <v>0</v>
      </c>
      <c r="DA66" s="1602">
        <f t="shared" ca="1" si="179"/>
        <v>0</v>
      </c>
      <c r="DB66" s="1602">
        <f t="shared" ca="1" si="179"/>
        <v>0</v>
      </c>
      <c r="DC66" s="1602">
        <f t="shared" ca="1" si="179"/>
        <v>0</v>
      </c>
      <c r="DD66" s="1602">
        <f t="shared" ca="1" si="179"/>
        <v>0</v>
      </c>
      <c r="DE66" s="1602">
        <f t="shared" ca="1" si="179"/>
        <v>0</v>
      </c>
      <c r="DF66" s="1602">
        <f t="shared" ca="1" si="179"/>
        <v>0</v>
      </c>
      <c r="DH66" s="1603">
        <f t="shared" ca="1" si="125"/>
        <v>0</v>
      </c>
    </row>
    <row r="67" spans="1:112" s="1484" customFormat="1" ht="12.75" hidden="1" customHeight="1" outlineLevel="1">
      <c r="C67" s="746" t="s">
        <v>1597</v>
      </c>
      <c r="D67" s="1010" t="str">
        <f>INDEX(Modules[Module], MATCH($C67, Modules[Code], 0))</f>
        <v>Micro wind</v>
      </c>
      <c r="E67" s="1010"/>
      <c r="F67" s="743"/>
      <c r="G67" s="1022">
        <f t="shared" ca="1" si="173"/>
        <v>0</v>
      </c>
      <c r="H67" s="1022">
        <f t="shared" ca="1" si="173"/>
        <v>0</v>
      </c>
      <c r="I67" s="1022">
        <f t="shared" ca="1" si="173"/>
        <v>0</v>
      </c>
      <c r="J67" s="1022">
        <f t="shared" ca="1" si="173"/>
        <v>0</v>
      </c>
      <c r="K67" s="1022">
        <f t="shared" ca="1" si="173"/>
        <v>0</v>
      </c>
      <c r="L67" s="1022">
        <f t="shared" ca="1" si="173"/>
        <v>0</v>
      </c>
      <c r="M67" s="1022">
        <f t="shared" ca="1" si="173"/>
        <v>0</v>
      </c>
      <c r="N67" s="1022">
        <f t="shared" ca="1" si="173"/>
        <v>0</v>
      </c>
      <c r="O67" s="1022">
        <f t="shared" ca="1" si="173"/>
        <v>0</v>
      </c>
      <c r="P67" s="1022">
        <f t="shared" ca="1" si="173"/>
        <v>0</v>
      </c>
      <c r="Q67" s="1020">
        <f ca="1">SUM(G67:P67)</f>
        <v>0</v>
      </c>
      <c r="R67" s="743"/>
      <c r="S67" s="1031">
        <f t="shared" ca="1" si="174"/>
        <v>0</v>
      </c>
      <c r="T67" s="1031">
        <f t="shared" ca="1" si="174"/>
        <v>0</v>
      </c>
      <c r="U67" s="1031">
        <f t="shared" ca="1" si="174"/>
        <v>0</v>
      </c>
      <c r="V67" s="1031">
        <f t="shared" ca="1" si="174"/>
        <v>0</v>
      </c>
      <c r="W67" s="1031">
        <f t="shared" ca="1" si="174"/>
        <v>0</v>
      </c>
      <c r="X67" s="1031">
        <f t="shared" ca="1" si="175"/>
        <v>0</v>
      </c>
      <c r="Y67" s="1031">
        <f t="shared" ca="1" si="175"/>
        <v>0</v>
      </c>
      <c r="Z67" s="1031">
        <f t="shared" ca="1" si="175"/>
        <v>0</v>
      </c>
      <c r="AA67" s="1031">
        <f t="shared" ca="1" si="174"/>
        <v>0</v>
      </c>
      <c r="AB67" s="1031">
        <f t="shared" ca="1" si="174"/>
        <v>0</v>
      </c>
      <c r="AC67" s="1031">
        <f t="shared" ca="1" si="174"/>
        <v>0</v>
      </c>
      <c r="AD67" s="1031">
        <f t="shared" ca="1" si="174"/>
        <v>0</v>
      </c>
      <c r="AE67" s="1031">
        <f t="shared" ca="1" si="174"/>
        <v>0</v>
      </c>
      <c r="AF67" s="1031">
        <f t="shared" ca="1" si="174"/>
        <v>0</v>
      </c>
      <c r="AG67" s="1031">
        <f t="shared" ca="1" si="174"/>
        <v>0</v>
      </c>
      <c r="AH67" s="1031">
        <f t="shared" ca="1" si="174"/>
        <v>0</v>
      </c>
      <c r="AI67" s="1031">
        <f t="shared" ca="1" si="174"/>
        <v>0</v>
      </c>
      <c r="AJ67" s="1031">
        <f t="shared" ca="1" si="174"/>
        <v>0</v>
      </c>
      <c r="AK67" s="1030">
        <f ca="1">SUM(S67:AJ67)</f>
        <v>0</v>
      </c>
      <c r="AL67" s="743"/>
      <c r="AM67" s="1042">
        <f t="shared" ca="1" si="176"/>
        <v>0</v>
      </c>
      <c r="AN67" s="1042">
        <f t="shared" ca="1" si="176"/>
        <v>0</v>
      </c>
      <c r="AO67" s="1042">
        <f t="shared" ca="1" si="176"/>
        <v>0</v>
      </c>
      <c r="AP67" s="1042">
        <f t="shared" ca="1" si="176"/>
        <v>0</v>
      </c>
      <c r="AQ67" s="1042">
        <f t="shared" ca="1" si="176"/>
        <v>0</v>
      </c>
      <c r="AR67" s="1042">
        <f t="shared" ca="1" si="176"/>
        <v>0</v>
      </c>
      <c r="AS67" s="1042">
        <f t="shared" ca="1" si="176"/>
        <v>0</v>
      </c>
      <c r="AT67" s="1042">
        <f t="shared" ca="1" si="176"/>
        <v>0</v>
      </c>
      <c r="AU67" s="1042">
        <f t="shared" ca="1" si="176"/>
        <v>0</v>
      </c>
      <c r="AV67" s="1042">
        <f t="shared" ca="1" si="174"/>
        <v>0</v>
      </c>
      <c r="AW67" s="1042">
        <f t="shared" ca="1" si="174"/>
        <v>0</v>
      </c>
      <c r="AX67" s="1042">
        <f t="shared" ca="1" si="174"/>
        <v>0</v>
      </c>
      <c r="AY67" s="1042">
        <f t="shared" ca="1" si="174"/>
        <v>0</v>
      </c>
      <c r="AZ67" s="1042">
        <f t="shared" ca="1" si="174"/>
        <v>0</v>
      </c>
      <c r="BA67" s="1042">
        <f t="shared" ca="1" si="174"/>
        <v>0</v>
      </c>
      <c r="BB67" s="1042">
        <f t="shared" ca="1" si="174"/>
        <v>0</v>
      </c>
      <c r="BC67" s="1042">
        <f t="shared" ca="1" si="174"/>
        <v>0</v>
      </c>
      <c r="BD67" s="1042">
        <f t="shared" ca="1" si="174"/>
        <v>0</v>
      </c>
      <c r="BE67" s="1042">
        <f t="shared" ca="1" si="174"/>
        <v>0</v>
      </c>
      <c r="BF67" s="1012">
        <f ca="1">SUM(AM67:BE67)</f>
        <v>0</v>
      </c>
      <c r="BG67" s="743"/>
      <c r="BH67" s="1036">
        <f t="shared" ca="1" si="177"/>
        <v>0</v>
      </c>
      <c r="BI67" s="1036">
        <f t="shared" ca="1" si="177"/>
        <v>0</v>
      </c>
      <c r="BJ67" s="1035">
        <f ca="1">SUM(BH67:BI67)</f>
        <v>0</v>
      </c>
      <c r="BK67" s="743"/>
      <c r="BL67" s="814">
        <f t="shared" ca="1" si="178"/>
        <v>0</v>
      </c>
      <c r="BM67" s="814"/>
      <c r="BN67" s="840"/>
      <c r="BO67" s="1485">
        <f t="shared" ca="1" si="179"/>
        <v>0</v>
      </c>
      <c r="BP67" s="1486">
        <f t="shared" ca="1" si="179"/>
        <v>0</v>
      </c>
      <c r="BQ67" s="1486">
        <f t="shared" ca="1" si="179"/>
        <v>0</v>
      </c>
      <c r="BR67" s="1486">
        <f t="shared" ca="1" si="179"/>
        <v>0</v>
      </c>
      <c r="BS67" s="1486">
        <f t="shared" ca="1" si="179"/>
        <v>0</v>
      </c>
      <c r="BT67" s="1486">
        <f t="shared" ca="1" si="179"/>
        <v>0</v>
      </c>
      <c r="BU67" s="1486">
        <f t="shared" ca="1" si="179"/>
        <v>0</v>
      </c>
      <c r="BV67" s="1486">
        <f t="shared" ca="1" si="179"/>
        <v>0</v>
      </c>
      <c r="BW67" s="1486">
        <f t="shared" ca="1" si="179"/>
        <v>0</v>
      </c>
      <c r="BX67" s="1486">
        <f t="shared" ca="1" si="179"/>
        <v>0</v>
      </c>
      <c r="BY67" s="1486">
        <f t="shared" ca="1" si="179"/>
        <v>0</v>
      </c>
      <c r="BZ67" s="1486">
        <f t="shared" ca="1" si="179"/>
        <v>0</v>
      </c>
      <c r="CA67" s="1486">
        <f t="shared" ca="1" si="179"/>
        <v>0</v>
      </c>
      <c r="CB67" s="1486">
        <f t="shared" ca="1" si="179"/>
        <v>0</v>
      </c>
      <c r="CC67" s="1486">
        <f t="shared" ca="1" si="179"/>
        <v>0</v>
      </c>
      <c r="CD67" s="1486">
        <f t="shared" ca="1" si="179"/>
        <v>0</v>
      </c>
      <c r="CE67" s="1486">
        <f t="shared" ca="1" si="179"/>
        <v>0</v>
      </c>
      <c r="CF67" s="1486">
        <f t="shared" ca="1" si="179"/>
        <v>0</v>
      </c>
      <c r="CG67" s="1486">
        <f t="shared" ca="1" si="179"/>
        <v>0</v>
      </c>
      <c r="CH67" s="1486">
        <f t="shared" ca="1" si="179"/>
        <v>0</v>
      </c>
      <c r="CI67" s="1486">
        <f t="shared" ca="1" si="179"/>
        <v>0</v>
      </c>
      <c r="CJ67" s="1486">
        <f t="shared" ca="1" si="179"/>
        <v>0</v>
      </c>
      <c r="CK67" s="1486">
        <f t="shared" ca="1" si="179"/>
        <v>0</v>
      </c>
      <c r="CL67" s="1486">
        <f t="shared" ca="1" si="179"/>
        <v>0</v>
      </c>
      <c r="CM67" s="1486">
        <f t="shared" ca="1" si="179"/>
        <v>0</v>
      </c>
      <c r="CN67" s="1486">
        <f t="shared" ca="1" si="179"/>
        <v>0</v>
      </c>
      <c r="CO67" s="1486">
        <f t="shared" ca="1" si="179"/>
        <v>0</v>
      </c>
      <c r="CP67" s="1486">
        <f t="shared" ca="1" si="179"/>
        <v>0</v>
      </c>
      <c r="CQ67" s="1486">
        <f t="shared" ca="1" si="179"/>
        <v>0</v>
      </c>
      <c r="CR67" s="1486">
        <f t="shared" ca="1" si="179"/>
        <v>0</v>
      </c>
      <c r="CS67" s="1486">
        <f t="shared" ca="1" si="179"/>
        <v>0</v>
      </c>
      <c r="CT67" s="1486">
        <f t="shared" ca="1" si="179"/>
        <v>0</v>
      </c>
      <c r="CU67" s="1486">
        <f t="shared" ca="1" si="179"/>
        <v>0</v>
      </c>
      <c r="CV67" s="1486">
        <f t="shared" ca="1" si="179"/>
        <v>0</v>
      </c>
      <c r="CW67" s="1486">
        <f t="shared" ca="1" si="179"/>
        <v>0</v>
      </c>
      <c r="CX67" s="1486">
        <f t="shared" ca="1" si="179"/>
        <v>0</v>
      </c>
      <c r="CY67" s="1486">
        <f t="shared" ca="1" si="179"/>
        <v>0</v>
      </c>
      <c r="CZ67" s="1486">
        <f t="shared" ca="1" si="179"/>
        <v>0</v>
      </c>
      <c r="DA67" s="1486">
        <f t="shared" ca="1" si="179"/>
        <v>0</v>
      </c>
      <c r="DB67" s="1486">
        <f t="shared" ca="1" si="179"/>
        <v>0</v>
      </c>
      <c r="DC67" s="1486">
        <f t="shared" ca="1" si="179"/>
        <v>0</v>
      </c>
      <c r="DD67" s="1486">
        <f t="shared" ca="1" si="179"/>
        <v>0</v>
      </c>
      <c r="DE67" s="1486">
        <f t="shared" ca="1" si="179"/>
        <v>0</v>
      </c>
      <c r="DF67" s="1486">
        <f t="shared" ca="1" si="179"/>
        <v>0</v>
      </c>
      <c r="DH67" s="838">
        <f t="shared" ca="1" si="125"/>
        <v>0</v>
      </c>
    </row>
    <row r="68" spans="1:112" s="743" customFormat="1" ht="15.75" collapsed="1">
      <c r="A68" s="22"/>
      <c r="B68" s="753"/>
      <c r="C68" s="744" t="s">
        <v>77</v>
      </c>
      <c r="D68" s="517" t="str">
        <f>INDEX(Workstreams[Workstream], MATCH($C68, Workstreams[Code], 0))</f>
        <v>Distributed renewable power generation</v>
      </c>
      <c r="E68" s="512"/>
      <c r="G68" s="1021">
        <f ca="1">SUM(G65:G67)</f>
        <v>0</v>
      </c>
      <c r="H68" s="1021">
        <f t="shared" ref="H68:P68" ca="1" si="180">SUM(H65:H67)</f>
        <v>0</v>
      </c>
      <c r="I68" s="1021">
        <f t="shared" ca="1" si="180"/>
        <v>0</v>
      </c>
      <c r="J68" s="1021">
        <f t="shared" ca="1" si="180"/>
        <v>0</v>
      </c>
      <c r="K68" s="1021">
        <f t="shared" ca="1" si="180"/>
        <v>0</v>
      </c>
      <c r="L68" s="1021">
        <f t="shared" ca="1" si="180"/>
        <v>0</v>
      </c>
      <c r="M68" s="1021">
        <f t="shared" ca="1" si="180"/>
        <v>0</v>
      </c>
      <c r="N68" s="1021">
        <f t="shared" ca="1" si="180"/>
        <v>0</v>
      </c>
      <c r="O68" s="1021">
        <f t="shared" ca="1" si="180"/>
        <v>0</v>
      </c>
      <c r="P68" s="1021">
        <f t="shared" ca="1" si="180"/>
        <v>0</v>
      </c>
      <c r="Q68" s="1021">
        <f ca="1">SUM(G68:P68)</f>
        <v>0</v>
      </c>
      <c r="S68" s="970">
        <f t="shared" ref="S68:AJ68" ca="1" si="181">SUM(S65:S67)</f>
        <v>0</v>
      </c>
      <c r="T68" s="970">
        <f t="shared" ca="1" si="181"/>
        <v>1.700604E-2</v>
      </c>
      <c r="U68" s="970">
        <f t="shared" ca="1" si="181"/>
        <v>0</v>
      </c>
      <c r="V68" s="970">
        <f t="shared" ca="1" si="181"/>
        <v>0</v>
      </c>
      <c r="W68" s="970">
        <f t="shared" ca="1" si="181"/>
        <v>0</v>
      </c>
      <c r="X68" s="970">
        <f t="shared" ca="1" si="181"/>
        <v>0</v>
      </c>
      <c r="Y68" s="970">
        <f t="shared" ca="1" si="181"/>
        <v>0</v>
      </c>
      <c r="Z68" s="970">
        <f t="shared" ca="1" si="181"/>
        <v>0</v>
      </c>
      <c r="AA68" s="970">
        <f t="shared" ca="1" si="181"/>
        <v>0</v>
      </c>
      <c r="AB68" s="970">
        <f t="shared" ca="1" si="181"/>
        <v>0</v>
      </c>
      <c r="AC68" s="970">
        <f t="shared" ca="1" si="181"/>
        <v>0</v>
      </c>
      <c r="AD68" s="970">
        <f t="shared" ca="1" si="181"/>
        <v>0</v>
      </c>
      <c r="AE68" s="970">
        <f ca="1">SUM(AE65:AE67)</f>
        <v>0</v>
      </c>
      <c r="AF68" s="970">
        <f t="shared" ca="1" si="181"/>
        <v>0</v>
      </c>
      <c r="AG68" s="970">
        <f t="shared" ca="1" si="181"/>
        <v>0</v>
      </c>
      <c r="AH68" s="970">
        <f ca="1">SUM(AH65:AH67)</f>
        <v>0</v>
      </c>
      <c r="AI68" s="970">
        <f t="shared" ca="1" si="181"/>
        <v>0</v>
      </c>
      <c r="AJ68" s="970">
        <f t="shared" ca="1" si="181"/>
        <v>0</v>
      </c>
      <c r="AK68" s="970">
        <f ca="1">SUM(S68:AJ68)</f>
        <v>1.700604E-2</v>
      </c>
      <c r="AM68" s="976">
        <f t="shared" ref="AM68:BE68" ca="1" si="182">SUM(AM65:AM67)</f>
        <v>0</v>
      </c>
      <c r="AN68" s="976">
        <f t="shared" ca="1" si="182"/>
        <v>0</v>
      </c>
      <c r="AO68" s="976">
        <f t="shared" ca="1" si="182"/>
        <v>0</v>
      </c>
      <c r="AP68" s="976">
        <f t="shared" ca="1" si="182"/>
        <v>0</v>
      </c>
      <c r="AQ68" s="976">
        <f t="shared" ca="1" si="182"/>
        <v>0</v>
      </c>
      <c r="AR68" s="976">
        <f t="shared" ca="1" si="182"/>
        <v>0</v>
      </c>
      <c r="AS68" s="976">
        <f t="shared" ca="1" si="182"/>
        <v>0</v>
      </c>
      <c r="AT68" s="976">
        <f t="shared" ca="1" si="182"/>
        <v>0</v>
      </c>
      <c r="AU68" s="976">
        <f t="shared" ca="1" si="182"/>
        <v>0</v>
      </c>
      <c r="AV68" s="976">
        <f t="shared" ca="1" si="182"/>
        <v>0</v>
      </c>
      <c r="AW68" s="976">
        <f t="shared" ca="1" si="182"/>
        <v>-1.700604E-2</v>
      </c>
      <c r="AX68" s="976">
        <f t="shared" ca="1" si="182"/>
        <v>0</v>
      </c>
      <c r="AY68" s="976">
        <f t="shared" ca="1" si="182"/>
        <v>0</v>
      </c>
      <c r="AZ68" s="976">
        <f t="shared" ca="1" si="182"/>
        <v>0</v>
      </c>
      <c r="BA68" s="976">
        <f t="shared" ca="1" si="182"/>
        <v>0</v>
      </c>
      <c r="BB68" s="976">
        <f t="shared" ca="1" si="182"/>
        <v>0</v>
      </c>
      <c r="BC68" s="976">
        <f t="shared" ca="1" si="182"/>
        <v>0</v>
      </c>
      <c r="BD68" s="976">
        <f t="shared" ca="1" si="182"/>
        <v>0</v>
      </c>
      <c r="BE68" s="976">
        <f t="shared" ca="1" si="182"/>
        <v>0</v>
      </c>
      <c r="BF68" s="976">
        <f ca="1">SUM(AM68:BE68)</f>
        <v>-1.700604E-2</v>
      </c>
      <c r="BH68" s="990">
        <f ca="1">SUM(BH65:BH67)</f>
        <v>0</v>
      </c>
      <c r="BI68" s="990">
        <f ca="1">SUM(BI65:BI67)</f>
        <v>0</v>
      </c>
      <c r="BJ68" s="990">
        <f ca="1">SUM(BH68:BI68)</f>
        <v>0</v>
      </c>
      <c r="BL68" s="515">
        <f t="shared" ca="1" si="178"/>
        <v>0</v>
      </c>
      <c r="BM68" s="515"/>
      <c r="BN68" s="840"/>
      <c r="BO68" s="1482">
        <f ca="1">SUM(BO65:BO67)</f>
        <v>0</v>
      </c>
      <c r="BP68" s="1482">
        <f t="shared" ref="BP68:DF68" ca="1" si="183">SUM(BP65:BP67)</f>
        <v>0</v>
      </c>
      <c r="BQ68" s="1482">
        <f t="shared" ca="1" si="183"/>
        <v>0</v>
      </c>
      <c r="BR68" s="1482">
        <f t="shared" ca="1" si="183"/>
        <v>0</v>
      </c>
      <c r="BS68" s="1482">
        <f t="shared" ca="1" si="183"/>
        <v>0</v>
      </c>
      <c r="BT68" s="1482">
        <f t="shared" ca="1" si="183"/>
        <v>0</v>
      </c>
      <c r="BU68" s="1482">
        <f t="shared" ca="1" si="183"/>
        <v>0</v>
      </c>
      <c r="BV68" s="1482">
        <f t="shared" ca="1" si="183"/>
        <v>0</v>
      </c>
      <c r="BW68" s="1482">
        <f t="shared" ca="1" si="183"/>
        <v>0</v>
      </c>
      <c r="BX68" s="1482">
        <f t="shared" ca="1" si="183"/>
        <v>0</v>
      </c>
      <c r="BY68" s="1482">
        <f t="shared" ca="1" si="183"/>
        <v>0</v>
      </c>
      <c r="BZ68" s="1482">
        <f t="shared" ca="1" si="183"/>
        <v>0</v>
      </c>
      <c r="CA68" s="1482">
        <f t="shared" ca="1" si="183"/>
        <v>0</v>
      </c>
      <c r="CB68" s="1482">
        <f t="shared" ca="1" si="183"/>
        <v>0</v>
      </c>
      <c r="CC68" s="1482">
        <f t="shared" ca="1" si="183"/>
        <v>0</v>
      </c>
      <c r="CD68" s="1482">
        <f t="shared" ca="1" si="183"/>
        <v>0</v>
      </c>
      <c r="CE68" s="1482">
        <f t="shared" ca="1" si="183"/>
        <v>0</v>
      </c>
      <c r="CF68" s="1482">
        <f t="shared" ca="1" si="183"/>
        <v>0</v>
      </c>
      <c r="CG68" s="1482">
        <f t="shared" ca="1" si="183"/>
        <v>0</v>
      </c>
      <c r="CH68" s="1482">
        <f t="shared" ca="1" si="183"/>
        <v>0</v>
      </c>
      <c r="CI68" s="1482">
        <f t="shared" ca="1" si="183"/>
        <v>0</v>
      </c>
      <c r="CJ68" s="1482">
        <f t="shared" ca="1" si="183"/>
        <v>0</v>
      </c>
      <c r="CK68" s="1482">
        <f t="shared" ca="1" si="183"/>
        <v>0</v>
      </c>
      <c r="CL68" s="1482">
        <f t="shared" ca="1" si="183"/>
        <v>0</v>
      </c>
      <c r="CM68" s="1482">
        <f t="shared" ca="1" si="183"/>
        <v>0</v>
      </c>
      <c r="CN68" s="1482">
        <f t="shared" ca="1" si="183"/>
        <v>0</v>
      </c>
      <c r="CO68" s="1482">
        <f t="shared" ca="1" si="183"/>
        <v>0</v>
      </c>
      <c r="CP68" s="1482">
        <f t="shared" ca="1" si="183"/>
        <v>0</v>
      </c>
      <c r="CQ68" s="1482">
        <f t="shared" ca="1" si="183"/>
        <v>0</v>
      </c>
      <c r="CR68" s="1482">
        <f t="shared" ca="1" si="183"/>
        <v>0</v>
      </c>
      <c r="CS68" s="1482">
        <f t="shared" ca="1" si="183"/>
        <v>0</v>
      </c>
      <c r="CT68" s="1482">
        <f t="shared" ca="1" si="183"/>
        <v>0</v>
      </c>
      <c r="CU68" s="1482">
        <f t="shared" ca="1" si="183"/>
        <v>0</v>
      </c>
      <c r="CV68" s="1482">
        <f t="shared" ca="1" si="183"/>
        <v>0</v>
      </c>
      <c r="CW68" s="1482">
        <f t="shared" ca="1" si="183"/>
        <v>0</v>
      </c>
      <c r="CX68" s="1482">
        <f t="shared" ca="1" si="183"/>
        <v>0</v>
      </c>
      <c r="CY68" s="1482">
        <f t="shared" ca="1" si="183"/>
        <v>0</v>
      </c>
      <c r="CZ68" s="1482">
        <f t="shared" ca="1" si="183"/>
        <v>0</v>
      </c>
      <c r="DA68" s="1482">
        <f t="shared" ca="1" si="183"/>
        <v>0</v>
      </c>
      <c r="DB68" s="1482">
        <f t="shared" ca="1" si="183"/>
        <v>0</v>
      </c>
      <c r="DC68" s="1482">
        <f t="shared" ca="1" si="183"/>
        <v>0</v>
      </c>
      <c r="DD68" s="1482">
        <f t="shared" ca="1" si="183"/>
        <v>0</v>
      </c>
      <c r="DE68" s="1482">
        <f t="shared" ca="1" si="183"/>
        <v>0</v>
      </c>
      <c r="DF68" s="1482">
        <f t="shared" ca="1" si="183"/>
        <v>0</v>
      </c>
      <c r="DH68" s="838">
        <f t="shared" ca="1" si="125"/>
        <v>0</v>
      </c>
    </row>
    <row r="69" spans="1:112" s="743" customFormat="1" ht="12.75" hidden="1" customHeight="1" outlineLevel="1">
      <c r="A69" s="22"/>
      <c r="B69" s="22"/>
      <c r="C69" s="751"/>
      <c r="D69" s="512"/>
      <c r="E69" s="512"/>
      <c r="G69" s="958"/>
      <c r="H69" s="958"/>
      <c r="I69" s="958"/>
      <c r="J69" s="958"/>
      <c r="K69" s="960"/>
      <c r="L69" s="958"/>
      <c r="M69" s="958"/>
      <c r="N69" s="958"/>
      <c r="O69" s="958"/>
      <c r="P69" s="958"/>
      <c r="Q69" s="958"/>
      <c r="S69" s="970"/>
      <c r="T69" s="970"/>
      <c r="U69" s="970"/>
      <c r="V69" s="970"/>
      <c r="W69" s="970"/>
      <c r="X69" s="970"/>
      <c r="Y69" s="970"/>
      <c r="Z69" s="970"/>
      <c r="AA69" s="970"/>
      <c r="AB69" s="970"/>
      <c r="AC69" s="970"/>
      <c r="AD69" s="970"/>
      <c r="AE69" s="970"/>
      <c r="AF69" s="970"/>
      <c r="AG69" s="970"/>
      <c r="AH69" s="970"/>
      <c r="AI69" s="970"/>
      <c r="AJ69" s="970"/>
      <c r="AK69" s="970"/>
      <c r="AM69" s="976"/>
      <c r="AN69" s="976"/>
      <c r="AO69" s="976"/>
      <c r="AP69" s="976"/>
      <c r="AQ69" s="976"/>
      <c r="AR69" s="976"/>
      <c r="AS69" s="976"/>
      <c r="AT69" s="976"/>
      <c r="AU69" s="976"/>
      <c r="AV69" s="976"/>
      <c r="AW69" s="976"/>
      <c r="AX69" s="976"/>
      <c r="AY69" s="976"/>
      <c r="AZ69" s="976"/>
      <c r="BA69" s="976"/>
      <c r="BB69" s="976"/>
      <c r="BC69" s="976"/>
      <c r="BD69" s="976"/>
      <c r="BE69" s="976"/>
      <c r="BF69" s="976"/>
      <c r="BH69" s="990"/>
      <c r="BI69" s="990"/>
      <c r="BJ69" s="990"/>
      <c r="BL69" s="515">
        <f t="shared" si="178"/>
        <v>0</v>
      </c>
      <c r="BM69" s="515"/>
      <c r="BN69" s="22"/>
      <c r="BO69" s="1482"/>
      <c r="BP69" s="1482"/>
      <c r="BQ69" s="1482"/>
      <c r="BR69" s="1482"/>
      <c r="BS69" s="1482"/>
      <c r="BT69" s="1482"/>
      <c r="BU69" s="1482"/>
      <c r="BV69" s="1482"/>
      <c r="BW69" s="1482"/>
      <c r="BX69" s="1482"/>
      <c r="BY69" s="1482"/>
      <c r="BZ69" s="1482"/>
      <c r="CA69" s="1482"/>
      <c r="CB69" s="1482"/>
      <c r="CC69" s="1482"/>
      <c r="CD69" s="1482"/>
      <c r="CE69" s="1482"/>
      <c r="CF69" s="1482"/>
      <c r="CG69" s="1482"/>
      <c r="CH69" s="1482"/>
      <c r="CI69" s="1482"/>
      <c r="CJ69" s="1482"/>
      <c r="CK69" s="1482"/>
      <c r="CL69" s="1482"/>
      <c r="CM69" s="1482"/>
      <c r="CN69" s="1482"/>
      <c r="CO69" s="1482"/>
      <c r="CP69" s="1482"/>
      <c r="CQ69" s="1482"/>
      <c r="CR69" s="1482"/>
      <c r="CS69" s="1482"/>
      <c r="CT69" s="1482"/>
      <c r="CU69" s="1482"/>
      <c r="CV69" s="1482"/>
      <c r="CW69" s="1482"/>
      <c r="CX69" s="1482"/>
      <c r="CY69" s="1482"/>
      <c r="CZ69" s="1482"/>
      <c r="DA69" s="1482"/>
      <c r="DB69" s="1482"/>
      <c r="DC69" s="1482"/>
      <c r="DD69" s="1482"/>
      <c r="DE69" s="1482"/>
      <c r="DF69" s="1482"/>
      <c r="DH69" s="838">
        <f t="shared" si="125"/>
        <v>0</v>
      </c>
    </row>
    <row r="70" spans="1:112" s="1491" customFormat="1" ht="12.75" hidden="1" customHeight="1" outlineLevel="1">
      <c r="C70" s="1534" t="s">
        <v>1718</v>
      </c>
      <c r="D70" s="1535" t="s">
        <v>1340</v>
      </c>
      <c r="E70" s="1535"/>
      <c r="F70" s="1957"/>
      <c r="G70" s="1070"/>
      <c r="H70" s="1070"/>
      <c r="I70" s="1070"/>
      <c r="J70" s="1070"/>
      <c r="K70" s="1071"/>
      <c r="L70" s="1070"/>
      <c r="M70" s="1070"/>
      <c r="N70" s="1070"/>
      <c r="O70" s="1070"/>
      <c r="P70" s="1070"/>
      <c r="Q70" s="1070"/>
      <c r="R70" s="1957"/>
      <c r="S70" s="1072"/>
      <c r="T70" s="1072"/>
      <c r="U70" s="1072"/>
      <c r="V70" s="1072"/>
      <c r="W70" s="1072"/>
      <c r="X70" s="1072"/>
      <c r="Y70" s="1072"/>
      <c r="Z70" s="1072"/>
      <c r="AA70" s="1072"/>
      <c r="AB70" s="1072">
        <f ca="1">AB$40+AB$46+AB$51+AB$99+AB$55+AB$63+AB$68</f>
        <v>-8.8131931365908187</v>
      </c>
      <c r="AC70" s="1072"/>
      <c r="AD70" s="1072"/>
      <c r="AE70" s="1072"/>
      <c r="AF70" s="1072"/>
      <c r="AG70" s="1072"/>
      <c r="AH70" s="1072"/>
      <c r="AI70" s="1072"/>
      <c r="AJ70" s="1072"/>
      <c r="AK70" s="1072"/>
      <c r="AL70" s="1957"/>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957"/>
      <c r="BH70" s="1074"/>
      <c r="BI70" s="1074"/>
      <c r="BJ70" s="1074">
        <f>SUM(BH70:BI70)</f>
        <v>0</v>
      </c>
      <c r="BK70" s="1957"/>
      <c r="BL70" s="1536">
        <f t="shared" si="178"/>
        <v>0</v>
      </c>
      <c r="BM70" s="1536"/>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1963"/>
      <c r="CO70" s="1963"/>
      <c r="CP70" s="1963"/>
      <c r="CQ70" s="1963"/>
      <c r="CR70" s="1963"/>
      <c r="CS70" s="1963"/>
      <c r="CT70" s="1963"/>
      <c r="CU70" s="1963"/>
      <c r="CV70" s="1963"/>
      <c r="CW70" s="1963"/>
      <c r="CX70" s="1963"/>
      <c r="CY70" s="1963"/>
      <c r="CZ70" s="1963"/>
      <c r="DA70" s="1963"/>
      <c r="DB70" s="1963"/>
      <c r="DC70" s="1963"/>
      <c r="DD70" s="1963"/>
      <c r="DE70" s="1963"/>
      <c r="DF70" s="1963"/>
      <c r="DH70" s="1962">
        <f t="shared" si="125"/>
        <v>0</v>
      </c>
    </row>
    <row r="71" spans="1:112" s="1484" customFormat="1" ht="12.75" hidden="1" customHeight="1" outlineLevel="1">
      <c r="C71" s="746" t="s">
        <v>1338</v>
      </c>
      <c r="D71" s="1010" t="str">
        <f>INDEX(Modules[Module], MATCH($C71, Modules[Code], 0))</f>
        <v>District heating effective demand</v>
      </c>
      <c r="E71" s="1010"/>
      <c r="F71" s="743"/>
      <c r="G71" s="1022">
        <f t="shared" ref="G71:P71" ca="1" si="184">IFERROR(INDEX(INDIRECT($C71&amp;".Outputs["&amp;this.Year&amp;"]"), MATCH(G$5, INDIRECT($C71&amp;".Outputs[Vector]"), 0)), 0)</f>
        <v>0</v>
      </c>
      <c r="H71" s="1022">
        <f t="shared" ca="1" si="184"/>
        <v>0</v>
      </c>
      <c r="I71" s="1022">
        <f t="shared" ca="1" si="184"/>
        <v>0</v>
      </c>
      <c r="J71" s="1022">
        <f t="shared" ca="1" si="184"/>
        <v>0</v>
      </c>
      <c r="K71" s="1022">
        <f t="shared" ca="1" si="184"/>
        <v>0</v>
      </c>
      <c r="L71" s="1022">
        <f t="shared" ca="1" si="184"/>
        <v>0</v>
      </c>
      <c r="M71" s="1022">
        <f t="shared" ca="1" si="184"/>
        <v>0</v>
      </c>
      <c r="N71" s="1022">
        <f t="shared" ca="1" si="184"/>
        <v>0</v>
      </c>
      <c r="O71" s="1022">
        <f t="shared" ca="1" si="184"/>
        <v>0</v>
      </c>
      <c r="P71" s="1022">
        <f t="shared" ca="1" si="184"/>
        <v>0</v>
      </c>
      <c r="Q71" s="1020">
        <f ca="1">SUM(G71:P71)</f>
        <v>0</v>
      </c>
      <c r="R71" s="743"/>
      <c r="S71" s="1031">
        <f t="shared" ref="S71:BE71" ca="1" si="185">IFERROR(INDEX(INDIRECT($C71&amp;".Outputs["&amp;this.Year&amp;"]"), MATCH(S$5, INDIRECT($C71&amp;".Outputs[Vector]"), 0)), 0)</f>
        <v>0</v>
      </c>
      <c r="T71" s="1031">
        <f t="shared" ca="1" si="185"/>
        <v>-1.2590275909415456</v>
      </c>
      <c r="U71" s="1031">
        <f t="shared" ca="1" si="185"/>
        <v>0</v>
      </c>
      <c r="V71" s="1031">
        <f t="shared" ca="1" si="185"/>
        <v>0</v>
      </c>
      <c r="W71" s="1031">
        <f t="shared" ca="1" si="185"/>
        <v>0</v>
      </c>
      <c r="X71" s="1031">
        <f ca="1">IFERROR(INDEX(INDIRECT($C71&amp;".Outputs["&amp;this.Year&amp;"]"), MATCH(X$5, INDIRECT($C71&amp;".Outputs[Vector]"), 0)), 0)</f>
        <v>0</v>
      </c>
      <c r="Y71" s="1031">
        <f ca="1">IFERROR(INDEX(INDIRECT($C71&amp;".Outputs["&amp;this.Year&amp;"]"), MATCH(Y$5, INDIRECT($C71&amp;".Outputs[Vector]"), 0)), 0)</f>
        <v>0</v>
      </c>
      <c r="Z71" s="1031">
        <f ca="1">IFERROR(INDEX(INDIRECT($C71&amp;".Outputs["&amp;this.Year&amp;"]"), MATCH(Z$5, INDIRECT($C71&amp;".Outputs[Vector]"), 0)), 0)</f>
        <v>0</v>
      </c>
      <c r="AA71" s="1031">
        <f t="shared" ca="1" si="185"/>
        <v>0</v>
      </c>
      <c r="AB71" s="1031">
        <f t="shared" ca="1" si="185"/>
        <v>8.8131931365908187</v>
      </c>
      <c r="AC71" s="1031">
        <f t="shared" ca="1" si="185"/>
        <v>0</v>
      </c>
      <c r="AD71" s="1031">
        <f t="shared" ca="1" si="185"/>
        <v>0</v>
      </c>
      <c r="AE71" s="1031">
        <f t="shared" ca="1" si="185"/>
        <v>0</v>
      </c>
      <c r="AF71" s="1031">
        <f t="shared" ca="1" si="185"/>
        <v>0</v>
      </c>
      <c r="AG71" s="1031">
        <f t="shared" ca="1" si="185"/>
        <v>0</v>
      </c>
      <c r="AH71" s="1031">
        <f t="shared" ca="1" si="185"/>
        <v>0</v>
      </c>
      <c r="AI71" s="1031">
        <f t="shared" ca="1" si="185"/>
        <v>0</v>
      </c>
      <c r="AJ71" s="1031">
        <f t="shared" ca="1" si="185"/>
        <v>0</v>
      </c>
      <c r="AK71" s="1030">
        <f ca="1">SUM(S71:AJ71)</f>
        <v>7.5541655456492727</v>
      </c>
      <c r="AL71" s="743"/>
      <c r="AM71" s="1042">
        <f t="shared" ref="AM71:AU71" ca="1" si="186">IFERROR(INDEX(INDIRECT($C71&amp;".Outputs["&amp;this.Year&amp;"]"), MATCH(AM$5, INDIRECT($C71&amp;".Outputs[Vector]"), 0)), 0)</f>
        <v>0</v>
      </c>
      <c r="AN71" s="1042">
        <f t="shared" ca="1" si="186"/>
        <v>0</v>
      </c>
      <c r="AO71" s="1042">
        <f t="shared" ca="1" si="186"/>
        <v>0</v>
      </c>
      <c r="AP71" s="1042">
        <f t="shared" ca="1" si="186"/>
        <v>0</v>
      </c>
      <c r="AQ71" s="1042">
        <f t="shared" ca="1" si="186"/>
        <v>0</v>
      </c>
      <c r="AR71" s="1042">
        <f t="shared" ca="1" si="186"/>
        <v>0</v>
      </c>
      <c r="AS71" s="1042">
        <f t="shared" ca="1" si="186"/>
        <v>0</v>
      </c>
      <c r="AT71" s="1042">
        <f t="shared" ca="1" si="186"/>
        <v>0</v>
      </c>
      <c r="AU71" s="1042">
        <f t="shared" ca="1" si="186"/>
        <v>0</v>
      </c>
      <c r="AV71" s="1042">
        <f t="shared" ca="1" si="185"/>
        <v>0</v>
      </c>
      <c r="AW71" s="1042">
        <f t="shared" ca="1" si="185"/>
        <v>0</v>
      </c>
      <c r="AX71" s="1042">
        <f t="shared" ca="1" si="185"/>
        <v>0</v>
      </c>
      <c r="AY71" s="1042">
        <f t="shared" ca="1" si="185"/>
        <v>0</v>
      </c>
      <c r="AZ71" s="1042">
        <f t="shared" ca="1" si="185"/>
        <v>0</v>
      </c>
      <c r="BA71" s="1042">
        <f t="shared" ca="1" si="185"/>
        <v>0</v>
      </c>
      <c r="BB71" s="1042">
        <f t="shared" ca="1" si="185"/>
        <v>0</v>
      </c>
      <c r="BC71" s="1042">
        <f t="shared" ca="1" si="185"/>
        <v>0</v>
      </c>
      <c r="BD71" s="1042">
        <f t="shared" ca="1" si="185"/>
        <v>0</v>
      </c>
      <c r="BE71" s="1042">
        <f t="shared" ca="1" si="185"/>
        <v>0</v>
      </c>
      <c r="BF71" s="1012">
        <f ca="1">SUM(AM71:BE71)</f>
        <v>0</v>
      </c>
      <c r="BG71" s="743"/>
      <c r="BH71" s="1036">
        <f ca="1">IFERROR(INDEX(INDIRECT($C71&amp;".Outputs["&amp;this.Year&amp;"]"), MATCH(BH$5, INDIRECT($C71&amp;".Outputs[Vector]"), 0)), 0)</f>
        <v>-7.5541655456492727</v>
      </c>
      <c r="BI71" s="1036">
        <f ca="1">IFERROR(INDEX(INDIRECT($C71&amp;".Outputs["&amp;this.Year&amp;"]"), MATCH(BI$5, INDIRECT($C71&amp;".Outputs[Vector]"), 0)), 0)</f>
        <v>0</v>
      </c>
      <c r="BJ71" s="1035">
        <f ca="1">SUM(BH71:BI71)</f>
        <v>-7.5541655456492727</v>
      </c>
      <c r="BK71" s="743"/>
      <c r="BL71" s="814">
        <f ca="1">Q71+AK71+BF71+BJ71</f>
        <v>0</v>
      </c>
      <c r="BM71" s="814"/>
      <c r="BN71" s="840"/>
      <c r="BO71" s="1485">
        <f t="shared" ref="BO71:DF71" ca="1" si="187">IFERROR(SUMIFS(INDIRECT($C71&amp;".Emissions["&amp;this.Year&amp;"]"), INDIRECT($C71&amp;".Emissions[GHG]"), BO$6, INDIRECT($C71&amp;".Emissions[IPCC Sector]"), BO$5),0)</f>
        <v>0</v>
      </c>
      <c r="BP71" s="1486">
        <f t="shared" ca="1" si="187"/>
        <v>0</v>
      </c>
      <c r="BQ71" s="1486">
        <f t="shared" ca="1" si="187"/>
        <v>0</v>
      </c>
      <c r="BR71" s="1486">
        <f t="shared" ca="1" si="187"/>
        <v>0</v>
      </c>
      <c r="BS71" s="1486">
        <f t="shared" ca="1" si="187"/>
        <v>0</v>
      </c>
      <c r="BT71" s="1486">
        <f t="shared" ca="1" si="187"/>
        <v>0</v>
      </c>
      <c r="BU71" s="1486">
        <f t="shared" ca="1" si="187"/>
        <v>0</v>
      </c>
      <c r="BV71" s="1486">
        <f t="shared" ca="1" si="187"/>
        <v>0</v>
      </c>
      <c r="BW71" s="1486">
        <f t="shared" ca="1" si="187"/>
        <v>0</v>
      </c>
      <c r="BX71" s="1486">
        <f t="shared" ca="1" si="187"/>
        <v>0</v>
      </c>
      <c r="BY71" s="1486">
        <f t="shared" ca="1" si="187"/>
        <v>0</v>
      </c>
      <c r="BZ71" s="1486">
        <f t="shared" ca="1" si="187"/>
        <v>0</v>
      </c>
      <c r="CA71" s="1486">
        <f t="shared" ca="1" si="187"/>
        <v>0</v>
      </c>
      <c r="CB71" s="1486">
        <f t="shared" ca="1" si="187"/>
        <v>0</v>
      </c>
      <c r="CC71" s="1486">
        <f t="shared" ca="1" si="187"/>
        <v>0</v>
      </c>
      <c r="CD71" s="1486">
        <f t="shared" ca="1" si="187"/>
        <v>0</v>
      </c>
      <c r="CE71" s="1486">
        <f t="shared" ca="1" si="187"/>
        <v>0</v>
      </c>
      <c r="CF71" s="1486">
        <f t="shared" ca="1" si="187"/>
        <v>0</v>
      </c>
      <c r="CG71" s="1486">
        <f t="shared" ca="1" si="187"/>
        <v>0</v>
      </c>
      <c r="CH71" s="1486">
        <f t="shared" ca="1" si="187"/>
        <v>0</v>
      </c>
      <c r="CI71" s="1486">
        <f t="shared" ca="1" si="187"/>
        <v>0</v>
      </c>
      <c r="CJ71" s="1486">
        <f t="shared" ca="1" si="187"/>
        <v>0</v>
      </c>
      <c r="CK71" s="1486">
        <f t="shared" ca="1" si="187"/>
        <v>0</v>
      </c>
      <c r="CL71" s="1486">
        <f t="shared" ca="1" si="187"/>
        <v>0</v>
      </c>
      <c r="CM71" s="1486">
        <f t="shared" ca="1" si="187"/>
        <v>0</v>
      </c>
      <c r="CN71" s="1486">
        <f t="shared" ca="1" si="187"/>
        <v>0</v>
      </c>
      <c r="CO71" s="1486">
        <f t="shared" ca="1" si="187"/>
        <v>0</v>
      </c>
      <c r="CP71" s="1486">
        <f t="shared" ca="1" si="187"/>
        <v>0</v>
      </c>
      <c r="CQ71" s="1486">
        <f t="shared" ca="1" si="187"/>
        <v>0</v>
      </c>
      <c r="CR71" s="1486">
        <f t="shared" ca="1" si="187"/>
        <v>0</v>
      </c>
      <c r="CS71" s="1486">
        <f t="shared" ca="1" si="187"/>
        <v>0</v>
      </c>
      <c r="CT71" s="1486">
        <f t="shared" ca="1" si="187"/>
        <v>0</v>
      </c>
      <c r="CU71" s="1486">
        <f t="shared" ca="1" si="187"/>
        <v>0</v>
      </c>
      <c r="CV71" s="1486">
        <f t="shared" ca="1" si="187"/>
        <v>0</v>
      </c>
      <c r="CW71" s="1486">
        <f t="shared" ca="1" si="187"/>
        <v>0</v>
      </c>
      <c r="CX71" s="1486">
        <f t="shared" ca="1" si="187"/>
        <v>0</v>
      </c>
      <c r="CY71" s="1486">
        <f t="shared" ca="1" si="187"/>
        <v>0</v>
      </c>
      <c r="CZ71" s="1486">
        <f t="shared" ca="1" si="187"/>
        <v>0</v>
      </c>
      <c r="DA71" s="1486">
        <f t="shared" ca="1" si="187"/>
        <v>0</v>
      </c>
      <c r="DB71" s="1486">
        <f t="shared" ca="1" si="187"/>
        <v>0</v>
      </c>
      <c r="DC71" s="1486">
        <f t="shared" ca="1" si="187"/>
        <v>0</v>
      </c>
      <c r="DD71" s="1486">
        <f t="shared" ca="1" si="187"/>
        <v>0</v>
      </c>
      <c r="DE71" s="1486">
        <f t="shared" ca="1" si="187"/>
        <v>0</v>
      </c>
      <c r="DF71" s="1486">
        <f t="shared" ca="1" si="187"/>
        <v>0</v>
      </c>
      <c r="DH71" s="838">
        <f t="shared" ca="1" si="125"/>
        <v>0</v>
      </c>
    </row>
    <row r="72" spans="1:112" s="743" customFormat="1" ht="15.75" collapsed="1">
      <c r="A72" s="22"/>
      <c r="B72" s="753"/>
      <c r="C72" s="744" t="s">
        <v>1336</v>
      </c>
      <c r="D72" s="517" t="str">
        <f>INDEX(Workstreams[Workstream], MATCH($C72, Workstreams[Code], 0))</f>
        <v>District heating</v>
      </c>
      <c r="E72" s="512"/>
      <c r="G72" s="1021">
        <f ca="1">G71</f>
        <v>0</v>
      </c>
      <c r="H72" s="1021">
        <f t="shared" ref="H72:P72" ca="1" si="188">H71</f>
        <v>0</v>
      </c>
      <c r="I72" s="1021">
        <f t="shared" ca="1" si="188"/>
        <v>0</v>
      </c>
      <c r="J72" s="1021">
        <f t="shared" ca="1" si="188"/>
        <v>0</v>
      </c>
      <c r="K72" s="1021">
        <f t="shared" ca="1" si="188"/>
        <v>0</v>
      </c>
      <c r="L72" s="1021">
        <f t="shared" ca="1" si="188"/>
        <v>0</v>
      </c>
      <c r="M72" s="1021">
        <f t="shared" ca="1" si="188"/>
        <v>0</v>
      </c>
      <c r="N72" s="1021">
        <f t="shared" ca="1" si="188"/>
        <v>0</v>
      </c>
      <c r="O72" s="1021">
        <f t="shared" ca="1" si="188"/>
        <v>0</v>
      </c>
      <c r="P72" s="1021">
        <f t="shared" ca="1" si="188"/>
        <v>0</v>
      </c>
      <c r="Q72" s="1021">
        <f ca="1">SUM(G72:P72)</f>
        <v>0</v>
      </c>
      <c r="S72" s="970">
        <f t="shared" ref="S72:AJ72" ca="1" si="189">S71</f>
        <v>0</v>
      </c>
      <c r="T72" s="970">
        <f t="shared" ca="1" si="189"/>
        <v>-1.2590275909415456</v>
      </c>
      <c r="U72" s="970">
        <f t="shared" ca="1" si="189"/>
        <v>0</v>
      </c>
      <c r="V72" s="970">
        <f t="shared" ca="1" si="189"/>
        <v>0</v>
      </c>
      <c r="W72" s="970">
        <f t="shared" ca="1" si="189"/>
        <v>0</v>
      </c>
      <c r="X72" s="970">
        <f t="shared" ca="1" si="189"/>
        <v>0</v>
      </c>
      <c r="Y72" s="970">
        <f t="shared" ca="1" si="189"/>
        <v>0</v>
      </c>
      <c r="Z72" s="970">
        <f t="shared" ca="1" si="189"/>
        <v>0</v>
      </c>
      <c r="AA72" s="970">
        <f t="shared" ca="1" si="189"/>
        <v>0</v>
      </c>
      <c r="AB72" s="970">
        <f t="shared" ca="1" si="189"/>
        <v>8.8131931365908187</v>
      </c>
      <c r="AC72" s="970">
        <f t="shared" ca="1" si="189"/>
        <v>0</v>
      </c>
      <c r="AD72" s="970">
        <f ca="1">AD71</f>
        <v>0</v>
      </c>
      <c r="AE72" s="970">
        <f ca="1">AE71</f>
        <v>0</v>
      </c>
      <c r="AF72" s="970">
        <f t="shared" ca="1" si="189"/>
        <v>0</v>
      </c>
      <c r="AG72" s="970">
        <f t="shared" ca="1" si="189"/>
        <v>0</v>
      </c>
      <c r="AH72" s="970">
        <f ca="1">AH71</f>
        <v>0</v>
      </c>
      <c r="AI72" s="970">
        <f ca="1">AI71</f>
        <v>0</v>
      </c>
      <c r="AJ72" s="970">
        <f t="shared" ca="1" si="189"/>
        <v>0</v>
      </c>
      <c r="AK72" s="970">
        <f ca="1">SUM(S72:AJ72)</f>
        <v>7.5541655456492727</v>
      </c>
      <c r="AM72" s="976">
        <f ca="1">AM71</f>
        <v>0</v>
      </c>
      <c r="AN72" s="976">
        <f t="shared" ref="AN72:BE72" ca="1" si="190">AN71</f>
        <v>0</v>
      </c>
      <c r="AO72" s="976">
        <f t="shared" ca="1" si="190"/>
        <v>0</v>
      </c>
      <c r="AP72" s="976">
        <f t="shared" ca="1" si="190"/>
        <v>0</v>
      </c>
      <c r="AQ72" s="976">
        <f t="shared" ca="1" si="190"/>
        <v>0</v>
      </c>
      <c r="AR72" s="976">
        <f t="shared" ca="1" si="190"/>
        <v>0</v>
      </c>
      <c r="AS72" s="976">
        <f t="shared" ca="1" si="190"/>
        <v>0</v>
      </c>
      <c r="AT72" s="976">
        <f t="shared" ca="1" si="190"/>
        <v>0</v>
      </c>
      <c r="AU72" s="976">
        <f t="shared" ca="1" si="190"/>
        <v>0</v>
      </c>
      <c r="AV72" s="976">
        <f t="shared" ca="1" si="190"/>
        <v>0</v>
      </c>
      <c r="AW72" s="976">
        <f t="shared" ca="1" si="190"/>
        <v>0</v>
      </c>
      <c r="AX72" s="976">
        <f t="shared" ca="1" si="190"/>
        <v>0</v>
      </c>
      <c r="AY72" s="976">
        <f t="shared" ca="1" si="190"/>
        <v>0</v>
      </c>
      <c r="AZ72" s="976">
        <f t="shared" ca="1" si="190"/>
        <v>0</v>
      </c>
      <c r="BA72" s="976">
        <f t="shared" ca="1" si="190"/>
        <v>0</v>
      </c>
      <c r="BB72" s="976">
        <f t="shared" ca="1" si="190"/>
        <v>0</v>
      </c>
      <c r="BC72" s="976">
        <f t="shared" ca="1" si="190"/>
        <v>0</v>
      </c>
      <c r="BD72" s="976">
        <f t="shared" ca="1" si="190"/>
        <v>0</v>
      </c>
      <c r="BE72" s="976">
        <f t="shared" ca="1" si="190"/>
        <v>0</v>
      </c>
      <c r="BF72" s="976">
        <f ca="1">SUM(AM72:BE72)</f>
        <v>0</v>
      </c>
      <c r="BH72" s="990">
        <f ca="1">BH71</f>
        <v>-7.5541655456492727</v>
      </c>
      <c r="BI72" s="990">
        <f ca="1">BI71</f>
        <v>0</v>
      </c>
      <c r="BJ72" s="990">
        <f ca="1">SUM(BH72:BI72)</f>
        <v>-7.5541655456492727</v>
      </c>
      <c r="BL72" s="515">
        <f ca="1">Q72+AK72+BF72+BJ72</f>
        <v>0</v>
      </c>
      <c r="BM72" s="515"/>
      <c r="BN72" s="840"/>
      <c r="BO72" s="1482">
        <f t="shared" ref="BO72:DF72" ca="1" si="191">BO71</f>
        <v>0</v>
      </c>
      <c r="BP72" s="1482">
        <f t="shared" ca="1" si="191"/>
        <v>0</v>
      </c>
      <c r="BQ72" s="1482">
        <f t="shared" ca="1" si="191"/>
        <v>0</v>
      </c>
      <c r="BR72" s="1482">
        <f t="shared" ca="1" si="191"/>
        <v>0</v>
      </c>
      <c r="BS72" s="1482">
        <f t="shared" ca="1" si="191"/>
        <v>0</v>
      </c>
      <c r="BT72" s="1482">
        <f t="shared" ca="1" si="191"/>
        <v>0</v>
      </c>
      <c r="BU72" s="1482">
        <f t="shared" ca="1" si="191"/>
        <v>0</v>
      </c>
      <c r="BV72" s="1482">
        <f t="shared" ca="1" si="191"/>
        <v>0</v>
      </c>
      <c r="BW72" s="1482">
        <f t="shared" ca="1" si="191"/>
        <v>0</v>
      </c>
      <c r="BX72" s="1482">
        <f t="shared" ca="1" si="191"/>
        <v>0</v>
      </c>
      <c r="BY72" s="1482">
        <f t="shared" ca="1" si="191"/>
        <v>0</v>
      </c>
      <c r="BZ72" s="1482">
        <f t="shared" ca="1" si="191"/>
        <v>0</v>
      </c>
      <c r="CA72" s="1482">
        <f t="shared" ca="1" si="191"/>
        <v>0</v>
      </c>
      <c r="CB72" s="1482">
        <f t="shared" ca="1" si="191"/>
        <v>0</v>
      </c>
      <c r="CC72" s="1482">
        <f t="shared" ca="1" si="191"/>
        <v>0</v>
      </c>
      <c r="CD72" s="1482">
        <f t="shared" ca="1" si="191"/>
        <v>0</v>
      </c>
      <c r="CE72" s="1482">
        <f t="shared" ca="1" si="191"/>
        <v>0</v>
      </c>
      <c r="CF72" s="1482">
        <f t="shared" ca="1" si="191"/>
        <v>0</v>
      </c>
      <c r="CG72" s="1482">
        <f t="shared" ca="1" si="191"/>
        <v>0</v>
      </c>
      <c r="CH72" s="1482">
        <f t="shared" ca="1" si="191"/>
        <v>0</v>
      </c>
      <c r="CI72" s="1482">
        <f t="shared" ca="1" si="191"/>
        <v>0</v>
      </c>
      <c r="CJ72" s="1482">
        <f t="shared" ca="1" si="191"/>
        <v>0</v>
      </c>
      <c r="CK72" s="1482">
        <f t="shared" ca="1" si="191"/>
        <v>0</v>
      </c>
      <c r="CL72" s="1482">
        <f t="shared" ca="1" si="191"/>
        <v>0</v>
      </c>
      <c r="CM72" s="1482">
        <f t="shared" ca="1" si="191"/>
        <v>0</v>
      </c>
      <c r="CN72" s="1482">
        <f t="shared" ca="1" si="191"/>
        <v>0</v>
      </c>
      <c r="CO72" s="1482">
        <f t="shared" ca="1" si="191"/>
        <v>0</v>
      </c>
      <c r="CP72" s="1482">
        <f t="shared" ca="1" si="191"/>
        <v>0</v>
      </c>
      <c r="CQ72" s="1482">
        <f t="shared" ca="1" si="191"/>
        <v>0</v>
      </c>
      <c r="CR72" s="1482">
        <f t="shared" ca="1" si="191"/>
        <v>0</v>
      </c>
      <c r="CS72" s="1482">
        <f t="shared" ca="1" si="191"/>
        <v>0</v>
      </c>
      <c r="CT72" s="1482">
        <f t="shared" ca="1" si="191"/>
        <v>0</v>
      </c>
      <c r="CU72" s="1482">
        <f t="shared" ca="1" si="191"/>
        <v>0</v>
      </c>
      <c r="CV72" s="1482">
        <f t="shared" ca="1" si="191"/>
        <v>0</v>
      </c>
      <c r="CW72" s="1482">
        <f t="shared" ca="1" si="191"/>
        <v>0</v>
      </c>
      <c r="CX72" s="1482">
        <f t="shared" ca="1" si="191"/>
        <v>0</v>
      </c>
      <c r="CY72" s="1482">
        <f t="shared" ca="1" si="191"/>
        <v>0</v>
      </c>
      <c r="CZ72" s="1482">
        <f t="shared" ca="1" si="191"/>
        <v>0</v>
      </c>
      <c r="DA72" s="1482">
        <f t="shared" ca="1" si="191"/>
        <v>0</v>
      </c>
      <c r="DB72" s="1482">
        <f t="shared" ca="1" si="191"/>
        <v>0</v>
      </c>
      <c r="DC72" s="1482">
        <f t="shared" ca="1" si="191"/>
        <v>0</v>
      </c>
      <c r="DD72" s="1482">
        <f t="shared" ca="1" si="191"/>
        <v>0</v>
      </c>
      <c r="DE72" s="1482">
        <f t="shared" ca="1" si="191"/>
        <v>0</v>
      </c>
      <c r="DF72" s="1482">
        <f t="shared" ca="1" si="191"/>
        <v>0</v>
      </c>
      <c r="DH72" s="838">
        <f t="shared" ca="1" si="125"/>
        <v>0</v>
      </c>
    </row>
    <row r="73" spans="1:112" s="743" customFormat="1" ht="12.75" hidden="1" customHeight="1" outlineLevel="1">
      <c r="A73" s="22"/>
      <c r="B73" s="22"/>
      <c r="C73" s="751"/>
      <c r="D73" s="512"/>
      <c r="E73" s="512"/>
      <c r="G73" s="958"/>
      <c r="H73" s="958"/>
      <c r="I73" s="958"/>
      <c r="J73" s="958"/>
      <c r="K73" s="960"/>
      <c r="L73" s="958"/>
      <c r="M73" s="958"/>
      <c r="N73" s="958"/>
      <c r="O73" s="958"/>
      <c r="P73" s="958"/>
      <c r="Q73" s="958"/>
      <c r="S73" s="970"/>
      <c r="T73" s="970"/>
      <c r="U73" s="970"/>
      <c r="V73" s="970"/>
      <c r="W73" s="970"/>
      <c r="X73" s="970"/>
      <c r="Y73" s="970"/>
      <c r="Z73" s="970"/>
      <c r="AA73" s="970"/>
      <c r="AB73" s="970"/>
      <c r="AC73" s="970"/>
      <c r="AD73" s="970"/>
      <c r="AE73" s="970"/>
      <c r="AF73" s="970"/>
      <c r="AG73" s="970"/>
      <c r="AH73" s="970"/>
      <c r="AI73" s="970"/>
      <c r="AJ73" s="970"/>
      <c r="AK73" s="970"/>
      <c r="AM73" s="976"/>
      <c r="AN73" s="976"/>
      <c r="AO73" s="976"/>
      <c r="AP73" s="976"/>
      <c r="AQ73" s="976"/>
      <c r="AR73" s="976"/>
      <c r="AS73" s="976"/>
      <c r="AT73" s="976"/>
      <c r="AU73" s="976"/>
      <c r="AV73" s="976"/>
      <c r="AW73" s="976"/>
      <c r="AX73" s="976"/>
      <c r="AY73" s="976"/>
      <c r="AZ73" s="976"/>
      <c r="BA73" s="976"/>
      <c r="BB73" s="976"/>
      <c r="BC73" s="976"/>
      <c r="BD73" s="976"/>
      <c r="BE73" s="976"/>
      <c r="BF73" s="976"/>
      <c r="BH73" s="990"/>
      <c r="BI73" s="990"/>
      <c r="BJ73" s="990"/>
      <c r="BL73" s="515"/>
      <c r="BM73" s="515"/>
      <c r="BN73" s="22"/>
      <c r="BO73" s="1482"/>
      <c r="BP73" s="1482"/>
      <c r="BQ73" s="1482"/>
      <c r="BR73" s="1482"/>
      <c r="BS73" s="1482"/>
      <c r="BT73" s="1482"/>
      <c r="BU73" s="1482"/>
      <c r="BV73" s="1482"/>
      <c r="BW73" s="1482"/>
      <c r="BX73" s="1482"/>
      <c r="BY73" s="1482"/>
      <c r="BZ73" s="1482"/>
      <c r="CA73" s="1482"/>
      <c r="CB73" s="1482"/>
      <c r="CC73" s="1482"/>
      <c r="CD73" s="1482"/>
      <c r="CE73" s="1482"/>
      <c r="CF73" s="1482"/>
      <c r="CG73" s="1482"/>
      <c r="CH73" s="1482"/>
      <c r="CI73" s="1482"/>
      <c r="CJ73" s="1482"/>
      <c r="CK73" s="1482"/>
      <c r="CL73" s="1482"/>
      <c r="CM73" s="1482"/>
      <c r="CN73" s="1482"/>
      <c r="CO73" s="1482"/>
      <c r="CP73" s="1482"/>
      <c r="CQ73" s="1482"/>
      <c r="CR73" s="1482"/>
      <c r="CS73" s="1482"/>
      <c r="CT73" s="1482"/>
      <c r="CU73" s="1482"/>
      <c r="CV73" s="1482"/>
      <c r="CW73" s="1482"/>
      <c r="CX73" s="1482"/>
      <c r="CY73" s="1482"/>
      <c r="CZ73" s="1482"/>
      <c r="DA73" s="1482"/>
      <c r="DB73" s="1482"/>
      <c r="DC73" s="1482"/>
      <c r="DD73" s="1482"/>
      <c r="DE73" s="1482"/>
      <c r="DF73" s="1482"/>
      <c r="DH73" s="838">
        <f t="shared" si="125"/>
        <v>0</v>
      </c>
    </row>
    <row r="74" spans="1:112" s="1488" customFormat="1" ht="12.75" hidden="1" customHeight="1" outlineLevel="1">
      <c r="C74" s="1048" t="s">
        <v>1719</v>
      </c>
      <c r="D74" s="1049" t="s">
        <v>1334</v>
      </c>
      <c r="E74" s="1049"/>
      <c r="F74" s="743"/>
      <c r="G74" s="1050"/>
      <c r="H74" s="1050"/>
      <c r="I74" s="1050"/>
      <c r="J74" s="1050"/>
      <c r="K74" s="1051"/>
      <c r="L74" s="1050"/>
      <c r="M74" s="1050"/>
      <c r="N74" s="1050"/>
      <c r="O74" s="1050"/>
      <c r="P74" s="1050"/>
      <c r="Q74" s="1050"/>
      <c r="R74" s="743"/>
      <c r="S74" s="1052">
        <f ca="1">S$40+S$46+S$51+S$99+S$55+S$93+S$63+S$68+S$72</f>
        <v>-354.55512401053005</v>
      </c>
      <c r="T74" s="1052">
        <f ca="1">T$40+T$46+T$51+T$99+T$55+T$93+T$63+T$68+T$72</f>
        <v>-13.760325528977441</v>
      </c>
      <c r="U74" s="1052"/>
      <c r="V74" s="1052"/>
      <c r="W74" s="1052"/>
      <c r="X74" s="1052"/>
      <c r="Y74" s="1052"/>
      <c r="Z74" s="1052"/>
      <c r="AA74" s="1052"/>
      <c r="AB74" s="1052"/>
      <c r="AC74" s="1052"/>
      <c r="AD74" s="1052"/>
      <c r="AE74" s="1052"/>
      <c r="AF74" s="1052"/>
      <c r="AG74" s="1052"/>
      <c r="AH74" s="1052"/>
      <c r="AI74" s="1052"/>
      <c r="AJ74" s="1052"/>
      <c r="AK74" s="1052"/>
      <c r="AL74" s="743"/>
      <c r="AM74" s="1053"/>
      <c r="AN74" s="1053"/>
      <c r="AO74" s="1053"/>
      <c r="AP74" s="1053"/>
      <c r="AQ74" s="1053"/>
      <c r="AR74" s="1053"/>
      <c r="AS74" s="1053"/>
      <c r="AT74" s="1053"/>
      <c r="AU74" s="1053"/>
      <c r="AV74" s="1053"/>
      <c r="AW74" s="1053"/>
      <c r="AX74" s="1053"/>
      <c r="AY74" s="1053"/>
      <c r="AZ74" s="1053"/>
      <c r="BA74" s="1053"/>
      <c r="BB74" s="1053"/>
      <c r="BC74" s="1053"/>
      <c r="BD74" s="1053"/>
      <c r="BE74" s="1053"/>
      <c r="BF74" s="1053"/>
      <c r="BG74" s="743"/>
      <c r="BH74" s="1054"/>
      <c r="BI74" s="1054"/>
      <c r="BJ74" s="1054">
        <f>SUM(BH74:BI74)</f>
        <v>0</v>
      </c>
      <c r="BK74" s="743"/>
      <c r="BL74" s="852">
        <f t="shared" ref="BL74:BL80" si="192">Q74+AK74+BF74+BJ74</f>
        <v>0</v>
      </c>
      <c r="BM74" s="852"/>
      <c r="BO74" s="1490"/>
      <c r="BP74" s="1490"/>
      <c r="BQ74" s="1490"/>
      <c r="BR74" s="1490"/>
      <c r="BS74" s="1490"/>
      <c r="BT74" s="1490"/>
      <c r="BU74" s="1490"/>
      <c r="BV74" s="1490"/>
      <c r="BW74" s="1490"/>
      <c r="BX74" s="1490"/>
      <c r="BY74" s="1490"/>
      <c r="BZ74" s="1490"/>
      <c r="CA74" s="1490"/>
      <c r="CB74" s="1490"/>
      <c r="CC74" s="1490"/>
      <c r="CD74" s="1490"/>
      <c r="CE74" s="1490"/>
      <c r="CF74" s="1490"/>
      <c r="CG74" s="1490"/>
      <c r="CH74" s="1490"/>
      <c r="CI74" s="1490"/>
      <c r="CJ74" s="1490"/>
      <c r="CK74" s="1490"/>
      <c r="CL74" s="1490"/>
      <c r="CM74" s="1490"/>
      <c r="CN74" s="1490"/>
      <c r="CO74" s="1490"/>
      <c r="CP74" s="1490"/>
      <c r="CQ74" s="1490"/>
      <c r="CR74" s="1490"/>
      <c r="CS74" s="1490"/>
      <c r="CT74" s="1490"/>
      <c r="CU74" s="1490"/>
      <c r="CV74" s="1490"/>
      <c r="CW74" s="1490"/>
      <c r="CX74" s="1490"/>
      <c r="CY74" s="1490"/>
      <c r="CZ74" s="1490"/>
      <c r="DA74" s="1490"/>
      <c r="DB74" s="1490"/>
      <c r="DC74" s="1490"/>
      <c r="DD74" s="1490"/>
      <c r="DE74" s="1490"/>
      <c r="DF74" s="1490"/>
      <c r="DH74" s="838">
        <f t="shared" si="125"/>
        <v>0</v>
      </c>
    </row>
    <row r="75" spans="1:112" s="1484" customFormat="1" ht="12.75" hidden="1" customHeight="1" outlineLevel="1">
      <c r="C75" s="746" t="s">
        <v>756</v>
      </c>
      <c r="D75" s="1010" t="str">
        <f>INDEX(Modules[Module], MATCH($C75, Modules[Code], 0))</f>
        <v>Nuclear power</v>
      </c>
      <c r="E75" s="1010"/>
      <c r="F75" s="743"/>
      <c r="G75" s="1022">
        <f t="shared" ref="G75:P75" ca="1" si="193">IFERROR(INDEX(INDIRECT($C75&amp;".Outputs["&amp;this.Year&amp;"]"), MATCH(G$5, INDIRECT($C75&amp;".Outputs[Vector]"), 0)), 0)</f>
        <v>0</v>
      </c>
      <c r="H75" s="1022">
        <f t="shared" ca="1" si="193"/>
        <v>0</v>
      </c>
      <c r="I75" s="1022">
        <f t="shared" ca="1" si="193"/>
        <v>0</v>
      </c>
      <c r="J75" s="1022">
        <f t="shared" ca="1" si="193"/>
        <v>0</v>
      </c>
      <c r="K75" s="1022">
        <f t="shared" ca="1" si="193"/>
        <v>0</v>
      </c>
      <c r="L75" s="1022">
        <f t="shared" ca="1" si="193"/>
        <v>0</v>
      </c>
      <c r="M75" s="1022">
        <f t="shared" ca="1" si="193"/>
        <v>0</v>
      </c>
      <c r="N75" s="1022">
        <f t="shared" ca="1" si="193"/>
        <v>0</v>
      </c>
      <c r="O75" s="1022">
        <f t="shared" ca="1" si="193"/>
        <v>0</v>
      </c>
      <c r="P75" s="1022">
        <f t="shared" ca="1" si="193"/>
        <v>0</v>
      </c>
      <c r="Q75" s="1020">
        <f ca="1">SUM(G75:P75)</f>
        <v>0</v>
      </c>
      <c r="R75" s="743"/>
      <c r="S75" s="1031">
        <f t="shared" ref="S75:BE75" ca="1" si="194">IFERROR(INDEX(INDIRECT($C75&amp;".Outputs["&amp;this.Year&amp;"]"), MATCH(S$5, INDIRECT($C75&amp;".Outputs[Vector]"), 0)), 0)</f>
        <v>0</v>
      </c>
      <c r="T75" s="1031">
        <f t="shared" ca="1" si="194"/>
        <v>57.469895999999999</v>
      </c>
      <c r="U75" s="1031">
        <f t="shared" ca="1" si="194"/>
        <v>0</v>
      </c>
      <c r="V75" s="1031">
        <f t="shared" ca="1" si="194"/>
        <v>0</v>
      </c>
      <c r="W75" s="1031">
        <f t="shared" ca="1" si="194"/>
        <v>0</v>
      </c>
      <c r="X75" s="1031">
        <f ca="1">IFERROR(INDEX(INDIRECT($C75&amp;".Outputs["&amp;this.Year&amp;"]"), MATCH(X$5, INDIRECT($C75&amp;".Outputs[Vector]"), 0)), 0)</f>
        <v>0</v>
      </c>
      <c r="Y75" s="1031">
        <f ca="1">IFERROR(INDEX(INDIRECT($C75&amp;".Outputs["&amp;this.Year&amp;"]"), MATCH(Y$5, INDIRECT($C75&amp;".Outputs[Vector]"), 0)), 0)</f>
        <v>0</v>
      </c>
      <c r="Z75" s="1031">
        <f ca="1">IFERROR(INDEX(INDIRECT($C75&amp;".Outputs["&amp;this.Year&amp;"]"), MATCH(Z$5, INDIRECT($C75&amp;".Outputs[Vector]"), 0)), 0)</f>
        <v>0</v>
      </c>
      <c r="AA75" s="1031">
        <f t="shared" ca="1" si="194"/>
        <v>0</v>
      </c>
      <c r="AB75" s="1031">
        <f t="shared" ca="1" si="194"/>
        <v>0</v>
      </c>
      <c r="AC75" s="1031">
        <f t="shared" ca="1" si="194"/>
        <v>0</v>
      </c>
      <c r="AD75" s="1031">
        <f t="shared" ca="1" si="194"/>
        <v>0</v>
      </c>
      <c r="AE75" s="1031">
        <f t="shared" ca="1" si="194"/>
        <v>0</v>
      </c>
      <c r="AF75" s="1031">
        <f t="shared" ca="1" si="194"/>
        <v>0</v>
      </c>
      <c r="AG75" s="1031">
        <f t="shared" ca="1" si="194"/>
        <v>0</v>
      </c>
      <c r="AH75" s="1031">
        <f t="shared" ca="1" si="194"/>
        <v>0</v>
      </c>
      <c r="AI75" s="1031">
        <f t="shared" ca="1" si="194"/>
        <v>0</v>
      </c>
      <c r="AJ75" s="1031">
        <f t="shared" ca="1" si="194"/>
        <v>0</v>
      </c>
      <c r="AK75" s="1030">
        <f ca="1">SUM(S75:AJ75)</f>
        <v>57.469895999999999</v>
      </c>
      <c r="AL75" s="743"/>
      <c r="AM75" s="1042">
        <f t="shared" ref="AM75:AU75" ca="1" si="195">IFERROR(INDEX(INDIRECT($C75&amp;".Outputs["&amp;this.Year&amp;"]"), MATCH(AM$5, INDIRECT($C75&amp;".Outputs[Vector]"), 0)), 0)</f>
        <v>0</v>
      </c>
      <c r="AN75" s="1042">
        <f t="shared" ca="1" si="195"/>
        <v>0</v>
      </c>
      <c r="AO75" s="1042">
        <f t="shared" ca="1" si="195"/>
        <v>0</v>
      </c>
      <c r="AP75" s="1042">
        <f t="shared" ca="1" si="195"/>
        <v>0</v>
      </c>
      <c r="AQ75" s="1042">
        <f t="shared" ca="1" si="195"/>
        <v>0</v>
      </c>
      <c r="AR75" s="1042">
        <f t="shared" ca="1" si="195"/>
        <v>0</v>
      </c>
      <c r="AS75" s="1042">
        <f t="shared" ca="1" si="195"/>
        <v>0</v>
      </c>
      <c r="AT75" s="1042">
        <f t="shared" ca="1" si="195"/>
        <v>0</v>
      </c>
      <c r="AU75" s="1042">
        <f t="shared" ca="1" si="195"/>
        <v>0</v>
      </c>
      <c r="AV75" s="1042">
        <f t="shared" ca="1" si="194"/>
        <v>-163.91620313701554</v>
      </c>
      <c r="AW75" s="1042">
        <f t="shared" ca="1" si="194"/>
        <v>0</v>
      </c>
      <c r="AX75" s="1042">
        <f t="shared" ca="1" si="194"/>
        <v>0</v>
      </c>
      <c r="AY75" s="1042">
        <f t="shared" ca="1" si="194"/>
        <v>0</v>
      </c>
      <c r="AZ75" s="1042">
        <f t="shared" ca="1" si="194"/>
        <v>0</v>
      </c>
      <c r="BA75" s="1042">
        <f t="shared" ca="1" si="194"/>
        <v>0</v>
      </c>
      <c r="BB75" s="1042">
        <f t="shared" ca="1" si="194"/>
        <v>0</v>
      </c>
      <c r="BC75" s="1042">
        <f t="shared" ca="1" si="194"/>
        <v>0</v>
      </c>
      <c r="BD75" s="1042">
        <f t="shared" ca="1" si="194"/>
        <v>0</v>
      </c>
      <c r="BE75" s="1042">
        <f t="shared" ca="1" si="194"/>
        <v>0</v>
      </c>
      <c r="BF75" s="1012">
        <f ca="1">SUM(AM75:BE75)</f>
        <v>-163.91620313701554</v>
      </c>
      <c r="BG75" s="743"/>
      <c r="BH75" s="1036">
        <f ca="1">IFERROR(INDEX(INDIRECT($C75&amp;".Outputs["&amp;this.Year&amp;"]"), MATCH(BH$5, INDIRECT($C75&amp;".Outputs[Vector]"), 0)), 0)</f>
        <v>100.64454872612754</v>
      </c>
      <c r="BI75" s="1036">
        <f ca="1">IFERROR(INDEX(INDIRECT($C75&amp;".Outputs["&amp;this.Year&amp;"]"), MATCH(BI$5, INDIRECT($C75&amp;".Outputs[Vector]"), 0)), 0)</f>
        <v>5.8017584108879987</v>
      </c>
      <c r="BJ75" s="1035">
        <f ca="1">SUM(BH75:BI75)</f>
        <v>106.44630713701554</v>
      </c>
      <c r="BK75" s="743"/>
      <c r="BL75" s="814">
        <f t="shared" ca="1" si="192"/>
        <v>0</v>
      </c>
      <c r="BM75" s="814"/>
      <c r="BN75" s="840"/>
      <c r="BO75" s="1485">
        <f t="shared" ref="BO75:DF75" ca="1" si="196">IFERROR(SUMIFS(INDIRECT($C75&amp;".Emissions["&amp;this.Year&amp;"]"), INDIRECT($C75&amp;".Emissions[GHG]"), BO$6, INDIRECT($C75&amp;".Emissions[IPCC Sector]"), BO$5),0)</f>
        <v>0</v>
      </c>
      <c r="BP75" s="1486">
        <f t="shared" ca="1" si="196"/>
        <v>0</v>
      </c>
      <c r="BQ75" s="1486">
        <f t="shared" ca="1" si="196"/>
        <v>0</v>
      </c>
      <c r="BR75" s="1486">
        <f t="shared" ca="1" si="196"/>
        <v>0</v>
      </c>
      <c r="BS75" s="1486">
        <f t="shared" ca="1" si="196"/>
        <v>0</v>
      </c>
      <c r="BT75" s="1486">
        <f t="shared" ca="1" si="196"/>
        <v>0</v>
      </c>
      <c r="BU75" s="1486">
        <f t="shared" ca="1" si="196"/>
        <v>0</v>
      </c>
      <c r="BV75" s="1486">
        <f t="shared" ca="1" si="196"/>
        <v>0</v>
      </c>
      <c r="BW75" s="1486">
        <f t="shared" ca="1" si="196"/>
        <v>0</v>
      </c>
      <c r="BX75" s="1486">
        <f t="shared" ca="1" si="196"/>
        <v>0</v>
      </c>
      <c r="BY75" s="1486">
        <f t="shared" ca="1" si="196"/>
        <v>0</v>
      </c>
      <c r="BZ75" s="1486">
        <f t="shared" ca="1" si="196"/>
        <v>0</v>
      </c>
      <c r="CA75" s="1486">
        <f t="shared" ca="1" si="196"/>
        <v>0</v>
      </c>
      <c r="CB75" s="1486">
        <f t="shared" ca="1" si="196"/>
        <v>0</v>
      </c>
      <c r="CC75" s="1486">
        <f t="shared" ca="1" si="196"/>
        <v>0</v>
      </c>
      <c r="CD75" s="1486">
        <f t="shared" ca="1" si="196"/>
        <v>0</v>
      </c>
      <c r="CE75" s="1486">
        <f t="shared" ca="1" si="196"/>
        <v>0</v>
      </c>
      <c r="CF75" s="1486">
        <f t="shared" ca="1" si="196"/>
        <v>0</v>
      </c>
      <c r="CG75" s="1486">
        <f t="shared" ca="1" si="196"/>
        <v>0</v>
      </c>
      <c r="CH75" s="1486">
        <f t="shared" ca="1" si="196"/>
        <v>0</v>
      </c>
      <c r="CI75" s="1486">
        <f t="shared" ca="1" si="196"/>
        <v>0</v>
      </c>
      <c r="CJ75" s="1486">
        <f t="shared" ca="1" si="196"/>
        <v>0</v>
      </c>
      <c r="CK75" s="1486">
        <f t="shared" ca="1" si="196"/>
        <v>0</v>
      </c>
      <c r="CL75" s="1486">
        <f t="shared" ca="1" si="196"/>
        <v>0</v>
      </c>
      <c r="CM75" s="1486">
        <f t="shared" ca="1" si="196"/>
        <v>0</v>
      </c>
      <c r="CN75" s="1486">
        <f t="shared" ca="1" si="196"/>
        <v>0</v>
      </c>
      <c r="CO75" s="1486">
        <f t="shared" ca="1" si="196"/>
        <v>0</v>
      </c>
      <c r="CP75" s="1486">
        <f t="shared" ca="1" si="196"/>
        <v>0</v>
      </c>
      <c r="CQ75" s="1486">
        <f t="shared" ca="1" si="196"/>
        <v>0</v>
      </c>
      <c r="CR75" s="1486">
        <f t="shared" ca="1" si="196"/>
        <v>0</v>
      </c>
      <c r="CS75" s="1486">
        <f t="shared" ca="1" si="196"/>
        <v>0</v>
      </c>
      <c r="CT75" s="1486">
        <f t="shared" ca="1" si="196"/>
        <v>0</v>
      </c>
      <c r="CU75" s="1486">
        <f t="shared" ca="1" si="196"/>
        <v>0</v>
      </c>
      <c r="CV75" s="1486">
        <f t="shared" ca="1" si="196"/>
        <v>0</v>
      </c>
      <c r="CW75" s="1486">
        <f t="shared" ca="1" si="196"/>
        <v>0</v>
      </c>
      <c r="CX75" s="1486">
        <f t="shared" ca="1" si="196"/>
        <v>0</v>
      </c>
      <c r="CY75" s="1486">
        <f t="shared" ca="1" si="196"/>
        <v>0</v>
      </c>
      <c r="CZ75" s="1486">
        <f t="shared" ca="1" si="196"/>
        <v>0</v>
      </c>
      <c r="DA75" s="1486">
        <f t="shared" ca="1" si="196"/>
        <v>0</v>
      </c>
      <c r="DB75" s="1486">
        <f t="shared" ca="1" si="196"/>
        <v>0</v>
      </c>
      <c r="DC75" s="1486">
        <f t="shared" ca="1" si="196"/>
        <v>0</v>
      </c>
      <c r="DD75" s="1486">
        <f t="shared" ca="1" si="196"/>
        <v>0</v>
      </c>
      <c r="DE75" s="1486">
        <f t="shared" ca="1" si="196"/>
        <v>0</v>
      </c>
      <c r="DF75" s="1486">
        <f t="shared" ca="1" si="196"/>
        <v>0</v>
      </c>
      <c r="DH75" s="838">
        <f t="shared" ca="1" si="125"/>
        <v>0</v>
      </c>
    </row>
    <row r="76" spans="1:112" s="743" customFormat="1" ht="15.75" collapsed="1">
      <c r="A76" s="22"/>
      <c r="B76" s="753"/>
      <c r="C76" s="744" t="s">
        <v>75</v>
      </c>
      <c r="D76" s="517" t="str">
        <f>INDEX(Workstreams[Workstream], MATCH($C76, Workstreams[Code], 0))</f>
        <v>Nuclear power generation</v>
      </c>
      <c r="E76" s="512"/>
      <c r="G76" s="1021">
        <f ca="1">G75</f>
        <v>0</v>
      </c>
      <c r="H76" s="1021">
        <f t="shared" ref="H76:P76" ca="1" si="197">H75</f>
        <v>0</v>
      </c>
      <c r="I76" s="1021">
        <f t="shared" ca="1" si="197"/>
        <v>0</v>
      </c>
      <c r="J76" s="1021">
        <f t="shared" ca="1" si="197"/>
        <v>0</v>
      </c>
      <c r="K76" s="1021">
        <f t="shared" ca="1" si="197"/>
        <v>0</v>
      </c>
      <c r="L76" s="1021">
        <f t="shared" ca="1" si="197"/>
        <v>0</v>
      </c>
      <c r="M76" s="1021">
        <f t="shared" ca="1" si="197"/>
        <v>0</v>
      </c>
      <c r="N76" s="1021">
        <f t="shared" ca="1" si="197"/>
        <v>0</v>
      </c>
      <c r="O76" s="1021">
        <f t="shared" ca="1" si="197"/>
        <v>0</v>
      </c>
      <c r="P76" s="1021">
        <f t="shared" ca="1" si="197"/>
        <v>0</v>
      </c>
      <c r="Q76" s="1021">
        <f ca="1">SUM(G76:P76)</f>
        <v>0</v>
      </c>
      <c r="S76" s="970">
        <f t="shared" ref="S76:AJ76" ca="1" si="198">S75</f>
        <v>0</v>
      </c>
      <c r="T76" s="970">
        <f t="shared" ca="1" si="198"/>
        <v>57.469895999999999</v>
      </c>
      <c r="U76" s="970">
        <f t="shared" ca="1" si="198"/>
        <v>0</v>
      </c>
      <c r="V76" s="970">
        <f t="shared" ca="1" si="198"/>
        <v>0</v>
      </c>
      <c r="W76" s="970">
        <f t="shared" ca="1" si="198"/>
        <v>0</v>
      </c>
      <c r="X76" s="970">
        <f t="shared" ca="1" si="198"/>
        <v>0</v>
      </c>
      <c r="Y76" s="970">
        <f t="shared" ca="1" si="198"/>
        <v>0</v>
      </c>
      <c r="Z76" s="970">
        <f t="shared" ca="1" si="198"/>
        <v>0</v>
      </c>
      <c r="AA76" s="970">
        <f t="shared" ca="1" si="198"/>
        <v>0</v>
      </c>
      <c r="AB76" s="970">
        <f t="shared" ca="1" si="198"/>
        <v>0</v>
      </c>
      <c r="AC76" s="970">
        <f t="shared" ca="1" si="198"/>
        <v>0</v>
      </c>
      <c r="AD76" s="970">
        <f t="shared" ca="1" si="198"/>
        <v>0</v>
      </c>
      <c r="AE76" s="970">
        <f ca="1">AE75</f>
        <v>0</v>
      </c>
      <c r="AF76" s="970">
        <f t="shared" ca="1" si="198"/>
        <v>0</v>
      </c>
      <c r="AG76" s="970">
        <f t="shared" ca="1" si="198"/>
        <v>0</v>
      </c>
      <c r="AH76" s="970">
        <f ca="1">AH75</f>
        <v>0</v>
      </c>
      <c r="AI76" s="970">
        <f t="shared" ca="1" si="198"/>
        <v>0</v>
      </c>
      <c r="AJ76" s="970">
        <f t="shared" ca="1" si="198"/>
        <v>0</v>
      </c>
      <c r="AK76" s="970">
        <f ca="1">SUM(S76:AJ76)</f>
        <v>57.469895999999999</v>
      </c>
      <c r="AM76" s="976">
        <f t="shared" ref="AM76:BE76" ca="1" si="199">AM75</f>
        <v>0</v>
      </c>
      <c r="AN76" s="976">
        <f t="shared" ca="1" si="199"/>
        <v>0</v>
      </c>
      <c r="AO76" s="976">
        <f t="shared" ca="1" si="199"/>
        <v>0</v>
      </c>
      <c r="AP76" s="976">
        <f t="shared" ca="1" si="199"/>
        <v>0</v>
      </c>
      <c r="AQ76" s="976">
        <f t="shared" ca="1" si="199"/>
        <v>0</v>
      </c>
      <c r="AR76" s="976">
        <f t="shared" ca="1" si="199"/>
        <v>0</v>
      </c>
      <c r="AS76" s="976">
        <f t="shared" ca="1" si="199"/>
        <v>0</v>
      </c>
      <c r="AT76" s="976">
        <f t="shared" ca="1" si="199"/>
        <v>0</v>
      </c>
      <c r="AU76" s="976">
        <f t="shared" ca="1" si="199"/>
        <v>0</v>
      </c>
      <c r="AV76" s="976">
        <f t="shared" ca="1" si="199"/>
        <v>-163.91620313701554</v>
      </c>
      <c r="AW76" s="976">
        <f t="shared" ca="1" si="199"/>
        <v>0</v>
      </c>
      <c r="AX76" s="976">
        <f t="shared" ca="1" si="199"/>
        <v>0</v>
      </c>
      <c r="AY76" s="976">
        <f t="shared" ca="1" si="199"/>
        <v>0</v>
      </c>
      <c r="AZ76" s="976">
        <f t="shared" ca="1" si="199"/>
        <v>0</v>
      </c>
      <c r="BA76" s="976">
        <f t="shared" ca="1" si="199"/>
        <v>0</v>
      </c>
      <c r="BB76" s="976">
        <f t="shared" ca="1" si="199"/>
        <v>0</v>
      </c>
      <c r="BC76" s="976">
        <f t="shared" ca="1" si="199"/>
        <v>0</v>
      </c>
      <c r="BD76" s="976">
        <f t="shared" ca="1" si="199"/>
        <v>0</v>
      </c>
      <c r="BE76" s="976">
        <f t="shared" ca="1" si="199"/>
        <v>0</v>
      </c>
      <c r="BF76" s="976">
        <f ca="1">SUM(AM76:BE76)</f>
        <v>-163.91620313701554</v>
      </c>
      <c r="BH76" s="990">
        <f ca="1">BH75</f>
        <v>100.64454872612754</v>
      </c>
      <c r="BI76" s="990">
        <f ca="1">BI75</f>
        <v>5.8017584108879987</v>
      </c>
      <c r="BJ76" s="990">
        <f ca="1">SUM(BH76:BI76)</f>
        <v>106.44630713701554</v>
      </c>
      <c r="BL76" s="515">
        <f t="shared" ca="1" si="192"/>
        <v>0</v>
      </c>
      <c r="BM76" s="515"/>
      <c r="BN76" s="840"/>
      <c r="BO76" s="1482">
        <f t="shared" ref="BO76:DF76" ca="1" si="200">BO75</f>
        <v>0</v>
      </c>
      <c r="BP76" s="1482">
        <f t="shared" ca="1" si="200"/>
        <v>0</v>
      </c>
      <c r="BQ76" s="1482">
        <f t="shared" ca="1" si="200"/>
        <v>0</v>
      </c>
      <c r="BR76" s="1482">
        <f t="shared" ca="1" si="200"/>
        <v>0</v>
      </c>
      <c r="BS76" s="1482">
        <f t="shared" ca="1" si="200"/>
        <v>0</v>
      </c>
      <c r="BT76" s="1482">
        <f t="shared" ca="1" si="200"/>
        <v>0</v>
      </c>
      <c r="BU76" s="1482">
        <f t="shared" ca="1" si="200"/>
        <v>0</v>
      </c>
      <c r="BV76" s="1482">
        <f t="shared" ca="1" si="200"/>
        <v>0</v>
      </c>
      <c r="BW76" s="1482">
        <f t="shared" ca="1" si="200"/>
        <v>0</v>
      </c>
      <c r="BX76" s="1482">
        <f t="shared" ca="1" si="200"/>
        <v>0</v>
      </c>
      <c r="BY76" s="1482">
        <f t="shared" ca="1" si="200"/>
        <v>0</v>
      </c>
      <c r="BZ76" s="1482">
        <f t="shared" ca="1" si="200"/>
        <v>0</v>
      </c>
      <c r="CA76" s="1482">
        <f t="shared" ca="1" si="200"/>
        <v>0</v>
      </c>
      <c r="CB76" s="1482">
        <f t="shared" ca="1" si="200"/>
        <v>0</v>
      </c>
      <c r="CC76" s="1482">
        <f t="shared" ca="1" si="200"/>
        <v>0</v>
      </c>
      <c r="CD76" s="1482">
        <f t="shared" ca="1" si="200"/>
        <v>0</v>
      </c>
      <c r="CE76" s="1482">
        <f t="shared" ca="1" si="200"/>
        <v>0</v>
      </c>
      <c r="CF76" s="1482">
        <f t="shared" ca="1" si="200"/>
        <v>0</v>
      </c>
      <c r="CG76" s="1482">
        <f t="shared" ca="1" si="200"/>
        <v>0</v>
      </c>
      <c r="CH76" s="1482">
        <f t="shared" ca="1" si="200"/>
        <v>0</v>
      </c>
      <c r="CI76" s="1482">
        <f t="shared" ca="1" si="200"/>
        <v>0</v>
      </c>
      <c r="CJ76" s="1482">
        <f t="shared" ca="1" si="200"/>
        <v>0</v>
      </c>
      <c r="CK76" s="1482">
        <f t="shared" ca="1" si="200"/>
        <v>0</v>
      </c>
      <c r="CL76" s="1482">
        <f t="shared" ca="1" si="200"/>
        <v>0</v>
      </c>
      <c r="CM76" s="1482">
        <f t="shared" ca="1" si="200"/>
        <v>0</v>
      </c>
      <c r="CN76" s="1482">
        <f t="shared" ca="1" si="200"/>
        <v>0</v>
      </c>
      <c r="CO76" s="1482">
        <f t="shared" ca="1" si="200"/>
        <v>0</v>
      </c>
      <c r="CP76" s="1482">
        <f t="shared" ca="1" si="200"/>
        <v>0</v>
      </c>
      <c r="CQ76" s="1482">
        <f t="shared" ca="1" si="200"/>
        <v>0</v>
      </c>
      <c r="CR76" s="1482">
        <f t="shared" ca="1" si="200"/>
        <v>0</v>
      </c>
      <c r="CS76" s="1482">
        <f t="shared" ca="1" si="200"/>
        <v>0</v>
      </c>
      <c r="CT76" s="1482">
        <f t="shared" ca="1" si="200"/>
        <v>0</v>
      </c>
      <c r="CU76" s="1482">
        <f t="shared" ca="1" si="200"/>
        <v>0</v>
      </c>
      <c r="CV76" s="1482">
        <f t="shared" ca="1" si="200"/>
        <v>0</v>
      </c>
      <c r="CW76" s="1482">
        <f t="shared" ca="1" si="200"/>
        <v>0</v>
      </c>
      <c r="CX76" s="1482">
        <f t="shared" ca="1" si="200"/>
        <v>0</v>
      </c>
      <c r="CY76" s="1482">
        <f t="shared" ca="1" si="200"/>
        <v>0</v>
      </c>
      <c r="CZ76" s="1482">
        <f t="shared" ca="1" si="200"/>
        <v>0</v>
      </c>
      <c r="DA76" s="1482">
        <f t="shared" ca="1" si="200"/>
        <v>0</v>
      </c>
      <c r="DB76" s="1482">
        <f t="shared" ca="1" si="200"/>
        <v>0</v>
      </c>
      <c r="DC76" s="1482">
        <f t="shared" ca="1" si="200"/>
        <v>0</v>
      </c>
      <c r="DD76" s="1482">
        <f t="shared" ca="1" si="200"/>
        <v>0</v>
      </c>
      <c r="DE76" s="1482">
        <f t="shared" ca="1" si="200"/>
        <v>0</v>
      </c>
      <c r="DF76" s="1482">
        <f t="shared" ca="1" si="200"/>
        <v>0</v>
      </c>
      <c r="DH76" s="838">
        <f t="shared" ca="1" si="125"/>
        <v>0</v>
      </c>
    </row>
    <row r="77" spans="1:112" s="743" customFormat="1" ht="12.75" hidden="1" customHeight="1" outlineLevel="1">
      <c r="A77" s="22"/>
      <c r="B77" s="22"/>
      <c r="C77" s="751"/>
      <c r="D77" s="512"/>
      <c r="E77" s="512"/>
      <c r="G77" s="958"/>
      <c r="H77" s="958"/>
      <c r="I77" s="958"/>
      <c r="J77" s="958"/>
      <c r="K77" s="960"/>
      <c r="L77" s="958"/>
      <c r="M77" s="958"/>
      <c r="N77" s="958"/>
      <c r="O77" s="958"/>
      <c r="P77" s="958"/>
      <c r="Q77" s="958"/>
      <c r="S77" s="970"/>
      <c r="T77" s="970"/>
      <c r="U77" s="970"/>
      <c r="V77" s="970"/>
      <c r="W77" s="970"/>
      <c r="X77" s="970"/>
      <c r="Y77" s="970"/>
      <c r="Z77" s="970"/>
      <c r="AA77" s="970"/>
      <c r="AB77" s="970"/>
      <c r="AC77" s="970"/>
      <c r="AD77" s="970"/>
      <c r="AE77" s="970"/>
      <c r="AF77" s="970"/>
      <c r="AG77" s="970"/>
      <c r="AH77" s="970"/>
      <c r="AI77" s="970"/>
      <c r="AJ77" s="970"/>
      <c r="AK77" s="970"/>
      <c r="AM77" s="976"/>
      <c r="AN77" s="976"/>
      <c r="AO77" s="976"/>
      <c r="AP77" s="976"/>
      <c r="AQ77" s="976"/>
      <c r="AR77" s="976"/>
      <c r="AS77" s="976"/>
      <c r="AT77" s="976"/>
      <c r="AU77" s="976"/>
      <c r="AV77" s="976"/>
      <c r="AW77" s="976"/>
      <c r="AX77" s="976"/>
      <c r="AY77" s="976"/>
      <c r="AZ77" s="976"/>
      <c r="BA77" s="976"/>
      <c r="BB77" s="976"/>
      <c r="BC77" s="976"/>
      <c r="BD77" s="976"/>
      <c r="BE77" s="976"/>
      <c r="BF77" s="976"/>
      <c r="BH77" s="990"/>
      <c r="BI77" s="990"/>
      <c r="BJ77" s="990"/>
      <c r="BL77" s="515">
        <f t="shared" si="192"/>
        <v>0</v>
      </c>
      <c r="BM77" s="515"/>
      <c r="BN77" s="22"/>
      <c r="BO77" s="1482"/>
      <c r="BP77" s="1482"/>
      <c r="BQ77" s="1482"/>
      <c r="BR77" s="1482"/>
      <c r="BS77" s="1482"/>
      <c r="BT77" s="1482"/>
      <c r="BU77" s="1482"/>
      <c r="BV77" s="1482"/>
      <c r="BW77" s="1482"/>
      <c r="BX77" s="1482"/>
      <c r="BY77" s="1482"/>
      <c r="BZ77" s="1482"/>
      <c r="CA77" s="1482"/>
      <c r="CB77" s="1482"/>
      <c r="CC77" s="1482"/>
      <c r="CD77" s="1482"/>
      <c r="CE77" s="1482"/>
      <c r="CF77" s="1482"/>
      <c r="CG77" s="1482"/>
      <c r="CH77" s="1482"/>
      <c r="CI77" s="1482"/>
      <c r="CJ77" s="1482"/>
      <c r="CK77" s="1482"/>
      <c r="CL77" s="1482"/>
      <c r="CM77" s="1482"/>
      <c r="CN77" s="1482"/>
      <c r="CO77" s="1482"/>
      <c r="CP77" s="1482"/>
      <c r="CQ77" s="1482"/>
      <c r="CR77" s="1482"/>
      <c r="CS77" s="1482"/>
      <c r="CT77" s="1482"/>
      <c r="CU77" s="1482"/>
      <c r="CV77" s="1482"/>
      <c r="CW77" s="1482"/>
      <c r="CX77" s="1482"/>
      <c r="CY77" s="1482"/>
      <c r="CZ77" s="1482"/>
      <c r="DA77" s="1482"/>
      <c r="DB77" s="1482"/>
      <c r="DC77" s="1482"/>
      <c r="DD77" s="1482"/>
      <c r="DE77" s="1482"/>
      <c r="DF77" s="1482"/>
      <c r="DH77" s="838">
        <f t="shared" si="125"/>
        <v>0</v>
      </c>
    </row>
    <row r="78" spans="1:112" s="1488" customFormat="1" ht="12.75" hidden="1" customHeight="1" outlineLevel="1">
      <c r="C78" s="1048" t="s">
        <v>1720</v>
      </c>
      <c r="D78" s="1049" t="s">
        <v>1334</v>
      </c>
      <c r="E78" s="1049"/>
      <c r="F78" s="743"/>
      <c r="G78" s="1050"/>
      <c r="H78" s="1050"/>
      <c r="I78" s="1050"/>
      <c r="J78" s="1050"/>
      <c r="K78" s="1051"/>
      <c r="L78" s="1050"/>
      <c r="M78" s="1050"/>
      <c r="N78" s="1050"/>
      <c r="O78" s="1050"/>
      <c r="P78" s="1050"/>
      <c r="Q78" s="1050"/>
      <c r="R78" s="743"/>
      <c r="S78" s="1052">
        <f ca="1">S$74+S$76</f>
        <v>-354.55512401053005</v>
      </c>
      <c r="T78" s="1052">
        <f ca="1">T$74+T$76</f>
        <v>43.709570471022559</v>
      </c>
      <c r="U78" s="1052"/>
      <c r="V78" s="1052"/>
      <c r="W78" s="1052"/>
      <c r="X78" s="1052"/>
      <c r="Y78" s="1052"/>
      <c r="Z78" s="1052"/>
      <c r="AA78" s="1052"/>
      <c r="AB78" s="1052"/>
      <c r="AC78" s="1052"/>
      <c r="AD78" s="1052"/>
      <c r="AE78" s="1052"/>
      <c r="AF78" s="1052"/>
      <c r="AG78" s="1052"/>
      <c r="AH78" s="1052"/>
      <c r="AI78" s="1052"/>
      <c r="AJ78" s="1052"/>
      <c r="AK78" s="1052"/>
      <c r="AL78" s="743"/>
      <c r="AM78" s="1053"/>
      <c r="AN78" s="1053"/>
      <c r="AO78" s="1053"/>
      <c r="AP78" s="1053"/>
      <c r="AQ78" s="1053"/>
      <c r="AR78" s="1053"/>
      <c r="AS78" s="1053"/>
      <c r="AT78" s="1053"/>
      <c r="AU78" s="1053"/>
      <c r="AV78" s="1053"/>
      <c r="AW78" s="1053"/>
      <c r="AX78" s="1053"/>
      <c r="AY78" s="1053"/>
      <c r="AZ78" s="1053"/>
      <c r="BA78" s="1053"/>
      <c r="BB78" s="1053"/>
      <c r="BC78" s="1053"/>
      <c r="BD78" s="1053"/>
      <c r="BE78" s="1053"/>
      <c r="BF78" s="1053"/>
      <c r="BG78" s="743"/>
      <c r="BH78" s="1054"/>
      <c r="BI78" s="1054"/>
      <c r="BJ78" s="1054"/>
      <c r="BK78" s="743"/>
      <c r="BL78" s="852">
        <f t="shared" si="192"/>
        <v>0</v>
      </c>
      <c r="BM78" s="852"/>
      <c r="BO78" s="1490"/>
      <c r="BP78" s="1490"/>
      <c r="BQ78" s="1490"/>
      <c r="BR78" s="1490"/>
      <c r="BS78" s="1490"/>
      <c r="BT78" s="1490"/>
      <c r="BU78" s="1490"/>
      <c r="BV78" s="1490"/>
      <c r="BW78" s="1490"/>
      <c r="BX78" s="1490"/>
      <c r="BY78" s="1490"/>
      <c r="BZ78" s="1490"/>
      <c r="CA78" s="1490"/>
      <c r="CB78" s="1490"/>
      <c r="CC78" s="1490"/>
      <c r="CD78" s="1490"/>
      <c r="CE78" s="1490"/>
      <c r="CF78" s="1490"/>
      <c r="CG78" s="1490"/>
      <c r="CH78" s="1490"/>
      <c r="CI78" s="1490"/>
      <c r="CJ78" s="1490"/>
      <c r="CK78" s="1490"/>
      <c r="CL78" s="1490"/>
      <c r="CM78" s="1490"/>
      <c r="CN78" s="1490"/>
      <c r="CO78" s="1490"/>
      <c r="CP78" s="1490"/>
      <c r="CQ78" s="1490"/>
      <c r="CR78" s="1490"/>
      <c r="CS78" s="1490"/>
      <c r="CT78" s="1490"/>
      <c r="CU78" s="1490"/>
      <c r="CV78" s="1490"/>
      <c r="CW78" s="1490"/>
      <c r="CX78" s="1490"/>
      <c r="CY78" s="1490"/>
      <c r="CZ78" s="1490"/>
      <c r="DA78" s="1490"/>
      <c r="DB78" s="1490"/>
      <c r="DC78" s="1490"/>
      <c r="DD78" s="1490"/>
      <c r="DE78" s="1490"/>
      <c r="DF78" s="1490"/>
      <c r="DH78" s="838">
        <f t="shared" si="125"/>
        <v>0</v>
      </c>
    </row>
    <row r="79" spans="1:112" s="1484" customFormat="1" ht="12.75" hidden="1" customHeight="1" outlineLevel="1">
      <c r="C79" s="746" t="s">
        <v>878</v>
      </c>
      <c r="D79" s="521" t="str">
        <f>INDEX(Modules[Module], MATCH($C79, Modules[Code], 0))</f>
        <v>Combustion + CCS</v>
      </c>
      <c r="E79" s="521"/>
      <c r="F79" s="743"/>
      <c r="G79" s="2013">
        <f t="shared" ref="G79:P79" ca="1" si="201">IFERROR(INDEX(INDIRECT($C79&amp;".Outputs["&amp;this.Year&amp;"]"), MATCH(G$5, INDIRECT($C79&amp;".Outputs[Vector]"), 0)), 0)</f>
        <v>0</v>
      </c>
      <c r="H79" s="2013">
        <f t="shared" ca="1" si="201"/>
        <v>0</v>
      </c>
      <c r="I79" s="2013">
        <f t="shared" ca="1" si="201"/>
        <v>0</v>
      </c>
      <c r="J79" s="2013">
        <f t="shared" ca="1" si="201"/>
        <v>0</v>
      </c>
      <c r="K79" s="2013">
        <f t="shared" ca="1" si="201"/>
        <v>0</v>
      </c>
      <c r="L79" s="2013">
        <f t="shared" ca="1" si="201"/>
        <v>0</v>
      </c>
      <c r="M79" s="2013">
        <f t="shared" ca="1" si="201"/>
        <v>0</v>
      </c>
      <c r="N79" s="2013">
        <f t="shared" ca="1" si="201"/>
        <v>0</v>
      </c>
      <c r="O79" s="2013">
        <f t="shared" ca="1" si="201"/>
        <v>0</v>
      </c>
      <c r="P79" s="2013">
        <f t="shared" ca="1" si="201"/>
        <v>0</v>
      </c>
      <c r="Q79" s="2014">
        <f ca="1">SUM(G79:P79)</f>
        <v>0</v>
      </c>
      <c r="R79" s="743"/>
      <c r="S79" s="2015">
        <f t="shared" ref="S79:BE79" ca="1" si="202">IFERROR(INDEX(INDIRECT($C79&amp;".Outputs["&amp;this.Year&amp;"]"), MATCH(S$5, INDIRECT($C79&amp;".Outputs[Vector]"), 0)), 0)</f>
        <v>0</v>
      </c>
      <c r="T79" s="2015">
        <f t="shared" ca="1" si="202"/>
        <v>0</v>
      </c>
      <c r="U79" s="2015">
        <f t="shared" ca="1" si="202"/>
        <v>0</v>
      </c>
      <c r="V79" s="2015">
        <f t="shared" ca="1" si="202"/>
        <v>0</v>
      </c>
      <c r="W79" s="2015">
        <f t="shared" ca="1" si="202"/>
        <v>0</v>
      </c>
      <c r="X79" s="2015">
        <f ca="1">IFERROR(INDEX(INDIRECT($C79&amp;".Outputs["&amp;this.Year&amp;"]"), MATCH(X$5, INDIRECT($C79&amp;".Outputs[Vector]"), 0)), 0)</f>
        <v>0</v>
      </c>
      <c r="Y79" s="2015">
        <f ca="1">IFERROR(INDEX(INDIRECT($C79&amp;".Outputs["&amp;this.Year&amp;"]"), MATCH(Y$5, INDIRECT($C79&amp;".Outputs[Vector]"), 0)), 0)</f>
        <v>0</v>
      </c>
      <c r="Z79" s="2015">
        <f ca="1">IFERROR(INDEX(INDIRECT($C79&amp;".Outputs["&amp;this.Year&amp;"]"), MATCH(Z$5, INDIRECT($C79&amp;".Outputs[Vector]"), 0)), 0)</f>
        <v>0</v>
      </c>
      <c r="AA79" s="2015">
        <f t="shared" ca="1" si="202"/>
        <v>0</v>
      </c>
      <c r="AB79" s="2015">
        <f t="shared" ca="1" si="202"/>
        <v>0</v>
      </c>
      <c r="AC79" s="2015">
        <f t="shared" ca="1" si="202"/>
        <v>0</v>
      </c>
      <c r="AD79" s="2015">
        <f t="shared" ca="1" si="202"/>
        <v>0</v>
      </c>
      <c r="AE79" s="2015">
        <f t="shared" ca="1" si="202"/>
        <v>0</v>
      </c>
      <c r="AF79" s="2015">
        <f t="shared" ca="1" si="202"/>
        <v>0</v>
      </c>
      <c r="AG79" s="2015">
        <f t="shared" ca="1" si="202"/>
        <v>0</v>
      </c>
      <c r="AH79" s="2015">
        <f t="shared" ca="1" si="202"/>
        <v>0</v>
      </c>
      <c r="AI79" s="2015">
        <f t="shared" ca="1" si="202"/>
        <v>0</v>
      </c>
      <c r="AJ79" s="2015">
        <f t="shared" ca="1" si="202"/>
        <v>0</v>
      </c>
      <c r="AK79" s="2016">
        <f ca="1">SUM(S79:AJ79)</f>
        <v>0</v>
      </c>
      <c r="AL79" s="743"/>
      <c r="AM79" s="2017">
        <f t="shared" ref="AM79:AU79" ca="1" si="203">IFERROR(INDEX(INDIRECT($C79&amp;".Outputs["&amp;this.Year&amp;"]"), MATCH(AM$5, INDIRECT($C79&amp;".Outputs[Vector]"), 0)), 0)</f>
        <v>0</v>
      </c>
      <c r="AN79" s="2017">
        <f t="shared" ca="1" si="203"/>
        <v>0</v>
      </c>
      <c r="AO79" s="2017">
        <f t="shared" ca="1" si="203"/>
        <v>0</v>
      </c>
      <c r="AP79" s="2017">
        <f t="shared" ca="1" si="203"/>
        <v>0</v>
      </c>
      <c r="AQ79" s="2017">
        <f t="shared" ca="1" si="203"/>
        <v>0</v>
      </c>
      <c r="AR79" s="2017">
        <f t="shared" ca="1" si="203"/>
        <v>0</v>
      </c>
      <c r="AS79" s="2017">
        <f t="shared" ca="1" si="203"/>
        <v>0</v>
      </c>
      <c r="AT79" s="2017">
        <f t="shared" ca="1" si="203"/>
        <v>0</v>
      </c>
      <c r="AU79" s="2017">
        <f t="shared" ca="1" si="203"/>
        <v>0</v>
      </c>
      <c r="AV79" s="2017">
        <f t="shared" ca="1" si="202"/>
        <v>0</v>
      </c>
      <c r="AW79" s="2017">
        <f t="shared" ca="1" si="202"/>
        <v>0</v>
      </c>
      <c r="AX79" s="2017">
        <f t="shared" ca="1" si="202"/>
        <v>0</v>
      </c>
      <c r="AY79" s="2017">
        <f t="shared" ca="1" si="202"/>
        <v>0</v>
      </c>
      <c r="AZ79" s="2017">
        <f t="shared" ca="1" si="202"/>
        <v>0</v>
      </c>
      <c r="BA79" s="2017">
        <f t="shared" ca="1" si="202"/>
        <v>0</v>
      </c>
      <c r="BB79" s="2017">
        <f t="shared" ca="1" si="202"/>
        <v>0</v>
      </c>
      <c r="BC79" s="2017">
        <f t="shared" ca="1" si="202"/>
        <v>0</v>
      </c>
      <c r="BD79" s="2017">
        <f t="shared" ca="1" si="202"/>
        <v>0</v>
      </c>
      <c r="BE79" s="2017">
        <f t="shared" ca="1" si="202"/>
        <v>0</v>
      </c>
      <c r="BF79" s="2018">
        <f ca="1">SUM(AM79:BE79)</f>
        <v>0</v>
      </c>
      <c r="BG79" s="743"/>
      <c r="BH79" s="2019">
        <f ca="1">IFERROR(INDEX(INDIRECT($C79&amp;".Outputs["&amp;this.Year&amp;"]"), MATCH(BH$5, INDIRECT($C79&amp;".Outputs[Vector]"), 0)), 0)</f>
        <v>0</v>
      </c>
      <c r="BI79" s="2019">
        <f ca="1">IFERROR(INDEX(INDIRECT($C79&amp;".Outputs["&amp;this.Year&amp;"]"), MATCH(BI$5, INDIRECT($C79&amp;".Outputs[Vector]"), 0)), 0)</f>
        <v>0</v>
      </c>
      <c r="BJ79" s="2020">
        <f ca="1">SUM(BH79:BI79)</f>
        <v>0</v>
      </c>
      <c r="BK79" s="743"/>
      <c r="BL79" s="814">
        <f t="shared" ca="1" si="192"/>
        <v>0</v>
      </c>
      <c r="BM79" s="814"/>
      <c r="BN79" s="840"/>
      <c r="BO79" s="1481">
        <f t="shared" ref="BO79:DF79" ca="1" si="204">IFERROR(SUMIFS(INDIRECT($C79&amp;".Emissions["&amp;this.Year&amp;"]"), INDIRECT($C79&amp;".Emissions[GHG]"), BO$6, INDIRECT($C79&amp;".Emissions[IPCC Sector]"), BO$5),0)</f>
        <v>0</v>
      </c>
      <c r="BP79" s="1482">
        <f t="shared" ca="1" si="204"/>
        <v>0</v>
      </c>
      <c r="BQ79" s="1482">
        <f t="shared" ca="1" si="204"/>
        <v>0</v>
      </c>
      <c r="BR79" s="1482">
        <f t="shared" ca="1" si="204"/>
        <v>0</v>
      </c>
      <c r="BS79" s="1482">
        <f t="shared" ca="1" si="204"/>
        <v>0</v>
      </c>
      <c r="BT79" s="1482">
        <f t="shared" ca="1" si="204"/>
        <v>0</v>
      </c>
      <c r="BU79" s="1482">
        <f t="shared" ca="1" si="204"/>
        <v>0</v>
      </c>
      <c r="BV79" s="1482">
        <f t="shared" ca="1" si="204"/>
        <v>0</v>
      </c>
      <c r="BW79" s="1482">
        <f t="shared" ca="1" si="204"/>
        <v>0</v>
      </c>
      <c r="BX79" s="1482">
        <f t="shared" ca="1" si="204"/>
        <v>0</v>
      </c>
      <c r="BY79" s="1482">
        <f t="shared" ca="1" si="204"/>
        <v>0</v>
      </c>
      <c r="BZ79" s="1482">
        <f t="shared" ca="1" si="204"/>
        <v>0</v>
      </c>
      <c r="CA79" s="1482">
        <f t="shared" ca="1" si="204"/>
        <v>0</v>
      </c>
      <c r="CB79" s="1482">
        <f t="shared" ca="1" si="204"/>
        <v>0</v>
      </c>
      <c r="CC79" s="1482">
        <f t="shared" ca="1" si="204"/>
        <v>0</v>
      </c>
      <c r="CD79" s="1482">
        <f t="shared" ca="1" si="204"/>
        <v>0</v>
      </c>
      <c r="CE79" s="1482">
        <f t="shared" ca="1" si="204"/>
        <v>0</v>
      </c>
      <c r="CF79" s="1482">
        <f t="shared" ca="1" si="204"/>
        <v>0</v>
      </c>
      <c r="CG79" s="1482">
        <f t="shared" ca="1" si="204"/>
        <v>0</v>
      </c>
      <c r="CH79" s="1482">
        <f t="shared" ca="1" si="204"/>
        <v>0</v>
      </c>
      <c r="CI79" s="1482">
        <f t="shared" ca="1" si="204"/>
        <v>0</v>
      </c>
      <c r="CJ79" s="1482">
        <f t="shared" ca="1" si="204"/>
        <v>0</v>
      </c>
      <c r="CK79" s="1482">
        <f t="shared" ca="1" si="204"/>
        <v>0</v>
      </c>
      <c r="CL79" s="1482">
        <f t="shared" ca="1" si="204"/>
        <v>0</v>
      </c>
      <c r="CM79" s="1482">
        <f t="shared" ca="1" si="204"/>
        <v>0</v>
      </c>
      <c r="CN79" s="1482">
        <f t="shared" ca="1" si="204"/>
        <v>0</v>
      </c>
      <c r="CO79" s="1482">
        <f t="shared" ca="1" si="204"/>
        <v>0</v>
      </c>
      <c r="CP79" s="1482">
        <f t="shared" ca="1" si="204"/>
        <v>0</v>
      </c>
      <c r="CQ79" s="1482">
        <f t="shared" ca="1" si="204"/>
        <v>0</v>
      </c>
      <c r="CR79" s="1482">
        <f t="shared" ca="1" si="204"/>
        <v>0</v>
      </c>
      <c r="CS79" s="1482">
        <f t="shared" ca="1" si="204"/>
        <v>0</v>
      </c>
      <c r="CT79" s="1482">
        <f t="shared" ca="1" si="204"/>
        <v>0</v>
      </c>
      <c r="CU79" s="1482">
        <f t="shared" ca="1" si="204"/>
        <v>0</v>
      </c>
      <c r="CV79" s="1482">
        <f t="shared" ca="1" si="204"/>
        <v>0</v>
      </c>
      <c r="CW79" s="1482">
        <f t="shared" ca="1" si="204"/>
        <v>0</v>
      </c>
      <c r="CX79" s="1482">
        <f t="shared" ca="1" si="204"/>
        <v>0</v>
      </c>
      <c r="CY79" s="1482">
        <f t="shared" ca="1" si="204"/>
        <v>0</v>
      </c>
      <c r="CZ79" s="1482">
        <f t="shared" ca="1" si="204"/>
        <v>0</v>
      </c>
      <c r="DA79" s="1482">
        <f t="shared" ca="1" si="204"/>
        <v>0</v>
      </c>
      <c r="DB79" s="1482">
        <f t="shared" ca="1" si="204"/>
        <v>0</v>
      </c>
      <c r="DC79" s="1482">
        <f t="shared" ca="1" si="204"/>
        <v>0</v>
      </c>
      <c r="DD79" s="1482">
        <f t="shared" ca="1" si="204"/>
        <v>0</v>
      </c>
      <c r="DE79" s="1482">
        <f t="shared" ca="1" si="204"/>
        <v>0</v>
      </c>
      <c r="DF79" s="1482">
        <f t="shared" ca="1" si="204"/>
        <v>0</v>
      </c>
      <c r="DH79" s="838">
        <f t="shared" ca="1" si="125"/>
        <v>0</v>
      </c>
    </row>
    <row r="80" spans="1:112" s="1491" customFormat="1" ht="12.75" hidden="1" customHeight="1" outlineLevel="1">
      <c r="C80" s="1534" t="s">
        <v>1721</v>
      </c>
      <c r="D80" s="1049" t="s">
        <v>1334</v>
      </c>
      <c r="E80" s="1535"/>
      <c r="F80" s="1957"/>
      <c r="G80" s="1070"/>
      <c r="H80" s="1070"/>
      <c r="I80" s="1070"/>
      <c r="J80" s="1070"/>
      <c r="K80" s="1071"/>
      <c r="L80" s="1070"/>
      <c r="M80" s="1070"/>
      <c r="N80" s="1070"/>
      <c r="O80" s="1070"/>
      <c r="P80" s="1070"/>
      <c r="Q80" s="1070"/>
      <c r="R80" s="1957"/>
      <c r="S80" s="1072">
        <f ca="1">S78+S79</f>
        <v>-354.55512401053005</v>
      </c>
      <c r="T80" s="1072">
        <f ca="1">T78+T79</f>
        <v>43.709570471022559</v>
      </c>
      <c r="U80" s="1072"/>
      <c r="V80" s="1072"/>
      <c r="W80" s="1072"/>
      <c r="X80" s="1072"/>
      <c r="Y80" s="1072"/>
      <c r="Z80" s="1072"/>
      <c r="AA80" s="1072"/>
      <c r="AB80" s="1072"/>
      <c r="AC80" s="1072"/>
      <c r="AD80" s="1072"/>
      <c r="AE80" s="1072"/>
      <c r="AF80" s="1072"/>
      <c r="AG80" s="1072"/>
      <c r="AH80" s="1072"/>
      <c r="AI80" s="1072"/>
      <c r="AJ80" s="1072"/>
      <c r="AK80" s="1072"/>
      <c r="AL80" s="1957"/>
      <c r="AM80" s="1073"/>
      <c r="AN80" s="1073"/>
      <c r="AO80" s="1073"/>
      <c r="AP80" s="1073"/>
      <c r="AQ80" s="1073"/>
      <c r="AR80" s="1073"/>
      <c r="AS80" s="1073"/>
      <c r="AT80" s="1073"/>
      <c r="AU80" s="1073"/>
      <c r="AV80" s="1073"/>
      <c r="AW80" s="1073"/>
      <c r="AX80" s="1073"/>
      <c r="AY80" s="1073"/>
      <c r="AZ80" s="1073"/>
      <c r="BA80" s="1073"/>
      <c r="BB80" s="1073"/>
      <c r="BC80" s="1073"/>
      <c r="BD80" s="1073"/>
      <c r="BE80" s="1073"/>
      <c r="BF80" s="1073"/>
      <c r="BG80" s="1957"/>
      <c r="BH80" s="1074"/>
      <c r="BI80" s="1074"/>
      <c r="BJ80" s="1074"/>
      <c r="BK80" s="1957"/>
      <c r="BL80" s="1536">
        <f t="shared" si="192"/>
        <v>0</v>
      </c>
      <c r="BM80" s="1536"/>
      <c r="BO80" s="1963"/>
      <c r="BP80" s="1963"/>
      <c r="BQ80" s="1963"/>
      <c r="BR80" s="1963"/>
      <c r="BS80" s="1963"/>
      <c r="BT80" s="1963"/>
      <c r="BU80" s="1963"/>
      <c r="BV80" s="1963"/>
      <c r="BW80" s="1963"/>
      <c r="BX80" s="1963"/>
      <c r="BY80" s="1963"/>
      <c r="BZ80" s="1963"/>
      <c r="CA80" s="1963"/>
      <c r="CB80" s="1963"/>
      <c r="CC80" s="1963"/>
      <c r="CD80" s="1963"/>
      <c r="CE80" s="1963"/>
      <c r="CF80" s="1963"/>
      <c r="CG80" s="1963"/>
      <c r="CH80" s="1963"/>
      <c r="CI80" s="1963"/>
      <c r="CJ80" s="1963"/>
      <c r="CK80" s="1963"/>
      <c r="CL80" s="1963"/>
      <c r="CM80" s="1963"/>
      <c r="CN80" s="1963"/>
      <c r="CO80" s="1963"/>
      <c r="CP80" s="1963"/>
      <c r="CQ80" s="1963"/>
      <c r="CR80" s="1963"/>
      <c r="CS80" s="1963"/>
      <c r="CT80" s="1963"/>
      <c r="CU80" s="1963"/>
      <c r="CV80" s="1963"/>
      <c r="CW80" s="1963"/>
      <c r="CX80" s="1963"/>
      <c r="CY80" s="1963"/>
      <c r="CZ80" s="1963"/>
      <c r="DA80" s="1963"/>
      <c r="DB80" s="1963"/>
      <c r="DC80" s="1963"/>
      <c r="DD80" s="1963"/>
      <c r="DE80" s="1963"/>
      <c r="DF80" s="1963"/>
      <c r="DH80" s="1962">
        <f t="shared" si="125"/>
        <v>0</v>
      </c>
    </row>
    <row r="81" spans="1:112" s="1484" customFormat="1" ht="12.75" hidden="1" customHeight="1" outlineLevel="1">
      <c r="C81" s="746" t="s">
        <v>742</v>
      </c>
      <c r="D81" s="521" t="str">
        <f>INDEX(Modules[Module], MATCH($C81, Modules[Code], 0))</f>
        <v>Conventional thermal plant</v>
      </c>
      <c r="E81" s="521"/>
      <c r="F81" s="743"/>
      <c r="G81" s="1022">
        <f t="shared" ref="G81:P81" ca="1" si="205">IFERROR(INDEX(INDIRECT($C81&amp;".Outputs["&amp;this.Year&amp;"]"), MATCH(G$5, INDIRECT($C81&amp;".Outputs[Vector]"), 0)), 0)</f>
        <v>0</v>
      </c>
      <c r="H81" s="1022">
        <f t="shared" ca="1" si="205"/>
        <v>0</v>
      </c>
      <c r="I81" s="1022">
        <f t="shared" ca="1" si="205"/>
        <v>0</v>
      </c>
      <c r="J81" s="1022">
        <f t="shared" ca="1" si="205"/>
        <v>0</v>
      </c>
      <c r="K81" s="1022">
        <f t="shared" ca="1" si="205"/>
        <v>0</v>
      </c>
      <c r="L81" s="1022">
        <f t="shared" ca="1" si="205"/>
        <v>0</v>
      </c>
      <c r="M81" s="1022">
        <f t="shared" ca="1" si="205"/>
        <v>0</v>
      </c>
      <c r="N81" s="1022">
        <f t="shared" ca="1" si="205"/>
        <v>0</v>
      </c>
      <c r="O81" s="1022">
        <f t="shared" ca="1" si="205"/>
        <v>0</v>
      </c>
      <c r="P81" s="1022">
        <f t="shared" ca="1" si="205"/>
        <v>0</v>
      </c>
      <c r="Q81" s="1020">
        <f ca="1">SUM(G81:P81)</f>
        <v>0</v>
      </c>
      <c r="R81" s="743"/>
      <c r="S81" s="1031">
        <f t="shared" ref="S81:BE81" ca="1" si="206">IFERROR(INDEX(INDIRECT($C81&amp;".Outputs["&amp;this.Year&amp;"]"), MATCH(S$5, INDIRECT($C81&amp;".Outputs[Vector]"), 0)), 0)</f>
        <v>0</v>
      </c>
      <c r="T81" s="1031">
        <f t="shared" ca="1" si="206"/>
        <v>310.84555353950748</v>
      </c>
      <c r="U81" s="1031">
        <f t="shared" ca="1" si="206"/>
        <v>-373.17556637571482</v>
      </c>
      <c r="V81" s="1031">
        <f t="shared" ca="1" si="206"/>
        <v>-8.7346529012558989</v>
      </c>
      <c r="W81" s="1031">
        <f t="shared" ca="1" si="206"/>
        <v>-380.35650563313487</v>
      </c>
      <c r="X81" s="1031">
        <f ca="1">IFERROR(INDEX(INDIRECT($C81&amp;".Outputs["&amp;this.Year&amp;"]"), MATCH(X$5, INDIRECT($C81&amp;".Outputs[Vector]"), 0)), 0)</f>
        <v>0</v>
      </c>
      <c r="Y81" s="1031">
        <f ca="1">IFERROR(INDEX(INDIRECT($C81&amp;".Outputs["&amp;this.Year&amp;"]"), MATCH(Y$5, INDIRECT($C81&amp;".Outputs[Vector]"), 0)), 0)</f>
        <v>0</v>
      </c>
      <c r="Z81" s="1031">
        <f ca="1">IFERROR(INDEX(INDIRECT($C81&amp;".Outputs["&amp;this.Year&amp;"]"), MATCH(Z$5, INDIRECT($C81&amp;".Outputs[Vector]"), 0)), 0)</f>
        <v>0</v>
      </c>
      <c r="AA81" s="1031">
        <f t="shared" ca="1" si="206"/>
        <v>0</v>
      </c>
      <c r="AB81" s="1031">
        <f t="shared" ca="1" si="206"/>
        <v>0</v>
      </c>
      <c r="AC81" s="1031">
        <f t="shared" ca="1" si="206"/>
        <v>0</v>
      </c>
      <c r="AD81" s="1031">
        <f t="shared" ca="1" si="206"/>
        <v>0</v>
      </c>
      <c r="AE81" s="1031">
        <f t="shared" ca="1" si="206"/>
        <v>0</v>
      </c>
      <c r="AF81" s="1031">
        <f t="shared" ca="1" si="206"/>
        <v>0</v>
      </c>
      <c r="AG81" s="1031">
        <f t="shared" ca="1" si="206"/>
        <v>0</v>
      </c>
      <c r="AH81" s="1031">
        <f t="shared" ca="1" si="206"/>
        <v>0</v>
      </c>
      <c r="AI81" s="1031">
        <f t="shared" ca="1" si="206"/>
        <v>0</v>
      </c>
      <c r="AJ81" s="1031">
        <f t="shared" ca="1" si="206"/>
        <v>0</v>
      </c>
      <c r="AK81" s="1030">
        <f ca="1">SUM(S81:AJ81)</f>
        <v>-451.42117137059813</v>
      </c>
      <c r="AL81" s="743"/>
      <c r="AM81" s="1042">
        <f t="shared" ref="AM81:AU81" ca="1" si="207">IFERROR(INDEX(INDIRECT($C81&amp;".Outputs["&amp;this.Year&amp;"]"), MATCH(AM$5, INDIRECT($C81&amp;".Outputs[Vector]"), 0)), 0)</f>
        <v>0</v>
      </c>
      <c r="AN81" s="1042">
        <f t="shared" ca="1" si="207"/>
        <v>0</v>
      </c>
      <c r="AO81" s="1042">
        <f t="shared" ca="1" si="207"/>
        <v>0</v>
      </c>
      <c r="AP81" s="1042">
        <f t="shared" ca="1" si="207"/>
        <v>0</v>
      </c>
      <c r="AQ81" s="1042">
        <f t="shared" ca="1" si="207"/>
        <v>0</v>
      </c>
      <c r="AR81" s="1042">
        <f t="shared" ca="1" si="207"/>
        <v>0</v>
      </c>
      <c r="AS81" s="1042">
        <f t="shared" ca="1" si="207"/>
        <v>0</v>
      </c>
      <c r="AT81" s="1042">
        <f t="shared" ca="1" si="207"/>
        <v>0</v>
      </c>
      <c r="AU81" s="1042">
        <f t="shared" ca="1" si="207"/>
        <v>0</v>
      </c>
      <c r="AV81" s="1042">
        <f t="shared" ca="1" si="206"/>
        <v>0</v>
      </c>
      <c r="AW81" s="1042">
        <f t="shared" ca="1" si="206"/>
        <v>0</v>
      </c>
      <c r="AX81" s="1042">
        <f t="shared" ca="1" si="206"/>
        <v>0</v>
      </c>
      <c r="AY81" s="1042">
        <f t="shared" ca="1" si="206"/>
        <v>0</v>
      </c>
      <c r="AZ81" s="1042">
        <f t="shared" ca="1" si="206"/>
        <v>0</v>
      </c>
      <c r="BA81" s="1042">
        <f t="shared" ca="1" si="206"/>
        <v>0</v>
      </c>
      <c r="BB81" s="1042">
        <f t="shared" ca="1" si="206"/>
        <v>0</v>
      </c>
      <c r="BC81" s="1042">
        <f t="shared" ca="1" si="206"/>
        <v>0</v>
      </c>
      <c r="BD81" s="1042">
        <f t="shared" ca="1" si="206"/>
        <v>0</v>
      </c>
      <c r="BE81" s="1042">
        <f t="shared" ca="1" si="206"/>
        <v>0</v>
      </c>
      <c r="BF81" s="1012">
        <f ca="1">SUM(AM81:BE81)</f>
        <v>0</v>
      </c>
      <c r="BG81" s="743"/>
      <c r="BH81" s="1036">
        <f ca="1">IFERROR(INDEX(INDIRECT($C81&amp;".Outputs["&amp;this.Year&amp;"]"), MATCH(BH$5, INDIRECT($C81&amp;".Outputs[Vector]"), 0)), 0)</f>
        <v>440.64668691152713</v>
      </c>
      <c r="BI81" s="1036">
        <f ca="1">IFERROR(INDEX(INDIRECT($C81&amp;".Outputs["&amp;this.Year&amp;"]"), MATCH(BI$5, INDIRECT($C81&amp;".Outputs[Vector]"), 0)), 0)</f>
        <v>10.774484459071004</v>
      </c>
      <c r="BJ81" s="1035">
        <f ca="1">SUM(BH81:BI81)</f>
        <v>451.42117137059813</v>
      </c>
      <c r="BK81" s="743"/>
      <c r="BL81" s="814">
        <f t="shared" ref="BL81:BL87" ca="1" si="208">Q81+AK81+BF81+BJ81</f>
        <v>0</v>
      </c>
      <c r="BM81" s="814"/>
      <c r="BN81" s="840"/>
      <c r="BO81" s="1485">
        <f t="shared" ref="BO81:DF81" ca="1" si="209">IFERROR(SUMIFS(INDIRECT($C81&amp;".Emissions["&amp;this.Year&amp;"]"), INDIRECT($C81&amp;".Emissions[GHG]"), BO$6, INDIRECT($C81&amp;".Emissions[IPCC Sector]"), BO$5),0)</f>
        <v>187.10733470553092</v>
      </c>
      <c r="BP81" s="1486">
        <f t="shared" ca="1" si="209"/>
        <v>0.48065030797656261</v>
      </c>
      <c r="BQ81" s="1486">
        <f t="shared" ca="1" si="209"/>
        <v>1.2083525292792299</v>
      </c>
      <c r="BR81" s="1486">
        <f t="shared" ca="1" si="209"/>
        <v>0</v>
      </c>
      <c r="BS81" s="1486">
        <f t="shared" ca="1" si="209"/>
        <v>0</v>
      </c>
      <c r="BT81" s="1486">
        <f t="shared" ca="1" si="209"/>
        <v>0</v>
      </c>
      <c r="BU81" s="1486">
        <f t="shared" ca="1" si="209"/>
        <v>0</v>
      </c>
      <c r="BV81" s="1486">
        <f t="shared" ca="1" si="209"/>
        <v>0</v>
      </c>
      <c r="BW81" s="1486">
        <f t="shared" ca="1" si="209"/>
        <v>0</v>
      </c>
      <c r="BX81" s="1486">
        <f t="shared" ca="1" si="209"/>
        <v>0</v>
      </c>
      <c r="BY81" s="1486">
        <f t="shared" ca="1" si="209"/>
        <v>0</v>
      </c>
      <c r="BZ81" s="1486">
        <f t="shared" ca="1" si="209"/>
        <v>0</v>
      </c>
      <c r="CA81" s="1486">
        <f t="shared" ca="1" si="209"/>
        <v>0</v>
      </c>
      <c r="CB81" s="1486">
        <f t="shared" ca="1" si="209"/>
        <v>0</v>
      </c>
      <c r="CC81" s="1486">
        <f t="shared" ca="1" si="209"/>
        <v>0</v>
      </c>
      <c r="CD81" s="1486">
        <f t="shared" ca="1" si="209"/>
        <v>0</v>
      </c>
      <c r="CE81" s="1486">
        <f t="shared" ca="1" si="209"/>
        <v>0</v>
      </c>
      <c r="CF81" s="1486">
        <f t="shared" ca="1" si="209"/>
        <v>0</v>
      </c>
      <c r="CG81" s="1486">
        <f t="shared" ca="1" si="209"/>
        <v>0</v>
      </c>
      <c r="CH81" s="1486">
        <f t="shared" ca="1" si="209"/>
        <v>0</v>
      </c>
      <c r="CI81" s="1486">
        <f t="shared" ca="1" si="209"/>
        <v>0</v>
      </c>
      <c r="CJ81" s="1486">
        <f t="shared" ca="1" si="209"/>
        <v>0</v>
      </c>
      <c r="CK81" s="1486">
        <f t="shared" ca="1" si="209"/>
        <v>0</v>
      </c>
      <c r="CL81" s="1486">
        <f t="shared" ca="1" si="209"/>
        <v>0</v>
      </c>
      <c r="CM81" s="1486">
        <f t="shared" ca="1" si="209"/>
        <v>0</v>
      </c>
      <c r="CN81" s="1486">
        <f t="shared" ca="1" si="209"/>
        <v>0</v>
      </c>
      <c r="CO81" s="1486">
        <f t="shared" ca="1" si="209"/>
        <v>0</v>
      </c>
      <c r="CP81" s="1486">
        <f t="shared" ca="1" si="209"/>
        <v>0</v>
      </c>
      <c r="CQ81" s="1486">
        <f t="shared" ca="1" si="209"/>
        <v>0</v>
      </c>
      <c r="CR81" s="1486">
        <f t="shared" ca="1" si="209"/>
        <v>0</v>
      </c>
      <c r="CS81" s="1486">
        <f t="shared" ca="1" si="209"/>
        <v>0</v>
      </c>
      <c r="CT81" s="1486">
        <f t="shared" ca="1" si="209"/>
        <v>0</v>
      </c>
      <c r="CU81" s="1486">
        <f t="shared" ca="1" si="209"/>
        <v>0</v>
      </c>
      <c r="CV81" s="1486">
        <f t="shared" ca="1" si="209"/>
        <v>0</v>
      </c>
      <c r="CW81" s="1486">
        <f t="shared" ca="1" si="209"/>
        <v>0</v>
      </c>
      <c r="CX81" s="1486">
        <f t="shared" ca="1" si="209"/>
        <v>0</v>
      </c>
      <c r="CY81" s="1486">
        <f t="shared" ca="1" si="209"/>
        <v>0</v>
      </c>
      <c r="CZ81" s="1486">
        <f t="shared" ca="1" si="209"/>
        <v>0</v>
      </c>
      <c r="DA81" s="1486">
        <f t="shared" ca="1" si="209"/>
        <v>0</v>
      </c>
      <c r="DB81" s="1486">
        <f t="shared" ca="1" si="209"/>
        <v>0</v>
      </c>
      <c r="DC81" s="1486">
        <f t="shared" ca="1" si="209"/>
        <v>0</v>
      </c>
      <c r="DD81" s="1486">
        <f t="shared" ca="1" si="209"/>
        <v>0</v>
      </c>
      <c r="DE81" s="1486">
        <f t="shared" ca="1" si="209"/>
        <v>0</v>
      </c>
      <c r="DF81" s="1486">
        <f t="shared" ca="1" si="209"/>
        <v>0</v>
      </c>
      <c r="DH81" s="838">
        <f t="shared" ca="1" si="125"/>
        <v>188.79633754278672</v>
      </c>
    </row>
    <row r="82" spans="1:112" s="743" customFormat="1" ht="15.75" collapsed="1">
      <c r="A82" s="22"/>
      <c r="B82" s="753"/>
      <c r="C82" s="744" t="s">
        <v>74</v>
      </c>
      <c r="D82" s="517" t="str">
        <f>INDEX(Workstreams[Workstream], MATCH($C82, Workstreams[Code], 0))</f>
        <v>Hydrocarbon fuel power generation</v>
      </c>
      <c r="E82" s="512"/>
      <c r="G82" s="1021">
        <f t="shared" ref="G82:P82" ca="1" si="210">G79+G81</f>
        <v>0</v>
      </c>
      <c r="H82" s="1021">
        <f t="shared" ca="1" si="210"/>
        <v>0</v>
      </c>
      <c r="I82" s="1021">
        <f t="shared" ca="1" si="210"/>
        <v>0</v>
      </c>
      <c r="J82" s="1021">
        <f t="shared" ca="1" si="210"/>
        <v>0</v>
      </c>
      <c r="K82" s="1021">
        <f t="shared" ca="1" si="210"/>
        <v>0</v>
      </c>
      <c r="L82" s="1021">
        <f t="shared" ca="1" si="210"/>
        <v>0</v>
      </c>
      <c r="M82" s="1021">
        <f t="shared" ca="1" si="210"/>
        <v>0</v>
      </c>
      <c r="N82" s="1021">
        <f t="shared" ca="1" si="210"/>
        <v>0</v>
      </c>
      <c r="O82" s="1021">
        <f t="shared" ca="1" si="210"/>
        <v>0</v>
      </c>
      <c r="P82" s="1021">
        <f t="shared" ca="1" si="210"/>
        <v>0</v>
      </c>
      <c r="Q82" s="1021">
        <f ca="1">SUM(G82:P82)</f>
        <v>0</v>
      </c>
      <c r="S82" s="970">
        <f t="shared" ref="S82:AJ82" ca="1" si="211">S79+S81</f>
        <v>0</v>
      </c>
      <c r="T82" s="970">
        <f t="shared" ca="1" si="211"/>
        <v>310.84555353950748</v>
      </c>
      <c r="U82" s="970">
        <f t="shared" ca="1" si="211"/>
        <v>-373.17556637571482</v>
      </c>
      <c r="V82" s="970">
        <f t="shared" ca="1" si="211"/>
        <v>-8.7346529012558989</v>
      </c>
      <c r="W82" s="970">
        <f t="shared" ca="1" si="211"/>
        <v>-380.35650563313487</v>
      </c>
      <c r="X82" s="970">
        <f t="shared" ca="1" si="211"/>
        <v>0</v>
      </c>
      <c r="Y82" s="970">
        <f t="shared" ca="1" si="211"/>
        <v>0</v>
      </c>
      <c r="Z82" s="970">
        <f t="shared" ca="1" si="211"/>
        <v>0</v>
      </c>
      <c r="AA82" s="970">
        <f t="shared" ca="1" si="211"/>
        <v>0</v>
      </c>
      <c r="AB82" s="970">
        <f t="shared" ca="1" si="211"/>
        <v>0</v>
      </c>
      <c r="AC82" s="970">
        <f t="shared" ca="1" si="211"/>
        <v>0</v>
      </c>
      <c r="AD82" s="970">
        <f ca="1">AD79+AD81</f>
        <v>0</v>
      </c>
      <c r="AE82" s="970">
        <f ca="1">AE79+AE81</f>
        <v>0</v>
      </c>
      <c r="AF82" s="970">
        <f t="shared" ca="1" si="211"/>
        <v>0</v>
      </c>
      <c r="AG82" s="970">
        <f t="shared" ca="1" si="211"/>
        <v>0</v>
      </c>
      <c r="AH82" s="970">
        <f ca="1">AH79+AH81</f>
        <v>0</v>
      </c>
      <c r="AI82" s="970">
        <f t="shared" ca="1" si="211"/>
        <v>0</v>
      </c>
      <c r="AJ82" s="970">
        <f t="shared" ca="1" si="211"/>
        <v>0</v>
      </c>
      <c r="AK82" s="970">
        <f ca="1">SUM(S82:AJ82)</f>
        <v>-451.42117137059813</v>
      </c>
      <c r="AM82" s="976">
        <f t="shared" ref="AM82:BE82" ca="1" si="212">AM79+AM81</f>
        <v>0</v>
      </c>
      <c r="AN82" s="976">
        <f t="shared" ca="1" si="212"/>
        <v>0</v>
      </c>
      <c r="AO82" s="976">
        <f t="shared" ca="1" si="212"/>
        <v>0</v>
      </c>
      <c r="AP82" s="976">
        <f t="shared" ca="1" si="212"/>
        <v>0</v>
      </c>
      <c r="AQ82" s="976">
        <f t="shared" ca="1" si="212"/>
        <v>0</v>
      </c>
      <c r="AR82" s="976">
        <f t="shared" ca="1" si="212"/>
        <v>0</v>
      </c>
      <c r="AS82" s="976">
        <f t="shared" ca="1" si="212"/>
        <v>0</v>
      </c>
      <c r="AT82" s="976">
        <f t="shared" ca="1" si="212"/>
        <v>0</v>
      </c>
      <c r="AU82" s="976">
        <f t="shared" ca="1" si="212"/>
        <v>0</v>
      </c>
      <c r="AV82" s="976">
        <f t="shared" ca="1" si="212"/>
        <v>0</v>
      </c>
      <c r="AW82" s="976">
        <f t="shared" ca="1" si="212"/>
        <v>0</v>
      </c>
      <c r="AX82" s="976">
        <f t="shared" ca="1" si="212"/>
        <v>0</v>
      </c>
      <c r="AY82" s="976">
        <f t="shared" ca="1" si="212"/>
        <v>0</v>
      </c>
      <c r="AZ82" s="976">
        <f t="shared" ca="1" si="212"/>
        <v>0</v>
      </c>
      <c r="BA82" s="976">
        <f t="shared" ca="1" si="212"/>
        <v>0</v>
      </c>
      <c r="BB82" s="976">
        <f t="shared" ca="1" si="212"/>
        <v>0</v>
      </c>
      <c r="BC82" s="976">
        <f t="shared" ca="1" si="212"/>
        <v>0</v>
      </c>
      <c r="BD82" s="976">
        <f t="shared" ca="1" si="212"/>
        <v>0</v>
      </c>
      <c r="BE82" s="976">
        <f t="shared" ca="1" si="212"/>
        <v>0</v>
      </c>
      <c r="BF82" s="976">
        <f ca="1">SUM(AM82:BE82)</f>
        <v>0</v>
      </c>
      <c r="BH82" s="990">
        <f ca="1">BH79+BH81</f>
        <v>440.64668691152713</v>
      </c>
      <c r="BI82" s="990">
        <f ca="1">BI79+BI81</f>
        <v>10.774484459071004</v>
      </c>
      <c r="BJ82" s="990">
        <f ca="1">SUM(BH82:BI82)</f>
        <v>451.42117137059813</v>
      </c>
      <c r="BL82" s="515">
        <f t="shared" ca="1" si="208"/>
        <v>0</v>
      </c>
      <c r="BM82" s="515"/>
      <c r="BN82" s="840"/>
      <c r="BO82" s="1482">
        <f t="shared" ref="BO82:DF82" ca="1" si="213">BO79+BO81</f>
        <v>187.10733470553092</v>
      </c>
      <c r="BP82" s="1482">
        <f t="shared" ca="1" si="213"/>
        <v>0.48065030797656261</v>
      </c>
      <c r="BQ82" s="1482">
        <f t="shared" ca="1" si="213"/>
        <v>1.2083525292792299</v>
      </c>
      <c r="BR82" s="1482">
        <f t="shared" ca="1" si="213"/>
        <v>0</v>
      </c>
      <c r="BS82" s="1482">
        <f t="shared" ca="1" si="213"/>
        <v>0</v>
      </c>
      <c r="BT82" s="1482">
        <f t="shared" ca="1" si="213"/>
        <v>0</v>
      </c>
      <c r="BU82" s="1482">
        <f t="shared" ca="1" si="213"/>
        <v>0</v>
      </c>
      <c r="BV82" s="1482">
        <f t="shared" ca="1" si="213"/>
        <v>0</v>
      </c>
      <c r="BW82" s="1482">
        <f t="shared" ca="1" si="213"/>
        <v>0</v>
      </c>
      <c r="BX82" s="1482">
        <f t="shared" ca="1" si="213"/>
        <v>0</v>
      </c>
      <c r="BY82" s="1482">
        <f t="shared" ca="1" si="213"/>
        <v>0</v>
      </c>
      <c r="BZ82" s="1482">
        <f t="shared" ca="1" si="213"/>
        <v>0</v>
      </c>
      <c r="CA82" s="1482">
        <f t="shared" ca="1" si="213"/>
        <v>0</v>
      </c>
      <c r="CB82" s="1482">
        <f t="shared" ca="1" si="213"/>
        <v>0</v>
      </c>
      <c r="CC82" s="1482">
        <f t="shared" ca="1" si="213"/>
        <v>0</v>
      </c>
      <c r="CD82" s="1482">
        <f t="shared" ca="1" si="213"/>
        <v>0</v>
      </c>
      <c r="CE82" s="1482">
        <f t="shared" ca="1" si="213"/>
        <v>0</v>
      </c>
      <c r="CF82" s="1482">
        <f t="shared" ca="1" si="213"/>
        <v>0</v>
      </c>
      <c r="CG82" s="1482">
        <f t="shared" ca="1" si="213"/>
        <v>0</v>
      </c>
      <c r="CH82" s="1482">
        <f t="shared" ca="1" si="213"/>
        <v>0</v>
      </c>
      <c r="CI82" s="1482">
        <f t="shared" ca="1" si="213"/>
        <v>0</v>
      </c>
      <c r="CJ82" s="1482">
        <f t="shared" ca="1" si="213"/>
        <v>0</v>
      </c>
      <c r="CK82" s="1482">
        <f t="shared" ca="1" si="213"/>
        <v>0</v>
      </c>
      <c r="CL82" s="1482">
        <f t="shared" ca="1" si="213"/>
        <v>0</v>
      </c>
      <c r="CM82" s="1482">
        <f t="shared" ca="1" si="213"/>
        <v>0</v>
      </c>
      <c r="CN82" s="1482">
        <f t="shared" ca="1" si="213"/>
        <v>0</v>
      </c>
      <c r="CO82" s="1482">
        <f t="shared" ca="1" si="213"/>
        <v>0</v>
      </c>
      <c r="CP82" s="1482">
        <f t="shared" ca="1" si="213"/>
        <v>0</v>
      </c>
      <c r="CQ82" s="1482">
        <f t="shared" ca="1" si="213"/>
        <v>0</v>
      </c>
      <c r="CR82" s="1482">
        <f t="shared" ca="1" si="213"/>
        <v>0</v>
      </c>
      <c r="CS82" s="1482">
        <f t="shared" ca="1" si="213"/>
        <v>0</v>
      </c>
      <c r="CT82" s="1482">
        <f t="shared" ca="1" si="213"/>
        <v>0</v>
      </c>
      <c r="CU82" s="1482">
        <f t="shared" ca="1" si="213"/>
        <v>0</v>
      </c>
      <c r="CV82" s="1482">
        <f t="shared" ca="1" si="213"/>
        <v>0</v>
      </c>
      <c r="CW82" s="1482">
        <f t="shared" ca="1" si="213"/>
        <v>0</v>
      </c>
      <c r="CX82" s="1482">
        <f t="shared" ca="1" si="213"/>
        <v>0</v>
      </c>
      <c r="CY82" s="1482">
        <f t="shared" ca="1" si="213"/>
        <v>0</v>
      </c>
      <c r="CZ82" s="1482">
        <f t="shared" ca="1" si="213"/>
        <v>0</v>
      </c>
      <c r="DA82" s="1482">
        <f t="shared" ca="1" si="213"/>
        <v>0</v>
      </c>
      <c r="DB82" s="1482">
        <f t="shared" ca="1" si="213"/>
        <v>0</v>
      </c>
      <c r="DC82" s="1482">
        <f t="shared" ca="1" si="213"/>
        <v>0</v>
      </c>
      <c r="DD82" s="1482">
        <f t="shared" ca="1" si="213"/>
        <v>0</v>
      </c>
      <c r="DE82" s="1482">
        <f t="shared" ca="1" si="213"/>
        <v>0</v>
      </c>
      <c r="DF82" s="1482">
        <f t="shared" ca="1" si="213"/>
        <v>0</v>
      </c>
      <c r="DH82" s="838">
        <f t="shared" ca="1" si="125"/>
        <v>188.79633754278672</v>
      </c>
    </row>
    <row r="83" spans="1:112" s="743" customFormat="1" ht="6" customHeight="1">
      <c r="C83" s="516"/>
      <c r="D83" s="517"/>
      <c r="E83" s="509"/>
      <c r="G83" s="958"/>
      <c r="H83" s="958"/>
      <c r="I83" s="958"/>
      <c r="J83" s="958"/>
      <c r="K83" s="960"/>
      <c r="L83" s="958"/>
      <c r="M83" s="958"/>
      <c r="N83" s="958"/>
      <c r="O83" s="958"/>
      <c r="P83" s="958"/>
      <c r="Q83" s="958"/>
      <c r="S83" s="970"/>
      <c r="T83" s="970"/>
      <c r="U83" s="970"/>
      <c r="V83" s="970"/>
      <c r="W83" s="970"/>
      <c r="X83" s="970"/>
      <c r="Y83" s="970"/>
      <c r="Z83" s="970"/>
      <c r="AA83" s="970"/>
      <c r="AB83" s="970"/>
      <c r="AC83" s="970"/>
      <c r="AD83" s="970"/>
      <c r="AE83" s="970"/>
      <c r="AF83" s="970"/>
      <c r="AG83" s="970"/>
      <c r="AH83" s="970"/>
      <c r="AI83" s="970"/>
      <c r="AJ83" s="970"/>
      <c r="AK83" s="970"/>
      <c r="AM83" s="976"/>
      <c r="AN83" s="976"/>
      <c r="AO83" s="976"/>
      <c r="AP83" s="976"/>
      <c r="AQ83" s="976"/>
      <c r="AR83" s="976"/>
      <c r="AS83" s="976"/>
      <c r="AT83" s="976"/>
      <c r="AU83" s="976"/>
      <c r="AV83" s="976"/>
      <c r="AW83" s="976"/>
      <c r="AX83" s="976"/>
      <c r="AY83" s="976"/>
      <c r="AZ83" s="976"/>
      <c r="BA83" s="976"/>
      <c r="BB83" s="976"/>
      <c r="BC83" s="976"/>
      <c r="BD83" s="976"/>
      <c r="BE83" s="976"/>
      <c r="BF83" s="976">
        <f>SUM(AM83:BE83)</f>
        <v>0</v>
      </c>
      <c r="BH83" s="990"/>
      <c r="BI83" s="990"/>
      <c r="BJ83" s="990"/>
      <c r="BL83" s="515">
        <f t="shared" si="208"/>
        <v>0</v>
      </c>
      <c r="BM83" s="515"/>
      <c r="BO83" s="1482"/>
      <c r="BP83" s="1482"/>
      <c r="BQ83" s="1482"/>
      <c r="BR83" s="1482"/>
      <c r="BS83" s="1482"/>
      <c r="BT83" s="1482"/>
      <c r="BU83" s="1482"/>
      <c r="BV83" s="1482"/>
      <c r="BW83" s="1482"/>
      <c r="BX83" s="1482"/>
      <c r="BY83" s="1482"/>
      <c r="BZ83" s="1482"/>
      <c r="CA83" s="1482"/>
      <c r="CB83" s="1482"/>
      <c r="CC83" s="1482"/>
      <c r="CD83" s="1482"/>
      <c r="CE83" s="1482"/>
      <c r="CF83" s="1482"/>
      <c r="CG83" s="1482"/>
      <c r="CH83" s="1482"/>
      <c r="CI83" s="1482"/>
      <c r="CJ83" s="1482"/>
      <c r="CK83" s="1482"/>
      <c r="CL83" s="1482"/>
      <c r="CM83" s="1482"/>
      <c r="CN83" s="1482"/>
      <c r="CO83" s="1482"/>
      <c r="CP83" s="1482"/>
      <c r="CQ83" s="1482"/>
      <c r="CR83" s="1482"/>
      <c r="CS83" s="1482"/>
      <c r="CT83" s="1482"/>
      <c r="CU83" s="1482"/>
      <c r="CV83" s="1482"/>
      <c r="CW83" s="1482"/>
      <c r="CX83" s="1482"/>
      <c r="CY83" s="1482"/>
      <c r="CZ83" s="1482"/>
      <c r="DA83" s="1482"/>
      <c r="DB83" s="1482"/>
      <c r="DC83" s="1482"/>
      <c r="DD83" s="1482"/>
      <c r="DE83" s="1482"/>
      <c r="DF83" s="1482"/>
      <c r="DH83" s="838"/>
    </row>
    <row r="84" spans="1:112" s="743" customFormat="1" ht="15.75">
      <c r="B84" s="753"/>
      <c r="C84" s="2050" t="s">
        <v>1816</v>
      </c>
      <c r="D84" s="643" t="s">
        <v>249</v>
      </c>
      <c r="E84" s="644"/>
      <c r="G84" s="1075">
        <f t="shared" ref="G84:P84" ca="1" si="214">G$51+G$55+G$63+G$68+G$72+G$76+G$82+G$46</f>
        <v>0</v>
      </c>
      <c r="H84" s="1075">
        <f t="shared" ca="1" si="214"/>
        <v>0</v>
      </c>
      <c r="I84" s="1075">
        <f t="shared" ca="1" si="214"/>
        <v>76.341006969038673</v>
      </c>
      <c r="J84" s="1075">
        <f t="shared" ca="1" si="214"/>
        <v>0</v>
      </c>
      <c r="K84" s="1076">
        <f t="shared" ca="1" si="214"/>
        <v>0</v>
      </c>
      <c r="L84" s="1075">
        <f t="shared" ca="1" si="214"/>
        <v>0</v>
      </c>
      <c r="M84" s="1075">
        <f t="shared" ca="1" si="214"/>
        <v>0</v>
      </c>
      <c r="N84" s="1075">
        <f t="shared" ca="1" si="214"/>
        <v>0</v>
      </c>
      <c r="O84" s="1075">
        <f t="shared" ca="1" si="214"/>
        <v>0</v>
      </c>
      <c r="P84" s="1075">
        <f t="shared" ca="1" si="214"/>
        <v>0</v>
      </c>
      <c r="Q84" s="1023">
        <f ca="1">SUM(G84:P84)</f>
        <v>76.341006969038673</v>
      </c>
      <c r="S84" s="1014">
        <f t="shared" ref="S84:AJ84" ca="1" si="215">S$51+S$55+S$63+S$68+S$72+S$76+S$82+S$46</f>
        <v>-12.581072353930089</v>
      </c>
      <c r="T84" s="1014">
        <f t="shared" ca="1" si="215"/>
        <v>377.15058140016595</v>
      </c>
      <c r="U84" s="1014">
        <f t="shared" ca="1" si="215"/>
        <v>-374.0548276487666</v>
      </c>
      <c r="V84" s="1014">
        <f t="shared" ca="1" si="215"/>
        <v>-68.443934343446656</v>
      </c>
      <c r="W84" s="1014">
        <f t="shared" ca="1" si="215"/>
        <v>-449.16251400157648</v>
      </c>
      <c r="X84" s="1014">
        <f t="shared" ca="1" si="215"/>
        <v>150.39937316071459</v>
      </c>
      <c r="Y84" s="1014">
        <f t="shared" ca="1" si="215"/>
        <v>979.21439966928619</v>
      </c>
      <c r="Z84" s="1014">
        <f t="shared" ca="1" si="215"/>
        <v>838.80929321419171</v>
      </c>
      <c r="AA84" s="1014">
        <f t="shared" ca="1" si="215"/>
        <v>0</v>
      </c>
      <c r="AB84" s="1014">
        <f t="shared" ca="1" si="215"/>
        <v>8.007051198968183</v>
      </c>
      <c r="AC84" s="1014">
        <f t="shared" ca="1" si="215"/>
        <v>0</v>
      </c>
      <c r="AD84" s="1014">
        <f t="shared" ca="1" si="215"/>
        <v>0.82222222222222219</v>
      </c>
      <c r="AE84" s="1014">
        <f t="shared" ca="1" si="215"/>
        <v>4.0593000000000004</v>
      </c>
      <c r="AF84" s="1014">
        <f t="shared" ca="1" si="215"/>
        <v>12.81861433503159</v>
      </c>
      <c r="AG84" s="1014">
        <f t="shared" ca="1" si="215"/>
        <v>4.9610477000000008</v>
      </c>
      <c r="AH84" s="1014">
        <f t="shared" ca="1" si="215"/>
        <v>18.283196551267896</v>
      </c>
      <c r="AI84" s="1014">
        <f t="shared" ca="1" si="215"/>
        <v>0</v>
      </c>
      <c r="AJ84" s="1014">
        <f t="shared" ca="1" si="215"/>
        <v>0</v>
      </c>
      <c r="AK84" s="1014">
        <f ca="1">SUM(S84:AJ84)</f>
        <v>1490.2827311041285</v>
      </c>
      <c r="AM84" s="1015">
        <f t="shared" ref="AM84:BE84" ca="1" si="216">AM$51+AM$55+AM$63+AM$68+AM$72+AM$76+AM$82+AM$46</f>
        <v>-124.39544583847987</v>
      </c>
      <c r="AN84" s="1015">
        <f t="shared" ca="1" si="216"/>
        <v>-975.89120834979803</v>
      </c>
      <c r="AO84" s="1015">
        <f t="shared" ca="1" si="216"/>
        <v>-838.80929321419171</v>
      </c>
      <c r="AP84" s="1015">
        <f t="shared" ca="1" si="216"/>
        <v>0</v>
      </c>
      <c r="AQ84" s="1015">
        <f t="shared" ca="1" si="216"/>
        <v>0</v>
      </c>
      <c r="AR84" s="1015">
        <f t="shared" ca="1" si="216"/>
        <v>0</v>
      </c>
      <c r="AS84" s="1015">
        <f t="shared" ca="1" si="216"/>
        <v>0</v>
      </c>
      <c r="AT84" s="1015">
        <f t="shared" ca="1" si="216"/>
        <v>0</v>
      </c>
      <c r="AU84" s="1015">
        <f t="shared" ca="1" si="216"/>
        <v>0</v>
      </c>
      <c r="AV84" s="1015">
        <f t="shared" ca="1" si="216"/>
        <v>-163.91620313701554</v>
      </c>
      <c r="AW84" s="1015">
        <f t="shared" ca="1" si="216"/>
        <v>-1.700604E-2</v>
      </c>
      <c r="AX84" s="1015">
        <f t="shared" ca="1" si="216"/>
        <v>-5.9627524176000009</v>
      </c>
      <c r="AY84" s="1015">
        <f t="shared" ca="1" si="216"/>
        <v>0</v>
      </c>
      <c r="AZ84" s="1015">
        <f t="shared" ca="1" si="216"/>
        <v>0</v>
      </c>
      <c r="BA84" s="1015">
        <f t="shared" ca="1" si="216"/>
        <v>0</v>
      </c>
      <c r="BB84" s="1015">
        <f t="shared" ca="1" si="216"/>
        <v>-4.1144009940000004</v>
      </c>
      <c r="BC84" s="1015">
        <f t="shared" ca="1" si="216"/>
        <v>0</v>
      </c>
      <c r="BD84" s="1015">
        <f t="shared" ca="1" si="216"/>
        <v>-4.8815222222222223</v>
      </c>
      <c r="BE84" s="1015">
        <f t="shared" ca="1" si="216"/>
        <v>-62.066785908534214</v>
      </c>
      <c r="BF84" s="1015">
        <f ca="1">SUM(AM84:BE84)</f>
        <v>-2180.0546181218415</v>
      </c>
      <c r="BH84" s="1016">
        <f ca="1">BH$51+BH$55+BH$63+BH$68+BH$72+BH$76+BH$82+BH$46</f>
        <v>530.41387877251736</v>
      </c>
      <c r="BI84" s="1016">
        <f ca="1">BI$51+BI$55+BI$63+BI$68+BI$72+BI$76+BI$82+BI$46</f>
        <v>83.017001276157231</v>
      </c>
      <c r="BJ84" s="1016">
        <f ca="1">SUM(BH84:BI84)</f>
        <v>613.43088004867457</v>
      </c>
      <c r="BL84" s="518">
        <f t="shared" ca="1" si="208"/>
        <v>0</v>
      </c>
      <c r="BM84" s="518"/>
      <c r="BO84" s="1487">
        <f t="shared" ref="BO84:DE84" ca="1" si="217">BO$51+BO$55+BO$63+BO$68+BO$72+BO$76+BO$82+BO$46</f>
        <v>214.93526379627187</v>
      </c>
      <c r="BP84" s="1487">
        <f t="shared" ca="1" si="217"/>
        <v>0.5253337130596003</v>
      </c>
      <c r="BQ84" s="1487">
        <f t="shared" ca="1" si="217"/>
        <v>1.5064611963260981</v>
      </c>
      <c r="BR84" s="1487">
        <f t="shared" ca="1" si="217"/>
        <v>0</v>
      </c>
      <c r="BS84" s="1487">
        <f t="shared" ca="1" si="217"/>
        <v>5.0916819860234304</v>
      </c>
      <c r="BT84" s="1487">
        <f t="shared" ca="1" si="217"/>
        <v>2.6403129612517775</v>
      </c>
      <c r="BU84" s="1487">
        <f t="shared" ca="1" si="217"/>
        <v>0</v>
      </c>
      <c r="BV84" s="1487">
        <f t="shared" ca="1" si="217"/>
        <v>0</v>
      </c>
      <c r="BW84" s="1487">
        <f t="shared" ca="1" si="217"/>
        <v>0</v>
      </c>
      <c r="BX84" s="1487">
        <f t="shared" ca="1" si="217"/>
        <v>0</v>
      </c>
      <c r="BY84" s="1487">
        <f t="shared" ca="1" si="217"/>
        <v>0</v>
      </c>
      <c r="BZ84" s="1487">
        <f t="shared" ca="1" si="217"/>
        <v>0</v>
      </c>
      <c r="CA84" s="1487">
        <f t="shared" ca="1" si="217"/>
        <v>0</v>
      </c>
      <c r="CB84" s="1487">
        <f t="shared" ca="1" si="217"/>
        <v>0</v>
      </c>
      <c r="CC84" s="1487">
        <f t="shared" ca="1" si="217"/>
        <v>0</v>
      </c>
      <c r="CD84" s="1487">
        <f t="shared" ca="1" si="217"/>
        <v>0</v>
      </c>
      <c r="CE84" s="1487">
        <f t="shared" ca="1" si="217"/>
        <v>0</v>
      </c>
      <c r="CF84" s="1487">
        <f t="shared" ca="1" si="217"/>
        <v>20.026732599999995</v>
      </c>
      <c r="CG84" s="1487">
        <f t="shared" ca="1" si="217"/>
        <v>23.28</v>
      </c>
      <c r="CH84" s="1487">
        <f t="shared" ca="1" si="217"/>
        <v>0</v>
      </c>
      <c r="CI84" s="1487">
        <f t="shared" ca="1" si="217"/>
        <v>-1.8247953999999991</v>
      </c>
      <c r="CJ84" s="1487">
        <f t="shared" ca="1" si="217"/>
        <v>0</v>
      </c>
      <c r="CK84" s="1487">
        <f t="shared" ca="1" si="217"/>
        <v>0</v>
      </c>
      <c r="CL84" s="1487">
        <f t="shared" ca="1" si="217"/>
        <v>0</v>
      </c>
      <c r="CM84" s="1487">
        <f t="shared" ca="1" si="217"/>
        <v>0</v>
      </c>
      <c r="CN84" s="1487">
        <f t="shared" ca="1" si="217"/>
        <v>21.671866768039205</v>
      </c>
      <c r="CO84" s="1487">
        <f t="shared" ca="1" si="217"/>
        <v>1.2492999999999999</v>
      </c>
      <c r="CP84" s="1487">
        <f t="shared" ca="1" si="217"/>
        <v>0</v>
      </c>
      <c r="CQ84" s="1487">
        <f t="shared" ca="1" si="217"/>
        <v>0</v>
      </c>
      <c r="CR84" s="1487">
        <f t="shared" ca="1" si="217"/>
        <v>0</v>
      </c>
      <c r="CS84" s="1487">
        <f t="shared" ca="1" si="217"/>
        <v>0</v>
      </c>
      <c r="CT84" s="1487">
        <f t="shared" ca="1" si="217"/>
        <v>0</v>
      </c>
      <c r="CU84" s="1487">
        <f t="shared" ca="1" si="217"/>
        <v>0</v>
      </c>
      <c r="CV84" s="1487">
        <f t="shared" ca="1" si="217"/>
        <v>0</v>
      </c>
      <c r="CW84" s="1487">
        <f t="shared" ca="1" si="217"/>
        <v>0</v>
      </c>
      <c r="CX84" s="1487">
        <f t="shared" ca="1" si="217"/>
        <v>0</v>
      </c>
      <c r="CY84" s="1487">
        <f t="shared" ca="1" si="217"/>
        <v>0</v>
      </c>
      <c r="CZ84" s="1487">
        <f t="shared" ca="1" si="217"/>
        <v>0</v>
      </c>
      <c r="DA84" s="1487">
        <f t="shared" ca="1" si="217"/>
        <v>0</v>
      </c>
      <c r="DB84" s="1487">
        <f t="shared" ca="1" si="217"/>
        <v>0</v>
      </c>
      <c r="DC84" s="1487">
        <f t="shared" ca="1" si="217"/>
        <v>0</v>
      </c>
      <c r="DD84" s="1487">
        <f t="shared" ca="1" si="217"/>
        <v>0</v>
      </c>
      <c r="DE84" s="1487">
        <f t="shared" ca="1" si="217"/>
        <v>0</v>
      </c>
      <c r="DF84" s="1487">
        <f ca="1">DF$51+DF$99+DF$55+DF$63+DF$68+DF$76+DF$82+DF$46</f>
        <v>0</v>
      </c>
      <c r="DH84" s="835">
        <f ca="1">SUM(BO84:DF84)</f>
        <v>289.10215762097198</v>
      </c>
    </row>
    <row r="85" spans="1:112" s="743" customFormat="1" ht="6" customHeight="1">
      <c r="C85" s="516"/>
      <c r="D85" s="517"/>
      <c r="E85" s="509"/>
      <c r="G85" s="958"/>
      <c r="H85" s="958"/>
      <c r="I85" s="958"/>
      <c r="J85" s="958"/>
      <c r="K85" s="960"/>
      <c r="L85" s="958"/>
      <c r="M85" s="958"/>
      <c r="N85" s="958"/>
      <c r="O85" s="958"/>
      <c r="P85" s="958"/>
      <c r="Q85" s="958"/>
      <c r="S85" s="970"/>
      <c r="T85" s="970"/>
      <c r="U85" s="970"/>
      <c r="V85" s="970"/>
      <c r="W85" s="970"/>
      <c r="X85" s="970"/>
      <c r="Y85" s="970"/>
      <c r="Z85" s="970"/>
      <c r="AA85" s="970"/>
      <c r="AB85" s="970"/>
      <c r="AC85" s="970"/>
      <c r="AD85" s="970"/>
      <c r="AE85" s="970"/>
      <c r="AF85" s="970"/>
      <c r="AG85" s="970"/>
      <c r="AH85" s="970"/>
      <c r="AI85" s="970"/>
      <c r="AJ85" s="970"/>
      <c r="AK85" s="970"/>
      <c r="AM85" s="976"/>
      <c r="AN85" s="976"/>
      <c r="AO85" s="976"/>
      <c r="AP85" s="976"/>
      <c r="AQ85" s="976"/>
      <c r="AR85" s="976"/>
      <c r="AS85" s="976"/>
      <c r="AT85" s="976"/>
      <c r="AU85" s="976"/>
      <c r="AV85" s="976"/>
      <c r="AW85" s="976"/>
      <c r="AX85" s="976"/>
      <c r="AY85" s="976"/>
      <c r="AZ85" s="976"/>
      <c r="BA85" s="976"/>
      <c r="BB85" s="976"/>
      <c r="BC85" s="976"/>
      <c r="BD85" s="976"/>
      <c r="BE85" s="976"/>
      <c r="BF85" s="976"/>
      <c r="BH85" s="990"/>
      <c r="BI85" s="990"/>
      <c r="BJ85" s="990"/>
      <c r="BL85" s="515">
        <f t="shared" si="208"/>
        <v>0</v>
      </c>
      <c r="BM85" s="515"/>
      <c r="BO85" s="1482"/>
      <c r="BP85" s="1482"/>
      <c r="BQ85" s="1482"/>
      <c r="BR85" s="1482"/>
      <c r="BS85" s="1482"/>
      <c r="BT85" s="1482"/>
      <c r="BU85" s="1482"/>
      <c r="BV85" s="1482"/>
      <c r="BW85" s="1482"/>
      <c r="BX85" s="1482"/>
      <c r="BY85" s="1482"/>
      <c r="BZ85" s="1482"/>
      <c r="CA85" s="1482"/>
      <c r="CB85" s="1482"/>
      <c r="CC85" s="1482"/>
      <c r="CD85" s="1482"/>
      <c r="CE85" s="1482"/>
      <c r="CF85" s="1482"/>
      <c r="CG85" s="1482"/>
      <c r="CH85" s="1482"/>
      <c r="CI85" s="1482"/>
      <c r="CJ85" s="1482"/>
      <c r="CK85" s="1482"/>
      <c r="CL85" s="1482"/>
      <c r="CM85" s="1482"/>
      <c r="CN85" s="1482"/>
      <c r="CO85" s="1482"/>
      <c r="CP85" s="1482"/>
      <c r="CQ85" s="1482"/>
      <c r="CR85" s="1482"/>
      <c r="CS85" s="1482"/>
      <c r="CT85" s="1482"/>
      <c r="CU85" s="1482"/>
      <c r="CV85" s="1482"/>
      <c r="CW85" s="1482"/>
      <c r="CX85" s="1482"/>
      <c r="CY85" s="1482"/>
      <c r="CZ85" s="1482"/>
      <c r="DA85" s="1482"/>
      <c r="DB85" s="1482"/>
      <c r="DC85" s="1482"/>
      <c r="DD85" s="1482"/>
      <c r="DE85" s="1482"/>
      <c r="DF85" s="1482"/>
      <c r="DH85" s="838"/>
    </row>
    <row r="86" spans="1:112" s="743" customFormat="1" ht="24" customHeight="1">
      <c r="C86" s="501" t="s">
        <v>987</v>
      </c>
      <c r="D86" s="501"/>
      <c r="E86" s="639"/>
      <c r="G86" s="957"/>
      <c r="H86" s="957"/>
      <c r="I86" s="957"/>
      <c r="J86" s="957"/>
      <c r="K86" s="957"/>
      <c r="L86" s="957"/>
      <c r="M86" s="957"/>
      <c r="N86" s="957"/>
      <c r="O86" s="957"/>
      <c r="P86" s="957"/>
      <c r="Q86" s="957"/>
      <c r="S86" s="973"/>
      <c r="T86" s="973"/>
      <c r="U86" s="973"/>
      <c r="V86" s="973"/>
      <c r="W86" s="973"/>
      <c r="X86" s="969"/>
      <c r="Y86" s="969"/>
      <c r="Z86" s="969"/>
      <c r="AA86" s="973"/>
      <c r="AB86" s="973"/>
      <c r="AC86" s="973"/>
      <c r="AD86" s="973"/>
      <c r="AE86" s="973"/>
      <c r="AF86" s="973"/>
      <c r="AG86" s="973"/>
      <c r="AH86" s="973"/>
      <c r="AI86" s="973"/>
      <c r="AJ86" s="973"/>
      <c r="AK86" s="973"/>
      <c r="AM86" s="980"/>
      <c r="AN86" s="980"/>
      <c r="AO86" s="980"/>
      <c r="AP86" s="980"/>
      <c r="AQ86" s="980"/>
      <c r="AR86" s="980"/>
      <c r="AS86" s="980"/>
      <c r="AT86" s="980"/>
      <c r="AU86" s="980"/>
      <c r="AV86" s="980"/>
      <c r="AW86" s="975"/>
      <c r="AX86" s="975"/>
      <c r="AY86" s="975"/>
      <c r="AZ86" s="975"/>
      <c r="BA86" s="975"/>
      <c r="BB86" s="975"/>
      <c r="BC86" s="975"/>
      <c r="BD86" s="975"/>
      <c r="BE86" s="975"/>
      <c r="BF86" s="980"/>
      <c r="BH86" s="993"/>
      <c r="BI86" s="993"/>
      <c r="BJ86" s="993"/>
      <c r="BL86" s="514">
        <f t="shared" si="208"/>
        <v>0</v>
      </c>
      <c r="BM86" s="514"/>
      <c r="BO86" s="1482"/>
      <c r="BP86" s="1482"/>
      <c r="BQ86" s="1482"/>
      <c r="BR86" s="1482"/>
      <c r="BS86" s="1482"/>
      <c r="BT86" s="1482"/>
      <c r="BU86" s="1482"/>
      <c r="BV86" s="1482"/>
      <c r="BW86" s="1482"/>
      <c r="BX86" s="1482"/>
      <c r="BY86" s="1482"/>
      <c r="BZ86" s="1482"/>
      <c r="CA86" s="1482"/>
      <c r="CB86" s="1482"/>
      <c r="CC86" s="1482"/>
      <c r="CD86" s="1482"/>
      <c r="CE86" s="1482"/>
      <c r="CF86" s="1482"/>
      <c r="CG86" s="1482"/>
      <c r="CH86" s="1482"/>
      <c r="CI86" s="1482"/>
      <c r="CJ86" s="1482"/>
      <c r="CK86" s="1482"/>
      <c r="CL86" s="1482"/>
      <c r="CM86" s="1482"/>
      <c r="CN86" s="1482"/>
      <c r="CO86" s="1482"/>
      <c r="CP86" s="1482"/>
      <c r="CQ86" s="1482"/>
      <c r="CR86" s="1482"/>
      <c r="CS86" s="1482"/>
      <c r="CT86" s="1482"/>
      <c r="CU86" s="1482"/>
      <c r="CV86" s="1482"/>
      <c r="CW86" s="1482"/>
      <c r="CX86" s="1482"/>
      <c r="CY86" s="1482"/>
      <c r="CZ86" s="1482"/>
      <c r="DA86" s="1482"/>
      <c r="DB86" s="1482"/>
      <c r="DC86" s="1482"/>
      <c r="DD86" s="1482"/>
      <c r="DE86" s="1482"/>
      <c r="DF86" s="1482"/>
      <c r="DH86" s="838"/>
    </row>
    <row r="87" spans="1:112" s="743" customFormat="1" ht="6" customHeight="1">
      <c r="C87" s="520"/>
      <c r="D87" s="38"/>
      <c r="E87" s="509"/>
      <c r="G87" s="958"/>
      <c r="H87" s="958"/>
      <c r="I87" s="958"/>
      <c r="J87" s="958"/>
      <c r="K87" s="960"/>
      <c r="L87" s="958"/>
      <c r="M87" s="958"/>
      <c r="N87" s="958"/>
      <c r="O87" s="958"/>
      <c r="P87" s="958"/>
      <c r="Q87" s="958"/>
      <c r="S87" s="970"/>
      <c r="T87" s="970"/>
      <c r="U87" s="970"/>
      <c r="V87" s="970"/>
      <c r="W87" s="970"/>
      <c r="X87" s="970"/>
      <c r="Y87" s="970"/>
      <c r="Z87" s="970"/>
      <c r="AA87" s="970"/>
      <c r="AB87" s="970"/>
      <c r="AC87" s="970"/>
      <c r="AD87" s="970"/>
      <c r="AE87" s="970"/>
      <c r="AF87" s="970"/>
      <c r="AG87" s="970"/>
      <c r="AH87" s="970"/>
      <c r="AI87" s="970"/>
      <c r="AJ87" s="970"/>
      <c r="AK87" s="970"/>
      <c r="AM87" s="976"/>
      <c r="AN87" s="976"/>
      <c r="AO87" s="976"/>
      <c r="AP87" s="976"/>
      <c r="AQ87" s="976"/>
      <c r="AR87" s="976"/>
      <c r="AS87" s="976"/>
      <c r="AT87" s="976"/>
      <c r="AU87" s="976"/>
      <c r="AV87" s="976"/>
      <c r="AW87" s="976"/>
      <c r="AX87" s="976"/>
      <c r="AY87" s="976"/>
      <c r="AZ87" s="976"/>
      <c r="BA87" s="976"/>
      <c r="BB87" s="976"/>
      <c r="BC87" s="976"/>
      <c r="BD87" s="976"/>
      <c r="BE87" s="976"/>
      <c r="BF87" s="976"/>
      <c r="BH87" s="990"/>
      <c r="BI87" s="990"/>
      <c r="BJ87" s="990"/>
      <c r="BL87" s="515">
        <f t="shared" si="208"/>
        <v>0</v>
      </c>
      <c r="BM87" s="515"/>
      <c r="BO87" s="1482"/>
      <c r="BP87" s="1482"/>
      <c r="BQ87" s="1482"/>
      <c r="BR87" s="1482"/>
      <c r="BS87" s="1482"/>
      <c r="BT87" s="1482"/>
      <c r="BU87" s="1482"/>
      <c r="BV87" s="1482"/>
      <c r="BW87" s="1482"/>
      <c r="BX87" s="1482"/>
      <c r="BY87" s="1482"/>
      <c r="BZ87" s="1482"/>
      <c r="CA87" s="1482"/>
      <c r="CB87" s="1482"/>
      <c r="CC87" s="1482"/>
      <c r="CD87" s="1482"/>
      <c r="CE87" s="1482"/>
      <c r="CF87" s="1482"/>
      <c r="CG87" s="1482"/>
      <c r="CH87" s="1482"/>
      <c r="CI87" s="1482"/>
      <c r="CJ87" s="1482"/>
      <c r="CK87" s="1482"/>
      <c r="CL87" s="1482"/>
      <c r="CM87" s="1482"/>
      <c r="CN87" s="1482"/>
      <c r="CO87" s="1482"/>
      <c r="CP87" s="1482"/>
      <c r="CQ87" s="1482"/>
      <c r="CR87" s="1482"/>
      <c r="CS87" s="1482"/>
      <c r="CT87" s="1482"/>
      <c r="CU87" s="1482"/>
      <c r="CV87" s="1482"/>
      <c r="CW87" s="1482"/>
      <c r="CX87" s="1482"/>
      <c r="CY87" s="1482"/>
      <c r="CZ87" s="1482"/>
      <c r="DA87" s="1482"/>
      <c r="DB87" s="1482"/>
      <c r="DC87" s="1482"/>
      <c r="DD87" s="1482"/>
      <c r="DE87" s="1482"/>
      <c r="DF87" s="1482"/>
      <c r="DH87" s="838"/>
    </row>
    <row r="88" spans="1:112" s="743" customFormat="1" hidden="1" outlineLevel="1">
      <c r="A88" s="1488"/>
      <c r="B88" s="1488"/>
      <c r="C88" s="850"/>
      <c r="D88" s="851"/>
      <c r="E88" s="851"/>
      <c r="G88" s="961"/>
      <c r="H88" s="961"/>
      <c r="I88" s="961"/>
      <c r="J88" s="961"/>
      <c r="K88" s="962"/>
      <c r="L88" s="961"/>
      <c r="M88" s="961"/>
      <c r="N88" s="961"/>
      <c r="O88" s="961"/>
      <c r="P88" s="961"/>
      <c r="Q88" s="961"/>
      <c r="S88" s="971"/>
      <c r="T88" s="971"/>
      <c r="U88" s="971"/>
      <c r="V88" s="971"/>
      <c r="W88" s="971"/>
      <c r="X88" s="971"/>
      <c r="Y88" s="971"/>
      <c r="Z88" s="971"/>
      <c r="AA88" s="971"/>
      <c r="AB88" s="971"/>
      <c r="AC88" s="971"/>
      <c r="AD88" s="971"/>
      <c r="AE88" s="971"/>
      <c r="AF88" s="971"/>
      <c r="AG88" s="971"/>
      <c r="AH88" s="971"/>
      <c r="AI88" s="971"/>
      <c r="AJ88" s="971"/>
      <c r="AK88" s="971"/>
      <c r="AM88" s="978"/>
      <c r="AN88" s="978"/>
      <c r="AO88" s="978"/>
      <c r="AP88" s="978"/>
      <c r="AQ88" s="978"/>
      <c r="AR88" s="978"/>
      <c r="AS88" s="978"/>
      <c r="AT88" s="978"/>
      <c r="AU88" s="978"/>
      <c r="AV88" s="978"/>
      <c r="AW88" s="978"/>
      <c r="AX88" s="978"/>
      <c r="AY88" s="978"/>
      <c r="AZ88" s="978"/>
      <c r="BA88" s="978"/>
      <c r="BB88" s="978"/>
      <c r="BC88" s="978"/>
      <c r="BD88" s="978"/>
      <c r="BE88" s="978"/>
      <c r="BF88" s="978"/>
      <c r="BH88" s="991"/>
      <c r="BI88" s="991"/>
      <c r="BJ88" s="991"/>
      <c r="BL88" s="852"/>
      <c r="BM88" s="852"/>
      <c r="BN88" s="1488"/>
      <c r="BO88" s="1490"/>
      <c r="BP88" s="1482"/>
      <c r="BQ88" s="1482"/>
      <c r="BR88" s="1482"/>
      <c r="BS88" s="1482"/>
      <c r="BT88" s="1482"/>
      <c r="BU88" s="1482"/>
      <c r="BV88" s="1482"/>
      <c r="BW88" s="1482"/>
      <c r="BX88" s="1482"/>
      <c r="BY88" s="1482"/>
      <c r="BZ88" s="1482"/>
      <c r="CA88" s="1482"/>
      <c r="CB88" s="1482"/>
      <c r="CC88" s="1482"/>
      <c r="CD88" s="1482"/>
      <c r="CE88" s="1482"/>
      <c r="CF88" s="1482"/>
      <c r="CG88" s="1482"/>
      <c r="CH88" s="1482"/>
      <c r="CI88" s="1482"/>
      <c r="CJ88" s="1482"/>
      <c r="CK88" s="1482"/>
      <c r="CL88" s="1482"/>
      <c r="CM88" s="1482"/>
      <c r="CN88" s="1482"/>
      <c r="CO88" s="1482"/>
      <c r="CP88" s="1482"/>
      <c r="CQ88" s="1482"/>
      <c r="CR88" s="1482"/>
      <c r="CS88" s="1482"/>
      <c r="CT88" s="1482"/>
      <c r="CU88" s="1482"/>
      <c r="CV88" s="1482"/>
      <c r="CW88" s="1482"/>
      <c r="CX88" s="1482"/>
      <c r="CY88" s="1482"/>
      <c r="CZ88" s="1482"/>
      <c r="DA88" s="1482"/>
      <c r="DB88" s="1482"/>
      <c r="DC88" s="1482"/>
      <c r="DD88" s="1482"/>
      <c r="DE88" s="1482"/>
      <c r="DF88" s="1482"/>
      <c r="DH88" s="838"/>
    </row>
    <row r="89" spans="1:112" s="1484" customFormat="1" hidden="1" outlineLevel="1">
      <c r="C89" s="522" t="s">
        <v>774</v>
      </c>
      <c r="D89" s="521" t="str">
        <f>INDEX(Modules[Module], MATCH($C89, Modules[Code], 0))</f>
        <v>Electricity imports / exports</v>
      </c>
      <c r="E89" s="521"/>
      <c r="F89" s="743"/>
      <c r="G89" s="1017">
        <f t="shared" ref="G89:P89" ca="1" si="218">IFERROR(INDEX(INDIRECT($C89&amp;".Outputs["&amp;this.Year&amp;"]"), MATCH(G$5, INDIRECT($C89&amp;".Outputs[Vector]"), 0)), 0)</f>
        <v>0</v>
      </c>
      <c r="H89" s="1017">
        <f t="shared" ca="1" si="218"/>
        <v>0</v>
      </c>
      <c r="I89" s="1017">
        <f t="shared" ca="1" si="218"/>
        <v>0</v>
      </c>
      <c r="J89" s="1017">
        <f t="shared" ca="1" si="218"/>
        <v>0</v>
      </c>
      <c r="K89" s="1017">
        <f t="shared" ca="1" si="218"/>
        <v>0</v>
      </c>
      <c r="L89" s="1017">
        <f t="shared" ca="1" si="218"/>
        <v>0</v>
      </c>
      <c r="M89" s="1017">
        <f t="shared" ca="1" si="218"/>
        <v>0</v>
      </c>
      <c r="N89" s="1017">
        <f t="shared" ca="1" si="218"/>
        <v>0</v>
      </c>
      <c r="O89" s="1017">
        <f t="shared" ca="1" si="218"/>
        <v>0</v>
      </c>
      <c r="P89" s="1017">
        <f t="shared" ca="1" si="218"/>
        <v>0</v>
      </c>
      <c r="Q89" s="1019">
        <f ca="1">SUM(G89:P89)</f>
        <v>0</v>
      </c>
      <c r="R89" s="743"/>
      <c r="S89" s="1026">
        <f t="shared" ref="S89:AJ89" ca="1" si="219">IFERROR(INDEX(INDIRECT($C89&amp;".Outputs["&amp;this.Year&amp;"]"), MATCH(S$5, INDIRECT($C89&amp;".Outputs[Vector]"), 0)), 0)</f>
        <v>0</v>
      </c>
      <c r="T89" s="1026">
        <f t="shared" ca="1" si="219"/>
        <v>5.2145242500000002</v>
      </c>
      <c r="U89" s="1026">
        <f t="shared" ca="1" si="219"/>
        <v>0</v>
      </c>
      <c r="V89" s="1026">
        <f t="shared" ca="1" si="219"/>
        <v>0</v>
      </c>
      <c r="W89" s="1026">
        <f t="shared" ca="1" si="219"/>
        <v>0</v>
      </c>
      <c r="X89" s="1026">
        <f ca="1">IFERROR(INDEX(INDIRECT($C89&amp;".Outputs["&amp;this.Year&amp;"]"), MATCH(X$5, INDIRECT($C89&amp;".Outputs[Vector]"), 0)), 0)</f>
        <v>0</v>
      </c>
      <c r="Y89" s="1026">
        <f ca="1">IFERROR(INDEX(INDIRECT($C89&amp;".Outputs["&amp;this.Year&amp;"]"), MATCH(Y$5, INDIRECT($C89&amp;".Outputs[Vector]"), 0)), 0)</f>
        <v>0</v>
      </c>
      <c r="Z89" s="1026">
        <f ca="1">IFERROR(INDEX(INDIRECT($C89&amp;".Outputs["&amp;this.Year&amp;"]"), MATCH(Z$5, INDIRECT($C89&amp;".Outputs[Vector]"), 0)), 0)</f>
        <v>0</v>
      </c>
      <c r="AA89" s="1026">
        <f t="shared" ca="1" si="219"/>
        <v>0</v>
      </c>
      <c r="AB89" s="1026">
        <f t="shared" ca="1" si="219"/>
        <v>0</v>
      </c>
      <c r="AC89" s="1026">
        <f t="shared" ca="1" si="219"/>
        <v>0</v>
      </c>
      <c r="AD89" s="1026">
        <f t="shared" ca="1" si="219"/>
        <v>0</v>
      </c>
      <c r="AE89" s="1026">
        <f t="shared" ca="1" si="219"/>
        <v>0</v>
      </c>
      <c r="AF89" s="1026">
        <f t="shared" ca="1" si="219"/>
        <v>0</v>
      </c>
      <c r="AG89" s="1026">
        <f t="shared" ca="1" si="219"/>
        <v>0</v>
      </c>
      <c r="AH89" s="1026">
        <f t="shared" ca="1" si="219"/>
        <v>0</v>
      </c>
      <c r="AI89" s="1026">
        <f t="shared" ca="1" si="219"/>
        <v>0</v>
      </c>
      <c r="AJ89" s="1026">
        <f t="shared" ca="1" si="219"/>
        <v>0</v>
      </c>
      <c r="AK89" s="1027">
        <f ca="1">SUM(S89:AJ89)</f>
        <v>5.2145242500000002</v>
      </c>
      <c r="AL89" s="743"/>
      <c r="AM89" s="1038">
        <f t="shared" ref="AM89:AU89" ca="1" si="220">IFERROR(INDEX(INDIRECT($C89&amp;".Outputs["&amp;this.Year&amp;"]"), MATCH(AM$5, INDIRECT($C89&amp;".Outputs[Vector]"), 0)), 0)</f>
        <v>0</v>
      </c>
      <c r="AN89" s="1038">
        <f t="shared" ca="1" si="220"/>
        <v>0</v>
      </c>
      <c r="AO89" s="1038">
        <f t="shared" ca="1" si="220"/>
        <v>0</v>
      </c>
      <c r="AP89" s="1038">
        <f t="shared" ca="1" si="220"/>
        <v>0</v>
      </c>
      <c r="AQ89" s="1038">
        <f t="shared" ca="1" si="220"/>
        <v>-5.2145242500000002</v>
      </c>
      <c r="AR89" s="1038">
        <f t="shared" ca="1" si="220"/>
        <v>0</v>
      </c>
      <c r="AS89" s="1038">
        <f t="shared" ca="1" si="220"/>
        <v>0</v>
      </c>
      <c r="AT89" s="1038">
        <f t="shared" ca="1" si="220"/>
        <v>0</v>
      </c>
      <c r="AU89" s="1038">
        <f t="shared" ca="1" si="220"/>
        <v>0</v>
      </c>
      <c r="AV89" s="1038">
        <f t="shared" ref="AV89:BE89" ca="1" si="221">IFERROR(INDEX(INDIRECT($C89&amp;".Outputs["&amp;this.Year&amp;"]"), MATCH(AV$5, INDIRECT($C89&amp;".Outputs[Vector]"), 0)), 0)</f>
        <v>0</v>
      </c>
      <c r="AW89" s="1038">
        <f t="shared" ca="1" si="221"/>
        <v>0</v>
      </c>
      <c r="AX89" s="1038">
        <f t="shared" ca="1" si="221"/>
        <v>0</v>
      </c>
      <c r="AY89" s="1038">
        <f t="shared" ca="1" si="221"/>
        <v>0</v>
      </c>
      <c r="AZ89" s="1038">
        <f t="shared" ca="1" si="221"/>
        <v>0</v>
      </c>
      <c r="BA89" s="1038">
        <f t="shared" ca="1" si="221"/>
        <v>0</v>
      </c>
      <c r="BB89" s="1038">
        <f t="shared" ca="1" si="221"/>
        <v>0</v>
      </c>
      <c r="BC89" s="1038">
        <f t="shared" ca="1" si="221"/>
        <v>0</v>
      </c>
      <c r="BD89" s="1038">
        <f t="shared" ca="1" si="221"/>
        <v>0</v>
      </c>
      <c r="BE89" s="1038">
        <f t="shared" ca="1" si="221"/>
        <v>0</v>
      </c>
      <c r="BF89" s="979">
        <f ca="1">SUM(AM89:BE89)</f>
        <v>-5.2145242500000002</v>
      </c>
      <c r="BG89" s="743"/>
      <c r="BH89" s="1032">
        <f ca="1">IFERROR(INDEX(INDIRECT($C89&amp;".Outputs["&amp;this.Year&amp;"]"), MATCH(BH$5, INDIRECT($C89&amp;".Outputs[Vector]"), 0)), 0)</f>
        <v>0</v>
      </c>
      <c r="BI89" s="1032">
        <f ca="1">IFERROR(INDEX(INDIRECT($C89&amp;".Outputs["&amp;this.Year&amp;"]"), MATCH(BI$5, INDIRECT($C89&amp;".Outputs[Vector]"), 0)), 0)</f>
        <v>0</v>
      </c>
      <c r="BJ89" s="1034">
        <f ca="1">SUM(BH89:BI89)</f>
        <v>0</v>
      </c>
      <c r="BK89" s="743"/>
      <c r="BL89" s="814">
        <f t="shared" ref="BL89:BL94" ca="1" si="222">Q89+AK89+BF89+BJ89</f>
        <v>0</v>
      </c>
      <c r="BM89" s="814"/>
      <c r="BO89" s="1481">
        <f t="shared" ref="BO89:DF89" ca="1" si="223">IFERROR(SUMIFS(INDIRECT($C89&amp;".Emissions["&amp;this.Year&amp;"]"), INDIRECT($C89&amp;".Emissions[GHG]"), BO$6, INDIRECT($C89&amp;".Emissions[IPCC Sector]"), BO$5),0)</f>
        <v>0</v>
      </c>
      <c r="BP89" s="1482">
        <f t="shared" ca="1" si="223"/>
        <v>0</v>
      </c>
      <c r="BQ89" s="1482">
        <f t="shared" ca="1" si="223"/>
        <v>0</v>
      </c>
      <c r="BR89" s="1482">
        <f t="shared" ca="1" si="223"/>
        <v>0</v>
      </c>
      <c r="BS89" s="1482">
        <f t="shared" ca="1" si="223"/>
        <v>0</v>
      </c>
      <c r="BT89" s="1482">
        <f t="shared" ca="1" si="223"/>
        <v>0</v>
      </c>
      <c r="BU89" s="1482">
        <f t="shared" ca="1" si="223"/>
        <v>0</v>
      </c>
      <c r="BV89" s="1482">
        <f t="shared" ca="1" si="223"/>
        <v>0</v>
      </c>
      <c r="BW89" s="1482">
        <f t="shared" ca="1" si="223"/>
        <v>0</v>
      </c>
      <c r="BX89" s="1482">
        <f t="shared" ca="1" si="223"/>
        <v>0</v>
      </c>
      <c r="BY89" s="1482">
        <f t="shared" ca="1" si="223"/>
        <v>0</v>
      </c>
      <c r="BZ89" s="1482">
        <f t="shared" ca="1" si="223"/>
        <v>0</v>
      </c>
      <c r="CA89" s="1482">
        <f t="shared" ca="1" si="223"/>
        <v>0</v>
      </c>
      <c r="CB89" s="1482">
        <f t="shared" ca="1" si="223"/>
        <v>0</v>
      </c>
      <c r="CC89" s="1482">
        <f t="shared" ca="1" si="223"/>
        <v>0</v>
      </c>
      <c r="CD89" s="1482">
        <f t="shared" ca="1" si="223"/>
        <v>0</v>
      </c>
      <c r="CE89" s="1482">
        <f t="shared" ca="1" si="223"/>
        <v>0</v>
      </c>
      <c r="CF89" s="1482">
        <f t="shared" ca="1" si="223"/>
        <v>0</v>
      </c>
      <c r="CG89" s="1482">
        <f t="shared" ca="1" si="223"/>
        <v>0</v>
      </c>
      <c r="CH89" s="1482">
        <f t="shared" ca="1" si="223"/>
        <v>0</v>
      </c>
      <c r="CI89" s="1482">
        <f t="shared" ca="1" si="223"/>
        <v>0</v>
      </c>
      <c r="CJ89" s="1482">
        <f t="shared" ca="1" si="223"/>
        <v>0</v>
      </c>
      <c r="CK89" s="1482">
        <f t="shared" ca="1" si="223"/>
        <v>0</v>
      </c>
      <c r="CL89" s="1482">
        <f t="shared" ca="1" si="223"/>
        <v>0</v>
      </c>
      <c r="CM89" s="1482">
        <f t="shared" ca="1" si="223"/>
        <v>0</v>
      </c>
      <c r="CN89" s="1482">
        <f t="shared" ca="1" si="223"/>
        <v>0</v>
      </c>
      <c r="CO89" s="1482">
        <f t="shared" ca="1" si="223"/>
        <v>0</v>
      </c>
      <c r="CP89" s="1482">
        <f t="shared" ca="1" si="223"/>
        <v>0</v>
      </c>
      <c r="CQ89" s="1482">
        <f t="shared" ca="1" si="223"/>
        <v>0</v>
      </c>
      <c r="CR89" s="1482">
        <f t="shared" ca="1" si="223"/>
        <v>0</v>
      </c>
      <c r="CS89" s="1482">
        <f t="shared" ca="1" si="223"/>
        <v>0</v>
      </c>
      <c r="CT89" s="1482">
        <f t="shared" ca="1" si="223"/>
        <v>0</v>
      </c>
      <c r="CU89" s="1482">
        <f t="shared" ca="1" si="223"/>
        <v>0</v>
      </c>
      <c r="CV89" s="1482">
        <f t="shared" ca="1" si="223"/>
        <v>0</v>
      </c>
      <c r="CW89" s="1482">
        <f t="shared" ca="1" si="223"/>
        <v>0</v>
      </c>
      <c r="CX89" s="1482">
        <f t="shared" ca="1" si="223"/>
        <v>0</v>
      </c>
      <c r="CY89" s="1482">
        <f t="shared" ca="1" si="223"/>
        <v>0</v>
      </c>
      <c r="CZ89" s="1482">
        <f t="shared" ca="1" si="223"/>
        <v>0</v>
      </c>
      <c r="DA89" s="1482">
        <f t="shared" ca="1" si="223"/>
        <v>0</v>
      </c>
      <c r="DB89" s="1482">
        <f t="shared" ca="1" si="223"/>
        <v>0</v>
      </c>
      <c r="DC89" s="1482">
        <f t="shared" ca="1" si="223"/>
        <v>0</v>
      </c>
      <c r="DD89" s="1482">
        <f t="shared" ca="1" si="223"/>
        <v>0</v>
      </c>
      <c r="DE89" s="1482">
        <f t="shared" ca="1" si="223"/>
        <v>0</v>
      </c>
      <c r="DF89" s="1482">
        <f t="shared" ca="1" si="223"/>
        <v>0</v>
      </c>
      <c r="DH89" s="838"/>
    </row>
    <row r="90" spans="1:112" s="1488" customFormat="1" ht="12.75" hidden="1" customHeight="1" outlineLevel="1">
      <c r="C90" s="1048" t="s">
        <v>1722</v>
      </c>
      <c r="D90" s="1049" t="s">
        <v>1335</v>
      </c>
      <c r="E90" s="1049"/>
      <c r="F90" s="743"/>
      <c r="G90" s="1070"/>
      <c r="H90" s="1070"/>
      <c r="I90" s="1070"/>
      <c r="J90" s="1070"/>
      <c r="K90" s="1071"/>
      <c r="L90" s="1070"/>
      <c r="M90" s="1070"/>
      <c r="N90" s="1070"/>
      <c r="O90" s="1070"/>
      <c r="P90" s="1070"/>
      <c r="Q90" s="1070"/>
      <c r="R90" s="743"/>
      <c r="S90" s="1072">
        <f ca="1">S$40+$S46+S$51+S$99+S$55+S$89</f>
        <v>-354.55512401053005</v>
      </c>
      <c r="T90" s="1072">
        <f ca="1">T$40+$S46+T$51+T$99+T$55+T$89</f>
        <v>5.2145242500000002</v>
      </c>
      <c r="U90" s="1072"/>
      <c r="V90" s="1072"/>
      <c r="W90" s="1072"/>
      <c r="X90" s="1072"/>
      <c r="Y90" s="1072"/>
      <c r="Z90" s="1072"/>
      <c r="AA90" s="1072"/>
      <c r="AB90" s="1072"/>
      <c r="AC90" s="1072"/>
      <c r="AD90" s="1072"/>
      <c r="AE90" s="1072"/>
      <c r="AF90" s="1072"/>
      <c r="AG90" s="1072"/>
      <c r="AH90" s="1072"/>
      <c r="AI90" s="1072"/>
      <c r="AJ90" s="1072"/>
      <c r="AK90" s="1072"/>
      <c r="AL90" s="74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743"/>
      <c r="BH90" s="1074"/>
      <c r="BI90" s="1074"/>
      <c r="BJ90" s="1074"/>
      <c r="BK90" s="743"/>
      <c r="BL90" s="852">
        <f t="shared" si="222"/>
        <v>0</v>
      </c>
      <c r="BM90" s="852"/>
      <c r="BO90" s="1490"/>
      <c r="BP90" s="1490"/>
      <c r="BQ90" s="1490"/>
      <c r="BR90" s="1490"/>
      <c r="BS90" s="1490"/>
      <c r="BT90" s="1490"/>
      <c r="BU90" s="1490"/>
      <c r="BV90" s="1490"/>
      <c r="BW90" s="1490"/>
      <c r="BX90" s="1490"/>
      <c r="BY90" s="1490"/>
      <c r="BZ90" s="1490"/>
      <c r="CA90" s="1490"/>
      <c r="CB90" s="1490"/>
      <c r="CC90" s="1490"/>
      <c r="CD90" s="1490"/>
      <c r="CE90" s="1490"/>
      <c r="CF90" s="1490"/>
      <c r="CG90" s="1490"/>
      <c r="CH90" s="1490"/>
      <c r="CI90" s="1490"/>
      <c r="CJ90" s="1490"/>
      <c r="CK90" s="1490"/>
      <c r="CL90" s="1490"/>
      <c r="CM90" s="1490"/>
      <c r="CN90" s="1490"/>
      <c r="CO90" s="1490"/>
      <c r="CP90" s="1490"/>
      <c r="CQ90" s="1490"/>
      <c r="CR90" s="1490"/>
      <c r="CS90" s="1490"/>
      <c r="CT90" s="1490"/>
      <c r="CU90" s="1490"/>
      <c r="CV90" s="1490"/>
      <c r="CW90" s="1490"/>
      <c r="CX90" s="1490"/>
      <c r="CY90" s="1490"/>
      <c r="CZ90" s="1490"/>
      <c r="DA90" s="1490"/>
      <c r="DB90" s="1490"/>
      <c r="DC90" s="1490"/>
      <c r="DD90" s="1490"/>
      <c r="DE90" s="1490"/>
      <c r="DF90" s="1490"/>
      <c r="DH90" s="838"/>
    </row>
    <row r="91" spans="1:112" s="1484" customFormat="1" hidden="1" outlineLevel="1">
      <c r="C91" s="522" t="s">
        <v>784</v>
      </c>
      <c r="D91" s="521" t="str">
        <f>INDEX(Modules[Module], MATCH($C91, Modules[Code], 0))</f>
        <v>Electricity grid distribution</v>
      </c>
      <c r="E91" s="521"/>
      <c r="F91" s="743"/>
      <c r="G91" s="1017">
        <f t="shared" ref="G91:P92" ca="1" si="224">IFERROR(INDEX(INDIRECT($C91&amp;".Outputs["&amp;this.Year&amp;"]"), MATCH(G$5, INDIRECT($C91&amp;".Outputs[Vector]"), 0)), 0)</f>
        <v>0</v>
      </c>
      <c r="H91" s="1017">
        <f t="shared" ca="1" si="224"/>
        <v>0</v>
      </c>
      <c r="I91" s="1017">
        <f t="shared" ca="1" si="224"/>
        <v>0</v>
      </c>
      <c r="J91" s="1017">
        <f t="shared" ca="1" si="224"/>
        <v>0</v>
      </c>
      <c r="K91" s="1017">
        <f t="shared" ca="1" si="224"/>
        <v>0</v>
      </c>
      <c r="L91" s="1017">
        <f t="shared" ca="1" si="224"/>
        <v>0</v>
      </c>
      <c r="M91" s="1017">
        <f t="shared" ca="1" si="224"/>
        <v>0</v>
      </c>
      <c r="N91" s="1017">
        <f t="shared" ca="1" si="224"/>
        <v>0</v>
      </c>
      <c r="O91" s="1017">
        <f t="shared" ca="1" si="224"/>
        <v>0</v>
      </c>
      <c r="P91" s="1017">
        <f t="shared" ca="1" si="224"/>
        <v>0</v>
      </c>
      <c r="Q91" s="1019">
        <f ca="1">SUM(G91:P91)</f>
        <v>0</v>
      </c>
      <c r="R91" s="743"/>
      <c r="S91" s="1026">
        <f t="shared" ref="S91:AJ92" ca="1" si="225">IFERROR(INDEX(INDIRECT($C91&amp;".Outputs["&amp;this.Year&amp;"]"), MATCH(S$5, INDIRECT($C91&amp;".Outputs[Vector]"), 0)), 0)</f>
        <v>0</v>
      </c>
      <c r="T91" s="1026">
        <f t="shared" ca="1" si="225"/>
        <v>-26.584481639635896</v>
      </c>
      <c r="U91" s="1026">
        <f t="shared" ca="1" si="225"/>
        <v>0</v>
      </c>
      <c r="V91" s="1026">
        <f t="shared" ca="1" si="225"/>
        <v>0</v>
      </c>
      <c r="W91" s="1026">
        <f t="shared" ca="1" si="225"/>
        <v>0</v>
      </c>
      <c r="X91" s="1026">
        <f t="shared" ref="X91:Z92" ca="1" si="226">IFERROR(INDEX(INDIRECT($C91&amp;".Outputs["&amp;this.Year&amp;"]"), MATCH(X$5, INDIRECT($C91&amp;".Outputs[Vector]"), 0)), 0)</f>
        <v>0</v>
      </c>
      <c r="Y91" s="1026">
        <f t="shared" ca="1" si="226"/>
        <v>0</v>
      </c>
      <c r="Z91" s="1026">
        <f t="shared" ca="1" si="226"/>
        <v>0</v>
      </c>
      <c r="AA91" s="1026">
        <f t="shared" ca="1" si="225"/>
        <v>0</v>
      </c>
      <c r="AB91" s="1026">
        <f t="shared" ca="1" si="225"/>
        <v>0</v>
      </c>
      <c r="AC91" s="1026">
        <f t="shared" ca="1" si="225"/>
        <v>0</v>
      </c>
      <c r="AD91" s="1026">
        <f t="shared" ca="1" si="225"/>
        <v>0</v>
      </c>
      <c r="AE91" s="1026">
        <f t="shared" ca="1" si="225"/>
        <v>0</v>
      </c>
      <c r="AF91" s="1026">
        <f t="shared" ca="1" si="225"/>
        <v>0</v>
      </c>
      <c r="AG91" s="1026">
        <f t="shared" ca="1" si="225"/>
        <v>0</v>
      </c>
      <c r="AH91" s="1026">
        <f t="shared" ca="1" si="225"/>
        <v>0</v>
      </c>
      <c r="AI91" s="1026">
        <f t="shared" ca="1" si="225"/>
        <v>0</v>
      </c>
      <c r="AJ91" s="1026">
        <f t="shared" ca="1" si="225"/>
        <v>0</v>
      </c>
      <c r="AK91" s="1027">
        <f ca="1">SUM(S91:AJ91)</f>
        <v>-26.584481639635896</v>
      </c>
      <c r="AL91" s="743"/>
      <c r="AM91" s="1038">
        <f t="shared" ref="AM91:AU92" ca="1" si="227">IFERROR(INDEX(INDIRECT($C91&amp;".Outputs["&amp;this.Year&amp;"]"), MATCH(AM$5, INDIRECT($C91&amp;".Outputs[Vector]"), 0)), 0)</f>
        <v>0</v>
      </c>
      <c r="AN91" s="1038">
        <f t="shared" ca="1" si="227"/>
        <v>0</v>
      </c>
      <c r="AO91" s="1038">
        <f t="shared" ca="1" si="227"/>
        <v>0</v>
      </c>
      <c r="AP91" s="1038">
        <f t="shared" ca="1" si="227"/>
        <v>0</v>
      </c>
      <c r="AQ91" s="1038">
        <f t="shared" ca="1" si="227"/>
        <v>0</v>
      </c>
      <c r="AR91" s="1038">
        <f t="shared" ca="1" si="227"/>
        <v>0</v>
      </c>
      <c r="AS91" s="1038">
        <f t="shared" ca="1" si="227"/>
        <v>0</v>
      </c>
      <c r="AT91" s="1038">
        <f t="shared" ca="1" si="227"/>
        <v>0</v>
      </c>
      <c r="AU91" s="1038">
        <f t="shared" ca="1" si="227"/>
        <v>0</v>
      </c>
      <c r="AV91" s="1038">
        <f t="shared" ref="AV91:BE92" ca="1" si="228">IFERROR(INDEX(INDIRECT($C91&amp;".Outputs["&amp;this.Year&amp;"]"), MATCH(AV$5, INDIRECT($C91&amp;".Outputs[Vector]"), 0)), 0)</f>
        <v>0</v>
      </c>
      <c r="AW91" s="1038">
        <f t="shared" ca="1" si="228"/>
        <v>0</v>
      </c>
      <c r="AX91" s="1038">
        <f t="shared" ca="1" si="228"/>
        <v>0</v>
      </c>
      <c r="AY91" s="1038">
        <f t="shared" ca="1" si="228"/>
        <v>0</v>
      </c>
      <c r="AZ91" s="1038">
        <f t="shared" ca="1" si="228"/>
        <v>0</v>
      </c>
      <c r="BA91" s="1038">
        <f t="shared" ca="1" si="228"/>
        <v>0</v>
      </c>
      <c r="BB91" s="1038">
        <f t="shared" ca="1" si="228"/>
        <v>0</v>
      </c>
      <c r="BC91" s="1038">
        <f t="shared" ca="1" si="228"/>
        <v>0</v>
      </c>
      <c r="BD91" s="1038">
        <f t="shared" ca="1" si="228"/>
        <v>0</v>
      </c>
      <c r="BE91" s="1038">
        <f t="shared" ca="1" si="228"/>
        <v>0</v>
      </c>
      <c r="BF91" s="979">
        <f ca="1">SUM(AM91:BE91)</f>
        <v>0</v>
      </c>
      <c r="BG91" s="743"/>
      <c r="BH91" s="1032">
        <f ca="1">IFERROR(INDEX(INDIRECT($C91&amp;".Outputs["&amp;this.Year&amp;"]"), MATCH(BH$5, INDIRECT($C91&amp;".Outputs[Vector]"), 0)), 0)</f>
        <v>0</v>
      </c>
      <c r="BI91" s="1032">
        <f ca="1">IFERROR(INDEX(INDIRECT($C91&amp;".Outputs["&amp;this.Year&amp;"]"), MATCH(BI$5, INDIRECT($C91&amp;".Outputs[Vector]"), 0)), 0)</f>
        <v>26.584481639635886</v>
      </c>
      <c r="BJ91" s="1034">
        <f ca="1">SUM(BH91:BI91)</f>
        <v>26.584481639635886</v>
      </c>
      <c r="BK91" s="743"/>
      <c r="BL91" s="852">
        <f t="shared" ca="1" si="222"/>
        <v>0</v>
      </c>
      <c r="BM91" s="814"/>
      <c r="BO91" s="1481">
        <f t="shared" ref="BO91:BX92" ca="1" si="229">IFERROR(SUMIFS(INDIRECT($C91&amp;".Emissions["&amp;this.Year&amp;"]"), INDIRECT($C91&amp;".Emissions[GHG]"), BO$6, INDIRECT($C91&amp;".Emissions[IPCC Sector]"), BO$5),0)</f>
        <v>0</v>
      </c>
      <c r="BP91" s="1482">
        <f t="shared" ca="1" si="229"/>
        <v>0</v>
      </c>
      <c r="BQ91" s="1482">
        <f t="shared" ca="1" si="229"/>
        <v>0</v>
      </c>
      <c r="BR91" s="1482">
        <f t="shared" ca="1" si="229"/>
        <v>0</v>
      </c>
      <c r="BS91" s="1482">
        <f t="shared" ca="1" si="229"/>
        <v>0</v>
      </c>
      <c r="BT91" s="1482">
        <f t="shared" ca="1" si="229"/>
        <v>0</v>
      </c>
      <c r="BU91" s="1482">
        <f t="shared" ca="1" si="229"/>
        <v>0</v>
      </c>
      <c r="BV91" s="1482">
        <f t="shared" ca="1" si="229"/>
        <v>0</v>
      </c>
      <c r="BW91" s="1482">
        <f t="shared" ca="1" si="229"/>
        <v>0</v>
      </c>
      <c r="BX91" s="1482">
        <f t="shared" ca="1" si="229"/>
        <v>0</v>
      </c>
      <c r="BY91" s="1482">
        <f t="shared" ref="BY91:CH92" ca="1" si="230">IFERROR(SUMIFS(INDIRECT($C91&amp;".Emissions["&amp;this.Year&amp;"]"), INDIRECT($C91&amp;".Emissions[GHG]"), BY$6, INDIRECT($C91&amp;".Emissions[IPCC Sector]"), BY$5),0)</f>
        <v>0</v>
      </c>
      <c r="BZ91" s="1482">
        <f t="shared" ca="1" si="230"/>
        <v>0</v>
      </c>
      <c r="CA91" s="1482">
        <f t="shared" ca="1" si="230"/>
        <v>0</v>
      </c>
      <c r="CB91" s="1482">
        <f t="shared" ca="1" si="230"/>
        <v>0</v>
      </c>
      <c r="CC91" s="1482">
        <f t="shared" ca="1" si="230"/>
        <v>0</v>
      </c>
      <c r="CD91" s="1482">
        <f t="shared" ca="1" si="230"/>
        <v>0</v>
      </c>
      <c r="CE91" s="1482">
        <f t="shared" ca="1" si="230"/>
        <v>0</v>
      </c>
      <c r="CF91" s="1482">
        <f t="shared" ca="1" si="230"/>
        <v>0</v>
      </c>
      <c r="CG91" s="1482">
        <f t="shared" ca="1" si="230"/>
        <v>0</v>
      </c>
      <c r="CH91" s="1482">
        <f t="shared" ca="1" si="230"/>
        <v>0</v>
      </c>
      <c r="CI91" s="1482">
        <f t="shared" ref="CI91:CR92" ca="1" si="231">IFERROR(SUMIFS(INDIRECT($C91&amp;".Emissions["&amp;this.Year&amp;"]"), INDIRECT($C91&amp;".Emissions[GHG]"), CI$6, INDIRECT($C91&amp;".Emissions[IPCC Sector]"), CI$5),0)</f>
        <v>0</v>
      </c>
      <c r="CJ91" s="1482">
        <f t="shared" ca="1" si="231"/>
        <v>0</v>
      </c>
      <c r="CK91" s="1482">
        <f t="shared" ca="1" si="231"/>
        <v>0</v>
      </c>
      <c r="CL91" s="1482">
        <f t="shared" ca="1" si="231"/>
        <v>0</v>
      </c>
      <c r="CM91" s="1482">
        <f t="shared" ca="1" si="231"/>
        <v>0</v>
      </c>
      <c r="CN91" s="1482">
        <f t="shared" ca="1" si="231"/>
        <v>0</v>
      </c>
      <c r="CO91" s="1482">
        <f t="shared" ca="1" si="231"/>
        <v>0</v>
      </c>
      <c r="CP91" s="1482">
        <f t="shared" ca="1" si="231"/>
        <v>0</v>
      </c>
      <c r="CQ91" s="1482">
        <f t="shared" ca="1" si="231"/>
        <v>0</v>
      </c>
      <c r="CR91" s="1482">
        <f t="shared" ca="1" si="231"/>
        <v>0</v>
      </c>
      <c r="CS91" s="1482">
        <f t="shared" ref="CS91:DF92" ca="1" si="232">IFERROR(SUMIFS(INDIRECT($C91&amp;".Emissions["&amp;this.Year&amp;"]"), INDIRECT($C91&amp;".Emissions[GHG]"), CS$6, INDIRECT($C91&amp;".Emissions[IPCC Sector]"), CS$5),0)</f>
        <v>0</v>
      </c>
      <c r="CT91" s="1482">
        <f t="shared" ca="1" si="232"/>
        <v>0</v>
      </c>
      <c r="CU91" s="1482">
        <f t="shared" ca="1" si="232"/>
        <v>0</v>
      </c>
      <c r="CV91" s="1482">
        <f t="shared" ca="1" si="232"/>
        <v>0</v>
      </c>
      <c r="CW91" s="1482">
        <f t="shared" ca="1" si="232"/>
        <v>0</v>
      </c>
      <c r="CX91" s="1482">
        <f t="shared" ca="1" si="232"/>
        <v>0</v>
      </c>
      <c r="CY91" s="1482">
        <f t="shared" ca="1" si="232"/>
        <v>0</v>
      </c>
      <c r="CZ91" s="1482">
        <f t="shared" ca="1" si="232"/>
        <v>0</v>
      </c>
      <c r="DA91" s="1482">
        <f t="shared" ca="1" si="232"/>
        <v>0</v>
      </c>
      <c r="DB91" s="1482">
        <f t="shared" ca="1" si="232"/>
        <v>0</v>
      </c>
      <c r="DC91" s="1482">
        <f t="shared" ca="1" si="232"/>
        <v>0</v>
      </c>
      <c r="DD91" s="1482">
        <f t="shared" ca="1" si="232"/>
        <v>0</v>
      </c>
      <c r="DE91" s="1482">
        <f t="shared" ca="1" si="232"/>
        <v>0</v>
      </c>
      <c r="DF91" s="1482">
        <f t="shared" ca="1" si="232"/>
        <v>0</v>
      </c>
      <c r="DH91" s="838"/>
    </row>
    <row r="92" spans="1:112" s="1484" customFormat="1" hidden="1" outlineLevel="1">
      <c r="C92" s="522" t="s">
        <v>796</v>
      </c>
      <c r="D92" s="1010" t="str">
        <f>INDEX(Modules[Module], MATCH($C92, Modules[Code], 0))</f>
        <v>Storage, demand shifting, backup</v>
      </c>
      <c r="E92" s="1010"/>
      <c r="F92" s="743"/>
      <c r="G92" s="1022">
        <f t="shared" ca="1" si="224"/>
        <v>0</v>
      </c>
      <c r="H92" s="1022">
        <f t="shared" ca="1" si="224"/>
        <v>0</v>
      </c>
      <c r="I92" s="1022">
        <f t="shared" ca="1" si="224"/>
        <v>0</v>
      </c>
      <c r="J92" s="1022">
        <f t="shared" ca="1" si="224"/>
        <v>0</v>
      </c>
      <c r="K92" s="1022">
        <f t="shared" ca="1" si="224"/>
        <v>0</v>
      </c>
      <c r="L92" s="1022">
        <f t="shared" ca="1" si="224"/>
        <v>0</v>
      </c>
      <c r="M92" s="1022">
        <f t="shared" ca="1" si="224"/>
        <v>0</v>
      </c>
      <c r="N92" s="1022">
        <f t="shared" ca="1" si="224"/>
        <v>0</v>
      </c>
      <c r="O92" s="1022">
        <f t="shared" ca="1" si="224"/>
        <v>0</v>
      </c>
      <c r="P92" s="1022">
        <f t="shared" ca="1" si="224"/>
        <v>0</v>
      </c>
      <c r="Q92" s="1020">
        <f ca="1">SUM(G92:P92)</f>
        <v>0</v>
      </c>
      <c r="R92" s="743"/>
      <c r="S92" s="1031">
        <f t="shared" ca="1" si="225"/>
        <v>0</v>
      </c>
      <c r="T92" s="1031">
        <f t="shared" ca="1" si="225"/>
        <v>-1.2254999999999996</v>
      </c>
      <c r="U92" s="1031">
        <f t="shared" ca="1" si="225"/>
        <v>0</v>
      </c>
      <c r="V92" s="1031">
        <f t="shared" ca="1" si="225"/>
        <v>0</v>
      </c>
      <c r="W92" s="1031">
        <f t="shared" ca="1" si="225"/>
        <v>0</v>
      </c>
      <c r="X92" s="1031">
        <f t="shared" ca="1" si="226"/>
        <v>0</v>
      </c>
      <c r="Y92" s="1031">
        <f t="shared" ca="1" si="226"/>
        <v>0</v>
      </c>
      <c r="Z92" s="1031">
        <f t="shared" ca="1" si="226"/>
        <v>0</v>
      </c>
      <c r="AA92" s="1031">
        <f t="shared" ca="1" si="225"/>
        <v>0</v>
      </c>
      <c r="AB92" s="1031">
        <f t="shared" ca="1" si="225"/>
        <v>0</v>
      </c>
      <c r="AC92" s="1031">
        <f t="shared" ca="1" si="225"/>
        <v>0</v>
      </c>
      <c r="AD92" s="1031">
        <f t="shared" ca="1" si="225"/>
        <v>0</v>
      </c>
      <c r="AE92" s="1031">
        <f t="shared" ca="1" si="225"/>
        <v>0</v>
      </c>
      <c r="AF92" s="1031">
        <f t="shared" ca="1" si="225"/>
        <v>0</v>
      </c>
      <c r="AG92" s="1031">
        <f t="shared" ca="1" si="225"/>
        <v>0</v>
      </c>
      <c r="AH92" s="1031">
        <f t="shared" ca="1" si="225"/>
        <v>0</v>
      </c>
      <c r="AI92" s="1031">
        <f t="shared" ca="1" si="225"/>
        <v>0</v>
      </c>
      <c r="AJ92" s="1031">
        <f t="shared" ca="1" si="225"/>
        <v>0</v>
      </c>
      <c r="AK92" s="1030">
        <f ca="1">SUM(S92:AJ92)</f>
        <v>-1.2254999999999996</v>
      </c>
      <c r="AL92" s="743"/>
      <c r="AM92" s="1042">
        <f t="shared" ca="1" si="227"/>
        <v>0</v>
      </c>
      <c r="AN92" s="1042">
        <f t="shared" ca="1" si="227"/>
        <v>0</v>
      </c>
      <c r="AO92" s="1042">
        <f t="shared" ca="1" si="227"/>
        <v>0</v>
      </c>
      <c r="AP92" s="1042">
        <f t="shared" ca="1" si="227"/>
        <v>0</v>
      </c>
      <c r="AQ92" s="1042">
        <f t="shared" ca="1" si="227"/>
        <v>0</v>
      </c>
      <c r="AR92" s="1042">
        <f t="shared" ca="1" si="227"/>
        <v>0</v>
      </c>
      <c r="AS92" s="1042">
        <f t="shared" ca="1" si="227"/>
        <v>0</v>
      </c>
      <c r="AT92" s="1042">
        <f t="shared" ca="1" si="227"/>
        <v>0</v>
      </c>
      <c r="AU92" s="1042">
        <f t="shared" ca="1" si="227"/>
        <v>0</v>
      </c>
      <c r="AV92" s="1042">
        <f t="shared" ca="1" si="228"/>
        <v>0</v>
      </c>
      <c r="AW92" s="1042">
        <f t="shared" ca="1" si="228"/>
        <v>0</v>
      </c>
      <c r="AX92" s="1042">
        <f t="shared" ca="1" si="228"/>
        <v>0</v>
      </c>
      <c r="AY92" s="1042">
        <f t="shared" ca="1" si="228"/>
        <v>0</v>
      </c>
      <c r="AZ92" s="1042">
        <f t="shared" ca="1" si="228"/>
        <v>0</v>
      </c>
      <c r="BA92" s="1042">
        <f t="shared" ca="1" si="228"/>
        <v>0</v>
      </c>
      <c r="BB92" s="1042">
        <f t="shared" ca="1" si="228"/>
        <v>0</v>
      </c>
      <c r="BC92" s="1042">
        <f t="shared" ca="1" si="228"/>
        <v>0</v>
      </c>
      <c r="BD92" s="1042">
        <f t="shared" ca="1" si="228"/>
        <v>0</v>
      </c>
      <c r="BE92" s="1042">
        <f t="shared" ca="1" si="228"/>
        <v>0</v>
      </c>
      <c r="BF92" s="1012">
        <f ca="1">SUM(AM92:BE92)</f>
        <v>0</v>
      </c>
      <c r="BG92" s="743"/>
      <c r="BH92" s="1036">
        <f ca="1">IFERROR(INDEX(INDIRECT($C92&amp;".Outputs["&amp;this.Year&amp;"]"), MATCH(BH$5, INDIRECT($C92&amp;".Outputs[Vector]"), 0)), 0)</f>
        <v>1.2254999999999996</v>
      </c>
      <c r="BI92" s="1036">
        <f ca="1">IFERROR(INDEX(INDIRECT($C92&amp;".Outputs["&amp;this.Year&amp;"]"), MATCH(BI$5, INDIRECT($C92&amp;".Outputs[Vector]"), 0)), 0)</f>
        <v>0</v>
      </c>
      <c r="BJ92" s="1035">
        <f ca="1">SUM(BH92:BI92)</f>
        <v>1.2254999999999996</v>
      </c>
      <c r="BK92" s="743"/>
      <c r="BL92" s="852">
        <f t="shared" ca="1" si="222"/>
        <v>0</v>
      </c>
      <c r="BM92" s="814"/>
      <c r="BO92" s="1485">
        <f t="shared" ca="1" si="229"/>
        <v>0</v>
      </c>
      <c r="BP92" s="1486">
        <f t="shared" ca="1" si="229"/>
        <v>0</v>
      </c>
      <c r="BQ92" s="1486">
        <f t="shared" ca="1" si="229"/>
        <v>0</v>
      </c>
      <c r="BR92" s="1486">
        <f t="shared" ca="1" si="229"/>
        <v>0</v>
      </c>
      <c r="BS92" s="1486">
        <f t="shared" ca="1" si="229"/>
        <v>0</v>
      </c>
      <c r="BT92" s="1486">
        <f t="shared" ca="1" si="229"/>
        <v>0</v>
      </c>
      <c r="BU92" s="1486">
        <f t="shared" ca="1" si="229"/>
        <v>0</v>
      </c>
      <c r="BV92" s="1486">
        <f t="shared" ca="1" si="229"/>
        <v>0</v>
      </c>
      <c r="BW92" s="1486">
        <f t="shared" ca="1" si="229"/>
        <v>0</v>
      </c>
      <c r="BX92" s="1486">
        <f t="shared" ca="1" si="229"/>
        <v>0</v>
      </c>
      <c r="BY92" s="1486">
        <f t="shared" ca="1" si="230"/>
        <v>0</v>
      </c>
      <c r="BZ92" s="1486">
        <f t="shared" ca="1" si="230"/>
        <v>0</v>
      </c>
      <c r="CA92" s="1486">
        <f t="shared" ca="1" si="230"/>
        <v>0</v>
      </c>
      <c r="CB92" s="1486">
        <f t="shared" ca="1" si="230"/>
        <v>0</v>
      </c>
      <c r="CC92" s="1486">
        <f t="shared" ca="1" si="230"/>
        <v>0</v>
      </c>
      <c r="CD92" s="1486">
        <f t="shared" ca="1" si="230"/>
        <v>0</v>
      </c>
      <c r="CE92" s="1486">
        <f t="shared" ca="1" si="230"/>
        <v>0</v>
      </c>
      <c r="CF92" s="1486">
        <f t="shared" ca="1" si="230"/>
        <v>0</v>
      </c>
      <c r="CG92" s="1486">
        <f t="shared" ca="1" si="230"/>
        <v>0</v>
      </c>
      <c r="CH92" s="1486">
        <f t="shared" ca="1" si="230"/>
        <v>0</v>
      </c>
      <c r="CI92" s="1486">
        <f t="shared" ca="1" si="231"/>
        <v>0</v>
      </c>
      <c r="CJ92" s="1486">
        <f t="shared" ca="1" si="231"/>
        <v>0</v>
      </c>
      <c r="CK92" s="1486">
        <f t="shared" ca="1" si="231"/>
        <v>0</v>
      </c>
      <c r="CL92" s="1486">
        <f t="shared" ca="1" si="231"/>
        <v>0</v>
      </c>
      <c r="CM92" s="1486">
        <f t="shared" ca="1" si="231"/>
        <v>0</v>
      </c>
      <c r="CN92" s="1486">
        <f t="shared" ca="1" si="231"/>
        <v>0</v>
      </c>
      <c r="CO92" s="1486">
        <f t="shared" ca="1" si="231"/>
        <v>0</v>
      </c>
      <c r="CP92" s="1486">
        <f t="shared" ca="1" si="231"/>
        <v>0</v>
      </c>
      <c r="CQ92" s="1486">
        <f t="shared" ca="1" si="231"/>
        <v>0</v>
      </c>
      <c r="CR92" s="1486">
        <f t="shared" ca="1" si="231"/>
        <v>0</v>
      </c>
      <c r="CS92" s="1486">
        <f t="shared" ca="1" si="232"/>
        <v>0</v>
      </c>
      <c r="CT92" s="1486">
        <f t="shared" ca="1" si="232"/>
        <v>0</v>
      </c>
      <c r="CU92" s="1486">
        <f t="shared" ca="1" si="232"/>
        <v>0</v>
      </c>
      <c r="CV92" s="1486">
        <f t="shared" ca="1" si="232"/>
        <v>0</v>
      </c>
      <c r="CW92" s="1486">
        <f t="shared" ca="1" si="232"/>
        <v>0</v>
      </c>
      <c r="CX92" s="1486">
        <f t="shared" ca="1" si="232"/>
        <v>0</v>
      </c>
      <c r="CY92" s="1486">
        <f t="shared" ca="1" si="232"/>
        <v>0</v>
      </c>
      <c r="CZ92" s="1486">
        <f t="shared" ca="1" si="232"/>
        <v>0</v>
      </c>
      <c r="DA92" s="1486">
        <f t="shared" ca="1" si="232"/>
        <v>0</v>
      </c>
      <c r="DB92" s="1486">
        <f t="shared" ca="1" si="232"/>
        <v>0</v>
      </c>
      <c r="DC92" s="1486">
        <f t="shared" ca="1" si="232"/>
        <v>0</v>
      </c>
      <c r="DD92" s="1486">
        <f t="shared" ca="1" si="232"/>
        <v>0</v>
      </c>
      <c r="DE92" s="1486">
        <f t="shared" ca="1" si="232"/>
        <v>0</v>
      </c>
      <c r="DF92" s="1486">
        <f t="shared" ca="1" si="232"/>
        <v>0</v>
      </c>
      <c r="DH92" s="838"/>
    </row>
    <row r="93" spans="1:112" s="22" customFormat="1" ht="12.75" customHeight="1" collapsed="1">
      <c r="B93" s="753"/>
      <c r="C93" s="744" t="s">
        <v>673</v>
      </c>
      <c r="D93" s="517" t="str">
        <f>INDEX(Workstreams[Workstream], MATCH($C93, Workstreams[Code], 0))</f>
        <v>Electricity distribution, storage, and balancing</v>
      </c>
      <c r="E93" s="512"/>
      <c r="F93" s="743"/>
      <c r="G93" s="958">
        <f t="shared" ref="G93:P93" ca="1" si="233">G$89+G$91+G$92</f>
        <v>0</v>
      </c>
      <c r="H93" s="958">
        <f t="shared" ca="1" si="233"/>
        <v>0</v>
      </c>
      <c r="I93" s="958">
        <f t="shared" ca="1" si="233"/>
        <v>0</v>
      </c>
      <c r="J93" s="958">
        <f t="shared" ca="1" si="233"/>
        <v>0</v>
      </c>
      <c r="K93" s="960">
        <f t="shared" ca="1" si="233"/>
        <v>0</v>
      </c>
      <c r="L93" s="958">
        <f t="shared" ca="1" si="233"/>
        <v>0</v>
      </c>
      <c r="M93" s="958">
        <f t="shared" ca="1" si="233"/>
        <v>0</v>
      </c>
      <c r="N93" s="958">
        <f t="shared" ca="1" si="233"/>
        <v>0</v>
      </c>
      <c r="O93" s="958">
        <f t="shared" ca="1" si="233"/>
        <v>0</v>
      </c>
      <c r="P93" s="958">
        <f t="shared" ca="1" si="233"/>
        <v>0</v>
      </c>
      <c r="Q93" s="1021">
        <f ca="1">SUM(G93:P93)</f>
        <v>0</v>
      </c>
      <c r="R93" s="743"/>
      <c r="S93" s="970">
        <f t="shared" ref="S93:AJ93" ca="1" si="234">S$89+S$91+S$92</f>
        <v>0</v>
      </c>
      <c r="T93" s="970">
        <f t="shared" ca="1" si="234"/>
        <v>-22.595457389635897</v>
      </c>
      <c r="U93" s="970">
        <f t="shared" ca="1" si="234"/>
        <v>0</v>
      </c>
      <c r="V93" s="970">
        <f t="shared" ca="1" si="234"/>
        <v>0</v>
      </c>
      <c r="W93" s="970">
        <f t="shared" ca="1" si="234"/>
        <v>0</v>
      </c>
      <c r="X93" s="970">
        <f ca="1">X$89+X$91+X$92</f>
        <v>0</v>
      </c>
      <c r="Y93" s="970">
        <f ca="1">Y$89+Y$91+Y$92</f>
        <v>0</v>
      </c>
      <c r="Z93" s="970">
        <f ca="1">Z$89+Z$91+Z$92</f>
        <v>0</v>
      </c>
      <c r="AA93" s="970">
        <f t="shared" ca="1" si="234"/>
        <v>0</v>
      </c>
      <c r="AB93" s="970">
        <f t="shared" ca="1" si="234"/>
        <v>0</v>
      </c>
      <c r="AC93" s="970">
        <f t="shared" ca="1" si="234"/>
        <v>0</v>
      </c>
      <c r="AD93" s="970">
        <f t="shared" ca="1" si="234"/>
        <v>0</v>
      </c>
      <c r="AE93" s="970">
        <f t="shared" ca="1" si="234"/>
        <v>0</v>
      </c>
      <c r="AF93" s="970">
        <f t="shared" ca="1" si="234"/>
        <v>0</v>
      </c>
      <c r="AG93" s="970">
        <f t="shared" ca="1" si="234"/>
        <v>0</v>
      </c>
      <c r="AH93" s="970">
        <f t="shared" ca="1" si="234"/>
        <v>0</v>
      </c>
      <c r="AI93" s="970">
        <f t="shared" ca="1" si="234"/>
        <v>0</v>
      </c>
      <c r="AJ93" s="970">
        <f t="shared" ca="1" si="234"/>
        <v>0</v>
      </c>
      <c r="AK93" s="970">
        <f ca="1">SUM(S93:AJ93)</f>
        <v>-22.595457389635897</v>
      </c>
      <c r="AL93" s="743"/>
      <c r="AM93" s="976">
        <f t="shared" ref="AM93:AU93" ca="1" si="235">AM$89+AM$91+AM$92</f>
        <v>0</v>
      </c>
      <c r="AN93" s="976">
        <f t="shared" ca="1" si="235"/>
        <v>0</v>
      </c>
      <c r="AO93" s="976">
        <f t="shared" ca="1" si="235"/>
        <v>0</v>
      </c>
      <c r="AP93" s="976">
        <f t="shared" ca="1" si="235"/>
        <v>0</v>
      </c>
      <c r="AQ93" s="976">
        <f t="shared" ca="1" si="235"/>
        <v>-5.2145242500000002</v>
      </c>
      <c r="AR93" s="976">
        <f t="shared" ca="1" si="235"/>
        <v>0</v>
      </c>
      <c r="AS93" s="976">
        <f t="shared" ca="1" si="235"/>
        <v>0</v>
      </c>
      <c r="AT93" s="976">
        <f t="shared" ca="1" si="235"/>
        <v>0</v>
      </c>
      <c r="AU93" s="976">
        <f t="shared" ca="1" si="235"/>
        <v>0</v>
      </c>
      <c r="AV93" s="976">
        <f t="shared" ref="AV93:BE93" ca="1" si="236">AV$89+AV$91+AV$92</f>
        <v>0</v>
      </c>
      <c r="AW93" s="976">
        <f t="shared" ca="1" si="236"/>
        <v>0</v>
      </c>
      <c r="AX93" s="976">
        <f t="shared" ca="1" si="236"/>
        <v>0</v>
      </c>
      <c r="AY93" s="976">
        <f t="shared" ca="1" si="236"/>
        <v>0</v>
      </c>
      <c r="AZ93" s="976">
        <f t="shared" ca="1" si="236"/>
        <v>0</v>
      </c>
      <c r="BA93" s="976">
        <f t="shared" ca="1" si="236"/>
        <v>0</v>
      </c>
      <c r="BB93" s="976">
        <f t="shared" ca="1" si="236"/>
        <v>0</v>
      </c>
      <c r="BC93" s="976">
        <f t="shared" ca="1" si="236"/>
        <v>0</v>
      </c>
      <c r="BD93" s="976">
        <f t="shared" ca="1" si="236"/>
        <v>0</v>
      </c>
      <c r="BE93" s="976">
        <f t="shared" ca="1" si="236"/>
        <v>0</v>
      </c>
      <c r="BF93" s="976">
        <f ca="1">SUM(AM93:BE93)</f>
        <v>-5.2145242500000002</v>
      </c>
      <c r="BG93" s="743"/>
      <c r="BH93" s="990">
        <f ca="1">BH$89+BH$91+BH$92</f>
        <v>1.2254999999999996</v>
      </c>
      <c r="BI93" s="990">
        <f ca="1">BI$89+BI$91+BI$92</f>
        <v>26.584481639635886</v>
      </c>
      <c r="BJ93" s="990">
        <f ca="1">SUM(BH93:BI93)</f>
        <v>27.809981639635886</v>
      </c>
      <c r="BK93" s="743"/>
      <c r="BL93" s="515">
        <f t="shared" ca="1" si="222"/>
        <v>0</v>
      </c>
      <c r="BM93" s="515"/>
      <c r="BN93" s="840"/>
      <c r="BO93" s="1482">
        <f t="shared" ref="BO93:DF93" ca="1" si="237">BO$89+BO$91+BO$92</f>
        <v>0</v>
      </c>
      <c r="BP93" s="1482">
        <f t="shared" ca="1" si="237"/>
        <v>0</v>
      </c>
      <c r="BQ93" s="1482">
        <f t="shared" ca="1" si="237"/>
        <v>0</v>
      </c>
      <c r="BR93" s="1482">
        <f t="shared" ca="1" si="237"/>
        <v>0</v>
      </c>
      <c r="BS93" s="1482">
        <f t="shared" ca="1" si="237"/>
        <v>0</v>
      </c>
      <c r="BT93" s="1482">
        <f t="shared" ca="1" si="237"/>
        <v>0</v>
      </c>
      <c r="BU93" s="1482">
        <f t="shared" ca="1" si="237"/>
        <v>0</v>
      </c>
      <c r="BV93" s="1482">
        <f t="shared" ca="1" si="237"/>
        <v>0</v>
      </c>
      <c r="BW93" s="1482">
        <f t="shared" ca="1" si="237"/>
        <v>0</v>
      </c>
      <c r="BX93" s="1482">
        <f t="shared" ca="1" si="237"/>
        <v>0</v>
      </c>
      <c r="BY93" s="1482">
        <f t="shared" ca="1" si="237"/>
        <v>0</v>
      </c>
      <c r="BZ93" s="1482">
        <f t="shared" ca="1" si="237"/>
        <v>0</v>
      </c>
      <c r="CA93" s="1482">
        <f t="shared" ca="1" si="237"/>
        <v>0</v>
      </c>
      <c r="CB93" s="1482">
        <f t="shared" ca="1" si="237"/>
        <v>0</v>
      </c>
      <c r="CC93" s="1482">
        <f t="shared" ca="1" si="237"/>
        <v>0</v>
      </c>
      <c r="CD93" s="1482">
        <f t="shared" ca="1" si="237"/>
        <v>0</v>
      </c>
      <c r="CE93" s="1482">
        <f t="shared" ca="1" si="237"/>
        <v>0</v>
      </c>
      <c r="CF93" s="1482">
        <f t="shared" ca="1" si="237"/>
        <v>0</v>
      </c>
      <c r="CG93" s="1482">
        <f t="shared" ca="1" si="237"/>
        <v>0</v>
      </c>
      <c r="CH93" s="1482">
        <f t="shared" ca="1" si="237"/>
        <v>0</v>
      </c>
      <c r="CI93" s="1482">
        <f t="shared" ca="1" si="237"/>
        <v>0</v>
      </c>
      <c r="CJ93" s="1482">
        <f t="shared" ca="1" si="237"/>
        <v>0</v>
      </c>
      <c r="CK93" s="1482">
        <f t="shared" ca="1" si="237"/>
        <v>0</v>
      </c>
      <c r="CL93" s="1482">
        <f t="shared" ca="1" si="237"/>
        <v>0</v>
      </c>
      <c r="CM93" s="1482">
        <f t="shared" ca="1" si="237"/>
        <v>0</v>
      </c>
      <c r="CN93" s="1482">
        <f t="shared" ca="1" si="237"/>
        <v>0</v>
      </c>
      <c r="CO93" s="1482">
        <f t="shared" ca="1" si="237"/>
        <v>0</v>
      </c>
      <c r="CP93" s="1482">
        <f t="shared" ca="1" si="237"/>
        <v>0</v>
      </c>
      <c r="CQ93" s="1482">
        <f t="shared" ca="1" si="237"/>
        <v>0</v>
      </c>
      <c r="CR93" s="1482">
        <f t="shared" ca="1" si="237"/>
        <v>0</v>
      </c>
      <c r="CS93" s="1482">
        <f t="shared" ca="1" si="237"/>
        <v>0</v>
      </c>
      <c r="CT93" s="1482">
        <f t="shared" ca="1" si="237"/>
        <v>0</v>
      </c>
      <c r="CU93" s="1482">
        <f t="shared" ca="1" si="237"/>
        <v>0</v>
      </c>
      <c r="CV93" s="1482">
        <f t="shared" ca="1" si="237"/>
        <v>0</v>
      </c>
      <c r="CW93" s="1482">
        <f t="shared" ca="1" si="237"/>
        <v>0</v>
      </c>
      <c r="CX93" s="1482">
        <f t="shared" ca="1" si="237"/>
        <v>0</v>
      </c>
      <c r="CY93" s="1482">
        <f t="shared" ca="1" si="237"/>
        <v>0</v>
      </c>
      <c r="CZ93" s="1482">
        <f t="shared" ca="1" si="237"/>
        <v>0</v>
      </c>
      <c r="DA93" s="1482">
        <f t="shared" ca="1" si="237"/>
        <v>0</v>
      </c>
      <c r="DB93" s="1482">
        <f t="shared" ca="1" si="237"/>
        <v>0</v>
      </c>
      <c r="DC93" s="1482">
        <f t="shared" ca="1" si="237"/>
        <v>0</v>
      </c>
      <c r="DD93" s="1482">
        <f t="shared" ca="1" si="237"/>
        <v>0</v>
      </c>
      <c r="DE93" s="1482">
        <f t="shared" ca="1" si="237"/>
        <v>0</v>
      </c>
      <c r="DF93" s="1482">
        <f t="shared" ca="1" si="237"/>
        <v>0</v>
      </c>
      <c r="DH93" s="838">
        <f t="shared" ref="DH93:DH104" ca="1" si="238">SUM(BO93:DF93)</f>
        <v>0</v>
      </c>
    </row>
    <row r="94" spans="1:112" s="743" customFormat="1" ht="12.75" hidden="1" customHeight="1" outlineLevel="1">
      <c r="A94" s="22"/>
      <c r="B94" s="22"/>
      <c r="C94" s="751"/>
      <c r="D94" s="512"/>
      <c r="E94" s="512"/>
      <c r="G94" s="958"/>
      <c r="H94" s="958"/>
      <c r="I94" s="958"/>
      <c r="J94" s="958"/>
      <c r="K94" s="960"/>
      <c r="L94" s="958"/>
      <c r="M94" s="958"/>
      <c r="N94" s="958"/>
      <c r="O94" s="958"/>
      <c r="P94" s="958"/>
      <c r="Q94" s="958"/>
      <c r="S94" s="970"/>
      <c r="T94" s="970"/>
      <c r="U94" s="970"/>
      <c r="V94" s="970"/>
      <c r="W94" s="970"/>
      <c r="X94" s="970"/>
      <c r="Y94" s="970"/>
      <c r="Z94" s="970"/>
      <c r="AA94" s="970"/>
      <c r="AB94" s="970"/>
      <c r="AC94" s="970"/>
      <c r="AD94" s="970"/>
      <c r="AE94" s="970"/>
      <c r="AF94" s="970"/>
      <c r="AG94" s="970"/>
      <c r="AH94" s="970"/>
      <c r="AI94" s="970"/>
      <c r="AJ94" s="970"/>
      <c r="AK94" s="970"/>
      <c r="AM94" s="976"/>
      <c r="AN94" s="976"/>
      <c r="AO94" s="976"/>
      <c r="AP94" s="976"/>
      <c r="AQ94" s="976"/>
      <c r="AR94" s="976"/>
      <c r="AS94" s="976"/>
      <c r="AT94" s="976"/>
      <c r="AU94" s="976"/>
      <c r="AV94" s="976"/>
      <c r="AW94" s="976"/>
      <c r="AX94" s="976"/>
      <c r="AY94" s="976"/>
      <c r="AZ94" s="976"/>
      <c r="BA94" s="976"/>
      <c r="BB94" s="976"/>
      <c r="BC94" s="976"/>
      <c r="BD94" s="976"/>
      <c r="BE94" s="976"/>
      <c r="BF94" s="976"/>
      <c r="BH94" s="990"/>
      <c r="BI94" s="990"/>
      <c r="BJ94" s="990"/>
      <c r="BL94" s="515">
        <f t="shared" si="222"/>
        <v>0</v>
      </c>
      <c r="BM94" s="515"/>
      <c r="BN94" s="840"/>
      <c r="BO94" s="1482"/>
      <c r="BP94" s="1482"/>
      <c r="BQ94" s="1482"/>
      <c r="BR94" s="1482"/>
      <c r="BS94" s="1482"/>
      <c r="BT94" s="1482"/>
      <c r="BU94" s="1482"/>
      <c r="BV94" s="1482"/>
      <c r="BW94" s="1482"/>
      <c r="BX94" s="1482"/>
      <c r="BY94" s="1482"/>
      <c r="BZ94" s="1482"/>
      <c r="CA94" s="1482"/>
      <c r="CB94" s="1482"/>
      <c r="CC94" s="1482"/>
      <c r="CD94" s="1482"/>
      <c r="CE94" s="1482"/>
      <c r="CF94" s="1482"/>
      <c r="CG94" s="1482"/>
      <c r="CH94" s="1482"/>
      <c r="CI94" s="1482"/>
      <c r="CJ94" s="1482"/>
      <c r="CK94" s="1482"/>
      <c r="CL94" s="1482"/>
      <c r="CM94" s="1482"/>
      <c r="CN94" s="1482"/>
      <c r="CO94" s="1482"/>
      <c r="CP94" s="1482"/>
      <c r="CQ94" s="1482"/>
      <c r="CR94" s="1482"/>
      <c r="CS94" s="1482"/>
      <c r="CT94" s="1482"/>
      <c r="CU94" s="1482"/>
      <c r="CV94" s="1482"/>
      <c r="CW94" s="1482"/>
      <c r="CX94" s="1482"/>
      <c r="CY94" s="1482"/>
      <c r="CZ94" s="1482"/>
      <c r="DA94" s="1482"/>
      <c r="DB94" s="1482"/>
      <c r="DC94" s="1482"/>
      <c r="DD94" s="1482"/>
      <c r="DE94" s="1482"/>
      <c r="DF94" s="1482"/>
      <c r="DH94" s="838">
        <f t="shared" si="238"/>
        <v>0</v>
      </c>
    </row>
    <row r="95" spans="1:112" s="1491" customFormat="1" ht="12.75" hidden="1" customHeight="1" outlineLevel="1">
      <c r="C95" s="1534" t="s">
        <v>1723</v>
      </c>
      <c r="D95" s="1535" t="s">
        <v>1665</v>
      </c>
      <c r="E95" s="1535"/>
      <c r="G95" s="1070"/>
      <c r="H95" s="1070"/>
      <c r="I95" s="1070"/>
      <c r="J95" s="1070"/>
      <c r="K95" s="1071"/>
      <c r="L95" s="1070"/>
      <c r="M95" s="1070"/>
      <c r="N95" s="1070"/>
      <c r="O95" s="1070"/>
      <c r="P95" s="1070"/>
      <c r="Q95" s="1070"/>
      <c r="S95" s="1072"/>
      <c r="T95" s="1072"/>
      <c r="U95" s="1072">
        <f ca="1">(U$40+U$84+U$93)</f>
        <v>-442.86489976108777</v>
      </c>
      <c r="V95" s="1072">
        <f ca="1">(V$40+V$84+V$93)</f>
        <v>-880.010639206463</v>
      </c>
      <c r="W95" s="1072">
        <f ca="1">(W$40+W$84+W$93)</f>
        <v>-1018.9565773566303</v>
      </c>
      <c r="X95" s="1072"/>
      <c r="Y95" s="1072"/>
      <c r="Z95" s="1072"/>
      <c r="AA95" s="1072"/>
      <c r="AB95" s="1072"/>
      <c r="AC95" s="1072">
        <f t="shared" ref="AC95:AH95" ca="1" si="239">(AC$40+AC$84+AC$93)</f>
        <v>0</v>
      </c>
      <c r="AD95" s="1072">
        <f t="shared" ca="1" si="239"/>
        <v>0.82222222222222219</v>
      </c>
      <c r="AE95" s="1072">
        <f t="shared" ca="1" si="239"/>
        <v>4.0593000000000004</v>
      </c>
      <c r="AF95" s="1072">
        <f t="shared" ca="1" si="239"/>
        <v>12.81861433503159</v>
      </c>
      <c r="AG95" s="1072">
        <f t="shared" ca="1" si="239"/>
        <v>4.9610477000000008</v>
      </c>
      <c r="AH95" s="1072">
        <f t="shared" ca="1" si="239"/>
        <v>18.283196551267896</v>
      </c>
      <c r="AI95" s="1072"/>
      <c r="AJ95" s="1072"/>
      <c r="AK95" s="1072"/>
      <c r="AM95" s="1073"/>
      <c r="AN95" s="1073"/>
      <c r="AO95" s="1073"/>
      <c r="AP95" s="1073"/>
      <c r="AQ95" s="1073"/>
      <c r="AR95" s="1073"/>
      <c r="AS95" s="1073"/>
      <c r="AT95" s="1073"/>
      <c r="AU95" s="1073"/>
      <c r="AV95" s="1073"/>
      <c r="AW95" s="1073"/>
      <c r="AX95" s="1073"/>
      <c r="AY95" s="1073"/>
      <c r="AZ95" s="1073"/>
      <c r="BA95" s="1073"/>
      <c r="BB95" s="1073"/>
      <c r="BC95" s="1073"/>
      <c r="BD95" s="1073"/>
      <c r="BE95" s="1073">
        <f ca="1">BE40+BE46+BE51</f>
        <v>-62.066785908534214</v>
      </c>
      <c r="BF95" s="1073">
        <f ca="1">SUM(AM95:BE95)</f>
        <v>-62.066785908534214</v>
      </c>
      <c r="BH95" s="1074"/>
      <c r="BI95" s="1074"/>
      <c r="BJ95" s="1074"/>
      <c r="BL95" s="1536"/>
      <c r="BM95" s="1536"/>
      <c r="BN95" s="1537"/>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8"/>
      <c r="CP95" s="1538"/>
      <c r="CQ95" s="1538"/>
      <c r="CR95" s="1538"/>
      <c r="CS95" s="1538"/>
      <c r="CT95" s="1538"/>
      <c r="CU95" s="1538"/>
      <c r="CV95" s="1538"/>
      <c r="CW95" s="1538"/>
      <c r="CX95" s="1538"/>
      <c r="CY95" s="1538"/>
      <c r="CZ95" s="1538"/>
      <c r="DA95" s="1538"/>
      <c r="DB95" s="1538"/>
      <c r="DC95" s="1538"/>
      <c r="DD95" s="1538"/>
      <c r="DE95" s="1538"/>
      <c r="DF95" s="1538"/>
      <c r="DH95" s="1537">
        <f t="shared" si="238"/>
        <v>0</v>
      </c>
    </row>
    <row r="96" spans="1:112" s="1957" customFormat="1" ht="12.75" hidden="1" customHeight="1" outlineLevel="1">
      <c r="A96" s="1954"/>
      <c r="B96" s="1954"/>
      <c r="C96" s="1955" t="s">
        <v>963</v>
      </c>
      <c r="D96" s="1956" t="str">
        <f>INDEX(Modules[Module], MATCH($C96, Modules[Code], 0))</f>
        <v>Biomatter to fuel conversion</v>
      </c>
      <c r="E96" s="1956"/>
      <c r="G96" s="1061">
        <f t="shared" ref="G96:P96" ca="1" si="240">IFERROR(INDEX(INDIRECT($C96&amp;".Outputs["&amp;this.Year&amp;"]"), MATCH(G$5, INDIRECT($C96&amp;".Outputs[Vector]"), 0)), 0)</f>
        <v>0</v>
      </c>
      <c r="H96" s="1061">
        <f t="shared" ca="1" si="240"/>
        <v>0</v>
      </c>
      <c r="I96" s="1061">
        <f t="shared" ca="1" si="240"/>
        <v>0</v>
      </c>
      <c r="J96" s="1061">
        <f t="shared" ca="1" si="240"/>
        <v>0</v>
      </c>
      <c r="K96" s="1061">
        <f t="shared" ca="1" si="240"/>
        <v>0</v>
      </c>
      <c r="L96" s="1061">
        <f t="shared" ca="1" si="240"/>
        <v>0</v>
      </c>
      <c r="M96" s="1061">
        <f t="shared" ca="1" si="240"/>
        <v>0</v>
      </c>
      <c r="N96" s="1061">
        <f t="shared" ca="1" si="240"/>
        <v>0</v>
      </c>
      <c r="O96" s="1061">
        <f t="shared" ca="1" si="240"/>
        <v>0</v>
      </c>
      <c r="P96" s="1061">
        <f t="shared" ca="1" si="240"/>
        <v>0</v>
      </c>
      <c r="Q96" s="1062">
        <f ca="1">SUM(G96:P96)</f>
        <v>0</v>
      </c>
      <c r="S96" s="1063">
        <f t="shared" ref="S96:AJ96" ca="1" si="241">IFERROR(INDEX(INDIRECT($C96&amp;".Outputs["&amp;this.Year&amp;"]"), MATCH(S$5, INDIRECT($C96&amp;".Outputs[Vector]"), 0)), 0)</f>
        <v>0</v>
      </c>
      <c r="T96" s="1063">
        <f t="shared" ca="1" si="241"/>
        <v>0</v>
      </c>
      <c r="U96" s="1063">
        <f t="shared" ca="1" si="241"/>
        <v>11.536752901528432</v>
      </c>
      <c r="V96" s="1063">
        <f t="shared" ca="1" si="241"/>
        <v>1.7846052222222224</v>
      </c>
      <c r="W96" s="1063">
        <f t="shared" ca="1" si="241"/>
        <v>22.252034711267896</v>
      </c>
      <c r="X96" s="1063">
        <f t="shared" ca="1" si="241"/>
        <v>0</v>
      </c>
      <c r="Y96" s="1063">
        <f t="shared" ca="1" si="241"/>
        <v>0</v>
      </c>
      <c r="Z96" s="1063">
        <f t="shared" ca="1" si="241"/>
        <v>0</v>
      </c>
      <c r="AA96" s="1063">
        <f t="shared" ca="1" si="241"/>
        <v>0</v>
      </c>
      <c r="AB96" s="1063">
        <f t="shared" ca="1" si="241"/>
        <v>0</v>
      </c>
      <c r="AC96" s="1063">
        <f t="shared" ca="1" si="241"/>
        <v>0</v>
      </c>
      <c r="AD96" s="1063">
        <f t="shared" ca="1" si="241"/>
        <v>-0.82222222222222219</v>
      </c>
      <c r="AE96" s="1063">
        <f t="shared" ca="1" si="241"/>
        <v>-4.0593000000000004</v>
      </c>
      <c r="AF96" s="1063">
        <f t="shared" ca="1" si="241"/>
        <v>-12.81861433503159</v>
      </c>
      <c r="AG96" s="1063">
        <f t="shared" ca="1" si="241"/>
        <v>-4.9610477000000008</v>
      </c>
      <c r="AH96" s="1063">
        <f t="shared" ca="1" si="241"/>
        <v>-18.283196551267896</v>
      </c>
      <c r="AI96" s="1063">
        <f t="shared" ca="1" si="241"/>
        <v>0</v>
      </c>
      <c r="AJ96" s="1063">
        <f t="shared" ca="1" si="241"/>
        <v>0</v>
      </c>
      <c r="AK96" s="1064">
        <f ca="1">SUM(S96:AJ96)</f>
        <v>-5.3709879735031585</v>
      </c>
      <c r="AM96" s="1065">
        <f t="shared" ref="AM96:BE96" ca="1" si="242">IFERROR(INDEX(INDIRECT($C96&amp;".Outputs["&amp;this.Year&amp;"]"), MATCH(AM$5, INDIRECT($C96&amp;".Outputs[Vector]"), 0)), 0)</f>
        <v>0</v>
      </c>
      <c r="AN96" s="1065">
        <f t="shared" ca="1" si="242"/>
        <v>0</v>
      </c>
      <c r="AO96" s="1065">
        <f t="shared" ca="1" si="242"/>
        <v>0</v>
      </c>
      <c r="AP96" s="1065">
        <f t="shared" ca="1" si="242"/>
        <v>0</v>
      </c>
      <c r="AQ96" s="1065">
        <f t="shared" ca="1" si="242"/>
        <v>0</v>
      </c>
      <c r="AR96" s="1065">
        <f t="shared" ca="1" si="242"/>
        <v>0</v>
      </c>
      <c r="AS96" s="1065">
        <f t="shared" ca="1" si="242"/>
        <v>0</v>
      </c>
      <c r="AT96" s="1065">
        <f t="shared" ca="1" si="242"/>
        <v>0</v>
      </c>
      <c r="AU96" s="1065">
        <f t="shared" ca="1" si="242"/>
        <v>0</v>
      </c>
      <c r="AV96" s="1065">
        <f t="shared" ca="1" si="242"/>
        <v>0</v>
      </c>
      <c r="AW96" s="1065">
        <f t="shared" ca="1" si="242"/>
        <v>0</v>
      </c>
      <c r="AX96" s="1065">
        <f t="shared" ca="1" si="242"/>
        <v>0</v>
      </c>
      <c r="AY96" s="1065">
        <f t="shared" ca="1" si="242"/>
        <v>0</v>
      </c>
      <c r="AZ96" s="1065">
        <f t="shared" ca="1" si="242"/>
        <v>0</v>
      </c>
      <c r="BA96" s="1065">
        <f t="shared" ca="1" si="242"/>
        <v>0</v>
      </c>
      <c r="BB96" s="1065">
        <f t="shared" ca="1" si="242"/>
        <v>0</v>
      </c>
      <c r="BC96" s="1065">
        <f t="shared" ca="1" si="242"/>
        <v>0</v>
      </c>
      <c r="BD96" s="1065">
        <f t="shared" ca="1" si="242"/>
        <v>0</v>
      </c>
      <c r="BE96" s="1065">
        <f t="shared" ca="1" si="242"/>
        <v>0</v>
      </c>
      <c r="BF96" s="1066">
        <f ca="1">SUM(AM96:BE96)</f>
        <v>0</v>
      </c>
      <c r="BH96" s="1067">
        <f ca="1">IFERROR(INDEX(INDIRECT($C96&amp;".Outputs["&amp;this.Year&amp;"]"), MATCH(BH$5, INDIRECT($C96&amp;".Outputs[Vector]"), 0)), 0)</f>
        <v>5.3709879735031549</v>
      </c>
      <c r="BI96" s="1067">
        <f ca="1">IFERROR(INDEX(INDIRECT($C96&amp;".Outputs["&amp;this.Year&amp;"]"), MATCH(BI$5, INDIRECT($C96&amp;".Outputs[Vector]"), 0)), 0)</f>
        <v>0</v>
      </c>
      <c r="BJ96" s="1068">
        <f ca="1">SUM(BH96:BI96)</f>
        <v>5.3709879735031549</v>
      </c>
      <c r="BL96" s="1958">
        <f ca="1">Q96+AK96+BF96+BJ96</f>
        <v>0</v>
      </c>
      <c r="BM96" s="1958"/>
      <c r="BN96" s="1959"/>
      <c r="BO96" s="1960">
        <f t="shared" ref="BO96:DF96" ca="1" si="243">IFERROR(SUMIFS(INDIRECT($C96&amp;".Emissions["&amp;this.Year&amp;"]"), INDIRECT($C96&amp;".Emissions[GHG]"), BO$6, INDIRECT($C96&amp;".Emissions[IPCC Sector]"), BO$5),0)</f>
        <v>0</v>
      </c>
      <c r="BP96" s="1961">
        <f t="shared" ca="1" si="243"/>
        <v>0</v>
      </c>
      <c r="BQ96" s="1961">
        <f t="shared" ca="1" si="243"/>
        <v>0</v>
      </c>
      <c r="BR96" s="1961">
        <f t="shared" ca="1" si="243"/>
        <v>0</v>
      </c>
      <c r="BS96" s="1961">
        <f t="shared" ca="1" si="243"/>
        <v>0</v>
      </c>
      <c r="BT96" s="1961">
        <f t="shared" ca="1" si="243"/>
        <v>0</v>
      </c>
      <c r="BU96" s="1961">
        <f t="shared" ca="1" si="243"/>
        <v>0</v>
      </c>
      <c r="BV96" s="1961">
        <f t="shared" ca="1" si="243"/>
        <v>0</v>
      </c>
      <c r="BW96" s="1961">
        <f t="shared" ca="1" si="243"/>
        <v>0</v>
      </c>
      <c r="BX96" s="1961">
        <f t="shared" ca="1" si="243"/>
        <v>0</v>
      </c>
      <c r="BY96" s="1961">
        <f t="shared" ca="1" si="243"/>
        <v>0</v>
      </c>
      <c r="BZ96" s="1961">
        <f t="shared" ca="1" si="243"/>
        <v>0</v>
      </c>
      <c r="CA96" s="1961">
        <f t="shared" ca="1" si="243"/>
        <v>0</v>
      </c>
      <c r="CB96" s="1961">
        <f t="shared" ca="1" si="243"/>
        <v>0</v>
      </c>
      <c r="CC96" s="1961">
        <f t="shared" ca="1" si="243"/>
        <v>0</v>
      </c>
      <c r="CD96" s="1961">
        <f t="shared" ca="1" si="243"/>
        <v>0</v>
      </c>
      <c r="CE96" s="1961">
        <f t="shared" ca="1" si="243"/>
        <v>0</v>
      </c>
      <c r="CF96" s="1961">
        <f t="shared" ca="1" si="243"/>
        <v>0</v>
      </c>
      <c r="CG96" s="1961">
        <f t="shared" ca="1" si="243"/>
        <v>0</v>
      </c>
      <c r="CH96" s="1961">
        <f t="shared" ca="1" si="243"/>
        <v>0</v>
      </c>
      <c r="CI96" s="1961">
        <f t="shared" ca="1" si="243"/>
        <v>0</v>
      </c>
      <c r="CJ96" s="1961">
        <f t="shared" ca="1" si="243"/>
        <v>0</v>
      </c>
      <c r="CK96" s="1961">
        <f t="shared" ca="1" si="243"/>
        <v>0</v>
      </c>
      <c r="CL96" s="1961">
        <f t="shared" ca="1" si="243"/>
        <v>0</v>
      </c>
      <c r="CM96" s="1961">
        <f t="shared" ca="1" si="243"/>
        <v>0</v>
      </c>
      <c r="CN96" s="1961">
        <f t="shared" ca="1" si="243"/>
        <v>0</v>
      </c>
      <c r="CO96" s="1961">
        <f t="shared" ca="1" si="243"/>
        <v>0</v>
      </c>
      <c r="CP96" s="1961">
        <f t="shared" ca="1" si="243"/>
        <v>0</v>
      </c>
      <c r="CQ96" s="1961">
        <f t="shared" ca="1" si="243"/>
        <v>0</v>
      </c>
      <c r="CR96" s="1961">
        <f t="shared" ca="1" si="243"/>
        <v>0</v>
      </c>
      <c r="CS96" s="1961">
        <f t="shared" ca="1" si="243"/>
        <v>0</v>
      </c>
      <c r="CT96" s="1961">
        <f t="shared" ca="1" si="243"/>
        <v>0</v>
      </c>
      <c r="CU96" s="1961">
        <f t="shared" ca="1" si="243"/>
        <v>0</v>
      </c>
      <c r="CV96" s="1961">
        <f t="shared" ca="1" si="243"/>
        <v>0</v>
      </c>
      <c r="CW96" s="1961">
        <f t="shared" ca="1" si="243"/>
        <v>0</v>
      </c>
      <c r="CX96" s="1961">
        <f t="shared" ca="1" si="243"/>
        <v>0</v>
      </c>
      <c r="CY96" s="1961">
        <f t="shared" ca="1" si="243"/>
        <v>-8.0938455860996044</v>
      </c>
      <c r="CZ96" s="1961">
        <f t="shared" ca="1" si="243"/>
        <v>0</v>
      </c>
      <c r="DA96" s="1961">
        <f t="shared" ca="1" si="243"/>
        <v>0</v>
      </c>
      <c r="DB96" s="1961">
        <f t="shared" ca="1" si="243"/>
        <v>0</v>
      </c>
      <c r="DC96" s="1961">
        <f t="shared" ca="1" si="243"/>
        <v>0</v>
      </c>
      <c r="DD96" s="1961">
        <f t="shared" ca="1" si="243"/>
        <v>0</v>
      </c>
      <c r="DE96" s="1961">
        <f t="shared" ca="1" si="243"/>
        <v>0</v>
      </c>
      <c r="DF96" s="1961">
        <f t="shared" ca="1" si="243"/>
        <v>0</v>
      </c>
      <c r="DH96" s="1962">
        <f t="shared" ca="1" si="238"/>
        <v>-8.0938455860996044</v>
      </c>
    </row>
    <row r="97" spans="1:112" s="1491" customFormat="1" ht="12.75" hidden="1" customHeight="1" outlineLevel="1">
      <c r="C97" s="1534" t="s">
        <v>1724</v>
      </c>
      <c r="D97" s="1535" t="s">
        <v>1665</v>
      </c>
      <c r="E97" s="1535"/>
      <c r="G97" s="1070"/>
      <c r="H97" s="1070"/>
      <c r="I97" s="1070"/>
      <c r="J97" s="1070"/>
      <c r="K97" s="1071"/>
      <c r="L97" s="1070"/>
      <c r="M97" s="1070"/>
      <c r="N97" s="1070"/>
      <c r="O97" s="1070"/>
      <c r="P97" s="1070"/>
      <c r="Q97" s="1070"/>
      <c r="S97" s="1072"/>
      <c r="T97" s="1072"/>
      <c r="U97" s="1072">
        <f ca="1">U$95+U$96</f>
        <v>-431.32814685955935</v>
      </c>
      <c r="V97" s="1072">
        <f ca="1">V$95+V$96</f>
        <v>-878.22603398424076</v>
      </c>
      <c r="W97" s="1072">
        <f ca="1">W$95+W$96</f>
        <v>-996.70454264536238</v>
      </c>
      <c r="X97" s="1072"/>
      <c r="Y97" s="1072"/>
      <c r="Z97" s="1072"/>
      <c r="AA97" s="1072"/>
      <c r="AB97" s="1072"/>
      <c r="AC97" s="1072">
        <f t="shared" ref="AC97:AH97" ca="1" si="244">AC$95+AC$96</f>
        <v>0</v>
      </c>
      <c r="AD97" s="1072">
        <f t="shared" ca="1" si="244"/>
        <v>0</v>
      </c>
      <c r="AE97" s="1072">
        <f t="shared" ca="1" si="244"/>
        <v>0</v>
      </c>
      <c r="AF97" s="1072">
        <f t="shared" ca="1" si="244"/>
        <v>0</v>
      </c>
      <c r="AG97" s="1072">
        <f t="shared" ca="1" si="244"/>
        <v>0</v>
      </c>
      <c r="AH97" s="1072">
        <f t="shared" ca="1" si="244"/>
        <v>0</v>
      </c>
      <c r="AI97" s="1072"/>
      <c r="AJ97" s="1072"/>
      <c r="AK97" s="1072"/>
      <c r="AM97" s="1073"/>
      <c r="AN97" s="1073"/>
      <c r="AO97" s="1073"/>
      <c r="AP97" s="1073"/>
      <c r="AQ97" s="1073"/>
      <c r="AR97" s="1073"/>
      <c r="AS97" s="1073"/>
      <c r="AT97" s="1073"/>
      <c r="AU97" s="1073"/>
      <c r="AV97" s="1073"/>
      <c r="AW97" s="1073"/>
      <c r="AX97" s="1073"/>
      <c r="AY97" s="1073"/>
      <c r="AZ97" s="1073"/>
      <c r="BA97" s="1073"/>
      <c r="BB97" s="1073"/>
      <c r="BC97" s="1073"/>
      <c r="BD97" s="1073"/>
      <c r="BE97" s="1073">
        <f ca="1">BE42+BE49+BE53</f>
        <v>-58.756794246200883</v>
      </c>
      <c r="BF97" s="1073">
        <f ca="1">SUM(AM97:BE97)</f>
        <v>-58.756794246200883</v>
      </c>
      <c r="BH97" s="1074"/>
      <c r="BI97" s="1074"/>
      <c r="BJ97" s="1074"/>
      <c r="BL97" s="1536"/>
      <c r="BM97" s="1536"/>
      <c r="BN97" s="1537"/>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8"/>
      <c r="CP97" s="1538"/>
      <c r="CQ97" s="1538"/>
      <c r="CR97" s="1538"/>
      <c r="CS97" s="1538"/>
      <c r="CT97" s="1538"/>
      <c r="CU97" s="1538"/>
      <c r="CV97" s="1538"/>
      <c r="CW97" s="1538"/>
      <c r="CX97" s="1538"/>
      <c r="CY97" s="1538"/>
      <c r="CZ97" s="1538"/>
      <c r="DA97" s="1538"/>
      <c r="DB97" s="1538"/>
      <c r="DC97" s="1538"/>
      <c r="DD97" s="1538"/>
      <c r="DE97" s="1538"/>
      <c r="DF97" s="1538"/>
      <c r="DH97" s="1537">
        <f>SUM(BO97:DF97)</f>
        <v>0</v>
      </c>
    </row>
    <row r="98" spans="1:112" s="743" customFormat="1" ht="12.75" hidden="1" customHeight="1" outlineLevel="1">
      <c r="A98" s="1484"/>
      <c r="B98" s="1484"/>
      <c r="C98" s="746" t="s">
        <v>1695</v>
      </c>
      <c r="D98" s="1010" t="str">
        <f>INDEX(Modules[Module], MATCH($C98, Modules[Code], 0))</f>
        <v>Bioenergy imports</v>
      </c>
      <c r="E98" s="1010"/>
      <c r="G98" s="1022">
        <f t="shared" ref="G98:P98" ca="1" si="245">IFERROR(INDEX(INDIRECT($C98&amp;".Outputs["&amp;this.Year&amp;"]"), MATCH(G$5, INDIRECT($C98&amp;".Outputs[Vector]"), 0)), 0)</f>
        <v>0</v>
      </c>
      <c r="H98" s="1022">
        <f t="shared" ca="1" si="245"/>
        <v>0</v>
      </c>
      <c r="I98" s="1022">
        <f t="shared" ca="1" si="245"/>
        <v>0</v>
      </c>
      <c r="J98" s="1022">
        <f t="shared" ca="1" si="245"/>
        <v>0</v>
      </c>
      <c r="K98" s="1022">
        <f t="shared" ca="1" si="245"/>
        <v>0</v>
      </c>
      <c r="L98" s="1022">
        <f t="shared" ca="1" si="245"/>
        <v>0</v>
      </c>
      <c r="M98" s="1022">
        <f t="shared" ca="1" si="245"/>
        <v>0</v>
      </c>
      <c r="N98" s="1022">
        <f t="shared" ca="1" si="245"/>
        <v>0</v>
      </c>
      <c r="O98" s="1022">
        <f t="shared" ca="1" si="245"/>
        <v>0</v>
      </c>
      <c r="P98" s="1022">
        <f t="shared" ca="1" si="245"/>
        <v>0</v>
      </c>
      <c r="Q98" s="1020">
        <f ca="1">SUM(G98:P98)</f>
        <v>0</v>
      </c>
      <c r="S98" s="1031">
        <f t="shared" ref="S98:AJ98" ca="1" si="246">IFERROR(INDEX(INDIRECT($C98&amp;".Outputs["&amp;this.Year&amp;"]"), MATCH(S$5, INDIRECT($C98&amp;".Outputs[Vector]"), 0)), 0)</f>
        <v>0</v>
      </c>
      <c r="T98" s="1031">
        <f t="shared" ca="1" si="246"/>
        <v>0</v>
      </c>
      <c r="U98" s="1031">
        <f t="shared" ca="1" si="246"/>
        <v>4.3961399999999999</v>
      </c>
      <c r="V98" s="1031">
        <f t="shared" ca="1" si="246"/>
        <v>-0.39541999999999999</v>
      </c>
      <c r="W98" s="1031">
        <f t="shared" ca="1" si="246"/>
        <v>0</v>
      </c>
      <c r="X98" s="1031">
        <f t="shared" ca="1" si="246"/>
        <v>0</v>
      </c>
      <c r="Y98" s="1031">
        <f t="shared" ca="1" si="246"/>
        <v>0</v>
      </c>
      <c r="Z98" s="1031">
        <f t="shared" ca="1" si="246"/>
        <v>0</v>
      </c>
      <c r="AA98" s="1031">
        <f t="shared" ca="1" si="246"/>
        <v>0</v>
      </c>
      <c r="AB98" s="1031">
        <f t="shared" ca="1" si="246"/>
        <v>0</v>
      </c>
      <c r="AC98" s="1031">
        <f t="shared" ca="1" si="246"/>
        <v>0</v>
      </c>
      <c r="AD98" s="1031">
        <f t="shared" ca="1" si="246"/>
        <v>0</v>
      </c>
      <c r="AE98" s="1031">
        <f t="shared" ca="1" si="246"/>
        <v>0</v>
      </c>
      <c r="AF98" s="1031">
        <f t="shared" ca="1" si="246"/>
        <v>0</v>
      </c>
      <c r="AG98" s="1031">
        <f t="shared" ca="1" si="246"/>
        <v>0</v>
      </c>
      <c r="AH98" s="1031">
        <f t="shared" ca="1" si="246"/>
        <v>0</v>
      </c>
      <c r="AI98" s="1031">
        <f t="shared" ca="1" si="246"/>
        <v>0</v>
      </c>
      <c r="AJ98" s="1031">
        <f t="shared" ca="1" si="246"/>
        <v>0</v>
      </c>
      <c r="AK98" s="1030">
        <f ca="1">SUM(S98:AJ98)</f>
        <v>4.0007200000000003</v>
      </c>
      <c r="AM98" s="1042">
        <f t="shared" ref="AM98:BE98" ca="1" si="247">IFERROR(INDEX(INDIRECT($C98&amp;".Outputs["&amp;this.Year&amp;"]"), MATCH(AM$5, INDIRECT($C98&amp;".Outputs[Vector]"), 0)), 0)</f>
        <v>0</v>
      </c>
      <c r="AN98" s="1042">
        <f t="shared" ca="1" si="247"/>
        <v>0</v>
      </c>
      <c r="AO98" s="1042">
        <f t="shared" ca="1" si="247"/>
        <v>0</v>
      </c>
      <c r="AP98" s="1042">
        <f t="shared" ca="1" si="247"/>
        <v>-4.0007200000000003</v>
      </c>
      <c r="AQ98" s="1042">
        <f t="shared" ca="1" si="247"/>
        <v>0</v>
      </c>
      <c r="AR98" s="1042">
        <f t="shared" ca="1" si="247"/>
        <v>0</v>
      </c>
      <c r="AS98" s="1042">
        <f t="shared" ca="1" si="247"/>
        <v>0</v>
      </c>
      <c r="AT98" s="1042">
        <f t="shared" ca="1" si="247"/>
        <v>0</v>
      </c>
      <c r="AU98" s="1042">
        <f t="shared" ca="1" si="247"/>
        <v>0</v>
      </c>
      <c r="AV98" s="1042">
        <f t="shared" ca="1" si="247"/>
        <v>0</v>
      </c>
      <c r="AW98" s="1042">
        <f t="shared" ca="1" si="247"/>
        <v>0</v>
      </c>
      <c r="AX98" s="1042">
        <f t="shared" ca="1" si="247"/>
        <v>0</v>
      </c>
      <c r="AY98" s="1042">
        <f t="shared" ca="1" si="247"/>
        <v>0</v>
      </c>
      <c r="AZ98" s="1042">
        <f t="shared" ca="1" si="247"/>
        <v>0</v>
      </c>
      <c r="BA98" s="1042">
        <f t="shared" ca="1" si="247"/>
        <v>0</v>
      </c>
      <c r="BB98" s="1042">
        <f t="shared" ca="1" si="247"/>
        <v>0</v>
      </c>
      <c r="BC98" s="1042">
        <f t="shared" ca="1" si="247"/>
        <v>0</v>
      </c>
      <c r="BD98" s="1042">
        <f t="shared" ca="1" si="247"/>
        <v>0</v>
      </c>
      <c r="BE98" s="1042">
        <f t="shared" ca="1" si="247"/>
        <v>0</v>
      </c>
      <c r="BF98" s="1012">
        <f ca="1">SUM(AM98:BE98)</f>
        <v>-4.0007200000000003</v>
      </c>
      <c r="BH98" s="1036">
        <f ca="1">IFERROR(INDEX(INDIRECT($C98&amp;".Outputs["&amp;this.Year&amp;"]"), MATCH(BH$5, INDIRECT($C98&amp;".Outputs[Vector]"), 0)), 0)</f>
        <v>0</v>
      </c>
      <c r="BI98" s="1036">
        <f ca="1">IFERROR(INDEX(INDIRECT($C98&amp;".Outputs["&amp;this.Year&amp;"]"), MATCH(BI$5, INDIRECT($C98&amp;".Outputs[Vector]"), 0)), 0)</f>
        <v>0</v>
      </c>
      <c r="BJ98" s="1035">
        <f ca="1">SUM(BH98:BI98)</f>
        <v>0</v>
      </c>
      <c r="BL98" s="814">
        <f ca="1">Q98+AK98+BF98+BJ98</f>
        <v>0</v>
      </c>
      <c r="BM98" s="814"/>
      <c r="BN98" s="840"/>
      <c r="BO98" s="1485">
        <f t="shared" ref="BO98:DF98" ca="1" si="248">IFERROR(SUMIFS(INDIRECT($C98&amp;".Emissions["&amp;this.Year&amp;"]"), INDIRECT($C98&amp;".Emissions[GHG]"), BO$6, INDIRECT($C98&amp;".Emissions[IPCC Sector]"), BO$5),0)</f>
        <v>0</v>
      </c>
      <c r="BP98" s="1486">
        <f t="shared" ca="1" si="248"/>
        <v>0</v>
      </c>
      <c r="BQ98" s="1486">
        <f t="shared" ca="1" si="248"/>
        <v>0</v>
      </c>
      <c r="BR98" s="1486">
        <f t="shared" ca="1" si="248"/>
        <v>0</v>
      </c>
      <c r="BS98" s="1486">
        <f t="shared" ca="1" si="248"/>
        <v>0</v>
      </c>
      <c r="BT98" s="1486">
        <f t="shared" ca="1" si="248"/>
        <v>0</v>
      </c>
      <c r="BU98" s="1486">
        <f t="shared" ca="1" si="248"/>
        <v>0</v>
      </c>
      <c r="BV98" s="1486">
        <f t="shared" ca="1" si="248"/>
        <v>0</v>
      </c>
      <c r="BW98" s="1486">
        <f t="shared" ca="1" si="248"/>
        <v>0</v>
      </c>
      <c r="BX98" s="1486">
        <f t="shared" ca="1" si="248"/>
        <v>0</v>
      </c>
      <c r="BY98" s="1486">
        <f t="shared" ca="1" si="248"/>
        <v>0</v>
      </c>
      <c r="BZ98" s="1486">
        <f t="shared" ca="1" si="248"/>
        <v>0</v>
      </c>
      <c r="CA98" s="1486">
        <f t="shared" ca="1" si="248"/>
        <v>0</v>
      </c>
      <c r="CB98" s="1486">
        <f t="shared" ca="1" si="248"/>
        <v>0</v>
      </c>
      <c r="CC98" s="1486">
        <f t="shared" ca="1" si="248"/>
        <v>0</v>
      </c>
      <c r="CD98" s="1486">
        <f t="shared" ca="1" si="248"/>
        <v>0</v>
      </c>
      <c r="CE98" s="1486">
        <f t="shared" ca="1" si="248"/>
        <v>0</v>
      </c>
      <c r="CF98" s="1486">
        <f t="shared" ca="1" si="248"/>
        <v>0</v>
      </c>
      <c r="CG98" s="1486">
        <f t="shared" ca="1" si="248"/>
        <v>0</v>
      </c>
      <c r="CH98" s="1486">
        <f t="shared" ca="1" si="248"/>
        <v>0</v>
      </c>
      <c r="CI98" s="1486">
        <f t="shared" ca="1" si="248"/>
        <v>0</v>
      </c>
      <c r="CJ98" s="1486">
        <f t="shared" ca="1" si="248"/>
        <v>0</v>
      </c>
      <c r="CK98" s="1486">
        <f t="shared" ca="1" si="248"/>
        <v>0</v>
      </c>
      <c r="CL98" s="1486">
        <f t="shared" ca="1" si="248"/>
        <v>0</v>
      </c>
      <c r="CM98" s="1486">
        <f t="shared" ca="1" si="248"/>
        <v>0</v>
      </c>
      <c r="CN98" s="1486">
        <f t="shared" ca="1" si="248"/>
        <v>0</v>
      </c>
      <c r="CO98" s="1486">
        <f t="shared" ca="1" si="248"/>
        <v>0</v>
      </c>
      <c r="CP98" s="1486">
        <f t="shared" ca="1" si="248"/>
        <v>0</v>
      </c>
      <c r="CQ98" s="1486">
        <f t="shared" ca="1" si="248"/>
        <v>0</v>
      </c>
      <c r="CR98" s="1486">
        <f t="shared" ca="1" si="248"/>
        <v>0</v>
      </c>
      <c r="CS98" s="1486">
        <f t="shared" ca="1" si="248"/>
        <v>0</v>
      </c>
      <c r="CT98" s="1486">
        <f t="shared" ca="1" si="248"/>
        <v>0</v>
      </c>
      <c r="CU98" s="1486">
        <f t="shared" ca="1" si="248"/>
        <v>0</v>
      </c>
      <c r="CV98" s="1486">
        <f t="shared" ca="1" si="248"/>
        <v>0</v>
      </c>
      <c r="CW98" s="1486">
        <f t="shared" ca="1" si="248"/>
        <v>0</v>
      </c>
      <c r="CX98" s="1486">
        <f t="shared" ca="1" si="248"/>
        <v>0</v>
      </c>
      <c r="CY98" s="1486">
        <f t="shared" ca="1" si="248"/>
        <v>-1.2551561199999999</v>
      </c>
      <c r="CZ98" s="1486">
        <f t="shared" ca="1" si="248"/>
        <v>0</v>
      </c>
      <c r="DA98" s="1486">
        <f t="shared" ca="1" si="248"/>
        <v>0</v>
      </c>
      <c r="DB98" s="1486">
        <f t="shared" ca="1" si="248"/>
        <v>0</v>
      </c>
      <c r="DC98" s="1486">
        <f t="shared" ca="1" si="248"/>
        <v>0</v>
      </c>
      <c r="DD98" s="1486">
        <f t="shared" ca="1" si="248"/>
        <v>0</v>
      </c>
      <c r="DE98" s="1486">
        <f t="shared" ca="1" si="248"/>
        <v>0</v>
      </c>
      <c r="DF98" s="1486">
        <f t="shared" ca="1" si="248"/>
        <v>0</v>
      </c>
      <c r="DH98" s="838">
        <f ca="1">SUM(BO98:DF98)</f>
        <v>-1.2551561199999999</v>
      </c>
    </row>
    <row r="99" spans="1:112" s="743" customFormat="1" ht="15.75" collapsed="1">
      <c r="A99" s="22"/>
      <c r="B99" s="753"/>
      <c r="C99" s="744" t="s">
        <v>671</v>
      </c>
      <c r="D99" s="517" t="str">
        <f>INDEX(Workstreams[Workstream], MATCH($C99, Workstreams[Code], 0))</f>
        <v>Bioenergy</v>
      </c>
      <c r="E99" s="512"/>
      <c r="G99" s="1021">
        <f ca="1">G$96+G98</f>
        <v>0</v>
      </c>
      <c r="H99" s="1021">
        <f t="shared" ref="H99:P99" ca="1" si="249">H$96+H98</f>
        <v>0</v>
      </c>
      <c r="I99" s="1021">
        <f t="shared" ca="1" si="249"/>
        <v>0</v>
      </c>
      <c r="J99" s="1021">
        <f t="shared" ca="1" si="249"/>
        <v>0</v>
      </c>
      <c r="K99" s="1021">
        <f t="shared" ca="1" si="249"/>
        <v>0</v>
      </c>
      <c r="L99" s="1021">
        <f t="shared" ca="1" si="249"/>
        <v>0</v>
      </c>
      <c r="M99" s="1021">
        <f t="shared" ca="1" si="249"/>
        <v>0</v>
      </c>
      <c r="N99" s="1021">
        <f t="shared" ca="1" si="249"/>
        <v>0</v>
      </c>
      <c r="O99" s="1021">
        <f t="shared" ca="1" si="249"/>
        <v>0</v>
      </c>
      <c r="P99" s="1021">
        <f t="shared" ca="1" si="249"/>
        <v>0</v>
      </c>
      <c r="Q99" s="1021">
        <f ca="1">SUM(G99:P99)</f>
        <v>0</v>
      </c>
      <c r="S99" s="970">
        <f t="shared" ref="S99:AJ99" ca="1" si="250">S$96+S98</f>
        <v>0</v>
      </c>
      <c r="T99" s="970">
        <f t="shared" ca="1" si="250"/>
        <v>0</v>
      </c>
      <c r="U99" s="970">
        <f t="shared" ca="1" si="250"/>
        <v>15.932892901528433</v>
      </c>
      <c r="V99" s="970">
        <f t="shared" ca="1" si="250"/>
        <v>1.3891852222222223</v>
      </c>
      <c r="W99" s="970">
        <f t="shared" ca="1" si="250"/>
        <v>22.252034711267896</v>
      </c>
      <c r="X99" s="970">
        <f t="shared" ca="1" si="250"/>
        <v>0</v>
      </c>
      <c r="Y99" s="970">
        <f t="shared" ca="1" si="250"/>
        <v>0</v>
      </c>
      <c r="Z99" s="970">
        <f t="shared" ca="1" si="250"/>
        <v>0</v>
      </c>
      <c r="AA99" s="970">
        <f t="shared" ca="1" si="250"/>
        <v>0</v>
      </c>
      <c r="AB99" s="970">
        <f t="shared" ca="1" si="250"/>
        <v>0</v>
      </c>
      <c r="AC99" s="970">
        <f t="shared" ca="1" si="250"/>
        <v>0</v>
      </c>
      <c r="AD99" s="970">
        <f ca="1">AD$96+AD98</f>
        <v>-0.82222222222222219</v>
      </c>
      <c r="AE99" s="970">
        <f ca="1">AE$96+AE98</f>
        <v>-4.0593000000000004</v>
      </c>
      <c r="AF99" s="970">
        <f t="shared" ca="1" si="250"/>
        <v>-12.81861433503159</v>
      </c>
      <c r="AG99" s="970">
        <f t="shared" ca="1" si="250"/>
        <v>-4.9610477000000008</v>
      </c>
      <c r="AH99" s="970">
        <f ca="1">AH$96+AH98</f>
        <v>-18.283196551267896</v>
      </c>
      <c r="AI99" s="970">
        <f t="shared" ca="1" si="250"/>
        <v>0</v>
      </c>
      <c r="AJ99" s="970">
        <f t="shared" ca="1" si="250"/>
        <v>0</v>
      </c>
      <c r="AK99" s="970">
        <f ca="1">SUM(S99:AJ99)</f>
        <v>-1.3702679735031573</v>
      </c>
      <c r="AM99" s="976">
        <f t="shared" ref="AM99:BE99" ca="1" si="251">AM$96+AM98</f>
        <v>0</v>
      </c>
      <c r="AN99" s="976">
        <f t="shared" ca="1" si="251"/>
        <v>0</v>
      </c>
      <c r="AO99" s="976">
        <f t="shared" ca="1" si="251"/>
        <v>0</v>
      </c>
      <c r="AP99" s="976">
        <f t="shared" ca="1" si="251"/>
        <v>-4.0007200000000003</v>
      </c>
      <c r="AQ99" s="976">
        <f t="shared" ca="1" si="251"/>
        <v>0</v>
      </c>
      <c r="AR99" s="976">
        <f t="shared" ca="1" si="251"/>
        <v>0</v>
      </c>
      <c r="AS99" s="976">
        <f t="shared" ca="1" si="251"/>
        <v>0</v>
      </c>
      <c r="AT99" s="976">
        <f t="shared" ca="1" si="251"/>
        <v>0</v>
      </c>
      <c r="AU99" s="976">
        <f t="shared" ca="1" si="251"/>
        <v>0</v>
      </c>
      <c r="AV99" s="976">
        <f t="shared" ca="1" si="251"/>
        <v>0</v>
      </c>
      <c r="AW99" s="976">
        <f t="shared" ca="1" si="251"/>
        <v>0</v>
      </c>
      <c r="AX99" s="976">
        <f t="shared" ca="1" si="251"/>
        <v>0</v>
      </c>
      <c r="AY99" s="976">
        <f t="shared" ca="1" si="251"/>
        <v>0</v>
      </c>
      <c r="AZ99" s="976">
        <f t="shared" ca="1" si="251"/>
        <v>0</v>
      </c>
      <c r="BA99" s="976">
        <f t="shared" ca="1" si="251"/>
        <v>0</v>
      </c>
      <c r="BB99" s="976">
        <f t="shared" ca="1" si="251"/>
        <v>0</v>
      </c>
      <c r="BC99" s="976">
        <f t="shared" ca="1" si="251"/>
        <v>0</v>
      </c>
      <c r="BD99" s="976">
        <f t="shared" ca="1" si="251"/>
        <v>0</v>
      </c>
      <c r="BE99" s="976">
        <f t="shared" ca="1" si="251"/>
        <v>0</v>
      </c>
      <c r="BF99" s="976">
        <f ca="1">SUM(AM99:BE99)</f>
        <v>-4.0007200000000003</v>
      </c>
      <c r="BH99" s="990">
        <f ca="1">BH$96+BH98</f>
        <v>5.3709879735031549</v>
      </c>
      <c r="BI99" s="990">
        <f ca="1">BI$96+BI98</f>
        <v>0</v>
      </c>
      <c r="BJ99" s="990">
        <f ca="1">SUM(BH99:BI99)</f>
        <v>5.3709879735031549</v>
      </c>
      <c r="BL99" s="515">
        <f ca="1">Q99+AK99+BF99+BJ99</f>
        <v>0</v>
      </c>
      <c r="BM99" s="515"/>
      <c r="BN99" s="840"/>
      <c r="BO99" s="1482">
        <f t="shared" ref="BO99:DF99" ca="1" si="252">BO$96+BO98</f>
        <v>0</v>
      </c>
      <c r="BP99" s="1482">
        <f t="shared" ca="1" si="252"/>
        <v>0</v>
      </c>
      <c r="BQ99" s="1482">
        <f t="shared" ca="1" si="252"/>
        <v>0</v>
      </c>
      <c r="BR99" s="1482">
        <f t="shared" ca="1" si="252"/>
        <v>0</v>
      </c>
      <c r="BS99" s="1482">
        <f t="shared" ca="1" si="252"/>
        <v>0</v>
      </c>
      <c r="BT99" s="1482">
        <f t="shared" ca="1" si="252"/>
        <v>0</v>
      </c>
      <c r="BU99" s="1482">
        <f t="shared" ca="1" si="252"/>
        <v>0</v>
      </c>
      <c r="BV99" s="1482">
        <f t="shared" ca="1" si="252"/>
        <v>0</v>
      </c>
      <c r="BW99" s="1482">
        <f t="shared" ca="1" si="252"/>
        <v>0</v>
      </c>
      <c r="BX99" s="1482">
        <f t="shared" ca="1" si="252"/>
        <v>0</v>
      </c>
      <c r="BY99" s="1482">
        <f t="shared" ca="1" si="252"/>
        <v>0</v>
      </c>
      <c r="BZ99" s="1482">
        <f t="shared" ca="1" si="252"/>
        <v>0</v>
      </c>
      <c r="CA99" s="1482">
        <f t="shared" ca="1" si="252"/>
        <v>0</v>
      </c>
      <c r="CB99" s="1482">
        <f t="shared" ca="1" si="252"/>
        <v>0</v>
      </c>
      <c r="CC99" s="1482">
        <f t="shared" ca="1" si="252"/>
        <v>0</v>
      </c>
      <c r="CD99" s="1482">
        <f t="shared" ca="1" si="252"/>
        <v>0</v>
      </c>
      <c r="CE99" s="1482">
        <f t="shared" ca="1" si="252"/>
        <v>0</v>
      </c>
      <c r="CF99" s="1482">
        <f t="shared" ca="1" si="252"/>
        <v>0</v>
      </c>
      <c r="CG99" s="1482">
        <f t="shared" ca="1" si="252"/>
        <v>0</v>
      </c>
      <c r="CH99" s="1482">
        <f t="shared" ca="1" si="252"/>
        <v>0</v>
      </c>
      <c r="CI99" s="1482">
        <f t="shared" ca="1" si="252"/>
        <v>0</v>
      </c>
      <c r="CJ99" s="1482">
        <f t="shared" ca="1" si="252"/>
        <v>0</v>
      </c>
      <c r="CK99" s="1482">
        <f t="shared" ca="1" si="252"/>
        <v>0</v>
      </c>
      <c r="CL99" s="1482">
        <f t="shared" ca="1" si="252"/>
        <v>0</v>
      </c>
      <c r="CM99" s="1482">
        <f t="shared" ca="1" si="252"/>
        <v>0</v>
      </c>
      <c r="CN99" s="1482">
        <f t="shared" ca="1" si="252"/>
        <v>0</v>
      </c>
      <c r="CO99" s="1482">
        <f t="shared" ca="1" si="252"/>
        <v>0</v>
      </c>
      <c r="CP99" s="1482">
        <f t="shared" ca="1" si="252"/>
        <v>0</v>
      </c>
      <c r="CQ99" s="1482">
        <f t="shared" ca="1" si="252"/>
        <v>0</v>
      </c>
      <c r="CR99" s="1482">
        <f t="shared" ca="1" si="252"/>
        <v>0</v>
      </c>
      <c r="CS99" s="1482">
        <f t="shared" ca="1" si="252"/>
        <v>0</v>
      </c>
      <c r="CT99" s="1482">
        <f t="shared" ca="1" si="252"/>
        <v>0</v>
      </c>
      <c r="CU99" s="1482">
        <f t="shared" ca="1" si="252"/>
        <v>0</v>
      </c>
      <c r="CV99" s="1482">
        <f t="shared" ca="1" si="252"/>
        <v>0</v>
      </c>
      <c r="CW99" s="1482">
        <f t="shared" ca="1" si="252"/>
        <v>0</v>
      </c>
      <c r="CX99" s="1482">
        <f t="shared" ca="1" si="252"/>
        <v>0</v>
      </c>
      <c r="CY99" s="1482">
        <f t="shared" ca="1" si="252"/>
        <v>-9.3490017060996049</v>
      </c>
      <c r="CZ99" s="1482">
        <f t="shared" ca="1" si="252"/>
        <v>0</v>
      </c>
      <c r="DA99" s="1482">
        <f t="shared" ca="1" si="252"/>
        <v>0</v>
      </c>
      <c r="DB99" s="1482">
        <f t="shared" ca="1" si="252"/>
        <v>0</v>
      </c>
      <c r="DC99" s="1482">
        <f t="shared" ca="1" si="252"/>
        <v>0</v>
      </c>
      <c r="DD99" s="1482">
        <f t="shared" ca="1" si="252"/>
        <v>0</v>
      </c>
      <c r="DE99" s="1482">
        <f t="shared" ca="1" si="252"/>
        <v>0</v>
      </c>
      <c r="DF99" s="1482">
        <f t="shared" ca="1" si="252"/>
        <v>0</v>
      </c>
      <c r="DH99" s="838">
        <f t="shared" ca="1" si="238"/>
        <v>-9.3490017060996049</v>
      </c>
    </row>
    <row r="100" spans="1:112" s="22" customFormat="1" ht="12.75" hidden="1" customHeight="1" outlineLevel="1">
      <c r="B100" s="753"/>
      <c r="C100" s="744"/>
      <c r="D100" s="517"/>
      <c r="E100" s="512"/>
      <c r="F100" s="743"/>
      <c r="G100" s="958"/>
      <c r="H100" s="958"/>
      <c r="I100" s="958"/>
      <c r="J100" s="958"/>
      <c r="K100" s="960"/>
      <c r="L100" s="958"/>
      <c r="M100" s="958"/>
      <c r="N100" s="958"/>
      <c r="O100" s="958"/>
      <c r="P100" s="958"/>
      <c r="Q100" s="1021"/>
      <c r="R100" s="743"/>
      <c r="S100" s="970"/>
      <c r="T100" s="970"/>
      <c r="U100" s="970"/>
      <c r="V100" s="970"/>
      <c r="W100" s="970"/>
      <c r="X100" s="970"/>
      <c r="Y100" s="970"/>
      <c r="Z100" s="970"/>
      <c r="AA100" s="970"/>
      <c r="AB100" s="970"/>
      <c r="AC100" s="970"/>
      <c r="AD100" s="970"/>
      <c r="AE100" s="970"/>
      <c r="AF100" s="970"/>
      <c r="AG100" s="970"/>
      <c r="AH100" s="970"/>
      <c r="AI100" s="970"/>
      <c r="AJ100" s="970"/>
      <c r="AK100" s="970"/>
      <c r="AL100" s="743"/>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743"/>
      <c r="BH100" s="990"/>
      <c r="BI100" s="990"/>
      <c r="BJ100" s="990"/>
      <c r="BK100" s="743"/>
      <c r="BL100" s="515"/>
      <c r="BM100" s="515"/>
      <c r="BO100" s="1482"/>
      <c r="BP100" s="1482"/>
      <c r="BQ100" s="1482"/>
      <c r="BR100" s="1482"/>
      <c r="BS100" s="1482"/>
      <c r="BT100" s="1482"/>
      <c r="BU100" s="1482"/>
      <c r="BV100" s="1482"/>
      <c r="BW100" s="1482"/>
      <c r="BX100" s="1482"/>
      <c r="BY100" s="1482"/>
      <c r="BZ100" s="1482"/>
      <c r="CA100" s="1482"/>
      <c r="CB100" s="1482"/>
      <c r="CC100" s="1482"/>
      <c r="CD100" s="1482"/>
      <c r="CE100" s="1482"/>
      <c r="CF100" s="1482"/>
      <c r="CG100" s="1482"/>
      <c r="CH100" s="1482"/>
      <c r="CI100" s="1482"/>
      <c r="CJ100" s="1482"/>
      <c r="CK100" s="1482"/>
      <c r="CL100" s="1482"/>
      <c r="CM100" s="1482"/>
      <c r="CN100" s="1482"/>
      <c r="CO100" s="1482"/>
      <c r="CP100" s="1482"/>
      <c r="CQ100" s="1482"/>
      <c r="CR100" s="1482"/>
      <c r="CS100" s="1482"/>
      <c r="CT100" s="1482"/>
      <c r="CU100" s="1482"/>
      <c r="CV100" s="1482"/>
      <c r="CW100" s="1482"/>
      <c r="CX100" s="1482"/>
      <c r="CY100" s="1482"/>
      <c r="CZ100" s="1482"/>
      <c r="DA100" s="1482"/>
      <c r="DB100" s="1482"/>
      <c r="DC100" s="1482"/>
      <c r="DD100" s="1482"/>
      <c r="DE100" s="1482"/>
      <c r="DF100" s="1482"/>
      <c r="DH100" s="838">
        <f t="shared" si="238"/>
        <v>0</v>
      </c>
    </row>
    <row r="101" spans="1:112" s="1488" customFormat="1" ht="12.75" hidden="1" customHeight="1" outlineLevel="1">
      <c r="C101" s="1048" t="s">
        <v>1725</v>
      </c>
      <c r="D101" s="1535" t="s">
        <v>1665</v>
      </c>
      <c r="E101" s="851"/>
      <c r="G101" s="1070"/>
      <c r="H101" s="1070"/>
      <c r="I101" s="1070"/>
      <c r="J101" s="1070"/>
      <c r="K101" s="1071"/>
      <c r="L101" s="1070"/>
      <c r="M101" s="1070"/>
      <c r="N101" s="1070"/>
      <c r="O101" s="1070"/>
      <c r="P101" s="1070"/>
      <c r="Q101" s="1478"/>
      <c r="R101" s="1491"/>
      <c r="S101" s="1072">
        <f ca="1">(S$40+S$84+S$93+S$99)</f>
        <v>-354.55512401053005</v>
      </c>
      <c r="T101" s="1072">
        <f ca="1">(T$40+T$84+T$93+T$99)</f>
        <v>354.55512401053005</v>
      </c>
      <c r="U101" s="1072">
        <f ca="1">(U$40+U$84+U$93+U$99)</f>
        <v>-426.93200685955935</v>
      </c>
      <c r="V101" s="1072">
        <f ca="1">(V$40+V$84+V$93+V$99)</f>
        <v>-878.62145398424082</v>
      </c>
      <c r="W101" s="1072">
        <f ca="1">(W$40+W$84+W$93+W$99)</f>
        <v>-996.70454264536238</v>
      </c>
      <c r="X101" s="1072"/>
      <c r="Y101" s="1072"/>
      <c r="Z101" s="1072"/>
      <c r="AA101" s="1072"/>
      <c r="AB101" s="1072"/>
      <c r="AC101" s="1072"/>
      <c r="AD101" s="1072"/>
      <c r="AE101" s="1072"/>
      <c r="AF101" s="1072"/>
      <c r="AG101" s="1072"/>
      <c r="AH101" s="1072"/>
      <c r="AI101" s="1072"/>
      <c r="AJ101" s="1072"/>
      <c r="AK101" s="1072"/>
      <c r="AL101" s="1491"/>
      <c r="AM101" s="1073"/>
      <c r="AN101" s="1073"/>
      <c r="AO101" s="1073"/>
      <c r="AP101" s="1073"/>
      <c r="AQ101" s="1073"/>
      <c r="AR101" s="1073"/>
      <c r="AS101" s="1073"/>
      <c r="AT101" s="1073"/>
      <c r="AU101" s="1073"/>
      <c r="AV101" s="1073"/>
      <c r="AW101" s="1073"/>
      <c r="AX101" s="1073"/>
      <c r="AY101" s="1073"/>
      <c r="AZ101" s="1073"/>
      <c r="BA101" s="1073"/>
      <c r="BB101" s="1073"/>
      <c r="BC101" s="1073"/>
      <c r="BD101" s="1073"/>
      <c r="BE101" s="1073"/>
      <c r="BF101" s="1073"/>
      <c r="BG101" s="1491"/>
      <c r="BH101" s="1074"/>
      <c r="BI101" s="1074"/>
      <c r="BJ101" s="1074"/>
      <c r="BL101" s="852"/>
      <c r="BM101" s="852"/>
      <c r="BO101" s="1490"/>
      <c r="BP101" s="1490"/>
      <c r="BQ101" s="1490"/>
      <c r="BR101" s="1490"/>
      <c r="BS101" s="1490"/>
      <c r="BT101" s="1490"/>
      <c r="BU101" s="1490"/>
      <c r="BV101" s="1490"/>
      <c r="BW101" s="1490"/>
      <c r="BX101" s="1490"/>
      <c r="BY101" s="1490"/>
      <c r="BZ101" s="1490"/>
      <c r="CA101" s="1490"/>
      <c r="CB101" s="1490"/>
      <c r="CC101" s="1490"/>
      <c r="CD101" s="1490"/>
      <c r="CE101" s="1490"/>
      <c r="CF101" s="1490"/>
      <c r="CG101" s="1490"/>
      <c r="CH101" s="1490"/>
      <c r="CI101" s="1490"/>
      <c r="CJ101" s="1490"/>
      <c r="CK101" s="1490"/>
      <c r="CL101" s="1490"/>
      <c r="CM101" s="1490"/>
      <c r="CN101" s="1490"/>
      <c r="CO101" s="1490"/>
      <c r="CP101" s="1490"/>
      <c r="CQ101" s="1490"/>
      <c r="CR101" s="1490"/>
      <c r="CS101" s="1490"/>
      <c r="CT101" s="1490"/>
      <c r="CU101" s="1490"/>
      <c r="CV101" s="1490"/>
      <c r="CW101" s="1490"/>
      <c r="CX101" s="1490"/>
      <c r="CY101" s="1490"/>
      <c r="CZ101" s="1490"/>
      <c r="DA101" s="1490"/>
      <c r="DB101" s="1490"/>
      <c r="DC101" s="1490"/>
      <c r="DD101" s="1490"/>
      <c r="DE101" s="1490"/>
      <c r="DF101" s="1490"/>
      <c r="DH101" s="838">
        <f t="shared" si="238"/>
        <v>0</v>
      </c>
    </row>
    <row r="102" spans="1:112" s="1484" customFormat="1" ht="12.75" hidden="1" customHeight="1" outlineLevel="1">
      <c r="B102" s="1492"/>
      <c r="C102" s="522" t="s">
        <v>1013</v>
      </c>
      <c r="D102" s="521" t="str">
        <f>INDEX(Modules[Module], MATCH($C102, Modules[Code], 0))</f>
        <v>Fossil fuel transfers</v>
      </c>
      <c r="E102" s="521"/>
      <c r="F102" s="743"/>
      <c r="G102" s="963">
        <f t="shared" ref="G102:P102" ca="1" si="253">IFERROR(INDEX(INDIRECT($C102&amp;".Outputs["&amp;this.Year&amp;"]"), MATCH(G$5, INDIRECT($C102&amp;".Outputs[Vector]"), 0)), 0)</f>
        <v>0</v>
      </c>
      <c r="H102" s="963">
        <f t="shared" ca="1" si="253"/>
        <v>0</v>
      </c>
      <c r="I102" s="963">
        <f t="shared" ca="1" si="253"/>
        <v>0</v>
      </c>
      <c r="J102" s="963">
        <f t="shared" ca="1" si="253"/>
        <v>0</v>
      </c>
      <c r="K102" s="964">
        <f t="shared" ca="1" si="253"/>
        <v>0</v>
      </c>
      <c r="L102" s="963">
        <f t="shared" ca="1" si="253"/>
        <v>0</v>
      </c>
      <c r="M102" s="963">
        <f t="shared" ca="1" si="253"/>
        <v>0</v>
      </c>
      <c r="N102" s="963">
        <f t="shared" ca="1" si="253"/>
        <v>0</v>
      </c>
      <c r="O102" s="963">
        <f t="shared" ca="1" si="253"/>
        <v>0</v>
      </c>
      <c r="P102" s="963">
        <f t="shared" ca="1" si="253"/>
        <v>0</v>
      </c>
      <c r="Q102" s="1096">
        <f ca="1">SUM(G102:P102)</f>
        <v>0</v>
      </c>
      <c r="R102" s="743"/>
      <c r="S102" s="972">
        <f t="shared" ref="S102:AJ102" ca="1" si="254">IFERROR(INDEX(INDIRECT($C102&amp;".Outputs["&amp;this.Year&amp;"]"), MATCH(S$5, INDIRECT($C102&amp;".Outputs[Vector]"), 0)), 0)</f>
        <v>0</v>
      </c>
      <c r="T102" s="972">
        <f t="shared" ca="1" si="254"/>
        <v>0</v>
      </c>
      <c r="U102" s="972">
        <f t="shared" ca="1" si="254"/>
        <v>426.93200685955935</v>
      </c>
      <c r="V102" s="972">
        <f t="shared" ca="1" si="254"/>
        <v>878.62145398424082</v>
      </c>
      <c r="W102" s="972">
        <f t="shared" ca="1" si="254"/>
        <v>996.70454264536238</v>
      </c>
      <c r="X102" s="972">
        <f t="shared" ca="1" si="254"/>
        <v>-426.93200685955935</v>
      </c>
      <c r="Y102" s="972">
        <f t="shared" ca="1" si="254"/>
        <v>-878.62145398424082</v>
      </c>
      <c r="Z102" s="972">
        <f t="shared" ca="1" si="254"/>
        <v>-1008.1919216008305</v>
      </c>
      <c r="AA102" s="972">
        <f t="shared" ca="1" si="254"/>
        <v>0</v>
      </c>
      <c r="AB102" s="972">
        <f t="shared" ca="1" si="254"/>
        <v>0</v>
      </c>
      <c r="AC102" s="972">
        <f t="shared" ca="1" si="254"/>
        <v>0</v>
      </c>
      <c r="AD102" s="972">
        <f t="shared" ca="1" si="254"/>
        <v>0</v>
      </c>
      <c r="AE102" s="972">
        <f t="shared" ca="1" si="254"/>
        <v>0</v>
      </c>
      <c r="AF102" s="972">
        <f t="shared" ca="1" si="254"/>
        <v>0</v>
      </c>
      <c r="AG102" s="972">
        <f t="shared" ca="1" si="254"/>
        <v>0</v>
      </c>
      <c r="AH102" s="972">
        <f t="shared" ca="1" si="254"/>
        <v>0</v>
      </c>
      <c r="AI102" s="972">
        <f t="shared" ca="1" si="254"/>
        <v>0</v>
      </c>
      <c r="AJ102" s="972">
        <f t="shared" ca="1" si="254"/>
        <v>0</v>
      </c>
      <c r="AK102" s="972">
        <f ca="1">SUM(S102:AJ102)</f>
        <v>-11.487378955468103</v>
      </c>
      <c r="AL102" s="743"/>
      <c r="AM102" s="979">
        <f t="shared" ref="AM102:BE102" ca="1" si="255">IFERROR(INDEX(INDIRECT($C102&amp;".Outputs["&amp;this.Year&amp;"]"), MATCH(AM$5, INDIRECT($C102&amp;".Outputs[Vector]"), 0)), 0)</f>
        <v>0</v>
      </c>
      <c r="AN102" s="979">
        <f t="shared" ca="1" si="255"/>
        <v>0</v>
      </c>
      <c r="AO102" s="979">
        <f t="shared" ca="1" si="255"/>
        <v>0</v>
      </c>
      <c r="AP102" s="979">
        <f t="shared" ca="1" si="255"/>
        <v>0</v>
      </c>
      <c r="AQ102" s="979">
        <f t="shared" ca="1" si="255"/>
        <v>0</v>
      </c>
      <c r="AR102" s="979">
        <f t="shared" ca="1" si="255"/>
        <v>0</v>
      </c>
      <c r="AS102" s="979">
        <f t="shared" ca="1" si="255"/>
        <v>0</v>
      </c>
      <c r="AT102" s="979">
        <f t="shared" ca="1" si="255"/>
        <v>0</v>
      </c>
      <c r="AU102" s="979">
        <f t="shared" ca="1" si="255"/>
        <v>0</v>
      </c>
      <c r="AV102" s="979">
        <f t="shared" ca="1" si="255"/>
        <v>0</v>
      </c>
      <c r="AW102" s="979">
        <f t="shared" ca="1" si="255"/>
        <v>0</v>
      </c>
      <c r="AX102" s="979">
        <f t="shared" ca="1" si="255"/>
        <v>0</v>
      </c>
      <c r="AY102" s="979">
        <f t="shared" ca="1" si="255"/>
        <v>0</v>
      </c>
      <c r="AZ102" s="979">
        <f t="shared" ca="1" si="255"/>
        <v>0</v>
      </c>
      <c r="BA102" s="979">
        <f t="shared" ca="1" si="255"/>
        <v>0</v>
      </c>
      <c r="BB102" s="979">
        <f t="shared" ca="1" si="255"/>
        <v>0</v>
      </c>
      <c r="BC102" s="979">
        <f t="shared" ca="1" si="255"/>
        <v>0</v>
      </c>
      <c r="BD102" s="979">
        <f t="shared" ca="1" si="255"/>
        <v>0</v>
      </c>
      <c r="BE102" s="979">
        <f t="shared" ca="1" si="255"/>
        <v>0</v>
      </c>
      <c r="BF102" s="979">
        <f ca="1">SUM(AM102:BE102)</f>
        <v>0</v>
      </c>
      <c r="BG102" s="743"/>
      <c r="BH102" s="992">
        <f ca="1">IFERROR(INDEX(INDIRECT($C102&amp;".Outputs["&amp;this.Year&amp;"]"), MATCH(BH$5, INDIRECT($C102&amp;".Outputs[Vector]"), 0)), 0)</f>
        <v>0</v>
      </c>
      <c r="BI102" s="992">
        <f ca="1">IFERROR(INDEX(INDIRECT($C102&amp;".Outputs["&amp;this.Year&amp;"]"), MATCH(BI$5, INDIRECT($C102&amp;".Outputs[Vector]"), 0)), 0)</f>
        <v>11.487378955468159</v>
      </c>
      <c r="BJ102" s="992">
        <f ca="1">SUM(BH102:BI102)</f>
        <v>11.487378955468159</v>
      </c>
      <c r="BK102" s="743"/>
      <c r="BL102" s="515">
        <f t="shared" ref="BL102:BL109" ca="1" si="256">Q102+AK102+BF102+BJ102</f>
        <v>5.6843418860808015E-14</v>
      </c>
      <c r="BM102" s="814"/>
      <c r="BO102" s="1481">
        <f t="shared" ref="BO102:BX103" ca="1" si="257">IFERROR(SUMIFS(INDIRECT($C102&amp;".Emissions["&amp;this.Year&amp;"]"), INDIRECT($C102&amp;".Emissions[GHG]"), BO$6, INDIRECT($C102&amp;".Emissions[IPCC Sector]"), BO$5),0)</f>
        <v>0</v>
      </c>
      <c r="BP102" s="1482">
        <f t="shared" ca="1" si="257"/>
        <v>0</v>
      </c>
      <c r="BQ102" s="1482">
        <f t="shared" ca="1" si="257"/>
        <v>0</v>
      </c>
      <c r="BR102" s="1482">
        <f t="shared" ca="1" si="257"/>
        <v>0</v>
      </c>
      <c r="BS102" s="1482">
        <f t="shared" ca="1" si="257"/>
        <v>0</v>
      </c>
      <c r="BT102" s="1482">
        <f t="shared" ca="1" si="257"/>
        <v>4.3706513640884639</v>
      </c>
      <c r="BU102" s="1482">
        <f t="shared" ca="1" si="257"/>
        <v>0</v>
      </c>
      <c r="BV102" s="1482">
        <f t="shared" ca="1" si="257"/>
        <v>0</v>
      </c>
      <c r="BW102" s="1482">
        <f t="shared" ca="1" si="257"/>
        <v>0</v>
      </c>
      <c r="BX102" s="1482">
        <f t="shared" ca="1" si="257"/>
        <v>0</v>
      </c>
      <c r="BY102" s="1482">
        <f t="shared" ref="BY102:CH103" ca="1" si="258">IFERROR(SUMIFS(INDIRECT($C102&amp;".Emissions["&amp;this.Year&amp;"]"), INDIRECT($C102&amp;".Emissions[GHG]"), BY$6, INDIRECT($C102&amp;".Emissions[IPCC Sector]"), BY$5),0)</f>
        <v>0</v>
      </c>
      <c r="BZ102" s="1482">
        <f t="shared" ca="1" si="258"/>
        <v>0</v>
      </c>
      <c r="CA102" s="1482">
        <f t="shared" ca="1" si="258"/>
        <v>0</v>
      </c>
      <c r="CB102" s="1482">
        <f t="shared" ca="1" si="258"/>
        <v>0</v>
      </c>
      <c r="CC102" s="1482">
        <f t="shared" ca="1" si="258"/>
        <v>0</v>
      </c>
      <c r="CD102" s="1482">
        <f t="shared" ca="1" si="258"/>
        <v>0</v>
      </c>
      <c r="CE102" s="1482">
        <f t="shared" ca="1" si="258"/>
        <v>0</v>
      </c>
      <c r="CF102" s="1482">
        <f t="shared" ca="1" si="258"/>
        <v>0</v>
      </c>
      <c r="CG102" s="1482">
        <f t="shared" ca="1" si="258"/>
        <v>0</v>
      </c>
      <c r="CH102" s="1482">
        <f t="shared" ca="1" si="258"/>
        <v>0</v>
      </c>
      <c r="CI102" s="1482">
        <f t="shared" ref="CI102:CR103" ca="1" si="259">IFERROR(SUMIFS(INDIRECT($C102&amp;".Emissions["&amp;this.Year&amp;"]"), INDIRECT($C102&amp;".Emissions[GHG]"), CI$6, INDIRECT($C102&amp;".Emissions[IPCC Sector]"), CI$5),0)</f>
        <v>0</v>
      </c>
      <c r="CJ102" s="1482">
        <f t="shared" ca="1" si="259"/>
        <v>0</v>
      </c>
      <c r="CK102" s="1482">
        <f t="shared" ca="1" si="259"/>
        <v>0</v>
      </c>
      <c r="CL102" s="1482">
        <f t="shared" ca="1" si="259"/>
        <v>0</v>
      </c>
      <c r="CM102" s="1482">
        <f t="shared" ca="1" si="259"/>
        <v>0</v>
      </c>
      <c r="CN102" s="1482">
        <f t="shared" ca="1" si="259"/>
        <v>0</v>
      </c>
      <c r="CO102" s="1482">
        <f t="shared" ca="1" si="259"/>
        <v>0</v>
      </c>
      <c r="CP102" s="1482">
        <f t="shared" ca="1" si="259"/>
        <v>0</v>
      </c>
      <c r="CQ102" s="1482">
        <f t="shared" ca="1" si="259"/>
        <v>0</v>
      </c>
      <c r="CR102" s="1482">
        <f t="shared" ca="1" si="259"/>
        <v>0</v>
      </c>
      <c r="CS102" s="1482">
        <f t="shared" ref="CS102:DF103" ca="1" si="260">IFERROR(SUMIFS(INDIRECT($C102&amp;".Emissions["&amp;this.Year&amp;"]"), INDIRECT($C102&amp;".Emissions[GHG]"), CS$6, INDIRECT($C102&amp;".Emissions[IPCC Sector]"), CS$5),0)</f>
        <v>0</v>
      </c>
      <c r="CT102" s="1482">
        <f t="shared" ca="1" si="260"/>
        <v>0</v>
      </c>
      <c r="CU102" s="1482">
        <f t="shared" ca="1" si="260"/>
        <v>0</v>
      </c>
      <c r="CV102" s="1482">
        <f t="shared" ca="1" si="260"/>
        <v>0</v>
      </c>
      <c r="CW102" s="1482">
        <f t="shared" ca="1" si="260"/>
        <v>0</v>
      </c>
      <c r="CX102" s="1482">
        <f t="shared" ca="1" si="260"/>
        <v>0</v>
      </c>
      <c r="CY102" s="1482">
        <f t="shared" ca="1" si="260"/>
        <v>0</v>
      </c>
      <c r="CZ102" s="1482">
        <f t="shared" ca="1" si="260"/>
        <v>0</v>
      </c>
      <c r="DA102" s="1482">
        <f t="shared" ca="1" si="260"/>
        <v>0</v>
      </c>
      <c r="DB102" s="1482">
        <f t="shared" ca="1" si="260"/>
        <v>0</v>
      </c>
      <c r="DC102" s="1482">
        <f t="shared" ca="1" si="260"/>
        <v>0</v>
      </c>
      <c r="DD102" s="1482">
        <f t="shared" ca="1" si="260"/>
        <v>0</v>
      </c>
      <c r="DE102" s="1482">
        <f t="shared" ca="1" si="260"/>
        <v>0</v>
      </c>
      <c r="DF102" s="1482">
        <f t="shared" ca="1" si="260"/>
        <v>0</v>
      </c>
      <c r="DH102" s="838">
        <f t="shared" ca="1" si="238"/>
        <v>4.3706513640884639</v>
      </c>
    </row>
    <row r="103" spans="1:112" s="1484" customFormat="1" ht="12.75" hidden="1" customHeight="1" outlineLevel="1">
      <c r="B103" s="1492" t="s">
        <v>798</v>
      </c>
      <c r="C103" s="522" t="s">
        <v>1014</v>
      </c>
      <c r="D103" s="1010" t="str">
        <f>INDEX(Modules[Module], MATCH($C103, Modules[Code], 0))</f>
        <v>Balancing imports</v>
      </c>
      <c r="E103" s="1010"/>
      <c r="F103" s="743"/>
      <c r="G103" s="1102"/>
      <c r="H103" s="1102"/>
      <c r="I103" s="1102"/>
      <c r="J103" s="1102"/>
      <c r="K103" s="1103"/>
      <c r="L103" s="1102"/>
      <c r="M103" s="1102"/>
      <c r="N103" s="1102"/>
      <c r="O103" s="1102"/>
      <c r="P103" s="1102"/>
      <c r="Q103" s="1104">
        <f>SUM(G103:P103)</f>
        <v>0</v>
      </c>
      <c r="R103" s="743"/>
      <c r="S103" s="1105"/>
      <c r="T103" s="1105">
        <f ca="1">-(T$101+S$101)</f>
        <v>0</v>
      </c>
      <c r="U103" s="1105"/>
      <c r="V103" s="1105"/>
      <c r="W103" s="1105"/>
      <c r="X103" s="1105">
        <f ca="1">-(X$40+X$84+X$93+X$99+X$102)</f>
        <v>276.53263369884473</v>
      </c>
      <c r="Y103" s="1105">
        <f ca="1">-(Y$40+Y$84+Y$93+Y$99+Y$102)</f>
        <v>-100.59294568504538</v>
      </c>
      <c r="Z103" s="1105">
        <f ca="1">-(Z$40+Z$84+Z$93+Z$99+Z$102)</f>
        <v>169.38262838663877</v>
      </c>
      <c r="AA103" s="1105"/>
      <c r="AB103" s="1105"/>
      <c r="AC103" s="1105"/>
      <c r="AD103" s="1105"/>
      <c r="AE103" s="1105"/>
      <c r="AF103" s="1105"/>
      <c r="AG103" s="1105"/>
      <c r="AH103" s="1105"/>
      <c r="AI103" s="1105"/>
      <c r="AJ103" s="1105"/>
      <c r="AK103" s="1105">
        <f ca="1">SUM(S103:AJ103)</f>
        <v>345.32231640043813</v>
      </c>
      <c r="AL103" s="743"/>
      <c r="AM103" s="1012"/>
      <c r="AN103" s="1012"/>
      <c r="AO103" s="1012"/>
      <c r="AP103" s="1012"/>
      <c r="AQ103" s="1012">
        <f ca="1">-T103</f>
        <v>0</v>
      </c>
      <c r="AR103" s="1012">
        <f>-V103</f>
        <v>0</v>
      </c>
      <c r="AS103" s="1012">
        <f ca="1">-X103</f>
        <v>-276.53263369884473</v>
      </c>
      <c r="AT103" s="1012">
        <f ca="1">-Y103</f>
        <v>100.59294568504538</v>
      </c>
      <c r="AU103" s="1012">
        <f ca="1">-Z103</f>
        <v>-169.38262838663877</v>
      </c>
      <c r="AV103" s="1012"/>
      <c r="AW103" s="1012"/>
      <c r="AX103" s="1012"/>
      <c r="AY103" s="1012"/>
      <c r="AZ103" s="1012"/>
      <c r="BA103" s="1012"/>
      <c r="BB103" s="1012"/>
      <c r="BC103" s="1012"/>
      <c r="BD103" s="1012"/>
      <c r="BE103" s="1012"/>
      <c r="BF103" s="1012">
        <f ca="1">SUM(AM103:BE103)</f>
        <v>-345.32231640043813</v>
      </c>
      <c r="BG103" s="743"/>
      <c r="BH103" s="1106"/>
      <c r="BI103" s="1106"/>
      <c r="BJ103" s="1106">
        <f>SUM(BH103:BI103)</f>
        <v>0</v>
      </c>
      <c r="BK103" s="743"/>
      <c r="BL103" s="515">
        <f t="shared" ca="1" si="256"/>
        <v>0</v>
      </c>
      <c r="BM103" s="814"/>
      <c r="BO103" s="1485">
        <f t="shared" ca="1" si="257"/>
        <v>0</v>
      </c>
      <c r="BP103" s="1486">
        <f t="shared" ca="1" si="257"/>
        <v>0</v>
      </c>
      <c r="BQ103" s="1486">
        <f t="shared" ca="1" si="257"/>
        <v>0</v>
      </c>
      <c r="BR103" s="1486">
        <f t="shared" ca="1" si="257"/>
        <v>0</v>
      </c>
      <c r="BS103" s="1486">
        <f t="shared" ca="1" si="257"/>
        <v>0</v>
      </c>
      <c r="BT103" s="1486">
        <f t="shared" ca="1" si="257"/>
        <v>0</v>
      </c>
      <c r="BU103" s="1486">
        <f t="shared" ca="1" si="257"/>
        <v>0</v>
      </c>
      <c r="BV103" s="1486">
        <f t="shared" ca="1" si="257"/>
        <v>0</v>
      </c>
      <c r="BW103" s="1486">
        <f t="shared" ca="1" si="257"/>
        <v>0</v>
      </c>
      <c r="BX103" s="1486">
        <f t="shared" ca="1" si="257"/>
        <v>0</v>
      </c>
      <c r="BY103" s="1486">
        <f t="shared" ca="1" si="258"/>
        <v>0</v>
      </c>
      <c r="BZ103" s="1486">
        <f t="shared" ca="1" si="258"/>
        <v>0</v>
      </c>
      <c r="CA103" s="1486">
        <f t="shared" ca="1" si="258"/>
        <v>0</v>
      </c>
      <c r="CB103" s="1486">
        <f t="shared" ca="1" si="258"/>
        <v>0</v>
      </c>
      <c r="CC103" s="1486">
        <f t="shared" ca="1" si="258"/>
        <v>0</v>
      </c>
      <c r="CD103" s="1486">
        <f t="shared" ca="1" si="258"/>
        <v>0</v>
      </c>
      <c r="CE103" s="1486">
        <f t="shared" ca="1" si="258"/>
        <v>0</v>
      </c>
      <c r="CF103" s="1486">
        <f t="shared" ca="1" si="258"/>
        <v>0</v>
      </c>
      <c r="CG103" s="1486">
        <f t="shared" ca="1" si="258"/>
        <v>0</v>
      </c>
      <c r="CH103" s="1486">
        <f t="shared" ca="1" si="258"/>
        <v>0</v>
      </c>
      <c r="CI103" s="1486">
        <f t="shared" ca="1" si="259"/>
        <v>0</v>
      </c>
      <c r="CJ103" s="1486">
        <f t="shared" ca="1" si="259"/>
        <v>0</v>
      </c>
      <c r="CK103" s="1486">
        <f t="shared" ca="1" si="259"/>
        <v>0</v>
      </c>
      <c r="CL103" s="1486">
        <f t="shared" ca="1" si="259"/>
        <v>0</v>
      </c>
      <c r="CM103" s="1486">
        <f t="shared" ca="1" si="259"/>
        <v>0</v>
      </c>
      <c r="CN103" s="1486">
        <f t="shared" ca="1" si="259"/>
        <v>0</v>
      </c>
      <c r="CO103" s="1486">
        <f t="shared" ca="1" si="259"/>
        <v>0</v>
      </c>
      <c r="CP103" s="1486">
        <f t="shared" ca="1" si="259"/>
        <v>0</v>
      </c>
      <c r="CQ103" s="1486">
        <f t="shared" ca="1" si="259"/>
        <v>0</v>
      </c>
      <c r="CR103" s="1486">
        <f t="shared" ca="1" si="259"/>
        <v>0</v>
      </c>
      <c r="CS103" s="1486">
        <f t="shared" ca="1" si="260"/>
        <v>0</v>
      </c>
      <c r="CT103" s="1486">
        <f t="shared" ca="1" si="260"/>
        <v>0</v>
      </c>
      <c r="CU103" s="1486">
        <f t="shared" ca="1" si="260"/>
        <v>0</v>
      </c>
      <c r="CV103" s="1486">
        <f t="shared" ca="1" si="260"/>
        <v>0</v>
      </c>
      <c r="CW103" s="1486">
        <f t="shared" ca="1" si="260"/>
        <v>0</v>
      </c>
      <c r="CX103" s="1486">
        <f t="shared" ca="1" si="260"/>
        <v>0</v>
      </c>
      <c r="CY103" s="1486">
        <f t="shared" ca="1" si="260"/>
        <v>0</v>
      </c>
      <c r="CZ103" s="1486">
        <f t="shared" ca="1" si="260"/>
        <v>0</v>
      </c>
      <c r="DA103" s="1486">
        <f t="shared" ca="1" si="260"/>
        <v>0</v>
      </c>
      <c r="DB103" s="1486">
        <f t="shared" ca="1" si="260"/>
        <v>0</v>
      </c>
      <c r="DC103" s="1486">
        <f t="shared" ca="1" si="260"/>
        <v>0</v>
      </c>
      <c r="DD103" s="1486">
        <f t="shared" ca="1" si="260"/>
        <v>0</v>
      </c>
      <c r="DE103" s="1486">
        <f t="shared" ca="1" si="260"/>
        <v>0</v>
      </c>
      <c r="DF103" s="1486">
        <f t="shared" ca="1" si="260"/>
        <v>0</v>
      </c>
      <c r="DH103" s="838">
        <f t="shared" ca="1" si="238"/>
        <v>0</v>
      </c>
    </row>
    <row r="104" spans="1:112" s="743" customFormat="1" ht="15.75" collapsed="1">
      <c r="B104" s="753" t="s">
        <v>798</v>
      </c>
      <c r="C104" s="516" t="s">
        <v>1012</v>
      </c>
      <c r="D104" s="517" t="str">
        <f>INDEX(Workstreams[Workstream], MATCH($C104, Workstreams[Code], 0))</f>
        <v>Transfers</v>
      </c>
      <c r="E104" s="509"/>
      <c r="G104" s="1021">
        <f t="shared" ref="G104:P104" ca="1" si="261">SUM(G102:G103)</f>
        <v>0</v>
      </c>
      <c r="H104" s="1021">
        <f t="shared" ca="1" si="261"/>
        <v>0</v>
      </c>
      <c r="I104" s="1021">
        <f t="shared" ca="1" si="261"/>
        <v>0</v>
      </c>
      <c r="J104" s="1021">
        <f t="shared" ca="1" si="261"/>
        <v>0</v>
      </c>
      <c r="K104" s="1021">
        <f t="shared" ca="1" si="261"/>
        <v>0</v>
      </c>
      <c r="L104" s="1021">
        <f t="shared" ca="1" si="261"/>
        <v>0</v>
      </c>
      <c r="M104" s="1021">
        <f t="shared" ca="1" si="261"/>
        <v>0</v>
      </c>
      <c r="N104" s="1021">
        <f t="shared" ca="1" si="261"/>
        <v>0</v>
      </c>
      <c r="O104" s="1021">
        <f t="shared" ca="1" si="261"/>
        <v>0</v>
      </c>
      <c r="P104" s="1021">
        <f t="shared" ca="1" si="261"/>
        <v>0</v>
      </c>
      <c r="Q104" s="1021">
        <f ca="1">SUM(G104:P104)</f>
        <v>0</v>
      </c>
      <c r="S104" s="970">
        <f t="shared" ref="S104:AJ104" ca="1" si="262">SUM(S102:S103)</f>
        <v>0</v>
      </c>
      <c r="T104" s="970">
        <f t="shared" ca="1" si="262"/>
        <v>0</v>
      </c>
      <c r="U104" s="970">
        <f t="shared" ca="1" si="262"/>
        <v>426.93200685955935</v>
      </c>
      <c r="V104" s="970">
        <f t="shared" ca="1" si="262"/>
        <v>878.62145398424082</v>
      </c>
      <c r="W104" s="970">
        <f t="shared" ca="1" si="262"/>
        <v>996.70454264536238</v>
      </c>
      <c r="X104" s="970">
        <f t="shared" ca="1" si="262"/>
        <v>-150.39937316071462</v>
      </c>
      <c r="Y104" s="970">
        <f t="shared" ca="1" si="262"/>
        <v>-979.21439966928619</v>
      </c>
      <c r="Z104" s="970">
        <f t="shared" ca="1" si="262"/>
        <v>-838.80929321419171</v>
      </c>
      <c r="AA104" s="970">
        <f t="shared" ca="1" si="262"/>
        <v>0</v>
      </c>
      <c r="AB104" s="970">
        <f t="shared" ca="1" si="262"/>
        <v>0</v>
      </c>
      <c r="AC104" s="970">
        <f t="shared" ca="1" si="262"/>
        <v>0</v>
      </c>
      <c r="AD104" s="970">
        <f t="shared" ca="1" si="262"/>
        <v>0</v>
      </c>
      <c r="AE104" s="970">
        <f ca="1">SUM(AE102:AE103)</f>
        <v>0</v>
      </c>
      <c r="AF104" s="970">
        <f t="shared" ca="1" si="262"/>
        <v>0</v>
      </c>
      <c r="AG104" s="970">
        <f t="shared" ca="1" si="262"/>
        <v>0</v>
      </c>
      <c r="AH104" s="970">
        <f ca="1">SUM(AH102:AH103)</f>
        <v>0</v>
      </c>
      <c r="AI104" s="970">
        <f t="shared" ca="1" si="262"/>
        <v>0</v>
      </c>
      <c r="AJ104" s="970">
        <f t="shared" ca="1" si="262"/>
        <v>0</v>
      </c>
      <c r="AK104" s="970">
        <f ca="1">SUM(S104:AJ104)</f>
        <v>333.83493744496991</v>
      </c>
      <c r="AM104" s="976">
        <f t="shared" ref="AM104:BE104" ca="1" si="263">SUM(AM102:AM103)</f>
        <v>0</v>
      </c>
      <c r="AN104" s="976">
        <f t="shared" ca="1" si="263"/>
        <v>0</v>
      </c>
      <c r="AO104" s="976">
        <f t="shared" ca="1" si="263"/>
        <v>0</v>
      </c>
      <c r="AP104" s="976">
        <f t="shared" ca="1" si="263"/>
        <v>0</v>
      </c>
      <c r="AQ104" s="976">
        <f t="shared" ca="1" si="263"/>
        <v>0</v>
      </c>
      <c r="AR104" s="976">
        <f t="shared" ca="1" si="263"/>
        <v>0</v>
      </c>
      <c r="AS104" s="976">
        <f t="shared" ca="1" si="263"/>
        <v>-276.53263369884473</v>
      </c>
      <c r="AT104" s="976">
        <f t="shared" ca="1" si="263"/>
        <v>100.59294568504538</v>
      </c>
      <c r="AU104" s="976">
        <f t="shared" ca="1" si="263"/>
        <v>-169.38262838663877</v>
      </c>
      <c r="AV104" s="976">
        <f t="shared" ca="1" si="263"/>
        <v>0</v>
      </c>
      <c r="AW104" s="976">
        <f t="shared" ca="1" si="263"/>
        <v>0</v>
      </c>
      <c r="AX104" s="976">
        <f t="shared" ca="1" si="263"/>
        <v>0</v>
      </c>
      <c r="AY104" s="976">
        <f t="shared" ca="1" si="263"/>
        <v>0</v>
      </c>
      <c r="AZ104" s="976">
        <f t="shared" ca="1" si="263"/>
        <v>0</v>
      </c>
      <c r="BA104" s="976">
        <f t="shared" ca="1" si="263"/>
        <v>0</v>
      </c>
      <c r="BB104" s="976">
        <f t="shared" ca="1" si="263"/>
        <v>0</v>
      </c>
      <c r="BC104" s="976">
        <f t="shared" ca="1" si="263"/>
        <v>0</v>
      </c>
      <c r="BD104" s="976">
        <f t="shared" ca="1" si="263"/>
        <v>0</v>
      </c>
      <c r="BE104" s="976">
        <f t="shared" ca="1" si="263"/>
        <v>0</v>
      </c>
      <c r="BF104" s="976">
        <f ca="1">SUM(AM104:BE104)</f>
        <v>-345.32231640043813</v>
      </c>
      <c r="BH104" s="990">
        <f ca="1">SUM(BH102:BH103)</f>
        <v>0</v>
      </c>
      <c r="BI104" s="990">
        <f ca="1">SUM(BI102:BI103)</f>
        <v>11.487378955468159</v>
      </c>
      <c r="BJ104" s="990">
        <f ca="1">SUM(BH104:BI104)</f>
        <v>11.487378955468159</v>
      </c>
      <c r="BL104" s="515">
        <f t="shared" ca="1" si="256"/>
        <v>-5.6843418860808015E-14</v>
      </c>
      <c r="BM104" s="515"/>
      <c r="BN104" s="840"/>
      <c r="BO104" s="1482">
        <f t="shared" ref="BO104:DF104" ca="1" si="264">SUM(BO102:BO103)</f>
        <v>0</v>
      </c>
      <c r="BP104" s="1482">
        <f t="shared" ca="1" si="264"/>
        <v>0</v>
      </c>
      <c r="BQ104" s="1482">
        <f t="shared" ca="1" si="264"/>
        <v>0</v>
      </c>
      <c r="BR104" s="1482">
        <f t="shared" ca="1" si="264"/>
        <v>0</v>
      </c>
      <c r="BS104" s="1482">
        <f t="shared" ca="1" si="264"/>
        <v>0</v>
      </c>
      <c r="BT104" s="1482">
        <f t="shared" ca="1" si="264"/>
        <v>4.3706513640884639</v>
      </c>
      <c r="BU104" s="1482">
        <f t="shared" ca="1" si="264"/>
        <v>0</v>
      </c>
      <c r="BV104" s="1482">
        <f t="shared" ca="1" si="264"/>
        <v>0</v>
      </c>
      <c r="BW104" s="1482">
        <f t="shared" ca="1" si="264"/>
        <v>0</v>
      </c>
      <c r="BX104" s="1482">
        <f t="shared" ca="1" si="264"/>
        <v>0</v>
      </c>
      <c r="BY104" s="1482">
        <f t="shared" ca="1" si="264"/>
        <v>0</v>
      </c>
      <c r="BZ104" s="1482">
        <f t="shared" ca="1" si="264"/>
        <v>0</v>
      </c>
      <c r="CA104" s="1482">
        <f t="shared" ca="1" si="264"/>
        <v>0</v>
      </c>
      <c r="CB104" s="1482">
        <f t="shared" ca="1" si="264"/>
        <v>0</v>
      </c>
      <c r="CC104" s="1482">
        <f t="shared" ca="1" si="264"/>
        <v>0</v>
      </c>
      <c r="CD104" s="1482">
        <f t="shared" ca="1" si="264"/>
        <v>0</v>
      </c>
      <c r="CE104" s="1482">
        <f t="shared" ca="1" si="264"/>
        <v>0</v>
      </c>
      <c r="CF104" s="1482">
        <f t="shared" ca="1" si="264"/>
        <v>0</v>
      </c>
      <c r="CG104" s="1482">
        <f t="shared" ca="1" si="264"/>
        <v>0</v>
      </c>
      <c r="CH104" s="1482">
        <f t="shared" ca="1" si="264"/>
        <v>0</v>
      </c>
      <c r="CI104" s="1482">
        <f t="shared" ca="1" si="264"/>
        <v>0</v>
      </c>
      <c r="CJ104" s="1482">
        <f t="shared" ca="1" si="264"/>
        <v>0</v>
      </c>
      <c r="CK104" s="1482">
        <f t="shared" ca="1" si="264"/>
        <v>0</v>
      </c>
      <c r="CL104" s="1482">
        <f t="shared" ca="1" si="264"/>
        <v>0</v>
      </c>
      <c r="CM104" s="1482">
        <f t="shared" ca="1" si="264"/>
        <v>0</v>
      </c>
      <c r="CN104" s="1482">
        <f t="shared" ca="1" si="264"/>
        <v>0</v>
      </c>
      <c r="CO104" s="1482">
        <f t="shared" ca="1" si="264"/>
        <v>0</v>
      </c>
      <c r="CP104" s="1482">
        <f t="shared" ca="1" si="264"/>
        <v>0</v>
      </c>
      <c r="CQ104" s="1482">
        <f t="shared" ca="1" si="264"/>
        <v>0</v>
      </c>
      <c r="CR104" s="1482">
        <f t="shared" ca="1" si="264"/>
        <v>0</v>
      </c>
      <c r="CS104" s="1482">
        <f t="shared" ca="1" si="264"/>
        <v>0</v>
      </c>
      <c r="CT104" s="1482">
        <f t="shared" ca="1" si="264"/>
        <v>0</v>
      </c>
      <c r="CU104" s="1482">
        <f t="shared" ca="1" si="264"/>
        <v>0</v>
      </c>
      <c r="CV104" s="1482">
        <f t="shared" ca="1" si="264"/>
        <v>0</v>
      </c>
      <c r="CW104" s="1482">
        <f t="shared" ca="1" si="264"/>
        <v>0</v>
      </c>
      <c r="CX104" s="1482">
        <f t="shared" ca="1" si="264"/>
        <v>0</v>
      </c>
      <c r="CY104" s="1482">
        <f t="shared" ca="1" si="264"/>
        <v>0</v>
      </c>
      <c r="CZ104" s="1482">
        <f t="shared" ca="1" si="264"/>
        <v>0</v>
      </c>
      <c r="DA104" s="1482">
        <f t="shared" ca="1" si="264"/>
        <v>0</v>
      </c>
      <c r="DB104" s="1482">
        <f t="shared" ca="1" si="264"/>
        <v>0</v>
      </c>
      <c r="DC104" s="1482">
        <f t="shared" ca="1" si="264"/>
        <v>0</v>
      </c>
      <c r="DD104" s="1482">
        <f t="shared" ca="1" si="264"/>
        <v>0</v>
      </c>
      <c r="DE104" s="1482">
        <f t="shared" ca="1" si="264"/>
        <v>0</v>
      </c>
      <c r="DF104" s="1482">
        <f t="shared" ca="1" si="264"/>
        <v>0</v>
      </c>
      <c r="DH104" s="838">
        <f t="shared" ca="1" si="238"/>
        <v>4.3706513640884639</v>
      </c>
    </row>
    <row r="105" spans="1:112" s="743" customFormat="1" ht="6" customHeight="1">
      <c r="C105" s="508"/>
      <c r="D105" s="509"/>
      <c r="E105" s="509"/>
      <c r="G105" s="958"/>
      <c r="H105" s="958"/>
      <c r="I105" s="958"/>
      <c r="J105" s="958"/>
      <c r="K105" s="960"/>
      <c r="L105" s="958"/>
      <c r="M105" s="958"/>
      <c r="N105" s="958"/>
      <c r="O105" s="958"/>
      <c r="P105" s="958"/>
      <c r="Q105" s="958"/>
      <c r="S105" s="970"/>
      <c r="T105" s="970"/>
      <c r="U105" s="970"/>
      <c r="V105" s="970"/>
      <c r="W105" s="970"/>
      <c r="X105" s="970"/>
      <c r="Y105" s="970"/>
      <c r="Z105" s="970"/>
      <c r="AA105" s="970"/>
      <c r="AB105" s="970"/>
      <c r="AC105" s="970"/>
      <c r="AD105" s="970"/>
      <c r="AE105" s="970"/>
      <c r="AF105" s="970"/>
      <c r="AG105" s="970"/>
      <c r="AH105" s="970"/>
      <c r="AI105" s="970"/>
      <c r="AJ105" s="970"/>
      <c r="AK105" s="970"/>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H105" s="990"/>
      <c r="BI105" s="990"/>
      <c r="BJ105" s="990"/>
      <c r="BL105" s="515">
        <f t="shared" si="256"/>
        <v>0</v>
      </c>
      <c r="BM105" s="515"/>
      <c r="BO105" s="1482"/>
      <c r="BP105" s="1482"/>
      <c r="BQ105" s="1482"/>
      <c r="BR105" s="1482"/>
      <c r="BS105" s="1482"/>
      <c r="BT105" s="1482"/>
      <c r="BU105" s="1482"/>
      <c r="BV105" s="1482"/>
      <c r="BW105" s="1482"/>
      <c r="BX105" s="1482"/>
      <c r="BY105" s="1482"/>
      <c r="BZ105" s="1482"/>
      <c r="CA105" s="1482"/>
      <c r="CB105" s="1482"/>
      <c r="CC105" s="1482"/>
      <c r="CD105" s="1482"/>
      <c r="CE105" s="1482"/>
      <c r="CF105" s="1482"/>
      <c r="CG105" s="1482"/>
      <c r="CH105" s="1482"/>
      <c r="CI105" s="1482"/>
      <c r="CJ105" s="1482"/>
      <c r="CK105" s="1482"/>
      <c r="CL105" s="1482"/>
      <c r="CM105" s="1482"/>
      <c r="CN105" s="1482"/>
      <c r="CO105" s="1482"/>
      <c r="CP105" s="1482"/>
      <c r="CQ105" s="1482"/>
      <c r="CR105" s="1482"/>
      <c r="CS105" s="1482"/>
      <c r="CT105" s="1482"/>
      <c r="CU105" s="1482"/>
      <c r="CV105" s="1482"/>
      <c r="CW105" s="1482"/>
      <c r="CX105" s="1482"/>
      <c r="CY105" s="1482"/>
      <c r="CZ105" s="1482"/>
      <c r="DA105" s="1482"/>
      <c r="DB105" s="1482"/>
      <c r="DC105" s="1482"/>
      <c r="DD105" s="1482"/>
      <c r="DE105" s="1482"/>
      <c r="DF105" s="1482"/>
      <c r="DH105" s="838"/>
    </row>
    <row r="106" spans="1:112" s="743" customFormat="1" ht="15.75">
      <c r="B106" s="753"/>
      <c r="C106" s="2050" t="s">
        <v>1817</v>
      </c>
      <c r="D106" s="643" t="s">
        <v>1016</v>
      </c>
      <c r="E106" s="644"/>
      <c r="G106" s="1075">
        <f t="shared" ref="G106:P106" ca="1" si="265">G$93+G$99+G$104</f>
        <v>0</v>
      </c>
      <c r="H106" s="1075">
        <f t="shared" ca="1" si="265"/>
        <v>0</v>
      </c>
      <c r="I106" s="1075">
        <f t="shared" ca="1" si="265"/>
        <v>0</v>
      </c>
      <c r="J106" s="1075">
        <f t="shared" ca="1" si="265"/>
        <v>0</v>
      </c>
      <c r="K106" s="1076">
        <f t="shared" ca="1" si="265"/>
        <v>0</v>
      </c>
      <c r="L106" s="1075">
        <f t="shared" ca="1" si="265"/>
        <v>0</v>
      </c>
      <c r="M106" s="1075">
        <f t="shared" ca="1" si="265"/>
        <v>0</v>
      </c>
      <c r="N106" s="1075">
        <f t="shared" ca="1" si="265"/>
        <v>0</v>
      </c>
      <c r="O106" s="1075">
        <f t="shared" ca="1" si="265"/>
        <v>0</v>
      </c>
      <c r="P106" s="1075">
        <f t="shared" ca="1" si="265"/>
        <v>0</v>
      </c>
      <c r="Q106" s="1023">
        <f ca="1">SUM(G106:P106)</f>
        <v>0</v>
      </c>
      <c r="S106" s="1014">
        <f t="shared" ref="S106:AJ106" ca="1" si="266">S$93+S$99+S$104</f>
        <v>0</v>
      </c>
      <c r="T106" s="1014">
        <f t="shared" ca="1" si="266"/>
        <v>-22.595457389635897</v>
      </c>
      <c r="U106" s="1014">
        <f t="shared" ca="1" si="266"/>
        <v>442.86489976108777</v>
      </c>
      <c r="V106" s="1014">
        <f t="shared" ca="1" si="266"/>
        <v>880.010639206463</v>
      </c>
      <c r="W106" s="1014">
        <f t="shared" ca="1" si="266"/>
        <v>1018.9565773566303</v>
      </c>
      <c r="X106" s="1014">
        <f t="shared" ca="1" si="266"/>
        <v>-150.39937316071462</v>
      </c>
      <c r="Y106" s="1014">
        <f t="shared" ca="1" si="266"/>
        <v>-979.21439966928619</v>
      </c>
      <c r="Z106" s="1014">
        <f t="shared" ca="1" si="266"/>
        <v>-838.80929321419171</v>
      </c>
      <c r="AA106" s="1014">
        <f t="shared" ca="1" si="266"/>
        <v>0</v>
      </c>
      <c r="AB106" s="1014">
        <f t="shared" ca="1" si="266"/>
        <v>0</v>
      </c>
      <c r="AC106" s="1014">
        <f t="shared" ca="1" si="266"/>
        <v>0</v>
      </c>
      <c r="AD106" s="1014">
        <f t="shared" ca="1" si="266"/>
        <v>-0.82222222222222219</v>
      </c>
      <c r="AE106" s="1014">
        <f t="shared" ca="1" si="266"/>
        <v>-4.0593000000000004</v>
      </c>
      <c r="AF106" s="1014">
        <f t="shared" ca="1" si="266"/>
        <v>-12.81861433503159</v>
      </c>
      <c r="AG106" s="1014">
        <f t="shared" ca="1" si="266"/>
        <v>-4.9610477000000008</v>
      </c>
      <c r="AH106" s="1014">
        <f t="shared" ca="1" si="266"/>
        <v>-18.283196551267896</v>
      </c>
      <c r="AI106" s="1014">
        <f t="shared" ca="1" si="266"/>
        <v>0</v>
      </c>
      <c r="AJ106" s="1014">
        <f t="shared" ca="1" si="266"/>
        <v>0</v>
      </c>
      <c r="AK106" s="1014">
        <f ca="1">SUM(S106:AJ106)</f>
        <v>309.86921208183082</v>
      </c>
      <c r="AM106" s="1015">
        <f t="shared" ref="AM106:BE106" ca="1" si="267">AM$93+AM$99+AM$104</f>
        <v>0</v>
      </c>
      <c r="AN106" s="1015">
        <f t="shared" ca="1" si="267"/>
        <v>0</v>
      </c>
      <c r="AO106" s="1015">
        <f t="shared" ca="1" si="267"/>
        <v>0</v>
      </c>
      <c r="AP106" s="1015">
        <f t="shared" ca="1" si="267"/>
        <v>-4.0007200000000003</v>
      </c>
      <c r="AQ106" s="1015">
        <f t="shared" ca="1" si="267"/>
        <v>-5.2145242500000002</v>
      </c>
      <c r="AR106" s="1015">
        <f t="shared" ca="1" si="267"/>
        <v>0</v>
      </c>
      <c r="AS106" s="1015">
        <f t="shared" ca="1" si="267"/>
        <v>-276.53263369884473</v>
      </c>
      <c r="AT106" s="1015">
        <f t="shared" ca="1" si="267"/>
        <v>100.59294568504538</v>
      </c>
      <c r="AU106" s="1015">
        <f t="shared" ca="1" si="267"/>
        <v>-169.38262838663877</v>
      </c>
      <c r="AV106" s="1015">
        <f t="shared" ca="1" si="267"/>
        <v>0</v>
      </c>
      <c r="AW106" s="1015">
        <f t="shared" ca="1" si="267"/>
        <v>0</v>
      </c>
      <c r="AX106" s="1015">
        <f t="shared" ca="1" si="267"/>
        <v>0</v>
      </c>
      <c r="AY106" s="1015">
        <f t="shared" ca="1" si="267"/>
        <v>0</v>
      </c>
      <c r="AZ106" s="1015">
        <f t="shared" ca="1" si="267"/>
        <v>0</v>
      </c>
      <c r="BA106" s="1015">
        <f t="shared" ca="1" si="267"/>
        <v>0</v>
      </c>
      <c r="BB106" s="1015">
        <f t="shared" ca="1" si="267"/>
        <v>0</v>
      </c>
      <c r="BC106" s="1015">
        <f t="shared" ca="1" si="267"/>
        <v>0</v>
      </c>
      <c r="BD106" s="1015">
        <f t="shared" ca="1" si="267"/>
        <v>0</v>
      </c>
      <c r="BE106" s="1015">
        <f t="shared" ca="1" si="267"/>
        <v>0</v>
      </c>
      <c r="BF106" s="1015">
        <f ca="1">SUM(AM106:BE106)</f>
        <v>-354.53756065043814</v>
      </c>
      <c r="BH106" s="1016">
        <f ca="1">BH$93+BH$99+BH$104</f>
        <v>6.5964879735031543</v>
      </c>
      <c r="BI106" s="1016">
        <f ca="1">BI$93+BI$99+BI$104</f>
        <v>38.071860595104042</v>
      </c>
      <c r="BJ106" s="1016">
        <f ca="1">SUM(BH106:BI106)</f>
        <v>44.668348568607193</v>
      </c>
      <c r="BL106" s="518">
        <f t="shared" ca="1" si="256"/>
        <v>-1.2079226507921703E-13</v>
      </c>
      <c r="BM106" s="518"/>
      <c r="BO106" s="1487">
        <f t="shared" ref="BO106:DE106" ca="1" si="268">BO$93+BO$99+BO$104</f>
        <v>0</v>
      </c>
      <c r="BP106" s="1487">
        <f t="shared" ca="1" si="268"/>
        <v>0</v>
      </c>
      <c r="BQ106" s="1487">
        <f t="shared" ca="1" si="268"/>
        <v>0</v>
      </c>
      <c r="BR106" s="1487">
        <f t="shared" ca="1" si="268"/>
        <v>0</v>
      </c>
      <c r="BS106" s="1487">
        <f t="shared" ca="1" si="268"/>
        <v>0</v>
      </c>
      <c r="BT106" s="1487">
        <f t="shared" ca="1" si="268"/>
        <v>4.3706513640884639</v>
      </c>
      <c r="BU106" s="1487">
        <f t="shared" ca="1" si="268"/>
        <v>0</v>
      </c>
      <c r="BV106" s="1487">
        <f t="shared" ca="1" si="268"/>
        <v>0</v>
      </c>
      <c r="BW106" s="1487">
        <f t="shared" ca="1" si="268"/>
        <v>0</v>
      </c>
      <c r="BX106" s="1487">
        <f t="shared" ca="1" si="268"/>
        <v>0</v>
      </c>
      <c r="BY106" s="1487">
        <f t="shared" ca="1" si="268"/>
        <v>0</v>
      </c>
      <c r="BZ106" s="1487">
        <f t="shared" ca="1" si="268"/>
        <v>0</v>
      </c>
      <c r="CA106" s="1487">
        <f t="shared" ca="1" si="268"/>
        <v>0</v>
      </c>
      <c r="CB106" s="1487">
        <f t="shared" ca="1" si="268"/>
        <v>0</v>
      </c>
      <c r="CC106" s="1487">
        <f t="shared" ca="1" si="268"/>
        <v>0</v>
      </c>
      <c r="CD106" s="1487">
        <f t="shared" ca="1" si="268"/>
        <v>0</v>
      </c>
      <c r="CE106" s="1487">
        <f t="shared" ca="1" si="268"/>
        <v>0</v>
      </c>
      <c r="CF106" s="1487">
        <f t="shared" ca="1" si="268"/>
        <v>0</v>
      </c>
      <c r="CG106" s="1487">
        <f t="shared" ca="1" si="268"/>
        <v>0</v>
      </c>
      <c r="CH106" s="1487">
        <f t="shared" ca="1" si="268"/>
        <v>0</v>
      </c>
      <c r="CI106" s="1487">
        <f t="shared" ca="1" si="268"/>
        <v>0</v>
      </c>
      <c r="CJ106" s="1487">
        <f t="shared" ca="1" si="268"/>
        <v>0</v>
      </c>
      <c r="CK106" s="1487">
        <f t="shared" ca="1" si="268"/>
        <v>0</v>
      </c>
      <c r="CL106" s="1487">
        <f t="shared" ca="1" si="268"/>
        <v>0</v>
      </c>
      <c r="CM106" s="1487">
        <f t="shared" ca="1" si="268"/>
        <v>0</v>
      </c>
      <c r="CN106" s="1487">
        <f t="shared" ca="1" si="268"/>
        <v>0</v>
      </c>
      <c r="CO106" s="1487">
        <f t="shared" ca="1" si="268"/>
        <v>0</v>
      </c>
      <c r="CP106" s="1487">
        <f t="shared" ca="1" si="268"/>
        <v>0</v>
      </c>
      <c r="CQ106" s="1487">
        <f t="shared" ca="1" si="268"/>
        <v>0</v>
      </c>
      <c r="CR106" s="1487">
        <f t="shared" ca="1" si="268"/>
        <v>0</v>
      </c>
      <c r="CS106" s="1487">
        <f t="shared" ca="1" si="268"/>
        <v>0</v>
      </c>
      <c r="CT106" s="1487">
        <f t="shared" ca="1" si="268"/>
        <v>0</v>
      </c>
      <c r="CU106" s="1487">
        <f t="shared" ca="1" si="268"/>
        <v>0</v>
      </c>
      <c r="CV106" s="1487">
        <f t="shared" ca="1" si="268"/>
        <v>0</v>
      </c>
      <c r="CW106" s="1487">
        <f t="shared" ca="1" si="268"/>
        <v>0</v>
      </c>
      <c r="CX106" s="1487">
        <f t="shared" ca="1" si="268"/>
        <v>0</v>
      </c>
      <c r="CY106" s="1487">
        <f t="shared" ca="1" si="268"/>
        <v>-9.3490017060996049</v>
      </c>
      <c r="CZ106" s="1487">
        <f t="shared" ca="1" si="268"/>
        <v>0</v>
      </c>
      <c r="DA106" s="1487">
        <f t="shared" ca="1" si="268"/>
        <v>0</v>
      </c>
      <c r="DB106" s="1487">
        <f t="shared" ca="1" si="268"/>
        <v>0</v>
      </c>
      <c r="DC106" s="1487">
        <f t="shared" ca="1" si="268"/>
        <v>0</v>
      </c>
      <c r="DD106" s="1487">
        <f t="shared" ca="1" si="268"/>
        <v>0</v>
      </c>
      <c r="DE106" s="1487">
        <f t="shared" ca="1" si="268"/>
        <v>0</v>
      </c>
      <c r="DF106" s="1487">
        <f ca="1">DF$93+DF$104</f>
        <v>0</v>
      </c>
      <c r="DH106" s="835">
        <f ca="1">SUM(BO106:DF106)</f>
        <v>-4.978350342011141</v>
      </c>
    </row>
    <row r="107" spans="1:112" s="743" customFormat="1">
      <c r="C107" s="508"/>
      <c r="D107" s="509"/>
      <c r="E107" s="509"/>
      <c r="G107" s="958"/>
      <c r="H107" s="958"/>
      <c r="I107" s="958"/>
      <c r="J107" s="958"/>
      <c r="K107" s="960"/>
      <c r="L107" s="958"/>
      <c r="M107" s="958"/>
      <c r="N107" s="958"/>
      <c r="O107" s="958"/>
      <c r="P107" s="958"/>
      <c r="Q107" s="958"/>
      <c r="S107" s="970"/>
      <c r="T107" s="970"/>
      <c r="U107" s="970"/>
      <c r="V107" s="970"/>
      <c r="W107" s="970"/>
      <c r="X107" s="970"/>
      <c r="Y107" s="970"/>
      <c r="Z107" s="970"/>
      <c r="AA107" s="970"/>
      <c r="AB107" s="970"/>
      <c r="AC107" s="970"/>
      <c r="AD107" s="970"/>
      <c r="AE107" s="970"/>
      <c r="AF107" s="970"/>
      <c r="AG107" s="970"/>
      <c r="AH107" s="970"/>
      <c r="AI107" s="970"/>
      <c r="AJ107" s="970"/>
      <c r="AK107" s="970"/>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H107" s="990"/>
      <c r="BI107" s="990"/>
      <c r="BJ107" s="990"/>
      <c r="BL107" s="515">
        <f t="shared" si="256"/>
        <v>0</v>
      </c>
      <c r="BM107" s="515"/>
      <c r="BO107" s="1482"/>
      <c r="BP107" s="1482"/>
      <c r="BQ107" s="1482"/>
      <c r="BR107" s="1482"/>
      <c r="BS107" s="1482"/>
      <c r="BT107" s="1482"/>
      <c r="BU107" s="1482"/>
      <c r="BV107" s="1482"/>
      <c r="BW107" s="1482"/>
      <c r="BX107" s="1482"/>
      <c r="BY107" s="1482"/>
      <c r="BZ107" s="1482"/>
      <c r="CA107" s="1482"/>
      <c r="CB107" s="1482"/>
      <c r="CC107" s="1482"/>
      <c r="CD107" s="1482"/>
      <c r="CE107" s="1482"/>
      <c r="CF107" s="1482"/>
      <c r="CG107" s="1482"/>
      <c r="CH107" s="1482"/>
      <c r="CI107" s="1482"/>
      <c r="CJ107" s="1482"/>
      <c r="CK107" s="1482"/>
      <c r="CL107" s="1482"/>
      <c r="CM107" s="1482"/>
      <c r="CN107" s="1482"/>
      <c r="CO107" s="1482"/>
      <c r="CP107" s="1482"/>
      <c r="CQ107" s="1482"/>
      <c r="CR107" s="1482"/>
      <c r="CS107" s="1482"/>
      <c r="CT107" s="1482"/>
      <c r="CU107" s="1482"/>
      <c r="CV107" s="1482"/>
      <c r="CW107" s="1482"/>
      <c r="CX107" s="1482"/>
      <c r="CY107" s="1482"/>
      <c r="CZ107" s="1482"/>
      <c r="DA107" s="1482"/>
      <c r="DB107" s="1482"/>
      <c r="DC107" s="1482"/>
      <c r="DD107" s="1482"/>
      <c r="DE107" s="1482"/>
      <c r="DF107" s="1482"/>
      <c r="DH107" s="838"/>
    </row>
    <row r="108" spans="1:112" s="743" customFormat="1" ht="13.5" thickBot="1">
      <c r="C108" s="508"/>
      <c r="D108" s="509"/>
      <c r="E108" s="509"/>
      <c r="G108" s="958"/>
      <c r="H108" s="958"/>
      <c r="I108" s="958"/>
      <c r="J108" s="958"/>
      <c r="K108" s="960"/>
      <c r="L108" s="958"/>
      <c r="M108" s="958"/>
      <c r="N108" s="958"/>
      <c r="O108" s="958"/>
      <c r="P108" s="958"/>
      <c r="Q108" s="958"/>
      <c r="S108" s="970"/>
      <c r="T108" s="970"/>
      <c r="U108" s="970"/>
      <c r="V108" s="970"/>
      <c r="W108" s="970"/>
      <c r="X108" s="970"/>
      <c r="Y108" s="970"/>
      <c r="Z108" s="970"/>
      <c r="AA108" s="970"/>
      <c r="AB108" s="970"/>
      <c r="AC108" s="970"/>
      <c r="AD108" s="970"/>
      <c r="AE108" s="970"/>
      <c r="AF108" s="970"/>
      <c r="AG108" s="970"/>
      <c r="AH108" s="970"/>
      <c r="AI108" s="970"/>
      <c r="AJ108" s="970"/>
      <c r="AK108" s="970"/>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H108" s="990"/>
      <c r="BI108" s="990"/>
      <c r="BJ108" s="990"/>
      <c r="BL108" s="515">
        <f t="shared" si="256"/>
        <v>0</v>
      </c>
      <c r="BM108" s="515"/>
      <c r="BO108" s="1482"/>
      <c r="BP108" s="1482"/>
      <c r="BQ108" s="1482"/>
      <c r="BR108" s="1482"/>
      <c r="BS108" s="1482"/>
      <c r="BT108" s="1482"/>
      <c r="BU108" s="1482"/>
      <c r="BV108" s="1482"/>
      <c r="BW108" s="1482"/>
      <c r="BX108" s="1482"/>
      <c r="BY108" s="1482"/>
      <c r="BZ108" s="1482"/>
      <c r="CA108" s="1482"/>
      <c r="CB108" s="1482"/>
      <c r="CC108" s="1482"/>
      <c r="CD108" s="1482"/>
      <c r="CE108" s="1482"/>
      <c r="CF108" s="1482"/>
      <c r="CG108" s="1482"/>
      <c r="CH108" s="1482"/>
      <c r="CI108" s="1482"/>
      <c r="CJ108" s="1482"/>
      <c r="CK108" s="1482"/>
      <c r="CL108" s="1482"/>
      <c r="CM108" s="1482"/>
      <c r="CN108" s="1482"/>
      <c r="CO108" s="1482"/>
      <c r="CP108" s="1482"/>
      <c r="CQ108" s="1482"/>
      <c r="CR108" s="1482"/>
      <c r="CS108" s="1482"/>
      <c r="CT108" s="1482"/>
      <c r="CU108" s="1482"/>
      <c r="CV108" s="1482"/>
      <c r="CW108" s="1482"/>
      <c r="CX108" s="1482"/>
      <c r="CY108" s="1482"/>
      <c r="CZ108" s="1482"/>
      <c r="DA108" s="1482"/>
      <c r="DB108" s="1482"/>
      <c r="DC108" s="1482"/>
      <c r="DD108" s="1482"/>
      <c r="DE108" s="1482"/>
      <c r="DF108" s="1482"/>
      <c r="DH108" s="838"/>
    </row>
    <row r="109" spans="1:112" s="743" customFormat="1" ht="24" customHeight="1" thickBot="1">
      <c r="C109" s="608" t="s">
        <v>593</v>
      </c>
      <c r="D109" s="608"/>
      <c r="E109" s="608"/>
      <c r="G109" s="1098">
        <f t="shared" ref="G109:P109" ca="1" si="269">G$40+G$84+G$106</f>
        <v>498.42483853439262</v>
      </c>
      <c r="H109" s="1098">
        <f t="shared" ca="1" si="269"/>
        <v>176.36080205964583</v>
      </c>
      <c r="I109" s="1098">
        <f t="shared" ca="1" si="269"/>
        <v>484.94967152772296</v>
      </c>
      <c r="J109" s="1098">
        <f t="shared" ca="1" si="269"/>
        <v>490.85404977847907</v>
      </c>
      <c r="K109" s="1098">
        <f t="shared" ca="1" si="269"/>
        <v>15.852446803025652</v>
      </c>
      <c r="L109" s="1098">
        <f t="shared" ca="1" si="269"/>
        <v>9.0198346087095516</v>
      </c>
      <c r="M109" s="1098">
        <f t="shared" ca="1" si="269"/>
        <v>18.817339999999998</v>
      </c>
      <c r="N109" s="1098">
        <f t="shared" ca="1" si="269"/>
        <v>152.99167541479133</v>
      </c>
      <c r="O109" s="1098">
        <f t="shared" ca="1" si="269"/>
        <v>29.222291428230907</v>
      </c>
      <c r="P109" s="1098">
        <f t="shared" ca="1" si="269"/>
        <v>0</v>
      </c>
      <c r="Q109" s="1098">
        <f ca="1">SUM(G109:P109)</f>
        <v>1876.492950154998</v>
      </c>
      <c r="S109" s="1099">
        <f t="shared" ref="S109:AJ109" ca="1" si="270">S$40+S$84+S$106</f>
        <v>-354.55512401053005</v>
      </c>
      <c r="T109" s="1099">
        <f t="shared" ca="1" si="270"/>
        <v>354.55512401053005</v>
      </c>
      <c r="U109" s="1099">
        <f t="shared" ca="1" si="270"/>
        <v>0</v>
      </c>
      <c r="V109" s="1099">
        <f t="shared" ca="1" si="270"/>
        <v>0</v>
      </c>
      <c r="W109" s="1099">
        <f t="shared" ca="1" si="270"/>
        <v>0</v>
      </c>
      <c r="X109" s="1099">
        <f t="shared" ca="1" si="270"/>
        <v>0</v>
      </c>
      <c r="Y109" s="1099">
        <f t="shared" ca="1" si="270"/>
        <v>0</v>
      </c>
      <c r="Z109" s="1099">
        <f t="shared" ca="1" si="270"/>
        <v>0</v>
      </c>
      <c r="AA109" s="1099">
        <f t="shared" ca="1" si="270"/>
        <v>0</v>
      </c>
      <c r="AB109" s="1099">
        <f t="shared" ca="1" si="270"/>
        <v>0</v>
      </c>
      <c r="AC109" s="1099">
        <f t="shared" ca="1" si="270"/>
        <v>0</v>
      </c>
      <c r="AD109" s="1099">
        <f t="shared" ca="1" si="270"/>
        <v>0</v>
      </c>
      <c r="AE109" s="1099">
        <f t="shared" ca="1" si="270"/>
        <v>0</v>
      </c>
      <c r="AF109" s="1099">
        <f t="shared" ca="1" si="270"/>
        <v>0</v>
      </c>
      <c r="AG109" s="1099">
        <f t="shared" ca="1" si="270"/>
        <v>0</v>
      </c>
      <c r="AH109" s="1099">
        <f t="shared" ca="1" si="270"/>
        <v>0</v>
      </c>
      <c r="AI109" s="1099">
        <f t="shared" ca="1" si="270"/>
        <v>0</v>
      </c>
      <c r="AJ109" s="1099">
        <f t="shared" ca="1" si="270"/>
        <v>0</v>
      </c>
      <c r="AK109" s="1099">
        <f ca="1">SUM(S109:AJ109)</f>
        <v>0</v>
      </c>
      <c r="AM109" s="1100">
        <f t="shared" ref="AM109:BE109" ca="1" si="271">AM$40+AM$84+AM$106</f>
        <v>-124.39544583847987</v>
      </c>
      <c r="AN109" s="1100">
        <f t="shared" ca="1" si="271"/>
        <v>-975.89120834979803</v>
      </c>
      <c r="AO109" s="1100">
        <f t="shared" ca="1" si="271"/>
        <v>-838.80929321419171</v>
      </c>
      <c r="AP109" s="1100">
        <f t="shared" ca="1" si="271"/>
        <v>-4.0007200000000003</v>
      </c>
      <c r="AQ109" s="1100">
        <f t="shared" ca="1" si="271"/>
        <v>-5.2145242500000002</v>
      </c>
      <c r="AR109" s="1100">
        <f t="shared" ca="1" si="271"/>
        <v>0</v>
      </c>
      <c r="AS109" s="1100">
        <f t="shared" ca="1" si="271"/>
        <v>-276.53263369884473</v>
      </c>
      <c r="AT109" s="1100">
        <f t="shared" ca="1" si="271"/>
        <v>100.59294568504538</v>
      </c>
      <c r="AU109" s="1100">
        <f t="shared" ca="1" si="271"/>
        <v>-169.38262838663877</v>
      </c>
      <c r="AV109" s="1100">
        <f t="shared" ca="1" si="271"/>
        <v>-163.91620313701554</v>
      </c>
      <c r="AW109" s="1100">
        <f t="shared" ca="1" si="271"/>
        <v>-1.700604E-2</v>
      </c>
      <c r="AX109" s="1100">
        <f t="shared" ca="1" si="271"/>
        <v>-5.9627524176000009</v>
      </c>
      <c r="AY109" s="1100">
        <f t="shared" ca="1" si="271"/>
        <v>0</v>
      </c>
      <c r="AZ109" s="1100">
        <f t="shared" ca="1" si="271"/>
        <v>0</v>
      </c>
      <c r="BA109" s="1100">
        <f t="shared" ca="1" si="271"/>
        <v>0</v>
      </c>
      <c r="BB109" s="1100">
        <f t="shared" ca="1" si="271"/>
        <v>-4.1144009940000004</v>
      </c>
      <c r="BC109" s="1100">
        <f t="shared" ca="1" si="271"/>
        <v>0</v>
      </c>
      <c r="BD109" s="1100">
        <f t="shared" ca="1" si="271"/>
        <v>-4.8815222222222223</v>
      </c>
      <c r="BE109" s="1100">
        <f t="shared" ca="1" si="271"/>
        <v>-62.066785908534214</v>
      </c>
      <c r="BF109" s="1100">
        <f ca="1">SUM(AM109:BE109)</f>
        <v>-2534.59217877228</v>
      </c>
      <c r="BH109" s="1101">
        <f ca="1">BH$40+BH$84+BH$106</f>
        <v>537.01036674602051</v>
      </c>
      <c r="BI109" s="1101">
        <f ca="1">BI$40+BI$84+BI$106</f>
        <v>121.08886187126127</v>
      </c>
      <c r="BJ109" s="1101">
        <f ca="1">SUM(BH109:BI109)</f>
        <v>658.09922861728182</v>
      </c>
      <c r="BL109" s="514">
        <f t="shared" ca="1" si="256"/>
        <v>0</v>
      </c>
      <c r="BM109" s="514"/>
      <c r="BO109" s="1493">
        <f t="shared" ref="BO109:DF109" ca="1" si="272">BO$40+BO$84+BO$106</f>
        <v>498.30905816919517</v>
      </c>
      <c r="BP109" s="1493">
        <f t="shared" ca="1" si="272"/>
        <v>0.99363248873393306</v>
      </c>
      <c r="BQ109" s="1493">
        <f t="shared" ca="1" si="272"/>
        <v>4.7510718485257213</v>
      </c>
      <c r="BR109" s="1493">
        <f t="shared" ca="1" si="272"/>
        <v>0</v>
      </c>
      <c r="BS109" s="1493">
        <f t="shared" ca="1" si="272"/>
        <v>5.0916819860234304</v>
      </c>
      <c r="BT109" s="1493">
        <f t="shared" ca="1" si="272"/>
        <v>7.0109643253402414</v>
      </c>
      <c r="BU109" s="1493">
        <f t="shared" ca="1" si="272"/>
        <v>0</v>
      </c>
      <c r="BV109" s="1493">
        <f t="shared" ca="1" si="272"/>
        <v>0</v>
      </c>
      <c r="BW109" s="1493">
        <f t="shared" ca="1" si="272"/>
        <v>14.39565925511863</v>
      </c>
      <c r="BX109" s="1493">
        <f t="shared" ca="1" si="272"/>
        <v>0.11288744235152412</v>
      </c>
      <c r="BY109" s="1493">
        <f t="shared" ca="1" si="272"/>
        <v>2.7624692105907238</v>
      </c>
      <c r="BZ109" s="1493">
        <f t="shared" ca="1" si="272"/>
        <v>10.620296151887526</v>
      </c>
      <c r="CA109" s="1493">
        <f t="shared" ca="1" si="272"/>
        <v>0</v>
      </c>
      <c r="CB109" s="1493">
        <f t="shared" ca="1" si="272"/>
        <v>0</v>
      </c>
      <c r="CC109" s="1493">
        <f t="shared" ca="1" si="272"/>
        <v>0</v>
      </c>
      <c r="CD109" s="1493">
        <f t="shared" ca="1" si="272"/>
        <v>0</v>
      </c>
      <c r="CE109" s="1493">
        <f t="shared" ca="1" si="272"/>
        <v>0</v>
      </c>
      <c r="CF109" s="1493">
        <f t="shared" ca="1" si="272"/>
        <v>20.026732599999995</v>
      </c>
      <c r="CG109" s="1493">
        <f t="shared" ca="1" si="272"/>
        <v>23.28</v>
      </c>
      <c r="CH109" s="1493">
        <f t="shared" ca="1" si="272"/>
        <v>0</v>
      </c>
      <c r="CI109" s="1493">
        <f t="shared" ca="1" si="272"/>
        <v>-1.8247953999999991</v>
      </c>
      <c r="CJ109" s="1493">
        <f t="shared" ca="1" si="272"/>
        <v>0</v>
      </c>
      <c r="CK109" s="1493">
        <f t="shared" ca="1" si="272"/>
        <v>0</v>
      </c>
      <c r="CL109" s="1493">
        <f t="shared" ca="1" si="272"/>
        <v>0</v>
      </c>
      <c r="CM109" s="1493">
        <f t="shared" ca="1" si="272"/>
        <v>0</v>
      </c>
      <c r="CN109" s="1493">
        <f t="shared" ca="1" si="272"/>
        <v>21.671866768039205</v>
      </c>
      <c r="CO109" s="1493">
        <f t="shared" ca="1" si="272"/>
        <v>1.2492999999999999</v>
      </c>
      <c r="CP109" s="1493">
        <f t="shared" ca="1" si="272"/>
        <v>0</v>
      </c>
      <c r="CQ109" s="1493">
        <f t="shared" ca="1" si="272"/>
        <v>0</v>
      </c>
      <c r="CR109" s="1493">
        <f t="shared" ca="1" si="272"/>
        <v>0</v>
      </c>
      <c r="CS109" s="1493">
        <f t="shared" ca="1" si="272"/>
        <v>0</v>
      </c>
      <c r="CT109" s="1493">
        <f t="shared" ca="1" si="272"/>
        <v>0</v>
      </c>
      <c r="CU109" s="1493">
        <f t="shared" ca="1" si="272"/>
        <v>45.553491710755559</v>
      </c>
      <c r="CV109" s="1493">
        <f t="shared" ca="1" si="272"/>
        <v>5.6713917346040608E-2</v>
      </c>
      <c r="CW109" s="1493">
        <f t="shared" ca="1" si="272"/>
        <v>0.81960065910961444</v>
      </c>
      <c r="CX109" s="1493">
        <f t="shared" ca="1" si="272"/>
        <v>0</v>
      </c>
      <c r="CY109" s="1493">
        <f t="shared" ca="1" si="272"/>
        <v>-9.3490017060996049</v>
      </c>
      <c r="CZ109" s="1493">
        <f t="shared" ca="1" si="272"/>
        <v>0</v>
      </c>
      <c r="DA109" s="1493">
        <f t="shared" ca="1" si="272"/>
        <v>0</v>
      </c>
      <c r="DB109" s="1493">
        <f t="shared" ca="1" si="272"/>
        <v>0</v>
      </c>
      <c r="DC109" s="1493">
        <f t="shared" ca="1" si="272"/>
        <v>0</v>
      </c>
      <c r="DD109" s="1493">
        <f t="shared" ca="1" si="272"/>
        <v>0</v>
      </c>
      <c r="DE109" s="1493">
        <f t="shared" ca="1" si="272"/>
        <v>0</v>
      </c>
      <c r="DF109" s="1493">
        <f t="shared" ca="1" si="272"/>
        <v>0</v>
      </c>
      <c r="DH109" s="835">
        <f ca="1">SUM(BO109:DF109)</f>
        <v>645.53162942691768</v>
      </c>
    </row>
    <row r="110" spans="1:112" s="743" customFormat="1">
      <c r="C110" s="508"/>
      <c r="D110" s="509"/>
      <c r="E110" s="509"/>
      <c r="G110" s="995"/>
      <c r="H110" s="995"/>
      <c r="I110" s="995"/>
      <c r="J110" s="995"/>
      <c r="K110" s="996"/>
      <c r="L110" s="995"/>
      <c r="M110" s="995"/>
      <c r="N110" s="995"/>
      <c r="O110" s="995"/>
      <c r="P110" s="995"/>
      <c r="Q110" s="995"/>
      <c r="S110" s="998"/>
      <c r="T110" s="998"/>
      <c r="U110" s="998"/>
      <c r="V110" s="998"/>
      <c r="W110" s="998"/>
      <c r="X110" s="998"/>
      <c r="Y110" s="998"/>
      <c r="Z110" s="998"/>
      <c r="AA110" s="998"/>
      <c r="AB110" s="998"/>
      <c r="AC110" s="998"/>
      <c r="AD110" s="998"/>
      <c r="AE110" s="998"/>
      <c r="AF110" s="998"/>
      <c r="AG110" s="998"/>
      <c r="AH110" s="998"/>
      <c r="AI110" s="998"/>
      <c r="AJ110" s="998"/>
      <c r="AK110" s="998"/>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H110" s="1002"/>
      <c r="BI110" s="1002"/>
      <c r="BJ110" s="1002"/>
      <c r="BL110" s="515"/>
      <c r="BM110" s="515"/>
      <c r="BO110" s="1494"/>
      <c r="BP110" s="1494"/>
      <c r="BQ110" s="1494"/>
      <c r="BR110" s="1494"/>
      <c r="BS110" s="1494"/>
      <c r="BT110" s="1494"/>
      <c r="BU110" s="1494"/>
      <c r="BV110" s="1494"/>
      <c r="BW110" s="1494"/>
      <c r="BX110" s="1494"/>
      <c r="BY110" s="1494"/>
      <c r="BZ110" s="1494"/>
      <c r="CA110" s="1494"/>
      <c r="CB110" s="1494"/>
      <c r="CC110" s="1494"/>
      <c r="CD110" s="1494"/>
      <c r="CE110" s="1494"/>
      <c r="CF110" s="1494"/>
      <c r="CG110" s="1494"/>
      <c r="CH110" s="1494"/>
      <c r="CI110" s="1494"/>
      <c r="CJ110" s="1494"/>
      <c r="CK110" s="1494"/>
      <c r="CL110" s="1494"/>
      <c r="CM110" s="1494"/>
      <c r="CN110" s="1494"/>
      <c r="CO110" s="1494"/>
      <c r="CP110" s="1494"/>
      <c r="CQ110" s="1494"/>
      <c r="CR110" s="1494"/>
      <c r="CS110" s="1494"/>
      <c r="CT110" s="1494"/>
      <c r="CU110" s="1494"/>
      <c r="CV110" s="1494"/>
      <c r="CW110" s="1494"/>
      <c r="CX110" s="1494"/>
      <c r="CY110" s="1494"/>
      <c r="CZ110" s="1494"/>
      <c r="DA110" s="1494"/>
      <c r="DB110" s="1494"/>
      <c r="DC110" s="1494"/>
      <c r="DD110" s="1494"/>
      <c r="DE110" s="1494"/>
      <c r="DF110" s="1494"/>
    </row>
    <row r="111" spans="1:112">
      <c r="G111" s="515"/>
      <c r="H111" s="515"/>
      <c r="I111" s="515"/>
      <c r="J111" s="515"/>
      <c r="K111" s="519"/>
      <c r="L111" s="515"/>
      <c r="M111" s="515"/>
      <c r="N111" s="515"/>
      <c r="O111" s="515"/>
      <c r="P111" s="515"/>
      <c r="Q111" s="515"/>
      <c r="S111" s="515"/>
      <c r="T111" s="515"/>
      <c r="U111" s="515"/>
      <c r="V111" s="515"/>
      <c r="W111" s="515"/>
      <c r="X111" s="515"/>
      <c r="Y111" s="515"/>
      <c r="Z111" s="515"/>
      <c r="AA111" s="515"/>
      <c r="AB111" s="515"/>
      <c r="AC111" s="515"/>
      <c r="AD111" s="515"/>
      <c r="AE111" s="515"/>
      <c r="AF111" s="515"/>
      <c r="AG111" s="515"/>
      <c r="AH111" s="515"/>
      <c r="AI111" s="515"/>
      <c r="AJ111" s="515"/>
      <c r="AK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H111" s="515"/>
      <c r="BI111" s="515"/>
      <c r="BJ111" s="515"/>
      <c r="BL111" s="515"/>
      <c r="BM111" s="515"/>
    </row>
    <row r="112" spans="1:112">
      <c r="G112" s="515"/>
      <c r="H112" s="515"/>
      <c r="I112" s="515"/>
      <c r="J112" s="515"/>
      <c r="K112" s="519"/>
      <c r="L112" s="515"/>
      <c r="M112" s="515"/>
      <c r="N112" s="515"/>
      <c r="O112" s="515"/>
      <c r="P112" s="515"/>
      <c r="Q112" s="515"/>
      <c r="S112" s="515"/>
      <c r="T112" s="515"/>
      <c r="U112" s="515"/>
      <c r="V112" s="515"/>
      <c r="W112" s="515"/>
      <c r="X112" s="515"/>
      <c r="Y112" s="515"/>
      <c r="Z112" s="515"/>
      <c r="AA112" s="515"/>
      <c r="AB112" s="515"/>
      <c r="AC112" s="515"/>
      <c r="AD112" s="515"/>
      <c r="AE112" s="515"/>
      <c r="AF112" s="515"/>
      <c r="AG112" s="515"/>
      <c r="AH112" s="515"/>
      <c r="AI112" s="515"/>
      <c r="AJ112" s="515"/>
      <c r="AK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H112" s="515"/>
      <c r="BI112" s="515"/>
      <c r="BJ112" s="515"/>
      <c r="BL112" s="515"/>
      <c r="BM112" s="515"/>
      <c r="DF112" s="20" t="s">
        <v>2428</v>
      </c>
      <c r="DG112" s="121"/>
      <c r="DH112" s="2293">
        <f ca="1">SUM(DH63,DH68,DH76,DH82)</f>
        <v>188.79633754278672</v>
      </c>
    </row>
    <row r="113" spans="1:112">
      <c r="B113" s="121" t="s">
        <v>798</v>
      </c>
      <c r="C113" s="1095" t="s">
        <v>1017</v>
      </c>
      <c r="G113" s="515"/>
      <c r="H113" s="515"/>
      <c r="I113" s="515"/>
      <c r="J113" s="515"/>
      <c r="K113" s="519"/>
      <c r="L113" s="515"/>
      <c r="M113" s="515"/>
      <c r="N113" s="515"/>
      <c r="O113" s="515"/>
      <c r="P113" s="515"/>
      <c r="Q113" s="515"/>
      <c r="S113" s="515"/>
      <c r="T113" s="515"/>
      <c r="U113" s="515"/>
      <c r="V113" s="515"/>
      <c r="W113" s="515"/>
      <c r="X113" s="515"/>
      <c r="Y113" s="515"/>
      <c r="Z113" s="515"/>
      <c r="AA113" s="515"/>
      <c r="AB113" s="515"/>
      <c r="AC113" s="515"/>
      <c r="AD113" s="515"/>
      <c r="AE113" s="515"/>
      <c r="AF113" s="515"/>
      <c r="AG113" s="515"/>
      <c r="AH113" s="515"/>
      <c r="AI113" s="515"/>
      <c r="AJ113" s="515"/>
      <c r="AK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H113" s="515"/>
      <c r="BI113" s="515"/>
      <c r="BJ113" s="515"/>
      <c r="BL113" s="515"/>
      <c r="BM113" s="515"/>
      <c r="DF113" s="20" t="s">
        <v>2429</v>
      </c>
      <c r="DG113" s="121"/>
      <c r="DH113" s="2293">
        <f ca="1">T109-MIN(T103,0)-T72</f>
        <v>355.81415160147162</v>
      </c>
    </row>
    <row r="114" spans="1:112" ht="15.75">
      <c r="B114" s="3"/>
      <c r="G114" s="515"/>
      <c r="H114" s="515"/>
      <c r="I114" s="515"/>
      <c r="J114" s="515"/>
      <c r="K114" s="519"/>
      <c r="L114" s="515"/>
      <c r="M114" s="515"/>
      <c r="N114" s="515"/>
      <c r="O114" s="515"/>
      <c r="P114" s="515"/>
      <c r="Q114" s="515"/>
      <c r="S114" s="515"/>
      <c r="T114" s="515"/>
      <c r="U114" s="515"/>
      <c r="V114" s="515"/>
      <c r="W114" s="515"/>
      <c r="X114" s="515"/>
      <c r="Y114" s="515"/>
      <c r="Z114" s="515"/>
      <c r="AA114" s="515"/>
      <c r="AB114" s="515"/>
      <c r="AC114" s="515"/>
      <c r="AD114" s="515"/>
      <c r="AE114" s="515"/>
      <c r="AF114" s="515"/>
      <c r="AG114" s="515"/>
      <c r="AH114" s="515"/>
      <c r="AI114" s="515"/>
      <c r="AJ114" s="515"/>
      <c r="AK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H114" s="515"/>
      <c r="BI114" s="515"/>
      <c r="BJ114" s="515"/>
      <c r="BL114" s="515"/>
      <c r="BM114" s="515"/>
      <c r="DF114" s="20" t="s">
        <v>2430</v>
      </c>
      <c r="DG114" s="121"/>
      <c r="DH114" s="121">
        <f ca="1">DH112/DH113</f>
        <v>0.5306037904705021</v>
      </c>
    </row>
    <row r="115" spans="1:112">
      <c r="G115" s="515"/>
      <c r="H115" s="515"/>
      <c r="I115" s="515"/>
      <c r="J115" s="515"/>
      <c r="K115" s="519"/>
      <c r="L115" s="515"/>
      <c r="M115" s="515"/>
      <c r="N115" s="515"/>
      <c r="O115" s="515"/>
      <c r="P115" s="515"/>
      <c r="Q115" s="515"/>
      <c r="S115" s="515"/>
      <c r="T115" s="515"/>
      <c r="U115" s="515"/>
      <c r="V115" s="515"/>
      <c r="W115" s="515"/>
      <c r="X115" s="515"/>
      <c r="Y115" s="515"/>
      <c r="Z115" s="515"/>
      <c r="AA115" s="515"/>
      <c r="AB115" s="515"/>
      <c r="AC115" s="515"/>
      <c r="AD115" s="515"/>
      <c r="AE115" s="515"/>
      <c r="AF115" s="515"/>
      <c r="AG115" s="515"/>
      <c r="AH115" s="515"/>
      <c r="AI115" s="515"/>
      <c r="AJ115" s="515"/>
      <c r="AK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H115" s="515"/>
      <c r="BI115" s="515"/>
      <c r="BJ115" s="515"/>
      <c r="BL115" s="515"/>
      <c r="BM115" s="515"/>
    </row>
    <row r="116" spans="1:112" ht="15.75">
      <c r="B116" s="3"/>
      <c r="G116" s="515"/>
      <c r="H116" s="515"/>
      <c r="I116" s="515"/>
      <c r="J116" s="515"/>
      <c r="K116" s="519"/>
      <c r="L116" s="515"/>
      <c r="M116" s="515"/>
      <c r="N116" s="515"/>
      <c r="O116" s="515"/>
      <c r="P116" s="515"/>
      <c r="Q116" s="515"/>
      <c r="S116" s="515"/>
      <c r="T116" s="515"/>
      <c r="U116" s="515"/>
      <c r="V116" s="515"/>
      <c r="W116" s="515"/>
      <c r="X116" s="515"/>
      <c r="Y116" s="515"/>
      <c r="Z116" s="515"/>
      <c r="AA116" s="515"/>
      <c r="AB116" s="515"/>
      <c r="AC116" s="515"/>
      <c r="AD116" s="515"/>
      <c r="AE116" s="515"/>
      <c r="AF116" s="515"/>
      <c r="AG116" s="515"/>
      <c r="AH116" s="515"/>
      <c r="AI116" s="515"/>
      <c r="AJ116" s="515"/>
      <c r="AK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H116" s="515"/>
      <c r="BI116" s="515"/>
      <c r="BJ116" s="515"/>
      <c r="BL116" s="515"/>
      <c r="BM116" s="515"/>
    </row>
    <row r="117" spans="1:112" ht="15.75">
      <c r="B117" s="3"/>
      <c r="G117" s="515"/>
      <c r="H117" s="515"/>
      <c r="I117" s="515"/>
      <c r="J117" s="515"/>
      <c r="K117" s="519"/>
      <c r="L117" s="515"/>
      <c r="M117" s="515"/>
      <c r="N117" s="515"/>
      <c r="O117" s="515"/>
      <c r="P117" s="515"/>
      <c r="Q117" s="515"/>
      <c r="S117" s="515"/>
      <c r="T117" s="515"/>
      <c r="U117" s="515"/>
      <c r="V117" s="515"/>
      <c r="W117" s="515"/>
      <c r="X117" s="515"/>
      <c r="Y117" s="515"/>
      <c r="Z117" s="515"/>
      <c r="AA117" s="515"/>
      <c r="AB117" s="515"/>
      <c r="AC117" s="515"/>
      <c r="AD117" s="515"/>
      <c r="AE117" s="515"/>
      <c r="AF117" s="515"/>
      <c r="AG117" s="515"/>
      <c r="AH117" s="515"/>
      <c r="AI117" s="515"/>
      <c r="AJ117" s="515"/>
      <c r="AK117" s="515"/>
      <c r="AM117" s="515"/>
      <c r="AN117" s="515"/>
      <c r="AO117" s="515"/>
      <c r="AP117" s="515"/>
      <c r="AQ117" s="515"/>
      <c r="AR117" s="515"/>
      <c r="AS117" s="515"/>
      <c r="AT117" s="515"/>
      <c r="AU117" s="515"/>
      <c r="AV117" s="515"/>
      <c r="AW117" s="515"/>
      <c r="AX117" s="515"/>
      <c r="AY117" s="515"/>
      <c r="AZ117" s="515"/>
      <c r="BA117" s="515"/>
      <c r="BB117" s="515"/>
      <c r="BC117" s="515"/>
      <c r="BD117" s="515"/>
      <c r="BE117" s="515"/>
      <c r="BF117" s="515"/>
      <c r="BH117" s="515"/>
      <c r="BI117" s="515"/>
      <c r="BJ117" s="515"/>
      <c r="BL117" s="515"/>
      <c r="BM117" s="515"/>
    </row>
    <row r="118" spans="1:112" ht="15.75">
      <c r="A118" s="121"/>
      <c r="B118" s="3"/>
      <c r="G118" s="515"/>
      <c r="H118" s="515"/>
      <c r="I118" s="515"/>
      <c r="J118" s="515"/>
      <c r="K118" s="519"/>
      <c r="L118" s="515"/>
      <c r="M118" s="515"/>
      <c r="N118" s="515"/>
      <c r="O118" s="515"/>
      <c r="P118" s="515"/>
      <c r="Q118" s="515"/>
      <c r="S118" s="515"/>
      <c r="T118" s="515"/>
      <c r="U118" s="515"/>
      <c r="V118" s="515"/>
      <c r="W118" s="515"/>
      <c r="X118" s="515"/>
      <c r="Y118" s="515"/>
      <c r="Z118" s="515"/>
      <c r="AA118" s="515"/>
      <c r="AB118" s="515"/>
      <c r="AC118" s="515"/>
      <c r="AD118" s="515"/>
      <c r="AE118" s="515"/>
      <c r="AF118" s="515"/>
      <c r="AG118" s="515"/>
      <c r="AH118" s="515"/>
      <c r="AI118" s="515"/>
      <c r="AJ118" s="515"/>
      <c r="AK118" s="515"/>
      <c r="AM118" s="515"/>
      <c r="AN118" s="515"/>
      <c r="AO118" s="515"/>
      <c r="AP118" s="515"/>
      <c r="AQ118" s="515"/>
      <c r="AR118" s="515"/>
      <c r="AS118" s="515"/>
      <c r="AT118" s="515"/>
      <c r="AU118" s="515"/>
      <c r="AV118" s="515"/>
      <c r="AW118" s="515"/>
      <c r="AX118" s="515"/>
      <c r="AY118" s="515"/>
      <c r="AZ118" s="515"/>
      <c r="BA118" s="515"/>
      <c r="BB118" s="515"/>
      <c r="BC118" s="515"/>
      <c r="BD118" s="515"/>
      <c r="BE118" s="515"/>
      <c r="BF118" s="515"/>
      <c r="BH118" s="515"/>
      <c r="BI118" s="515"/>
      <c r="BJ118" s="515"/>
      <c r="BL118" s="515"/>
      <c r="BM118" s="515"/>
    </row>
    <row r="119" spans="1:112" ht="15.75">
      <c r="B119" s="3"/>
      <c r="G119" s="515"/>
      <c r="H119" s="515"/>
      <c r="I119" s="515"/>
      <c r="J119" s="515"/>
      <c r="K119" s="519"/>
      <c r="L119" s="515"/>
      <c r="M119" s="515"/>
      <c r="N119" s="515"/>
      <c r="O119" s="515"/>
      <c r="P119" s="515"/>
      <c r="Q119" s="515"/>
      <c r="S119" s="515"/>
      <c r="T119" s="515"/>
      <c r="U119" s="515"/>
      <c r="V119" s="515"/>
      <c r="W119" s="515"/>
      <c r="X119" s="515"/>
      <c r="Y119" s="515"/>
      <c r="Z119" s="515"/>
      <c r="AA119" s="515"/>
      <c r="AB119" s="515"/>
      <c r="AC119" s="515"/>
      <c r="AD119" s="515"/>
      <c r="AE119" s="515"/>
      <c r="AF119" s="515"/>
      <c r="AG119" s="515"/>
      <c r="AH119" s="515"/>
      <c r="AI119" s="515"/>
      <c r="AJ119" s="515"/>
      <c r="AK119" s="515"/>
      <c r="AM119" s="515"/>
      <c r="AN119" s="515"/>
      <c r="AO119" s="515"/>
      <c r="AP119" s="515"/>
      <c r="AQ119" s="515"/>
      <c r="AR119" s="515"/>
      <c r="AS119" s="515"/>
      <c r="AT119" s="515"/>
      <c r="AU119" s="515"/>
      <c r="AV119" s="515"/>
      <c r="AW119" s="515"/>
      <c r="AX119" s="515"/>
      <c r="AY119" s="515"/>
      <c r="AZ119" s="515"/>
      <c r="BA119" s="515"/>
      <c r="BB119" s="515"/>
      <c r="BC119" s="515"/>
      <c r="BD119" s="515"/>
      <c r="BE119" s="515"/>
      <c r="BF119" s="515"/>
      <c r="BH119" s="515"/>
      <c r="BI119" s="515"/>
      <c r="BJ119" s="515"/>
      <c r="BL119" s="515"/>
      <c r="BM119" s="515"/>
    </row>
    <row r="120" spans="1:112" ht="15.75">
      <c r="B120" s="3"/>
      <c r="G120" s="515"/>
      <c r="H120" s="515"/>
      <c r="I120" s="515"/>
      <c r="J120" s="515"/>
      <c r="K120" s="519"/>
      <c r="L120" s="515"/>
      <c r="M120" s="515"/>
      <c r="N120" s="515"/>
      <c r="O120" s="515"/>
      <c r="P120" s="515"/>
      <c r="Q120" s="515"/>
      <c r="S120" s="515"/>
      <c r="T120" s="515"/>
      <c r="U120" s="515"/>
      <c r="V120" s="515"/>
      <c r="W120" s="515"/>
      <c r="X120" s="515"/>
      <c r="Y120" s="515"/>
      <c r="Z120" s="515"/>
      <c r="AA120" s="515"/>
      <c r="AB120" s="515"/>
      <c r="AC120" s="515"/>
      <c r="AD120" s="515"/>
      <c r="AE120" s="515"/>
      <c r="AF120" s="515"/>
      <c r="AG120" s="515"/>
      <c r="AH120" s="515"/>
      <c r="AI120" s="515"/>
      <c r="AJ120" s="515"/>
      <c r="AK120" s="515"/>
      <c r="AM120" s="515"/>
      <c r="AN120" s="515"/>
      <c r="AO120" s="515"/>
      <c r="AP120" s="515"/>
      <c r="AQ120" s="515"/>
      <c r="AR120" s="515"/>
      <c r="AS120" s="515"/>
      <c r="AT120" s="515"/>
      <c r="AU120" s="515"/>
      <c r="AV120" s="515"/>
      <c r="AW120" s="515"/>
      <c r="AX120" s="515"/>
      <c r="AY120" s="515"/>
      <c r="AZ120" s="515"/>
      <c r="BA120" s="515"/>
      <c r="BB120" s="515"/>
      <c r="BC120" s="515"/>
      <c r="BD120" s="515"/>
      <c r="BE120" s="515"/>
      <c r="BF120" s="515"/>
      <c r="BH120" s="515"/>
      <c r="BI120" s="515"/>
      <c r="BJ120" s="515"/>
      <c r="BL120" s="515"/>
      <c r="BM120" s="515"/>
    </row>
    <row r="121" spans="1:112" ht="15.75">
      <c r="B121" s="3"/>
      <c r="G121" s="515"/>
      <c r="H121" s="515"/>
      <c r="I121" s="515"/>
      <c r="J121" s="515"/>
      <c r="K121" s="519"/>
      <c r="L121" s="515"/>
      <c r="M121" s="515"/>
      <c r="N121" s="515"/>
      <c r="O121" s="515"/>
      <c r="P121" s="515"/>
      <c r="Q121" s="515"/>
      <c r="S121" s="515"/>
      <c r="T121" s="515"/>
      <c r="U121" s="515"/>
      <c r="V121" s="515"/>
      <c r="W121" s="515"/>
      <c r="X121" s="515"/>
      <c r="Y121" s="515"/>
      <c r="Z121" s="515"/>
      <c r="AA121" s="515"/>
      <c r="AB121" s="515"/>
      <c r="AC121" s="515"/>
      <c r="AD121" s="515"/>
      <c r="AE121" s="515"/>
      <c r="AF121" s="515"/>
      <c r="AG121" s="515"/>
      <c r="AH121" s="515"/>
      <c r="AI121" s="515"/>
      <c r="AJ121" s="515"/>
      <c r="AK121" s="515"/>
      <c r="AM121" s="515"/>
      <c r="AN121" s="515"/>
      <c r="AO121" s="515"/>
      <c r="AP121" s="515"/>
      <c r="AQ121" s="515"/>
      <c r="AR121" s="515"/>
      <c r="AS121" s="515"/>
      <c r="AT121" s="515"/>
      <c r="AU121" s="515"/>
      <c r="AV121" s="515"/>
      <c r="AW121" s="515"/>
      <c r="AX121" s="515"/>
      <c r="AY121" s="515"/>
      <c r="AZ121" s="515"/>
      <c r="BA121" s="515"/>
      <c r="BB121" s="515"/>
      <c r="BC121" s="515"/>
      <c r="BD121" s="515"/>
      <c r="BE121" s="515"/>
      <c r="BF121" s="515"/>
      <c r="BH121" s="515"/>
      <c r="BI121" s="515"/>
      <c r="BJ121" s="515"/>
      <c r="BL121" s="515"/>
      <c r="BM121" s="515"/>
    </row>
    <row r="122" spans="1:112">
      <c r="G122" s="515"/>
      <c r="H122" s="515"/>
      <c r="I122" s="515"/>
      <c r="J122" s="515"/>
      <c r="K122" s="519"/>
      <c r="L122" s="515"/>
      <c r="M122" s="515"/>
      <c r="N122" s="515"/>
      <c r="O122" s="515"/>
      <c r="P122" s="515"/>
      <c r="Q122" s="515"/>
      <c r="S122" s="515"/>
      <c r="T122" s="515"/>
      <c r="U122" s="515"/>
      <c r="V122" s="515"/>
      <c r="W122" s="515"/>
      <c r="X122" s="515"/>
      <c r="Y122" s="515"/>
      <c r="Z122" s="515"/>
      <c r="AA122" s="515"/>
      <c r="AB122" s="515"/>
      <c r="AC122" s="515"/>
      <c r="AD122" s="515"/>
      <c r="AE122" s="515"/>
      <c r="AF122" s="515"/>
      <c r="AG122" s="515"/>
      <c r="AH122" s="515"/>
      <c r="AI122" s="515"/>
      <c r="AJ122" s="515"/>
      <c r="AK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H122" s="515"/>
      <c r="BI122" s="515"/>
      <c r="BJ122" s="515"/>
      <c r="BL122" s="515"/>
      <c r="BM122" s="515"/>
    </row>
    <row r="123" spans="1:112" ht="24" customHeight="1">
      <c r="G123" s="515"/>
      <c r="H123" s="515"/>
      <c r="I123" s="515"/>
      <c r="J123" s="515"/>
      <c r="K123" s="519"/>
      <c r="L123" s="515"/>
      <c r="M123" s="515"/>
      <c r="N123" s="515"/>
      <c r="O123" s="515"/>
      <c r="P123" s="515"/>
      <c r="Q123" s="515"/>
      <c r="S123" s="515"/>
      <c r="T123" s="515"/>
      <c r="U123" s="515"/>
      <c r="V123" s="515"/>
      <c r="W123" s="515"/>
      <c r="X123" s="515"/>
      <c r="Y123" s="515"/>
      <c r="Z123" s="515"/>
      <c r="AA123" s="515"/>
      <c r="AB123" s="515"/>
      <c r="AC123" s="515"/>
      <c r="AD123" s="515"/>
      <c r="AE123" s="515"/>
      <c r="AF123" s="515"/>
      <c r="AG123" s="515"/>
      <c r="AH123" s="515"/>
      <c r="AI123" s="515"/>
      <c r="AJ123" s="515"/>
      <c r="AK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H123" s="515"/>
      <c r="BI123" s="515"/>
      <c r="BJ123" s="515"/>
      <c r="BL123" s="515"/>
      <c r="BM123" s="515"/>
    </row>
    <row r="124" spans="1:112">
      <c r="G124" s="515"/>
      <c r="H124" s="515"/>
      <c r="I124" s="515"/>
      <c r="J124" s="515"/>
      <c r="K124" s="519"/>
      <c r="L124" s="515"/>
      <c r="M124" s="515"/>
      <c r="N124" s="515"/>
      <c r="O124" s="515"/>
      <c r="P124" s="515"/>
      <c r="Q124" s="515"/>
      <c r="S124" s="515"/>
      <c r="T124" s="515"/>
      <c r="U124" s="515"/>
      <c r="V124" s="515"/>
      <c r="W124" s="515"/>
      <c r="X124" s="515"/>
      <c r="Y124" s="515"/>
      <c r="Z124" s="515"/>
      <c r="AA124" s="515"/>
      <c r="AB124" s="515"/>
      <c r="AC124" s="515"/>
      <c r="AD124" s="515"/>
      <c r="AE124" s="515"/>
      <c r="AF124" s="515"/>
      <c r="AG124" s="515"/>
      <c r="AH124" s="515"/>
      <c r="AI124" s="515"/>
      <c r="AJ124" s="515"/>
      <c r="AK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H124" s="515"/>
      <c r="BI124" s="515"/>
      <c r="BJ124" s="515"/>
      <c r="BL124" s="515"/>
      <c r="BM124" s="515"/>
    </row>
    <row r="125" spans="1:112">
      <c r="C125" s="520"/>
      <c r="D125" s="38"/>
      <c r="G125" s="515"/>
      <c r="H125" s="515"/>
      <c r="I125" s="515"/>
      <c r="J125" s="515"/>
      <c r="K125" s="519"/>
      <c r="L125" s="515"/>
      <c r="M125" s="515"/>
      <c r="N125" s="515"/>
      <c r="O125" s="515"/>
      <c r="P125" s="515"/>
      <c r="Q125" s="515"/>
      <c r="S125" s="515"/>
      <c r="T125" s="515"/>
      <c r="U125" s="515"/>
      <c r="V125" s="515"/>
      <c r="W125" s="515"/>
      <c r="X125" s="515"/>
      <c r="Y125" s="515"/>
      <c r="Z125" s="515"/>
      <c r="AA125" s="515"/>
      <c r="AB125" s="515"/>
      <c r="AC125" s="515"/>
      <c r="AD125" s="515"/>
      <c r="AE125" s="515"/>
      <c r="AF125" s="515"/>
      <c r="AG125" s="515"/>
      <c r="AH125" s="515"/>
      <c r="AI125" s="515"/>
      <c r="AJ125" s="515"/>
      <c r="AK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H125" s="515"/>
      <c r="BI125" s="515"/>
      <c r="BJ125" s="515"/>
      <c r="BL125" s="515"/>
      <c r="BM125" s="515"/>
    </row>
    <row r="126" spans="1:112">
      <c r="G126" s="515"/>
      <c r="H126" s="515"/>
      <c r="I126" s="515"/>
      <c r="J126" s="515"/>
      <c r="K126" s="519"/>
      <c r="L126" s="515"/>
      <c r="M126" s="515"/>
      <c r="N126" s="515"/>
      <c r="O126" s="515"/>
      <c r="P126" s="515"/>
      <c r="Q126" s="515"/>
      <c r="S126" s="515"/>
      <c r="T126" s="515"/>
      <c r="U126" s="515"/>
      <c r="V126" s="515"/>
      <c r="W126" s="515"/>
      <c r="X126" s="515"/>
      <c r="Y126" s="515"/>
      <c r="Z126" s="515"/>
      <c r="AA126" s="515"/>
      <c r="AB126" s="515"/>
      <c r="AC126" s="515"/>
      <c r="AD126" s="515"/>
      <c r="AE126" s="515"/>
      <c r="AF126" s="515"/>
      <c r="AG126" s="515"/>
      <c r="AH126" s="515"/>
      <c r="AI126" s="515"/>
      <c r="AJ126" s="515"/>
      <c r="AK126" s="515"/>
      <c r="AM126" s="515"/>
      <c r="AN126" s="515"/>
      <c r="AO126" s="515"/>
      <c r="AP126" s="515"/>
      <c r="AQ126" s="515"/>
      <c r="AR126" s="515"/>
      <c r="AS126" s="515"/>
      <c r="AT126" s="515"/>
      <c r="AU126" s="515"/>
      <c r="AV126" s="515"/>
      <c r="AW126" s="515"/>
      <c r="AX126" s="515"/>
      <c r="AY126" s="515"/>
      <c r="AZ126" s="515"/>
      <c r="BA126" s="515"/>
      <c r="BB126" s="515"/>
      <c r="BC126" s="515"/>
      <c r="BD126" s="515"/>
      <c r="BE126" s="515"/>
      <c r="BF126" s="515"/>
      <c r="BH126" s="515"/>
      <c r="BI126" s="515"/>
      <c r="BJ126" s="515"/>
      <c r="BL126" s="515"/>
      <c r="BM126" s="515"/>
    </row>
    <row r="127" spans="1:112">
      <c r="G127" s="515"/>
      <c r="H127" s="515"/>
      <c r="I127" s="515"/>
      <c r="J127" s="515"/>
      <c r="K127" s="519"/>
      <c r="L127" s="515"/>
      <c r="M127" s="515"/>
      <c r="N127" s="515"/>
      <c r="O127" s="515"/>
      <c r="P127" s="515"/>
      <c r="Q127" s="515"/>
      <c r="S127" s="515"/>
      <c r="T127" s="515"/>
      <c r="U127" s="515"/>
      <c r="V127" s="515"/>
      <c r="W127" s="515"/>
      <c r="X127" s="515"/>
      <c r="Y127" s="515"/>
      <c r="Z127" s="515"/>
      <c r="AA127" s="515"/>
      <c r="AB127" s="515"/>
      <c r="AC127" s="515"/>
      <c r="AD127" s="515"/>
      <c r="AE127" s="515"/>
      <c r="AF127" s="515"/>
      <c r="AG127" s="515"/>
      <c r="AH127" s="515"/>
      <c r="AI127" s="515"/>
      <c r="AJ127" s="515"/>
      <c r="AK127" s="515"/>
      <c r="AM127" s="515"/>
      <c r="AN127" s="515"/>
      <c r="AO127" s="515"/>
      <c r="AP127" s="515"/>
      <c r="AQ127" s="515"/>
      <c r="AR127" s="515"/>
      <c r="AS127" s="515"/>
      <c r="AT127" s="515"/>
      <c r="AU127" s="515"/>
      <c r="AV127" s="515"/>
      <c r="AW127" s="515"/>
      <c r="AX127" s="515"/>
      <c r="AY127" s="515"/>
      <c r="AZ127" s="515"/>
      <c r="BA127" s="515"/>
      <c r="BB127" s="515"/>
      <c r="BC127" s="515"/>
      <c r="BD127" s="515"/>
      <c r="BE127" s="515"/>
      <c r="BF127" s="515"/>
      <c r="BH127" s="515"/>
      <c r="BI127" s="515"/>
      <c r="BJ127" s="515"/>
      <c r="BL127" s="515"/>
      <c r="BM127" s="515"/>
    </row>
    <row r="128" spans="1:112">
      <c r="G128" s="515"/>
      <c r="H128" s="515"/>
      <c r="I128" s="515"/>
      <c r="J128" s="515"/>
      <c r="K128" s="519"/>
      <c r="L128" s="515"/>
      <c r="M128" s="515"/>
      <c r="N128" s="515"/>
      <c r="O128" s="515"/>
      <c r="P128" s="515"/>
      <c r="Q128" s="515"/>
      <c r="S128" s="515"/>
      <c r="T128" s="515"/>
      <c r="U128" s="515"/>
      <c r="V128" s="515"/>
      <c r="W128" s="515"/>
      <c r="X128" s="515"/>
      <c r="Y128" s="515"/>
      <c r="Z128" s="515"/>
      <c r="AA128" s="515"/>
      <c r="AB128" s="515"/>
      <c r="AC128" s="515"/>
      <c r="AD128" s="515"/>
      <c r="AE128" s="515"/>
      <c r="AF128" s="515"/>
      <c r="AG128" s="515"/>
      <c r="AH128" s="515"/>
      <c r="AI128" s="515"/>
      <c r="AJ128" s="515"/>
      <c r="AK128" s="515"/>
      <c r="AM128" s="515"/>
      <c r="AN128" s="515"/>
      <c r="AO128" s="515"/>
      <c r="AP128" s="515"/>
      <c r="AQ128" s="515"/>
      <c r="AR128" s="515"/>
      <c r="AS128" s="515"/>
      <c r="AT128" s="515"/>
      <c r="AU128" s="515"/>
      <c r="AV128" s="515"/>
      <c r="AW128" s="515"/>
      <c r="AX128" s="515"/>
      <c r="AY128" s="515"/>
      <c r="AZ128" s="515"/>
      <c r="BA128" s="515"/>
      <c r="BB128" s="515"/>
      <c r="BC128" s="515"/>
      <c r="BD128" s="515"/>
      <c r="BE128" s="515"/>
      <c r="BF128" s="515"/>
      <c r="BH128" s="515"/>
      <c r="BI128" s="515"/>
      <c r="BJ128" s="515"/>
      <c r="BL128" s="515"/>
      <c r="BM128" s="515"/>
    </row>
    <row r="129" spans="7:65">
      <c r="G129" s="515"/>
      <c r="H129" s="515"/>
      <c r="I129" s="515"/>
      <c r="J129" s="515"/>
      <c r="K129" s="519"/>
      <c r="L129" s="515"/>
      <c r="M129" s="515"/>
      <c r="N129" s="515"/>
      <c r="O129" s="515"/>
      <c r="P129" s="515"/>
      <c r="Q129" s="515"/>
      <c r="S129" s="515"/>
      <c r="T129" s="515"/>
      <c r="U129" s="515"/>
      <c r="V129" s="515"/>
      <c r="W129" s="515"/>
      <c r="X129" s="515"/>
      <c r="Y129" s="515"/>
      <c r="Z129" s="515"/>
      <c r="AA129" s="515"/>
      <c r="AB129" s="515"/>
      <c r="AC129" s="515"/>
      <c r="AD129" s="515"/>
      <c r="AE129" s="515"/>
      <c r="AF129" s="515"/>
      <c r="AG129" s="515"/>
      <c r="AH129" s="515"/>
      <c r="AI129" s="515"/>
      <c r="AJ129" s="515"/>
      <c r="AK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H129" s="515"/>
      <c r="BI129" s="515"/>
      <c r="BJ129" s="515"/>
      <c r="BL129" s="515"/>
      <c r="BM129" s="515"/>
    </row>
    <row r="130" spans="7:65">
      <c r="G130" s="515"/>
      <c r="H130" s="515"/>
      <c r="I130" s="515"/>
      <c r="J130" s="515"/>
      <c r="K130" s="519"/>
      <c r="L130" s="515"/>
      <c r="M130" s="515"/>
      <c r="N130" s="515"/>
      <c r="O130" s="515"/>
      <c r="P130" s="515"/>
      <c r="Q130" s="515"/>
      <c r="S130" s="515"/>
      <c r="T130" s="515"/>
      <c r="U130" s="515"/>
      <c r="V130" s="515"/>
      <c r="W130" s="515"/>
      <c r="X130" s="515"/>
      <c r="Y130" s="515"/>
      <c r="Z130" s="515"/>
      <c r="AA130" s="515"/>
      <c r="AB130" s="515"/>
      <c r="AC130" s="515"/>
      <c r="AD130" s="515"/>
      <c r="AE130" s="515"/>
      <c r="AF130" s="515"/>
      <c r="AG130" s="515"/>
      <c r="AH130" s="515"/>
      <c r="AI130" s="515"/>
      <c r="AJ130" s="515"/>
      <c r="AK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H130" s="515"/>
      <c r="BI130" s="515"/>
      <c r="BJ130" s="515"/>
      <c r="BL130" s="515"/>
      <c r="BM130" s="515"/>
    </row>
    <row r="131" spans="7:65">
      <c r="G131" s="515"/>
      <c r="H131" s="515"/>
      <c r="I131" s="515"/>
      <c r="J131" s="515"/>
      <c r="K131" s="519"/>
      <c r="L131" s="515"/>
      <c r="M131" s="515"/>
      <c r="N131" s="515"/>
      <c r="O131" s="515"/>
      <c r="P131" s="515"/>
      <c r="Q131" s="515"/>
      <c r="S131" s="515"/>
      <c r="T131" s="515"/>
      <c r="U131" s="515"/>
      <c r="V131" s="515"/>
      <c r="W131" s="515"/>
      <c r="X131" s="515"/>
      <c r="Y131" s="515"/>
      <c r="Z131" s="515"/>
      <c r="AA131" s="515"/>
      <c r="AB131" s="515"/>
      <c r="AC131" s="515"/>
      <c r="AD131" s="515"/>
      <c r="AE131" s="515"/>
      <c r="AF131" s="515"/>
      <c r="AG131" s="515"/>
      <c r="AH131" s="515"/>
      <c r="AI131" s="515"/>
      <c r="AJ131" s="515"/>
      <c r="AK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H131" s="515"/>
      <c r="BI131" s="515"/>
      <c r="BJ131" s="515"/>
      <c r="BL131" s="515"/>
      <c r="BM131" s="515"/>
    </row>
    <row r="132" spans="7:65">
      <c r="G132" s="515"/>
      <c r="H132" s="515"/>
      <c r="I132" s="515"/>
      <c r="J132" s="515"/>
      <c r="K132" s="519"/>
      <c r="L132" s="515"/>
      <c r="M132" s="515"/>
      <c r="N132" s="515"/>
      <c r="O132" s="515"/>
      <c r="P132" s="515"/>
      <c r="Q132" s="515"/>
      <c r="S132" s="515"/>
      <c r="T132" s="515"/>
      <c r="U132" s="515"/>
      <c r="V132" s="515"/>
      <c r="W132" s="515"/>
      <c r="X132" s="515"/>
      <c r="Y132" s="515"/>
      <c r="Z132" s="515"/>
      <c r="AA132" s="515"/>
      <c r="AB132" s="515"/>
      <c r="AC132" s="515"/>
      <c r="AD132" s="515"/>
      <c r="AE132" s="515"/>
      <c r="AF132" s="515"/>
      <c r="AG132" s="515"/>
      <c r="AH132" s="515"/>
      <c r="AI132" s="515"/>
      <c r="AJ132" s="515"/>
      <c r="AK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H132" s="515"/>
      <c r="BI132" s="515"/>
      <c r="BJ132" s="515"/>
      <c r="BL132" s="515"/>
      <c r="BM132" s="515"/>
    </row>
    <row r="133" spans="7:65">
      <c r="G133" s="515"/>
      <c r="H133" s="515"/>
      <c r="I133" s="515"/>
      <c r="J133" s="515"/>
      <c r="K133" s="519"/>
      <c r="L133" s="515"/>
      <c r="M133" s="515"/>
      <c r="N133" s="515"/>
      <c r="O133" s="515"/>
      <c r="P133" s="515"/>
      <c r="Q133" s="515"/>
      <c r="S133" s="515"/>
      <c r="T133" s="515"/>
      <c r="U133" s="515"/>
      <c r="V133" s="515"/>
      <c r="W133" s="515"/>
      <c r="X133" s="515"/>
      <c r="Y133" s="515"/>
      <c r="Z133" s="515"/>
      <c r="AA133" s="515"/>
      <c r="AB133" s="515"/>
      <c r="AC133" s="515"/>
      <c r="AD133" s="515"/>
      <c r="AE133" s="515"/>
      <c r="AF133" s="515"/>
      <c r="AG133" s="515"/>
      <c r="AH133" s="515"/>
      <c r="AI133" s="515"/>
      <c r="AJ133" s="515"/>
      <c r="AK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H133" s="515"/>
      <c r="BI133" s="515"/>
      <c r="BJ133" s="515"/>
      <c r="BL133" s="515"/>
      <c r="BM133" s="515"/>
    </row>
    <row r="134" spans="7:65">
      <c r="G134" s="515"/>
      <c r="H134" s="515"/>
      <c r="I134" s="515"/>
      <c r="J134" s="515"/>
      <c r="K134" s="519"/>
      <c r="L134" s="515"/>
      <c r="M134" s="515"/>
      <c r="N134" s="515"/>
      <c r="O134" s="515"/>
      <c r="P134" s="515"/>
      <c r="Q134" s="515"/>
      <c r="S134" s="515"/>
      <c r="T134" s="515"/>
      <c r="U134" s="515"/>
      <c r="V134" s="515"/>
      <c r="W134" s="515"/>
      <c r="X134" s="515"/>
      <c r="Y134" s="515"/>
      <c r="Z134" s="515"/>
      <c r="AA134" s="515"/>
      <c r="AB134" s="515"/>
      <c r="AC134" s="515"/>
      <c r="AD134" s="515"/>
      <c r="AE134" s="515"/>
      <c r="AF134" s="515"/>
      <c r="AG134" s="515"/>
      <c r="AH134" s="515"/>
      <c r="AI134" s="515"/>
      <c r="AJ134" s="515"/>
      <c r="AK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H134" s="515"/>
      <c r="BI134" s="515"/>
      <c r="BJ134" s="515"/>
      <c r="BL134" s="515"/>
      <c r="BM134" s="515"/>
    </row>
    <row r="135" spans="7:65">
      <c r="G135" s="515"/>
      <c r="H135" s="515"/>
      <c r="I135" s="515"/>
      <c r="J135" s="515"/>
      <c r="K135" s="519"/>
      <c r="L135" s="515"/>
      <c r="M135" s="515"/>
      <c r="N135" s="515"/>
      <c r="O135" s="515"/>
      <c r="P135" s="515"/>
      <c r="Q135" s="515"/>
      <c r="S135" s="515"/>
      <c r="T135" s="515"/>
      <c r="U135" s="515"/>
      <c r="V135" s="515"/>
      <c r="W135" s="515"/>
      <c r="X135" s="515"/>
      <c r="Y135" s="515"/>
      <c r="Z135" s="515"/>
      <c r="AA135" s="515"/>
      <c r="AB135" s="515"/>
      <c r="AC135" s="515"/>
      <c r="AD135" s="515"/>
      <c r="AE135" s="515"/>
      <c r="AF135" s="515"/>
      <c r="AG135" s="515"/>
      <c r="AH135" s="515"/>
      <c r="AI135" s="515"/>
      <c r="AJ135" s="515"/>
      <c r="AK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H135" s="515"/>
      <c r="BI135" s="515"/>
      <c r="BJ135" s="515"/>
      <c r="BL135" s="515"/>
      <c r="BM135" s="515"/>
    </row>
    <row r="136" spans="7:65">
      <c r="G136" s="515"/>
      <c r="H136" s="515"/>
      <c r="I136" s="515"/>
      <c r="J136" s="515"/>
      <c r="K136" s="519"/>
      <c r="L136" s="515"/>
      <c r="M136" s="515"/>
      <c r="N136" s="515"/>
      <c r="O136" s="515"/>
      <c r="P136" s="515"/>
      <c r="Q136" s="515"/>
      <c r="S136" s="515"/>
      <c r="T136" s="515"/>
      <c r="U136" s="515"/>
      <c r="V136" s="515"/>
      <c r="W136" s="515"/>
      <c r="X136" s="515"/>
      <c r="Y136" s="515"/>
      <c r="Z136" s="515"/>
      <c r="AA136" s="515"/>
      <c r="AB136" s="515"/>
      <c r="AC136" s="515"/>
      <c r="AD136" s="515"/>
      <c r="AE136" s="515"/>
      <c r="AF136" s="515"/>
      <c r="AG136" s="515"/>
      <c r="AH136" s="515"/>
      <c r="AI136" s="515"/>
      <c r="AJ136" s="515"/>
      <c r="AK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H136" s="515"/>
      <c r="BI136" s="515"/>
      <c r="BJ136" s="515"/>
      <c r="BL136" s="515"/>
      <c r="BM136" s="515"/>
    </row>
    <row r="137" spans="7:65">
      <c r="G137" s="515"/>
      <c r="H137" s="515"/>
      <c r="I137" s="515"/>
      <c r="J137" s="515"/>
      <c r="K137" s="519"/>
      <c r="L137" s="515"/>
      <c r="M137" s="515"/>
      <c r="N137" s="515"/>
      <c r="O137" s="515"/>
      <c r="P137" s="515"/>
      <c r="Q137" s="515"/>
      <c r="S137" s="515"/>
      <c r="T137" s="515"/>
      <c r="U137" s="515"/>
      <c r="V137" s="515"/>
      <c r="W137" s="515"/>
      <c r="X137" s="515"/>
      <c r="Y137" s="515"/>
      <c r="Z137" s="515"/>
      <c r="AA137" s="515"/>
      <c r="AB137" s="515"/>
      <c r="AC137" s="515"/>
      <c r="AD137" s="515"/>
      <c r="AE137" s="515"/>
      <c r="AF137" s="515"/>
      <c r="AG137" s="515"/>
      <c r="AH137" s="515"/>
      <c r="AI137" s="515"/>
      <c r="AJ137" s="515"/>
      <c r="AK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H137" s="515"/>
      <c r="BI137" s="515"/>
      <c r="BJ137" s="515"/>
      <c r="BL137" s="515"/>
      <c r="BM137" s="515"/>
    </row>
    <row r="138" spans="7:65">
      <c r="G138" s="515"/>
      <c r="H138" s="515"/>
      <c r="I138" s="515"/>
      <c r="J138" s="515"/>
      <c r="K138" s="519"/>
      <c r="L138" s="515"/>
      <c r="M138" s="515"/>
      <c r="N138" s="515"/>
      <c r="O138" s="515"/>
      <c r="P138" s="515"/>
      <c r="Q138" s="515"/>
      <c r="S138" s="515"/>
      <c r="T138" s="515"/>
      <c r="U138" s="515"/>
      <c r="V138" s="515"/>
      <c r="W138" s="515"/>
      <c r="X138" s="515"/>
      <c r="Y138" s="515"/>
      <c r="Z138" s="515"/>
      <c r="AA138" s="515"/>
      <c r="AB138" s="515"/>
      <c r="AC138" s="515"/>
      <c r="AD138" s="515"/>
      <c r="AE138" s="515"/>
      <c r="AF138" s="515"/>
      <c r="AG138" s="515"/>
      <c r="AH138" s="515"/>
      <c r="AI138" s="515"/>
      <c r="AJ138" s="515"/>
      <c r="AK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H138" s="515"/>
      <c r="BI138" s="515"/>
      <c r="BJ138" s="515"/>
      <c r="BL138" s="515"/>
      <c r="BM138" s="515"/>
    </row>
    <row r="139" spans="7:65">
      <c r="G139" s="515"/>
      <c r="H139" s="515"/>
      <c r="I139" s="515"/>
      <c r="J139" s="515"/>
      <c r="K139" s="519"/>
      <c r="L139" s="515"/>
      <c r="M139" s="515"/>
      <c r="N139" s="515"/>
      <c r="O139" s="515"/>
      <c r="P139" s="515"/>
      <c r="Q139" s="515"/>
      <c r="S139" s="515"/>
      <c r="T139" s="515"/>
      <c r="U139" s="515"/>
      <c r="V139" s="515"/>
      <c r="W139" s="515"/>
      <c r="X139" s="515"/>
      <c r="Y139" s="515"/>
      <c r="Z139" s="515"/>
      <c r="AA139" s="515"/>
      <c r="AB139" s="515"/>
      <c r="AC139" s="515"/>
      <c r="AD139" s="515"/>
      <c r="AE139" s="515"/>
      <c r="AF139" s="515"/>
      <c r="AG139" s="515"/>
      <c r="AH139" s="515"/>
      <c r="AI139" s="515"/>
      <c r="AJ139" s="515"/>
      <c r="AK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H139" s="515"/>
      <c r="BI139" s="515"/>
      <c r="BJ139" s="515"/>
      <c r="BL139" s="515"/>
      <c r="BM139" s="515"/>
    </row>
    <row r="140" spans="7:65">
      <c r="G140" s="515"/>
      <c r="H140" s="515"/>
      <c r="I140" s="515"/>
      <c r="J140" s="515"/>
      <c r="K140" s="519"/>
      <c r="L140" s="515"/>
      <c r="M140" s="515"/>
      <c r="N140" s="515"/>
      <c r="O140" s="515"/>
      <c r="P140" s="515"/>
      <c r="Q140" s="515"/>
      <c r="S140" s="515"/>
      <c r="T140" s="515"/>
      <c r="U140" s="515"/>
      <c r="V140" s="515"/>
      <c r="W140" s="515"/>
      <c r="X140" s="515"/>
      <c r="Y140" s="515"/>
      <c r="Z140" s="515"/>
      <c r="AA140" s="515"/>
      <c r="AB140" s="515"/>
      <c r="AC140" s="515"/>
      <c r="AD140" s="515"/>
      <c r="AE140" s="515"/>
      <c r="AF140" s="515"/>
      <c r="AG140" s="515"/>
      <c r="AH140" s="515"/>
      <c r="AI140" s="515"/>
      <c r="AJ140" s="515"/>
      <c r="AK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H140" s="515"/>
      <c r="BI140" s="515"/>
      <c r="BJ140" s="515"/>
      <c r="BL140" s="515"/>
      <c r="BM140" s="515"/>
    </row>
    <row r="141" spans="7:65">
      <c r="G141" s="515"/>
      <c r="H141" s="515"/>
      <c r="I141" s="515"/>
      <c r="J141" s="515"/>
      <c r="K141" s="519"/>
      <c r="L141" s="515"/>
      <c r="M141" s="515"/>
      <c r="N141" s="515"/>
      <c r="O141" s="515"/>
      <c r="P141" s="515"/>
      <c r="Q141" s="515"/>
      <c r="S141" s="515"/>
      <c r="T141" s="515"/>
      <c r="U141" s="515"/>
      <c r="V141" s="515"/>
      <c r="W141" s="515"/>
      <c r="X141" s="515"/>
      <c r="Y141" s="515"/>
      <c r="Z141" s="515"/>
      <c r="AA141" s="515"/>
      <c r="AB141" s="515"/>
      <c r="AC141" s="515"/>
      <c r="AD141" s="515"/>
      <c r="AE141" s="515"/>
      <c r="AF141" s="515"/>
      <c r="AG141" s="515"/>
      <c r="AH141" s="515"/>
      <c r="AI141" s="515"/>
      <c r="AJ141" s="515"/>
      <c r="AK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H141" s="515"/>
      <c r="BI141" s="515"/>
      <c r="BJ141" s="515"/>
      <c r="BL141" s="515"/>
      <c r="BM141" s="515"/>
    </row>
    <row r="142" spans="7:65">
      <c r="G142" s="515"/>
      <c r="H142" s="515"/>
      <c r="I142" s="515"/>
      <c r="J142" s="515"/>
      <c r="K142" s="519"/>
      <c r="L142" s="515"/>
      <c r="M142" s="515"/>
      <c r="N142" s="515"/>
      <c r="O142" s="515"/>
      <c r="P142" s="515"/>
      <c r="Q142" s="515"/>
      <c r="S142" s="515"/>
      <c r="T142" s="515"/>
      <c r="U142" s="515"/>
      <c r="V142" s="515"/>
      <c r="W142" s="515"/>
      <c r="X142" s="515"/>
      <c r="Y142" s="515"/>
      <c r="Z142" s="515"/>
      <c r="AA142" s="515"/>
      <c r="AB142" s="515"/>
      <c r="AC142" s="515"/>
      <c r="AD142" s="515"/>
      <c r="AE142" s="515"/>
      <c r="AF142" s="515"/>
      <c r="AG142" s="515"/>
      <c r="AH142" s="515"/>
      <c r="AI142" s="515"/>
      <c r="AJ142" s="515"/>
      <c r="AK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H142" s="515"/>
      <c r="BI142" s="515"/>
      <c r="BJ142" s="515"/>
      <c r="BL142" s="515"/>
      <c r="BM142" s="515"/>
    </row>
    <row r="143" spans="7:65">
      <c r="G143" s="515"/>
      <c r="H143" s="515"/>
      <c r="I143" s="515"/>
      <c r="J143" s="515"/>
      <c r="K143" s="519"/>
      <c r="L143" s="515"/>
      <c r="M143" s="515"/>
      <c r="N143" s="515"/>
      <c r="O143" s="515"/>
      <c r="P143" s="515"/>
      <c r="Q143" s="515"/>
      <c r="S143" s="515"/>
      <c r="T143" s="515"/>
      <c r="U143" s="515"/>
      <c r="V143" s="515"/>
      <c r="W143" s="515"/>
      <c r="X143" s="515"/>
      <c r="Y143" s="515"/>
      <c r="Z143" s="515"/>
      <c r="AA143" s="515"/>
      <c r="AB143" s="515"/>
      <c r="AC143" s="515"/>
      <c r="AD143" s="515"/>
      <c r="AE143" s="515"/>
      <c r="AF143" s="515"/>
      <c r="AG143" s="515"/>
      <c r="AH143" s="515"/>
      <c r="AI143" s="515"/>
      <c r="AJ143" s="515"/>
      <c r="AK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H143" s="515"/>
      <c r="BI143" s="515"/>
      <c r="BJ143" s="515"/>
      <c r="BL143" s="515"/>
      <c r="BM143" s="515"/>
    </row>
    <row r="144" spans="7:65">
      <c r="G144" s="515"/>
      <c r="H144" s="515"/>
      <c r="I144" s="515"/>
      <c r="J144" s="515"/>
      <c r="K144" s="519"/>
      <c r="L144" s="515"/>
      <c r="M144" s="515"/>
      <c r="N144" s="515"/>
      <c r="O144" s="515"/>
      <c r="P144" s="515"/>
      <c r="Q144" s="515"/>
      <c r="S144" s="515"/>
      <c r="T144" s="515"/>
      <c r="U144" s="515"/>
      <c r="V144" s="515"/>
      <c r="W144" s="515"/>
      <c r="X144" s="515"/>
      <c r="Y144" s="515"/>
      <c r="Z144" s="515"/>
      <c r="AA144" s="515"/>
      <c r="AB144" s="515"/>
      <c r="AC144" s="515"/>
      <c r="AD144" s="515"/>
      <c r="AE144" s="515"/>
      <c r="AF144" s="515"/>
      <c r="AG144" s="515"/>
      <c r="AH144" s="515"/>
      <c r="AI144" s="515"/>
      <c r="AJ144" s="515"/>
      <c r="AK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H144" s="515"/>
      <c r="BI144" s="515"/>
      <c r="BJ144" s="515"/>
      <c r="BL144" s="515"/>
      <c r="BM144" s="515"/>
    </row>
    <row r="145" spans="7:65">
      <c r="G145" s="515"/>
      <c r="H145" s="515"/>
      <c r="I145" s="515"/>
      <c r="J145" s="515"/>
      <c r="K145" s="519"/>
      <c r="L145" s="515"/>
      <c r="M145" s="515"/>
      <c r="N145" s="515"/>
      <c r="O145" s="515"/>
      <c r="P145" s="515"/>
      <c r="Q145" s="515"/>
      <c r="S145" s="515"/>
      <c r="T145" s="515"/>
      <c r="U145" s="515"/>
      <c r="V145" s="515"/>
      <c r="W145" s="515"/>
      <c r="X145" s="515"/>
      <c r="Y145" s="515"/>
      <c r="Z145" s="515"/>
      <c r="AA145" s="515"/>
      <c r="AB145" s="515"/>
      <c r="AC145" s="515"/>
      <c r="AD145" s="515"/>
      <c r="AE145" s="515"/>
      <c r="AF145" s="515"/>
      <c r="AG145" s="515"/>
      <c r="AH145" s="515"/>
      <c r="AI145" s="515"/>
      <c r="AJ145" s="515"/>
      <c r="AK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H145" s="515"/>
      <c r="BI145" s="515"/>
      <c r="BJ145" s="515"/>
      <c r="BL145" s="515"/>
      <c r="BM145" s="515"/>
    </row>
    <row r="146" spans="7:65">
      <c r="G146" s="515"/>
      <c r="H146" s="515"/>
      <c r="I146" s="515"/>
      <c r="J146" s="515"/>
      <c r="K146" s="519"/>
      <c r="L146" s="515"/>
      <c r="M146" s="515"/>
      <c r="N146" s="515"/>
      <c r="O146" s="515"/>
      <c r="P146" s="515"/>
      <c r="Q146" s="515"/>
      <c r="S146" s="515"/>
      <c r="T146" s="515"/>
      <c r="U146" s="515"/>
      <c r="V146" s="515"/>
      <c r="W146" s="515"/>
      <c r="X146" s="515"/>
      <c r="Y146" s="515"/>
      <c r="Z146" s="515"/>
      <c r="AA146" s="515"/>
      <c r="AB146" s="515"/>
      <c r="AC146" s="515"/>
      <c r="AD146" s="515"/>
      <c r="AE146" s="515"/>
      <c r="AF146" s="515"/>
      <c r="AG146" s="515"/>
      <c r="AH146" s="515"/>
      <c r="AI146" s="515"/>
      <c r="AJ146" s="515"/>
      <c r="AK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H146" s="515"/>
      <c r="BI146" s="515"/>
      <c r="BJ146" s="515"/>
      <c r="BL146" s="515"/>
      <c r="BM146" s="515"/>
    </row>
    <row r="147" spans="7:65">
      <c r="G147" s="515"/>
      <c r="H147" s="515"/>
      <c r="I147" s="515"/>
      <c r="J147" s="515"/>
      <c r="K147" s="519"/>
      <c r="L147" s="515"/>
      <c r="M147" s="515"/>
      <c r="N147" s="515"/>
      <c r="O147" s="515"/>
      <c r="P147" s="515"/>
      <c r="Q147" s="515"/>
      <c r="S147" s="515"/>
      <c r="T147" s="515"/>
      <c r="U147" s="515"/>
      <c r="V147" s="515"/>
      <c r="W147" s="515"/>
      <c r="X147" s="515"/>
      <c r="Y147" s="515"/>
      <c r="Z147" s="515"/>
      <c r="AA147" s="515"/>
      <c r="AB147" s="515"/>
      <c r="AC147" s="515"/>
      <c r="AD147" s="515"/>
      <c r="AE147" s="515"/>
      <c r="AF147" s="515"/>
      <c r="AG147" s="515"/>
      <c r="AH147" s="515"/>
      <c r="AI147" s="515"/>
      <c r="AJ147" s="515"/>
      <c r="AK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H147" s="515"/>
      <c r="BI147" s="515"/>
      <c r="BJ147" s="515"/>
      <c r="BL147" s="515"/>
      <c r="BM147" s="515"/>
    </row>
    <row r="148" spans="7:65">
      <c r="G148" s="515"/>
      <c r="H148" s="515"/>
      <c r="I148" s="515"/>
      <c r="J148" s="515"/>
      <c r="K148" s="519"/>
      <c r="L148" s="515"/>
      <c r="M148" s="515"/>
      <c r="N148" s="515"/>
      <c r="O148" s="515"/>
      <c r="P148" s="515"/>
      <c r="Q148" s="515"/>
      <c r="S148" s="515"/>
      <c r="T148" s="515"/>
      <c r="U148" s="515"/>
      <c r="V148" s="515"/>
      <c r="W148" s="515"/>
      <c r="X148" s="515"/>
      <c r="Y148" s="515"/>
      <c r="Z148" s="515"/>
      <c r="AA148" s="515"/>
      <c r="AB148" s="515"/>
      <c r="AC148" s="515"/>
      <c r="AD148" s="515"/>
      <c r="AE148" s="515"/>
      <c r="AF148" s="515"/>
      <c r="AG148" s="515"/>
      <c r="AH148" s="515"/>
      <c r="AI148" s="515"/>
      <c r="AJ148" s="515"/>
      <c r="AK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H148" s="515"/>
      <c r="BI148" s="515"/>
      <c r="BJ148" s="515"/>
      <c r="BL148" s="515"/>
      <c r="BM148" s="515"/>
    </row>
  </sheetData>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ignoredErrors>
    <ignoredError sqref="AJ11 AJ28:AK28 BE28 G11:Q11 G28:Q28 BH11:BI11 BH28:BI28 AV28:BC28 S28:W28 BO11:DF11 BO28:DF28 AM11:BE11 AF28 AF11 S11:AC11 AA28:AC28" formula="1"/>
  </ignoredErrors>
</worksheet>
</file>

<file path=xl/worksheets/sheet54.xml><?xml version="1.0" encoding="utf-8"?>
<worksheet xmlns="http://schemas.openxmlformats.org/spreadsheetml/2006/main" xmlns:r="http://schemas.openxmlformats.org/officeDocument/2006/relationships">
  <sheetPr codeName="Sheet6">
    <tabColor theme="6" tint="0.39997558519241921"/>
    <pageSetUpPr autoPageBreaks="0"/>
  </sheetPr>
  <dimension ref="A1:DH148"/>
  <sheetViews>
    <sheetView showGridLines="0" zoomScale="80" zoomScaleNormal="80" workbookViewId="0">
      <pane xSplit="5" ySplit="5" topLeftCell="F6" activePane="bottomRight" state="frozen"/>
      <selection pane="topRight"/>
      <selection pane="bottomLeft"/>
      <selection pane="bottomRight"/>
    </sheetView>
  </sheetViews>
  <sheetFormatPr defaultRowHeight="12.75" outlineLevelRow="2" outlineLevelCol="2"/>
  <cols>
    <col min="1" max="1" width="1.7109375" style="121" customWidth="1"/>
    <col min="2" max="2" width="1.5703125" style="121" customWidth="1"/>
    <col min="3" max="3" width="4.42578125" style="508" customWidth="1"/>
    <col min="4" max="4" width="3.85546875" style="509" customWidth="1"/>
    <col min="5" max="5" width="41.7109375" style="509" customWidth="1"/>
    <col min="6" max="6" width="1.140625" style="121" customWidth="1" outlineLevel="1"/>
    <col min="7" max="10" width="10" style="509" customWidth="1" outlineLevel="2"/>
    <col min="11" max="11" width="10" style="530" customWidth="1" outlineLevel="2"/>
    <col min="12" max="16" width="10" style="509" customWidth="1" outlineLevel="2"/>
    <col min="17" max="17" width="10" style="509" customWidth="1" outlineLevel="1"/>
    <col min="18" max="18" width="1.140625" style="121" customWidth="1" outlineLevel="1"/>
    <col min="19" max="36" width="10" style="509" customWidth="1" outlineLevel="2"/>
    <col min="37" max="37" width="10" style="509" customWidth="1" outlineLevel="1"/>
    <col min="38" max="38" width="1.140625" style="121" customWidth="1" outlineLevel="1"/>
    <col min="39" max="57" width="10" style="509" customWidth="1" outlineLevel="2"/>
    <col min="58" max="58" width="10" style="509" customWidth="1" outlineLevel="1"/>
    <col min="59" max="59" width="1.140625" style="121" customWidth="1" outlineLevel="1"/>
    <col min="60" max="61" width="10" style="509" customWidth="1" outlineLevel="2"/>
    <col min="62" max="62" width="10" style="509" customWidth="1" outlineLevel="1"/>
    <col min="63" max="63" width="1.140625" style="121" customWidth="1" outlineLevel="1"/>
    <col min="64" max="64" width="11" style="509" customWidth="1" outlineLevel="1"/>
    <col min="65" max="65" width="5.28515625" style="509" customWidth="1"/>
    <col min="66" max="66" width="9.140625" style="121"/>
    <col min="67" max="110" width="7.5703125" style="121" customWidth="1"/>
    <col min="111" max="111" width="2.5703125" style="121" customWidth="1"/>
    <col min="112" max="16384" width="9.140625" style="121"/>
  </cols>
  <sheetData>
    <row r="1" spans="1:112" ht="6" customHeight="1"/>
    <row r="2" spans="1:112" ht="21" customHeight="1">
      <c r="D2" s="495"/>
      <c r="E2" s="965">
        <v>2010</v>
      </c>
      <c r="G2" s="121"/>
      <c r="H2" s="121"/>
      <c r="I2" s="121"/>
      <c r="J2" s="121"/>
      <c r="K2" s="121"/>
      <c r="L2" s="121"/>
      <c r="M2" s="121"/>
      <c r="N2" s="121"/>
      <c r="O2" s="121"/>
      <c r="P2" s="121"/>
      <c r="Q2" s="121"/>
      <c r="S2" s="121"/>
      <c r="T2" s="121"/>
      <c r="U2" s="121"/>
      <c r="V2" s="121"/>
      <c r="W2" s="121"/>
      <c r="X2" s="121"/>
      <c r="Y2" s="121"/>
      <c r="Z2" s="121"/>
      <c r="AA2" s="121"/>
      <c r="AB2" s="121"/>
      <c r="AC2" s="121"/>
      <c r="AD2" s="121"/>
      <c r="AE2" s="121"/>
      <c r="AF2" s="121"/>
      <c r="AG2" s="121"/>
      <c r="AH2" s="121"/>
      <c r="AI2" s="121"/>
      <c r="AJ2" s="121"/>
      <c r="AK2" s="121"/>
      <c r="AM2" s="121"/>
      <c r="AN2" s="121"/>
      <c r="AO2" s="121"/>
      <c r="AP2" s="121"/>
      <c r="AQ2" s="121"/>
      <c r="AR2" s="121"/>
      <c r="AS2" s="121"/>
      <c r="AT2" s="121"/>
      <c r="AU2" s="121"/>
      <c r="AV2" s="121"/>
      <c r="AW2" s="121"/>
      <c r="AX2" s="121"/>
      <c r="AY2" s="121"/>
      <c r="AZ2" s="121"/>
      <c r="BA2" s="121"/>
      <c r="BB2" s="121"/>
      <c r="BC2" s="121"/>
      <c r="BD2" s="121"/>
      <c r="BE2" s="121"/>
      <c r="BF2" s="121"/>
      <c r="BH2" s="121"/>
      <c r="BI2" s="121"/>
      <c r="BJ2" s="121"/>
      <c r="BL2" s="121"/>
      <c r="BM2" s="681"/>
    </row>
    <row r="3" spans="1:112" ht="39" customHeight="1">
      <c r="A3" s="754"/>
      <c r="B3" s="754"/>
      <c r="C3" s="754"/>
      <c r="D3" s="500"/>
      <c r="E3" s="808" t="str">
        <f>Preferences.EnergyUnits</f>
        <v>TWh</v>
      </c>
      <c r="G3" s="994" t="s">
        <v>751</v>
      </c>
      <c r="H3" s="994"/>
      <c r="I3" s="994"/>
      <c r="J3" s="994"/>
      <c r="K3" s="994"/>
      <c r="L3" s="994"/>
      <c r="M3" s="994"/>
      <c r="N3" s="994"/>
      <c r="O3" s="994"/>
      <c r="P3" s="994"/>
      <c r="Q3" s="994"/>
      <c r="S3" s="1133" t="s">
        <v>689</v>
      </c>
      <c r="T3" s="1134"/>
      <c r="U3" s="1134"/>
      <c r="V3" s="1134"/>
      <c r="W3" s="1134"/>
      <c r="X3" s="1138"/>
      <c r="Y3" s="1134"/>
      <c r="Z3" s="1134"/>
      <c r="AA3" s="1134"/>
      <c r="AB3" s="1134"/>
      <c r="AC3" s="1134"/>
      <c r="AD3" s="1134"/>
      <c r="AE3" s="1134"/>
      <c r="AF3" s="1134"/>
      <c r="AG3" s="1134"/>
      <c r="AH3" s="1134"/>
      <c r="AI3" s="1134"/>
      <c r="AJ3" s="1134"/>
      <c r="AK3" s="1137"/>
      <c r="AM3" s="1135" t="s">
        <v>1063</v>
      </c>
      <c r="AN3" s="1136"/>
      <c r="AO3" s="1136"/>
      <c r="AP3" s="1139"/>
      <c r="AQ3" s="1136"/>
      <c r="AR3" s="1136"/>
      <c r="AS3" s="1136"/>
      <c r="AT3" s="1136"/>
      <c r="AU3" s="1136"/>
      <c r="AV3" s="1136"/>
      <c r="AW3" s="1136"/>
      <c r="AX3" s="1136"/>
      <c r="AY3" s="1136"/>
      <c r="AZ3" s="1136"/>
      <c r="BA3" s="1136"/>
      <c r="BB3" s="1136"/>
      <c r="BC3" s="1136"/>
      <c r="BD3" s="1136"/>
      <c r="BE3" s="1136"/>
      <c r="BF3" s="1140"/>
      <c r="BH3" s="1025" t="s">
        <v>944</v>
      </c>
      <c r="BI3" s="1003"/>
      <c r="BJ3" s="1003"/>
      <c r="BL3" s="504"/>
      <c r="BM3" s="504"/>
      <c r="BN3" s="754"/>
      <c r="BO3" s="1142" t="s">
        <v>1067</v>
      </c>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3"/>
      <c r="CM3" s="1143"/>
      <c r="CN3" s="1143"/>
      <c r="CO3" s="1143"/>
      <c r="CP3" s="1143"/>
      <c r="CQ3" s="1143"/>
      <c r="CR3" s="1143"/>
      <c r="CS3" s="1143"/>
      <c r="CT3" s="1143"/>
      <c r="CU3" s="1143"/>
      <c r="CV3" s="1143"/>
      <c r="CW3" s="1143"/>
      <c r="CX3" s="1143"/>
      <c r="CY3" s="1143"/>
      <c r="CZ3" s="1143"/>
      <c r="DA3" s="1143"/>
      <c r="DB3" s="1143"/>
      <c r="DC3" s="1280"/>
      <c r="DD3" s="1280"/>
      <c r="DE3" s="1280"/>
      <c r="DF3" s="1280"/>
    </row>
    <row r="4" spans="1:112" ht="36.75" customHeight="1">
      <c r="C4" s="505"/>
      <c r="D4" s="505"/>
      <c r="G4" s="966" t="str">
        <f>INDEX(Vectors[Description], MATCH(G$5,Vectors[Code],FALSE))</f>
        <v>Heating and cooling</v>
      </c>
      <c r="H4" s="966" t="str">
        <f>INDEX(Vectors[Description], MATCH(H$5,Vectors[Code],FALSE))</f>
        <v>Lighting &amp; appliances</v>
      </c>
      <c r="I4" s="966" t="str">
        <f>INDEX(Vectors[Description], MATCH(I$5,Vectors[Code],FALSE))</f>
        <v>Industry</v>
      </c>
      <c r="J4" s="966" t="str">
        <f>INDEX(Vectors[Description], MATCH(J$5,Vectors[Code],FALSE))</f>
        <v>Road transport</v>
      </c>
      <c r="K4" s="966" t="str">
        <f>INDEX(Vectors[Description], MATCH(K$5,Vectors[Code],FALSE))</f>
        <v>Rail transport</v>
      </c>
      <c r="L4" s="966" t="str">
        <f>INDEX(Vectors[Description], MATCH(L$5,Vectors[Code],FALSE))</f>
        <v>Domestic aviation</v>
      </c>
      <c r="M4" s="966" t="str">
        <f>INDEX(Vectors[Description], MATCH(M$5,Vectors[Code],FALSE))</f>
        <v>National navigation</v>
      </c>
      <c r="N4" s="966" t="str">
        <f>INDEX(Vectors[Description], MATCH(N$5,Vectors[Code],FALSE))</f>
        <v>International aviation</v>
      </c>
      <c r="O4" s="966" t="str">
        <f>INDEX(Vectors[Description], MATCH(O$5,Vectors[Code],FALSE))</f>
        <v>International shipping</v>
      </c>
      <c r="P4" s="966" t="str">
        <f>INDEX(Vectors[Description], MATCH(P$5,Vectors[Code],FALSE))</f>
        <v>Food consumption [UNUSED]</v>
      </c>
      <c r="Q4" s="983" t="s">
        <v>949</v>
      </c>
      <c r="S4" s="967" t="str">
        <f>INDEX(Vectors[Description], MATCH(S$5,Vectors[Code],FALSE))</f>
        <v>Electricity (delivered to end user)</v>
      </c>
      <c r="T4" s="967" t="str">
        <f>INDEX(Vectors[Description], MATCH(T$5,Vectors[Code],FALSE))</f>
        <v>Electricity (supplied to grid)</v>
      </c>
      <c r="U4" s="967" t="str">
        <f>INDEX(Vectors[Description], MATCH(U$5,Vectors[Code],FALSE))</f>
        <v>Solid hydrocarbons</v>
      </c>
      <c r="V4" s="967" t="str">
        <f>INDEX(Vectors[Description], MATCH(V$5,Vectors[Code],FALSE))</f>
        <v>Liquid hydrocarbons</v>
      </c>
      <c r="W4" s="967" t="str">
        <f>INDEX(Vectors[Description], MATCH(W$5,Vectors[Code],FALSE))</f>
        <v>Gaseous hydrocarbons</v>
      </c>
      <c r="X4" s="967" t="str">
        <f>INDEX(Vectors[Description], MATCH(X$5,Vectors[Code],FALSE))</f>
        <v>Coal and fossil waste</v>
      </c>
      <c r="Y4" s="967" t="str">
        <f>INDEX(Vectors[Description], MATCH(Y$5,Vectors[Code],FALSE))</f>
        <v>Oil and petroleum products</v>
      </c>
      <c r="Z4" s="967" t="str">
        <f>INDEX(Vectors[Description], MATCH(Z$5,Vectors[Code],FALSE))</f>
        <v>Natural gas</v>
      </c>
      <c r="AA4" s="967" t="str">
        <f>INDEX(Vectors[Description], MATCH(AA$5,Vectors[Code],FALSE))</f>
        <v>Blast furnace gas</v>
      </c>
      <c r="AB4" s="967" t="str">
        <f>INDEX(Vectors[Description], MATCH(AB$5,Vectors[Code],FALSE))</f>
        <v>Heat transport</v>
      </c>
      <c r="AC4" s="967" t="str">
        <f>INDEX(Vectors[Description], MATCH(AC$5,Vectors[Code],FALSE))</f>
        <v>Edible biomatter</v>
      </c>
      <c r="AD4" s="967" t="str">
        <f>INDEX(Vectors[Description], MATCH(AD$5,Vectors[Code],FALSE))</f>
        <v>Energy crops (second generation)</v>
      </c>
      <c r="AE4" s="967" t="str">
        <f>INDEX(Vectors[Description], MATCH(AE$5,Vectors[Code],FALSE))</f>
        <v>Energy crops (first generation)</v>
      </c>
      <c r="AF4" s="967" t="str">
        <f>INDEX(Vectors[Description], MATCH(AF$5,Vectors[Code],FALSE))</f>
        <v>Dry biomatter and waste</v>
      </c>
      <c r="AG4" s="967" t="str">
        <f>INDEX(Vectors[Description], MATCH(AG$5,Vectors[Code],FALSE))</f>
        <v>Wet biomatter and waste</v>
      </c>
      <c r="AH4" s="967" t="str">
        <f>INDEX(Vectors[Description], MATCH(AH$5,Vectors[Code],FALSE))</f>
        <v>Gaseous waste</v>
      </c>
      <c r="AI4" s="967" t="str">
        <f>INDEX(Vectors[Description], MATCH(AI$5,Vectors[Code],FALSE))</f>
        <v>Domestic solar thermal</v>
      </c>
      <c r="AJ4" s="967" t="str">
        <f>INDEX(Vectors[Description], MATCH(AJ$5,Vectors[Code],FALSE))</f>
        <v>H2</v>
      </c>
      <c r="AK4" s="997" t="s">
        <v>685</v>
      </c>
      <c r="AM4" s="981" t="str">
        <f>INDEX(Vectors[Description], MATCH(AM$5,Vectors[Code],FALSE))</f>
        <v>Coal reserves</v>
      </c>
      <c r="AN4" s="981" t="str">
        <f>INDEX(Vectors[Description], MATCH(AN$5,Vectors[Code],FALSE))</f>
        <v>Oil reserves</v>
      </c>
      <c r="AO4" s="981" t="str">
        <f>INDEX(Vectors[Description], MATCH(AO$5,Vectors[Code],FALSE))</f>
        <v>Gas reserves</v>
      </c>
      <c r="AP4" s="981" t="str">
        <f>INDEX(Vectors[Description], MATCH(AP$5,Vectors[Code],FALSE))</f>
        <v>Biomatter exports (imports)</v>
      </c>
      <c r="AQ4" s="981" t="str">
        <f>INDEX(Vectors[Description], MATCH(AQ$5,Vectors[Code],FALSE))</f>
        <v>Electricity exports (imports)</v>
      </c>
      <c r="AR4" s="981" t="str">
        <f>INDEX(Vectors[Description], MATCH(AR$5,Vectors[Code],FALSE))</f>
        <v>Petroleum products exports</v>
      </c>
      <c r="AS4" s="981" t="str">
        <f>INDEX(Vectors[Description], MATCH(AS$5,Vectors[Code],FALSE))</f>
        <v>Coal exports (imports)</v>
      </c>
      <c r="AT4" s="981" t="str">
        <f>INDEX(Vectors[Description], MATCH(AT$5,Vectors[Code],FALSE))</f>
        <v>Oil and petroleum products exports (imports)</v>
      </c>
      <c r="AU4" s="981" t="str">
        <f>INDEX(Vectors[Description], MATCH(AU$5,Vectors[Code],FALSE))</f>
        <v>Gas exports (imports)</v>
      </c>
      <c r="AV4" s="981" t="str">
        <f>INDEX(Vectors[Description], MATCH(AV$5,Vectors[Code],FALSE))</f>
        <v>Nuclear fission</v>
      </c>
      <c r="AW4" s="981" t="str">
        <f>INDEX(Vectors[Description], MATCH(AW$5,Vectors[Code],FALSE))</f>
        <v>Solar</v>
      </c>
      <c r="AX4" s="981" t="str">
        <f>INDEX(Vectors[Description], MATCH(AX$5,Vectors[Code],FALSE))</f>
        <v>Wind</v>
      </c>
      <c r="AY4" s="981" t="str">
        <f>INDEX(Vectors[Description], MATCH(AY$5,Vectors[Code],FALSE))</f>
        <v>Tidal</v>
      </c>
      <c r="AZ4" s="981" t="str">
        <f>INDEX(Vectors[Description], MATCH(AZ$5,Vectors[Code],FALSE))</f>
        <v>Wave</v>
      </c>
      <c r="BA4" s="981" t="str">
        <f>INDEX(Vectors[Description], MATCH(BA$5,Vectors[Code],FALSE))</f>
        <v>Geothermal</v>
      </c>
      <c r="BB4" s="981" t="str">
        <f>INDEX(Vectors[Description], MATCH(BB$5,Vectors[Code],FALSE))</f>
        <v>Hydro</v>
      </c>
      <c r="BC4" s="981" t="str">
        <f>INDEX(Vectors[Description], MATCH(BC$5,Vectors[Code],FALSE))</f>
        <v>Environmental heat</v>
      </c>
      <c r="BD4" s="981" t="str">
        <f>INDEX(Vectors[Description], MATCH(BD$5,Vectors[Code],FALSE))</f>
        <v>Agriculture</v>
      </c>
      <c r="BE4" s="981" t="str">
        <f>INDEX(Vectors[Description], MATCH(BE$5,Vectors[Code],FALSE))</f>
        <v>Waste</v>
      </c>
      <c r="BF4" s="999" t="s">
        <v>686</v>
      </c>
      <c r="BH4" s="986" t="str">
        <f>INDEX(Vectors[Description], MATCH(BH$5,Vectors[Code],FALSE))</f>
        <v>Conversion losses</v>
      </c>
      <c r="BI4" s="986" t="str">
        <f>INDEX(Vectors[Description], MATCH(BI$5,Vectors[Code],FALSE))</f>
        <v>Distribution losses and own use</v>
      </c>
      <c r="BJ4" s="1001" t="s">
        <v>943</v>
      </c>
      <c r="BL4" s="507" t="str">
        <f>INDEX(Vectors[Description], MATCH(BL$5,Vectors[Code],FALSE))</f>
        <v>Unallocated</v>
      </c>
      <c r="BM4" s="507"/>
      <c r="BO4" s="1151" t="str">
        <f>INDEX(IPCC[Sector_description], MATCH(BO$5, IPCC[Sector_code], 0))</f>
        <v>Fuel Combustion</v>
      </c>
      <c r="BP4" s="1152"/>
      <c r="BQ4" s="1152"/>
      <c r="BR4" s="1153"/>
      <c r="BS4" s="1151" t="str">
        <f>INDEX(IPCC[Sector_description], MATCH(BS$5, IPCC[Sector_code], 0))</f>
        <v>Fugitive Emissions from Fuels</v>
      </c>
      <c r="BT4" s="1152"/>
      <c r="BU4" s="1152"/>
      <c r="BV4" s="1153"/>
      <c r="BW4" s="1151" t="str">
        <f>INDEX(IPCC[Sector_description], MATCH(BW$5, IPCC[Sector_code], 0))</f>
        <v>Industrial Processes</v>
      </c>
      <c r="BX4" s="1152"/>
      <c r="BY4" s="1152"/>
      <c r="BZ4" s="1153"/>
      <c r="CA4" s="1151" t="str">
        <f>INDEX(IPCC[Sector_description], MATCH(CA$5, IPCC[Sector_code], 0))</f>
        <v>Solvent and Other Product Use</v>
      </c>
      <c r="CB4" s="1152"/>
      <c r="CC4" s="1152"/>
      <c r="CD4" s="1153"/>
      <c r="CE4" s="1151" t="str">
        <f>INDEX(IPCC[Sector_description], MATCH(CE$5, IPCC[Sector_code], 0))</f>
        <v>Agriculture</v>
      </c>
      <c r="CF4" s="1152"/>
      <c r="CG4" s="1152"/>
      <c r="CH4" s="1153"/>
      <c r="CI4" s="1151" t="str">
        <f>INDEX(IPCC[Sector_description], MATCH(CI$5, IPCC[Sector_code], 0))</f>
        <v>Land Use, Land-Use Change and Forestry</v>
      </c>
      <c r="CJ4" s="1152"/>
      <c r="CK4" s="1152"/>
      <c r="CL4" s="1153"/>
      <c r="CM4" s="1151" t="str">
        <f>INDEX(IPCC[Sector_description], MATCH(CM$5, IPCC[Sector_code], 0))</f>
        <v>Waste</v>
      </c>
      <c r="CN4" s="1152"/>
      <c r="CO4" s="1152"/>
      <c r="CP4" s="1153"/>
      <c r="CQ4" s="1151" t="str">
        <f>INDEX(IPCC[Sector_description], MATCH(CQ$5, IPCC[Sector_code], 0))</f>
        <v>Other</v>
      </c>
      <c r="CR4" s="1152"/>
      <c r="CS4" s="1152"/>
      <c r="CT4" s="1153"/>
      <c r="CU4" s="1151" t="str">
        <f>INDEX(IPCC[Sector_description], MATCH(CU$5, IPCC[Sector_code], 0))</f>
        <v>International Aviation and Shipping</v>
      </c>
      <c r="CV4" s="1152"/>
      <c r="CW4" s="1152"/>
      <c r="CX4" s="1153"/>
      <c r="CY4" s="1151" t="str">
        <f>INDEX(IPCC[Sector_description], MATCH(CY$5, IPCC[Sector_code], 0))</f>
        <v>Bioenergy credit</v>
      </c>
      <c r="CZ4" s="1152"/>
      <c r="DA4" s="1152"/>
      <c r="DB4" s="1153"/>
      <c r="DC4" s="1151" t="str">
        <f>INDEX(IPCC[Sector_description], MATCH(DC$5, IPCC[Sector_code], 0))</f>
        <v>Carbon capture</v>
      </c>
      <c r="DD4" s="1152"/>
      <c r="DE4" s="1152"/>
      <c r="DF4" s="1153"/>
      <c r="DH4" s="1479" t="s">
        <v>148</v>
      </c>
    </row>
    <row r="5" spans="1:112">
      <c r="D5" s="951" t="s">
        <v>200</v>
      </c>
      <c r="G5" s="984" t="s">
        <v>6</v>
      </c>
      <c r="H5" s="984" t="s">
        <v>57</v>
      </c>
      <c r="I5" s="984" t="s">
        <v>13</v>
      </c>
      <c r="J5" s="984" t="s">
        <v>36</v>
      </c>
      <c r="K5" s="984" t="s">
        <v>37</v>
      </c>
      <c r="L5" s="984" t="s">
        <v>38</v>
      </c>
      <c r="M5" s="984" t="s">
        <v>39</v>
      </c>
      <c r="N5" s="984" t="s">
        <v>966</v>
      </c>
      <c r="O5" s="984" t="s">
        <v>967</v>
      </c>
      <c r="P5" s="984" t="s">
        <v>40</v>
      </c>
      <c r="Q5" s="984"/>
      <c r="S5" s="985" t="s">
        <v>45</v>
      </c>
      <c r="T5" s="985" t="s">
        <v>46</v>
      </c>
      <c r="U5" s="985" t="s">
        <v>47</v>
      </c>
      <c r="V5" s="985" t="s">
        <v>49</v>
      </c>
      <c r="W5" s="985" t="s">
        <v>50</v>
      </c>
      <c r="X5" s="985" t="s">
        <v>64</v>
      </c>
      <c r="Y5" s="985" t="s">
        <v>65</v>
      </c>
      <c r="Z5" s="985" t="s">
        <v>66</v>
      </c>
      <c r="AA5" s="985" t="s">
        <v>108</v>
      </c>
      <c r="AB5" s="985" t="s">
        <v>753</v>
      </c>
      <c r="AC5" s="985" t="s">
        <v>754</v>
      </c>
      <c r="AD5" s="985" t="s">
        <v>1801</v>
      </c>
      <c r="AE5" s="985" t="s">
        <v>2291</v>
      </c>
      <c r="AF5" s="985" t="s">
        <v>755</v>
      </c>
      <c r="AG5" s="985" t="s">
        <v>929</v>
      </c>
      <c r="AH5" s="985" t="s">
        <v>2294</v>
      </c>
      <c r="AI5" s="985" t="s">
        <v>1331</v>
      </c>
      <c r="AJ5" s="985" t="s">
        <v>1476</v>
      </c>
      <c r="AK5" s="985"/>
      <c r="AM5" s="982" t="s">
        <v>999</v>
      </c>
      <c r="AN5" s="982" t="s">
        <v>1000</v>
      </c>
      <c r="AO5" s="982" t="s">
        <v>1001</v>
      </c>
      <c r="AP5" s="982" t="s">
        <v>59</v>
      </c>
      <c r="AQ5" s="982" t="s">
        <v>60</v>
      </c>
      <c r="AR5" s="982" t="s">
        <v>799</v>
      </c>
      <c r="AS5" s="982" t="s">
        <v>991</v>
      </c>
      <c r="AT5" s="982" t="s">
        <v>992</v>
      </c>
      <c r="AU5" s="982" t="s">
        <v>993</v>
      </c>
      <c r="AV5" s="982" t="s">
        <v>7</v>
      </c>
      <c r="AW5" s="982" t="s">
        <v>33</v>
      </c>
      <c r="AX5" s="982" t="s">
        <v>8</v>
      </c>
      <c r="AY5" s="982" t="s">
        <v>9</v>
      </c>
      <c r="AZ5" s="982" t="s">
        <v>10</v>
      </c>
      <c r="BA5" s="982" t="s">
        <v>11</v>
      </c>
      <c r="BB5" s="982" t="s">
        <v>12</v>
      </c>
      <c r="BC5" s="982" t="s">
        <v>104</v>
      </c>
      <c r="BD5" s="982" t="s">
        <v>1027</v>
      </c>
      <c r="BE5" s="982" t="s">
        <v>54</v>
      </c>
      <c r="BF5" s="982"/>
      <c r="BH5" s="987" t="s">
        <v>34</v>
      </c>
      <c r="BI5" s="987" t="s">
        <v>35</v>
      </c>
      <c r="BJ5" s="987"/>
      <c r="BL5" s="502" t="s">
        <v>61</v>
      </c>
      <c r="BM5" s="502"/>
      <c r="BO5" s="1154" t="s">
        <v>1065</v>
      </c>
      <c r="BP5" s="1155" t="s">
        <v>1065</v>
      </c>
      <c r="BQ5" s="1155" t="s">
        <v>1065</v>
      </c>
      <c r="BR5" s="1156" t="s">
        <v>1065</v>
      </c>
      <c r="BS5" s="1154" t="s">
        <v>1064</v>
      </c>
      <c r="BT5" s="1155" t="s">
        <v>1064</v>
      </c>
      <c r="BU5" s="1155" t="s">
        <v>1064</v>
      </c>
      <c r="BV5" s="1156" t="s">
        <v>1064</v>
      </c>
      <c r="BW5" s="1154">
        <v>2</v>
      </c>
      <c r="BX5" s="1155">
        <v>2</v>
      </c>
      <c r="BY5" s="1155">
        <v>2</v>
      </c>
      <c r="BZ5" s="1156">
        <v>2</v>
      </c>
      <c r="CA5" s="1154">
        <v>3</v>
      </c>
      <c r="CB5" s="1155">
        <v>3</v>
      </c>
      <c r="CC5" s="1155">
        <v>3</v>
      </c>
      <c r="CD5" s="1156">
        <v>3</v>
      </c>
      <c r="CE5" s="1154">
        <v>4</v>
      </c>
      <c r="CF5" s="1155">
        <v>4</v>
      </c>
      <c r="CG5" s="1155">
        <v>4</v>
      </c>
      <c r="CH5" s="1156">
        <v>4</v>
      </c>
      <c r="CI5" s="1154">
        <v>5</v>
      </c>
      <c r="CJ5" s="1155">
        <v>5</v>
      </c>
      <c r="CK5" s="1155">
        <v>5</v>
      </c>
      <c r="CL5" s="1156">
        <v>5</v>
      </c>
      <c r="CM5" s="1154">
        <v>6</v>
      </c>
      <c r="CN5" s="1155">
        <v>6</v>
      </c>
      <c r="CO5" s="1155">
        <v>6</v>
      </c>
      <c r="CP5" s="1156">
        <v>6</v>
      </c>
      <c r="CQ5" s="1154">
        <v>7</v>
      </c>
      <c r="CR5" s="1155">
        <v>7</v>
      </c>
      <c r="CS5" s="1155">
        <v>7</v>
      </c>
      <c r="CT5" s="1156">
        <v>7</v>
      </c>
      <c r="CU5" s="1154" t="s">
        <v>1050</v>
      </c>
      <c r="CV5" s="1155" t="s">
        <v>1050</v>
      </c>
      <c r="CW5" s="1155" t="s">
        <v>1050</v>
      </c>
      <c r="CX5" s="1156" t="s">
        <v>1050</v>
      </c>
      <c r="CY5" s="1154" t="s">
        <v>1051</v>
      </c>
      <c r="CZ5" s="1155" t="s">
        <v>1051</v>
      </c>
      <c r="DA5" s="1155" t="s">
        <v>1051</v>
      </c>
      <c r="DB5" s="1156" t="s">
        <v>1051</v>
      </c>
      <c r="DC5" s="1154" t="s">
        <v>1078</v>
      </c>
      <c r="DD5" s="1155" t="s">
        <v>1078</v>
      </c>
      <c r="DE5" s="1155" t="s">
        <v>1078</v>
      </c>
      <c r="DF5" s="1156" t="s">
        <v>1078</v>
      </c>
    </row>
    <row r="6" spans="1:112" ht="15.75" customHeight="1">
      <c r="G6" s="955"/>
      <c r="H6" s="955"/>
      <c r="I6" s="955"/>
      <c r="J6" s="955"/>
      <c r="K6" s="956"/>
      <c r="L6" s="955"/>
      <c r="M6" s="955"/>
      <c r="N6" s="955"/>
      <c r="O6" s="955"/>
      <c r="P6" s="955"/>
      <c r="Q6" s="955"/>
      <c r="S6" s="968"/>
      <c r="T6" s="968"/>
      <c r="U6" s="968"/>
      <c r="V6" s="968"/>
      <c r="W6" s="968"/>
      <c r="X6" s="968"/>
      <c r="Y6" s="968"/>
      <c r="Z6" s="968"/>
      <c r="AA6" s="968"/>
      <c r="AB6" s="968"/>
      <c r="AC6" s="968"/>
      <c r="AD6" s="968"/>
      <c r="AE6" s="968"/>
      <c r="AF6" s="968"/>
      <c r="AG6" s="968"/>
      <c r="AH6" s="968"/>
      <c r="AI6" s="968"/>
      <c r="AJ6" s="968"/>
      <c r="AK6" s="968"/>
      <c r="AM6" s="974"/>
      <c r="AN6" s="974"/>
      <c r="AO6" s="974"/>
      <c r="AP6" s="974"/>
      <c r="AQ6" s="974"/>
      <c r="AR6" s="974"/>
      <c r="AS6" s="974"/>
      <c r="AT6" s="974"/>
      <c r="AU6" s="974"/>
      <c r="AV6" s="974"/>
      <c r="AW6" s="974"/>
      <c r="AX6" s="974"/>
      <c r="AY6" s="974"/>
      <c r="AZ6" s="974"/>
      <c r="BA6" s="974"/>
      <c r="BB6" s="974"/>
      <c r="BC6" s="974"/>
      <c r="BD6" s="974"/>
      <c r="BE6" s="974"/>
      <c r="BF6" s="974"/>
      <c r="BH6" s="988"/>
      <c r="BI6" s="988"/>
      <c r="BJ6" s="988"/>
      <c r="BL6" s="511"/>
      <c r="BM6" s="511"/>
      <c r="BO6" s="1144" t="s">
        <v>1055</v>
      </c>
      <c r="BP6" s="1144" t="s">
        <v>1056</v>
      </c>
      <c r="BQ6" s="1144" t="s">
        <v>1057</v>
      </c>
      <c r="BR6" s="1144" t="s">
        <v>1058</v>
      </c>
      <c r="BS6" s="1144" t="s">
        <v>1055</v>
      </c>
      <c r="BT6" s="1144" t="s">
        <v>1056</v>
      </c>
      <c r="BU6" s="1144" t="s">
        <v>1057</v>
      </c>
      <c r="BV6" s="1144" t="s">
        <v>1058</v>
      </c>
      <c r="BW6" s="1144" t="s">
        <v>1055</v>
      </c>
      <c r="BX6" s="1144" t="s">
        <v>1056</v>
      </c>
      <c r="BY6" s="1144" t="s">
        <v>1057</v>
      </c>
      <c r="BZ6" s="1144" t="s">
        <v>1058</v>
      </c>
      <c r="CA6" s="1144" t="s">
        <v>1055</v>
      </c>
      <c r="CB6" s="1144" t="s">
        <v>1056</v>
      </c>
      <c r="CC6" s="1144" t="s">
        <v>1057</v>
      </c>
      <c r="CD6" s="1144" t="s">
        <v>1058</v>
      </c>
      <c r="CE6" s="1144" t="s">
        <v>1055</v>
      </c>
      <c r="CF6" s="1144" t="s">
        <v>1056</v>
      </c>
      <c r="CG6" s="1144" t="s">
        <v>1057</v>
      </c>
      <c r="CH6" s="1144" t="s">
        <v>1058</v>
      </c>
      <c r="CI6" s="1144" t="s">
        <v>1055</v>
      </c>
      <c r="CJ6" s="1144" t="s">
        <v>1056</v>
      </c>
      <c r="CK6" s="1144" t="s">
        <v>1057</v>
      </c>
      <c r="CL6" s="1144" t="s">
        <v>1058</v>
      </c>
      <c r="CM6" s="1144" t="s">
        <v>1055</v>
      </c>
      <c r="CN6" s="1144" t="s">
        <v>1056</v>
      </c>
      <c r="CO6" s="1144" t="s">
        <v>1057</v>
      </c>
      <c r="CP6" s="1144" t="s">
        <v>1058</v>
      </c>
      <c r="CQ6" s="1144" t="s">
        <v>1055</v>
      </c>
      <c r="CR6" s="1144" t="s">
        <v>1056</v>
      </c>
      <c r="CS6" s="1144" t="s">
        <v>1057</v>
      </c>
      <c r="CT6" s="1144" t="s">
        <v>1058</v>
      </c>
      <c r="CU6" s="1144" t="s">
        <v>1055</v>
      </c>
      <c r="CV6" s="1144" t="s">
        <v>1056</v>
      </c>
      <c r="CW6" s="1144" t="s">
        <v>1057</v>
      </c>
      <c r="CX6" s="1144" t="s">
        <v>1058</v>
      </c>
      <c r="CY6" s="1144" t="s">
        <v>1055</v>
      </c>
      <c r="CZ6" s="1144" t="s">
        <v>1056</v>
      </c>
      <c r="DA6" s="1144" t="s">
        <v>1057</v>
      </c>
      <c r="DB6" s="1144" t="s">
        <v>1058</v>
      </c>
      <c r="DC6" s="1144" t="s">
        <v>1055</v>
      </c>
      <c r="DD6" s="1144" t="s">
        <v>1056</v>
      </c>
      <c r="DE6" s="1144" t="s">
        <v>1057</v>
      </c>
      <c r="DF6" s="1144" t="s">
        <v>1058</v>
      </c>
    </row>
    <row r="7" spans="1:112" ht="18" customHeight="1">
      <c r="C7" s="501" t="s">
        <v>592</v>
      </c>
      <c r="D7" s="501"/>
      <c r="E7" s="639"/>
      <c r="G7" s="957"/>
      <c r="H7" s="957"/>
      <c r="I7" s="957"/>
      <c r="J7" s="957"/>
      <c r="K7" s="957"/>
      <c r="L7" s="957"/>
      <c r="M7" s="957"/>
      <c r="N7" s="957"/>
      <c r="O7" s="957"/>
      <c r="P7" s="957"/>
      <c r="Q7" s="957"/>
      <c r="S7" s="969"/>
      <c r="T7" s="969"/>
      <c r="U7" s="969"/>
      <c r="V7" s="969"/>
      <c r="W7" s="969"/>
      <c r="X7" s="969"/>
      <c r="Y7" s="969"/>
      <c r="Z7" s="969"/>
      <c r="AA7" s="969"/>
      <c r="AB7" s="969"/>
      <c r="AC7" s="969"/>
      <c r="AD7" s="969"/>
      <c r="AE7" s="969"/>
      <c r="AF7" s="969"/>
      <c r="AG7" s="969"/>
      <c r="AH7" s="969"/>
      <c r="AI7" s="969"/>
      <c r="AJ7" s="969"/>
      <c r="AK7" s="969"/>
      <c r="AM7" s="975"/>
      <c r="AN7" s="975"/>
      <c r="AO7" s="975"/>
      <c r="AP7" s="975"/>
      <c r="AQ7" s="975"/>
      <c r="AR7" s="975"/>
      <c r="AS7" s="975"/>
      <c r="AT7" s="975"/>
      <c r="AU7" s="975"/>
      <c r="AV7" s="975"/>
      <c r="AW7" s="975"/>
      <c r="AX7" s="975"/>
      <c r="AY7" s="975"/>
      <c r="AZ7" s="975"/>
      <c r="BA7" s="975"/>
      <c r="BB7" s="975"/>
      <c r="BC7" s="975"/>
      <c r="BD7" s="975"/>
      <c r="BE7" s="975"/>
      <c r="BF7" s="975"/>
      <c r="BH7" s="989"/>
      <c r="BI7" s="989"/>
      <c r="BJ7" s="989"/>
      <c r="BL7" s="514"/>
      <c r="BM7" s="514"/>
      <c r="BO7" s="1145"/>
      <c r="BP7" s="1145"/>
      <c r="BQ7" s="1145"/>
      <c r="BR7" s="1145"/>
      <c r="BS7" s="1145"/>
      <c r="BT7" s="1145"/>
      <c r="BU7" s="1145"/>
      <c r="BV7" s="1145"/>
      <c r="BW7" s="1145"/>
      <c r="BX7" s="1145"/>
      <c r="BY7" s="1145"/>
      <c r="BZ7" s="1145"/>
      <c r="CA7" s="1145"/>
      <c r="CB7" s="1145"/>
      <c r="CC7" s="1145"/>
      <c r="CD7" s="1145"/>
      <c r="CE7" s="1145"/>
      <c r="CF7" s="1145"/>
      <c r="CG7" s="1145"/>
      <c r="CH7" s="1145"/>
      <c r="CI7" s="1145"/>
      <c r="CJ7" s="1145"/>
      <c r="CK7" s="1145"/>
      <c r="CL7" s="1145"/>
      <c r="CM7" s="1145"/>
      <c r="CN7" s="1145"/>
      <c r="CO7" s="1145"/>
      <c r="CP7" s="1145"/>
      <c r="CQ7" s="1145"/>
      <c r="CR7" s="1145"/>
      <c r="CS7" s="1145"/>
      <c r="CT7" s="1145"/>
      <c r="CU7" s="1145"/>
      <c r="CV7" s="1145"/>
      <c r="CW7" s="1145"/>
      <c r="CX7" s="1145"/>
      <c r="CY7" s="1145"/>
      <c r="CZ7" s="1145"/>
      <c r="DA7" s="1145"/>
      <c r="DB7" s="1145"/>
      <c r="DC7" s="1145"/>
      <c r="DD7" s="1145"/>
      <c r="DE7" s="1145"/>
      <c r="DF7" s="1145"/>
    </row>
    <row r="8" spans="1:112" ht="6" hidden="1" customHeight="1" outlineLevel="1">
      <c r="G8" s="958"/>
      <c r="H8" s="958"/>
      <c r="I8" s="958"/>
      <c r="J8" s="958"/>
      <c r="K8" s="959"/>
      <c r="L8" s="958"/>
      <c r="M8" s="958"/>
      <c r="N8" s="958"/>
      <c r="O8" s="958"/>
      <c r="P8" s="958"/>
      <c r="Q8" s="958"/>
      <c r="S8" s="970"/>
      <c r="T8" s="970"/>
      <c r="U8" s="970"/>
      <c r="V8" s="970"/>
      <c r="W8" s="970"/>
      <c r="X8" s="970"/>
      <c r="Y8" s="970"/>
      <c r="Z8" s="970"/>
      <c r="AA8" s="970"/>
      <c r="AB8" s="970"/>
      <c r="AC8" s="970"/>
      <c r="AD8" s="970"/>
      <c r="AE8" s="970"/>
      <c r="AF8" s="970"/>
      <c r="AG8" s="970"/>
      <c r="AH8" s="970"/>
      <c r="AI8" s="970"/>
      <c r="AJ8" s="970"/>
      <c r="AK8" s="970"/>
      <c r="AM8" s="976"/>
      <c r="AN8" s="976"/>
      <c r="AO8" s="976"/>
      <c r="AP8" s="976"/>
      <c r="AQ8" s="976"/>
      <c r="AR8" s="976"/>
      <c r="AS8" s="976"/>
      <c r="AT8" s="976"/>
      <c r="AU8" s="976"/>
      <c r="AV8" s="976"/>
      <c r="AW8" s="976"/>
      <c r="AX8" s="976"/>
      <c r="AY8" s="976"/>
      <c r="AZ8" s="976"/>
      <c r="BA8" s="976"/>
      <c r="BB8" s="976"/>
      <c r="BC8" s="976"/>
      <c r="BD8" s="976"/>
      <c r="BE8" s="976"/>
      <c r="BF8" s="976"/>
      <c r="BH8" s="990"/>
      <c r="BI8" s="990"/>
      <c r="BJ8" s="990"/>
      <c r="BL8" s="515"/>
      <c r="BM8" s="515"/>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1146"/>
      <c r="DA8" s="1146"/>
      <c r="DB8" s="1146"/>
      <c r="DC8" s="1146"/>
      <c r="DD8" s="1146"/>
      <c r="DE8" s="1146"/>
      <c r="DF8" s="1146"/>
    </row>
    <row r="9" spans="1:112" s="743" customFormat="1" ht="10.5" hidden="1" customHeight="1" outlineLevel="2">
      <c r="A9" s="1480"/>
      <c r="B9" s="1480"/>
      <c r="C9" s="746" t="s">
        <v>829</v>
      </c>
      <c r="D9" s="1480" t="str">
        <f>INDEX(Modules[Module], MATCH($C9, Modules[Code], 0))</f>
        <v>Domestic space heating and hot water</v>
      </c>
      <c r="E9" s="521"/>
      <c r="G9" s="1017">
        <f ca="1">IFERROR(INDEX(INDIRECT($C9&amp;".Outputs["&amp;this.Year&amp;"]"), MATCH(G$5, INDIRECT($C9&amp;".Outputs[Vector]"), 0)), 0)</f>
        <v>408.73342935275718</v>
      </c>
      <c r="H9" s="1017">
        <f t="shared" ref="G9:P13" ca="1" si="0">IFERROR(INDEX(INDIRECT($C9&amp;".Outputs["&amp;this.Year&amp;"]"), MATCH(H$5, INDIRECT($C9&amp;".Outputs[Vector]"), 0)), 0)</f>
        <v>0</v>
      </c>
      <c r="I9" s="1017">
        <f t="shared" ca="1" si="0"/>
        <v>0</v>
      </c>
      <c r="J9" s="1017">
        <f t="shared" ca="1" si="0"/>
        <v>0</v>
      </c>
      <c r="K9" s="1017">
        <f t="shared" ca="1" si="0"/>
        <v>0</v>
      </c>
      <c r="L9" s="1017">
        <f t="shared" ca="1" si="0"/>
        <v>0</v>
      </c>
      <c r="M9" s="1017">
        <f t="shared" ca="1" si="0"/>
        <v>0</v>
      </c>
      <c r="N9" s="1017">
        <f t="shared" ca="1" si="0"/>
        <v>0</v>
      </c>
      <c r="O9" s="1017">
        <f t="shared" ca="1" si="0"/>
        <v>0</v>
      </c>
      <c r="P9" s="1017">
        <f t="shared" ca="1" si="0"/>
        <v>0</v>
      </c>
      <c r="Q9" s="1019">
        <f t="shared" ref="Q9:Q15" ca="1" si="1">SUM(G9:P9)</f>
        <v>408.73342935275718</v>
      </c>
      <c r="S9" s="1026">
        <f t="shared" ref="S9:BE13" ca="1" si="2">IFERROR(INDEX(INDIRECT($C9&amp;".Outputs["&amp;this.Year&amp;"]"), MATCH(S$5, INDIRECT($C9&amp;".Outputs[Vector]"), 0)), 0)</f>
        <v>-33.870266304074299</v>
      </c>
      <c r="T9" s="1026">
        <f t="shared" ca="1" si="2"/>
        <v>0</v>
      </c>
      <c r="U9" s="1026">
        <f t="shared" ca="1" si="2"/>
        <v>-13.24549946075815</v>
      </c>
      <c r="V9" s="1026">
        <f t="shared" ca="1" si="2"/>
        <v>-11.879984052432567</v>
      </c>
      <c r="W9" s="1026">
        <f t="shared" ca="1" si="2"/>
        <v>-349.73767953549213</v>
      </c>
      <c r="X9" s="1026">
        <f t="shared" ref="X9:Z10" ca="1" si="3">IFERROR(INDEX(INDIRECT($C9&amp;".Outputs["&amp;this.Year&amp;"]"), MATCH(X$5, INDIRECT($C9&amp;".Outputs[Vector]"), 0)), 0)</f>
        <v>0</v>
      </c>
      <c r="Y9" s="1026">
        <f t="shared" ca="1" si="3"/>
        <v>0</v>
      </c>
      <c r="Z9" s="1026">
        <f t="shared" ca="1" si="3"/>
        <v>0</v>
      </c>
      <c r="AA9" s="1026">
        <f t="shared" ca="1" si="2"/>
        <v>0</v>
      </c>
      <c r="AB9" s="1026">
        <f t="shared" ca="1" si="2"/>
        <v>0</v>
      </c>
      <c r="AC9" s="1026">
        <f t="shared" ca="1" si="2"/>
        <v>0</v>
      </c>
      <c r="AD9" s="1026">
        <f t="shared" ca="1" si="2"/>
        <v>0</v>
      </c>
      <c r="AE9" s="1026">
        <f t="shared" ca="1" si="2"/>
        <v>0</v>
      </c>
      <c r="AF9" s="1026">
        <f t="shared" ca="1" si="2"/>
        <v>0</v>
      </c>
      <c r="AG9" s="1026">
        <f t="shared" ca="1" si="2"/>
        <v>0</v>
      </c>
      <c r="AH9" s="1026">
        <f t="shared" ca="1" si="2"/>
        <v>0</v>
      </c>
      <c r="AI9" s="1026">
        <f t="shared" ca="1" si="2"/>
        <v>0</v>
      </c>
      <c r="AJ9" s="1026">
        <f t="shared" ca="1" si="2"/>
        <v>0</v>
      </c>
      <c r="AK9" s="1027">
        <f t="shared" ref="AK9:AK15" ca="1" si="4">SUM(S9:AJ9)</f>
        <v>-408.73342935275713</v>
      </c>
      <c r="AM9" s="1038">
        <f t="shared" ref="AM9:AU10" ca="1" si="5">IFERROR(INDEX(INDIRECT($C9&amp;".Outputs["&amp;this.Year&amp;"]"), MATCH(AM$5, INDIRECT($C9&amp;".Outputs[Vector]"), 0)), 0)</f>
        <v>0</v>
      </c>
      <c r="AN9" s="1038">
        <f t="shared" ca="1" si="5"/>
        <v>0</v>
      </c>
      <c r="AO9" s="1038">
        <f t="shared" ca="1" si="5"/>
        <v>0</v>
      </c>
      <c r="AP9" s="1038">
        <f t="shared" ca="1" si="5"/>
        <v>0</v>
      </c>
      <c r="AQ9" s="1038">
        <f t="shared" ca="1" si="5"/>
        <v>0</v>
      </c>
      <c r="AR9" s="1038">
        <f t="shared" ca="1" si="5"/>
        <v>0</v>
      </c>
      <c r="AS9" s="1038">
        <f t="shared" ca="1" si="5"/>
        <v>0</v>
      </c>
      <c r="AT9" s="1038">
        <f t="shared" ca="1" si="5"/>
        <v>0</v>
      </c>
      <c r="AU9" s="1038">
        <f t="shared" ca="1" si="5"/>
        <v>0</v>
      </c>
      <c r="AV9" s="1038">
        <f t="shared" ca="1" si="2"/>
        <v>0</v>
      </c>
      <c r="AW9" s="1038">
        <f t="shared" ca="1" si="2"/>
        <v>0</v>
      </c>
      <c r="AX9" s="1038">
        <f t="shared" ca="1" si="2"/>
        <v>0</v>
      </c>
      <c r="AY9" s="1038">
        <f t="shared" ca="1" si="2"/>
        <v>0</v>
      </c>
      <c r="AZ9" s="1038">
        <f t="shared" ca="1" si="2"/>
        <v>0</v>
      </c>
      <c r="BA9" s="1038">
        <f t="shared" ca="1" si="2"/>
        <v>0</v>
      </c>
      <c r="BB9" s="1038">
        <f t="shared" ca="1" si="2"/>
        <v>0</v>
      </c>
      <c r="BC9" s="1038">
        <f t="shared" ca="1" si="2"/>
        <v>0</v>
      </c>
      <c r="BD9" s="1038">
        <f t="shared" ca="1" si="2"/>
        <v>0</v>
      </c>
      <c r="BE9" s="1038">
        <f t="shared" ca="1" si="2"/>
        <v>0</v>
      </c>
      <c r="BF9" s="977">
        <f t="shared" ref="BF9:BF15" ca="1" si="6">SUM(AM9:BE9)</f>
        <v>0</v>
      </c>
      <c r="BH9" s="1032">
        <f t="shared" ref="BH9:BI13" ca="1" si="7">IFERROR(INDEX(INDIRECT($C9&amp;".Outputs["&amp;this.Year&amp;"]"), MATCH(BH$5, INDIRECT($C9&amp;".Outputs[Vector]"), 0)), 0)</f>
        <v>0</v>
      </c>
      <c r="BI9" s="1032">
        <f t="shared" ca="1" si="7"/>
        <v>0</v>
      </c>
      <c r="BJ9" s="1034">
        <f t="shared" ref="BJ9:BJ15" ca="1" si="8">SUM(BH9:BI9)</f>
        <v>0</v>
      </c>
      <c r="BL9" s="524">
        <f t="shared" ref="BL9:BL44" ca="1" si="9">Q9+AK9+BF9+BJ9</f>
        <v>5.6843418860808015E-14</v>
      </c>
      <c r="BM9" s="524"/>
      <c r="BN9" s="840"/>
      <c r="BO9" s="1481">
        <f t="shared" ref="BO9:BX10" ca="1" si="10">IFERROR(SUMIFS(INDIRECT($C9&amp;".Emissions["&amp;this.Year&amp;"]"), INDIRECT($C9&amp;".Emissions[GHG]"), BO$6, INDIRECT($C9&amp;".Emissions[IPCC Sector]"), BO$5),0)</f>
        <v>71.401342881552196</v>
      </c>
      <c r="BP9" s="1482">
        <f t="shared" ca="1" si="10"/>
        <v>0.14467419365392858</v>
      </c>
      <c r="BQ9" s="1482">
        <f t="shared" ca="1" si="10"/>
        <v>0.22831293410791412</v>
      </c>
      <c r="BR9" s="1482">
        <f t="shared" ca="1" si="10"/>
        <v>0</v>
      </c>
      <c r="BS9" s="1482">
        <f t="shared" ca="1" si="10"/>
        <v>0</v>
      </c>
      <c r="BT9" s="1482">
        <f t="shared" ca="1" si="10"/>
        <v>0</v>
      </c>
      <c r="BU9" s="1482">
        <f t="shared" ca="1" si="10"/>
        <v>0</v>
      </c>
      <c r="BV9" s="1482">
        <f t="shared" ca="1" si="10"/>
        <v>0</v>
      </c>
      <c r="BW9" s="1482">
        <f t="shared" ca="1" si="10"/>
        <v>0</v>
      </c>
      <c r="BX9" s="1482">
        <f t="shared" ca="1" si="10"/>
        <v>0</v>
      </c>
      <c r="BY9" s="1482">
        <f t="shared" ref="BY9:CH10" ca="1" si="11">IFERROR(SUMIFS(INDIRECT($C9&amp;".Emissions["&amp;this.Year&amp;"]"), INDIRECT($C9&amp;".Emissions[GHG]"), BY$6, INDIRECT($C9&amp;".Emissions[IPCC Sector]"), BY$5),0)</f>
        <v>0</v>
      </c>
      <c r="BZ9" s="1482">
        <f t="shared" ca="1" si="11"/>
        <v>0</v>
      </c>
      <c r="CA9" s="1482">
        <f t="shared" ca="1" si="11"/>
        <v>0</v>
      </c>
      <c r="CB9" s="1482">
        <f t="shared" ca="1" si="11"/>
        <v>0</v>
      </c>
      <c r="CC9" s="1482">
        <f t="shared" ca="1" si="11"/>
        <v>0</v>
      </c>
      <c r="CD9" s="1482">
        <f t="shared" ca="1" si="11"/>
        <v>0</v>
      </c>
      <c r="CE9" s="1482">
        <f t="shared" ca="1" si="11"/>
        <v>0</v>
      </c>
      <c r="CF9" s="1482">
        <f t="shared" ca="1" si="11"/>
        <v>0</v>
      </c>
      <c r="CG9" s="1482">
        <f t="shared" ca="1" si="11"/>
        <v>0</v>
      </c>
      <c r="CH9" s="1482">
        <f t="shared" ca="1" si="11"/>
        <v>0</v>
      </c>
      <c r="CI9" s="1482">
        <f t="shared" ref="CI9:CR10" ca="1" si="12">IFERROR(SUMIFS(INDIRECT($C9&amp;".Emissions["&amp;this.Year&amp;"]"), INDIRECT($C9&amp;".Emissions[GHG]"), CI$6, INDIRECT($C9&amp;".Emissions[IPCC Sector]"), CI$5),0)</f>
        <v>0</v>
      </c>
      <c r="CJ9" s="1482">
        <f t="shared" ca="1" si="12"/>
        <v>0</v>
      </c>
      <c r="CK9" s="1482">
        <f t="shared" ca="1" si="12"/>
        <v>0</v>
      </c>
      <c r="CL9" s="1482">
        <f t="shared" ca="1" si="12"/>
        <v>0</v>
      </c>
      <c r="CM9" s="1482">
        <f t="shared" ca="1" si="12"/>
        <v>0</v>
      </c>
      <c r="CN9" s="1482">
        <f t="shared" ca="1" si="12"/>
        <v>0</v>
      </c>
      <c r="CO9" s="1482">
        <f t="shared" ca="1" si="12"/>
        <v>0</v>
      </c>
      <c r="CP9" s="1482">
        <f t="shared" ca="1" si="12"/>
        <v>0</v>
      </c>
      <c r="CQ9" s="1482">
        <f t="shared" ca="1" si="12"/>
        <v>0</v>
      </c>
      <c r="CR9" s="1482">
        <f t="shared" ca="1" si="12"/>
        <v>0</v>
      </c>
      <c r="CS9" s="1482">
        <f t="shared" ref="CS9:DF10" ca="1" si="13">IFERROR(SUMIFS(INDIRECT($C9&amp;".Emissions["&amp;this.Year&amp;"]"), INDIRECT($C9&amp;".Emissions[GHG]"), CS$6, INDIRECT($C9&amp;".Emissions[IPCC Sector]"), CS$5),0)</f>
        <v>0</v>
      </c>
      <c r="CT9" s="1482">
        <f t="shared" ca="1" si="13"/>
        <v>0</v>
      </c>
      <c r="CU9" s="1482">
        <f t="shared" ca="1" si="13"/>
        <v>0</v>
      </c>
      <c r="CV9" s="1482">
        <f t="shared" ca="1" si="13"/>
        <v>0</v>
      </c>
      <c r="CW9" s="1482">
        <f t="shared" ca="1" si="13"/>
        <v>0</v>
      </c>
      <c r="CX9" s="1482">
        <f t="shared" ca="1" si="13"/>
        <v>0</v>
      </c>
      <c r="CY9" s="1482">
        <f t="shared" ca="1" si="13"/>
        <v>0</v>
      </c>
      <c r="CZ9" s="1482">
        <f t="shared" ca="1" si="13"/>
        <v>0</v>
      </c>
      <c r="DA9" s="1482">
        <f t="shared" ca="1" si="13"/>
        <v>0</v>
      </c>
      <c r="DB9" s="1482">
        <f t="shared" ca="1" si="13"/>
        <v>0</v>
      </c>
      <c r="DC9" s="1482">
        <f t="shared" ca="1" si="13"/>
        <v>0</v>
      </c>
      <c r="DD9" s="1482">
        <f t="shared" ca="1" si="13"/>
        <v>0</v>
      </c>
      <c r="DE9" s="1482">
        <f t="shared" ca="1" si="13"/>
        <v>0</v>
      </c>
      <c r="DF9" s="1482">
        <f t="shared" ca="1" si="13"/>
        <v>0</v>
      </c>
      <c r="DH9" s="838"/>
    </row>
    <row r="10" spans="1:112" s="743" customFormat="1" ht="10.5" hidden="1" customHeight="1" outlineLevel="2">
      <c r="A10" s="1483"/>
      <c r="B10" s="1483"/>
      <c r="C10" s="1009" t="s">
        <v>898</v>
      </c>
      <c r="D10" s="1483" t="str">
        <f>INDEX(Modules[Module], MATCH($C10, Modules[Code], 0))</f>
        <v>Domestic hot water [UNUSED - See IX.a]</v>
      </c>
      <c r="E10" s="1006"/>
      <c r="G10" s="1018">
        <f t="shared" ca="1" si="0"/>
        <v>0</v>
      </c>
      <c r="H10" s="1018">
        <f t="shared" ca="1" si="0"/>
        <v>0</v>
      </c>
      <c r="I10" s="1018">
        <f t="shared" ca="1" si="0"/>
        <v>0</v>
      </c>
      <c r="J10" s="1018">
        <f t="shared" ca="1" si="0"/>
        <v>0</v>
      </c>
      <c r="K10" s="1018">
        <f t="shared" ca="1" si="0"/>
        <v>0</v>
      </c>
      <c r="L10" s="1018">
        <f t="shared" ca="1" si="0"/>
        <v>0</v>
      </c>
      <c r="M10" s="1018">
        <f t="shared" ca="1" si="0"/>
        <v>0</v>
      </c>
      <c r="N10" s="1018">
        <f t="shared" ca="1" si="0"/>
        <v>0</v>
      </c>
      <c r="O10" s="1018">
        <f t="shared" ca="1" si="0"/>
        <v>0</v>
      </c>
      <c r="P10" s="1018">
        <f t="shared" ca="1" si="0"/>
        <v>0</v>
      </c>
      <c r="Q10" s="1024">
        <f t="shared" ca="1" si="1"/>
        <v>0</v>
      </c>
      <c r="S10" s="1028">
        <f t="shared" ca="1" si="2"/>
        <v>0</v>
      </c>
      <c r="T10" s="1028">
        <f t="shared" ca="1" si="2"/>
        <v>0</v>
      </c>
      <c r="U10" s="1028">
        <f t="shared" ca="1" si="2"/>
        <v>0</v>
      </c>
      <c r="V10" s="1028">
        <f t="shared" ca="1" si="2"/>
        <v>0</v>
      </c>
      <c r="W10" s="1028">
        <f t="shared" ca="1" si="2"/>
        <v>0</v>
      </c>
      <c r="X10" s="1028">
        <f t="shared" ca="1" si="3"/>
        <v>0</v>
      </c>
      <c r="Y10" s="1028">
        <f t="shared" ca="1" si="3"/>
        <v>0</v>
      </c>
      <c r="Z10" s="1028">
        <f t="shared" ca="1" si="3"/>
        <v>0</v>
      </c>
      <c r="AA10" s="1028">
        <f t="shared" ca="1" si="2"/>
        <v>0</v>
      </c>
      <c r="AB10" s="1028">
        <f t="shared" ca="1" si="2"/>
        <v>0</v>
      </c>
      <c r="AC10" s="1028">
        <f t="shared" ca="1" si="2"/>
        <v>0</v>
      </c>
      <c r="AD10" s="1028">
        <f t="shared" ca="1" si="2"/>
        <v>0</v>
      </c>
      <c r="AE10" s="1028">
        <f t="shared" ca="1" si="2"/>
        <v>0</v>
      </c>
      <c r="AF10" s="1028">
        <f t="shared" ca="1" si="2"/>
        <v>0</v>
      </c>
      <c r="AG10" s="1028">
        <f t="shared" ca="1" si="2"/>
        <v>0</v>
      </c>
      <c r="AH10" s="1028">
        <f t="shared" ca="1" si="2"/>
        <v>0</v>
      </c>
      <c r="AI10" s="1028">
        <f t="shared" ca="1" si="2"/>
        <v>0</v>
      </c>
      <c r="AJ10" s="1028">
        <f t="shared" ca="1" si="2"/>
        <v>0</v>
      </c>
      <c r="AK10" s="1029">
        <f t="shared" ca="1" si="4"/>
        <v>0</v>
      </c>
      <c r="AM10" s="1039">
        <f t="shared" ca="1" si="5"/>
        <v>0</v>
      </c>
      <c r="AN10" s="1039">
        <f t="shared" ca="1" si="5"/>
        <v>0</v>
      </c>
      <c r="AO10" s="1039">
        <f t="shared" ca="1" si="5"/>
        <v>0</v>
      </c>
      <c r="AP10" s="1039">
        <f t="shared" ca="1" si="5"/>
        <v>0</v>
      </c>
      <c r="AQ10" s="1039">
        <f t="shared" ca="1" si="5"/>
        <v>0</v>
      </c>
      <c r="AR10" s="1039">
        <f t="shared" ca="1" si="5"/>
        <v>0</v>
      </c>
      <c r="AS10" s="1039">
        <f t="shared" ca="1" si="5"/>
        <v>0</v>
      </c>
      <c r="AT10" s="1039">
        <f t="shared" ca="1" si="5"/>
        <v>0</v>
      </c>
      <c r="AU10" s="1039">
        <f t="shared" ca="1" si="5"/>
        <v>0</v>
      </c>
      <c r="AV10" s="1039">
        <f t="shared" ca="1" si="2"/>
        <v>0</v>
      </c>
      <c r="AW10" s="1039">
        <f t="shared" ca="1" si="2"/>
        <v>0</v>
      </c>
      <c r="AX10" s="1039">
        <f t="shared" ca="1" si="2"/>
        <v>0</v>
      </c>
      <c r="AY10" s="1039">
        <f t="shared" ca="1" si="2"/>
        <v>0</v>
      </c>
      <c r="AZ10" s="1039">
        <f t="shared" ca="1" si="2"/>
        <v>0</v>
      </c>
      <c r="BA10" s="1039">
        <f t="shared" ca="1" si="2"/>
        <v>0</v>
      </c>
      <c r="BB10" s="1039">
        <f t="shared" ca="1" si="2"/>
        <v>0</v>
      </c>
      <c r="BC10" s="1039">
        <f t="shared" ca="1" si="2"/>
        <v>0</v>
      </c>
      <c r="BD10" s="1039">
        <f t="shared" ca="1" si="2"/>
        <v>0</v>
      </c>
      <c r="BE10" s="1039">
        <f t="shared" ca="1" si="2"/>
        <v>0</v>
      </c>
      <c r="BF10" s="1008">
        <f t="shared" ca="1" si="6"/>
        <v>0</v>
      </c>
      <c r="BH10" s="1033">
        <f t="shared" ca="1" si="7"/>
        <v>0</v>
      </c>
      <c r="BI10" s="1033">
        <f t="shared" ca="1" si="7"/>
        <v>0</v>
      </c>
      <c r="BJ10" s="1044">
        <f t="shared" ca="1" si="8"/>
        <v>0</v>
      </c>
      <c r="BL10" s="1007">
        <f t="shared" ca="1" si="9"/>
        <v>0</v>
      </c>
      <c r="BM10" s="1007"/>
      <c r="BN10" s="840"/>
      <c r="BO10" s="1481">
        <f t="shared" ca="1" si="10"/>
        <v>0</v>
      </c>
      <c r="BP10" s="1482">
        <f t="shared" ca="1" si="10"/>
        <v>0</v>
      </c>
      <c r="BQ10" s="1482">
        <f t="shared" ca="1" si="10"/>
        <v>0</v>
      </c>
      <c r="BR10" s="1482">
        <f t="shared" ca="1" si="10"/>
        <v>0</v>
      </c>
      <c r="BS10" s="1482">
        <f t="shared" ca="1" si="10"/>
        <v>0</v>
      </c>
      <c r="BT10" s="1482">
        <f t="shared" ca="1" si="10"/>
        <v>0</v>
      </c>
      <c r="BU10" s="1482">
        <f t="shared" ca="1" si="10"/>
        <v>0</v>
      </c>
      <c r="BV10" s="1482">
        <f t="shared" ca="1" si="10"/>
        <v>0</v>
      </c>
      <c r="BW10" s="1482">
        <f t="shared" ca="1" si="10"/>
        <v>0</v>
      </c>
      <c r="BX10" s="1482">
        <f t="shared" ca="1" si="10"/>
        <v>0</v>
      </c>
      <c r="BY10" s="1482">
        <f t="shared" ca="1" si="11"/>
        <v>0</v>
      </c>
      <c r="BZ10" s="1482">
        <f t="shared" ca="1" si="11"/>
        <v>0</v>
      </c>
      <c r="CA10" s="1482">
        <f t="shared" ca="1" si="11"/>
        <v>0</v>
      </c>
      <c r="CB10" s="1482">
        <f t="shared" ca="1" si="11"/>
        <v>0</v>
      </c>
      <c r="CC10" s="1482">
        <f t="shared" ca="1" si="11"/>
        <v>0</v>
      </c>
      <c r="CD10" s="1482">
        <f t="shared" ca="1" si="11"/>
        <v>0</v>
      </c>
      <c r="CE10" s="1482">
        <f t="shared" ca="1" si="11"/>
        <v>0</v>
      </c>
      <c r="CF10" s="1482">
        <f t="shared" ca="1" si="11"/>
        <v>0</v>
      </c>
      <c r="CG10" s="1482">
        <f t="shared" ca="1" si="11"/>
        <v>0</v>
      </c>
      <c r="CH10" s="1482">
        <f t="shared" ca="1" si="11"/>
        <v>0</v>
      </c>
      <c r="CI10" s="1482">
        <f t="shared" ca="1" si="12"/>
        <v>0</v>
      </c>
      <c r="CJ10" s="1482">
        <f t="shared" ca="1" si="12"/>
        <v>0</v>
      </c>
      <c r="CK10" s="1482">
        <f t="shared" ca="1" si="12"/>
        <v>0</v>
      </c>
      <c r="CL10" s="1482">
        <f t="shared" ca="1" si="12"/>
        <v>0</v>
      </c>
      <c r="CM10" s="1482">
        <f t="shared" ca="1" si="12"/>
        <v>0</v>
      </c>
      <c r="CN10" s="1482">
        <f t="shared" ca="1" si="12"/>
        <v>0</v>
      </c>
      <c r="CO10" s="1482">
        <f t="shared" ca="1" si="12"/>
        <v>0</v>
      </c>
      <c r="CP10" s="1482">
        <f t="shared" ca="1" si="12"/>
        <v>0</v>
      </c>
      <c r="CQ10" s="1482">
        <f t="shared" ca="1" si="12"/>
        <v>0</v>
      </c>
      <c r="CR10" s="1482">
        <f t="shared" ca="1" si="12"/>
        <v>0</v>
      </c>
      <c r="CS10" s="1482">
        <f t="shared" ca="1" si="13"/>
        <v>0</v>
      </c>
      <c r="CT10" s="1482">
        <f t="shared" ca="1" si="13"/>
        <v>0</v>
      </c>
      <c r="CU10" s="1482">
        <f t="shared" ca="1" si="13"/>
        <v>0</v>
      </c>
      <c r="CV10" s="1482">
        <f t="shared" ca="1" si="13"/>
        <v>0</v>
      </c>
      <c r="CW10" s="1482">
        <f t="shared" ca="1" si="13"/>
        <v>0</v>
      </c>
      <c r="CX10" s="1482">
        <f t="shared" ca="1" si="13"/>
        <v>0</v>
      </c>
      <c r="CY10" s="1482">
        <f t="shared" ca="1" si="13"/>
        <v>0</v>
      </c>
      <c r="CZ10" s="1482">
        <f t="shared" ca="1" si="13"/>
        <v>0</v>
      </c>
      <c r="DA10" s="1482">
        <f t="shared" ca="1" si="13"/>
        <v>0</v>
      </c>
      <c r="DB10" s="1482">
        <f t="shared" ca="1" si="13"/>
        <v>0</v>
      </c>
      <c r="DC10" s="1482">
        <f t="shared" ca="1" si="13"/>
        <v>0</v>
      </c>
      <c r="DD10" s="1482">
        <f t="shared" ca="1" si="13"/>
        <v>0</v>
      </c>
      <c r="DE10" s="1482">
        <f t="shared" ca="1" si="13"/>
        <v>0</v>
      </c>
      <c r="DF10" s="1482">
        <f t="shared" ca="1" si="13"/>
        <v>0</v>
      </c>
      <c r="DH10" s="838"/>
    </row>
    <row r="11" spans="1:112" s="743" customFormat="1" ht="12.75" hidden="1" customHeight="1" outlineLevel="1">
      <c r="A11" s="1484"/>
      <c r="B11" s="1484"/>
      <c r="C11" s="746"/>
      <c r="D11" s="1484" t="s">
        <v>947</v>
      </c>
      <c r="E11" s="521"/>
      <c r="G11" s="1019">
        <f ca="1">SUM(G9:G10)</f>
        <v>408.73342935275718</v>
      </c>
      <c r="H11" s="1019">
        <f t="shared" ref="H11:P11" ca="1" si="14">SUM(H9:H10)</f>
        <v>0</v>
      </c>
      <c r="I11" s="1019">
        <f t="shared" ca="1" si="14"/>
        <v>0</v>
      </c>
      <c r="J11" s="1019">
        <f t="shared" ca="1" si="14"/>
        <v>0</v>
      </c>
      <c r="K11" s="1019">
        <f t="shared" ca="1" si="14"/>
        <v>0</v>
      </c>
      <c r="L11" s="1019">
        <f t="shared" ca="1" si="14"/>
        <v>0</v>
      </c>
      <c r="M11" s="1019">
        <f t="shared" ca="1" si="14"/>
        <v>0</v>
      </c>
      <c r="N11" s="1019">
        <f t="shared" ca="1" si="14"/>
        <v>0</v>
      </c>
      <c r="O11" s="1019">
        <f t="shared" ca="1" si="14"/>
        <v>0</v>
      </c>
      <c r="P11" s="1019">
        <f t="shared" ca="1" si="14"/>
        <v>0</v>
      </c>
      <c r="Q11" s="1019">
        <f t="shared" ca="1" si="1"/>
        <v>408.73342935275718</v>
      </c>
      <c r="S11" s="1027">
        <f ca="1">SUM(S9:S10)</f>
        <v>-33.870266304074299</v>
      </c>
      <c r="T11" s="1027">
        <f t="shared" ref="T11:AJ11" ca="1" si="15">SUM(T9:T10)</f>
        <v>0</v>
      </c>
      <c r="U11" s="1027">
        <f t="shared" ca="1" si="15"/>
        <v>-13.24549946075815</v>
      </c>
      <c r="V11" s="1027">
        <f t="shared" ca="1" si="15"/>
        <v>-11.879984052432567</v>
      </c>
      <c r="W11" s="1027">
        <f t="shared" ca="1" si="15"/>
        <v>-349.73767953549213</v>
      </c>
      <c r="X11" s="1027">
        <f ca="1">SUM(X9:X10)</f>
        <v>0</v>
      </c>
      <c r="Y11" s="1027">
        <f ca="1">SUM(Y9:Y10)</f>
        <v>0</v>
      </c>
      <c r="Z11" s="1027">
        <f ca="1">SUM(Z9:Z10)</f>
        <v>0</v>
      </c>
      <c r="AA11" s="1027">
        <f t="shared" ca="1" si="15"/>
        <v>0</v>
      </c>
      <c r="AB11" s="1027">
        <f t="shared" ca="1" si="15"/>
        <v>0</v>
      </c>
      <c r="AC11" s="1027">
        <f t="shared" ca="1" si="15"/>
        <v>0</v>
      </c>
      <c r="AD11" s="1027">
        <f ca="1">SUM(AD9:AD10)</f>
        <v>0</v>
      </c>
      <c r="AE11" s="1027">
        <f ca="1">SUM(AE9:AE10)</f>
        <v>0</v>
      </c>
      <c r="AF11" s="1027">
        <f t="shared" ca="1" si="15"/>
        <v>0</v>
      </c>
      <c r="AG11" s="1027">
        <f ca="1">SUM(AG9:AG10)</f>
        <v>0</v>
      </c>
      <c r="AH11" s="1027">
        <f ca="1">SUM(AH9:AH10)</f>
        <v>0</v>
      </c>
      <c r="AI11" s="1027">
        <f ca="1">SUM(AI9:AI10)</f>
        <v>0</v>
      </c>
      <c r="AJ11" s="1027">
        <f t="shared" ca="1" si="15"/>
        <v>0</v>
      </c>
      <c r="AK11" s="1027">
        <f t="shared" ca="1" si="4"/>
        <v>-408.73342935275713</v>
      </c>
      <c r="AM11" s="1040">
        <f t="shared" ref="AM11:BE11" ca="1" si="16">SUM(AM9:AM10)</f>
        <v>0</v>
      </c>
      <c r="AN11" s="1040">
        <f t="shared" ca="1" si="16"/>
        <v>0</v>
      </c>
      <c r="AO11" s="1040">
        <f t="shared" ca="1" si="16"/>
        <v>0</v>
      </c>
      <c r="AP11" s="1040">
        <f t="shared" ca="1" si="16"/>
        <v>0</v>
      </c>
      <c r="AQ11" s="1040">
        <f t="shared" ca="1" si="16"/>
        <v>0</v>
      </c>
      <c r="AR11" s="1040">
        <f t="shared" ca="1" si="16"/>
        <v>0</v>
      </c>
      <c r="AS11" s="1040">
        <f t="shared" ca="1" si="16"/>
        <v>0</v>
      </c>
      <c r="AT11" s="1040">
        <f t="shared" ca="1" si="16"/>
        <v>0</v>
      </c>
      <c r="AU11" s="1040">
        <f t="shared" ca="1" si="16"/>
        <v>0</v>
      </c>
      <c r="AV11" s="1040">
        <f t="shared" ca="1" si="16"/>
        <v>0</v>
      </c>
      <c r="AW11" s="1040">
        <f t="shared" ca="1" si="16"/>
        <v>0</v>
      </c>
      <c r="AX11" s="1040">
        <f t="shared" ca="1" si="16"/>
        <v>0</v>
      </c>
      <c r="AY11" s="1040">
        <f t="shared" ca="1" si="16"/>
        <v>0</v>
      </c>
      <c r="AZ11" s="1040">
        <f t="shared" ca="1" si="16"/>
        <v>0</v>
      </c>
      <c r="BA11" s="1040">
        <f t="shared" ca="1" si="16"/>
        <v>0</v>
      </c>
      <c r="BB11" s="1040">
        <f t="shared" ca="1" si="16"/>
        <v>0</v>
      </c>
      <c r="BC11" s="1040">
        <f t="shared" ca="1" si="16"/>
        <v>0</v>
      </c>
      <c r="BD11" s="1040">
        <f t="shared" ca="1" si="16"/>
        <v>0</v>
      </c>
      <c r="BE11" s="1040">
        <f t="shared" ca="1" si="16"/>
        <v>0</v>
      </c>
      <c r="BF11" s="979">
        <f t="shared" ca="1" si="6"/>
        <v>0</v>
      </c>
      <c r="BH11" s="1034">
        <f ca="1">SUM(BH9:BH10)</f>
        <v>0</v>
      </c>
      <c r="BI11" s="1034">
        <f ca="1">SUM(BI9:BI10)</f>
        <v>0</v>
      </c>
      <c r="BJ11" s="1034">
        <f t="shared" ca="1" si="8"/>
        <v>0</v>
      </c>
      <c r="BL11" s="814">
        <f t="shared" ca="1" si="9"/>
        <v>5.6843418860808015E-14</v>
      </c>
      <c r="BM11" s="814"/>
      <c r="BN11" s="840"/>
      <c r="BO11" s="1481">
        <f t="shared" ref="BO11:DF11" ca="1" si="17">SUM(BO9:BO10)</f>
        <v>71.401342881552196</v>
      </c>
      <c r="BP11" s="1482">
        <f t="shared" ca="1" si="17"/>
        <v>0.14467419365392858</v>
      </c>
      <c r="BQ11" s="1482">
        <f t="shared" ca="1" si="17"/>
        <v>0.22831293410791412</v>
      </c>
      <c r="BR11" s="1482">
        <f t="shared" ca="1" si="17"/>
        <v>0</v>
      </c>
      <c r="BS11" s="1482">
        <f t="shared" ca="1" si="17"/>
        <v>0</v>
      </c>
      <c r="BT11" s="1482">
        <f t="shared" ca="1" si="17"/>
        <v>0</v>
      </c>
      <c r="BU11" s="1482">
        <f t="shared" ca="1" si="17"/>
        <v>0</v>
      </c>
      <c r="BV11" s="1482">
        <f t="shared" ca="1" si="17"/>
        <v>0</v>
      </c>
      <c r="BW11" s="1482">
        <f t="shared" ca="1" si="17"/>
        <v>0</v>
      </c>
      <c r="BX11" s="1482">
        <f t="shared" ca="1" si="17"/>
        <v>0</v>
      </c>
      <c r="BY11" s="1482">
        <f t="shared" ca="1" si="17"/>
        <v>0</v>
      </c>
      <c r="BZ11" s="1482">
        <f t="shared" ca="1" si="17"/>
        <v>0</v>
      </c>
      <c r="CA11" s="1482">
        <f t="shared" ca="1" si="17"/>
        <v>0</v>
      </c>
      <c r="CB11" s="1482">
        <f t="shared" ca="1" si="17"/>
        <v>0</v>
      </c>
      <c r="CC11" s="1482">
        <f t="shared" ca="1" si="17"/>
        <v>0</v>
      </c>
      <c r="CD11" s="1482">
        <f t="shared" ca="1" si="17"/>
        <v>0</v>
      </c>
      <c r="CE11" s="1482">
        <f t="shared" ca="1" si="17"/>
        <v>0</v>
      </c>
      <c r="CF11" s="1482">
        <f t="shared" ca="1" si="17"/>
        <v>0</v>
      </c>
      <c r="CG11" s="1482">
        <f t="shared" ca="1" si="17"/>
        <v>0</v>
      </c>
      <c r="CH11" s="1482">
        <f t="shared" ca="1" si="17"/>
        <v>0</v>
      </c>
      <c r="CI11" s="1482">
        <f t="shared" ca="1" si="17"/>
        <v>0</v>
      </c>
      <c r="CJ11" s="1482">
        <f t="shared" ca="1" si="17"/>
        <v>0</v>
      </c>
      <c r="CK11" s="1482">
        <f t="shared" ca="1" si="17"/>
        <v>0</v>
      </c>
      <c r="CL11" s="1482">
        <f t="shared" ca="1" si="17"/>
        <v>0</v>
      </c>
      <c r="CM11" s="1482">
        <f t="shared" ca="1" si="17"/>
        <v>0</v>
      </c>
      <c r="CN11" s="1482">
        <f t="shared" ca="1" si="17"/>
        <v>0</v>
      </c>
      <c r="CO11" s="1482">
        <f t="shared" ca="1" si="17"/>
        <v>0</v>
      </c>
      <c r="CP11" s="1482">
        <f t="shared" ca="1" si="17"/>
        <v>0</v>
      </c>
      <c r="CQ11" s="1482">
        <f t="shared" ca="1" si="17"/>
        <v>0</v>
      </c>
      <c r="CR11" s="1482">
        <f t="shared" ca="1" si="17"/>
        <v>0</v>
      </c>
      <c r="CS11" s="1482">
        <f t="shared" ca="1" si="17"/>
        <v>0</v>
      </c>
      <c r="CT11" s="1482">
        <f t="shared" ca="1" si="17"/>
        <v>0</v>
      </c>
      <c r="CU11" s="1482">
        <f t="shared" ca="1" si="17"/>
        <v>0</v>
      </c>
      <c r="CV11" s="1482">
        <f t="shared" ca="1" si="17"/>
        <v>0</v>
      </c>
      <c r="CW11" s="1482">
        <f t="shared" ca="1" si="17"/>
        <v>0</v>
      </c>
      <c r="CX11" s="1482">
        <f t="shared" ca="1" si="17"/>
        <v>0</v>
      </c>
      <c r="CY11" s="1482">
        <f t="shared" ca="1" si="17"/>
        <v>0</v>
      </c>
      <c r="CZ11" s="1482">
        <f t="shared" ca="1" si="17"/>
        <v>0</v>
      </c>
      <c r="DA11" s="1482">
        <f t="shared" ca="1" si="17"/>
        <v>0</v>
      </c>
      <c r="DB11" s="1482">
        <f t="shared" ca="1" si="17"/>
        <v>0</v>
      </c>
      <c r="DC11" s="1482">
        <f t="shared" ca="1" si="17"/>
        <v>0</v>
      </c>
      <c r="DD11" s="1482">
        <f t="shared" ca="1" si="17"/>
        <v>0</v>
      </c>
      <c r="DE11" s="1482">
        <f t="shared" ca="1" si="17"/>
        <v>0</v>
      </c>
      <c r="DF11" s="1482">
        <f t="shared" ca="1" si="17"/>
        <v>0</v>
      </c>
      <c r="DH11" s="838"/>
    </row>
    <row r="12" spans="1:112" s="743" customFormat="1" ht="10.5" hidden="1" customHeight="1" outlineLevel="2">
      <c r="A12" s="1480"/>
      <c r="B12" s="1480"/>
      <c r="C12" s="746" t="s">
        <v>945</v>
      </c>
      <c r="D12" s="1480" t="str">
        <f>INDEX(Modules[Module], MATCH($C12, Modules[Code], 0))</f>
        <v>Commercial heating and cooling</v>
      </c>
      <c r="E12" s="1006"/>
      <c r="G12" s="1017">
        <f t="shared" ca="1" si="0"/>
        <v>121.4183547665174</v>
      </c>
      <c r="H12" s="1017">
        <f t="shared" ca="1" si="0"/>
        <v>0</v>
      </c>
      <c r="I12" s="1017">
        <f t="shared" ca="1" si="0"/>
        <v>0</v>
      </c>
      <c r="J12" s="1017">
        <f t="shared" ca="1" si="0"/>
        <v>0</v>
      </c>
      <c r="K12" s="1017">
        <f t="shared" ca="1" si="0"/>
        <v>0</v>
      </c>
      <c r="L12" s="1017">
        <f t="shared" ca="1" si="0"/>
        <v>0</v>
      </c>
      <c r="M12" s="1017">
        <f t="shared" ca="1" si="0"/>
        <v>0</v>
      </c>
      <c r="N12" s="1017">
        <f t="shared" ca="1" si="0"/>
        <v>0</v>
      </c>
      <c r="O12" s="1017">
        <f t="shared" ca="1" si="0"/>
        <v>0</v>
      </c>
      <c r="P12" s="1017">
        <f t="shared" ca="1" si="0"/>
        <v>0</v>
      </c>
      <c r="Q12" s="1019">
        <f t="shared" ca="1" si="1"/>
        <v>121.4183547665174</v>
      </c>
      <c r="S12" s="1026">
        <f t="shared" ca="1" si="2"/>
        <v>-31.409037978598839</v>
      </c>
      <c r="T12" s="1026">
        <f t="shared" ca="1" si="2"/>
        <v>0</v>
      </c>
      <c r="U12" s="1026">
        <f t="shared" ca="1" si="2"/>
        <v>0</v>
      </c>
      <c r="V12" s="1026">
        <f t="shared" ca="1" si="2"/>
        <v>-9.3578027720732795</v>
      </c>
      <c r="W12" s="1026">
        <f t="shared" ca="1" si="2"/>
        <v>-80.651514015845265</v>
      </c>
      <c r="X12" s="1026">
        <f t="shared" ref="X12:Z13" ca="1" si="18">IFERROR(INDEX(INDIRECT($C12&amp;".Outputs["&amp;this.Year&amp;"]"), MATCH(X$5, INDIRECT($C12&amp;".Outputs[Vector]"), 0)), 0)</f>
        <v>0</v>
      </c>
      <c r="Y12" s="1026">
        <f t="shared" ca="1" si="18"/>
        <v>0</v>
      </c>
      <c r="Z12" s="1026">
        <f t="shared" ca="1" si="18"/>
        <v>0</v>
      </c>
      <c r="AA12" s="1026">
        <f t="shared" ca="1" si="2"/>
        <v>0</v>
      </c>
      <c r="AB12" s="1026">
        <f t="shared" ca="1" si="2"/>
        <v>0</v>
      </c>
      <c r="AC12" s="1026">
        <f t="shared" ca="1" si="2"/>
        <v>0</v>
      </c>
      <c r="AD12" s="1026">
        <f t="shared" ca="1" si="2"/>
        <v>0</v>
      </c>
      <c r="AE12" s="1026">
        <f t="shared" ca="1" si="2"/>
        <v>0</v>
      </c>
      <c r="AF12" s="1026">
        <f t="shared" ca="1" si="2"/>
        <v>0</v>
      </c>
      <c r="AG12" s="1026">
        <f t="shared" ca="1" si="2"/>
        <v>0</v>
      </c>
      <c r="AH12" s="1026">
        <f t="shared" ca="1" si="2"/>
        <v>0</v>
      </c>
      <c r="AI12" s="1026">
        <f t="shared" ca="1" si="2"/>
        <v>0</v>
      </c>
      <c r="AJ12" s="1026">
        <f t="shared" ca="1" si="2"/>
        <v>0</v>
      </c>
      <c r="AK12" s="1027">
        <f t="shared" ca="1" si="4"/>
        <v>-121.41835476651738</v>
      </c>
      <c r="AM12" s="1038">
        <f t="shared" ref="AM12:AU13" ca="1" si="19">IFERROR(INDEX(INDIRECT($C12&amp;".Outputs["&amp;this.Year&amp;"]"), MATCH(AM$5, INDIRECT($C12&amp;".Outputs[Vector]"), 0)), 0)</f>
        <v>0</v>
      </c>
      <c r="AN12" s="1038">
        <f t="shared" ca="1" si="19"/>
        <v>0</v>
      </c>
      <c r="AO12" s="1038">
        <f t="shared" ca="1" si="19"/>
        <v>0</v>
      </c>
      <c r="AP12" s="1038">
        <f t="shared" ca="1" si="19"/>
        <v>0</v>
      </c>
      <c r="AQ12" s="1038">
        <f t="shared" ca="1" si="19"/>
        <v>0</v>
      </c>
      <c r="AR12" s="1038">
        <f t="shared" ca="1" si="19"/>
        <v>0</v>
      </c>
      <c r="AS12" s="1038">
        <f t="shared" ca="1" si="19"/>
        <v>0</v>
      </c>
      <c r="AT12" s="1038">
        <f t="shared" ca="1" si="19"/>
        <v>0</v>
      </c>
      <c r="AU12" s="1038">
        <f t="shared" ca="1" si="19"/>
        <v>0</v>
      </c>
      <c r="AV12" s="1038">
        <f t="shared" ca="1" si="2"/>
        <v>0</v>
      </c>
      <c r="AW12" s="1038">
        <f t="shared" ca="1" si="2"/>
        <v>0</v>
      </c>
      <c r="AX12" s="1038">
        <f t="shared" ca="1" si="2"/>
        <v>0</v>
      </c>
      <c r="AY12" s="1038">
        <f t="shared" ca="1" si="2"/>
        <v>0</v>
      </c>
      <c r="AZ12" s="1038">
        <f t="shared" ca="1" si="2"/>
        <v>0</v>
      </c>
      <c r="BA12" s="1038">
        <f t="shared" ca="1" si="2"/>
        <v>0</v>
      </c>
      <c r="BB12" s="1038">
        <f t="shared" ca="1" si="2"/>
        <v>0</v>
      </c>
      <c r="BC12" s="1038">
        <f t="shared" ca="1" si="2"/>
        <v>0</v>
      </c>
      <c r="BD12" s="1038">
        <f t="shared" ca="1" si="2"/>
        <v>0</v>
      </c>
      <c r="BE12" s="1038">
        <f t="shared" ca="1" si="2"/>
        <v>0</v>
      </c>
      <c r="BF12" s="977">
        <f t="shared" ca="1" si="6"/>
        <v>0</v>
      </c>
      <c r="BH12" s="1032">
        <f t="shared" ca="1" si="7"/>
        <v>0</v>
      </c>
      <c r="BI12" s="1032">
        <f t="shared" ca="1" si="7"/>
        <v>0</v>
      </c>
      <c r="BJ12" s="1034">
        <f t="shared" ca="1" si="8"/>
        <v>0</v>
      </c>
      <c r="BL12" s="524">
        <f t="shared" ca="1" si="9"/>
        <v>1.4210854715202004E-14</v>
      </c>
      <c r="BM12" s="524"/>
      <c r="BN12" s="840"/>
      <c r="BO12" s="1481">
        <f t="shared" ref="BO12:BX13" ca="1" si="20">IFERROR(SUMIFS(INDIRECT($C12&amp;".Emissions["&amp;this.Year&amp;"]"), INDIRECT($C12&amp;".Emissions[GHG]"), BO$6, INDIRECT($C12&amp;".Emissions[IPCC Sector]"), BO$5),0)</f>
        <v>17.179329271933845</v>
      </c>
      <c r="BP12" s="1482">
        <f t="shared" ca="1" si="20"/>
        <v>3.2658931401947748E-2</v>
      </c>
      <c r="BQ12" s="1482">
        <f t="shared" ca="1" si="20"/>
        <v>7.4085129903368269E-2</v>
      </c>
      <c r="BR12" s="1482">
        <f t="shared" ca="1" si="20"/>
        <v>0</v>
      </c>
      <c r="BS12" s="1482">
        <f t="shared" ca="1" si="20"/>
        <v>0</v>
      </c>
      <c r="BT12" s="1482">
        <f t="shared" ca="1" si="20"/>
        <v>0</v>
      </c>
      <c r="BU12" s="1482">
        <f t="shared" ca="1" si="20"/>
        <v>0</v>
      </c>
      <c r="BV12" s="1482">
        <f t="shared" ca="1" si="20"/>
        <v>0</v>
      </c>
      <c r="BW12" s="1482">
        <f t="shared" ca="1" si="20"/>
        <v>0</v>
      </c>
      <c r="BX12" s="1482">
        <f t="shared" ca="1" si="20"/>
        <v>0</v>
      </c>
      <c r="BY12" s="1482">
        <f t="shared" ref="BY12:CH13" ca="1" si="21">IFERROR(SUMIFS(INDIRECT($C12&amp;".Emissions["&amp;this.Year&amp;"]"), INDIRECT($C12&amp;".Emissions[GHG]"), BY$6, INDIRECT($C12&amp;".Emissions[IPCC Sector]"), BY$5),0)</f>
        <v>0</v>
      </c>
      <c r="BZ12" s="1482">
        <f t="shared" ca="1" si="21"/>
        <v>0</v>
      </c>
      <c r="CA12" s="1482">
        <f t="shared" ca="1" si="21"/>
        <v>0</v>
      </c>
      <c r="CB12" s="1482">
        <f t="shared" ca="1" si="21"/>
        <v>0</v>
      </c>
      <c r="CC12" s="1482">
        <f t="shared" ca="1" si="21"/>
        <v>0</v>
      </c>
      <c r="CD12" s="1482">
        <f t="shared" ca="1" si="21"/>
        <v>0</v>
      </c>
      <c r="CE12" s="1482">
        <f t="shared" ca="1" si="21"/>
        <v>0</v>
      </c>
      <c r="CF12" s="1482">
        <f t="shared" ca="1" si="21"/>
        <v>0</v>
      </c>
      <c r="CG12" s="1482">
        <f t="shared" ca="1" si="21"/>
        <v>0</v>
      </c>
      <c r="CH12" s="1482">
        <f t="shared" ca="1" si="21"/>
        <v>0</v>
      </c>
      <c r="CI12" s="1482">
        <f t="shared" ref="CI12:CR13" ca="1" si="22">IFERROR(SUMIFS(INDIRECT($C12&amp;".Emissions["&amp;this.Year&amp;"]"), INDIRECT($C12&amp;".Emissions[GHG]"), CI$6, INDIRECT($C12&amp;".Emissions[IPCC Sector]"), CI$5),0)</f>
        <v>0</v>
      </c>
      <c r="CJ12" s="1482">
        <f t="shared" ca="1" si="22"/>
        <v>0</v>
      </c>
      <c r="CK12" s="1482">
        <f t="shared" ca="1" si="22"/>
        <v>0</v>
      </c>
      <c r="CL12" s="1482">
        <f t="shared" ca="1" si="22"/>
        <v>0</v>
      </c>
      <c r="CM12" s="1482">
        <f t="shared" ca="1" si="22"/>
        <v>0</v>
      </c>
      <c r="CN12" s="1482">
        <f t="shared" ca="1" si="22"/>
        <v>0</v>
      </c>
      <c r="CO12" s="1482">
        <f t="shared" ca="1" si="22"/>
        <v>0</v>
      </c>
      <c r="CP12" s="1482">
        <f t="shared" ca="1" si="22"/>
        <v>0</v>
      </c>
      <c r="CQ12" s="1482">
        <f t="shared" ca="1" si="22"/>
        <v>0</v>
      </c>
      <c r="CR12" s="1482">
        <f t="shared" ca="1" si="22"/>
        <v>0</v>
      </c>
      <c r="CS12" s="1482">
        <f t="shared" ref="CS12:DF13" ca="1" si="23">IFERROR(SUMIFS(INDIRECT($C12&amp;".Emissions["&amp;this.Year&amp;"]"), INDIRECT($C12&amp;".Emissions[GHG]"), CS$6, INDIRECT($C12&amp;".Emissions[IPCC Sector]"), CS$5),0)</f>
        <v>0</v>
      </c>
      <c r="CT12" s="1482">
        <f t="shared" ca="1" si="23"/>
        <v>0</v>
      </c>
      <c r="CU12" s="1482">
        <f t="shared" ca="1" si="23"/>
        <v>0</v>
      </c>
      <c r="CV12" s="1482">
        <f t="shared" ca="1" si="23"/>
        <v>0</v>
      </c>
      <c r="CW12" s="1482">
        <f t="shared" ca="1" si="23"/>
        <v>0</v>
      </c>
      <c r="CX12" s="1482">
        <f t="shared" ca="1" si="23"/>
        <v>0</v>
      </c>
      <c r="CY12" s="1482">
        <f t="shared" ca="1" si="23"/>
        <v>0</v>
      </c>
      <c r="CZ12" s="1482">
        <f t="shared" ca="1" si="23"/>
        <v>0</v>
      </c>
      <c r="DA12" s="1482">
        <f t="shared" ca="1" si="23"/>
        <v>0</v>
      </c>
      <c r="DB12" s="1482">
        <f t="shared" ca="1" si="23"/>
        <v>0</v>
      </c>
      <c r="DC12" s="1482">
        <f t="shared" ca="1" si="23"/>
        <v>0</v>
      </c>
      <c r="DD12" s="1482">
        <f t="shared" ca="1" si="23"/>
        <v>0</v>
      </c>
      <c r="DE12" s="1482">
        <f t="shared" ca="1" si="23"/>
        <v>0</v>
      </c>
      <c r="DF12" s="1482">
        <f t="shared" ca="1" si="23"/>
        <v>0</v>
      </c>
      <c r="DH12" s="838"/>
    </row>
    <row r="13" spans="1:112" s="743" customFormat="1" ht="10.5" hidden="1" customHeight="1" outlineLevel="2">
      <c r="A13" s="1483"/>
      <c r="B13" s="1483"/>
      <c r="C13" s="1009" t="s">
        <v>946</v>
      </c>
      <c r="D13" s="1483" t="str">
        <f>INDEX(Modules[Module], MATCH($C13, Modules[Code], 0))</f>
        <v>Commercial hot water [UNUSED - See IX.c]</v>
      </c>
      <c r="E13" s="1006"/>
      <c r="G13" s="1018">
        <f t="shared" ca="1" si="0"/>
        <v>0</v>
      </c>
      <c r="H13" s="1018">
        <f t="shared" ca="1" si="0"/>
        <v>0</v>
      </c>
      <c r="I13" s="1018">
        <f t="shared" ca="1" si="0"/>
        <v>0</v>
      </c>
      <c r="J13" s="1018">
        <f t="shared" ca="1" si="0"/>
        <v>0</v>
      </c>
      <c r="K13" s="1018">
        <f t="shared" ca="1" si="0"/>
        <v>0</v>
      </c>
      <c r="L13" s="1018">
        <f t="shared" ca="1" si="0"/>
        <v>0</v>
      </c>
      <c r="M13" s="1018">
        <f t="shared" ca="1" si="0"/>
        <v>0</v>
      </c>
      <c r="N13" s="1018">
        <f t="shared" ca="1" si="0"/>
        <v>0</v>
      </c>
      <c r="O13" s="1018">
        <f t="shared" ca="1" si="0"/>
        <v>0</v>
      </c>
      <c r="P13" s="1018">
        <f t="shared" ca="1" si="0"/>
        <v>0</v>
      </c>
      <c r="Q13" s="1024">
        <f t="shared" ca="1" si="1"/>
        <v>0</v>
      </c>
      <c r="S13" s="1028">
        <f t="shared" ca="1" si="2"/>
        <v>0</v>
      </c>
      <c r="T13" s="1028">
        <f t="shared" ca="1" si="2"/>
        <v>0</v>
      </c>
      <c r="U13" s="1028">
        <f t="shared" ca="1" si="2"/>
        <v>0</v>
      </c>
      <c r="V13" s="1028">
        <f t="shared" ca="1" si="2"/>
        <v>0</v>
      </c>
      <c r="W13" s="1028">
        <f t="shared" ca="1" si="2"/>
        <v>0</v>
      </c>
      <c r="X13" s="1028">
        <f t="shared" ca="1" si="18"/>
        <v>0</v>
      </c>
      <c r="Y13" s="1028">
        <f t="shared" ca="1" si="18"/>
        <v>0</v>
      </c>
      <c r="Z13" s="1028">
        <f t="shared" ca="1" si="18"/>
        <v>0</v>
      </c>
      <c r="AA13" s="1028">
        <f t="shared" ca="1" si="2"/>
        <v>0</v>
      </c>
      <c r="AB13" s="1028">
        <f t="shared" ca="1" si="2"/>
        <v>0</v>
      </c>
      <c r="AC13" s="1028">
        <f t="shared" ca="1" si="2"/>
        <v>0</v>
      </c>
      <c r="AD13" s="1028">
        <f t="shared" ca="1" si="2"/>
        <v>0</v>
      </c>
      <c r="AE13" s="1028">
        <f t="shared" ca="1" si="2"/>
        <v>0</v>
      </c>
      <c r="AF13" s="1028">
        <f t="shared" ca="1" si="2"/>
        <v>0</v>
      </c>
      <c r="AG13" s="1028">
        <f t="shared" ca="1" si="2"/>
        <v>0</v>
      </c>
      <c r="AH13" s="1028">
        <f t="shared" ca="1" si="2"/>
        <v>0</v>
      </c>
      <c r="AI13" s="1028">
        <f t="shared" ca="1" si="2"/>
        <v>0</v>
      </c>
      <c r="AJ13" s="1028">
        <f t="shared" ca="1" si="2"/>
        <v>0</v>
      </c>
      <c r="AK13" s="1029">
        <f t="shared" ca="1" si="4"/>
        <v>0</v>
      </c>
      <c r="AM13" s="1039">
        <f t="shared" ca="1" si="19"/>
        <v>0</v>
      </c>
      <c r="AN13" s="1039">
        <f t="shared" ca="1" si="19"/>
        <v>0</v>
      </c>
      <c r="AO13" s="1039">
        <f t="shared" ca="1" si="19"/>
        <v>0</v>
      </c>
      <c r="AP13" s="1039">
        <f t="shared" ca="1" si="19"/>
        <v>0</v>
      </c>
      <c r="AQ13" s="1039">
        <f t="shared" ca="1" si="19"/>
        <v>0</v>
      </c>
      <c r="AR13" s="1039">
        <f t="shared" ca="1" si="19"/>
        <v>0</v>
      </c>
      <c r="AS13" s="1039">
        <f t="shared" ca="1" si="19"/>
        <v>0</v>
      </c>
      <c r="AT13" s="1039">
        <f t="shared" ca="1" si="19"/>
        <v>0</v>
      </c>
      <c r="AU13" s="1039">
        <f t="shared" ca="1" si="19"/>
        <v>0</v>
      </c>
      <c r="AV13" s="1039">
        <f t="shared" ca="1" si="2"/>
        <v>0</v>
      </c>
      <c r="AW13" s="1039">
        <f t="shared" ca="1" si="2"/>
        <v>0</v>
      </c>
      <c r="AX13" s="1039">
        <f t="shared" ca="1" si="2"/>
        <v>0</v>
      </c>
      <c r="AY13" s="1039">
        <f t="shared" ca="1" si="2"/>
        <v>0</v>
      </c>
      <c r="AZ13" s="1039">
        <f t="shared" ca="1" si="2"/>
        <v>0</v>
      </c>
      <c r="BA13" s="1039">
        <f t="shared" ca="1" si="2"/>
        <v>0</v>
      </c>
      <c r="BB13" s="1039">
        <f t="shared" ca="1" si="2"/>
        <v>0</v>
      </c>
      <c r="BC13" s="1039">
        <f t="shared" ca="1" si="2"/>
        <v>0</v>
      </c>
      <c r="BD13" s="1039">
        <f t="shared" ca="1" si="2"/>
        <v>0</v>
      </c>
      <c r="BE13" s="1039">
        <f t="shared" ca="1" si="2"/>
        <v>0</v>
      </c>
      <c r="BF13" s="1008">
        <f t="shared" ca="1" si="6"/>
        <v>0</v>
      </c>
      <c r="BH13" s="1033">
        <f t="shared" ca="1" si="7"/>
        <v>0</v>
      </c>
      <c r="BI13" s="1033">
        <f t="shared" ca="1" si="7"/>
        <v>0</v>
      </c>
      <c r="BJ13" s="1044">
        <f t="shared" ca="1" si="8"/>
        <v>0</v>
      </c>
      <c r="BL13" s="1007">
        <f t="shared" ca="1" si="9"/>
        <v>0</v>
      </c>
      <c r="BM13" s="1007"/>
      <c r="BN13" s="840"/>
      <c r="BO13" s="1481">
        <f t="shared" ca="1" si="20"/>
        <v>0</v>
      </c>
      <c r="BP13" s="1482">
        <f t="shared" ca="1" si="20"/>
        <v>0</v>
      </c>
      <c r="BQ13" s="1482">
        <f t="shared" ca="1" si="20"/>
        <v>0</v>
      </c>
      <c r="BR13" s="1482">
        <f t="shared" ca="1" si="20"/>
        <v>0</v>
      </c>
      <c r="BS13" s="1482">
        <f t="shared" ca="1" si="20"/>
        <v>0</v>
      </c>
      <c r="BT13" s="1482">
        <f t="shared" ca="1" si="20"/>
        <v>0</v>
      </c>
      <c r="BU13" s="1482">
        <f t="shared" ca="1" si="20"/>
        <v>0</v>
      </c>
      <c r="BV13" s="1482">
        <f t="shared" ca="1" si="20"/>
        <v>0</v>
      </c>
      <c r="BW13" s="1482">
        <f t="shared" ca="1" si="20"/>
        <v>0</v>
      </c>
      <c r="BX13" s="1482">
        <f t="shared" ca="1" si="20"/>
        <v>0</v>
      </c>
      <c r="BY13" s="1482">
        <f t="shared" ca="1" si="21"/>
        <v>0</v>
      </c>
      <c r="BZ13" s="1482">
        <f t="shared" ca="1" si="21"/>
        <v>0</v>
      </c>
      <c r="CA13" s="1482">
        <f t="shared" ca="1" si="21"/>
        <v>0</v>
      </c>
      <c r="CB13" s="1482">
        <f t="shared" ca="1" si="21"/>
        <v>0</v>
      </c>
      <c r="CC13" s="1482">
        <f t="shared" ca="1" si="21"/>
        <v>0</v>
      </c>
      <c r="CD13" s="1482">
        <f t="shared" ca="1" si="21"/>
        <v>0</v>
      </c>
      <c r="CE13" s="1482">
        <f t="shared" ca="1" si="21"/>
        <v>0</v>
      </c>
      <c r="CF13" s="1482">
        <f t="shared" ca="1" si="21"/>
        <v>0</v>
      </c>
      <c r="CG13" s="1482">
        <f t="shared" ca="1" si="21"/>
        <v>0</v>
      </c>
      <c r="CH13" s="1482">
        <f t="shared" ca="1" si="21"/>
        <v>0</v>
      </c>
      <c r="CI13" s="1482">
        <f t="shared" ca="1" si="22"/>
        <v>0</v>
      </c>
      <c r="CJ13" s="1482">
        <f t="shared" ca="1" si="22"/>
        <v>0</v>
      </c>
      <c r="CK13" s="1482">
        <f t="shared" ca="1" si="22"/>
        <v>0</v>
      </c>
      <c r="CL13" s="1482">
        <f t="shared" ca="1" si="22"/>
        <v>0</v>
      </c>
      <c r="CM13" s="1482">
        <f t="shared" ca="1" si="22"/>
        <v>0</v>
      </c>
      <c r="CN13" s="1482">
        <f t="shared" ca="1" si="22"/>
        <v>0</v>
      </c>
      <c r="CO13" s="1482">
        <f t="shared" ca="1" si="22"/>
        <v>0</v>
      </c>
      <c r="CP13" s="1482">
        <f t="shared" ca="1" si="22"/>
        <v>0</v>
      </c>
      <c r="CQ13" s="1482">
        <f t="shared" ca="1" si="22"/>
        <v>0</v>
      </c>
      <c r="CR13" s="1482">
        <f t="shared" ca="1" si="22"/>
        <v>0</v>
      </c>
      <c r="CS13" s="1482">
        <f t="shared" ca="1" si="23"/>
        <v>0</v>
      </c>
      <c r="CT13" s="1482">
        <f t="shared" ca="1" si="23"/>
        <v>0</v>
      </c>
      <c r="CU13" s="1482">
        <f t="shared" ca="1" si="23"/>
        <v>0</v>
      </c>
      <c r="CV13" s="1482">
        <f t="shared" ca="1" si="23"/>
        <v>0</v>
      </c>
      <c r="CW13" s="1482">
        <f t="shared" ca="1" si="23"/>
        <v>0</v>
      </c>
      <c r="CX13" s="1482">
        <f t="shared" ca="1" si="23"/>
        <v>0</v>
      </c>
      <c r="CY13" s="1482">
        <f t="shared" ca="1" si="23"/>
        <v>0</v>
      </c>
      <c r="CZ13" s="1482">
        <f t="shared" ca="1" si="23"/>
        <v>0</v>
      </c>
      <c r="DA13" s="1482">
        <f t="shared" ca="1" si="23"/>
        <v>0</v>
      </c>
      <c r="DB13" s="1482">
        <f t="shared" ca="1" si="23"/>
        <v>0</v>
      </c>
      <c r="DC13" s="1482">
        <f t="shared" ca="1" si="23"/>
        <v>0</v>
      </c>
      <c r="DD13" s="1482">
        <f t="shared" ca="1" si="23"/>
        <v>0</v>
      </c>
      <c r="DE13" s="1482">
        <f t="shared" ca="1" si="23"/>
        <v>0</v>
      </c>
      <c r="DF13" s="1482">
        <f t="shared" ca="1" si="23"/>
        <v>0</v>
      </c>
      <c r="DH13" s="838"/>
    </row>
    <row r="14" spans="1:112" s="743" customFormat="1" ht="12.75" hidden="1" customHeight="1" outlineLevel="1">
      <c r="A14" s="1484"/>
      <c r="B14" s="1484"/>
      <c r="C14" s="746"/>
      <c r="D14" s="1010" t="s">
        <v>948</v>
      </c>
      <c r="E14" s="1010"/>
      <c r="G14" s="1020">
        <f ca="1">SUM(G12:G13)</f>
        <v>121.4183547665174</v>
      </c>
      <c r="H14" s="1020">
        <f t="shared" ref="H14:P14" ca="1" si="24">SUM(H12:H13)</f>
        <v>0</v>
      </c>
      <c r="I14" s="1020">
        <f t="shared" ca="1" si="24"/>
        <v>0</v>
      </c>
      <c r="J14" s="1020">
        <f t="shared" ca="1" si="24"/>
        <v>0</v>
      </c>
      <c r="K14" s="1020">
        <f t="shared" ca="1" si="24"/>
        <v>0</v>
      </c>
      <c r="L14" s="1020">
        <f t="shared" ca="1" si="24"/>
        <v>0</v>
      </c>
      <c r="M14" s="1020">
        <f t="shared" ca="1" si="24"/>
        <v>0</v>
      </c>
      <c r="N14" s="1020">
        <f t="shared" ca="1" si="24"/>
        <v>0</v>
      </c>
      <c r="O14" s="1020">
        <f t="shared" ca="1" si="24"/>
        <v>0</v>
      </c>
      <c r="P14" s="1020">
        <f t="shared" ca="1" si="24"/>
        <v>0</v>
      </c>
      <c r="Q14" s="1020">
        <f t="shared" ca="1" si="1"/>
        <v>121.4183547665174</v>
      </c>
      <c r="S14" s="1030">
        <f t="shared" ref="S14:AJ14" ca="1" si="25">SUM(S12:S13)</f>
        <v>-31.409037978598839</v>
      </c>
      <c r="T14" s="1030">
        <f t="shared" ca="1" si="25"/>
        <v>0</v>
      </c>
      <c r="U14" s="1030">
        <f t="shared" ca="1" si="25"/>
        <v>0</v>
      </c>
      <c r="V14" s="1030">
        <f t="shared" ca="1" si="25"/>
        <v>-9.3578027720732795</v>
      </c>
      <c r="W14" s="1030">
        <f t="shared" ca="1" si="25"/>
        <v>-80.651514015845265</v>
      </c>
      <c r="X14" s="1030">
        <f ca="1">SUM(X12:X13)</f>
        <v>0</v>
      </c>
      <c r="Y14" s="1030">
        <f ca="1">SUM(Y12:Y13)</f>
        <v>0</v>
      </c>
      <c r="Z14" s="1030">
        <f ca="1">SUM(Z12:Z13)</f>
        <v>0</v>
      </c>
      <c r="AA14" s="1030">
        <f t="shared" ca="1" si="25"/>
        <v>0</v>
      </c>
      <c r="AB14" s="1030">
        <f t="shared" ca="1" si="25"/>
        <v>0</v>
      </c>
      <c r="AC14" s="1030">
        <f t="shared" ca="1" si="25"/>
        <v>0</v>
      </c>
      <c r="AD14" s="1030">
        <f ca="1">SUM(AD12:AD13)</f>
        <v>0</v>
      </c>
      <c r="AE14" s="1030">
        <f ca="1">SUM(AE12:AE13)</f>
        <v>0</v>
      </c>
      <c r="AF14" s="1030">
        <f t="shared" ca="1" si="25"/>
        <v>0</v>
      </c>
      <c r="AG14" s="1030">
        <f ca="1">SUM(AG12:AG13)</f>
        <v>0</v>
      </c>
      <c r="AH14" s="1030">
        <f ca="1">SUM(AH12:AH13)</f>
        <v>0</v>
      </c>
      <c r="AI14" s="1030">
        <f ca="1">SUM(AI12:AI13)</f>
        <v>0</v>
      </c>
      <c r="AJ14" s="1030">
        <f t="shared" ca="1" si="25"/>
        <v>0</v>
      </c>
      <c r="AK14" s="1030">
        <f t="shared" ca="1" si="4"/>
        <v>-121.41835476651738</v>
      </c>
      <c r="AM14" s="1041">
        <f t="shared" ref="AM14:AS14" ca="1" si="26">SUM(AM12:AM13)</f>
        <v>0</v>
      </c>
      <c r="AN14" s="1041">
        <f t="shared" ca="1" si="26"/>
        <v>0</v>
      </c>
      <c r="AO14" s="1041">
        <f t="shared" ca="1" si="26"/>
        <v>0</v>
      </c>
      <c r="AP14" s="1041">
        <f t="shared" ca="1" si="26"/>
        <v>0</v>
      </c>
      <c r="AQ14" s="1041">
        <f t="shared" ca="1" si="26"/>
        <v>0</v>
      </c>
      <c r="AR14" s="1041">
        <f t="shared" ca="1" si="26"/>
        <v>0</v>
      </c>
      <c r="AS14" s="1041">
        <f t="shared" ca="1" si="26"/>
        <v>0</v>
      </c>
      <c r="AT14" s="1041">
        <f t="shared" ref="AT14:BE14" ca="1" si="27">SUM(AT12:AT13)</f>
        <v>0</v>
      </c>
      <c r="AU14" s="1041">
        <f t="shared" ca="1" si="27"/>
        <v>0</v>
      </c>
      <c r="AV14" s="1041">
        <f t="shared" ca="1" si="27"/>
        <v>0</v>
      </c>
      <c r="AW14" s="1041">
        <f t="shared" ca="1" si="27"/>
        <v>0</v>
      </c>
      <c r="AX14" s="1041">
        <f t="shared" ca="1" si="27"/>
        <v>0</v>
      </c>
      <c r="AY14" s="1041">
        <f t="shared" ca="1" si="27"/>
        <v>0</v>
      </c>
      <c r="AZ14" s="1041">
        <f t="shared" ca="1" si="27"/>
        <v>0</v>
      </c>
      <c r="BA14" s="1041">
        <f t="shared" ca="1" si="27"/>
        <v>0</v>
      </c>
      <c r="BB14" s="1041">
        <f t="shared" ca="1" si="27"/>
        <v>0</v>
      </c>
      <c r="BC14" s="1041">
        <f t="shared" ca="1" si="27"/>
        <v>0</v>
      </c>
      <c r="BD14" s="1041">
        <f t="shared" ca="1" si="27"/>
        <v>0</v>
      </c>
      <c r="BE14" s="1041">
        <f t="shared" ca="1" si="27"/>
        <v>0</v>
      </c>
      <c r="BF14" s="1012">
        <f t="shared" ca="1" si="6"/>
        <v>0</v>
      </c>
      <c r="BH14" s="1035">
        <f ca="1">SUM(BH12:BH13)</f>
        <v>0</v>
      </c>
      <c r="BI14" s="1035">
        <f ca="1">SUM(BI12:BI13)</f>
        <v>0</v>
      </c>
      <c r="BJ14" s="1035">
        <f t="shared" ca="1" si="8"/>
        <v>0</v>
      </c>
      <c r="BL14" s="814">
        <f t="shared" ca="1" si="9"/>
        <v>1.4210854715202004E-14</v>
      </c>
      <c r="BM14" s="814"/>
      <c r="BN14" s="840"/>
      <c r="BO14" s="1485">
        <f t="shared" ref="BO14:DF14" ca="1" si="28">SUM(BO12:BO13)</f>
        <v>17.179329271933845</v>
      </c>
      <c r="BP14" s="1486">
        <f t="shared" ca="1" si="28"/>
        <v>3.2658931401947748E-2</v>
      </c>
      <c r="BQ14" s="1486">
        <f t="shared" ca="1" si="28"/>
        <v>7.4085129903368269E-2</v>
      </c>
      <c r="BR14" s="1486">
        <f t="shared" ca="1" si="28"/>
        <v>0</v>
      </c>
      <c r="BS14" s="1486">
        <f t="shared" ca="1" si="28"/>
        <v>0</v>
      </c>
      <c r="BT14" s="1486">
        <f t="shared" ca="1" si="28"/>
        <v>0</v>
      </c>
      <c r="BU14" s="1486">
        <f t="shared" ca="1" si="28"/>
        <v>0</v>
      </c>
      <c r="BV14" s="1486">
        <f t="shared" ca="1" si="28"/>
        <v>0</v>
      </c>
      <c r="BW14" s="1486">
        <f t="shared" ca="1" si="28"/>
        <v>0</v>
      </c>
      <c r="BX14" s="1486">
        <f t="shared" ca="1" si="28"/>
        <v>0</v>
      </c>
      <c r="BY14" s="1486">
        <f t="shared" ca="1" si="28"/>
        <v>0</v>
      </c>
      <c r="BZ14" s="1486">
        <f t="shared" ca="1" si="28"/>
        <v>0</v>
      </c>
      <c r="CA14" s="1486">
        <f t="shared" ca="1" si="28"/>
        <v>0</v>
      </c>
      <c r="CB14" s="1486">
        <f t="shared" ca="1" si="28"/>
        <v>0</v>
      </c>
      <c r="CC14" s="1486">
        <f t="shared" ca="1" si="28"/>
        <v>0</v>
      </c>
      <c r="CD14" s="1486">
        <f t="shared" ca="1" si="28"/>
        <v>0</v>
      </c>
      <c r="CE14" s="1486">
        <f t="shared" ca="1" si="28"/>
        <v>0</v>
      </c>
      <c r="CF14" s="1486">
        <f t="shared" ca="1" si="28"/>
        <v>0</v>
      </c>
      <c r="CG14" s="1486">
        <f t="shared" ca="1" si="28"/>
        <v>0</v>
      </c>
      <c r="CH14" s="1486">
        <f t="shared" ca="1" si="28"/>
        <v>0</v>
      </c>
      <c r="CI14" s="1486">
        <f t="shared" ca="1" si="28"/>
        <v>0</v>
      </c>
      <c r="CJ14" s="1486">
        <f t="shared" ca="1" si="28"/>
        <v>0</v>
      </c>
      <c r="CK14" s="1486">
        <f t="shared" ca="1" si="28"/>
        <v>0</v>
      </c>
      <c r="CL14" s="1486">
        <f t="shared" ca="1" si="28"/>
        <v>0</v>
      </c>
      <c r="CM14" s="1486">
        <f t="shared" ca="1" si="28"/>
        <v>0</v>
      </c>
      <c r="CN14" s="1486">
        <f t="shared" ca="1" si="28"/>
        <v>0</v>
      </c>
      <c r="CO14" s="1486">
        <f t="shared" ca="1" si="28"/>
        <v>0</v>
      </c>
      <c r="CP14" s="1486">
        <f t="shared" ca="1" si="28"/>
        <v>0</v>
      </c>
      <c r="CQ14" s="1486">
        <f t="shared" ca="1" si="28"/>
        <v>0</v>
      </c>
      <c r="CR14" s="1486">
        <f t="shared" ca="1" si="28"/>
        <v>0</v>
      </c>
      <c r="CS14" s="1486">
        <f t="shared" ca="1" si="28"/>
        <v>0</v>
      </c>
      <c r="CT14" s="1486">
        <f t="shared" ca="1" si="28"/>
        <v>0</v>
      </c>
      <c r="CU14" s="1486">
        <f t="shared" ca="1" si="28"/>
        <v>0</v>
      </c>
      <c r="CV14" s="1486">
        <f t="shared" ca="1" si="28"/>
        <v>0</v>
      </c>
      <c r="CW14" s="1486">
        <f t="shared" ca="1" si="28"/>
        <v>0</v>
      </c>
      <c r="CX14" s="1486">
        <f t="shared" ca="1" si="28"/>
        <v>0</v>
      </c>
      <c r="CY14" s="1486">
        <f t="shared" ca="1" si="28"/>
        <v>0</v>
      </c>
      <c r="CZ14" s="1486">
        <f t="shared" ca="1" si="28"/>
        <v>0</v>
      </c>
      <c r="DA14" s="1486">
        <f t="shared" ca="1" si="28"/>
        <v>0</v>
      </c>
      <c r="DB14" s="1486">
        <f t="shared" ca="1" si="28"/>
        <v>0</v>
      </c>
      <c r="DC14" s="1486">
        <f t="shared" ca="1" si="28"/>
        <v>0</v>
      </c>
      <c r="DD14" s="1486">
        <f t="shared" ca="1" si="28"/>
        <v>0</v>
      </c>
      <c r="DE14" s="1486">
        <f t="shared" ca="1" si="28"/>
        <v>0</v>
      </c>
      <c r="DF14" s="1486">
        <f t="shared" ca="1" si="28"/>
        <v>0</v>
      </c>
      <c r="DH14" s="838"/>
    </row>
    <row r="15" spans="1:112" s="743" customFormat="1" ht="15.75" collapsed="1">
      <c r="A15" s="22"/>
      <c r="B15" s="753"/>
      <c r="C15" s="744" t="s">
        <v>676</v>
      </c>
      <c r="D15" s="517" t="str">
        <f>INDEX(Workstreams[Workstream], MATCH($C15, Workstreams[Code], 0))</f>
        <v>Heating</v>
      </c>
      <c r="E15" s="512"/>
      <c r="G15" s="1021">
        <f t="shared" ref="G15:P15" ca="1" si="29">G14+G11</f>
        <v>530.15178411927457</v>
      </c>
      <c r="H15" s="1021">
        <f t="shared" ca="1" si="29"/>
        <v>0</v>
      </c>
      <c r="I15" s="1021">
        <f t="shared" ca="1" si="29"/>
        <v>0</v>
      </c>
      <c r="J15" s="1021">
        <f t="shared" ca="1" si="29"/>
        <v>0</v>
      </c>
      <c r="K15" s="1021">
        <f t="shared" ca="1" si="29"/>
        <v>0</v>
      </c>
      <c r="L15" s="1021">
        <f t="shared" ca="1" si="29"/>
        <v>0</v>
      </c>
      <c r="M15" s="1021">
        <f t="shared" ca="1" si="29"/>
        <v>0</v>
      </c>
      <c r="N15" s="1021">
        <f t="shared" ca="1" si="29"/>
        <v>0</v>
      </c>
      <c r="O15" s="1021">
        <f t="shared" ca="1" si="29"/>
        <v>0</v>
      </c>
      <c r="P15" s="1021">
        <f t="shared" ca="1" si="29"/>
        <v>0</v>
      </c>
      <c r="Q15" s="1021">
        <f t="shared" ca="1" si="1"/>
        <v>530.15178411927457</v>
      </c>
      <c r="S15" s="970">
        <f t="shared" ref="S15:Z15" ca="1" si="30">S14+S11</f>
        <v>-65.279304282673138</v>
      </c>
      <c r="T15" s="970">
        <f t="shared" ca="1" si="30"/>
        <v>0</v>
      </c>
      <c r="U15" s="970">
        <f t="shared" ca="1" si="30"/>
        <v>-13.24549946075815</v>
      </c>
      <c r="V15" s="970">
        <f t="shared" ca="1" si="30"/>
        <v>-21.237786824505847</v>
      </c>
      <c r="W15" s="970">
        <f t="shared" ca="1" si="30"/>
        <v>-430.38919355133737</v>
      </c>
      <c r="X15" s="970">
        <f t="shared" ca="1" si="30"/>
        <v>0</v>
      </c>
      <c r="Y15" s="970">
        <f t="shared" ca="1" si="30"/>
        <v>0</v>
      </c>
      <c r="Z15" s="970">
        <f t="shared" ca="1" si="30"/>
        <v>0</v>
      </c>
      <c r="AA15" s="970">
        <f t="shared" ref="AA15:AJ15" ca="1" si="31">AA14+AA11</f>
        <v>0</v>
      </c>
      <c r="AB15" s="970">
        <f t="shared" ca="1" si="31"/>
        <v>0</v>
      </c>
      <c r="AC15" s="970">
        <f t="shared" ca="1" si="31"/>
        <v>0</v>
      </c>
      <c r="AD15" s="970">
        <f ca="1">AD14+AD11</f>
        <v>0</v>
      </c>
      <c r="AE15" s="970">
        <f ca="1">AE14+AE11</f>
        <v>0</v>
      </c>
      <c r="AF15" s="970">
        <f t="shared" ca="1" si="31"/>
        <v>0</v>
      </c>
      <c r="AG15" s="970">
        <f ca="1">AG14+AG11</f>
        <v>0</v>
      </c>
      <c r="AH15" s="970">
        <f ca="1">AH14+AH11</f>
        <v>0</v>
      </c>
      <c r="AI15" s="970">
        <f ca="1">AI14+AI11</f>
        <v>0</v>
      </c>
      <c r="AJ15" s="970">
        <f t="shared" ca="1" si="31"/>
        <v>0</v>
      </c>
      <c r="AK15" s="970">
        <f t="shared" ca="1" si="4"/>
        <v>-530.15178411927445</v>
      </c>
      <c r="AM15" s="976">
        <f t="shared" ref="AM15:AS15" ca="1" si="32">AM14+AM11</f>
        <v>0</v>
      </c>
      <c r="AN15" s="976">
        <f t="shared" ca="1" si="32"/>
        <v>0</v>
      </c>
      <c r="AO15" s="976">
        <f t="shared" ca="1" si="32"/>
        <v>0</v>
      </c>
      <c r="AP15" s="976">
        <f t="shared" ca="1" si="32"/>
        <v>0</v>
      </c>
      <c r="AQ15" s="976">
        <f t="shared" ca="1" si="32"/>
        <v>0</v>
      </c>
      <c r="AR15" s="976">
        <f t="shared" ca="1" si="32"/>
        <v>0</v>
      </c>
      <c r="AS15" s="976">
        <f t="shared" ca="1" si="32"/>
        <v>0</v>
      </c>
      <c r="AT15" s="976">
        <f t="shared" ref="AT15:BE15" ca="1" si="33">AT14+AT11</f>
        <v>0</v>
      </c>
      <c r="AU15" s="976">
        <f t="shared" ca="1" si="33"/>
        <v>0</v>
      </c>
      <c r="AV15" s="976">
        <f t="shared" ca="1" si="33"/>
        <v>0</v>
      </c>
      <c r="AW15" s="976">
        <f t="shared" ca="1" si="33"/>
        <v>0</v>
      </c>
      <c r="AX15" s="976">
        <f t="shared" ca="1" si="33"/>
        <v>0</v>
      </c>
      <c r="AY15" s="976">
        <f t="shared" ca="1" si="33"/>
        <v>0</v>
      </c>
      <c r="AZ15" s="976">
        <f t="shared" ca="1" si="33"/>
        <v>0</v>
      </c>
      <c r="BA15" s="976">
        <f t="shared" ca="1" si="33"/>
        <v>0</v>
      </c>
      <c r="BB15" s="976">
        <f t="shared" ca="1" si="33"/>
        <v>0</v>
      </c>
      <c r="BC15" s="976">
        <f t="shared" ca="1" si="33"/>
        <v>0</v>
      </c>
      <c r="BD15" s="976">
        <f t="shared" ca="1" si="33"/>
        <v>0</v>
      </c>
      <c r="BE15" s="976">
        <f t="shared" ca="1" si="33"/>
        <v>0</v>
      </c>
      <c r="BF15" s="976">
        <f t="shared" ca="1" si="6"/>
        <v>0</v>
      </c>
      <c r="BH15" s="990">
        <f ca="1">BH14+BH11</f>
        <v>0</v>
      </c>
      <c r="BI15" s="990">
        <f ca="1">BI14+BI11</f>
        <v>0</v>
      </c>
      <c r="BJ15" s="990">
        <f t="shared" ca="1" si="8"/>
        <v>0</v>
      </c>
      <c r="BL15" s="515">
        <f t="shared" ca="1" si="9"/>
        <v>1.1368683772161603E-13</v>
      </c>
      <c r="BM15" s="515"/>
      <c r="BN15" s="840"/>
      <c r="BO15" s="1482">
        <f t="shared" ref="BO15:DF15" ca="1" si="34">BO14+BO11</f>
        <v>88.580672153486034</v>
      </c>
      <c r="BP15" s="1482">
        <f t="shared" ca="1" si="34"/>
        <v>0.17733312505587634</v>
      </c>
      <c r="BQ15" s="1482">
        <f t="shared" ca="1" si="34"/>
        <v>0.30239806401128239</v>
      </c>
      <c r="BR15" s="1482">
        <f t="shared" ca="1" si="34"/>
        <v>0</v>
      </c>
      <c r="BS15" s="1482">
        <f t="shared" ca="1" si="34"/>
        <v>0</v>
      </c>
      <c r="BT15" s="1482">
        <f t="shared" ca="1" si="34"/>
        <v>0</v>
      </c>
      <c r="BU15" s="1482">
        <f t="shared" ca="1" si="34"/>
        <v>0</v>
      </c>
      <c r="BV15" s="1482">
        <f t="shared" ca="1" si="34"/>
        <v>0</v>
      </c>
      <c r="BW15" s="1482">
        <f t="shared" ca="1" si="34"/>
        <v>0</v>
      </c>
      <c r="BX15" s="1482">
        <f t="shared" ca="1" si="34"/>
        <v>0</v>
      </c>
      <c r="BY15" s="1482">
        <f t="shared" ca="1" si="34"/>
        <v>0</v>
      </c>
      <c r="BZ15" s="1482">
        <f t="shared" ca="1" si="34"/>
        <v>0</v>
      </c>
      <c r="CA15" s="1482">
        <f t="shared" ca="1" si="34"/>
        <v>0</v>
      </c>
      <c r="CB15" s="1482">
        <f t="shared" ca="1" si="34"/>
        <v>0</v>
      </c>
      <c r="CC15" s="1482">
        <f t="shared" ca="1" si="34"/>
        <v>0</v>
      </c>
      <c r="CD15" s="1482">
        <f t="shared" ca="1" si="34"/>
        <v>0</v>
      </c>
      <c r="CE15" s="1482">
        <f t="shared" ca="1" si="34"/>
        <v>0</v>
      </c>
      <c r="CF15" s="1482">
        <f t="shared" ca="1" si="34"/>
        <v>0</v>
      </c>
      <c r="CG15" s="1482">
        <f t="shared" ca="1" si="34"/>
        <v>0</v>
      </c>
      <c r="CH15" s="1482">
        <f t="shared" ca="1" si="34"/>
        <v>0</v>
      </c>
      <c r="CI15" s="1482">
        <f t="shared" ca="1" si="34"/>
        <v>0</v>
      </c>
      <c r="CJ15" s="1482">
        <f t="shared" ca="1" si="34"/>
        <v>0</v>
      </c>
      <c r="CK15" s="1482">
        <f t="shared" ca="1" si="34"/>
        <v>0</v>
      </c>
      <c r="CL15" s="1482">
        <f t="shared" ca="1" si="34"/>
        <v>0</v>
      </c>
      <c r="CM15" s="1482">
        <f t="shared" ca="1" si="34"/>
        <v>0</v>
      </c>
      <c r="CN15" s="1482">
        <f t="shared" ca="1" si="34"/>
        <v>0</v>
      </c>
      <c r="CO15" s="1482">
        <f t="shared" ca="1" si="34"/>
        <v>0</v>
      </c>
      <c r="CP15" s="1482">
        <f t="shared" ca="1" si="34"/>
        <v>0</v>
      </c>
      <c r="CQ15" s="1482">
        <f t="shared" ca="1" si="34"/>
        <v>0</v>
      </c>
      <c r="CR15" s="1482">
        <f t="shared" ca="1" si="34"/>
        <v>0</v>
      </c>
      <c r="CS15" s="1482">
        <f t="shared" ca="1" si="34"/>
        <v>0</v>
      </c>
      <c r="CT15" s="1482">
        <f t="shared" ca="1" si="34"/>
        <v>0</v>
      </c>
      <c r="CU15" s="1482">
        <f t="shared" ca="1" si="34"/>
        <v>0</v>
      </c>
      <c r="CV15" s="1482">
        <f t="shared" ca="1" si="34"/>
        <v>0</v>
      </c>
      <c r="CW15" s="1482">
        <f t="shared" ca="1" si="34"/>
        <v>0</v>
      </c>
      <c r="CX15" s="1482">
        <f t="shared" ca="1" si="34"/>
        <v>0</v>
      </c>
      <c r="CY15" s="1482">
        <f t="shared" ca="1" si="34"/>
        <v>0</v>
      </c>
      <c r="CZ15" s="1482">
        <f t="shared" ca="1" si="34"/>
        <v>0</v>
      </c>
      <c r="DA15" s="1482">
        <f t="shared" ca="1" si="34"/>
        <v>0</v>
      </c>
      <c r="DB15" s="1482">
        <f t="shared" ca="1" si="34"/>
        <v>0</v>
      </c>
      <c r="DC15" s="1482">
        <f t="shared" ca="1" si="34"/>
        <v>0</v>
      </c>
      <c r="DD15" s="1482">
        <f t="shared" ca="1" si="34"/>
        <v>0</v>
      </c>
      <c r="DE15" s="1482">
        <f t="shared" ca="1" si="34"/>
        <v>0</v>
      </c>
      <c r="DF15" s="1482">
        <f t="shared" ca="1" si="34"/>
        <v>0</v>
      </c>
      <c r="DH15" s="838">
        <f t="shared" ref="DH15:DH38" ca="1" si="35">SUM(BO15:DF15)</f>
        <v>89.060403342553201</v>
      </c>
    </row>
    <row r="16" spans="1:112" s="743" customFormat="1" hidden="1" outlineLevel="1">
      <c r="A16" s="1484"/>
      <c r="B16" s="1484"/>
      <c r="C16" s="746"/>
      <c r="D16" s="521"/>
      <c r="E16" s="521"/>
      <c r="G16" s="1019"/>
      <c r="H16" s="1019"/>
      <c r="I16" s="1019"/>
      <c r="J16" s="1019"/>
      <c r="K16" s="1019"/>
      <c r="L16" s="1019"/>
      <c r="M16" s="1019"/>
      <c r="N16" s="1019"/>
      <c r="O16" s="1019"/>
      <c r="P16" s="1019"/>
      <c r="Q16" s="1019"/>
      <c r="S16" s="1027"/>
      <c r="T16" s="1027"/>
      <c r="U16" s="1027"/>
      <c r="V16" s="1027"/>
      <c r="W16" s="1027"/>
      <c r="X16" s="1027"/>
      <c r="Y16" s="1027"/>
      <c r="Z16" s="1027"/>
      <c r="AA16" s="1027"/>
      <c r="AB16" s="1027"/>
      <c r="AC16" s="1027"/>
      <c r="AD16" s="1027"/>
      <c r="AE16" s="1027"/>
      <c r="AF16" s="1027"/>
      <c r="AG16" s="1027"/>
      <c r="AH16" s="1027"/>
      <c r="AI16" s="1027"/>
      <c r="AJ16" s="1027"/>
      <c r="AK16" s="1027"/>
      <c r="AM16" s="1040"/>
      <c r="AN16" s="1040"/>
      <c r="AO16" s="1040"/>
      <c r="AP16" s="1040"/>
      <c r="AQ16" s="1040"/>
      <c r="AR16" s="1040"/>
      <c r="AS16" s="1040"/>
      <c r="AT16" s="1040"/>
      <c r="AU16" s="1040"/>
      <c r="AV16" s="1040"/>
      <c r="AW16" s="1040"/>
      <c r="AX16" s="1040"/>
      <c r="AY16" s="1040"/>
      <c r="AZ16" s="1040"/>
      <c r="BA16" s="1040"/>
      <c r="BB16" s="1040"/>
      <c r="BC16" s="1040"/>
      <c r="BD16" s="1040"/>
      <c r="BE16" s="1040"/>
      <c r="BF16" s="979"/>
      <c r="BH16" s="1034"/>
      <c r="BI16" s="1034"/>
      <c r="BJ16" s="1034"/>
      <c r="BL16" s="814">
        <f t="shared" si="9"/>
        <v>0</v>
      </c>
      <c r="BM16" s="814"/>
      <c r="BN16" s="1484"/>
      <c r="BO16" s="1481"/>
      <c r="BP16" s="1482"/>
      <c r="BQ16" s="1482"/>
      <c r="BR16" s="1482"/>
      <c r="BS16" s="1482"/>
      <c r="BT16" s="1482"/>
      <c r="BU16" s="1482"/>
      <c r="BV16" s="1482"/>
      <c r="BW16" s="1482"/>
      <c r="BX16" s="1482"/>
      <c r="BY16" s="1482"/>
      <c r="BZ16" s="1482"/>
      <c r="CA16" s="1482"/>
      <c r="CB16" s="1482"/>
      <c r="CC16" s="1482"/>
      <c r="CD16" s="1482"/>
      <c r="CE16" s="1482"/>
      <c r="CF16" s="1482"/>
      <c r="CG16" s="1482"/>
      <c r="CH16" s="1482"/>
      <c r="CI16" s="1482"/>
      <c r="CJ16" s="1482"/>
      <c r="CK16" s="1482"/>
      <c r="CL16" s="1482"/>
      <c r="CM16" s="1482"/>
      <c r="CN16" s="1482"/>
      <c r="CO16" s="1482"/>
      <c r="CP16" s="1482"/>
      <c r="CQ16" s="1482"/>
      <c r="CR16" s="1482"/>
      <c r="CS16" s="1482"/>
      <c r="CT16" s="1482"/>
      <c r="CU16" s="1482"/>
      <c r="CV16" s="1482"/>
      <c r="CW16" s="1482"/>
      <c r="CX16" s="1482"/>
      <c r="CY16" s="1482"/>
      <c r="CZ16" s="1482"/>
      <c r="DA16" s="1482"/>
      <c r="DB16" s="1482"/>
      <c r="DC16" s="1482"/>
      <c r="DD16" s="1482"/>
      <c r="DE16" s="1482"/>
      <c r="DF16" s="1482"/>
      <c r="DH16" s="838">
        <f t="shared" si="35"/>
        <v>0</v>
      </c>
    </row>
    <row r="17" spans="1:112" s="743" customFormat="1" ht="12.75" hidden="1" customHeight="1" outlineLevel="1">
      <c r="A17" s="1484"/>
      <c r="B17" s="1484"/>
      <c r="C17" s="746" t="s">
        <v>950</v>
      </c>
      <c r="D17" s="1480" t="str">
        <f>INDEX(Modules[Module], MATCH($C17, Modules[Code], 0))</f>
        <v>Domestic lighting, appliances, and cooking</v>
      </c>
      <c r="E17" s="1006"/>
      <c r="G17" s="1017">
        <f t="shared" ref="G17:P18" ca="1" si="36">IFERROR(INDEX(INDIRECT($C17&amp;".Outputs["&amp;this.Year&amp;"]"), MATCH(G$5, INDIRECT($C17&amp;".Outputs[Vector]"), 0)), 0)</f>
        <v>0</v>
      </c>
      <c r="H17" s="1017">
        <f t="shared" ca="1" si="36"/>
        <v>95.393170913558279</v>
      </c>
      <c r="I17" s="1017">
        <f t="shared" ca="1" si="36"/>
        <v>0</v>
      </c>
      <c r="J17" s="1017">
        <f t="shared" ca="1" si="36"/>
        <v>0</v>
      </c>
      <c r="K17" s="1017">
        <f t="shared" ca="1" si="36"/>
        <v>0</v>
      </c>
      <c r="L17" s="1017">
        <f t="shared" ca="1" si="36"/>
        <v>0</v>
      </c>
      <c r="M17" s="1017">
        <f t="shared" ca="1" si="36"/>
        <v>0</v>
      </c>
      <c r="N17" s="1017">
        <f t="shared" ca="1" si="36"/>
        <v>0</v>
      </c>
      <c r="O17" s="1017">
        <f t="shared" ca="1" si="36"/>
        <v>0</v>
      </c>
      <c r="P17" s="1017">
        <f t="shared" ca="1" si="36"/>
        <v>0</v>
      </c>
      <c r="Q17" s="1019">
        <f ca="1">SUM(G17:P17)</f>
        <v>95.393170913558279</v>
      </c>
      <c r="S17" s="1026">
        <f t="shared" ref="S17:BE18" ca="1" si="37">IFERROR(INDEX(INDIRECT($C17&amp;".Outputs["&amp;this.Year&amp;"]"), MATCH(S$5, INDIRECT($C17&amp;".Outputs[Vector]"), 0)), 0)</f>
        <v>-87.37770781750622</v>
      </c>
      <c r="T17" s="1026">
        <f t="shared" ca="1" si="37"/>
        <v>0</v>
      </c>
      <c r="U17" s="1026">
        <f t="shared" ca="1" si="37"/>
        <v>0</v>
      </c>
      <c r="V17" s="1026">
        <f t="shared" ca="1" si="37"/>
        <v>0</v>
      </c>
      <c r="W17" s="1026">
        <f t="shared" ca="1" si="37"/>
        <v>-8.0154630960520556</v>
      </c>
      <c r="X17" s="1026">
        <f t="shared" ref="X17:Z18" ca="1" si="38">IFERROR(INDEX(INDIRECT($C17&amp;".Outputs["&amp;this.Year&amp;"]"), MATCH(X$5, INDIRECT($C17&amp;".Outputs[Vector]"), 0)), 0)</f>
        <v>0</v>
      </c>
      <c r="Y17" s="1026">
        <f t="shared" ca="1" si="38"/>
        <v>0</v>
      </c>
      <c r="Z17" s="1026">
        <f t="shared" ca="1" si="38"/>
        <v>0</v>
      </c>
      <c r="AA17" s="1026">
        <f t="shared" ca="1" si="37"/>
        <v>0</v>
      </c>
      <c r="AB17" s="1026">
        <f t="shared" ca="1" si="37"/>
        <v>0</v>
      </c>
      <c r="AC17" s="1026">
        <f t="shared" ca="1" si="37"/>
        <v>0</v>
      </c>
      <c r="AD17" s="1026">
        <f t="shared" ca="1" si="37"/>
        <v>0</v>
      </c>
      <c r="AE17" s="1026">
        <f t="shared" ca="1" si="37"/>
        <v>0</v>
      </c>
      <c r="AF17" s="1026">
        <f t="shared" ca="1" si="37"/>
        <v>0</v>
      </c>
      <c r="AG17" s="1026">
        <f t="shared" ca="1" si="37"/>
        <v>0</v>
      </c>
      <c r="AH17" s="1026">
        <f t="shared" ca="1" si="37"/>
        <v>0</v>
      </c>
      <c r="AI17" s="1026">
        <f t="shared" ca="1" si="37"/>
        <v>0</v>
      </c>
      <c r="AJ17" s="1026">
        <f t="shared" ca="1" si="37"/>
        <v>0</v>
      </c>
      <c r="AK17" s="1027">
        <f ca="1">SUM(S17:AJ17)</f>
        <v>-95.393170913558279</v>
      </c>
      <c r="AM17" s="1038">
        <f t="shared" ref="AM17:AU18" ca="1" si="39">IFERROR(INDEX(INDIRECT($C17&amp;".Outputs["&amp;this.Year&amp;"]"), MATCH(AM$5, INDIRECT($C17&amp;".Outputs[Vector]"), 0)), 0)</f>
        <v>0</v>
      </c>
      <c r="AN17" s="1038">
        <f t="shared" ca="1" si="39"/>
        <v>0</v>
      </c>
      <c r="AO17" s="1038">
        <f t="shared" ca="1" si="39"/>
        <v>0</v>
      </c>
      <c r="AP17" s="1038">
        <f t="shared" ca="1" si="39"/>
        <v>0</v>
      </c>
      <c r="AQ17" s="1038">
        <f t="shared" ca="1" si="39"/>
        <v>0</v>
      </c>
      <c r="AR17" s="1038">
        <f t="shared" ca="1" si="39"/>
        <v>0</v>
      </c>
      <c r="AS17" s="1038">
        <f t="shared" ca="1" si="39"/>
        <v>0</v>
      </c>
      <c r="AT17" s="1038">
        <f t="shared" ca="1" si="39"/>
        <v>0</v>
      </c>
      <c r="AU17" s="1038">
        <f t="shared" ca="1" si="39"/>
        <v>0</v>
      </c>
      <c r="AV17" s="1038">
        <f t="shared" ca="1" si="37"/>
        <v>0</v>
      </c>
      <c r="AW17" s="1038">
        <f t="shared" ca="1" si="37"/>
        <v>0</v>
      </c>
      <c r="AX17" s="1038">
        <f t="shared" ca="1" si="37"/>
        <v>0</v>
      </c>
      <c r="AY17" s="1038">
        <f t="shared" ca="1" si="37"/>
        <v>0</v>
      </c>
      <c r="AZ17" s="1038">
        <f t="shared" ca="1" si="37"/>
        <v>0</v>
      </c>
      <c r="BA17" s="1038">
        <f t="shared" ca="1" si="37"/>
        <v>0</v>
      </c>
      <c r="BB17" s="1038">
        <f t="shared" ca="1" si="37"/>
        <v>0</v>
      </c>
      <c r="BC17" s="1038">
        <f t="shared" ca="1" si="37"/>
        <v>0</v>
      </c>
      <c r="BD17" s="1038">
        <f t="shared" ca="1" si="37"/>
        <v>0</v>
      </c>
      <c r="BE17" s="1038">
        <f t="shared" ca="1" si="37"/>
        <v>0</v>
      </c>
      <c r="BF17" s="979">
        <f ca="1">SUM(AM17:BE17)</f>
        <v>0</v>
      </c>
      <c r="BH17" s="1032">
        <f ca="1">IFERROR(INDEX(INDIRECT($C17&amp;".Outputs["&amp;this.Year&amp;"]"), MATCH(BH$5, INDIRECT($C17&amp;".Outputs[Vector]"), 0)), 0)</f>
        <v>0</v>
      </c>
      <c r="BI17" s="1032">
        <f ca="1">IFERROR(INDEX(INDIRECT($C17&amp;".Outputs["&amp;this.Year&amp;"]"), MATCH(BI$5, INDIRECT($C17&amp;".Outputs[Vector]"), 0)), 0)</f>
        <v>0</v>
      </c>
      <c r="BJ17" s="1034">
        <f ca="1">SUM(BH17:BI17)</f>
        <v>0</v>
      </c>
      <c r="BL17" s="814">
        <f t="shared" ca="1" si="9"/>
        <v>0</v>
      </c>
      <c r="BM17" s="814"/>
      <c r="BN17" s="840"/>
      <c r="BO17" s="1481">
        <f t="shared" ref="BO17:BX18" ca="1" si="40">IFERROR(SUMIFS(INDIRECT($C17&amp;".Emissions["&amp;this.Year&amp;"]"), INDIRECT($C17&amp;".Emissions[GHG]"), BO$6, INDIRECT($C17&amp;".Emissions[IPCC Sector]"), BO$5),0)</f>
        <v>1.474845209673578</v>
      </c>
      <c r="BP17" s="1482">
        <f t="shared" ca="1" si="40"/>
        <v>2.9563061447817444E-3</v>
      </c>
      <c r="BQ17" s="1482">
        <f t="shared" ca="1" si="40"/>
        <v>3.1796509840657156E-3</v>
      </c>
      <c r="BR17" s="1482">
        <f t="shared" ca="1" si="40"/>
        <v>0</v>
      </c>
      <c r="BS17" s="1482">
        <f t="shared" ca="1" si="40"/>
        <v>0</v>
      </c>
      <c r="BT17" s="1482">
        <f t="shared" ca="1" si="40"/>
        <v>0</v>
      </c>
      <c r="BU17" s="1482">
        <f t="shared" ca="1" si="40"/>
        <v>0</v>
      </c>
      <c r="BV17" s="1482">
        <f t="shared" ca="1" si="40"/>
        <v>0</v>
      </c>
      <c r="BW17" s="1482">
        <f t="shared" ca="1" si="40"/>
        <v>0</v>
      </c>
      <c r="BX17" s="1482">
        <f t="shared" ca="1" si="40"/>
        <v>0</v>
      </c>
      <c r="BY17" s="1482">
        <f t="shared" ref="BY17:CH18" ca="1" si="41">IFERROR(SUMIFS(INDIRECT($C17&amp;".Emissions["&amp;this.Year&amp;"]"), INDIRECT($C17&amp;".Emissions[GHG]"), BY$6, INDIRECT($C17&amp;".Emissions[IPCC Sector]"), BY$5),0)</f>
        <v>0</v>
      </c>
      <c r="BZ17" s="1482">
        <f t="shared" ca="1" si="41"/>
        <v>0</v>
      </c>
      <c r="CA17" s="1482">
        <f t="shared" ca="1" si="41"/>
        <v>0</v>
      </c>
      <c r="CB17" s="1482">
        <f t="shared" ca="1" si="41"/>
        <v>0</v>
      </c>
      <c r="CC17" s="1482">
        <f t="shared" ca="1" si="41"/>
        <v>0</v>
      </c>
      <c r="CD17" s="1482">
        <f t="shared" ca="1" si="41"/>
        <v>0</v>
      </c>
      <c r="CE17" s="1482">
        <f t="shared" ca="1" si="41"/>
        <v>0</v>
      </c>
      <c r="CF17" s="1482">
        <f t="shared" ca="1" si="41"/>
        <v>0</v>
      </c>
      <c r="CG17" s="1482">
        <f t="shared" ca="1" si="41"/>
        <v>0</v>
      </c>
      <c r="CH17" s="1482">
        <f t="shared" ca="1" si="41"/>
        <v>0</v>
      </c>
      <c r="CI17" s="1482">
        <f t="shared" ref="CI17:CR18" ca="1" si="42">IFERROR(SUMIFS(INDIRECT($C17&amp;".Emissions["&amp;this.Year&amp;"]"), INDIRECT($C17&amp;".Emissions[GHG]"), CI$6, INDIRECT($C17&amp;".Emissions[IPCC Sector]"), CI$5),0)</f>
        <v>0</v>
      </c>
      <c r="CJ17" s="1482">
        <f t="shared" ca="1" si="42"/>
        <v>0</v>
      </c>
      <c r="CK17" s="1482">
        <f t="shared" ca="1" si="42"/>
        <v>0</v>
      </c>
      <c r="CL17" s="1482">
        <f t="shared" ca="1" si="42"/>
        <v>0</v>
      </c>
      <c r="CM17" s="1482">
        <f t="shared" ca="1" si="42"/>
        <v>0</v>
      </c>
      <c r="CN17" s="1482">
        <f t="shared" ca="1" si="42"/>
        <v>0</v>
      </c>
      <c r="CO17" s="1482">
        <f t="shared" ca="1" si="42"/>
        <v>0</v>
      </c>
      <c r="CP17" s="1482">
        <f t="shared" ca="1" si="42"/>
        <v>0</v>
      </c>
      <c r="CQ17" s="1482">
        <f t="shared" ca="1" si="42"/>
        <v>0</v>
      </c>
      <c r="CR17" s="1482">
        <f t="shared" ca="1" si="42"/>
        <v>0</v>
      </c>
      <c r="CS17" s="1482">
        <f t="shared" ref="CS17:DF18" ca="1" si="43">IFERROR(SUMIFS(INDIRECT($C17&amp;".Emissions["&amp;this.Year&amp;"]"), INDIRECT($C17&amp;".Emissions[GHG]"), CS$6, INDIRECT($C17&amp;".Emissions[IPCC Sector]"), CS$5),0)</f>
        <v>0</v>
      </c>
      <c r="CT17" s="1482">
        <f t="shared" ca="1" si="43"/>
        <v>0</v>
      </c>
      <c r="CU17" s="1482">
        <f t="shared" ca="1" si="43"/>
        <v>0</v>
      </c>
      <c r="CV17" s="1482">
        <f t="shared" ca="1" si="43"/>
        <v>0</v>
      </c>
      <c r="CW17" s="1482">
        <f t="shared" ca="1" si="43"/>
        <v>0</v>
      </c>
      <c r="CX17" s="1482">
        <f t="shared" ca="1" si="43"/>
        <v>0</v>
      </c>
      <c r="CY17" s="1482">
        <f t="shared" ca="1" si="43"/>
        <v>0</v>
      </c>
      <c r="CZ17" s="1482">
        <f t="shared" ca="1" si="43"/>
        <v>0</v>
      </c>
      <c r="DA17" s="1482">
        <f t="shared" ca="1" si="43"/>
        <v>0</v>
      </c>
      <c r="DB17" s="1482">
        <f t="shared" ca="1" si="43"/>
        <v>0</v>
      </c>
      <c r="DC17" s="1482">
        <f t="shared" ca="1" si="43"/>
        <v>0</v>
      </c>
      <c r="DD17" s="1482">
        <f t="shared" ca="1" si="43"/>
        <v>0</v>
      </c>
      <c r="DE17" s="1482">
        <f t="shared" ca="1" si="43"/>
        <v>0</v>
      </c>
      <c r="DF17" s="1482">
        <f t="shared" ca="1" si="43"/>
        <v>0</v>
      </c>
      <c r="DH17" s="838">
        <f t="shared" ca="1" si="35"/>
        <v>1.4809811668024255</v>
      </c>
    </row>
    <row r="18" spans="1:112" s="743" customFormat="1" ht="12.75" hidden="1" customHeight="1" outlineLevel="1">
      <c r="A18" s="1484"/>
      <c r="B18" s="1484"/>
      <c r="C18" s="746" t="s">
        <v>951</v>
      </c>
      <c r="D18" s="1010" t="str">
        <f>INDEX(Modules[Module], MATCH($C18, Modules[Code], 0))</f>
        <v>Commercial lighting, appliances, and catering</v>
      </c>
      <c r="E18" s="1010"/>
      <c r="G18" s="1022">
        <f t="shared" ca="1" si="36"/>
        <v>0</v>
      </c>
      <c r="H18" s="1022">
        <f t="shared" ca="1" si="36"/>
        <v>82.034798448544777</v>
      </c>
      <c r="I18" s="1022">
        <f t="shared" ca="1" si="36"/>
        <v>0</v>
      </c>
      <c r="J18" s="1022">
        <f t="shared" ca="1" si="36"/>
        <v>0</v>
      </c>
      <c r="K18" s="1022">
        <f t="shared" ca="1" si="36"/>
        <v>0</v>
      </c>
      <c r="L18" s="1022">
        <f t="shared" ca="1" si="36"/>
        <v>0</v>
      </c>
      <c r="M18" s="1022">
        <f t="shared" ca="1" si="36"/>
        <v>0</v>
      </c>
      <c r="N18" s="1022">
        <f t="shared" ca="1" si="36"/>
        <v>0</v>
      </c>
      <c r="O18" s="1022">
        <f t="shared" ca="1" si="36"/>
        <v>0</v>
      </c>
      <c r="P18" s="1022">
        <f t="shared" ca="1" si="36"/>
        <v>0</v>
      </c>
      <c r="Q18" s="1020">
        <f ca="1">SUM(G18:P18)</f>
        <v>82.034798448544777</v>
      </c>
      <c r="S18" s="1031">
        <f t="shared" ca="1" si="37"/>
        <v>-73.047740889398199</v>
      </c>
      <c r="T18" s="1031">
        <f t="shared" ca="1" si="37"/>
        <v>0</v>
      </c>
      <c r="U18" s="1031">
        <f t="shared" ca="1" si="37"/>
        <v>0</v>
      </c>
      <c r="V18" s="1031">
        <f t="shared" ca="1" si="37"/>
        <v>0</v>
      </c>
      <c r="W18" s="1031">
        <f t="shared" ca="1" si="37"/>
        <v>-8.987057559146578</v>
      </c>
      <c r="X18" s="1031">
        <f t="shared" ca="1" si="38"/>
        <v>0</v>
      </c>
      <c r="Y18" s="1031">
        <f t="shared" ca="1" si="38"/>
        <v>0</v>
      </c>
      <c r="Z18" s="1031">
        <f t="shared" ca="1" si="38"/>
        <v>0</v>
      </c>
      <c r="AA18" s="1031">
        <f t="shared" ca="1" si="37"/>
        <v>0</v>
      </c>
      <c r="AB18" s="1031">
        <f t="shared" ca="1" si="37"/>
        <v>0</v>
      </c>
      <c r="AC18" s="1031">
        <f t="shared" ca="1" si="37"/>
        <v>0</v>
      </c>
      <c r="AD18" s="1031">
        <f t="shared" ca="1" si="37"/>
        <v>0</v>
      </c>
      <c r="AE18" s="1031">
        <f t="shared" ca="1" si="37"/>
        <v>0</v>
      </c>
      <c r="AF18" s="1031">
        <f t="shared" ca="1" si="37"/>
        <v>0</v>
      </c>
      <c r="AG18" s="1031">
        <f t="shared" ca="1" si="37"/>
        <v>0</v>
      </c>
      <c r="AH18" s="1031">
        <f t="shared" ca="1" si="37"/>
        <v>0</v>
      </c>
      <c r="AI18" s="1031">
        <f t="shared" ca="1" si="37"/>
        <v>0</v>
      </c>
      <c r="AJ18" s="1031">
        <f t="shared" ca="1" si="37"/>
        <v>0</v>
      </c>
      <c r="AK18" s="1030">
        <f ca="1">SUM(S18:AJ18)</f>
        <v>-82.034798448544777</v>
      </c>
      <c r="AM18" s="1042">
        <f t="shared" ca="1" si="39"/>
        <v>0</v>
      </c>
      <c r="AN18" s="1042">
        <f t="shared" ca="1" si="39"/>
        <v>0</v>
      </c>
      <c r="AO18" s="1042">
        <f t="shared" ca="1" si="39"/>
        <v>0</v>
      </c>
      <c r="AP18" s="1042">
        <f t="shared" ca="1" si="39"/>
        <v>0</v>
      </c>
      <c r="AQ18" s="1042">
        <f t="shared" ca="1" si="39"/>
        <v>0</v>
      </c>
      <c r="AR18" s="1042">
        <f t="shared" ca="1" si="39"/>
        <v>0</v>
      </c>
      <c r="AS18" s="1042">
        <f t="shared" ca="1" si="39"/>
        <v>0</v>
      </c>
      <c r="AT18" s="1042">
        <f t="shared" ca="1" si="39"/>
        <v>0</v>
      </c>
      <c r="AU18" s="1042">
        <f t="shared" ca="1" si="39"/>
        <v>0</v>
      </c>
      <c r="AV18" s="1042">
        <f t="shared" ca="1" si="37"/>
        <v>0</v>
      </c>
      <c r="AW18" s="1042">
        <f t="shared" ca="1" si="37"/>
        <v>0</v>
      </c>
      <c r="AX18" s="1042">
        <f t="shared" ca="1" si="37"/>
        <v>0</v>
      </c>
      <c r="AY18" s="1042">
        <f t="shared" ca="1" si="37"/>
        <v>0</v>
      </c>
      <c r="AZ18" s="1042">
        <f t="shared" ca="1" si="37"/>
        <v>0</v>
      </c>
      <c r="BA18" s="1042">
        <f t="shared" ca="1" si="37"/>
        <v>0</v>
      </c>
      <c r="BB18" s="1042">
        <f t="shared" ca="1" si="37"/>
        <v>0</v>
      </c>
      <c r="BC18" s="1042">
        <f t="shared" ca="1" si="37"/>
        <v>0</v>
      </c>
      <c r="BD18" s="1042">
        <f t="shared" ca="1" si="37"/>
        <v>0</v>
      </c>
      <c r="BE18" s="1042">
        <f t="shared" ca="1" si="37"/>
        <v>0</v>
      </c>
      <c r="BF18" s="1012">
        <f ca="1">SUM(AM18:BE18)</f>
        <v>0</v>
      </c>
      <c r="BH18" s="1036">
        <f ca="1">IFERROR(INDEX(INDIRECT($C18&amp;".Outputs["&amp;this.Year&amp;"]"), MATCH(BH$5, INDIRECT($C18&amp;".Outputs[Vector]"), 0)), 0)</f>
        <v>0</v>
      </c>
      <c r="BI18" s="1036">
        <f ca="1">IFERROR(INDEX(INDIRECT($C18&amp;".Outputs["&amp;this.Year&amp;"]"), MATCH(BI$5, INDIRECT($C18&amp;".Outputs[Vector]"), 0)), 0)</f>
        <v>0</v>
      </c>
      <c r="BJ18" s="1035">
        <f ca="1">SUM(BH18:BI18)</f>
        <v>0</v>
      </c>
      <c r="BL18" s="814">
        <f t="shared" ca="1" si="9"/>
        <v>0</v>
      </c>
      <c r="BM18" s="814"/>
      <c r="BN18" s="840"/>
      <c r="BO18" s="1485">
        <f t="shared" ca="1" si="40"/>
        <v>1.6536185908829701</v>
      </c>
      <c r="BP18" s="1486">
        <f t="shared" ca="1" si="40"/>
        <v>3.3146548324448437E-3</v>
      </c>
      <c r="BQ18" s="1486">
        <f t="shared" ca="1" si="40"/>
        <v>3.5650724193178997E-3</v>
      </c>
      <c r="BR18" s="1486">
        <f t="shared" ca="1" si="40"/>
        <v>0</v>
      </c>
      <c r="BS18" s="1486">
        <f t="shared" ca="1" si="40"/>
        <v>0</v>
      </c>
      <c r="BT18" s="1486">
        <f t="shared" ca="1" si="40"/>
        <v>0</v>
      </c>
      <c r="BU18" s="1486">
        <f t="shared" ca="1" si="40"/>
        <v>0</v>
      </c>
      <c r="BV18" s="1486">
        <f t="shared" ca="1" si="40"/>
        <v>0</v>
      </c>
      <c r="BW18" s="1486">
        <f t="shared" ca="1" si="40"/>
        <v>0</v>
      </c>
      <c r="BX18" s="1486">
        <f t="shared" ca="1" si="40"/>
        <v>0</v>
      </c>
      <c r="BY18" s="1486">
        <f t="shared" ca="1" si="41"/>
        <v>0</v>
      </c>
      <c r="BZ18" s="1486">
        <f t="shared" ca="1" si="41"/>
        <v>0</v>
      </c>
      <c r="CA18" s="1486">
        <f t="shared" ca="1" si="41"/>
        <v>0</v>
      </c>
      <c r="CB18" s="1486">
        <f t="shared" ca="1" si="41"/>
        <v>0</v>
      </c>
      <c r="CC18" s="1486">
        <f t="shared" ca="1" si="41"/>
        <v>0</v>
      </c>
      <c r="CD18" s="1486">
        <f t="shared" ca="1" si="41"/>
        <v>0</v>
      </c>
      <c r="CE18" s="1486">
        <f t="shared" ca="1" si="41"/>
        <v>0</v>
      </c>
      <c r="CF18" s="1486">
        <f t="shared" ca="1" si="41"/>
        <v>0</v>
      </c>
      <c r="CG18" s="1486">
        <f t="shared" ca="1" si="41"/>
        <v>0</v>
      </c>
      <c r="CH18" s="1486">
        <f t="shared" ca="1" si="41"/>
        <v>0</v>
      </c>
      <c r="CI18" s="1486">
        <f t="shared" ca="1" si="42"/>
        <v>0</v>
      </c>
      <c r="CJ18" s="1486">
        <f t="shared" ca="1" si="42"/>
        <v>0</v>
      </c>
      <c r="CK18" s="1486">
        <f t="shared" ca="1" si="42"/>
        <v>0</v>
      </c>
      <c r="CL18" s="1486">
        <f t="shared" ca="1" si="42"/>
        <v>0</v>
      </c>
      <c r="CM18" s="1486">
        <f t="shared" ca="1" si="42"/>
        <v>0</v>
      </c>
      <c r="CN18" s="1486">
        <f t="shared" ca="1" si="42"/>
        <v>0</v>
      </c>
      <c r="CO18" s="1486">
        <f t="shared" ca="1" si="42"/>
        <v>0</v>
      </c>
      <c r="CP18" s="1486">
        <f t="shared" ca="1" si="42"/>
        <v>0</v>
      </c>
      <c r="CQ18" s="1486">
        <f t="shared" ca="1" si="42"/>
        <v>0</v>
      </c>
      <c r="CR18" s="1486">
        <f t="shared" ca="1" si="42"/>
        <v>0</v>
      </c>
      <c r="CS18" s="1486">
        <f t="shared" ca="1" si="43"/>
        <v>0</v>
      </c>
      <c r="CT18" s="1486">
        <f t="shared" ca="1" si="43"/>
        <v>0</v>
      </c>
      <c r="CU18" s="1486">
        <f t="shared" ca="1" si="43"/>
        <v>0</v>
      </c>
      <c r="CV18" s="1486">
        <f t="shared" ca="1" si="43"/>
        <v>0</v>
      </c>
      <c r="CW18" s="1486">
        <f t="shared" ca="1" si="43"/>
        <v>0</v>
      </c>
      <c r="CX18" s="1486">
        <f t="shared" ca="1" si="43"/>
        <v>0</v>
      </c>
      <c r="CY18" s="1486">
        <f t="shared" ca="1" si="43"/>
        <v>0</v>
      </c>
      <c r="CZ18" s="1486">
        <f t="shared" ca="1" si="43"/>
        <v>0</v>
      </c>
      <c r="DA18" s="1486">
        <f t="shared" ca="1" si="43"/>
        <v>0</v>
      </c>
      <c r="DB18" s="1486">
        <f t="shared" ca="1" si="43"/>
        <v>0</v>
      </c>
      <c r="DC18" s="1486">
        <f t="shared" ca="1" si="43"/>
        <v>0</v>
      </c>
      <c r="DD18" s="1486">
        <f t="shared" ca="1" si="43"/>
        <v>0</v>
      </c>
      <c r="DE18" s="1486">
        <f t="shared" ca="1" si="43"/>
        <v>0</v>
      </c>
      <c r="DF18" s="1486">
        <f t="shared" ca="1" si="43"/>
        <v>0</v>
      </c>
      <c r="DH18" s="838">
        <f t="shared" ca="1" si="35"/>
        <v>1.6604983181347328</v>
      </c>
    </row>
    <row r="19" spans="1:112" s="743" customFormat="1" ht="15.75" collapsed="1">
      <c r="A19" s="22"/>
      <c r="B19" s="753"/>
      <c r="C19" s="744" t="s">
        <v>677</v>
      </c>
      <c r="D19" s="517" t="str">
        <f>INDEX(Workstreams[Workstream], MATCH($C19, Workstreams[Code], 0))</f>
        <v>Lighting and appliances</v>
      </c>
      <c r="E19" s="512"/>
      <c r="G19" s="1021">
        <f ca="1">G17+G18</f>
        <v>0</v>
      </c>
      <c r="H19" s="1021">
        <f t="shared" ref="H19:P19" ca="1" si="44">H17+H18</f>
        <v>177.42796936210306</v>
      </c>
      <c r="I19" s="1021">
        <f t="shared" ca="1" si="44"/>
        <v>0</v>
      </c>
      <c r="J19" s="1021">
        <f t="shared" ca="1" si="44"/>
        <v>0</v>
      </c>
      <c r="K19" s="1021">
        <f t="shared" ca="1" si="44"/>
        <v>0</v>
      </c>
      <c r="L19" s="1021">
        <f t="shared" ca="1" si="44"/>
        <v>0</v>
      </c>
      <c r="M19" s="1021">
        <f t="shared" ca="1" si="44"/>
        <v>0</v>
      </c>
      <c r="N19" s="1021">
        <f t="shared" ca="1" si="44"/>
        <v>0</v>
      </c>
      <c r="O19" s="1021">
        <f t="shared" ca="1" si="44"/>
        <v>0</v>
      </c>
      <c r="P19" s="1021">
        <f t="shared" ca="1" si="44"/>
        <v>0</v>
      </c>
      <c r="Q19" s="1021">
        <f ca="1">SUM(G19:P19)</f>
        <v>177.42796936210306</v>
      </c>
      <c r="S19" s="970">
        <f ca="1">S17+S18</f>
        <v>-160.42544870690443</v>
      </c>
      <c r="T19" s="970">
        <f t="shared" ref="T19:AJ19" ca="1" si="45">T17+T18</f>
        <v>0</v>
      </c>
      <c r="U19" s="970">
        <f t="shared" ca="1" si="45"/>
        <v>0</v>
      </c>
      <c r="V19" s="970">
        <f t="shared" ca="1" si="45"/>
        <v>0</v>
      </c>
      <c r="W19" s="970">
        <f t="shared" ca="1" si="45"/>
        <v>-17.002520655198634</v>
      </c>
      <c r="X19" s="970">
        <f ca="1">X17+X18</f>
        <v>0</v>
      </c>
      <c r="Y19" s="970">
        <f ca="1">Y17+Y18</f>
        <v>0</v>
      </c>
      <c r="Z19" s="970">
        <f ca="1">Z17+Z18</f>
        <v>0</v>
      </c>
      <c r="AA19" s="970">
        <f t="shared" ca="1" si="45"/>
        <v>0</v>
      </c>
      <c r="AB19" s="970">
        <f t="shared" ca="1" si="45"/>
        <v>0</v>
      </c>
      <c r="AC19" s="970">
        <f t="shared" ca="1" si="45"/>
        <v>0</v>
      </c>
      <c r="AD19" s="970">
        <f ca="1">AD17+AD18</f>
        <v>0</v>
      </c>
      <c r="AE19" s="970">
        <f ca="1">AE17+AE18</f>
        <v>0</v>
      </c>
      <c r="AF19" s="970">
        <f t="shared" ca="1" si="45"/>
        <v>0</v>
      </c>
      <c r="AG19" s="970">
        <f ca="1">AG17+AG18</f>
        <v>0</v>
      </c>
      <c r="AH19" s="970">
        <f ca="1">AH17+AH18</f>
        <v>0</v>
      </c>
      <c r="AI19" s="970">
        <f ca="1">AI17+AI18</f>
        <v>0</v>
      </c>
      <c r="AJ19" s="970">
        <f t="shared" ca="1" si="45"/>
        <v>0</v>
      </c>
      <c r="AK19" s="970">
        <f ca="1">SUM(S19:AJ19)</f>
        <v>-177.42796936210306</v>
      </c>
      <c r="AM19" s="976">
        <f t="shared" ref="AM19:BE19" ca="1" si="46">AM17+AM18</f>
        <v>0</v>
      </c>
      <c r="AN19" s="976">
        <f t="shared" ca="1" si="46"/>
        <v>0</v>
      </c>
      <c r="AO19" s="976">
        <f t="shared" ca="1" si="46"/>
        <v>0</v>
      </c>
      <c r="AP19" s="976">
        <f t="shared" ca="1" si="46"/>
        <v>0</v>
      </c>
      <c r="AQ19" s="976">
        <f t="shared" ca="1" si="46"/>
        <v>0</v>
      </c>
      <c r="AR19" s="976">
        <f t="shared" ca="1" si="46"/>
        <v>0</v>
      </c>
      <c r="AS19" s="976">
        <f t="shared" ca="1" si="46"/>
        <v>0</v>
      </c>
      <c r="AT19" s="976">
        <f t="shared" ca="1" si="46"/>
        <v>0</v>
      </c>
      <c r="AU19" s="976">
        <f t="shared" ca="1" si="46"/>
        <v>0</v>
      </c>
      <c r="AV19" s="976">
        <f t="shared" ca="1" si="46"/>
        <v>0</v>
      </c>
      <c r="AW19" s="976">
        <f t="shared" ca="1" si="46"/>
        <v>0</v>
      </c>
      <c r="AX19" s="976">
        <f t="shared" ca="1" si="46"/>
        <v>0</v>
      </c>
      <c r="AY19" s="976">
        <f t="shared" ca="1" si="46"/>
        <v>0</v>
      </c>
      <c r="AZ19" s="976">
        <f t="shared" ca="1" si="46"/>
        <v>0</v>
      </c>
      <c r="BA19" s="976">
        <f t="shared" ca="1" si="46"/>
        <v>0</v>
      </c>
      <c r="BB19" s="976">
        <f t="shared" ca="1" si="46"/>
        <v>0</v>
      </c>
      <c r="BC19" s="976">
        <f t="shared" ca="1" si="46"/>
        <v>0</v>
      </c>
      <c r="BD19" s="976">
        <f t="shared" ca="1" si="46"/>
        <v>0</v>
      </c>
      <c r="BE19" s="976">
        <f t="shared" ca="1" si="46"/>
        <v>0</v>
      </c>
      <c r="BF19" s="976">
        <f ca="1">SUM(AM19:BE19)</f>
        <v>0</v>
      </c>
      <c r="BH19" s="990">
        <f ca="1">BH17+BH18</f>
        <v>0</v>
      </c>
      <c r="BI19" s="990">
        <f ca="1">BI17+BI18</f>
        <v>0</v>
      </c>
      <c r="BJ19" s="990">
        <f ca="1">SUM(BH19:BI19)</f>
        <v>0</v>
      </c>
      <c r="BL19" s="515">
        <f t="shared" ca="1" si="9"/>
        <v>0</v>
      </c>
      <c r="BM19" s="515"/>
      <c r="BN19" s="840"/>
      <c r="BO19" s="1482">
        <f t="shared" ref="BO19:DF19" ca="1" si="47">BO17+BO18</f>
        <v>3.1284638005565482</v>
      </c>
      <c r="BP19" s="1482">
        <f t="shared" ca="1" si="47"/>
        <v>6.2709609772265886E-3</v>
      </c>
      <c r="BQ19" s="1482">
        <f t="shared" ca="1" si="47"/>
        <v>6.7447234033836158E-3</v>
      </c>
      <c r="BR19" s="1482">
        <f t="shared" ca="1" si="47"/>
        <v>0</v>
      </c>
      <c r="BS19" s="1482">
        <f t="shared" ca="1" si="47"/>
        <v>0</v>
      </c>
      <c r="BT19" s="1482">
        <f t="shared" ca="1" si="47"/>
        <v>0</v>
      </c>
      <c r="BU19" s="1482">
        <f t="shared" ca="1" si="47"/>
        <v>0</v>
      </c>
      <c r="BV19" s="1482">
        <f t="shared" ca="1" si="47"/>
        <v>0</v>
      </c>
      <c r="BW19" s="1482">
        <f t="shared" ca="1" si="47"/>
        <v>0</v>
      </c>
      <c r="BX19" s="1482">
        <f t="shared" ca="1" si="47"/>
        <v>0</v>
      </c>
      <c r="BY19" s="1482">
        <f t="shared" ca="1" si="47"/>
        <v>0</v>
      </c>
      <c r="BZ19" s="1482">
        <f t="shared" ca="1" si="47"/>
        <v>0</v>
      </c>
      <c r="CA19" s="1482">
        <f t="shared" ca="1" si="47"/>
        <v>0</v>
      </c>
      <c r="CB19" s="1482">
        <f t="shared" ca="1" si="47"/>
        <v>0</v>
      </c>
      <c r="CC19" s="1482">
        <f t="shared" ca="1" si="47"/>
        <v>0</v>
      </c>
      <c r="CD19" s="1482">
        <f t="shared" ca="1" si="47"/>
        <v>0</v>
      </c>
      <c r="CE19" s="1482">
        <f t="shared" ca="1" si="47"/>
        <v>0</v>
      </c>
      <c r="CF19" s="1482">
        <f t="shared" ca="1" si="47"/>
        <v>0</v>
      </c>
      <c r="CG19" s="1482">
        <f t="shared" ca="1" si="47"/>
        <v>0</v>
      </c>
      <c r="CH19" s="1482">
        <f t="shared" ca="1" si="47"/>
        <v>0</v>
      </c>
      <c r="CI19" s="1482">
        <f t="shared" ca="1" si="47"/>
        <v>0</v>
      </c>
      <c r="CJ19" s="1482">
        <f t="shared" ca="1" si="47"/>
        <v>0</v>
      </c>
      <c r="CK19" s="1482">
        <f t="shared" ca="1" si="47"/>
        <v>0</v>
      </c>
      <c r="CL19" s="1482">
        <f t="shared" ca="1" si="47"/>
        <v>0</v>
      </c>
      <c r="CM19" s="1482">
        <f t="shared" ca="1" si="47"/>
        <v>0</v>
      </c>
      <c r="CN19" s="1482">
        <f t="shared" ca="1" si="47"/>
        <v>0</v>
      </c>
      <c r="CO19" s="1482">
        <f t="shared" ca="1" si="47"/>
        <v>0</v>
      </c>
      <c r="CP19" s="1482">
        <f t="shared" ca="1" si="47"/>
        <v>0</v>
      </c>
      <c r="CQ19" s="1482">
        <f t="shared" ca="1" si="47"/>
        <v>0</v>
      </c>
      <c r="CR19" s="1482">
        <f t="shared" ca="1" si="47"/>
        <v>0</v>
      </c>
      <c r="CS19" s="1482">
        <f t="shared" ca="1" si="47"/>
        <v>0</v>
      </c>
      <c r="CT19" s="1482">
        <f t="shared" ca="1" si="47"/>
        <v>0</v>
      </c>
      <c r="CU19" s="1482">
        <f t="shared" ca="1" si="47"/>
        <v>0</v>
      </c>
      <c r="CV19" s="1482">
        <f t="shared" ca="1" si="47"/>
        <v>0</v>
      </c>
      <c r="CW19" s="1482">
        <f t="shared" ca="1" si="47"/>
        <v>0</v>
      </c>
      <c r="CX19" s="1482">
        <f t="shared" ca="1" si="47"/>
        <v>0</v>
      </c>
      <c r="CY19" s="1482">
        <f t="shared" ca="1" si="47"/>
        <v>0</v>
      </c>
      <c r="CZ19" s="1482">
        <f t="shared" ca="1" si="47"/>
        <v>0</v>
      </c>
      <c r="DA19" s="1482">
        <f t="shared" ca="1" si="47"/>
        <v>0</v>
      </c>
      <c r="DB19" s="1482">
        <f t="shared" ca="1" si="47"/>
        <v>0</v>
      </c>
      <c r="DC19" s="1482">
        <f t="shared" ca="1" si="47"/>
        <v>0</v>
      </c>
      <c r="DD19" s="1482">
        <f t="shared" ca="1" si="47"/>
        <v>0</v>
      </c>
      <c r="DE19" s="1482">
        <f t="shared" ca="1" si="47"/>
        <v>0</v>
      </c>
      <c r="DF19" s="1482">
        <f t="shared" ca="1" si="47"/>
        <v>0</v>
      </c>
      <c r="DH19" s="838">
        <f t="shared" ca="1" si="35"/>
        <v>3.1414794849371583</v>
      </c>
    </row>
    <row r="20" spans="1:112" s="743" customFormat="1" ht="12.75" hidden="1" customHeight="1" outlineLevel="1">
      <c r="A20" s="1484"/>
      <c r="B20" s="1484"/>
      <c r="C20" s="746"/>
      <c r="D20" s="521"/>
      <c r="E20" s="521"/>
      <c r="G20" s="1019"/>
      <c r="H20" s="1019"/>
      <c r="I20" s="1019"/>
      <c r="J20" s="1019"/>
      <c r="K20" s="1019"/>
      <c r="L20" s="1019"/>
      <c r="M20" s="1019"/>
      <c r="N20" s="1019"/>
      <c r="O20" s="1019"/>
      <c r="P20" s="1019"/>
      <c r="Q20" s="1019"/>
      <c r="S20" s="1027"/>
      <c r="T20" s="1027"/>
      <c r="U20" s="1027"/>
      <c r="V20" s="1027"/>
      <c r="W20" s="1027"/>
      <c r="X20" s="1027"/>
      <c r="Y20" s="1027"/>
      <c r="Z20" s="1027"/>
      <c r="AA20" s="1027"/>
      <c r="AB20" s="1027"/>
      <c r="AC20" s="1027"/>
      <c r="AD20" s="1027"/>
      <c r="AE20" s="1027"/>
      <c r="AF20" s="1027"/>
      <c r="AG20" s="1027"/>
      <c r="AH20" s="1027"/>
      <c r="AI20" s="1027"/>
      <c r="AJ20" s="1027"/>
      <c r="AK20" s="1027"/>
      <c r="AM20" s="1040"/>
      <c r="AN20" s="1040"/>
      <c r="AO20" s="1040"/>
      <c r="AP20" s="1040"/>
      <c r="AQ20" s="1040"/>
      <c r="AR20" s="1040"/>
      <c r="AS20" s="1040"/>
      <c r="AT20" s="1040"/>
      <c r="AU20" s="1040"/>
      <c r="AV20" s="1040"/>
      <c r="AW20" s="1040"/>
      <c r="AX20" s="1040"/>
      <c r="AY20" s="1040"/>
      <c r="AZ20" s="1040"/>
      <c r="BA20" s="1040"/>
      <c r="BB20" s="1040"/>
      <c r="BC20" s="1040"/>
      <c r="BD20" s="1040"/>
      <c r="BE20" s="1040"/>
      <c r="BF20" s="979"/>
      <c r="BH20" s="1034"/>
      <c r="BI20" s="1034"/>
      <c r="BJ20" s="1034"/>
      <c r="BL20" s="814">
        <f t="shared" si="9"/>
        <v>0</v>
      </c>
      <c r="BM20" s="814"/>
      <c r="BN20" s="1484"/>
      <c r="BO20" s="1481"/>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H20" s="838">
        <f t="shared" si="35"/>
        <v>0</v>
      </c>
    </row>
    <row r="21" spans="1:112" s="743" customFormat="1" ht="12.75" hidden="1" customHeight="1" outlineLevel="1">
      <c r="A21" s="1484"/>
      <c r="B21" s="1484"/>
      <c r="C21" s="746" t="s">
        <v>900</v>
      </c>
      <c r="D21" s="1010" t="str">
        <f>INDEX(Modules[Module], MATCH($C21, Modules[Code], 0))</f>
        <v>Industrial processes</v>
      </c>
      <c r="E21" s="1010"/>
      <c r="G21" s="1022">
        <f t="shared" ref="G21:P21" ca="1" si="48">IFERROR(INDEX(INDIRECT($C21&amp;".Outputs["&amp;this.Year&amp;"]"), MATCH(G$5, INDIRECT($C21&amp;".Outputs[Vector]"), 0)), 0)</f>
        <v>0</v>
      </c>
      <c r="H21" s="1022">
        <f t="shared" ca="1" si="48"/>
        <v>0</v>
      </c>
      <c r="I21" s="1022">
        <f t="shared" ca="1" si="48"/>
        <v>411.16256567314912</v>
      </c>
      <c r="J21" s="1022">
        <f t="shared" ca="1" si="48"/>
        <v>0</v>
      </c>
      <c r="K21" s="1022">
        <f t="shared" ca="1" si="48"/>
        <v>0</v>
      </c>
      <c r="L21" s="1022">
        <f t="shared" ca="1" si="48"/>
        <v>0</v>
      </c>
      <c r="M21" s="1022">
        <f t="shared" ca="1" si="48"/>
        <v>0</v>
      </c>
      <c r="N21" s="1022">
        <f t="shared" ca="1" si="48"/>
        <v>0</v>
      </c>
      <c r="O21" s="1022">
        <f t="shared" ca="1" si="48"/>
        <v>0</v>
      </c>
      <c r="P21" s="1022">
        <f t="shared" ca="1" si="48"/>
        <v>0</v>
      </c>
      <c r="Q21" s="1020">
        <f ca="1">SUM(G21:P21)</f>
        <v>411.16256567314912</v>
      </c>
      <c r="S21" s="1031">
        <f t="shared" ref="S21:BE21" ca="1" si="49">IFERROR(INDEX(INDIRECT($C21&amp;".Outputs["&amp;this.Year&amp;"]"), MATCH(S$5, INDIRECT($C21&amp;".Outputs[Vector]"), 0)), 0)</f>
        <v>-115.0871896982415</v>
      </c>
      <c r="T21" s="1031">
        <f t="shared" ca="1" si="49"/>
        <v>0</v>
      </c>
      <c r="U21" s="1031">
        <f t="shared" ca="1" si="49"/>
        <v>-54.894239987253606</v>
      </c>
      <c r="V21" s="1031">
        <f t="shared" ca="1" si="49"/>
        <v>-82.133198215891667</v>
      </c>
      <c r="W21" s="1031">
        <f t="shared" ca="1" si="49"/>
        <v>-150.99084060276388</v>
      </c>
      <c r="X21" s="1031">
        <f ca="1">IFERROR(INDEX(INDIRECT($C21&amp;".Outputs["&amp;this.Year&amp;"]"), MATCH(X$5, INDIRECT($C21&amp;".Outputs[Vector]"), 0)), 0)</f>
        <v>0</v>
      </c>
      <c r="Y21" s="1031">
        <f ca="1">IFERROR(INDEX(INDIRECT($C21&amp;".Outputs["&amp;this.Year&amp;"]"), MATCH(Y$5, INDIRECT($C21&amp;".Outputs[Vector]"), 0)), 0)</f>
        <v>0</v>
      </c>
      <c r="Z21" s="1031">
        <f ca="1">IFERROR(INDEX(INDIRECT($C21&amp;".Outputs["&amp;this.Year&amp;"]"), MATCH(Z$5, INDIRECT($C21&amp;".Outputs[Vector]"), 0)), 0)</f>
        <v>0</v>
      </c>
      <c r="AA21" s="1031">
        <f t="shared" ca="1" si="49"/>
        <v>0</v>
      </c>
      <c r="AB21" s="1031">
        <f t="shared" ca="1" si="49"/>
        <v>-8.0570971689984745</v>
      </c>
      <c r="AC21" s="1031">
        <f t="shared" ca="1" si="49"/>
        <v>0</v>
      </c>
      <c r="AD21" s="1031">
        <f t="shared" ca="1" si="49"/>
        <v>0</v>
      </c>
      <c r="AE21" s="1031">
        <f t="shared" ca="1" si="49"/>
        <v>0</v>
      </c>
      <c r="AF21" s="1031">
        <f t="shared" ca="1" si="49"/>
        <v>0</v>
      </c>
      <c r="AG21" s="1031">
        <f t="shared" ca="1" si="49"/>
        <v>0</v>
      </c>
      <c r="AH21" s="1031">
        <f t="shared" ca="1" si="49"/>
        <v>0</v>
      </c>
      <c r="AI21" s="1031">
        <f t="shared" ca="1" si="49"/>
        <v>0</v>
      </c>
      <c r="AJ21" s="1031">
        <f t="shared" ca="1" si="49"/>
        <v>0</v>
      </c>
      <c r="AK21" s="1030">
        <f ca="1">SUM(S21:AJ21)</f>
        <v>-411.16256567314912</v>
      </c>
      <c r="AM21" s="1042">
        <f t="shared" ref="AM21:AU21" ca="1" si="50">IFERROR(INDEX(INDIRECT($C21&amp;".Outputs["&amp;this.Year&amp;"]"), MATCH(AM$5, INDIRECT($C21&amp;".Outputs[Vector]"), 0)), 0)</f>
        <v>0</v>
      </c>
      <c r="AN21" s="1042">
        <f t="shared" ca="1" si="50"/>
        <v>0</v>
      </c>
      <c r="AO21" s="1042">
        <f t="shared" ca="1" si="50"/>
        <v>0</v>
      </c>
      <c r="AP21" s="1042">
        <f t="shared" ca="1" si="50"/>
        <v>0</v>
      </c>
      <c r="AQ21" s="1042">
        <f t="shared" ca="1" si="50"/>
        <v>0</v>
      </c>
      <c r="AR21" s="1042">
        <f t="shared" ca="1" si="50"/>
        <v>0</v>
      </c>
      <c r="AS21" s="1042">
        <f t="shared" ca="1" si="50"/>
        <v>0</v>
      </c>
      <c r="AT21" s="1042">
        <f t="shared" ca="1" si="50"/>
        <v>0</v>
      </c>
      <c r="AU21" s="1042">
        <f t="shared" ca="1" si="50"/>
        <v>0</v>
      </c>
      <c r="AV21" s="1042">
        <f t="shared" ca="1" si="49"/>
        <v>0</v>
      </c>
      <c r="AW21" s="1042">
        <f t="shared" ca="1" si="49"/>
        <v>0</v>
      </c>
      <c r="AX21" s="1042">
        <f t="shared" ca="1" si="49"/>
        <v>0</v>
      </c>
      <c r="AY21" s="1042">
        <f t="shared" ca="1" si="49"/>
        <v>0</v>
      </c>
      <c r="AZ21" s="1042">
        <f t="shared" ca="1" si="49"/>
        <v>0</v>
      </c>
      <c r="BA21" s="1042">
        <f t="shared" ca="1" si="49"/>
        <v>0</v>
      </c>
      <c r="BB21" s="1042">
        <f t="shared" ca="1" si="49"/>
        <v>0</v>
      </c>
      <c r="BC21" s="1042">
        <f t="shared" ca="1" si="49"/>
        <v>0</v>
      </c>
      <c r="BD21" s="1042">
        <f t="shared" ca="1" si="49"/>
        <v>0</v>
      </c>
      <c r="BE21" s="1042">
        <f t="shared" ca="1" si="49"/>
        <v>0</v>
      </c>
      <c r="BF21" s="1012">
        <f ca="1">SUM(AM21:BE21)</f>
        <v>0</v>
      </c>
      <c r="BH21" s="1036">
        <f ca="1">IFERROR(INDEX(INDIRECT($C21&amp;".Outputs["&amp;this.Year&amp;"]"), MATCH(BH$5, INDIRECT($C21&amp;".Outputs[Vector]"), 0)), 0)</f>
        <v>0</v>
      </c>
      <c r="BI21" s="1036">
        <f ca="1">IFERROR(INDEX(INDIRECT($C21&amp;".Outputs["&amp;this.Year&amp;"]"), MATCH(BI$5, INDIRECT($C21&amp;".Outputs[Vector]"), 0)), 0)</f>
        <v>0</v>
      </c>
      <c r="BJ21" s="1035">
        <f ca="1">SUM(BH21:BI21)</f>
        <v>0</v>
      </c>
      <c r="BL21" s="814">
        <f t="shared" ca="1" si="9"/>
        <v>0</v>
      </c>
      <c r="BM21" s="814"/>
      <c r="BN21" s="840"/>
      <c r="BO21" s="1485">
        <f t="shared" ref="BO21:DF21" ca="1" si="51">IFERROR(SUMIFS(INDIRECT($C21&amp;".Emissions["&amp;this.Year&amp;"]"), INDIRECT($C21&amp;".Emissions[GHG]"), BO$6, INDIRECT($C21&amp;".Emissions[IPCC Sector]"), BO$5),0)</f>
        <v>65.223040140955575</v>
      </c>
      <c r="BP21" s="1486">
        <f t="shared" ca="1" si="51"/>
        <v>0.13092103698678917</v>
      </c>
      <c r="BQ21" s="1486">
        <f t="shared" ca="1" si="51"/>
        <v>0.57910729192700316</v>
      </c>
      <c r="BR21" s="1486">
        <f t="shared" ca="1" si="51"/>
        <v>0</v>
      </c>
      <c r="BS21" s="1486">
        <f t="shared" ca="1" si="51"/>
        <v>0</v>
      </c>
      <c r="BT21" s="1486">
        <f t="shared" ca="1" si="51"/>
        <v>0</v>
      </c>
      <c r="BU21" s="1486">
        <f t="shared" ca="1" si="51"/>
        <v>0</v>
      </c>
      <c r="BV21" s="1486">
        <f t="shared" ca="1" si="51"/>
        <v>0</v>
      </c>
      <c r="BW21" s="1486">
        <f t="shared" ca="1" si="51"/>
        <v>14.397000891205074</v>
      </c>
      <c r="BX21" s="1486">
        <f t="shared" ca="1" si="51"/>
        <v>0.11259095901293661</v>
      </c>
      <c r="BY21" s="1486">
        <f t="shared" ca="1" si="51"/>
        <v>2.762245156954338</v>
      </c>
      <c r="BZ21" s="1486">
        <f t="shared" ca="1" si="51"/>
        <v>10.093975285454039</v>
      </c>
      <c r="CA21" s="1486">
        <f t="shared" ca="1" si="51"/>
        <v>0</v>
      </c>
      <c r="CB21" s="1486">
        <f t="shared" ca="1" si="51"/>
        <v>0</v>
      </c>
      <c r="CC21" s="1486">
        <f t="shared" ca="1" si="51"/>
        <v>0</v>
      </c>
      <c r="CD21" s="1486">
        <f t="shared" ca="1" si="51"/>
        <v>0</v>
      </c>
      <c r="CE21" s="1486">
        <f t="shared" ca="1" si="51"/>
        <v>0</v>
      </c>
      <c r="CF21" s="1486">
        <f t="shared" ca="1" si="51"/>
        <v>0</v>
      </c>
      <c r="CG21" s="1486">
        <f t="shared" ca="1" si="51"/>
        <v>0</v>
      </c>
      <c r="CH21" s="1486">
        <f t="shared" ca="1" si="51"/>
        <v>0</v>
      </c>
      <c r="CI21" s="1486">
        <f t="shared" ca="1" si="51"/>
        <v>0</v>
      </c>
      <c r="CJ21" s="1486">
        <f t="shared" ca="1" si="51"/>
        <v>0</v>
      </c>
      <c r="CK21" s="1486">
        <f t="shared" ca="1" si="51"/>
        <v>0</v>
      </c>
      <c r="CL21" s="1486">
        <f t="shared" ca="1" si="51"/>
        <v>0</v>
      </c>
      <c r="CM21" s="1486">
        <f t="shared" ca="1" si="51"/>
        <v>0</v>
      </c>
      <c r="CN21" s="1486">
        <f t="shared" ca="1" si="51"/>
        <v>0</v>
      </c>
      <c r="CO21" s="1486">
        <f t="shared" ca="1" si="51"/>
        <v>0</v>
      </c>
      <c r="CP21" s="1486">
        <f t="shared" ca="1" si="51"/>
        <v>0</v>
      </c>
      <c r="CQ21" s="1486">
        <f t="shared" ca="1" si="51"/>
        <v>0</v>
      </c>
      <c r="CR21" s="1486">
        <f t="shared" ca="1" si="51"/>
        <v>0</v>
      </c>
      <c r="CS21" s="1486">
        <f t="shared" ca="1" si="51"/>
        <v>0</v>
      </c>
      <c r="CT21" s="1486">
        <f t="shared" ca="1" si="51"/>
        <v>0</v>
      </c>
      <c r="CU21" s="1486">
        <f t="shared" ca="1" si="51"/>
        <v>0</v>
      </c>
      <c r="CV21" s="1486">
        <f t="shared" ca="1" si="51"/>
        <v>0</v>
      </c>
      <c r="CW21" s="1486">
        <f t="shared" ca="1" si="51"/>
        <v>0</v>
      </c>
      <c r="CX21" s="1486">
        <f t="shared" ca="1" si="51"/>
        <v>0</v>
      </c>
      <c r="CY21" s="1486">
        <f t="shared" ca="1" si="51"/>
        <v>0</v>
      </c>
      <c r="CZ21" s="1486">
        <f t="shared" ca="1" si="51"/>
        <v>0</v>
      </c>
      <c r="DA21" s="1486">
        <f t="shared" ca="1" si="51"/>
        <v>0</v>
      </c>
      <c r="DB21" s="1486">
        <f t="shared" ca="1" si="51"/>
        <v>0</v>
      </c>
      <c r="DC21" s="1486">
        <f t="shared" ca="1" si="51"/>
        <v>0</v>
      </c>
      <c r="DD21" s="1486">
        <f t="shared" ca="1" si="51"/>
        <v>0</v>
      </c>
      <c r="DE21" s="1486">
        <f t="shared" ca="1" si="51"/>
        <v>0</v>
      </c>
      <c r="DF21" s="1486">
        <f t="shared" ca="1" si="51"/>
        <v>0</v>
      </c>
      <c r="DH21" s="838">
        <f t="shared" ca="1" si="35"/>
        <v>93.298880762495742</v>
      </c>
    </row>
    <row r="22" spans="1:112" s="743" customFormat="1" ht="15.75" collapsed="1">
      <c r="A22" s="22"/>
      <c r="B22" s="753"/>
      <c r="C22" s="744" t="s">
        <v>678</v>
      </c>
      <c r="D22" s="517" t="str">
        <f>INDEX(Workstreams[Workstream], MATCH($C22, Workstreams[Code], 0))</f>
        <v>Industry</v>
      </c>
      <c r="E22" s="512"/>
      <c r="G22" s="1021">
        <f ca="1">G21</f>
        <v>0</v>
      </c>
      <c r="H22" s="1021">
        <f t="shared" ref="H22:P22" ca="1" si="52">H21</f>
        <v>0</v>
      </c>
      <c r="I22" s="1021">
        <f t="shared" ca="1" si="52"/>
        <v>411.16256567314912</v>
      </c>
      <c r="J22" s="1021">
        <f t="shared" ca="1" si="52"/>
        <v>0</v>
      </c>
      <c r="K22" s="1021">
        <f t="shared" ca="1" si="52"/>
        <v>0</v>
      </c>
      <c r="L22" s="1021">
        <f t="shared" ca="1" si="52"/>
        <v>0</v>
      </c>
      <c r="M22" s="1021">
        <f t="shared" ca="1" si="52"/>
        <v>0</v>
      </c>
      <c r="N22" s="1021">
        <f t="shared" ca="1" si="52"/>
        <v>0</v>
      </c>
      <c r="O22" s="1021">
        <f t="shared" ca="1" si="52"/>
        <v>0</v>
      </c>
      <c r="P22" s="1021">
        <f t="shared" ca="1" si="52"/>
        <v>0</v>
      </c>
      <c r="Q22" s="1021">
        <f ca="1">SUM(G22:P22)</f>
        <v>411.16256567314912</v>
      </c>
      <c r="S22" s="970">
        <f t="shared" ref="S22:Z22" ca="1" si="53">S21</f>
        <v>-115.0871896982415</v>
      </c>
      <c r="T22" s="970">
        <f t="shared" ca="1" si="53"/>
        <v>0</v>
      </c>
      <c r="U22" s="970">
        <f t="shared" ca="1" si="53"/>
        <v>-54.894239987253606</v>
      </c>
      <c r="V22" s="970">
        <f t="shared" ca="1" si="53"/>
        <v>-82.133198215891667</v>
      </c>
      <c r="W22" s="970">
        <f t="shared" ca="1" si="53"/>
        <v>-150.99084060276388</v>
      </c>
      <c r="X22" s="970">
        <f t="shared" ca="1" si="53"/>
        <v>0</v>
      </c>
      <c r="Y22" s="970">
        <f t="shared" ca="1" si="53"/>
        <v>0</v>
      </c>
      <c r="Z22" s="970">
        <f t="shared" ca="1" si="53"/>
        <v>0</v>
      </c>
      <c r="AA22" s="970">
        <f t="shared" ref="AA22:AJ22" ca="1" si="54">AA21</f>
        <v>0</v>
      </c>
      <c r="AB22" s="970">
        <f t="shared" ca="1" si="54"/>
        <v>-8.0570971689984745</v>
      </c>
      <c r="AC22" s="970">
        <f t="shared" ca="1" si="54"/>
        <v>0</v>
      </c>
      <c r="AD22" s="970">
        <f ca="1">AD21</f>
        <v>0</v>
      </c>
      <c r="AE22" s="970">
        <f ca="1">AE21</f>
        <v>0</v>
      </c>
      <c r="AF22" s="970">
        <f t="shared" ca="1" si="54"/>
        <v>0</v>
      </c>
      <c r="AG22" s="970">
        <f ca="1">AG21</f>
        <v>0</v>
      </c>
      <c r="AH22" s="970">
        <f ca="1">AH21</f>
        <v>0</v>
      </c>
      <c r="AI22" s="970">
        <f ca="1">AI21</f>
        <v>0</v>
      </c>
      <c r="AJ22" s="970">
        <f t="shared" ca="1" si="54"/>
        <v>0</v>
      </c>
      <c r="AK22" s="970">
        <f ca="1">SUM(S22:AJ22)</f>
        <v>-411.16256567314912</v>
      </c>
      <c r="AM22" s="976">
        <f t="shared" ref="AM22:BE22" ca="1" si="55">AM21</f>
        <v>0</v>
      </c>
      <c r="AN22" s="976">
        <f t="shared" ca="1" si="55"/>
        <v>0</v>
      </c>
      <c r="AO22" s="976">
        <f t="shared" ca="1" si="55"/>
        <v>0</v>
      </c>
      <c r="AP22" s="976">
        <f t="shared" ca="1" si="55"/>
        <v>0</v>
      </c>
      <c r="AQ22" s="976">
        <f t="shared" ca="1" si="55"/>
        <v>0</v>
      </c>
      <c r="AR22" s="976">
        <f t="shared" ca="1" si="55"/>
        <v>0</v>
      </c>
      <c r="AS22" s="976">
        <f t="shared" ca="1" si="55"/>
        <v>0</v>
      </c>
      <c r="AT22" s="976">
        <f t="shared" ca="1" si="55"/>
        <v>0</v>
      </c>
      <c r="AU22" s="976">
        <f t="shared" ca="1" si="55"/>
        <v>0</v>
      </c>
      <c r="AV22" s="976">
        <f t="shared" ca="1" si="55"/>
        <v>0</v>
      </c>
      <c r="AW22" s="976">
        <f t="shared" ca="1" si="55"/>
        <v>0</v>
      </c>
      <c r="AX22" s="976">
        <f t="shared" ca="1" si="55"/>
        <v>0</v>
      </c>
      <c r="AY22" s="976">
        <f t="shared" ca="1" si="55"/>
        <v>0</v>
      </c>
      <c r="AZ22" s="976">
        <f t="shared" ca="1" si="55"/>
        <v>0</v>
      </c>
      <c r="BA22" s="976">
        <f t="shared" ca="1" si="55"/>
        <v>0</v>
      </c>
      <c r="BB22" s="976">
        <f t="shared" ca="1" si="55"/>
        <v>0</v>
      </c>
      <c r="BC22" s="976">
        <f t="shared" ca="1" si="55"/>
        <v>0</v>
      </c>
      <c r="BD22" s="976">
        <f t="shared" ca="1" si="55"/>
        <v>0</v>
      </c>
      <c r="BE22" s="976">
        <f t="shared" ca="1" si="55"/>
        <v>0</v>
      </c>
      <c r="BF22" s="976">
        <f ca="1">SUM(AM22:BE22)</f>
        <v>0</v>
      </c>
      <c r="BH22" s="990">
        <f ca="1">BH21</f>
        <v>0</v>
      </c>
      <c r="BI22" s="990">
        <f ca="1">BI21</f>
        <v>0</v>
      </c>
      <c r="BJ22" s="990">
        <f ca="1">SUM(BH22:BI22)</f>
        <v>0</v>
      </c>
      <c r="BL22" s="515">
        <f t="shared" ca="1" si="9"/>
        <v>0</v>
      </c>
      <c r="BM22" s="515"/>
      <c r="BN22" s="840"/>
      <c r="BO22" s="1482">
        <f t="shared" ref="BO22:DF22" ca="1" si="56">BO21</f>
        <v>65.223040140955575</v>
      </c>
      <c r="BP22" s="1482">
        <f t="shared" ca="1" si="56"/>
        <v>0.13092103698678917</v>
      </c>
      <c r="BQ22" s="1482">
        <f t="shared" ca="1" si="56"/>
        <v>0.57910729192700316</v>
      </c>
      <c r="BR22" s="1482">
        <f t="shared" ca="1" si="56"/>
        <v>0</v>
      </c>
      <c r="BS22" s="1482">
        <f t="shared" ca="1" si="56"/>
        <v>0</v>
      </c>
      <c r="BT22" s="1482">
        <f t="shared" ca="1" si="56"/>
        <v>0</v>
      </c>
      <c r="BU22" s="1482">
        <f t="shared" ca="1" si="56"/>
        <v>0</v>
      </c>
      <c r="BV22" s="1482">
        <f t="shared" ca="1" si="56"/>
        <v>0</v>
      </c>
      <c r="BW22" s="1482">
        <f t="shared" ca="1" si="56"/>
        <v>14.397000891205074</v>
      </c>
      <c r="BX22" s="1482">
        <f t="shared" ca="1" si="56"/>
        <v>0.11259095901293661</v>
      </c>
      <c r="BY22" s="1482">
        <f t="shared" ca="1" si="56"/>
        <v>2.762245156954338</v>
      </c>
      <c r="BZ22" s="1482">
        <f t="shared" ca="1" si="56"/>
        <v>10.093975285454039</v>
      </c>
      <c r="CA22" s="1482">
        <f t="shared" ca="1" si="56"/>
        <v>0</v>
      </c>
      <c r="CB22" s="1482">
        <f t="shared" ca="1" si="56"/>
        <v>0</v>
      </c>
      <c r="CC22" s="1482">
        <f t="shared" ca="1" si="56"/>
        <v>0</v>
      </c>
      <c r="CD22" s="1482">
        <f t="shared" ca="1" si="56"/>
        <v>0</v>
      </c>
      <c r="CE22" s="1482">
        <f t="shared" ca="1" si="56"/>
        <v>0</v>
      </c>
      <c r="CF22" s="1482">
        <f t="shared" ca="1" si="56"/>
        <v>0</v>
      </c>
      <c r="CG22" s="1482">
        <f t="shared" ca="1" si="56"/>
        <v>0</v>
      </c>
      <c r="CH22" s="1482">
        <f t="shared" ca="1" si="56"/>
        <v>0</v>
      </c>
      <c r="CI22" s="1482">
        <f t="shared" ca="1" si="56"/>
        <v>0</v>
      </c>
      <c r="CJ22" s="1482">
        <f t="shared" ca="1" si="56"/>
        <v>0</v>
      </c>
      <c r="CK22" s="1482">
        <f t="shared" ca="1" si="56"/>
        <v>0</v>
      </c>
      <c r="CL22" s="1482">
        <f t="shared" ca="1" si="56"/>
        <v>0</v>
      </c>
      <c r="CM22" s="1482">
        <f t="shared" ca="1" si="56"/>
        <v>0</v>
      </c>
      <c r="CN22" s="1482">
        <f t="shared" ca="1" si="56"/>
        <v>0</v>
      </c>
      <c r="CO22" s="1482">
        <f t="shared" ca="1" si="56"/>
        <v>0</v>
      </c>
      <c r="CP22" s="1482">
        <f t="shared" ca="1" si="56"/>
        <v>0</v>
      </c>
      <c r="CQ22" s="1482">
        <f t="shared" ca="1" si="56"/>
        <v>0</v>
      </c>
      <c r="CR22" s="1482">
        <f t="shared" ca="1" si="56"/>
        <v>0</v>
      </c>
      <c r="CS22" s="1482">
        <f t="shared" ca="1" si="56"/>
        <v>0</v>
      </c>
      <c r="CT22" s="1482">
        <f t="shared" ca="1" si="56"/>
        <v>0</v>
      </c>
      <c r="CU22" s="1482">
        <f t="shared" ca="1" si="56"/>
        <v>0</v>
      </c>
      <c r="CV22" s="1482">
        <f t="shared" ca="1" si="56"/>
        <v>0</v>
      </c>
      <c r="CW22" s="1482">
        <f t="shared" ca="1" si="56"/>
        <v>0</v>
      </c>
      <c r="CX22" s="1482">
        <f t="shared" ca="1" si="56"/>
        <v>0</v>
      </c>
      <c r="CY22" s="1482">
        <f t="shared" ca="1" si="56"/>
        <v>0</v>
      </c>
      <c r="CZ22" s="1482">
        <f t="shared" ca="1" si="56"/>
        <v>0</v>
      </c>
      <c r="DA22" s="1482">
        <f t="shared" ca="1" si="56"/>
        <v>0</v>
      </c>
      <c r="DB22" s="1482">
        <f t="shared" ca="1" si="56"/>
        <v>0</v>
      </c>
      <c r="DC22" s="1482">
        <f t="shared" ca="1" si="56"/>
        <v>0</v>
      </c>
      <c r="DD22" s="1482">
        <f t="shared" ca="1" si="56"/>
        <v>0</v>
      </c>
      <c r="DE22" s="1482">
        <f t="shared" ca="1" si="56"/>
        <v>0</v>
      </c>
      <c r="DF22" s="1482">
        <f t="shared" ca="1" si="56"/>
        <v>0</v>
      </c>
      <c r="DH22" s="838">
        <f t="shared" ca="1" si="35"/>
        <v>93.298880762495742</v>
      </c>
    </row>
    <row r="23" spans="1:112" s="743" customFormat="1" ht="12.75" hidden="1" customHeight="1" outlineLevel="1">
      <c r="A23" s="22"/>
      <c r="B23" s="22"/>
      <c r="C23" s="751"/>
      <c r="D23" s="512"/>
      <c r="E23" s="512"/>
      <c r="G23" s="1021"/>
      <c r="H23" s="1021"/>
      <c r="I23" s="1021"/>
      <c r="J23" s="1021"/>
      <c r="K23" s="1021"/>
      <c r="L23" s="1021"/>
      <c r="M23" s="1021"/>
      <c r="N23" s="1021"/>
      <c r="O23" s="1021"/>
      <c r="P23" s="1021"/>
      <c r="Q23" s="1021"/>
      <c r="S23" s="970"/>
      <c r="T23" s="970"/>
      <c r="U23" s="970"/>
      <c r="V23" s="970"/>
      <c r="W23" s="970"/>
      <c r="X23" s="970"/>
      <c r="Y23" s="970"/>
      <c r="Z23" s="970"/>
      <c r="AA23" s="970"/>
      <c r="AB23" s="970"/>
      <c r="AC23" s="970"/>
      <c r="AD23" s="970"/>
      <c r="AE23" s="970"/>
      <c r="AF23" s="970"/>
      <c r="AG23" s="970"/>
      <c r="AH23" s="970"/>
      <c r="AI23" s="970"/>
      <c r="AJ23" s="970"/>
      <c r="AK23" s="970"/>
      <c r="AM23" s="976"/>
      <c r="AN23" s="976"/>
      <c r="AO23" s="976"/>
      <c r="AP23" s="976"/>
      <c r="AQ23" s="976"/>
      <c r="AR23" s="976"/>
      <c r="AS23" s="976"/>
      <c r="AT23" s="976"/>
      <c r="AU23" s="976"/>
      <c r="AV23" s="976"/>
      <c r="AW23" s="976"/>
      <c r="AX23" s="976"/>
      <c r="AY23" s="976"/>
      <c r="AZ23" s="976"/>
      <c r="BA23" s="976"/>
      <c r="BB23" s="976"/>
      <c r="BC23" s="976"/>
      <c r="BD23" s="976"/>
      <c r="BE23" s="976"/>
      <c r="BF23" s="976"/>
      <c r="BH23" s="990"/>
      <c r="BI23" s="990"/>
      <c r="BJ23" s="990"/>
      <c r="BL23" s="515">
        <f t="shared" si="9"/>
        <v>0</v>
      </c>
      <c r="BM23" s="515"/>
      <c r="BN23" s="22"/>
      <c r="BO23" s="1482"/>
      <c r="BP23" s="1482"/>
      <c r="BQ23" s="1482"/>
      <c r="BR23" s="1482"/>
      <c r="BS23" s="1482"/>
      <c r="BT23" s="1482"/>
      <c r="BU23" s="1482"/>
      <c r="BV23" s="1482"/>
      <c r="BW23" s="1482"/>
      <c r="BX23" s="1482"/>
      <c r="BY23" s="1482"/>
      <c r="BZ23" s="1482"/>
      <c r="CA23" s="1482"/>
      <c r="CB23" s="1482"/>
      <c r="CC23" s="1482"/>
      <c r="CD23" s="1482"/>
      <c r="CE23" s="1482"/>
      <c r="CF23" s="1482"/>
      <c r="CG23" s="1482"/>
      <c r="CH23" s="1482"/>
      <c r="CI23" s="1482"/>
      <c r="CJ23" s="1482"/>
      <c r="CK23" s="1482"/>
      <c r="CL23" s="1482"/>
      <c r="CM23" s="1482"/>
      <c r="CN23" s="1482"/>
      <c r="CO23" s="1482"/>
      <c r="CP23" s="1482"/>
      <c r="CQ23" s="1482"/>
      <c r="CR23" s="1482"/>
      <c r="CS23" s="1482"/>
      <c r="CT23" s="1482"/>
      <c r="CU23" s="1482"/>
      <c r="CV23" s="1482"/>
      <c r="CW23" s="1482"/>
      <c r="CX23" s="1482"/>
      <c r="CY23" s="1482"/>
      <c r="CZ23" s="1482"/>
      <c r="DA23" s="1482"/>
      <c r="DB23" s="1482"/>
      <c r="DC23" s="1482"/>
      <c r="DD23" s="1482"/>
      <c r="DE23" s="1482"/>
      <c r="DF23" s="1482"/>
      <c r="DH23" s="838">
        <f t="shared" si="35"/>
        <v>0</v>
      </c>
    </row>
    <row r="24" spans="1:112" s="743" customFormat="1" ht="12.75" hidden="1" customHeight="1" outlineLevel="1">
      <c r="A24" s="1484"/>
      <c r="B24" s="1484"/>
      <c r="C24" s="746" t="s">
        <v>903</v>
      </c>
      <c r="D24" s="523" t="str">
        <f>INDEX(Modules[Module], MATCH($C24, Modules[Code], 0))</f>
        <v>Domestic passenger transport</v>
      </c>
      <c r="E24" s="1006"/>
      <c r="G24" s="1017">
        <f t="shared" ref="G24:P27" ca="1" si="57">IFERROR(INDEX(INDIRECT($C24&amp;".Outputs["&amp;this.Year&amp;"]"), MATCH(G$5, INDIRECT($C24&amp;".Outputs[Vector]"), 0)), 0)</f>
        <v>0</v>
      </c>
      <c r="H24" s="1017">
        <f t="shared" ca="1" si="57"/>
        <v>0</v>
      </c>
      <c r="I24" s="1017">
        <f t="shared" ca="1" si="57"/>
        <v>0</v>
      </c>
      <c r="J24" s="1017">
        <f t="shared" ca="1" si="57"/>
        <v>378.06274186938907</v>
      </c>
      <c r="K24" s="1017">
        <f t="shared" ca="1" si="57"/>
        <v>15.28108439392685</v>
      </c>
      <c r="L24" s="1017">
        <f t="shared" ca="1" si="57"/>
        <v>9.5510973295169013</v>
      </c>
      <c r="M24" s="1017">
        <f t="shared" ca="1" si="57"/>
        <v>0</v>
      </c>
      <c r="N24" s="1017">
        <f t="shared" ca="1" si="57"/>
        <v>0</v>
      </c>
      <c r="O24" s="1017">
        <f t="shared" ca="1" si="57"/>
        <v>0</v>
      </c>
      <c r="P24" s="1017">
        <f t="shared" ca="1" si="57"/>
        <v>0</v>
      </c>
      <c r="Q24" s="1019">
        <f ca="1">SUM(G24:P24)</f>
        <v>402.89492359283281</v>
      </c>
      <c r="S24" s="1026">
        <f t="shared" ref="S24:BE30" ca="1" si="58">IFERROR(INDEX(INDIRECT($C24&amp;".Outputs["&amp;this.Year&amp;"]"), MATCH(S$5, INDIRECT($C24&amp;".Outputs[Vector]"), 0)), 0)</f>
        <v>-8.0814401219909158</v>
      </c>
      <c r="T24" s="1026">
        <f t="shared" ca="1" si="58"/>
        <v>0</v>
      </c>
      <c r="U24" s="1026">
        <f t="shared" ca="1" si="58"/>
        <v>0</v>
      </c>
      <c r="V24" s="1026">
        <f t="shared" ca="1" si="58"/>
        <v>-394.8134834708419</v>
      </c>
      <c r="W24" s="1026">
        <f t="shared" ca="1" si="58"/>
        <v>0</v>
      </c>
      <c r="X24" s="1026">
        <f t="shared" ref="X24:Z27" ca="1" si="59">IFERROR(INDEX(INDIRECT($C24&amp;".Outputs["&amp;this.Year&amp;"]"), MATCH(X$5, INDIRECT($C24&amp;".Outputs[Vector]"), 0)), 0)</f>
        <v>0</v>
      </c>
      <c r="Y24" s="1026">
        <f t="shared" ca="1" si="59"/>
        <v>0</v>
      </c>
      <c r="Z24" s="1026">
        <f t="shared" ca="1" si="59"/>
        <v>0</v>
      </c>
      <c r="AA24" s="1026">
        <f t="shared" ca="1" si="58"/>
        <v>0</v>
      </c>
      <c r="AB24" s="1026">
        <f t="shared" ca="1" si="58"/>
        <v>0</v>
      </c>
      <c r="AC24" s="1026">
        <f t="shared" ca="1" si="58"/>
        <v>0</v>
      </c>
      <c r="AD24" s="1026">
        <f t="shared" ca="1" si="58"/>
        <v>0</v>
      </c>
      <c r="AE24" s="1026">
        <f t="shared" ca="1" si="58"/>
        <v>0</v>
      </c>
      <c r="AF24" s="1026">
        <f t="shared" ca="1" si="58"/>
        <v>0</v>
      </c>
      <c r="AG24" s="1026">
        <f t="shared" ca="1" si="58"/>
        <v>0</v>
      </c>
      <c r="AH24" s="1026">
        <f t="shared" ca="1" si="58"/>
        <v>0</v>
      </c>
      <c r="AI24" s="1026">
        <f t="shared" ca="1" si="58"/>
        <v>0</v>
      </c>
      <c r="AJ24" s="1026">
        <f t="shared" ca="1" si="58"/>
        <v>0</v>
      </c>
      <c r="AK24" s="1027">
        <f t="shared" ref="AK24:AK32" ca="1" si="60">SUM(S24:AJ24)</f>
        <v>-402.89492359283281</v>
      </c>
      <c r="AM24" s="1038">
        <f t="shared" ref="AM24:AU27" ca="1" si="61">IFERROR(INDEX(INDIRECT($C24&amp;".Outputs["&amp;this.Year&amp;"]"), MATCH(AM$5, INDIRECT($C24&amp;".Outputs[Vector]"), 0)), 0)</f>
        <v>0</v>
      </c>
      <c r="AN24" s="1038">
        <f t="shared" ca="1" si="61"/>
        <v>0</v>
      </c>
      <c r="AO24" s="1038">
        <f t="shared" ca="1" si="61"/>
        <v>0</v>
      </c>
      <c r="AP24" s="1038">
        <f t="shared" ca="1" si="61"/>
        <v>0</v>
      </c>
      <c r="AQ24" s="1038">
        <f t="shared" ca="1" si="61"/>
        <v>0</v>
      </c>
      <c r="AR24" s="1038">
        <f t="shared" ca="1" si="61"/>
        <v>0</v>
      </c>
      <c r="AS24" s="1038">
        <f t="shared" ca="1" si="61"/>
        <v>0</v>
      </c>
      <c r="AT24" s="1038">
        <f t="shared" ca="1" si="61"/>
        <v>0</v>
      </c>
      <c r="AU24" s="1038">
        <f t="shared" ca="1" si="61"/>
        <v>0</v>
      </c>
      <c r="AV24" s="1038">
        <f t="shared" ca="1" si="58"/>
        <v>0</v>
      </c>
      <c r="AW24" s="1038">
        <f t="shared" ca="1" si="58"/>
        <v>0</v>
      </c>
      <c r="AX24" s="1038">
        <f t="shared" ca="1" si="58"/>
        <v>0</v>
      </c>
      <c r="AY24" s="1038">
        <f t="shared" ca="1" si="58"/>
        <v>0</v>
      </c>
      <c r="AZ24" s="1038">
        <f t="shared" ca="1" si="58"/>
        <v>0</v>
      </c>
      <c r="BA24" s="1038">
        <f t="shared" ca="1" si="58"/>
        <v>0</v>
      </c>
      <c r="BB24" s="1038">
        <f t="shared" ca="1" si="58"/>
        <v>0</v>
      </c>
      <c r="BC24" s="1038">
        <f t="shared" ca="1" si="58"/>
        <v>0</v>
      </c>
      <c r="BD24" s="1038">
        <f t="shared" ca="1" si="58"/>
        <v>0</v>
      </c>
      <c r="BE24" s="1038">
        <f t="shared" ca="1" si="58"/>
        <v>0</v>
      </c>
      <c r="BF24" s="979">
        <f t="shared" ref="BF24:BF32" ca="1" si="62">SUM(AM24:BE24)</f>
        <v>0</v>
      </c>
      <c r="BH24" s="1032">
        <f t="shared" ref="BH24:BI30" ca="1" si="63">IFERROR(INDEX(INDIRECT($C24&amp;".Outputs["&amp;this.Year&amp;"]"), MATCH(BH$5, INDIRECT($C24&amp;".Outputs[Vector]"), 0)), 0)</f>
        <v>0</v>
      </c>
      <c r="BI24" s="1032">
        <f t="shared" ca="1" si="63"/>
        <v>0</v>
      </c>
      <c r="BJ24" s="1034">
        <f t="shared" ref="BJ24:BJ32" ca="1" si="64">SUM(BH24:BI24)</f>
        <v>0</v>
      </c>
      <c r="BL24" s="814">
        <f t="shared" ca="1" si="9"/>
        <v>0</v>
      </c>
      <c r="BM24" s="814"/>
      <c r="BN24" s="840"/>
      <c r="BO24" s="1481">
        <f t="shared" ref="BO24:BX27" ca="1" si="65">IFERROR(SUMIFS(INDIRECT($C24&amp;".Emissions["&amp;this.Year&amp;"]"), INDIRECT($C24&amp;".Emissions[GHG]"), BO$6, INDIRECT($C24&amp;".Emissions[IPCC Sector]"), BO$5),0)</f>
        <v>98.703370867710476</v>
      </c>
      <c r="BP24" s="1482">
        <f t="shared" ca="1" si="65"/>
        <v>0.12288530707395201</v>
      </c>
      <c r="BQ24" s="1482">
        <f t="shared" ca="1" si="65"/>
        <v>1.7758758940627088</v>
      </c>
      <c r="BR24" s="1482">
        <f t="shared" ca="1" si="65"/>
        <v>0</v>
      </c>
      <c r="BS24" s="1482">
        <f t="shared" ca="1" si="65"/>
        <v>0</v>
      </c>
      <c r="BT24" s="1482">
        <f t="shared" ca="1" si="65"/>
        <v>0</v>
      </c>
      <c r="BU24" s="1482">
        <f t="shared" ca="1" si="65"/>
        <v>0</v>
      </c>
      <c r="BV24" s="1482">
        <f t="shared" ca="1" si="65"/>
        <v>0</v>
      </c>
      <c r="BW24" s="1482">
        <f t="shared" ca="1" si="65"/>
        <v>0</v>
      </c>
      <c r="BX24" s="1482">
        <f t="shared" ca="1" si="65"/>
        <v>0</v>
      </c>
      <c r="BY24" s="1482">
        <f t="shared" ref="BY24:CH27" ca="1" si="66">IFERROR(SUMIFS(INDIRECT($C24&amp;".Emissions["&amp;this.Year&amp;"]"), INDIRECT($C24&amp;".Emissions[GHG]"), BY$6, INDIRECT($C24&amp;".Emissions[IPCC Sector]"), BY$5),0)</f>
        <v>0</v>
      </c>
      <c r="BZ24" s="1482">
        <f t="shared" ca="1" si="66"/>
        <v>0</v>
      </c>
      <c r="CA24" s="1482">
        <f t="shared" ca="1" si="66"/>
        <v>0</v>
      </c>
      <c r="CB24" s="1482">
        <f t="shared" ca="1" si="66"/>
        <v>0</v>
      </c>
      <c r="CC24" s="1482">
        <f t="shared" ca="1" si="66"/>
        <v>0</v>
      </c>
      <c r="CD24" s="1482">
        <f t="shared" ca="1" si="66"/>
        <v>0</v>
      </c>
      <c r="CE24" s="1482">
        <f t="shared" ca="1" si="66"/>
        <v>0</v>
      </c>
      <c r="CF24" s="1482">
        <f t="shared" ca="1" si="66"/>
        <v>0</v>
      </c>
      <c r="CG24" s="1482">
        <f t="shared" ca="1" si="66"/>
        <v>0</v>
      </c>
      <c r="CH24" s="1482">
        <f t="shared" ca="1" si="66"/>
        <v>0</v>
      </c>
      <c r="CI24" s="1482">
        <f t="shared" ref="CI24:CR27" ca="1" si="67">IFERROR(SUMIFS(INDIRECT($C24&amp;".Emissions["&amp;this.Year&amp;"]"), INDIRECT($C24&amp;".Emissions[GHG]"), CI$6, INDIRECT($C24&amp;".Emissions[IPCC Sector]"), CI$5),0)</f>
        <v>0</v>
      </c>
      <c r="CJ24" s="1482">
        <f t="shared" ca="1" si="67"/>
        <v>0</v>
      </c>
      <c r="CK24" s="1482">
        <f t="shared" ca="1" si="67"/>
        <v>0</v>
      </c>
      <c r="CL24" s="1482">
        <f t="shared" ca="1" si="67"/>
        <v>0</v>
      </c>
      <c r="CM24" s="1482">
        <f t="shared" ca="1" si="67"/>
        <v>0</v>
      </c>
      <c r="CN24" s="1482">
        <f t="shared" ca="1" si="67"/>
        <v>0</v>
      </c>
      <c r="CO24" s="1482">
        <f t="shared" ca="1" si="67"/>
        <v>0</v>
      </c>
      <c r="CP24" s="1482">
        <f t="shared" ca="1" si="67"/>
        <v>0</v>
      </c>
      <c r="CQ24" s="1482">
        <f t="shared" ca="1" si="67"/>
        <v>0</v>
      </c>
      <c r="CR24" s="1482">
        <f t="shared" ca="1" si="67"/>
        <v>0</v>
      </c>
      <c r="CS24" s="1482">
        <f t="shared" ref="CS24:DF27" ca="1" si="68">IFERROR(SUMIFS(INDIRECT($C24&amp;".Emissions["&amp;this.Year&amp;"]"), INDIRECT($C24&amp;".Emissions[GHG]"), CS$6, INDIRECT($C24&amp;".Emissions[IPCC Sector]"), CS$5),0)</f>
        <v>0</v>
      </c>
      <c r="CT24" s="1482">
        <f t="shared" ca="1" si="68"/>
        <v>0</v>
      </c>
      <c r="CU24" s="1482">
        <f t="shared" ca="1" si="68"/>
        <v>0</v>
      </c>
      <c r="CV24" s="1482">
        <f t="shared" ca="1" si="68"/>
        <v>0</v>
      </c>
      <c r="CW24" s="1482">
        <f t="shared" ca="1" si="68"/>
        <v>0</v>
      </c>
      <c r="CX24" s="1482">
        <f t="shared" ca="1" si="68"/>
        <v>0</v>
      </c>
      <c r="CY24" s="1482">
        <f t="shared" ca="1" si="68"/>
        <v>0</v>
      </c>
      <c r="CZ24" s="1482">
        <f t="shared" ca="1" si="68"/>
        <v>0</v>
      </c>
      <c r="DA24" s="1482">
        <f t="shared" ca="1" si="68"/>
        <v>0</v>
      </c>
      <c r="DB24" s="1482">
        <f t="shared" ca="1" si="68"/>
        <v>0</v>
      </c>
      <c r="DC24" s="1482">
        <f t="shared" ca="1" si="68"/>
        <v>0</v>
      </c>
      <c r="DD24" s="1482">
        <f t="shared" ca="1" si="68"/>
        <v>0</v>
      </c>
      <c r="DE24" s="1482">
        <f t="shared" ca="1" si="68"/>
        <v>0</v>
      </c>
      <c r="DF24" s="1482">
        <f t="shared" ca="1" si="68"/>
        <v>0</v>
      </c>
      <c r="DH24" s="838">
        <f t="shared" ca="1" si="35"/>
        <v>100.60213206884714</v>
      </c>
    </row>
    <row r="25" spans="1:112" s="743" customFormat="1" ht="12.75" hidden="1" customHeight="1" outlineLevel="1">
      <c r="A25" s="1484"/>
      <c r="B25" s="1484"/>
      <c r="C25" s="746" t="s">
        <v>916</v>
      </c>
      <c r="D25" s="523" t="str">
        <f>INDEX(Modules[Module], MATCH($C25, Modules[Code], 0))</f>
        <v>Domestic freight</v>
      </c>
      <c r="E25" s="1006"/>
      <c r="G25" s="1017">
        <f t="shared" ca="1" si="57"/>
        <v>0</v>
      </c>
      <c r="H25" s="1017">
        <f t="shared" ca="1" si="57"/>
        <v>0</v>
      </c>
      <c r="I25" s="1017">
        <f t="shared" ca="1" si="57"/>
        <v>0</v>
      </c>
      <c r="J25" s="1017">
        <f t="shared" ca="1" si="57"/>
        <v>92.224287856400082</v>
      </c>
      <c r="K25" s="1017">
        <f t="shared" ca="1" si="57"/>
        <v>2.443403009406389</v>
      </c>
      <c r="L25" s="1017">
        <f t="shared" ca="1" si="57"/>
        <v>0</v>
      </c>
      <c r="M25" s="1017">
        <f t="shared" ca="1" si="57"/>
        <v>26.572895707388618</v>
      </c>
      <c r="N25" s="1017">
        <f t="shared" ca="1" si="57"/>
        <v>0</v>
      </c>
      <c r="O25" s="1017">
        <f t="shared" ca="1" si="57"/>
        <v>0</v>
      </c>
      <c r="P25" s="1017">
        <f t="shared" ca="1" si="57"/>
        <v>0</v>
      </c>
      <c r="Q25" s="1019">
        <f ca="1">SUM(G25:P25)</f>
        <v>121.24058657319509</v>
      </c>
      <c r="S25" s="1026">
        <f t="shared" ca="1" si="58"/>
        <v>-0.10259599185085001</v>
      </c>
      <c r="T25" s="1026">
        <f t="shared" ca="1" si="58"/>
        <v>0</v>
      </c>
      <c r="U25" s="1026">
        <f t="shared" ca="1" si="58"/>
        <v>0</v>
      </c>
      <c r="V25" s="1026">
        <f t="shared" ca="1" si="58"/>
        <v>-121.13799058134424</v>
      </c>
      <c r="W25" s="1026">
        <f t="shared" ca="1" si="58"/>
        <v>0</v>
      </c>
      <c r="X25" s="1026">
        <f t="shared" ca="1" si="59"/>
        <v>0</v>
      </c>
      <c r="Y25" s="1026">
        <f t="shared" ca="1" si="59"/>
        <v>0</v>
      </c>
      <c r="Z25" s="1026">
        <f t="shared" ca="1" si="59"/>
        <v>0</v>
      </c>
      <c r="AA25" s="1026">
        <f t="shared" ca="1" si="58"/>
        <v>0</v>
      </c>
      <c r="AB25" s="1026">
        <f t="shared" ca="1" si="58"/>
        <v>0</v>
      </c>
      <c r="AC25" s="1026">
        <f t="shared" ca="1" si="58"/>
        <v>0</v>
      </c>
      <c r="AD25" s="1026">
        <f t="shared" ca="1" si="58"/>
        <v>0</v>
      </c>
      <c r="AE25" s="1026">
        <f t="shared" ca="1" si="58"/>
        <v>0</v>
      </c>
      <c r="AF25" s="1026">
        <f t="shared" ca="1" si="58"/>
        <v>0</v>
      </c>
      <c r="AG25" s="1026">
        <f t="shared" ca="1" si="58"/>
        <v>0</v>
      </c>
      <c r="AH25" s="1026">
        <f t="shared" ca="1" si="58"/>
        <v>0</v>
      </c>
      <c r="AI25" s="1026">
        <f t="shared" ca="1" si="58"/>
        <v>0</v>
      </c>
      <c r="AJ25" s="1026">
        <f t="shared" ca="1" si="58"/>
        <v>0</v>
      </c>
      <c r="AK25" s="1027">
        <f t="shared" ca="1" si="60"/>
        <v>-121.24058657319509</v>
      </c>
      <c r="AM25" s="1038">
        <f t="shared" ca="1" si="61"/>
        <v>0</v>
      </c>
      <c r="AN25" s="1038">
        <f t="shared" ca="1" si="61"/>
        <v>0</v>
      </c>
      <c r="AO25" s="1038">
        <f t="shared" ca="1" si="61"/>
        <v>0</v>
      </c>
      <c r="AP25" s="1038">
        <f t="shared" ca="1" si="61"/>
        <v>0</v>
      </c>
      <c r="AQ25" s="1038">
        <f t="shared" ca="1" si="61"/>
        <v>0</v>
      </c>
      <c r="AR25" s="1038">
        <f t="shared" ca="1" si="61"/>
        <v>0</v>
      </c>
      <c r="AS25" s="1038">
        <f t="shared" ca="1" si="61"/>
        <v>0</v>
      </c>
      <c r="AT25" s="1038">
        <f t="shared" ca="1" si="61"/>
        <v>0</v>
      </c>
      <c r="AU25" s="1038">
        <f t="shared" ca="1" si="61"/>
        <v>0</v>
      </c>
      <c r="AV25" s="1038">
        <f t="shared" ca="1" si="58"/>
        <v>0</v>
      </c>
      <c r="AW25" s="1038">
        <f t="shared" ca="1" si="58"/>
        <v>0</v>
      </c>
      <c r="AX25" s="1038">
        <f t="shared" ca="1" si="58"/>
        <v>0</v>
      </c>
      <c r="AY25" s="1038">
        <f t="shared" ca="1" si="58"/>
        <v>0</v>
      </c>
      <c r="AZ25" s="1038">
        <f t="shared" ca="1" si="58"/>
        <v>0</v>
      </c>
      <c r="BA25" s="1038">
        <f t="shared" ca="1" si="58"/>
        <v>0</v>
      </c>
      <c r="BB25" s="1038">
        <f t="shared" ca="1" si="58"/>
        <v>0</v>
      </c>
      <c r="BC25" s="1038">
        <f t="shared" ca="1" si="58"/>
        <v>0</v>
      </c>
      <c r="BD25" s="1038">
        <f t="shared" ca="1" si="58"/>
        <v>0</v>
      </c>
      <c r="BE25" s="1038">
        <f t="shared" ca="1" si="58"/>
        <v>0</v>
      </c>
      <c r="BF25" s="979">
        <f t="shared" ca="1" si="62"/>
        <v>0</v>
      </c>
      <c r="BH25" s="1032">
        <f t="shared" ca="1" si="63"/>
        <v>0</v>
      </c>
      <c r="BI25" s="1032">
        <f t="shared" ca="1" si="63"/>
        <v>0</v>
      </c>
      <c r="BJ25" s="1034">
        <f t="shared" ca="1" si="64"/>
        <v>0</v>
      </c>
      <c r="BL25" s="814">
        <f t="shared" ca="1" si="9"/>
        <v>0</v>
      </c>
      <c r="BM25" s="814"/>
      <c r="BN25" s="840"/>
      <c r="BO25" s="1481">
        <f t="shared" ca="1" si="65"/>
        <v>30.28449764533606</v>
      </c>
      <c r="BP25" s="1482">
        <f t="shared" ca="1" si="65"/>
        <v>3.7704080012782477E-2</v>
      </c>
      <c r="BQ25" s="1482">
        <f t="shared" ca="1" si="65"/>
        <v>0.54488016832001729</v>
      </c>
      <c r="BR25" s="1482">
        <f t="shared" ca="1" si="65"/>
        <v>0</v>
      </c>
      <c r="BS25" s="1482">
        <f t="shared" ca="1" si="65"/>
        <v>0</v>
      </c>
      <c r="BT25" s="1482">
        <f t="shared" ca="1" si="65"/>
        <v>0</v>
      </c>
      <c r="BU25" s="1482">
        <f t="shared" ca="1" si="65"/>
        <v>0</v>
      </c>
      <c r="BV25" s="1482">
        <f t="shared" ca="1" si="65"/>
        <v>0</v>
      </c>
      <c r="BW25" s="1482">
        <f t="shared" ca="1" si="65"/>
        <v>0</v>
      </c>
      <c r="BX25" s="1482">
        <f t="shared" ca="1" si="65"/>
        <v>0</v>
      </c>
      <c r="BY25" s="1482">
        <f t="shared" ca="1" si="66"/>
        <v>0</v>
      </c>
      <c r="BZ25" s="1482">
        <f t="shared" ca="1" si="66"/>
        <v>0</v>
      </c>
      <c r="CA25" s="1482">
        <f t="shared" ca="1" si="66"/>
        <v>0</v>
      </c>
      <c r="CB25" s="1482">
        <f t="shared" ca="1" si="66"/>
        <v>0</v>
      </c>
      <c r="CC25" s="1482">
        <f t="shared" ca="1" si="66"/>
        <v>0</v>
      </c>
      <c r="CD25" s="1482">
        <f t="shared" ca="1" si="66"/>
        <v>0</v>
      </c>
      <c r="CE25" s="1482">
        <f t="shared" ca="1" si="66"/>
        <v>0</v>
      </c>
      <c r="CF25" s="1482">
        <f t="shared" ca="1" si="66"/>
        <v>0</v>
      </c>
      <c r="CG25" s="1482">
        <f t="shared" ca="1" si="66"/>
        <v>0</v>
      </c>
      <c r="CH25" s="1482">
        <f t="shared" ca="1" si="66"/>
        <v>0</v>
      </c>
      <c r="CI25" s="1482">
        <f t="shared" ca="1" si="67"/>
        <v>0</v>
      </c>
      <c r="CJ25" s="1482">
        <f t="shared" ca="1" si="67"/>
        <v>0</v>
      </c>
      <c r="CK25" s="1482">
        <f t="shared" ca="1" si="67"/>
        <v>0</v>
      </c>
      <c r="CL25" s="1482">
        <f t="shared" ca="1" si="67"/>
        <v>0</v>
      </c>
      <c r="CM25" s="1482">
        <f t="shared" ca="1" si="67"/>
        <v>0</v>
      </c>
      <c r="CN25" s="1482">
        <f t="shared" ca="1" si="67"/>
        <v>0</v>
      </c>
      <c r="CO25" s="1482">
        <f t="shared" ca="1" si="67"/>
        <v>0</v>
      </c>
      <c r="CP25" s="1482">
        <f t="shared" ca="1" si="67"/>
        <v>0</v>
      </c>
      <c r="CQ25" s="1482">
        <f t="shared" ca="1" si="67"/>
        <v>0</v>
      </c>
      <c r="CR25" s="1482">
        <f t="shared" ca="1" si="67"/>
        <v>0</v>
      </c>
      <c r="CS25" s="1482">
        <f t="shared" ca="1" si="68"/>
        <v>0</v>
      </c>
      <c r="CT25" s="1482">
        <f t="shared" ca="1" si="68"/>
        <v>0</v>
      </c>
      <c r="CU25" s="1482">
        <f t="shared" ca="1" si="68"/>
        <v>0</v>
      </c>
      <c r="CV25" s="1482">
        <f t="shared" ca="1" si="68"/>
        <v>0</v>
      </c>
      <c r="CW25" s="1482">
        <f t="shared" ca="1" si="68"/>
        <v>0</v>
      </c>
      <c r="CX25" s="1482">
        <f t="shared" ca="1" si="68"/>
        <v>0</v>
      </c>
      <c r="CY25" s="1482">
        <f t="shared" ca="1" si="68"/>
        <v>0</v>
      </c>
      <c r="CZ25" s="1482">
        <f t="shared" ca="1" si="68"/>
        <v>0</v>
      </c>
      <c r="DA25" s="1482">
        <f t="shared" ca="1" si="68"/>
        <v>0</v>
      </c>
      <c r="DB25" s="1482">
        <f t="shared" ca="1" si="68"/>
        <v>0</v>
      </c>
      <c r="DC25" s="1482">
        <f t="shared" ca="1" si="68"/>
        <v>0</v>
      </c>
      <c r="DD25" s="1482">
        <f t="shared" ca="1" si="68"/>
        <v>0</v>
      </c>
      <c r="DE25" s="1482">
        <f t="shared" ca="1" si="68"/>
        <v>0</v>
      </c>
      <c r="DF25" s="1482">
        <f t="shared" ca="1" si="68"/>
        <v>0</v>
      </c>
      <c r="DH25" s="838">
        <f t="shared" ca="1" si="35"/>
        <v>30.86708189366886</v>
      </c>
    </row>
    <row r="26" spans="1:112" s="743" customFormat="1" ht="10.5" hidden="1" customHeight="1" outlineLevel="2">
      <c r="A26" s="1480"/>
      <c r="B26" s="1480"/>
      <c r="C26" s="746" t="s">
        <v>919</v>
      </c>
      <c r="D26" s="523" t="str">
        <f>INDEX(Modules[Module], MATCH($C26, Modules[Code], 0))</f>
        <v>International aviation</v>
      </c>
      <c r="E26" s="1006"/>
      <c r="G26" s="1017">
        <f t="shared" ca="1" si="57"/>
        <v>0</v>
      </c>
      <c r="H26" s="1017">
        <f t="shared" ca="1" si="57"/>
        <v>0</v>
      </c>
      <c r="I26" s="1017">
        <f t="shared" ca="1" si="57"/>
        <v>0</v>
      </c>
      <c r="J26" s="1017">
        <f t="shared" ca="1" si="57"/>
        <v>0</v>
      </c>
      <c r="K26" s="1017">
        <f t="shared" ca="1" si="57"/>
        <v>0</v>
      </c>
      <c r="L26" s="1017">
        <f t="shared" ca="1" si="57"/>
        <v>0</v>
      </c>
      <c r="M26" s="1017">
        <f t="shared" ca="1" si="57"/>
        <v>0</v>
      </c>
      <c r="N26" s="1017">
        <f t="shared" ca="1" si="57"/>
        <v>153.63082794362825</v>
      </c>
      <c r="O26" s="1017">
        <f t="shared" ca="1" si="57"/>
        <v>0</v>
      </c>
      <c r="P26" s="1017">
        <f t="shared" ca="1" si="57"/>
        <v>0</v>
      </c>
      <c r="Q26" s="1019">
        <f t="shared" ref="Q26:Q32" ca="1" si="69">SUM(G26:P26)</f>
        <v>153.63082794362825</v>
      </c>
      <c r="S26" s="1026">
        <f t="shared" ca="1" si="58"/>
        <v>0</v>
      </c>
      <c r="T26" s="1026">
        <f t="shared" ca="1" si="58"/>
        <v>0</v>
      </c>
      <c r="U26" s="1026">
        <f t="shared" ca="1" si="58"/>
        <v>0</v>
      </c>
      <c r="V26" s="1026">
        <f t="shared" ca="1" si="58"/>
        <v>-153.63082794362825</v>
      </c>
      <c r="W26" s="1026">
        <f t="shared" ca="1" si="58"/>
        <v>0</v>
      </c>
      <c r="X26" s="1026">
        <f t="shared" ca="1" si="59"/>
        <v>0</v>
      </c>
      <c r="Y26" s="1026">
        <f t="shared" ca="1" si="59"/>
        <v>0</v>
      </c>
      <c r="Z26" s="1026">
        <f t="shared" ca="1" si="59"/>
        <v>0</v>
      </c>
      <c r="AA26" s="1026">
        <f t="shared" ca="1" si="58"/>
        <v>0</v>
      </c>
      <c r="AB26" s="1026">
        <f t="shared" ca="1" si="58"/>
        <v>0</v>
      </c>
      <c r="AC26" s="1026">
        <f t="shared" ca="1" si="58"/>
        <v>0</v>
      </c>
      <c r="AD26" s="1026">
        <f t="shared" ca="1" si="58"/>
        <v>0</v>
      </c>
      <c r="AE26" s="1026">
        <f t="shared" ca="1" si="58"/>
        <v>0</v>
      </c>
      <c r="AF26" s="1026">
        <f t="shared" ca="1" si="58"/>
        <v>0</v>
      </c>
      <c r="AG26" s="1026">
        <f t="shared" ca="1" si="58"/>
        <v>0</v>
      </c>
      <c r="AH26" s="1026">
        <f t="shared" ca="1" si="58"/>
        <v>0</v>
      </c>
      <c r="AI26" s="1026">
        <f t="shared" ca="1" si="58"/>
        <v>0</v>
      </c>
      <c r="AJ26" s="1026">
        <f t="shared" ca="1" si="58"/>
        <v>0</v>
      </c>
      <c r="AK26" s="1027">
        <f t="shared" ca="1" si="60"/>
        <v>-153.63082794362825</v>
      </c>
      <c r="AM26" s="1038">
        <f t="shared" ca="1" si="61"/>
        <v>0</v>
      </c>
      <c r="AN26" s="1038">
        <f t="shared" ca="1" si="61"/>
        <v>0</v>
      </c>
      <c r="AO26" s="1038">
        <f t="shared" ca="1" si="61"/>
        <v>0</v>
      </c>
      <c r="AP26" s="1038">
        <f t="shared" ca="1" si="61"/>
        <v>0</v>
      </c>
      <c r="AQ26" s="1038">
        <f t="shared" ca="1" si="61"/>
        <v>0</v>
      </c>
      <c r="AR26" s="1038">
        <f t="shared" ca="1" si="61"/>
        <v>0</v>
      </c>
      <c r="AS26" s="1038">
        <f t="shared" ca="1" si="61"/>
        <v>0</v>
      </c>
      <c r="AT26" s="1038">
        <f t="shared" ca="1" si="61"/>
        <v>0</v>
      </c>
      <c r="AU26" s="1038">
        <f t="shared" ca="1" si="61"/>
        <v>0</v>
      </c>
      <c r="AV26" s="1038">
        <f t="shared" ca="1" si="58"/>
        <v>0</v>
      </c>
      <c r="AW26" s="1038">
        <f t="shared" ca="1" si="58"/>
        <v>0</v>
      </c>
      <c r="AX26" s="1038">
        <f t="shared" ca="1" si="58"/>
        <v>0</v>
      </c>
      <c r="AY26" s="1038">
        <f t="shared" ca="1" si="58"/>
        <v>0</v>
      </c>
      <c r="AZ26" s="1038">
        <f t="shared" ca="1" si="58"/>
        <v>0</v>
      </c>
      <c r="BA26" s="1038">
        <f t="shared" ca="1" si="58"/>
        <v>0</v>
      </c>
      <c r="BB26" s="1038">
        <f t="shared" ca="1" si="58"/>
        <v>0</v>
      </c>
      <c r="BC26" s="1038">
        <f t="shared" ca="1" si="58"/>
        <v>0</v>
      </c>
      <c r="BD26" s="1038">
        <f t="shared" ca="1" si="58"/>
        <v>0</v>
      </c>
      <c r="BE26" s="1038">
        <f t="shared" ca="1" si="58"/>
        <v>0</v>
      </c>
      <c r="BF26" s="977">
        <f t="shared" ca="1" si="62"/>
        <v>0</v>
      </c>
      <c r="BH26" s="1032">
        <f t="shared" ca="1" si="63"/>
        <v>0</v>
      </c>
      <c r="BI26" s="1032">
        <f t="shared" ca="1" si="63"/>
        <v>0</v>
      </c>
      <c r="BJ26" s="1034">
        <f t="shared" ca="1" si="64"/>
        <v>0</v>
      </c>
      <c r="BL26" s="524">
        <f t="shared" ca="1" si="9"/>
        <v>0</v>
      </c>
      <c r="BM26" s="524"/>
      <c r="BN26" s="840"/>
      <c r="BO26" s="1481">
        <f t="shared" ca="1" si="65"/>
        <v>0</v>
      </c>
      <c r="BP26" s="1482">
        <f t="shared" ca="1" si="65"/>
        <v>0</v>
      </c>
      <c r="BQ26" s="1482">
        <f t="shared" ca="1" si="65"/>
        <v>0</v>
      </c>
      <c r="BR26" s="1482">
        <f t="shared" ca="1" si="65"/>
        <v>0</v>
      </c>
      <c r="BS26" s="1482">
        <f t="shared" ca="1" si="65"/>
        <v>0</v>
      </c>
      <c r="BT26" s="1482">
        <f t="shared" ca="1" si="65"/>
        <v>0</v>
      </c>
      <c r="BU26" s="1482">
        <f t="shared" ca="1" si="65"/>
        <v>0</v>
      </c>
      <c r="BV26" s="1482">
        <f t="shared" ca="1" si="65"/>
        <v>0</v>
      </c>
      <c r="BW26" s="1482">
        <f t="shared" ca="1" si="65"/>
        <v>0</v>
      </c>
      <c r="BX26" s="1482">
        <f t="shared" ca="1" si="65"/>
        <v>0</v>
      </c>
      <c r="BY26" s="1482">
        <f t="shared" ca="1" si="66"/>
        <v>0</v>
      </c>
      <c r="BZ26" s="1482">
        <f t="shared" ca="1" si="66"/>
        <v>0</v>
      </c>
      <c r="CA26" s="1482">
        <f t="shared" ca="1" si="66"/>
        <v>0</v>
      </c>
      <c r="CB26" s="1482">
        <f t="shared" ca="1" si="66"/>
        <v>0</v>
      </c>
      <c r="CC26" s="1482">
        <f t="shared" ca="1" si="66"/>
        <v>0</v>
      </c>
      <c r="CD26" s="1482">
        <f t="shared" ca="1" si="66"/>
        <v>0</v>
      </c>
      <c r="CE26" s="1482">
        <f t="shared" ca="1" si="66"/>
        <v>0</v>
      </c>
      <c r="CF26" s="1482">
        <f t="shared" ca="1" si="66"/>
        <v>0</v>
      </c>
      <c r="CG26" s="1482">
        <f t="shared" ca="1" si="66"/>
        <v>0</v>
      </c>
      <c r="CH26" s="1482">
        <f t="shared" ca="1" si="66"/>
        <v>0</v>
      </c>
      <c r="CI26" s="1482">
        <f t="shared" ca="1" si="67"/>
        <v>0</v>
      </c>
      <c r="CJ26" s="1482">
        <f t="shared" ca="1" si="67"/>
        <v>0</v>
      </c>
      <c r="CK26" s="1482">
        <f t="shared" ca="1" si="67"/>
        <v>0</v>
      </c>
      <c r="CL26" s="1482">
        <f t="shared" ca="1" si="67"/>
        <v>0</v>
      </c>
      <c r="CM26" s="1482">
        <f t="shared" ca="1" si="67"/>
        <v>0</v>
      </c>
      <c r="CN26" s="1482">
        <f t="shared" ca="1" si="67"/>
        <v>0</v>
      </c>
      <c r="CO26" s="1482">
        <f t="shared" ca="1" si="67"/>
        <v>0</v>
      </c>
      <c r="CP26" s="1482">
        <f t="shared" ca="1" si="67"/>
        <v>0</v>
      </c>
      <c r="CQ26" s="1482">
        <f t="shared" ca="1" si="67"/>
        <v>0</v>
      </c>
      <c r="CR26" s="1482">
        <f t="shared" ca="1" si="67"/>
        <v>0</v>
      </c>
      <c r="CS26" s="1482">
        <f t="shared" ca="1" si="68"/>
        <v>0</v>
      </c>
      <c r="CT26" s="1482">
        <f t="shared" ca="1" si="68"/>
        <v>0</v>
      </c>
      <c r="CU26" s="1482">
        <f t="shared" ca="1" si="68"/>
        <v>38.407706985907062</v>
      </c>
      <c r="CV26" s="1482">
        <f t="shared" ca="1" si="68"/>
        <v>4.7817443573384216E-2</v>
      </c>
      <c r="CW26" s="1482">
        <f t="shared" ca="1" si="68"/>
        <v>0.6910333495490516</v>
      </c>
      <c r="CX26" s="1482">
        <f t="shared" ca="1" si="68"/>
        <v>0</v>
      </c>
      <c r="CY26" s="1482">
        <f t="shared" ca="1" si="68"/>
        <v>0</v>
      </c>
      <c r="CZ26" s="1482">
        <f t="shared" ca="1" si="68"/>
        <v>0</v>
      </c>
      <c r="DA26" s="1482">
        <f t="shared" ca="1" si="68"/>
        <v>0</v>
      </c>
      <c r="DB26" s="1482">
        <f t="shared" ca="1" si="68"/>
        <v>0</v>
      </c>
      <c r="DC26" s="1482">
        <f t="shared" ca="1" si="68"/>
        <v>0</v>
      </c>
      <c r="DD26" s="1482">
        <f t="shared" ca="1" si="68"/>
        <v>0</v>
      </c>
      <c r="DE26" s="1482">
        <f t="shared" ca="1" si="68"/>
        <v>0</v>
      </c>
      <c r="DF26" s="1482">
        <f t="shared" ca="1" si="68"/>
        <v>0</v>
      </c>
      <c r="DH26" s="838">
        <f t="shared" ca="1" si="35"/>
        <v>39.1465577790295</v>
      </c>
    </row>
    <row r="27" spans="1:112" s="743" customFormat="1" ht="10.5" hidden="1" customHeight="1" outlineLevel="2">
      <c r="A27" s="1483"/>
      <c r="B27" s="1483"/>
      <c r="C27" s="1009" t="s">
        <v>954</v>
      </c>
      <c r="D27" s="1005" t="str">
        <f>INDEX(Modules[Module], MATCH($C27, Modules[Code], 0))</f>
        <v>Domestic aviation [UNUSED - see XII.a]</v>
      </c>
      <c r="E27" s="1006"/>
      <c r="G27" s="1018">
        <f t="shared" ca="1" si="57"/>
        <v>0</v>
      </c>
      <c r="H27" s="1018">
        <f t="shared" ca="1" si="57"/>
        <v>0</v>
      </c>
      <c r="I27" s="1018">
        <f t="shared" ca="1" si="57"/>
        <v>0</v>
      </c>
      <c r="J27" s="1018">
        <f t="shared" ca="1" si="57"/>
        <v>0</v>
      </c>
      <c r="K27" s="1018">
        <f t="shared" ca="1" si="57"/>
        <v>0</v>
      </c>
      <c r="L27" s="1018">
        <f t="shared" ca="1" si="57"/>
        <v>0</v>
      </c>
      <c r="M27" s="1018">
        <f t="shared" ca="1" si="57"/>
        <v>0</v>
      </c>
      <c r="N27" s="1018">
        <f t="shared" ca="1" si="57"/>
        <v>0</v>
      </c>
      <c r="O27" s="1018">
        <f t="shared" ca="1" si="57"/>
        <v>0</v>
      </c>
      <c r="P27" s="1018">
        <f t="shared" ca="1" si="57"/>
        <v>0</v>
      </c>
      <c r="Q27" s="1024">
        <f t="shared" ca="1" si="69"/>
        <v>0</v>
      </c>
      <c r="S27" s="1028">
        <f t="shared" ca="1" si="58"/>
        <v>0</v>
      </c>
      <c r="T27" s="1028">
        <f t="shared" ca="1" si="58"/>
        <v>0</v>
      </c>
      <c r="U27" s="1028">
        <f t="shared" ca="1" si="58"/>
        <v>0</v>
      </c>
      <c r="V27" s="1028">
        <f t="shared" ca="1" si="58"/>
        <v>0</v>
      </c>
      <c r="W27" s="1028">
        <f t="shared" ca="1" si="58"/>
        <v>0</v>
      </c>
      <c r="X27" s="1028">
        <f t="shared" ca="1" si="59"/>
        <v>0</v>
      </c>
      <c r="Y27" s="1028">
        <f t="shared" ca="1" si="59"/>
        <v>0</v>
      </c>
      <c r="Z27" s="1028">
        <f t="shared" ca="1" si="59"/>
        <v>0</v>
      </c>
      <c r="AA27" s="1028">
        <f t="shared" ca="1" si="58"/>
        <v>0</v>
      </c>
      <c r="AB27" s="1028">
        <f t="shared" ca="1" si="58"/>
        <v>0</v>
      </c>
      <c r="AC27" s="1028">
        <f t="shared" ca="1" si="58"/>
        <v>0</v>
      </c>
      <c r="AD27" s="1028">
        <f t="shared" ca="1" si="58"/>
        <v>0</v>
      </c>
      <c r="AE27" s="1028">
        <f t="shared" ca="1" si="58"/>
        <v>0</v>
      </c>
      <c r="AF27" s="1028">
        <f t="shared" ca="1" si="58"/>
        <v>0</v>
      </c>
      <c r="AG27" s="1028">
        <f t="shared" ca="1" si="58"/>
        <v>0</v>
      </c>
      <c r="AH27" s="1028">
        <f t="shared" ca="1" si="58"/>
        <v>0</v>
      </c>
      <c r="AI27" s="1028">
        <f t="shared" ca="1" si="58"/>
        <v>0</v>
      </c>
      <c r="AJ27" s="1028">
        <f t="shared" ca="1" si="58"/>
        <v>0</v>
      </c>
      <c r="AK27" s="1029">
        <f t="shared" ca="1" si="60"/>
        <v>0</v>
      </c>
      <c r="AM27" s="1039">
        <f t="shared" ca="1" si="61"/>
        <v>0</v>
      </c>
      <c r="AN27" s="1039">
        <f t="shared" ca="1" si="61"/>
        <v>0</v>
      </c>
      <c r="AO27" s="1039">
        <f t="shared" ca="1" si="61"/>
        <v>0</v>
      </c>
      <c r="AP27" s="1039">
        <f t="shared" ca="1" si="61"/>
        <v>0</v>
      </c>
      <c r="AQ27" s="1039">
        <f t="shared" ca="1" si="61"/>
        <v>0</v>
      </c>
      <c r="AR27" s="1039">
        <f t="shared" ca="1" si="61"/>
        <v>0</v>
      </c>
      <c r="AS27" s="1039">
        <f t="shared" ca="1" si="61"/>
        <v>0</v>
      </c>
      <c r="AT27" s="1039">
        <f t="shared" ca="1" si="61"/>
        <v>0</v>
      </c>
      <c r="AU27" s="1039">
        <f t="shared" ca="1" si="61"/>
        <v>0</v>
      </c>
      <c r="AV27" s="1039">
        <f t="shared" ca="1" si="58"/>
        <v>0</v>
      </c>
      <c r="AW27" s="1039">
        <f t="shared" ca="1" si="58"/>
        <v>0</v>
      </c>
      <c r="AX27" s="1039">
        <f t="shared" ca="1" si="58"/>
        <v>0</v>
      </c>
      <c r="AY27" s="1039">
        <f t="shared" ca="1" si="58"/>
        <v>0</v>
      </c>
      <c r="AZ27" s="1039">
        <f t="shared" ca="1" si="58"/>
        <v>0</v>
      </c>
      <c r="BA27" s="1039">
        <f t="shared" ca="1" si="58"/>
        <v>0</v>
      </c>
      <c r="BB27" s="1039">
        <f t="shared" ca="1" si="58"/>
        <v>0</v>
      </c>
      <c r="BC27" s="1039">
        <f t="shared" ca="1" si="58"/>
        <v>0</v>
      </c>
      <c r="BD27" s="1039">
        <f t="shared" ca="1" si="58"/>
        <v>0</v>
      </c>
      <c r="BE27" s="1039">
        <f t="shared" ca="1" si="58"/>
        <v>0</v>
      </c>
      <c r="BF27" s="1008">
        <f t="shared" ca="1" si="62"/>
        <v>0</v>
      </c>
      <c r="BH27" s="1033">
        <f t="shared" ca="1" si="63"/>
        <v>0</v>
      </c>
      <c r="BI27" s="1033">
        <f t="shared" ca="1" si="63"/>
        <v>0</v>
      </c>
      <c r="BJ27" s="1044">
        <f t="shared" ca="1" si="64"/>
        <v>0</v>
      </c>
      <c r="BL27" s="1007">
        <f t="shared" ca="1" si="9"/>
        <v>0</v>
      </c>
      <c r="BM27" s="1007"/>
      <c r="BN27" s="840"/>
      <c r="BO27" s="1481">
        <f t="shared" ca="1" si="65"/>
        <v>0</v>
      </c>
      <c r="BP27" s="1482">
        <f t="shared" ca="1" si="65"/>
        <v>0</v>
      </c>
      <c r="BQ27" s="1482">
        <f t="shared" ca="1" si="65"/>
        <v>0</v>
      </c>
      <c r="BR27" s="1482">
        <f t="shared" ca="1" si="65"/>
        <v>0</v>
      </c>
      <c r="BS27" s="1482">
        <f t="shared" ca="1" si="65"/>
        <v>0</v>
      </c>
      <c r="BT27" s="1482">
        <f t="shared" ca="1" si="65"/>
        <v>0</v>
      </c>
      <c r="BU27" s="1482">
        <f t="shared" ca="1" si="65"/>
        <v>0</v>
      </c>
      <c r="BV27" s="1482">
        <f t="shared" ca="1" si="65"/>
        <v>0</v>
      </c>
      <c r="BW27" s="1482">
        <f t="shared" ca="1" si="65"/>
        <v>0</v>
      </c>
      <c r="BX27" s="1482">
        <f t="shared" ca="1" si="65"/>
        <v>0</v>
      </c>
      <c r="BY27" s="1482">
        <f t="shared" ca="1" si="66"/>
        <v>0</v>
      </c>
      <c r="BZ27" s="1482">
        <f t="shared" ca="1" si="66"/>
        <v>0</v>
      </c>
      <c r="CA27" s="1482">
        <f t="shared" ca="1" si="66"/>
        <v>0</v>
      </c>
      <c r="CB27" s="1482">
        <f t="shared" ca="1" si="66"/>
        <v>0</v>
      </c>
      <c r="CC27" s="1482">
        <f t="shared" ca="1" si="66"/>
        <v>0</v>
      </c>
      <c r="CD27" s="1482">
        <f t="shared" ca="1" si="66"/>
        <v>0</v>
      </c>
      <c r="CE27" s="1482">
        <f t="shared" ca="1" si="66"/>
        <v>0</v>
      </c>
      <c r="CF27" s="1482">
        <f t="shared" ca="1" si="66"/>
        <v>0</v>
      </c>
      <c r="CG27" s="1482">
        <f t="shared" ca="1" si="66"/>
        <v>0</v>
      </c>
      <c r="CH27" s="1482">
        <f t="shared" ca="1" si="66"/>
        <v>0</v>
      </c>
      <c r="CI27" s="1482">
        <f t="shared" ca="1" si="67"/>
        <v>0</v>
      </c>
      <c r="CJ27" s="1482">
        <f t="shared" ca="1" si="67"/>
        <v>0</v>
      </c>
      <c r="CK27" s="1482">
        <f t="shared" ca="1" si="67"/>
        <v>0</v>
      </c>
      <c r="CL27" s="1482">
        <f t="shared" ca="1" si="67"/>
        <v>0</v>
      </c>
      <c r="CM27" s="1482">
        <f t="shared" ca="1" si="67"/>
        <v>0</v>
      </c>
      <c r="CN27" s="1482">
        <f t="shared" ca="1" si="67"/>
        <v>0</v>
      </c>
      <c r="CO27" s="1482">
        <f t="shared" ca="1" si="67"/>
        <v>0</v>
      </c>
      <c r="CP27" s="1482">
        <f t="shared" ca="1" si="67"/>
        <v>0</v>
      </c>
      <c r="CQ27" s="1482">
        <f t="shared" ca="1" si="67"/>
        <v>0</v>
      </c>
      <c r="CR27" s="1482">
        <f t="shared" ca="1" si="67"/>
        <v>0</v>
      </c>
      <c r="CS27" s="1482">
        <f t="shared" ca="1" si="68"/>
        <v>0</v>
      </c>
      <c r="CT27" s="1482">
        <f t="shared" ca="1" si="68"/>
        <v>0</v>
      </c>
      <c r="CU27" s="1482">
        <f t="shared" ca="1" si="68"/>
        <v>0</v>
      </c>
      <c r="CV27" s="1482">
        <f t="shared" ca="1" si="68"/>
        <v>0</v>
      </c>
      <c r="CW27" s="1482">
        <f t="shared" ca="1" si="68"/>
        <v>0</v>
      </c>
      <c r="CX27" s="1482">
        <f t="shared" ca="1" si="68"/>
        <v>0</v>
      </c>
      <c r="CY27" s="1482">
        <f t="shared" ca="1" si="68"/>
        <v>0</v>
      </c>
      <c r="CZ27" s="1482">
        <f t="shared" ca="1" si="68"/>
        <v>0</v>
      </c>
      <c r="DA27" s="1482">
        <f t="shared" ca="1" si="68"/>
        <v>0</v>
      </c>
      <c r="DB27" s="1482">
        <f t="shared" ca="1" si="68"/>
        <v>0</v>
      </c>
      <c r="DC27" s="1482">
        <f t="shared" ca="1" si="68"/>
        <v>0</v>
      </c>
      <c r="DD27" s="1482">
        <f t="shared" ca="1" si="68"/>
        <v>0</v>
      </c>
      <c r="DE27" s="1482">
        <f t="shared" ca="1" si="68"/>
        <v>0</v>
      </c>
      <c r="DF27" s="1482">
        <f t="shared" ca="1" si="68"/>
        <v>0</v>
      </c>
      <c r="DH27" s="838">
        <f t="shared" ca="1" si="35"/>
        <v>0</v>
      </c>
    </row>
    <row r="28" spans="1:112" s="743" customFormat="1" ht="10.5" hidden="1" customHeight="1" outlineLevel="1">
      <c r="A28" s="1484"/>
      <c r="B28" s="1484"/>
      <c r="C28" s="746"/>
      <c r="D28" s="523" t="s">
        <v>960</v>
      </c>
      <c r="E28" s="1006"/>
      <c r="G28" s="1019">
        <f ca="1">SUM(G26:G27)</f>
        <v>0</v>
      </c>
      <c r="H28" s="1019">
        <f t="shared" ref="H28:P28" ca="1" si="70">SUM(H26:H27)</f>
        <v>0</v>
      </c>
      <c r="I28" s="1019">
        <f t="shared" ca="1" si="70"/>
        <v>0</v>
      </c>
      <c r="J28" s="1019">
        <f t="shared" ca="1" si="70"/>
        <v>0</v>
      </c>
      <c r="K28" s="1019">
        <f t="shared" ca="1" si="70"/>
        <v>0</v>
      </c>
      <c r="L28" s="1019">
        <f t="shared" ca="1" si="70"/>
        <v>0</v>
      </c>
      <c r="M28" s="1019">
        <f t="shared" ca="1" si="70"/>
        <v>0</v>
      </c>
      <c r="N28" s="1019">
        <f t="shared" ca="1" si="70"/>
        <v>153.63082794362825</v>
      </c>
      <c r="O28" s="1019">
        <f t="shared" ca="1" si="70"/>
        <v>0</v>
      </c>
      <c r="P28" s="1019">
        <f t="shared" ca="1" si="70"/>
        <v>0</v>
      </c>
      <c r="Q28" s="1019">
        <f t="shared" ca="1" si="69"/>
        <v>153.63082794362825</v>
      </c>
      <c r="S28" s="1027">
        <f t="shared" ref="S28:Z28" ca="1" si="71">SUM(S26:S27)</f>
        <v>0</v>
      </c>
      <c r="T28" s="1027">
        <f t="shared" ca="1" si="71"/>
        <v>0</v>
      </c>
      <c r="U28" s="1027">
        <f t="shared" ca="1" si="71"/>
        <v>0</v>
      </c>
      <c r="V28" s="1027">
        <f t="shared" ca="1" si="71"/>
        <v>-153.63082794362825</v>
      </c>
      <c r="W28" s="1027">
        <f t="shared" ca="1" si="71"/>
        <v>0</v>
      </c>
      <c r="X28" s="1027">
        <f t="shared" ca="1" si="71"/>
        <v>0</v>
      </c>
      <c r="Y28" s="1027">
        <f t="shared" ca="1" si="71"/>
        <v>0</v>
      </c>
      <c r="Z28" s="1027">
        <f t="shared" ca="1" si="71"/>
        <v>0</v>
      </c>
      <c r="AA28" s="1027">
        <f t="shared" ref="AA28:AJ28" ca="1" si="72">SUM(AA26:AA27)</f>
        <v>0</v>
      </c>
      <c r="AB28" s="1027">
        <f t="shared" ca="1" si="72"/>
        <v>0</v>
      </c>
      <c r="AC28" s="1027">
        <f t="shared" ca="1" si="72"/>
        <v>0</v>
      </c>
      <c r="AD28" s="1027">
        <f ca="1">SUM(AD26:AD27)</f>
        <v>0</v>
      </c>
      <c r="AE28" s="1027">
        <f ca="1">SUM(AE26:AE27)</f>
        <v>0</v>
      </c>
      <c r="AF28" s="1027">
        <f t="shared" ca="1" si="72"/>
        <v>0</v>
      </c>
      <c r="AG28" s="1027">
        <f ca="1">SUM(AG26:AG27)</f>
        <v>0</v>
      </c>
      <c r="AH28" s="1027">
        <f ca="1">SUM(AH26:AH27)</f>
        <v>0</v>
      </c>
      <c r="AI28" s="1027">
        <f ca="1">SUM(AI26:AI27)</f>
        <v>0</v>
      </c>
      <c r="AJ28" s="1027">
        <f t="shared" ca="1" si="72"/>
        <v>0</v>
      </c>
      <c r="AK28" s="1027">
        <f t="shared" ca="1" si="60"/>
        <v>-153.63082794362825</v>
      </c>
      <c r="AM28" s="1040">
        <f t="shared" ref="AM28:BE28" ca="1" si="73">SUM(AM26:AM27)</f>
        <v>0</v>
      </c>
      <c r="AN28" s="1040">
        <f t="shared" ca="1" si="73"/>
        <v>0</v>
      </c>
      <c r="AO28" s="1040">
        <f t="shared" ca="1" si="73"/>
        <v>0</v>
      </c>
      <c r="AP28" s="1040">
        <f t="shared" ca="1" si="73"/>
        <v>0</v>
      </c>
      <c r="AQ28" s="1040">
        <f t="shared" ca="1" si="73"/>
        <v>0</v>
      </c>
      <c r="AR28" s="1040">
        <f t="shared" ca="1" si="73"/>
        <v>0</v>
      </c>
      <c r="AS28" s="1040">
        <f t="shared" ca="1" si="73"/>
        <v>0</v>
      </c>
      <c r="AT28" s="1040">
        <f t="shared" ca="1" si="73"/>
        <v>0</v>
      </c>
      <c r="AU28" s="1040">
        <f t="shared" ca="1" si="73"/>
        <v>0</v>
      </c>
      <c r="AV28" s="1040">
        <f t="shared" ca="1" si="73"/>
        <v>0</v>
      </c>
      <c r="AW28" s="1040">
        <f t="shared" ca="1" si="73"/>
        <v>0</v>
      </c>
      <c r="AX28" s="1040">
        <f t="shared" ca="1" si="73"/>
        <v>0</v>
      </c>
      <c r="AY28" s="1040">
        <f t="shared" ca="1" si="73"/>
        <v>0</v>
      </c>
      <c r="AZ28" s="1040">
        <f t="shared" ca="1" si="73"/>
        <v>0</v>
      </c>
      <c r="BA28" s="1040">
        <f t="shared" ca="1" si="73"/>
        <v>0</v>
      </c>
      <c r="BB28" s="1040">
        <f t="shared" ca="1" si="73"/>
        <v>0</v>
      </c>
      <c r="BC28" s="1040">
        <f t="shared" ca="1" si="73"/>
        <v>0</v>
      </c>
      <c r="BD28" s="1040">
        <f t="shared" ca="1" si="73"/>
        <v>0</v>
      </c>
      <c r="BE28" s="1040">
        <f t="shared" ca="1" si="73"/>
        <v>0</v>
      </c>
      <c r="BF28" s="977">
        <f t="shared" ca="1" si="62"/>
        <v>0</v>
      </c>
      <c r="BH28" s="1034">
        <f ca="1">SUM(BH26:BH27)</f>
        <v>0</v>
      </c>
      <c r="BI28" s="1034">
        <f ca="1">SUM(BI26:BI27)</f>
        <v>0</v>
      </c>
      <c r="BJ28" s="1034">
        <f t="shared" ca="1" si="64"/>
        <v>0</v>
      </c>
      <c r="BL28" s="524">
        <f t="shared" ca="1" si="9"/>
        <v>0</v>
      </c>
      <c r="BM28" s="524"/>
      <c r="BN28" s="840"/>
      <c r="BO28" s="1481">
        <f t="shared" ref="BO28:DF28" ca="1" si="74">SUM(BO26:BO27)</f>
        <v>0</v>
      </c>
      <c r="BP28" s="1482">
        <f t="shared" ca="1" si="74"/>
        <v>0</v>
      </c>
      <c r="BQ28" s="1482">
        <f t="shared" ca="1" si="74"/>
        <v>0</v>
      </c>
      <c r="BR28" s="1482">
        <f t="shared" ca="1" si="74"/>
        <v>0</v>
      </c>
      <c r="BS28" s="1482">
        <f t="shared" ca="1" si="74"/>
        <v>0</v>
      </c>
      <c r="BT28" s="1482">
        <f t="shared" ca="1" si="74"/>
        <v>0</v>
      </c>
      <c r="BU28" s="1482">
        <f t="shared" ca="1" si="74"/>
        <v>0</v>
      </c>
      <c r="BV28" s="1482">
        <f t="shared" ca="1" si="74"/>
        <v>0</v>
      </c>
      <c r="BW28" s="1482">
        <f t="shared" ca="1" si="74"/>
        <v>0</v>
      </c>
      <c r="BX28" s="1482">
        <f t="shared" ca="1" si="74"/>
        <v>0</v>
      </c>
      <c r="BY28" s="1482">
        <f t="shared" ca="1" si="74"/>
        <v>0</v>
      </c>
      <c r="BZ28" s="1482">
        <f t="shared" ca="1" si="74"/>
        <v>0</v>
      </c>
      <c r="CA28" s="1482">
        <f t="shared" ca="1" si="74"/>
        <v>0</v>
      </c>
      <c r="CB28" s="1482">
        <f t="shared" ca="1" si="74"/>
        <v>0</v>
      </c>
      <c r="CC28" s="1482">
        <f t="shared" ca="1" si="74"/>
        <v>0</v>
      </c>
      <c r="CD28" s="1482">
        <f t="shared" ca="1" si="74"/>
        <v>0</v>
      </c>
      <c r="CE28" s="1482">
        <f t="shared" ca="1" si="74"/>
        <v>0</v>
      </c>
      <c r="CF28" s="1482">
        <f t="shared" ca="1" si="74"/>
        <v>0</v>
      </c>
      <c r="CG28" s="1482">
        <f t="shared" ca="1" si="74"/>
        <v>0</v>
      </c>
      <c r="CH28" s="1482">
        <f t="shared" ca="1" si="74"/>
        <v>0</v>
      </c>
      <c r="CI28" s="1482">
        <f t="shared" ca="1" si="74"/>
        <v>0</v>
      </c>
      <c r="CJ28" s="1482">
        <f t="shared" ca="1" si="74"/>
        <v>0</v>
      </c>
      <c r="CK28" s="1482">
        <f t="shared" ca="1" si="74"/>
        <v>0</v>
      </c>
      <c r="CL28" s="1482">
        <f t="shared" ca="1" si="74"/>
        <v>0</v>
      </c>
      <c r="CM28" s="1482">
        <f t="shared" ca="1" si="74"/>
        <v>0</v>
      </c>
      <c r="CN28" s="1482">
        <f t="shared" ca="1" si="74"/>
        <v>0</v>
      </c>
      <c r="CO28" s="1482">
        <f t="shared" ca="1" si="74"/>
        <v>0</v>
      </c>
      <c r="CP28" s="1482">
        <f t="shared" ca="1" si="74"/>
        <v>0</v>
      </c>
      <c r="CQ28" s="1482">
        <f t="shared" ca="1" si="74"/>
        <v>0</v>
      </c>
      <c r="CR28" s="1482">
        <f t="shared" ca="1" si="74"/>
        <v>0</v>
      </c>
      <c r="CS28" s="1482">
        <f t="shared" ca="1" si="74"/>
        <v>0</v>
      </c>
      <c r="CT28" s="1482">
        <f t="shared" ca="1" si="74"/>
        <v>0</v>
      </c>
      <c r="CU28" s="1482">
        <f t="shared" ca="1" si="74"/>
        <v>38.407706985907062</v>
      </c>
      <c r="CV28" s="1482">
        <f t="shared" ca="1" si="74"/>
        <v>4.7817443573384216E-2</v>
      </c>
      <c r="CW28" s="1482">
        <f t="shared" ca="1" si="74"/>
        <v>0.6910333495490516</v>
      </c>
      <c r="CX28" s="1482">
        <f t="shared" ca="1" si="74"/>
        <v>0</v>
      </c>
      <c r="CY28" s="1482">
        <f t="shared" ca="1" si="74"/>
        <v>0</v>
      </c>
      <c r="CZ28" s="1482">
        <f t="shared" ca="1" si="74"/>
        <v>0</v>
      </c>
      <c r="DA28" s="1482">
        <f t="shared" ca="1" si="74"/>
        <v>0</v>
      </c>
      <c r="DB28" s="1482">
        <f t="shared" ca="1" si="74"/>
        <v>0</v>
      </c>
      <c r="DC28" s="1482">
        <f t="shared" ca="1" si="74"/>
        <v>0</v>
      </c>
      <c r="DD28" s="1482">
        <f t="shared" ca="1" si="74"/>
        <v>0</v>
      </c>
      <c r="DE28" s="1482">
        <f t="shared" ca="1" si="74"/>
        <v>0</v>
      </c>
      <c r="DF28" s="1482">
        <f t="shared" ca="1" si="74"/>
        <v>0</v>
      </c>
      <c r="DH28" s="838">
        <f t="shared" ca="1" si="35"/>
        <v>39.1465577790295</v>
      </c>
    </row>
    <row r="29" spans="1:112" s="743" customFormat="1" ht="12.75" hidden="1" customHeight="1" outlineLevel="2">
      <c r="A29" s="1480"/>
      <c r="B29" s="1480"/>
      <c r="C29" s="746" t="s">
        <v>957</v>
      </c>
      <c r="D29" s="523" t="str">
        <f>INDEX(Modules[Module], MATCH($C29, Modules[Code], 0))</f>
        <v>International shipping (maritime bunkers)</v>
      </c>
      <c r="E29" s="1006"/>
      <c r="G29" s="1017">
        <f t="shared" ref="G29:P30" ca="1" si="75">IFERROR(INDEX(INDIRECT($C29&amp;".Outputs["&amp;this.Year&amp;"]"), MATCH(G$5, INDIRECT($C29&amp;".Outputs[Vector]"), 0)), 0)</f>
        <v>0</v>
      </c>
      <c r="H29" s="1017">
        <f t="shared" ca="1" si="75"/>
        <v>0</v>
      </c>
      <c r="I29" s="1017">
        <f t="shared" ca="1" si="75"/>
        <v>0</v>
      </c>
      <c r="J29" s="1017">
        <f t="shared" ca="1" si="75"/>
        <v>0</v>
      </c>
      <c r="K29" s="1017">
        <f t="shared" ca="1" si="75"/>
        <v>0</v>
      </c>
      <c r="L29" s="1017">
        <f t="shared" ca="1" si="75"/>
        <v>0</v>
      </c>
      <c r="M29" s="1017">
        <f t="shared" ca="1" si="75"/>
        <v>0</v>
      </c>
      <c r="N29" s="1017">
        <f t="shared" ca="1" si="75"/>
        <v>0</v>
      </c>
      <c r="O29" s="1017">
        <f t="shared" ca="1" si="75"/>
        <v>43.30892867886606</v>
      </c>
      <c r="P29" s="1017">
        <f t="shared" ca="1" si="75"/>
        <v>0</v>
      </c>
      <c r="Q29" s="1019">
        <f t="shared" ca="1" si="69"/>
        <v>43.30892867886606</v>
      </c>
      <c r="S29" s="1026">
        <f t="shared" ca="1" si="58"/>
        <v>0</v>
      </c>
      <c r="T29" s="1026">
        <f t="shared" ca="1" si="58"/>
        <v>0</v>
      </c>
      <c r="U29" s="1026">
        <f t="shared" ca="1" si="58"/>
        <v>0</v>
      </c>
      <c r="V29" s="1026">
        <f t="shared" ca="1" si="58"/>
        <v>-43.30892867886606</v>
      </c>
      <c r="W29" s="1026">
        <f t="shared" ca="1" si="58"/>
        <v>0</v>
      </c>
      <c r="X29" s="1026">
        <f t="shared" ref="X29:Z30" ca="1" si="76">IFERROR(INDEX(INDIRECT($C29&amp;".Outputs["&amp;this.Year&amp;"]"), MATCH(X$5, INDIRECT($C29&amp;".Outputs[Vector]"), 0)), 0)</f>
        <v>0</v>
      </c>
      <c r="Y29" s="1026">
        <f t="shared" ca="1" si="76"/>
        <v>0</v>
      </c>
      <c r="Z29" s="1026">
        <f t="shared" ca="1" si="76"/>
        <v>0</v>
      </c>
      <c r="AA29" s="1026">
        <f t="shared" ca="1" si="58"/>
        <v>0</v>
      </c>
      <c r="AB29" s="1026">
        <f t="shared" ca="1" si="58"/>
        <v>0</v>
      </c>
      <c r="AC29" s="1026">
        <f t="shared" ca="1" si="58"/>
        <v>0</v>
      </c>
      <c r="AD29" s="1026">
        <f t="shared" ca="1" si="58"/>
        <v>0</v>
      </c>
      <c r="AE29" s="1026">
        <f t="shared" ca="1" si="58"/>
        <v>0</v>
      </c>
      <c r="AF29" s="1026">
        <f t="shared" ca="1" si="58"/>
        <v>0</v>
      </c>
      <c r="AG29" s="1026">
        <f t="shared" ca="1" si="58"/>
        <v>0</v>
      </c>
      <c r="AH29" s="1026">
        <f t="shared" ca="1" si="58"/>
        <v>0</v>
      </c>
      <c r="AI29" s="1026">
        <f t="shared" ca="1" si="58"/>
        <v>0</v>
      </c>
      <c r="AJ29" s="1026">
        <f t="shared" ca="1" si="58"/>
        <v>0</v>
      </c>
      <c r="AK29" s="1027">
        <f t="shared" ca="1" si="60"/>
        <v>-43.30892867886606</v>
      </c>
      <c r="AM29" s="1038">
        <f t="shared" ref="AM29:AU30" ca="1" si="77">IFERROR(INDEX(INDIRECT($C29&amp;".Outputs["&amp;this.Year&amp;"]"), MATCH(AM$5, INDIRECT($C29&amp;".Outputs[Vector]"), 0)), 0)</f>
        <v>0</v>
      </c>
      <c r="AN29" s="1038">
        <f t="shared" ca="1" si="77"/>
        <v>0</v>
      </c>
      <c r="AO29" s="1038">
        <f t="shared" ca="1" si="77"/>
        <v>0</v>
      </c>
      <c r="AP29" s="1038">
        <f t="shared" ca="1" si="77"/>
        <v>0</v>
      </c>
      <c r="AQ29" s="1038">
        <f t="shared" ca="1" si="77"/>
        <v>0</v>
      </c>
      <c r="AR29" s="1038">
        <f t="shared" ca="1" si="77"/>
        <v>0</v>
      </c>
      <c r="AS29" s="1038">
        <f t="shared" ca="1" si="77"/>
        <v>0</v>
      </c>
      <c r="AT29" s="1038">
        <f t="shared" ca="1" si="77"/>
        <v>0</v>
      </c>
      <c r="AU29" s="1038">
        <f t="shared" ca="1" si="77"/>
        <v>0</v>
      </c>
      <c r="AV29" s="1038">
        <f t="shared" ca="1" si="58"/>
        <v>0</v>
      </c>
      <c r="AW29" s="1038">
        <f t="shared" ca="1" si="58"/>
        <v>0</v>
      </c>
      <c r="AX29" s="1038">
        <f t="shared" ca="1" si="58"/>
        <v>0</v>
      </c>
      <c r="AY29" s="1038">
        <f t="shared" ca="1" si="58"/>
        <v>0</v>
      </c>
      <c r="AZ29" s="1038">
        <f t="shared" ca="1" si="58"/>
        <v>0</v>
      </c>
      <c r="BA29" s="1038">
        <f t="shared" ca="1" si="58"/>
        <v>0</v>
      </c>
      <c r="BB29" s="1038">
        <f t="shared" ca="1" si="58"/>
        <v>0</v>
      </c>
      <c r="BC29" s="1038">
        <f t="shared" ca="1" si="58"/>
        <v>0</v>
      </c>
      <c r="BD29" s="1038">
        <f t="shared" ca="1" si="58"/>
        <v>0</v>
      </c>
      <c r="BE29" s="1038">
        <f t="shared" ca="1" si="58"/>
        <v>0</v>
      </c>
      <c r="BF29" s="979">
        <f t="shared" ca="1" si="62"/>
        <v>0</v>
      </c>
      <c r="BH29" s="1032">
        <f t="shared" ca="1" si="63"/>
        <v>0</v>
      </c>
      <c r="BI29" s="1032">
        <f t="shared" ca="1" si="63"/>
        <v>0</v>
      </c>
      <c r="BJ29" s="1034">
        <f t="shared" ca="1" si="64"/>
        <v>0</v>
      </c>
      <c r="BL29" s="814">
        <f t="shared" ca="1" si="9"/>
        <v>0</v>
      </c>
      <c r="BM29" s="814"/>
      <c r="BN29" s="840"/>
      <c r="BO29" s="1481">
        <f t="shared" ref="BO29:BX30" ca="1" si="78">IFERROR(SUMIFS(INDIRECT($C29&amp;".Emissions["&amp;this.Year&amp;"]"), INDIRECT($C29&amp;".Emissions[GHG]"), BO$6, INDIRECT($C29&amp;".Emissions[IPCC Sector]"), BO$5),0)</f>
        <v>0</v>
      </c>
      <c r="BP29" s="1482">
        <f t="shared" ca="1" si="78"/>
        <v>0</v>
      </c>
      <c r="BQ29" s="1482">
        <f t="shared" ca="1" si="78"/>
        <v>0</v>
      </c>
      <c r="BR29" s="1482">
        <f t="shared" ca="1" si="78"/>
        <v>0</v>
      </c>
      <c r="BS29" s="1482">
        <f t="shared" ca="1" si="78"/>
        <v>0</v>
      </c>
      <c r="BT29" s="1482">
        <f t="shared" ca="1" si="78"/>
        <v>0</v>
      </c>
      <c r="BU29" s="1482">
        <f t="shared" ca="1" si="78"/>
        <v>0</v>
      </c>
      <c r="BV29" s="1482">
        <f t="shared" ca="1" si="78"/>
        <v>0</v>
      </c>
      <c r="BW29" s="1482">
        <f t="shared" ca="1" si="78"/>
        <v>0</v>
      </c>
      <c r="BX29" s="1482">
        <f t="shared" ca="1" si="78"/>
        <v>0</v>
      </c>
      <c r="BY29" s="1482">
        <f t="shared" ref="BY29:CH30" ca="1" si="79">IFERROR(SUMIFS(INDIRECT($C29&amp;".Emissions["&amp;this.Year&amp;"]"), INDIRECT($C29&amp;".Emissions[GHG]"), BY$6, INDIRECT($C29&amp;".Emissions[IPCC Sector]"), BY$5),0)</f>
        <v>0</v>
      </c>
      <c r="BZ29" s="1482">
        <f t="shared" ca="1" si="79"/>
        <v>0</v>
      </c>
      <c r="CA29" s="1482">
        <f t="shared" ca="1" si="79"/>
        <v>0</v>
      </c>
      <c r="CB29" s="1482">
        <f t="shared" ca="1" si="79"/>
        <v>0</v>
      </c>
      <c r="CC29" s="1482">
        <f t="shared" ca="1" si="79"/>
        <v>0</v>
      </c>
      <c r="CD29" s="1482">
        <f t="shared" ca="1" si="79"/>
        <v>0</v>
      </c>
      <c r="CE29" s="1482">
        <f t="shared" ca="1" si="79"/>
        <v>0</v>
      </c>
      <c r="CF29" s="1482">
        <f t="shared" ca="1" si="79"/>
        <v>0</v>
      </c>
      <c r="CG29" s="1482">
        <f t="shared" ca="1" si="79"/>
        <v>0</v>
      </c>
      <c r="CH29" s="1482">
        <f t="shared" ca="1" si="79"/>
        <v>0</v>
      </c>
      <c r="CI29" s="1482">
        <f t="shared" ref="CI29:CR30" ca="1" si="80">IFERROR(SUMIFS(INDIRECT($C29&amp;".Emissions["&amp;this.Year&amp;"]"), INDIRECT($C29&amp;".Emissions[GHG]"), CI$6, INDIRECT($C29&amp;".Emissions[IPCC Sector]"), CI$5),0)</f>
        <v>0</v>
      </c>
      <c r="CJ29" s="1482">
        <f t="shared" ca="1" si="80"/>
        <v>0</v>
      </c>
      <c r="CK29" s="1482">
        <f t="shared" ca="1" si="80"/>
        <v>0</v>
      </c>
      <c r="CL29" s="1482">
        <f t="shared" ca="1" si="80"/>
        <v>0</v>
      </c>
      <c r="CM29" s="1482">
        <f t="shared" ca="1" si="80"/>
        <v>0</v>
      </c>
      <c r="CN29" s="1482">
        <f t="shared" ca="1" si="80"/>
        <v>0</v>
      </c>
      <c r="CO29" s="1482">
        <f t="shared" ca="1" si="80"/>
        <v>0</v>
      </c>
      <c r="CP29" s="1482">
        <f t="shared" ca="1" si="80"/>
        <v>0</v>
      </c>
      <c r="CQ29" s="1482">
        <f t="shared" ca="1" si="80"/>
        <v>0</v>
      </c>
      <c r="CR29" s="1482">
        <f t="shared" ca="1" si="80"/>
        <v>0</v>
      </c>
      <c r="CS29" s="1482">
        <f t="shared" ref="CS29:DF30" ca="1" si="81">IFERROR(SUMIFS(INDIRECT($C29&amp;".Emissions["&amp;this.Year&amp;"]"), INDIRECT($C29&amp;".Emissions[GHG]"), CS$6, INDIRECT($C29&amp;".Emissions[IPCC Sector]"), CS$5),0)</f>
        <v>0</v>
      </c>
      <c r="CT29" s="1482">
        <f t="shared" ca="1" si="81"/>
        <v>0</v>
      </c>
      <c r="CU29" s="1482">
        <f t="shared" ca="1" si="81"/>
        <v>10.827232169716515</v>
      </c>
      <c r="CV29" s="1482">
        <f t="shared" ca="1" si="81"/>
        <v>1.3479861308078628E-2</v>
      </c>
      <c r="CW29" s="1482">
        <f t="shared" ca="1" si="81"/>
        <v>0.19480409271321017</v>
      </c>
      <c r="CX29" s="1482">
        <f t="shared" ca="1" si="81"/>
        <v>0</v>
      </c>
      <c r="CY29" s="1482">
        <f t="shared" ca="1" si="81"/>
        <v>0</v>
      </c>
      <c r="CZ29" s="1482">
        <f t="shared" ca="1" si="81"/>
        <v>0</v>
      </c>
      <c r="DA29" s="1482">
        <f t="shared" ca="1" si="81"/>
        <v>0</v>
      </c>
      <c r="DB29" s="1482">
        <f t="shared" ca="1" si="81"/>
        <v>0</v>
      </c>
      <c r="DC29" s="1482">
        <f t="shared" ca="1" si="81"/>
        <v>0</v>
      </c>
      <c r="DD29" s="1482">
        <f t="shared" ca="1" si="81"/>
        <v>0</v>
      </c>
      <c r="DE29" s="1482">
        <f t="shared" ca="1" si="81"/>
        <v>0</v>
      </c>
      <c r="DF29" s="1482">
        <f t="shared" ca="1" si="81"/>
        <v>0</v>
      </c>
      <c r="DH29" s="838">
        <f t="shared" ca="1" si="35"/>
        <v>11.035516123737805</v>
      </c>
    </row>
    <row r="30" spans="1:112" s="743" customFormat="1" ht="10.5" hidden="1" customHeight="1" outlineLevel="2">
      <c r="A30" s="1483"/>
      <c r="B30" s="1483"/>
      <c r="C30" s="1009" t="s">
        <v>959</v>
      </c>
      <c r="D30" s="1005" t="str">
        <f>INDEX(Modules[Module], MATCH($C30, Modules[Code], 0))</f>
        <v>National navigation [UNUSED - see XII.a]</v>
      </c>
      <c r="E30" s="1006"/>
      <c r="G30" s="1018">
        <f t="shared" ca="1" si="75"/>
        <v>0</v>
      </c>
      <c r="H30" s="1018">
        <f t="shared" ca="1" si="75"/>
        <v>0</v>
      </c>
      <c r="I30" s="1018">
        <f t="shared" ca="1" si="75"/>
        <v>0</v>
      </c>
      <c r="J30" s="1018">
        <f t="shared" ca="1" si="75"/>
        <v>0</v>
      </c>
      <c r="K30" s="1018">
        <f t="shared" ca="1" si="75"/>
        <v>0</v>
      </c>
      <c r="L30" s="1018">
        <f t="shared" ca="1" si="75"/>
        <v>0</v>
      </c>
      <c r="M30" s="1018">
        <f t="shared" ca="1" si="75"/>
        <v>0</v>
      </c>
      <c r="N30" s="1018">
        <f t="shared" ca="1" si="75"/>
        <v>0</v>
      </c>
      <c r="O30" s="1018">
        <f t="shared" ca="1" si="75"/>
        <v>0</v>
      </c>
      <c r="P30" s="1018">
        <f t="shared" ca="1" si="75"/>
        <v>0</v>
      </c>
      <c r="Q30" s="1024">
        <f t="shared" ca="1" si="69"/>
        <v>0</v>
      </c>
      <c r="S30" s="1028">
        <f t="shared" ca="1" si="58"/>
        <v>0</v>
      </c>
      <c r="T30" s="1028">
        <f t="shared" ca="1" si="58"/>
        <v>0</v>
      </c>
      <c r="U30" s="1028">
        <f t="shared" ca="1" si="58"/>
        <v>0</v>
      </c>
      <c r="V30" s="1028">
        <f t="shared" ca="1" si="58"/>
        <v>0</v>
      </c>
      <c r="W30" s="1028">
        <f t="shared" ca="1" si="58"/>
        <v>0</v>
      </c>
      <c r="X30" s="1028">
        <f t="shared" ca="1" si="76"/>
        <v>0</v>
      </c>
      <c r="Y30" s="1028">
        <f t="shared" ca="1" si="76"/>
        <v>0</v>
      </c>
      <c r="Z30" s="1028">
        <f t="shared" ca="1" si="76"/>
        <v>0</v>
      </c>
      <c r="AA30" s="1028">
        <f t="shared" ca="1" si="58"/>
        <v>0</v>
      </c>
      <c r="AB30" s="1028">
        <f t="shared" ca="1" si="58"/>
        <v>0</v>
      </c>
      <c r="AC30" s="1028">
        <f t="shared" ca="1" si="58"/>
        <v>0</v>
      </c>
      <c r="AD30" s="1028">
        <f t="shared" ca="1" si="58"/>
        <v>0</v>
      </c>
      <c r="AE30" s="1028">
        <f t="shared" ca="1" si="58"/>
        <v>0</v>
      </c>
      <c r="AF30" s="1028">
        <f t="shared" ca="1" si="58"/>
        <v>0</v>
      </c>
      <c r="AG30" s="1028">
        <f t="shared" ca="1" si="58"/>
        <v>0</v>
      </c>
      <c r="AH30" s="1028">
        <f t="shared" ca="1" si="58"/>
        <v>0</v>
      </c>
      <c r="AI30" s="1028">
        <f t="shared" ca="1" si="58"/>
        <v>0</v>
      </c>
      <c r="AJ30" s="1028">
        <f t="shared" ca="1" si="58"/>
        <v>0</v>
      </c>
      <c r="AK30" s="1029">
        <f t="shared" ca="1" si="60"/>
        <v>0</v>
      </c>
      <c r="AM30" s="1039">
        <f t="shared" ca="1" si="77"/>
        <v>0</v>
      </c>
      <c r="AN30" s="1039">
        <f t="shared" ca="1" si="77"/>
        <v>0</v>
      </c>
      <c r="AO30" s="1039">
        <f t="shared" ca="1" si="77"/>
        <v>0</v>
      </c>
      <c r="AP30" s="1039">
        <f t="shared" ca="1" si="77"/>
        <v>0</v>
      </c>
      <c r="AQ30" s="1039">
        <f t="shared" ca="1" si="77"/>
        <v>0</v>
      </c>
      <c r="AR30" s="1039">
        <f t="shared" ca="1" si="77"/>
        <v>0</v>
      </c>
      <c r="AS30" s="1039">
        <f t="shared" ca="1" si="77"/>
        <v>0</v>
      </c>
      <c r="AT30" s="1039">
        <f t="shared" ca="1" si="77"/>
        <v>0</v>
      </c>
      <c r="AU30" s="1039">
        <f t="shared" ca="1" si="77"/>
        <v>0</v>
      </c>
      <c r="AV30" s="1039">
        <f t="shared" ca="1" si="58"/>
        <v>0</v>
      </c>
      <c r="AW30" s="1039">
        <f t="shared" ca="1" si="58"/>
        <v>0</v>
      </c>
      <c r="AX30" s="1039">
        <f t="shared" ca="1" si="58"/>
        <v>0</v>
      </c>
      <c r="AY30" s="1039">
        <f t="shared" ca="1" si="58"/>
        <v>0</v>
      </c>
      <c r="AZ30" s="1039">
        <f t="shared" ca="1" si="58"/>
        <v>0</v>
      </c>
      <c r="BA30" s="1039">
        <f t="shared" ca="1" si="58"/>
        <v>0</v>
      </c>
      <c r="BB30" s="1039">
        <f t="shared" ca="1" si="58"/>
        <v>0</v>
      </c>
      <c r="BC30" s="1039">
        <f t="shared" ca="1" si="58"/>
        <v>0</v>
      </c>
      <c r="BD30" s="1039">
        <f t="shared" ca="1" si="58"/>
        <v>0</v>
      </c>
      <c r="BE30" s="1039">
        <f t="shared" ca="1" si="58"/>
        <v>0</v>
      </c>
      <c r="BF30" s="1008">
        <f t="shared" ca="1" si="62"/>
        <v>0</v>
      </c>
      <c r="BH30" s="1033">
        <f t="shared" ca="1" si="63"/>
        <v>0</v>
      </c>
      <c r="BI30" s="1033">
        <f t="shared" ca="1" si="63"/>
        <v>0</v>
      </c>
      <c r="BJ30" s="1044">
        <f t="shared" ca="1" si="64"/>
        <v>0</v>
      </c>
      <c r="BL30" s="1007">
        <f t="shared" ca="1" si="9"/>
        <v>0</v>
      </c>
      <c r="BM30" s="1007"/>
      <c r="BN30" s="840"/>
      <c r="BO30" s="1481">
        <f t="shared" ca="1" si="78"/>
        <v>0</v>
      </c>
      <c r="BP30" s="1482">
        <f t="shared" ca="1" si="78"/>
        <v>0</v>
      </c>
      <c r="BQ30" s="1482">
        <f t="shared" ca="1" si="78"/>
        <v>0</v>
      </c>
      <c r="BR30" s="1482">
        <f t="shared" ca="1" si="78"/>
        <v>0</v>
      </c>
      <c r="BS30" s="1482">
        <f t="shared" ca="1" si="78"/>
        <v>0</v>
      </c>
      <c r="BT30" s="1482">
        <f t="shared" ca="1" si="78"/>
        <v>0</v>
      </c>
      <c r="BU30" s="1482">
        <f t="shared" ca="1" si="78"/>
        <v>0</v>
      </c>
      <c r="BV30" s="1482">
        <f t="shared" ca="1" si="78"/>
        <v>0</v>
      </c>
      <c r="BW30" s="1482">
        <f t="shared" ca="1" si="78"/>
        <v>0</v>
      </c>
      <c r="BX30" s="1482">
        <f t="shared" ca="1" si="78"/>
        <v>0</v>
      </c>
      <c r="BY30" s="1482">
        <f t="shared" ca="1" si="79"/>
        <v>0</v>
      </c>
      <c r="BZ30" s="1482">
        <f t="shared" ca="1" si="79"/>
        <v>0</v>
      </c>
      <c r="CA30" s="1482">
        <f t="shared" ca="1" si="79"/>
        <v>0</v>
      </c>
      <c r="CB30" s="1482">
        <f t="shared" ca="1" si="79"/>
        <v>0</v>
      </c>
      <c r="CC30" s="1482">
        <f t="shared" ca="1" si="79"/>
        <v>0</v>
      </c>
      <c r="CD30" s="1482">
        <f t="shared" ca="1" si="79"/>
        <v>0</v>
      </c>
      <c r="CE30" s="1482">
        <f t="shared" ca="1" si="79"/>
        <v>0</v>
      </c>
      <c r="CF30" s="1482">
        <f t="shared" ca="1" si="79"/>
        <v>0</v>
      </c>
      <c r="CG30" s="1482">
        <f t="shared" ca="1" si="79"/>
        <v>0</v>
      </c>
      <c r="CH30" s="1482">
        <f t="shared" ca="1" si="79"/>
        <v>0</v>
      </c>
      <c r="CI30" s="1482">
        <f t="shared" ca="1" si="80"/>
        <v>0</v>
      </c>
      <c r="CJ30" s="1482">
        <f t="shared" ca="1" si="80"/>
        <v>0</v>
      </c>
      <c r="CK30" s="1482">
        <f t="shared" ca="1" si="80"/>
        <v>0</v>
      </c>
      <c r="CL30" s="1482">
        <f t="shared" ca="1" si="80"/>
        <v>0</v>
      </c>
      <c r="CM30" s="1482">
        <f t="shared" ca="1" si="80"/>
        <v>0</v>
      </c>
      <c r="CN30" s="1482">
        <f t="shared" ca="1" si="80"/>
        <v>0</v>
      </c>
      <c r="CO30" s="1482">
        <f t="shared" ca="1" si="80"/>
        <v>0</v>
      </c>
      <c r="CP30" s="1482">
        <f t="shared" ca="1" si="80"/>
        <v>0</v>
      </c>
      <c r="CQ30" s="1482">
        <f t="shared" ca="1" si="80"/>
        <v>0</v>
      </c>
      <c r="CR30" s="1482">
        <f t="shared" ca="1" si="80"/>
        <v>0</v>
      </c>
      <c r="CS30" s="1482">
        <f t="shared" ca="1" si="81"/>
        <v>0</v>
      </c>
      <c r="CT30" s="1482">
        <f t="shared" ca="1" si="81"/>
        <v>0</v>
      </c>
      <c r="CU30" s="1482">
        <f t="shared" ca="1" si="81"/>
        <v>0</v>
      </c>
      <c r="CV30" s="1482">
        <f t="shared" ca="1" si="81"/>
        <v>0</v>
      </c>
      <c r="CW30" s="1482">
        <f t="shared" ca="1" si="81"/>
        <v>0</v>
      </c>
      <c r="CX30" s="1482">
        <f t="shared" ca="1" si="81"/>
        <v>0</v>
      </c>
      <c r="CY30" s="1482">
        <f t="shared" ca="1" si="81"/>
        <v>0</v>
      </c>
      <c r="CZ30" s="1482">
        <f t="shared" ca="1" si="81"/>
        <v>0</v>
      </c>
      <c r="DA30" s="1482">
        <f t="shared" ca="1" si="81"/>
        <v>0</v>
      </c>
      <c r="DB30" s="1482">
        <f t="shared" ca="1" si="81"/>
        <v>0</v>
      </c>
      <c r="DC30" s="1482">
        <f t="shared" ca="1" si="81"/>
        <v>0</v>
      </c>
      <c r="DD30" s="1482">
        <f t="shared" ca="1" si="81"/>
        <v>0</v>
      </c>
      <c r="DE30" s="1482">
        <f t="shared" ca="1" si="81"/>
        <v>0</v>
      </c>
      <c r="DF30" s="1482">
        <f t="shared" ca="1" si="81"/>
        <v>0</v>
      </c>
      <c r="DH30" s="838">
        <f t="shared" ca="1" si="35"/>
        <v>0</v>
      </c>
    </row>
    <row r="31" spans="1:112" s="743" customFormat="1" ht="11.25" hidden="1" customHeight="1" outlineLevel="1">
      <c r="A31" s="1484"/>
      <c r="B31" s="1484"/>
      <c r="C31" s="746"/>
      <c r="D31" s="1011" t="s">
        <v>961</v>
      </c>
      <c r="E31" s="1010"/>
      <c r="G31" s="1020">
        <f ca="1">SUM(G29:G30)</f>
        <v>0</v>
      </c>
      <c r="H31" s="1020">
        <f t="shared" ref="H31:P31" ca="1" si="82">SUM(H29:H30)</f>
        <v>0</v>
      </c>
      <c r="I31" s="1020">
        <f t="shared" ca="1" si="82"/>
        <v>0</v>
      </c>
      <c r="J31" s="1020">
        <f t="shared" ca="1" si="82"/>
        <v>0</v>
      </c>
      <c r="K31" s="1020">
        <f t="shared" ca="1" si="82"/>
        <v>0</v>
      </c>
      <c r="L31" s="1020">
        <f t="shared" ca="1" si="82"/>
        <v>0</v>
      </c>
      <c r="M31" s="1020">
        <f t="shared" ca="1" si="82"/>
        <v>0</v>
      </c>
      <c r="N31" s="1020">
        <f t="shared" ca="1" si="82"/>
        <v>0</v>
      </c>
      <c r="O31" s="1020">
        <f t="shared" ca="1" si="82"/>
        <v>43.30892867886606</v>
      </c>
      <c r="P31" s="1020">
        <f t="shared" ca="1" si="82"/>
        <v>0</v>
      </c>
      <c r="Q31" s="1020">
        <f t="shared" ca="1" si="69"/>
        <v>43.30892867886606</v>
      </c>
      <c r="S31" s="1030">
        <f t="shared" ref="S31:Z31" ca="1" si="83">SUM(S29:S30)</f>
        <v>0</v>
      </c>
      <c r="T31" s="1030">
        <f t="shared" ca="1" si="83"/>
        <v>0</v>
      </c>
      <c r="U31" s="1030">
        <f t="shared" ca="1" si="83"/>
        <v>0</v>
      </c>
      <c r="V31" s="1030">
        <f t="shared" ca="1" si="83"/>
        <v>-43.30892867886606</v>
      </c>
      <c r="W31" s="1030">
        <f t="shared" ca="1" si="83"/>
        <v>0</v>
      </c>
      <c r="X31" s="1132">
        <f t="shared" ca="1" si="83"/>
        <v>0</v>
      </c>
      <c r="Y31" s="1132">
        <f t="shared" ca="1" si="83"/>
        <v>0</v>
      </c>
      <c r="Z31" s="1132">
        <f t="shared" ca="1" si="83"/>
        <v>0</v>
      </c>
      <c r="AA31" s="1030">
        <f t="shared" ref="AA31:AJ31" ca="1" si="84">SUM(AA29:AA30)</f>
        <v>0</v>
      </c>
      <c r="AB31" s="1030">
        <f t="shared" ca="1" si="84"/>
        <v>0</v>
      </c>
      <c r="AC31" s="1030">
        <f t="shared" ca="1" si="84"/>
        <v>0</v>
      </c>
      <c r="AD31" s="1030">
        <f ca="1">SUM(AD29:AD30)</f>
        <v>0</v>
      </c>
      <c r="AE31" s="1030">
        <f ca="1">SUM(AE29:AE30)</f>
        <v>0</v>
      </c>
      <c r="AF31" s="1030">
        <f t="shared" ca="1" si="84"/>
        <v>0</v>
      </c>
      <c r="AG31" s="1030">
        <f ca="1">SUM(AG29:AG30)</f>
        <v>0</v>
      </c>
      <c r="AH31" s="1030">
        <f ca="1">SUM(AH29:AH30)</f>
        <v>0</v>
      </c>
      <c r="AI31" s="1030">
        <f ca="1">SUM(AI29:AI30)</f>
        <v>0</v>
      </c>
      <c r="AJ31" s="1030">
        <f t="shared" ca="1" si="84"/>
        <v>0</v>
      </c>
      <c r="AK31" s="1030">
        <f t="shared" ca="1" si="60"/>
        <v>-43.30892867886606</v>
      </c>
      <c r="AM31" s="1043">
        <f t="shared" ref="AM31:BE31" ca="1" si="85">SUM(AM29:AM30)</f>
        <v>0</v>
      </c>
      <c r="AN31" s="1043">
        <f t="shared" ca="1" si="85"/>
        <v>0</v>
      </c>
      <c r="AO31" s="1043">
        <f t="shared" ca="1" si="85"/>
        <v>0</v>
      </c>
      <c r="AP31" s="1043">
        <f t="shared" ca="1" si="85"/>
        <v>0</v>
      </c>
      <c r="AQ31" s="1043">
        <f t="shared" ca="1" si="85"/>
        <v>0</v>
      </c>
      <c r="AR31" s="1043">
        <f t="shared" ca="1" si="85"/>
        <v>0</v>
      </c>
      <c r="AS31" s="1043">
        <f t="shared" ca="1" si="85"/>
        <v>0</v>
      </c>
      <c r="AT31" s="1043">
        <f t="shared" ca="1" si="85"/>
        <v>0</v>
      </c>
      <c r="AU31" s="1043">
        <f t="shared" ca="1" si="85"/>
        <v>0</v>
      </c>
      <c r="AV31" s="1043">
        <f t="shared" ca="1" si="85"/>
        <v>0</v>
      </c>
      <c r="AW31" s="1043">
        <f t="shared" ca="1" si="85"/>
        <v>0</v>
      </c>
      <c r="AX31" s="1043">
        <f t="shared" ca="1" si="85"/>
        <v>0</v>
      </c>
      <c r="AY31" s="1043">
        <f t="shared" ca="1" si="85"/>
        <v>0</v>
      </c>
      <c r="AZ31" s="1043">
        <f t="shared" ca="1" si="85"/>
        <v>0</v>
      </c>
      <c r="BA31" s="1043">
        <f t="shared" ca="1" si="85"/>
        <v>0</v>
      </c>
      <c r="BB31" s="1043">
        <f t="shared" ca="1" si="85"/>
        <v>0</v>
      </c>
      <c r="BC31" s="1043">
        <f t="shared" ca="1" si="85"/>
        <v>0</v>
      </c>
      <c r="BD31" s="1043">
        <f t="shared" ca="1" si="85"/>
        <v>0</v>
      </c>
      <c r="BE31" s="1043">
        <f t="shared" ca="1" si="85"/>
        <v>0</v>
      </c>
      <c r="BF31" s="1013">
        <f t="shared" ca="1" si="62"/>
        <v>0</v>
      </c>
      <c r="BH31" s="1037">
        <f ca="1">SUM(BH29:BH30)</f>
        <v>0</v>
      </c>
      <c r="BI31" s="1037">
        <f ca="1">SUM(BI29:BI30)</f>
        <v>0</v>
      </c>
      <c r="BJ31" s="1035">
        <f t="shared" ca="1" si="64"/>
        <v>0</v>
      </c>
      <c r="BL31" s="524">
        <f t="shared" ca="1" si="9"/>
        <v>0</v>
      </c>
      <c r="BM31" s="524"/>
      <c r="BN31" s="1484"/>
      <c r="BO31" s="1485">
        <f t="shared" ref="BO31:DF31" ca="1" si="86">SUM(BO29:BO30)</f>
        <v>0</v>
      </c>
      <c r="BP31" s="1486">
        <f t="shared" ca="1" si="86"/>
        <v>0</v>
      </c>
      <c r="BQ31" s="1486">
        <f t="shared" ca="1" si="86"/>
        <v>0</v>
      </c>
      <c r="BR31" s="1486">
        <f t="shared" ca="1" si="86"/>
        <v>0</v>
      </c>
      <c r="BS31" s="1486">
        <f t="shared" ca="1" si="86"/>
        <v>0</v>
      </c>
      <c r="BT31" s="1486">
        <f t="shared" ca="1" si="86"/>
        <v>0</v>
      </c>
      <c r="BU31" s="1486">
        <f t="shared" ca="1" si="86"/>
        <v>0</v>
      </c>
      <c r="BV31" s="1486">
        <f t="shared" ca="1" si="86"/>
        <v>0</v>
      </c>
      <c r="BW31" s="1486">
        <f t="shared" ca="1" si="86"/>
        <v>0</v>
      </c>
      <c r="BX31" s="1486">
        <f t="shared" ca="1" si="86"/>
        <v>0</v>
      </c>
      <c r="BY31" s="1486">
        <f t="shared" ca="1" si="86"/>
        <v>0</v>
      </c>
      <c r="BZ31" s="1486">
        <f t="shared" ca="1" si="86"/>
        <v>0</v>
      </c>
      <c r="CA31" s="1486">
        <f t="shared" ca="1" si="86"/>
        <v>0</v>
      </c>
      <c r="CB31" s="1486">
        <f t="shared" ca="1" si="86"/>
        <v>0</v>
      </c>
      <c r="CC31" s="1486">
        <f t="shared" ca="1" si="86"/>
        <v>0</v>
      </c>
      <c r="CD31" s="1486">
        <f t="shared" ca="1" si="86"/>
        <v>0</v>
      </c>
      <c r="CE31" s="1486">
        <f t="shared" ca="1" si="86"/>
        <v>0</v>
      </c>
      <c r="CF31" s="1486">
        <f t="shared" ca="1" si="86"/>
        <v>0</v>
      </c>
      <c r="CG31" s="1486">
        <f t="shared" ca="1" si="86"/>
        <v>0</v>
      </c>
      <c r="CH31" s="1486">
        <f t="shared" ca="1" si="86"/>
        <v>0</v>
      </c>
      <c r="CI31" s="1486">
        <f t="shared" ca="1" si="86"/>
        <v>0</v>
      </c>
      <c r="CJ31" s="1486">
        <f t="shared" ca="1" si="86"/>
        <v>0</v>
      </c>
      <c r="CK31" s="1486">
        <f t="shared" ca="1" si="86"/>
        <v>0</v>
      </c>
      <c r="CL31" s="1486">
        <f t="shared" ca="1" si="86"/>
        <v>0</v>
      </c>
      <c r="CM31" s="1486">
        <f t="shared" ca="1" si="86"/>
        <v>0</v>
      </c>
      <c r="CN31" s="1486">
        <f t="shared" ca="1" si="86"/>
        <v>0</v>
      </c>
      <c r="CO31" s="1486">
        <f t="shared" ca="1" si="86"/>
        <v>0</v>
      </c>
      <c r="CP31" s="1486">
        <f t="shared" ca="1" si="86"/>
        <v>0</v>
      </c>
      <c r="CQ31" s="1486">
        <f t="shared" ca="1" si="86"/>
        <v>0</v>
      </c>
      <c r="CR31" s="1486">
        <f t="shared" ca="1" si="86"/>
        <v>0</v>
      </c>
      <c r="CS31" s="1486">
        <f t="shared" ca="1" si="86"/>
        <v>0</v>
      </c>
      <c r="CT31" s="1486">
        <f t="shared" ca="1" si="86"/>
        <v>0</v>
      </c>
      <c r="CU31" s="1486">
        <f t="shared" ca="1" si="86"/>
        <v>10.827232169716515</v>
      </c>
      <c r="CV31" s="1486">
        <f t="shared" ca="1" si="86"/>
        <v>1.3479861308078628E-2</v>
      </c>
      <c r="CW31" s="1486">
        <f t="shared" ca="1" si="86"/>
        <v>0.19480409271321017</v>
      </c>
      <c r="CX31" s="1486">
        <f t="shared" ca="1" si="86"/>
        <v>0</v>
      </c>
      <c r="CY31" s="1486">
        <f t="shared" ca="1" si="86"/>
        <v>0</v>
      </c>
      <c r="CZ31" s="1486">
        <f t="shared" ca="1" si="86"/>
        <v>0</v>
      </c>
      <c r="DA31" s="1486">
        <f t="shared" ca="1" si="86"/>
        <v>0</v>
      </c>
      <c r="DB31" s="1486">
        <f t="shared" ca="1" si="86"/>
        <v>0</v>
      </c>
      <c r="DC31" s="1486">
        <f t="shared" ca="1" si="86"/>
        <v>0</v>
      </c>
      <c r="DD31" s="1486">
        <f t="shared" ca="1" si="86"/>
        <v>0</v>
      </c>
      <c r="DE31" s="1486">
        <f t="shared" ca="1" si="86"/>
        <v>0</v>
      </c>
      <c r="DF31" s="1486">
        <f t="shared" ca="1" si="86"/>
        <v>0</v>
      </c>
      <c r="DH31" s="838">
        <f t="shared" ca="1" si="35"/>
        <v>11.035516123737805</v>
      </c>
    </row>
    <row r="32" spans="1:112" s="743" customFormat="1" ht="15.75" collapsed="1">
      <c r="A32" s="22"/>
      <c r="B32" s="753"/>
      <c r="C32" s="744" t="s">
        <v>679</v>
      </c>
      <c r="D32" s="517" t="str">
        <f>INDEX(Workstreams[Workstream], MATCH($C32, Workstreams[Code], 0))</f>
        <v>Transport</v>
      </c>
      <c r="E32" s="512"/>
      <c r="G32" s="1021">
        <f t="shared" ref="G32:P32" ca="1" si="87">G24+G25+G28+G31</f>
        <v>0</v>
      </c>
      <c r="H32" s="1021">
        <f t="shared" ca="1" si="87"/>
        <v>0</v>
      </c>
      <c r="I32" s="1021">
        <f t="shared" ca="1" si="87"/>
        <v>0</v>
      </c>
      <c r="J32" s="1021">
        <f t="shared" ca="1" si="87"/>
        <v>470.28702972578913</v>
      </c>
      <c r="K32" s="1021">
        <f t="shared" ca="1" si="87"/>
        <v>17.724487403333239</v>
      </c>
      <c r="L32" s="1021">
        <f t="shared" ca="1" si="87"/>
        <v>9.5510973295169013</v>
      </c>
      <c r="M32" s="1021">
        <f t="shared" ca="1" si="87"/>
        <v>26.572895707388618</v>
      </c>
      <c r="N32" s="1021">
        <f t="shared" ca="1" si="87"/>
        <v>153.63082794362825</v>
      </c>
      <c r="O32" s="1021">
        <f t="shared" ca="1" si="87"/>
        <v>43.30892867886606</v>
      </c>
      <c r="P32" s="1021">
        <f t="shared" ca="1" si="87"/>
        <v>0</v>
      </c>
      <c r="Q32" s="1021">
        <f t="shared" ca="1" si="69"/>
        <v>721.07526678852219</v>
      </c>
      <c r="S32" s="970">
        <f t="shared" ref="S32:Z32" ca="1" si="88">S24+S25+S28+S31</f>
        <v>-8.1840361138417652</v>
      </c>
      <c r="T32" s="970">
        <f t="shared" ca="1" si="88"/>
        <v>0</v>
      </c>
      <c r="U32" s="970">
        <f t="shared" ca="1" si="88"/>
        <v>0</v>
      </c>
      <c r="V32" s="970">
        <f t="shared" ca="1" si="88"/>
        <v>-712.8912306746804</v>
      </c>
      <c r="W32" s="970">
        <f t="shared" ca="1" si="88"/>
        <v>0</v>
      </c>
      <c r="X32" s="970">
        <f t="shared" ca="1" si="88"/>
        <v>0</v>
      </c>
      <c r="Y32" s="970">
        <f t="shared" ca="1" si="88"/>
        <v>0</v>
      </c>
      <c r="Z32" s="970">
        <f t="shared" ca="1" si="88"/>
        <v>0</v>
      </c>
      <c r="AA32" s="970">
        <f t="shared" ref="AA32:AJ32" ca="1" si="89">AA24+AA25+AA28+AA31</f>
        <v>0</v>
      </c>
      <c r="AB32" s="970">
        <f t="shared" ca="1" si="89"/>
        <v>0</v>
      </c>
      <c r="AC32" s="970">
        <f t="shared" ca="1" si="89"/>
        <v>0</v>
      </c>
      <c r="AD32" s="970">
        <f ca="1">AD24+AD25+AD28+AD31</f>
        <v>0</v>
      </c>
      <c r="AE32" s="970">
        <f ca="1">AE24+AE25+AE28+AE31</f>
        <v>0</v>
      </c>
      <c r="AF32" s="970">
        <f t="shared" ca="1" si="89"/>
        <v>0</v>
      </c>
      <c r="AG32" s="970">
        <f ca="1">AG24+AG25+AG28+AG31</f>
        <v>0</v>
      </c>
      <c r="AH32" s="970">
        <f ca="1">AH24+AH25+AH28+AH31</f>
        <v>0</v>
      </c>
      <c r="AI32" s="970">
        <f ca="1">AI24+AI25+AI28+AI31</f>
        <v>0</v>
      </c>
      <c r="AJ32" s="970">
        <f t="shared" ca="1" si="89"/>
        <v>0</v>
      </c>
      <c r="AK32" s="970">
        <f t="shared" ca="1" si="60"/>
        <v>-721.07526678852219</v>
      </c>
      <c r="AM32" s="976">
        <f t="shared" ref="AM32:AS32" ca="1" si="90">AM24+AM25+AM28+AM31</f>
        <v>0</v>
      </c>
      <c r="AN32" s="976">
        <f t="shared" ca="1" si="90"/>
        <v>0</v>
      </c>
      <c r="AO32" s="976">
        <f t="shared" ca="1" si="90"/>
        <v>0</v>
      </c>
      <c r="AP32" s="976">
        <f t="shared" ca="1" si="90"/>
        <v>0</v>
      </c>
      <c r="AQ32" s="976">
        <f t="shared" ca="1" si="90"/>
        <v>0</v>
      </c>
      <c r="AR32" s="976">
        <f t="shared" ca="1" si="90"/>
        <v>0</v>
      </c>
      <c r="AS32" s="976">
        <f t="shared" ca="1" si="90"/>
        <v>0</v>
      </c>
      <c r="AT32" s="976">
        <f t="shared" ref="AT32:BE32" ca="1" si="91">AT24+AT25+AT28+AT31</f>
        <v>0</v>
      </c>
      <c r="AU32" s="976">
        <f t="shared" ca="1" si="91"/>
        <v>0</v>
      </c>
      <c r="AV32" s="976">
        <f t="shared" ca="1" si="91"/>
        <v>0</v>
      </c>
      <c r="AW32" s="976">
        <f t="shared" ca="1" si="91"/>
        <v>0</v>
      </c>
      <c r="AX32" s="976">
        <f t="shared" ca="1" si="91"/>
        <v>0</v>
      </c>
      <c r="AY32" s="976">
        <f t="shared" ca="1" si="91"/>
        <v>0</v>
      </c>
      <c r="AZ32" s="976">
        <f t="shared" ca="1" si="91"/>
        <v>0</v>
      </c>
      <c r="BA32" s="976">
        <f t="shared" ca="1" si="91"/>
        <v>0</v>
      </c>
      <c r="BB32" s="976">
        <f t="shared" ca="1" si="91"/>
        <v>0</v>
      </c>
      <c r="BC32" s="976">
        <f t="shared" ca="1" si="91"/>
        <v>0</v>
      </c>
      <c r="BD32" s="976">
        <f t="shared" ca="1" si="91"/>
        <v>0</v>
      </c>
      <c r="BE32" s="976">
        <f t="shared" ca="1" si="91"/>
        <v>0</v>
      </c>
      <c r="BF32" s="976">
        <f t="shared" ca="1" si="62"/>
        <v>0</v>
      </c>
      <c r="BH32" s="990">
        <f ca="1">BH24+BH25+BH28+BH31</f>
        <v>0</v>
      </c>
      <c r="BI32" s="990">
        <f ca="1">BI24+BI25+BI28+BI31</f>
        <v>0</v>
      </c>
      <c r="BJ32" s="990">
        <f t="shared" ca="1" si="64"/>
        <v>0</v>
      </c>
      <c r="BL32" s="515">
        <f t="shared" ca="1" si="9"/>
        <v>0</v>
      </c>
      <c r="BM32" s="515"/>
      <c r="BN32" s="840"/>
      <c r="BO32" s="1482">
        <f t="shared" ref="BO32:DF32" ca="1" si="92">BO24+BO25+BO28+BO31</f>
        <v>128.98786851304652</v>
      </c>
      <c r="BP32" s="1482">
        <f t="shared" ca="1" si="92"/>
        <v>0.16058938708673448</v>
      </c>
      <c r="BQ32" s="1482">
        <f t="shared" ca="1" si="92"/>
        <v>2.3207560623827259</v>
      </c>
      <c r="BR32" s="1482">
        <f t="shared" ca="1" si="92"/>
        <v>0</v>
      </c>
      <c r="BS32" s="1482">
        <f t="shared" ca="1" si="92"/>
        <v>0</v>
      </c>
      <c r="BT32" s="1482">
        <f t="shared" ca="1" si="92"/>
        <v>0</v>
      </c>
      <c r="BU32" s="1482">
        <f t="shared" ca="1" si="92"/>
        <v>0</v>
      </c>
      <c r="BV32" s="1482">
        <f t="shared" ca="1" si="92"/>
        <v>0</v>
      </c>
      <c r="BW32" s="1482">
        <f t="shared" ca="1" si="92"/>
        <v>0</v>
      </c>
      <c r="BX32" s="1482">
        <f t="shared" ca="1" si="92"/>
        <v>0</v>
      </c>
      <c r="BY32" s="1482">
        <f t="shared" ca="1" si="92"/>
        <v>0</v>
      </c>
      <c r="BZ32" s="1482">
        <f t="shared" ca="1" si="92"/>
        <v>0</v>
      </c>
      <c r="CA32" s="1482">
        <f t="shared" ca="1" si="92"/>
        <v>0</v>
      </c>
      <c r="CB32" s="1482">
        <f t="shared" ca="1" si="92"/>
        <v>0</v>
      </c>
      <c r="CC32" s="1482">
        <f t="shared" ca="1" si="92"/>
        <v>0</v>
      </c>
      <c r="CD32" s="1482">
        <f t="shared" ca="1" si="92"/>
        <v>0</v>
      </c>
      <c r="CE32" s="1482">
        <f t="shared" ca="1" si="92"/>
        <v>0</v>
      </c>
      <c r="CF32" s="1482">
        <f t="shared" ca="1" si="92"/>
        <v>0</v>
      </c>
      <c r="CG32" s="1482">
        <f t="shared" ca="1" si="92"/>
        <v>0</v>
      </c>
      <c r="CH32" s="1482">
        <f t="shared" ca="1" si="92"/>
        <v>0</v>
      </c>
      <c r="CI32" s="1482">
        <f t="shared" ca="1" si="92"/>
        <v>0</v>
      </c>
      <c r="CJ32" s="1482">
        <f t="shared" ca="1" si="92"/>
        <v>0</v>
      </c>
      <c r="CK32" s="1482">
        <f t="shared" ca="1" si="92"/>
        <v>0</v>
      </c>
      <c r="CL32" s="1482">
        <f t="shared" ca="1" si="92"/>
        <v>0</v>
      </c>
      <c r="CM32" s="1482">
        <f t="shared" ca="1" si="92"/>
        <v>0</v>
      </c>
      <c r="CN32" s="1482">
        <f t="shared" ca="1" si="92"/>
        <v>0</v>
      </c>
      <c r="CO32" s="1482">
        <f t="shared" ca="1" si="92"/>
        <v>0</v>
      </c>
      <c r="CP32" s="1482">
        <f t="shared" ca="1" si="92"/>
        <v>0</v>
      </c>
      <c r="CQ32" s="1482">
        <f t="shared" ca="1" si="92"/>
        <v>0</v>
      </c>
      <c r="CR32" s="1482">
        <f t="shared" ca="1" si="92"/>
        <v>0</v>
      </c>
      <c r="CS32" s="1482">
        <f t="shared" ca="1" si="92"/>
        <v>0</v>
      </c>
      <c r="CT32" s="1482">
        <f t="shared" ca="1" si="92"/>
        <v>0</v>
      </c>
      <c r="CU32" s="1482">
        <f t="shared" ca="1" si="92"/>
        <v>49.234939155623579</v>
      </c>
      <c r="CV32" s="1482">
        <f t="shared" ca="1" si="92"/>
        <v>6.1297304881462844E-2</v>
      </c>
      <c r="CW32" s="1482">
        <f t="shared" ca="1" si="92"/>
        <v>0.8858374422622618</v>
      </c>
      <c r="CX32" s="1482">
        <f t="shared" ca="1" si="92"/>
        <v>0</v>
      </c>
      <c r="CY32" s="1482">
        <f t="shared" ca="1" si="92"/>
        <v>0</v>
      </c>
      <c r="CZ32" s="1482">
        <f t="shared" ca="1" si="92"/>
        <v>0</v>
      </c>
      <c r="DA32" s="1482">
        <f t="shared" ca="1" si="92"/>
        <v>0</v>
      </c>
      <c r="DB32" s="1482">
        <f t="shared" ca="1" si="92"/>
        <v>0</v>
      </c>
      <c r="DC32" s="1482">
        <f t="shared" ca="1" si="92"/>
        <v>0</v>
      </c>
      <c r="DD32" s="1482">
        <f t="shared" ca="1" si="92"/>
        <v>0</v>
      </c>
      <c r="DE32" s="1482">
        <f t="shared" ca="1" si="92"/>
        <v>0</v>
      </c>
      <c r="DF32" s="1482">
        <f t="shared" ca="1" si="92"/>
        <v>0</v>
      </c>
      <c r="DH32" s="838">
        <f t="shared" ca="1" si="35"/>
        <v>181.65128786528328</v>
      </c>
    </row>
    <row r="33" spans="1:112" s="743" customFormat="1" ht="12.75" hidden="1" customHeight="1" outlineLevel="1">
      <c r="A33" s="22"/>
      <c r="B33" s="22"/>
      <c r="C33" s="751"/>
      <c r="D33" s="512"/>
      <c r="E33" s="512"/>
      <c r="G33" s="1021"/>
      <c r="H33" s="1021"/>
      <c r="I33" s="1021"/>
      <c r="J33" s="1021"/>
      <c r="K33" s="1021"/>
      <c r="L33" s="1021"/>
      <c r="M33" s="1021"/>
      <c r="N33" s="1021"/>
      <c r="O33" s="1021"/>
      <c r="P33" s="1021"/>
      <c r="Q33" s="1021"/>
      <c r="S33" s="970"/>
      <c r="T33" s="970"/>
      <c r="U33" s="970"/>
      <c r="V33" s="970"/>
      <c r="W33" s="970"/>
      <c r="X33" s="970"/>
      <c r="Y33" s="970"/>
      <c r="Z33" s="970"/>
      <c r="AA33" s="970"/>
      <c r="AB33" s="970"/>
      <c r="AC33" s="970"/>
      <c r="AD33" s="970"/>
      <c r="AE33" s="970"/>
      <c r="AF33" s="970"/>
      <c r="AG33" s="970"/>
      <c r="AH33" s="970"/>
      <c r="AI33" s="970"/>
      <c r="AJ33" s="970"/>
      <c r="AK33" s="970"/>
      <c r="AM33" s="976"/>
      <c r="AN33" s="976"/>
      <c r="AO33" s="976"/>
      <c r="AP33" s="976"/>
      <c r="AQ33" s="976"/>
      <c r="AR33" s="976"/>
      <c r="AS33" s="976"/>
      <c r="AT33" s="976"/>
      <c r="AU33" s="976"/>
      <c r="AV33" s="976"/>
      <c r="AW33" s="976"/>
      <c r="AX33" s="976"/>
      <c r="AY33" s="976"/>
      <c r="AZ33" s="976"/>
      <c r="BA33" s="976"/>
      <c r="BB33" s="976"/>
      <c r="BC33" s="976"/>
      <c r="BD33" s="976"/>
      <c r="BE33" s="976"/>
      <c r="BF33" s="976"/>
      <c r="BH33" s="990"/>
      <c r="BI33" s="990"/>
      <c r="BJ33" s="990"/>
      <c r="BL33" s="515">
        <f t="shared" si="9"/>
        <v>0</v>
      </c>
      <c r="BM33" s="515"/>
      <c r="BN33" s="22"/>
      <c r="BO33" s="1482"/>
      <c r="BP33" s="1482"/>
      <c r="BQ33" s="1482"/>
      <c r="BR33" s="1482"/>
      <c r="BS33" s="1482"/>
      <c r="BT33" s="1482"/>
      <c r="BU33" s="1482"/>
      <c r="BV33" s="1482"/>
      <c r="BW33" s="1482"/>
      <c r="BX33" s="1482"/>
      <c r="BY33" s="1482"/>
      <c r="BZ33" s="1482"/>
      <c r="CA33" s="1482"/>
      <c r="CB33" s="1482"/>
      <c r="CC33" s="1482"/>
      <c r="CD33" s="1482"/>
      <c r="CE33" s="1482"/>
      <c r="CF33" s="1482"/>
      <c r="CG33" s="1482"/>
      <c r="CH33" s="1482"/>
      <c r="CI33" s="1482"/>
      <c r="CJ33" s="1482"/>
      <c r="CK33" s="1482"/>
      <c r="CL33" s="1482"/>
      <c r="CM33" s="1482"/>
      <c r="CN33" s="1482"/>
      <c r="CO33" s="1482"/>
      <c r="CP33" s="1482"/>
      <c r="CQ33" s="1482"/>
      <c r="CR33" s="1482"/>
      <c r="CS33" s="1482"/>
      <c r="CT33" s="1482"/>
      <c r="CU33" s="1482"/>
      <c r="CV33" s="1482"/>
      <c r="CW33" s="1482"/>
      <c r="CX33" s="1482"/>
      <c r="CY33" s="1482"/>
      <c r="CZ33" s="1482"/>
      <c r="DA33" s="1482"/>
      <c r="DB33" s="1482"/>
      <c r="DC33" s="1482"/>
      <c r="DD33" s="1482"/>
      <c r="DE33" s="1482"/>
      <c r="DF33" s="1482"/>
      <c r="DH33" s="838">
        <f t="shared" si="35"/>
        <v>0</v>
      </c>
    </row>
    <row r="34" spans="1:112" s="743" customFormat="1" ht="12.75" hidden="1" customHeight="1" outlineLevel="1">
      <c r="A34" s="1484"/>
      <c r="B34" s="1484"/>
      <c r="C34" s="746" t="s">
        <v>930</v>
      </c>
      <c r="D34" s="1010" t="str">
        <f>INDEX(Modules[Module], MATCH($C34, Modules[Code], 0))</f>
        <v>Food consumption [UNUSED]</v>
      </c>
      <c r="E34" s="1010"/>
      <c r="G34" s="1022">
        <f t="shared" ref="G34:P34" ca="1" si="93">IFERROR(INDEX(INDIRECT($C34&amp;".Outputs["&amp;this.Year&amp;"]"), MATCH(G$5, INDIRECT($C34&amp;".Outputs[Vector]"), 0)), 0)</f>
        <v>0</v>
      </c>
      <c r="H34" s="1022">
        <f t="shared" ca="1" si="93"/>
        <v>0</v>
      </c>
      <c r="I34" s="1022">
        <f t="shared" ca="1" si="93"/>
        <v>0</v>
      </c>
      <c r="J34" s="1022">
        <f t="shared" ca="1" si="93"/>
        <v>0</v>
      </c>
      <c r="K34" s="1022">
        <f t="shared" ca="1" si="93"/>
        <v>0</v>
      </c>
      <c r="L34" s="1022">
        <f t="shared" ca="1" si="93"/>
        <v>0</v>
      </c>
      <c r="M34" s="1022">
        <f t="shared" ca="1" si="93"/>
        <v>0</v>
      </c>
      <c r="N34" s="1022">
        <f t="shared" ca="1" si="93"/>
        <v>0</v>
      </c>
      <c r="O34" s="1022">
        <f t="shared" ca="1" si="93"/>
        <v>0</v>
      </c>
      <c r="P34" s="1022">
        <f t="shared" ca="1" si="93"/>
        <v>0</v>
      </c>
      <c r="Q34" s="1020">
        <f ca="1">SUM(G34:P34)</f>
        <v>0</v>
      </c>
      <c r="S34" s="1031">
        <f t="shared" ref="S34:BE34" ca="1" si="94">IFERROR(INDEX(INDIRECT($C34&amp;".Outputs["&amp;this.Year&amp;"]"), MATCH(S$5, INDIRECT($C34&amp;".Outputs[Vector]"), 0)), 0)</f>
        <v>0</v>
      </c>
      <c r="T34" s="1031">
        <f t="shared" ca="1" si="94"/>
        <v>0</v>
      </c>
      <c r="U34" s="1031">
        <f t="shared" ca="1" si="94"/>
        <v>0</v>
      </c>
      <c r="V34" s="1031">
        <f t="shared" ca="1" si="94"/>
        <v>0</v>
      </c>
      <c r="W34" s="1031">
        <f t="shared" ca="1" si="94"/>
        <v>0</v>
      </c>
      <c r="X34" s="1031">
        <f ca="1">IFERROR(INDEX(INDIRECT($C34&amp;".Outputs["&amp;this.Year&amp;"]"), MATCH(X$5, INDIRECT($C34&amp;".Outputs[Vector]"), 0)), 0)</f>
        <v>0</v>
      </c>
      <c r="Y34" s="1031">
        <f ca="1">IFERROR(INDEX(INDIRECT($C34&amp;".Outputs["&amp;this.Year&amp;"]"), MATCH(Y$5, INDIRECT($C34&amp;".Outputs[Vector]"), 0)), 0)</f>
        <v>0</v>
      </c>
      <c r="Z34" s="1031">
        <f ca="1">IFERROR(INDEX(INDIRECT($C34&amp;".Outputs["&amp;this.Year&amp;"]"), MATCH(Z$5, INDIRECT($C34&amp;".Outputs[Vector]"), 0)), 0)</f>
        <v>0</v>
      </c>
      <c r="AA34" s="1031">
        <f t="shared" ca="1" si="94"/>
        <v>0</v>
      </c>
      <c r="AB34" s="1031">
        <f t="shared" ca="1" si="94"/>
        <v>0</v>
      </c>
      <c r="AC34" s="1031">
        <f t="shared" ca="1" si="94"/>
        <v>0</v>
      </c>
      <c r="AD34" s="1031">
        <f t="shared" ca="1" si="94"/>
        <v>0</v>
      </c>
      <c r="AE34" s="1031">
        <f t="shared" ca="1" si="94"/>
        <v>0</v>
      </c>
      <c r="AF34" s="1031">
        <f t="shared" ca="1" si="94"/>
        <v>0</v>
      </c>
      <c r="AG34" s="1031">
        <f t="shared" ca="1" si="94"/>
        <v>0</v>
      </c>
      <c r="AH34" s="1031">
        <f t="shared" ca="1" si="94"/>
        <v>0</v>
      </c>
      <c r="AI34" s="1031">
        <f t="shared" ca="1" si="94"/>
        <v>0</v>
      </c>
      <c r="AJ34" s="1031">
        <f t="shared" ca="1" si="94"/>
        <v>0</v>
      </c>
      <c r="AK34" s="1030">
        <f ca="1">SUM(S34:AJ34)</f>
        <v>0</v>
      </c>
      <c r="AM34" s="1042">
        <f t="shared" ref="AM34:AU34" ca="1" si="95">IFERROR(INDEX(INDIRECT($C34&amp;".Outputs["&amp;this.Year&amp;"]"), MATCH(AM$5, INDIRECT($C34&amp;".Outputs[Vector]"), 0)), 0)</f>
        <v>0</v>
      </c>
      <c r="AN34" s="1042">
        <f t="shared" ca="1" si="95"/>
        <v>0</v>
      </c>
      <c r="AO34" s="1042">
        <f t="shared" ca="1" si="95"/>
        <v>0</v>
      </c>
      <c r="AP34" s="1042">
        <f t="shared" ca="1" si="95"/>
        <v>0</v>
      </c>
      <c r="AQ34" s="1042">
        <f t="shared" ca="1" si="95"/>
        <v>0</v>
      </c>
      <c r="AR34" s="1042">
        <f t="shared" ca="1" si="95"/>
        <v>0</v>
      </c>
      <c r="AS34" s="1042">
        <f t="shared" ca="1" si="95"/>
        <v>0</v>
      </c>
      <c r="AT34" s="1042">
        <f t="shared" ca="1" si="95"/>
        <v>0</v>
      </c>
      <c r="AU34" s="1042">
        <f t="shared" ca="1" si="95"/>
        <v>0</v>
      </c>
      <c r="AV34" s="1042">
        <f t="shared" ca="1" si="94"/>
        <v>0</v>
      </c>
      <c r="AW34" s="1042">
        <f t="shared" ca="1" si="94"/>
        <v>0</v>
      </c>
      <c r="AX34" s="1042">
        <f t="shared" ca="1" si="94"/>
        <v>0</v>
      </c>
      <c r="AY34" s="1042">
        <f t="shared" ca="1" si="94"/>
        <v>0</v>
      </c>
      <c r="AZ34" s="1042">
        <f t="shared" ca="1" si="94"/>
        <v>0</v>
      </c>
      <c r="BA34" s="1042">
        <f t="shared" ca="1" si="94"/>
        <v>0</v>
      </c>
      <c r="BB34" s="1042">
        <f t="shared" ca="1" si="94"/>
        <v>0</v>
      </c>
      <c r="BC34" s="1042">
        <f t="shared" ca="1" si="94"/>
        <v>0</v>
      </c>
      <c r="BD34" s="1042">
        <f t="shared" ca="1" si="94"/>
        <v>0</v>
      </c>
      <c r="BE34" s="1042">
        <f t="shared" ca="1" si="94"/>
        <v>0</v>
      </c>
      <c r="BF34" s="1012">
        <f ca="1">SUM(AM34:BE34)</f>
        <v>0</v>
      </c>
      <c r="BH34" s="1036">
        <f ca="1">IFERROR(INDEX(INDIRECT($C34&amp;".Outputs["&amp;this.Year&amp;"]"), MATCH(BH$5, INDIRECT($C34&amp;".Outputs[Vector]"), 0)), 0)</f>
        <v>0</v>
      </c>
      <c r="BI34" s="1036">
        <f ca="1">IFERROR(INDEX(INDIRECT($C34&amp;".Outputs["&amp;this.Year&amp;"]"), MATCH(BI$5, INDIRECT($C34&amp;".Outputs[Vector]"), 0)), 0)</f>
        <v>0</v>
      </c>
      <c r="BJ34" s="1035">
        <f ca="1">SUM(BH34:BI34)</f>
        <v>0</v>
      </c>
      <c r="BL34" s="814">
        <f t="shared" ca="1" si="9"/>
        <v>0</v>
      </c>
      <c r="BM34" s="814"/>
      <c r="BN34" s="840"/>
      <c r="BO34" s="1485">
        <f t="shared" ref="BO34:DF34" ca="1" si="96">IFERROR(SUMIFS(INDIRECT($C34&amp;".Emissions["&amp;this.Year&amp;"]"), INDIRECT($C34&amp;".Emissions[GHG]"), BO$6, INDIRECT($C34&amp;".Emissions[IPCC Sector]"), BO$5),0)</f>
        <v>0</v>
      </c>
      <c r="BP34" s="1486">
        <f t="shared" ca="1" si="96"/>
        <v>0</v>
      </c>
      <c r="BQ34" s="1486">
        <f t="shared" ca="1" si="96"/>
        <v>0</v>
      </c>
      <c r="BR34" s="1486">
        <f t="shared" ca="1" si="96"/>
        <v>0</v>
      </c>
      <c r="BS34" s="1486">
        <f t="shared" ca="1" si="96"/>
        <v>0</v>
      </c>
      <c r="BT34" s="1486">
        <f t="shared" ca="1" si="96"/>
        <v>0</v>
      </c>
      <c r="BU34" s="1486">
        <f t="shared" ca="1" si="96"/>
        <v>0</v>
      </c>
      <c r="BV34" s="1486">
        <f t="shared" ca="1" si="96"/>
        <v>0</v>
      </c>
      <c r="BW34" s="1486">
        <f t="shared" ca="1" si="96"/>
        <v>0</v>
      </c>
      <c r="BX34" s="1486">
        <f t="shared" ca="1" si="96"/>
        <v>0</v>
      </c>
      <c r="BY34" s="1486">
        <f t="shared" ca="1" si="96"/>
        <v>0</v>
      </c>
      <c r="BZ34" s="1486">
        <f t="shared" ca="1" si="96"/>
        <v>0</v>
      </c>
      <c r="CA34" s="1486">
        <f t="shared" ca="1" si="96"/>
        <v>0</v>
      </c>
      <c r="CB34" s="1486">
        <f t="shared" ca="1" si="96"/>
        <v>0</v>
      </c>
      <c r="CC34" s="1486">
        <f t="shared" ca="1" si="96"/>
        <v>0</v>
      </c>
      <c r="CD34" s="1486">
        <f t="shared" ca="1" si="96"/>
        <v>0</v>
      </c>
      <c r="CE34" s="1486">
        <f t="shared" ca="1" si="96"/>
        <v>0</v>
      </c>
      <c r="CF34" s="1486">
        <f t="shared" ca="1" si="96"/>
        <v>0</v>
      </c>
      <c r="CG34" s="1486">
        <f t="shared" ca="1" si="96"/>
        <v>0</v>
      </c>
      <c r="CH34" s="1486">
        <f t="shared" ca="1" si="96"/>
        <v>0</v>
      </c>
      <c r="CI34" s="1486">
        <f t="shared" ca="1" si="96"/>
        <v>0</v>
      </c>
      <c r="CJ34" s="1486">
        <f t="shared" ca="1" si="96"/>
        <v>0</v>
      </c>
      <c r="CK34" s="1486">
        <f t="shared" ca="1" si="96"/>
        <v>0</v>
      </c>
      <c r="CL34" s="1486">
        <f t="shared" ca="1" si="96"/>
        <v>0</v>
      </c>
      <c r="CM34" s="1486">
        <f t="shared" ca="1" si="96"/>
        <v>0</v>
      </c>
      <c r="CN34" s="1486">
        <f t="shared" ca="1" si="96"/>
        <v>0</v>
      </c>
      <c r="CO34" s="1486">
        <f t="shared" ca="1" si="96"/>
        <v>0</v>
      </c>
      <c r="CP34" s="1486">
        <f t="shared" ca="1" si="96"/>
        <v>0</v>
      </c>
      <c r="CQ34" s="1486">
        <f t="shared" ca="1" si="96"/>
        <v>0</v>
      </c>
      <c r="CR34" s="1486">
        <f t="shared" ca="1" si="96"/>
        <v>0</v>
      </c>
      <c r="CS34" s="1486">
        <f t="shared" ca="1" si="96"/>
        <v>0</v>
      </c>
      <c r="CT34" s="1486">
        <f t="shared" ca="1" si="96"/>
        <v>0</v>
      </c>
      <c r="CU34" s="1486">
        <f t="shared" ca="1" si="96"/>
        <v>0</v>
      </c>
      <c r="CV34" s="1486">
        <f t="shared" ca="1" si="96"/>
        <v>0</v>
      </c>
      <c r="CW34" s="1486">
        <f t="shared" ca="1" si="96"/>
        <v>0</v>
      </c>
      <c r="CX34" s="1486">
        <f t="shared" ca="1" si="96"/>
        <v>0</v>
      </c>
      <c r="CY34" s="1486">
        <f t="shared" ca="1" si="96"/>
        <v>0</v>
      </c>
      <c r="CZ34" s="1486">
        <f t="shared" ca="1" si="96"/>
        <v>0</v>
      </c>
      <c r="DA34" s="1486">
        <f t="shared" ca="1" si="96"/>
        <v>0</v>
      </c>
      <c r="DB34" s="1486">
        <f t="shared" ca="1" si="96"/>
        <v>0</v>
      </c>
      <c r="DC34" s="1486">
        <f t="shared" ca="1" si="96"/>
        <v>0</v>
      </c>
      <c r="DD34" s="1486">
        <f t="shared" ca="1" si="96"/>
        <v>0</v>
      </c>
      <c r="DE34" s="1486">
        <f t="shared" ca="1" si="96"/>
        <v>0</v>
      </c>
      <c r="DF34" s="1486">
        <f t="shared" ca="1" si="96"/>
        <v>0</v>
      </c>
      <c r="DH34" s="838">
        <f t="shared" ca="1" si="35"/>
        <v>0</v>
      </c>
    </row>
    <row r="35" spans="1:112" s="743" customFormat="1" ht="15.75" collapsed="1">
      <c r="A35" s="22"/>
      <c r="B35" s="753"/>
      <c r="C35" s="744" t="s">
        <v>680</v>
      </c>
      <c r="D35" s="517" t="str">
        <f>INDEX(Workstreams[Workstream], MATCH($C35, Workstreams[Code], 0))</f>
        <v>Food consumption [UNUSED]</v>
      </c>
      <c r="E35" s="512"/>
      <c r="G35" s="1021">
        <f ca="1">G34</f>
        <v>0</v>
      </c>
      <c r="H35" s="1021">
        <f t="shared" ref="H35:P35" ca="1" si="97">H34</f>
        <v>0</v>
      </c>
      <c r="I35" s="1021">
        <f t="shared" ca="1" si="97"/>
        <v>0</v>
      </c>
      <c r="J35" s="1021">
        <f t="shared" ca="1" si="97"/>
        <v>0</v>
      </c>
      <c r="K35" s="1021">
        <f t="shared" ca="1" si="97"/>
        <v>0</v>
      </c>
      <c r="L35" s="1021">
        <f t="shared" ca="1" si="97"/>
        <v>0</v>
      </c>
      <c r="M35" s="1021">
        <f t="shared" ca="1" si="97"/>
        <v>0</v>
      </c>
      <c r="N35" s="1021">
        <f t="shared" ca="1" si="97"/>
        <v>0</v>
      </c>
      <c r="O35" s="1021">
        <f t="shared" ca="1" si="97"/>
        <v>0</v>
      </c>
      <c r="P35" s="1021">
        <f t="shared" ca="1" si="97"/>
        <v>0</v>
      </c>
      <c r="Q35" s="1021">
        <f ca="1">SUM(G35:P35)</f>
        <v>0</v>
      </c>
      <c r="S35" s="970">
        <f ca="1">S34</f>
        <v>0</v>
      </c>
      <c r="T35" s="970">
        <f t="shared" ref="T35:AJ35" ca="1" si="98">T34</f>
        <v>0</v>
      </c>
      <c r="U35" s="970">
        <f t="shared" ca="1" si="98"/>
        <v>0</v>
      </c>
      <c r="V35" s="970">
        <f t="shared" ca="1" si="98"/>
        <v>0</v>
      </c>
      <c r="W35" s="970">
        <f t="shared" ca="1" si="98"/>
        <v>0</v>
      </c>
      <c r="X35" s="970">
        <f ca="1">X34</f>
        <v>0</v>
      </c>
      <c r="Y35" s="970">
        <f ca="1">Y34</f>
        <v>0</v>
      </c>
      <c r="Z35" s="970">
        <f ca="1">Z34</f>
        <v>0</v>
      </c>
      <c r="AA35" s="970">
        <f t="shared" ca="1" si="98"/>
        <v>0</v>
      </c>
      <c r="AB35" s="970">
        <f t="shared" ca="1" si="98"/>
        <v>0</v>
      </c>
      <c r="AC35" s="970">
        <f t="shared" ca="1" si="98"/>
        <v>0</v>
      </c>
      <c r="AD35" s="970">
        <f ca="1">AD34</f>
        <v>0</v>
      </c>
      <c r="AE35" s="970">
        <f ca="1">AE34</f>
        <v>0</v>
      </c>
      <c r="AF35" s="970">
        <f t="shared" ca="1" si="98"/>
        <v>0</v>
      </c>
      <c r="AG35" s="970">
        <f ca="1">AG34</f>
        <v>0</v>
      </c>
      <c r="AH35" s="970">
        <f ca="1">AH34</f>
        <v>0</v>
      </c>
      <c r="AI35" s="970">
        <f ca="1">AI34</f>
        <v>0</v>
      </c>
      <c r="AJ35" s="970">
        <f t="shared" ca="1" si="98"/>
        <v>0</v>
      </c>
      <c r="AK35" s="970">
        <f ca="1">SUM(S35:AJ35)</f>
        <v>0</v>
      </c>
      <c r="AM35" s="976">
        <f t="shared" ref="AM35:BE35" ca="1" si="99">AM34</f>
        <v>0</v>
      </c>
      <c r="AN35" s="976">
        <f t="shared" ca="1" si="99"/>
        <v>0</v>
      </c>
      <c r="AO35" s="976">
        <f t="shared" ca="1" si="99"/>
        <v>0</v>
      </c>
      <c r="AP35" s="976">
        <f t="shared" ca="1" si="99"/>
        <v>0</v>
      </c>
      <c r="AQ35" s="976">
        <f t="shared" ca="1" si="99"/>
        <v>0</v>
      </c>
      <c r="AR35" s="976">
        <f t="shared" ca="1" si="99"/>
        <v>0</v>
      </c>
      <c r="AS35" s="976">
        <f t="shared" ca="1" si="99"/>
        <v>0</v>
      </c>
      <c r="AT35" s="976">
        <f t="shared" ca="1" si="99"/>
        <v>0</v>
      </c>
      <c r="AU35" s="976">
        <f t="shared" ca="1" si="99"/>
        <v>0</v>
      </c>
      <c r="AV35" s="976">
        <f t="shared" ca="1" si="99"/>
        <v>0</v>
      </c>
      <c r="AW35" s="976">
        <f t="shared" ca="1" si="99"/>
        <v>0</v>
      </c>
      <c r="AX35" s="976">
        <f t="shared" ca="1" si="99"/>
        <v>0</v>
      </c>
      <c r="AY35" s="976">
        <f t="shared" ca="1" si="99"/>
        <v>0</v>
      </c>
      <c r="AZ35" s="976">
        <f t="shared" ca="1" si="99"/>
        <v>0</v>
      </c>
      <c r="BA35" s="976">
        <f t="shared" ca="1" si="99"/>
        <v>0</v>
      </c>
      <c r="BB35" s="976">
        <f t="shared" ca="1" si="99"/>
        <v>0</v>
      </c>
      <c r="BC35" s="976">
        <f t="shared" ca="1" si="99"/>
        <v>0</v>
      </c>
      <c r="BD35" s="976">
        <f t="shared" ca="1" si="99"/>
        <v>0</v>
      </c>
      <c r="BE35" s="976">
        <f t="shared" ca="1" si="99"/>
        <v>0</v>
      </c>
      <c r="BF35" s="976">
        <f ca="1">SUM(AM35:BE35)</f>
        <v>0</v>
      </c>
      <c r="BH35" s="990">
        <f ca="1">BH34</f>
        <v>0</v>
      </c>
      <c r="BI35" s="990">
        <f ca="1">BI34</f>
        <v>0</v>
      </c>
      <c r="BJ35" s="990">
        <f ca="1">SUM(BH35:BI35)</f>
        <v>0</v>
      </c>
      <c r="BL35" s="515">
        <f t="shared" ca="1" si="9"/>
        <v>0</v>
      </c>
      <c r="BM35" s="515"/>
      <c r="BN35" s="840"/>
      <c r="BO35" s="1482">
        <f t="shared" ref="BO35:DF35" ca="1" si="100">BO34</f>
        <v>0</v>
      </c>
      <c r="BP35" s="1482">
        <f t="shared" ca="1" si="100"/>
        <v>0</v>
      </c>
      <c r="BQ35" s="1482">
        <f t="shared" ca="1" si="100"/>
        <v>0</v>
      </c>
      <c r="BR35" s="1482">
        <f t="shared" ca="1" si="100"/>
        <v>0</v>
      </c>
      <c r="BS35" s="1482">
        <f t="shared" ca="1" si="100"/>
        <v>0</v>
      </c>
      <c r="BT35" s="1482">
        <f t="shared" ca="1" si="100"/>
        <v>0</v>
      </c>
      <c r="BU35" s="1482">
        <f t="shared" ca="1" si="100"/>
        <v>0</v>
      </c>
      <c r="BV35" s="1482">
        <f t="shared" ca="1" si="100"/>
        <v>0</v>
      </c>
      <c r="BW35" s="1482">
        <f t="shared" ca="1" si="100"/>
        <v>0</v>
      </c>
      <c r="BX35" s="1482">
        <f t="shared" ca="1" si="100"/>
        <v>0</v>
      </c>
      <c r="BY35" s="1482">
        <f t="shared" ca="1" si="100"/>
        <v>0</v>
      </c>
      <c r="BZ35" s="1482">
        <f t="shared" ca="1" si="100"/>
        <v>0</v>
      </c>
      <c r="CA35" s="1482">
        <f t="shared" ca="1" si="100"/>
        <v>0</v>
      </c>
      <c r="CB35" s="1482">
        <f t="shared" ca="1" si="100"/>
        <v>0</v>
      </c>
      <c r="CC35" s="1482">
        <f t="shared" ca="1" si="100"/>
        <v>0</v>
      </c>
      <c r="CD35" s="1482">
        <f t="shared" ca="1" si="100"/>
        <v>0</v>
      </c>
      <c r="CE35" s="1482">
        <f t="shared" ca="1" si="100"/>
        <v>0</v>
      </c>
      <c r="CF35" s="1482">
        <f t="shared" ca="1" si="100"/>
        <v>0</v>
      </c>
      <c r="CG35" s="1482">
        <f t="shared" ca="1" si="100"/>
        <v>0</v>
      </c>
      <c r="CH35" s="1482">
        <f t="shared" ca="1" si="100"/>
        <v>0</v>
      </c>
      <c r="CI35" s="1482">
        <f t="shared" ca="1" si="100"/>
        <v>0</v>
      </c>
      <c r="CJ35" s="1482">
        <f t="shared" ca="1" si="100"/>
        <v>0</v>
      </c>
      <c r="CK35" s="1482">
        <f t="shared" ca="1" si="100"/>
        <v>0</v>
      </c>
      <c r="CL35" s="1482">
        <f t="shared" ca="1" si="100"/>
        <v>0</v>
      </c>
      <c r="CM35" s="1482">
        <f t="shared" ca="1" si="100"/>
        <v>0</v>
      </c>
      <c r="CN35" s="1482">
        <f t="shared" ca="1" si="100"/>
        <v>0</v>
      </c>
      <c r="CO35" s="1482">
        <f t="shared" ca="1" si="100"/>
        <v>0</v>
      </c>
      <c r="CP35" s="1482">
        <f t="shared" ca="1" si="100"/>
        <v>0</v>
      </c>
      <c r="CQ35" s="1482">
        <f t="shared" ca="1" si="100"/>
        <v>0</v>
      </c>
      <c r="CR35" s="1482">
        <f t="shared" ca="1" si="100"/>
        <v>0</v>
      </c>
      <c r="CS35" s="1482">
        <f t="shared" ca="1" si="100"/>
        <v>0</v>
      </c>
      <c r="CT35" s="1482">
        <f t="shared" ca="1" si="100"/>
        <v>0</v>
      </c>
      <c r="CU35" s="1482">
        <f t="shared" ca="1" si="100"/>
        <v>0</v>
      </c>
      <c r="CV35" s="1482">
        <f t="shared" ca="1" si="100"/>
        <v>0</v>
      </c>
      <c r="CW35" s="1482">
        <f t="shared" ca="1" si="100"/>
        <v>0</v>
      </c>
      <c r="CX35" s="1482">
        <f t="shared" ca="1" si="100"/>
        <v>0</v>
      </c>
      <c r="CY35" s="1482">
        <f t="shared" ca="1" si="100"/>
        <v>0</v>
      </c>
      <c r="CZ35" s="1482">
        <f t="shared" ca="1" si="100"/>
        <v>0</v>
      </c>
      <c r="DA35" s="1482">
        <f t="shared" ca="1" si="100"/>
        <v>0</v>
      </c>
      <c r="DB35" s="1482">
        <f t="shared" ca="1" si="100"/>
        <v>0</v>
      </c>
      <c r="DC35" s="1482">
        <f t="shared" ca="1" si="100"/>
        <v>0</v>
      </c>
      <c r="DD35" s="1482">
        <f t="shared" ca="1" si="100"/>
        <v>0</v>
      </c>
      <c r="DE35" s="1482">
        <f t="shared" ca="1" si="100"/>
        <v>0</v>
      </c>
      <c r="DF35" s="1482">
        <f t="shared" ca="1" si="100"/>
        <v>0</v>
      </c>
      <c r="DH35" s="838">
        <f t="shared" ca="1" si="35"/>
        <v>0</v>
      </c>
    </row>
    <row r="36" spans="1:112" s="743" customFormat="1" ht="12.75" hidden="1" customHeight="1" outlineLevel="1">
      <c r="A36" s="22"/>
      <c r="B36" s="22"/>
      <c r="C36" s="751"/>
      <c r="D36" s="512"/>
      <c r="E36" s="512"/>
      <c r="G36" s="1021"/>
      <c r="H36" s="1021"/>
      <c r="I36" s="1021"/>
      <c r="J36" s="1021"/>
      <c r="K36" s="1021"/>
      <c r="L36" s="1021"/>
      <c r="M36" s="1021"/>
      <c r="N36" s="1021"/>
      <c r="O36" s="1021"/>
      <c r="P36" s="1021"/>
      <c r="Q36" s="1021"/>
      <c r="S36" s="970"/>
      <c r="T36" s="970"/>
      <c r="U36" s="970"/>
      <c r="V36" s="970"/>
      <c r="W36" s="970"/>
      <c r="X36" s="970"/>
      <c r="Y36" s="970"/>
      <c r="Z36" s="970"/>
      <c r="AA36" s="970"/>
      <c r="AB36" s="970"/>
      <c r="AC36" s="970"/>
      <c r="AD36" s="970"/>
      <c r="AE36" s="970"/>
      <c r="AF36" s="970"/>
      <c r="AG36" s="970"/>
      <c r="AH36" s="970"/>
      <c r="AI36" s="970"/>
      <c r="AJ36" s="970"/>
      <c r="AK36" s="970"/>
      <c r="AM36" s="976"/>
      <c r="AN36" s="976"/>
      <c r="AO36" s="976"/>
      <c r="AP36" s="976"/>
      <c r="AQ36" s="976"/>
      <c r="AR36" s="976"/>
      <c r="AS36" s="976"/>
      <c r="AT36" s="976"/>
      <c r="AU36" s="976"/>
      <c r="AV36" s="976"/>
      <c r="AW36" s="976"/>
      <c r="AX36" s="976"/>
      <c r="AY36" s="976"/>
      <c r="AZ36" s="976"/>
      <c r="BA36" s="976"/>
      <c r="BB36" s="976"/>
      <c r="BC36" s="976"/>
      <c r="BD36" s="976"/>
      <c r="BE36" s="976"/>
      <c r="BF36" s="976"/>
      <c r="BH36" s="990"/>
      <c r="BI36" s="990"/>
      <c r="BJ36" s="990"/>
      <c r="BL36" s="515">
        <f t="shared" si="9"/>
        <v>0</v>
      </c>
      <c r="BM36" s="515"/>
      <c r="BN36" s="22"/>
      <c r="BO36" s="1481"/>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H36" s="838">
        <f t="shared" si="35"/>
        <v>0</v>
      </c>
    </row>
    <row r="37" spans="1:112" s="743" customFormat="1" ht="12.75" hidden="1" customHeight="1" outlineLevel="1">
      <c r="A37" s="1484"/>
      <c r="B37" s="1484"/>
      <c r="C37" s="746" t="s">
        <v>962</v>
      </c>
      <c r="D37" s="1010" t="str">
        <f>INDEX(Modules[Module], MATCH($C37, Modules[Code], 0))</f>
        <v>Geosequestration</v>
      </c>
      <c r="E37" s="1010"/>
      <c r="G37" s="1022">
        <f t="shared" ref="G37:P37" ca="1" si="101">IFERROR(INDEX(INDIRECT($C37&amp;".Outputs["&amp;this.Year&amp;"]"), MATCH(G$5, INDIRECT($C37&amp;".Outputs[Vector]"), 0)), 0)</f>
        <v>0</v>
      </c>
      <c r="H37" s="1022">
        <f t="shared" ca="1" si="101"/>
        <v>0</v>
      </c>
      <c r="I37" s="1022">
        <f t="shared" ca="1" si="101"/>
        <v>0</v>
      </c>
      <c r="J37" s="1022">
        <f t="shared" ca="1" si="101"/>
        <v>0</v>
      </c>
      <c r="K37" s="1022">
        <f t="shared" ca="1" si="101"/>
        <v>0</v>
      </c>
      <c r="L37" s="1022">
        <f t="shared" ca="1" si="101"/>
        <v>0</v>
      </c>
      <c r="M37" s="1022">
        <f t="shared" ca="1" si="101"/>
        <v>0</v>
      </c>
      <c r="N37" s="1022">
        <f t="shared" ca="1" si="101"/>
        <v>0</v>
      </c>
      <c r="O37" s="1022">
        <f t="shared" ca="1" si="101"/>
        <v>0</v>
      </c>
      <c r="P37" s="1022">
        <f t="shared" ca="1" si="101"/>
        <v>0</v>
      </c>
      <c r="Q37" s="1020">
        <f ca="1">SUM(G37:P37)</f>
        <v>0</v>
      </c>
      <c r="S37" s="1031">
        <f t="shared" ref="S37:BE37" ca="1" si="102">IFERROR(INDEX(INDIRECT($C37&amp;".Outputs["&amp;this.Year&amp;"]"), MATCH(S$5, INDIRECT($C37&amp;".Outputs[Vector]"), 0)), 0)</f>
        <v>0</v>
      </c>
      <c r="T37" s="1031">
        <f t="shared" ca="1" si="102"/>
        <v>0</v>
      </c>
      <c r="U37" s="1031">
        <f t="shared" ca="1" si="102"/>
        <v>0</v>
      </c>
      <c r="V37" s="1031">
        <f t="shared" ca="1" si="102"/>
        <v>0</v>
      </c>
      <c r="W37" s="1031">
        <f t="shared" ca="1" si="102"/>
        <v>0</v>
      </c>
      <c r="X37" s="1031">
        <f ca="1">IFERROR(INDEX(INDIRECT($C37&amp;".Outputs["&amp;this.Year&amp;"]"), MATCH(X$5, INDIRECT($C37&amp;".Outputs[Vector]"), 0)), 0)</f>
        <v>0</v>
      </c>
      <c r="Y37" s="1031">
        <f ca="1">IFERROR(INDEX(INDIRECT($C37&amp;".Outputs["&amp;this.Year&amp;"]"), MATCH(Y$5, INDIRECT($C37&amp;".Outputs[Vector]"), 0)), 0)</f>
        <v>0</v>
      </c>
      <c r="Z37" s="1031">
        <f ca="1">IFERROR(INDEX(INDIRECT($C37&amp;".Outputs["&amp;this.Year&amp;"]"), MATCH(Z$5, INDIRECT($C37&amp;".Outputs[Vector]"), 0)), 0)</f>
        <v>0</v>
      </c>
      <c r="AA37" s="1031">
        <f t="shared" ca="1" si="102"/>
        <v>0</v>
      </c>
      <c r="AB37" s="1031">
        <f t="shared" ca="1" si="102"/>
        <v>0</v>
      </c>
      <c r="AC37" s="1031">
        <f t="shared" ca="1" si="102"/>
        <v>0</v>
      </c>
      <c r="AD37" s="1031">
        <f t="shared" ca="1" si="102"/>
        <v>0</v>
      </c>
      <c r="AE37" s="1031">
        <f t="shared" ca="1" si="102"/>
        <v>0</v>
      </c>
      <c r="AF37" s="1031">
        <f t="shared" ca="1" si="102"/>
        <v>0</v>
      </c>
      <c r="AG37" s="1031">
        <f t="shared" ca="1" si="102"/>
        <v>0</v>
      </c>
      <c r="AH37" s="1031">
        <f t="shared" ca="1" si="102"/>
        <v>0</v>
      </c>
      <c r="AI37" s="1031">
        <f t="shared" ca="1" si="102"/>
        <v>0</v>
      </c>
      <c r="AJ37" s="1031">
        <f t="shared" ca="1" si="102"/>
        <v>0</v>
      </c>
      <c r="AK37" s="1030">
        <f ca="1">SUM(S37:AJ37)</f>
        <v>0</v>
      </c>
      <c r="AM37" s="1042">
        <f t="shared" ref="AM37:AU37" ca="1" si="103">IFERROR(INDEX(INDIRECT($C37&amp;".Outputs["&amp;this.Year&amp;"]"), MATCH(AM$5, INDIRECT($C37&amp;".Outputs[Vector]"), 0)), 0)</f>
        <v>0</v>
      </c>
      <c r="AN37" s="1042">
        <f t="shared" ca="1" si="103"/>
        <v>0</v>
      </c>
      <c r="AO37" s="1042">
        <f t="shared" ca="1" si="103"/>
        <v>0</v>
      </c>
      <c r="AP37" s="1042">
        <f t="shared" ca="1" si="103"/>
        <v>0</v>
      </c>
      <c r="AQ37" s="1042">
        <f t="shared" ca="1" si="103"/>
        <v>0</v>
      </c>
      <c r="AR37" s="1042">
        <f t="shared" ca="1" si="103"/>
        <v>0</v>
      </c>
      <c r="AS37" s="1042">
        <f t="shared" ca="1" si="103"/>
        <v>0</v>
      </c>
      <c r="AT37" s="1042">
        <f t="shared" ca="1" si="103"/>
        <v>0</v>
      </c>
      <c r="AU37" s="1042">
        <f t="shared" ca="1" si="103"/>
        <v>0</v>
      </c>
      <c r="AV37" s="1042">
        <f t="shared" ca="1" si="102"/>
        <v>0</v>
      </c>
      <c r="AW37" s="1042">
        <f t="shared" ca="1" si="102"/>
        <v>0</v>
      </c>
      <c r="AX37" s="1042">
        <f t="shared" ca="1" si="102"/>
        <v>0</v>
      </c>
      <c r="AY37" s="1042">
        <f t="shared" ca="1" si="102"/>
        <v>0</v>
      </c>
      <c r="AZ37" s="1042">
        <f t="shared" ca="1" si="102"/>
        <v>0</v>
      </c>
      <c r="BA37" s="1042">
        <f t="shared" ca="1" si="102"/>
        <v>0</v>
      </c>
      <c r="BB37" s="1042">
        <f t="shared" ca="1" si="102"/>
        <v>0</v>
      </c>
      <c r="BC37" s="1042">
        <f t="shared" ca="1" si="102"/>
        <v>0</v>
      </c>
      <c r="BD37" s="1042">
        <f t="shared" ca="1" si="102"/>
        <v>0</v>
      </c>
      <c r="BE37" s="1042">
        <f t="shared" ca="1" si="102"/>
        <v>0</v>
      </c>
      <c r="BF37" s="1012">
        <f ca="1">SUM(AM37:BE37)</f>
        <v>0</v>
      </c>
      <c r="BH37" s="1036">
        <f ca="1">IFERROR(INDEX(INDIRECT($C37&amp;".Outputs["&amp;this.Year&amp;"]"), MATCH(BH$5, INDIRECT($C37&amp;".Outputs[Vector]"), 0)), 0)</f>
        <v>0</v>
      </c>
      <c r="BI37" s="1036">
        <f ca="1">IFERROR(INDEX(INDIRECT($C37&amp;".Outputs["&amp;this.Year&amp;"]"), MATCH(BI$5, INDIRECT($C37&amp;".Outputs[Vector]"), 0)), 0)</f>
        <v>0</v>
      </c>
      <c r="BJ37" s="1035">
        <f ca="1">SUM(BH37:BI37)</f>
        <v>0</v>
      </c>
      <c r="BL37" s="814">
        <f t="shared" ca="1" si="9"/>
        <v>0</v>
      </c>
      <c r="BM37" s="814"/>
      <c r="BN37" s="840"/>
      <c r="BO37" s="1485">
        <f t="shared" ref="BO37:DF37" ca="1" si="104">IFERROR(SUMIFS(INDIRECT($C37&amp;".Emissions["&amp;this.Year&amp;"]"), INDIRECT($C37&amp;".Emissions[GHG]"), BO$6, INDIRECT($C37&amp;".Emissions[IPCC Sector]"), BO$5),0)</f>
        <v>0</v>
      </c>
      <c r="BP37" s="1486">
        <f t="shared" ca="1" si="104"/>
        <v>0</v>
      </c>
      <c r="BQ37" s="1486">
        <f t="shared" ca="1" si="104"/>
        <v>0</v>
      </c>
      <c r="BR37" s="1486">
        <f t="shared" ca="1" si="104"/>
        <v>0</v>
      </c>
      <c r="BS37" s="1486">
        <f t="shared" ca="1" si="104"/>
        <v>0</v>
      </c>
      <c r="BT37" s="1486">
        <f t="shared" ca="1" si="104"/>
        <v>0</v>
      </c>
      <c r="BU37" s="1486">
        <f t="shared" ca="1" si="104"/>
        <v>0</v>
      </c>
      <c r="BV37" s="1486">
        <f t="shared" ca="1" si="104"/>
        <v>0</v>
      </c>
      <c r="BW37" s="1486">
        <f t="shared" ca="1" si="104"/>
        <v>0</v>
      </c>
      <c r="BX37" s="1486">
        <f t="shared" ca="1" si="104"/>
        <v>0</v>
      </c>
      <c r="BY37" s="1486">
        <f t="shared" ca="1" si="104"/>
        <v>0</v>
      </c>
      <c r="BZ37" s="1486">
        <f t="shared" ca="1" si="104"/>
        <v>0</v>
      </c>
      <c r="CA37" s="1486">
        <f t="shared" ca="1" si="104"/>
        <v>0</v>
      </c>
      <c r="CB37" s="1486">
        <f t="shared" ca="1" si="104"/>
        <v>0</v>
      </c>
      <c r="CC37" s="1486">
        <f t="shared" ca="1" si="104"/>
        <v>0</v>
      </c>
      <c r="CD37" s="1486">
        <f t="shared" ca="1" si="104"/>
        <v>0</v>
      </c>
      <c r="CE37" s="1486">
        <f t="shared" ca="1" si="104"/>
        <v>0</v>
      </c>
      <c r="CF37" s="1486">
        <f t="shared" ca="1" si="104"/>
        <v>0</v>
      </c>
      <c r="CG37" s="1486">
        <f t="shared" ca="1" si="104"/>
        <v>0</v>
      </c>
      <c r="CH37" s="1486">
        <f t="shared" ca="1" si="104"/>
        <v>0</v>
      </c>
      <c r="CI37" s="1486">
        <f t="shared" ca="1" si="104"/>
        <v>0</v>
      </c>
      <c r="CJ37" s="1486">
        <f t="shared" ca="1" si="104"/>
        <v>0</v>
      </c>
      <c r="CK37" s="1486">
        <f t="shared" ca="1" si="104"/>
        <v>0</v>
      </c>
      <c r="CL37" s="1486">
        <f t="shared" ca="1" si="104"/>
        <v>0</v>
      </c>
      <c r="CM37" s="1486">
        <f t="shared" ca="1" si="104"/>
        <v>0</v>
      </c>
      <c r="CN37" s="1486">
        <f t="shared" ca="1" si="104"/>
        <v>0</v>
      </c>
      <c r="CO37" s="1486">
        <f t="shared" ca="1" si="104"/>
        <v>0</v>
      </c>
      <c r="CP37" s="1486">
        <f t="shared" ca="1" si="104"/>
        <v>0</v>
      </c>
      <c r="CQ37" s="1486">
        <f t="shared" ca="1" si="104"/>
        <v>0</v>
      </c>
      <c r="CR37" s="1486">
        <f t="shared" ca="1" si="104"/>
        <v>0</v>
      </c>
      <c r="CS37" s="1486">
        <f t="shared" ca="1" si="104"/>
        <v>0</v>
      </c>
      <c r="CT37" s="1486">
        <f t="shared" ca="1" si="104"/>
        <v>0</v>
      </c>
      <c r="CU37" s="1486">
        <f t="shared" ca="1" si="104"/>
        <v>0</v>
      </c>
      <c r="CV37" s="1486">
        <f t="shared" ca="1" si="104"/>
        <v>0</v>
      </c>
      <c r="CW37" s="1486">
        <f t="shared" ca="1" si="104"/>
        <v>0</v>
      </c>
      <c r="CX37" s="1486">
        <f t="shared" ca="1" si="104"/>
        <v>0</v>
      </c>
      <c r="CY37" s="1486">
        <f t="shared" ca="1" si="104"/>
        <v>0</v>
      </c>
      <c r="CZ37" s="1486">
        <f t="shared" ca="1" si="104"/>
        <v>0</v>
      </c>
      <c r="DA37" s="1486">
        <f t="shared" ca="1" si="104"/>
        <v>0</v>
      </c>
      <c r="DB37" s="1486">
        <f t="shared" ca="1" si="104"/>
        <v>0</v>
      </c>
      <c r="DC37" s="1486">
        <f t="shared" ca="1" si="104"/>
        <v>0</v>
      </c>
      <c r="DD37" s="1486">
        <f t="shared" ca="1" si="104"/>
        <v>0</v>
      </c>
      <c r="DE37" s="1486">
        <f t="shared" ca="1" si="104"/>
        <v>0</v>
      </c>
      <c r="DF37" s="1486">
        <f t="shared" ca="1" si="104"/>
        <v>0</v>
      </c>
      <c r="DH37" s="838">
        <f t="shared" ca="1" si="35"/>
        <v>0</v>
      </c>
    </row>
    <row r="38" spans="1:112" s="743" customFormat="1" ht="15.75" collapsed="1">
      <c r="A38" s="22"/>
      <c r="B38" s="753"/>
      <c r="C38" s="744" t="s">
        <v>675</v>
      </c>
      <c r="D38" s="517" t="str">
        <f>INDEX(Workstreams[Workstream], MATCH($C38, Workstreams[Code], 0))</f>
        <v>Geosequestration</v>
      </c>
      <c r="E38" s="512"/>
      <c r="G38" s="1021">
        <f ca="1">G37</f>
        <v>0</v>
      </c>
      <c r="H38" s="1021">
        <f t="shared" ref="H38:P38" ca="1" si="105">H37</f>
        <v>0</v>
      </c>
      <c r="I38" s="1021">
        <f t="shared" ca="1" si="105"/>
        <v>0</v>
      </c>
      <c r="J38" s="1021">
        <f t="shared" ca="1" si="105"/>
        <v>0</v>
      </c>
      <c r="K38" s="1021">
        <f t="shared" ca="1" si="105"/>
        <v>0</v>
      </c>
      <c r="L38" s="1021">
        <f t="shared" ca="1" si="105"/>
        <v>0</v>
      </c>
      <c r="M38" s="1021">
        <f t="shared" ca="1" si="105"/>
        <v>0</v>
      </c>
      <c r="N38" s="1021">
        <f t="shared" ca="1" si="105"/>
        <v>0</v>
      </c>
      <c r="O38" s="1021">
        <f t="shared" ca="1" si="105"/>
        <v>0</v>
      </c>
      <c r="P38" s="1021">
        <f t="shared" ca="1" si="105"/>
        <v>0</v>
      </c>
      <c r="Q38" s="1021">
        <f ca="1">SUM(G38:P38)</f>
        <v>0</v>
      </c>
      <c r="S38" s="970">
        <f t="shared" ref="S38:AJ38" ca="1" si="106">S37</f>
        <v>0</v>
      </c>
      <c r="T38" s="970">
        <f t="shared" ca="1" si="106"/>
        <v>0</v>
      </c>
      <c r="U38" s="970">
        <f t="shared" ca="1" si="106"/>
        <v>0</v>
      </c>
      <c r="V38" s="970">
        <f t="shared" ca="1" si="106"/>
        <v>0</v>
      </c>
      <c r="W38" s="970">
        <f t="shared" ca="1" si="106"/>
        <v>0</v>
      </c>
      <c r="X38" s="970">
        <f ca="1">X37</f>
        <v>0</v>
      </c>
      <c r="Y38" s="970">
        <f ca="1">Y37</f>
        <v>0</v>
      </c>
      <c r="Z38" s="970">
        <f ca="1">Z37</f>
        <v>0</v>
      </c>
      <c r="AA38" s="970">
        <f t="shared" ca="1" si="106"/>
        <v>0</v>
      </c>
      <c r="AB38" s="970">
        <f t="shared" ca="1" si="106"/>
        <v>0</v>
      </c>
      <c r="AC38" s="970">
        <f t="shared" ca="1" si="106"/>
        <v>0</v>
      </c>
      <c r="AD38" s="970">
        <f ca="1">AD37</f>
        <v>0</v>
      </c>
      <c r="AE38" s="970">
        <f ca="1">AE37</f>
        <v>0</v>
      </c>
      <c r="AF38" s="970">
        <f t="shared" ca="1" si="106"/>
        <v>0</v>
      </c>
      <c r="AG38" s="970">
        <f ca="1">AG37</f>
        <v>0</v>
      </c>
      <c r="AH38" s="970">
        <f ca="1">AH37</f>
        <v>0</v>
      </c>
      <c r="AI38" s="970">
        <f ca="1">AI37</f>
        <v>0</v>
      </c>
      <c r="AJ38" s="970">
        <f t="shared" ca="1" si="106"/>
        <v>0</v>
      </c>
      <c r="AK38" s="970">
        <f ca="1">SUM(S38:AJ38)</f>
        <v>0</v>
      </c>
      <c r="AM38" s="976">
        <f t="shared" ref="AM38:AS38" ca="1" si="107">AM37</f>
        <v>0</v>
      </c>
      <c r="AN38" s="976">
        <f t="shared" ca="1" si="107"/>
        <v>0</v>
      </c>
      <c r="AO38" s="976">
        <f t="shared" ca="1" si="107"/>
        <v>0</v>
      </c>
      <c r="AP38" s="976">
        <f t="shared" ca="1" si="107"/>
        <v>0</v>
      </c>
      <c r="AQ38" s="976">
        <f t="shared" ca="1" si="107"/>
        <v>0</v>
      </c>
      <c r="AR38" s="976">
        <f t="shared" ca="1" si="107"/>
        <v>0</v>
      </c>
      <c r="AS38" s="976">
        <f t="shared" ca="1" si="107"/>
        <v>0</v>
      </c>
      <c r="AT38" s="976">
        <f t="shared" ref="AT38:BE38" ca="1" si="108">AT37</f>
        <v>0</v>
      </c>
      <c r="AU38" s="976">
        <f t="shared" ca="1" si="108"/>
        <v>0</v>
      </c>
      <c r="AV38" s="976">
        <f t="shared" ca="1" si="108"/>
        <v>0</v>
      </c>
      <c r="AW38" s="976">
        <f t="shared" ca="1" si="108"/>
        <v>0</v>
      </c>
      <c r="AX38" s="976">
        <f t="shared" ca="1" si="108"/>
        <v>0</v>
      </c>
      <c r="AY38" s="976">
        <f t="shared" ca="1" si="108"/>
        <v>0</v>
      </c>
      <c r="AZ38" s="976">
        <f t="shared" ca="1" si="108"/>
        <v>0</v>
      </c>
      <c r="BA38" s="976">
        <f t="shared" ca="1" si="108"/>
        <v>0</v>
      </c>
      <c r="BB38" s="976">
        <f t="shared" ca="1" si="108"/>
        <v>0</v>
      </c>
      <c r="BC38" s="976">
        <f t="shared" ca="1" si="108"/>
        <v>0</v>
      </c>
      <c r="BD38" s="976">
        <f t="shared" ca="1" si="108"/>
        <v>0</v>
      </c>
      <c r="BE38" s="976">
        <f t="shared" ca="1" si="108"/>
        <v>0</v>
      </c>
      <c r="BF38" s="976">
        <f ca="1">SUM(AM38:BE38)</f>
        <v>0</v>
      </c>
      <c r="BH38" s="990">
        <f ca="1">BH37</f>
        <v>0</v>
      </c>
      <c r="BI38" s="990">
        <f ca="1">BI37</f>
        <v>0</v>
      </c>
      <c r="BJ38" s="990">
        <f ca="1">SUM(BH38:BI38)</f>
        <v>0</v>
      </c>
      <c r="BL38" s="515">
        <f t="shared" ca="1" si="9"/>
        <v>0</v>
      </c>
      <c r="BM38" s="515"/>
      <c r="BN38" s="840"/>
      <c r="BO38" s="1482">
        <f t="shared" ref="BO38:DF38" ca="1" si="109">BO37</f>
        <v>0</v>
      </c>
      <c r="BP38" s="1482">
        <f t="shared" ca="1" si="109"/>
        <v>0</v>
      </c>
      <c r="BQ38" s="1482">
        <f t="shared" ca="1" si="109"/>
        <v>0</v>
      </c>
      <c r="BR38" s="1482">
        <f t="shared" ca="1" si="109"/>
        <v>0</v>
      </c>
      <c r="BS38" s="1482">
        <f t="shared" ca="1" si="109"/>
        <v>0</v>
      </c>
      <c r="BT38" s="1482">
        <f t="shared" ca="1" si="109"/>
        <v>0</v>
      </c>
      <c r="BU38" s="1482">
        <f t="shared" ca="1" si="109"/>
        <v>0</v>
      </c>
      <c r="BV38" s="1482">
        <f t="shared" ca="1" si="109"/>
        <v>0</v>
      </c>
      <c r="BW38" s="1482">
        <f t="shared" ca="1" si="109"/>
        <v>0</v>
      </c>
      <c r="BX38" s="1482">
        <f t="shared" ca="1" si="109"/>
        <v>0</v>
      </c>
      <c r="BY38" s="1482">
        <f t="shared" ca="1" si="109"/>
        <v>0</v>
      </c>
      <c r="BZ38" s="1482">
        <f t="shared" ca="1" si="109"/>
        <v>0</v>
      </c>
      <c r="CA38" s="1482">
        <f t="shared" ca="1" si="109"/>
        <v>0</v>
      </c>
      <c r="CB38" s="1482">
        <f t="shared" ca="1" si="109"/>
        <v>0</v>
      </c>
      <c r="CC38" s="1482">
        <f t="shared" ca="1" si="109"/>
        <v>0</v>
      </c>
      <c r="CD38" s="1482">
        <f t="shared" ca="1" si="109"/>
        <v>0</v>
      </c>
      <c r="CE38" s="1482">
        <f t="shared" ca="1" si="109"/>
        <v>0</v>
      </c>
      <c r="CF38" s="1482">
        <f t="shared" ca="1" si="109"/>
        <v>0</v>
      </c>
      <c r="CG38" s="1482">
        <f t="shared" ca="1" si="109"/>
        <v>0</v>
      </c>
      <c r="CH38" s="1482">
        <f t="shared" ca="1" si="109"/>
        <v>0</v>
      </c>
      <c r="CI38" s="1482">
        <f t="shared" ca="1" si="109"/>
        <v>0</v>
      </c>
      <c r="CJ38" s="1482">
        <f t="shared" ca="1" si="109"/>
        <v>0</v>
      </c>
      <c r="CK38" s="1482">
        <f t="shared" ca="1" si="109"/>
        <v>0</v>
      </c>
      <c r="CL38" s="1482">
        <f t="shared" ca="1" si="109"/>
        <v>0</v>
      </c>
      <c r="CM38" s="1482">
        <f t="shared" ca="1" si="109"/>
        <v>0</v>
      </c>
      <c r="CN38" s="1482">
        <f t="shared" ca="1" si="109"/>
        <v>0</v>
      </c>
      <c r="CO38" s="1482">
        <f t="shared" ca="1" si="109"/>
        <v>0</v>
      </c>
      <c r="CP38" s="1482">
        <f t="shared" ca="1" si="109"/>
        <v>0</v>
      </c>
      <c r="CQ38" s="1482">
        <f t="shared" ca="1" si="109"/>
        <v>0</v>
      </c>
      <c r="CR38" s="1482">
        <f t="shared" ca="1" si="109"/>
        <v>0</v>
      </c>
      <c r="CS38" s="1482">
        <f t="shared" ca="1" si="109"/>
        <v>0</v>
      </c>
      <c r="CT38" s="1482">
        <f t="shared" ca="1" si="109"/>
        <v>0</v>
      </c>
      <c r="CU38" s="1482">
        <f t="shared" ca="1" si="109"/>
        <v>0</v>
      </c>
      <c r="CV38" s="1482">
        <f t="shared" ca="1" si="109"/>
        <v>0</v>
      </c>
      <c r="CW38" s="1482">
        <f t="shared" ca="1" si="109"/>
        <v>0</v>
      </c>
      <c r="CX38" s="1482">
        <f t="shared" ca="1" si="109"/>
        <v>0</v>
      </c>
      <c r="CY38" s="1482">
        <f t="shared" ca="1" si="109"/>
        <v>0</v>
      </c>
      <c r="CZ38" s="1482">
        <f t="shared" ca="1" si="109"/>
        <v>0</v>
      </c>
      <c r="DA38" s="1482">
        <f t="shared" ca="1" si="109"/>
        <v>0</v>
      </c>
      <c r="DB38" s="1482">
        <f t="shared" ca="1" si="109"/>
        <v>0</v>
      </c>
      <c r="DC38" s="1482">
        <f t="shared" ca="1" si="109"/>
        <v>0</v>
      </c>
      <c r="DD38" s="1482">
        <f t="shared" ca="1" si="109"/>
        <v>0</v>
      </c>
      <c r="DE38" s="1482">
        <f t="shared" ca="1" si="109"/>
        <v>0</v>
      </c>
      <c r="DF38" s="1482">
        <f t="shared" ca="1" si="109"/>
        <v>0</v>
      </c>
      <c r="DH38" s="838">
        <f t="shared" ca="1" si="35"/>
        <v>0</v>
      </c>
    </row>
    <row r="39" spans="1:112" s="743" customFormat="1" ht="6" customHeight="1">
      <c r="C39" s="516"/>
      <c r="D39" s="517"/>
      <c r="E39" s="509"/>
      <c r="G39" s="1021"/>
      <c r="H39" s="1021"/>
      <c r="I39" s="1021"/>
      <c r="J39" s="1021"/>
      <c r="K39" s="1021"/>
      <c r="L39" s="1021"/>
      <c r="M39" s="1021"/>
      <c r="N39" s="1021"/>
      <c r="O39" s="1021"/>
      <c r="P39" s="1021"/>
      <c r="Q39" s="1021"/>
      <c r="S39" s="970"/>
      <c r="T39" s="970"/>
      <c r="U39" s="970"/>
      <c r="V39" s="970"/>
      <c r="W39" s="970"/>
      <c r="X39" s="970"/>
      <c r="Y39" s="970"/>
      <c r="Z39" s="970"/>
      <c r="AA39" s="970"/>
      <c r="AB39" s="970"/>
      <c r="AC39" s="970"/>
      <c r="AD39" s="970"/>
      <c r="AE39" s="970"/>
      <c r="AF39" s="970"/>
      <c r="AG39" s="970"/>
      <c r="AH39" s="970"/>
      <c r="AI39" s="970"/>
      <c r="AJ39" s="970"/>
      <c r="AK39" s="970"/>
      <c r="AM39" s="976"/>
      <c r="AN39" s="976"/>
      <c r="AO39" s="976"/>
      <c r="AP39" s="976"/>
      <c r="AQ39" s="976"/>
      <c r="AR39" s="976"/>
      <c r="AS39" s="976"/>
      <c r="AT39" s="976"/>
      <c r="AU39" s="976"/>
      <c r="AV39" s="976"/>
      <c r="AW39" s="976"/>
      <c r="AX39" s="976"/>
      <c r="AY39" s="976"/>
      <c r="AZ39" s="976"/>
      <c r="BA39" s="976"/>
      <c r="BB39" s="976"/>
      <c r="BC39" s="976"/>
      <c r="BD39" s="976"/>
      <c r="BE39" s="976"/>
      <c r="BF39" s="976">
        <f>SUM(AM39:BE39)</f>
        <v>0</v>
      </c>
      <c r="BH39" s="990"/>
      <c r="BI39" s="990"/>
      <c r="BJ39" s="990"/>
      <c r="BL39" s="515">
        <f t="shared" si="9"/>
        <v>0</v>
      </c>
      <c r="BM39" s="515"/>
      <c r="BO39" s="1482"/>
      <c r="BP39" s="1482"/>
      <c r="BQ39" s="1482"/>
      <c r="BR39" s="1482"/>
      <c r="BS39" s="1482"/>
      <c r="BT39" s="1482"/>
      <c r="BU39" s="1482"/>
      <c r="BV39" s="1482"/>
      <c r="BW39" s="1482"/>
      <c r="BX39" s="1482"/>
      <c r="BY39" s="1482"/>
      <c r="BZ39" s="1482"/>
      <c r="CA39" s="1482"/>
      <c r="CB39" s="1482"/>
      <c r="CC39" s="1482"/>
      <c r="CD39" s="1482"/>
      <c r="CE39" s="1482"/>
      <c r="CF39" s="1482"/>
      <c r="CG39" s="1482"/>
      <c r="CH39" s="1482"/>
      <c r="CI39" s="1482"/>
      <c r="CJ39" s="1482"/>
      <c r="CK39" s="1482"/>
      <c r="CL39" s="1482"/>
      <c r="CM39" s="1482"/>
      <c r="CN39" s="1482"/>
      <c r="CO39" s="1482"/>
      <c r="CP39" s="1482"/>
      <c r="CQ39" s="1482"/>
      <c r="CR39" s="1482"/>
      <c r="CS39" s="1482"/>
      <c r="CT39" s="1482"/>
      <c r="CU39" s="1482"/>
      <c r="CV39" s="1482"/>
      <c r="CW39" s="1482"/>
      <c r="CX39" s="1482"/>
      <c r="CY39" s="1482"/>
      <c r="CZ39" s="1482"/>
      <c r="DA39" s="1482"/>
      <c r="DB39" s="1482"/>
      <c r="DC39" s="1482"/>
      <c r="DD39" s="1482"/>
      <c r="DE39" s="1482"/>
      <c r="DF39" s="1482"/>
      <c r="DH39" s="838"/>
    </row>
    <row r="40" spans="1:112" s="743" customFormat="1" ht="15.75">
      <c r="B40" s="753"/>
      <c r="C40" s="2051" t="s">
        <v>1815</v>
      </c>
      <c r="D40" s="643" t="s">
        <v>619</v>
      </c>
      <c r="E40" s="644"/>
      <c r="G40" s="1023">
        <f t="shared" ref="G40:Q40" ca="1" si="110">G$15+G$19+G$22+G$32+G$35+G$38</f>
        <v>530.15178411927457</v>
      </c>
      <c r="H40" s="1023">
        <f t="shared" ca="1" si="110"/>
        <v>177.42796936210306</v>
      </c>
      <c r="I40" s="1023">
        <f t="shared" ca="1" si="110"/>
        <v>411.16256567314912</v>
      </c>
      <c r="J40" s="1023">
        <f t="shared" ca="1" si="110"/>
        <v>470.28702972578913</v>
      </c>
      <c r="K40" s="1023">
        <f t="shared" ca="1" si="110"/>
        <v>17.724487403333239</v>
      </c>
      <c r="L40" s="1023">
        <f t="shared" ca="1" si="110"/>
        <v>9.5510973295169013</v>
      </c>
      <c r="M40" s="1023">
        <f t="shared" ca="1" si="110"/>
        <v>26.572895707388618</v>
      </c>
      <c r="N40" s="1023">
        <f t="shared" ca="1" si="110"/>
        <v>153.63082794362825</v>
      </c>
      <c r="O40" s="1023">
        <f t="shared" ca="1" si="110"/>
        <v>43.30892867886606</v>
      </c>
      <c r="P40" s="1023">
        <f t="shared" ca="1" si="110"/>
        <v>0</v>
      </c>
      <c r="Q40" s="1023">
        <f t="shared" ca="1" si="110"/>
        <v>1839.8175859430489</v>
      </c>
      <c r="S40" s="1014">
        <f t="shared" ref="S40:AJ40" ca="1" si="111">S$15+S$19+S$22+S$32+S$35+S$38</f>
        <v>-348.97597880166086</v>
      </c>
      <c r="T40" s="1014">
        <f t="shared" ca="1" si="111"/>
        <v>0</v>
      </c>
      <c r="U40" s="1014">
        <f t="shared" ca="1" si="111"/>
        <v>-68.139739448011753</v>
      </c>
      <c r="V40" s="1014">
        <f t="shared" ca="1" si="111"/>
        <v>-816.2622157150779</v>
      </c>
      <c r="W40" s="1014">
        <f t="shared" ca="1" si="111"/>
        <v>-598.3825548092999</v>
      </c>
      <c r="X40" s="1014">
        <f ca="1">X$15+X$19+X$22+X$32+X$35+X$38</f>
        <v>0</v>
      </c>
      <c r="Y40" s="1014">
        <f ca="1">Y$15+Y$19+Y$22+Y$32+Y$35+Y$38</f>
        <v>0</v>
      </c>
      <c r="Z40" s="1014">
        <f ca="1">Z$15+Z$19+Z$22+Z$32+Z$35+Z$38</f>
        <v>0</v>
      </c>
      <c r="AA40" s="1014">
        <f t="shared" ca="1" si="111"/>
        <v>0</v>
      </c>
      <c r="AB40" s="1014">
        <f t="shared" ca="1" si="111"/>
        <v>-8.0570971689984745</v>
      </c>
      <c r="AC40" s="1014">
        <f t="shared" ca="1" si="111"/>
        <v>0</v>
      </c>
      <c r="AD40" s="1014">
        <f t="shared" ca="1" si="111"/>
        <v>0</v>
      </c>
      <c r="AE40" s="1014">
        <f t="shared" ca="1" si="111"/>
        <v>0</v>
      </c>
      <c r="AF40" s="1014">
        <f t="shared" ca="1" si="111"/>
        <v>0</v>
      </c>
      <c r="AG40" s="1014">
        <f t="shared" ca="1" si="111"/>
        <v>0</v>
      </c>
      <c r="AH40" s="1014">
        <f t="shared" ca="1" si="111"/>
        <v>0</v>
      </c>
      <c r="AI40" s="1014">
        <f t="shared" ca="1" si="111"/>
        <v>0</v>
      </c>
      <c r="AJ40" s="1014">
        <f t="shared" ca="1" si="111"/>
        <v>0</v>
      </c>
      <c r="AK40" s="1014">
        <f ca="1">SUM(S40:AJ40)</f>
        <v>-1839.8175859430489</v>
      </c>
      <c r="AM40" s="1015">
        <f t="shared" ref="AM40:BE40" ca="1" si="112">AM$15+AM$19+AM$22+AM$32+AM$35+AM$38</f>
        <v>0</v>
      </c>
      <c r="AN40" s="1015">
        <f t="shared" ca="1" si="112"/>
        <v>0</v>
      </c>
      <c r="AO40" s="1015">
        <f t="shared" ca="1" si="112"/>
        <v>0</v>
      </c>
      <c r="AP40" s="1015">
        <f t="shared" ca="1" si="112"/>
        <v>0</v>
      </c>
      <c r="AQ40" s="1015">
        <f t="shared" ca="1" si="112"/>
        <v>0</v>
      </c>
      <c r="AR40" s="1015">
        <f t="shared" ca="1" si="112"/>
        <v>0</v>
      </c>
      <c r="AS40" s="1015">
        <f t="shared" ca="1" si="112"/>
        <v>0</v>
      </c>
      <c r="AT40" s="1015">
        <f t="shared" ca="1" si="112"/>
        <v>0</v>
      </c>
      <c r="AU40" s="1015">
        <f t="shared" ca="1" si="112"/>
        <v>0</v>
      </c>
      <c r="AV40" s="1015">
        <f t="shared" ca="1" si="112"/>
        <v>0</v>
      </c>
      <c r="AW40" s="1015">
        <f t="shared" ca="1" si="112"/>
        <v>0</v>
      </c>
      <c r="AX40" s="1015">
        <f t="shared" ca="1" si="112"/>
        <v>0</v>
      </c>
      <c r="AY40" s="1015">
        <f t="shared" ca="1" si="112"/>
        <v>0</v>
      </c>
      <c r="AZ40" s="1015">
        <f t="shared" ca="1" si="112"/>
        <v>0</v>
      </c>
      <c r="BA40" s="1015">
        <f t="shared" ca="1" si="112"/>
        <v>0</v>
      </c>
      <c r="BB40" s="1015">
        <f t="shared" ca="1" si="112"/>
        <v>0</v>
      </c>
      <c r="BC40" s="1015">
        <f t="shared" ca="1" si="112"/>
        <v>0</v>
      </c>
      <c r="BD40" s="1015">
        <f t="shared" ca="1" si="112"/>
        <v>0</v>
      </c>
      <c r="BE40" s="1015">
        <f t="shared" ca="1" si="112"/>
        <v>0</v>
      </c>
      <c r="BF40" s="1015">
        <f ca="1">SUM(AM40:BE40)</f>
        <v>0</v>
      </c>
      <c r="BH40" s="1016">
        <f ca="1">BH$15+BH$19+BH$22+BH$32+BH$35+BH$38</f>
        <v>0</v>
      </c>
      <c r="BI40" s="1016">
        <f ca="1">BI$15+BI$19+BI$22+BI$32+BI$35+BI$38</f>
        <v>0</v>
      </c>
      <c r="BJ40" s="1016">
        <f ca="1">SUM(BH40:BI40)</f>
        <v>0</v>
      </c>
      <c r="BL40" s="518">
        <f t="shared" ca="1" si="9"/>
        <v>0</v>
      </c>
      <c r="BM40" s="518"/>
      <c r="BO40" s="1487">
        <f t="shared" ref="BO40:DF40" ca="1" si="113">BO$15+BO$19+BO$22+BO$32+BO$35+BO$38</f>
        <v>285.92004460804469</v>
      </c>
      <c r="BP40" s="1487">
        <f t="shared" ca="1" si="113"/>
        <v>0.47511451010662659</v>
      </c>
      <c r="BQ40" s="1487">
        <f t="shared" ca="1" si="113"/>
        <v>3.2090061417243954</v>
      </c>
      <c r="BR40" s="1487">
        <f t="shared" ca="1" si="113"/>
        <v>0</v>
      </c>
      <c r="BS40" s="1487">
        <f t="shared" ca="1" si="113"/>
        <v>0</v>
      </c>
      <c r="BT40" s="1487">
        <f t="shared" ca="1" si="113"/>
        <v>0</v>
      </c>
      <c r="BU40" s="1487">
        <f t="shared" ca="1" si="113"/>
        <v>0</v>
      </c>
      <c r="BV40" s="1487">
        <f t="shared" ca="1" si="113"/>
        <v>0</v>
      </c>
      <c r="BW40" s="1487">
        <f t="shared" ca="1" si="113"/>
        <v>14.397000891205074</v>
      </c>
      <c r="BX40" s="1487">
        <f t="shared" ca="1" si="113"/>
        <v>0.11259095901293661</v>
      </c>
      <c r="BY40" s="1487">
        <f t="shared" ca="1" si="113"/>
        <v>2.762245156954338</v>
      </c>
      <c r="BZ40" s="1487">
        <f t="shared" ca="1" si="113"/>
        <v>10.093975285454039</v>
      </c>
      <c r="CA40" s="1487">
        <f t="shared" ca="1" si="113"/>
        <v>0</v>
      </c>
      <c r="CB40" s="1487">
        <f t="shared" ca="1" si="113"/>
        <v>0</v>
      </c>
      <c r="CC40" s="1487">
        <f t="shared" ca="1" si="113"/>
        <v>0</v>
      </c>
      <c r="CD40" s="1487">
        <f t="shared" ca="1" si="113"/>
        <v>0</v>
      </c>
      <c r="CE40" s="1487">
        <f t="shared" ca="1" si="113"/>
        <v>0</v>
      </c>
      <c r="CF40" s="1487">
        <f t="shared" ca="1" si="113"/>
        <v>0</v>
      </c>
      <c r="CG40" s="1487">
        <f t="shared" ca="1" si="113"/>
        <v>0</v>
      </c>
      <c r="CH40" s="1487">
        <f t="shared" ca="1" si="113"/>
        <v>0</v>
      </c>
      <c r="CI40" s="1487">
        <f t="shared" ca="1" si="113"/>
        <v>0</v>
      </c>
      <c r="CJ40" s="1487">
        <f t="shared" ca="1" si="113"/>
        <v>0</v>
      </c>
      <c r="CK40" s="1487">
        <f t="shared" ca="1" si="113"/>
        <v>0</v>
      </c>
      <c r="CL40" s="1487">
        <f t="shared" ca="1" si="113"/>
        <v>0</v>
      </c>
      <c r="CM40" s="1487">
        <f t="shared" ca="1" si="113"/>
        <v>0</v>
      </c>
      <c r="CN40" s="1487">
        <f t="shared" ca="1" si="113"/>
        <v>0</v>
      </c>
      <c r="CO40" s="1487">
        <f t="shared" ca="1" si="113"/>
        <v>0</v>
      </c>
      <c r="CP40" s="1487">
        <f t="shared" ca="1" si="113"/>
        <v>0</v>
      </c>
      <c r="CQ40" s="1487">
        <f t="shared" ca="1" si="113"/>
        <v>0</v>
      </c>
      <c r="CR40" s="1487">
        <f t="shared" ca="1" si="113"/>
        <v>0</v>
      </c>
      <c r="CS40" s="1487">
        <f t="shared" ca="1" si="113"/>
        <v>0</v>
      </c>
      <c r="CT40" s="1487">
        <f t="shared" ca="1" si="113"/>
        <v>0</v>
      </c>
      <c r="CU40" s="1487">
        <f t="shared" ca="1" si="113"/>
        <v>49.234939155623579</v>
      </c>
      <c r="CV40" s="1487">
        <f t="shared" ca="1" si="113"/>
        <v>6.1297304881462844E-2</v>
      </c>
      <c r="CW40" s="1487">
        <f t="shared" ca="1" si="113"/>
        <v>0.8858374422622618</v>
      </c>
      <c r="CX40" s="1487">
        <f t="shared" ca="1" si="113"/>
        <v>0</v>
      </c>
      <c r="CY40" s="1487">
        <f t="shared" ca="1" si="113"/>
        <v>0</v>
      </c>
      <c r="CZ40" s="1487">
        <f t="shared" ca="1" si="113"/>
        <v>0</v>
      </c>
      <c r="DA40" s="1487">
        <f t="shared" ca="1" si="113"/>
        <v>0</v>
      </c>
      <c r="DB40" s="1487">
        <f t="shared" ca="1" si="113"/>
        <v>0</v>
      </c>
      <c r="DC40" s="1487">
        <f t="shared" ca="1" si="113"/>
        <v>0</v>
      </c>
      <c r="DD40" s="1487">
        <f t="shared" ca="1" si="113"/>
        <v>0</v>
      </c>
      <c r="DE40" s="1487">
        <f t="shared" ca="1" si="113"/>
        <v>0</v>
      </c>
      <c r="DF40" s="1487">
        <f t="shared" ca="1" si="113"/>
        <v>0</v>
      </c>
      <c r="DH40" s="835">
        <f ca="1">SUM(BO40:DF40)</f>
        <v>367.15205145526943</v>
      </c>
    </row>
    <row r="41" spans="1:112" s="743" customFormat="1" ht="6" customHeight="1">
      <c r="C41" s="509"/>
      <c r="D41" s="509"/>
      <c r="E41" s="509"/>
      <c r="G41" s="958"/>
      <c r="H41" s="958"/>
      <c r="I41" s="958"/>
      <c r="J41" s="958"/>
      <c r="K41" s="960"/>
      <c r="L41" s="958"/>
      <c r="M41" s="958"/>
      <c r="N41" s="958"/>
      <c r="O41" s="958"/>
      <c r="P41" s="958"/>
      <c r="Q41" s="958"/>
      <c r="S41" s="970"/>
      <c r="T41" s="970"/>
      <c r="U41" s="970"/>
      <c r="V41" s="970"/>
      <c r="W41" s="970"/>
      <c r="X41" s="970"/>
      <c r="Y41" s="970"/>
      <c r="Z41" s="970"/>
      <c r="AA41" s="970"/>
      <c r="AB41" s="970"/>
      <c r="AC41" s="970"/>
      <c r="AD41" s="970"/>
      <c r="AE41" s="970"/>
      <c r="AF41" s="970"/>
      <c r="AG41" s="970"/>
      <c r="AH41" s="970"/>
      <c r="AI41" s="970"/>
      <c r="AJ41" s="970"/>
      <c r="AK41" s="970"/>
      <c r="AM41" s="976"/>
      <c r="AN41" s="976"/>
      <c r="AO41" s="976"/>
      <c r="AP41" s="976"/>
      <c r="AQ41" s="976"/>
      <c r="AR41" s="976"/>
      <c r="AS41" s="976"/>
      <c r="AT41" s="976"/>
      <c r="AU41" s="976"/>
      <c r="AV41" s="976"/>
      <c r="AW41" s="976"/>
      <c r="AX41" s="976"/>
      <c r="AY41" s="976"/>
      <c r="AZ41" s="976"/>
      <c r="BA41" s="976"/>
      <c r="BB41" s="976"/>
      <c r="BC41" s="976"/>
      <c r="BD41" s="976"/>
      <c r="BE41" s="976"/>
      <c r="BF41" s="976"/>
      <c r="BH41" s="990"/>
      <c r="BI41" s="990"/>
      <c r="BJ41" s="990"/>
      <c r="BL41" s="515">
        <f t="shared" si="9"/>
        <v>0</v>
      </c>
      <c r="BM41" s="515"/>
      <c r="BO41" s="1482"/>
      <c r="BP41" s="1482"/>
      <c r="BQ41" s="1482"/>
      <c r="BR41" s="1482"/>
      <c r="BS41" s="1482"/>
      <c r="BT41" s="1482"/>
      <c r="BU41" s="1482"/>
      <c r="BV41" s="1482"/>
      <c r="BW41" s="1482"/>
      <c r="BX41" s="1482"/>
      <c r="BY41" s="1482"/>
      <c r="BZ41" s="1482"/>
      <c r="CA41" s="1482"/>
      <c r="CB41" s="1482"/>
      <c r="CC41" s="1482"/>
      <c r="CD41" s="1482"/>
      <c r="CE41" s="1482"/>
      <c r="CF41" s="1482"/>
      <c r="CG41" s="1482"/>
      <c r="CH41" s="1482"/>
      <c r="CI41" s="1482"/>
      <c r="CJ41" s="1482"/>
      <c r="CK41" s="1482"/>
      <c r="CL41" s="1482"/>
      <c r="CM41" s="1482"/>
      <c r="CN41" s="1482"/>
      <c r="CO41" s="1482"/>
      <c r="CP41" s="1482"/>
      <c r="CQ41" s="1482"/>
      <c r="CR41" s="1482"/>
      <c r="CS41" s="1482"/>
      <c r="CT41" s="1482"/>
      <c r="CU41" s="1482"/>
      <c r="CV41" s="1482"/>
      <c r="CW41" s="1482"/>
      <c r="CX41" s="1482"/>
      <c r="CY41" s="1482"/>
      <c r="CZ41" s="1482"/>
      <c r="DA41" s="1482"/>
      <c r="DB41" s="1482"/>
      <c r="DC41" s="1482"/>
      <c r="DD41" s="1482"/>
      <c r="DE41" s="1482"/>
      <c r="DF41" s="1482"/>
      <c r="DH41" s="838"/>
    </row>
    <row r="42" spans="1:112" s="743" customFormat="1" ht="24" customHeight="1">
      <c r="C42" s="501" t="s">
        <v>72</v>
      </c>
      <c r="D42" s="501"/>
      <c r="E42" s="639"/>
      <c r="G42" s="957"/>
      <c r="H42" s="957"/>
      <c r="I42" s="957"/>
      <c r="J42" s="957"/>
      <c r="K42" s="957"/>
      <c r="L42" s="957"/>
      <c r="M42" s="957"/>
      <c r="N42" s="957"/>
      <c r="O42" s="957"/>
      <c r="P42" s="957"/>
      <c r="Q42" s="957"/>
      <c r="S42" s="969"/>
      <c r="T42" s="969"/>
      <c r="U42" s="969"/>
      <c r="V42" s="969"/>
      <c r="W42" s="969"/>
      <c r="X42" s="969"/>
      <c r="Y42" s="969"/>
      <c r="Z42" s="969"/>
      <c r="AA42" s="969"/>
      <c r="AB42" s="969"/>
      <c r="AC42" s="969"/>
      <c r="AD42" s="969"/>
      <c r="AE42" s="969"/>
      <c r="AF42" s="969"/>
      <c r="AG42" s="969"/>
      <c r="AH42" s="969"/>
      <c r="AI42" s="969"/>
      <c r="AJ42" s="969"/>
      <c r="AK42" s="969"/>
      <c r="AM42" s="975"/>
      <c r="AN42" s="975"/>
      <c r="AO42" s="975"/>
      <c r="AP42" s="975"/>
      <c r="AQ42" s="975"/>
      <c r="AR42" s="975"/>
      <c r="AS42" s="975"/>
      <c r="AT42" s="975"/>
      <c r="AU42" s="975"/>
      <c r="AV42" s="975"/>
      <c r="AW42" s="975"/>
      <c r="AX42" s="975"/>
      <c r="AY42" s="975"/>
      <c r="AZ42" s="975"/>
      <c r="BA42" s="975"/>
      <c r="BB42" s="975"/>
      <c r="BC42" s="975"/>
      <c r="BD42" s="975"/>
      <c r="BE42" s="975"/>
      <c r="BF42" s="975"/>
      <c r="BH42" s="989"/>
      <c r="BI42" s="989"/>
      <c r="BJ42" s="989"/>
      <c r="BL42" s="514">
        <f t="shared" si="9"/>
        <v>0</v>
      </c>
      <c r="BM42" s="514"/>
      <c r="BO42" s="1482"/>
      <c r="BP42" s="1482"/>
      <c r="BQ42" s="1482"/>
      <c r="BR42" s="1482"/>
      <c r="BS42" s="1482"/>
      <c r="BT42" s="1482"/>
      <c r="BU42" s="1482"/>
      <c r="BV42" s="1482"/>
      <c r="BW42" s="1482"/>
      <c r="BX42" s="1482"/>
      <c r="BY42" s="1482"/>
      <c r="BZ42" s="1482"/>
      <c r="CA42" s="1482"/>
      <c r="CB42" s="1482"/>
      <c r="CC42" s="1482"/>
      <c r="CD42" s="1482"/>
      <c r="CE42" s="1482"/>
      <c r="CF42" s="1482"/>
      <c r="CG42" s="1482"/>
      <c r="CH42" s="1482"/>
      <c r="CI42" s="1482"/>
      <c r="CJ42" s="1482"/>
      <c r="CK42" s="1482"/>
      <c r="CL42" s="1482"/>
      <c r="CM42" s="1482"/>
      <c r="CN42" s="1482"/>
      <c r="CO42" s="1482"/>
      <c r="CP42" s="1482"/>
      <c r="CQ42" s="1482"/>
      <c r="CR42" s="1482"/>
      <c r="CS42" s="1482"/>
      <c r="CT42" s="1482"/>
      <c r="CU42" s="1482"/>
      <c r="CV42" s="1482"/>
      <c r="CW42" s="1482"/>
      <c r="CX42" s="1482"/>
      <c r="CY42" s="1482"/>
      <c r="CZ42" s="1482"/>
      <c r="DA42" s="1482"/>
      <c r="DB42" s="1482"/>
      <c r="DC42" s="1482"/>
      <c r="DD42" s="1482"/>
      <c r="DE42" s="1482"/>
      <c r="DF42" s="1482"/>
      <c r="DH42" s="838"/>
    </row>
    <row r="43" spans="1:112" s="743" customFormat="1" ht="12.75" hidden="1" customHeight="1" outlineLevel="1">
      <c r="A43" s="22"/>
      <c r="B43" s="22"/>
      <c r="C43" s="751"/>
      <c r="D43" s="512"/>
      <c r="E43" s="512"/>
      <c r="G43" s="958"/>
      <c r="H43" s="958"/>
      <c r="I43" s="958"/>
      <c r="J43" s="958"/>
      <c r="K43" s="960"/>
      <c r="L43" s="958"/>
      <c r="M43" s="958"/>
      <c r="N43" s="958"/>
      <c r="O43" s="958"/>
      <c r="P43" s="958"/>
      <c r="Q43" s="958"/>
      <c r="S43" s="970"/>
      <c r="T43" s="970"/>
      <c r="U43" s="970"/>
      <c r="V43" s="970"/>
      <c r="W43" s="970"/>
      <c r="X43" s="970"/>
      <c r="Y43" s="970"/>
      <c r="Z43" s="970"/>
      <c r="AA43" s="970"/>
      <c r="AB43" s="970"/>
      <c r="AC43" s="970"/>
      <c r="AD43" s="970"/>
      <c r="AE43" s="970"/>
      <c r="AF43" s="970"/>
      <c r="AG43" s="970"/>
      <c r="AH43" s="970"/>
      <c r="AI43" s="970"/>
      <c r="AJ43" s="970"/>
      <c r="AK43" s="970"/>
      <c r="AM43" s="976"/>
      <c r="AN43" s="976"/>
      <c r="AO43" s="976"/>
      <c r="AP43" s="976"/>
      <c r="AQ43" s="976"/>
      <c r="AR43" s="976"/>
      <c r="AS43" s="976"/>
      <c r="AT43" s="976"/>
      <c r="AU43" s="976"/>
      <c r="AV43" s="976"/>
      <c r="AW43" s="976"/>
      <c r="AX43" s="976"/>
      <c r="AY43" s="976"/>
      <c r="AZ43" s="976"/>
      <c r="BA43" s="976"/>
      <c r="BB43" s="976"/>
      <c r="BC43" s="976"/>
      <c r="BD43" s="976"/>
      <c r="BE43" s="976"/>
      <c r="BF43" s="976"/>
      <c r="BH43" s="990"/>
      <c r="BI43" s="990"/>
      <c r="BJ43" s="990"/>
      <c r="BL43" s="515">
        <f t="shared" si="9"/>
        <v>0</v>
      </c>
      <c r="BM43" s="515"/>
      <c r="BN43" s="22"/>
      <c r="BO43" s="1482"/>
      <c r="BP43" s="1482"/>
      <c r="BQ43" s="1482"/>
      <c r="BR43" s="1482"/>
      <c r="BS43" s="1482"/>
      <c r="BT43" s="1482"/>
      <c r="BU43" s="1482"/>
      <c r="BV43" s="1482"/>
      <c r="BW43" s="1482"/>
      <c r="BX43" s="1482"/>
      <c r="BY43" s="1482"/>
      <c r="BZ43" s="1482"/>
      <c r="CA43" s="1482"/>
      <c r="CB43" s="1482"/>
      <c r="CC43" s="1482"/>
      <c r="CD43" s="1482"/>
      <c r="CE43" s="1482"/>
      <c r="CF43" s="1482"/>
      <c r="CG43" s="1482"/>
      <c r="CH43" s="1482"/>
      <c r="CI43" s="1482"/>
      <c r="CJ43" s="1482"/>
      <c r="CK43" s="1482"/>
      <c r="CL43" s="1482"/>
      <c r="CM43" s="1482"/>
      <c r="CN43" s="1482"/>
      <c r="CO43" s="1482"/>
      <c r="CP43" s="1482"/>
      <c r="CQ43" s="1482"/>
      <c r="CR43" s="1482"/>
      <c r="CS43" s="1482"/>
      <c r="CT43" s="1482"/>
      <c r="CU43" s="1482"/>
      <c r="CV43" s="1482"/>
      <c r="CW43" s="1482"/>
      <c r="CX43" s="1482"/>
      <c r="CY43" s="1482"/>
      <c r="CZ43" s="1482"/>
      <c r="DA43" s="1482"/>
      <c r="DB43" s="1482"/>
      <c r="DC43" s="1482"/>
      <c r="DD43" s="1482"/>
      <c r="DE43" s="1482"/>
      <c r="DF43" s="1482"/>
      <c r="DH43" s="838"/>
    </row>
    <row r="44" spans="1:112" s="1491" customFormat="1" ht="12.75" hidden="1" customHeight="1" outlineLevel="1">
      <c r="C44" s="1534" t="s">
        <v>1925</v>
      </c>
      <c r="D44" s="1535" t="s">
        <v>1926</v>
      </c>
      <c r="E44" s="1535"/>
      <c r="F44" s="1957"/>
      <c r="G44" s="1070"/>
      <c r="H44" s="1070"/>
      <c r="I44" s="1070"/>
      <c r="J44" s="1070"/>
      <c r="K44" s="1071"/>
      <c r="L44" s="1070"/>
      <c r="M44" s="1070"/>
      <c r="N44" s="1070"/>
      <c r="O44" s="1070"/>
      <c r="P44" s="1070"/>
      <c r="Q44" s="1070"/>
      <c r="R44" s="1957"/>
      <c r="S44" s="1072"/>
      <c r="T44" s="1072"/>
      <c r="U44" s="1072"/>
      <c r="V44" s="1072"/>
      <c r="W44" s="1072"/>
      <c r="X44" s="1072"/>
      <c r="Y44" s="1072"/>
      <c r="Z44" s="1072"/>
      <c r="AA44" s="1072"/>
      <c r="AB44" s="1072"/>
      <c r="AC44" s="1072"/>
      <c r="AD44" s="1072"/>
      <c r="AE44" s="1072"/>
      <c r="AF44" s="1072"/>
      <c r="AG44" s="1072"/>
      <c r="AH44" s="1072"/>
      <c r="AI44" s="1072"/>
      <c r="AJ44" s="1072">
        <f ca="1">AJ$40</f>
        <v>0</v>
      </c>
      <c r="AK44" s="1072"/>
      <c r="AL44" s="1957"/>
      <c r="AM44" s="1073"/>
      <c r="AN44" s="1073"/>
      <c r="AO44" s="1073"/>
      <c r="AP44" s="1073"/>
      <c r="AQ44" s="1073"/>
      <c r="AR44" s="1073"/>
      <c r="AS44" s="1073"/>
      <c r="AT44" s="1073"/>
      <c r="AU44" s="1073"/>
      <c r="AV44" s="1073"/>
      <c r="AW44" s="1073"/>
      <c r="AX44" s="1073"/>
      <c r="AY44" s="1073"/>
      <c r="AZ44" s="1073"/>
      <c r="BA44" s="1073"/>
      <c r="BB44" s="1073"/>
      <c r="BC44" s="1073"/>
      <c r="BD44" s="1073"/>
      <c r="BE44" s="1073"/>
      <c r="BF44" s="1073"/>
      <c r="BG44" s="1957"/>
      <c r="BH44" s="1074"/>
      <c r="BI44" s="1074"/>
      <c r="BJ44" s="1074"/>
      <c r="BK44" s="1957"/>
      <c r="BL44" s="1536">
        <f t="shared" si="9"/>
        <v>0</v>
      </c>
      <c r="BM44" s="1536"/>
      <c r="BO44" s="1963"/>
      <c r="BP44" s="1963"/>
      <c r="BQ44" s="1963"/>
      <c r="BR44" s="1963"/>
      <c r="BS44" s="1963"/>
      <c r="BT44" s="1963"/>
      <c r="BU44" s="1963"/>
      <c r="BV44" s="1963"/>
      <c r="BW44" s="1963"/>
      <c r="BX44" s="1963"/>
      <c r="BY44" s="1963"/>
      <c r="BZ44" s="1963"/>
      <c r="CA44" s="1963"/>
      <c r="CB44" s="1963"/>
      <c r="CC44" s="1963"/>
      <c r="CD44" s="1963"/>
      <c r="CE44" s="1963"/>
      <c r="CF44" s="1963"/>
      <c r="CG44" s="1963"/>
      <c r="CH44" s="1963"/>
      <c r="CI44" s="1963"/>
      <c r="CJ44" s="1963"/>
      <c r="CK44" s="1963"/>
      <c r="CL44" s="1963"/>
      <c r="CM44" s="1963"/>
      <c r="CN44" s="1963"/>
      <c r="CO44" s="1963"/>
      <c r="CP44" s="1963"/>
      <c r="CQ44" s="1963"/>
      <c r="CR44" s="1963"/>
      <c r="CS44" s="1963"/>
      <c r="CT44" s="1963"/>
      <c r="CU44" s="1963"/>
      <c r="CV44" s="1963"/>
      <c r="CW44" s="1963"/>
      <c r="CX44" s="1963"/>
      <c r="CY44" s="1963"/>
      <c r="CZ44" s="1963"/>
      <c r="DA44" s="1963"/>
      <c r="DB44" s="1963"/>
      <c r="DC44" s="1963"/>
      <c r="DD44" s="1963"/>
      <c r="DE44" s="1963"/>
      <c r="DF44" s="1963"/>
      <c r="DH44" s="1962">
        <f>SUM(BO44:DF44)</f>
        <v>0</v>
      </c>
    </row>
    <row r="45" spans="1:112" s="743" customFormat="1" ht="12.75" hidden="1" customHeight="1" outlineLevel="1">
      <c r="A45" s="22"/>
      <c r="B45" s="22"/>
      <c r="C45" s="746" t="s">
        <v>981</v>
      </c>
      <c r="D45" s="1010" t="str">
        <f>INDEX(Modules[Module], MATCH($C45, Modules[Code], 0))</f>
        <v>H2 Production</v>
      </c>
      <c r="E45" s="1069"/>
      <c r="G45" s="1022">
        <f t="shared" ref="G45:P45" ca="1" si="114">IFERROR(INDEX(INDIRECT($C45&amp;".Outputs["&amp;this.Year&amp;"]"), MATCH(G$5, INDIRECT($C45&amp;".Outputs[Vector]"), 0)), 0)</f>
        <v>0</v>
      </c>
      <c r="H45" s="1022">
        <f t="shared" ca="1" si="114"/>
        <v>0</v>
      </c>
      <c r="I45" s="1022">
        <f t="shared" ca="1" si="114"/>
        <v>0</v>
      </c>
      <c r="J45" s="1022">
        <f t="shared" ca="1" si="114"/>
        <v>0</v>
      </c>
      <c r="K45" s="1022">
        <f t="shared" ca="1" si="114"/>
        <v>0</v>
      </c>
      <c r="L45" s="1022">
        <f t="shared" ca="1" si="114"/>
        <v>0</v>
      </c>
      <c r="M45" s="1022">
        <f t="shared" ca="1" si="114"/>
        <v>0</v>
      </c>
      <c r="N45" s="1022">
        <f t="shared" ca="1" si="114"/>
        <v>0</v>
      </c>
      <c r="O45" s="1022">
        <f t="shared" ca="1" si="114"/>
        <v>0</v>
      </c>
      <c r="P45" s="1022">
        <f t="shared" ca="1" si="114"/>
        <v>0</v>
      </c>
      <c r="Q45" s="1020">
        <f ca="1">SUM(G45:P45)</f>
        <v>0</v>
      </c>
      <c r="S45" s="1031">
        <f t="shared" ref="S45:AJ45" ca="1" si="115">IFERROR(INDEX(INDIRECT($C45&amp;".Outputs["&amp;this.Year&amp;"]"), MATCH(S$5, INDIRECT($C45&amp;".Outputs[Vector]"), 0)), 0)</f>
        <v>0</v>
      </c>
      <c r="T45" s="1031">
        <f t="shared" ca="1" si="115"/>
        <v>0</v>
      </c>
      <c r="U45" s="1031">
        <f t="shared" ca="1" si="115"/>
        <v>0</v>
      </c>
      <c r="V45" s="1031">
        <f t="shared" ca="1" si="115"/>
        <v>0</v>
      </c>
      <c r="W45" s="1031">
        <f t="shared" ca="1" si="115"/>
        <v>0</v>
      </c>
      <c r="X45" s="1031">
        <f ca="1">IFERROR(INDEX(INDIRECT($C45&amp;".Outputs["&amp;this.Year&amp;"]"), MATCH(X$5, INDIRECT($C45&amp;".Outputs[Vector]"), 0)), 0)</f>
        <v>0</v>
      </c>
      <c r="Y45" s="1031">
        <f ca="1">IFERROR(INDEX(INDIRECT($C45&amp;".Outputs["&amp;this.Year&amp;"]"), MATCH(Y$5, INDIRECT($C45&amp;".Outputs[Vector]"), 0)), 0)</f>
        <v>0</v>
      </c>
      <c r="Z45" s="1031">
        <f ca="1">IFERROR(INDEX(INDIRECT($C45&amp;".Outputs["&amp;this.Year&amp;"]"), MATCH(Z$5, INDIRECT($C45&amp;".Outputs[Vector]"), 0)), 0)</f>
        <v>0</v>
      </c>
      <c r="AA45" s="1031">
        <f t="shared" ca="1" si="115"/>
        <v>0</v>
      </c>
      <c r="AB45" s="1031">
        <f t="shared" ca="1" si="115"/>
        <v>0</v>
      </c>
      <c r="AC45" s="1031">
        <f t="shared" ca="1" si="115"/>
        <v>0</v>
      </c>
      <c r="AD45" s="1031">
        <f t="shared" ca="1" si="115"/>
        <v>0</v>
      </c>
      <c r="AE45" s="1031">
        <f t="shared" ca="1" si="115"/>
        <v>0</v>
      </c>
      <c r="AF45" s="1031">
        <f t="shared" ca="1" si="115"/>
        <v>0</v>
      </c>
      <c r="AG45" s="1031">
        <f t="shared" ca="1" si="115"/>
        <v>0</v>
      </c>
      <c r="AH45" s="1031">
        <f t="shared" ca="1" si="115"/>
        <v>0</v>
      </c>
      <c r="AI45" s="1031">
        <f t="shared" ca="1" si="115"/>
        <v>0</v>
      </c>
      <c r="AJ45" s="1031">
        <f t="shared" ca="1" si="115"/>
        <v>0</v>
      </c>
      <c r="AK45" s="1030">
        <f ca="1">SUM(S45:AJ45)</f>
        <v>0</v>
      </c>
      <c r="AM45" s="1042">
        <f t="shared" ref="AM45:AU45" ca="1" si="116">IFERROR(INDEX(INDIRECT($C45&amp;".Outputs["&amp;this.Year&amp;"]"), MATCH(AM$5, INDIRECT($C45&amp;".Outputs[Vector]"), 0)), 0)</f>
        <v>0</v>
      </c>
      <c r="AN45" s="1042">
        <f t="shared" ca="1" si="116"/>
        <v>0</v>
      </c>
      <c r="AO45" s="1042">
        <f t="shared" ca="1" si="116"/>
        <v>0</v>
      </c>
      <c r="AP45" s="1042">
        <f t="shared" ca="1" si="116"/>
        <v>0</v>
      </c>
      <c r="AQ45" s="1042">
        <f t="shared" ca="1" si="116"/>
        <v>0</v>
      </c>
      <c r="AR45" s="1042">
        <f t="shared" ca="1" si="116"/>
        <v>0</v>
      </c>
      <c r="AS45" s="1042">
        <f t="shared" ca="1" si="116"/>
        <v>0</v>
      </c>
      <c r="AT45" s="1042">
        <f t="shared" ca="1" si="116"/>
        <v>0</v>
      </c>
      <c r="AU45" s="1042">
        <f t="shared" ca="1" si="116"/>
        <v>0</v>
      </c>
      <c r="AV45" s="1042">
        <f t="shared" ref="AV45:BE45" ca="1" si="117">IFERROR(INDEX(INDIRECT($C45&amp;".Outputs["&amp;this.Year&amp;"]"), MATCH(AV$5, INDIRECT($C45&amp;".Outputs[Vector]"), 0)), 0)</f>
        <v>0</v>
      </c>
      <c r="AW45" s="1042">
        <f t="shared" ca="1" si="117"/>
        <v>0</v>
      </c>
      <c r="AX45" s="1042">
        <f t="shared" ca="1" si="117"/>
        <v>0</v>
      </c>
      <c r="AY45" s="1042">
        <f t="shared" ca="1" si="117"/>
        <v>0</v>
      </c>
      <c r="AZ45" s="1042">
        <f t="shared" ca="1" si="117"/>
        <v>0</v>
      </c>
      <c r="BA45" s="1042">
        <f t="shared" ca="1" si="117"/>
        <v>0</v>
      </c>
      <c r="BB45" s="1042">
        <f t="shared" ca="1" si="117"/>
        <v>0</v>
      </c>
      <c r="BC45" s="1042">
        <f t="shared" ca="1" si="117"/>
        <v>0</v>
      </c>
      <c r="BD45" s="1042">
        <f t="shared" ca="1" si="117"/>
        <v>0</v>
      </c>
      <c r="BE45" s="1042">
        <f t="shared" ca="1" si="117"/>
        <v>0</v>
      </c>
      <c r="BF45" s="1012">
        <f ca="1">SUM(AM45:BE45)</f>
        <v>0</v>
      </c>
      <c r="BH45" s="1036">
        <f ca="1">IFERROR(INDEX(INDIRECT($C45&amp;".Outputs["&amp;this.Year&amp;"]"), MATCH(BH$5, INDIRECT($C45&amp;".Outputs[Vector]"), 0)), 0)</f>
        <v>0</v>
      </c>
      <c r="BI45" s="1036">
        <f ca="1">IFERROR(INDEX(INDIRECT($C45&amp;".Outputs["&amp;this.Year&amp;"]"), MATCH(BI$5, INDIRECT($C45&amp;".Outputs[Vector]"), 0)), 0)</f>
        <v>0</v>
      </c>
      <c r="BJ45" s="1035">
        <f ca="1">SUM(BH45:BI45)</f>
        <v>0</v>
      </c>
      <c r="BL45" s="515"/>
      <c r="BM45" s="515"/>
      <c r="BN45" s="840"/>
      <c r="BO45" s="1485">
        <f t="shared" ref="BO45:DF45" ca="1" si="118">IFERROR(SUMIFS(INDIRECT($C45&amp;".Emissions["&amp;this.Year&amp;"]"), INDIRECT($C45&amp;".Emissions[GHG]"), BO$6, INDIRECT($C45&amp;".Emissions[IPCC Sector]"), BO$5),0)</f>
        <v>0</v>
      </c>
      <c r="BP45" s="1486">
        <f t="shared" ca="1" si="118"/>
        <v>0</v>
      </c>
      <c r="BQ45" s="1486">
        <f t="shared" ca="1" si="118"/>
        <v>0</v>
      </c>
      <c r="BR45" s="1486">
        <f t="shared" ca="1" si="118"/>
        <v>0</v>
      </c>
      <c r="BS45" s="1486">
        <f t="shared" ca="1" si="118"/>
        <v>0</v>
      </c>
      <c r="BT45" s="1486">
        <f t="shared" ca="1" si="118"/>
        <v>0</v>
      </c>
      <c r="BU45" s="1486">
        <f t="shared" ca="1" si="118"/>
        <v>0</v>
      </c>
      <c r="BV45" s="1486">
        <f t="shared" ca="1" si="118"/>
        <v>0</v>
      </c>
      <c r="BW45" s="1486">
        <f t="shared" ca="1" si="118"/>
        <v>0</v>
      </c>
      <c r="BX45" s="1486">
        <f t="shared" ca="1" si="118"/>
        <v>0</v>
      </c>
      <c r="BY45" s="1486">
        <f t="shared" ca="1" si="118"/>
        <v>0</v>
      </c>
      <c r="BZ45" s="1486">
        <f t="shared" ca="1" si="118"/>
        <v>0</v>
      </c>
      <c r="CA45" s="1486">
        <f t="shared" ca="1" si="118"/>
        <v>0</v>
      </c>
      <c r="CB45" s="1486">
        <f t="shared" ca="1" si="118"/>
        <v>0</v>
      </c>
      <c r="CC45" s="1486">
        <f t="shared" ca="1" si="118"/>
        <v>0</v>
      </c>
      <c r="CD45" s="1486">
        <f t="shared" ca="1" si="118"/>
        <v>0</v>
      </c>
      <c r="CE45" s="1486">
        <f t="shared" ca="1" si="118"/>
        <v>0</v>
      </c>
      <c r="CF45" s="1486">
        <f t="shared" ca="1" si="118"/>
        <v>0</v>
      </c>
      <c r="CG45" s="1486">
        <f t="shared" ca="1" si="118"/>
        <v>0</v>
      </c>
      <c r="CH45" s="1486">
        <f t="shared" ca="1" si="118"/>
        <v>0</v>
      </c>
      <c r="CI45" s="1486">
        <f t="shared" ca="1" si="118"/>
        <v>0</v>
      </c>
      <c r="CJ45" s="1486">
        <f t="shared" ca="1" si="118"/>
        <v>0</v>
      </c>
      <c r="CK45" s="1486">
        <f t="shared" ca="1" si="118"/>
        <v>0</v>
      </c>
      <c r="CL45" s="1486">
        <f t="shared" ca="1" si="118"/>
        <v>0</v>
      </c>
      <c r="CM45" s="1486">
        <f t="shared" ca="1" si="118"/>
        <v>0</v>
      </c>
      <c r="CN45" s="1486">
        <f t="shared" ca="1" si="118"/>
        <v>0</v>
      </c>
      <c r="CO45" s="1486">
        <f t="shared" ca="1" si="118"/>
        <v>0</v>
      </c>
      <c r="CP45" s="1486">
        <f t="shared" ca="1" si="118"/>
        <v>0</v>
      </c>
      <c r="CQ45" s="1486">
        <f t="shared" ca="1" si="118"/>
        <v>0</v>
      </c>
      <c r="CR45" s="1486">
        <f t="shared" ca="1" si="118"/>
        <v>0</v>
      </c>
      <c r="CS45" s="1486">
        <f t="shared" ca="1" si="118"/>
        <v>0</v>
      </c>
      <c r="CT45" s="1486">
        <f t="shared" ca="1" si="118"/>
        <v>0</v>
      </c>
      <c r="CU45" s="1486">
        <f t="shared" ca="1" si="118"/>
        <v>0</v>
      </c>
      <c r="CV45" s="1486">
        <f t="shared" ca="1" si="118"/>
        <v>0</v>
      </c>
      <c r="CW45" s="1486">
        <f t="shared" ca="1" si="118"/>
        <v>0</v>
      </c>
      <c r="CX45" s="1486">
        <f t="shared" ca="1" si="118"/>
        <v>0</v>
      </c>
      <c r="CY45" s="1486">
        <f t="shared" ca="1" si="118"/>
        <v>0</v>
      </c>
      <c r="CZ45" s="1486">
        <f t="shared" ca="1" si="118"/>
        <v>0</v>
      </c>
      <c r="DA45" s="1486">
        <f t="shared" ca="1" si="118"/>
        <v>0</v>
      </c>
      <c r="DB45" s="1486">
        <f t="shared" ca="1" si="118"/>
        <v>0</v>
      </c>
      <c r="DC45" s="1486">
        <f t="shared" ca="1" si="118"/>
        <v>0</v>
      </c>
      <c r="DD45" s="1486">
        <f t="shared" ca="1" si="118"/>
        <v>0</v>
      </c>
      <c r="DE45" s="1486">
        <f t="shared" ca="1" si="118"/>
        <v>0</v>
      </c>
      <c r="DF45" s="1486">
        <f t="shared" ca="1" si="118"/>
        <v>0</v>
      </c>
      <c r="DH45" s="838"/>
    </row>
    <row r="46" spans="1:112" s="743" customFormat="1" ht="15.75" collapsed="1">
      <c r="A46" s="22"/>
      <c r="B46" s="753"/>
      <c r="C46" s="744" t="s">
        <v>674</v>
      </c>
      <c r="D46" s="517" t="str">
        <f>INDEX(Workstreams[Workstream], MATCH($C46, Workstreams[Code], 0))</f>
        <v>H2 Production</v>
      </c>
      <c r="E46" s="512"/>
      <c r="G46" s="1021">
        <f ca="1">G45</f>
        <v>0</v>
      </c>
      <c r="H46" s="1021">
        <f t="shared" ref="H46:P46" ca="1" si="119">H45</f>
        <v>0</v>
      </c>
      <c r="I46" s="1021">
        <f t="shared" ca="1" si="119"/>
        <v>0</v>
      </c>
      <c r="J46" s="1021">
        <f t="shared" ca="1" si="119"/>
        <v>0</v>
      </c>
      <c r="K46" s="1021">
        <f t="shared" ca="1" si="119"/>
        <v>0</v>
      </c>
      <c r="L46" s="1021">
        <f t="shared" ca="1" si="119"/>
        <v>0</v>
      </c>
      <c r="M46" s="1021">
        <f t="shared" ca="1" si="119"/>
        <v>0</v>
      </c>
      <c r="N46" s="1021">
        <f t="shared" ca="1" si="119"/>
        <v>0</v>
      </c>
      <c r="O46" s="1021">
        <f t="shared" ca="1" si="119"/>
        <v>0</v>
      </c>
      <c r="P46" s="1021">
        <f t="shared" ca="1" si="119"/>
        <v>0</v>
      </c>
      <c r="Q46" s="1021">
        <f ca="1">SUM(G46:P46)</f>
        <v>0</v>
      </c>
      <c r="S46" s="970">
        <f t="shared" ref="S46:AJ46" ca="1" si="120">S45</f>
        <v>0</v>
      </c>
      <c r="T46" s="970">
        <f t="shared" ca="1" si="120"/>
        <v>0</v>
      </c>
      <c r="U46" s="970">
        <f t="shared" ca="1" si="120"/>
        <v>0</v>
      </c>
      <c r="V46" s="970">
        <f t="shared" ca="1" si="120"/>
        <v>0</v>
      </c>
      <c r="W46" s="970">
        <f t="shared" ca="1" si="120"/>
        <v>0</v>
      </c>
      <c r="X46" s="970">
        <f t="shared" ca="1" si="120"/>
        <v>0</v>
      </c>
      <c r="Y46" s="970">
        <f t="shared" ca="1" si="120"/>
        <v>0</v>
      </c>
      <c r="Z46" s="970">
        <f t="shared" ca="1" si="120"/>
        <v>0</v>
      </c>
      <c r="AA46" s="970">
        <f t="shared" ca="1" si="120"/>
        <v>0</v>
      </c>
      <c r="AB46" s="970">
        <f t="shared" ca="1" si="120"/>
        <v>0</v>
      </c>
      <c r="AC46" s="970">
        <f t="shared" ca="1" si="120"/>
        <v>0</v>
      </c>
      <c r="AD46" s="970">
        <f ca="1">AD45</f>
        <v>0</v>
      </c>
      <c r="AE46" s="970">
        <f ca="1">AE45</f>
        <v>0</v>
      </c>
      <c r="AF46" s="970">
        <f t="shared" ca="1" si="120"/>
        <v>0</v>
      </c>
      <c r="AG46" s="970">
        <f ca="1">AG45</f>
        <v>0</v>
      </c>
      <c r="AH46" s="970">
        <f ca="1">AH45</f>
        <v>0</v>
      </c>
      <c r="AI46" s="970">
        <f ca="1">AI45</f>
        <v>0</v>
      </c>
      <c r="AJ46" s="970">
        <f t="shared" ca="1" si="120"/>
        <v>0</v>
      </c>
      <c r="AK46" s="970">
        <f ca="1">SUM(S46:AJ46)</f>
        <v>0</v>
      </c>
      <c r="AM46" s="976">
        <f ca="1">AM45</f>
        <v>0</v>
      </c>
      <c r="AN46" s="976">
        <f t="shared" ref="AN46:BE46" ca="1" si="121">AN45</f>
        <v>0</v>
      </c>
      <c r="AO46" s="976">
        <f t="shared" ca="1" si="121"/>
        <v>0</v>
      </c>
      <c r="AP46" s="976">
        <f t="shared" ca="1" si="121"/>
        <v>0</v>
      </c>
      <c r="AQ46" s="976">
        <f t="shared" ca="1" si="121"/>
        <v>0</v>
      </c>
      <c r="AR46" s="976">
        <f t="shared" ca="1" si="121"/>
        <v>0</v>
      </c>
      <c r="AS46" s="976">
        <f t="shared" ca="1" si="121"/>
        <v>0</v>
      </c>
      <c r="AT46" s="976">
        <f t="shared" ca="1" si="121"/>
        <v>0</v>
      </c>
      <c r="AU46" s="976">
        <f t="shared" ca="1" si="121"/>
        <v>0</v>
      </c>
      <c r="AV46" s="976">
        <f t="shared" ca="1" si="121"/>
        <v>0</v>
      </c>
      <c r="AW46" s="976">
        <f t="shared" ca="1" si="121"/>
        <v>0</v>
      </c>
      <c r="AX46" s="976">
        <f t="shared" ca="1" si="121"/>
        <v>0</v>
      </c>
      <c r="AY46" s="976">
        <f t="shared" ca="1" si="121"/>
        <v>0</v>
      </c>
      <c r="AZ46" s="976">
        <f t="shared" ca="1" si="121"/>
        <v>0</v>
      </c>
      <c r="BA46" s="976">
        <f t="shared" ca="1" si="121"/>
        <v>0</v>
      </c>
      <c r="BB46" s="976">
        <f t="shared" ca="1" si="121"/>
        <v>0</v>
      </c>
      <c r="BC46" s="976">
        <f t="shared" ca="1" si="121"/>
        <v>0</v>
      </c>
      <c r="BD46" s="976">
        <f t="shared" ca="1" si="121"/>
        <v>0</v>
      </c>
      <c r="BE46" s="976">
        <f t="shared" ca="1" si="121"/>
        <v>0</v>
      </c>
      <c r="BF46" s="976">
        <f ca="1">SUM(AM46:BE46)</f>
        <v>0</v>
      </c>
      <c r="BH46" s="990">
        <f ca="1">BH45</f>
        <v>0</v>
      </c>
      <c r="BI46" s="990">
        <f ca="1">BI45</f>
        <v>0</v>
      </c>
      <c r="BJ46" s="990">
        <f ca="1">SUM(BH46:BI46)</f>
        <v>0</v>
      </c>
      <c r="BL46" s="515">
        <f ca="1">Q46+AK46+BF46+BJ46</f>
        <v>0</v>
      </c>
      <c r="BM46" s="515"/>
      <c r="BN46" s="840"/>
      <c r="BO46" s="1482">
        <f t="shared" ref="BO46:DF46" ca="1" si="122">BO45</f>
        <v>0</v>
      </c>
      <c r="BP46" s="1482">
        <f t="shared" ca="1" si="122"/>
        <v>0</v>
      </c>
      <c r="BQ46" s="1482">
        <f t="shared" ca="1" si="122"/>
        <v>0</v>
      </c>
      <c r="BR46" s="1482">
        <f t="shared" ca="1" si="122"/>
        <v>0</v>
      </c>
      <c r="BS46" s="1482">
        <f t="shared" ca="1" si="122"/>
        <v>0</v>
      </c>
      <c r="BT46" s="1482">
        <f t="shared" ca="1" si="122"/>
        <v>0</v>
      </c>
      <c r="BU46" s="1482">
        <f t="shared" ca="1" si="122"/>
        <v>0</v>
      </c>
      <c r="BV46" s="1482">
        <f t="shared" ca="1" si="122"/>
        <v>0</v>
      </c>
      <c r="BW46" s="1482">
        <f t="shared" ca="1" si="122"/>
        <v>0</v>
      </c>
      <c r="BX46" s="1482">
        <f t="shared" ca="1" si="122"/>
        <v>0</v>
      </c>
      <c r="BY46" s="1482">
        <f t="shared" ca="1" si="122"/>
        <v>0</v>
      </c>
      <c r="BZ46" s="1482">
        <f t="shared" ca="1" si="122"/>
        <v>0</v>
      </c>
      <c r="CA46" s="1482">
        <f t="shared" ca="1" si="122"/>
        <v>0</v>
      </c>
      <c r="CB46" s="1482">
        <f t="shared" ca="1" si="122"/>
        <v>0</v>
      </c>
      <c r="CC46" s="1482">
        <f t="shared" ca="1" si="122"/>
        <v>0</v>
      </c>
      <c r="CD46" s="1482">
        <f t="shared" ca="1" si="122"/>
        <v>0</v>
      </c>
      <c r="CE46" s="1482">
        <f t="shared" ca="1" si="122"/>
        <v>0</v>
      </c>
      <c r="CF46" s="1482">
        <f t="shared" ca="1" si="122"/>
        <v>0</v>
      </c>
      <c r="CG46" s="1482">
        <f t="shared" ca="1" si="122"/>
        <v>0</v>
      </c>
      <c r="CH46" s="1482">
        <f t="shared" ca="1" si="122"/>
        <v>0</v>
      </c>
      <c r="CI46" s="1482">
        <f t="shared" ca="1" si="122"/>
        <v>0</v>
      </c>
      <c r="CJ46" s="1482">
        <f t="shared" ca="1" si="122"/>
        <v>0</v>
      </c>
      <c r="CK46" s="1482">
        <f t="shared" ca="1" si="122"/>
        <v>0</v>
      </c>
      <c r="CL46" s="1482">
        <f t="shared" ca="1" si="122"/>
        <v>0</v>
      </c>
      <c r="CM46" s="1482">
        <f t="shared" ca="1" si="122"/>
        <v>0</v>
      </c>
      <c r="CN46" s="1482">
        <f t="shared" ca="1" si="122"/>
        <v>0</v>
      </c>
      <c r="CO46" s="1482">
        <f t="shared" ca="1" si="122"/>
        <v>0</v>
      </c>
      <c r="CP46" s="1482">
        <f t="shared" ca="1" si="122"/>
        <v>0</v>
      </c>
      <c r="CQ46" s="1482">
        <f t="shared" ca="1" si="122"/>
        <v>0</v>
      </c>
      <c r="CR46" s="1482">
        <f t="shared" ca="1" si="122"/>
        <v>0</v>
      </c>
      <c r="CS46" s="1482">
        <f t="shared" ca="1" si="122"/>
        <v>0</v>
      </c>
      <c r="CT46" s="1482">
        <f t="shared" ca="1" si="122"/>
        <v>0</v>
      </c>
      <c r="CU46" s="1482">
        <f t="shared" ca="1" si="122"/>
        <v>0</v>
      </c>
      <c r="CV46" s="1482">
        <f t="shared" ca="1" si="122"/>
        <v>0</v>
      </c>
      <c r="CW46" s="1482">
        <f t="shared" ca="1" si="122"/>
        <v>0</v>
      </c>
      <c r="CX46" s="1482">
        <f t="shared" ca="1" si="122"/>
        <v>0</v>
      </c>
      <c r="CY46" s="1482">
        <f t="shared" ca="1" si="122"/>
        <v>0</v>
      </c>
      <c r="CZ46" s="1482">
        <f t="shared" ca="1" si="122"/>
        <v>0</v>
      </c>
      <c r="DA46" s="1482">
        <f t="shared" ca="1" si="122"/>
        <v>0</v>
      </c>
      <c r="DB46" s="1482">
        <f t="shared" ca="1" si="122"/>
        <v>0</v>
      </c>
      <c r="DC46" s="1482">
        <f t="shared" ca="1" si="122"/>
        <v>0</v>
      </c>
      <c r="DD46" s="1482">
        <f t="shared" ca="1" si="122"/>
        <v>0</v>
      </c>
      <c r="DE46" s="1482">
        <f t="shared" ca="1" si="122"/>
        <v>0</v>
      </c>
      <c r="DF46" s="1482">
        <f t="shared" ca="1" si="122"/>
        <v>0</v>
      </c>
      <c r="DH46" s="838">
        <f t="shared" ref="DH46:DH82" ca="1" si="123">SUM(BO46:DF46)</f>
        <v>0</v>
      </c>
    </row>
    <row r="47" spans="1:112" s="743" customFormat="1" hidden="1" outlineLevel="1">
      <c r="C47" s="508"/>
      <c r="D47" s="509"/>
      <c r="E47" s="509"/>
      <c r="G47" s="958"/>
      <c r="H47" s="958"/>
      <c r="I47" s="958"/>
      <c r="J47" s="958"/>
      <c r="K47" s="960"/>
      <c r="L47" s="958"/>
      <c r="M47" s="958"/>
      <c r="N47" s="958"/>
      <c r="O47" s="958"/>
      <c r="P47" s="958"/>
      <c r="Q47" s="958"/>
      <c r="S47" s="970"/>
      <c r="T47" s="970"/>
      <c r="U47" s="970"/>
      <c r="V47" s="970"/>
      <c r="W47" s="970"/>
      <c r="X47" s="970"/>
      <c r="Y47" s="970"/>
      <c r="Z47" s="970"/>
      <c r="AA47" s="970"/>
      <c r="AB47" s="970"/>
      <c r="AC47" s="970"/>
      <c r="AD47" s="970"/>
      <c r="AE47" s="970"/>
      <c r="AF47" s="970"/>
      <c r="AG47" s="970"/>
      <c r="AH47" s="970"/>
      <c r="AI47" s="970"/>
      <c r="AJ47" s="970"/>
      <c r="AK47" s="970"/>
      <c r="AM47" s="976"/>
      <c r="AN47" s="976"/>
      <c r="AO47" s="976"/>
      <c r="AP47" s="976"/>
      <c r="AQ47" s="976"/>
      <c r="AR47" s="976"/>
      <c r="AS47" s="976"/>
      <c r="AT47" s="976"/>
      <c r="AU47" s="976"/>
      <c r="AV47" s="976"/>
      <c r="AW47" s="976"/>
      <c r="AX47" s="976"/>
      <c r="AY47" s="976"/>
      <c r="AZ47" s="976"/>
      <c r="BA47" s="976"/>
      <c r="BB47" s="976"/>
      <c r="BC47" s="976"/>
      <c r="BD47" s="976"/>
      <c r="BE47" s="976"/>
      <c r="BF47" s="976"/>
      <c r="BH47" s="990"/>
      <c r="BI47" s="990"/>
      <c r="BJ47" s="990"/>
      <c r="BL47" s="515">
        <f>Q47+AK47+BF47+BJ47</f>
        <v>0</v>
      </c>
      <c r="BM47" s="515"/>
      <c r="BO47" s="1482"/>
      <c r="BP47" s="1482"/>
      <c r="BQ47" s="1482"/>
      <c r="BR47" s="1482"/>
      <c r="BS47" s="1482"/>
      <c r="BT47" s="1482"/>
      <c r="BU47" s="1482"/>
      <c r="BV47" s="1482"/>
      <c r="BW47" s="1482"/>
      <c r="BX47" s="1482"/>
      <c r="BY47" s="1482"/>
      <c r="BZ47" s="1482"/>
      <c r="CA47" s="1482"/>
      <c r="CB47" s="1482"/>
      <c r="CC47" s="1482"/>
      <c r="CD47" s="1482"/>
      <c r="CE47" s="1482"/>
      <c r="CF47" s="1482"/>
      <c r="CG47" s="1482"/>
      <c r="CH47" s="1482"/>
      <c r="CI47" s="1482"/>
      <c r="CJ47" s="1482"/>
      <c r="CK47" s="1482"/>
      <c r="CL47" s="1482"/>
      <c r="CM47" s="1482"/>
      <c r="CN47" s="1482"/>
      <c r="CO47" s="1482"/>
      <c r="CP47" s="1482"/>
      <c r="CQ47" s="1482"/>
      <c r="CR47" s="1482"/>
      <c r="CS47" s="1482"/>
      <c r="CT47" s="1482"/>
      <c r="CU47" s="1482"/>
      <c r="CV47" s="1482"/>
      <c r="CW47" s="1482"/>
      <c r="CX47" s="1482"/>
      <c r="CY47" s="1482"/>
      <c r="CZ47" s="1482"/>
      <c r="DA47" s="1482"/>
      <c r="DB47" s="1482"/>
      <c r="DC47" s="1482"/>
      <c r="DD47" s="1482"/>
      <c r="DE47" s="1482"/>
      <c r="DF47" s="1482"/>
      <c r="DH47" s="838">
        <f t="shared" si="123"/>
        <v>0</v>
      </c>
    </row>
    <row r="48" spans="1:112" s="743" customFormat="1" hidden="1" outlineLevel="1">
      <c r="A48" s="1484"/>
      <c r="B48" s="1484"/>
      <c r="C48" s="746" t="s">
        <v>2280</v>
      </c>
      <c r="D48" s="521" t="str">
        <f>INDEX(Modules[Module], MATCH($C48, Modules[Code], 0))</f>
        <v>Marine algae</v>
      </c>
      <c r="E48" s="521"/>
      <c r="G48" s="1017">
        <f t="shared" ref="G48:P49" ca="1" si="124">IFERROR(INDEX(INDIRECT($C48&amp;".Outputs["&amp;this.Year&amp;"]"), MATCH(G$5, INDIRECT($C48&amp;".Outputs[Vector]"), 0)), 0)</f>
        <v>0</v>
      </c>
      <c r="H48" s="1017">
        <f t="shared" ca="1" si="124"/>
        <v>0</v>
      </c>
      <c r="I48" s="1017">
        <f t="shared" ca="1" si="124"/>
        <v>0</v>
      </c>
      <c r="J48" s="1017">
        <f t="shared" ca="1" si="124"/>
        <v>0</v>
      </c>
      <c r="K48" s="1017">
        <f t="shared" ca="1" si="124"/>
        <v>0</v>
      </c>
      <c r="L48" s="1017">
        <f t="shared" ca="1" si="124"/>
        <v>0</v>
      </c>
      <c r="M48" s="1017">
        <f t="shared" ca="1" si="124"/>
        <v>0</v>
      </c>
      <c r="N48" s="1017">
        <f t="shared" ca="1" si="124"/>
        <v>0</v>
      </c>
      <c r="O48" s="1017">
        <f t="shared" ca="1" si="124"/>
        <v>0</v>
      </c>
      <c r="P48" s="1017">
        <f t="shared" ca="1" si="124"/>
        <v>0</v>
      </c>
      <c r="Q48" s="1019">
        <f ca="1">SUM(G48:P48)</f>
        <v>0</v>
      </c>
      <c r="S48" s="1026">
        <f t="shared" ref="S48:BE49" ca="1" si="125">IFERROR(INDEX(INDIRECT($C48&amp;".Outputs["&amp;this.Year&amp;"]"), MATCH(S$5, INDIRECT($C48&amp;".Outputs[Vector]"), 0)), 0)</f>
        <v>0</v>
      </c>
      <c r="T48" s="1026">
        <f t="shared" ca="1" si="125"/>
        <v>0</v>
      </c>
      <c r="U48" s="1026">
        <f t="shared" ca="1" si="125"/>
        <v>0</v>
      </c>
      <c r="V48" s="1026">
        <f t="shared" ca="1" si="125"/>
        <v>0</v>
      </c>
      <c r="W48" s="1026">
        <f t="shared" ca="1" si="125"/>
        <v>0</v>
      </c>
      <c r="X48" s="1026">
        <f t="shared" ref="X48:Z50" ca="1" si="126">IFERROR(INDEX(INDIRECT($C48&amp;".Outputs["&amp;this.Year&amp;"]"), MATCH(X$5, INDIRECT($C48&amp;".Outputs[Vector]"), 0)), 0)</f>
        <v>0</v>
      </c>
      <c r="Y48" s="1026">
        <f t="shared" ca="1" si="126"/>
        <v>0</v>
      </c>
      <c r="Z48" s="1026">
        <f t="shared" ca="1" si="126"/>
        <v>0</v>
      </c>
      <c r="AA48" s="1026">
        <f t="shared" ca="1" si="125"/>
        <v>0</v>
      </c>
      <c r="AB48" s="1026">
        <f t="shared" ca="1" si="125"/>
        <v>0</v>
      </c>
      <c r="AC48" s="1026">
        <f t="shared" ca="1" si="125"/>
        <v>0</v>
      </c>
      <c r="AD48" s="1026">
        <f t="shared" ca="1" si="125"/>
        <v>0</v>
      </c>
      <c r="AE48" s="1026">
        <f t="shared" ca="1" si="125"/>
        <v>0</v>
      </c>
      <c r="AF48" s="1026">
        <f t="shared" ca="1" si="125"/>
        <v>0</v>
      </c>
      <c r="AG48" s="1026">
        <f t="shared" ca="1" si="125"/>
        <v>0</v>
      </c>
      <c r="AH48" s="1026">
        <f t="shared" ca="1" si="125"/>
        <v>0</v>
      </c>
      <c r="AI48" s="1026">
        <f t="shared" ca="1" si="125"/>
        <v>0</v>
      </c>
      <c r="AJ48" s="1026">
        <f t="shared" ca="1" si="125"/>
        <v>0</v>
      </c>
      <c r="AK48" s="1027">
        <f ca="1">SUM(S48:AJ48)</f>
        <v>0</v>
      </c>
      <c r="AM48" s="1038">
        <f t="shared" ref="AM48:AU50" ca="1" si="127">IFERROR(INDEX(INDIRECT($C48&amp;".Outputs["&amp;this.Year&amp;"]"), MATCH(AM$5, INDIRECT($C48&amp;".Outputs[Vector]"), 0)), 0)</f>
        <v>0</v>
      </c>
      <c r="AN48" s="1038">
        <f t="shared" ca="1" si="127"/>
        <v>0</v>
      </c>
      <c r="AO48" s="1038">
        <f t="shared" ca="1" si="127"/>
        <v>0</v>
      </c>
      <c r="AP48" s="1038">
        <f t="shared" ca="1" si="127"/>
        <v>0</v>
      </c>
      <c r="AQ48" s="1038">
        <f t="shared" ca="1" si="127"/>
        <v>0</v>
      </c>
      <c r="AR48" s="1038">
        <f t="shared" ca="1" si="127"/>
        <v>0</v>
      </c>
      <c r="AS48" s="1038">
        <f t="shared" ca="1" si="127"/>
        <v>0</v>
      </c>
      <c r="AT48" s="1038">
        <f t="shared" ca="1" si="127"/>
        <v>0</v>
      </c>
      <c r="AU48" s="1038">
        <f t="shared" ca="1" si="127"/>
        <v>0</v>
      </c>
      <c r="AV48" s="1038">
        <f t="shared" ca="1" si="125"/>
        <v>0</v>
      </c>
      <c r="AW48" s="1038">
        <f t="shared" ca="1" si="125"/>
        <v>0</v>
      </c>
      <c r="AX48" s="1038">
        <f t="shared" ca="1" si="125"/>
        <v>0</v>
      </c>
      <c r="AY48" s="1038">
        <f t="shared" ca="1" si="125"/>
        <v>0</v>
      </c>
      <c r="AZ48" s="1038">
        <f t="shared" ca="1" si="125"/>
        <v>0</v>
      </c>
      <c r="BA48" s="1038">
        <f t="shared" ca="1" si="125"/>
        <v>0</v>
      </c>
      <c r="BB48" s="1038">
        <f t="shared" ca="1" si="125"/>
        <v>0</v>
      </c>
      <c r="BC48" s="1038">
        <f t="shared" ca="1" si="125"/>
        <v>0</v>
      </c>
      <c r="BD48" s="1038">
        <f t="shared" ca="1" si="125"/>
        <v>0</v>
      </c>
      <c r="BE48" s="1038">
        <f t="shared" ca="1" si="125"/>
        <v>0</v>
      </c>
      <c r="BF48" s="979">
        <f ca="1">SUM(AM48:BE48)</f>
        <v>0</v>
      </c>
      <c r="BH48" s="1032">
        <f t="shared" ref="BH48:BI50" ca="1" si="128">IFERROR(INDEX(INDIRECT($C48&amp;".Outputs["&amp;this.Year&amp;"]"), MATCH(BH$5, INDIRECT($C48&amp;".Outputs[Vector]"), 0)), 0)</f>
        <v>0</v>
      </c>
      <c r="BI48" s="1032">
        <f t="shared" ca="1" si="128"/>
        <v>0</v>
      </c>
      <c r="BJ48" s="1034">
        <f ca="1">SUM(BH48:BI48)</f>
        <v>0</v>
      </c>
      <c r="BL48" s="814"/>
      <c r="BM48" s="814"/>
      <c r="BN48" s="840"/>
      <c r="BO48" s="1481">
        <f t="shared" ref="BO48:BX50" ca="1" si="129">IFERROR(SUMIFS(INDIRECT($C48&amp;".Emissions["&amp;this.Year&amp;"]"), INDIRECT($C48&amp;".Emissions[GHG]"), BO$6, INDIRECT($C48&amp;".Emissions[IPCC Sector]"), BO$5),0)</f>
        <v>0</v>
      </c>
      <c r="BP48" s="1482">
        <f t="shared" ca="1" si="129"/>
        <v>0</v>
      </c>
      <c r="BQ48" s="1482">
        <f t="shared" ca="1" si="129"/>
        <v>0</v>
      </c>
      <c r="BR48" s="1482">
        <f t="shared" ca="1" si="129"/>
        <v>0</v>
      </c>
      <c r="BS48" s="1482">
        <f t="shared" ca="1" si="129"/>
        <v>0</v>
      </c>
      <c r="BT48" s="1482">
        <f t="shared" ca="1" si="129"/>
        <v>0</v>
      </c>
      <c r="BU48" s="1482">
        <f t="shared" ca="1" si="129"/>
        <v>0</v>
      </c>
      <c r="BV48" s="1482">
        <f t="shared" ca="1" si="129"/>
        <v>0</v>
      </c>
      <c r="BW48" s="1482">
        <f t="shared" ca="1" si="129"/>
        <v>0</v>
      </c>
      <c r="BX48" s="1482">
        <f t="shared" ca="1" si="129"/>
        <v>0</v>
      </c>
      <c r="BY48" s="1482">
        <f t="shared" ref="BY48:CH50" ca="1" si="130">IFERROR(SUMIFS(INDIRECT($C48&amp;".Emissions["&amp;this.Year&amp;"]"), INDIRECT($C48&amp;".Emissions[GHG]"), BY$6, INDIRECT($C48&amp;".Emissions[IPCC Sector]"), BY$5),0)</f>
        <v>0</v>
      </c>
      <c r="BZ48" s="1482">
        <f t="shared" ca="1" si="130"/>
        <v>0</v>
      </c>
      <c r="CA48" s="1482">
        <f t="shared" ca="1" si="130"/>
        <v>0</v>
      </c>
      <c r="CB48" s="1482">
        <f t="shared" ca="1" si="130"/>
        <v>0</v>
      </c>
      <c r="CC48" s="1482">
        <f t="shared" ca="1" si="130"/>
        <v>0</v>
      </c>
      <c r="CD48" s="1482">
        <f t="shared" ca="1" si="130"/>
        <v>0</v>
      </c>
      <c r="CE48" s="1482">
        <f t="shared" ca="1" si="130"/>
        <v>0</v>
      </c>
      <c r="CF48" s="1482">
        <f t="shared" ca="1" si="130"/>
        <v>0</v>
      </c>
      <c r="CG48" s="1482">
        <f t="shared" ca="1" si="130"/>
        <v>0</v>
      </c>
      <c r="CH48" s="1482">
        <f t="shared" ca="1" si="130"/>
        <v>0</v>
      </c>
      <c r="CI48" s="1482">
        <f t="shared" ref="CI48:CR50" ca="1" si="131">IFERROR(SUMIFS(INDIRECT($C48&amp;".Emissions["&amp;this.Year&amp;"]"), INDIRECT($C48&amp;".Emissions[GHG]"), CI$6, INDIRECT($C48&amp;".Emissions[IPCC Sector]"), CI$5),0)</f>
        <v>0</v>
      </c>
      <c r="CJ48" s="1482">
        <f t="shared" ca="1" si="131"/>
        <v>0</v>
      </c>
      <c r="CK48" s="1482">
        <f t="shared" ca="1" si="131"/>
        <v>0</v>
      </c>
      <c r="CL48" s="1482">
        <f t="shared" ca="1" si="131"/>
        <v>0</v>
      </c>
      <c r="CM48" s="1482">
        <f t="shared" ca="1" si="131"/>
        <v>0</v>
      </c>
      <c r="CN48" s="1482">
        <f t="shared" ca="1" si="131"/>
        <v>0</v>
      </c>
      <c r="CO48" s="1482">
        <f t="shared" ca="1" si="131"/>
        <v>0</v>
      </c>
      <c r="CP48" s="1482">
        <f t="shared" ca="1" si="131"/>
        <v>0</v>
      </c>
      <c r="CQ48" s="1482">
        <f t="shared" ca="1" si="131"/>
        <v>0</v>
      </c>
      <c r="CR48" s="1482">
        <f t="shared" ca="1" si="131"/>
        <v>0</v>
      </c>
      <c r="CS48" s="1482">
        <f t="shared" ref="CS48:DF50" ca="1" si="132">IFERROR(SUMIFS(INDIRECT($C48&amp;".Emissions["&amp;this.Year&amp;"]"), INDIRECT($C48&amp;".Emissions[GHG]"), CS$6, INDIRECT($C48&amp;".Emissions[IPCC Sector]"), CS$5),0)</f>
        <v>0</v>
      </c>
      <c r="CT48" s="1482">
        <f t="shared" ca="1" si="132"/>
        <v>0</v>
      </c>
      <c r="CU48" s="1482">
        <f t="shared" ca="1" si="132"/>
        <v>0</v>
      </c>
      <c r="CV48" s="1482">
        <f t="shared" ca="1" si="132"/>
        <v>0</v>
      </c>
      <c r="CW48" s="1482">
        <f t="shared" ca="1" si="132"/>
        <v>0</v>
      </c>
      <c r="CX48" s="1482">
        <f t="shared" ca="1" si="132"/>
        <v>0</v>
      </c>
      <c r="CY48" s="1482">
        <f t="shared" ca="1" si="132"/>
        <v>0</v>
      </c>
      <c r="CZ48" s="1482">
        <f t="shared" ca="1" si="132"/>
        <v>0</v>
      </c>
      <c r="DA48" s="1482">
        <f t="shared" ca="1" si="132"/>
        <v>0</v>
      </c>
      <c r="DB48" s="1482">
        <f t="shared" ca="1" si="132"/>
        <v>0</v>
      </c>
      <c r="DC48" s="1482">
        <f t="shared" ca="1" si="132"/>
        <v>0</v>
      </c>
      <c r="DD48" s="1482">
        <f t="shared" ca="1" si="132"/>
        <v>0</v>
      </c>
      <c r="DE48" s="1482">
        <f t="shared" ca="1" si="132"/>
        <v>0</v>
      </c>
      <c r="DF48" s="1482">
        <f t="shared" ca="1" si="132"/>
        <v>0</v>
      </c>
      <c r="DH48" s="838">
        <f ca="1">SUM(BO48:DF48)</f>
        <v>0</v>
      </c>
    </row>
    <row r="49" spans="1:112" s="743" customFormat="1" hidden="1" outlineLevel="1">
      <c r="A49" s="1484"/>
      <c r="B49" s="1484"/>
      <c r="C49" s="746" t="s">
        <v>965</v>
      </c>
      <c r="D49" s="521" t="str">
        <f>INDEX(Modules[Module], MATCH($C49, Modules[Code], 0))</f>
        <v>Waste arising</v>
      </c>
      <c r="E49" s="521"/>
      <c r="G49" s="1017">
        <f t="shared" ca="1" si="124"/>
        <v>0</v>
      </c>
      <c r="H49" s="1017">
        <f t="shared" ca="1" si="124"/>
        <v>0</v>
      </c>
      <c r="I49" s="1017">
        <f t="shared" ca="1" si="124"/>
        <v>0</v>
      </c>
      <c r="J49" s="1017">
        <f t="shared" ca="1" si="124"/>
        <v>0</v>
      </c>
      <c r="K49" s="1017">
        <f t="shared" ca="1" si="124"/>
        <v>0</v>
      </c>
      <c r="L49" s="1017">
        <f t="shared" ca="1" si="124"/>
        <v>0</v>
      </c>
      <c r="M49" s="1017">
        <f t="shared" ca="1" si="124"/>
        <v>0</v>
      </c>
      <c r="N49" s="1017">
        <f t="shared" ca="1" si="124"/>
        <v>0</v>
      </c>
      <c r="O49" s="1017">
        <f t="shared" ca="1" si="124"/>
        <v>0</v>
      </c>
      <c r="P49" s="1017">
        <f t="shared" ca="1" si="124"/>
        <v>0</v>
      </c>
      <c r="Q49" s="1019">
        <f ca="1">SUM(G49:P49)</f>
        <v>0</v>
      </c>
      <c r="S49" s="1026">
        <f t="shared" ca="1" si="125"/>
        <v>0</v>
      </c>
      <c r="T49" s="1026">
        <f t="shared" ca="1" si="125"/>
        <v>0</v>
      </c>
      <c r="U49" s="1026">
        <f t="shared" ca="1" si="125"/>
        <v>0</v>
      </c>
      <c r="V49" s="1026">
        <f t="shared" ca="1" si="125"/>
        <v>0</v>
      </c>
      <c r="W49" s="1026">
        <f t="shared" ca="1" si="125"/>
        <v>0</v>
      </c>
      <c r="X49" s="1026">
        <f t="shared" ca="1" si="126"/>
        <v>33.531381051081439</v>
      </c>
      <c r="Y49" s="1026">
        <f t="shared" ca="1" si="126"/>
        <v>0</v>
      </c>
      <c r="Z49" s="1026">
        <f t="shared" ca="1" si="126"/>
        <v>0</v>
      </c>
      <c r="AA49" s="1026">
        <f t="shared" ca="1" si="125"/>
        <v>0</v>
      </c>
      <c r="AB49" s="1026">
        <f t="shared" ca="1" si="125"/>
        <v>0</v>
      </c>
      <c r="AC49" s="1026">
        <f t="shared" ca="1" si="125"/>
        <v>0</v>
      </c>
      <c r="AD49" s="1026">
        <f t="shared" ca="1" si="125"/>
        <v>0</v>
      </c>
      <c r="AE49" s="1026">
        <f t="shared" ca="1" si="125"/>
        <v>0</v>
      </c>
      <c r="AF49" s="1026">
        <f t="shared" ca="1" si="125"/>
        <v>13.514628592494532</v>
      </c>
      <c r="AG49" s="1026">
        <f t="shared" ca="1" si="125"/>
        <v>4.0706760126419077</v>
      </c>
      <c r="AH49" s="1026">
        <f t="shared" ca="1" si="125"/>
        <v>18.397138633862209</v>
      </c>
      <c r="AI49" s="1026">
        <f t="shared" ca="1" si="125"/>
        <v>0</v>
      </c>
      <c r="AJ49" s="1026">
        <f t="shared" ca="1" si="125"/>
        <v>0</v>
      </c>
      <c r="AK49" s="1027">
        <f ca="1">SUM(S49:AJ49)</f>
        <v>69.513824290080095</v>
      </c>
      <c r="AM49" s="1038">
        <f t="shared" ca="1" si="127"/>
        <v>0</v>
      </c>
      <c r="AN49" s="1038">
        <f t="shared" ca="1" si="127"/>
        <v>0</v>
      </c>
      <c r="AO49" s="1038">
        <f t="shared" ca="1" si="127"/>
        <v>0</v>
      </c>
      <c r="AP49" s="1038">
        <f t="shared" ca="1" si="127"/>
        <v>0</v>
      </c>
      <c r="AQ49" s="1038">
        <f t="shared" ca="1" si="127"/>
        <v>0</v>
      </c>
      <c r="AR49" s="1038">
        <f t="shared" ca="1" si="127"/>
        <v>0</v>
      </c>
      <c r="AS49" s="1038">
        <f t="shared" ca="1" si="127"/>
        <v>0</v>
      </c>
      <c r="AT49" s="1038">
        <f t="shared" ca="1" si="127"/>
        <v>0</v>
      </c>
      <c r="AU49" s="1038">
        <f t="shared" ca="1" si="127"/>
        <v>0</v>
      </c>
      <c r="AV49" s="1038">
        <f t="shared" ca="1" si="125"/>
        <v>0</v>
      </c>
      <c r="AW49" s="1038">
        <f t="shared" ca="1" si="125"/>
        <v>0</v>
      </c>
      <c r="AX49" s="1038">
        <f t="shared" ca="1" si="125"/>
        <v>0</v>
      </c>
      <c r="AY49" s="1038">
        <f t="shared" ca="1" si="125"/>
        <v>0</v>
      </c>
      <c r="AZ49" s="1038">
        <f t="shared" ca="1" si="125"/>
        <v>0</v>
      </c>
      <c r="BA49" s="1038">
        <f t="shared" ca="1" si="125"/>
        <v>0</v>
      </c>
      <c r="BB49" s="1038">
        <f t="shared" ca="1" si="125"/>
        <v>0</v>
      </c>
      <c r="BC49" s="1038">
        <f t="shared" ca="1" si="125"/>
        <v>0</v>
      </c>
      <c r="BD49" s="1038">
        <f t="shared" ca="1" si="125"/>
        <v>0</v>
      </c>
      <c r="BE49" s="1038">
        <f t="shared" ca="1" si="125"/>
        <v>-69.513824290080095</v>
      </c>
      <c r="BF49" s="979">
        <f ca="1">SUM(AM49:BE49)</f>
        <v>-69.513824290080095</v>
      </c>
      <c r="BH49" s="1032">
        <f t="shared" ca="1" si="128"/>
        <v>0</v>
      </c>
      <c r="BI49" s="1032">
        <f t="shared" ca="1" si="128"/>
        <v>0</v>
      </c>
      <c r="BJ49" s="1034">
        <f ca="1">SUM(BH49:BI49)</f>
        <v>0</v>
      </c>
      <c r="BL49" s="814"/>
      <c r="BM49" s="814"/>
      <c r="BN49" s="840"/>
      <c r="BO49" s="1481">
        <f t="shared" ca="1" si="129"/>
        <v>0</v>
      </c>
      <c r="BP49" s="1482">
        <f t="shared" ca="1" si="129"/>
        <v>0</v>
      </c>
      <c r="BQ49" s="1482">
        <f t="shared" ca="1" si="129"/>
        <v>0</v>
      </c>
      <c r="BR49" s="1482">
        <f t="shared" ca="1" si="129"/>
        <v>0</v>
      </c>
      <c r="BS49" s="1482">
        <f t="shared" ca="1" si="129"/>
        <v>0</v>
      </c>
      <c r="BT49" s="1482">
        <f t="shared" ca="1" si="129"/>
        <v>0</v>
      </c>
      <c r="BU49" s="1482">
        <f t="shared" ca="1" si="129"/>
        <v>0</v>
      </c>
      <c r="BV49" s="1482">
        <f t="shared" ca="1" si="129"/>
        <v>0</v>
      </c>
      <c r="BW49" s="1482">
        <f t="shared" ca="1" si="129"/>
        <v>0</v>
      </c>
      <c r="BX49" s="1482">
        <f t="shared" ca="1" si="129"/>
        <v>0</v>
      </c>
      <c r="BY49" s="1482">
        <f t="shared" ca="1" si="130"/>
        <v>0</v>
      </c>
      <c r="BZ49" s="1482">
        <f t="shared" ca="1" si="130"/>
        <v>0</v>
      </c>
      <c r="CA49" s="1482">
        <f t="shared" ca="1" si="130"/>
        <v>0</v>
      </c>
      <c r="CB49" s="1482">
        <f t="shared" ca="1" si="130"/>
        <v>0</v>
      </c>
      <c r="CC49" s="1482">
        <f t="shared" ca="1" si="130"/>
        <v>0</v>
      </c>
      <c r="CD49" s="1482">
        <f t="shared" ca="1" si="130"/>
        <v>0</v>
      </c>
      <c r="CE49" s="1482">
        <f t="shared" ca="1" si="130"/>
        <v>0</v>
      </c>
      <c r="CF49" s="1482">
        <f t="shared" ca="1" si="130"/>
        <v>0</v>
      </c>
      <c r="CG49" s="1482">
        <f t="shared" ca="1" si="130"/>
        <v>0</v>
      </c>
      <c r="CH49" s="1482">
        <f t="shared" ca="1" si="130"/>
        <v>0</v>
      </c>
      <c r="CI49" s="1482">
        <f t="shared" ca="1" si="131"/>
        <v>0</v>
      </c>
      <c r="CJ49" s="1482">
        <f t="shared" ca="1" si="131"/>
        <v>0</v>
      </c>
      <c r="CK49" s="1482">
        <f t="shared" ca="1" si="131"/>
        <v>0</v>
      </c>
      <c r="CL49" s="1482">
        <f t="shared" ca="1" si="131"/>
        <v>0</v>
      </c>
      <c r="CM49" s="1482">
        <f t="shared" ca="1" si="131"/>
        <v>0</v>
      </c>
      <c r="CN49" s="1482">
        <f t="shared" ca="1" si="131"/>
        <v>21.819028362127639</v>
      </c>
      <c r="CO49" s="1482">
        <f t="shared" ca="1" si="131"/>
        <v>1.2748995140127595</v>
      </c>
      <c r="CP49" s="1482">
        <f t="shared" ca="1" si="131"/>
        <v>0</v>
      </c>
      <c r="CQ49" s="1482">
        <f t="shared" ca="1" si="131"/>
        <v>0</v>
      </c>
      <c r="CR49" s="1482">
        <f t="shared" ca="1" si="131"/>
        <v>0</v>
      </c>
      <c r="CS49" s="1482">
        <f t="shared" ca="1" si="132"/>
        <v>0</v>
      </c>
      <c r="CT49" s="1482">
        <f t="shared" ca="1" si="132"/>
        <v>0</v>
      </c>
      <c r="CU49" s="1482">
        <f t="shared" ca="1" si="132"/>
        <v>0</v>
      </c>
      <c r="CV49" s="1482">
        <f t="shared" ca="1" si="132"/>
        <v>0</v>
      </c>
      <c r="CW49" s="1482">
        <f t="shared" ca="1" si="132"/>
        <v>0</v>
      </c>
      <c r="CX49" s="1482">
        <f t="shared" ca="1" si="132"/>
        <v>0</v>
      </c>
      <c r="CY49" s="1482">
        <f t="shared" ca="1" si="132"/>
        <v>0</v>
      </c>
      <c r="CZ49" s="1482">
        <f t="shared" ca="1" si="132"/>
        <v>0</v>
      </c>
      <c r="DA49" s="1482">
        <f t="shared" ca="1" si="132"/>
        <v>0</v>
      </c>
      <c r="DB49" s="1482">
        <f t="shared" ca="1" si="132"/>
        <v>0</v>
      </c>
      <c r="DC49" s="1482">
        <f t="shared" ca="1" si="132"/>
        <v>0</v>
      </c>
      <c r="DD49" s="1482">
        <f t="shared" ca="1" si="132"/>
        <v>0</v>
      </c>
      <c r="DE49" s="1482">
        <f t="shared" ca="1" si="132"/>
        <v>0</v>
      </c>
      <c r="DF49" s="1482">
        <f t="shared" ca="1" si="132"/>
        <v>0</v>
      </c>
      <c r="DH49" s="838">
        <f t="shared" ca="1" si="123"/>
        <v>23.093927876140398</v>
      </c>
    </row>
    <row r="50" spans="1:112" s="743" customFormat="1" ht="12.75" hidden="1" customHeight="1" outlineLevel="1">
      <c r="A50" s="1484"/>
      <c r="B50" s="1484"/>
      <c r="C50" s="746" t="s">
        <v>924</v>
      </c>
      <c r="D50" s="1010" t="str">
        <f>INDEX(Modules[Module], MATCH($C50, Modules[Code], 0))</f>
        <v>Agriculture and land use</v>
      </c>
      <c r="E50" s="1010"/>
      <c r="G50" s="1022">
        <f t="shared" ref="G50:P50" ca="1" si="133">IFERROR(INDEX(INDIRECT($C50&amp;".Outputs["&amp;this.Year&amp;"]"), MATCH(G$5, INDIRECT($C50&amp;".Outputs[Vector]"), 0)), 0)</f>
        <v>0</v>
      </c>
      <c r="H50" s="1022">
        <f t="shared" ca="1" si="133"/>
        <v>0</v>
      </c>
      <c r="I50" s="1022">
        <f t="shared" ca="1" si="133"/>
        <v>10.61960731153949</v>
      </c>
      <c r="J50" s="1022">
        <f t="shared" ca="1" si="133"/>
        <v>0</v>
      </c>
      <c r="K50" s="1022">
        <f t="shared" ca="1" si="133"/>
        <v>0</v>
      </c>
      <c r="L50" s="1022">
        <f t="shared" ca="1" si="133"/>
        <v>0</v>
      </c>
      <c r="M50" s="1022">
        <f t="shared" ca="1" si="133"/>
        <v>0</v>
      </c>
      <c r="N50" s="1022">
        <f t="shared" ca="1" si="133"/>
        <v>0</v>
      </c>
      <c r="O50" s="1022">
        <f t="shared" ca="1" si="133"/>
        <v>0</v>
      </c>
      <c r="P50" s="1022">
        <f t="shared" ca="1" si="133"/>
        <v>0</v>
      </c>
      <c r="Q50" s="1020">
        <f ca="1">SUM(G50:P50)</f>
        <v>10.61960731153949</v>
      </c>
      <c r="S50" s="1031">
        <f t="shared" ref="S50:AJ50" ca="1" si="134">IFERROR(INDEX(INDIRECT($C50&amp;".Outputs["&amp;this.Year&amp;"]"), MATCH(S$5, INDIRECT($C50&amp;".Outputs[Vector]"), 0)), 0)</f>
        <v>-4.2478429246157958</v>
      </c>
      <c r="T50" s="1031">
        <f t="shared" ca="1" si="134"/>
        <v>0</v>
      </c>
      <c r="U50" s="1031">
        <f t="shared" ca="1" si="134"/>
        <v>-0.84956858492315923</v>
      </c>
      <c r="V50" s="1031">
        <f t="shared" ca="1" si="134"/>
        <v>-3.5044704128080317</v>
      </c>
      <c r="W50" s="1031">
        <f t="shared" ca="1" si="134"/>
        <v>-2.0177253891925031</v>
      </c>
      <c r="X50" s="1031">
        <f t="shared" ca="1" si="126"/>
        <v>0</v>
      </c>
      <c r="Y50" s="1031">
        <f t="shared" ca="1" si="126"/>
        <v>0</v>
      </c>
      <c r="Z50" s="1031">
        <f t="shared" ca="1" si="126"/>
        <v>0</v>
      </c>
      <c r="AA50" s="1031">
        <f t="shared" ca="1" si="134"/>
        <v>0</v>
      </c>
      <c r="AB50" s="1031">
        <f t="shared" ca="1" si="134"/>
        <v>0</v>
      </c>
      <c r="AC50" s="1031">
        <f t="shared" ca="1" si="134"/>
        <v>0</v>
      </c>
      <c r="AD50" s="1031">
        <f t="shared" ca="1" si="134"/>
        <v>1.6469469103055956</v>
      </c>
      <c r="AE50" s="1031">
        <f t="shared" ca="1" si="134"/>
        <v>1.1980448469689404</v>
      </c>
      <c r="AF50" s="1031">
        <f t="shared" ca="1" si="134"/>
        <v>2.8029732137249925</v>
      </c>
      <c r="AG50" s="1031">
        <f t="shared" ca="1" si="134"/>
        <v>4.8897684797797085</v>
      </c>
      <c r="AH50" s="1031">
        <f t="shared" ca="1" si="134"/>
        <v>0</v>
      </c>
      <c r="AI50" s="1031">
        <f t="shared" ca="1" si="134"/>
        <v>0</v>
      </c>
      <c r="AJ50" s="1031">
        <f t="shared" ca="1" si="134"/>
        <v>0</v>
      </c>
      <c r="AK50" s="1030">
        <f ca="1">SUM(S50:AJ50)</f>
        <v>-8.1873860760251382E-2</v>
      </c>
      <c r="AM50" s="1042">
        <f t="shared" ca="1" si="127"/>
        <v>0</v>
      </c>
      <c r="AN50" s="1042">
        <f t="shared" ca="1" si="127"/>
        <v>0</v>
      </c>
      <c r="AO50" s="1042">
        <f t="shared" ca="1" si="127"/>
        <v>0</v>
      </c>
      <c r="AP50" s="1042">
        <f t="shared" ca="1" si="127"/>
        <v>0</v>
      </c>
      <c r="AQ50" s="1042">
        <f t="shared" ca="1" si="127"/>
        <v>0</v>
      </c>
      <c r="AR50" s="1042">
        <f t="shared" ca="1" si="127"/>
        <v>0</v>
      </c>
      <c r="AS50" s="1042">
        <f t="shared" ca="1" si="127"/>
        <v>0</v>
      </c>
      <c r="AT50" s="1042">
        <f t="shared" ca="1" si="127"/>
        <v>0</v>
      </c>
      <c r="AU50" s="1042">
        <f t="shared" ca="1" si="127"/>
        <v>0</v>
      </c>
      <c r="AV50" s="1042">
        <f t="shared" ref="AV50:BE50" ca="1" si="135">IFERROR(INDEX(INDIRECT($C50&amp;".Outputs["&amp;this.Year&amp;"]"), MATCH(AV$5, INDIRECT($C50&amp;".Outputs[Vector]"), 0)), 0)</f>
        <v>0</v>
      </c>
      <c r="AW50" s="1042">
        <f t="shared" ca="1" si="135"/>
        <v>0</v>
      </c>
      <c r="AX50" s="1042">
        <f t="shared" ca="1" si="135"/>
        <v>0</v>
      </c>
      <c r="AY50" s="1042">
        <f t="shared" ca="1" si="135"/>
        <v>0</v>
      </c>
      <c r="AZ50" s="1042">
        <f t="shared" ca="1" si="135"/>
        <v>0</v>
      </c>
      <c r="BA50" s="1042">
        <f t="shared" ca="1" si="135"/>
        <v>0</v>
      </c>
      <c r="BB50" s="1042">
        <f t="shared" ca="1" si="135"/>
        <v>0</v>
      </c>
      <c r="BC50" s="1042">
        <f t="shared" ca="1" si="135"/>
        <v>0</v>
      </c>
      <c r="BD50" s="1042">
        <f t="shared" ca="1" si="135"/>
        <v>-2.8449917572745358</v>
      </c>
      <c r="BE50" s="1042">
        <f t="shared" ca="1" si="135"/>
        <v>-7.6927416935047006</v>
      </c>
      <c r="BF50" s="1012">
        <f ca="1">SUM(AM50:BE50)</f>
        <v>-10.537733450779236</v>
      </c>
      <c r="BH50" s="1036">
        <f t="shared" ca="1" si="128"/>
        <v>0</v>
      </c>
      <c r="BI50" s="1036">
        <f t="shared" ca="1" si="128"/>
        <v>0</v>
      </c>
      <c r="BJ50" s="1035">
        <f ca="1">SUM(BH50:BI50)</f>
        <v>0</v>
      </c>
      <c r="BL50" s="814">
        <f ca="1">Q50+AK50+BF50+BJ50</f>
        <v>3.5527136788005009E-15</v>
      </c>
      <c r="BM50" s="814"/>
      <c r="BN50" s="840"/>
      <c r="BO50" s="1485">
        <f t="shared" ca="1" si="129"/>
        <v>1.5090461989697617</v>
      </c>
      <c r="BP50" s="1486">
        <f t="shared" ca="1" si="129"/>
        <v>2.6036347216944456E-3</v>
      </c>
      <c r="BQ50" s="1486">
        <f t="shared" ca="1" si="129"/>
        <v>1.8881543372746355E-2</v>
      </c>
      <c r="BR50" s="1486">
        <f t="shared" ca="1" si="129"/>
        <v>0</v>
      </c>
      <c r="BS50" s="1486">
        <f t="shared" ca="1" si="129"/>
        <v>0</v>
      </c>
      <c r="BT50" s="1486">
        <f t="shared" ca="1" si="129"/>
        <v>0</v>
      </c>
      <c r="BU50" s="1486">
        <f t="shared" ca="1" si="129"/>
        <v>0</v>
      </c>
      <c r="BV50" s="1486">
        <f t="shared" ca="1" si="129"/>
        <v>0</v>
      </c>
      <c r="BW50" s="1486">
        <f t="shared" ca="1" si="129"/>
        <v>0</v>
      </c>
      <c r="BX50" s="1486">
        <f t="shared" ca="1" si="129"/>
        <v>0</v>
      </c>
      <c r="BY50" s="1486">
        <f t="shared" ca="1" si="130"/>
        <v>0</v>
      </c>
      <c r="BZ50" s="1486">
        <f t="shared" ca="1" si="130"/>
        <v>0</v>
      </c>
      <c r="CA50" s="1486">
        <f t="shared" ca="1" si="130"/>
        <v>0</v>
      </c>
      <c r="CB50" s="1486">
        <f t="shared" ca="1" si="130"/>
        <v>0</v>
      </c>
      <c r="CC50" s="1486">
        <f t="shared" ca="1" si="130"/>
        <v>0</v>
      </c>
      <c r="CD50" s="1486">
        <f t="shared" ca="1" si="130"/>
        <v>0</v>
      </c>
      <c r="CE50" s="1486">
        <f t="shared" ca="1" si="130"/>
        <v>0</v>
      </c>
      <c r="CF50" s="1486">
        <f t="shared" ca="1" si="130"/>
        <v>19.552860310176921</v>
      </c>
      <c r="CG50" s="1486">
        <f t="shared" ca="1" si="130"/>
        <v>22.836330553630731</v>
      </c>
      <c r="CH50" s="1486">
        <f t="shared" ca="1" si="130"/>
        <v>0</v>
      </c>
      <c r="CI50" s="1486">
        <f t="shared" ca="1" si="131"/>
        <v>2.6421556737666059</v>
      </c>
      <c r="CJ50" s="1486">
        <f t="shared" ca="1" si="131"/>
        <v>0</v>
      </c>
      <c r="CK50" s="1486">
        <f t="shared" ca="1" si="131"/>
        <v>0</v>
      </c>
      <c r="CL50" s="1486">
        <f t="shared" ca="1" si="131"/>
        <v>0</v>
      </c>
      <c r="CM50" s="1486">
        <f t="shared" ca="1" si="131"/>
        <v>0</v>
      </c>
      <c r="CN50" s="1486">
        <f t="shared" ca="1" si="131"/>
        <v>0</v>
      </c>
      <c r="CO50" s="1486">
        <f t="shared" ca="1" si="131"/>
        <v>0</v>
      </c>
      <c r="CP50" s="1486">
        <f t="shared" ca="1" si="131"/>
        <v>0</v>
      </c>
      <c r="CQ50" s="1486">
        <f t="shared" ca="1" si="131"/>
        <v>0</v>
      </c>
      <c r="CR50" s="1486">
        <f t="shared" ca="1" si="131"/>
        <v>0</v>
      </c>
      <c r="CS50" s="1486">
        <f t="shared" ca="1" si="132"/>
        <v>0</v>
      </c>
      <c r="CT50" s="1486">
        <f t="shared" ca="1" si="132"/>
        <v>0</v>
      </c>
      <c r="CU50" s="1486">
        <f t="shared" ca="1" si="132"/>
        <v>0</v>
      </c>
      <c r="CV50" s="1486">
        <f t="shared" ca="1" si="132"/>
        <v>0</v>
      </c>
      <c r="CW50" s="1486">
        <f t="shared" ca="1" si="132"/>
        <v>0</v>
      </c>
      <c r="CX50" s="1486">
        <f t="shared" ca="1" si="132"/>
        <v>0</v>
      </c>
      <c r="CY50" s="1486">
        <f t="shared" ca="1" si="132"/>
        <v>0</v>
      </c>
      <c r="CZ50" s="1486">
        <f t="shared" ca="1" si="132"/>
        <v>0</v>
      </c>
      <c r="DA50" s="1486">
        <f t="shared" ca="1" si="132"/>
        <v>0</v>
      </c>
      <c r="DB50" s="1486">
        <f t="shared" ca="1" si="132"/>
        <v>0</v>
      </c>
      <c r="DC50" s="1486">
        <f t="shared" ca="1" si="132"/>
        <v>0</v>
      </c>
      <c r="DD50" s="1486">
        <f t="shared" ca="1" si="132"/>
        <v>0</v>
      </c>
      <c r="DE50" s="1486">
        <f t="shared" ca="1" si="132"/>
        <v>0</v>
      </c>
      <c r="DF50" s="1486">
        <f t="shared" ca="1" si="132"/>
        <v>0</v>
      </c>
      <c r="DH50" s="838">
        <f t="shared" ca="1" si="123"/>
        <v>46.561877914638458</v>
      </c>
    </row>
    <row r="51" spans="1:112" s="743" customFormat="1" ht="15.75" collapsed="1">
      <c r="A51" s="22"/>
      <c r="B51" s="753"/>
      <c r="C51" s="744" t="s">
        <v>672</v>
      </c>
      <c r="D51" s="517" t="str">
        <f>INDEX(Workstreams[Workstream], MATCH($C51, Workstreams[Code], 0))</f>
        <v>Agriculture and waste</v>
      </c>
      <c r="E51" s="512"/>
      <c r="G51" s="1021">
        <f ca="1">SUM(G48:G50)</f>
        <v>0</v>
      </c>
      <c r="H51" s="1021">
        <f t="shared" ref="H51:P51" ca="1" si="136">SUM(H48:H50)</f>
        <v>0</v>
      </c>
      <c r="I51" s="1021">
        <f t="shared" ca="1" si="136"/>
        <v>10.61960731153949</v>
      </c>
      <c r="J51" s="1021">
        <f t="shared" ca="1" si="136"/>
        <v>0</v>
      </c>
      <c r="K51" s="1021">
        <f t="shared" ca="1" si="136"/>
        <v>0</v>
      </c>
      <c r="L51" s="1021">
        <f t="shared" ca="1" si="136"/>
        <v>0</v>
      </c>
      <c r="M51" s="1021">
        <f t="shared" ca="1" si="136"/>
        <v>0</v>
      </c>
      <c r="N51" s="1021">
        <f t="shared" ca="1" si="136"/>
        <v>0</v>
      </c>
      <c r="O51" s="1021">
        <f t="shared" ca="1" si="136"/>
        <v>0</v>
      </c>
      <c r="P51" s="1021">
        <f t="shared" ca="1" si="136"/>
        <v>0</v>
      </c>
      <c r="Q51" s="1021">
        <f ca="1">SUM(G51:P51)</f>
        <v>10.61960731153949</v>
      </c>
      <c r="S51" s="970">
        <f t="shared" ref="S51:AJ51" ca="1" si="137">SUM(S48:S50)</f>
        <v>-4.2478429246157958</v>
      </c>
      <c r="T51" s="970">
        <f t="shared" ca="1" si="137"/>
        <v>0</v>
      </c>
      <c r="U51" s="970">
        <f t="shared" ca="1" si="137"/>
        <v>-0.84956858492315923</v>
      </c>
      <c r="V51" s="970">
        <f t="shared" ca="1" si="137"/>
        <v>-3.5044704128080317</v>
      </c>
      <c r="W51" s="970">
        <f t="shared" ca="1" si="137"/>
        <v>-2.0177253891925031</v>
      </c>
      <c r="X51" s="970">
        <f t="shared" ca="1" si="137"/>
        <v>33.531381051081439</v>
      </c>
      <c r="Y51" s="970">
        <f t="shared" ca="1" si="137"/>
        <v>0</v>
      </c>
      <c r="Z51" s="970">
        <f t="shared" ca="1" si="137"/>
        <v>0</v>
      </c>
      <c r="AA51" s="970">
        <f t="shared" ca="1" si="137"/>
        <v>0</v>
      </c>
      <c r="AB51" s="970">
        <f t="shared" ca="1" si="137"/>
        <v>0</v>
      </c>
      <c r="AC51" s="970">
        <f t="shared" ca="1" si="137"/>
        <v>0</v>
      </c>
      <c r="AD51" s="970">
        <f t="shared" ca="1" si="137"/>
        <v>1.6469469103055956</v>
      </c>
      <c r="AE51" s="970">
        <f ca="1">SUM(AE48:AE50)</f>
        <v>1.1980448469689404</v>
      </c>
      <c r="AF51" s="970">
        <f t="shared" ca="1" si="137"/>
        <v>16.317601806219525</v>
      </c>
      <c r="AG51" s="970">
        <f t="shared" ca="1" si="137"/>
        <v>8.9604444924216153</v>
      </c>
      <c r="AH51" s="970">
        <f ca="1">SUM(AH48:AH50)</f>
        <v>18.397138633862209</v>
      </c>
      <c r="AI51" s="970">
        <f t="shared" ca="1" si="137"/>
        <v>0</v>
      </c>
      <c r="AJ51" s="970">
        <f t="shared" ca="1" si="137"/>
        <v>0</v>
      </c>
      <c r="AK51" s="970">
        <f ca="1">SUM(S51:AJ51)</f>
        <v>69.431950429319841</v>
      </c>
      <c r="AM51" s="976">
        <f t="shared" ref="AM51:BE51" ca="1" si="138">SUM(AM48:AM50)</f>
        <v>0</v>
      </c>
      <c r="AN51" s="976">
        <f t="shared" ca="1" si="138"/>
        <v>0</v>
      </c>
      <c r="AO51" s="976">
        <f t="shared" ca="1" si="138"/>
        <v>0</v>
      </c>
      <c r="AP51" s="976">
        <f t="shared" ca="1" si="138"/>
        <v>0</v>
      </c>
      <c r="AQ51" s="976">
        <f t="shared" ca="1" si="138"/>
        <v>0</v>
      </c>
      <c r="AR51" s="976">
        <f t="shared" ca="1" si="138"/>
        <v>0</v>
      </c>
      <c r="AS51" s="976">
        <f t="shared" ca="1" si="138"/>
        <v>0</v>
      </c>
      <c r="AT51" s="976">
        <f t="shared" ca="1" si="138"/>
        <v>0</v>
      </c>
      <c r="AU51" s="976">
        <f t="shared" ca="1" si="138"/>
        <v>0</v>
      </c>
      <c r="AV51" s="976">
        <f t="shared" ca="1" si="138"/>
        <v>0</v>
      </c>
      <c r="AW51" s="976">
        <f t="shared" ca="1" si="138"/>
        <v>0</v>
      </c>
      <c r="AX51" s="976">
        <f t="shared" ca="1" si="138"/>
        <v>0</v>
      </c>
      <c r="AY51" s="976">
        <f t="shared" ca="1" si="138"/>
        <v>0</v>
      </c>
      <c r="AZ51" s="976">
        <f t="shared" ca="1" si="138"/>
        <v>0</v>
      </c>
      <c r="BA51" s="976">
        <f t="shared" ca="1" si="138"/>
        <v>0</v>
      </c>
      <c r="BB51" s="976">
        <f t="shared" ca="1" si="138"/>
        <v>0</v>
      </c>
      <c r="BC51" s="976">
        <f t="shared" ca="1" si="138"/>
        <v>0</v>
      </c>
      <c r="BD51" s="976">
        <f t="shared" ca="1" si="138"/>
        <v>-2.8449917572745358</v>
      </c>
      <c r="BE51" s="976">
        <f t="shared" ca="1" si="138"/>
        <v>-77.206565983584795</v>
      </c>
      <c r="BF51" s="976">
        <f ca="1">SUM(AM51:BE51)</f>
        <v>-80.051557740859337</v>
      </c>
      <c r="BH51" s="990">
        <f ca="1">SUM(BH48:BH50)</f>
        <v>0</v>
      </c>
      <c r="BI51" s="990">
        <f ca="1">SUM(BI48:BI50)</f>
        <v>0</v>
      </c>
      <c r="BJ51" s="990">
        <f ca="1">SUM(BH51:BI51)</f>
        <v>0</v>
      </c>
      <c r="BL51" s="515">
        <f ca="1">Q51+AK51+BF51+BJ51</f>
        <v>-1.4210854715202004E-14</v>
      </c>
      <c r="BM51" s="515"/>
      <c r="BN51" s="840"/>
      <c r="BO51" s="1482">
        <f t="shared" ref="BO51:DF51" ca="1" si="139">SUM(BO48:BO50)</f>
        <v>1.5090461989697617</v>
      </c>
      <c r="BP51" s="1482">
        <f t="shared" ca="1" si="139"/>
        <v>2.6036347216944456E-3</v>
      </c>
      <c r="BQ51" s="1482">
        <f t="shared" ca="1" si="139"/>
        <v>1.8881543372746355E-2</v>
      </c>
      <c r="BR51" s="1482">
        <f t="shared" ca="1" si="139"/>
        <v>0</v>
      </c>
      <c r="BS51" s="1482">
        <f t="shared" ca="1" si="139"/>
        <v>0</v>
      </c>
      <c r="BT51" s="1482">
        <f t="shared" ca="1" si="139"/>
        <v>0</v>
      </c>
      <c r="BU51" s="1482">
        <f t="shared" ca="1" si="139"/>
        <v>0</v>
      </c>
      <c r="BV51" s="1482">
        <f t="shared" ca="1" si="139"/>
        <v>0</v>
      </c>
      <c r="BW51" s="1482">
        <f t="shared" ca="1" si="139"/>
        <v>0</v>
      </c>
      <c r="BX51" s="1482">
        <f t="shared" ca="1" si="139"/>
        <v>0</v>
      </c>
      <c r="BY51" s="1482">
        <f t="shared" ca="1" si="139"/>
        <v>0</v>
      </c>
      <c r="BZ51" s="1482">
        <f t="shared" ca="1" si="139"/>
        <v>0</v>
      </c>
      <c r="CA51" s="1482">
        <f t="shared" ca="1" si="139"/>
        <v>0</v>
      </c>
      <c r="CB51" s="1482">
        <f t="shared" ca="1" si="139"/>
        <v>0</v>
      </c>
      <c r="CC51" s="1482">
        <f t="shared" ca="1" si="139"/>
        <v>0</v>
      </c>
      <c r="CD51" s="1482">
        <f t="shared" ca="1" si="139"/>
        <v>0</v>
      </c>
      <c r="CE51" s="1482">
        <f t="shared" ca="1" si="139"/>
        <v>0</v>
      </c>
      <c r="CF51" s="1482">
        <f t="shared" ca="1" si="139"/>
        <v>19.552860310176921</v>
      </c>
      <c r="CG51" s="1482">
        <f t="shared" ca="1" si="139"/>
        <v>22.836330553630731</v>
      </c>
      <c r="CH51" s="1482">
        <f t="shared" ca="1" si="139"/>
        <v>0</v>
      </c>
      <c r="CI51" s="1482">
        <f t="shared" ca="1" si="139"/>
        <v>2.6421556737666059</v>
      </c>
      <c r="CJ51" s="1482">
        <f t="shared" ca="1" si="139"/>
        <v>0</v>
      </c>
      <c r="CK51" s="1482">
        <f t="shared" ca="1" si="139"/>
        <v>0</v>
      </c>
      <c r="CL51" s="1482">
        <f t="shared" ca="1" si="139"/>
        <v>0</v>
      </c>
      <c r="CM51" s="1482">
        <f t="shared" ca="1" si="139"/>
        <v>0</v>
      </c>
      <c r="CN51" s="1482">
        <f t="shared" ca="1" si="139"/>
        <v>21.819028362127639</v>
      </c>
      <c r="CO51" s="1482">
        <f t="shared" ca="1" si="139"/>
        <v>1.2748995140127595</v>
      </c>
      <c r="CP51" s="1482">
        <f t="shared" ca="1" si="139"/>
        <v>0</v>
      </c>
      <c r="CQ51" s="1482">
        <f t="shared" ca="1" si="139"/>
        <v>0</v>
      </c>
      <c r="CR51" s="1482">
        <f t="shared" ca="1" si="139"/>
        <v>0</v>
      </c>
      <c r="CS51" s="1482">
        <f t="shared" ca="1" si="139"/>
        <v>0</v>
      </c>
      <c r="CT51" s="1482">
        <f t="shared" ca="1" si="139"/>
        <v>0</v>
      </c>
      <c r="CU51" s="1482">
        <f t="shared" ca="1" si="139"/>
        <v>0</v>
      </c>
      <c r="CV51" s="1482">
        <f t="shared" ca="1" si="139"/>
        <v>0</v>
      </c>
      <c r="CW51" s="1482">
        <f t="shared" ca="1" si="139"/>
        <v>0</v>
      </c>
      <c r="CX51" s="1482">
        <f t="shared" ca="1" si="139"/>
        <v>0</v>
      </c>
      <c r="CY51" s="1482">
        <f t="shared" ca="1" si="139"/>
        <v>0</v>
      </c>
      <c r="CZ51" s="1482">
        <f t="shared" ca="1" si="139"/>
        <v>0</v>
      </c>
      <c r="DA51" s="1482">
        <f t="shared" ca="1" si="139"/>
        <v>0</v>
      </c>
      <c r="DB51" s="1482">
        <f t="shared" ca="1" si="139"/>
        <v>0</v>
      </c>
      <c r="DC51" s="1482">
        <f t="shared" ca="1" si="139"/>
        <v>0</v>
      </c>
      <c r="DD51" s="1482">
        <f t="shared" ca="1" si="139"/>
        <v>0</v>
      </c>
      <c r="DE51" s="1482">
        <f t="shared" ca="1" si="139"/>
        <v>0</v>
      </c>
      <c r="DF51" s="1482">
        <f t="shared" ca="1" si="139"/>
        <v>0</v>
      </c>
      <c r="DH51" s="838">
        <f t="shared" ca="1" si="123"/>
        <v>69.655805790778857</v>
      </c>
    </row>
    <row r="52" spans="1:112" s="743" customFormat="1" ht="12.75" hidden="1" customHeight="1" outlineLevel="1">
      <c r="A52" s="22"/>
      <c r="B52" s="22"/>
      <c r="C52" s="751"/>
      <c r="D52" s="512"/>
      <c r="E52" s="512"/>
      <c r="G52" s="958"/>
      <c r="H52" s="958"/>
      <c r="I52" s="958"/>
      <c r="J52" s="958"/>
      <c r="K52" s="960"/>
      <c r="L52" s="958"/>
      <c r="M52" s="958"/>
      <c r="N52" s="958"/>
      <c r="O52" s="958"/>
      <c r="P52" s="958"/>
      <c r="Q52" s="958"/>
      <c r="S52" s="970"/>
      <c r="T52" s="970"/>
      <c r="U52" s="970"/>
      <c r="V52" s="970"/>
      <c r="W52" s="970"/>
      <c r="X52" s="970"/>
      <c r="Y52" s="970"/>
      <c r="Z52" s="970"/>
      <c r="AA52" s="970"/>
      <c r="AB52" s="970"/>
      <c r="AC52" s="970"/>
      <c r="AD52" s="970"/>
      <c r="AE52" s="970"/>
      <c r="AF52" s="970"/>
      <c r="AG52" s="970"/>
      <c r="AH52" s="970"/>
      <c r="AI52" s="970"/>
      <c r="AJ52" s="970"/>
      <c r="AK52" s="970"/>
      <c r="AM52" s="976"/>
      <c r="AN52" s="976"/>
      <c r="AO52" s="976"/>
      <c r="AP52" s="976"/>
      <c r="AQ52" s="976"/>
      <c r="AR52" s="976"/>
      <c r="AS52" s="976"/>
      <c r="AT52" s="976"/>
      <c r="AU52" s="976"/>
      <c r="AV52" s="976"/>
      <c r="AW52" s="976"/>
      <c r="AX52" s="976"/>
      <c r="AY52" s="976"/>
      <c r="AZ52" s="976"/>
      <c r="BA52" s="976"/>
      <c r="BB52" s="976"/>
      <c r="BC52" s="976"/>
      <c r="BD52" s="976"/>
      <c r="BE52" s="976"/>
      <c r="BF52" s="976"/>
      <c r="BH52" s="990"/>
      <c r="BI52" s="990"/>
      <c r="BJ52" s="990"/>
      <c r="BL52" s="515">
        <f>Q52+AK52+BF52+BJ52</f>
        <v>0</v>
      </c>
      <c r="BM52" s="515"/>
      <c r="BN52" s="22"/>
      <c r="BO52" s="1482"/>
      <c r="BP52" s="1482"/>
      <c r="BQ52" s="1482"/>
      <c r="BR52" s="1482"/>
      <c r="BS52" s="1482"/>
      <c r="BT52" s="1482"/>
      <c r="BU52" s="1482"/>
      <c r="BV52" s="1482"/>
      <c r="BW52" s="1482"/>
      <c r="BX52" s="1482"/>
      <c r="BY52" s="1482"/>
      <c r="BZ52" s="1482"/>
      <c r="CA52" s="1482"/>
      <c r="CB52" s="1482"/>
      <c r="CC52" s="1482"/>
      <c r="CD52" s="1482"/>
      <c r="CE52" s="1482"/>
      <c r="CF52" s="1482"/>
      <c r="CG52" s="1482"/>
      <c r="CH52" s="1482"/>
      <c r="CI52" s="1482"/>
      <c r="CJ52" s="1482"/>
      <c r="CK52" s="1482"/>
      <c r="CL52" s="1482"/>
      <c r="CM52" s="1482"/>
      <c r="CN52" s="1482"/>
      <c r="CO52" s="1482"/>
      <c r="CP52" s="1482"/>
      <c r="CQ52" s="1482"/>
      <c r="CR52" s="1482"/>
      <c r="CS52" s="1482"/>
      <c r="CT52" s="1482"/>
      <c r="CU52" s="1482"/>
      <c r="CV52" s="1482"/>
      <c r="CW52" s="1482"/>
      <c r="CX52" s="1482"/>
      <c r="CY52" s="1482"/>
      <c r="CZ52" s="1482"/>
      <c r="DA52" s="1482"/>
      <c r="DB52" s="1482"/>
      <c r="DC52" s="1482"/>
      <c r="DD52" s="1482"/>
      <c r="DE52" s="1482"/>
      <c r="DF52" s="1482"/>
      <c r="DH52" s="838">
        <f t="shared" si="123"/>
        <v>0</v>
      </c>
    </row>
    <row r="53" spans="1:112" s="743" customFormat="1" hidden="1" outlineLevel="1">
      <c r="A53" s="1484"/>
      <c r="B53" s="1484"/>
      <c r="C53" s="522" t="s">
        <v>971</v>
      </c>
      <c r="D53" s="521" t="str">
        <f>INDEX(Modules[Module], MATCH($C53, Modules[Code], 0))</f>
        <v>Petroleum refineries</v>
      </c>
      <c r="E53" s="521"/>
      <c r="G53" s="1017">
        <f t="shared" ref="G53:P54" ca="1" si="140">IFERROR(INDEX(INDIRECT($C53&amp;".Outputs["&amp;this.Year&amp;"]"), MATCH(G$5, INDIRECT($C53&amp;".Outputs[Vector]"), 0)), 0)</f>
        <v>0</v>
      </c>
      <c r="H53" s="1017">
        <f t="shared" ca="1" si="140"/>
        <v>0</v>
      </c>
      <c r="I53" s="1017">
        <f t="shared" ca="1" si="140"/>
        <v>0</v>
      </c>
      <c r="J53" s="1017">
        <f t="shared" ca="1" si="140"/>
        <v>0</v>
      </c>
      <c r="K53" s="1017">
        <f t="shared" ca="1" si="140"/>
        <v>0</v>
      </c>
      <c r="L53" s="1017">
        <f t="shared" ca="1" si="140"/>
        <v>0</v>
      </c>
      <c r="M53" s="1017">
        <f t="shared" ca="1" si="140"/>
        <v>0</v>
      </c>
      <c r="N53" s="1017">
        <f t="shared" ca="1" si="140"/>
        <v>0</v>
      </c>
      <c r="O53" s="1017">
        <f t="shared" ca="1" si="140"/>
        <v>0</v>
      </c>
      <c r="P53" s="1017">
        <f t="shared" ca="1" si="140"/>
        <v>0</v>
      </c>
      <c r="Q53" s="1019">
        <f ca="1">SUM(G53:P53)</f>
        <v>0</v>
      </c>
      <c r="S53" s="1026">
        <f t="shared" ref="S53:BE54" ca="1" si="141">IFERROR(INDEX(INDIRECT($C53&amp;".Outputs["&amp;this.Year&amp;"]"), MATCH(S$5, INDIRECT($C53&amp;".Outputs[Vector]"), 0)), 0)</f>
        <v>-6.4942230234131078</v>
      </c>
      <c r="T53" s="1026">
        <f t="shared" ca="1" si="141"/>
        <v>0</v>
      </c>
      <c r="U53" s="1026">
        <f t="shared" ca="1" si="141"/>
        <v>0</v>
      </c>
      <c r="V53" s="1026">
        <f t="shared" ca="1" si="141"/>
        <v>-53.229160826579225</v>
      </c>
      <c r="W53" s="1026">
        <f t="shared" ca="1" si="141"/>
        <v>-2.3679859715607945</v>
      </c>
      <c r="X53" s="1026">
        <f t="shared" ref="X53:Z54" ca="1" si="142">IFERROR(INDEX(INDIRECT($C53&amp;".Outputs["&amp;this.Year&amp;"]"), MATCH(X$5, INDIRECT($C53&amp;".Outputs[Vector]"), 0)), 0)</f>
        <v>0</v>
      </c>
      <c r="Y53" s="1026">
        <f t="shared" ca="1" si="142"/>
        <v>0</v>
      </c>
      <c r="Z53" s="1026">
        <f t="shared" ca="1" si="142"/>
        <v>0</v>
      </c>
      <c r="AA53" s="1026">
        <f t="shared" ca="1" si="141"/>
        <v>0</v>
      </c>
      <c r="AB53" s="1026">
        <f t="shared" ca="1" si="141"/>
        <v>-0.7626228333573859</v>
      </c>
      <c r="AC53" s="1026">
        <f t="shared" ca="1" si="141"/>
        <v>0</v>
      </c>
      <c r="AD53" s="1026">
        <f t="shared" ca="1" si="141"/>
        <v>0</v>
      </c>
      <c r="AE53" s="1026">
        <f t="shared" ca="1" si="141"/>
        <v>0</v>
      </c>
      <c r="AF53" s="1026">
        <f t="shared" ca="1" si="141"/>
        <v>0</v>
      </c>
      <c r="AG53" s="1026">
        <f t="shared" ca="1" si="141"/>
        <v>0</v>
      </c>
      <c r="AH53" s="1026">
        <f t="shared" ca="1" si="141"/>
        <v>0</v>
      </c>
      <c r="AI53" s="1026">
        <f t="shared" ca="1" si="141"/>
        <v>0</v>
      </c>
      <c r="AJ53" s="1026">
        <f t="shared" ca="1" si="141"/>
        <v>0</v>
      </c>
      <c r="AK53" s="1027">
        <f ca="1">SUM(S53:AJ53)</f>
        <v>-62.853992654910506</v>
      </c>
      <c r="AM53" s="1038">
        <f t="shared" ref="AM53:AU54" ca="1" si="143">IFERROR(INDEX(INDIRECT($C53&amp;".Outputs["&amp;this.Year&amp;"]"), MATCH(AM$5, INDIRECT($C53&amp;".Outputs[Vector]"), 0)), 0)</f>
        <v>0</v>
      </c>
      <c r="AN53" s="1038">
        <f t="shared" ca="1" si="143"/>
        <v>0</v>
      </c>
      <c r="AO53" s="1038">
        <f t="shared" ca="1" si="143"/>
        <v>0</v>
      </c>
      <c r="AP53" s="1038">
        <f t="shared" ca="1" si="143"/>
        <v>0</v>
      </c>
      <c r="AQ53" s="1038">
        <f t="shared" ca="1" si="143"/>
        <v>0</v>
      </c>
      <c r="AR53" s="1038">
        <f t="shared" ca="1" si="143"/>
        <v>0</v>
      </c>
      <c r="AS53" s="1038">
        <f t="shared" ca="1" si="143"/>
        <v>0</v>
      </c>
      <c r="AT53" s="1038">
        <f t="shared" ca="1" si="143"/>
        <v>0</v>
      </c>
      <c r="AU53" s="1038">
        <f t="shared" ca="1" si="143"/>
        <v>0</v>
      </c>
      <c r="AV53" s="1038">
        <f t="shared" ca="1" si="141"/>
        <v>0</v>
      </c>
      <c r="AW53" s="1038">
        <f t="shared" ca="1" si="141"/>
        <v>0</v>
      </c>
      <c r="AX53" s="1038">
        <f t="shared" ca="1" si="141"/>
        <v>0</v>
      </c>
      <c r="AY53" s="1038">
        <f t="shared" ca="1" si="141"/>
        <v>0</v>
      </c>
      <c r="AZ53" s="1038">
        <f t="shared" ca="1" si="141"/>
        <v>0</v>
      </c>
      <c r="BA53" s="1038">
        <f t="shared" ca="1" si="141"/>
        <v>0</v>
      </c>
      <c r="BB53" s="1038">
        <f t="shared" ca="1" si="141"/>
        <v>0</v>
      </c>
      <c r="BC53" s="1038">
        <f t="shared" ca="1" si="141"/>
        <v>0</v>
      </c>
      <c r="BD53" s="1038">
        <f t="shared" ca="1" si="141"/>
        <v>0</v>
      </c>
      <c r="BE53" s="1038">
        <f t="shared" ca="1" si="141"/>
        <v>0</v>
      </c>
      <c r="BF53" s="979">
        <f ca="1">SUM(AM53:BE53)</f>
        <v>0</v>
      </c>
      <c r="BH53" s="1032">
        <f ca="1">IFERROR(INDEX(INDIRECT($C53&amp;".Outputs["&amp;this.Year&amp;"]"), MATCH(BH$5, INDIRECT($C53&amp;".Outputs[Vector]"), 0)), 0)</f>
        <v>0</v>
      </c>
      <c r="BI53" s="1032">
        <f ca="1">IFERROR(INDEX(INDIRECT($C53&amp;".Outputs["&amp;this.Year&amp;"]"), MATCH(BI$5, INDIRECT($C53&amp;".Outputs[Vector]"), 0)), 0)</f>
        <v>62.853992654910506</v>
      </c>
      <c r="BJ53" s="1034">
        <f ca="1">SUM(BH53:BI53)</f>
        <v>62.853992654910506</v>
      </c>
      <c r="BL53" s="814">
        <f ca="1">Q53+AK53+BF53+BJ53</f>
        <v>0</v>
      </c>
      <c r="BM53" s="814"/>
      <c r="BN53" s="840"/>
      <c r="BO53" s="1481">
        <f t="shared" ref="BO53:BX54" ca="1" si="144">IFERROR(SUMIFS(INDIRECT($C53&amp;".Emissions["&amp;this.Year&amp;"]"), INDIRECT($C53&amp;".Emissions[GHG]"), BO$6, INDIRECT($C53&amp;".Emissions[IPCC Sector]"), BO$5),0)</f>
        <v>13.742999625411992</v>
      </c>
      <c r="BP53" s="1482">
        <f t="shared" ca="1" si="144"/>
        <v>1.7440897076303603E-2</v>
      </c>
      <c r="BQ53" s="1482">
        <f t="shared" ca="1" si="144"/>
        <v>0.2403647741088922</v>
      </c>
      <c r="BR53" s="1482">
        <f t="shared" ca="1" si="144"/>
        <v>0</v>
      </c>
      <c r="BS53" s="1482">
        <f t="shared" ca="1" si="144"/>
        <v>0</v>
      </c>
      <c r="BT53" s="1482">
        <f t="shared" ca="1" si="144"/>
        <v>0</v>
      </c>
      <c r="BU53" s="1482">
        <f t="shared" ca="1" si="144"/>
        <v>0</v>
      </c>
      <c r="BV53" s="1482">
        <f t="shared" ca="1" si="144"/>
        <v>0</v>
      </c>
      <c r="BW53" s="1482">
        <f t="shared" ca="1" si="144"/>
        <v>0</v>
      </c>
      <c r="BX53" s="1482">
        <f t="shared" ca="1" si="144"/>
        <v>0</v>
      </c>
      <c r="BY53" s="1482">
        <f t="shared" ref="BY53:CH54" ca="1" si="145">IFERROR(SUMIFS(INDIRECT($C53&amp;".Emissions["&amp;this.Year&amp;"]"), INDIRECT($C53&amp;".Emissions[GHG]"), BY$6, INDIRECT($C53&amp;".Emissions[IPCC Sector]"), BY$5),0)</f>
        <v>0</v>
      </c>
      <c r="BZ53" s="1482">
        <f t="shared" ca="1" si="145"/>
        <v>0</v>
      </c>
      <c r="CA53" s="1482">
        <f t="shared" ca="1" si="145"/>
        <v>0</v>
      </c>
      <c r="CB53" s="1482">
        <f t="shared" ca="1" si="145"/>
        <v>0</v>
      </c>
      <c r="CC53" s="1482">
        <f t="shared" ca="1" si="145"/>
        <v>0</v>
      </c>
      <c r="CD53" s="1482">
        <f t="shared" ca="1" si="145"/>
        <v>0</v>
      </c>
      <c r="CE53" s="1482">
        <f t="shared" ca="1" si="145"/>
        <v>0</v>
      </c>
      <c r="CF53" s="1482">
        <f t="shared" ca="1" si="145"/>
        <v>0</v>
      </c>
      <c r="CG53" s="1482">
        <f t="shared" ca="1" si="145"/>
        <v>0</v>
      </c>
      <c r="CH53" s="1482">
        <f t="shared" ca="1" si="145"/>
        <v>0</v>
      </c>
      <c r="CI53" s="1482">
        <f t="shared" ref="CI53:CR54" ca="1" si="146">IFERROR(SUMIFS(INDIRECT($C53&amp;".Emissions["&amp;this.Year&amp;"]"), INDIRECT($C53&amp;".Emissions[GHG]"), CI$6, INDIRECT($C53&amp;".Emissions[IPCC Sector]"), CI$5),0)</f>
        <v>0</v>
      </c>
      <c r="CJ53" s="1482">
        <f t="shared" ca="1" si="146"/>
        <v>0</v>
      </c>
      <c r="CK53" s="1482">
        <f t="shared" ca="1" si="146"/>
        <v>0</v>
      </c>
      <c r="CL53" s="1482">
        <f t="shared" ca="1" si="146"/>
        <v>0</v>
      </c>
      <c r="CM53" s="1482">
        <f t="shared" ca="1" si="146"/>
        <v>0</v>
      </c>
      <c r="CN53" s="1482">
        <f t="shared" ca="1" si="146"/>
        <v>0</v>
      </c>
      <c r="CO53" s="1482">
        <f t="shared" ca="1" si="146"/>
        <v>0</v>
      </c>
      <c r="CP53" s="1482">
        <f t="shared" ca="1" si="146"/>
        <v>0</v>
      </c>
      <c r="CQ53" s="1482">
        <f t="shared" ca="1" si="146"/>
        <v>0</v>
      </c>
      <c r="CR53" s="1482">
        <f t="shared" ca="1" si="146"/>
        <v>0</v>
      </c>
      <c r="CS53" s="1482">
        <f t="shared" ref="CS53:DF54" ca="1" si="147">IFERROR(SUMIFS(INDIRECT($C53&amp;".Emissions["&amp;this.Year&amp;"]"), INDIRECT($C53&amp;".Emissions[GHG]"), CS$6, INDIRECT($C53&amp;".Emissions[IPCC Sector]"), CS$5),0)</f>
        <v>0</v>
      </c>
      <c r="CT53" s="1482">
        <f t="shared" ca="1" si="147"/>
        <v>0</v>
      </c>
      <c r="CU53" s="1482">
        <f t="shared" ca="1" si="147"/>
        <v>0</v>
      </c>
      <c r="CV53" s="1482">
        <f t="shared" ca="1" si="147"/>
        <v>0</v>
      </c>
      <c r="CW53" s="1482">
        <f t="shared" ca="1" si="147"/>
        <v>0</v>
      </c>
      <c r="CX53" s="1482">
        <f t="shared" ca="1" si="147"/>
        <v>0</v>
      </c>
      <c r="CY53" s="1482">
        <f t="shared" ca="1" si="147"/>
        <v>0</v>
      </c>
      <c r="CZ53" s="1482">
        <f t="shared" ca="1" si="147"/>
        <v>0</v>
      </c>
      <c r="DA53" s="1482">
        <f t="shared" ca="1" si="147"/>
        <v>0</v>
      </c>
      <c r="DB53" s="1482">
        <f t="shared" ca="1" si="147"/>
        <v>0</v>
      </c>
      <c r="DC53" s="1482">
        <f t="shared" ca="1" si="147"/>
        <v>0</v>
      </c>
      <c r="DD53" s="1482">
        <f t="shared" ca="1" si="147"/>
        <v>0</v>
      </c>
      <c r="DE53" s="1482">
        <f t="shared" ca="1" si="147"/>
        <v>0</v>
      </c>
      <c r="DF53" s="1482">
        <f t="shared" ca="1" si="147"/>
        <v>0</v>
      </c>
      <c r="DH53" s="838">
        <f t="shared" ca="1" si="123"/>
        <v>14.000805296597187</v>
      </c>
    </row>
    <row r="54" spans="1:112" s="743" customFormat="1" hidden="1" outlineLevel="1">
      <c r="A54" s="1484"/>
      <c r="B54" s="1484"/>
      <c r="C54" s="522" t="s">
        <v>989</v>
      </c>
      <c r="D54" s="1010" t="str">
        <f>INDEX(Modules[Module], MATCH($C54, Modules[Code], 0))</f>
        <v>Indigenous fossil-fuel production</v>
      </c>
      <c r="E54" s="1010"/>
      <c r="G54" s="1022">
        <f t="shared" ca="1" si="140"/>
        <v>0</v>
      </c>
      <c r="H54" s="1022">
        <f t="shared" ca="1" si="140"/>
        <v>0</v>
      </c>
      <c r="I54" s="1022">
        <f t="shared" ca="1" si="140"/>
        <v>55.255911598665527</v>
      </c>
      <c r="J54" s="1022">
        <f t="shared" ca="1" si="140"/>
        <v>0</v>
      </c>
      <c r="K54" s="1022">
        <f t="shared" ca="1" si="140"/>
        <v>0</v>
      </c>
      <c r="L54" s="1022">
        <f t="shared" ca="1" si="140"/>
        <v>0</v>
      </c>
      <c r="M54" s="1022">
        <f t="shared" ca="1" si="140"/>
        <v>0</v>
      </c>
      <c r="N54" s="1022">
        <f t="shared" ca="1" si="140"/>
        <v>0</v>
      </c>
      <c r="O54" s="1022">
        <f t="shared" ca="1" si="140"/>
        <v>0</v>
      </c>
      <c r="P54" s="1022">
        <f t="shared" ca="1" si="140"/>
        <v>0</v>
      </c>
      <c r="Q54" s="1020">
        <f ca="1">SUM(G54:P54)</f>
        <v>55.255911598665527</v>
      </c>
      <c r="S54" s="1031">
        <f t="shared" ca="1" si="141"/>
        <v>-1.4512722582210527</v>
      </c>
      <c r="T54" s="1031">
        <f t="shared" ca="1" si="141"/>
        <v>0</v>
      </c>
      <c r="U54" s="1031">
        <f t="shared" ca="1" si="141"/>
        <v>-4.4692473051785787E-2</v>
      </c>
      <c r="V54" s="1031">
        <f t="shared" ca="1" si="141"/>
        <v>0</v>
      </c>
      <c r="W54" s="1031">
        <f t="shared" ca="1" si="141"/>
        <v>-53.759946867392692</v>
      </c>
      <c r="X54" s="1031">
        <f t="shared" ca="1" si="142"/>
        <v>124.39544583847987</v>
      </c>
      <c r="Y54" s="1031">
        <f t="shared" ca="1" si="142"/>
        <v>815.4323959706519</v>
      </c>
      <c r="Z54" s="1031">
        <f t="shared" ca="1" si="142"/>
        <v>637.88198465125163</v>
      </c>
      <c r="AA54" s="1031">
        <f t="shared" ca="1" si="141"/>
        <v>0</v>
      </c>
      <c r="AB54" s="1031">
        <f t="shared" ca="1" si="141"/>
        <v>0</v>
      </c>
      <c r="AC54" s="1031">
        <f t="shared" ca="1" si="141"/>
        <v>0</v>
      </c>
      <c r="AD54" s="1031">
        <f t="shared" ca="1" si="141"/>
        <v>0</v>
      </c>
      <c r="AE54" s="1031">
        <f t="shared" ca="1" si="141"/>
        <v>0</v>
      </c>
      <c r="AF54" s="1031">
        <f t="shared" ca="1" si="141"/>
        <v>0</v>
      </c>
      <c r="AG54" s="1031">
        <f t="shared" ca="1" si="141"/>
        <v>0</v>
      </c>
      <c r="AH54" s="1031">
        <f t="shared" ca="1" si="141"/>
        <v>0</v>
      </c>
      <c r="AI54" s="1031">
        <f t="shared" ca="1" si="141"/>
        <v>0</v>
      </c>
      <c r="AJ54" s="1031">
        <f t="shared" ca="1" si="141"/>
        <v>0</v>
      </c>
      <c r="AK54" s="1030">
        <f ca="1">SUM(S54:AJ54)</f>
        <v>1522.4539148617177</v>
      </c>
      <c r="AM54" s="1042">
        <f t="shared" ca="1" si="143"/>
        <v>-124.39544583847987</v>
      </c>
      <c r="AN54" s="1042">
        <f t="shared" ca="1" si="143"/>
        <v>-815.4323959706519</v>
      </c>
      <c r="AO54" s="1042">
        <f t="shared" ca="1" si="143"/>
        <v>-637.88198465125163</v>
      </c>
      <c r="AP54" s="1042">
        <f t="shared" ca="1" si="143"/>
        <v>0</v>
      </c>
      <c r="AQ54" s="1042">
        <f t="shared" ca="1" si="143"/>
        <v>0</v>
      </c>
      <c r="AR54" s="1042">
        <f t="shared" ca="1" si="143"/>
        <v>0</v>
      </c>
      <c r="AS54" s="1042">
        <f t="shared" ca="1" si="143"/>
        <v>0</v>
      </c>
      <c r="AT54" s="1042">
        <f t="shared" ca="1" si="143"/>
        <v>0</v>
      </c>
      <c r="AU54" s="1042">
        <f t="shared" ca="1" si="143"/>
        <v>0</v>
      </c>
      <c r="AV54" s="1042">
        <f t="shared" ca="1" si="141"/>
        <v>0</v>
      </c>
      <c r="AW54" s="1042">
        <f t="shared" ca="1" si="141"/>
        <v>0</v>
      </c>
      <c r="AX54" s="1042">
        <f t="shared" ca="1" si="141"/>
        <v>0</v>
      </c>
      <c r="AY54" s="1042">
        <f t="shared" ca="1" si="141"/>
        <v>0</v>
      </c>
      <c r="AZ54" s="1042">
        <f t="shared" ca="1" si="141"/>
        <v>0</v>
      </c>
      <c r="BA54" s="1042">
        <f t="shared" ca="1" si="141"/>
        <v>0</v>
      </c>
      <c r="BB54" s="1042">
        <f t="shared" ca="1" si="141"/>
        <v>0</v>
      </c>
      <c r="BC54" s="1042">
        <f t="shared" ca="1" si="141"/>
        <v>0</v>
      </c>
      <c r="BD54" s="1042">
        <f t="shared" ca="1" si="141"/>
        <v>0</v>
      </c>
      <c r="BE54" s="1042">
        <f t="shared" ca="1" si="141"/>
        <v>0</v>
      </c>
      <c r="BF54" s="1012">
        <f ca="1">SUM(AM54:BE54)</f>
        <v>-1577.7098264603833</v>
      </c>
      <c r="BH54" s="1036">
        <f ca="1">IFERROR(INDEX(INDIRECT($C54&amp;".Outputs["&amp;this.Year&amp;"]"), MATCH(BH$5, INDIRECT($C54&amp;".Outputs[Vector]"), 0)), 0)</f>
        <v>0</v>
      </c>
      <c r="BI54" s="1036">
        <f ca="1">IFERROR(INDEX(INDIRECT($C54&amp;".Outputs["&amp;this.Year&amp;"]"), MATCH(BI$5, INDIRECT($C54&amp;".Outputs[Vector]"), 0)), 0)</f>
        <v>0</v>
      </c>
      <c r="BJ54" s="1035">
        <f ca="1">SUM(BH54:BI54)</f>
        <v>0</v>
      </c>
      <c r="BL54" s="814"/>
      <c r="BM54" s="814"/>
      <c r="BN54" s="840"/>
      <c r="BO54" s="1485">
        <f t="shared" ca="1" si="144"/>
        <v>9.8750862236002543</v>
      </c>
      <c r="BP54" s="1486">
        <f t="shared" ca="1" si="144"/>
        <v>1.9794469203680252E-2</v>
      </c>
      <c r="BQ54" s="1486">
        <f t="shared" ca="1" si="144"/>
        <v>2.1289913967007992E-2</v>
      </c>
      <c r="BR54" s="1486">
        <f t="shared" ca="1" si="144"/>
        <v>0</v>
      </c>
      <c r="BS54" s="1486">
        <f t="shared" ca="1" si="144"/>
        <v>4.2544931298279298</v>
      </c>
      <c r="BT54" s="1486">
        <f t="shared" ca="1" si="144"/>
        <v>2.6403129612517775</v>
      </c>
      <c r="BU54" s="1486">
        <f t="shared" ca="1" si="144"/>
        <v>0</v>
      </c>
      <c r="BV54" s="1486">
        <f t="shared" ca="1" si="144"/>
        <v>0</v>
      </c>
      <c r="BW54" s="1486">
        <f t="shared" ca="1" si="144"/>
        <v>0</v>
      </c>
      <c r="BX54" s="1486">
        <f t="shared" ca="1" si="144"/>
        <v>0</v>
      </c>
      <c r="BY54" s="1486">
        <f t="shared" ca="1" si="145"/>
        <v>0</v>
      </c>
      <c r="BZ54" s="1486">
        <f t="shared" ca="1" si="145"/>
        <v>0</v>
      </c>
      <c r="CA54" s="1486">
        <f t="shared" ca="1" si="145"/>
        <v>0</v>
      </c>
      <c r="CB54" s="1486">
        <f t="shared" ca="1" si="145"/>
        <v>0</v>
      </c>
      <c r="CC54" s="1486">
        <f t="shared" ca="1" si="145"/>
        <v>0</v>
      </c>
      <c r="CD54" s="1486">
        <f t="shared" ca="1" si="145"/>
        <v>0</v>
      </c>
      <c r="CE54" s="1486">
        <f t="shared" ca="1" si="145"/>
        <v>0</v>
      </c>
      <c r="CF54" s="1486">
        <f t="shared" ca="1" si="145"/>
        <v>0</v>
      </c>
      <c r="CG54" s="1486">
        <f t="shared" ca="1" si="145"/>
        <v>0</v>
      </c>
      <c r="CH54" s="1486">
        <f t="shared" ca="1" si="145"/>
        <v>0</v>
      </c>
      <c r="CI54" s="1486">
        <f t="shared" ca="1" si="146"/>
        <v>0</v>
      </c>
      <c r="CJ54" s="1486">
        <f t="shared" ca="1" si="146"/>
        <v>0</v>
      </c>
      <c r="CK54" s="1486">
        <f t="shared" ca="1" si="146"/>
        <v>0</v>
      </c>
      <c r="CL54" s="1486">
        <f t="shared" ca="1" si="146"/>
        <v>0</v>
      </c>
      <c r="CM54" s="1486">
        <f t="shared" ca="1" si="146"/>
        <v>0</v>
      </c>
      <c r="CN54" s="1486">
        <f t="shared" ca="1" si="146"/>
        <v>0</v>
      </c>
      <c r="CO54" s="1486">
        <f t="shared" ca="1" si="146"/>
        <v>0</v>
      </c>
      <c r="CP54" s="1486">
        <f t="shared" ca="1" si="146"/>
        <v>0</v>
      </c>
      <c r="CQ54" s="1486">
        <f t="shared" ca="1" si="146"/>
        <v>0</v>
      </c>
      <c r="CR54" s="1486">
        <f t="shared" ca="1" si="146"/>
        <v>0</v>
      </c>
      <c r="CS54" s="1486">
        <f t="shared" ca="1" si="147"/>
        <v>0</v>
      </c>
      <c r="CT54" s="1486">
        <f t="shared" ca="1" si="147"/>
        <v>0</v>
      </c>
      <c r="CU54" s="1486">
        <f t="shared" ca="1" si="147"/>
        <v>0</v>
      </c>
      <c r="CV54" s="1486">
        <f t="shared" ca="1" si="147"/>
        <v>0</v>
      </c>
      <c r="CW54" s="1486">
        <f t="shared" ca="1" si="147"/>
        <v>0</v>
      </c>
      <c r="CX54" s="1486">
        <f t="shared" ca="1" si="147"/>
        <v>0</v>
      </c>
      <c r="CY54" s="1486">
        <f t="shared" ca="1" si="147"/>
        <v>0</v>
      </c>
      <c r="CZ54" s="1486">
        <f t="shared" ca="1" si="147"/>
        <v>0</v>
      </c>
      <c r="DA54" s="1486">
        <f t="shared" ca="1" si="147"/>
        <v>0</v>
      </c>
      <c r="DB54" s="1486">
        <f t="shared" ca="1" si="147"/>
        <v>0</v>
      </c>
      <c r="DC54" s="1486">
        <f t="shared" ca="1" si="147"/>
        <v>0</v>
      </c>
      <c r="DD54" s="1486">
        <f t="shared" ca="1" si="147"/>
        <v>0</v>
      </c>
      <c r="DE54" s="1486">
        <f t="shared" ca="1" si="147"/>
        <v>0</v>
      </c>
      <c r="DF54" s="1486">
        <f t="shared" ca="1" si="147"/>
        <v>0</v>
      </c>
      <c r="DH54" s="838">
        <f t="shared" ca="1" si="123"/>
        <v>16.810976697850649</v>
      </c>
    </row>
    <row r="55" spans="1:112" s="743" customFormat="1" ht="15.75" collapsed="1">
      <c r="A55" s="1488"/>
      <c r="B55" s="1489"/>
      <c r="C55" s="744" t="s">
        <v>969</v>
      </c>
      <c r="D55" s="517" t="str">
        <f>INDEX(Workstreams[Workstream], MATCH($C55, Workstreams[Code], 0))</f>
        <v>Fossil fuel production</v>
      </c>
      <c r="E55" s="512"/>
      <c r="G55" s="1021">
        <f ca="1">SUM(G53:G54)</f>
        <v>0</v>
      </c>
      <c r="H55" s="1021">
        <f t="shared" ref="H55:P55" ca="1" si="148">SUM(H53:H54)</f>
        <v>0</v>
      </c>
      <c r="I55" s="1021">
        <f t="shared" ca="1" si="148"/>
        <v>55.255911598665527</v>
      </c>
      <c r="J55" s="1021">
        <f t="shared" ca="1" si="148"/>
        <v>0</v>
      </c>
      <c r="K55" s="1021">
        <f t="shared" ca="1" si="148"/>
        <v>0</v>
      </c>
      <c r="L55" s="1021">
        <f t="shared" ca="1" si="148"/>
        <v>0</v>
      </c>
      <c r="M55" s="1021">
        <f t="shared" ca="1" si="148"/>
        <v>0</v>
      </c>
      <c r="N55" s="1021">
        <f t="shared" ca="1" si="148"/>
        <v>0</v>
      </c>
      <c r="O55" s="1021">
        <f t="shared" ca="1" si="148"/>
        <v>0</v>
      </c>
      <c r="P55" s="1021">
        <f t="shared" ca="1" si="148"/>
        <v>0</v>
      </c>
      <c r="Q55" s="1021">
        <f ca="1">SUM(G55:P55)</f>
        <v>55.255911598665527</v>
      </c>
      <c r="S55" s="970">
        <f t="shared" ref="S55:AJ55" ca="1" si="149">SUM(S53:S54)</f>
        <v>-7.9454952816341606</v>
      </c>
      <c r="T55" s="970">
        <f t="shared" ca="1" si="149"/>
        <v>0</v>
      </c>
      <c r="U55" s="970">
        <f t="shared" ca="1" si="149"/>
        <v>-4.4692473051785787E-2</v>
      </c>
      <c r="V55" s="970">
        <f t="shared" ca="1" si="149"/>
        <v>-53.229160826579225</v>
      </c>
      <c r="W55" s="970">
        <f t="shared" ca="1" si="149"/>
        <v>-56.127932838953484</v>
      </c>
      <c r="X55" s="970">
        <f ca="1">SUM(X53:X54)</f>
        <v>124.39544583847987</v>
      </c>
      <c r="Y55" s="970">
        <f ca="1">SUM(Y53:Y54)</f>
        <v>815.4323959706519</v>
      </c>
      <c r="Z55" s="970">
        <f ca="1">SUM(Z53:Z54)</f>
        <v>637.88198465125163</v>
      </c>
      <c r="AA55" s="970">
        <f t="shared" ca="1" si="149"/>
        <v>0</v>
      </c>
      <c r="AB55" s="970">
        <f t="shared" ca="1" si="149"/>
        <v>-0.7626228333573859</v>
      </c>
      <c r="AC55" s="970">
        <f t="shared" ca="1" si="149"/>
        <v>0</v>
      </c>
      <c r="AD55" s="970">
        <f ca="1">SUM(AD53:AD54)</f>
        <v>0</v>
      </c>
      <c r="AE55" s="970">
        <f ca="1">SUM(AE53:AE54)</f>
        <v>0</v>
      </c>
      <c r="AF55" s="970">
        <f t="shared" ca="1" si="149"/>
        <v>0</v>
      </c>
      <c r="AG55" s="970">
        <f ca="1">SUM(AG53:AG54)</f>
        <v>0</v>
      </c>
      <c r="AH55" s="970">
        <f ca="1">SUM(AH53:AH54)</f>
        <v>0</v>
      </c>
      <c r="AI55" s="970">
        <f ca="1">SUM(AI53:AI54)</f>
        <v>0</v>
      </c>
      <c r="AJ55" s="970">
        <f t="shared" ca="1" si="149"/>
        <v>0</v>
      </c>
      <c r="AK55" s="970">
        <f ca="1">SUM(S55:AJ55)</f>
        <v>1459.5999222068072</v>
      </c>
      <c r="AM55" s="976">
        <f t="shared" ref="AM55:BE55" ca="1" si="150">SUM(AM53:AM54)</f>
        <v>-124.39544583847987</v>
      </c>
      <c r="AN55" s="976">
        <f t="shared" ca="1" si="150"/>
        <v>-815.4323959706519</v>
      </c>
      <c r="AO55" s="976">
        <f t="shared" ca="1" si="150"/>
        <v>-637.88198465125163</v>
      </c>
      <c r="AP55" s="976">
        <f t="shared" ca="1" si="150"/>
        <v>0</v>
      </c>
      <c r="AQ55" s="976">
        <f t="shared" ca="1" si="150"/>
        <v>0</v>
      </c>
      <c r="AR55" s="976">
        <f t="shared" ca="1" si="150"/>
        <v>0</v>
      </c>
      <c r="AS55" s="976">
        <f t="shared" ca="1" si="150"/>
        <v>0</v>
      </c>
      <c r="AT55" s="976">
        <f t="shared" ca="1" si="150"/>
        <v>0</v>
      </c>
      <c r="AU55" s="976">
        <f t="shared" ca="1" si="150"/>
        <v>0</v>
      </c>
      <c r="AV55" s="976">
        <f t="shared" ca="1" si="150"/>
        <v>0</v>
      </c>
      <c r="AW55" s="976">
        <f t="shared" ca="1" si="150"/>
        <v>0</v>
      </c>
      <c r="AX55" s="976">
        <f t="shared" ca="1" si="150"/>
        <v>0</v>
      </c>
      <c r="AY55" s="976">
        <f t="shared" ca="1" si="150"/>
        <v>0</v>
      </c>
      <c r="AZ55" s="976">
        <f t="shared" ca="1" si="150"/>
        <v>0</v>
      </c>
      <c r="BA55" s="976">
        <f t="shared" ca="1" si="150"/>
        <v>0</v>
      </c>
      <c r="BB55" s="976">
        <f t="shared" ca="1" si="150"/>
        <v>0</v>
      </c>
      <c r="BC55" s="976">
        <f t="shared" ca="1" si="150"/>
        <v>0</v>
      </c>
      <c r="BD55" s="976">
        <f t="shared" ca="1" si="150"/>
        <v>0</v>
      </c>
      <c r="BE55" s="976">
        <f t="shared" ca="1" si="150"/>
        <v>0</v>
      </c>
      <c r="BF55" s="976">
        <f ca="1">SUM(AM55:BE55)</f>
        <v>-1577.7098264603833</v>
      </c>
      <c r="BH55" s="990">
        <f ca="1">SUM(BH53:BH54)</f>
        <v>0</v>
      </c>
      <c r="BI55" s="990">
        <f ca="1">SUM(BI53:BI54)</f>
        <v>62.853992654910506</v>
      </c>
      <c r="BJ55" s="990">
        <f ca="1">SUM(BH55:BI55)</f>
        <v>62.853992654910506</v>
      </c>
      <c r="BL55" s="515">
        <f ca="1">Q55+AK55+BF55+BJ55</f>
        <v>-9.2370555648813024E-14</v>
      </c>
      <c r="BM55" s="852"/>
      <c r="BN55" s="840"/>
      <c r="BO55" s="1481">
        <f t="shared" ref="BO55:DF55" ca="1" si="151">SUM(BO53:BO54)</f>
        <v>23.618085849012246</v>
      </c>
      <c r="BP55" s="1482">
        <f t="shared" ca="1" si="151"/>
        <v>3.7235366279983854E-2</v>
      </c>
      <c r="BQ55" s="1482">
        <f t="shared" ca="1" si="151"/>
        <v>0.2616546880759002</v>
      </c>
      <c r="BR55" s="1482">
        <f t="shared" ca="1" si="151"/>
        <v>0</v>
      </c>
      <c r="BS55" s="1482">
        <f t="shared" ca="1" si="151"/>
        <v>4.2544931298279298</v>
      </c>
      <c r="BT55" s="1482">
        <f t="shared" ca="1" si="151"/>
        <v>2.6403129612517775</v>
      </c>
      <c r="BU55" s="1482">
        <f t="shared" ca="1" si="151"/>
        <v>0</v>
      </c>
      <c r="BV55" s="1482">
        <f t="shared" ca="1" si="151"/>
        <v>0</v>
      </c>
      <c r="BW55" s="1482">
        <f t="shared" ca="1" si="151"/>
        <v>0</v>
      </c>
      <c r="BX55" s="1482">
        <f t="shared" ca="1" si="151"/>
        <v>0</v>
      </c>
      <c r="BY55" s="1482">
        <f t="shared" ca="1" si="151"/>
        <v>0</v>
      </c>
      <c r="BZ55" s="1482">
        <f t="shared" ca="1" si="151"/>
        <v>0</v>
      </c>
      <c r="CA55" s="1482">
        <f t="shared" ca="1" si="151"/>
        <v>0</v>
      </c>
      <c r="CB55" s="1482">
        <f t="shared" ca="1" si="151"/>
        <v>0</v>
      </c>
      <c r="CC55" s="1482">
        <f t="shared" ca="1" si="151"/>
        <v>0</v>
      </c>
      <c r="CD55" s="1482">
        <f t="shared" ca="1" si="151"/>
        <v>0</v>
      </c>
      <c r="CE55" s="1482">
        <f t="shared" ca="1" si="151"/>
        <v>0</v>
      </c>
      <c r="CF55" s="1482">
        <f t="shared" ca="1" si="151"/>
        <v>0</v>
      </c>
      <c r="CG55" s="1482">
        <f t="shared" ca="1" si="151"/>
        <v>0</v>
      </c>
      <c r="CH55" s="1482">
        <f t="shared" ca="1" si="151"/>
        <v>0</v>
      </c>
      <c r="CI55" s="1482">
        <f t="shared" ca="1" si="151"/>
        <v>0</v>
      </c>
      <c r="CJ55" s="1482">
        <f t="shared" ca="1" si="151"/>
        <v>0</v>
      </c>
      <c r="CK55" s="1482">
        <f t="shared" ca="1" si="151"/>
        <v>0</v>
      </c>
      <c r="CL55" s="1482">
        <f t="shared" ca="1" si="151"/>
        <v>0</v>
      </c>
      <c r="CM55" s="1482">
        <f t="shared" ca="1" si="151"/>
        <v>0</v>
      </c>
      <c r="CN55" s="1482">
        <f t="shared" ca="1" si="151"/>
        <v>0</v>
      </c>
      <c r="CO55" s="1482">
        <f t="shared" ca="1" si="151"/>
        <v>0</v>
      </c>
      <c r="CP55" s="1482">
        <f t="shared" ca="1" si="151"/>
        <v>0</v>
      </c>
      <c r="CQ55" s="1482">
        <f t="shared" ca="1" si="151"/>
        <v>0</v>
      </c>
      <c r="CR55" s="1482">
        <f t="shared" ca="1" si="151"/>
        <v>0</v>
      </c>
      <c r="CS55" s="1482">
        <f t="shared" ca="1" si="151"/>
        <v>0</v>
      </c>
      <c r="CT55" s="1482">
        <f t="shared" ca="1" si="151"/>
        <v>0</v>
      </c>
      <c r="CU55" s="1482">
        <f t="shared" ca="1" si="151"/>
        <v>0</v>
      </c>
      <c r="CV55" s="1482">
        <f t="shared" ca="1" si="151"/>
        <v>0</v>
      </c>
      <c r="CW55" s="1482">
        <f t="shared" ca="1" si="151"/>
        <v>0</v>
      </c>
      <c r="CX55" s="1482">
        <f t="shared" ca="1" si="151"/>
        <v>0</v>
      </c>
      <c r="CY55" s="1482">
        <f t="shared" ca="1" si="151"/>
        <v>0</v>
      </c>
      <c r="CZ55" s="1482">
        <f t="shared" ca="1" si="151"/>
        <v>0</v>
      </c>
      <c r="DA55" s="1482">
        <f t="shared" ca="1" si="151"/>
        <v>0</v>
      </c>
      <c r="DB55" s="1482">
        <f t="shared" ca="1" si="151"/>
        <v>0</v>
      </c>
      <c r="DC55" s="1482">
        <f t="shared" ca="1" si="151"/>
        <v>0</v>
      </c>
      <c r="DD55" s="1482">
        <f t="shared" ca="1" si="151"/>
        <v>0</v>
      </c>
      <c r="DE55" s="1482">
        <f t="shared" ca="1" si="151"/>
        <v>0</v>
      </c>
      <c r="DF55" s="1482">
        <f t="shared" ca="1" si="151"/>
        <v>0</v>
      </c>
      <c r="DH55" s="838">
        <f t="shared" ca="1" si="123"/>
        <v>30.811781994447838</v>
      </c>
    </row>
    <row r="56" spans="1:112" s="743" customFormat="1" hidden="1" outlineLevel="1">
      <c r="C56" s="520"/>
      <c r="D56" s="38"/>
      <c r="E56" s="509"/>
      <c r="G56" s="958"/>
      <c r="H56" s="958"/>
      <c r="I56" s="958"/>
      <c r="J56" s="958"/>
      <c r="K56" s="960"/>
      <c r="L56" s="958"/>
      <c r="M56" s="958"/>
      <c r="N56" s="958"/>
      <c r="O56" s="958"/>
      <c r="P56" s="958"/>
      <c r="Q56" s="958"/>
      <c r="S56" s="970"/>
      <c r="T56" s="970"/>
      <c r="U56" s="970"/>
      <c r="V56" s="970"/>
      <c r="W56" s="970"/>
      <c r="X56" s="970"/>
      <c r="Y56" s="970"/>
      <c r="Z56" s="970"/>
      <c r="AA56" s="970"/>
      <c r="AB56" s="970"/>
      <c r="AC56" s="970"/>
      <c r="AD56" s="970"/>
      <c r="AE56" s="970"/>
      <c r="AF56" s="970"/>
      <c r="AG56" s="970"/>
      <c r="AH56" s="970"/>
      <c r="AI56" s="970"/>
      <c r="AJ56" s="970"/>
      <c r="AK56" s="970"/>
      <c r="AM56" s="976"/>
      <c r="AN56" s="976"/>
      <c r="AO56" s="976"/>
      <c r="AP56" s="976"/>
      <c r="AQ56" s="976"/>
      <c r="AR56" s="976"/>
      <c r="AS56" s="976"/>
      <c r="AT56" s="976"/>
      <c r="AU56" s="976"/>
      <c r="AV56" s="976"/>
      <c r="AW56" s="976"/>
      <c r="AX56" s="976"/>
      <c r="AY56" s="976"/>
      <c r="AZ56" s="976"/>
      <c r="BA56" s="976"/>
      <c r="BB56" s="976"/>
      <c r="BC56" s="976"/>
      <c r="BD56" s="976"/>
      <c r="BE56" s="976"/>
      <c r="BF56" s="976"/>
      <c r="BH56" s="990"/>
      <c r="BI56" s="990"/>
      <c r="BJ56" s="990"/>
      <c r="BL56" s="515">
        <f t="shared" ref="BL56:BL63" si="152">Q56+AK56+BF56+BJ56</f>
        <v>0</v>
      </c>
      <c r="BM56" s="515"/>
      <c r="BO56" s="1482"/>
      <c r="BP56" s="1482"/>
      <c r="BQ56" s="1482"/>
      <c r="BR56" s="1482"/>
      <c r="BS56" s="1482"/>
      <c r="BT56" s="1482"/>
      <c r="BU56" s="1482"/>
      <c r="BV56" s="1482"/>
      <c r="BW56" s="1482"/>
      <c r="BX56" s="1482"/>
      <c r="BY56" s="1482"/>
      <c r="BZ56" s="1482"/>
      <c r="CA56" s="1482"/>
      <c r="CB56" s="1482"/>
      <c r="CC56" s="1482"/>
      <c r="CD56" s="1482"/>
      <c r="CE56" s="1482"/>
      <c r="CF56" s="1482"/>
      <c r="CG56" s="1482"/>
      <c r="CH56" s="1482"/>
      <c r="CI56" s="1482"/>
      <c r="CJ56" s="1482"/>
      <c r="CK56" s="1482"/>
      <c r="CL56" s="1482"/>
      <c r="CM56" s="1482"/>
      <c r="CN56" s="1482"/>
      <c r="CO56" s="1482"/>
      <c r="CP56" s="1482"/>
      <c r="CQ56" s="1482"/>
      <c r="CR56" s="1482"/>
      <c r="CS56" s="1482"/>
      <c r="CT56" s="1482"/>
      <c r="CU56" s="1482"/>
      <c r="CV56" s="1482"/>
      <c r="CW56" s="1482"/>
      <c r="CX56" s="1482"/>
      <c r="CY56" s="1482"/>
      <c r="CZ56" s="1482"/>
      <c r="DA56" s="1482"/>
      <c r="DB56" s="1482"/>
      <c r="DC56" s="1482"/>
      <c r="DD56" s="1482"/>
      <c r="DE56" s="1482"/>
      <c r="DF56" s="1482"/>
      <c r="DH56" s="838">
        <f t="shared" si="123"/>
        <v>0</v>
      </c>
    </row>
    <row r="57" spans="1:112" s="1484" customFormat="1" ht="12.75" hidden="1" customHeight="1" outlineLevel="1">
      <c r="C57" s="746" t="s">
        <v>1730</v>
      </c>
      <c r="D57" s="521" t="str">
        <f>INDEX(Modules[Module], MATCH($C57, Modules[Code], 0))</f>
        <v>Onshore wind</v>
      </c>
      <c r="E57" s="521"/>
      <c r="F57" s="743"/>
      <c r="G57" s="1017">
        <f t="shared" ref="G57:P62" ca="1" si="153">IFERROR(INDEX(INDIRECT($C57&amp;".Outputs["&amp;this.Year&amp;"]"), MATCH(G$5, INDIRECT($C57&amp;".Outputs[Vector]"), 0)), 0)</f>
        <v>0</v>
      </c>
      <c r="H57" s="1017">
        <f t="shared" ca="1" si="153"/>
        <v>0</v>
      </c>
      <c r="I57" s="1017">
        <f t="shared" ca="1" si="153"/>
        <v>0</v>
      </c>
      <c r="J57" s="1017">
        <f t="shared" ca="1" si="153"/>
        <v>0</v>
      </c>
      <c r="K57" s="1017">
        <f t="shared" ca="1" si="153"/>
        <v>0</v>
      </c>
      <c r="L57" s="1017">
        <f t="shared" ca="1" si="153"/>
        <v>0</v>
      </c>
      <c r="M57" s="1017">
        <f t="shared" ca="1" si="153"/>
        <v>0</v>
      </c>
      <c r="N57" s="1017">
        <f t="shared" ca="1" si="153"/>
        <v>0</v>
      </c>
      <c r="O57" s="1017">
        <f t="shared" ca="1" si="153"/>
        <v>0</v>
      </c>
      <c r="P57" s="1017">
        <f t="shared" ca="1" si="153"/>
        <v>0</v>
      </c>
      <c r="Q57" s="1019">
        <f t="shared" ref="Q57:Q63" ca="1" si="154">SUM(G57:P57)</f>
        <v>0</v>
      </c>
      <c r="R57" s="743"/>
      <c r="S57" s="1026">
        <f t="shared" ref="S57:BE62" ca="1" si="155">IFERROR(INDEX(INDIRECT($C57&amp;".Outputs["&amp;this.Year&amp;"]"), MATCH(S$5, INDIRECT($C57&amp;".Outputs[Vector]"), 0)), 0)</f>
        <v>0</v>
      </c>
      <c r="T57" s="1026">
        <f t="shared" ca="1" si="155"/>
        <v>10.317757319999997</v>
      </c>
      <c r="U57" s="1026">
        <f t="shared" ca="1" si="155"/>
        <v>0</v>
      </c>
      <c r="V57" s="1026">
        <f t="shared" ca="1" si="155"/>
        <v>0</v>
      </c>
      <c r="W57" s="1026">
        <f t="shared" ca="1" si="155"/>
        <v>0</v>
      </c>
      <c r="X57" s="1026">
        <f t="shared" ref="X57:Z62" ca="1" si="156">IFERROR(INDEX(INDIRECT($C57&amp;".Outputs["&amp;this.Year&amp;"]"), MATCH(X$5, INDIRECT($C57&amp;".Outputs[Vector]"), 0)), 0)</f>
        <v>0</v>
      </c>
      <c r="Y57" s="1026">
        <f t="shared" ca="1" si="156"/>
        <v>0</v>
      </c>
      <c r="Z57" s="1026">
        <f t="shared" ca="1" si="156"/>
        <v>0</v>
      </c>
      <c r="AA57" s="1026">
        <f t="shared" ca="1" si="155"/>
        <v>0</v>
      </c>
      <c r="AB57" s="1026">
        <f t="shared" ca="1" si="155"/>
        <v>0</v>
      </c>
      <c r="AC57" s="1026">
        <f t="shared" ca="1" si="155"/>
        <v>0</v>
      </c>
      <c r="AD57" s="1026">
        <f t="shared" ca="1" si="155"/>
        <v>0</v>
      </c>
      <c r="AE57" s="1026">
        <f t="shared" ca="1" si="155"/>
        <v>0</v>
      </c>
      <c r="AF57" s="1026">
        <f t="shared" ca="1" si="155"/>
        <v>0</v>
      </c>
      <c r="AG57" s="1026">
        <f t="shared" ca="1" si="155"/>
        <v>0</v>
      </c>
      <c r="AH57" s="1026">
        <f t="shared" ca="1" si="155"/>
        <v>0</v>
      </c>
      <c r="AI57" s="1026">
        <f t="shared" ca="1" si="155"/>
        <v>0</v>
      </c>
      <c r="AJ57" s="1026">
        <f t="shared" ca="1" si="155"/>
        <v>0</v>
      </c>
      <c r="AK57" s="1027">
        <f t="shared" ref="AK57:AK63" ca="1" si="157">SUM(S57:AJ57)</f>
        <v>10.317757319999997</v>
      </c>
      <c r="AL57" s="743"/>
      <c r="AM57" s="1038">
        <f t="shared" ref="AM57:AU62" ca="1" si="158">IFERROR(INDEX(INDIRECT($C57&amp;".Outputs["&amp;this.Year&amp;"]"), MATCH(AM$5, INDIRECT($C57&amp;".Outputs[Vector]"), 0)), 0)</f>
        <v>0</v>
      </c>
      <c r="AN57" s="1038">
        <f t="shared" ca="1" si="158"/>
        <v>0</v>
      </c>
      <c r="AO57" s="1038">
        <f t="shared" ca="1" si="158"/>
        <v>0</v>
      </c>
      <c r="AP57" s="1038">
        <f t="shared" ca="1" si="158"/>
        <v>0</v>
      </c>
      <c r="AQ57" s="1038">
        <f t="shared" ca="1" si="158"/>
        <v>0</v>
      </c>
      <c r="AR57" s="1038">
        <f t="shared" ca="1" si="158"/>
        <v>0</v>
      </c>
      <c r="AS57" s="1038">
        <f t="shared" ca="1" si="158"/>
        <v>0</v>
      </c>
      <c r="AT57" s="1038">
        <f t="shared" ca="1" si="158"/>
        <v>0</v>
      </c>
      <c r="AU57" s="1038">
        <f t="shared" ca="1" si="158"/>
        <v>0</v>
      </c>
      <c r="AV57" s="1038">
        <f t="shared" ca="1" si="155"/>
        <v>0</v>
      </c>
      <c r="AW57" s="1038">
        <f t="shared" ca="1" si="155"/>
        <v>0</v>
      </c>
      <c r="AX57" s="1038">
        <f t="shared" ca="1" si="155"/>
        <v>-10.317757319999997</v>
      </c>
      <c r="AY57" s="1038">
        <f t="shared" ca="1" si="155"/>
        <v>0</v>
      </c>
      <c r="AZ57" s="1038">
        <f t="shared" ca="1" si="155"/>
        <v>0</v>
      </c>
      <c r="BA57" s="1038">
        <f t="shared" ca="1" si="155"/>
        <v>0</v>
      </c>
      <c r="BB57" s="1038">
        <f t="shared" ca="1" si="155"/>
        <v>0</v>
      </c>
      <c r="BC57" s="1038">
        <f t="shared" ca="1" si="155"/>
        <v>0</v>
      </c>
      <c r="BD57" s="1038">
        <f t="shared" ca="1" si="155"/>
        <v>0</v>
      </c>
      <c r="BE57" s="1038">
        <f t="shared" ca="1" si="155"/>
        <v>0</v>
      </c>
      <c r="BF57" s="979">
        <f t="shared" ref="BF57:BF63" ca="1" si="159">SUM(AM57:BE57)</f>
        <v>-10.317757319999997</v>
      </c>
      <c r="BG57" s="743"/>
      <c r="BH57" s="1032">
        <f t="shared" ref="BH57:BI62" ca="1" si="160">IFERROR(INDEX(INDIRECT($C57&amp;".Outputs["&amp;this.Year&amp;"]"), MATCH(BH$5, INDIRECT($C57&amp;".Outputs[Vector]"), 0)), 0)</f>
        <v>0</v>
      </c>
      <c r="BI57" s="1032">
        <f t="shared" ca="1" si="160"/>
        <v>0</v>
      </c>
      <c r="BJ57" s="1034">
        <f t="shared" ref="BJ57:BJ63" ca="1" si="161">SUM(BH57:BI57)</f>
        <v>0</v>
      </c>
      <c r="BK57" s="743"/>
      <c r="BL57" s="814">
        <f t="shared" ca="1" si="152"/>
        <v>0</v>
      </c>
      <c r="BM57" s="814"/>
      <c r="BN57" s="840"/>
      <c r="BO57" s="1481">
        <f t="shared" ref="BO57:BX62" ca="1" si="162">IFERROR(SUMIFS(INDIRECT($C57&amp;".Emissions["&amp;this.Year&amp;"]"), INDIRECT($C57&amp;".Emissions[GHG]"), BO$6, INDIRECT($C57&amp;".Emissions[IPCC Sector]"), BO$5),0)</f>
        <v>0</v>
      </c>
      <c r="BP57" s="1482">
        <f t="shared" ca="1" si="162"/>
        <v>0</v>
      </c>
      <c r="BQ57" s="1482">
        <f t="shared" ca="1" si="162"/>
        <v>0</v>
      </c>
      <c r="BR57" s="1482">
        <f t="shared" ca="1" si="162"/>
        <v>0</v>
      </c>
      <c r="BS57" s="1482">
        <f t="shared" ca="1" si="162"/>
        <v>0</v>
      </c>
      <c r="BT57" s="1482">
        <f t="shared" ca="1" si="162"/>
        <v>0</v>
      </c>
      <c r="BU57" s="1482">
        <f t="shared" ca="1" si="162"/>
        <v>0</v>
      </c>
      <c r="BV57" s="1482">
        <f t="shared" ca="1" si="162"/>
        <v>0</v>
      </c>
      <c r="BW57" s="1482">
        <f t="shared" ca="1" si="162"/>
        <v>0</v>
      </c>
      <c r="BX57" s="1482">
        <f t="shared" ca="1" si="162"/>
        <v>0</v>
      </c>
      <c r="BY57" s="1482">
        <f t="shared" ref="BY57:CH62" ca="1" si="163">IFERROR(SUMIFS(INDIRECT($C57&amp;".Emissions["&amp;this.Year&amp;"]"), INDIRECT($C57&amp;".Emissions[GHG]"), BY$6, INDIRECT($C57&amp;".Emissions[IPCC Sector]"), BY$5),0)</f>
        <v>0</v>
      </c>
      <c r="BZ57" s="1482">
        <f t="shared" ca="1" si="163"/>
        <v>0</v>
      </c>
      <c r="CA57" s="1482">
        <f t="shared" ca="1" si="163"/>
        <v>0</v>
      </c>
      <c r="CB57" s="1482">
        <f t="shared" ca="1" si="163"/>
        <v>0</v>
      </c>
      <c r="CC57" s="1482">
        <f t="shared" ca="1" si="163"/>
        <v>0</v>
      </c>
      <c r="CD57" s="1482">
        <f t="shared" ca="1" si="163"/>
        <v>0</v>
      </c>
      <c r="CE57" s="1482">
        <f t="shared" ca="1" si="163"/>
        <v>0</v>
      </c>
      <c r="CF57" s="1482">
        <f t="shared" ca="1" si="163"/>
        <v>0</v>
      </c>
      <c r="CG57" s="1482">
        <f t="shared" ca="1" si="163"/>
        <v>0</v>
      </c>
      <c r="CH57" s="1482">
        <f t="shared" ca="1" si="163"/>
        <v>0</v>
      </c>
      <c r="CI57" s="1482">
        <f t="shared" ref="CI57:CR62" ca="1" si="164">IFERROR(SUMIFS(INDIRECT($C57&amp;".Emissions["&amp;this.Year&amp;"]"), INDIRECT($C57&amp;".Emissions[GHG]"), CI$6, INDIRECT($C57&amp;".Emissions[IPCC Sector]"), CI$5),0)</f>
        <v>0</v>
      </c>
      <c r="CJ57" s="1482">
        <f t="shared" ca="1" si="164"/>
        <v>0</v>
      </c>
      <c r="CK57" s="1482">
        <f t="shared" ca="1" si="164"/>
        <v>0</v>
      </c>
      <c r="CL57" s="1482">
        <f t="shared" ca="1" si="164"/>
        <v>0</v>
      </c>
      <c r="CM57" s="1482">
        <f t="shared" ca="1" si="164"/>
        <v>0</v>
      </c>
      <c r="CN57" s="1482">
        <f t="shared" ca="1" si="164"/>
        <v>0</v>
      </c>
      <c r="CO57" s="1482">
        <f t="shared" ca="1" si="164"/>
        <v>0</v>
      </c>
      <c r="CP57" s="1482">
        <f t="shared" ca="1" si="164"/>
        <v>0</v>
      </c>
      <c r="CQ57" s="1482">
        <f t="shared" ca="1" si="164"/>
        <v>0</v>
      </c>
      <c r="CR57" s="1482">
        <f t="shared" ca="1" si="164"/>
        <v>0</v>
      </c>
      <c r="CS57" s="1482">
        <f t="shared" ref="CS57:DF62" ca="1" si="165">IFERROR(SUMIFS(INDIRECT($C57&amp;".Emissions["&amp;this.Year&amp;"]"), INDIRECT($C57&amp;".Emissions[GHG]"), CS$6, INDIRECT($C57&amp;".Emissions[IPCC Sector]"), CS$5),0)</f>
        <v>0</v>
      </c>
      <c r="CT57" s="1482">
        <f t="shared" ca="1" si="165"/>
        <v>0</v>
      </c>
      <c r="CU57" s="1482">
        <f t="shared" ca="1" si="165"/>
        <v>0</v>
      </c>
      <c r="CV57" s="1482">
        <f t="shared" ca="1" si="165"/>
        <v>0</v>
      </c>
      <c r="CW57" s="1482">
        <f t="shared" ca="1" si="165"/>
        <v>0</v>
      </c>
      <c r="CX57" s="1482">
        <f t="shared" ca="1" si="165"/>
        <v>0</v>
      </c>
      <c r="CY57" s="1482">
        <f t="shared" ca="1" si="165"/>
        <v>0</v>
      </c>
      <c r="CZ57" s="1482">
        <f t="shared" ca="1" si="165"/>
        <v>0</v>
      </c>
      <c r="DA57" s="1482">
        <f t="shared" ca="1" si="165"/>
        <v>0</v>
      </c>
      <c r="DB57" s="1482">
        <f t="shared" ca="1" si="165"/>
        <v>0</v>
      </c>
      <c r="DC57" s="1482">
        <f t="shared" ca="1" si="165"/>
        <v>0</v>
      </c>
      <c r="DD57" s="1482">
        <f t="shared" ca="1" si="165"/>
        <v>0</v>
      </c>
      <c r="DE57" s="1482">
        <f t="shared" ca="1" si="165"/>
        <v>0</v>
      </c>
      <c r="DF57" s="1482">
        <f t="shared" ca="1" si="165"/>
        <v>0</v>
      </c>
      <c r="DH57" s="838">
        <f t="shared" ca="1" si="123"/>
        <v>0</v>
      </c>
    </row>
    <row r="58" spans="1:112" s="1484" customFormat="1" ht="12.75" hidden="1" customHeight="1" outlineLevel="1">
      <c r="C58" s="746" t="s">
        <v>1731</v>
      </c>
      <c r="D58" s="521" t="str">
        <f>INDEX(Modules[Module], MATCH($C58, Modules[Code], 0))</f>
        <v>Offshore wind</v>
      </c>
      <c r="E58" s="521"/>
      <c r="F58" s="743"/>
      <c r="G58" s="1017">
        <f t="shared" ca="1" si="153"/>
        <v>0</v>
      </c>
      <c r="H58" s="1017">
        <f t="shared" ca="1" si="153"/>
        <v>0</v>
      </c>
      <c r="I58" s="1017">
        <f t="shared" ca="1" si="153"/>
        <v>0</v>
      </c>
      <c r="J58" s="1017">
        <f t="shared" ca="1" si="153"/>
        <v>0</v>
      </c>
      <c r="K58" s="1017">
        <f t="shared" ca="1" si="153"/>
        <v>0</v>
      </c>
      <c r="L58" s="1017">
        <f t="shared" ca="1" si="153"/>
        <v>0</v>
      </c>
      <c r="M58" s="1017">
        <f t="shared" ca="1" si="153"/>
        <v>0</v>
      </c>
      <c r="N58" s="1017">
        <f t="shared" ca="1" si="153"/>
        <v>0</v>
      </c>
      <c r="O58" s="1017">
        <f t="shared" ca="1" si="153"/>
        <v>0</v>
      </c>
      <c r="P58" s="1017">
        <f t="shared" ca="1" si="153"/>
        <v>0</v>
      </c>
      <c r="Q58" s="1019">
        <f ca="1">SUM(G58:P58)</f>
        <v>0</v>
      </c>
      <c r="R58" s="743"/>
      <c r="S58" s="1026">
        <f t="shared" ca="1" si="155"/>
        <v>0</v>
      </c>
      <c r="T58" s="1026">
        <f t="shared" ca="1" si="155"/>
        <v>4.1229127800000027</v>
      </c>
      <c r="U58" s="1026">
        <f t="shared" ca="1" si="155"/>
        <v>0</v>
      </c>
      <c r="V58" s="1026">
        <f t="shared" ca="1" si="155"/>
        <v>0</v>
      </c>
      <c r="W58" s="1026">
        <f t="shared" ca="1" si="155"/>
        <v>0</v>
      </c>
      <c r="X58" s="1026">
        <f t="shared" ca="1" si="156"/>
        <v>0</v>
      </c>
      <c r="Y58" s="1026">
        <f t="shared" ca="1" si="156"/>
        <v>0</v>
      </c>
      <c r="Z58" s="1026">
        <f t="shared" ca="1" si="156"/>
        <v>0</v>
      </c>
      <c r="AA58" s="1026">
        <f t="shared" ca="1" si="155"/>
        <v>0</v>
      </c>
      <c r="AB58" s="1026">
        <f t="shared" ca="1" si="155"/>
        <v>0</v>
      </c>
      <c r="AC58" s="1026">
        <f t="shared" ca="1" si="155"/>
        <v>0</v>
      </c>
      <c r="AD58" s="1026">
        <f t="shared" ca="1" si="155"/>
        <v>0</v>
      </c>
      <c r="AE58" s="1026">
        <f t="shared" ca="1" si="155"/>
        <v>0</v>
      </c>
      <c r="AF58" s="1026">
        <f t="shared" ca="1" si="155"/>
        <v>0</v>
      </c>
      <c r="AG58" s="1026">
        <f t="shared" ca="1" si="155"/>
        <v>0</v>
      </c>
      <c r="AH58" s="1026">
        <f t="shared" ca="1" si="155"/>
        <v>0</v>
      </c>
      <c r="AI58" s="1026">
        <f t="shared" ca="1" si="155"/>
        <v>0</v>
      </c>
      <c r="AJ58" s="1026">
        <f t="shared" ca="1" si="155"/>
        <v>0</v>
      </c>
      <c r="AK58" s="1027">
        <f ca="1">SUM(S58:AJ58)</f>
        <v>4.1229127800000027</v>
      </c>
      <c r="AL58" s="743"/>
      <c r="AM58" s="1038">
        <f t="shared" ca="1" si="158"/>
        <v>0</v>
      </c>
      <c r="AN58" s="1038">
        <f t="shared" ca="1" si="158"/>
        <v>0</v>
      </c>
      <c r="AO58" s="1038">
        <f t="shared" ca="1" si="158"/>
        <v>0</v>
      </c>
      <c r="AP58" s="1038">
        <f t="shared" ca="1" si="158"/>
        <v>0</v>
      </c>
      <c r="AQ58" s="1038">
        <f t="shared" ca="1" si="158"/>
        <v>0</v>
      </c>
      <c r="AR58" s="1038">
        <f t="shared" ca="1" si="158"/>
        <v>0</v>
      </c>
      <c r="AS58" s="1038">
        <f t="shared" ca="1" si="158"/>
        <v>0</v>
      </c>
      <c r="AT58" s="1038">
        <f t="shared" ca="1" si="158"/>
        <v>0</v>
      </c>
      <c r="AU58" s="1038">
        <f t="shared" ca="1" si="158"/>
        <v>0</v>
      </c>
      <c r="AV58" s="1038">
        <f t="shared" ca="1" si="155"/>
        <v>0</v>
      </c>
      <c r="AW58" s="1038">
        <f t="shared" ca="1" si="155"/>
        <v>0</v>
      </c>
      <c r="AX58" s="1038">
        <f t="shared" ca="1" si="155"/>
        <v>-4.1229127800000027</v>
      </c>
      <c r="AY58" s="1038">
        <f t="shared" ca="1" si="155"/>
        <v>0</v>
      </c>
      <c r="AZ58" s="1038">
        <f t="shared" ca="1" si="155"/>
        <v>0</v>
      </c>
      <c r="BA58" s="1038">
        <f t="shared" ca="1" si="155"/>
        <v>0</v>
      </c>
      <c r="BB58" s="1038">
        <f t="shared" ca="1" si="155"/>
        <v>0</v>
      </c>
      <c r="BC58" s="1038">
        <f t="shared" ca="1" si="155"/>
        <v>0</v>
      </c>
      <c r="BD58" s="1038">
        <f t="shared" ca="1" si="155"/>
        <v>0</v>
      </c>
      <c r="BE58" s="1038">
        <f t="shared" ca="1" si="155"/>
        <v>0</v>
      </c>
      <c r="BF58" s="979">
        <f ca="1">SUM(AM58:BE58)</f>
        <v>-4.1229127800000027</v>
      </c>
      <c r="BG58" s="743"/>
      <c r="BH58" s="1032">
        <f t="shared" ca="1" si="160"/>
        <v>0</v>
      </c>
      <c r="BI58" s="1032">
        <f t="shared" ca="1" si="160"/>
        <v>0</v>
      </c>
      <c r="BJ58" s="1034">
        <f ca="1">SUM(BH58:BI58)</f>
        <v>0</v>
      </c>
      <c r="BK58" s="743"/>
      <c r="BL58" s="814">
        <f ca="1">Q58+AK58+BF58+BJ58</f>
        <v>0</v>
      </c>
      <c r="BM58" s="814"/>
      <c r="BN58" s="840"/>
      <c r="BO58" s="1481">
        <f t="shared" ca="1" si="162"/>
        <v>0</v>
      </c>
      <c r="BP58" s="1482">
        <f t="shared" ca="1" si="162"/>
        <v>0</v>
      </c>
      <c r="BQ58" s="1482">
        <f t="shared" ca="1" si="162"/>
        <v>0</v>
      </c>
      <c r="BR58" s="1482">
        <f t="shared" ca="1" si="162"/>
        <v>0</v>
      </c>
      <c r="BS58" s="1482">
        <f t="shared" ca="1" si="162"/>
        <v>0</v>
      </c>
      <c r="BT58" s="1482">
        <f t="shared" ca="1" si="162"/>
        <v>0</v>
      </c>
      <c r="BU58" s="1482">
        <f t="shared" ca="1" si="162"/>
        <v>0</v>
      </c>
      <c r="BV58" s="1482">
        <f t="shared" ca="1" si="162"/>
        <v>0</v>
      </c>
      <c r="BW58" s="1482">
        <f t="shared" ca="1" si="162"/>
        <v>0</v>
      </c>
      <c r="BX58" s="1482">
        <f t="shared" ca="1" si="162"/>
        <v>0</v>
      </c>
      <c r="BY58" s="1482">
        <f t="shared" ca="1" si="163"/>
        <v>0</v>
      </c>
      <c r="BZ58" s="1482">
        <f t="shared" ca="1" si="163"/>
        <v>0</v>
      </c>
      <c r="CA58" s="1482">
        <f t="shared" ca="1" si="163"/>
        <v>0</v>
      </c>
      <c r="CB58" s="1482">
        <f t="shared" ca="1" si="163"/>
        <v>0</v>
      </c>
      <c r="CC58" s="1482">
        <f t="shared" ca="1" si="163"/>
        <v>0</v>
      </c>
      <c r="CD58" s="1482">
        <f t="shared" ca="1" si="163"/>
        <v>0</v>
      </c>
      <c r="CE58" s="1482">
        <f t="shared" ca="1" si="163"/>
        <v>0</v>
      </c>
      <c r="CF58" s="1482">
        <f t="shared" ca="1" si="163"/>
        <v>0</v>
      </c>
      <c r="CG58" s="1482">
        <f t="shared" ca="1" si="163"/>
        <v>0</v>
      </c>
      <c r="CH58" s="1482">
        <f t="shared" ca="1" si="163"/>
        <v>0</v>
      </c>
      <c r="CI58" s="1482">
        <f t="shared" ca="1" si="164"/>
        <v>0</v>
      </c>
      <c r="CJ58" s="1482">
        <f t="shared" ca="1" si="164"/>
        <v>0</v>
      </c>
      <c r="CK58" s="1482">
        <f t="shared" ca="1" si="164"/>
        <v>0</v>
      </c>
      <c r="CL58" s="1482">
        <f t="shared" ca="1" si="164"/>
        <v>0</v>
      </c>
      <c r="CM58" s="1482">
        <f t="shared" ca="1" si="164"/>
        <v>0</v>
      </c>
      <c r="CN58" s="1482">
        <f t="shared" ca="1" si="164"/>
        <v>0</v>
      </c>
      <c r="CO58" s="1482">
        <f t="shared" ca="1" si="164"/>
        <v>0</v>
      </c>
      <c r="CP58" s="1482">
        <f t="shared" ca="1" si="164"/>
        <v>0</v>
      </c>
      <c r="CQ58" s="1482">
        <f t="shared" ca="1" si="164"/>
        <v>0</v>
      </c>
      <c r="CR58" s="1482">
        <f t="shared" ca="1" si="164"/>
        <v>0</v>
      </c>
      <c r="CS58" s="1482">
        <f t="shared" ca="1" si="165"/>
        <v>0</v>
      </c>
      <c r="CT58" s="1482">
        <f t="shared" ca="1" si="165"/>
        <v>0</v>
      </c>
      <c r="CU58" s="1482">
        <f t="shared" ca="1" si="165"/>
        <v>0</v>
      </c>
      <c r="CV58" s="1482">
        <f t="shared" ca="1" si="165"/>
        <v>0</v>
      </c>
      <c r="CW58" s="1482">
        <f t="shared" ca="1" si="165"/>
        <v>0</v>
      </c>
      <c r="CX58" s="1482">
        <f t="shared" ca="1" si="165"/>
        <v>0</v>
      </c>
      <c r="CY58" s="1482">
        <f t="shared" ca="1" si="165"/>
        <v>0</v>
      </c>
      <c r="CZ58" s="1482">
        <f t="shared" ca="1" si="165"/>
        <v>0</v>
      </c>
      <c r="DA58" s="1482">
        <f t="shared" ca="1" si="165"/>
        <v>0</v>
      </c>
      <c r="DB58" s="1482">
        <f t="shared" ca="1" si="165"/>
        <v>0</v>
      </c>
      <c r="DC58" s="1482">
        <f t="shared" ca="1" si="165"/>
        <v>0</v>
      </c>
      <c r="DD58" s="1482">
        <f t="shared" ca="1" si="165"/>
        <v>0</v>
      </c>
      <c r="DE58" s="1482">
        <f t="shared" ca="1" si="165"/>
        <v>0</v>
      </c>
      <c r="DF58" s="1482">
        <f t="shared" ca="1" si="165"/>
        <v>0</v>
      </c>
      <c r="DH58" s="838">
        <f ca="1">SUM(BO58:DF58)</f>
        <v>0</v>
      </c>
    </row>
    <row r="59" spans="1:112" s="1484" customFormat="1" ht="12.75" hidden="1" customHeight="1" outlineLevel="1">
      <c r="C59" s="746" t="s">
        <v>803</v>
      </c>
      <c r="D59" s="521" t="str">
        <f>INDEX(Modules[Module], MATCH($C59, Modules[Code], 0))</f>
        <v>Hydroelectric</v>
      </c>
      <c r="E59" s="521"/>
      <c r="F59" s="743"/>
      <c r="G59" s="1017">
        <f t="shared" ca="1" si="153"/>
        <v>0</v>
      </c>
      <c r="H59" s="1017">
        <f t="shared" ca="1" si="153"/>
        <v>0</v>
      </c>
      <c r="I59" s="1017">
        <f t="shared" ca="1" si="153"/>
        <v>0</v>
      </c>
      <c r="J59" s="1017">
        <f t="shared" ca="1" si="153"/>
        <v>0</v>
      </c>
      <c r="K59" s="1017">
        <f t="shared" ca="1" si="153"/>
        <v>0</v>
      </c>
      <c r="L59" s="1017">
        <f t="shared" ca="1" si="153"/>
        <v>0</v>
      </c>
      <c r="M59" s="1017">
        <f t="shared" ca="1" si="153"/>
        <v>0</v>
      </c>
      <c r="N59" s="1017">
        <f t="shared" ca="1" si="153"/>
        <v>0</v>
      </c>
      <c r="O59" s="1017">
        <f t="shared" ca="1" si="153"/>
        <v>0</v>
      </c>
      <c r="P59" s="1017">
        <f t="shared" ca="1" si="153"/>
        <v>0</v>
      </c>
      <c r="Q59" s="1019">
        <f t="shared" ca="1" si="154"/>
        <v>0</v>
      </c>
      <c r="R59" s="743"/>
      <c r="S59" s="1026">
        <f t="shared" ca="1" si="155"/>
        <v>0</v>
      </c>
      <c r="T59" s="1026">
        <f t="shared" ca="1" si="155"/>
        <v>5.3297280000000011</v>
      </c>
      <c r="U59" s="1026">
        <f t="shared" ca="1" si="155"/>
        <v>0</v>
      </c>
      <c r="V59" s="1026">
        <f t="shared" ca="1" si="155"/>
        <v>0</v>
      </c>
      <c r="W59" s="1026">
        <f t="shared" ca="1" si="155"/>
        <v>0</v>
      </c>
      <c r="X59" s="1026">
        <f t="shared" ca="1" si="156"/>
        <v>0</v>
      </c>
      <c r="Y59" s="1026">
        <f t="shared" ca="1" si="156"/>
        <v>0</v>
      </c>
      <c r="Z59" s="1026">
        <f t="shared" ca="1" si="156"/>
        <v>0</v>
      </c>
      <c r="AA59" s="1026">
        <f t="shared" ca="1" si="155"/>
        <v>0</v>
      </c>
      <c r="AB59" s="1026">
        <f t="shared" ca="1" si="155"/>
        <v>0</v>
      </c>
      <c r="AC59" s="1026">
        <f t="shared" ca="1" si="155"/>
        <v>0</v>
      </c>
      <c r="AD59" s="1026">
        <f t="shared" ca="1" si="155"/>
        <v>0</v>
      </c>
      <c r="AE59" s="1026">
        <f t="shared" ca="1" si="155"/>
        <v>0</v>
      </c>
      <c r="AF59" s="1026">
        <f t="shared" ca="1" si="155"/>
        <v>0</v>
      </c>
      <c r="AG59" s="1026">
        <f t="shared" ca="1" si="155"/>
        <v>0</v>
      </c>
      <c r="AH59" s="1026">
        <f t="shared" ca="1" si="155"/>
        <v>0</v>
      </c>
      <c r="AI59" s="1026">
        <f t="shared" ca="1" si="155"/>
        <v>0</v>
      </c>
      <c r="AJ59" s="1026">
        <f t="shared" ca="1" si="155"/>
        <v>0</v>
      </c>
      <c r="AK59" s="1027">
        <f t="shared" ca="1" si="157"/>
        <v>5.3297280000000011</v>
      </c>
      <c r="AL59" s="743"/>
      <c r="AM59" s="1038">
        <f t="shared" ca="1" si="158"/>
        <v>0</v>
      </c>
      <c r="AN59" s="1038">
        <f t="shared" ca="1" si="158"/>
        <v>0</v>
      </c>
      <c r="AO59" s="1038">
        <f t="shared" ca="1" si="158"/>
        <v>0</v>
      </c>
      <c r="AP59" s="1038">
        <f t="shared" ca="1" si="158"/>
        <v>0</v>
      </c>
      <c r="AQ59" s="1038">
        <f t="shared" ca="1" si="158"/>
        <v>0</v>
      </c>
      <c r="AR59" s="1038">
        <f t="shared" ca="1" si="158"/>
        <v>0</v>
      </c>
      <c r="AS59" s="1038">
        <f t="shared" ca="1" si="158"/>
        <v>0</v>
      </c>
      <c r="AT59" s="1038">
        <f t="shared" ca="1" si="158"/>
        <v>0</v>
      </c>
      <c r="AU59" s="1038">
        <f t="shared" ca="1" si="158"/>
        <v>0</v>
      </c>
      <c r="AV59" s="1038">
        <f t="shared" ca="1" si="155"/>
        <v>0</v>
      </c>
      <c r="AW59" s="1038">
        <f t="shared" ca="1" si="155"/>
        <v>0</v>
      </c>
      <c r="AX59" s="1038">
        <f t="shared" ca="1" si="155"/>
        <v>0</v>
      </c>
      <c r="AY59" s="1038">
        <f t="shared" ca="1" si="155"/>
        <v>0</v>
      </c>
      <c r="AZ59" s="1038">
        <f t="shared" ca="1" si="155"/>
        <v>0</v>
      </c>
      <c r="BA59" s="1038">
        <f t="shared" ca="1" si="155"/>
        <v>0</v>
      </c>
      <c r="BB59" s="1038">
        <f t="shared" ca="1" si="155"/>
        <v>-5.3297280000000011</v>
      </c>
      <c r="BC59" s="1038">
        <f t="shared" ca="1" si="155"/>
        <v>0</v>
      </c>
      <c r="BD59" s="1038">
        <f t="shared" ca="1" si="155"/>
        <v>0</v>
      </c>
      <c r="BE59" s="1038">
        <f t="shared" ca="1" si="155"/>
        <v>0</v>
      </c>
      <c r="BF59" s="979">
        <f t="shared" ca="1" si="159"/>
        <v>-5.3297280000000011</v>
      </c>
      <c r="BG59" s="743"/>
      <c r="BH59" s="1032">
        <f t="shared" ca="1" si="160"/>
        <v>0</v>
      </c>
      <c r="BI59" s="1032">
        <f t="shared" ca="1" si="160"/>
        <v>0</v>
      </c>
      <c r="BJ59" s="1034">
        <f t="shared" ca="1" si="161"/>
        <v>0</v>
      </c>
      <c r="BK59" s="743"/>
      <c r="BL59" s="814">
        <f t="shared" ca="1" si="152"/>
        <v>0</v>
      </c>
      <c r="BM59" s="814"/>
      <c r="BN59" s="840"/>
      <c r="BO59" s="1481">
        <f t="shared" ca="1" si="162"/>
        <v>0</v>
      </c>
      <c r="BP59" s="1482">
        <f t="shared" ca="1" si="162"/>
        <v>0</v>
      </c>
      <c r="BQ59" s="1482">
        <f t="shared" ca="1" si="162"/>
        <v>0</v>
      </c>
      <c r="BR59" s="1482">
        <f t="shared" ca="1" si="162"/>
        <v>0</v>
      </c>
      <c r="BS59" s="1482">
        <f t="shared" ca="1" si="162"/>
        <v>0</v>
      </c>
      <c r="BT59" s="1482">
        <f t="shared" ca="1" si="162"/>
        <v>0</v>
      </c>
      <c r="BU59" s="1482">
        <f t="shared" ca="1" si="162"/>
        <v>0</v>
      </c>
      <c r="BV59" s="1482">
        <f t="shared" ca="1" si="162"/>
        <v>0</v>
      </c>
      <c r="BW59" s="1482">
        <f t="shared" ca="1" si="162"/>
        <v>0</v>
      </c>
      <c r="BX59" s="1482">
        <f t="shared" ca="1" si="162"/>
        <v>0</v>
      </c>
      <c r="BY59" s="1482">
        <f t="shared" ca="1" si="163"/>
        <v>0</v>
      </c>
      <c r="BZ59" s="1482">
        <f t="shared" ca="1" si="163"/>
        <v>0</v>
      </c>
      <c r="CA59" s="1482">
        <f t="shared" ca="1" si="163"/>
        <v>0</v>
      </c>
      <c r="CB59" s="1482">
        <f t="shared" ca="1" si="163"/>
        <v>0</v>
      </c>
      <c r="CC59" s="1482">
        <f t="shared" ca="1" si="163"/>
        <v>0</v>
      </c>
      <c r="CD59" s="1482">
        <f t="shared" ca="1" si="163"/>
        <v>0</v>
      </c>
      <c r="CE59" s="1482">
        <f t="shared" ca="1" si="163"/>
        <v>0</v>
      </c>
      <c r="CF59" s="1482">
        <f t="shared" ca="1" si="163"/>
        <v>0</v>
      </c>
      <c r="CG59" s="1482">
        <f t="shared" ca="1" si="163"/>
        <v>0</v>
      </c>
      <c r="CH59" s="1482">
        <f t="shared" ca="1" si="163"/>
        <v>0</v>
      </c>
      <c r="CI59" s="1482">
        <f t="shared" ca="1" si="164"/>
        <v>0</v>
      </c>
      <c r="CJ59" s="1482">
        <f t="shared" ca="1" si="164"/>
        <v>0</v>
      </c>
      <c r="CK59" s="1482">
        <f t="shared" ca="1" si="164"/>
        <v>0</v>
      </c>
      <c r="CL59" s="1482">
        <f t="shared" ca="1" si="164"/>
        <v>0</v>
      </c>
      <c r="CM59" s="1482">
        <f t="shared" ca="1" si="164"/>
        <v>0</v>
      </c>
      <c r="CN59" s="1482">
        <f t="shared" ca="1" si="164"/>
        <v>0</v>
      </c>
      <c r="CO59" s="1482">
        <f t="shared" ca="1" si="164"/>
        <v>0</v>
      </c>
      <c r="CP59" s="1482">
        <f t="shared" ca="1" si="164"/>
        <v>0</v>
      </c>
      <c r="CQ59" s="1482">
        <f t="shared" ca="1" si="164"/>
        <v>0</v>
      </c>
      <c r="CR59" s="1482">
        <f t="shared" ca="1" si="164"/>
        <v>0</v>
      </c>
      <c r="CS59" s="1482">
        <f t="shared" ca="1" si="165"/>
        <v>0</v>
      </c>
      <c r="CT59" s="1482">
        <f t="shared" ca="1" si="165"/>
        <v>0</v>
      </c>
      <c r="CU59" s="1482">
        <f t="shared" ca="1" si="165"/>
        <v>0</v>
      </c>
      <c r="CV59" s="1482">
        <f t="shared" ca="1" si="165"/>
        <v>0</v>
      </c>
      <c r="CW59" s="1482">
        <f t="shared" ca="1" si="165"/>
        <v>0</v>
      </c>
      <c r="CX59" s="1482">
        <f t="shared" ca="1" si="165"/>
        <v>0</v>
      </c>
      <c r="CY59" s="1482">
        <f t="shared" ca="1" si="165"/>
        <v>0</v>
      </c>
      <c r="CZ59" s="1482">
        <f t="shared" ca="1" si="165"/>
        <v>0</v>
      </c>
      <c r="DA59" s="1482">
        <f t="shared" ca="1" si="165"/>
        <v>0</v>
      </c>
      <c r="DB59" s="1482">
        <f t="shared" ca="1" si="165"/>
        <v>0</v>
      </c>
      <c r="DC59" s="1482">
        <f t="shared" ca="1" si="165"/>
        <v>0</v>
      </c>
      <c r="DD59" s="1482">
        <f t="shared" ca="1" si="165"/>
        <v>0</v>
      </c>
      <c r="DE59" s="1482">
        <f t="shared" ca="1" si="165"/>
        <v>0</v>
      </c>
      <c r="DF59" s="1482">
        <f t="shared" ca="1" si="165"/>
        <v>0</v>
      </c>
      <c r="DH59" s="838">
        <f t="shared" ca="1" si="123"/>
        <v>0</v>
      </c>
    </row>
    <row r="60" spans="1:112" s="1484" customFormat="1" ht="12.75" hidden="1" customHeight="1" outlineLevel="1">
      <c r="C60" s="746" t="s">
        <v>808</v>
      </c>
      <c r="D60" s="521" t="str">
        <f>INDEX(Modules[Module], MATCH($C60, Modules[Code], 0))</f>
        <v>Wave and Tidal</v>
      </c>
      <c r="E60" s="521"/>
      <c r="F60" s="743"/>
      <c r="G60" s="1017">
        <f t="shared" ca="1" si="153"/>
        <v>0</v>
      </c>
      <c r="H60" s="1017">
        <f t="shared" ca="1" si="153"/>
        <v>0</v>
      </c>
      <c r="I60" s="1017">
        <f t="shared" ca="1" si="153"/>
        <v>0</v>
      </c>
      <c r="J60" s="1017">
        <f t="shared" ca="1" si="153"/>
        <v>0</v>
      </c>
      <c r="K60" s="1017">
        <f t="shared" ca="1" si="153"/>
        <v>0</v>
      </c>
      <c r="L60" s="1017">
        <f t="shared" ca="1" si="153"/>
        <v>0</v>
      </c>
      <c r="M60" s="1017">
        <f t="shared" ca="1" si="153"/>
        <v>0</v>
      </c>
      <c r="N60" s="1017">
        <f t="shared" ca="1" si="153"/>
        <v>0</v>
      </c>
      <c r="O60" s="1017">
        <f t="shared" ca="1" si="153"/>
        <v>0</v>
      </c>
      <c r="P60" s="1017">
        <f t="shared" ca="1" si="153"/>
        <v>0</v>
      </c>
      <c r="Q60" s="1019">
        <f t="shared" ca="1" si="154"/>
        <v>0</v>
      </c>
      <c r="R60" s="743"/>
      <c r="S60" s="1026">
        <f t="shared" ca="1" si="155"/>
        <v>0</v>
      </c>
      <c r="T60" s="1026">
        <f t="shared" ca="1" si="155"/>
        <v>5.0034246575342495E-3</v>
      </c>
      <c r="U60" s="1026">
        <f t="shared" ca="1" si="155"/>
        <v>0</v>
      </c>
      <c r="V60" s="1026">
        <f t="shared" ca="1" si="155"/>
        <v>0</v>
      </c>
      <c r="W60" s="1026">
        <f t="shared" ca="1" si="155"/>
        <v>0</v>
      </c>
      <c r="X60" s="1026">
        <f t="shared" ca="1" si="156"/>
        <v>0</v>
      </c>
      <c r="Y60" s="1026">
        <f t="shared" ca="1" si="156"/>
        <v>0</v>
      </c>
      <c r="Z60" s="1026">
        <f t="shared" ca="1" si="156"/>
        <v>0</v>
      </c>
      <c r="AA60" s="1026">
        <f t="shared" ca="1" si="155"/>
        <v>0</v>
      </c>
      <c r="AB60" s="1026">
        <f t="shared" ca="1" si="155"/>
        <v>0</v>
      </c>
      <c r="AC60" s="1026">
        <f t="shared" ca="1" si="155"/>
        <v>0</v>
      </c>
      <c r="AD60" s="1026">
        <f t="shared" ca="1" si="155"/>
        <v>0</v>
      </c>
      <c r="AE60" s="1026">
        <f t="shared" ca="1" si="155"/>
        <v>0</v>
      </c>
      <c r="AF60" s="1026">
        <f t="shared" ca="1" si="155"/>
        <v>0</v>
      </c>
      <c r="AG60" s="1026">
        <f t="shared" ca="1" si="155"/>
        <v>0</v>
      </c>
      <c r="AH60" s="1026">
        <f t="shared" ca="1" si="155"/>
        <v>0</v>
      </c>
      <c r="AI60" s="1026">
        <f t="shared" ca="1" si="155"/>
        <v>0</v>
      </c>
      <c r="AJ60" s="1026">
        <f t="shared" ca="1" si="155"/>
        <v>0</v>
      </c>
      <c r="AK60" s="1027">
        <f t="shared" ca="1" si="157"/>
        <v>5.0034246575342495E-3</v>
      </c>
      <c r="AL60" s="743"/>
      <c r="AM60" s="1038">
        <f t="shared" ca="1" si="158"/>
        <v>0</v>
      </c>
      <c r="AN60" s="1038">
        <f t="shared" ca="1" si="158"/>
        <v>0</v>
      </c>
      <c r="AO60" s="1038">
        <f t="shared" ca="1" si="158"/>
        <v>0</v>
      </c>
      <c r="AP60" s="1038">
        <f t="shared" ca="1" si="158"/>
        <v>0</v>
      </c>
      <c r="AQ60" s="1038">
        <f t="shared" ca="1" si="158"/>
        <v>0</v>
      </c>
      <c r="AR60" s="1038">
        <f t="shared" ca="1" si="158"/>
        <v>0</v>
      </c>
      <c r="AS60" s="1038">
        <f t="shared" ca="1" si="158"/>
        <v>0</v>
      </c>
      <c r="AT60" s="1038">
        <f t="shared" ca="1" si="158"/>
        <v>0</v>
      </c>
      <c r="AU60" s="1038">
        <f t="shared" ca="1" si="158"/>
        <v>0</v>
      </c>
      <c r="AV60" s="1038">
        <f t="shared" ca="1" si="155"/>
        <v>0</v>
      </c>
      <c r="AW60" s="1038">
        <f t="shared" ca="1" si="155"/>
        <v>0</v>
      </c>
      <c r="AX60" s="1038">
        <f t="shared" ca="1" si="155"/>
        <v>0</v>
      </c>
      <c r="AY60" s="1038">
        <f t="shared" ca="1" si="155"/>
        <v>-5.0034246575342495E-3</v>
      </c>
      <c r="AZ60" s="1038">
        <f t="shared" ca="1" si="155"/>
        <v>0</v>
      </c>
      <c r="BA60" s="1038">
        <f t="shared" ca="1" si="155"/>
        <v>0</v>
      </c>
      <c r="BB60" s="1038">
        <f t="shared" ca="1" si="155"/>
        <v>0</v>
      </c>
      <c r="BC60" s="1038">
        <f t="shared" ca="1" si="155"/>
        <v>0</v>
      </c>
      <c r="BD60" s="1038">
        <f t="shared" ca="1" si="155"/>
        <v>0</v>
      </c>
      <c r="BE60" s="1038">
        <f t="shared" ca="1" si="155"/>
        <v>0</v>
      </c>
      <c r="BF60" s="979">
        <f t="shared" ca="1" si="159"/>
        <v>-5.0034246575342495E-3</v>
      </c>
      <c r="BG60" s="743"/>
      <c r="BH60" s="1032">
        <f t="shared" ca="1" si="160"/>
        <v>0</v>
      </c>
      <c r="BI60" s="1032">
        <f t="shared" ca="1" si="160"/>
        <v>0</v>
      </c>
      <c r="BJ60" s="1034">
        <f t="shared" ca="1" si="161"/>
        <v>0</v>
      </c>
      <c r="BK60" s="743"/>
      <c r="BL60" s="814">
        <f t="shared" ca="1" si="152"/>
        <v>0</v>
      </c>
      <c r="BM60" s="814"/>
      <c r="BN60" s="840"/>
      <c r="BO60" s="1481">
        <f t="shared" ca="1" si="162"/>
        <v>0</v>
      </c>
      <c r="BP60" s="1482">
        <f t="shared" ca="1" si="162"/>
        <v>0</v>
      </c>
      <c r="BQ60" s="1482">
        <f t="shared" ca="1" si="162"/>
        <v>0</v>
      </c>
      <c r="BR60" s="1482">
        <f t="shared" ca="1" si="162"/>
        <v>0</v>
      </c>
      <c r="BS60" s="1482">
        <f t="shared" ca="1" si="162"/>
        <v>0</v>
      </c>
      <c r="BT60" s="1482">
        <f t="shared" ca="1" si="162"/>
        <v>0</v>
      </c>
      <c r="BU60" s="1482">
        <f t="shared" ca="1" si="162"/>
        <v>0</v>
      </c>
      <c r="BV60" s="1482">
        <f t="shared" ca="1" si="162"/>
        <v>0</v>
      </c>
      <c r="BW60" s="1482">
        <f t="shared" ca="1" si="162"/>
        <v>0</v>
      </c>
      <c r="BX60" s="1482">
        <f t="shared" ca="1" si="162"/>
        <v>0</v>
      </c>
      <c r="BY60" s="1482">
        <f t="shared" ca="1" si="163"/>
        <v>0</v>
      </c>
      <c r="BZ60" s="1482">
        <f t="shared" ca="1" si="163"/>
        <v>0</v>
      </c>
      <c r="CA60" s="1482">
        <f t="shared" ca="1" si="163"/>
        <v>0</v>
      </c>
      <c r="CB60" s="1482">
        <f t="shared" ca="1" si="163"/>
        <v>0</v>
      </c>
      <c r="CC60" s="1482">
        <f t="shared" ca="1" si="163"/>
        <v>0</v>
      </c>
      <c r="CD60" s="1482">
        <f t="shared" ca="1" si="163"/>
        <v>0</v>
      </c>
      <c r="CE60" s="1482">
        <f t="shared" ca="1" si="163"/>
        <v>0</v>
      </c>
      <c r="CF60" s="1482">
        <f t="shared" ca="1" si="163"/>
        <v>0</v>
      </c>
      <c r="CG60" s="1482">
        <f t="shared" ca="1" si="163"/>
        <v>0</v>
      </c>
      <c r="CH60" s="1482">
        <f t="shared" ca="1" si="163"/>
        <v>0</v>
      </c>
      <c r="CI60" s="1482">
        <f t="shared" ca="1" si="164"/>
        <v>0</v>
      </c>
      <c r="CJ60" s="1482">
        <f t="shared" ca="1" si="164"/>
        <v>0</v>
      </c>
      <c r="CK60" s="1482">
        <f t="shared" ca="1" si="164"/>
        <v>0</v>
      </c>
      <c r="CL60" s="1482">
        <f t="shared" ca="1" si="164"/>
        <v>0</v>
      </c>
      <c r="CM60" s="1482">
        <f t="shared" ca="1" si="164"/>
        <v>0</v>
      </c>
      <c r="CN60" s="1482">
        <f t="shared" ca="1" si="164"/>
        <v>0</v>
      </c>
      <c r="CO60" s="1482">
        <f t="shared" ca="1" si="164"/>
        <v>0</v>
      </c>
      <c r="CP60" s="1482">
        <f t="shared" ca="1" si="164"/>
        <v>0</v>
      </c>
      <c r="CQ60" s="1482">
        <f t="shared" ca="1" si="164"/>
        <v>0</v>
      </c>
      <c r="CR60" s="1482">
        <f t="shared" ca="1" si="164"/>
        <v>0</v>
      </c>
      <c r="CS60" s="1482">
        <f t="shared" ca="1" si="165"/>
        <v>0</v>
      </c>
      <c r="CT60" s="1482">
        <f t="shared" ca="1" si="165"/>
        <v>0</v>
      </c>
      <c r="CU60" s="1482">
        <f t="shared" ca="1" si="165"/>
        <v>0</v>
      </c>
      <c r="CV60" s="1482">
        <f t="shared" ca="1" si="165"/>
        <v>0</v>
      </c>
      <c r="CW60" s="1482">
        <f t="shared" ca="1" si="165"/>
        <v>0</v>
      </c>
      <c r="CX60" s="1482">
        <f t="shared" ca="1" si="165"/>
        <v>0</v>
      </c>
      <c r="CY60" s="1482">
        <f t="shared" ca="1" si="165"/>
        <v>0</v>
      </c>
      <c r="CZ60" s="1482">
        <f t="shared" ca="1" si="165"/>
        <v>0</v>
      </c>
      <c r="DA60" s="1482">
        <f t="shared" ca="1" si="165"/>
        <v>0</v>
      </c>
      <c r="DB60" s="1482">
        <f t="shared" ca="1" si="165"/>
        <v>0</v>
      </c>
      <c r="DC60" s="1482">
        <f t="shared" ca="1" si="165"/>
        <v>0</v>
      </c>
      <c r="DD60" s="1482">
        <f t="shared" ca="1" si="165"/>
        <v>0</v>
      </c>
      <c r="DE60" s="1482">
        <f t="shared" ca="1" si="165"/>
        <v>0</v>
      </c>
      <c r="DF60" s="1482">
        <f t="shared" ca="1" si="165"/>
        <v>0</v>
      </c>
      <c r="DH60" s="838">
        <f t="shared" ca="1" si="123"/>
        <v>0</v>
      </c>
    </row>
    <row r="61" spans="1:112" s="1484" customFormat="1" ht="12.75" hidden="1" customHeight="1" outlineLevel="1">
      <c r="C61" s="746" t="s">
        <v>809</v>
      </c>
      <c r="D61" s="521" t="str">
        <f>INDEX(Modules[Module], MATCH($C61, Modules[Code], 0))</f>
        <v>Geothermal</v>
      </c>
      <c r="E61" s="521"/>
      <c r="F61" s="743"/>
      <c r="G61" s="1017">
        <f t="shared" ca="1" si="153"/>
        <v>0</v>
      </c>
      <c r="H61" s="1017">
        <f t="shared" ca="1" si="153"/>
        <v>0</v>
      </c>
      <c r="I61" s="1017">
        <f t="shared" ca="1" si="153"/>
        <v>0</v>
      </c>
      <c r="J61" s="1017">
        <f t="shared" ca="1" si="153"/>
        <v>0</v>
      </c>
      <c r="K61" s="1017">
        <f t="shared" ca="1" si="153"/>
        <v>0</v>
      </c>
      <c r="L61" s="1017">
        <f t="shared" ca="1" si="153"/>
        <v>0</v>
      </c>
      <c r="M61" s="1017">
        <f t="shared" ca="1" si="153"/>
        <v>0</v>
      </c>
      <c r="N61" s="1017">
        <f t="shared" ca="1" si="153"/>
        <v>0</v>
      </c>
      <c r="O61" s="1017">
        <f t="shared" ca="1" si="153"/>
        <v>0</v>
      </c>
      <c r="P61" s="1017">
        <f t="shared" ca="1" si="153"/>
        <v>0</v>
      </c>
      <c r="Q61" s="1019">
        <f t="shared" ca="1" si="154"/>
        <v>0</v>
      </c>
      <c r="R61" s="743"/>
      <c r="S61" s="1026">
        <f t="shared" ca="1" si="155"/>
        <v>0</v>
      </c>
      <c r="T61" s="1026">
        <f t="shared" ca="1" si="155"/>
        <v>0</v>
      </c>
      <c r="U61" s="1026">
        <f t="shared" ca="1" si="155"/>
        <v>0</v>
      </c>
      <c r="V61" s="1026">
        <f t="shared" ca="1" si="155"/>
        <v>0</v>
      </c>
      <c r="W61" s="1026">
        <f t="shared" ca="1" si="155"/>
        <v>0</v>
      </c>
      <c r="X61" s="1026">
        <f t="shared" ca="1" si="156"/>
        <v>0</v>
      </c>
      <c r="Y61" s="1026">
        <f t="shared" ca="1" si="156"/>
        <v>0</v>
      </c>
      <c r="Z61" s="1026">
        <f t="shared" ca="1" si="156"/>
        <v>0</v>
      </c>
      <c r="AA61" s="1026">
        <f t="shared" ca="1" si="155"/>
        <v>0</v>
      </c>
      <c r="AB61" s="1026">
        <f t="shared" ca="1" si="155"/>
        <v>0</v>
      </c>
      <c r="AC61" s="1026">
        <f t="shared" ca="1" si="155"/>
        <v>0</v>
      </c>
      <c r="AD61" s="1026">
        <f t="shared" ca="1" si="155"/>
        <v>0</v>
      </c>
      <c r="AE61" s="1026">
        <f t="shared" ca="1" si="155"/>
        <v>0</v>
      </c>
      <c r="AF61" s="1026">
        <f t="shared" ca="1" si="155"/>
        <v>0</v>
      </c>
      <c r="AG61" s="1026">
        <f t="shared" ca="1" si="155"/>
        <v>0</v>
      </c>
      <c r="AH61" s="1026">
        <f t="shared" ca="1" si="155"/>
        <v>0</v>
      </c>
      <c r="AI61" s="1026">
        <f t="shared" ca="1" si="155"/>
        <v>0</v>
      </c>
      <c r="AJ61" s="1026">
        <f t="shared" ca="1" si="155"/>
        <v>0</v>
      </c>
      <c r="AK61" s="1027">
        <f t="shared" ca="1" si="157"/>
        <v>0</v>
      </c>
      <c r="AL61" s="743"/>
      <c r="AM61" s="1038">
        <f t="shared" ca="1" si="158"/>
        <v>0</v>
      </c>
      <c r="AN61" s="1038">
        <f t="shared" ca="1" si="158"/>
        <v>0</v>
      </c>
      <c r="AO61" s="1038">
        <f t="shared" ca="1" si="158"/>
        <v>0</v>
      </c>
      <c r="AP61" s="1038">
        <f t="shared" ca="1" si="158"/>
        <v>0</v>
      </c>
      <c r="AQ61" s="1038">
        <f t="shared" ca="1" si="158"/>
        <v>0</v>
      </c>
      <c r="AR61" s="1038">
        <f t="shared" ca="1" si="158"/>
        <v>0</v>
      </c>
      <c r="AS61" s="1038">
        <f t="shared" ca="1" si="158"/>
        <v>0</v>
      </c>
      <c r="AT61" s="1038">
        <f t="shared" ca="1" si="158"/>
        <v>0</v>
      </c>
      <c r="AU61" s="1038">
        <f t="shared" ca="1" si="158"/>
        <v>0</v>
      </c>
      <c r="AV61" s="1038">
        <f t="shared" ca="1" si="155"/>
        <v>0</v>
      </c>
      <c r="AW61" s="1038">
        <f t="shared" ca="1" si="155"/>
        <v>0</v>
      </c>
      <c r="AX61" s="1038">
        <f t="shared" ca="1" si="155"/>
        <v>0</v>
      </c>
      <c r="AY61" s="1038">
        <f t="shared" ca="1" si="155"/>
        <v>0</v>
      </c>
      <c r="AZ61" s="1038">
        <f t="shared" ca="1" si="155"/>
        <v>0</v>
      </c>
      <c r="BA61" s="1038">
        <f t="shared" ca="1" si="155"/>
        <v>0</v>
      </c>
      <c r="BB61" s="1038">
        <f t="shared" ca="1" si="155"/>
        <v>0</v>
      </c>
      <c r="BC61" s="1038">
        <f t="shared" ca="1" si="155"/>
        <v>0</v>
      </c>
      <c r="BD61" s="1038">
        <f t="shared" ca="1" si="155"/>
        <v>0</v>
      </c>
      <c r="BE61" s="1038">
        <f t="shared" ca="1" si="155"/>
        <v>0</v>
      </c>
      <c r="BF61" s="979">
        <f t="shared" ca="1" si="159"/>
        <v>0</v>
      </c>
      <c r="BG61" s="743"/>
      <c r="BH61" s="1032">
        <f t="shared" ca="1" si="160"/>
        <v>0</v>
      </c>
      <c r="BI61" s="1032">
        <f t="shared" ca="1" si="160"/>
        <v>0</v>
      </c>
      <c r="BJ61" s="1034">
        <f t="shared" ca="1" si="161"/>
        <v>0</v>
      </c>
      <c r="BK61" s="743"/>
      <c r="BL61" s="814">
        <f t="shared" ca="1" si="152"/>
        <v>0</v>
      </c>
      <c r="BM61" s="814"/>
      <c r="BN61" s="840"/>
      <c r="BO61" s="1481">
        <f t="shared" ca="1" si="162"/>
        <v>0</v>
      </c>
      <c r="BP61" s="1482">
        <f t="shared" ca="1" si="162"/>
        <v>0</v>
      </c>
      <c r="BQ61" s="1482">
        <f t="shared" ca="1" si="162"/>
        <v>0</v>
      </c>
      <c r="BR61" s="1482">
        <f t="shared" ca="1" si="162"/>
        <v>0</v>
      </c>
      <c r="BS61" s="1482">
        <f t="shared" ca="1" si="162"/>
        <v>0</v>
      </c>
      <c r="BT61" s="1482">
        <f t="shared" ca="1" si="162"/>
        <v>0</v>
      </c>
      <c r="BU61" s="1482">
        <f t="shared" ca="1" si="162"/>
        <v>0</v>
      </c>
      <c r="BV61" s="1482">
        <f t="shared" ca="1" si="162"/>
        <v>0</v>
      </c>
      <c r="BW61" s="1482">
        <f t="shared" ca="1" si="162"/>
        <v>0</v>
      </c>
      <c r="BX61" s="1482">
        <f t="shared" ca="1" si="162"/>
        <v>0</v>
      </c>
      <c r="BY61" s="1482">
        <f t="shared" ca="1" si="163"/>
        <v>0</v>
      </c>
      <c r="BZ61" s="1482">
        <f t="shared" ca="1" si="163"/>
        <v>0</v>
      </c>
      <c r="CA61" s="1482">
        <f t="shared" ca="1" si="163"/>
        <v>0</v>
      </c>
      <c r="CB61" s="1482">
        <f t="shared" ca="1" si="163"/>
        <v>0</v>
      </c>
      <c r="CC61" s="1482">
        <f t="shared" ca="1" si="163"/>
        <v>0</v>
      </c>
      <c r="CD61" s="1482">
        <f t="shared" ca="1" si="163"/>
        <v>0</v>
      </c>
      <c r="CE61" s="1482">
        <f t="shared" ca="1" si="163"/>
        <v>0</v>
      </c>
      <c r="CF61" s="1482">
        <f t="shared" ca="1" si="163"/>
        <v>0</v>
      </c>
      <c r="CG61" s="1482">
        <f t="shared" ca="1" si="163"/>
        <v>0</v>
      </c>
      <c r="CH61" s="1482">
        <f t="shared" ca="1" si="163"/>
        <v>0</v>
      </c>
      <c r="CI61" s="1482">
        <f t="shared" ca="1" si="164"/>
        <v>0</v>
      </c>
      <c r="CJ61" s="1482">
        <f t="shared" ca="1" si="164"/>
        <v>0</v>
      </c>
      <c r="CK61" s="1482">
        <f t="shared" ca="1" si="164"/>
        <v>0</v>
      </c>
      <c r="CL61" s="1482">
        <f t="shared" ca="1" si="164"/>
        <v>0</v>
      </c>
      <c r="CM61" s="1482">
        <f t="shared" ca="1" si="164"/>
        <v>0</v>
      </c>
      <c r="CN61" s="1482">
        <f t="shared" ca="1" si="164"/>
        <v>0</v>
      </c>
      <c r="CO61" s="1482">
        <f t="shared" ca="1" si="164"/>
        <v>0</v>
      </c>
      <c r="CP61" s="1482">
        <f t="shared" ca="1" si="164"/>
        <v>0</v>
      </c>
      <c r="CQ61" s="1482">
        <f t="shared" ca="1" si="164"/>
        <v>0</v>
      </c>
      <c r="CR61" s="1482">
        <f t="shared" ca="1" si="164"/>
        <v>0</v>
      </c>
      <c r="CS61" s="1482">
        <f t="shared" ca="1" si="165"/>
        <v>0</v>
      </c>
      <c r="CT61" s="1482">
        <f t="shared" ca="1" si="165"/>
        <v>0</v>
      </c>
      <c r="CU61" s="1482">
        <f t="shared" ca="1" si="165"/>
        <v>0</v>
      </c>
      <c r="CV61" s="1482">
        <f t="shared" ca="1" si="165"/>
        <v>0</v>
      </c>
      <c r="CW61" s="1482">
        <f t="shared" ca="1" si="165"/>
        <v>0</v>
      </c>
      <c r="CX61" s="1482">
        <f t="shared" ca="1" si="165"/>
        <v>0</v>
      </c>
      <c r="CY61" s="1482">
        <f t="shared" ca="1" si="165"/>
        <v>0</v>
      </c>
      <c r="CZ61" s="1482">
        <f t="shared" ca="1" si="165"/>
        <v>0</v>
      </c>
      <c r="DA61" s="1482">
        <f t="shared" ca="1" si="165"/>
        <v>0</v>
      </c>
      <c r="DB61" s="1482">
        <f t="shared" ca="1" si="165"/>
        <v>0</v>
      </c>
      <c r="DC61" s="1482">
        <f t="shared" ca="1" si="165"/>
        <v>0</v>
      </c>
      <c r="DD61" s="1482">
        <f t="shared" ca="1" si="165"/>
        <v>0</v>
      </c>
      <c r="DE61" s="1482">
        <f t="shared" ca="1" si="165"/>
        <v>0</v>
      </c>
      <c r="DF61" s="1482">
        <f t="shared" ca="1" si="165"/>
        <v>0</v>
      </c>
      <c r="DH61" s="838">
        <f t="shared" ca="1" si="123"/>
        <v>0</v>
      </c>
    </row>
    <row r="62" spans="1:112" s="743" customFormat="1" ht="12.75" hidden="1" customHeight="1" outlineLevel="1">
      <c r="A62" s="1484"/>
      <c r="B62" s="1484"/>
      <c r="C62" s="746" t="s">
        <v>810</v>
      </c>
      <c r="D62" s="1010" t="str">
        <f>INDEX(Modules[Module], MATCH($C62, Modules[Code], 0))</f>
        <v>Tidal [UNUSED - See III.c]</v>
      </c>
      <c r="E62" s="1010"/>
      <c r="G62" s="1022">
        <f t="shared" ca="1" si="153"/>
        <v>0</v>
      </c>
      <c r="H62" s="1022">
        <f t="shared" ca="1" si="153"/>
        <v>0</v>
      </c>
      <c r="I62" s="1022">
        <f t="shared" ca="1" si="153"/>
        <v>0</v>
      </c>
      <c r="J62" s="1022">
        <f t="shared" ca="1" si="153"/>
        <v>0</v>
      </c>
      <c r="K62" s="1022">
        <f t="shared" ca="1" si="153"/>
        <v>0</v>
      </c>
      <c r="L62" s="1022">
        <f t="shared" ca="1" si="153"/>
        <v>0</v>
      </c>
      <c r="M62" s="1022">
        <f t="shared" ca="1" si="153"/>
        <v>0</v>
      </c>
      <c r="N62" s="1022">
        <f t="shared" ca="1" si="153"/>
        <v>0</v>
      </c>
      <c r="O62" s="1022">
        <f t="shared" ca="1" si="153"/>
        <v>0</v>
      </c>
      <c r="P62" s="1022">
        <f t="shared" ca="1" si="153"/>
        <v>0</v>
      </c>
      <c r="Q62" s="1020">
        <f t="shared" ca="1" si="154"/>
        <v>0</v>
      </c>
      <c r="S62" s="1031">
        <f t="shared" ca="1" si="155"/>
        <v>0</v>
      </c>
      <c r="T62" s="1031">
        <f t="shared" ca="1" si="155"/>
        <v>0</v>
      </c>
      <c r="U62" s="1031">
        <f t="shared" ca="1" si="155"/>
        <v>0</v>
      </c>
      <c r="V62" s="1031">
        <f t="shared" ca="1" si="155"/>
        <v>0</v>
      </c>
      <c r="W62" s="1031">
        <f t="shared" ca="1" si="155"/>
        <v>0</v>
      </c>
      <c r="X62" s="1031">
        <f t="shared" ca="1" si="156"/>
        <v>0</v>
      </c>
      <c r="Y62" s="1031">
        <f t="shared" ca="1" si="156"/>
        <v>0</v>
      </c>
      <c r="Z62" s="1031">
        <f t="shared" ca="1" si="156"/>
        <v>0</v>
      </c>
      <c r="AA62" s="1031">
        <f t="shared" ca="1" si="155"/>
        <v>0</v>
      </c>
      <c r="AB62" s="1031">
        <f t="shared" ca="1" si="155"/>
        <v>0</v>
      </c>
      <c r="AC62" s="1031">
        <f t="shared" ca="1" si="155"/>
        <v>0</v>
      </c>
      <c r="AD62" s="1031">
        <f t="shared" ca="1" si="155"/>
        <v>0</v>
      </c>
      <c r="AE62" s="1031">
        <f t="shared" ca="1" si="155"/>
        <v>0</v>
      </c>
      <c r="AF62" s="1031">
        <f t="shared" ca="1" si="155"/>
        <v>0</v>
      </c>
      <c r="AG62" s="1031">
        <f t="shared" ca="1" si="155"/>
        <v>0</v>
      </c>
      <c r="AH62" s="1031">
        <f t="shared" ca="1" si="155"/>
        <v>0</v>
      </c>
      <c r="AI62" s="1031">
        <f t="shared" ca="1" si="155"/>
        <v>0</v>
      </c>
      <c r="AJ62" s="1031">
        <f t="shared" ca="1" si="155"/>
        <v>0</v>
      </c>
      <c r="AK62" s="1030">
        <f t="shared" ca="1" si="157"/>
        <v>0</v>
      </c>
      <c r="AM62" s="1042">
        <f t="shared" ca="1" si="158"/>
        <v>0</v>
      </c>
      <c r="AN62" s="1042">
        <f t="shared" ca="1" si="158"/>
        <v>0</v>
      </c>
      <c r="AO62" s="1042">
        <f t="shared" ca="1" si="158"/>
        <v>0</v>
      </c>
      <c r="AP62" s="1042">
        <f t="shared" ca="1" si="158"/>
        <v>0</v>
      </c>
      <c r="AQ62" s="1042">
        <f t="shared" ca="1" si="158"/>
        <v>0</v>
      </c>
      <c r="AR62" s="1042">
        <f t="shared" ca="1" si="158"/>
        <v>0</v>
      </c>
      <c r="AS62" s="1042">
        <f t="shared" ca="1" si="158"/>
        <v>0</v>
      </c>
      <c r="AT62" s="1042">
        <f t="shared" ca="1" si="158"/>
        <v>0</v>
      </c>
      <c r="AU62" s="1042">
        <f t="shared" ca="1" si="158"/>
        <v>0</v>
      </c>
      <c r="AV62" s="1042">
        <f t="shared" ca="1" si="155"/>
        <v>0</v>
      </c>
      <c r="AW62" s="1042">
        <f t="shared" ca="1" si="155"/>
        <v>0</v>
      </c>
      <c r="AX62" s="1042">
        <f t="shared" ca="1" si="155"/>
        <v>0</v>
      </c>
      <c r="AY62" s="1042">
        <f t="shared" ca="1" si="155"/>
        <v>0</v>
      </c>
      <c r="AZ62" s="1042">
        <f t="shared" ca="1" si="155"/>
        <v>0</v>
      </c>
      <c r="BA62" s="1042">
        <f t="shared" ca="1" si="155"/>
        <v>0</v>
      </c>
      <c r="BB62" s="1042">
        <f t="shared" ca="1" si="155"/>
        <v>0</v>
      </c>
      <c r="BC62" s="1042">
        <f t="shared" ca="1" si="155"/>
        <v>0</v>
      </c>
      <c r="BD62" s="1042">
        <f t="shared" ca="1" si="155"/>
        <v>0</v>
      </c>
      <c r="BE62" s="1042">
        <f t="shared" ca="1" si="155"/>
        <v>0</v>
      </c>
      <c r="BF62" s="1012">
        <f t="shared" ca="1" si="159"/>
        <v>0</v>
      </c>
      <c r="BH62" s="1036">
        <f t="shared" ca="1" si="160"/>
        <v>0</v>
      </c>
      <c r="BI62" s="1036">
        <f t="shared" ca="1" si="160"/>
        <v>0</v>
      </c>
      <c r="BJ62" s="1035">
        <f t="shared" ca="1" si="161"/>
        <v>0</v>
      </c>
      <c r="BL62" s="814">
        <f t="shared" ca="1" si="152"/>
        <v>0</v>
      </c>
      <c r="BM62" s="814"/>
      <c r="BN62" s="840"/>
      <c r="BO62" s="1485">
        <f t="shared" ca="1" si="162"/>
        <v>0</v>
      </c>
      <c r="BP62" s="1486">
        <f t="shared" ca="1" si="162"/>
        <v>0</v>
      </c>
      <c r="BQ62" s="1486">
        <f t="shared" ca="1" si="162"/>
        <v>0</v>
      </c>
      <c r="BR62" s="1486">
        <f t="shared" ca="1" si="162"/>
        <v>0</v>
      </c>
      <c r="BS62" s="1486">
        <f t="shared" ca="1" si="162"/>
        <v>0</v>
      </c>
      <c r="BT62" s="1486">
        <f t="shared" ca="1" si="162"/>
        <v>0</v>
      </c>
      <c r="BU62" s="1486">
        <f t="shared" ca="1" si="162"/>
        <v>0</v>
      </c>
      <c r="BV62" s="1486">
        <f t="shared" ca="1" si="162"/>
        <v>0</v>
      </c>
      <c r="BW62" s="1486">
        <f t="shared" ca="1" si="162"/>
        <v>0</v>
      </c>
      <c r="BX62" s="1486">
        <f t="shared" ca="1" si="162"/>
        <v>0</v>
      </c>
      <c r="BY62" s="1486">
        <f t="shared" ca="1" si="163"/>
        <v>0</v>
      </c>
      <c r="BZ62" s="1486">
        <f t="shared" ca="1" si="163"/>
        <v>0</v>
      </c>
      <c r="CA62" s="1486">
        <f t="shared" ca="1" si="163"/>
        <v>0</v>
      </c>
      <c r="CB62" s="1486">
        <f t="shared" ca="1" si="163"/>
        <v>0</v>
      </c>
      <c r="CC62" s="1486">
        <f t="shared" ca="1" si="163"/>
        <v>0</v>
      </c>
      <c r="CD62" s="1486">
        <f t="shared" ca="1" si="163"/>
        <v>0</v>
      </c>
      <c r="CE62" s="1486">
        <f t="shared" ca="1" si="163"/>
        <v>0</v>
      </c>
      <c r="CF62" s="1486">
        <f t="shared" ca="1" si="163"/>
        <v>0</v>
      </c>
      <c r="CG62" s="1486">
        <f t="shared" ca="1" si="163"/>
        <v>0</v>
      </c>
      <c r="CH62" s="1486">
        <f t="shared" ca="1" si="163"/>
        <v>0</v>
      </c>
      <c r="CI62" s="1486">
        <f t="shared" ca="1" si="164"/>
        <v>0</v>
      </c>
      <c r="CJ62" s="1486">
        <f t="shared" ca="1" si="164"/>
        <v>0</v>
      </c>
      <c r="CK62" s="1486">
        <f t="shared" ca="1" si="164"/>
        <v>0</v>
      </c>
      <c r="CL62" s="1486">
        <f t="shared" ca="1" si="164"/>
        <v>0</v>
      </c>
      <c r="CM62" s="1486">
        <f t="shared" ca="1" si="164"/>
        <v>0</v>
      </c>
      <c r="CN62" s="1486">
        <f t="shared" ca="1" si="164"/>
        <v>0</v>
      </c>
      <c r="CO62" s="1486">
        <f t="shared" ca="1" si="164"/>
        <v>0</v>
      </c>
      <c r="CP62" s="1486">
        <f t="shared" ca="1" si="164"/>
        <v>0</v>
      </c>
      <c r="CQ62" s="1486">
        <f t="shared" ca="1" si="164"/>
        <v>0</v>
      </c>
      <c r="CR62" s="1486">
        <f t="shared" ca="1" si="164"/>
        <v>0</v>
      </c>
      <c r="CS62" s="1486">
        <f t="shared" ca="1" si="165"/>
        <v>0</v>
      </c>
      <c r="CT62" s="1486">
        <f t="shared" ca="1" si="165"/>
        <v>0</v>
      </c>
      <c r="CU62" s="1486">
        <f t="shared" ca="1" si="165"/>
        <v>0</v>
      </c>
      <c r="CV62" s="1486">
        <f t="shared" ca="1" si="165"/>
        <v>0</v>
      </c>
      <c r="CW62" s="1486">
        <f t="shared" ca="1" si="165"/>
        <v>0</v>
      </c>
      <c r="CX62" s="1486">
        <f t="shared" ca="1" si="165"/>
        <v>0</v>
      </c>
      <c r="CY62" s="1486">
        <f t="shared" ca="1" si="165"/>
        <v>0</v>
      </c>
      <c r="CZ62" s="1486">
        <f t="shared" ca="1" si="165"/>
        <v>0</v>
      </c>
      <c r="DA62" s="1486">
        <f t="shared" ca="1" si="165"/>
        <v>0</v>
      </c>
      <c r="DB62" s="1486">
        <f t="shared" ca="1" si="165"/>
        <v>0</v>
      </c>
      <c r="DC62" s="1486">
        <f t="shared" ca="1" si="165"/>
        <v>0</v>
      </c>
      <c r="DD62" s="1486">
        <f t="shared" ca="1" si="165"/>
        <v>0</v>
      </c>
      <c r="DE62" s="1486">
        <f t="shared" ca="1" si="165"/>
        <v>0</v>
      </c>
      <c r="DF62" s="1486">
        <f t="shared" ca="1" si="165"/>
        <v>0</v>
      </c>
      <c r="DH62" s="838">
        <f t="shared" ca="1" si="123"/>
        <v>0</v>
      </c>
    </row>
    <row r="63" spans="1:112" s="743" customFormat="1" ht="15.75" collapsed="1">
      <c r="A63" s="22"/>
      <c r="B63" s="753"/>
      <c r="C63" s="744" t="s">
        <v>76</v>
      </c>
      <c r="D63" s="517" t="str">
        <f>INDEX(Workstreams[Workstream], MATCH($C63, Workstreams[Code], 0))</f>
        <v>National renewable power generation</v>
      </c>
      <c r="E63" s="512"/>
      <c r="G63" s="958">
        <f t="shared" ref="G63:P63" ca="1" si="166">SUM(G57:G62)</f>
        <v>0</v>
      </c>
      <c r="H63" s="958">
        <f t="shared" ca="1" si="166"/>
        <v>0</v>
      </c>
      <c r="I63" s="958">
        <f t="shared" ca="1" si="166"/>
        <v>0</v>
      </c>
      <c r="J63" s="958">
        <f t="shared" ca="1" si="166"/>
        <v>0</v>
      </c>
      <c r="K63" s="958">
        <f t="shared" ca="1" si="166"/>
        <v>0</v>
      </c>
      <c r="L63" s="958">
        <f t="shared" ca="1" si="166"/>
        <v>0</v>
      </c>
      <c r="M63" s="958">
        <f t="shared" ca="1" si="166"/>
        <v>0</v>
      </c>
      <c r="N63" s="958">
        <f t="shared" ca="1" si="166"/>
        <v>0</v>
      </c>
      <c r="O63" s="958">
        <f t="shared" ca="1" si="166"/>
        <v>0</v>
      </c>
      <c r="P63" s="958">
        <f t="shared" ca="1" si="166"/>
        <v>0</v>
      </c>
      <c r="Q63" s="1021">
        <f t="shared" ca="1" si="154"/>
        <v>0</v>
      </c>
      <c r="S63" s="970">
        <f t="shared" ref="S63:AJ63" ca="1" si="167">SUM(S57:S62)</f>
        <v>0</v>
      </c>
      <c r="T63" s="970">
        <f t="shared" ca="1" si="167"/>
        <v>19.775401524657536</v>
      </c>
      <c r="U63" s="970">
        <f t="shared" ca="1" si="167"/>
        <v>0</v>
      </c>
      <c r="V63" s="970">
        <f t="shared" ca="1" si="167"/>
        <v>0</v>
      </c>
      <c r="W63" s="970">
        <f t="shared" ca="1" si="167"/>
        <v>0</v>
      </c>
      <c r="X63" s="970">
        <f t="shared" ca="1" si="167"/>
        <v>0</v>
      </c>
      <c r="Y63" s="970">
        <f t="shared" ca="1" si="167"/>
        <v>0</v>
      </c>
      <c r="Z63" s="970">
        <f t="shared" ca="1" si="167"/>
        <v>0</v>
      </c>
      <c r="AA63" s="970">
        <f t="shared" ca="1" si="167"/>
        <v>0</v>
      </c>
      <c r="AB63" s="970">
        <f t="shared" ca="1" si="167"/>
        <v>0</v>
      </c>
      <c r="AC63" s="970">
        <f t="shared" ca="1" si="167"/>
        <v>0</v>
      </c>
      <c r="AD63" s="970">
        <f t="shared" ca="1" si="167"/>
        <v>0</v>
      </c>
      <c r="AE63" s="970">
        <f ca="1">SUM(AE57:AE62)</f>
        <v>0</v>
      </c>
      <c r="AF63" s="970">
        <f t="shared" ca="1" si="167"/>
        <v>0</v>
      </c>
      <c r="AG63" s="970">
        <f t="shared" ca="1" si="167"/>
        <v>0</v>
      </c>
      <c r="AH63" s="970">
        <f ca="1">SUM(AH57:AH62)</f>
        <v>0</v>
      </c>
      <c r="AI63" s="970">
        <f t="shared" ca="1" si="167"/>
        <v>0</v>
      </c>
      <c r="AJ63" s="970">
        <f t="shared" ca="1" si="167"/>
        <v>0</v>
      </c>
      <c r="AK63" s="970">
        <f t="shared" ca="1" si="157"/>
        <v>19.775401524657536</v>
      </c>
      <c r="AM63" s="976">
        <f t="shared" ref="AM63:BE63" ca="1" si="168">SUM(AM57:AM62)</f>
        <v>0</v>
      </c>
      <c r="AN63" s="976">
        <f t="shared" ca="1" si="168"/>
        <v>0</v>
      </c>
      <c r="AO63" s="976">
        <f t="shared" ca="1" si="168"/>
        <v>0</v>
      </c>
      <c r="AP63" s="976">
        <f t="shared" ca="1" si="168"/>
        <v>0</v>
      </c>
      <c r="AQ63" s="976">
        <f t="shared" ca="1" si="168"/>
        <v>0</v>
      </c>
      <c r="AR63" s="976">
        <f t="shared" ca="1" si="168"/>
        <v>0</v>
      </c>
      <c r="AS63" s="976">
        <f t="shared" ca="1" si="168"/>
        <v>0</v>
      </c>
      <c r="AT63" s="976">
        <f t="shared" ca="1" si="168"/>
        <v>0</v>
      </c>
      <c r="AU63" s="976">
        <f t="shared" ca="1" si="168"/>
        <v>0</v>
      </c>
      <c r="AV63" s="976">
        <f t="shared" ca="1" si="168"/>
        <v>0</v>
      </c>
      <c r="AW63" s="976">
        <f t="shared" ca="1" si="168"/>
        <v>0</v>
      </c>
      <c r="AX63" s="976">
        <f t="shared" ca="1" si="168"/>
        <v>-14.440670099999998</v>
      </c>
      <c r="AY63" s="976">
        <f t="shared" ca="1" si="168"/>
        <v>-5.0034246575342495E-3</v>
      </c>
      <c r="AZ63" s="976">
        <f t="shared" ca="1" si="168"/>
        <v>0</v>
      </c>
      <c r="BA63" s="976">
        <f t="shared" ca="1" si="168"/>
        <v>0</v>
      </c>
      <c r="BB63" s="976">
        <f t="shared" ca="1" si="168"/>
        <v>-5.3297280000000011</v>
      </c>
      <c r="BC63" s="976">
        <f t="shared" ca="1" si="168"/>
        <v>0</v>
      </c>
      <c r="BD63" s="976">
        <f t="shared" ca="1" si="168"/>
        <v>0</v>
      </c>
      <c r="BE63" s="976">
        <f t="shared" ca="1" si="168"/>
        <v>0</v>
      </c>
      <c r="BF63" s="976">
        <f t="shared" ca="1" si="159"/>
        <v>-19.775401524657532</v>
      </c>
      <c r="BH63" s="990">
        <f ca="1">SUM(BH57:BH62)</f>
        <v>0</v>
      </c>
      <c r="BI63" s="990">
        <f ca="1">SUM(BI57:BI62)</f>
        <v>0</v>
      </c>
      <c r="BJ63" s="990">
        <f t="shared" ca="1" si="161"/>
        <v>0</v>
      </c>
      <c r="BL63" s="515">
        <f t="shared" ca="1" si="152"/>
        <v>3.5527136788005009E-15</v>
      </c>
      <c r="BM63" s="515"/>
      <c r="BN63" s="840"/>
      <c r="BO63" s="1482">
        <f t="shared" ref="BO63:DF63" ca="1" si="169">SUM(BO57:BO62)</f>
        <v>0</v>
      </c>
      <c r="BP63" s="1482">
        <f t="shared" ca="1" si="169"/>
        <v>0</v>
      </c>
      <c r="BQ63" s="1482">
        <f t="shared" ca="1" si="169"/>
        <v>0</v>
      </c>
      <c r="BR63" s="1482">
        <f t="shared" ca="1" si="169"/>
        <v>0</v>
      </c>
      <c r="BS63" s="1482">
        <f t="shared" ca="1" si="169"/>
        <v>0</v>
      </c>
      <c r="BT63" s="1482">
        <f t="shared" ca="1" si="169"/>
        <v>0</v>
      </c>
      <c r="BU63" s="1482">
        <f t="shared" ca="1" si="169"/>
        <v>0</v>
      </c>
      <c r="BV63" s="1482">
        <f t="shared" ca="1" si="169"/>
        <v>0</v>
      </c>
      <c r="BW63" s="1482">
        <f t="shared" ca="1" si="169"/>
        <v>0</v>
      </c>
      <c r="BX63" s="1482">
        <f t="shared" ca="1" si="169"/>
        <v>0</v>
      </c>
      <c r="BY63" s="1482">
        <f t="shared" ca="1" si="169"/>
        <v>0</v>
      </c>
      <c r="BZ63" s="1482">
        <f t="shared" ca="1" si="169"/>
        <v>0</v>
      </c>
      <c r="CA63" s="1482">
        <f t="shared" ca="1" si="169"/>
        <v>0</v>
      </c>
      <c r="CB63" s="1482">
        <f t="shared" ca="1" si="169"/>
        <v>0</v>
      </c>
      <c r="CC63" s="1482">
        <f t="shared" ca="1" si="169"/>
        <v>0</v>
      </c>
      <c r="CD63" s="1482">
        <f t="shared" ca="1" si="169"/>
        <v>0</v>
      </c>
      <c r="CE63" s="1482">
        <f t="shared" ca="1" si="169"/>
        <v>0</v>
      </c>
      <c r="CF63" s="1482">
        <f t="shared" ca="1" si="169"/>
        <v>0</v>
      </c>
      <c r="CG63" s="1482">
        <f t="shared" ca="1" si="169"/>
        <v>0</v>
      </c>
      <c r="CH63" s="1482">
        <f t="shared" ca="1" si="169"/>
        <v>0</v>
      </c>
      <c r="CI63" s="1482">
        <f t="shared" ca="1" si="169"/>
        <v>0</v>
      </c>
      <c r="CJ63" s="1482">
        <f t="shared" ca="1" si="169"/>
        <v>0</v>
      </c>
      <c r="CK63" s="1482">
        <f t="shared" ca="1" si="169"/>
        <v>0</v>
      </c>
      <c r="CL63" s="1482">
        <f t="shared" ca="1" si="169"/>
        <v>0</v>
      </c>
      <c r="CM63" s="1482">
        <f t="shared" ca="1" si="169"/>
        <v>0</v>
      </c>
      <c r="CN63" s="1482">
        <f t="shared" ca="1" si="169"/>
        <v>0</v>
      </c>
      <c r="CO63" s="1482">
        <f t="shared" ca="1" si="169"/>
        <v>0</v>
      </c>
      <c r="CP63" s="1482">
        <f t="shared" ca="1" si="169"/>
        <v>0</v>
      </c>
      <c r="CQ63" s="1482">
        <f t="shared" ca="1" si="169"/>
        <v>0</v>
      </c>
      <c r="CR63" s="1482">
        <f t="shared" ca="1" si="169"/>
        <v>0</v>
      </c>
      <c r="CS63" s="1482">
        <f t="shared" ca="1" si="169"/>
        <v>0</v>
      </c>
      <c r="CT63" s="1482">
        <f t="shared" ca="1" si="169"/>
        <v>0</v>
      </c>
      <c r="CU63" s="1482">
        <f t="shared" ca="1" si="169"/>
        <v>0</v>
      </c>
      <c r="CV63" s="1482">
        <f t="shared" ca="1" si="169"/>
        <v>0</v>
      </c>
      <c r="CW63" s="1482">
        <f t="shared" ca="1" si="169"/>
        <v>0</v>
      </c>
      <c r="CX63" s="1482">
        <f t="shared" ca="1" si="169"/>
        <v>0</v>
      </c>
      <c r="CY63" s="1482">
        <f t="shared" ca="1" si="169"/>
        <v>0</v>
      </c>
      <c r="CZ63" s="1482">
        <f t="shared" ca="1" si="169"/>
        <v>0</v>
      </c>
      <c r="DA63" s="1482">
        <f t="shared" ca="1" si="169"/>
        <v>0</v>
      </c>
      <c r="DB63" s="1482">
        <f t="shared" ca="1" si="169"/>
        <v>0</v>
      </c>
      <c r="DC63" s="1482">
        <f t="shared" ca="1" si="169"/>
        <v>0</v>
      </c>
      <c r="DD63" s="1482">
        <f t="shared" ca="1" si="169"/>
        <v>0</v>
      </c>
      <c r="DE63" s="1482">
        <f t="shared" ca="1" si="169"/>
        <v>0</v>
      </c>
      <c r="DF63" s="1482">
        <f t="shared" ca="1" si="169"/>
        <v>0</v>
      </c>
      <c r="DH63" s="838">
        <f t="shared" ca="1" si="123"/>
        <v>0</v>
      </c>
    </row>
    <row r="64" spans="1:112" s="743" customFormat="1" ht="12.75" hidden="1" customHeight="1" outlineLevel="1">
      <c r="A64" s="22"/>
      <c r="B64" s="22"/>
      <c r="C64" s="751"/>
      <c r="D64" s="512"/>
      <c r="E64" s="512"/>
      <c r="G64" s="958"/>
      <c r="H64" s="958"/>
      <c r="I64" s="958"/>
      <c r="J64" s="958"/>
      <c r="K64" s="960"/>
      <c r="L64" s="958"/>
      <c r="M64" s="958"/>
      <c r="N64" s="958"/>
      <c r="O64" s="958"/>
      <c r="P64" s="958"/>
      <c r="Q64" s="958"/>
      <c r="S64" s="970"/>
      <c r="T64" s="970"/>
      <c r="U64" s="970"/>
      <c r="V64" s="970"/>
      <c r="W64" s="970"/>
      <c r="X64" s="970"/>
      <c r="Y64" s="970"/>
      <c r="Z64" s="970"/>
      <c r="AA64" s="970"/>
      <c r="AB64" s="970"/>
      <c r="AC64" s="970"/>
      <c r="AD64" s="970"/>
      <c r="AE64" s="970"/>
      <c r="AF64" s="970"/>
      <c r="AG64" s="970"/>
      <c r="AH64" s="970"/>
      <c r="AI64" s="970"/>
      <c r="AJ64" s="970"/>
      <c r="AK64" s="970"/>
      <c r="AM64" s="976"/>
      <c r="AN64" s="976"/>
      <c r="AO64" s="976"/>
      <c r="AP64" s="976"/>
      <c r="AQ64" s="976"/>
      <c r="AR64" s="976"/>
      <c r="AS64" s="976"/>
      <c r="AT64" s="976"/>
      <c r="AU64" s="976"/>
      <c r="AV64" s="976"/>
      <c r="AW64" s="976"/>
      <c r="AX64" s="976"/>
      <c r="AY64" s="976"/>
      <c r="AZ64" s="976"/>
      <c r="BA64" s="976"/>
      <c r="BB64" s="976"/>
      <c r="BC64" s="976"/>
      <c r="BD64" s="976"/>
      <c r="BE64" s="976"/>
      <c r="BF64" s="976"/>
      <c r="BH64" s="990"/>
      <c r="BI64" s="990"/>
      <c r="BJ64" s="990"/>
      <c r="BL64" s="515"/>
      <c r="BM64" s="515"/>
      <c r="BN64" s="22"/>
      <c r="BO64" s="1482"/>
      <c r="BP64" s="1482"/>
      <c r="BQ64" s="1482"/>
      <c r="BR64" s="1482"/>
      <c r="BS64" s="1482"/>
      <c r="BT64" s="1482"/>
      <c r="BU64" s="1482"/>
      <c r="BV64" s="1482"/>
      <c r="BW64" s="1482"/>
      <c r="BX64" s="1482"/>
      <c r="BY64" s="1482"/>
      <c r="BZ64" s="1482"/>
      <c r="CA64" s="1482"/>
      <c r="CB64" s="1482"/>
      <c r="CC64" s="1482"/>
      <c r="CD64" s="1482"/>
      <c r="CE64" s="1482"/>
      <c r="CF64" s="1482"/>
      <c r="CG64" s="1482"/>
      <c r="CH64" s="1482"/>
      <c r="CI64" s="1482"/>
      <c r="CJ64" s="1482"/>
      <c r="CK64" s="1482"/>
      <c r="CL64" s="1482"/>
      <c r="CM64" s="1482"/>
      <c r="CN64" s="1482"/>
      <c r="CO64" s="1482"/>
      <c r="CP64" s="1482"/>
      <c r="CQ64" s="1482"/>
      <c r="CR64" s="1482"/>
      <c r="CS64" s="1482"/>
      <c r="CT64" s="1482"/>
      <c r="CU64" s="1482"/>
      <c r="CV64" s="1482"/>
      <c r="CW64" s="1482"/>
      <c r="CX64" s="1482"/>
      <c r="CY64" s="1482"/>
      <c r="CZ64" s="1482"/>
      <c r="DA64" s="1482"/>
      <c r="DB64" s="1482"/>
      <c r="DC64" s="1482"/>
      <c r="DD64" s="1482"/>
      <c r="DE64" s="1482"/>
      <c r="DF64" s="1482"/>
      <c r="DH64" s="838">
        <f t="shared" si="123"/>
        <v>0</v>
      </c>
    </row>
    <row r="65" spans="1:112" s="1484" customFormat="1" ht="12.75" hidden="1" customHeight="1" outlineLevel="1">
      <c r="C65" s="746" t="s">
        <v>976</v>
      </c>
      <c r="D65" s="521" t="str">
        <f>INDEX(Modules[Module], MATCH($C65, Modules[Code], 0))</f>
        <v>Distributed solar PV</v>
      </c>
      <c r="E65" s="521"/>
      <c r="G65" s="1604">
        <f t="shared" ref="G65:P67" ca="1" si="170">IFERROR(INDEX(INDIRECT($C65&amp;".Outputs["&amp;this.Year&amp;"]"), MATCH(G$5, INDIRECT($C65&amp;".Outputs[Vector]"), 0)), 0)</f>
        <v>0</v>
      </c>
      <c r="H65" s="1604">
        <f t="shared" ca="1" si="170"/>
        <v>0</v>
      </c>
      <c r="I65" s="1604">
        <f t="shared" ca="1" si="170"/>
        <v>0</v>
      </c>
      <c r="J65" s="1604">
        <f t="shared" ca="1" si="170"/>
        <v>0</v>
      </c>
      <c r="K65" s="1605">
        <f t="shared" ca="1" si="170"/>
        <v>0</v>
      </c>
      <c r="L65" s="1604">
        <f t="shared" ca="1" si="170"/>
        <v>0</v>
      </c>
      <c r="M65" s="1604">
        <f t="shared" ca="1" si="170"/>
        <v>0</v>
      </c>
      <c r="N65" s="1604">
        <f t="shared" ca="1" si="170"/>
        <v>0</v>
      </c>
      <c r="O65" s="1604">
        <f t="shared" ca="1" si="170"/>
        <v>0</v>
      </c>
      <c r="P65" s="1604">
        <f t="shared" ca="1" si="170"/>
        <v>0</v>
      </c>
      <c r="Q65" s="963">
        <f ca="1">SUM(G65:P65)</f>
        <v>0</v>
      </c>
      <c r="S65" s="1606">
        <f t="shared" ref="S65:BE67" ca="1" si="171">IFERROR(INDEX(INDIRECT($C65&amp;".Outputs["&amp;this.Year&amp;"]"), MATCH(S$5, INDIRECT($C65&amp;".Outputs[Vector]"), 0)), 0)</f>
        <v>0</v>
      </c>
      <c r="T65" s="1606">
        <f t="shared" ca="1" si="171"/>
        <v>2.8059966000000006E-2</v>
      </c>
      <c r="U65" s="1606">
        <f t="shared" ca="1" si="171"/>
        <v>0</v>
      </c>
      <c r="V65" s="1606">
        <f t="shared" ca="1" si="171"/>
        <v>0</v>
      </c>
      <c r="W65" s="1606">
        <f t="shared" ca="1" si="171"/>
        <v>0</v>
      </c>
      <c r="X65" s="1606">
        <f t="shared" ref="X65:Z67" ca="1" si="172">IFERROR(INDEX(INDIRECT($C65&amp;".Outputs["&amp;this.Year&amp;"]"), MATCH(X$5, INDIRECT($C65&amp;".Outputs[Vector]"), 0)), 0)</f>
        <v>0</v>
      </c>
      <c r="Y65" s="1606">
        <f t="shared" ca="1" si="172"/>
        <v>0</v>
      </c>
      <c r="Z65" s="1606">
        <f t="shared" ca="1" si="172"/>
        <v>0</v>
      </c>
      <c r="AA65" s="1606">
        <f t="shared" ca="1" si="171"/>
        <v>0</v>
      </c>
      <c r="AB65" s="1606">
        <f t="shared" ca="1" si="171"/>
        <v>0</v>
      </c>
      <c r="AC65" s="1606">
        <f t="shared" ca="1" si="171"/>
        <v>0</v>
      </c>
      <c r="AD65" s="1606">
        <f t="shared" ca="1" si="171"/>
        <v>0</v>
      </c>
      <c r="AE65" s="1606">
        <f t="shared" ca="1" si="171"/>
        <v>0</v>
      </c>
      <c r="AF65" s="1606">
        <f t="shared" ca="1" si="171"/>
        <v>0</v>
      </c>
      <c r="AG65" s="1606">
        <f t="shared" ca="1" si="171"/>
        <v>0</v>
      </c>
      <c r="AH65" s="1606">
        <f t="shared" ca="1" si="171"/>
        <v>0</v>
      </c>
      <c r="AI65" s="1606">
        <f t="shared" ca="1" si="171"/>
        <v>0</v>
      </c>
      <c r="AJ65" s="1606">
        <f t="shared" ca="1" si="171"/>
        <v>0</v>
      </c>
      <c r="AK65" s="972">
        <f ca="1">SUM(S65:AJ65)</f>
        <v>2.8059966000000006E-2</v>
      </c>
      <c r="AM65" s="1607">
        <f t="shared" ref="AM65:AU67" ca="1" si="173">IFERROR(INDEX(INDIRECT($C65&amp;".Outputs["&amp;this.Year&amp;"]"), MATCH(AM$5, INDIRECT($C65&amp;".Outputs[Vector]"), 0)), 0)</f>
        <v>0</v>
      </c>
      <c r="AN65" s="1607">
        <f t="shared" ca="1" si="173"/>
        <v>0</v>
      </c>
      <c r="AO65" s="1607">
        <f t="shared" ca="1" si="173"/>
        <v>0</v>
      </c>
      <c r="AP65" s="1607">
        <f t="shared" ca="1" si="173"/>
        <v>0</v>
      </c>
      <c r="AQ65" s="1607">
        <f t="shared" ca="1" si="173"/>
        <v>0</v>
      </c>
      <c r="AR65" s="1607">
        <f t="shared" ca="1" si="173"/>
        <v>0</v>
      </c>
      <c r="AS65" s="1607">
        <f t="shared" ca="1" si="173"/>
        <v>0</v>
      </c>
      <c r="AT65" s="1607">
        <f t="shared" ca="1" si="173"/>
        <v>0</v>
      </c>
      <c r="AU65" s="1607">
        <f t="shared" ca="1" si="173"/>
        <v>0</v>
      </c>
      <c r="AV65" s="1607">
        <f t="shared" ca="1" si="171"/>
        <v>0</v>
      </c>
      <c r="AW65" s="1607">
        <f t="shared" ca="1" si="171"/>
        <v>-2.8059966000000006E-2</v>
      </c>
      <c r="AX65" s="1607">
        <f t="shared" ca="1" si="171"/>
        <v>0</v>
      </c>
      <c r="AY65" s="1607">
        <f t="shared" ca="1" si="171"/>
        <v>0</v>
      </c>
      <c r="AZ65" s="1607">
        <f t="shared" ca="1" si="171"/>
        <v>0</v>
      </c>
      <c r="BA65" s="1607">
        <f t="shared" ca="1" si="171"/>
        <v>0</v>
      </c>
      <c r="BB65" s="1607">
        <f t="shared" ca="1" si="171"/>
        <v>0</v>
      </c>
      <c r="BC65" s="1607">
        <f t="shared" ca="1" si="171"/>
        <v>0</v>
      </c>
      <c r="BD65" s="1607">
        <f t="shared" ca="1" si="171"/>
        <v>0</v>
      </c>
      <c r="BE65" s="1607">
        <f t="shared" ca="1" si="171"/>
        <v>0</v>
      </c>
      <c r="BF65" s="979">
        <f ca="1">SUM(AM65:BE65)</f>
        <v>-2.8059966000000006E-2</v>
      </c>
      <c r="BH65" s="1608">
        <f t="shared" ref="BH65:BI67" ca="1" si="174">IFERROR(INDEX(INDIRECT($C65&amp;".Outputs["&amp;this.Year&amp;"]"), MATCH(BH$5, INDIRECT($C65&amp;".Outputs[Vector]"), 0)), 0)</f>
        <v>0</v>
      </c>
      <c r="BI65" s="1608">
        <f t="shared" ca="1" si="174"/>
        <v>0</v>
      </c>
      <c r="BJ65" s="992">
        <f ca="1">SUM(BH65:BI65)</f>
        <v>0</v>
      </c>
      <c r="BL65" s="814">
        <f t="shared" ref="BL65:BL70" ca="1" si="175">Q65+AK65+BF65+BJ65</f>
        <v>0</v>
      </c>
      <c r="BM65" s="814"/>
      <c r="BO65" s="1602">
        <f t="shared" ref="BO65:DF67" ca="1" si="176">IFERROR(SUMIFS(INDIRECT($C65&amp;".Emissions["&amp;this.Year&amp;"]"), INDIRECT($C65&amp;".Emissions[GHG]"), BO$6, INDIRECT($C65&amp;".Emissions[IPCC Sector]"), BO$5),0)</f>
        <v>0</v>
      </c>
      <c r="BP65" s="1602">
        <f t="shared" ca="1" si="176"/>
        <v>0</v>
      </c>
      <c r="BQ65" s="1602">
        <f t="shared" ca="1" si="176"/>
        <v>0</v>
      </c>
      <c r="BR65" s="1602">
        <f t="shared" ca="1" si="176"/>
        <v>0</v>
      </c>
      <c r="BS65" s="1602">
        <f t="shared" ca="1" si="176"/>
        <v>0</v>
      </c>
      <c r="BT65" s="1602">
        <f t="shared" ca="1" si="176"/>
        <v>0</v>
      </c>
      <c r="BU65" s="1602">
        <f t="shared" ca="1" si="176"/>
        <v>0</v>
      </c>
      <c r="BV65" s="1602">
        <f t="shared" ca="1" si="176"/>
        <v>0</v>
      </c>
      <c r="BW65" s="1602">
        <f t="shared" ca="1" si="176"/>
        <v>0</v>
      </c>
      <c r="BX65" s="1602">
        <f t="shared" ca="1" si="176"/>
        <v>0</v>
      </c>
      <c r="BY65" s="1602">
        <f t="shared" ca="1" si="176"/>
        <v>0</v>
      </c>
      <c r="BZ65" s="1602">
        <f t="shared" ca="1" si="176"/>
        <v>0</v>
      </c>
      <c r="CA65" s="1602">
        <f t="shared" ca="1" si="176"/>
        <v>0</v>
      </c>
      <c r="CB65" s="1602">
        <f t="shared" ca="1" si="176"/>
        <v>0</v>
      </c>
      <c r="CC65" s="1602">
        <f t="shared" ca="1" si="176"/>
        <v>0</v>
      </c>
      <c r="CD65" s="1602">
        <f t="shared" ca="1" si="176"/>
        <v>0</v>
      </c>
      <c r="CE65" s="1602">
        <f t="shared" ca="1" si="176"/>
        <v>0</v>
      </c>
      <c r="CF65" s="1602">
        <f t="shared" ca="1" si="176"/>
        <v>0</v>
      </c>
      <c r="CG65" s="1602">
        <f t="shared" ca="1" si="176"/>
        <v>0</v>
      </c>
      <c r="CH65" s="1602">
        <f t="shared" ca="1" si="176"/>
        <v>0</v>
      </c>
      <c r="CI65" s="1602">
        <f t="shared" ca="1" si="176"/>
        <v>0</v>
      </c>
      <c r="CJ65" s="1602">
        <f t="shared" ca="1" si="176"/>
        <v>0</v>
      </c>
      <c r="CK65" s="1602">
        <f t="shared" ca="1" si="176"/>
        <v>0</v>
      </c>
      <c r="CL65" s="1602">
        <f t="shared" ca="1" si="176"/>
        <v>0</v>
      </c>
      <c r="CM65" s="1602">
        <f t="shared" ca="1" si="176"/>
        <v>0</v>
      </c>
      <c r="CN65" s="1602">
        <f t="shared" ca="1" si="176"/>
        <v>0</v>
      </c>
      <c r="CO65" s="1602">
        <f t="shared" ca="1" si="176"/>
        <v>0</v>
      </c>
      <c r="CP65" s="1602">
        <f t="shared" ca="1" si="176"/>
        <v>0</v>
      </c>
      <c r="CQ65" s="1602">
        <f t="shared" ca="1" si="176"/>
        <v>0</v>
      </c>
      <c r="CR65" s="1602">
        <f t="shared" ca="1" si="176"/>
        <v>0</v>
      </c>
      <c r="CS65" s="1602">
        <f t="shared" ca="1" si="176"/>
        <v>0</v>
      </c>
      <c r="CT65" s="1602">
        <f t="shared" ca="1" si="176"/>
        <v>0</v>
      </c>
      <c r="CU65" s="1602">
        <f t="shared" ca="1" si="176"/>
        <v>0</v>
      </c>
      <c r="CV65" s="1602">
        <f t="shared" ca="1" si="176"/>
        <v>0</v>
      </c>
      <c r="CW65" s="1602">
        <f t="shared" ca="1" si="176"/>
        <v>0</v>
      </c>
      <c r="CX65" s="1602">
        <f t="shared" ca="1" si="176"/>
        <v>0</v>
      </c>
      <c r="CY65" s="1602">
        <f t="shared" ca="1" si="176"/>
        <v>0</v>
      </c>
      <c r="CZ65" s="1602">
        <f t="shared" ca="1" si="176"/>
        <v>0</v>
      </c>
      <c r="DA65" s="1602">
        <f t="shared" ca="1" si="176"/>
        <v>0</v>
      </c>
      <c r="DB65" s="1602">
        <f t="shared" ca="1" si="176"/>
        <v>0</v>
      </c>
      <c r="DC65" s="1602">
        <f t="shared" ca="1" si="176"/>
        <v>0</v>
      </c>
      <c r="DD65" s="1602">
        <f t="shared" ca="1" si="176"/>
        <v>0</v>
      </c>
      <c r="DE65" s="1602">
        <f t="shared" ca="1" si="176"/>
        <v>0</v>
      </c>
      <c r="DF65" s="1602">
        <f t="shared" ca="1" si="176"/>
        <v>0</v>
      </c>
      <c r="DH65" s="1603">
        <f t="shared" ca="1" si="123"/>
        <v>0</v>
      </c>
    </row>
    <row r="66" spans="1:112" s="1484" customFormat="1" ht="12.75" hidden="1" customHeight="1" outlineLevel="1">
      <c r="C66" s="746" t="s">
        <v>1329</v>
      </c>
      <c r="D66" s="521" t="str">
        <f>INDEX(Modules[Module], MATCH($C66, Modules[Code], 0))</f>
        <v>Distributed solar thermal</v>
      </c>
      <c r="E66" s="521"/>
      <c r="G66" s="1604">
        <f t="shared" ca="1" si="170"/>
        <v>0</v>
      </c>
      <c r="H66" s="1604">
        <f t="shared" ca="1" si="170"/>
        <v>0</v>
      </c>
      <c r="I66" s="1604">
        <f t="shared" ca="1" si="170"/>
        <v>0</v>
      </c>
      <c r="J66" s="1604">
        <f t="shared" ca="1" si="170"/>
        <v>0</v>
      </c>
      <c r="K66" s="1605">
        <f t="shared" ca="1" si="170"/>
        <v>0</v>
      </c>
      <c r="L66" s="1604">
        <f t="shared" ca="1" si="170"/>
        <v>0</v>
      </c>
      <c r="M66" s="1604">
        <f t="shared" ca="1" si="170"/>
        <v>0</v>
      </c>
      <c r="N66" s="1604">
        <f t="shared" ca="1" si="170"/>
        <v>0</v>
      </c>
      <c r="O66" s="1604">
        <f t="shared" ca="1" si="170"/>
        <v>0</v>
      </c>
      <c r="P66" s="1604">
        <f t="shared" ca="1" si="170"/>
        <v>0</v>
      </c>
      <c r="Q66" s="963">
        <f ca="1">SUM(G66:P66)</f>
        <v>0</v>
      </c>
      <c r="S66" s="1606">
        <f t="shared" ca="1" si="171"/>
        <v>0</v>
      </c>
      <c r="T66" s="1606">
        <f t="shared" ca="1" si="171"/>
        <v>0</v>
      </c>
      <c r="U66" s="1606">
        <f t="shared" ca="1" si="171"/>
        <v>0</v>
      </c>
      <c r="V66" s="1606">
        <f t="shared" ca="1" si="171"/>
        <v>0</v>
      </c>
      <c r="W66" s="1606">
        <f t="shared" ca="1" si="171"/>
        <v>0</v>
      </c>
      <c r="X66" s="1606">
        <f t="shared" ca="1" si="172"/>
        <v>0</v>
      </c>
      <c r="Y66" s="1606">
        <f t="shared" ca="1" si="172"/>
        <v>0</v>
      </c>
      <c r="Z66" s="1606">
        <f t="shared" ca="1" si="172"/>
        <v>0</v>
      </c>
      <c r="AA66" s="1606">
        <f t="shared" ca="1" si="171"/>
        <v>0</v>
      </c>
      <c r="AB66" s="1606">
        <f t="shared" ca="1" si="171"/>
        <v>0</v>
      </c>
      <c r="AC66" s="1606">
        <f t="shared" ca="1" si="171"/>
        <v>0</v>
      </c>
      <c r="AD66" s="1606">
        <f t="shared" ca="1" si="171"/>
        <v>0</v>
      </c>
      <c r="AE66" s="1606">
        <f t="shared" ca="1" si="171"/>
        <v>0</v>
      </c>
      <c r="AF66" s="1606">
        <f t="shared" ca="1" si="171"/>
        <v>0</v>
      </c>
      <c r="AG66" s="1606">
        <f t="shared" ca="1" si="171"/>
        <v>0</v>
      </c>
      <c r="AH66" s="1606">
        <f t="shared" ca="1" si="171"/>
        <v>0</v>
      </c>
      <c r="AI66" s="1606">
        <f t="shared" ca="1" si="171"/>
        <v>0</v>
      </c>
      <c r="AJ66" s="1606">
        <f t="shared" ca="1" si="171"/>
        <v>0</v>
      </c>
      <c r="AK66" s="972">
        <f ca="1">SUM(S66:AJ66)</f>
        <v>0</v>
      </c>
      <c r="AM66" s="1607">
        <f t="shared" ca="1" si="173"/>
        <v>0</v>
      </c>
      <c r="AN66" s="1607">
        <f t="shared" ca="1" si="173"/>
        <v>0</v>
      </c>
      <c r="AO66" s="1607">
        <f t="shared" ca="1" si="173"/>
        <v>0</v>
      </c>
      <c r="AP66" s="1607">
        <f t="shared" ca="1" si="173"/>
        <v>0</v>
      </c>
      <c r="AQ66" s="1607">
        <f t="shared" ca="1" si="173"/>
        <v>0</v>
      </c>
      <c r="AR66" s="1607">
        <f t="shared" ca="1" si="173"/>
        <v>0</v>
      </c>
      <c r="AS66" s="1607">
        <f t="shared" ca="1" si="173"/>
        <v>0</v>
      </c>
      <c r="AT66" s="1607">
        <f t="shared" ca="1" si="173"/>
        <v>0</v>
      </c>
      <c r="AU66" s="1607">
        <f t="shared" ca="1" si="173"/>
        <v>0</v>
      </c>
      <c r="AV66" s="1607">
        <f t="shared" ca="1" si="171"/>
        <v>0</v>
      </c>
      <c r="AW66" s="1607">
        <f t="shared" ca="1" si="171"/>
        <v>0</v>
      </c>
      <c r="AX66" s="1607">
        <f t="shared" ca="1" si="171"/>
        <v>0</v>
      </c>
      <c r="AY66" s="1607">
        <f t="shared" ca="1" si="171"/>
        <v>0</v>
      </c>
      <c r="AZ66" s="1607">
        <f t="shared" ca="1" si="171"/>
        <v>0</v>
      </c>
      <c r="BA66" s="1607">
        <f t="shared" ca="1" si="171"/>
        <v>0</v>
      </c>
      <c r="BB66" s="1607">
        <f t="shared" ca="1" si="171"/>
        <v>0</v>
      </c>
      <c r="BC66" s="1607">
        <f t="shared" ca="1" si="171"/>
        <v>0</v>
      </c>
      <c r="BD66" s="1607">
        <f t="shared" ca="1" si="171"/>
        <v>0</v>
      </c>
      <c r="BE66" s="1607">
        <f t="shared" ca="1" si="171"/>
        <v>0</v>
      </c>
      <c r="BF66" s="979">
        <f ca="1">SUM(AM66:BE66)</f>
        <v>0</v>
      </c>
      <c r="BH66" s="1608">
        <f t="shared" ca="1" si="174"/>
        <v>0</v>
      </c>
      <c r="BI66" s="1608">
        <f t="shared" ca="1" si="174"/>
        <v>0</v>
      </c>
      <c r="BJ66" s="992">
        <f ca="1">SUM(BH66:BI66)</f>
        <v>0</v>
      </c>
      <c r="BL66" s="814">
        <f t="shared" ca="1" si="175"/>
        <v>0</v>
      </c>
      <c r="BM66" s="814"/>
      <c r="BO66" s="1602">
        <f t="shared" ca="1" si="176"/>
        <v>0</v>
      </c>
      <c r="BP66" s="1602">
        <f t="shared" ca="1" si="176"/>
        <v>0</v>
      </c>
      <c r="BQ66" s="1602">
        <f t="shared" ca="1" si="176"/>
        <v>0</v>
      </c>
      <c r="BR66" s="1602">
        <f t="shared" ca="1" si="176"/>
        <v>0</v>
      </c>
      <c r="BS66" s="1602">
        <f t="shared" ca="1" si="176"/>
        <v>0</v>
      </c>
      <c r="BT66" s="1602">
        <f t="shared" ca="1" si="176"/>
        <v>0</v>
      </c>
      <c r="BU66" s="1602">
        <f t="shared" ca="1" si="176"/>
        <v>0</v>
      </c>
      <c r="BV66" s="1602">
        <f t="shared" ca="1" si="176"/>
        <v>0</v>
      </c>
      <c r="BW66" s="1602">
        <f t="shared" ca="1" si="176"/>
        <v>0</v>
      </c>
      <c r="BX66" s="1602">
        <f t="shared" ca="1" si="176"/>
        <v>0</v>
      </c>
      <c r="BY66" s="1602">
        <f t="shared" ca="1" si="176"/>
        <v>0</v>
      </c>
      <c r="BZ66" s="1602">
        <f t="shared" ca="1" si="176"/>
        <v>0</v>
      </c>
      <c r="CA66" s="1602">
        <f t="shared" ca="1" si="176"/>
        <v>0</v>
      </c>
      <c r="CB66" s="1602">
        <f t="shared" ca="1" si="176"/>
        <v>0</v>
      </c>
      <c r="CC66" s="1602">
        <f t="shared" ca="1" si="176"/>
        <v>0</v>
      </c>
      <c r="CD66" s="1602">
        <f t="shared" ca="1" si="176"/>
        <v>0</v>
      </c>
      <c r="CE66" s="1602">
        <f t="shared" ca="1" si="176"/>
        <v>0</v>
      </c>
      <c r="CF66" s="1602">
        <f t="shared" ca="1" si="176"/>
        <v>0</v>
      </c>
      <c r="CG66" s="1602">
        <f t="shared" ca="1" si="176"/>
        <v>0</v>
      </c>
      <c r="CH66" s="1602">
        <f t="shared" ca="1" si="176"/>
        <v>0</v>
      </c>
      <c r="CI66" s="1602">
        <f t="shared" ca="1" si="176"/>
        <v>0</v>
      </c>
      <c r="CJ66" s="1602">
        <f t="shared" ca="1" si="176"/>
        <v>0</v>
      </c>
      <c r="CK66" s="1602">
        <f t="shared" ca="1" si="176"/>
        <v>0</v>
      </c>
      <c r="CL66" s="1602">
        <f t="shared" ca="1" si="176"/>
        <v>0</v>
      </c>
      <c r="CM66" s="1602">
        <f t="shared" ca="1" si="176"/>
        <v>0</v>
      </c>
      <c r="CN66" s="1602">
        <f t="shared" ca="1" si="176"/>
        <v>0</v>
      </c>
      <c r="CO66" s="1602">
        <f t="shared" ca="1" si="176"/>
        <v>0</v>
      </c>
      <c r="CP66" s="1602">
        <f t="shared" ca="1" si="176"/>
        <v>0</v>
      </c>
      <c r="CQ66" s="1602">
        <f t="shared" ca="1" si="176"/>
        <v>0</v>
      </c>
      <c r="CR66" s="1602">
        <f t="shared" ca="1" si="176"/>
        <v>0</v>
      </c>
      <c r="CS66" s="1602">
        <f t="shared" ca="1" si="176"/>
        <v>0</v>
      </c>
      <c r="CT66" s="1602">
        <f t="shared" ca="1" si="176"/>
        <v>0</v>
      </c>
      <c r="CU66" s="1602">
        <f t="shared" ca="1" si="176"/>
        <v>0</v>
      </c>
      <c r="CV66" s="1602">
        <f t="shared" ca="1" si="176"/>
        <v>0</v>
      </c>
      <c r="CW66" s="1602">
        <f t="shared" ca="1" si="176"/>
        <v>0</v>
      </c>
      <c r="CX66" s="1602">
        <f t="shared" ca="1" si="176"/>
        <v>0</v>
      </c>
      <c r="CY66" s="1602">
        <f t="shared" ca="1" si="176"/>
        <v>0</v>
      </c>
      <c r="CZ66" s="1602">
        <f t="shared" ca="1" si="176"/>
        <v>0</v>
      </c>
      <c r="DA66" s="1602">
        <f t="shared" ca="1" si="176"/>
        <v>0</v>
      </c>
      <c r="DB66" s="1602">
        <f t="shared" ca="1" si="176"/>
        <v>0</v>
      </c>
      <c r="DC66" s="1602">
        <f t="shared" ca="1" si="176"/>
        <v>0</v>
      </c>
      <c r="DD66" s="1602">
        <f t="shared" ca="1" si="176"/>
        <v>0</v>
      </c>
      <c r="DE66" s="1602">
        <f t="shared" ca="1" si="176"/>
        <v>0</v>
      </c>
      <c r="DF66" s="1602">
        <f t="shared" ca="1" si="176"/>
        <v>0</v>
      </c>
      <c r="DH66" s="1603">
        <f t="shared" ca="1" si="123"/>
        <v>0</v>
      </c>
    </row>
    <row r="67" spans="1:112" s="1484" customFormat="1" ht="12.75" hidden="1" customHeight="1" outlineLevel="1">
      <c r="C67" s="746" t="s">
        <v>1597</v>
      </c>
      <c r="D67" s="1010" t="str">
        <f>INDEX(Modules[Module], MATCH($C67, Modules[Code], 0))</f>
        <v>Micro wind</v>
      </c>
      <c r="E67" s="1010"/>
      <c r="F67" s="743"/>
      <c r="G67" s="1022">
        <f t="shared" ca="1" si="170"/>
        <v>0</v>
      </c>
      <c r="H67" s="1022">
        <f t="shared" ca="1" si="170"/>
        <v>0</v>
      </c>
      <c r="I67" s="1022">
        <f t="shared" ca="1" si="170"/>
        <v>0</v>
      </c>
      <c r="J67" s="1022">
        <f t="shared" ca="1" si="170"/>
        <v>0</v>
      </c>
      <c r="K67" s="1022">
        <f t="shared" ca="1" si="170"/>
        <v>0</v>
      </c>
      <c r="L67" s="1022">
        <f t="shared" ca="1" si="170"/>
        <v>0</v>
      </c>
      <c r="M67" s="1022">
        <f t="shared" ca="1" si="170"/>
        <v>0</v>
      </c>
      <c r="N67" s="1022">
        <f t="shared" ca="1" si="170"/>
        <v>0</v>
      </c>
      <c r="O67" s="1022">
        <f t="shared" ca="1" si="170"/>
        <v>0</v>
      </c>
      <c r="P67" s="1022">
        <f t="shared" ca="1" si="170"/>
        <v>0</v>
      </c>
      <c r="Q67" s="1020">
        <f ca="1">SUM(G67:P67)</f>
        <v>0</v>
      </c>
      <c r="R67" s="743"/>
      <c r="S67" s="1031">
        <f t="shared" ca="1" si="171"/>
        <v>0</v>
      </c>
      <c r="T67" s="1031">
        <f t="shared" ca="1" si="171"/>
        <v>0</v>
      </c>
      <c r="U67" s="1031">
        <f t="shared" ca="1" si="171"/>
        <v>0</v>
      </c>
      <c r="V67" s="1031">
        <f t="shared" ca="1" si="171"/>
        <v>0</v>
      </c>
      <c r="W67" s="1031">
        <f t="shared" ca="1" si="171"/>
        <v>0</v>
      </c>
      <c r="X67" s="1031">
        <f t="shared" ca="1" si="172"/>
        <v>0</v>
      </c>
      <c r="Y67" s="1031">
        <f t="shared" ca="1" si="172"/>
        <v>0</v>
      </c>
      <c r="Z67" s="1031">
        <f t="shared" ca="1" si="172"/>
        <v>0</v>
      </c>
      <c r="AA67" s="1031">
        <f t="shared" ca="1" si="171"/>
        <v>0</v>
      </c>
      <c r="AB67" s="1031">
        <f t="shared" ca="1" si="171"/>
        <v>0</v>
      </c>
      <c r="AC67" s="1031">
        <f t="shared" ca="1" si="171"/>
        <v>0</v>
      </c>
      <c r="AD67" s="1031">
        <f t="shared" ca="1" si="171"/>
        <v>0</v>
      </c>
      <c r="AE67" s="1031">
        <f t="shared" ca="1" si="171"/>
        <v>0</v>
      </c>
      <c r="AF67" s="1031">
        <f t="shared" ca="1" si="171"/>
        <v>0</v>
      </c>
      <c r="AG67" s="1031">
        <f t="shared" ca="1" si="171"/>
        <v>0</v>
      </c>
      <c r="AH67" s="1031">
        <f t="shared" ca="1" si="171"/>
        <v>0</v>
      </c>
      <c r="AI67" s="1031">
        <f t="shared" ca="1" si="171"/>
        <v>0</v>
      </c>
      <c r="AJ67" s="1031">
        <f t="shared" ca="1" si="171"/>
        <v>0</v>
      </c>
      <c r="AK67" s="1030">
        <f ca="1">SUM(S67:AJ67)</f>
        <v>0</v>
      </c>
      <c r="AL67" s="743"/>
      <c r="AM67" s="1042">
        <f t="shared" ca="1" si="173"/>
        <v>0</v>
      </c>
      <c r="AN67" s="1042">
        <f t="shared" ca="1" si="173"/>
        <v>0</v>
      </c>
      <c r="AO67" s="1042">
        <f t="shared" ca="1" si="173"/>
        <v>0</v>
      </c>
      <c r="AP67" s="1042">
        <f t="shared" ca="1" si="173"/>
        <v>0</v>
      </c>
      <c r="AQ67" s="1042">
        <f t="shared" ca="1" si="173"/>
        <v>0</v>
      </c>
      <c r="AR67" s="1042">
        <f t="shared" ca="1" si="173"/>
        <v>0</v>
      </c>
      <c r="AS67" s="1042">
        <f t="shared" ca="1" si="173"/>
        <v>0</v>
      </c>
      <c r="AT67" s="1042">
        <f t="shared" ca="1" si="173"/>
        <v>0</v>
      </c>
      <c r="AU67" s="1042">
        <f t="shared" ca="1" si="173"/>
        <v>0</v>
      </c>
      <c r="AV67" s="1042">
        <f t="shared" ca="1" si="171"/>
        <v>0</v>
      </c>
      <c r="AW67" s="1042">
        <f t="shared" ca="1" si="171"/>
        <v>0</v>
      </c>
      <c r="AX67" s="1042">
        <f t="shared" ca="1" si="171"/>
        <v>0</v>
      </c>
      <c r="AY67" s="1042">
        <f t="shared" ca="1" si="171"/>
        <v>0</v>
      </c>
      <c r="AZ67" s="1042">
        <f t="shared" ca="1" si="171"/>
        <v>0</v>
      </c>
      <c r="BA67" s="1042">
        <f t="shared" ca="1" si="171"/>
        <v>0</v>
      </c>
      <c r="BB67" s="1042">
        <f t="shared" ca="1" si="171"/>
        <v>0</v>
      </c>
      <c r="BC67" s="1042">
        <f t="shared" ca="1" si="171"/>
        <v>0</v>
      </c>
      <c r="BD67" s="1042">
        <f t="shared" ca="1" si="171"/>
        <v>0</v>
      </c>
      <c r="BE67" s="1042">
        <f t="shared" ca="1" si="171"/>
        <v>0</v>
      </c>
      <c r="BF67" s="1012">
        <f ca="1">SUM(AM67:BE67)</f>
        <v>0</v>
      </c>
      <c r="BG67" s="743"/>
      <c r="BH67" s="1036">
        <f t="shared" ca="1" si="174"/>
        <v>0</v>
      </c>
      <c r="BI67" s="1036">
        <f t="shared" ca="1" si="174"/>
        <v>0</v>
      </c>
      <c r="BJ67" s="1035">
        <f ca="1">SUM(BH67:BI67)</f>
        <v>0</v>
      </c>
      <c r="BK67" s="743"/>
      <c r="BL67" s="814">
        <f t="shared" ca="1" si="175"/>
        <v>0</v>
      </c>
      <c r="BM67" s="814"/>
      <c r="BN67" s="840"/>
      <c r="BO67" s="1485">
        <f t="shared" ca="1" si="176"/>
        <v>0</v>
      </c>
      <c r="BP67" s="1486">
        <f t="shared" ca="1" si="176"/>
        <v>0</v>
      </c>
      <c r="BQ67" s="1486">
        <f t="shared" ca="1" si="176"/>
        <v>0</v>
      </c>
      <c r="BR67" s="1486">
        <f t="shared" ca="1" si="176"/>
        <v>0</v>
      </c>
      <c r="BS67" s="1486">
        <f t="shared" ca="1" si="176"/>
        <v>0</v>
      </c>
      <c r="BT67" s="1486">
        <f t="shared" ca="1" si="176"/>
        <v>0</v>
      </c>
      <c r="BU67" s="1486">
        <f t="shared" ca="1" si="176"/>
        <v>0</v>
      </c>
      <c r="BV67" s="1486">
        <f t="shared" ca="1" si="176"/>
        <v>0</v>
      </c>
      <c r="BW67" s="1486">
        <f t="shared" ca="1" si="176"/>
        <v>0</v>
      </c>
      <c r="BX67" s="1486">
        <f t="shared" ca="1" si="176"/>
        <v>0</v>
      </c>
      <c r="BY67" s="1486">
        <f t="shared" ca="1" si="176"/>
        <v>0</v>
      </c>
      <c r="BZ67" s="1486">
        <f t="shared" ca="1" si="176"/>
        <v>0</v>
      </c>
      <c r="CA67" s="1486">
        <f t="shared" ca="1" si="176"/>
        <v>0</v>
      </c>
      <c r="CB67" s="1486">
        <f t="shared" ca="1" si="176"/>
        <v>0</v>
      </c>
      <c r="CC67" s="1486">
        <f t="shared" ca="1" si="176"/>
        <v>0</v>
      </c>
      <c r="CD67" s="1486">
        <f t="shared" ca="1" si="176"/>
        <v>0</v>
      </c>
      <c r="CE67" s="1486">
        <f t="shared" ca="1" si="176"/>
        <v>0</v>
      </c>
      <c r="CF67" s="1486">
        <f t="shared" ca="1" si="176"/>
        <v>0</v>
      </c>
      <c r="CG67" s="1486">
        <f t="shared" ca="1" si="176"/>
        <v>0</v>
      </c>
      <c r="CH67" s="1486">
        <f t="shared" ca="1" si="176"/>
        <v>0</v>
      </c>
      <c r="CI67" s="1486">
        <f t="shared" ca="1" si="176"/>
        <v>0</v>
      </c>
      <c r="CJ67" s="1486">
        <f t="shared" ca="1" si="176"/>
        <v>0</v>
      </c>
      <c r="CK67" s="1486">
        <f t="shared" ca="1" si="176"/>
        <v>0</v>
      </c>
      <c r="CL67" s="1486">
        <f t="shared" ca="1" si="176"/>
        <v>0</v>
      </c>
      <c r="CM67" s="1486">
        <f t="shared" ca="1" si="176"/>
        <v>0</v>
      </c>
      <c r="CN67" s="1486">
        <f t="shared" ca="1" si="176"/>
        <v>0</v>
      </c>
      <c r="CO67" s="1486">
        <f t="shared" ca="1" si="176"/>
        <v>0</v>
      </c>
      <c r="CP67" s="1486">
        <f t="shared" ca="1" si="176"/>
        <v>0</v>
      </c>
      <c r="CQ67" s="1486">
        <f t="shared" ca="1" si="176"/>
        <v>0</v>
      </c>
      <c r="CR67" s="1486">
        <f t="shared" ca="1" si="176"/>
        <v>0</v>
      </c>
      <c r="CS67" s="1486">
        <f t="shared" ca="1" si="176"/>
        <v>0</v>
      </c>
      <c r="CT67" s="1486">
        <f t="shared" ca="1" si="176"/>
        <v>0</v>
      </c>
      <c r="CU67" s="1486">
        <f t="shared" ca="1" si="176"/>
        <v>0</v>
      </c>
      <c r="CV67" s="1486">
        <f t="shared" ca="1" si="176"/>
        <v>0</v>
      </c>
      <c r="CW67" s="1486">
        <f t="shared" ca="1" si="176"/>
        <v>0</v>
      </c>
      <c r="CX67" s="1486">
        <f t="shared" ca="1" si="176"/>
        <v>0</v>
      </c>
      <c r="CY67" s="1486">
        <f t="shared" ca="1" si="176"/>
        <v>0</v>
      </c>
      <c r="CZ67" s="1486">
        <f t="shared" ca="1" si="176"/>
        <v>0</v>
      </c>
      <c r="DA67" s="1486">
        <f t="shared" ca="1" si="176"/>
        <v>0</v>
      </c>
      <c r="DB67" s="1486">
        <f t="shared" ca="1" si="176"/>
        <v>0</v>
      </c>
      <c r="DC67" s="1486">
        <f t="shared" ca="1" si="176"/>
        <v>0</v>
      </c>
      <c r="DD67" s="1486">
        <f t="shared" ca="1" si="176"/>
        <v>0</v>
      </c>
      <c r="DE67" s="1486">
        <f t="shared" ca="1" si="176"/>
        <v>0</v>
      </c>
      <c r="DF67" s="1486">
        <f t="shared" ca="1" si="176"/>
        <v>0</v>
      </c>
      <c r="DH67" s="838">
        <f t="shared" ca="1" si="123"/>
        <v>0</v>
      </c>
    </row>
    <row r="68" spans="1:112" s="743" customFormat="1" ht="15.75" collapsed="1">
      <c r="A68" s="22"/>
      <c r="B68" s="753"/>
      <c r="C68" s="744" t="s">
        <v>77</v>
      </c>
      <c r="D68" s="517" t="str">
        <f>INDEX(Workstreams[Workstream], MATCH($C68, Workstreams[Code], 0))</f>
        <v>Distributed renewable power generation</v>
      </c>
      <c r="E68" s="512"/>
      <c r="G68" s="1021">
        <f ca="1">SUM(G65:G67)</f>
        <v>0</v>
      </c>
      <c r="H68" s="1021">
        <f t="shared" ref="H68:P68" ca="1" si="177">SUM(H65:H67)</f>
        <v>0</v>
      </c>
      <c r="I68" s="1021">
        <f t="shared" ca="1" si="177"/>
        <v>0</v>
      </c>
      <c r="J68" s="1021">
        <f t="shared" ca="1" si="177"/>
        <v>0</v>
      </c>
      <c r="K68" s="1021">
        <f t="shared" ca="1" si="177"/>
        <v>0</v>
      </c>
      <c r="L68" s="1021">
        <f t="shared" ca="1" si="177"/>
        <v>0</v>
      </c>
      <c r="M68" s="1021">
        <f t="shared" ca="1" si="177"/>
        <v>0</v>
      </c>
      <c r="N68" s="1021">
        <f t="shared" ca="1" si="177"/>
        <v>0</v>
      </c>
      <c r="O68" s="1021">
        <f t="shared" ca="1" si="177"/>
        <v>0</v>
      </c>
      <c r="P68" s="1021">
        <f t="shared" ca="1" si="177"/>
        <v>0</v>
      </c>
      <c r="Q68" s="1021">
        <f ca="1">SUM(G68:P68)</f>
        <v>0</v>
      </c>
      <c r="S68" s="970">
        <f t="shared" ref="S68:AJ68" ca="1" si="178">SUM(S65:S67)</f>
        <v>0</v>
      </c>
      <c r="T68" s="970">
        <f t="shared" ca="1" si="178"/>
        <v>2.8059966000000006E-2</v>
      </c>
      <c r="U68" s="970">
        <f t="shared" ca="1" si="178"/>
        <v>0</v>
      </c>
      <c r="V68" s="970">
        <f t="shared" ca="1" si="178"/>
        <v>0</v>
      </c>
      <c r="W68" s="970">
        <f t="shared" ca="1" si="178"/>
        <v>0</v>
      </c>
      <c r="X68" s="970">
        <f t="shared" ca="1" si="178"/>
        <v>0</v>
      </c>
      <c r="Y68" s="970">
        <f t="shared" ca="1" si="178"/>
        <v>0</v>
      </c>
      <c r="Z68" s="970">
        <f t="shared" ca="1" si="178"/>
        <v>0</v>
      </c>
      <c r="AA68" s="970">
        <f t="shared" ca="1" si="178"/>
        <v>0</v>
      </c>
      <c r="AB68" s="970">
        <f t="shared" ca="1" si="178"/>
        <v>0</v>
      </c>
      <c r="AC68" s="970">
        <f t="shared" ca="1" si="178"/>
        <v>0</v>
      </c>
      <c r="AD68" s="970">
        <f t="shared" ca="1" si="178"/>
        <v>0</v>
      </c>
      <c r="AE68" s="970">
        <f ca="1">SUM(AE65:AE67)</f>
        <v>0</v>
      </c>
      <c r="AF68" s="970">
        <f t="shared" ca="1" si="178"/>
        <v>0</v>
      </c>
      <c r="AG68" s="970">
        <f t="shared" ca="1" si="178"/>
        <v>0</v>
      </c>
      <c r="AH68" s="970">
        <f ca="1">SUM(AH65:AH67)</f>
        <v>0</v>
      </c>
      <c r="AI68" s="970">
        <f t="shared" ca="1" si="178"/>
        <v>0</v>
      </c>
      <c r="AJ68" s="970">
        <f t="shared" ca="1" si="178"/>
        <v>0</v>
      </c>
      <c r="AK68" s="970">
        <f ca="1">SUM(S68:AJ68)</f>
        <v>2.8059966000000006E-2</v>
      </c>
      <c r="AM68" s="976">
        <f t="shared" ref="AM68:BE68" ca="1" si="179">SUM(AM65:AM67)</f>
        <v>0</v>
      </c>
      <c r="AN68" s="976">
        <f t="shared" ca="1" si="179"/>
        <v>0</v>
      </c>
      <c r="AO68" s="976">
        <f t="shared" ca="1" si="179"/>
        <v>0</v>
      </c>
      <c r="AP68" s="976">
        <f t="shared" ca="1" si="179"/>
        <v>0</v>
      </c>
      <c r="AQ68" s="976">
        <f t="shared" ca="1" si="179"/>
        <v>0</v>
      </c>
      <c r="AR68" s="976">
        <f t="shared" ca="1" si="179"/>
        <v>0</v>
      </c>
      <c r="AS68" s="976">
        <f t="shared" ca="1" si="179"/>
        <v>0</v>
      </c>
      <c r="AT68" s="976">
        <f t="shared" ca="1" si="179"/>
        <v>0</v>
      </c>
      <c r="AU68" s="976">
        <f t="shared" ca="1" si="179"/>
        <v>0</v>
      </c>
      <c r="AV68" s="976">
        <f t="shared" ca="1" si="179"/>
        <v>0</v>
      </c>
      <c r="AW68" s="976">
        <f t="shared" ca="1" si="179"/>
        <v>-2.8059966000000006E-2</v>
      </c>
      <c r="AX68" s="976">
        <f t="shared" ca="1" si="179"/>
        <v>0</v>
      </c>
      <c r="AY68" s="976">
        <f t="shared" ca="1" si="179"/>
        <v>0</v>
      </c>
      <c r="AZ68" s="976">
        <f t="shared" ca="1" si="179"/>
        <v>0</v>
      </c>
      <c r="BA68" s="976">
        <f t="shared" ca="1" si="179"/>
        <v>0</v>
      </c>
      <c r="BB68" s="976">
        <f t="shared" ca="1" si="179"/>
        <v>0</v>
      </c>
      <c r="BC68" s="976">
        <f t="shared" ca="1" si="179"/>
        <v>0</v>
      </c>
      <c r="BD68" s="976">
        <f t="shared" ca="1" si="179"/>
        <v>0</v>
      </c>
      <c r="BE68" s="976">
        <f t="shared" ca="1" si="179"/>
        <v>0</v>
      </c>
      <c r="BF68" s="976">
        <f ca="1">SUM(AM68:BE68)</f>
        <v>-2.8059966000000006E-2</v>
      </c>
      <c r="BH68" s="990">
        <f ca="1">SUM(BH65:BH67)</f>
        <v>0</v>
      </c>
      <c r="BI68" s="990">
        <f ca="1">SUM(BI65:BI67)</f>
        <v>0</v>
      </c>
      <c r="BJ68" s="990">
        <f ca="1">SUM(BH68:BI68)</f>
        <v>0</v>
      </c>
      <c r="BL68" s="515">
        <f t="shared" ca="1" si="175"/>
        <v>0</v>
      </c>
      <c r="BM68" s="515"/>
      <c r="BN68" s="840"/>
      <c r="BO68" s="1482">
        <f ca="1">SUM(BO65:BO67)</f>
        <v>0</v>
      </c>
      <c r="BP68" s="1482">
        <f t="shared" ref="BP68:DF68" ca="1" si="180">SUM(BP65:BP67)</f>
        <v>0</v>
      </c>
      <c r="BQ68" s="1482">
        <f t="shared" ca="1" si="180"/>
        <v>0</v>
      </c>
      <c r="BR68" s="1482">
        <f t="shared" ca="1" si="180"/>
        <v>0</v>
      </c>
      <c r="BS68" s="1482">
        <f t="shared" ca="1" si="180"/>
        <v>0</v>
      </c>
      <c r="BT68" s="1482">
        <f t="shared" ca="1" si="180"/>
        <v>0</v>
      </c>
      <c r="BU68" s="1482">
        <f t="shared" ca="1" si="180"/>
        <v>0</v>
      </c>
      <c r="BV68" s="1482">
        <f t="shared" ca="1" si="180"/>
        <v>0</v>
      </c>
      <c r="BW68" s="1482">
        <f t="shared" ca="1" si="180"/>
        <v>0</v>
      </c>
      <c r="BX68" s="1482">
        <f t="shared" ca="1" si="180"/>
        <v>0</v>
      </c>
      <c r="BY68" s="1482">
        <f t="shared" ca="1" si="180"/>
        <v>0</v>
      </c>
      <c r="BZ68" s="1482">
        <f t="shared" ca="1" si="180"/>
        <v>0</v>
      </c>
      <c r="CA68" s="1482">
        <f t="shared" ca="1" si="180"/>
        <v>0</v>
      </c>
      <c r="CB68" s="1482">
        <f t="shared" ca="1" si="180"/>
        <v>0</v>
      </c>
      <c r="CC68" s="1482">
        <f t="shared" ca="1" si="180"/>
        <v>0</v>
      </c>
      <c r="CD68" s="1482">
        <f t="shared" ca="1" si="180"/>
        <v>0</v>
      </c>
      <c r="CE68" s="1482">
        <f t="shared" ca="1" si="180"/>
        <v>0</v>
      </c>
      <c r="CF68" s="1482">
        <f t="shared" ca="1" si="180"/>
        <v>0</v>
      </c>
      <c r="CG68" s="1482">
        <f t="shared" ca="1" si="180"/>
        <v>0</v>
      </c>
      <c r="CH68" s="1482">
        <f t="shared" ca="1" si="180"/>
        <v>0</v>
      </c>
      <c r="CI68" s="1482">
        <f t="shared" ca="1" si="180"/>
        <v>0</v>
      </c>
      <c r="CJ68" s="1482">
        <f t="shared" ca="1" si="180"/>
        <v>0</v>
      </c>
      <c r="CK68" s="1482">
        <f t="shared" ca="1" si="180"/>
        <v>0</v>
      </c>
      <c r="CL68" s="1482">
        <f t="shared" ca="1" si="180"/>
        <v>0</v>
      </c>
      <c r="CM68" s="1482">
        <f t="shared" ca="1" si="180"/>
        <v>0</v>
      </c>
      <c r="CN68" s="1482">
        <f t="shared" ca="1" si="180"/>
        <v>0</v>
      </c>
      <c r="CO68" s="1482">
        <f t="shared" ca="1" si="180"/>
        <v>0</v>
      </c>
      <c r="CP68" s="1482">
        <f t="shared" ca="1" si="180"/>
        <v>0</v>
      </c>
      <c r="CQ68" s="1482">
        <f t="shared" ca="1" si="180"/>
        <v>0</v>
      </c>
      <c r="CR68" s="1482">
        <f t="shared" ca="1" si="180"/>
        <v>0</v>
      </c>
      <c r="CS68" s="1482">
        <f t="shared" ca="1" si="180"/>
        <v>0</v>
      </c>
      <c r="CT68" s="1482">
        <f t="shared" ca="1" si="180"/>
        <v>0</v>
      </c>
      <c r="CU68" s="1482">
        <f t="shared" ca="1" si="180"/>
        <v>0</v>
      </c>
      <c r="CV68" s="1482">
        <f t="shared" ca="1" si="180"/>
        <v>0</v>
      </c>
      <c r="CW68" s="1482">
        <f t="shared" ca="1" si="180"/>
        <v>0</v>
      </c>
      <c r="CX68" s="1482">
        <f t="shared" ca="1" si="180"/>
        <v>0</v>
      </c>
      <c r="CY68" s="1482">
        <f t="shared" ca="1" si="180"/>
        <v>0</v>
      </c>
      <c r="CZ68" s="1482">
        <f t="shared" ca="1" si="180"/>
        <v>0</v>
      </c>
      <c r="DA68" s="1482">
        <f t="shared" ca="1" si="180"/>
        <v>0</v>
      </c>
      <c r="DB68" s="1482">
        <f t="shared" ca="1" si="180"/>
        <v>0</v>
      </c>
      <c r="DC68" s="1482">
        <f t="shared" ca="1" si="180"/>
        <v>0</v>
      </c>
      <c r="DD68" s="1482">
        <f t="shared" ca="1" si="180"/>
        <v>0</v>
      </c>
      <c r="DE68" s="1482">
        <f t="shared" ca="1" si="180"/>
        <v>0</v>
      </c>
      <c r="DF68" s="1482">
        <f t="shared" ca="1" si="180"/>
        <v>0</v>
      </c>
      <c r="DH68" s="838">
        <f t="shared" ca="1" si="123"/>
        <v>0</v>
      </c>
    </row>
    <row r="69" spans="1:112" s="743" customFormat="1" ht="12.75" hidden="1" customHeight="1" outlineLevel="1">
      <c r="A69" s="22"/>
      <c r="B69" s="22"/>
      <c r="C69" s="751"/>
      <c r="D69" s="512"/>
      <c r="E69" s="512"/>
      <c r="G69" s="958"/>
      <c r="H69" s="958"/>
      <c r="I69" s="958"/>
      <c r="J69" s="958"/>
      <c r="K69" s="960"/>
      <c r="L69" s="958"/>
      <c r="M69" s="958"/>
      <c r="N69" s="958"/>
      <c r="O69" s="958"/>
      <c r="P69" s="958"/>
      <c r="Q69" s="958"/>
      <c r="S69" s="970"/>
      <c r="T69" s="970"/>
      <c r="U69" s="970"/>
      <c r="V69" s="970"/>
      <c r="W69" s="970"/>
      <c r="X69" s="970"/>
      <c r="Y69" s="970"/>
      <c r="Z69" s="970"/>
      <c r="AA69" s="970"/>
      <c r="AB69" s="970"/>
      <c r="AC69" s="970"/>
      <c r="AD69" s="970"/>
      <c r="AE69" s="970"/>
      <c r="AF69" s="970"/>
      <c r="AG69" s="970"/>
      <c r="AH69" s="970"/>
      <c r="AI69" s="970"/>
      <c r="AJ69" s="970"/>
      <c r="AK69" s="970"/>
      <c r="AM69" s="976"/>
      <c r="AN69" s="976"/>
      <c r="AO69" s="976"/>
      <c r="AP69" s="976"/>
      <c r="AQ69" s="976"/>
      <c r="AR69" s="976"/>
      <c r="AS69" s="976"/>
      <c r="AT69" s="976"/>
      <c r="AU69" s="976"/>
      <c r="AV69" s="976"/>
      <c r="AW69" s="976"/>
      <c r="AX69" s="976"/>
      <c r="AY69" s="976"/>
      <c r="AZ69" s="976"/>
      <c r="BA69" s="976"/>
      <c r="BB69" s="976"/>
      <c r="BC69" s="976"/>
      <c r="BD69" s="976"/>
      <c r="BE69" s="976"/>
      <c r="BF69" s="976"/>
      <c r="BH69" s="990"/>
      <c r="BI69" s="990"/>
      <c r="BJ69" s="990"/>
      <c r="BL69" s="515">
        <f t="shared" si="175"/>
        <v>0</v>
      </c>
      <c r="BM69" s="515"/>
      <c r="BN69" s="22"/>
      <c r="BO69" s="1482"/>
      <c r="BP69" s="1482"/>
      <c r="BQ69" s="1482"/>
      <c r="BR69" s="1482"/>
      <c r="BS69" s="1482"/>
      <c r="BT69" s="1482"/>
      <c r="BU69" s="1482"/>
      <c r="BV69" s="1482"/>
      <c r="BW69" s="1482"/>
      <c r="BX69" s="1482"/>
      <c r="BY69" s="1482"/>
      <c r="BZ69" s="1482"/>
      <c r="CA69" s="1482"/>
      <c r="CB69" s="1482"/>
      <c r="CC69" s="1482"/>
      <c r="CD69" s="1482"/>
      <c r="CE69" s="1482"/>
      <c r="CF69" s="1482"/>
      <c r="CG69" s="1482"/>
      <c r="CH69" s="1482"/>
      <c r="CI69" s="1482"/>
      <c r="CJ69" s="1482"/>
      <c r="CK69" s="1482"/>
      <c r="CL69" s="1482"/>
      <c r="CM69" s="1482"/>
      <c r="CN69" s="1482"/>
      <c r="CO69" s="1482"/>
      <c r="CP69" s="1482"/>
      <c r="CQ69" s="1482"/>
      <c r="CR69" s="1482"/>
      <c r="CS69" s="1482"/>
      <c r="CT69" s="1482"/>
      <c r="CU69" s="1482"/>
      <c r="CV69" s="1482"/>
      <c r="CW69" s="1482"/>
      <c r="CX69" s="1482"/>
      <c r="CY69" s="1482"/>
      <c r="CZ69" s="1482"/>
      <c r="DA69" s="1482"/>
      <c r="DB69" s="1482"/>
      <c r="DC69" s="1482"/>
      <c r="DD69" s="1482"/>
      <c r="DE69" s="1482"/>
      <c r="DF69" s="1482"/>
      <c r="DH69" s="838">
        <f t="shared" si="123"/>
        <v>0</v>
      </c>
    </row>
    <row r="70" spans="1:112" s="1491" customFormat="1" ht="12.75" hidden="1" customHeight="1" outlineLevel="1">
      <c r="C70" s="1534" t="s">
        <v>1718</v>
      </c>
      <c r="D70" s="1535" t="s">
        <v>1340</v>
      </c>
      <c r="E70" s="1535"/>
      <c r="F70" s="1957"/>
      <c r="G70" s="1070"/>
      <c r="H70" s="1070"/>
      <c r="I70" s="1070"/>
      <c r="J70" s="1070"/>
      <c r="K70" s="1071"/>
      <c r="L70" s="1070"/>
      <c r="M70" s="1070"/>
      <c r="N70" s="1070"/>
      <c r="O70" s="1070"/>
      <c r="P70" s="1070"/>
      <c r="Q70" s="1070"/>
      <c r="R70" s="1957"/>
      <c r="S70" s="1072"/>
      <c r="T70" s="1072"/>
      <c r="U70" s="1072"/>
      <c r="V70" s="1072"/>
      <c r="W70" s="1072"/>
      <c r="X70" s="1072"/>
      <c r="Y70" s="1072"/>
      <c r="Z70" s="1072"/>
      <c r="AA70" s="1072"/>
      <c r="AB70" s="1072">
        <f ca="1">AB$40+AB$46+AB$51+AB$99+AB$55+AB$63+AB$68</f>
        <v>-8.8197200023558597</v>
      </c>
      <c r="AC70" s="1072"/>
      <c r="AD70" s="1072"/>
      <c r="AE70" s="1072"/>
      <c r="AF70" s="1072"/>
      <c r="AG70" s="1072"/>
      <c r="AH70" s="1072"/>
      <c r="AI70" s="1072"/>
      <c r="AJ70" s="1072"/>
      <c r="AK70" s="1072"/>
      <c r="AL70" s="1957"/>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957"/>
      <c r="BH70" s="1074"/>
      <c r="BI70" s="1074"/>
      <c r="BJ70" s="1074">
        <f>SUM(BH70:BI70)</f>
        <v>0</v>
      </c>
      <c r="BK70" s="1957"/>
      <c r="BL70" s="1536">
        <f t="shared" si="175"/>
        <v>0</v>
      </c>
      <c r="BM70" s="1536"/>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1963"/>
      <c r="CO70" s="1963"/>
      <c r="CP70" s="1963"/>
      <c r="CQ70" s="1963"/>
      <c r="CR70" s="1963"/>
      <c r="CS70" s="1963"/>
      <c r="CT70" s="1963"/>
      <c r="CU70" s="1963"/>
      <c r="CV70" s="1963"/>
      <c r="CW70" s="1963"/>
      <c r="CX70" s="1963"/>
      <c r="CY70" s="1963"/>
      <c r="CZ70" s="1963"/>
      <c r="DA70" s="1963"/>
      <c r="DB70" s="1963"/>
      <c r="DC70" s="1963"/>
      <c r="DD70" s="1963"/>
      <c r="DE70" s="1963"/>
      <c r="DF70" s="1963"/>
      <c r="DH70" s="1962">
        <f t="shared" si="123"/>
        <v>0</v>
      </c>
    </row>
    <row r="71" spans="1:112" s="1484" customFormat="1" ht="12.75" hidden="1" customHeight="1" outlineLevel="1">
      <c r="C71" s="746" t="s">
        <v>1338</v>
      </c>
      <c r="D71" s="1010" t="str">
        <f>INDEX(Modules[Module], MATCH($C71, Modules[Code], 0))</f>
        <v>District heating effective demand</v>
      </c>
      <c r="E71" s="1010"/>
      <c r="F71" s="743"/>
      <c r="G71" s="1022">
        <f t="shared" ref="G71:P71" ca="1" si="181">IFERROR(INDEX(INDIRECT($C71&amp;".Outputs["&amp;this.Year&amp;"]"), MATCH(G$5, INDIRECT($C71&amp;".Outputs[Vector]"), 0)), 0)</f>
        <v>0</v>
      </c>
      <c r="H71" s="1022">
        <f t="shared" ca="1" si="181"/>
        <v>0</v>
      </c>
      <c r="I71" s="1022">
        <f t="shared" ca="1" si="181"/>
        <v>0</v>
      </c>
      <c r="J71" s="1022">
        <f t="shared" ca="1" si="181"/>
        <v>0</v>
      </c>
      <c r="K71" s="1022">
        <f t="shared" ca="1" si="181"/>
        <v>0</v>
      </c>
      <c r="L71" s="1022">
        <f t="shared" ca="1" si="181"/>
        <v>0</v>
      </c>
      <c r="M71" s="1022">
        <f t="shared" ca="1" si="181"/>
        <v>0</v>
      </c>
      <c r="N71" s="1022">
        <f t="shared" ca="1" si="181"/>
        <v>0</v>
      </c>
      <c r="O71" s="1022">
        <f t="shared" ca="1" si="181"/>
        <v>0</v>
      </c>
      <c r="P71" s="1022">
        <f t="shared" ca="1" si="181"/>
        <v>0</v>
      </c>
      <c r="Q71" s="1020">
        <f ca="1">SUM(G71:P71)</f>
        <v>0</v>
      </c>
      <c r="R71" s="743"/>
      <c r="S71" s="1031">
        <f t="shared" ref="S71:BE71" ca="1" si="182">IFERROR(INDEX(INDIRECT($C71&amp;".Outputs["&amp;this.Year&amp;"]"), MATCH(S$5, INDIRECT($C71&amp;".Outputs[Vector]"), 0)), 0)</f>
        <v>0</v>
      </c>
      <c r="T71" s="1031">
        <f t="shared" ca="1" si="182"/>
        <v>-1.2599600003365514</v>
      </c>
      <c r="U71" s="1031">
        <f t="shared" ca="1" si="182"/>
        <v>0</v>
      </c>
      <c r="V71" s="1031">
        <f t="shared" ca="1" si="182"/>
        <v>0</v>
      </c>
      <c r="W71" s="1031">
        <f t="shared" ca="1" si="182"/>
        <v>0</v>
      </c>
      <c r="X71" s="1031">
        <f ca="1">IFERROR(INDEX(INDIRECT($C71&amp;".Outputs["&amp;this.Year&amp;"]"), MATCH(X$5, INDIRECT($C71&amp;".Outputs[Vector]"), 0)), 0)</f>
        <v>0</v>
      </c>
      <c r="Y71" s="1031">
        <f ca="1">IFERROR(INDEX(INDIRECT($C71&amp;".Outputs["&amp;this.Year&amp;"]"), MATCH(Y$5, INDIRECT($C71&amp;".Outputs[Vector]"), 0)), 0)</f>
        <v>0</v>
      </c>
      <c r="Z71" s="1031">
        <f ca="1">IFERROR(INDEX(INDIRECT($C71&amp;".Outputs["&amp;this.Year&amp;"]"), MATCH(Z$5, INDIRECT($C71&amp;".Outputs[Vector]"), 0)), 0)</f>
        <v>0</v>
      </c>
      <c r="AA71" s="1031">
        <f t="shared" ca="1" si="182"/>
        <v>0</v>
      </c>
      <c r="AB71" s="1031">
        <f t="shared" ca="1" si="182"/>
        <v>8.8197200023558597</v>
      </c>
      <c r="AC71" s="1031">
        <f t="shared" ca="1" si="182"/>
        <v>0</v>
      </c>
      <c r="AD71" s="1031">
        <f t="shared" ca="1" si="182"/>
        <v>0</v>
      </c>
      <c r="AE71" s="1031">
        <f t="shared" ca="1" si="182"/>
        <v>0</v>
      </c>
      <c r="AF71" s="1031">
        <f t="shared" ca="1" si="182"/>
        <v>0</v>
      </c>
      <c r="AG71" s="1031">
        <f t="shared" ca="1" si="182"/>
        <v>0</v>
      </c>
      <c r="AH71" s="1031">
        <f t="shared" ca="1" si="182"/>
        <v>0</v>
      </c>
      <c r="AI71" s="1031">
        <f t="shared" ca="1" si="182"/>
        <v>0</v>
      </c>
      <c r="AJ71" s="1031">
        <f t="shared" ca="1" si="182"/>
        <v>0</v>
      </c>
      <c r="AK71" s="1030">
        <f ca="1">SUM(S71:AJ71)</f>
        <v>7.5597600020193081</v>
      </c>
      <c r="AL71" s="743"/>
      <c r="AM71" s="1042">
        <f t="shared" ref="AM71:AU71" ca="1" si="183">IFERROR(INDEX(INDIRECT($C71&amp;".Outputs["&amp;this.Year&amp;"]"), MATCH(AM$5, INDIRECT($C71&amp;".Outputs[Vector]"), 0)), 0)</f>
        <v>0</v>
      </c>
      <c r="AN71" s="1042">
        <f t="shared" ca="1" si="183"/>
        <v>0</v>
      </c>
      <c r="AO71" s="1042">
        <f t="shared" ca="1" si="183"/>
        <v>0</v>
      </c>
      <c r="AP71" s="1042">
        <f t="shared" ca="1" si="183"/>
        <v>0</v>
      </c>
      <c r="AQ71" s="1042">
        <f t="shared" ca="1" si="183"/>
        <v>0</v>
      </c>
      <c r="AR71" s="1042">
        <f t="shared" ca="1" si="183"/>
        <v>0</v>
      </c>
      <c r="AS71" s="1042">
        <f t="shared" ca="1" si="183"/>
        <v>0</v>
      </c>
      <c r="AT71" s="1042">
        <f t="shared" ca="1" si="183"/>
        <v>0</v>
      </c>
      <c r="AU71" s="1042">
        <f t="shared" ca="1" si="183"/>
        <v>0</v>
      </c>
      <c r="AV71" s="1042">
        <f t="shared" ca="1" si="182"/>
        <v>0</v>
      </c>
      <c r="AW71" s="1042">
        <f t="shared" ca="1" si="182"/>
        <v>0</v>
      </c>
      <c r="AX71" s="1042">
        <f t="shared" ca="1" si="182"/>
        <v>0</v>
      </c>
      <c r="AY71" s="1042">
        <f t="shared" ca="1" si="182"/>
        <v>0</v>
      </c>
      <c r="AZ71" s="1042">
        <f t="shared" ca="1" si="182"/>
        <v>0</v>
      </c>
      <c r="BA71" s="1042">
        <f t="shared" ca="1" si="182"/>
        <v>0</v>
      </c>
      <c r="BB71" s="1042">
        <f t="shared" ca="1" si="182"/>
        <v>0</v>
      </c>
      <c r="BC71" s="1042">
        <f t="shared" ca="1" si="182"/>
        <v>0</v>
      </c>
      <c r="BD71" s="1042">
        <f t="shared" ca="1" si="182"/>
        <v>0</v>
      </c>
      <c r="BE71" s="1042">
        <f t="shared" ca="1" si="182"/>
        <v>0</v>
      </c>
      <c r="BF71" s="1012">
        <f ca="1">SUM(AM71:BE71)</f>
        <v>0</v>
      </c>
      <c r="BG71" s="743"/>
      <c r="BH71" s="1036">
        <f ca="1">IFERROR(INDEX(INDIRECT($C71&amp;".Outputs["&amp;this.Year&amp;"]"), MATCH(BH$5, INDIRECT($C71&amp;".Outputs[Vector]"), 0)), 0)</f>
        <v>-7.5597600020193081</v>
      </c>
      <c r="BI71" s="1036">
        <f ca="1">IFERROR(INDEX(INDIRECT($C71&amp;".Outputs["&amp;this.Year&amp;"]"), MATCH(BI$5, INDIRECT($C71&amp;".Outputs[Vector]"), 0)), 0)</f>
        <v>0</v>
      </c>
      <c r="BJ71" s="1035">
        <f ca="1">SUM(BH71:BI71)</f>
        <v>-7.5597600020193081</v>
      </c>
      <c r="BK71" s="743"/>
      <c r="BL71" s="814">
        <f ca="1">Q71+AK71+BF71+BJ71</f>
        <v>0</v>
      </c>
      <c r="BM71" s="814"/>
      <c r="BN71" s="840"/>
      <c r="BO71" s="1485">
        <f t="shared" ref="BO71:DF71" ca="1" si="184">IFERROR(SUMIFS(INDIRECT($C71&amp;".Emissions["&amp;this.Year&amp;"]"), INDIRECT($C71&amp;".Emissions[GHG]"), BO$6, INDIRECT($C71&amp;".Emissions[IPCC Sector]"), BO$5),0)</f>
        <v>0</v>
      </c>
      <c r="BP71" s="1486">
        <f t="shared" ca="1" si="184"/>
        <v>0</v>
      </c>
      <c r="BQ71" s="1486">
        <f t="shared" ca="1" si="184"/>
        <v>0</v>
      </c>
      <c r="BR71" s="1486">
        <f t="shared" ca="1" si="184"/>
        <v>0</v>
      </c>
      <c r="BS71" s="1486">
        <f t="shared" ca="1" si="184"/>
        <v>0</v>
      </c>
      <c r="BT71" s="1486">
        <f t="shared" ca="1" si="184"/>
        <v>0</v>
      </c>
      <c r="BU71" s="1486">
        <f t="shared" ca="1" si="184"/>
        <v>0</v>
      </c>
      <c r="BV71" s="1486">
        <f t="shared" ca="1" si="184"/>
        <v>0</v>
      </c>
      <c r="BW71" s="1486">
        <f t="shared" ca="1" si="184"/>
        <v>0</v>
      </c>
      <c r="BX71" s="1486">
        <f t="shared" ca="1" si="184"/>
        <v>0</v>
      </c>
      <c r="BY71" s="1486">
        <f t="shared" ca="1" si="184"/>
        <v>0</v>
      </c>
      <c r="BZ71" s="1486">
        <f t="shared" ca="1" si="184"/>
        <v>0</v>
      </c>
      <c r="CA71" s="1486">
        <f t="shared" ca="1" si="184"/>
        <v>0</v>
      </c>
      <c r="CB71" s="1486">
        <f t="shared" ca="1" si="184"/>
        <v>0</v>
      </c>
      <c r="CC71" s="1486">
        <f t="shared" ca="1" si="184"/>
        <v>0</v>
      </c>
      <c r="CD71" s="1486">
        <f t="shared" ca="1" si="184"/>
        <v>0</v>
      </c>
      <c r="CE71" s="1486">
        <f t="shared" ca="1" si="184"/>
        <v>0</v>
      </c>
      <c r="CF71" s="1486">
        <f t="shared" ca="1" si="184"/>
        <v>0</v>
      </c>
      <c r="CG71" s="1486">
        <f t="shared" ca="1" si="184"/>
        <v>0</v>
      </c>
      <c r="CH71" s="1486">
        <f t="shared" ca="1" si="184"/>
        <v>0</v>
      </c>
      <c r="CI71" s="1486">
        <f t="shared" ca="1" si="184"/>
        <v>0</v>
      </c>
      <c r="CJ71" s="1486">
        <f t="shared" ca="1" si="184"/>
        <v>0</v>
      </c>
      <c r="CK71" s="1486">
        <f t="shared" ca="1" si="184"/>
        <v>0</v>
      </c>
      <c r="CL71" s="1486">
        <f t="shared" ca="1" si="184"/>
        <v>0</v>
      </c>
      <c r="CM71" s="1486">
        <f t="shared" ca="1" si="184"/>
        <v>0</v>
      </c>
      <c r="CN71" s="1486">
        <f t="shared" ca="1" si="184"/>
        <v>0</v>
      </c>
      <c r="CO71" s="1486">
        <f t="shared" ca="1" si="184"/>
        <v>0</v>
      </c>
      <c r="CP71" s="1486">
        <f t="shared" ca="1" si="184"/>
        <v>0</v>
      </c>
      <c r="CQ71" s="1486">
        <f t="shared" ca="1" si="184"/>
        <v>0</v>
      </c>
      <c r="CR71" s="1486">
        <f t="shared" ca="1" si="184"/>
        <v>0</v>
      </c>
      <c r="CS71" s="1486">
        <f t="shared" ca="1" si="184"/>
        <v>0</v>
      </c>
      <c r="CT71" s="1486">
        <f t="shared" ca="1" si="184"/>
        <v>0</v>
      </c>
      <c r="CU71" s="1486">
        <f t="shared" ca="1" si="184"/>
        <v>0</v>
      </c>
      <c r="CV71" s="1486">
        <f t="shared" ca="1" si="184"/>
        <v>0</v>
      </c>
      <c r="CW71" s="1486">
        <f t="shared" ca="1" si="184"/>
        <v>0</v>
      </c>
      <c r="CX71" s="1486">
        <f t="shared" ca="1" si="184"/>
        <v>0</v>
      </c>
      <c r="CY71" s="1486">
        <f t="shared" ca="1" si="184"/>
        <v>0</v>
      </c>
      <c r="CZ71" s="1486">
        <f t="shared" ca="1" si="184"/>
        <v>0</v>
      </c>
      <c r="DA71" s="1486">
        <f t="shared" ca="1" si="184"/>
        <v>0</v>
      </c>
      <c r="DB71" s="1486">
        <f t="shared" ca="1" si="184"/>
        <v>0</v>
      </c>
      <c r="DC71" s="1486">
        <f t="shared" ca="1" si="184"/>
        <v>0</v>
      </c>
      <c r="DD71" s="1486">
        <f t="shared" ca="1" si="184"/>
        <v>0</v>
      </c>
      <c r="DE71" s="1486">
        <f t="shared" ca="1" si="184"/>
        <v>0</v>
      </c>
      <c r="DF71" s="1486">
        <f t="shared" ca="1" si="184"/>
        <v>0</v>
      </c>
      <c r="DH71" s="838">
        <f t="shared" ca="1" si="123"/>
        <v>0</v>
      </c>
    </row>
    <row r="72" spans="1:112" s="743" customFormat="1" ht="15.75" collapsed="1">
      <c r="A72" s="22"/>
      <c r="B72" s="753"/>
      <c r="C72" s="744" t="s">
        <v>1336</v>
      </c>
      <c r="D72" s="517" t="str">
        <f>INDEX(Workstreams[Workstream], MATCH($C72, Workstreams[Code], 0))</f>
        <v>District heating</v>
      </c>
      <c r="E72" s="512"/>
      <c r="G72" s="1021">
        <f ca="1">G71</f>
        <v>0</v>
      </c>
      <c r="H72" s="1021">
        <f t="shared" ref="H72:P72" ca="1" si="185">H71</f>
        <v>0</v>
      </c>
      <c r="I72" s="1021">
        <f t="shared" ca="1" si="185"/>
        <v>0</v>
      </c>
      <c r="J72" s="1021">
        <f t="shared" ca="1" si="185"/>
        <v>0</v>
      </c>
      <c r="K72" s="1021">
        <f t="shared" ca="1" si="185"/>
        <v>0</v>
      </c>
      <c r="L72" s="1021">
        <f t="shared" ca="1" si="185"/>
        <v>0</v>
      </c>
      <c r="M72" s="1021">
        <f t="shared" ca="1" si="185"/>
        <v>0</v>
      </c>
      <c r="N72" s="1021">
        <f t="shared" ca="1" si="185"/>
        <v>0</v>
      </c>
      <c r="O72" s="1021">
        <f t="shared" ca="1" si="185"/>
        <v>0</v>
      </c>
      <c r="P72" s="1021">
        <f t="shared" ca="1" si="185"/>
        <v>0</v>
      </c>
      <c r="Q72" s="1021">
        <f ca="1">SUM(G72:P72)</f>
        <v>0</v>
      </c>
      <c r="S72" s="970">
        <f t="shared" ref="S72:AJ72" ca="1" si="186">S71</f>
        <v>0</v>
      </c>
      <c r="T72" s="970">
        <f t="shared" ca="1" si="186"/>
        <v>-1.2599600003365514</v>
      </c>
      <c r="U72" s="970">
        <f t="shared" ca="1" si="186"/>
        <v>0</v>
      </c>
      <c r="V72" s="970">
        <f t="shared" ca="1" si="186"/>
        <v>0</v>
      </c>
      <c r="W72" s="970">
        <f t="shared" ca="1" si="186"/>
        <v>0</v>
      </c>
      <c r="X72" s="970">
        <f t="shared" ca="1" si="186"/>
        <v>0</v>
      </c>
      <c r="Y72" s="970">
        <f t="shared" ca="1" si="186"/>
        <v>0</v>
      </c>
      <c r="Z72" s="970">
        <f t="shared" ca="1" si="186"/>
        <v>0</v>
      </c>
      <c r="AA72" s="970">
        <f t="shared" ca="1" si="186"/>
        <v>0</v>
      </c>
      <c r="AB72" s="970">
        <f t="shared" ca="1" si="186"/>
        <v>8.8197200023558597</v>
      </c>
      <c r="AC72" s="970">
        <f t="shared" ca="1" si="186"/>
        <v>0</v>
      </c>
      <c r="AD72" s="970">
        <f ca="1">AD71</f>
        <v>0</v>
      </c>
      <c r="AE72" s="970">
        <f ca="1">AE71</f>
        <v>0</v>
      </c>
      <c r="AF72" s="970">
        <f t="shared" ca="1" si="186"/>
        <v>0</v>
      </c>
      <c r="AG72" s="970">
        <f t="shared" ca="1" si="186"/>
        <v>0</v>
      </c>
      <c r="AH72" s="970">
        <f ca="1">AH71</f>
        <v>0</v>
      </c>
      <c r="AI72" s="970">
        <f ca="1">AI71</f>
        <v>0</v>
      </c>
      <c r="AJ72" s="970">
        <f t="shared" ca="1" si="186"/>
        <v>0</v>
      </c>
      <c r="AK72" s="970">
        <f ca="1">SUM(S72:AJ72)</f>
        <v>7.5597600020193081</v>
      </c>
      <c r="AM72" s="976">
        <f ca="1">AM71</f>
        <v>0</v>
      </c>
      <c r="AN72" s="976">
        <f t="shared" ref="AN72:BE72" ca="1" si="187">AN71</f>
        <v>0</v>
      </c>
      <c r="AO72" s="976">
        <f t="shared" ca="1" si="187"/>
        <v>0</v>
      </c>
      <c r="AP72" s="976">
        <f t="shared" ca="1" si="187"/>
        <v>0</v>
      </c>
      <c r="AQ72" s="976">
        <f t="shared" ca="1" si="187"/>
        <v>0</v>
      </c>
      <c r="AR72" s="976">
        <f t="shared" ca="1" si="187"/>
        <v>0</v>
      </c>
      <c r="AS72" s="976">
        <f t="shared" ca="1" si="187"/>
        <v>0</v>
      </c>
      <c r="AT72" s="976">
        <f t="shared" ca="1" si="187"/>
        <v>0</v>
      </c>
      <c r="AU72" s="976">
        <f t="shared" ca="1" si="187"/>
        <v>0</v>
      </c>
      <c r="AV72" s="976">
        <f t="shared" ca="1" si="187"/>
        <v>0</v>
      </c>
      <c r="AW72" s="976">
        <f t="shared" ca="1" si="187"/>
        <v>0</v>
      </c>
      <c r="AX72" s="976">
        <f t="shared" ca="1" si="187"/>
        <v>0</v>
      </c>
      <c r="AY72" s="976">
        <f t="shared" ca="1" si="187"/>
        <v>0</v>
      </c>
      <c r="AZ72" s="976">
        <f t="shared" ca="1" si="187"/>
        <v>0</v>
      </c>
      <c r="BA72" s="976">
        <f t="shared" ca="1" si="187"/>
        <v>0</v>
      </c>
      <c r="BB72" s="976">
        <f t="shared" ca="1" si="187"/>
        <v>0</v>
      </c>
      <c r="BC72" s="976">
        <f t="shared" ca="1" si="187"/>
        <v>0</v>
      </c>
      <c r="BD72" s="976">
        <f t="shared" ca="1" si="187"/>
        <v>0</v>
      </c>
      <c r="BE72" s="976">
        <f t="shared" ca="1" si="187"/>
        <v>0</v>
      </c>
      <c r="BF72" s="976">
        <f ca="1">SUM(AM72:BE72)</f>
        <v>0</v>
      </c>
      <c r="BH72" s="990">
        <f ca="1">BH71</f>
        <v>-7.5597600020193081</v>
      </c>
      <c r="BI72" s="990">
        <f ca="1">BI71</f>
        <v>0</v>
      </c>
      <c r="BJ72" s="990">
        <f ca="1">SUM(BH72:BI72)</f>
        <v>-7.5597600020193081</v>
      </c>
      <c r="BL72" s="515">
        <f ca="1">Q72+AK72+BF72+BJ72</f>
        <v>0</v>
      </c>
      <c r="BM72" s="515"/>
      <c r="BN72" s="840"/>
      <c r="BO72" s="1482">
        <f t="shared" ref="BO72:DF72" ca="1" si="188">BO71</f>
        <v>0</v>
      </c>
      <c r="BP72" s="1482">
        <f t="shared" ca="1" si="188"/>
        <v>0</v>
      </c>
      <c r="BQ72" s="1482">
        <f t="shared" ca="1" si="188"/>
        <v>0</v>
      </c>
      <c r="BR72" s="1482">
        <f t="shared" ca="1" si="188"/>
        <v>0</v>
      </c>
      <c r="BS72" s="1482">
        <f t="shared" ca="1" si="188"/>
        <v>0</v>
      </c>
      <c r="BT72" s="1482">
        <f t="shared" ca="1" si="188"/>
        <v>0</v>
      </c>
      <c r="BU72" s="1482">
        <f t="shared" ca="1" si="188"/>
        <v>0</v>
      </c>
      <c r="BV72" s="1482">
        <f t="shared" ca="1" si="188"/>
        <v>0</v>
      </c>
      <c r="BW72" s="1482">
        <f t="shared" ca="1" si="188"/>
        <v>0</v>
      </c>
      <c r="BX72" s="1482">
        <f t="shared" ca="1" si="188"/>
        <v>0</v>
      </c>
      <c r="BY72" s="1482">
        <f t="shared" ca="1" si="188"/>
        <v>0</v>
      </c>
      <c r="BZ72" s="1482">
        <f t="shared" ca="1" si="188"/>
        <v>0</v>
      </c>
      <c r="CA72" s="1482">
        <f t="shared" ca="1" si="188"/>
        <v>0</v>
      </c>
      <c r="CB72" s="1482">
        <f t="shared" ca="1" si="188"/>
        <v>0</v>
      </c>
      <c r="CC72" s="1482">
        <f t="shared" ca="1" si="188"/>
        <v>0</v>
      </c>
      <c r="CD72" s="1482">
        <f t="shared" ca="1" si="188"/>
        <v>0</v>
      </c>
      <c r="CE72" s="1482">
        <f t="shared" ca="1" si="188"/>
        <v>0</v>
      </c>
      <c r="CF72" s="1482">
        <f t="shared" ca="1" si="188"/>
        <v>0</v>
      </c>
      <c r="CG72" s="1482">
        <f t="shared" ca="1" si="188"/>
        <v>0</v>
      </c>
      <c r="CH72" s="1482">
        <f t="shared" ca="1" si="188"/>
        <v>0</v>
      </c>
      <c r="CI72" s="1482">
        <f t="shared" ca="1" si="188"/>
        <v>0</v>
      </c>
      <c r="CJ72" s="1482">
        <f t="shared" ca="1" si="188"/>
        <v>0</v>
      </c>
      <c r="CK72" s="1482">
        <f t="shared" ca="1" si="188"/>
        <v>0</v>
      </c>
      <c r="CL72" s="1482">
        <f t="shared" ca="1" si="188"/>
        <v>0</v>
      </c>
      <c r="CM72" s="1482">
        <f t="shared" ca="1" si="188"/>
        <v>0</v>
      </c>
      <c r="CN72" s="1482">
        <f t="shared" ca="1" si="188"/>
        <v>0</v>
      </c>
      <c r="CO72" s="1482">
        <f t="shared" ca="1" si="188"/>
        <v>0</v>
      </c>
      <c r="CP72" s="1482">
        <f t="shared" ca="1" si="188"/>
        <v>0</v>
      </c>
      <c r="CQ72" s="1482">
        <f t="shared" ca="1" si="188"/>
        <v>0</v>
      </c>
      <c r="CR72" s="1482">
        <f t="shared" ca="1" si="188"/>
        <v>0</v>
      </c>
      <c r="CS72" s="1482">
        <f t="shared" ca="1" si="188"/>
        <v>0</v>
      </c>
      <c r="CT72" s="1482">
        <f t="shared" ca="1" si="188"/>
        <v>0</v>
      </c>
      <c r="CU72" s="1482">
        <f t="shared" ca="1" si="188"/>
        <v>0</v>
      </c>
      <c r="CV72" s="1482">
        <f t="shared" ca="1" si="188"/>
        <v>0</v>
      </c>
      <c r="CW72" s="1482">
        <f t="shared" ca="1" si="188"/>
        <v>0</v>
      </c>
      <c r="CX72" s="1482">
        <f t="shared" ca="1" si="188"/>
        <v>0</v>
      </c>
      <c r="CY72" s="1482">
        <f t="shared" ca="1" si="188"/>
        <v>0</v>
      </c>
      <c r="CZ72" s="1482">
        <f t="shared" ca="1" si="188"/>
        <v>0</v>
      </c>
      <c r="DA72" s="1482">
        <f t="shared" ca="1" si="188"/>
        <v>0</v>
      </c>
      <c r="DB72" s="1482">
        <f t="shared" ca="1" si="188"/>
        <v>0</v>
      </c>
      <c r="DC72" s="1482">
        <f t="shared" ca="1" si="188"/>
        <v>0</v>
      </c>
      <c r="DD72" s="1482">
        <f t="shared" ca="1" si="188"/>
        <v>0</v>
      </c>
      <c r="DE72" s="1482">
        <f t="shared" ca="1" si="188"/>
        <v>0</v>
      </c>
      <c r="DF72" s="1482">
        <f t="shared" ca="1" si="188"/>
        <v>0</v>
      </c>
      <c r="DH72" s="838">
        <f t="shared" ca="1" si="123"/>
        <v>0</v>
      </c>
    </row>
    <row r="73" spans="1:112" s="743" customFormat="1" ht="12.75" hidden="1" customHeight="1" outlineLevel="1">
      <c r="A73" s="22"/>
      <c r="B73" s="22"/>
      <c r="C73" s="751"/>
      <c r="D73" s="512"/>
      <c r="E73" s="512"/>
      <c r="G73" s="958"/>
      <c r="H73" s="958"/>
      <c r="I73" s="958"/>
      <c r="J73" s="958"/>
      <c r="K73" s="960"/>
      <c r="L73" s="958"/>
      <c r="M73" s="958"/>
      <c r="N73" s="958"/>
      <c r="O73" s="958"/>
      <c r="P73" s="958"/>
      <c r="Q73" s="958"/>
      <c r="S73" s="970"/>
      <c r="T73" s="970"/>
      <c r="U73" s="970"/>
      <c r="V73" s="970"/>
      <c r="W73" s="970"/>
      <c r="X73" s="970"/>
      <c r="Y73" s="970"/>
      <c r="Z73" s="970"/>
      <c r="AA73" s="970"/>
      <c r="AB73" s="970"/>
      <c r="AC73" s="970"/>
      <c r="AD73" s="970"/>
      <c r="AE73" s="970"/>
      <c r="AF73" s="970"/>
      <c r="AG73" s="970"/>
      <c r="AH73" s="970"/>
      <c r="AI73" s="970"/>
      <c r="AJ73" s="970"/>
      <c r="AK73" s="970"/>
      <c r="AM73" s="976"/>
      <c r="AN73" s="976"/>
      <c r="AO73" s="976"/>
      <c r="AP73" s="976"/>
      <c r="AQ73" s="976"/>
      <c r="AR73" s="976"/>
      <c r="AS73" s="976"/>
      <c r="AT73" s="976"/>
      <c r="AU73" s="976"/>
      <c r="AV73" s="976"/>
      <c r="AW73" s="976"/>
      <c r="AX73" s="976"/>
      <c r="AY73" s="976"/>
      <c r="AZ73" s="976"/>
      <c r="BA73" s="976"/>
      <c r="BB73" s="976"/>
      <c r="BC73" s="976"/>
      <c r="BD73" s="976"/>
      <c r="BE73" s="976"/>
      <c r="BF73" s="976"/>
      <c r="BH73" s="990"/>
      <c r="BI73" s="990"/>
      <c r="BJ73" s="990"/>
      <c r="BL73" s="515"/>
      <c r="BM73" s="515"/>
      <c r="BN73" s="22"/>
      <c r="BO73" s="1482"/>
      <c r="BP73" s="1482"/>
      <c r="BQ73" s="1482"/>
      <c r="BR73" s="1482"/>
      <c r="BS73" s="1482"/>
      <c r="BT73" s="1482"/>
      <c r="BU73" s="1482"/>
      <c r="BV73" s="1482"/>
      <c r="BW73" s="1482"/>
      <c r="BX73" s="1482"/>
      <c r="BY73" s="1482"/>
      <c r="BZ73" s="1482"/>
      <c r="CA73" s="1482"/>
      <c r="CB73" s="1482"/>
      <c r="CC73" s="1482"/>
      <c r="CD73" s="1482"/>
      <c r="CE73" s="1482"/>
      <c r="CF73" s="1482"/>
      <c r="CG73" s="1482"/>
      <c r="CH73" s="1482"/>
      <c r="CI73" s="1482"/>
      <c r="CJ73" s="1482"/>
      <c r="CK73" s="1482"/>
      <c r="CL73" s="1482"/>
      <c r="CM73" s="1482"/>
      <c r="CN73" s="1482"/>
      <c r="CO73" s="1482"/>
      <c r="CP73" s="1482"/>
      <c r="CQ73" s="1482"/>
      <c r="CR73" s="1482"/>
      <c r="CS73" s="1482"/>
      <c r="CT73" s="1482"/>
      <c r="CU73" s="1482"/>
      <c r="CV73" s="1482"/>
      <c r="CW73" s="1482"/>
      <c r="CX73" s="1482"/>
      <c r="CY73" s="1482"/>
      <c r="CZ73" s="1482"/>
      <c r="DA73" s="1482"/>
      <c r="DB73" s="1482"/>
      <c r="DC73" s="1482"/>
      <c r="DD73" s="1482"/>
      <c r="DE73" s="1482"/>
      <c r="DF73" s="1482"/>
      <c r="DH73" s="838">
        <f t="shared" si="123"/>
        <v>0</v>
      </c>
    </row>
    <row r="74" spans="1:112" s="1488" customFormat="1" ht="12.75" hidden="1" customHeight="1" outlineLevel="1">
      <c r="C74" s="1048" t="s">
        <v>1719</v>
      </c>
      <c r="D74" s="1049" t="s">
        <v>1334</v>
      </c>
      <c r="E74" s="1049"/>
      <c r="F74" s="743"/>
      <c r="G74" s="1050"/>
      <c r="H74" s="1050"/>
      <c r="I74" s="1050"/>
      <c r="J74" s="1050"/>
      <c r="K74" s="1051"/>
      <c r="L74" s="1050"/>
      <c r="M74" s="1050"/>
      <c r="N74" s="1050"/>
      <c r="O74" s="1050"/>
      <c r="P74" s="1050"/>
      <c r="Q74" s="1050"/>
      <c r="R74" s="743"/>
      <c r="S74" s="1052">
        <f ca="1">S$40+S$46+S$51+S$99+S$55+S$93+S$63+S$68+S$72</f>
        <v>-361.16931700791082</v>
      </c>
      <c r="T74" s="1052">
        <f ca="1">T$40+T$46+T$51+T$99+T$55+T$93+T$63+T$68+T$72</f>
        <v>-8.5369111918871496</v>
      </c>
      <c r="U74" s="1052"/>
      <c r="V74" s="1052"/>
      <c r="W74" s="1052"/>
      <c r="X74" s="1052"/>
      <c r="Y74" s="1052"/>
      <c r="Z74" s="1052"/>
      <c r="AA74" s="1052"/>
      <c r="AB74" s="1052"/>
      <c r="AC74" s="1052"/>
      <c r="AD74" s="1052"/>
      <c r="AE74" s="1052"/>
      <c r="AF74" s="1052"/>
      <c r="AG74" s="1052"/>
      <c r="AH74" s="1052"/>
      <c r="AI74" s="1052"/>
      <c r="AJ74" s="1052"/>
      <c r="AK74" s="1052"/>
      <c r="AL74" s="743"/>
      <c r="AM74" s="1053"/>
      <c r="AN74" s="1053"/>
      <c r="AO74" s="1053"/>
      <c r="AP74" s="1053"/>
      <c r="AQ74" s="1053"/>
      <c r="AR74" s="1053"/>
      <c r="AS74" s="1053"/>
      <c r="AT74" s="1053"/>
      <c r="AU74" s="1053"/>
      <c r="AV74" s="1053"/>
      <c r="AW74" s="1053"/>
      <c r="AX74" s="1053"/>
      <c r="AY74" s="1053"/>
      <c r="AZ74" s="1053"/>
      <c r="BA74" s="1053"/>
      <c r="BB74" s="1053"/>
      <c r="BC74" s="1053"/>
      <c r="BD74" s="1053"/>
      <c r="BE74" s="1053"/>
      <c r="BF74" s="1053"/>
      <c r="BG74" s="743"/>
      <c r="BH74" s="1054"/>
      <c r="BI74" s="1054"/>
      <c r="BJ74" s="1054">
        <f>SUM(BH74:BI74)</f>
        <v>0</v>
      </c>
      <c r="BK74" s="743"/>
      <c r="BL74" s="852">
        <f t="shared" ref="BL74:BL80" si="189">Q74+AK74+BF74+BJ74</f>
        <v>0</v>
      </c>
      <c r="BM74" s="852"/>
      <c r="BO74" s="1490"/>
      <c r="BP74" s="1490"/>
      <c r="BQ74" s="1490"/>
      <c r="BR74" s="1490"/>
      <c r="BS74" s="1490"/>
      <c r="BT74" s="1490"/>
      <c r="BU74" s="1490"/>
      <c r="BV74" s="1490"/>
      <c r="BW74" s="1490"/>
      <c r="BX74" s="1490"/>
      <c r="BY74" s="1490"/>
      <c r="BZ74" s="1490"/>
      <c r="CA74" s="1490"/>
      <c r="CB74" s="1490"/>
      <c r="CC74" s="1490"/>
      <c r="CD74" s="1490"/>
      <c r="CE74" s="1490"/>
      <c r="CF74" s="1490"/>
      <c r="CG74" s="1490"/>
      <c r="CH74" s="1490"/>
      <c r="CI74" s="1490"/>
      <c r="CJ74" s="1490"/>
      <c r="CK74" s="1490"/>
      <c r="CL74" s="1490"/>
      <c r="CM74" s="1490"/>
      <c r="CN74" s="1490"/>
      <c r="CO74" s="1490"/>
      <c r="CP74" s="1490"/>
      <c r="CQ74" s="1490"/>
      <c r="CR74" s="1490"/>
      <c r="CS74" s="1490"/>
      <c r="CT74" s="1490"/>
      <c r="CU74" s="1490"/>
      <c r="CV74" s="1490"/>
      <c r="CW74" s="1490"/>
      <c r="CX74" s="1490"/>
      <c r="CY74" s="1490"/>
      <c r="CZ74" s="1490"/>
      <c r="DA74" s="1490"/>
      <c r="DB74" s="1490"/>
      <c r="DC74" s="1490"/>
      <c r="DD74" s="1490"/>
      <c r="DE74" s="1490"/>
      <c r="DF74" s="1490"/>
      <c r="DH74" s="838">
        <f t="shared" si="123"/>
        <v>0</v>
      </c>
    </row>
    <row r="75" spans="1:112" s="1484" customFormat="1" ht="12.75" hidden="1" customHeight="1" outlineLevel="1">
      <c r="C75" s="746" t="s">
        <v>756</v>
      </c>
      <c r="D75" s="1010" t="str">
        <f>INDEX(Modules[Module], MATCH($C75, Modules[Code], 0))</f>
        <v>Nuclear power</v>
      </c>
      <c r="E75" s="1010"/>
      <c r="F75" s="743"/>
      <c r="G75" s="1022">
        <f t="shared" ref="G75:P75" ca="1" si="190">IFERROR(INDEX(INDIRECT($C75&amp;".Outputs["&amp;this.Year&amp;"]"), MATCH(G$5, INDIRECT($C75&amp;".Outputs[Vector]"), 0)), 0)</f>
        <v>0</v>
      </c>
      <c r="H75" s="1022">
        <f t="shared" ca="1" si="190"/>
        <v>0</v>
      </c>
      <c r="I75" s="1022">
        <f t="shared" ca="1" si="190"/>
        <v>0</v>
      </c>
      <c r="J75" s="1022">
        <f t="shared" ca="1" si="190"/>
        <v>0</v>
      </c>
      <c r="K75" s="1022">
        <f t="shared" ca="1" si="190"/>
        <v>0</v>
      </c>
      <c r="L75" s="1022">
        <f t="shared" ca="1" si="190"/>
        <v>0</v>
      </c>
      <c r="M75" s="1022">
        <f t="shared" ca="1" si="190"/>
        <v>0</v>
      </c>
      <c r="N75" s="1022">
        <f t="shared" ca="1" si="190"/>
        <v>0</v>
      </c>
      <c r="O75" s="1022">
        <f t="shared" ca="1" si="190"/>
        <v>0</v>
      </c>
      <c r="P75" s="1022">
        <f t="shared" ca="1" si="190"/>
        <v>0</v>
      </c>
      <c r="Q75" s="1020">
        <f ca="1">SUM(G75:P75)</f>
        <v>0</v>
      </c>
      <c r="R75" s="743"/>
      <c r="S75" s="1031">
        <f t="shared" ref="S75:BE75" ca="1" si="191">IFERROR(INDEX(INDIRECT($C75&amp;".Outputs["&amp;this.Year&amp;"]"), MATCH(S$5, INDIRECT($C75&amp;".Outputs[Vector]"), 0)), 0)</f>
        <v>0</v>
      </c>
      <c r="T75" s="1031">
        <f t="shared" ca="1" si="191"/>
        <v>52.595999999999997</v>
      </c>
      <c r="U75" s="1031">
        <f t="shared" ca="1" si="191"/>
        <v>0</v>
      </c>
      <c r="V75" s="1031">
        <f t="shared" ca="1" si="191"/>
        <v>0</v>
      </c>
      <c r="W75" s="1031">
        <f t="shared" ca="1" si="191"/>
        <v>0</v>
      </c>
      <c r="X75" s="1031">
        <f ca="1">IFERROR(INDEX(INDIRECT($C75&amp;".Outputs["&amp;this.Year&amp;"]"), MATCH(X$5, INDIRECT($C75&amp;".Outputs[Vector]"), 0)), 0)</f>
        <v>0</v>
      </c>
      <c r="Y75" s="1031">
        <f ca="1">IFERROR(INDEX(INDIRECT($C75&amp;".Outputs["&amp;this.Year&amp;"]"), MATCH(Y$5, INDIRECT($C75&amp;".Outputs[Vector]"), 0)), 0)</f>
        <v>0</v>
      </c>
      <c r="Z75" s="1031">
        <f ca="1">IFERROR(INDEX(INDIRECT($C75&amp;".Outputs["&amp;this.Year&amp;"]"), MATCH(Z$5, INDIRECT($C75&amp;".Outputs[Vector]"), 0)), 0)</f>
        <v>0</v>
      </c>
      <c r="AA75" s="1031">
        <f t="shared" ca="1" si="191"/>
        <v>0</v>
      </c>
      <c r="AB75" s="1031">
        <f t="shared" ca="1" si="191"/>
        <v>0</v>
      </c>
      <c r="AC75" s="1031">
        <f t="shared" ca="1" si="191"/>
        <v>0</v>
      </c>
      <c r="AD75" s="1031">
        <f t="shared" ca="1" si="191"/>
        <v>0</v>
      </c>
      <c r="AE75" s="1031">
        <f t="shared" ca="1" si="191"/>
        <v>0</v>
      </c>
      <c r="AF75" s="1031">
        <f t="shared" ca="1" si="191"/>
        <v>0</v>
      </c>
      <c r="AG75" s="1031">
        <f t="shared" ca="1" si="191"/>
        <v>0</v>
      </c>
      <c r="AH75" s="1031">
        <f t="shared" ca="1" si="191"/>
        <v>0</v>
      </c>
      <c r="AI75" s="1031">
        <f t="shared" ca="1" si="191"/>
        <v>0</v>
      </c>
      <c r="AJ75" s="1031">
        <f t="shared" ca="1" si="191"/>
        <v>0</v>
      </c>
      <c r="AK75" s="1030">
        <f ca="1">SUM(S75:AJ75)</f>
        <v>52.595999999999997</v>
      </c>
      <c r="AL75" s="743"/>
      <c r="AM75" s="1042">
        <f t="shared" ref="AM75:AU75" ca="1" si="192">IFERROR(INDEX(INDIRECT($C75&amp;".Outputs["&amp;this.Year&amp;"]"), MATCH(AM$5, INDIRECT($C75&amp;".Outputs[Vector]"), 0)), 0)</f>
        <v>0</v>
      </c>
      <c r="AN75" s="1042">
        <f t="shared" ca="1" si="192"/>
        <v>0</v>
      </c>
      <c r="AO75" s="1042">
        <f t="shared" ca="1" si="192"/>
        <v>0</v>
      </c>
      <c r="AP75" s="1042">
        <f t="shared" ca="1" si="192"/>
        <v>0</v>
      </c>
      <c r="AQ75" s="1042">
        <f t="shared" ca="1" si="192"/>
        <v>0</v>
      </c>
      <c r="AR75" s="1042">
        <f t="shared" ca="1" si="192"/>
        <v>0</v>
      </c>
      <c r="AS75" s="1042">
        <f t="shared" ca="1" si="192"/>
        <v>0</v>
      </c>
      <c r="AT75" s="1042">
        <f t="shared" ca="1" si="192"/>
        <v>0</v>
      </c>
      <c r="AU75" s="1042">
        <f t="shared" ca="1" si="192"/>
        <v>0</v>
      </c>
      <c r="AV75" s="1042">
        <f t="shared" ca="1" si="191"/>
        <v>-160.70999999999998</v>
      </c>
      <c r="AW75" s="1042">
        <f t="shared" ca="1" si="191"/>
        <v>0</v>
      </c>
      <c r="AX75" s="1042">
        <f t="shared" ca="1" si="191"/>
        <v>0</v>
      </c>
      <c r="AY75" s="1042">
        <f t="shared" ca="1" si="191"/>
        <v>0</v>
      </c>
      <c r="AZ75" s="1042">
        <f t="shared" ca="1" si="191"/>
        <v>0</v>
      </c>
      <c r="BA75" s="1042">
        <f t="shared" ca="1" si="191"/>
        <v>0</v>
      </c>
      <c r="BB75" s="1042">
        <f t="shared" ca="1" si="191"/>
        <v>0</v>
      </c>
      <c r="BC75" s="1042">
        <f t="shared" ca="1" si="191"/>
        <v>0</v>
      </c>
      <c r="BD75" s="1042">
        <f t="shared" ca="1" si="191"/>
        <v>0</v>
      </c>
      <c r="BE75" s="1042">
        <f t="shared" ca="1" si="191"/>
        <v>0</v>
      </c>
      <c r="BF75" s="1012">
        <f ca="1">SUM(AM75:BE75)</f>
        <v>-160.70999999999998</v>
      </c>
      <c r="BG75" s="743"/>
      <c r="BH75" s="1036">
        <f ca="1">IFERROR(INDEX(INDIRECT($C75&amp;".Outputs["&amp;this.Year&amp;"]"), MATCH(BH$5, INDIRECT($C75&amp;".Outputs[Vector]"), 0)), 0)</f>
        <v>102.85439999999998</v>
      </c>
      <c r="BI75" s="1036">
        <f ca="1">IFERROR(INDEX(INDIRECT($C75&amp;".Outputs["&amp;this.Year&amp;"]"), MATCH(BI$5, INDIRECT($C75&amp;".Outputs[Vector]"), 0)), 0)</f>
        <v>5.2595999999999998</v>
      </c>
      <c r="BJ75" s="1035">
        <f ca="1">SUM(BH75:BI75)</f>
        <v>108.11399999999999</v>
      </c>
      <c r="BK75" s="743"/>
      <c r="BL75" s="814">
        <f t="shared" ca="1" si="189"/>
        <v>0</v>
      </c>
      <c r="BM75" s="814"/>
      <c r="BN75" s="840"/>
      <c r="BO75" s="1485">
        <f t="shared" ref="BO75:DF75" ca="1" si="193">IFERROR(SUMIFS(INDIRECT($C75&amp;".Emissions["&amp;this.Year&amp;"]"), INDIRECT($C75&amp;".Emissions[GHG]"), BO$6, INDIRECT($C75&amp;".Emissions[IPCC Sector]"), BO$5),0)</f>
        <v>0</v>
      </c>
      <c r="BP75" s="1486">
        <f t="shared" ca="1" si="193"/>
        <v>0</v>
      </c>
      <c r="BQ75" s="1486">
        <f t="shared" ca="1" si="193"/>
        <v>0</v>
      </c>
      <c r="BR75" s="1486">
        <f t="shared" ca="1" si="193"/>
        <v>0</v>
      </c>
      <c r="BS75" s="1486">
        <f t="shared" ca="1" si="193"/>
        <v>0</v>
      </c>
      <c r="BT75" s="1486">
        <f t="shared" ca="1" si="193"/>
        <v>0</v>
      </c>
      <c r="BU75" s="1486">
        <f t="shared" ca="1" si="193"/>
        <v>0</v>
      </c>
      <c r="BV75" s="1486">
        <f t="shared" ca="1" si="193"/>
        <v>0</v>
      </c>
      <c r="BW75" s="1486">
        <f t="shared" ca="1" si="193"/>
        <v>0</v>
      </c>
      <c r="BX75" s="1486">
        <f t="shared" ca="1" si="193"/>
        <v>0</v>
      </c>
      <c r="BY75" s="1486">
        <f t="shared" ca="1" si="193"/>
        <v>0</v>
      </c>
      <c r="BZ75" s="1486">
        <f t="shared" ca="1" si="193"/>
        <v>0</v>
      </c>
      <c r="CA75" s="1486">
        <f t="shared" ca="1" si="193"/>
        <v>0</v>
      </c>
      <c r="CB75" s="1486">
        <f t="shared" ca="1" si="193"/>
        <v>0</v>
      </c>
      <c r="CC75" s="1486">
        <f t="shared" ca="1" si="193"/>
        <v>0</v>
      </c>
      <c r="CD75" s="1486">
        <f t="shared" ca="1" si="193"/>
        <v>0</v>
      </c>
      <c r="CE75" s="1486">
        <f t="shared" ca="1" si="193"/>
        <v>0</v>
      </c>
      <c r="CF75" s="1486">
        <f t="shared" ca="1" si="193"/>
        <v>0</v>
      </c>
      <c r="CG75" s="1486">
        <f t="shared" ca="1" si="193"/>
        <v>0</v>
      </c>
      <c r="CH75" s="1486">
        <f t="shared" ca="1" si="193"/>
        <v>0</v>
      </c>
      <c r="CI75" s="1486">
        <f t="shared" ca="1" si="193"/>
        <v>0</v>
      </c>
      <c r="CJ75" s="1486">
        <f t="shared" ca="1" si="193"/>
        <v>0</v>
      </c>
      <c r="CK75" s="1486">
        <f t="shared" ca="1" si="193"/>
        <v>0</v>
      </c>
      <c r="CL75" s="1486">
        <f t="shared" ca="1" si="193"/>
        <v>0</v>
      </c>
      <c r="CM75" s="1486">
        <f t="shared" ca="1" si="193"/>
        <v>0</v>
      </c>
      <c r="CN75" s="1486">
        <f t="shared" ca="1" si="193"/>
        <v>0</v>
      </c>
      <c r="CO75" s="1486">
        <f t="shared" ca="1" si="193"/>
        <v>0</v>
      </c>
      <c r="CP75" s="1486">
        <f t="shared" ca="1" si="193"/>
        <v>0</v>
      </c>
      <c r="CQ75" s="1486">
        <f t="shared" ca="1" si="193"/>
        <v>0</v>
      </c>
      <c r="CR75" s="1486">
        <f t="shared" ca="1" si="193"/>
        <v>0</v>
      </c>
      <c r="CS75" s="1486">
        <f t="shared" ca="1" si="193"/>
        <v>0</v>
      </c>
      <c r="CT75" s="1486">
        <f t="shared" ca="1" si="193"/>
        <v>0</v>
      </c>
      <c r="CU75" s="1486">
        <f t="shared" ca="1" si="193"/>
        <v>0</v>
      </c>
      <c r="CV75" s="1486">
        <f t="shared" ca="1" si="193"/>
        <v>0</v>
      </c>
      <c r="CW75" s="1486">
        <f t="shared" ca="1" si="193"/>
        <v>0</v>
      </c>
      <c r="CX75" s="1486">
        <f t="shared" ca="1" si="193"/>
        <v>0</v>
      </c>
      <c r="CY75" s="1486">
        <f t="shared" ca="1" si="193"/>
        <v>0</v>
      </c>
      <c r="CZ75" s="1486">
        <f t="shared" ca="1" si="193"/>
        <v>0</v>
      </c>
      <c r="DA75" s="1486">
        <f t="shared" ca="1" si="193"/>
        <v>0</v>
      </c>
      <c r="DB75" s="1486">
        <f t="shared" ca="1" si="193"/>
        <v>0</v>
      </c>
      <c r="DC75" s="1486">
        <f t="shared" ca="1" si="193"/>
        <v>0</v>
      </c>
      <c r="DD75" s="1486">
        <f t="shared" ca="1" si="193"/>
        <v>0</v>
      </c>
      <c r="DE75" s="1486">
        <f t="shared" ca="1" si="193"/>
        <v>0</v>
      </c>
      <c r="DF75" s="1486">
        <f t="shared" ca="1" si="193"/>
        <v>0</v>
      </c>
      <c r="DH75" s="838">
        <f t="shared" ca="1" si="123"/>
        <v>0</v>
      </c>
    </row>
    <row r="76" spans="1:112" s="743" customFormat="1" ht="15.75" collapsed="1">
      <c r="A76" s="22"/>
      <c r="B76" s="753"/>
      <c r="C76" s="744" t="s">
        <v>75</v>
      </c>
      <c r="D76" s="517" t="str">
        <f>INDEX(Workstreams[Workstream], MATCH($C76, Workstreams[Code], 0))</f>
        <v>Nuclear power generation</v>
      </c>
      <c r="E76" s="512"/>
      <c r="G76" s="1021">
        <f ca="1">G75</f>
        <v>0</v>
      </c>
      <c r="H76" s="1021">
        <f t="shared" ref="H76:P76" ca="1" si="194">H75</f>
        <v>0</v>
      </c>
      <c r="I76" s="1021">
        <f t="shared" ca="1" si="194"/>
        <v>0</v>
      </c>
      <c r="J76" s="1021">
        <f t="shared" ca="1" si="194"/>
        <v>0</v>
      </c>
      <c r="K76" s="1021">
        <f t="shared" ca="1" si="194"/>
        <v>0</v>
      </c>
      <c r="L76" s="1021">
        <f t="shared" ca="1" si="194"/>
        <v>0</v>
      </c>
      <c r="M76" s="1021">
        <f t="shared" ca="1" si="194"/>
        <v>0</v>
      </c>
      <c r="N76" s="1021">
        <f t="shared" ca="1" si="194"/>
        <v>0</v>
      </c>
      <c r="O76" s="1021">
        <f t="shared" ca="1" si="194"/>
        <v>0</v>
      </c>
      <c r="P76" s="1021">
        <f t="shared" ca="1" si="194"/>
        <v>0</v>
      </c>
      <c r="Q76" s="1021">
        <f ca="1">SUM(G76:P76)</f>
        <v>0</v>
      </c>
      <c r="S76" s="970">
        <f t="shared" ref="S76:AJ76" ca="1" si="195">S75</f>
        <v>0</v>
      </c>
      <c r="T76" s="970">
        <f t="shared" ca="1" si="195"/>
        <v>52.595999999999997</v>
      </c>
      <c r="U76" s="970">
        <f t="shared" ca="1" si="195"/>
        <v>0</v>
      </c>
      <c r="V76" s="970">
        <f t="shared" ca="1" si="195"/>
        <v>0</v>
      </c>
      <c r="W76" s="970">
        <f t="shared" ca="1" si="195"/>
        <v>0</v>
      </c>
      <c r="X76" s="970">
        <f t="shared" ca="1" si="195"/>
        <v>0</v>
      </c>
      <c r="Y76" s="970">
        <f t="shared" ca="1" si="195"/>
        <v>0</v>
      </c>
      <c r="Z76" s="970">
        <f t="shared" ca="1" si="195"/>
        <v>0</v>
      </c>
      <c r="AA76" s="970">
        <f t="shared" ca="1" si="195"/>
        <v>0</v>
      </c>
      <c r="AB76" s="970">
        <f t="shared" ca="1" si="195"/>
        <v>0</v>
      </c>
      <c r="AC76" s="970">
        <f t="shared" ca="1" si="195"/>
        <v>0</v>
      </c>
      <c r="AD76" s="970">
        <f ca="1">AD75</f>
        <v>0</v>
      </c>
      <c r="AE76" s="970">
        <f ca="1">AE75</f>
        <v>0</v>
      </c>
      <c r="AF76" s="970">
        <f t="shared" ca="1" si="195"/>
        <v>0</v>
      </c>
      <c r="AG76" s="970">
        <f ca="1">AG75</f>
        <v>0</v>
      </c>
      <c r="AH76" s="970">
        <f ca="1">AH75</f>
        <v>0</v>
      </c>
      <c r="AI76" s="970">
        <f ca="1">AI75</f>
        <v>0</v>
      </c>
      <c r="AJ76" s="970">
        <f t="shared" ca="1" si="195"/>
        <v>0</v>
      </c>
      <c r="AK76" s="970">
        <f ca="1">SUM(S76:AJ76)</f>
        <v>52.595999999999997</v>
      </c>
      <c r="AM76" s="976">
        <f ca="1">AM75</f>
        <v>0</v>
      </c>
      <c r="AN76" s="976">
        <f t="shared" ref="AN76:BE76" ca="1" si="196">AN75</f>
        <v>0</v>
      </c>
      <c r="AO76" s="976">
        <f t="shared" ca="1" si="196"/>
        <v>0</v>
      </c>
      <c r="AP76" s="976">
        <f t="shared" ca="1" si="196"/>
        <v>0</v>
      </c>
      <c r="AQ76" s="976">
        <f t="shared" ca="1" si="196"/>
        <v>0</v>
      </c>
      <c r="AR76" s="976">
        <f t="shared" ca="1" si="196"/>
        <v>0</v>
      </c>
      <c r="AS76" s="976">
        <f t="shared" ca="1" si="196"/>
        <v>0</v>
      </c>
      <c r="AT76" s="976">
        <f t="shared" ca="1" si="196"/>
        <v>0</v>
      </c>
      <c r="AU76" s="976">
        <f t="shared" ca="1" si="196"/>
        <v>0</v>
      </c>
      <c r="AV76" s="976">
        <f t="shared" ca="1" si="196"/>
        <v>-160.70999999999998</v>
      </c>
      <c r="AW76" s="976">
        <f t="shared" ca="1" si="196"/>
        <v>0</v>
      </c>
      <c r="AX76" s="976">
        <f t="shared" ca="1" si="196"/>
        <v>0</v>
      </c>
      <c r="AY76" s="976">
        <f t="shared" ca="1" si="196"/>
        <v>0</v>
      </c>
      <c r="AZ76" s="976">
        <f t="shared" ca="1" si="196"/>
        <v>0</v>
      </c>
      <c r="BA76" s="976">
        <f t="shared" ca="1" si="196"/>
        <v>0</v>
      </c>
      <c r="BB76" s="976">
        <f t="shared" ca="1" si="196"/>
        <v>0</v>
      </c>
      <c r="BC76" s="976">
        <f t="shared" ca="1" si="196"/>
        <v>0</v>
      </c>
      <c r="BD76" s="976">
        <f t="shared" ca="1" si="196"/>
        <v>0</v>
      </c>
      <c r="BE76" s="976">
        <f t="shared" ca="1" si="196"/>
        <v>0</v>
      </c>
      <c r="BF76" s="976">
        <f ca="1">SUM(AM76:BE76)</f>
        <v>-160.70999999999998</v>
      </c>
      <c r="BH76" s="990">
        <f ca="1">BH75</f>
        <v>102.85439999999998</v>
      </c>
      <c r="BI76" s="990">
        <f ca="1">BI75</f>
        <v>5.2595999999999998</v>
      </c>
      <c r="BJ76" s="990">
        <f ca="1">SUM(BH76:BI76)</f>
        <v>108.11399999999999</v>
      </c>
      <c r="BL76" s="515">
        <f t="shared" ca="1" si="189"/>
        <v>0</v>
      </c>
      <c r="BM76" s="515"/>
      <c r="BN76" s="840"/>
      <c r="BO76" s="1482">
        <f t="shared" ref="BO76:DF76" ca="1" si="197">BO75</f>
        <v>0</v>
      </c>
      <c r="BP76" s="1482">
        <f t="shared" ca="1" si="197"/>
        <v>0</v>
      </c>
      <c r="BQ76" s="1482">
        <f t="shared" ca="1" si="197"/>
        <v>0</v>
      </c>
      <c r="BR76" s="1482">
        <f t="shared" ca="1" si="197"/>
        <v>0</v>
      </c>
      <c r="BS76" s="1482">
        <f t="shared" ca="1" si="197"/>
        <v>0</v>
      </c>
      <c r="BT76" s="1482">
        <f t="shared" ca="1" si="197"/>
        <v>0</v>
      </c>
      <c r="BU76" s="1482">
        <f t="shared" ca="1" si="197"/>
        <v>0</v>
      </c>
      <c r="BV76" s="1482">
        <f t="shared" ca="1" si="197"/>
        <v>0</v>
      </c>
      <c r="BW76" s="1482">
        <f t="shared" ca="1" si="197"/>
        <v>0</v>
      </c>
      <c r="BX76" s="1482">
        <f t="shared" ca="1" si="197"/>
        <v>0</v>
      </c>
      <c r="BY76" s="1482">
        <f t="shared" ca="1" si="197"/>
        <v>0</v>
      </c>
      <c r="BZ76" s="1482">
        <f t="shared" ca="1" si="197"/>
        <v>0</v>
      </c>
      <c r="CA76" s="1482">
        <f t="shared" ca="1" si="197"/>
        <v>0</v>
      </c>
      <c r="CB76" s="1482">
        <f t="shared" ca="1" si="197"/>
        <v>0</v>
      </c>
      <c r="CC76" s="1482">
        <f t="shared" ca="1" si="197"/>
        <v>0</v>
      </c>
      <c r="CD76" s="1482">
        <f t="shared" ca="1" si="197"/>
        <v>0</v>
      </c>
      <c r="CE76" s="1482">
        <f t="shared" ca="1" si="197"/>
        <v>0</v>
      </c>
      <c r="CF76" s="1482">
        <f t="shared" ca="1" si="197"/>
        <v>0</v>
      </c>
      <c r="CG76" s="1482">
        <f t="shared" ca="1" si="197"/>
        <v>0</v>
      </c>
      <c r="CH76" s="1482">
        <f t="shared" ca="1" si="197"/>
        <v>0</v>
      </c>
      <c r="CI76" s="1482">
        <f t="shared" ca="1" si="197"/>
        <v>0</v>
      </c>
      <c r="CJ76" s="1482">
        <f t="shared" ca="1" si="197"/>
        <v>0</v>
      </c>
      <c r="CK76" s="1482">
        <f t="shared" ca="1" si="197"/>
        <v>0</v>
      </c>
      <c r="CL76" s="1482">
        <f t="shared" ca="1" si="197"/>
        <v>0</v>
      </c>
      <c r="CM76" s="1482">
        <f t="shared" ca="1" si="197"/>
        <v>0</v>
      </c>
      <c r="CN76" s="1482">
        <f t="shared" ca="1" si="197"/>
        <v>0</v>
      </c>
      <c r="CO76" s="1482">
        <f t="shared" ca="1" si="197"/>
        <v>0</v>
      </c>
      <c r="CP76" s="1482">
        <f t="shared" ca="1" si="197"/>
        <v>0</v>
      </c>
      <c r="CQ76" s="1482">
        <f t="shared" ca="1" si="197"/>
        <v>0</v>
      </c>
      <c r="CR76" s="1482">
        <f t="shared" ca="1" si="197"/>
        <v>0</v>
      </c>
      <c r="CS76" s="1482">
        <f t="shared" ca="1" si="197"/>
        <v>0</v>
      </c>
      <c r="CT76" s="1482">
        <f t="shared" ca="1" si="197"/>
        <v>0</v>
      </c>
      <c r="CU76" s="1482">
        <f t="shared" ca="1" si="197"/>
        <v>0</v>
      </c>
      <c r="CV76" s="1482">
        <f t="shared" ca="1" si="197"/>
        <v>0</v>
      </c>
      <c r="CW76" s="1482">
        <f t="shared" ca="1" si="197"/>
        <v>0</v>
      </c>
      <c r="CX76" s="1482">
        <f t="shared" ca="1" si="197"/>
        <v>0</v>
      </c>
      <c r="CY76" s="1482">
        <f t="shared" ca="1" si="197"/>
        <v>0</v>
      </c>
      <c r="CZ76" s="1482">
        <f t="shared" ca="1" si="197"/>
        <v>0</v>
      </c>
      <c r="DA76" s="1482">
        <f t="shared" ca="1" si="197"/>
        <v>0</v>
      </c>
      <c r="DB76" s="1482">
        <f t="shared" ca="1" si="197"/>
        <v>0</v>
      </c>
      <c r="DC76" s="1482">
        <f t="shared" ca="1" si="197"/>
        <v>0</v>
      </c>
      <c r="DD76" s="1482">
        <f t="shared" ca="1" si="197"/>
        <v>0</v>
      </c>
      <c r="DE76" s="1482">
        <f t="shared" ca="1" si="197"/>
        <v>0</v>
      </c>
      <c r="DF76" s="1482">
        <f t="shared" ca="1" si="197"/>
        <v>0</v>
      </c>
      <c r="DH76" s="838">
        <f t="shared" ca="1" si="123"/>
        <v>0</v>
      </c>
    </row>
    <row r="77" spans="1:112" s="743" customFormat="1" ht="12.75" hidden="1" customHeight="1" outlineLevel="1">
      <c r="A77" s="22"/>
      <c r="B77" s="22"/>
      <c r="C77" s="751"/>
      <c r="D77" s="512"/>
      <c r="E77" s="512"/>
      <c r="G77" s="958"/>
      <c r="H77" s="958"/>
      <c r="I77" s="958"/>
      <c r="J77" s="958"/>
      <c r="K77" s="960"/>
      <c r="L77" s="958"/>
      <c r="M77" s="958"/>
      <c r="N77" s="958"/>
      <c r="O77" s="958"/>
      <c r="P77" s="958"/>
      <c r="Q77" s="958"/>
      <c r="S77" s="970"/>
      <c r="T77" s="970"/>
      <c r="U77" s="970"/>
      <c r="V77" s="970"/>
      <c r="W77" s="970"/>
      <c r="X77" s="970"/>
      <c r="Y77" s="970"/>
      <c r="Z77" s="970"/>
      <c r="AA77" s="970"/>
      <c r="AB77" s="970"/>
      <c r="AC77" s="970"/>
      <c r="AD77" s="970"/>
      <c r="AE77" s="970"/>
      <c r="AF77" s="970"/>
      <c r="AG77" s="970"/>
      <c r="AH77" s="970"/>
      <c r="AI77" s="970"/>
      <c r="AJ77" s="970"/>
      <c r="AK77" s="970"/>
      <c r="AM77" s="976"/>
      <c r="AN77" s="976"/>
      <c r="AO77" s="976"/>
      <c r="AP77" s="976"/>
      <c r="AQ77" s="976"/>
      <c r="AR77" s="976"/>
      <c r="AS77" s="976"/>
      <c r="AT77" s="976"/>
      <c r="AU77" s="976"/>
      <c r="AV77" s="976"/>
      <c r="AW77" s="976"/>
      <c r="AX77" s="976"/>
      <c r="AY77" s="976"/>
      <c r="AZ77" s="976"/>
      <c r="BA77" s="976"/>
      <c r="BB77" s="976"/>
      <c r="BC77" s="976"/>
      <c r="BD77" s="976"/>
      <c r="BE77" s="976"/>
      <c r="BF77" s="976"/>
      <c r="BH77" s="990"/>
      <c r="BI77" s="990"/>
      <c r="BJ77" s="990"/>
      <c r="BL77" s="515">
        <f t="shared" si="189"/>
        <v>0</v>
      </c>
      <c r="BM77" s="515"/>
      <c r="BN77" s="22"/>
      <c r="BO77" s="1482"/>
      <c r="BP77" s="1482"/>
      <c r="BQ77" s="1482"/>
      <c r="BR77" s="1482"/>
      <c r="BS77" s="1482"/>
      <c r="BT77" s="1482"/>
      <c r="BU77" s="1482"/>
      <c r="BV77" s="1482"/>
      <c r="BW77" s="1482"/>
      <c r="BX77" s="1482"/>
      <c r="BY77" s="1482"/>
      <c r="BZ77" s="1482"/>
      <c r="CA77" s="1482"/>
      <c r="CB77" s="1482"/>
      <c r="CC77" s="1482"/>
      <c r="CD77" s="1482"/>
      <c r="CE77" s="1482"/>
      <c r="CF77" s="1482"/>
      <c r="CG77" s="1482"/>
      <c r="CH77" s="1482"/>
      <c r="CI77" s="1482"/>
      <c r="CJ77" s="1482"/>
      <c r="CK77" s="1482"/>
      <c r="CL77" s="1482"/>
      <c r="CM77" s="1482"/>
      <c r="CN77" s="1482"/>
      <c r="CO77" s="1482"/>
      <c r="CP77" s="1482"/>
      <c r="CQ77" s="1482"/>
      <c r="CR77" s="1482"/>
      <c r="CS77" s="1482"/>
      <c r="CT77" s="1482"/>
      <c r="CU77" s="1482"/>
      <c r="CV77" s="1482"/>
      <c r="CW77" s="1482"/>
      <c r="CX77" s="1482"/>
      <c r="CY77" s="1482"/>
      <c r="CZ77" s="1482"/>
      <c r="DA77" s="1482"/>
      <c r="DB77" s="1482"/>
      <c r="DC77" s="1482"/>
      <c r="DD77" s="1482"/>
      <c r="DE77" s="1482"/>
      <c r="DF77" s="1482"/>
      <c r="DH77" s="838">
        <f t="shared" si="123"/>
        <v>0</v>
      </c>
    </row>
    <row r="78" spans="1:112" s="1488" customFormat="1" ht="12.75" hidden="1" customHeight="1" outlineLevel="1">
      <c r="C78" s="1048" t="s">
        <v>1720</v>
      </c>
      <c r="D78" s="1049" t="s">
        <v>1334</v>
      </c>
      <c r="E78" s="1049"/>
      <c r="F78" s="743"/>
      <c r="G78" s="1050"/>
      <c r="H78" s="1050"/>
      <c r="I78" s="1050"/>
      <c r="J78" s="1050"/>
      <c r="K78" s="1051"/>
      <c r="L78" s="1050"/>
      <c r="M78" s="1050"/>
      <c r="N78" s="1050"/>
      <c r="O78" s="1050"/>
      <c r="P78" s="1050"/>
      <c r="Q78" s="1050"/>
      <c r="R78" s="743"/>
      <c r="S78" s="1052">
        <f ca="1">S$74+S$76</f>
        <v>-361.16931700791082</v>
      </c>
      <c r="T78" s="1052">
        <f ca="1">T$74+T$76</f>
        <v>44.059088808112847</v>
      </c>
      <c r="U78" s="1052"/>
      <c r="V78" s="1052"/>
      <c r="W78" s="1052"/>
      <c r="X78" s="1052"/>
      <c r="Y78" s="1052"/>
      <c r="Z78" s="1052"/>
      <c r="AA78" s="1052"/>
      <c r="AB78" s="1052"/>
      <c r="AC78" s="1052"/>
      <c r="AD78" s="1052"/>
      <c r="AE78" s="1052"/>
      <c r="AF78" s="1052"/>
      <c r="AG78" s="1052"/>
      <c r="AH78" s="1052"/>
      <c r="AI78" s="1052"/>
      <c r="AJ78" s="1052"/>
      <c r="AK78" s="1052"/>
      <c r="AL78" s="743"/>
      <c r="AM78" s="1053"/>
      <c r="AN78" s="1053"/>
      <c r="AO78" s="1053"/>
      <c r="AP78" s="1053"/>
      <c r="AQ78" s="1053"/>
      <c r="AR78" s="1053"/>
      <c r="AS78" s="1053"/>
      <c r="AT78" s="1053"/>
      <c r="AU78" s="1053"/>
      <c r="AV78" s="1053"/>
      <c r="AW78" s="1053"/>
      <c r="AX78" s="1053"/>
      <c r="AY78" s="1053"/>
      <c r="AZ78" s="1053"/>
      <c r="BA78" s="1053"/>
      <c r="BB78" s="1053"/>
      <c r="BC78" s="1053"/>
      <c r="BD78" s="1053"/>
      <c r="BE78" s="1053"/>
      <c r="BF78" s="1053"/>
      <c r="BG78" s="743"/>
      <c r="BH78" s="1054"/>
      <c r="BI78" s="1054"/>
      <c r="BJ78" s="1054"/>
      <c r="BK78" s="743"/>
      <c r="BL78" s="852">
        <f t="shared" si="189"/>
        <v>0</v>
      </c>
      <c r="BM78" s="852"/>
      <c r="BO78" s="1490"/>
      <c r="BP78" s="1490"/>
      <c r="BQ78" s="1490"/>
      <c r="BR78" s="1490"/>
      <c r="BS78" s="1490"/>
      <c r="BT78" s="1490"/>
      <c r="BU78" s="1490"/>
      <c r="BV78" s="1490"/>
      <c r="BW78" s="1490"/>
      <c r="BX78" s="1490"/>
      <c r="BY78" s="1490"/>
      <c r="BZ78" s="1490"/>
      <c r="CA78" s="1490"/>
      <c r="CB78" s="1490"/>
      <c r="CC78" s="1490"/>
      <c r="CD78" s="1490"/>
      <c r="CE78" s="1490"/>
      <c r="CF78" s="1490"/>
      <c r="CG78" s="1490"/>
      <c r="CH78" s="1490"/>
      <c r="CI78" s="1490"/>
      <c r="CJ78" s="1490"/>
      <c r="CK78" s="1490"/>
      <c r="CL78" s="1490"/>
      <c r="CM78" s="1490"/>
      <c r="CN78" s="1490"/>
      <c r="CO78" s="1490"/>
      <c r="CP78" s="1490"/>
      <c r="CQ78" s="1490"/>
      <c r="CR78" s="1490"/>
      <c r="CS78" s="1490"/>
      <c r="CT78" s="1490"/>
      <c r="CU78" s="1490"/>
      <c r="CV78" s="1490"/>
      <c r="CW78" s="1490"/>
      <c r="CX78" s="1490"/>
      <c r="CY78" s="1490"/>
      <c r="CZ78" s="1490"/>
      <c r="DA78" s="1490"/>
      <c r="DB78" s="1490"/>
      <c r="DC78" s="1490"/>
      <c r="DD78" s="1490"/>
      <c r="DE78" s="1490"/>
      <c r="DF78" s="1490"/>
      <c r="DH78" s="838">
        <f t="shared" si="123"/>
        <v>0</v>
      </c>
    </row>
    <row r="79" spans="1:112" s="1484" customFormat="1" ht="12.75" hidden="1" customHeight="1" outlineLevel="1">
      <c r="C79" s="746" t="s">
        <v>878</v>
      </c>
      <c r="D79" s="521" t="str">
        <f>INDEX(Modules[Module], MATCH($C79, Modules[Code], 0))</f>
        <v>Combustion + CCS</v>
      </c>
      <c r="E79" s="521"/>
      <c r="F79" s="743"/>
      <c r="G79" s="2013">
        <f t="shared" ref="G79:P79" ca="1" si="198">IFERROR(INDEX(INDIRECT($C79&amp;".Outputs["&amp;this.Year&amp;"]"), MATCH(G$5, INDIRECT($C79&amp;".Outputs[Vector]"), 0)), 0)</f>
        <v>0</v>
      </c>
      <c r="H79" s="2013">
        <f t="shared" ca="1" si="198"/>
        <v>0</v>
      </c>
      <c r="I79" s="2013">
        <f t="shared" ca="1" si="198"/>
        <v>0</v>
      </c>
      <c r="J79" s="2013">
        <f t="shared" ca="1" si="198"/>
        <v>0</v>
      </c>
      <c r="K79" s="2013">
        <f t="shared" ca="1" si="198"/>
        <v>0</v>
      </c>
      <c r="L79" s="2013">
        <f t="shared" ca="1" si="198"/>
        <v>0</v>
      </c>
      <c r="M79" s="2013">
        <f t="shared" ca="1" si="198"/>
        <v>0</v>
      </c>
      <c r="N79" s="2013">
        <f t="shared" ca="1" si="198"/>
        <v>0</v>
      </c>
      <c r="O79" s="2013">
        <f t="shared" ca="1" si="198"/>
        <v>0</v>
      </c>
      <c r="P79" s="2013">
        <f t="shared" ca="1" si="198"/>
        <v>0</v>
      </c>
      <c r="Q79" s="2014">
        <f ca="1">SUM(G79:P79)</f>
        <v>0</v>
      </c>
      <c r="R79" s="743"/>
      <c r="S79" s="2015">
        <f t="shared" ref="S79:BE79" ca="1" si="199">IFERROR(INDEX(INDIRECT($C79&amp;".Outputs["&amp;this.Year&amp;"]"), MATCH(S$5, INDIRECT($C79&amp;".Outputs[Vector]"), 0)), 0)</f>
        <v>0</v>
      </c>
      <c r="T79" s="2015">
        <f t="shared" ca="1" si="199"/>
        <v>0</v>
      </c>
      <c r="U79" s="2015">
        <f t="shared" ca="1" si="199"/>
        <v>0</v>
      </c>
      <c r="V79" s="2015">
        <f t="shared" ca="1" si="199"/>
        <v>0</v>
      </c>
      <c r="W79" s="2015">
        <f t="shared" ca="1" si="199"/>
        <v>0</v>
      </c>
      <c r="X79" s="2015">
        <f ca="1">IFERROR(INDEX(INDIRECT($C79&amp;".Outputs["&amp;this.Year&amp;"]"), MATCH(X$5, INDIRECT($C79&amp;".Outputs[Vector]"), 0)), 0)</f>
        <v>0</v>
      </c>
      <c r="Y79" s="2015">
        <f ca="1">IFERROR(INDEX(INDIRECT($C79&amp;".Outputs["&amp;this.Year&amp;"]"), MATCH(Y$5, INDIRECT($C79&amp;".Outputs[Vector]"), 0)), 0)</f>
        <v>0</v>
      </c>
      <c r="Z79" s="2015">
        <f ca="1">IFERROR(INDEX(INDIRECT($C79&amp;".Outputs["&amp;this.Year&amp;"]"), MATCH(Z$5, INDIRECT($C79&amp;".Outputs[Vector]"), 0)), 0)</f>
        <v>0</v>
      </c>
      <c r="AA79" s="2015">
        <f t="shared" ca="1" si="199"/>
        <v>0</v>
      </c>
      <c r="AB79" s="2015">
        <f t="shared" ca="1" si="199"/>
        <v>0</v>
      </c>
      <c r="AC79" s="2015">
        <f t="shared" ca="1" si="199"/>
        <v>0</v>
      </c>
      <c r="AD79" s="2015">
        <f t="shared" ca="1" si="199"/>
        <v>0</v>
      </c>
      <c r="AE79" s="2015">
        <f t="shared" ca="1" si="199"/>
        <v>0</v>
      </c>
      <c r="AF79" s="2015">
        <f t="shared" ca="1" si="199"/>
        <v>0</v>
      </c>
      <c r="AG79" s="2015">
        <f t="shared" ca="1" si="199"/>
        <v>0</v>
      </c>
      <c r="AH79" s="2015">
        <f t="shared" ca="1" si="199"/>
        <v>0</v>
      </c>
      <c r="AI79" s="2015">
        <f t="shared" ca="1" si="199"/>
        <v>0</v>
      </c>
      <c r="AJ79" s="2015">
        <f t="shared" ca="1" si="199"/>
        <v>0</v>
      </c>
      <c r="AK79" s="2016">
        <f ca="1">SUM(S79:AJ79)</f>
        <v>0</v>
      </c>
      <c r="AL79" s="743"/>
      <c r="AM79" s="2017">
        <f t="shared" ref="AM79:AU79" ca="1" si="200">IFERROR(INDEX(INDIRECT($C79&amp;".Outputs["&amp;this.Year&amp;"]"), MATCH(AM$5, INDIRECT($C79&amp;".Outputs[Vector]"), 0)), 0)</f>
        <v>0</v>
      </c>
      <c r="AN79" s="2017">
        <f t="shared" ca="1" si="200"/>
        <v>0</v>
      </c>
      <c r="AO79" s="2017">
        <f t="shared" ca="1" si="200"/>
        <v>0</v>
      </c>
      <c r="AP79" s="2017">
        <f t="shared" ca="1" si="200"/>
        <v>0</v>
      </c>
      <c r="AQ79" s="2017">
        <f t="shared" ca="1" si="200"/>
        <v>0</v>
      </c>
      <c r="AR79" s="2017">
        <f t="shared" ca="1" si="200"/>
        <v>0</v>
      </c>
      <c r="AS79" s="2017">
        <f t="shared" ca="1" si="200"/>
        <v>0</v>
      </c>
      <c r="AT79" s="2017">
        <f t="shared" ca="1" si="200"/>
        <v>0</v>
      </c>
      <c r="AU79" s="2017">
        <f t="shared" ca="1" si="200"/>
        <v>0</v>
      </c>
      <c r="AV79" s="2017">
        <f t="shared" ca="1" si="199"/>
        <v>0</v>
      </c>
      <c r="AW79" s="2017">
        <f t="shared" ca="1" si="199"/>
        <v>0</v>
      </c>
      <c r="AX79" s="2017">
        <f t="shared" ca="1" si="199"/>
        <v>0</v>
      </c>
      <c r="AY79" s="2017">
        <f t="shared" ca="1" si="199"/>
        <v>0</v>
      </c>
      <c r="AZ79" s="2017">
        <f t="shared" ca="1" si="199"/>
        <v>0</v>
      </c>
      <c r="BA79" s="2017">
        <f t="shared" ca="1" si="199"/>
        <v>0</v>
      </c>
      <c r="BB79" s="2017">
        <f t="shared" ca="1" si="199"/>
        <v>0</v>
      </c>
      <c r="BC79" s="2017">
        <f t="shared" ca="1" si="199"/>
        <v>0</v>
      </c>
      <c r="BD79" s="2017">
        <f t="shared" ca="1" si="199"/>
        <v>0</v>
      </c>
      <c r="BE79" s="2017">
        <f t="shared" ca="1" si="199"/>
        <v>0</v>
      </c>
      <c r="BF79" s="2018">
        <f ca="1">SUM(AM79:BE79)</f>
        <v>0</v>
      </c>
      <c r="BG79" s="743"/>
      <c r="BH79" s="2019">
        <f ca="1">IFERROR(INDEX(INDIRECT($C79&amp;".Outputs["&amp;this.Year&amp;"]"), MATCH(BH$5, INDIRECT($C79&amp;".Outputs[Vector]"), 0)), 0)</f>
        <v>0</v>
      </c>
      <c r="BI79" s="2019">
        <f ca="1">IFERROR(INDEX(INDIRECT($C79&amp;".Outputs["&amp;this.Year&amp;"]"), MATCH(BI$5, INDIRECT($C79&amp;".Outputs[Vector]"), 0)), 0)</f>
        <v>0</v>
      </c>
      <c r="BJ79" s="2020">
        <f ca="1">SUM(BH79:BI79)</f>
        <v>0</v>
      </c>
      <c r="BK79" s="743"/>
      <c r="BL79" s="814">
        <f t="shared" ca="1" si="189"/>
        <v>0</v>
      </c>
      <c r="BM79" s="814"/>
      <c r="BN79" s="840"/>
      <c r="BO79" s="1481">
        <f t="shared" ref="BO79:DF79" ca="1" si="201">IFERROR(SUMIFS(INDIRECT($C79&amp;".Emissions["&amp;this.Year&amp;"]"), INDIRECT($C79&amp;".Emissions[GHG]"), BO$6, INDIRECT($C79&amp;".Emissions[IPCC Sector]"), BO$5),0)</f>
        <v>0</v>
      </c>
      <c r="BP79" s="1482">
        <f t="shared" ca="1" si="201"/>
        <v>0</v>
      </c>
      <c r="BQ79" s="1482">
        <f t="shared" ca="1" si="201"/>
        <v>0</v>
      </c>
      <c r="BR79" s="1482">
        <f t="shared" ca="1" si="201"/>
        <v>0</v>
      </c>
      <c r="BS79" s="1482">
        <f t="shared" ca="1" si="201"/>
        <v>0</v>
      </c>
      <c r="BT79" s="1482">
        <f t="shared" ca="1" si="201"/>
        <v>0</v>
      </c>
      <c r="BU79" s="1482">
        <f t="shared" ca="1" si="201"/>
        <v>0</v>
      </c>
      <c r="BV79" s="1482">
        <f t="shared" ca="1" si="201"/>
        <v>0</v>
      </c>
      <c r="BW79" s="1482">
        <f t="shared" ca="1" si="201"/>
        <v>0</v>
      </c>
      <c r="BX79" s="1482">
        <f t="shared" ca="1" si="201"/>
        <v>0</v>
      </c>
      <c r="BY79" s="1482">
        <f t="shared" ca="1" si="201"/>
        <v>0</v>
      </c>
      <c r="BZ79" s="1482">
        <f t="shared" ca="1" si="201"/>
        <v>0</v>
      </c>
      <c r="CA79" s="1482">
        <f t="shared" ca="1" si="201"/>
        <v>0</v>
      </c>
      <c r="CB79" s="1482">
        <f t="shared" ca="1" si="201"/>
        <v>0</v>
      </c>
      <c r="CC79" s="1482">
        <f t="shared" ca="1" si="201"/>
        <v>0</v>
      </c>
      <c r="CD79" s="1482">
        <f t="shared" ca="1" si="201"/>
        <v>0</v>
      </c>
      <c r="CE79" s="1482">
        <f t="shared" ca="1" si="201"/>
        <v>0</v>
      </c>
      <c r="CF79" s="1482">
        <f t="shared" ca="1" si="201"/>
        <v>0</v>
      </c>
      <c r="CG79" s="1482">
        <f t="shared" ca="1" si="201"/>
        <v>0</v>
      </c>
      <c r="CH79" s="1482">
        <f t="shared" ca="1" si="201"/>
        <v>0</v>
      </c>
      <c r="CI79" s="1482">
        <f t="shared" ca="1" si="201"/>
        <v>0</v>
      </c>
      <c r="CJ79" s="1482">
        <f t="shared" ca="1" si="201"/>
        <v>0</v>
      </c>
      <c r="CK79" s="1482">
        <f t="shared" ca="1" si="201"/>
        <v>0</v>
      </c>
      <c r="CL79" s="1482">
        <f t="shared" ca="1" si="201"/>
        <v>0</v>
      </c>
      <c r="CM79" s="1482">
        <f t="shared" ca="1" si="201"/>
        <v>0</v>
      </c>
      <c r="CN79" s="1482">
        <f t="shared" ca="1" si="201"/>
        <v>0</v>
      </c>
      <c r="CO79" s="1482">
        <f t="shared" ca="1" si="201"/>
        <v>0</v>
      </c>
      <c r="CP79" s="1482">
        <f t="shared" ca="1" si="201"/>
        <v>0</v>
      </c>
      <c r="CQ79" s="1482">
        <f t="shared" ca="1" si="201"/>
        <v>0</v>
      </c>
      <c r="CR79" s="1482">
        <f t="shared" ca="1" si="201"/>
        <v>0</v>
      </c>
      <c r="CS79" s="1482">
        <f t="shared" ca="1" si="201"/>
        <v>0</v>
      </c>
      <c r="CT79" s="1482">
        <f t="shared" ca="1" si="201"/>
        <v>0</v>
      </c>
      <c r="CU79" s="1482">
        <f t="shared" ca="1" si="201"/>
        <v>0</v>
      </c>
      <c r="CV79" s="1482">
        <f t="shared" ca="1" si="201"/>
        <v>0</v>
      </c>
      <c r="CW79" s="1482">
        <f t="shared" ca="1" si="201"/>
        <v>0</v>
      </c>
      <c r="CX79" s="1482">
        <f t="shared" ca="1" si="201"/>
        <v>0</v>
      </c>
      <c r="CY79" s="1482">
        <f t="shared" ca="1" si="201"/>
        <v>0</v>
      </c>
      <c r="CZ79" s="1482">
        <f t="shared" ca="1" si="201"/>
        <v>0</v>
      </c>
      <c r="DA79" s="1482">
        <f t="shared" ca="1" si="201"/>
        <v>0</v>
      </c>
      <c r="DB79" s="1482">
        <f t="shared" ca="1" si="201"/>
        <v>0</v>
      </c>
      <c r="DC79" s="1482">
        <f t="shared" ca="1" si="201"/>
        <v>0</v>
      </c>
      <c r="DD79" s="1482">
        <f t="shared" ca="1" si="201"/>
        <v>0</v>
      </c>
      <c r="DE79" s="1482">
        <f t="shared" ca="1" si="201"/>
        <v>0</v>
      </c>
      <c r="DF79" s="1482">
        <f t="shared" ca="1" si="201"/>
        <v>0</v>
      </c>
      <c r="DH79" s="838">
        <f t="shared" ca="1" si="123"/>
        <v>0</v>
      </c>
    </row>
    <row r="80" spans="1:112" s="1491" customFormat="1" ht="12.75" hidden="1" customHeight="1" outlineLevel="1">
      <c r="C80" s="1534" t="s">
        <v>1721</v>
      </c>
      <c r="D80" s="1049" t="s">
        <v>1334</v>
      </c>
      <c r="E80" s="1535"/>
      <c r="F80" s="1957"/>
      <c r="G80" s="1070"/>
      <c r="H80" s="1070"/>
      <c r="I80" s="1070"/>
      <c r="J80" s="1070"/>
      <c r="K80" s="1071"/>
      <c r="L80" s="1070"/>
      <c r="M80" s="1070"/>
      <c r="N80" s="1070"/>
      <c r="O80" s="1070"/>
      <c r="P80" s="1070"/>
      <c r="Q80" s="1070"/>
      <c r="R80" s="1957"/>
      <c r="S80" s="1072">
        <f ca="1">S78+S79</f>
        <v>-361.16931700791082</v>
      </c>
      <c r="T80" s="1072">
        <f ca="1">T78+T79</f>
        <v>44.059088808112847</v>
      </c>
      <c r="U80" s="1072"/>
      <c r="V80" s="1072"/>
      <c r="W80" s="1072"/>
      <c r="X80" s="1072"/>
      <c r="Y80" s="1072"/>
      <c r="Z80" s="1072"/>
      <c r="AA80" s="1072"/>
      <c r="AB80" s="1072"/>
      <c r="AC80" s="1072"/>
      <c r="AD80" s="1072"/>
      <c r="AE80" s="1072"/>
      <c r="AF80" s="1072"/>
      <c r="AG80" s="1072"/>
      <c r="AH80" s="1072"/>
      <c r="AI80" s="1072"/>
      <c r="AJ80" s="1072"/>
      <c r="AK80" s="1072"/>
      <c r="AL80" s="1957"/>
      <c r="AM80" s="1073"/>
      <c r="AN80" s="1073"/>
      <c r="AO80" s="1073"/>
      <c r="AP80" s="1073"/>
      <c r="AQ80" s="1073"/>
      <c r="AR80" s="1073"/>
      <c r="AS80" s="1073"/>
      <c r="AT80" s="1073"/>
      <c r="AU80" s="1073"/>
      <c r="AV80" s="1073"/>
      <c r="AW80" s="1073"/>
      <c r="AX80" s="1073"/>
      <c r="AY80" s="1073"/>
      <c r="AZ80" s="1073"/>
      <c r="BA80" s="1073"/>
      <c r="BB80" s="1073"/>
      <c r="BC80" s="1073"/>
      <c r="BD80" s="1073"/>
      <c r="BE80" s="1073"/>
      <c r="BF80" s="1073"/>
      <c r="BG80" s="1957"/>
      <c r="BH80" s="1074"/>
      <c r="BI80" s="1074"/>
      <c r="BJ80" s="1074"/>
      <c r="BK80" s="1957"/>
      <c r="BL80" s="1536">
        <f t="shared" si="189"/>
        <v>0</v>
      </c>
      <c r="BM80" s="1536"/>
      <c r="BO80" s="1963"/>
      <c r="BP80" s="1963"/>
      <c r="BQ80" s="1963"/>
      <c r="BR80" s="1963"/>
      <c r="BS80" s="1963"/>
      <c r="BT80" s="1963"/>
      <c r="BU80" s="1963"/>
      <c r="BV80" s="1963"/>
      <c r="BW80" s="1963"/>
      <c r="BX80" s="1963"/>
      <c r="BY80" s="1963"/>
      <c r="BZ80" s="1963"/>
      <c r="CA80" s="1963"/>
      <c r="CB80" s="1963"/>
      <c r="CC80" s="1963"/>
      <c r="CD80" s="1963"/>
      <c r="CE80" s="1963"/>
      <c r="CF80" s="1963"/>
      <c r="CG80" s="1963"/>
      <c r="CH80" s="1963"/>
      <c r="CI80" s="1963"/>
      <c r="CJ80" s="1963"/>
      <c r="CK80" s="1963"/>
      <c r="CL80" s="1963"/>
      <c r="CM80" s="1963"/>
      <c r="CN80" s="1963"/>
      <c r="CO80" s="1963"/>
      <c r="CP80" s="1963"/>
      <c r="CQ80" s="1963"/>
      <c r="CR80" s="1963"/>
      <c r="CS80" s="1963"/>
      <c r="CT80" s="1963"/>
      <c r="CU80" s="1963"/>
      <c r="CV80" s="1963"/>
      <c r="CW80" s="1963"/>
      <c r="CX80" s="1963"/>
      <c r="CY80" s="1963"/>
      <c r="CZ80" s="1963"/>
      <c r="DA80" s="1963"/>
      <c r="DB80" s="1963"/>
      <c r="DC80" s="1963"/>
      <c r="DD80" s="1963"/>
      <c r="DE80" s="1963"/>
      <c r="DF80" s="1963"/>
      <c r="DH80" s="1962">
        <f t="shared" si="123"/>
        <v>0</v>
      </c>
    </row>
    <row r="81" spans="1:112" s="1484" customFormat="1" ht="12.75" hidden="1" customHeight="1" outlineLevel="1">
      <c r="C81" s="746" t="s">
        <v>742</v>
      </c>
      <c r="D81" s="521" t="str">
        <f>INDEX(Modules[Module], MATCH($C81, Modules[Code], 0))</f>
        <v>Conventional thermal plant</v>
      </c>
      <c r="E81" s="521"/>
      <c r="F81" s="743"/>
      <c r="G81" s="1022">
        <f t="shared" ref="G81:P81" ca="1" si="202">IFERROR(INDEX(INDIRECT($C81&amp;".Outputs["&amp;this.Year&amp;"]"), MATCH(G$5, INDIRECT($C81&amp;".Outputs[Vector]"), 0)), 0)</f>
        <v>0</v>
      </c>
      <c r="H81" s="1022">
        <f t="shared" ca="1" si="202"/>
        <v>0</v>
      </c>
      <c r="I81" s="1022">
        <f t="shared" ca="1" si="202"/>
        <v>0</v>
      </c>
      <c r="J81" s="1022">
        <f t="shared" ca="1" si="202"/>
        <v>0</v>
      </c>
      <c r="K81" s="1022">
        <f t="shared" ca="1" si="202"/>
        <v>0</v>
      </c>
      <c r="L81" s="1022">
        <f t="shared" ca="1" si="202"/>
        <v>0</v>
      </c>
      <c r="M81" s="1022">
        <f t="shared" ca="1" si="202"/>
        <v>0</v>
      </c>
      <c r="N81" s="1022">
        <f t="shared" ca="1" si="202"/>
        <v>0</v>
      </c>
      <c r="O81" s="1022">
        <f t="shared" ca="1" si="202"/>
        <v>0</v>
      </c>
      <c r="P81" s="1022">
        <f t="shared" ca="1" si="202"/>
        <v>0</v>
      </c>
      <c r="Q81" s="1020">
        <f ca="1">SUM(G81:P81)</f>
        <v>0</v>
      </c>
      <c r="R81" s="743"/>
      <c r="S81" s="1031">
        <f t="shared" ref="S81:BE81" ca="1" si="203">IFERROR(INDEX(INDIRECT($C81&amp;".Outputs["&amp;this.Year&amp;"]"), MATCH(S$5, INDIRECT($C81&amp;".Outputs[Vector]"), 0)), 0)</f>
        <v>0</v>
      </c>
      <c r="T81" s="1031">
        <f t="shared" ca="1" si="203"/>
        <v>317.11022819979797</v>
      </c>
      <c r="U81" s="1031">
        <f t="shared" ca="1" si="203"/>
        <v>-363.03863039999999</v>
      </c>
      <c r="V81" s="1031">
        <f t="shared" ca="1" si="203"/>
        <v>-7.9483075200000011</v>
      </c>
      <c r="W81" s="1031">
        <f t="shared" ca="1" si="203"/>
        <v>-395.98496002038786</v>
      </c>
      <c r="X81" s="1031">
        <f ca="1">IFERROR(INDEX(INDIRECT($C81&amp;".Outputs["&amp;this.Year&amp;"]"), MATCH(X$5, INDIRECT($C81&amp;".Outputs[Vector]"), 0)), 0)</f>
        <v>0</v>
      </c>
      <c r="Y81" s="1031">
        <f ca="1">IFERROR(INDEX(INDIRECT($C81&amp;".Outputs["&amp;this.Year&amp;"]"), MATCH(Y$5, INDIRECT($C81&amp;".Outputs[Vector]"), 0)), 0)</f>
        <v>0</v>
      </c>
      <c r="Z81" s="1031">
        <f ca="1">IFERROR(INDEX(INDIRECT($C81&amp;".Outputs["&amp;this.Year&amp;"]"), MATCH(Z$5, INDIRECT($C81&amp;".Outputs[Vector]"), 0)), 0)</f>
        <v>0</v>
      </c>
      <c r="AA81" s="1031">
        <f t="shared" ca="1" si="203"/>
        <v>0</v>
      </c>
      <c r="AB81" s="1031">
        <f t="shared" ca="1" si="203"/>
        <v>0</v>
      </c>
      <c r="AC81" s="1031">
        <f t="shared" ca="1" si="203"/>
        <v>0</v>
      </c>
      <c r="AD81" s="1031">
        <f t="shared" ca="1" si="203"/>
        <v>0</v>
      </c>
      <c r="AE81" s="1031">
        <f t="shared" ca="1" si="203"/>
        <v>0</v>
      </c>
      <c r="AF81" s="1031">
        <f t="shared" ca="1" si="203"/>
        <v>0</v>
      </c>
      <c r="AG81" s="1031">
        <f t="shared" ca="1" si="203"/>
        <v>0</v>
      </c>
      <c r="AH81" s="1031">
        <f t="shared" ca="1" si="203"/>
        <v>0</v>
      </c>
      <c r="AI81" s="1031">
        <f t="shared" ca="1" si="203"/>
        <v>0</v>
      </c>
      <c r="AJ81" s="1031">
        <f t="shared" ca="1" si="203"/>
        <v>0</v>
      </c>
      <c r="AK81" s="1030">
        <f ca="1">SUM(S81:AJ81)</f>
        <v>-449.86166974058989</v>
      </c>
      <c r="AL81" s="743"/>
      <c r="AM81" s="1042">
        <f t="shared" ref="AM81:AU81" ca="1" si="204">IFERROR(INDEX(INDIRECT($C81&amp;".Outputs["&amp;this.Year&amp;"]"), MATCH(AM$5, INDIRECT($C81&amp;".Outputs[Vector]"), 0)), 0)</f>
        <v>0</v>
      </c>
      <c r="AN81" s="1042">
        <f t="shared" ca="1" si="204"/>
        <v>0</v>
      </c>
      <c r="AO81" s="1042">
        <f t="shared" ca="1" si="204"/>
        <v>0</v>
      </c>
      <c r="AP81" s="1042">
        <f t="shared" ca="1" si="204"/>
        <v>0</v>
      </c>
      <c r="AQ81" s="1042">
        <f t="shared" ca="1" si="204"/>
        <v>0</v>
      </c>
      <c r="AR81" s="1042">
        <f t="shared" ca="1" si="204"/>
        <v>0</v>
      </c>
      <c r="AS81" s="1042">
        <f t="shared" ca="1" si="204"/>
        <v>0</v>
      </c>
      <c r="AT81" s="1042">
        <f t="shared" ca="1" si="204"/>
        <v>0</v>
      </c>
      <c r="AU81" s="1042">
        <f t="shared" ca="1" si="204"/>
        <v>0</v>
      </c>
      <c r="AV81" s="1042">
        <f t="shared" ca="1" si="203"/>
        <v>0</v>
      </c>
      <c r="AW81" s="1042">
        <f t="shared" ca="1" si="203"/>
        <v>0</v>
      </c>
      <c r="AX81" s="1042">
        <f t="shared" ca="1" si="203"/>
        <v>0</v>
      </c>
      <c r="AY81" s="1042">
        <f t="shared" ca="1" si="203"/>
        <v>0</v>
      </c>
      <c r="AZ81" s="1042">
        <f t="shared" ca="1" si="203"/>
        <v>0</v>
      </c>
      <c r="BA81" s="1042">
        <f t="shared" ca="1" si="203"/>
        <v>0</v>
      </c>
      <c r="BB81" s="1042">
        <f t="shared" ca="1" si="203"/>
        <v>0</v>
      </c>
      <c r="BC81" s="1042">
        <f t="shared" ca="1" si="203"/>
        <v>0</v>
      </c>
      <c r="BD81" s="1042">
        <f t="shared" ca="1" si="203"/>
        <v>0</v>
      </c>
      <c r="BE81" s="1042">
        <f t="shared" ca="1" si="203"/>
        <v>0</v>
      </c>
      <c r="BF81" s="1012">
        <f ca="1">SUM(AM81:BE81)</f>
        <v>0</v>
      </c>
      <c r="BG81" s="743"/>
      <c r="BH81" s="1036">
        <f ca="1">IFERROR(INDEX(INDIRECT($C81&amp;".Outputs["&amp;this.Year&amp;"]"), MATCH(BH$5, INDIRECT($C81&amp;".Outputs[Vector]"), 0)), 0)</f>
        <v>439.53140503419388</v>
      </c>
      <c r="BI81" s="1036">
        <f ca="1">IFERROR(INDEX(INDIRECT($C81&amp;".Outputs["&amp;this.Year&amp;"]"), MATCH(BI$5, INDIRECT($C81&amp;".Outputs[Vector]"), 0)), 0)</f>
        <v>10.330264706395958</v>
      </c>
      <c r="BJ81" s="1035">
        <f ca="1">SUM(BH81:BI81)</f>
        <v>449.86166974058983</v>
      </c>
      <c r="BK81" s="743"/>
      <c r="BL81" s="814">
        <f t="shared" ref="BL81:BL87" ca="1" si="205">Q81+AK81+BF81+BJ81</f>
        <v>0</v>
      </c>
      <c r="BM81" s="814"/>
      <c r="BN81" s="840"/>
      <c r="BO81" s="1485">
        <f t="shared" ref="BO81:DF81" ca="1" si="206">IFERROR(SUMIFS(INDIRECT($C81&amp;".Emissions["&amp;this.Year&amp;"]"), INDIRECT($C81&amp;".Emissions[GHG]"), BO$6, INDIRECT($C81&amp;".Emissions[IPCC Sector]"), BO$5),0)</f>
        <v>186.66420768695133</v>
      </c>
      <c r="BP81" s="1486">
        <f t="shared" ca="1" si="206"/>
        <v>0.47699790359778094</v>
      </c>
      <c r="BQ81" s="1486">
        <f t="shared" ca="1" si="206"/>
        <v>1.1833573431527158</v>
      </c>
      <c r="BR81" s="1486">
        <f t="shared" ca="1" si="206"/>
        <v>0</v>
      </c>
      <c r="BS81" s="1486">
        <f t="shared" ca="1" si="206"/>
        <v>0</v>
      </c>
      <c r="BT81" s="1486">
        <f t="shared" ca="1" si="206"/>
        <v>0</v>
      </c>
      <c r="BU81" s="1486">
        <f t="shared" ca="1" si="206"/>
        <v>0</v>
      </c>
      <c r="BV81" s="1486">
        <f t="shared" ca="1" si="206"/>
        <v>0</v>
      </c>
      <c r="BW81" s="1486">
        <f t="shared" ca="1" si="206"/>
        <v>0</v>
      </c>
      <c r="BX81" s="1486">
        <f t="shared" ca="1" si="206"/>
        <v>0</v>
      </c>
      <c r="BY81" s="1486">
        <f t="shared" ca="1" si="206"/>
        <v>0</v>
      </c>
      <c r="BZ81" s="1486">
        <f t="shared" ca="1" si="206"/>
        <v>0</v>
      </c>
      <c r="CA81" s="1486">
        <f t="shared" ca="1" si="206"/>
        <v>0</v>
      </c>
      <c r="CB81" s="1486">
        <f t="shared" ca="1" si="206"/>
        <v>0</v>
      </c>
      <c r="CC81" s="1486">
        <f t="shared" ca="1" si="206"/>
        <v>0</v>
      </c>
      <c r="CD81" s="1486">
        <f t="shared" ca="1" si="206"/>
        <v>0</v>
      </c>
      <c r="CE81" s="1486">
        <f t="shared" ca="1" si="206"/>
        <v>0</v>
      </c>
      <c r="CF81" s="1486">
        <f t="shared" ca="1" si="206"/>
        <v>0</v>
      </c>
      <c r="CG81" s="1486">
        <f t="shared" ca="1" si="206"/>
        <v>0</v>
      </c>
      <c r="CH81" s="1486">
        <f t="shared" ca="1" si="206"/>
        <v>0</v>
      </c>
      <c r="CI81" s="1486">
        <f t="shared" ca="1" si="206"/>
        <v>0</v>
      </c>
      <c r="CJ81" s="1486">
        <f t="shared" ca="1" si="206"/>
        <v>0</v>
      </c>
      <c r="CK81" s="1486">
        <f t="shared" ca="1" si="206"/>
        <v>0</v>
      </c>
      <c r="CL81" s="1486">
        <f t="shared" ca="1" si="206"/>
        <v>0</v>
      </c>
      <c r="CM81" s="1486">
        <f t="shared" ca="1" si="206"/>
        <v>0</v>
      </c>
      <c r="CN81" s="1486">
        <f t="shared" ca="1" si="206"/>
        <v>0</v>
      </c>
      <c r="CO81" s="1486">
        <f t="shared" ca="1" si="206"/>
        <v>0</v>
      </c>
      <c r="CP81" s="1486">
        <f t="shared" ca="1" si="206"/>
        <v>0</v>
      </c>
      <c r="CQ81" s="1486">
        <f t="shared" ca="1" si="206"/>
        <v>0</v>
      </c>
      <c r="CR81" s="1486">
        <f t="shared" ca="1" si="206"/>
        <v>0</v>
      </c>
      <c r="CS81" s="1486">
        <f t="shared" ca="1" si="206"/>
        <v>0</v>
      </c>
      <c r="CT81" s="1486">
        <f t="shared" ca="1" si="206"/>
        <v>0</v>
      </c>
      <c r="CU81" s="1486">
        <f t="shared" ca="1" si="206"/>
        <v>0</v>
      </c>
      <c r="CV81" s="1486">
        <f t="shared" ca="1" si="206"/>
        <v>0</v>
      </c>
      <c r="CW81" s="1486">
        <f t="shared" ca="1" si="206"/>
        <v>0</v>
      </c>
      <c r="CX81" s="1486">
        <f t="shared" ca="1" si="206"/>
        <v>0</v>
      </c>
      <c r="CY81" s="1486">
        <f t="shared" ca="1" si="206"/>
        <v>0</v>
      </c>
      <c r="CZ81" s="1486">
        <f t="shared" ca="1" si="206"/>
        <v>0</v>
      </c>
      <c r="DA81" s="1486">
        <f t="shared" ca="1" si="206"/>
        <v>0</v>
      </c>
      <c r="DB81" s="1486">
        <f t="shared" ca="1" si="206"/>
        <v>0</v>
      </c>
      <c r="DC81" s="1486">
        <f t="shared" ca="1" si="206"/>
        <v>0</v>
      </c>
      <c r="DD81" s="1486">
        <f t="shared" ca="1" si="206"/>
        <v>0</v>
      </c>
      <c r="DE81" s="1486">
        <f t="shared" ca="1" si="206"/>
        <v>0</v>
      </c>
      <c r="DF81" s="1486">
        <f t="shared" ca="1" si="206"/>
        <v>0</v>
      </c>
      <c r="DH81" s="838">
        <f t="shared" ca="1" si="123"/>
        <v>188.32456293370183</v>
      </c>
    </row>
    <row r="82" spans="1:112" s="743" customFormat="1" ht="15.75" collapsed="1">
      <c r="A82" s="22"/>
      <c r="B82" s="753"/>
      <c r="C82" s="744" t="s">
        <v>74</v>
      </c>
      <c r="D82" s="517" t="str">
        <f>INDEX(Workstreams[Workstream], MATCH($C82, Workstreams[Code], 0))</f>
        <v>Hydrocarbon fuel power generation</v>
      </c>
      <c r="E82" s="512"/>
      <c r="G82" s="1021">
        <f t="shared" ref="G82:P82" ca="1" si="207">G79+G81</f>
        <v>0</v>
      </c>
      <c r="H82" s="1021">
        <f t="shared" ca="1" si="207"/>
        <v>0</v>
      </c>
      <c r="I82" s="1021">
        <f t="shared" ca="1" si="207"/>
        <v>0</v>
      </c>
      <c r="J82" s="1021">
        <f t="shared" ca="1" si="207"/>
        <v>0</v>
      </c>
      <c r="K82" s="1021">
        <f t="shared" ca="1" si="207"/>
        <v>0</v>
      </c>
      <c r="L82" s="1021">
        <f t="shared" ca="1" si="207"/>
        <v>0</v>
      </c>
      <c r="M82" s="1021">
        <f t="shared" ca="1" si="207"/>
        <v>0</v>
      </c>
      <c r="N82" s="1021">
        <f t="shared" ca="1" si="207"/>
        <v>0</v>
      </c>
      <c r="O82" s="1021">
        <f t="shared" ca="1" si="207"/>
        <v>0</v>
      </c>
      <c r="P82" s="1021">
        <f t="shared" ca="1" si="207"/>
        <v>0</v>
      </c>
      <c r="Q82" s="1021">
        <f ca="1">SUM(G82:P82)</f>
        <v>0</v>
      </c>
      <c r="S82" s="970">
        <f t="shared" ref="S82:AJ82" ca="1" si="208">S79+S81</f>
        <v>0</v>
      </c>
      <c r="T82" s="970">
        <f t="shared" ca="1" si="208"/>
        <v>317.11022819979797</v>
      </c>
      <c r="U82" s="970">
        <f t="shared" ca="1" si="208"/>
        <v>-363.03863039999999</v>
      </c>
      <c r="V82" s="970">
        <f t="shared" ca="1" si="208"/>
        <v>-7.9483075200000011</v>
      </c>
      <c r="W82" s="970">
        <f t="shared" ca="1" si="208"/>
        <v>-395.98496002038786</v>
      </c>
      <c r="X82" s="970">
        <f t="shared" ca="1" si="208"/>
        <v>0</v>
      </c>
      <c r="Y82" s="970">
        <f t="shared" ca="1" si="208"/>
        <v>0</v>
      </c>
      <c r="Z82" s="970">
        <f t="shared" ca="1" si="208"/>
        <v>0</v>
      </c>
      <c r="AA82" s="970">
        <f t="shared" ca="1" si="208"/>
        <v>0</v>
      </c>
      <c r="AB82" s="970">
        <f t="shared" ca="1" si="208"/>
        <v>0</v>
      </c>
      <c r="AC82" s="970">
        <f t="shared" ca="1" si="208"/>
        <v>0</v>
      </c>
      <c r="AD82" s="970">
        <f ca="1">AD79+AD81</f>
        <v>0</v>
      </c>
      <c r="AE82" s="970">
        <f ca="1">AE79+AE81</f>
        <v>0</v>
      </c>
      <c r="AF82" s="970">
        <f t="shared" ca="1" si="208"/>
        <v>0</v>
      </c>
      <c r="AG82" s="970">
        <f t="shared" ca="1" si="208"/>
        <v>0</v>
      </c>
      <c r="AH82" s="970">
        <f ca="1">AH79+AH81</f>
        <v>0</v>
      </c>
      <c r="AI82" s="970">
        <f t="shared" ca="1" si="208"/>
        <v>0</v>
      </c>
      <c r="AJ82" s="970">
        <f t="shared" ca="1" si="208"/>
        <v>0</v>
      </c>
      <c r="AK82" s="970">
        <f ca="1">SUM(S82:AJ82)</f>
        <v>-449.86166974058989</v>
      </c>
      <c r="AM82" s="976">
        <f t="shared" ref="AM82:BE82" ca="1" si="209">AM79+AM81</f>
        <v>0</v>
      </c>
      <c r="AN82" s="976">
        <f t="shared" ca="1" si="209"/>
        <v>0</v>
      </c>
      <c r="AO82" s="976">
        <f t="shared" ca="1" si="209"/>
        <v>0</v>
      </c>
      <c r="AP82" s="976">
        <f t="shared" ca="1" si="209"/>
        <v>0</v>
      </c>
      <c r="AQ82" s="976">
        <f t="shared" ca="1" si="209"/>
        <v>0</v>
      </c>
      <c r="AR82" s="976">
        <f t="shared" ca="1" si="209"/>
        <v>0</v>
      </c>
      <c r="AS82" s="976">
        <f t="shared" ca="1" si="209"/>
        <v>0</v>
      </c>
      <c r="AT82" s="976">
        <f t="shared" ca="1" si="209"/>
        <v>0</v>
      </c>
      <c r="AU82" s="976">
        <f t="shared" ca="1" si="209"/>
        <v>0</v>
      </c>
      <c r="AV82" s="976">
        <f t="shared" ca="1" si="209"/>
        <v>0</v>
      </c>
      <c r="AW82" s="976">
        <f t="shared" ca="1" si="209"/>
        <v>0</v>
      </c>
      <c r="AX82" s="976">
        <f t="shared" ca="1" si="209"/>
        <v>0</v>
      </c>
      <c r="AY82" s="976">
        <f t="shared" ca="1" si="209"/>
        <v>0</v>
      </c>
      <c r="AZ82" s="976">
        <f t="shared" ca="1" si="209"/>
        <v>0</v>
      </c>
      <c r="BA82" s="976">
        <f t="shared" ca="1" si="209"/>
        <v>0</v>
      </c>
      <c r="BB82" s="976">
        <f t="shared" ca="1" si="209"/>
        <v>0</v>
      </c>
      <c r="BC82" s="976">
        <f t="shared" ca="1" si="209"/>
        <v>0</v>
      </c>
      <c r="BD82" s="976">
        <f t="shared" ca="1" si="209"/>
        <v>0</v>
      </c>
      <c r="BE82" s="976">
        <f t="shared" ca="1" si="209"/>
        <v>0</v>
      </c>
      <c r="BF82" s="976">
        <f ca="1">SUM(AM82:BE82)</f>
        <v>0</v>
      </c>
      <c r="BH82" s="990">
        <f ca="1">BH79+BH81</f>
        <v>439.53140503419388</v>
      </c>
      <c r="BI82" s="990">
        <f ca="1">BI79+BI81</f>
        <v>10.330264706395958</v>
      </c>
      <c r="BJ82" s="990">
        <f ca="1">SUM(BH82:BI82)</f>
        <v>449.86166974058983</v>
      </c>
      <c r="BL82" s="515">
        <f t="shared" ca="1" si="205"/>
        <v>0</v>
      </c>
      <c r="BM82" s="515"/>
      <c r="BN82" s="840"/>
      <c r="BO82" s="1482">
        <f t="shared" ref="BO82:DF82" ca="1" si="210">BO79+BO81</f>
        <v>186.66420768695133</v>
      </c>
      <c r="BP82" s="1482">
        <f t="shared" ca="1" si="210"/>
        <v>0.47699790359778094</v>
      </c>
      <c r="BQ82" s="1482">
        <f t="shared" ca="1" si="210"/>
        <v>1.1833573431527158</v>
      </c>
      <c r="BR82" s="1482">
        <f t="shared" ca="1" si="210"/>
        <v>0</v>
      </c>
      <c r="BS82" s="1482">
        <f t="shared" ca="1" si="210"/>
        <v>0</v>
      </c>
      <c r="BT82" s="1482">
        <f t="shared" ca="1" si="210"/>
        <v>0</v>
      </c>
      <c r="BU82" s="1482">
        <f t="shared" ca="1" si="210"/>
        <v>0</v>
      </c>
      <c r="BV82" s="1482">
        <f t="shared" ca="1" si="210"/>
        <v>0</v>
      </c>
      <c r="BW82" s="1482">
        <f t="shared" ca="1" si="210"/>
        <v>0</v>
      </c>
      <c r="BX82" s="1482">
        <f t="shared" ca="1" si="210"/>
        <v>0</v>
      </c>
      <c r="BY82" s="1482">
        <f t="shared" ca="1" si="210"/>
        <v>0</v>
      </c>
      <c r="BZ82" s="1482">
        <f t="shared" ca="1" si="210"/>
        <v>0</v>
      </c>
      <c r="CA82" s="1482">
        <f t="shared" ca="1" si="210"/>
        <v>0</v>
      </c>
      <c r="CB82" s="1482">
        <f t="shared" ca="1" si="210"/>
        <v>0</v>
      </c>
      <c r="CC82" s="1482">
        <f t="shared" ca="1" si="210"/>
        <v>0</v>
      </c>
      <c r="CD82" s="1482">
        <f t="shared" ca="1" si="210"/>
        <v>0</v>
      </c>
      <c r="CE82" s="1482">
        <f t="shared" ca="1" si="210"/>
        <v>0</v>
      </c>
      <c r="CF82" s="1482">
        <f t="shared" ca="1" si="210"/>
        <v>0</v>
      </c>
      <c r="CG82" s="1482">
        <f t="shared" ca="1" si="210"/>
        <v>0</v>
      </c>
      <c r="CH82" s="1482">
        <f t="shared" ca="1" si="210"/>
        <v>0</v>
      </c>
      <c r="CI82" s="1482">
        <f t="shared" ca="1" si="210"/>
        <v>0</v>
      </c>
      <c r="CJ82" s="1482">
        <f t="shared" ca="1" si="210"/>
        <v>0</v>
      </c>
      <c r="CK82" s="1482">
        <f t="shared" ca="1" si="210"/>
        <v>0</v>
      </c>
      <c r="CL82" s="1482">
        <f t="shared" ca="1" si="210"/>
        <v>0</v>
      </c>
      <c r="CM82" s="1482">
        <f t="shared" ca="1" si="210"/>
        <v>0</v>
      </c>
      <c r="CN82" s="1482">
        <f t="shared" ca="1" si="210"/>
        <v>0</v>
      </c>
      <c r="CO82" s="1482">
        <f t="shared" ca="1" si="210"/>
        <v>0</v>
      </c>
      <c r="CP82" s="1482">
        <f t="shared" ca="1" si="210"/>
        <v>0</v>
      </c>
      <c r="CQ82" s="1482">
        <f t="shared" ca="1" si="210"/>
        <v>0</v>
      </c>
      <c r="CR82" s="1482">
        <f t="shared" ca="1" si="210"/>
        <v>0</v>
      </c>
      <c r="CS82" s="1482">
        <f t="shared" ca="1" si="210"/>
        <v>0</v>
      </c>
      <c r="CT82" s="1482">
        <f t="shared" ca="1" si="210"/>
        <v>0</v>
      </c>
      <c r="CU82" s="1482">
        <f t="shared" ca="1" si="210"/>
        <v>0</v>
      </c>
      <c r="CV82" s="1482">
        <f t="shared" ca="1" si="210"/>
        <v>0</v>
      </c>
      <c r="CW82" s="1482">
        <f t="shared" ca="1" si="210"/>
        <v>0</v>
      </c>
      <c r="CX82" s="1482">
        <f t="shared" ca="1" si="210"/>
        <v>0</v>
      </c>
      <c r="CY82" s="1482">
        <f t="shared" ca="1" si="210"/>
        <v>0</v>
      </c>
      <c r="CZ82" s="1482">
        <f t="shared" ca="1" si="210"/>
        <v>0</v>
      </c>
      <c r="DA82" s="1482">
        <f t="shared" ca="1" si="210"/>
        <v>0</v>
      </c>
      <c r="DB82" s="1482">
        <f t="shared" ca="1" si="210"/>
        <v>0</v>
      </c>
      <c r="DC82" s="1482">
        <f t="shared" ca="1" si="210"/>
        <v>0</v>
      </c>
      <c r="DD82" s="1482">
        <f t="shared" ca="1" si="210"/>
        <v>0</v>
      </c>
      <c r="DE82" s="1482">
        <f t="shared" ca="1" si="210"/>
        <v>0</v>
      </c>
      <c r="DF82" s="1482">
        <f t="shared" ca="1" si="210"/>
        <v>0</v>
      </c>
      <c r="DH82" s="838">
        <f t="shared" ca="1" si="123"/>
        <v>188.32456293370183</v>
      </c>
    </row>
    <row r="83" spans="1:112" s="743" customFormat="1" ht="6" customHeight="1">
      <c r="C83" s="516"/>
      <c r="D83" s="517"/>
      <c r="E83" s="509"/>
      <c r="G83" s="958"/>
      <c r="H83" s="958"/>
      <c r="I83" s="958"/>
      <c r="J83" s="958"/>
      <c r="K83" s="960"/>
      <c r="L83" s="958"/>
      <c r="M83" s="958"/>
      <c r="N83" s="958"/>
      <c r="O83" s="958"/>
      <c r="P83" s="958"/>
      <c r="Q83" s="958"/>
      <c r="S83" s="970"/>
      <c r="T83" s="970"/>
      <c r="U83" s="970"/>
      <c r="V83" s="970"/>
      <c r="W83" s="970"/>
      <c r="X83" s="970"/>
      <c r="Y83" s="970"/>
      <c r="Z83" s="970"/>
      <c r="AA83" s="970"/>
      <c r="AB83" s="970"/>
      <c r="AC83" s="970"/>
      <c r="AD83" s="970"/>
      <c r="AE83" s="970"/>
      <c r="AF83" s="970"/>
      <c r="AG83" s="970"/>
      <c r="AH83" s="970"/>
      <c r="AI83" s="970"/>
      <c r="AJ83" s="970"/>
      <c r="AK83" s="970"/>
      <c r="AM83" s="976"/>
      <c r="AN83" s="976"/>
      <c r="AO83" s="976"/>
      <c r="AP83" s="976"/>
      <c r="AQ83" s="976"/>
      <c r="AR83" s="976"/>
      <c r="AS83" s="976"/>
      <c r="AT83" s="976"/>
      <c r="AU83" s="976"/>
      <c r="AV83" s="976"/>
      <c r="AW83" s="976"/>
      <c r="AX83" s="976"/>
      <c r="AY83" s="976"/>
      <c r="AZ83" s="976"/>
      <c r="BA83" s="976"/>
      <c r="BB83" s="976"/>
      <c r="BC83" s="976"/>
      <c r="BD83" s="976"/>
      <c r="BE83" s="976"/>
      <c r="BF83" s="976">
        <f>SUM(AM83:BE83)</f>
        <v>0</v>
      </c>
      <c r="BH83" s="990"/>
      <c r="BI83" s="990"/>
      <c r="BJ83" s="990"/>
      <c r="BL83" s="515">
        <f t="shared" si="205"/>
        <v>0</v>
      </c>
      <c r="BM83" s="515"/>
      <c r="BO83" s="1482"/>
      <c r="BP83" s="1482"/>
      <c r="BQ83" s="1482"/>
      <c r="BR83" s="1482"/>
      <c r="BS83" s="1482"/>
      <c r="BT83" s="1482"/>
      <c r="BU83" s="1482"/>
      <c r="BV83" s="1482"/>
      <c r="BW83" s="1482"/>
      <c r="BX83" s="1482"/>
      <c r="BY83" s="1482"/>
      <c r="BZ83" s="1482"/>
      <c r="CA83" s="1482"/>
      <c r="CB83" s="1482"/>
      <c r="CC83" s="1482"/>
      <c r="CD83" s="1482"/>
      <c r="CE83" s="1482"/>
      <c r="CF83" s="1482"/>
      <c r="CG83" s="1482"/>
      <c r="CH83" s="1482"/>
      <c r="CI83" s="1482"/>
      <c r="CJ83" s="1482"/>
      <c r="CK83" s="1482"/>
      <c r="CL83" s="1482"/>
      <c r="CM83" s="1482"/>
      <c r="CN83" s="1482"/>
      <c r="CO83" s="1482"/>
      <c r="CP83" s="1482"/>
      <c r="CQ83" s="1482"/>
      <c r="CR83" s="1482"/>
      <c r="CS83" s="1482"/>
      <c r="CT83" s="1482"/>
      <c r="CU83" s="1482"/>
      <c r="CV83" s="1482"/>
      <c r="CW83" s="1482"/>
      <c r="CX83" s="1482"/>
      <c r="CY83" s="1482"/>
      <c r="CZ83" s="1482"/>
      <c r="DA83" s="1482"/>
      <c r="DB83" s="1482"/>
      <c r="DC83" s="1482"/>
      <c r="DD83" s="1482"/>
      <c r="DE83" s="1482"/>
      <c r="DF83" s="1482"/>
      <c r="DH83" s="838"/>
    </row>
    <row r="84" spans="1:112" s="743" customFormat="1" ht="15.75">
      <c r="B84" s="753"/>
      <c r="C84" s="2051" t="s">
        <v>1816</v>
      </c>
      <c r="D84" s="643" t="s">
        <v>249</v>
      </c>
      <c r="E84" s="644"/>
      <c r="G84" s="1075">
        <f t="shared" ref="G84:P84" ca="1" si="211">G$51+G$55+G$63+G$68+G$72+G$76+G$82+G$46</f>
        <v>0</v>
      </c>
      <c r="H84" s="1075">
        <f t="shared" ca="1" si="211"/>
        <v>0</v>
      </c>
      <c r="I84" s="1075">
        <f t="shared" ca="1" si="211"/>
        <v>65.875518910205017</v>
      </c>
      <c r="J84" s="1075">
        <f t="shared" ca="1" si="211"/>
        <v>0</v>
      </c>
      <c r="K84" s="1076">
        <f t="shared" ca="1" si="211"/>
        <v>0</v>
      </c>
      <c r="L84" s="1075">
        <f t="shared" ca="1" si="211"/>
        <v>0</v>
      </c>
      <c r="M84" s="1075">
        <f t="shared" ca="1" si="211"/>
        <v>0</v>
      </c>
      <c r="N84" s="1075">
        <f t="shared" ca="1" si="211"/>
        <v>0</v>
      </c>
      <c r="O84" s="1075">
        <f t="shared" ca="1" si="211"/>
        <v>0</v>
      </c>
      <c r="P84" s="1075">
        <f t="shared" ca="1" si="211"/>
        <v>0</v>
      </c>
      <c r="Q84" s="1023">
        <f ca="1">SUM(G84:P84)</f>
        <v>65.875518910205017</v>
      </c>
      <c r="S84" s="1014">
        <f t="shared" ref="S84:AJ84" ca="1" si="212">S$51+S$55+S$63+S$68+S$72+S$76+S$82+S$46</f>
        <v>-12.193338206249956</v>
      </c>
      <c r="T84" s="1014">
        <f t="shared" ca="1" si="212"/>
        <v>388.24972969011895</v>
      </c>
      <c r="U84" s="1014">
        <f t="shared" ca="1" si="212"/>
        <v>-363.93289145797496</v>
      </c>
      <c r="V84" s="1014">
        <f t="shared" ca="1" si="212"/>
        <v>-64.681938759387265</v>
      </c>
      <c r="W84" s="1014">
        <f t="shared" ca="1" si="212"/>
        <v>-454.13061824853384</v>
      </c>
      <c r="X84" s="1014">
        <f t="shared" ca="1" si="212"/>
        <v>157.92682688956131</v>
      </c>
      <c r="Y84" s="1014">
        <f t="shared" ca="1" si="212"/>
        <v>815.4323959706519</v>
      </c>
      <c r="Z84" s="1014">
        <f t="shared" ca="1" si="212"/>
        <v>637.88198465125163</v>
      </c>
      <c r="AA84" s="1014">
        <f t="shared" ca="1" si="212"/>
        <v>0</v>
      </c>
      <c r="AB84" s="1014">
        <f t="shared" ca="1" si="212"/>
        <v>8.0570971689984745</v>
      </c>
      <c r="AC84" s="1014">
        <f t="shared" ca="1" si="212"/>
        <v>0</v>
      </c>
      <c r="AD84" s="1014">
        <f t="shared" ca="1" si="212"/>
        <v>1.6469469103055956</v>
      </c>
      <c r="AE84" s="1014">
        <f t="shared" ca="1" si="212"/>
        <v>1.1980448469689404</v>
      </c>
      <c r="AF84" s="1014">
        <f t="shared" ca="1" si="212"/>
        <v>16.317601806219525</v>
      </c>
      <c r="AG84" s="1014">
        <f t="shared" ca="1" si="212"/>
        <v>8.9604444924216153</v>
      </c>
      <c r="AH84" s="1014">
        <f t="shared" ca="1" si="212"/>
        <v>18.397138633862209</v>
      </c>
      <c r="AI84" s="1014">
        <f t="shared" ca="1" si="212"/>
        <v>0</v>
      </c>
      <c r="AJ84" s="1014">
        <f t="shared" ca="1" si="212"/>
        <v>0</v>
      </c>
      <c r="AK84" s="1014">
        <f ca="1">SUM(S84:AJ84)</f>
        <v>1159.1294243882141</v>
      </c>
      <c r="AM84" s="1015">
        <f t="shared" ref="AM84:BE84" ca="1" si="213">AM$51+AM$55+AM$63+AM$68+AM$72+AM$76+AM$82+AM$46</f>
        <v>-124.39544583847987</v>
      </c>
      <c r="AN84" s="1015">
        <f t="shared" ca="1" si="213"/>
        <v>-815.4323959706519</v>
      </c>
      <c r="AO84" s="1015">
        <f t="shared" ca="1" si="213"/>
        <v>-637.88198465125163</v>
      </c>
      <c r="AP84" s="1015">
        <f t="shared" ca="1" si="213"/>
        <v>0</v>
      </c>
      <c r="AQ84" s="1015">
        <f t="shared" ca="1" si="213"/>
        <v>0</v>
      </c>
      <c r="AR84" s="1015">
        <f t="shared" ca="1" si="213"/>
        <v>0</v>
      </c>
      <c r="AS84" s="1015">
        <f t="shared" ca="1" si="213"/>
        <v>0</v>
      </c>
      <c r="AT84" s="1015">
        <f t="shared" ca="1" si="213"/>
        <v>0</v>
      </c>
      <c r="AU84" s="1015">
        <f t="shared" ca="1" si="213"/>
        <v>0</v>
      </c>
      <c r="AV84" s="1015">
        <f t="shared" ca="1" si="213"/>
        <v>-160.70999999999998</v>
      </c>
      <c r="AW84" s="1015">
        <f t="shared" ca="1" si="213"/>
        <v>-2.8059966000000006E-2</v>
      </c>
      <c r="AX84" s="1015">
        <f t="shared" ca="1" si="213"/>
        <v>-14.440670099999998</v>
      </c>
      <c r="AY84" s="1015">
        <f t="shared" ca="1" si="213"/>
        <v>-5.0034246575342495E-3</v>
      </c>
      <c r="AZ84" s="1015">
        <f t="shared" ca="1" si="213"/>
        <v>0</v>
      </c>
      <c r="BA84" s="1015">
        <f t="shared" ca="1" si="213"/>
        <v>0</v>
      </c>
      <c r="BB84" s="1015">
        <f t="shared" ca="1" si="213"/>
        <v>-5.3297280000000011</v>
      </c>
      <c r="BC84" s="1015">
        <f t="shared" ca="1" si="213"/>
        <v>0</v>
      </c>
      <c r="BD84" s="1015">
        <f t="shared" ca="1" si="213"/>
        <v>-2.8449917572745358</v>
      </c>
      <c r="BE84" s="1015">
        <f t="shared" ca="1" si="213"/>
        <v>-77.206565983584795</v>
      </c>
      <c r="BF84" s="1015">
        <f ca="1">SUM(AM84:BE84)</f>
        <v>-1838.2748456919003</v>
      </c>
      <c r="BH84" s="1016">
        <f ca="1">BH$51+BH$55+BH$63+BH$68+BH$72+BH$76+BH$82+BH$46</f>
        <v>534.82604503217453</v>
      </c>
      <c r="BI84" s="1016">
        <f ca="1">BI$51+BI$55+BI$63+BI$68+BI$72+BI$76+BI$82+BI$46</f>
        <v>78.44385736130647</v>
      </c>
      <c r="BJ84" s="1016">
        <f ca="1">SUM(BH84:BI84)</f>
        <v>613.26990239348106</v>
      </c>
      <c r="BL84" s="518">
        <f t="shared" ca="1" si="205"/>
        <v>0</v>
      </c>
      <c r="BM84" s="518"/>
      <c r="BO84" s="1487">
        <f t="shared" ref="BO84:DE84" ca="1" si="214">BO$51+BO$55+BO$63+BO$68+BO$72+BO$76+BO$82+BO$46</f>
        <v>211.79133973493333</v>
      </c>
      <c r="BP84" s="1487">
        <f t="shared" ca="1" si="214"/>
        <v>0.51683690459945919</v>
      </c>
      <c r="BQ84" s="1487">
        <f t="shared" ca="1" si="214"/>
        <v>1.4638935746013624</v>
      </c>
      <c r="BR84" s="1487">
        <f t="shared" ca="1" si="214"/>
        <v>0</v>
      </c>
      <c r="BS84" s="1487">
        <f t="shared" ca="1" si="214"/>
        <v>4.2544931298279298</v>
      </c>
      <c r="BT84" s="1487">
        <f t="shared" ca="1" si="214"/>
        <v>2.6403129612517775</v>
      </c>
      <c r="BU84" s="1487">
        <f t="shared" ca="1" si="214"/>
        <v>0</v>
      </c>
      <c r="BV84" s="1487">
        <f t="shared" ca="1" si="214"/>
        <v>0</v>
      </c>
      <c r="BW84" s="1487">
        <f t="shared" ca="1" si="214"/>
        <v>0</v>
      </c>
      <c r="BX84" s="1487">
        <f t="shared" ca="1" si="214"/>
        <v>0</v>
      </c>
      <c r="BY84" s="1487">
        <f t="shared" ca="1" si="214"/>
        <v>0</v>
      </c>
      <c r="BZ84" s="1487">
        <f t="shared" ca="1" si="214"/>
        <v>0</v>
      </c>
      <c r="CA84" s="1487">
        <f t="shared" ca="1" si="214"/>
        <v>0</v>
      </c>
      <c r="CB84" s="1487">
        <f t="shared" ca="1" si="214"/>
        <v>0</v>
      </c>
      <c r="CC84" s="1487">
        <f t="shared" ca="1" si="214"/>
        <v>0</v>
      </c>
      <c r="CD84" s="1487">
        <f t="shared" ca="1" si="214"/>
        <v>0</v>
      </c>
      <c r="CE84" s="1487">
        <f t="shared" ca="1" si="214"/>
        <v>0</v>
      </c>
      <c r="CF84" s="1487">
        <f t="shared" ca="1" si="214"/>
        <v>19.552860310176921</v>
      </c>
      <c r="CG84" s="1487">
        <f t="shared" ca="1" si="214"/>
        <v>22.836330553630731</v>
      </c>
      <c r="CH84" s="1487">
        <f t="shared" ca="1" si="214"/>
        <v>0</v>
      </c>
      <c r="CI84" s="1487">
        <f t="shared" ca="1" si="214"/>
        <v>2.6421556737666059</v>
      </c>
      <c r="CJ84" s="1487">
        <f t="shared" ca="1" si="214"/>
        <v>0</v>
      </c>
      <c r="CK84" s="1487">
        <f t="shared" ca="1" si="214"/>
        <v>0</v>
      </c>
      <c r="CL84" s="1487">
        <f t="shared" ca="1" si="214"/>
        <v>0</v>
      </c>
      <c r="CM84" s="1487">
        <f t="shared" ca="1" si="214"/>
        <v>0</v>
      </c>
      <c r="CN84" s="1487">
        <f t="shared" ca="1" si="214"/>
        <v>21.819028362127639</v>
      </c>
      <c r="CO84" s="1487">
        <f t="shared" ca="1" si="214"/>
        <v>1.2748995140127595</v>
      </c>
      <c r="CP84" s="1487">
        <f t="shared" ca="1" si="214"/>
        <v>0</v>
      </c>
      <c r="CQ84" s="1487">
        <f t="shared" ca="1" si="214"/>
        <v>0</v>
      </c>
      <c r="CR84" s="1487">
        <f t="shared" ca="1" si="214"/>
        <v>0</v>
      </c>
      <c r="CS84" s="1487">
        <f t="shared" ca="1" si="214"/>
        <v>0</v>
      </c>
      <c r="CT84" s="1487">
        <f t="shared" ca="1" si="214"/>
        <v>0</v>
      </c>
      <c r="CU84" s="1487">
        <f t="shared" ca="1" si="214"/>
        <v>0</v>
      </c>
      <c r="CV84" s="1487">
        <f t="shared" ca="1" si="214"/>
        <v>0</v>
      </c>
      <c r="CW84" s="1487">
        <f t="shared" ca="1" si="214"/>
        <v>0</v>
      </c>
      <c r="CX84" s="1487">
        <f t="shared" ca="1" si="214"/>
        <v>0</v>
      </c>
      <c r="CY84" s="1487">
        <f t="shared" ca="1" si="214"/>
        <v>0</v>
      </c>
      <c r="CZ84" s="1487">
        <f t="shared" ca="1" si="214"/>
        <v>0</v>
      </c>
      <c r="DA84" s="1487">
        <f t="shared" ca="1" si="214"/>
        <v>0</v>
      </c>
      <c r="DB84" s="1487">
        <f t="shared" ca="1" si="214"/>
        <v>0</v>
      </c>
      <c r="DC84" s="1487">
        <f t="shared" ca="1" si="214"/>
        <v>0</v>
      </c>
      <c r="DD84" s="1487">
        <f t="shared" ca="1" si="214"/>
        <v>0</v>
      </c>
      <c r="DE84" s="1487">
        <f t="shared" ca="1" si="214"/>
        <v>0</v>
      </c>
      <c r="DF84" s="1487">
        <f ca="1">DF$51+DF$99+DF$55+DF$63+DF$68+DF$76+DF$82+DF$46</f>
        <v>0</v>
      </c>
      <c r="DH84" s="835">
        <f ca="1">SUM(BO84:DF84)</f>
        <v>288.7921507189285</v>
      </c>
    </row>
    <row r="85" spans="1:112" s="743" customFormat="1" ht="6" customHeight="1">
      <c r="C85" s="516"/>
      <c r="D85" s="517"/>
      <c r="E85" s="509"/>
      <c r="G85" s="958"/>
      <c r="H85" s="958"/>
      <c r="I85" s="958"/>
      <c r="J85" s="958"/>
      <c r="K85" s="960"/>
      <c r="L85" s="958"/>
      <c r="M85" s="958"/>
      <c r="N85" s="958"/>
      <c r="O85" s="958"/>
      <c r="P85" s="958"/>
      <c r="Q85" s="958"/>
      <c r="S85" s="970"/>
      <c r="T85" s="970"/>
      <c r="U85" s="970"/>
      <c r="V85" s="970"/>
      <c r="W85" s="970"/>
      <c r="X85" s="970"/>
      <c r="Y85" s="970"/>
      <c r="Z85" s="970"/>
      <c r="AA85" s="970"/>
      <c r="AB85" s="970"/>
      <c r="AC85" s="970"/>
      <c r="AD85" s="970"/>
      <c r="AE85" s="970"/>
      <c r="AF85" s="970"/>
      <c r="AG85" s="970"/>
      <c r="AH85" s="970"/>
      <c r="AI85" s="970"/>
      <c r="AJ85" s="970"/>
      <c r="AK85" s="970"/>
      <c r="AM85" s="976"/>
      <c r="AN85" s="976"/>
      <c r="AO85" s="976"/>
      <c r="AP85" s="976"/>
      <c r="AQ85" s="976"/>
      <c r="AR85" s="976"/>
      <c r="AS85" s="976"/>
      <c r="AT85" s="976"/>
      <c r="AU85" s="976"/>
      <c r="AV85" s="976"/>
      <c r="AW85" s="976"/>
      <c r="AX85" s="976"/>
      <c r="AY85" s="976"/>
      <c r="AZ85" s="976"/>
      <c r="BA85" s="976"/>
      <c r="BB85" s="976"/>
      <c r="BC85" s="976"/>
      <c r="BD85" s="976"/>
      <c r="BE85" s="976"/>
      <c r="BF85" s="976"/>
      <c r="BH85" s="990"/>
      <c r="BI85" s="990"/>
      <c r="BJ85" s="990"/>
      <c r="BL85" s="515">
        <f t="shared" si="205"/>
        <v>0</v>
      </c>
      <c r="BM85" s="515"/>
      <c r="BO85" s="1482"/>
      <c r="BP85" s="1482"/>
      <c r="BQ85" s="1482"/>
      <c r="BR85" s="1482"/>
      <c r="BS85" s="1482"/>
      <c r="BT85" s="1482"/>
      <c r="BU85" s="1482"/>
      <c r="BV85" s="1482"/>
      <c r="BW85" s="1482"/>
      <c r="BX85" s="1482"/>
      <c r="BY85" s="1482"/>
      <c r="BZ85" s="1482"/>
      <c r="CA85" s="1482"/>
      <c r="CB85" s="1482"/>
      <c r="CC85" s="1482"/>
      <c r="CD85" s="1482"/>
      <c r="CE85" s="1482"/>
      <c r="CF85" s="1482"/>
      <c r="CG85" s="1482"/>
      <c r="CH85" s="1482"/>
      <c r="CI85" s="1482"/>
      <c r="CJ85" s="1482"/>
      <c r="CK85" s="1482"/>
      <c r="CL85" s="1482"/>
      <c r="CM85" s="1482"/>
      <c r="CN85" s="1482"/>
      <c r="CO85" s="1482"/>
      <c r="CP85" s="1482"/>
      <c r="CQ85" s="1482"/>
      <c r="CR85" s="1482"/>
      <c r="CS85" s="1482"/>
      <c r="CT85" s="1482"/>
      <c r="CU85" s="1482"/>
      <c r="CV85" s="1482"/>
      <c r="CW85" s="1482"/>
      <c r="CX85" s="1482"/>
      <c r="CY85" s="1482"/>
      <c r="CZ85" s="1482"/>
      <c r="DA85" s="1482"/>
      <c r="DB85" s="1482"/>
      <c r="DC85" s="1482"/>
      <c r="DD85" s="1482"/>
      <c r="DE85" s="1482"/>
      <c r="DF85" s="1482"/>
      <c r="DH85" s="838"/>
    </row>
    <row r="86" spans="1:112" s="743" customFormat="1" ht="24" customHeight="1">
      <c r="C86" s="501" t="s">
        <v>987</v>
      </c>
      <c r="D86" s="501"/>
      <c r="E86" s="639"/>
      <c r="G86" s="957"/>
      <c r="H86" s="957"/>
      <c r="I86" s="957"/>
      <c r="J86" s="957"/>
      <c r="K86" s="957"/>
      <c r="L86" s="957"/>
      <c r="M86" s="957"/>
      <c r="N86" s="957"/>
      <c r="O86" s="957"/>
      <c r="P86" s="957"/>
      <c r="Q86" s="957"/>
      <c r="S86" s="973"/>
      <c r="T86" s="973"/>
      <c r="U86" s="973"/>
      <c r="V86" s="973"/>
      <c r="W86" s="973"/>
      <c r="X86" s="969"/>
      <c r="Y86" s="969"/>
      <c r="Z86" s="969"/>
      <c r="AA86" s="973"/>
      <c r="AB86" s="973"/>
      <c r="AC86" s="973"/>
      <c r="AD86" s="973"/>
      <c r="AE86" s="973"/>
      <c r="AF86" s="973"/>
      <c r="AG86" s="973"/>
      <c r="AH86" s="973"/>
      <c r="AI86" s="973"/>
      <c r="AJ86" s="973"/>
      <c r="AK86" s="973"/>
      <c r="AM86" s="980"/>
      <c r="AN86" s="980"/>
      <c r="AO86" s="980"/>
      <c r="AP86" s="980"/>
      <c r="AQ86" s="980"/>
      <c r="AR86" s="980"/>
      <c r="AS86" s="980"/>
      <c r="AT86" s="980"/>
      <c r="AU86" s="980"/>
      <c r="AV86" s="980"/>
      <c r="AW86" s="975"/>
      <c r="AX86" s="975"/>
      <c r="AY86" s="975"/>
      <c r="AZ86" s="975"/>
      <c r="BA86" s="975"/>
      <c r="BB86" s="975"/>
      <c r="BC86" s="975"/>
      <c r="BD86" s="975"/>
      <c r="BE86" s="975"/>
      <c r="BF86" s="980"/>
      <c r="BH86" s="993"/>
      <c r="BI86" s="993"/>
      <c r="BJ86" s="993"/>
      <c r="BL86" s="514">
        <f t="shared" si="205"/>
        <v>0</v>
      </c>
      <c r="BM86" s="514"/>
      <c r="BO86" s="1482"/>
      <c r="BP86" s="1482"/>
      <c r="BQ86" s="1482"/>
      <c r="BR86" s="1482"/>
      <c r="BS86" s="1482"/>
      <c r="BT86" s="1482"/>
      <c r="BU86" s="1482"/>
      <c r="BV86" s="1482"/>
      <c r="BW86" s="1482"/>
      <c r="BX86" s="1482"/>
      <c r="BY86" s="1482"/>
      <c r="BZ86" s="1482"/>
      <c r="CA86" s="1482"/>
      <c r="CB86" s="1482"/>
      <c r="CC86" s="1482"/>
      <c r="CD86" s="1482"/>
      <c r="CE86" s="1482"/>
      <c r="CF86" s="1482"/>
      <c r="CG86" s="1482"/>
      <c r="CH86" s="1482"/>
      <c r="CI86" s="1482"/>
      <c r="CJ86" s="1482"/>
      <c r="CK86" s="1482"/>
      <c r="CL86" s="1482"/>
      <c r="CM86" s="1482"/>
      <c r="CN86" s="1482"/>
      <c r="CO86" s="1482"/>
      <c r="CP86" s="1482"/>
      <c r="CQ86" s="1482"/>
      <c r="CR86" s="1482"/>
      <c r="CS86" s="1482"/>
      <c r="CT86" s="1482"/>
      <c r="CU86" s="1482"/>
      <c r="CV86" s="1482"/>
      <c r="CW86" s="1482"/>
      <c r="CX86" s="1482"/>
      <c r="CY86" s="1482"/>
      <c r="CZ86" s="1482"/>
      <c r="DA86" s="1482"/>
      <c r="DB86" s="1482"/>
      <c r="DC86" s="1482"/>
      <c r="DD86" s="1482"/>
      <c r="DE86" s="1482"/>
      <c r="DF86" s="1482"/>
      <c r="DH86" s="838"/>
    </row>
    <row r="87" spans="1:112" s="743" customFormat="1" ht="6" customHeight="1">
      <c r="C87" s="520"/>
      <c r="D87" s="38"/>
      <c r="E87" s="509"/>
      <c r="G87" s="958"/>
      <c r="H87" s="958"/>
      <c r="I87" s="958"/>
      <c r="J87" s="958"/>
      <c r="K87" s="960"/>
      <c r="L87" s="958"/>
      <c r="M87" s="958"/>
      <c r="N87" s="958"/>
      <c r="O87" s="958"/>
      <c r="P87" s="958"/>
      <c r="Q87" s="958"/>
      <c r="S87" s="970"/>
      <c r="T87" s="970"/>
      <c r="U87" s="970"/>
      <c r="V87" s="970"/>
      <c r="W87" s="970"/>
      <c r="X87" s="970"/>
      <c r="Y87" s="970"/>
      <c r="Z87" s="970"/>
      <c r="AA87" s="970"/>
      <c r="AB87" s="970"/>
      <c r="AC87" s="970"/>
      <c r="AD87" s="970"/>
      <c r="AE87" s="970"/>
      <c r="AF87" s="970"/>
      <c r="AG87" s="970"/>
      <c r="AH87" s="970"/>
      <c r="AI87" s="970"/>
      <c r="AJ87" s="970"/>
      <c r="AK87" s="970"/>
      <c r="AM87" s="976"/>
      <c r="AN87" s="976"/>
      <c r="AO87" s="976"/>
      <c r="AP87" s="976"/>
      <c r="AQ87" s="976"/>
      <c r="AR87" s="976"/>
      <c r="AS87" s="976"/>
      <c r="AT87" s="976"/>
      <c r="AU87" s="976"/>
      <c r="AV87" s="976"/>
      <c r="AW87" s="976"/>
      <c r="AX87" s="976"/>
      <c r="AY87" s="976"/>
      <c r="AZ87" s="976"/>
      <c r="BA87" s="976"/>
      <c r="BB87" s="976"/>
      <c r="BC87" s="976"/>
      <c r="BD87" s="976"/>
      <c r="BE87" s="976"/>
      <c r="BF87" s="976"/>
      <c r="BH87" s="990"/>
      <c r="BI87" s="990"/>
      <c r="BJ87" s="990"/>
      <c r="BL87" s="515">
        <f t="shared" si="205"/>
        <v>0</v>
      </c>
      <c r="BM87" s="515"/>
      <c r="BO87" s="1482"/>
      <c r="BP87" s="1482"/>
      <c r="BQ87" s="1482"/>
      <c r="BR87" s="1482"/>
      <c r="BS87" s="1482"/>
      <c r="BT87" s="1482"/>
      <c r="BU87" s="1482"/>
      <c r="BV87" s="1482"/>
      <c r="BW87" s="1482"/>
      <c r="BX87" s="1482"/>
      <c r="BY87" s="1482"/>
      <c r="BZ87" s="1482"/>
      <c r="CA87" s="1482"/>
      <c r="CB87" s="1482"/>
      <c r="CC87" s="1482"/>
      <c r="CD87" s="1482"/>
      <c r="CE87" s="1482"/>
      <c r="CF87" s="1482"/>
      <c r="CG87" s="1482"/>
      <c r="CH87" s="1482"/>
      <c r="CI87" s="1482"/>
      <c r="CJ87" s="1482"/>
      <c r="CK87" s="1482"/>
      <c r="CL87" s="1482"/>
      <c r="CM87" s="1482"/>
      <c r="CN87" s="1482"/>
      <c r="CO87" s="1482"/>
      <c r="CP87" s="1482"/>
      <c r="CQ87" s="1482"/>
      <c r="CR87" s="1482"/>
      <c r="CS87" s="1482"/>
      <c r="CT87" s="1482"/>
      <c r="CU87" s="1482"/>
      <c r="CV87" s="1482"/>
      <c r="CW87" s="1482"/>
      <c r="CX87" s="1482"/>
      <c r="CY87" s="1482"/>
      <c r="CZ87" s="1482"/>
      <c r="DA87" s="1482"/>
      <c r="DB87" s="1482"/>
      <c r="DC87" s="1482"/>
      <c r="DD87" s="1482"/>
      <c r="DE87" s="1482"/>
      <c r="DF87" s="1482"/>
      <c r="DH87" s="838"/>
    </row>
    <row r="88" spans="1:112" s="743" customFormat="1" hidden="1" outlineLevel="1">
      <c r="A88" s="1488"/>
      <c r="B88" s="1488"/>
      <c r="C88" s="850"/>
      <c r="D88" s="851"/>
      <c r="E88" s="851"/>
      <c r="G88" s="961"/>
      <c r="H88" s="961"/>
      <c r="I88" s="961"/>
      <c r="J88" s="961"/>
      <c r="K88" s="962"/>
      <c r="L88" s="961"/>
      <c r="M88" s="961"/>
      <c r="N88" s="961"/>
      <c r="O88" s="961"/>
      <c r="P88" s="961"/>
      <c r="Q88" s="961"/>
      <c r="S88" s="971"/>
      <c r="T88" s="971"/>
      <c r="U88" s="971"/>
      <c r="V88" s="971"/>
      <c r="W88" s="971"/>
      <c r="X88" s="971"/>
      <c r="Y88" s="971"/>
      <c r="Z88" s="971"/>
      <c r="AA88" s="971"/>
      <c r="AB88" s="971"/>
      <c r="AC88" s="971"/>
      <c r="AD88" s="971"/>
      <c r="AE88" s="971"/>
      <c r="AF88" s="971"/>
      <c r="AG88" s="971"/>
      <c r="AH88" s="971"/>
      <c r="AI88" s="971"/>
      <c r="AJ88" s="971"/>
      <c r="AK88" s="971"/>
      <c r="AM88" s="978"/>
      <c r="AN88" s="978"/>
      <c r="AO88" s="978"/>
      <c r="AP88" s="978"/>
      <c r="AQ88" s="978"/>
      <c r="AR88" s="978"/>
      <c r="AS88" s="978"/>
      <c r="AT88" s="978"/>
      <c r="AU88" s="978"/>
      <c r="AV88" s="978"/>
      <c r="AW88" s="978"/>
      <c r="AX88" s="978"/>
      <c r="AY88" s="978"/>
      <c r="AZ88" s="978"/>
      <c r="BA88" s="978"/>
      <c r="BB88" s="978"/>
      <c r="BC88" s="978"/>
      <c r="BD88" s="978"/>
      <c r="BE88" s="978"/>
      <c r="BF88" s="978"/>
      <c r="BH88" s="991"/>
      <c r="BI88" s="991"/>
      <c r="BJ88" s="991"/>
      <c r="BL88" s="852"/>
      <c r="BM88" s="852"/>
      <c r="BN88" s="1488"/>
      <c r="BO88" s="1490"/>
      <c r="BP88" s="1482"/>
      <c r="BQ88" s="1482"/>
      <c r="BR88" s="1482"/>
      <c r="BS88" s="1482"/>
      <c r="BT88" s="1482"/>
      <c r="BU88" s="1482"/>
      <c r="BV88" s="1482"/>
      <c r="BW88" s="1482"/>
      <c r="BX88" s="1482"/>
      <c r="BY88" s="1482"/>
      <c r="BZ88" s="1482"/>
      <c r="CA88" s="1482"/>
      <c r="CB88" s="1482"/>
      <c r="CC88" s="1482"/>
      <c r="CD88" s="1482"/>
      <c r="CE88" s="1482"/>
      <c r="CF88" s="1482"/>
      <c r="CG88" s="1482"/>
      <c r="CH88" s="1482"/>
      <c r="CI88" s="1482"/>
      <c r="CJ88" s="1482"/>
      <c r="CK88" s="1482"/>
      <c r="CL88" s="1482"/>
      <c r="CM88" s="1482"/>
      <c r="CN88" s="1482"/>
      <c r="CO88" s="1482"/>
      <c r="CP88" s="1482"/>
      <c r="CQ88" s="1482"/>
      <c r="CR88" s="1482"/>
      <c r="CS88" s="1482"/>
      <c r="CT88" s="1482"/>
      <c r="CU88" s="1482"/>
      <c r="CV88" s="1482"/>
      <c r="CW88" s="1482"/>
      <c r="CX88" s="1482"/>
      <c r="CY88" s="1482"/>
      <c r="CZ88" s="1482"/>
      <c r="DA88" s="1482"/>
      <c r="DB88" s="1482"/>
      <c r="DC88" s="1482"/>
      <c r="DD88" s="1482"/>
      <c r="DE88" s="1482"/>
      <c r="DF88" s="1482"/>
      <c r="DH88" s="838"/>
    </row>
    <row r="89" spans="1:112" s="1484" customFormat="1" hidden="1" outlineLevel="1">
      <c r="C89" s="522" t="s">
        <v>774</v>
      </c>
      <c r="D89" s="521" t="str">
        <f>INDEX(Modules[Module], MATCH($C89, Modules[Code], 0))</f>
        <v>Electricity imports / exports</v>
      </c>
      <c r="E89" s="521"/>
      <c r="F89" s="743"/>
      <c r="G89" s="1017">
        <f t="shared" ref="G89:P89" ca="1" si="215">IFERROR(INDEX(INDIRECT($C89&amp;".Outputs["&amp;this.Year&amp;"]"), MATCH(G$5, INDIRECT($C89&amp;".Outputs[Vector]"), 0)), 0)</f>
        <v>0</v>
      </c>
      <c r="H89" s="1017">
        <f t="shared" ca="1" si="215"/>
        <v>0</v>
      </c>
      <c r="I89" s="1017">
        <f t="shared" ca="1" si="215"/>
        <v>0</v>
      </c>
      <c r="J89" s="1017">
        <f t="shared" ca="1" si="215"/>
        <v>0</v>
      </c>
      <c r="K89" s="1017">
        <f t="shared" ca="1" si="215"/>
        <v>0</v>
      </c>
      <c r="L89" s="1017">
        <f t="shared" ca="1" si="215"/>
        <v>0</v>
      </c>
      <c r="M89" s="1017">
        <f t="shared" ca="1" si="215"/>
        <v>0</v>
      </c>
      <c r="N89" s="1017">
        <f t="shared" ca="1" si="215"/>
        <v>0</v>
      </c>
      <c r="O89" s="1017">
        <f t="shared" ca="1" si="215"/>
        <v>0</v>
      </c>
      <c r="P89" s="1017">
        <f t="shared" ca="1" si="215"/>
        <v>0</v>
      </c>
      <c r="Q89" s="1019">
        <f ca="1">SUM(G89:P89)</f>
        <v>0</v>
      </c>
      <c r="R89" s="743"/>
      <c r="S89" s="1026">
        <f t="shared" ref="S89:AJ89" ca="1" si="216">IFERROR(INDEX(INDIRECT($C89&amp;".Outputs["&amp;this.Year&amp;"]"), MATCH(S$5, INDIRECT($C89&amp;".Outputs[Vector]"), 0)), 0)</f>
        <v>0</v>
      </c>
      <c r="T89" s="1026">
        <f t="shared" ca="1" si="216"/>
        <v>0</v>
      </c>
      <c r="U89" s="1026">
        <f t="shared" ca="1" si="216"/>
        <v>0</v>
      </c>
      <c r="V89" s="1026">
        <f t="shared" ca="1" si="216"/>
        <v>0</v>
      </c>
      <c r="W89" s="1026">
        <f t="shared" ca="1" si="216"/>
        <v>0</v>
      </c>
      <c r="X89" s="1026">
        <f ca="1">IFERROR(INDEX(INDIRECT($C89&amp;".Outputs["&amp;this.Year&amp;"]"), MATCH(X$5, INDIRECT($C89&amp;".Outputs[Vector]"), 0)), 0)</f>
        <v>0</v>
      </c>
      <c r="Y89" s="1026">
        <f ca="1">IFERROR(INDEX(INDIRECT($C89&amp;".Outputs["&amp;this.Year&amp;"]"), MATCH(Y$5, INDIRECT($C89&amp;".Outputs[Vector]"), 0)), 0)</f>
        <v>0</v>
      </c>
      <c r="Z89" s="1026">
        <f ca="1">IFERROR(INDEX(INDIRECT($C89&amp;".Outputs["&amp;this.Year&amp;"]"), MATCH(Z$5, INDIRECT($C89&amp;".Outputs[Vector]"), 0)), 0)</f>
        <v>0</v>
      </c>
      <c r="AA89" s="1026">
        <f t="shared" ca="1" si="216"/>
        <v>0</v>
      </c>
      <c r="AB89" s="1026">
        <f t="shared" ca="1" si="216"/>
        <v>0</v>
      </c>
      <c r="AC89" s="1026">
        <f t="shared" ca="1" si="216"/>
        <v>0</v>
      </c>
      <c r="AD89" s="1026">
        <f t="shared" ca="1" si="216"/>
        <v>0</v>
      </c>
      <c r="AE89" s="1026">
        <f t="shared" ca="1" si="216"/>
        <v>0</v>
      </c>
      <c r="AF89" s="1026">
        <f t="shared" ca="1" si="216"/>
        <v>0</v>
      </c>
      <c r="AG89" s="1026">
        <f t="shared" ca="1" si="216"/>
        <v>0</v>
      </c>
      <c r="AH89" s="1026">
        <f t="shared" ca="1" si="216"/>
        <v>0</v>
      </c>
      <c r="AI89" s="1026">
        <f t="shared" ca="1" si="216"/>
        <v>0</v>
      </c>
      <c r="AJ89" s="1026">
        <f t="shared" ca="1" si="216"/>
        <v>0</v>
      </c>
      <c r="AK89" s="1027">
        <f ca="1">SUM(S89:AJ89)</f>
        <v>0</v>
      </c>
      <c r="AL89" s="743"/>
      <c r="AM89" s="1038">
        <f t="shared" ref="AM89:AU89" ca="1" si="217">IFERROR(INDEX(INDIRECT($C89&amp;".Outputs["&amp;this.Year&amp;"]"), MATCH(AM$5, INDIRECT($C89&amp;".Outputs[Vector]"), 0)), 0)</f>
        <v>0</v>
      </c>
      <c r="AN89" s="1038">
        <f t="shared" ca="1" si="217"/>
        <v>0</v>
      </c>
      <c r="AO89" s="1038">
        <f t="shared" ca="1" si="217"/>
        <v>0</v>
      </c>
      <c r="AP89" s="1038">
        <f t="shared" ca="1" si="217"/>
        <v>0</v>
      </c>
      <c r="AQ89" s="1038">
        <f t="shared" ca="1" si="217"/>
        <v>0</v>
      </c>
      <c r="AR89" s="1038">
        <f t="shared" ca="1" si="217"/>
        <v>0</v>
      </c>
      <c r="AS89" s="1038">
        <f t="shared" ca="1" si="217"/>
        <v>0</v>
      </c>
      <c r="AT89" s="1038">
        <f t="shared" ca="1" si="217"/>
        <v>0</v>
      </c>
      <c r="AU89" s="1038">
        <f t="shared" ca="1" si="217"/>
        <v>0</v>
      </c>
      <c r="AV89" s="1038">
        <f t="shared" ref="AV89:BE89" ca="1" si="218">IFERROR(INDEX(INDIRECT($C89&amp;".Outputs["&amp;this.Year&amp;"]"), MATCH(AV$5, INDIRECT($C89&amp;".Outputs[Vector]"), 0)), 0)</f>
        <v>0</v>
      </c>
      <c r="AW89" s="1038">
        <f t="shared" ca="1" si="218"/>
        <v>0</v>
      </c>
      <c r="AX89" s="1038">
        <f t="shared" ca="1" si="218"/>
        <v>0</v>
      </c>
      <c r="AY89" s="1038">
        <f t="shared" ca="1" si="218"/>
        <v>0</v>
      </c>
      <c r="AZ89" s="1038">
        <f t="shared" ca="1" si="218"/>
        <v>0</v>
      </c>
      <c r="BA89" s="1038">
        <f t="shared" ca="1" si="218"/>
        <v>0</v>
      </c>
      <c r="BB89" s="1038">
        <f t="shared" ca="1" si="218"/>
        <v>0</v>
      </c>
      <c r="BC89" s="1038">
        <f t="shared" ca="1" si="218"/>
        <v>0</v>
      </c>
      <c r="BD89" s="1038">
        <f t="shared" ca="1" si="218"/>
        <v>0</v>
      </c>
      <c r="BE89" s="1038">
        <f t="shared" ca="1" si="218"/>
        <v>0</v>
      </c>
      <c r="BF89" s="979">
        <f ca="1">SUM(AM89:BE89)</f>
        <v>0</v>
      </c>
      <c r="BG89" s="743"/>
      <c r="BH89" s="1032">
        <f ca="1">IFERROR(INDEX(INDIRECT($C89&amp;".Outputs["&amp;this.Year&amp;"]"), MATCH(BH$5, INDIRECT($C89&amp;".Outputs[Vector]"), 0)), 0)</f>
        <v>0</v>
      </c>
      <c r="BI89" s="1032">
        <f ca="1">IFERROR(INDEX(INDIRECT($C89&amp;".Outputs["&amp;this.Year&amp;"]"), MATCH(BI$5, INDIRECT($C89&amp;".Outputs[Vector]"), 0)), 0)</f>
        <v>0</v>
      </c>
      <c r="BJ89" s="1034">
        <f ca="1">SUM(BH89:BI89)</f>
        <v>0</v>
      </c>
      <c r="BK89" s="743"/>
      <c r="BL89" s="814">
        <f t="shared" ref="BL89:BL94" ca="1" si="219">Q89+AK89+BF89+BJ89</f>
        <v>0</v>
      </c>
      <c r="BM89" s="814"/>
      <c r="BO89" s="1481">
        <f t="shared" ref="BO89:DF89" ca="1" si="220">IFERROR(SUMIFS(INDIRECT($C89&amp;".Emissions["&amp;this.Year&amp;"]"), INDIRECT($C89&amp;".Emissions[GHG]"), BO$6, INDIRECT($C89&amp;".Emissions[IPCC Sector]"), BO$5),0)</f>
        <v>0</v>
      </c>
      <c r="BP89" s="1482">
        <f t="shared" ca="1" si="220"/>
        <v>0</v>
      </c>
      <c r="BQ89" s="1482">
        <f t="shared" ca="1" si="220"/>
        <v>0</v>
      </c>
      <c r="BR89" s="1482">
        <f t="shared" ca="1" si="220"/>
        <v>0</v>
      </c>
      <c r="BS89" s="1482">
        <f t="shared" ca="1" si="220"/>
        <v>0</v>
      </c>
      <c r="BT89" s="1482">
        <f t="shared" ca="1" si="220"/>
        <v>0</v>
      </c>
      <c r="BU89" s="1482">
        <f t="shared" ca="1" si="220"/>
        <v>0</v>
      </c>
      <c r="BV89" s="1482">
        <f t="shared" ca="1" si="220"/>
        <v>0</v>
      </c>
      <c r="BW89" s="1482">
        <f t="shared" ca="1" si="220"/>
        <v>0</v>
      </c>
      <c r="BX89" s="1482">
        <f t="shared" ca="1" si="220"/>
        <v>0</v>
      </c>
      <c r="BY89" s="1482">
        <f t="shared" ca="1" si="220"/>
        <v>0</v>
      </c>
      <c r="BZ89" s="1482">
        <f t="shared" ca="1" si="220"/>
        <v>0</v>
      </c>
      <c r="CA89" s="1482">
        <f t="shared" ca="1" si="220"/>
        <v>0</v>
      </c>
      <c r="CB89" s="1482">
        <f t="shared" ca="1" si="220"/>
        <v>0</v>
      </c>
      <c r="CC89" s="1482">
        <f t="shared" ca="1" si="220"/>
        <v>0</v>
      </c>
      <c r="CD89" s="1482">
        <f t="shared" ca="1" si="220"/>
        <v>0</v>
      </c>
      <c r="CE89" s="1482">
        <f t="shared" ca="1" si="220"/>
        <v>0</v>
      </c>
      <c r="CF89" s="1482">
        <f t="shared" ca="1" si="220"/>
        <v>0</v>
      </c>
      <c r="CG89" s="1482">
        <f t="shared" ca="1" si="220"/>
        <v>0</v>
      </c>
      <c r="CH89" s="1482">
        <f t="shared" ca="1" si="220"/>
        <v>0</v>
      </c>
      <c r="CI89" s="1482">
        <f t="shared" ca="1" si="220"/>
        <v>0</v>
      </c>
      <c r="CJ89" s="1482">
        <f t="shared" ca="1" si="220"/>
        <v>0</v>
      </c>
      <c r="CK89" s="1482">
        <f t="shared" ca="1" si="220"/>
        <v>0</v>
      </c>
      <c r="CL89" s="1482">
        <f t="shared" ca="1" si="220"/>
        <v>0</v>
      </c>
      <c r="CM89" s="1482">
        <f t="shared" ca="1" si="220"/>
        <v>0</v>
      </c>
      <c r="CN89" s="1482">
        <f t="shared" ca="1" si="220"/>
        <v>0</v>
      </c>
      <c r="CO89" s="1482">
        <f t="shared" ca="1" si="220"/>
        <v>0</v>
      </c>
      <c r="CP89" s="1482">
        <f t="shared" ca="1" si="220"/>
        <v>0</v>
      </c>
      <c r="CQ89" s="1482">
        <f t="shared" ca="1" si="220"/>
        <v>0</v>
      </c>
      <c r="CR89" s="1482">
        <f t="shared" ca="1" si="220"/>
        <v>0</v>
      </c>
      <c r="CS89" s="1482">
        <f t="shared" ca="1" si="220"/>
        <v>0</v>
      </c>
      <c r="CT89" s="1482">
        <f t="shared" ca="1" si="220"/>
        <v>0</v>
      </c>
      <c r="CU89" s="1482">
        <f t="shared" ca="1" si="220"/>
        <v>0</v>
      </c>
      <c r="CV89" s="1482">
        <f t="shared" ca="1" si="220"/>
        <v>0</v>
      </c>
      <c r="CW89" s="1482">
        <f t="shared" ca="1" si="220"/>
        <v>0</v>
      </c>
      <c r="CX89" s="1482">
        <f t="shared" ca="1" si="220"/>
        <v>0</v>
      </c>
      <c r="CY89" s="1482">
        <f t="shared" ca="1" si="220"/>
        <v>0</v>
      </c>
      <c r="CZ89" s="1482">
        <f t="shared" ca="1" si="220"/>
        <v>0</v>
      </c>
      <c r="DA89" s="1482">
        <f t="shared" ca="1" si="220"/>
        <v>0</v>
      </c>
      <c r="DB89" s="1482">
        <f t="shared" ca="1" si="220"/>
        <v>0</v>
      </c>
      <c r="DC89" s="1482">
        <f t="shared" ca="1" si="220"/>
        <v>0</v>
      </c>
      <c r="DD89" s="1482">
        <f t="shared" ca="1" si="220"/>
        <v>0</v>
      </c>
      <c r="DE89" s="1482">
        <f t="shared" ca="1" si="220"/>
        <v>0</v>
      </c>
      <c r="DF89" s="1482">
        <f t="shared" ca="1" si="220"/>
        <v>0</v>
      </c>
      <c r="DH89" s="838"/>
    </row>
    <row r="90" spans="1:112" s="1488" customFormat="1" ht="12.75" hidden="1" customHeight="1" outlineLevel="1">
      <c r="C90" s="1048" t="s">
        <v>1722</v>
      </c>
      <c r="D90" s="1049" t="s">
        <v>1335</v>
      </c>
      <c r="E90" s="1049"/>
      <c r="F90" s="743"/>
      <c r="G90" s="1070"/>
      <c r="H90" s="1070"/>
      <c r="I90" s="1070"/>
      <c r="J90" s="1070"/>
      <c r="K90" s="1071"/>
      <c r="L90" s="1070"/>
      <c r="M90" s="1070"/>
      <c r="N90" s="1070"/>
      <c r="O90" s="1070"/>
      <c r="P90" s="1070"/>
      <c r="Q90" s="1070"/>
      <c r="R90" s="743"/>
      <c r="S90" s="1072">
        <f ca="1">S$40+$S46+S$51+S$99+S$55+S$89</f>
        <v>-361.16931700791082</v>
      </c>
      <c r="T90" s="1072">
        <f ca="1">T$40+$S46+T$51+T$99+T$55+T$89</f>
        <v>0</v>
      </c>
      <c r="U90" s="1072"/>
      <c r="V90" s="1072"/>
      <c r="W90" s="1072"/>
      <c r="X90" s="1072"/>
      <c r="Y90" s="1072"/>
      <c r="Z90" s="1072"/>
      <c r="AA90" s="1072"/>
      <c r="AB90" s="1072"/>
      <c r="AC90" s="1072"/>
      <c r="AD90" s="1072"/>
      <c r="AE90" s="1072"/>
      <c r="AF90" s="1072"/>
      <c r="AG90" s="1072"/>
      <c r="AH90" s="1072"/>
      <c r="AI90" s="1072"/>
      <c r="AJ90" s="1072"/>
      <c r="AK90" s="1072"/>
      <c r="AL90" s="74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743"/>
      <c r="BH90" s="1074"/>
      <c r="BI90" s="1074"/>
      <c r="BJ90" s="1074"/>
      <c r="BK90" s="743"/>
      <c r="BL90" s="852">
        <f t="shared" si="219"/>
        <v>0</v>
      </c>
      <c r="BM90" s="852"/>
      <c r="BO90" s="1490"/>
      <c r="BP90" s="1490"/>
      <c r="BQ90" s="1490"/>
      <c r="BR90" s="1490"/>
      <c r="BS90" s="1490"/>
      <c r="BT90" s="1490"/>
      <c r="BU90" s="1490"/>
      <c r="BV90" s="1490"/>
      <c r="BW90" s="1490"/>
      <c r="BX90" s="1490"/>
      <c r="BY90" s="1490"/>
      <c r="BZ90" s="1490"/>
      <c r="CA90" s="1490"/>
      <c r="CB90" s="1490"/>
      <c r="CC90" s="1490"/>
      <c r="CD90" s="1490"/>
      <c r="CE90" s="1490"/>
      <c r="CF90" s="1490"/>
      <c r="CG90" s="1490"/>
      <c r="CH90" s="1490"/>
      <c r="CI90" s="1490"/>
      <c r="CJ90" s="1490"/>
      <c r="CK90" s="1490"/>
      <c r="CL90" s="1490"/>
      <c r="CM90" s="1490"/>
      <c r="CN90" s="1490"/>
      <c r="CO90" s="1490"/>
      <c r="CP90" s="1490"/>
      <c r="CQ90" s="1490"/>
      <c r="CR90" s="1490"/>
      <c r="CS90" s="1490"/>
      <c r="CT90" s="1490"/>
      <c r="CU90" s="1490"/>
      <c r="CV90" s="1490"/>
      <c r="CW90" s="1490"/>
      <c r="CX90" s="1490"/>
      <c r="CY90" s="1490"/>
      <c r="CZ90" s="1490"/>
      <c r="DA90" s="1490"/>
      <c r="DB90" s="1490"/>
      <c r="DC90" s="1490"/>
      <c r="DD90" s="1490"/>
      <c r="DE90" s="1490"/>
      <c r="DF90" s="1490"/>
      <c r="DH90" s="838"/>
    </row>
    <row r="91" spans="1:112" s="1484" customFormat="1" hidden="1" outlineLevel="1">
      <c r="C91" s="522" t="s">
        <v>784</v>
      </c>
      <c r="D91" s="521" t="str">
        <f>INDEX(Modules[Module], MATCH($C91, Modules[Code], 0))</f>
        <v>Electricity grid distribution</v>
      </c>
      <c r="E91" s="521"/>
      <c r="F91" s="743"/>
      <c r="G91" s="1017">
        <f t="shared" ref="G91:P92" ca="1" si="221">IFERROR(INDEX(INDIRECT($C91&amp;".Outputs["&amp;this.Year&amp;"]"), MATCH(G$5, INDIRECT($C91&amp;".Outputs[Vector]"), 0)), 0)</f>
        <v>0</v>
      </c>
      <c r="H91" s="1017">
        <f t="shared" ca="1" si="221"/>
        <v>0</v>
      </c>
      <c r="I91" s="1017">
        <f t="shared" ca="1" si="221"/>
        <v>0</v>
      </c>
      <c r="J91" s="1017">
        <f t="shared" ca="1" si="221"/>
        <v>0</v>
      </c>
      <c r="K91" s="1017">
        <f t="shared" ca="1" si="221"/>
        <v>0</v>
      </c>
      <c r="L91" s="1017">
        <f t="shared" ca="1" si="221"/>
        <v>0</v>
      </c>
      <c r="M91" s="1017">
        <f t="shared" ca="1" si="221"/>
        <v>0</v>
      </c>
      <c r="N91" s="1017">
        <f t="shared" ca="1" si="221"/>
        <v>0</v>
      </c>
      <c r="O91" s="1017">
        <f t="shared" ca="1" si="221"/>
        <v>0</v>
      </c>
      <c r="P91" s="1017">
        <f t="shared" ca="1" si="221"/>
        <v>0</v>
      </c>
      <c r="Q91" s="1019">
        <f ca="1">SUM(G91:P91)</f>
        <v>0</v>
      </c>
      <c r="R91" s="743"/>
      <c r="S91" s="1026">
        <f t="shared" ref="S91:AJ92" ca="1" si="222">IFERROR(INDEX(INDIRECT($C91&amp;".Outputs["&amp;this.Year&amp;"]"), MATCH(S$5, INDIRECT($C91&amp;".Outputs[Vector]"), 0)), 0)</f>
        <v>0</v>
      </c>
      <c r="T91" s="1026">
        <f t="shared" ca="1" si="222"/>
        <v>-27.080412682208134</v>
      </c>
      <c r="U91" s="1026">
        <f t="shared" ca="1" si="222"/>
        <v>0</v>
      </c>
      <c r="V91" s="1026">
        <f t="shared" ca="1" si="222"/>
        <v>0</v>
      </c>
      <c r="W91" s="1026">
        <f t="shared" ca="1" si="222"/>
        <v>0</v>
      </c>
      <c r="X91" s="1026">
        <f t="shared" ref="X91:Z92" ca="1" si="223">IFERROR(INDEX(INDIRECT($C91&amp;".Outputs["&amp;this.Year&amp;"]"), MATCH(X$5, INDIRECT($C91&amp;".Outputs[Vector]"), 0)), 0)</f>
        <v>0</v>
      </c>
      <c r="Y91" s="1026">
        <f t="shared" ca="1" si="223"/>
        <v>0</v>
      </c>
      <c r="Z91" s="1026">
        <f t="shared" ca="1" si="223"/>
        <v>0</v>
      </c>
      <c r="AA91" s="1026">
        <f t="shared" ca="1" si="222"/>
        <v>0</v>
      </c>
      <c r="AB91" s="1026">
        <f t="shared" ca="1" si="222"/>
        <v>0</v>
      </c>
      <c r="AC91" s="1026">
        <f t="shared" ca="1" si="222"/>
        <v>0</v>
      </c>
      <c r="AD91" s="1026">
        <f t="shared" ca="1" si="222"/>
        <v>0</v>
      </c>
      <c r="AE91" s="1026">
        <f t="shared" ca="1" si="222"/>
        <v>0</v>
      </c>
      <c r="AF91" s="1026">
        <f t="shared" ca="1" si="222"/>
        <v>0</v>
      </c>
      <c r="AG91" s="1026">
        <f t="shared" ca="1" si="222"/>
        <v>0</v>
      </c>
      <c r="AH91" s="1026">
        <f t="shared" ca="1" si="222"/>
        <v>0</v>
      </c>
      <c r="AI91" s="1026">
        <f t="shared" ca="1" si="222"/>
        <v>0</v>
      </c>
      <c r="AJ91" s="1026">
        <f t="shared" ca="1" si="222"/>
        <v>0</v>
      </c>
      <c r="AK91" s="1027">
        <f ca="1">SUM(S91:AJ91)</f>
        <v>-27.080412682208134</v>
      </c>
      <c r="AL91" s="743"/>
      <c r="AM91" s="1038">
        <f t="shared" ref="AM91:AU92" ca="1" si="224">IFERROR(INDEX(INDIRECT($C91&amp;".Outputs["&amp;this.Year&amp;"]"), MATCH(AM$5, INDIRECT($C91&amp;".Outputs[Vector]"), 0)), 0)</f>
        <v>0</v>
      </c>
      <c r="AN91" s="1038">
        <f t="shared" ca="1" si="224"/>
        <v>0</v>
      </c>
      <c r="AO91" s="1038">
        <f t="shared" ca="1" si="224"/>
        <v>0</v>
      </c>
      <c r="AP91" s="1038">
        <f t="shared" ca="1" si="224"/>
        <v>0</v>
      </c>
      <c r="AQ91" s="1038">
        <f t="shared" ca="1" si="224"/>
        <v>0</v>
      </c>
      <c r="AR91" s="1038">
        <f t="shared" ca="1" si="224"/>
        <v>0</v>
      </c>
      <c r="AS91" s="1038">
        <f t="shared" ca="1" si="224"/>
        <v>0</v>
      </c>
      <c r="AT91" s="1038">
        <f t="shared" ca="1" si="224"/>
        <v>0</v>
      </c>
      <c r="AU91" s="1038">
        <f t="shared" ca="1" si="224"/>
        <v>0</v>
      </c>
      <c r="AV91" s="1038">
        <f t="shared" ref="AV91:BE92" ca="1" si="225">IFERROR(INDEX(INDIRECT($C91&amp;".Outputs["&amp;this.Year&amp;"]"), MATCH(AV$5, INDIRECT($C91&amp;".Outputs[Vector]"), 0)), 0)</f>
        <v>0</v>
      </c>
      <c r="AW91" s="1038">
        <f t="shared" ca="1" si="225"/>
        <v>0</v>
      </c>
      <c r="AX91" s="1038">
        <f t="shared" ca="1" si="225"/>
        <v>0</v>
      </c>
      <c r="AY91" s="1038">
        <f t="shared" ca="1" si="225"/>
        <v>0</v>
      </c>
      <c r="AZ91" s="1038">
        <f t="shared" ca="1" si="225"/>
        <v>0</v>
      </c>
      <c r="BA91" s="1038">
        <f t="shared" ca="1" si="225"/>
        <v>0</v>
      </c>
      <c r="BB91" s="1038">
        <f t="shared" ca="1" si="225"/>
        <v>0</v>
      </c>
      <c r="BC91" s="1038">
        <f t="shared" ca="1" si="225"/>
        <v>0</v>
      </c>
      <c r="BD91" s="1038">
        <f t="shared" ca="1" si="225"/>
        <v>0</v>
      </c>
      <c r="BE91" s="1038">
        <f t="shared" ca="1" si="225"/>
        <v>0</v>
      </c>
      <c r="BF91" s="979">
        <f ca="1">SUM(AM91:BE91)</f>
        <v>0</v>
      </c>
      <c r="BG91" s="743"/>
      <c r="BH91" s="1032">
        <f ca="1">IFERROR(INDEX(INDIRECT($C91&amp;".Outputs["&amp;this.Year&amp;"]"), MATCH(BH$5, INDIRECT($C91&amp;".Outputs[Vector]"), 0)), 0)</f>
        <v>0</v>
      </c>
      <c r="BI91" s="1032">
        <f ca="1">IFERROR(INDEX(INDIRECT($C91&amp;".Outputs["&amp;this.Year&amp;"]"), MATCH(BI$5, INDIRECT($C91&amp;".Outputs[Vector]"), 0)), 0)</f>
        <v>27.080412682208141</v>
      </c>
      <c r="BJ91" s="1034">
        <f ca="1">SUM(BH91:BI91)</f>
        <v>27.080412682208141</v>
      </c>
      <c r="BK91" s="743"/>
      <c r="BL91" s="852">
        <f t="shared" ca="1" si="219"/>
        <v>0</v>
      </c>
      <c r="BM91" s="814"/>
      <c r="BO91" s="1481">
        <f t="shared" ref="BO91:BX92" ca="1" si="226">IFERROR(SUMIFS(INDIRECT($C91&amp;".Emissions["&amp;this.Year&amp;"]"), INDIRECT($C91&amp;".Emissions[GHG]"), BO$6, INDIRECT($C91&amp;".Emissions[IPCC Sector]"), BO$5),0)</f>
        <v>0</v>
      </c>
      <c r="BP91" s="1482">
        <f t="shared" ca="1" si="226"/>
        <v>0</v>
      </c>
      <c r="BQ91" s="1482">
        <f t="shared" ca="1" si="226"/>
        <v>0</v>
      </c>
      <c r="BR91" s="1482">
        <f t="shared" ca="1" si="226"/>
        <v>0</v>
      </c>
      <c r="BS91" s="1482">
        <f t="shared" ca="1" si="226"/>
        <v>0</v>
      </c>
      <c r="BT91" s="1482">
        <f t="shared" ca="1" si="226"/>
        <v>0</v>
      </c>
      <c r="BU91" s="1482">
        <f t="shared" ca="1" si="226"/>
        <v>0</v>
      </c>
      <c r="BV91" s="1482">
        <f t="shared" ca="1" si="226"/>
        <v>0</v>
      </c>
      <c r="BW91" s="1482">
        <f t="shared" ca="1" si="226"/>
        <v>0</v>
      </c>
      <c r="BX91" s="1482">
        <f t="shared" ca="1" si="226"/>
        <v>0</v>
      </c>
      <c r="BY91" s="1482">
        <f t="shared" ref="BY91:CH92" ca="1" si="227">IFERROR(SUMIFS(INDIRECT($C91&amp;".Emissions["&amp;this.Year&amp;"]"), INDIRECT($C91&amp;".Emissions[GHG]"), BY$6, INDIRECT($C91&amp;".Emissions[IPCC Sector]"), BY$5),0)</f>
        <v>0</v>
      </c>
      <c r="BZ91" s="1482">
        <f t="shared" ca="1" si="227"/>
        <v>0</v>
      </c>
      <c r="CA91" s="1482">
        <f t="shared" ca="1" si="227"/>
        <v>0</v>
      </c>
      <c r="CB91" s="1482">
        <f t="shared" ca="1" si="227"/>
        <v>0</v>
      </c>
      <c r="CC91" s="1482">
        <f t="shared" ca="1" si="227"/>
        <v>0</v>
      </c>
      <c r="CD91" s="1482">
        <f t="shared" ca="1" si="227"/>
        <v>0</v>
      </c>
      <c r="CE91" s="1482">
        <f t="shared" ca="1" si="227"/>
        <v>0</v>
      </c>
      <c r="CF91" s="1482">
        <f t="shared" ca="1" si="227"/>
        <v>0</v>
      </c>
      <c r="CG91" s="1482">
        <f t="shared" ca="1" si="227"/>
        <v>0</v>
      </c>
      <c r="CH91" s="1482">
        <f t="shared" ca="1" si="227"/>
        <v>0</v>
      </c>
      <c r="CI91" s="1482">
        <f t="shared" ref="CI91:CR92" ca="1" si="228">IFERROR(SUMIFS(INDIRECT($C91&amp;".Emissions["&amp;this.Year&amp;"]"), INDIRECT($C91&amp;".Emissions[GHG]"), CI$6, INDIRECT($C91&amp;".Emissions[IPCC Sector]"), CI$5),0)</f>
        <v>0</v>
      </c>
      <c r="CJ91" s="1482">
        <f t="shared" ca="1" si="228"/>
        <v>0</v>
      </c>
      <c r="CK91" s="1482">
        <f t="shared" ca="1" si="228"/>
        <v>0</v>
      </c>
      <c r="CL91" s="1482">
        <f t="shared" ca="1" si="228"/>
        <v>0</v>
      </c>
      <c r="CM91" s="1482">
        <f t="shared" ca="1" si="228"/>
        <v>0</v>
      </c>
      <c r="CN91" s="1482">
        <f t="shared" ca="1" si="228"/>
        <v>0</v>
      </c>
      <c r="CO91" s="1482">
        <f t="shared" ca="1" si="228"/>
        <v>0</v>
      </c>
      <c r="CP91" s="1482">
        <f t="shared" ca="1" si="228"/>
        <v>0</v>
      </c>
      <c r="CQ91" s="1482">
        <f t="shared" ca="1" si="228"/>
        <v>0</v>
      </c>
      <c r="CR91" s="1482">
        <f t="shared" ca="1" si="228"/>
        <v>0</v>
      </c>
      <c r="CS91" s="1482">
        <f t="shared" ref="CS91:DF92" ca="1" si="229">IFERROR(SUMIFS(INDIRECT($C91&amp;".Emissions["&amp;this.Year&amp;"]"), INDIRECT($C91&amp;".Emissions[GHG]"), CS$6, INDIRECT($C91&amp;".Emissions[IPCC Sector]"), CS$5),0)</f>
        <v>0</v>
      </c>
      <c r="CT91" s="1482">
        <f t="shared" ca="1" si="229"/>
        <v>0</v>
      </c>
      <c r="CU91" s="1482">
        <f t="shared" ca="1" si="229"/>
        <v>0</v>
      </c>
      <c r="CV91" s="1482">
        <f t="shared" ca="1" si="229"/>
        <v>0</v>
      </c>
      <c r="CW91" s="1482">
        <f t="shared" ca="1" si="229"/>
        <v>0</v>
      </c>
      <c r="CX91" s="1482">
        <f t="shared" ca="1" si="229"/>
        <v>0</v>
      </c>
      <c r="CY91" s="1482">
        <f t="shared" ca="1" si="229"/>
        <v>0</v>
      </c>
      <c r="CZ91" s="1482">
        <f t="shared" ca="1" si="229"/>
        <v>0</v>
      </c>
      <c r="DA91" s="1482">
        <f t="shared" ca="1" si="229"/>
        <v>0</v>
      </c>
      <c r="DB91" s="1482">
        <f t="shared" ca="1" si="229"/>
        <v>0</v>
      </c>
      <c r="DC91" s="1482">
        <f t="shared" ca="1" si="229"/>
        <v>0</v>
      </c>
      <c r="DD91" s="1482">
        <f t="shared" ca="1" si="229"/>
        <v>0</v>
      </c>
      <c r="DE91" s="1482">
        <f t="shared" ca="1" si="229"/>
        <v>0</v>
      </c>
      <c r="DF91" s="1482">
        <f t="shared" ca="1" si="229"/>
        <v>0</v>
      </c>
      <c r="DH91" s="838"/>
    </row>
    <row r="92" spans="1:112" s="1484" customFormat="1" hidden="1" outlineLevel="1">
      <c r="C92" s="522" t="s">
        <v>796</v>
      </c>
      <c r="D92" s="1010" t="str">
        <f>INDEX(Modules[Module], MATCH($C92, Modules[Code], 0))</f>
        <v>Storage, demand shifting, backup</v>
      </c>
      <c r="E92" s="1010"/>
      <c r="F92" s="743"/>
      <c r="G92" s="1022">
        <f t="shared" ca="1" si="221"/>
        <v>0</v>
      </c>
      <c r="H92" s="1022">
        <f t="shared" ca="1" si="221"/>
        <v>0</v>
      </c>
      <c r="I92" s="1022">
        <f t="shared" ca="1" si="221"/>
        <v>0</v>
      </c>
      <c r="J92" s="1022">
        <f t="shared" ca="1" si="221"/>
        <v>0</v>
      </c>
      <c r="K92" s="1022">
        <f t="shared" ca="1" si="221"/>
        <v>0</v>
      </c>
      <c r="L92" s="1022">
        <f t="shared" ca="1" si="221"/>
        <v>0</v>
      </c>
      <c r="M92" s="1022">
        <f t="shared" ca="1" si="221"/>
        <v>0</v>
      </c>
      <c r="N92" s="1022">
        <f t="shared" ca="1" si="221"/>
        <v>0</v>
      </c>
      <c r="O92" s="1022">
        <f t="shared" ca="1" si="221"/>
        <v>0</v>
      </c>
      <c r="P92" s="1022">
        <f t="shared" ca="1" si="221"/>
        <v>0</v>
      </c>
      <c r="Q92" s="1020">
        <f ca="1">SUM(G92:P92)</f>
        <v>0</v>
      </c>
      <c r="R92" s="743"/>
      <c r="S92" s="1031">
        <f t="shared" ca="1" si="222"/>
        <v>0</v>
      </c>
      <c r="T92" s="1031">
        <f t="shared" ca="1" si="222"/>
        <v>0</v>
      </c>
      <c r="U92" s="1031">
        <f t="shared" ca="1" si="222"/>
        <v>0</v>
      </c>
      <c r="V92" s="1031">
        <f t="shared" ca="1" si="222"/>
        <v>0</v>
      </c>
      <c r="W92" s="1031">
        <f t="shared" ca="1" si="222"/>
        <v>0</v>
      </c>
      <c r="X92" s="1031">
        <f t="shared" ca="1" si="223"/>
        <v>0</v>
      </c>
      <c r="Y92" s="1031">
        <f t="shared" ca="1" si="223"/>
        <v>0</v>
      </c>
      <c r="Z92" s="1031">
        <f t="shared" ca="1" si="223"/>
        <v>0</v>
      </c>
      <c r="AA92" s="1031">
        <f t="shared" ca="1" si="222"/>
        <v>0</v>
      </c>
      <c r="AB92" s="1031">
        <f t="shared" ca="1" si="222"/>
        <v>0</v>
      </c>
      <c r="AC92" s="1031">
        <f t="shared" ca="1" si="222"/>
        <v>0</v>
      </c>
      <c r="AD92" s="1031">
        <f t="shared" ca="1" si="222"/>
        <v>0</v>
      </c>
      <c r="AE92" s="1031">
        <f t="shared" ca="1" si="222"/>
        <v>0</v>
      </c>
      <c r="AF92" s="1031">
        <f t="shared" ca="1" si="222"/>
        <v>0</v>
      </c>
      <c r="AG92" s="1031">
        <f t="shared" ca="1" si="222"/>
        <v>0</v>
      </c>
      <c r="AH92" s="1031">
        <f t="shared" ca="1" si="222"/>
        <v>0</v>
      </c>
      <c r="AI92" s="1031">
        <f t="shared" ca="1" si="222"/>
        <v>0</v>
      </c>
      <c r="AJ92" s="1031">
        <f t="shared" ca="1" si="222"/>
        <v>0</v>
      </c>
      <c r="AK92" s="1030">
        <f ca="1">SUM(S92:AJ92)</f>
        <v>0</v>
      </c>
      <c r="AL92" s="743"/>
      <c r="AM92" s="1042">
        <f t="shared" ca="1" si="224"/>
        <v>0</v>
      </c>
      <c r="AN92" s="1042">
        <f t="shared" ca="1" si="224"/>
        <v>0</v>
      </c>
      <c r="AO92" s="1042">
        <f t="shared" ca="1" si="224"/>
        <v>0</v>
      </c>
      <c r="AP92" s="1042">
        <f t="shared" ca="1" si="224"/>
        <v>0</v>
      </c>
      <c r="AQ92" s="1042">
        <f t="shared" ca="1" si="224"/>
        <v>0</v>
      </c>
      <c r="AR92" s="1042">
        <f t="shared" ca="1" si="224"/>
        <v>0</v>
      </c>
      <c r="AS92" s="1042">
        <f t="shared" ca="1" si="224"/>
        <v>0</v>
      </c>
      <c r="AT92" s="1042">
        <f t="shared" ca="1" si="224"/>
        <v>0</v>
      </c>
      <c r="AU92" s="1042">
        <f t="shared" ca="1" si="224"/>
        <v>0</v>
      </c>
      <c r="AV92" s="1042">
        <f t="shared" ca="1" si="225"/>
        <v>0</v>
      </c>
      <c r="AW92" s="1042">
        <f t="shared" ca="1" si="225"/>
        <v>0</v>
      </c>
      <c r="AX92" s="1042">
        <f t="shared" ca="1" si="225"/>
        <v>0</v>
      </c>
      <c r="AY92" s="1042">
        <f t="shared" ca="1" si="225"/>
        <v>0</v>
      </c>
      <c r="AZ92" s="1042">
        <f t="shared" ca="1" si="225"/>
        <v>0</v>
      </c>
      <c r="BA92" s="1042">
        <f t="shared" ca="1" si="225"/>
        <v>0</v>
      </c>
      <c r="BB92" s="1042">
        <f t="shared" ca="1" si="225"/>
        <v>0</v>
      </c>
      <c r="BC92" s="1042">
        <f t="shared" ca="1" si="225"/>
        <v>0</v>
      </c>
      <c r="BD92" s="1042">
        <f t="shared" ca="1" si="225"/>
        <v>0</v>
      </c>
      <c r="BE92" s="1042">
        <f t="shared" ca="1" si="225"/>
        <v>0</v>
      </c>
      <c r="BF92" s="1012">
        <f ca="1">SUM(AM92:BE92)</f>
        <v>0</v>
      </c>
      <c r="BG92" s="743"/>
      <c r="BH92" s="1036">
        <f ca="1">IFERROR(INDEX(INDIRECT($C92&amp;".Outputs["&amp;this.Year&amp;"]"), MATCH(BH$5, INDIRECT($C92&amp;".Outputs[Vector]"), 0)), 0)</f>
        <v>0</v>
      </c>
      <c r="BI92" s="1036">
        <f ca="1">IFERROR(INDEX(INDIRECT($C92&amp;".Outputs["&amp;this.Year&amp;"]"), MATCH(BI$5, INDIRECT($C92&amp;".Outputs[Vector]"), 0)), 0)</f>
        <v>0</v>
      </c>
      <c r="BJ92" s="1035">
        <f ca="1">SUM(BH92:BI92)</f>
        <v>0</v>
      </c>
      <c r="BK92" s="743"/>
      <c r="BL92" s="852">
        <f t="shared" ca="1" si="219"/>
        <v>0</v>
      </c>
      <c r="BM92" s="814"/>
      <c r="BO92" s="1485">
        <f t="shared" ca="1" si="226"/>
        <v>0</v>
      </c>
      <c r="BP92" s="1486">
        <f t="shared" ca="1" si="226"/>
        <v>0</v>
      </c>
      <c r="BQ92" s="1486">
        <f t="shared" ca="1" si="226"/>
        <v>0</v>
      </c>
      <c r="BR92" s="1486">
        <f t="shared" ca="1" si="226"/>
        <v>0</v>
      </c>
      <c r="BS92" s="1486">
        <f t="shared" ca="1" si="226"/>
        <v>0</v>
      </c>
      <c r="BT92" s="1486">
        <f t="shared" ca="1" si="226"/>
        <v>0</v>
      </c>
      <c r="BU92" s="1486">
        <f t="shared" ca="1" si="226"/>
        <v>0</v>
      </c>
      <c r="BV92" s="1486">
        <f t="shared" ca="1" si="226"/>
        <v>0</v>
      </c>
      <c r="BW92" s="1486">
        <f t="shared" ca="1" si="226"/>
        <v>0</v>
      </c>
      <c r="BX92" s="1486">
        <f t="shared" ca="1" si="226"/>
        <v>0</v>
      </c>
      <c r="BY92" s="1486">
        <f t="shared" ca="1" si="227"/>
        <v>0</v>
      </c>
      <c r="BZ92" s="1486">
        <f t="shared" ca="1" si="227"/>
        <v>0</v>
      </c>
      <c r="CA92" s="1486">
        <f t="shared" ca="1" si="227"/>
        <v>0</v>
      </c>
      <c r="CB92" s="1486">
        <f t="shared" ca="1" si="227"/>
        <v>0</v>
      </c>
      <c r="CC92" s="1486">
        <f t="shared" ca="1" si="227"/>
        <v>0</v>
      </c>
      <c r="CD92" s="1486">
        <f t="shared" ca="1" si="227"/>
        <v>0</v>
      </c>
      <c r="CE92" s="1486">
        <f t="shared" ca="1" si="227"/>
        <v>0</v>
      </c>
      <c r="CF92" s="1486">
        <f t="shared" ca="1" si="227"/>
        <v>0</v>
      </c>
      <c r="CG92" s="1486">
        <f t="shared" ca="1" si="227"/>
        <v>0</v>
      </c>
      <c r="CH92" s="1486">
        <f t="shared" ca="1" si="227"/>
        <v>0</v>
      </c>
      <c r="CI92" s="1486">
        <f t="shared" ca="1" si="228"/>
        <v>0</v>
      </c>
      <c r="CJ92" s="1486">
        <f t="shared" ca="1" si="228"/>
        <v>0</v>
      </c>
      <c r="CK92" s="1486">
        <f t="shared" ca="1" si="228"/>
        <v>0</v>
      </c>
      <c r="CL92" s="1486">
        <f t="shared" ca="1" si="228"/>
        <v>0</v>
      </c>
      <c r="CM92" s="1486">
        <f t="shared" ca="1" si="228"/>
        <v>0</v>
      </c>
      <c r="CN92" s="1486">
        <f t="shared" ca="1" si="228"/>
        <v>0</v>
      </c>
      <c r="CO92" s="1486">
        <f t="shared" ca="1" si="228"/>
        <v>0</v>
      </c>
      <c r="CP92" s="1486">
        <f t="shared" ca="1" si="228"/>
        <v>0</v>
      </c>
      <c r="CQ92" s="1486">
        <f t="shared" ca="1" si="228"/>
        <v>0</v>
      </c>
      <c r="CR92" s="1486">
        <f t="shared" ca="1" si="228"/>
        <v>0</v>
      </c>
      <c r="CS92" s="1486">
        <f t="shared" ca="1" si="229"/>
        <v>0</v>
      </c>
      <c r="CT92" s="1486">
        <f t="shared" ca="1" si="229"/>
        <v>0</v>
      </c>
      <c r="CU92" s="1486">
        <f t="shared" ca="1" si="229"/>
        <v>0</v>
      </c>
      <c r="CV92" s="1486">
        <f t="shared" ca="1" si="229"/>
        <v>0</v>
      </c>
      <c r="CW92" s="1486">
        <f t="shared" ca="1" si="229"/>
        <v>0</v>
      </c>
      <c r="CX92" s="1486">
        <f t="shared" ca="1" si="229"/>
        <v>0</v>
      </c>
      <c r="CY92" s="1486">
        <f t="shared" ca="1" si="229"/>
        <v>0</v>
      </c>
      <c r="CZ92" s="1486">
        <f t="shared" ca="1" si="229"/>
        <v>0</v>
      </c>
      <c r="DA92" s="1486">
        <f t="shared" ca="1" si="229"/>
        <v>0</v>
      </c>
      <c r="DB92" s="1486">
        <f t="shared" ca="1" si="229"/>
        <v>0</v>
      </c>
      <c r="DC92" s="1486">
        <f t="shared" ca="1" si="229"/>
        <v>0</v>
      </c>
      <c r="DD92" s="1486">
        <f t="shared" ca="1" si="229"/>
        <v>0</v>
      </c>
      <c r="DE92" s="1486">
        <f t="shared" ca="1" si="229"/>
        <v>0</v>
      </c>
      <c r="DF92" s="1486">
        <f t="shared" ca="1" si="229"/>
        <v>0</v>
      </c>
      <c r="DH92" s="838"/>
    </row>
    <row r="93" spans="1:112" s="22" customFormat="1" ht="12.75" customHeight="1" collapsed="1">
      <c r="B93" s="753"/>
      <c r="C93" s="744" t="s">
        <v>673</v>
      </c>
      <c r="D93" s="517" t="str">
        <f>INDEX(Workstreams[Workstream], MATCH($C93, Workstreams[Code], 0))</f>
        <v>Electricity distribution, storage, and balancing</v>
      </c>
      <c r="E93" s="512"/>
      <c r="F93" s="743"/>
      <c r="G93" s="958">
        <f t="shared" ref="G93:P93" ca="1" si="230">G$89+G$91+G$92</f>
        <v>0</v>
      </c>
      <c r="H93" s="958">
        <f t="shared" ca="1" si="230"/>
        <v>0</v>
      </c>
      <c r="I93" s="958">
        <f t="shared" ca="1" si="230"/>
        <v>0</v>
      </c>
      <c r="J93" s="958">
        <f t="shared" ca="1" si="230"/>
        <v>0</v>
      </c>
      <c r="K93" s="960">
        <f t="shared" ca="1" si="230"/>
        <v>0</v>
      </c>
      <c r="L93" s="958">
        <f t="shared" ca="1" si="230"/>
        <v>0</v>
      </c>
      <c r="M93" s="958">
        <f t="shared" ca="1" si="230"/>
        <v>0</v>
      </c>
      <c r="N93" s="958">
        <f t="shared" ca="1" si="230"/>
        <v>0</v>
      </c>
      <c r="O93" s="958">
        <f t="shared" ca="1" si="230"/>
        <v>0</v>
      </c>
      <c r="P93" s="958">
        <f t="shared" ca="1" si="230"/>
        <v>0</v>
      </c>
      <c r="Q93" s="1021">
        <f ca="1">SUM(G93:P93)</f>
        <v>0</v>
      </c>
      <c r="R93" s="743"/>
      <c r="S93" s="970">
        <f t="shared" ref="S93:AJ93" ca="1" si="231">S$89+S$91+S$92</f>
        <v>0</v>
      </c>
      <c r="T93" s="970">
        <f t="shared" ca="1" si="231"/>
        <v>-27.080412682208134</v>
      </c>
      <c r="U93" s="970">
        <f t="shared" ca="1" si="231"/>
        <v>0</v>
      </c>
      <c r="V93" s="970">
        <f t="shared" ca="1" si="231"/>
        <v>0</v>
      </c>
      <c r="W93" s="970">
        <f t="shared" ca="1" si="231"/>
        <v>0</v>
      </c>
      <c r="X93" s="970">
        <f ca="1">X$89+X$91+X$92</f>
        <v>0</v>
      </c>
      <c r="Y93" s="970">
        <f ca="1">Y$89+Y$91+Y$92</f>
        <v>0</v>
      </c>
      <c r="Z93" s="970">
        <f ca="1">Z$89+Z$91+Z$92</f>
        <v>0</v>
      </c>
      <c r="AA93" s="970">
        <f t="shared" ca="1" si="231"/>
        <v>0</v>
      </c>
      <c r="AB93" s="970">
        <f t="shared" ca="1" si="231"/>
        <v>0</v>
      </c>
      <c r="AC93" s="970">
        <f t="shared" ca="1" si="231"/>
        <v>0</v>
      </c>
      <c r="AD93" s="970">
        <f t="shared" ca="1" si="231"/>
        <v>0</v>
      </c>
      <c r="AE93" s="970">
        <f t="shared" ca="1" si="231"/>
        <v>0</v>
      </c>
      <c r="AF93" s="970">
        <f t="shared" ca="1" si="231"/>
        <v>0</v>
      </c>
      <c r="AG93" s="970">
        <f t="shared" ca="1" si="231"/>
        <v>0</v>
      </c>
      <c r="AH93" s="970">
        <f t="shared" ca="1" si="231"/>
        <v>0</v>
      </c>
      <c r="AI93" s="970">
        <f t="shared" ca="1" si="231"/>
        <v>0</v>
      </c>
      <c r="AJ93" s="970">
        <f t="shared" ca="1" si="231"/>
        <v>0</v>
      </c>
      <c r="AK93" s="970">
        <f ca="1">SUM(S93:AJ93)</f>
        <v>-27.080412682208134</v>
      </c>
      <c r="AL93" s="743"/>
      <c r="AM93" s="976">
        <f t="shared" ref="AM93:BE93" ca="1" si="232">AM$89+AM$91+AM$92</f>
        <v>0</v>
      </c>
      <c r="AN93" s="976">
        <f t="shared" ca="1" si="232"/>
        <v>0</v>
      </c>
      <c r="AO93" s="976">
        <f t="shared" ca="1" si="232"/>
        <v>0</v>
      </c>
      <c r="AP93" s="976">
        <f t="shared" ca="1" si="232"/>
        <v>0</v>
      </c>
      <c r="AQ93" s="976">
        <f t="shared" ca="1" si="232"/>
        <v>0</v>
      </c>
      <c r="AR93" s="976">
        <f t="shared" ca="1" si="232"/>
        <v>0</v>
      </c>
      <c r="AS93" s="976">
        <f t="shared" ca="1" si="232"/>
        <v>0</v>
      </c>
      <c r="AT93" s="976">
        <f t="shared" ca="1" si="232"/>
        <v>0</v>
      </c>
      <c r="AU93" s="976">
        <f t="shared" ca="1" si="232"/>
        <v>0</v>
      </c>
      <c r="AV93" s="976">
        <f t="shared" ca="1" si="232"/>
        <v>0</v>
      </c>
      <c r="AW93" s="976">
        <f t="shared" ca="1" si="232"/>
        <v>0</v>
      </c>
      <c r="AX93" s="976">
        <f t="shared" ca="1" si="232"/>
        <v>0</v>
      </c>
      <c r="AY93" s="976">
        <f t="shared" ca="1" si="232"/>
        <v>0</v>
      </c>
      <c r="AZ93" s="976">
        <f t="shared" ca="1" si="232"/>
        <v>0</v>
      </c>
      <c r="BA93" s="976">
        <f t="shared" ca="1" si="232"/>
        <v>0</v>
      </c>
      <c r="BB93" s="976">
        <f t="shared" ca="1" si="232"/>
        <v>0</v>
      </c>
      <c r="BC93" s="976">
        <f t="shared" ca="1" si="232"/>
        <v>0</v>
      </c>
      <c r="BD93" s="976">
        <f t="shared" ca="1" si="232"/>
        <v>0</v>
      </c>
      <c r="BE93" s="976">
        <f t="shared" ca="1" si="232"/>
        <v>0</v>
      </c>
      <c r="BF93" s="976">
        <f ca="1">SUM(AM93:BE93)</f>
        <v>0</v>
      </c>
      <c r="BG93" s="743"/>
      <c r="BH93" s="990">
        <f ca="1">BH$89+BH$91+BH$92</f>
        <v>0</v>
      </c>
      <c r="BI93" s="990">
        <f ca="1">BI$89+BI$91+BI$92</f>
        <v>27.080412682208141</v>
      </c>
      <c r="BJ93" s="990">
        <f ca="1">SUM(BH93:BI93)</f>
        <v>27.080412682208141</v>
      </c>
      <c r="BK93" s="743"/>
      <c r="BL93" s="515">
        <f t="shared" ca="1" si="219"/>
        <v>0</v>
      </c>
      <c r="BM93" s="515"/>
      <c r="BN93" s="840"/>
      <c r="BO93" s="1482">
        <f t="shared" ref="BO93:DF93" ca="1" si="233">BO$89+BO$91+BO$92</f>
        <v>0</v>
      </c>
      <c r="BP93" s="1482">
        <f t="shared" ca="1" si="233"/>
        <v>0</v>
      </c>
      <c r="BQ93" s="1482">
        <f t="shared" ca="1" si="233"/>
        <v>0</v>
      </c>
      <c r="BR93" s="1482">
        <f t="shared" ca="1" si="233"/>
        <v>0</v>
      </c>
      <c r="BS93" s="1482">
        <f t="shared" ca="1" si="233"/>
        <v>0</v>
      </c>
      <c r="BT93" s="1482">
        <f t="shared" ca="1" si="233"/>
        <v>0</v>
      </c>
      <c r="BU93" s="1482">
        <f t="shared" ca="1" si="233"/>
        <v>0</v>
      </c>
      <c r="BV93" s="1482">
        <f t="shared" ca="1" si="233"/>
        <v>0</v>
      </c>
      <c r="BW93" s="1482">
        <f t="shared" ca="1" si="233"/>
        <v>0</v>
      </c>
      <c r="BX93" s="1482">
        <f t="shared" ca="1" si="233"/>
        <v>0</v>
      </c>
      <c r="BY93" s="1482">
        <f t="shared" ca="1" si="233"/>
        <v>0</v>
      </c>
      <c r="BZ93" s="1482">
        <f t="shared" ca="1" si="233"/>
        <v>0</v>
      </c>
      <c r="CA93" s="1482">
        <f t="shared" ca="1" si="233"/>
        <v>0</v>
      </c>
      <c r="CB93" s="1482">
        <f t="shared" ca="1" si="233"/>
        <v>0</v>
      </c>
      <c r="CC93" s="1482">
        <f t="shared" ca="1" si="233"/>
        <v>0</v>
      </c>
      <c r="CD93" s="1482">
        <f t="shared" ca="1" si="233"/>
        <v>0</v>
      </c>
      <c r="CE93" s="1482">
        <f t="shared" ca="1" si="233"/>
        <v>0</v>
      </c>
      <c r="CF93" s="1482">
        <f t="shared" ca="1" si="233"/>
        <v>0</v>
      </c>
      <c r="CG93" s="1482">
        <f t="shared" ca="1" si="233"/>
        <v>0</v>
      </c>
      <c r="CH93" s="1482">
        <f t="shared" ca="1" si="233"/>
        <v>0</v>
      </c>
      <c r="CI93" s="1482">
        <f t="shared" ca="1" si="233"/>
        <v>0</v>
      </c>
      <c r="CJ93" s="1482">
        <f t="shared" ca="1" si="233"/>
        <v>0</v>
      </c>
      <c r="CK93" s="1482">
        <f t="shared" ca="1" si="233"/>
        <v>0</v>
      </c>
      <c r="CL93" s="1482">
        <f t="shared" ca="1" si="233"/>
        <v>0</v>
      </c>
      <c r="CM93" s="1482">
        <f t="shared" ca="1" si="233"/>
        <v>0</v>
      </c>
      <c r="CN93" s="1482">
        <f t="shared" ca="1" si="233"/>
        <v>0</v>
      </c>
      <c r="CO93" s="1482">
        <f t="shared" ca="1" si="233"/>
        <v>0</v>
      </c>
      <c r="CP93" s="1482">
        <f t="shared" ca="1" si="233"/>
        <v>0</v>
      </c>
      <c r="CQ93" s="1482">
        <f t="shared" ca="1" si="233"/>
        <v>0</v>
      </c>
      <c r="CR93" s="1482">
        <f t="shared" ca="1" si="233"/>
        <v>0</v>
      </c>
      <c r="CS93" s="1482">
        <f t="shared" ca="1" si="233"/>
        <v>0</v>
      </c>
      <c r="CT93" s="1482">
        <f t="shared" ca="1" si="233"/>
        <v>0</v>
      </c>
      <c r="CU93" s="1482">
        <f t="shared" ca="1" si="233"/>
        <v>0</v>
      </c>
      <c r="CV93" s="1482">
        <f t="shared" ca="1" si="233"/>
        <v>0</v>
      </c>
      <c r="CW93" s="1482">
        <f t="shared" ca="1" si="233"/>
        <v>0</v>
      </c>
      <c r="CX93" s="1482">
        <f t="shared" ca="1" si="233"/>
        <v>0</v>
      </c>
      <c r="CY93" s="1482">
        <f t="shared" ca="1" si="233"/>
        <v>0</v>
      </c>
      <c r="CZ93" s="1482">
        <f t="shared" ca="1" si="233"/>
        <v>0</v>
      </c>
      <c r="DA93" s="1482">
        <f t="shared" ca="1" si="233"/>
        <v>0</v>
      </c>
      <c r="DB93" s="1482">
        <f t="shared" ca="1" si="233"/>
        <v>0</v>
      </c>
      <c r="DC93" s="1482">
        <f t="shared" ca="1" si="233"/>
        <v>0</v>
      </c>
      <c r="DD93" s="1482">
        <f t="shared" ca="1" si="233"/>
        <v>0</v>
      </c>
      <c r="DE93" s="1482">
        <f t="shared" ca="1" si="233"/>
        <v>0</v>
      </c>
      <c r="DF93" s="1482">
        <f t="shared" ca="1" si="233"/>
        <v>0</v>
      </c>
      <c r="DH93" s="838">
        <f t="shared" ref="DH93:DH104" ca="1" si="234">SUM(BO93:DF93)</f>
        <v>0</v>
      </c>
    </row>
    <row r="94" spans="1:112" s="743" customFormat="1" ht="12.75" hidden="1" customHeight="1" outlineLevel="1">
      <c r="A94" s="22"/>
      <c r="B94" s="22"/>
      <c r="C94" s="751"/>
      <c r="D94" s="512"/>
      <c r="E94" s="512"/>
      <c r="G94" s="958"/>
      <c r="H94" s="958"/>
      <c r="I94" s="958"/>
      <c r="J94" s="958"/>
      <c r="K94" s="960"/>
      <c r="L94" s="958"/>
      <c r="M94" s="958"/>
      <c r="N94" s="958"/>
      <c r="O94" s="958"/>
      <c r="P94" s="958"/>
      <c r="Q94" s="958"/>
      <c r="S94" s="970"/>
      <c r="T94" s="970"/>
      <c r="U94" s="970"/>
      <c r="V94" s="970"/>
      <c r="W94" s="970"/>
      <c r="X94" s="970"/>
      <c r="Y94" s="970"/>
      <c r="Z94" s="970"/>
      <c r="AA94" s="970"/>
      <c r="AB94" s="970"/>
      <c r="AC94" s="970"/>
      <c r="AD94" s="970"/>
      <c r="AE94" s="970"/>
      <c r="AF94" s="970"/>
      <c r="AG94" s="970"/>
      <c r="AH94" s="970"/>
      <c r="AI94" s="970"/>
      <c r="AJ94" s="970"/>
      <c r="AK94" s="970"/>
      <c r="AM94" s="976"/>
      <c r="AN94" s="976"/>
      <c r="AO94" s="976"/>
      <c r="AP94" s="976"/>
      <c r="AQ94" s="976"/>
      <c r="AR94" s="976"/>
      <c r="AS94" s="976"/>
      <c r="AT94" s="976"/>
      <c r="AU94" s="976"/>
      <c r="AV94" s="976"/>
      <c r="AW94" s="976"/>
      <c r="AX94" s="976"/>
      <c r="AY94" s="976"/>
      <c r="AZ94" s="976"/>
      <c r="BA94" s="976"/>
      <c r="BB94" s="976"/>
      <c r="BC94" s="976"/>
      <c r="BD94" s="976"/>
      <c r="BE94" s="976"/>
      <c r="BF94" s="976"/>
      <c r="BH94" s="990"/>
      <c r="BI94" s="990"/>
      <c r="BJ94" s="990"/>
      <c r="BL94" s="515">
        <f t="shared" si="219"/>
        <v>0</v>
      </c>
      <c r="BM94" s="515"/>
      <c r="BN94" s="840"/>
      <c r="BO94" s="1482"/>
      <c r="BP94" s="1482"/>
      <c r="BQ94" s="1482"/>
      <c r="BR94" s="1482"/>
      <c r="BS94" s="1482"/>
      <c r="BT94" s="1482"/>
      <c r="BU94" s="1482"/>
      <c r="BV94" s="1482"/>
      <c r="BW94" s="1482"/>
      <c r="BX94" s="1482"/>
      <c r="BY94" s="1482"/>
      <c r="BZ94" s="1482"/>
      <c r="CA94" s="1482"/>
      <c r="CB94" s="1482"/>
      <c r="CC94" s="1482"/>
      <c r="CD94" s="1482"/>
      <c r="CE94" s="1482"/>
      <c r="CF94" s="1482"/>
      <c r="CG94" s="1482"/>
      <c r="CH94" s="1482"/>
      <c r="CI94" s="1482"/>
      <c r="CJ94" s="1482"/>
      <c r="CK94" s="1482"/>
      <c r="CL94" s="1482"/>
      <c r="CM94" s="1482"/>
      <c r="CN94" s="1482"/>
      <c r="CO94" s="1482"/>
      <c r="CP94" s="1482"/>
      <c r="CQ94" s="1482"/>
      <c r="CR94" s="1482"/>
      <c r="CS94" s="1482"/>
      <c r="CT94" s="1482"/>
      <c r="CU94" s="1482"/>
      <c r="CV94" s="1482"/>
      <c r="CW94" s="1482"/>
      <c r="CX94" s="1482"/>
      <c r="CY94" s="1482"/>
      <c r="CZ94" s="1482"/>
      <c r="DA94" s="1482"/>
      <c r="DB94" s="1482"/>
      <c r="DC94" s="1482"/>
      <c r="DD94" s="1482"/>
      <c r="DE94" s="1482"/>
      <c r="DF94" s="1482"/>
      <c r="DH94" s="838">
        <f t="shared" si="234"/>
        <v>0</v>
      </c>
    </row>
    <row r="95" spans="1:112" s="1491" customFormat="1" ht="12.75" hidden="1" customHeight="1" outlineLevel="1">
      <c r="C95" s="1534" t="s">
        <v>1723</v>
      </c>
      <c r="D95" s="1535" t="s">
        <v>1665</v>
      </c>
      <c r="E95" s="1535"/>
      <c r="G95" s="1070"/>
      <c r="H95" s="1070"/>
      <c r="I95" s="1070"/>
      <c r="J95" s="1070"/>
      <c r="K95" s="1071"/>
      <c r="L95" s="1070"/>
      <c r="M95" s="1070"/>
      <c r="N95" s="1070"/>
      <c r="O95" s="1070"/>
      <c r="P95" s="1070"/>
      <c r="Q95" s="1070"/>
      <c r="S95" s="1072"/>
      <c r="T95" s="1072"/>
      <c r="U95" s="1072">
        <f ca="1">(U$40+U$84+U$93)</f>
        <v>-432.07263090598673</v>
      </c>
      <c r="V95" s="1072">
        <f ca="1">(V$40+V$84+V$93)</f>
        <v>-880.94415447446522</v>
      </c>
      <c r="W95" s="1072">
        <f ca="1">(W$40+W$84+W$93)</f>
        <v>-1052.5131730578337</v>
      </c>
      <c r="X95" s="1072"/>
      <c r="Y95" s="1072"/>
      <c r="Z95" s="1072"/>
      <c r="AA95" s="1072"/>
      <c r="AB95" s="1072"/>
      <c r="AC95" s="1072">
        <f t="shared" ref="AC95:AH95" ca="1" si="235">(AC$40+AC$84+AC$93)</f>
        <v>0</v>
      </c>
      <c r="AD95" s="1072">
        <f t="shared" ca="1" si="235"/>
        <v>1.6469469103055956</v>
      </c>
      <c r="AE95" s="1072">
        <f t="shared" ca="1" si="235"/>
        <v>1.1980448469689404</v>
      </c>
      <c r="AF95" s="1072">
        <f t="shared" ca="1" si="235"/>
        <v>16.317601806219525</v>
      </c>
      <c r="AG95" s="1072">
        <f t="shared" ca="1" si="235"/>
        <v>8.9604444924216153</v>
      </c>
      <c r="AH95" s="1072">
        <f t="shared" ca="1" si="235"/>
        <v>18.397138633862209</v>
      </c>
      <c r="AI95" s="1072"/>
      <c r="AJ95" s="1072"/>
      <c r="AK95" s="1072"/>
      <c r="AM95" s="1073"/>
      <c r="AN95" s="1073"/>
      <c r="AO95" s="1073"/>
      <c r="AP95" s="1073"/>
      <c r="AQ95" s="1073"/>
      <c r="AR95" s="1073"/>
      <c r="AS95" s="1073"/>
      <c r="AT95" s="1073"/>
      <c r="AU95" s="1073"/>
      <c r="AV95" s="1073"/>
      <c r="AW95" s="1073"/>
      <c r="AX95" s="1073"/>
      <c r="AY95" s="1073"/>
      <c r="AZ95" s="1073"/>
      <c r="BA95" s="1073"/>
      <c r="BB95" s="1073"/>
      <c r="BC95" s="1073"/>
      <c r="BD95" s="1073"/>
      <c r="BE95" s="1073">
        <f ca="1">BE40+BE46+BE51</f>
        <v>-77.206565983584795</v>
      </c>
      <c r="BF95" s="1073">
        <f ca="1">SUM(AM95:BE95)</f>
        <v>-77.206565983584795</v>
      </c>
      <c r="BH95" s="1074"/>
      <c r="BI95" s="1074"/>
      <c r="BJ95" s="1074"/>
      <c r="BL95" s="1536"/>
      <c r="BM95" s="1536"/>
      <c r="BN95" s="1537"/>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8"/>
      <c r="CP95" s="1538"/>
      <c r="CQ95" s="1538"/>
      <c r="CR95" s="1538"/>
      <c r="CS95" s="1538"/>
      <c r="CT95" s="1538"/>
      <c r="CU95" s="1538"/>
      <c r="CV95" s="1538"/>
      <c r="CW95" s="1538"/>
      <c r="CX95" s="1538"/>
      <c r="CY95" s="1538"/>
      <c r="CZ95" s="1538"/>
      <c r="DA95" s="1538"/>
      <c r="DB95" s="1538"/>
      <c r="DC95" s="1538"/>
      <c r="DD95" s="1538"/>
      <c r="DE95" s="1538"/>
      <c r="DF95" s="1538"/>
      <c r="DH95" s="1537">
        <f t="shared" si="234"/>
        <v>0</v>
      </c>
    </row>
    <row r="96" spans="1:112" s="1957" customFormat="1" ht="12.75" hidden="1" customHeight="1" outlineLevel="1">
      <c r="A96" s="1954"/>
      <c r="B96" s="1954"/>
      <c r="C96" s="1955" t="s">
        <v>963</v>
      </c>
      <c r="D96" s="1956" t="str">
        <f>INDEX(Modules[Module], MATCH($C96, Modules[Code], 0))</f>
        <v>Biomatter to fuel conversion</v>
      </c>
      <c r="E96" s="1956"/>
      <c r="G96" s="1061">
        <f t="shared" ref="G96:P96" ca="1" si="236">IFERROR(INDEX(INDIRECT($C96&amp;".Outputs["&amp;this.Year&amp;"]"), MATCH(G$5, INDIRECT($C96&amp;".Outputs[Vector]"), 0)), 0)</f>
        <v>0</v>
      </c>
      <c r="H96" s="1061">
        <f t="shared" ca="1" si="236"/>
        <v>0</v>
      </c>
      <c r="I96" s="1061">
        <f t="shared" ca="1" si="236"/>
        <v>0</v>
      </c>
      <c r="J96" s="1061">
        <f t="shared" ca="1" si="236"/>
        <v>0</v>
      </c>
      <c r="K96" s="1061">
        <f t="shared" ca="1" si="236"/>
        <v>0</v>
      </c>
      <c r="L96" s="1061">
        <f t="shared" ca="1" si="236"/>
        <v>0</v>
      </c>
      <c r="M96" s="1061">
        <f t="shared" ca="1" si="236"/>
        <v>0</v>
      </c>
      <c r="N96" s="1061">
        <f t="shared" ca="1" si="236"/>
        <v>0</v>
      </c>
      <c r="O96" s="1061">
        <f t="shared" ca="1" si="236"/>
        <v>0</v>
      </c>
      <c r="P96" s="1061">
        <f t="shared" ca="1" si="236"/>
        <v>0</v>
      </c>
      <c r="Q96" s="1062">
        <f ca="1">SUM(G96:P96)</f>
        <v>0</v>
      </c>
      <c r="S96" s="1063">
        <f t="shared" ref="S96:AJ96" ca="1" si="237">IFERROR(INDEX(INDIRECT($C96&amp;".Outputs["&amp;this.Year&amp;"]"), MATCH(S$5, INDIRECT($C96&amp;".Outputs[Vector]"), 0)), 0)</f>
        <v>0</v>
      </c>
      <c r="T96" s="1063">
        <f t="shared" ca="1" si="237"/>
        <v>0</v>
      </c>
      <c r="U96" s="1063">
        <f t="shared" ca="1" si="237"/>
        <v>14.685841625597572</v>
      </c>
      <c r="V96" s="1063">
        <f t="shared" ca="1" si="237"/>
        <v>1.4254399251559526</v>
      </c>
      <c r="W96" s="1063">
        <f t="shared" ca="1" si="237"/>
        <v>25.565494227799501</v>
      </c>
      <c r="X96" s="1063">
        <f t="shared" ca="1" si="237"/>
        <v>0</v>
      </c>
      <c r="Y96" s="1063">
        <f t="shared" ca="1" si="237"/>
        <v>0</v>
      </c>
      <c r="Z96" s="1063">
        <f t="shared" ca="1" si="237"/>
        <v>0</v>
      </c>
      <c r="AA96" s="1063">
        <f t="shared" ca="1" si="237"/>
        <v>0</v>
      </c>
      <c r="AB96" s="1063">
        <f t="shared" ca="1" si="237"/>
        <v>0</v>
      </c>
      <c r="AC96" s="1063">
        <f t="shared" ca="1" si="237"/>
        <v>0</v>
      </c>
      <c r="AD96" s="1063">
        <f t="shared" ca="1" si="237"/>
        <v>-1.6469469103055956</v>
      </c>
      <c r="AE96" s="1063">
        <f t="shared" ca="1" si="237"/>
        <v>-1.1980448469689404</v>
      </c>
      <c r="AF96" s="1063">
        <f t="shared" ca="1" si="237"/>
        <v>-16.317601806219525</v>
      </c>
      <c r="AG96" s="1063">
        <f t="shared" ca="1" si="237"/>
        <v>-8.9604444924216153</v>
      </c>
      <c r="AH96" s="1063">
        <f t="shared" ca="1" si="237"/>
        <v>-18.397138633862209</v>
      </c>
      <c r="AI96" s="1063">
        <f t="shared" ca="1" si="237"/>
        <v>0</v>
      </c>
      <c r="AJ96" s="1063">
        <f t="shared" ca="1" si="237"/>
        <v>0</v>
      </c>
      <c r="AK96" s="1064">
        <f ca="1">SUM(S96:AJ96)</f>
        <v>-4.8434009112248617</v>
      </c>
      <c r="AM96" s="1065">
        <f t="shared" ref="AM96:BE96" ca="1" si="238">IFERROR(INDEX(INDIRECT($C96&amp;".Outputs["&amp;this.Year&amp;"]"), MATCH(AM$5, INDIRECT($C96&amp;".Outputs[Vector]"), 0)), 0)</f>
        <v>0</v>
      </c>
      <c r="AN96" s="1065">
        <f t="shared" ca="1" si="238"/>
        <v>0</v>
      </c>
      <c r="AO96" s="1065">
        <f t="shared" ca="1" si="238"/>
        <v>0</v>
      </c>
      <c r="AP96" s="1065">
        <f t="shared" ca="1" si="238"/>
        <v>0</v>
      </c>
      <c r="AQ96" s="1065">
        <f t="shared" ca="1" si="238"/>
        <v>0</v>
      </c>
      <c r="AR96" s="1065">
        <f t="shared" ca="1" si="238"/>
        <v>0</v>
      </c>
      <c r="AS96" s="1065">
        <f t="shared" ca="1" si="238"/>
        <v>0</v>
      </c>
      <c r="AT96" s="1065">
        <f t="shared" ca="1" si="238"/>
        <v>0</v>
      </c>
      <c r="AU96" s="1065">
        <f t="shared" ca="1" si="238"/>
        <v>0</v>
      </c>
      <c r="AV96" s="1065">
        <f t="shared" ca="1" si="238"/>
        <v>0</v>
      </c>
      <c r="AW96" s="1065">
        <f t="shared" ca="1" si="238"/>
        <v>0</v>
      </c>
      <c r="AX96" s="1065">
        <f t="shared" ca="1" si="238"/>
        <v>0</v>
      </c>
      <c r="AY96" s="1065">
        <f t="shared" ca="1" si="238"/>
        <v>0</v>
      </c>
      <c r="AZ96" s="1065">
        <f t="shared" ca="1" si="238"/>
        <v>0</v>
      </c>
      <c r="BA96" s="1065">
        <f t="shared" ca="1" si="238"/>
        <v>0</v>
      </c>
      <c r="BB96" s="1065">
        <f t="shared" ca="1" si="238"/>
        <v>0</v>
      </c>
      <c r="BC96" s="1065">
        <f t="shared" ca="1" si="238"/>
        <v>0</v>
      </c>
      <c r="BD96" s="1065">
        <f t="shared" ca="1" si="238"/>
        <v>0</v>
      </c>
      <c r="BE96" s="1065">
        <f t="shared" ca="1" si="238"/>
        <v>0</v>
      </c>
      <c r="BF96" s="1066">
        <f ca="1">SUM(AM96:BE96)</f>
        <v>0</v>
      </c>
      <c r="BH96" s="1067">
        <f ca="1">IFERROR(INDEX(INDIRECT($C96&amp;".Outputs["&amp;this.Year&amp;"]"), MATCH(BH$5, INDIRECT($C96&amp;".Outputs[Vector]"), 0)), 0)</f>
        <v>4.8434009112248617</v>
      </c>
      <c r="BI96" s="1067">
        <f ca="1">IFERROR(INDEX(INDIRECT($C96&amp;".Outputs["&amp;this.Year&amp;"]"), MATCH(BI$5, INDIRECT($C96&amp;".Outputs[Vector]"), 0)), 0)</f>
        <v>0</v>
      </c>
      <c r="BJ96" s="1068">
        <f ca="1">SUM(BH96:BI96)</f>
        <v>4.8434009112248617</v>
      </c>
      <c r="BL96" s="1958">
        <f ca="1">Q96+AK96+BF96+BJ96</f>
        <v>0</v>
      </c>
      <c r="BM96" s="1958"/>
      <c r="BN96" s="1959"/>
      <c r="BO96" s="1960">
        <f t="shared" ref="BO96:DF96" ca="1" si="239">IFERROR(SUMIFS(INDIRECT($C96&amp;".Emissions["&amp;this.Year&amp;"]"), INDIRECT($C96&amp;".Emissions[GHG]"), BO$6, INDIRECT($C96&amp;".Emissions[IPCC Sector]"), BO$5),0)</f>
        <v>0</v>
      </c>
      <c r="BP96" s="1961">
        <f t="shared" ca="1" si="239"/>
        <v>0</v>
      </c>
      <c r="BQ96" s="1961">
        <f t="shared" ca="1" si="239"/>
        <v>0</v>
      </c>
      <c r="BR96" s="1961">
        <f t="shared" ca="1" si="239"/>
        <v>0</v>
      </c>
      <c r="BS96" s="1961">
        <f t="shared" ca="1" si="239"/>
        <v>0</v>
      </c>
      <c r="BT96" s="1961">
        <f t="shared" ca="1" si="239"/>
        <v>0</v>
      </c>
      <c r="BU96" s="1961">
        <f t="shared" ca="1" si="239"/>
        <v>0</v>
      </c>
      <c r="BV96" s="1961">
        <f t="shared" ca="1" si="239"/>
        <v>0</v>
      </c>
      <c r="BW96" s="1961">
        <f t="shared" ca="1" si="239"/>
        <v>0</v>
      </c>
      <c r="BX96" s="1961">
        <f t="shared" ca="1" si="239"/>
        <v>0</v>
      </c>
      <c r="BY96" s="1961">
        <f t="shared" ca="1" si="239"/>
        <v>0</v>
      </c>
      <c r="BZ96" s="1961">
        <f t="shared" ca="1" si="239"/>
        <v>0</v>
      </c>
      <c r="CA96" s="1961">
        <f t="shared" ca="1" si="239"/>
        <v>0</v>
      </c>
      <c r="CB96" s="1961">
        <f t="shared" ca="1" si="239"/>
        <v>0</v>
      </c>
      <c r="CC96" s="1961">
        <f t="shared" ca="1" si="239"/>
        <v>0</v>
      </c>
      <c r="CD96" s="1961">
        <f t="shared" ca="1" si="239"/>
        <v>0</v>
      </c>
      <c r="CE96" s="1961">
        <f t="shared" ca="1" si="239"/>
        <v>0</v>
      </c>
      <c r="CF96" s="1961">
        <f t="shared" ca="1" si="239"/>
        <v>0</v>
      </c>
      <c r="CG96" s="1961">
        <f t="shared" ca="1" si="239"/>
        <v>0</v>
      </c>
      <c r="CH96" s="1961">
        <f t="shared" ca="1" si="239"/>
        <v>0</v>
      </c>
      <c r="CI96" s="1961">
        <f t="shared" ca="1" si="239"/>
        <v>0</v>
      </c>
      <c r="CJ96" s="1961">
        <f t="shared" ca="1" si="239"/>
        <v>0</v>
      </c>
      <c r="CK96" s="1961">
        <f t="shared" ca="1" si="239"/>
        <v>0</v>
      </c>
      <c r="CL96" s="1961">
        <f t="shared" ca="1" si="239"/>
        <v>0</v>
      </c>
      <c r="CM96" s="1961">
        <f t="shared" ca="1" si="239"/>
        <v>0</v>
      </c>
      <c r="CN96" s="1961">
        <f t="shared" ca="1" si="239"/>
        <v>0</v>
      </c>
      <c r="CO96" s="1961">
        <f t="shared" ca="1" si="239"/>
        <v>0</v>
      </c>
      <c r="CP96" s="1961">
        <f t="shared" ca="1" si="239"/>
        <v>0</v>
      </c>
      <c r="CQ96" s="1961">
        <f t="shared" ca="1" si="239"/>
        <v>0</v>
      </c>
      <c r="CR96" s="1961">
        <f t="shared" ca="1" si="239"/>
        <v>0</v>
      </c>
      <c r="CS96" s="1961">
        <f t="shared" ca="1" si="239"/>
        <v>0</v>
      </c>
      <c r="CT96" s="1961">
        <f t="shared" ca="1" si="239"/>
        <v>0</v>
      </c>
      <c r="CU96" s="1961">
        <f t="shared" ca="1" si="239"/>
        <v>0</v>
      </c>
      <c r="CV96" s="1961">
        <f t="shared" ca="1" si="239"/>
        <v>0</v>
      </c>
      <c r="CW96" s="1961">
        <f t="shared" ca="1" si="239"/>
        <v>0</v>
      </c>
      <c r="CX96" s="1961">
        <f t="shared" ca="1" si="239"/>
        <v>0</v>
      </c>
      <c r="CY96" s="1961">
        <f t="shared" ca="1" si="239"/>
        <v>-9.5836501398881477</v>
      </c>
      <c r="CZ96" s="1961">
        <f t="shared" ca="1" si="239"/>
        <v>0</v>
      </c>
      <c r="DA96" s="1961">
        <f t="shared" ca="1" si="239"/>
        <v>0</v>
      </c>
      <c r="DB96" s="1961">
        <f t="shared" ca="1" si="239"/>
        <v>0</v>
      </c>
      <c r="DC96" s="1961">
        <f t="shared" ca="1" si="239"/>
        <v>0</v>
      </c>
      <c r="DD96" s="1961">
        <f t="shared" ca="1" si="239"/>
        <v>0</v>
      </c>
      <c r="DE96" s="1961">
        <f t="shared" ca="1" si="239"/>
        <v>0</v>
      </c>
      <c r="DF96" s="1961">
        <f t="shared" ca="1" si="239"/>
        <v>0</v>
      </c>
      <c r="DH96" s="1962">
        <f t="shared" ca="1" si="234"/>
        <v>-9.5836501398881477</v>
      </c>
    </row>
    <row r="97" spans="1:112" s="1491" customFormat="1" ht="12.75" hidden="1" customHeight="1" outlineLevel="1">
      <c r="C97" s="1534" t="s">
        <v>1724</v>
      </c>
      <c r="D97" s="1535" t="s">
        <v>1665</v>
      </c>
      <c r="E97" s="1535"/>
      <c r="G97" s="1070"/>
      <c r="H97" s="1070"/>
      <c r="I97" s="1070"/>
      <c r="J97" s="1070"/>
      <c r="K97" s="1071"/>
      <c r="L97" s="1070"/>
      <c r="M97" s="1070"/>
      <c r="N97" s="1070"/>
      <c r="O97" s="1070"/>
      <c r="P97" s="1070"/>
      <c r="Q97" s="1070"/>
      <c r="S97" s="1072"/>
      <c r="T97" s="1072"/>
      <c r="U97" s="1072">
        <f ca="1">U$95+U$96</f>
        <v>-417.38678928038917</v>
      </c>
      <c r="V97" s="1072">
        <f ca="1">V$95+V$96</f>
        <v>-879.51871454930927</v>
      </c>
      <c r="W97" s="1072">
        <f ca="1">W$95+W$96</f>
        <v>-1026.9476788300342</v>
      </c>
      <c r="X97" s="1072"/>
      <c r="Y97" s="1072"/>
      <c r="Z97" s="1072"/>
      <c r="AA97" s="1072"/>
      <c r="AB97" s="1072"/>
      <c r="AC97" s="1072">
        <f t="shared" ref="AC97:AH97" ca="1" si="240">AC$95+AC$96</f>
        <v>0</v>
      </c>
      <c r="AD97" s="1072">
        <f t="shared" ca="1" si="240"/>
        <v>0</v>
      </c>
      <c r="AE97" s="1072">
        <f t="shared" ca="1" si="240"/>
        <v>0</v>
      </c>
      <c r="AF97" s="1072">
        <f t="shared" ca="1" si="240"/>
        <v>0</v>
      </c>
      <c r="AG97" s="1072">
        <f t="shared" ca="1" si="240"/>
        <v>0</v>
      </c>
      <c r="AH97" s="1072">
        <f t="shared" ca="1" si="240"/>
        <v>0</v>
      </c>
      <c r="AI97" s="1072"/>
      <c r="AJ97" s="1072"/>
      <c r="AK97" s="1072"/>
      <c r="AM97" s="1073"/>
      <c r="AN97" s="1073"/>
      <c r="AO97" s="1073"/>
      <c r="AP97" s="1073"/>
      <c r="AQ97" s="1073"/>
      <c r="AR97" s="1073"/>
      <c r="AS97" s="1073"/>
      <c r="AT97" s="1073"/>
      <c r="AU97" s="1073"/>
      <c r="AV97" s="1073"/>
      <c r="AW97" s="1073"/>
      <c r="AX97" s="1073"/>
      <c r="AY97" s="1073"/>
      <c r="AZ97" s="1073"/>
      <c r="BA97" s="1073"/>
      <c r="BB97" s="1073"/>
      <c r="BC97" s="1073"/>
      <c r="BD97" s="1073"/>
      <c r="BE97" s="1073">
        <f ca="1">BE42+BE49+BE53</f>
        <v>-69.513824290080095</v>
      </c>
      <c r="BF97" s="1073">
        <f ca="1">SUM(AM97:BE97)</f>
        <v>-69.513824290080095</v>
      </c>
      <c r="BH97" s="1074"/>
      <c r="BI97" s="1074"/>
      <c r="BJ97" s="1074"/>
      <c r="BL97" s="1536"/>
      <c r="BM97" s="1536"/>
      <c r="BN97" s="1537"/>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8"/>
      <c r="CP97" s="1538"/>
      <c r="CQ97" s="1538"/>
      <c r="CR97" s="1538"/>
      <c r="CS97" s="1538"/>
      <c r="CT97" s="1538"/>
      <c r="CU97" s="1538"/>
      <c r="CV97" s="1538"/>
      <c r="CW97" s="1538"/>
      <c r="CX97" s="1538"/>
      <c r="CY97" s="1538"/>
      <c r="CZ97" s="1538"/>
      <c r="DA97" s="1538"/>
      <c r="DB97" s="1538"/>
      <c r="DC97" s="1538"/>
      <c r="DD97" s="1538"/>
      <c r="DE97" s="1538"/>
      <c r="DF97" s="1538"/>
      <c r="DH97" s="1537">
        <f>SUM(BO97:DF97)</f>
        <v>0</v>
      </c>
    </row>
    <row r="98" spans="1:112" s="743" customFormat="1" ht="12.75" hidden="1" customHeight="1" outlineLevel="1">
      <c r="A98" s="1484"/>
      <c r="B98" s="1484"/>
      <c r="C98" s="746" t="s">
        <v>1695</v>
      </c>
      <c r="D98" s="1010" t="str">
        <f>INDEX(Modules[Module], MATCH($C98, Modules[Code], 0))</f>
        <v>Bioenergy imports</v>
      </c>
      <c r="E98" s="1010"/>
      <c r="G98" s="1022">
        <f t="shared" ref="G98:P98" ca="1" si="241">IFERROR(INDEX(INDIRECT($C98&amp;".Outputs["&amp;this.Year&amp;"]"), MATCH(G$5, INDIRECT($C98&amp;".Outputs[Vector]"), 0)), 0)</f>
        <v>0</v>
      </c>
      <c r="H98" s="1022">
        <f t="shared" ca="1" si="241"/>
        <v>0</v>
      </c>
      <c r="I98" s="1022">
        <f t="shared" ca="1" si="241"/>
        <v>0</v>
      </c>
      <c r="J98" s="1022">
        <f t="shared" ca="1" si="241"/>
        <v>0</v>
      </c>
      <c r="K98" s="1022">
        <f t="shared" ca="1" si="241"/>
        <v>0</v>
      </c>
      <c r="L98" s="1022">
        <f t="shared" ca="1" si="241"/>
        <v>0</v>
      </c>
      <c r="M98" s="1022">
        <f t="shared" ca="1" si="241"/>
        <v>0</v>
      </c>
      <c r="N98" s="1022">
        <f t="shared" ca="1" si="241"/>
        <v>0</v>
      </c>
      <c r="O98" s="1022">
        <f t="shared" ca="1" si="241"/>
        <v>0</v>
      </c>
      <c r="P98" s="1022">
        <f t="shared" ca="1" si="241"/>
        <v>0</v>
      </c>
      <c r="Q98" s="1020">
        <f ca="1">SUM(G98:P98)</f>
        <v>0</v>
      </c>
      <c r="S98" s="1031">
        <f t="shared" ref="S98:AJ98" ca="1" si="242">IFERROR(INDEX(INDIRECT($C98&amp;".Outputs["&amp;this.Year&amp;"]"), MATCH(S$5, INDIRECT($C98&amp;".Outputs[Vector]"), 0)), 0)</f>
        <v>0</v>
      </c>
      <c r="T98" s="1031">
        <f t="shared" ca="1" si="242"/>
        <v>0</v>
      </c>
      <c r="U98" s="1031">
        <f t="shared" ca="1" si="242"/>
        <v>4.089432558139535</v>
      </c>
      <c r="V98" s="1031">
        <f t="shared" ca="1" si="242"/>
        <v>-0.36783255813953486</v>
      </c>
      <c r="W98" s="1031">
        <f t="shared" ca="1" si="242"/>
        <v>0</v>
      </c>
      <c r="X98" s="1031">
        <f t="shared" ca="1" si="242"/>
        <v>0</v>
      </c>
      <c r="Y98" s="1031">
        <f t="shared" ca="1" si="242"/>
        <v>0</v>
      </c>
      <c r="Z98" s="1031">
        <f t="shared" ca="1" si="242"/>
        <v>0</v>
      </c>
      <c r="AA98" s="1031">
        <f t="shared" ca="1" si="242"/>
        <v>0</v>
      </c>
      <c r="AB98" s="1031">
        <f t="shared" ca="1" si="242"/>
        <v>0</v>
      </c>
      <c r="AC98" s="1031">
        <f t="shared" ca="1" si="242"/>
        <v>0</v>
      </c>
      <c r="AD98" s="1031">
        <f t="shared" ca="1" si="242"/>
        <v>0</v>
      </c>
      <c r="AE98" s="1031">
        <f t="shared" ca="1" si="242"/>
        <v>0</v>
      </c>
      <c r="AF98" s="1031">
        <f t="shared" ca="1" si="242"/>
        <v>0</v>
      </c>
      <c r="AG98" s="1031">
        <f t="shared" ca="1" si="242"/>
        <v>0</v>
      </c>
      <c r="AH98" s="1031">
        <f t="shared" ca="1" si="242"/>
        <v>0</v>
      </c>
      <c r="AI98" s="1031">
        <f t="shared" ca="1" si="242"/>
        <v>0</v>
      </c>
      <c r="AJ98" s="1031">
        <f t="shared" ca="1" si="242"/>
        <v>0</v>
      </c>
      <c r="AK98" s="1030">
        <f ca="1">SUM(S98:AJ98)</f>
        <v>3.7216</v>
      </c>
      <c r="AM98" s="1042">
        <f t="shared" ref="AM98:BE98" ca="1" si="243">IFERROR(INDEX(INDIRECT($C98&amp;".Outputs["&amp;this.Year&amp;"]"), MATCH(AM$5, INDIRECT($C98&amp;".Outputs[Vector]"), 0)), 0)</f>
        <v>0</v>
      </c>
      <c r="AN98" s="1042">
        <f t="shared" ca="1" si="243"/>
        <v>0</v>
      </c>
      <c r="AO98" s="1042">
        <f t="shared" ca="1" si="243"/>
        <v>0</v>
      </c>
      <c r="AP98" s="1042">
        <f t="shared" ca="1" si="243"/>
        <v>-3.7216</v>
      </c>
      <c r="AQ98" s="1042">
        <f t="shared" ca="1" si="243"/>
        <v>0</v>
      </c>
      <c r="AR98" s="1042">
        <f t="shared" ca="1" si="243"/>
        <v>0</v>
      </c>
      <c r="AS98" s="1042">
        <f t="shared" ca="1" si="243"/>
        <v>0</v>
      </c>
      <c r="AT98" s="1042">
        <f t="shared" ca="1" si="243"/>
        <v>0</v>
      </c>
      <c r="AU98" s="1042">
        <f t="shared" ca="1" si="243"/>
        <v>0</v>
      </c>
      <c r="AV98" s="1042">
        <f t="shared" ca="1" si="243"/>
        <v>0</v>
      </c>
      <c r="AW98" s="1042">
        <f t="shared" ca="1" si="243"/>
        <v>0</v>
      </c>
      <c r="AX98" s="1042">
        <f t="shared" ca="1" si="243"/>
        <v>0</v>
      </c>
      <c r="AY98" s="1042">
        <f t="shared" ca="1" si="243"/>
        <v>0</v>
      </c>
      <c r="AZ98" s="1042">
        <f t="shared" ca="1" si="243"/>
        <v>0</v>
      </c>
      <c r="BA98" s="1042">
        <f t="shared" ca="1" si="243"/>
        <v>0</v>
      </c>
      <c r="BB98" s="1042">
        <f t="shared" ca="1" si="243"/>
        <v>0</v>
      </c>
      <c r="BC98" s="1042">
        <f t="shared" ca="1" si="243"/>
        <v>0</v>
      </c>
      <c r="BD98" s="1042">
        <f t="shared" ca="1" si="243"/>
        <v>0</v>
      </c>
      <c r="BE98" s="1042">
        <f t="shared" ca="1" si="243"/>
        <v>0</v>
      </c>
      <c r="BF98" s="1012">
        <f ca="1">SUM(AM98:BE98)</f>
        <v>-3.7216</v>
      </c>
      <c r="BH98" s="1036">
        <f ca="1">IFERROR(INDEX(INDIRECT($C98&amp;".Outputs["&amp;this.Year&amp;"]"), MATCH(BH$5, INDIRECT($C98&amp;".Outputs[Vector]"), 0)), 0)</f>
        <v>0</v>
      </c>
      <c r="BI98" s="1036">
        <f ca="1">IFERROR(INDEX(INDIRECT($C98&amp;".Outputs["&amp;this.Year&amp;"]"), MATCH(BI$5, INDIRECT($C98&amp;".Outputs[Vector]"), 0)), 0)</f>
        <v>0</v>
      </c>
      <c r="BJ98" s="1035">
        <f ca="1">SUM(BH98:BI98)</f>
        <v>0</v>
      </c>
      <c r="BL98" s="814">
        <f ca="1">Q98+AK98+BF98+BJ98</f>
        <v>0</v>
      </c>
      <c r="BM98" s="814"/>
      <c r="BN98" s="840"/>
      <c r="BO98" s="1485">
        <f t="shared" ref="BO98:DF98" ca="1" si="244">IFERROR(SUMIFS(INDIRECT($C98&amp;".Emissions["&amp;this.Year&amp;"]"), INDIRECT($C98&amp;".Emissions[GHG]"), BO$6, INDIRECT($C98&amp;".Emissions[IPCC Sector]"), BO$5),0)</f>
        <v>0</v>
      </c>
      <c r="BP98" s="1486">
        <f t="shared" ca="1" si="244"/>
        <v>0</v>
      </c>
      <c r="BQ98" s="1486">
        <f t="shared" ca="1" si="244"/>
        <v>0</v>
      </c>
      <c r="BR98" s="1486">
        <f t="shared" ca="1" si="244"/>
        <v>0</v>
      </c>
      <c r="BS98" s="1486">
        <f t="shared" ca="1" si="244"/>
        <v>0</v>
      </c>
      <c r="BT98" s="1486">
        <f t="shared" ca="1" si="244"/>
        <v>0</v>
      </c>
      <c r="BU98" s="1486">
        <f t="shared" ca="1" si="244"/>
        <v>0</v>
      </c>
      <c r="BV98" s="1486">
        <f t="shared" ca="1" si="244"/>
        <v>0</v>
      </c>
      <c r="BW98" s="1486">
        <f t="shared" ca="1" si="244"/>
        <v>0</v>
      </c>
      <c r="BX98" s="1486">
        <f t="shared" ca="1" si="244"/>
        <v>0</v>
      </c>
      <c r="BY98" s="1486">
        <f t="shared" ca="1" si="244"/>
        <v>0</v>
      </c>
      <c r="BZ98" s="1486">
        <f t="shared" ca="1" si="244"/>
        <v>0</v>
      </c>
      <c r="CA98" s="1486">
        <f t="shared" ca="1" si="244"/>
        <v>0</v>
      </c>
      <c r="CB98" s="1486">
        <f t="shared" ca="1" si="244"/>
        <v>0</v>
      </c>
      <c r="CC98" s="1486">
        <f t="shared" ca="1" si="244"/>
        <v>0</v>
      </c>
      <c r="CD98" s="1486">
        <f t="shared" ca="1" si="244"/>
        <v>0</v>
      </c>
      <c r="CE98" s="1486">
        <f t="shared" ca="1" si="244"/>
        <v>0</v>
      </c>
      <c r="CF98" s="1486">
        <f t="shared" ca="1" si="244"/>
        <v>0</v>
      </c>
      <c r="CG98" s="1486">
        <f t="shared" ca="1" si="244"/>
        <v>0</v>
      </c>
      <c r="CH98" s="1486">
        <f t="shared" ca="1" si="244"/>
        <v>0</v>
      </c>
      <c r="CI98" s="1486">
        <f t="shared" ca="1" si="244"/>
        <v>0</v>
      </c>
      <c r="CJ98" s="1486">
        <f t="shared" ca="1" si="244"/>
        <v>0</v>
      </c>
      <c r="CK98" s="1486">
        <f t="shared" ca="1" si="244"/>
        <v>0</v>
      </c>
      <c r="CL98" s="1486">
        <f t="shared" ca="1" si="244"/>
        <v>0</v>
      </c>
      <c r="CM98" s="1486">
        <f t="shared" ca="1" si="244"/>
        <v>0</v>
      </c>
      <c r="CN98" s="1486">
        <f t="shared" ca="1" si="244"/>
        <v>0</v>
      </c>
      <c r="CO98" s="1486">
        <f t="shared" ca="1" si="244"/>
        <v>0</v>
      </c>
      <c r="CP98" s="1486">
        <f t="shared" ca="1" si="244"/>
        <v>0</v>
      </c>
      <c r="CQ98" s="1486">
        <f t="shared" ca="1" si="244"/>
        <v>0</v>
      </c>
      <c r="CR98" s="1486">
        <f t="shared" ca="1" si="244"/>
        <v>0</v>
      </c>
      <c r="CS98" s="1486">
        <f t="shared" ca="1" si="244"/>
        <v>0</v>
      </c>
      <c r="CT98" s="1486">
        <f t="shared" ca="1" si="244"/>
        <v>0</v>
      </c>
      <c r="CU98" s="1486">
        <f t="shared" ca="1" si="244"/>
        <v>0</v>
      </c>
      <c r="CV98" s="1486">
        <f t="shared" ca="1" si="244"/>
        <v>0</v>
      </c>
      <c r="CW98" s="1486">
        <f t="shared" ca="1" si="244"/>
        <v>0</v>
      </c>
      <c r="CX98" s="1486">
        <f t="shared" ca="1" si="244"/>
        <v>0</v>
      </c>
      <c r="CY98" s="1486">
        <f t="shared" ca="1" si="244"/>
        <v>-1.1675870883720929</v>
      </c>
      <c r="CZ98" s="1486">
        <f t="shared" ca="1" si="244"/>
        <v>0</v>
      </c>
      <c r="DA98" s="1486">
        <f t="shared" ca="1" si="244"/>
        <v>0</v>
      </c>
      <c r="DB98" s="1486">
        <f t="shared" ca="1" si="244"/>
        <v>0</v>
      </c>
      <c r="DC98" s="1486">
        <f t="shared" ca="1" si="244"/>
        <v>0</v>
      </c>
      <c r="DD98" s="1486">
        <f t="shared" ca="1" si="244"/>
        <v>0</v>
      </c>
      <c r="DE98" s="1486">
        <f t="shared" ca="1" si="244"/>
        <v>0</v>
      </c>
      <c r="DF98" s="1486">
        <f t="shared" ca="1" si="244"/>
        <v>0</v>
      </c>
      <c r="DH98" s="838">
        <f ca="1">SUM(BO98:DF98)</f>
        <v>-1.1675870883720929</v>
      </c>
    </row>
    <row r="99" spans="1:112" s="743" customFormat="1" ht="15.75" collapsed="1">
      <c r="A99" s="22"/>
      <c r="B99" s="753"/>
      <c r="C99" s="744" t="s">
        <v>671</v>
      </c>
      <c r="D99" s="517" t="str">
        <f>INDEX(Workstreams[Workstream], MATCH($C99, Workstreams[Code], 0))</f>
        <v>Bioenergy</v>
      </c>
      <c r="E99" s="512"/>
      <c r="G99" s="1021">
        <f ca="1">G$96+G98</f>
        <v>0</v>
      </c>
      <c r="H99" s="1021">
        <f t="shared" ref="H99:P99" ca="1" si="245">H$96+H98</f>
        <v>0</v>
      </c>
      <c r="I99" s="1021">
        <f t="shared" ca="1" si="245"/>
        <v>0</v>
      </c>
      <c r="J99" s="1021">
        <f t="shared" ca="1" si="245"/>
        <v>0</v>
      </c>
      <c r="K99" s="1021">
        <f t="shared" ca="1" si="245"/>
        <v>0</v>
      </c>
      <c r="L99" s="1021">
        <f t="shared" ca="1" si="245"/>
        <v>0</v>
      </c>
      <c r="M99" s="1021">
        <f t="shared" ca="1" si="245"/>
        <v>0</v>
      </c>
      <c r="N99" s="1021">
        <f t="shared" ca="1" si="245"/>
        <v>0</v>
      </c>
      <c r="O99" s="1021">
        <f t="shared" ca="1" si="245"/>
        <v>0</v>
      </c>
      <c r="P99" s="1021">
        <f t="shared" ca="1" si="245"/>
        <v>0</v>
      </c>
      <c r="Q99" s="1021">
        <f ca="1">SUM(G99:P99)</f>
        <v>0</v>
      </c>
      <c r="S99" s="970">
        <f t="shared" ref="S99:AJ99" ca="1" si="246">S$96+S98</f>
        <v>0</v>
      </c>
      <c r="T99" s="970">
        <f t="shared" ca="1" si="246"/>
        <v>0</v>
      </c>
      <c r="U99" s="970">
        <f t="shared" ca="1" si="246"/>
        <v>18.775274183737107</v>
      </c>
      <c r="V99" s="970">
        <f t="shared" ca="1" si="246"/>
        <v>1.0576073670164177</v>
      </c>
      <c r="W99" s="970">
        <f t="shared" ca="1" si="246"/>
        <v>25.565494227799501</v>
      </c>
      <c r="X99" s="970">
        <f t="shared" ca="1" si="246"/>
        <v>0</v>
      </c>
      <c r="Y99" s="970">
        <f t="shared" ca="1" si="246"/>
        <v>0</v>
      </c>
      <c r="Z99" s="970">
        <f t="shared" ca="1" si="246"/>
        <v>0</v>
      </c>
      <c r="AA99" s="970">
        <f t="shared" ca="1" si="246"/>
        <v>0</v>
      </c>
      <c r="AB99" s="970">
        <f t="shared" ca="1" si="246"/>
        <v>0</v>
      </c>
      <c r="AC99" s="970">
        <f t="shared" ca="1" si="246"/>
        <v>0</v>
      </c>
      <c r="AD99" s="970">
        <f ca="1">AD$96+AD98</f>
        <v>-1.6469469103055956</v>
      </c>
      <c r="AE99" s="970">
        <f ca="1">AE$96+AE98</f>
        <v>-1.1980448469689404</v>
      </c>
      <c r="AF99" s="970">
        <f t="shared" ca="1" si="246"/>
        <v>-16.317601806219525</v>
      </c>
      <c r="AG99" s="970">
        <f t="shared" ca="1" si="246"/>
        <v>-8.9604444924216153</v>
      </c>
      <c r="AH99" s="970">
        <f ca="1">AH$96+AH98</f>
        <v>-18.397138633862209</v>
      </c>
      <c r="AI99" s="970">
        <f t="shared" ca="1" si="246"/>
        <v>0</v>
      </c>
      <c r="AJ99" s="970">
        <f t="shared" ca="1" si="246"/>
        <v>0</v>
      </c>
      <c r="AK99" s="970">
        <f ca="1">SUM(S99:AJ99)</f>
        <v>-1.1218009112248595</v>
      </c>
      <c r="AM99" s="976">
        <f t="shared" ref="AM99:BE99" ca="1" si="247">AM$96+AM98</f>
        <v>0</v>
      </c>
      <c r="AN99" s="976">
        <f t="shared" ca="1" si="247"/>
        <v>0</v>
      </c>
      <c r="AO99" s="976">
        <f t="shared" ca="1" si="247"/>
        <v>0</v>
      </c>
      <c r="AP99" s="976">
        <f t="shared" ca="1" si="247"/>
        <v>-3.7216</v>
      </c>
      <c r="AQ99" s="976">
        <f t="shared" ca="1" si="247"/>
        <v>0</v>
      </c>
      <c r="AR99" s="976">
        <f t="shared" ca="1" si="247"/>
        <v>0</v>
      </c>
      <c r="AS99" s="976">
        <f t="shared" ca="1" si="247"/>
        <v>0</v>
      </c>
      <c r="AT99" s="976">
        <f t="shared" ca="1" si="247"/>
        <v>0</v>
      </c>
      <c r="AU99" s="976">
        <f t="shared" ca="1" si="247"/>
        <v>0</v>
      </c>
      <c r="AV99" s="976">
        <f t="shared" ca="1" si="247"/>
        <v>0</v>
      </c>
      <c r="AW99" s="976">
        <f t="shared" ca="1" si="247"/>
        <v>0</v>
      </c>
      <c r="AX99" s="976">
        <f t="shared" ca="1" si="247"/>
        <v>0</v>
      </c>
      <c r="AY99" s="976">
        <f t="shared" ca="1" si="247"/>
        <v>0</v>
      </c>
      <c r="AZ99" s="976">
        <f t="shared" ca="1" si="247"/>
        <v>0</v>
      </c>
      <c r="BA99" s="976">
        <f t="shared" ca="1" si="247"/>
        <v>0</v>
      </c>
      <c r="BB99" s="976">
        <f t="shared" ca="1" si="247"/>
        <v>0</v>
      </c>
      <c r="BC99" s="976">
        <f t="shared" ca="1" si="247"/>
        <v>0</v>
      </c>
      <c r="BD99" s="976">
        <f t="shared" ca="1" si="247"/>
        <v>0</v>
      </c>
      <c r="BE99" s="976">
        <f t="shared" ca="1" si="247"/>
        <v>0</v>
      </c>
      <c r="BF99" s="976">
        <f ca="1">SUM(AM99:BE99)</f>
        <v>-3.7216</v>
      </c>
      <c r="BH99" s="990">
        <f ca="1">BH$96+BH98</f>
        <v>4.8434009112248617</v>
      </c>
      <c r="BI99" s="990">
        <f ca="1">BI$96+BI98</f>
        <v>0</v>
      </c>
      <c r="BJ99" s="990">
        <f ca="1">SUM(BH99:BI99)</f>
        <v>4.8434009112248617</v>
      </c>
      <c r="BL99" s="515">
        <f ca="1">Q99+AK99+BF99+BJ99</f>
        <v>0</v>
      </c>
      <c r="BM99" s="515"/>
      <c r="BN99" s="840"/>
      <c r="BO99" s="1482">
        <f t="shared" ref="BO99:DF99" ca="1" si="248">BO$96+BO98</f>
        <v>0</v>
      </c>
      <c r="BP99" s="1482">
        <f t="shared" ca="1" si="248"/>
        <v>0</v>
      </c>
      <c r="BQ99" s="1482">
        <f t="shared" ca="1" si="248"/>
        <v>0</v>
      </c>
      <c r="BR99" s="1482">
        <f t="shared" ca="1" si="248"/>
        <v>0</v>
      </c>
      <c r="BS99" s="1482">
        <f t="shared" ca="1" si="248"/>
        <v>0</v>
      </c>
      <c r="BT99" s="1482">
        <f t="shared" ca="1" si="248"/>
        <v>0</v>
      </c>
      <c r="BU99" s="1482">
        <f t="shared" ca="1" si="248"/>
        <v>0</v>
      </c>
      <c r="BV99" s="1482">
        <f t="shared" ca="1" si="248"/>
        <v>0</v>
      </c>
      <c r="BW99" s="1482">
        <f t="shared" ca="1" si="248"/>
        <v>0</v>
      </c>
      <c r="BX99" s="1482">
        <f t="shared" ca="1" si="248"/>
        <v>0</v>
      </c>
      <c r="BY99" s="1482">
        <f t="shared" ca="1" si="248"/>
        <v>0</v>
      </c>
      <c r="BZ99" s="1482">
        <f t="shared" ca="1" si="248"/>
        <v>0</v>
      </c>
      <c r="CA99" s="1482">
        <f t="shared" ca="1" si="248"/>
        <v>0</v>
      </c>
      <c r="CB99" s="1482">
        <f t="shared" ca="1" si="248"/>
        <v>0</v>
      </c>
      <c r="CC99" s="1482">
        <f t="shared" ca="1" si="248"/>
        <v>0</v>
      </c>
      <c r="CD99" s="1482">
        <f t="shared" ca="1" si="248"/>
        <v>0</v>
      </c>
      <c r="CE99" s="1482">
        <f t="shared" ca="1" si="248"/>
        <v>0</v>
      </c>
      <c r="CF99" s="1482">
        <f t="shared" ca="1" si="248"/>
        <v>0</v>
      </c>
      <c r="CG99" s="1482">
        <f t="shared" ca="1" si="248"/>
        <v>0</v>
      </c>
      <c r="CH99" s="1482">
        <f t="shared" ca="1" si="248"/>
        <v>0</v>
      </c>
      <c r="CI99" s="1482">
        <f t="shared" ca="1" si="248"/>
        <v>0</v>
      </c>
      <c r="CJ99" s="1482">
        <f t="shared" ca="1" si="248"/>
        <v>0</v>
      </c>
      <c r="CK99" s="1482">
        <f t="shared" ca="1" si="248"/>
        <v>0</v>
      </c>
      <c r="CL99" s="1482">
        <f t="shared" ca="1" si="248"/>
        <v>0</v>
      </c>
      <c r="CM99" s="1482">
        <f t="shared" ca="1" si="248"/>
        <v>0</v>
      </c>
      <c r="CN99" s="1482">
        <f t="shared" ca="1" si="248"/>
        <v>0</v>
      </c>
      <c r="CO99" s="1482">
        <f t="shared" ca="1" si="248"/>
        <v>0</v>
      </c>
      <c r="CP99" s="1482">
        <f t="shared" ca="1" si="248"/>
        <v>0</v>
      </c>
      <c r="CQ99" s="1482">
        <f t="shared" ca="1" si="248"/>
        <v>0</v>
      </c>
      <c r="CR99" s="1482">
        <f t="shared" ca="1" si="248"/>
        <v>0</v>
      </c>
      <c r="CS99" s="1482">
        <f t="shared" ca="1" si="248"/>
        <v>0</v>
      </c>
      <c r="CT99" s="1482">
        <f t="shared" ca="1" si="248"/>
        <v>0</v>
      </c>
      <c r="CU99" s="1482">
        <f t="shared" ca="1" si="248"/>
        <v>0</v>
      </c>
      <c r="CV99" s="1482">
        <f t="shared" ca="1" si="248"/>
        <v>0</v>
      </c>
      <c r="CW99" s="1482">
        <f t="shared" ca="1" si="248"/>
        <v>0</v>
      </c>
      <c r="CX99" s="1482">
        <f t="shared" ca="1" si="248"/>
        <v>0</v>
      </c>
      <c r="CY99" s="1482">
        <f t="shared" ca="1" si="248"/>
        <v>-10.751237228260241</v>
      </c>
      <c r="CZ99" s="1482">
        <f t="shared" ca="1" si="248"/>
        <v>0</v>
      </c>
      <c r="DA99" s="1482">
        <f t="shared" ca="1" si="248"/>
        <v>0</v>
      </c>
      <c r="DB99" s="1482">
        <f t="shared" ca="1" si="248"/>
        <v>0</v>
      </c>
      <c r="DC99" s="1482">
        <f t="shared" ca="1" si="248"/>
        <v>0</v>
      </c>
      <c r="DD99" s="1482">
        <f t="shared" ca="1" si="248"/>
        <v>0</v>
      </c>
      <c r="DE99" s="1482">
        <f t="shared" ca="1" si="248"/>
        <v>0</v>
      </c>
      <c r="DF99" s="1482">
        <f t="shared" ca="1" si="248"/>
        <v>0</v>
      </c>
      <c r="DH99" s="838">
        <f t="shared" ca="1" si="234"/>
        <v>-10.751237228260241</v>
      </c>
    </row>
    <row r="100" spans="1:112" s="22" customFormat="1" ht="12.75" hidden="1" customHeight="1" outlineLevel="1">
      <c r="B100" s="753"/>
      <c r="C100" s="744"/>
      <c r="D100" s="517"/>
      <c r="E100" s="512"/>
      <c r="F100" s="743"/>
      <c r="G100" s="958"/>
      <c r="H100" s="958"/>
      <c r="I100" s="958"/>
      <c r="J100" s="958"/>
      <c r="K100" s="960"/>
      <c r="L100" s="958"/>
      <c r="M100" s="958"/>
      <c r="N100" s="958"/>
      <c r="O100" s="958"/>
      <c r="P100" s="958"/>
      <c r="Q100" s="1021"/>
      <c r="R100" s="743"/>
      <c r="S100" s="970"/>
      <c r="T100" s="970"/>
      <c r="U100" s="970"/>
      <c r="V100" s="970"/>
      <c r="W100" s="970"/>
      <c r="X100" s="970"/>
      <c r="Y100" s="970"/>
      <c r="Z100" s="970"/>
      <c r="AA100" s="970"/>
      <c r="AB100" s="970"/>
      <c r="AC100" s="970"/>
      <c r="AD100" s="970"/>
      <c r="AE100" s="970"/>
      <c r="AF100" s="970"/>
      <c r="AG100" s="970"/>
      <c r="AH100" s="970"/>
      <c r="AI100" s="970"/>
      <c r="AJ100" s="970"/>
      <c r="AK100" s="970"/>
      <c r="AL100" s="743"/>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743"/>
      <c r="BH100" s="990"/>
      <c r="BI100" s="990"/>
      <c r="BJ100" s="990"/>
      <c r="BK100" s="743"/>
      <c r="BL100" s="515"/>
      <c r="BM100" s="515"/>
      <c r="BO100" s="1482"/>
      <c r="BP100" s="1482"/>
      <c r="BQ100" s="1482"/>
      <c r="BR100" s="1482"/>
      <c r="BS100" s="1482"/>
      <c r="BT100" s="1482"/>
      <c r="BU100" s="1482"/>
      <c r="BV100" s="1482"/>
      <c r="BW100" s="1482"/>
      <c r="BX100" s="1482"/>
      <c r="BY100" s="1482"/>
      <c r="BZ100" s="1482"/>
      <c r="CA100" s="1482"/>
      <c r="CB100" s="1482"/>
      <c r="CC100" s="1482"/>
      <c r="CD100" s="1482"/>
      <c r="CE100" s="1482"/>
      <c r="CF100" s="1482"/>
      <c r="CG100" s="1482"/>
      <c r="CH100" s="1482"/>
      <c r="CI100" s="1482"/>
      <c r="CJ100" s="1482"/>
      <c r="CK100" s="1482"/>
      <c r="CL100" s="1482"/>
      <c r="CM100" s="1482"/>
      <c r="CN100" s="1482"/>
      <c r="CO100" s="1482"/>
      <c r="CP100" s="1482"/>
      <c r="CQ100" s="1482"/>
      <c r="CR100" s="1482"/>
      <c r="CS100" s="1482"/>
      <c r="CT100" s="1482"/>
      <c r="CU100" s="1482"/>
      <c r="CV100" s="1482"/>
      <c r="CW100" s="1482"/>
      <c r="CX100" s="1482"/>
      <c r="CY100" s="1482"/>
      <c r="CZ100" s="1482"/>
      <c r="DA100" s="1482"/>
      <c r="DB100" s="1482"/>
      <c r="DC100" s="1482"/>
      <c r="DD100" s="1482"/>
      <c r="DE100" s="1482"/>
      <c r="DF100" s="1482"/>
      <c r="DH100" s="838">
        <f t="shared" si="234"/>
        <v>0</v>
      </c>
    </row>
    <row r="101" spans="1:112" s="1488" customFormat="1" ht="12.75" hidden="1" customHeight="1" outlineLevel="1">
      <c r="C101" s="1048" t="s">
        <v>1725</v>
      </c>
      <c r="D101" s="851" t="s">
        <v>1224</v>
      </c>
      <c r="E101" s="851"/>
      <c r="G101" s="1070"/>
      <c r="H101" s="1070"/>
      <c r="I101" s="1070"/>
      <c r="J101" s="1070"/>
      <c r="K101" s="1071"/>
      <c r="L101" s="1070"/>
      <c r="M101" s="1070"/>
      <c r="N101" s="1070"/>
      <c r="O101" s="1070"/>
      <c r="P101" s="1070"/>
      <c r="Q101" s="1478"/>
      <c r="R101" s="1491"/>
      <c r="S101" s="1072">
        <f ca="1">(S$40+S$84+S$93+S$99)</f>
        <v>-361.16931700791082</v>
      </c>
      <c r="T101" s="1072">
        <f ca="1">(T$40+T$84+T$93+T$99)</f>
        <v>361.16931700791082</v>
      </c>
      <c r="U101" s="1072">
        <f ca="1">(U$40+U$84+U$93+U$99)</f>
        <v>-413.29735672224962</v>
      </c>
      <c r="V101" s="1072">
        <f ca="1">(V$40+V$84+V$93+V$99)</f>
        <v>-879.88654710744879</v>
      </c>
      <c r="W101" s="1072">
        <f ca="1">(W$40+W$84+W$93+W$99)</f>
        <v>-1026.9476788300342</v>
      </c>
      <c r="X101" s="1072"/>
      <c r="Y101" s="1072"/>
      <c r="Z101" s="1072"/>
      <c r="AA101" s="1072"/>
      <c r="AB101" s="1072"/>
      <c r="AC101" s="1072"/>
      <c r="AD101" s="1072"/>
      <c r="AE101" s="1072"/>
      <c r="AF101" s="1072"/>
      <c r="AG101" s="1072"/>
      <c r="AH101" s="1072"/>
      <c r="AI101" s="1072"/>
      <c r="AJ101" s="1072"/>
      <c r="AK101" s="1072"/>
      <c r="AL101" s="1491"/>
      <c r="AM101" s="1073"/>
      <c r="AN101" s="1073"/>
      <c r="AO101" s="1073"/>
      <c r="AP101" s="1073"/>
      <c r="AQ101" s="1073"/>
      <c r="AR101" s="1073"/>
      <c r="AS101" s="1073"/>
      <c r="AT101" s="1073"/>
      <c r="AU101" s="1073"/>
      <c r="AV101" s="1073"/>
      <c r="AW101" s="1073"/>
      <c r="AX101" s="1073"/>
      <c r="AY101" s="1073"/>
      <c r="AZ101" s="1073"/>
      <c r="BA101" s="1073"/>
      <c r="BB101" s="1073"/>
      <c r="BC101" s="1073"/>
      <c r="BD101" s="1073"/>
      <c r="BE101" s="1073"/>
      <c r="BF101" s="1073"/>
      <c r="BG101" s="1491"/>
      <c r="BH101" s="1074"/>
      <c r="BI101" s="1074"/>
      <c r="BJ101" s="1074"/>
      <c r="BL101" s="852"/>
      <c r="BM101" s="852"/>
      <c r="BO101" s="1490"/>
      <c r="BP101" s="1490"/>
      <c r="BQ101" s="1490"/>
      <c r="BR101" s="1490"/>
      <c r="BS101" s="1490"/>
      <c r="BT101" s="1490"/>
      <c r="BU101" s="1490"/>
      <c r="BV101" s="1490"/>
      <c r="BW101" s="1490"/>
      <c r="BX101" s="1490"/>
      <c r="BY101" s="1490"/>
      <c r="BZ101" s="1490"/>
      <c r="CA101" s="1490"/>
      <c r="CB101" s="1490"/>
      <c r="CC101" s="1490"/>
      <c r="CD101" s="1490"/>
      <c r="CE101" s="1490"/>
      <c r="CF101" s="1490"/>
      <c r="CG101" s="1490"/>
      <c r="CH101" s="1490"/>
      <c r="CI101" s="1490"/>
      <c r="CJ101" s="1490"/>
      <c r="CK101" s="1490"/>
      <c r="CL101" s="1490"/>
      <c r="CM101" s="1490"/>
      <c r="CN101" s="1490"/>
      <c r="CO101" s="1490"/>
      <c r="CP101" s="1490"/>
      <c r="CQ101" s="1490"/>
      <c r="CR101" s="1490"/>
      <c r="CS101" s="1490"/>
      <c r="CT101" s="1490"/>
      <c r="CU101" s="1490"/>
      <c r="CV101" s="1490"/>
      <c r="CW101" s="1490"/>
      <c r="CX101" s="1490"/>
      <c r="CY101" s="1490"/>
      <c r="CZ101" s="1490"/>
      <c r="DA101" s="1490"/>
      <c r="DB101" s="1490"/>
      <c r="DC101" s="1490"/>
      <c r="DD101" s="1490"/>
      <c r="DE101" s="1490"/>
      <c r="DF101" s="1490"/>
      <c r="DH101" s="838">
        <f t="shared" si="234"/>
        <v>0</v>
      </c>
    </row>
    <row r="102" spans="1:112" s="1484" customFormat="1" ht="12.75" hidden="1" customHeight="1" outlineLevel="1">
      <c r="B102" s="1492"/>
      <c r="C102" s="522" t="s">
        <v>1013</v>
      </c>
      <c r="D102" s="521" t="str">
        <f>INDEX(Modules[Module], MATCH($C102, Modules[Code], 0))</f>
        <v>Fossil fuel transfers</v>
      </c>
      <c r="E102" s="521"/>
      <c r="F102" s="743"/>
      <c r="G102" s="963">
        <f t="shared" ref="G102:P102" ca="1" si="249">IFERROR(INDEX(INDIRECT($C102&amp;".Outputs["&amp;this.Year&amp;"]"), MATCH(G$5, INDIRECT($C102&amp;".Outputs[Vector]"), 0)), 0)</f>
        <v>0</v>
      </c>
      <c r="H102" s="963">
        <f t="shared" ca="1" si="249"/>
        <v>0</v>
      </c>
      <c r="I102" s="963">
        <f t="shared" ca="1" si="249"/>
        <v>0</v>
      </c>
      <c r="J102" s="963">
        <f t="shared" ca="1" si="249"/>
        <v>0</v>
      </c>
      <c r="K102" s="964">
        <f t="shared" ca="1" si="249"/>
        <v>0</v>
      </c>
      <c r="L102" s="963">
        <f t="shared" ca="1" si="249"/>
        <v>0</v>
      </c>
      <c r="M102" s="963">
        <f t="shared" ca="1" si="249"/>
        <v>0</v>
      </c>
      <c r="N102" s="963">
        <f t="shared" ca="1" si="249"/>
        <v>0</v>
      </c>
      <c r="O102" s="963">
        <f t="shared" ca="1" si="249"/>
        <v>0</v>
      </c>
      <c r="P102" s="963">
        <f t="shared" ca="1" si="249"/>
        <v>0</v>
      </c>
      <c r="Q102" s="1096">
        <f ca="1">SUM(G102:P102)</f>
        <v>0</v>
      </c>
      <c r="R102" s="743"/>
      <c r="S102" s="972">
        <f t="shared" ref="S102:AJ102" ca="1" si="250">IFERROR(INDEX(INDIRECT($C102&amp;".Outputs["&amp;this.Year&amp;"]"), MATCH(S$5, INDIRECT($C102&amp;".Outputs[Vector]"), 0)), 0)</f>
        <v>0</v>
      </c>
      <c r="T102" s="972">
        <f t="shared" ca="1" si="250"/>
        <v>0</v>
      </c>
      <c r="U102" s="972">
        <f t="shared" ca="1" si="250"/>
        <v>413.29735672224962</v>
      </c>
      <c r="V102" s="972">
        <f t="shared" ca="1" si="250"/>
        <v>879.88654710744879</v>
      </c>
      <c r="W102" s="972">
        <f t="shared" ca="1" si="250"/>
        <v>1026.9476788300342</v>
      </c>
      <c r="X102" s="972">
        <f t="shared" ca="1" si="250"/>
        <v>-413.29735672224962</v>
      </c>
      <c r="Y102" s="972">
        <f t="shared" ca="1" si="250"/>
        <v>-879.88654710744879</v>
      </c>
      <c r="Z102" s="972">
        <f t="shared" ca="1" si="250"/>
        <v>-1038.7836208262938</v>
      </c>
      <c r="AA102" s="972">
        <f t="shared" ca="1" si="250"/>
        <v>0</v>
      </c>
      <c r="AB102" s="972">
        <f t="shared" ca="1" si="250"/>
        <v>0</v>
      </c>
      <c r="AC102" s="972">
        <f t="shared" ca="1" si="250"/>
        <v>0</v>
      </c>
      <c r="AD102" s="972">
        <f t="shared" ca="1" si="250"/>
        <v>0</v>
      </c>
      <c r="AE102" s="972">
        <f t="shared" ca="1" si="250"/>
        <v>0</v>
      </c>
      <c r="AF102" s="972">
        <f t="shared" ca="1" si="250"/>
        <v>0</v>
      </c>
      <c r="AG102" s="972">
        <f t="shared" ca="1" si="250"/>
        <v>0</v>
      </c>
      <c r="AH102" s="972">
        <f t="shared" ca="1" si="250"/>
        <v>0</v>
      </c>
      <c r="AI102" s="972">
        <f t="shared" ca="1" si="250"/>
        <v>0</v>
      </c>
      <c r="AJ102" s="972">
        <f t="shared" ca="1" si="250"/>
        <v>0</v>
      </c>
      <c r="AK102" s="972">
        <f ca="1">SUM(S102:AJ102)</f>
        <v>-11.835941996259407</v>
      </c>
      <c r="AL102" s="743"/>
      <c r="AM102" s="979">
        <f t="shared" ref="AM102:BE102" ca="1" si="251">IFERROR(INDEX(INDIRECT($C102&amp;".Outputs["&amp;this.Year&amp;"]"), MATCH(AM$5, INDIRECT($C102&amp;".Outputs[Vector]"), 0)), 0)</f>
        <v>0</v>
      </c>
      <c r="AN102" s="979">
        <f t="shared" ca="1" si="251"/>
        <v>0</v>
      </c>
      <c r="AO102" s="979">
        <f t="shared" ca="1" si="251"/>
        <v>0</v>
      </c>
      <c r="AP102" s="979">
        <f t="shared" ca="1" si="251"/>
        <v>0</v>
      </c>
      <c r="AQ102" s="979">
        <f t="shared" ca="1" si="251"/>
        <v>0</v>
      </c>
      <c r="AR102" s="979">
        <f t="shared" ca="1" si="251"/>
        <v>0</v>
      </c>
      <c r="AS102" s="979">
        <f t="shared" ca="1" si="251"/>
        <v>0</v>
      </c>
      <c r="AT102" s="979">
        <f t="shared" ca="1" si="251"/>
        <v>0</v>
      </c>
      <c r="AU102" s="979">
        <f t="shared" ca="1" si="251"/>
        <v>0</v>
      </c>
      <c r="AV102" s="979">
        <f t="shared" ca="1" si="251"/>
        <v>0</v>
      </c>
      <c r="AW102" s="979">
        <f t="shared" ca="1" si="251"/>
        <v>0</v>
      </c>
      <c r="AX102" s="979">
        <f t="shared" ca="1" si="251"/>
        <v>0</v>
      </c>
      <c r="AY102" s="979">
        <f t="shared" ca="1" si="251"/>
        <v>0</v>
      </c>
      <c r="AZ102" s="979">
        <f t="shared" ca="1" si="251"/>
        <v>0</v>
      </c>
      <c r="BA102" s="979">
        <f t="shared" ca="1" si="251"/>
        <v>0</v>
      </c>
      <c r="BB102" s="979">
        <f t="shared" ca="1" si="251"/>
        <v>0</v>
      </c>
      <c r="BC102" s="979">
        <f t="shared" ca="1" si="251"/>
        <v>0</v>
      </c>
      <c r="BD102" s="979">
        <f t="shared" ca="1" si="251"/>
        <v>0</v>
      </c>
      <c r="BE102" s="979">
        <f t="shared" ca="1" si="251"/>
        <v>0</v>
      </c>
      <c r="BF102" s="979">
        <f ca="1">SUM(AM102:BE102)</f>
        <v>0</v>
      </c>
      <c r="BG102" s="743"/>
      <c r="BH102" s="992">
        <f ca="1">IFERROR(INDEX(INDIRECT($C102&amp;".Outputs["&amp;this.Year&amp;"]"), MATCH(BH$5, INDIRECT($C102&amp;".Outputs[Vector]"), 0)), 0)</f>
        <v>0</v>
      </c>
      <c r="BI102" s="992">
        <f ca="1">IFERROR(INDEX(INDIRECT($C102&amp;".Outputs["&amp;this.Year&amp;"]"), MATCH(BI$5, INDIRECT($C102&amp;".Outputs[Vector]"), 0)), 0)</f>
        <v>11.835941996259647</v>
      </c>
      <c r="BJ102" s="992">
        <f ca="1">SUM(BH102:BI102)</f>
        <v>11.835941996259647</v>
      </c>
      <c r="BK102" s="743"/>
      <c r="BL102" s="515">
        <f t="shared" ref="BL102:BL109" ca="1" si="252">Q102+AK102+BF102+BJ102</f>
        <v>2.3980817331903381E-13</v>
      </c>
      <c r="BM102" s="814"/>
      <c r="BO102" s="1481">
        <f t="shared" ref="BO102:BX103" ca="1" si="253">IFERROR(SUMIFS(INDIRECT($C102&amp;".Emissions["&amp;this.Year&amp;"]"), INDIRECT($C102&amp;".Emissions[GHG]"), BO$6, INDIRECT($C102&amp;".Emissions[IPCC Sector]"), BO$5),0)</f>
        <v>0</v>
      </c>
      <c r="BP102" s="1482">
        <f t="shared" ca="1" si="253"/>
        <v>0</v>
      </c>
      <c r="BQ102" s="1482">
        <f t="shared" ca="1" si="253"/>
        <v>0</v>
      </c>
      <c r="BR102" s="1482">
        <f t="shared" ca="1" si="253"/>
        <v>0</v>
      </c>
      <c r="BS102" s="1482">
        <f t="shared" ca="1" si="253"/>
        <v>0</v>
      </c>
      <c r="BT102" s="1482">
        <f t="shared" ca="1" si="253"/>
        <v>4.503270609576222</v>
      </c>
      <c r="BU102" s="1482">
        <f t="shared" ca="1" si="253"/>
        <v>0</v>
      </c>
      <c r="BV102" s="1482">
        <f t="shared" ca="1" si="253"/>
        <v>0</v>
      </c>
      <c r="BW102" s="1482">
        <f t="shared" ca="1" si="253"/>
        <v>0</v>
      </c>
      <c r="BX102" s="1482">
        <f t="shared" ca="1" si="253"/>
        <v>0</v>
      </c>
      <c r="BY102" s="1482">
        <f t="shared" ref="BY102:CH103" ca="1" si="254">IFERROR(SUMIFS(INDIRECT($C102&amp;".Emissions["&amp;this.Year&amp;"]"), INDIRECT($C102&amp;".Emissions[GHG]"), BY$6, INDIRECT($C102&amp;".Emissions[IPCC Sector]"), BY$5),0)</f>
        <v>0</v>
      </c>
      <c r="BZ102" s="1482">
        <f t="shared" ca="1" si="254"/>
        <v>0</v>
      </c>
      <c r="CA102" s="1482">
        <f t="shared" ca="1" si="254"/>
        <v>0</v>
      </c>
      <c r="CB102" s="1482">
        <f t="shared" ca="1" si="254"/>
        <v>0</v>
      </c>
      <c r="CC102" s="1482">
        <f t="shared" ca="1" si="254"/>
        <v>0</v>
      </c>
      <c r="CD102" s="1482">
        <f t="shared" ca="1" si="254"/>
        <v>0</v>
      </c>
      <c r="CE102" s="1482">
        <f t="shared" ca="1" si="254"/>
        <v>0</v>
      </c>
      <c r="CF102" s="1482">
        <f t="shared" ca="1" si="254"/>
        <v>0</v>
      </c>
      <c r="CG102" s="1482">
        <f t="shared" ca="1" si="254"/>
        <v>0</v>
      </c>
      <c r="CH102" s="1482">
        <f t="shared" ca="1" si="254"/>
        <v>0</v>
      </c>
      <c r="CI102" s="1482">
        <f t="shared" ref="CI102:CR103" ca="1" si="255">IFERROR(SUMIFS(INDIRECT($C102&amp;".Emissions["&amp;this.Year&amp;"]"), INDIRECT($C102&amp;".Emissions[GHG]"), CI$6, INDIRECT($C102&amp;".Emissions[IPCC Sector]"), CI$5),0)</f>
        <v>0</v>
      </c>
      <c r="CJ102" s="1482">
        <f t="shared" ca="1" si="255"/>
        <v>0</v>
      </c>
      <c r="CK102" s="1482">
        <f t="shared" ca="1" si="255"/>
        <v>0</v>
      </c>
      <c r="CL102" s="1482">
        <f t="shared" ca="1" si="255"/>
        <v>0</v>
      </c>
      <c r="CM102" s="1482">
        <f t="shared" ca="1" si="255"/>
        <v>0</v>
      </c>
      <c r="CN102" s="1482">
        <f t="shared" ca="1" si="255"/>
        <v>0</v>
      </c>
      <c r="CO102" s="1482">
        <f t="shared" ca="1" si="255"/>
        <v>0</v>
      </c>
      <c r="CP102" s="1482">
        <f t="shared" ca="1" si="255"/>
        <v>0</v>
      </c>
      <c r="CQ102" s="1482">
        <f t="shared" ca="1" si="255"/>
        <v>0</v>
      </c>
      <c r="CR102" s="1482">
        <f t="shared" ca="1" si="255"/>
        <v>0</v>
      </c>
      <c r="CS102" s="1482">
        <f t="shared" ref="CS102:DF103" ca="1" si="256">IFERROR(SUMIFS(INDIRECT($C102&amp;".Emissions["&amp;this.Year&amp;"]"), INDIRECT($C102&amp;".Emissions[GHG]"), CS$6, INDIRECT($C102&amp;".Emissions[IPCC Sector]"), CS$5),0)</f>
        <v>0</v>
      </c>
      <c r="CT102" s="1482">
        <f t="shared" ca="1" si="256"/>
        <v>0</v>
      </c>
      <c r="CU102" s="1482">
        <f t="shared" ca="1" si="256"/>
        <v>0</v>
      </c>
      <c r="CV102" s="1482">
        <f t="shared" ca="1" si="256"/>
        <v>0</v>
      </c>
      <c r="CW102" s="1482">
        <f t="shared" ca="1" si="256"/>
        <v>0</v>
      </c>
      <c r="CX102" s="1482">
        <f t="shared" ca="1" si="256"/>
        <v>0</v>
      </c>
      <c r="CY102" s="1482">
        <f t="shared" ca="1" si="256"/>
        <v>0</v>
      </c>
      <c r="CZ102" s="1482">
        <f t="shared" ca="1" si="256"/>
        <v>0</v>
      </c>
      <c r="DA102" s="1482">
        <f t="shared" ca="1" si="256"/>
        <v>0</v>
      </c>
      <c r="DB102" s="1482">
        <f t="shared" ca="1" si="256"/>
        <v>0</v>
      </c>
      <c r="DC102" s="1482">
        <f t="shared" ca="1" si="256"/>
        <v>0</v>
      </c>
      <c r="DD102" s="1482">
        <f t="shared" ca="1" si="256"/>
        <v>0</v>
      </c>
      <c r="DE102" s="1482">
        <f t="shared" ca="1" si="256"/>
        <v>0</v>
      </c>
      <c r="DF102" s="1482">
        <f t="shared" ca="1" si="256"/>
        <v>0</v>
      </c>
      <c r="DH102" s="838">
        <f t="shared" ca="1" si="234"/>
        <v>4.503270609576222</v>
      </c>
    </row>
    <row r="103" spans="1:112" s="1484" customFormat="1" ht="12.75" hidden="1" customHeight="1" outlineLevel="1">
      <c r="B103" s="1492" t="s">
        <v>798</v>
      </c>
      <c r="C103" s="522" t="s">
        <v>1014</v>
      </c>
      <c r="D103" s="1010" t="str">
        <f>INDEX(Modules[Module], MATCH($C103, Modules[Code], 0))</f>
        <v>Balancing imports</v>
      </c>
      <c r="E103" s="1010"/>
      <c r="F103" s="743"/>
      <c r="G103" s="1102"/>
      <c r="H103" s="1102"/>
      <c r="I103" s="1102"/>
      <c r="J103" s="1102"/>
      <c r="K103" s="1103"/>
      <c r="L103" s="1102"/>
      <c r="M103" s="1102"/>
      <c r="N103" s="1102"/>
      <c r="O103" s="1102"/>
      <c r="P103" s="1102"/>
      <c r="Q103" s="1104">
        <f>SUM(G103:P103)</f>
        <v>0</v>
      </c>
      <c r="R103" s="743"/>
      <c r="S103" s="1105"/>
      <c r="T103" s="1105">
        <f ca="1">-(T$101+S$101)</f>
        <v>0</v>
      </c>
      <c r="U103" s="1105"/>
      <c r="V103" s="1105"/>
      <c r="W103" s="1105"/>
      <c r="X103" s="1105">
        <f ca="1">-(X$40+X$84+X$93+X$99+X$102)</f>
        <v>255.37052983268831</v>
      </c>
      <c r="Y103" s="1105">
        <f ca="1">-(Y$40+Y$84+Y$93+Y$99+Y$102)</f>
        <v>64.454151136796895</v>
      </c>
      <c r="Z103" s="1105">
        <f ca="1">-(Z$40+Z$84+Z$93+Z$99+Z$102)</f>
        <v>400.9016361750422</v>
      </c>
      <c r="AA103" s="1105"/>
      <c r="AB103" s="1105"/>
      <c r="AC103" s="1105"/>
      <c r="AD103" s="1105"/>
      <c r="AE103" s="1105"/>
      <c r="AF103" s="1105"/>
      <c r="AG103" s="1105"/>
      <c r="AH103" s="1105"/>
      <c r="AI103" s="1105"/>
      <c r="AJ103" s="1105"/>
      <c r="AK103" s="1105">
        <f ca="1">SUM(S103:AJ103)</f>
        <v>720.72631714452746</v>
      </c>
      <c r="AL103" s="743"/>
      <c r="AM103" s="1012"/>
      <c r="AN103" s="1012"/>
      <c r="AO103" s="1012"/>
      <c r="AP103" s="1012"/>
      <c r="AQ103" s="1012">
        <f ca="1">-T103</f>
        <v>0</v>
      </c>
      <c r="AR103" s="1012">
        <f>-V103</f>
        <v>0</v>
      </c>
      <c r="AS103" s="1012">
        <f ca="1">-X103</f>
        <v>-255.37052983268831</v>
      </c>
      <c r="AT103" s="1012">
        <f ca="1">-Y103</f>
        <v>-64.454151136796895</v>
      </c>
      <c r="AU103" s="1012">
        <f ca="1">-Z103</f>
        <v>-400.9016361750422</v>
      </c>
      <c r="AV103" s="1012"/>
      <c r="AW103" s="1012"/>
      <c r="AX103" s="1012"/>
      <c r="AY103" s="1012"/>
      <c r="AZ103" s="1012"/>
      <c r="BA103" s="1012"/>
      <c r="BB103" s="1012"/>
      <c r="BC103" s="1012"/>
      <c r="BD103" s="1012"/>
      <c r="BE103" s="1012"/>
      <c r="BF103" s="1012">
        <f ca="1">SUM(AM103:BE103)</f>
        <v>-720.72631714452746</v>
      </c>
      <c r="BG103" s="743"/>
      <c r="BH103" s="1106"/>
      <c r="BI103" s="1106"/>
      <c r="BJ103" s="1106">
        <f>SUM(BH103:BI103)</f>
        <v>0</v>
      </c>
      <c r="BK103" s="743"/>
      <c r="BL103" s="515">
        <f t="shared" ca="1" si="252"/>
        <v>0</v>
      </c>
      <c r="BM103" s="814"/>
      <c r="BO103" s="1485">
        <f t="shared" ca="1" si="253"/>
        <v>0</v>
      </c>
      <c r="BP103" s="1486">
        <f t="shared" ca="1" si="253"/>
        <v>0</v>
      </c>
      <c r="BQ103" s="1486">
        <f t="shared" ca="1" si="253"/>
        <v>0</v>
      </c>
      <c r="BR103" s="1486">
        <f t="shared" ca="1" si="253"/>
        <v>0</v>
      </c>
      <c r="BS103" s="1486">
        <f t="shared" ca="1" si="253"/>
        <v>0</v>
      </c>
      <c r="BT103" s="1486">
        <f t="shared" ca="1" si="253"/>
        <v>0</v>
      </c>
      <c r="BU103" s="1486">
        <f t="shared" ca="1" si="253"/>
        <v>0</v>
      </c>
      <c r="BV103" s="1486">
        <f t="shared" ca="1" si="253"/>
        <v>0</v>
      </c>
      <c r="BW103" s="1486">
        <f t="shared" ca="1" si="253"/>
        <v>0</v>
      </c>
      <c r="BX103" s="1486">
        <f t="shared" ca="1" si="253"/>
        <v>0</v>
      </c>
      <c r="BY103" s="1486">
        <f t="shared" ca="1" si="254"/>
        <v>0</v>
      </c>
      <c r="BZ103" s="1486">
        <f t="shared" ca="1" si="254"/>
        <v>0</v>
      </c>
      <c r="CA103" s="1486">
        <f t="shared" ca="1" si="254"/>
        <v>0</v>
      </c>
      <c r="CB103" s="1486">
        <f t="shared" ca="1" si="254"/>
        <v>0</v>
      </c>
      <c r="CC103" s="1486">
        <f t="shared" ca="1" si="254"/>
        <v>0</v>
      </c>
      <c r="CD103" s="1486">
        <f t="shared" ca="1" si="254"/>
        <v>0</v>
      </c>
      <c r="CE103" s="1486">
        <f t="shared" ca="1" si="254"/>
        <v>0</v>
      </c>
      <c r="CF103" s="1486">
        <f t="shared" ca="1" si="254"/>
        <v>0</v>
      </c>
      <c r="CG103" s="1486">
        <f t="shared" ca="1" si="254"/>
        <v>0</v>
      </c>
      <c r="CH103" s="1486">
        <f t="shared" ca="1" si="254"/>
        <v>0</v>
      </c>
      <c r="CI103" s="1486">
        <f t="shared" ca="1" si="255"/>
        <v>0</v>
      </c>
      <c r="CJ103" s="1486">
        <f t="shared" ca="1" si="255"/>
        <v>0</v>
      </c>
      <c r="CK103" s="1486">
        <f t="shared" ca="1" si="255"/>
        <v>0</v>
      </c>
      <c r="CL103" s="1486">
        <f t="shared" ca="1" si="255"/>
        <v>0</v>
      </c>
      <c r="CM103" s="1486">
        <f t="shared" ca="1" si="255"/>
        <v>0</v>
      </c>
      <c r="CN103" s="1486">
        <f t="shared" ca="1" si="255"/>
        <v>0</v>
      </c>
      <c r="CO103" s="1486">
        <f t="shared" ca="1" si="255"/>
        <v>0</v>
      </c>
      <c r="CP103" s="1486">
        <f t="shared" ca="1" si="255"/>
        <v>0</v>
      </c>
      <c r="CQ103" s="1486">
        <f t="shared" ca="1" si="255"/>
        <v>0</v>
      </c>
      <c r="CR103" s="1486">
        <f t="shared" ca="1" si="255"/>
        <v>0</v>
      </c>
      <c r="CS103" s="1486">
        <f t="shared" ca="1" si="256"/>
        <v>0</v>
      </c>
      <c r="CT103" s="1486">
        <f t="shared" ca="1" si="256"/>
        <v>0</v>
      </c>
      <c r="CU103" s="1486">
        <f t="shared" ca="1" si="256"/>
        <v>0</v>
      </c>
      <c r="CV103" s="1486">
        <f t="shared" ca="1" si="256"/>
        <v>0</v>
      </c>
      <c r="CW103" s="1486">
        <f t="shared" ca="1" si="256"/>
        <v>0</v>
      </c>
      <c r="CX103" s="1486">
        <f t="shared" ca="1" si="256"/>
        <v>0</v>
      </c>
      <c r="CY103" s="1486">
        <f t="shared" ca="1" si="256"/>
        <v>0</v>
      </c>
      <c r="CZ103" s="1486">
        <f t="shared" ca="1" si="256"/>
        <v>0</v>
      </c>
      <c r="DA103" s="1486">
        <f t="shared" ca="1" si="256"/>
        <v>0</v>
      </c>
      <c r="DB103" s="1486">
        <f t="shared" ca="1" si="256"/>
        <v>0</v>
      </c>
      <c r="DC103" s="1486">
        <f t="shared" ca="1" si="256"/>
        <v>0</v>
      </c>
      <c r="DD103" s="1486">
        <f t="shared" ca="1" si="256"/>
        <v>0</v>
      </c>
      <c r="DE103" s="1486">
        <f t="shared" ca="1" si="256"/>
        <v>0</v>
      </c>
      <c r="DF103" s="1486">
        <f t="shared" ca="1" si="256"/>
        <v>0</v>
      </c>
      <c r="DH103" s="838">
        <f t="shared" ca="1" si="234"/>
        <v>0</v>
      </c>
    </row>
    <row r="104" spans="1:112" s="743" customFormat="1" ht="15.75" collapsed="1">
      <c r="B104" s="753" t="s">
        <v>798</v>
      </c>
      <c r="C104" s="516" t="s">
        <v>1012</v>
      </c>
      <c r="D104" s="517" t="str">
        <f>INDEX(Workstreams[Workstream], MATCH($C104, Workstreams[Code], 0))</f>
        <v>Transfers</v>
      </c>
      <c r="E104" s="509"/>
      <c r="G104" s="1021">
        <f ca="1">SUM(G102:G103)</f>
        <v>0</v>
      </c>
      <c r="H104" s="1021">
        <f t="shared" ref="H104:P104" ca="1" si="257">SUM(H102:H103)</f>
        <v>0</v>
      </c>
      <c r="I104" s="1021">
        <f t="shared" ca="1" si="257"/>
        <v>0</v>
      </c>
      <c r="J104" s="1021">
        <f t="shared" ca="1" si="257"/>
        <v>0</v>
      </c>
      <c r="K104" s="1021">
        <f t="shared" ca="1" si="257"/>
        <v>0</v>
      </c>
      <c r="L104" s="1021">
        <f t="shared" ca="1" si="257"/>
        <v>0</v>
      </c>
      <c r="M104" s="1021">
        <f t="shared" ca="1" si="257"/>
        <v>0</v>
      </c>
      <c r="N104" s="1021">
        <f t="shared" ca="1" si="257"/>
        <v>0</v>
      </c>
      <c r="O104" s="1021">
        <f t="shared" ca="1" si="257"/>
        <v>0</v>
      </c>
      <c r="P104" s="1021">
        <f t="shared" ca="1" si="257"/>
        <v>0</v>
      </c>
      <c r="Q104" s="1021">
        <f ca="1">SUM(G104:P104)</f>
        <v>0</v>
      </c>
      <c r="S104" s="970">
        <f t="shared" ref="S104:AJ104" ca="1" si="258">SUM(S102:S103)</f>
        <v>0</v>
      </c>
      <c r="T104" s="970">
        <f t="shared" ca="1" si="258"/>
        <v>0</v>
      </c>
      <c r="U104" s="970">
        <f t="shared" ca="1" si="258"/>
        <v>413.29735672224962</v>
      </c>
      <c r="V104" s="970">
        <f t="shared" ca="1" si="258"/>
        <v>879.88654710744879</v>
      </c>
      <c r="W104" s="970">
        <f t="shared" ca="1" si="258"/>
        <v>1026.9476788300342</v>
      </c>
      <c r="X104" s="970">
        <f t="shared" ca="1" si="258"/>
        <v>-157.92682688956131</v>
      </c>
      <c r="Y104" s="970">
        <f t="shared" ca="1" si="258"/>
        <v>-815.4323959706519</v>
      </c>
      <c r="Z104" s="970">
        <f t="shared" ca="1" si="258"/>
        <v>-637.88198465125163</v>
      </c>
      <c r="AA104" s="970">
        <f t="shared" ca="1" si="258"/>
        <v>0</v>
      </c>
      <c r="AB104" s="970">
        <f t="shared" ca="1" si="258"/>
        <v>0</v>
      </c>
      <c r="AC104" s="970">
        <f t="shared" ca="1" si="258"/>
        <v>0</v>
      </c>
      <c r="AD104" s="970">
        <f ca="1">SUM(AD102:AD103)</f>
        <v>0</v>
      </c>
      <c r="AE104" s="970">
        <f ca="1">SUM(AE102:AE103)</f>
        <v>0</v>
      </c>
      <c r="AF104" s="970">
        <f t="shared" ca="1" si="258"/>
        <v>0</v>
      </c>
      <c r="AG104" s="970">
        <f ca="1">SUM(AG102:AG103)</f>
        <v>0</v>
      </c>
      <c r="AH104" s="970">
        <f ca="1">SUM(AH102:AH103)</f>
        <v>0</v>
      </c>
      <c r="AI104" s="970">
        <f ca="1">SUM(AI102:AI103)</f>
        <v>0</v>
      </c>
      <c r="AJ104" s="970">
        <f t="shared" ca="1" si="258"/>
        <v>0</v>
      </c>
      <c r="AK104" s="970">
        <f ca="1">SUM(S104:AJ104)</f>
        <v>708.89037514826816</v>
      </c>
      <c r="AM104" s="976">
        <f t="shared" ref="AM104:BE104" ca="1" si="259">SUM(AM102:AM103)</f>
        <v>0</v>
      </c>
      <c r="AN104" s="976">
        <f t="shared" ca="1" si="259"/>
        <v>0</v>
      </c>
      <c r="AO104" s="976">
        <f t="shared" ca="1" si="259"/>
        <v>0</v>
      </c>
      <c r="AP104" s="976">
        <f t="shared" ca="1" si="259"/>
        <v>0</v>
      </c>
      <c r="AQ104" s="976">
        <f t="shared" ca="1" si="259"/>
        <v>0</v>
      </c>
      <c r="AR104" s="976">
        <f t="shared" ca="1" si="259"/>
        <v>0</v>
      </c>
      <c r="AS104" s="976">
        <f t="shared" ca="1" si="259"/>
        <v>-255.37052983268831</v>
      </c>
      <c r="AT104" s="976">
        <f t="shared" ca="1" si="259"/>
        <v>-64.454151136796895</v>
      </c>
      <c r="AU104" s="976">
        <f t="shared" ca="1" si="259"/>
        <v>-400.9016361750422</v>
      </c>
      <c r="AV104" s="976">
        <f t="shared" ca="1" si="259"/>
        <v>0</v>
      </c>
      <c r="AW104" s="976">
        <f t="shared" ca="1" si="259"/>
        <v>0</v>
      </c>
      <c r="AX104" s="976">
        <f t="shared" ca="1" si="259"/>
        <v>0</v>
      </c>
      <c r="AY104" s="976">
        <f t="shared" ca="1" si="259"/>
        <v>0</v>
      </c>
      <c r="AZ104" s="976">
        <f t="shared" ca="1" si="259"/>
        <v>0</v>
      </c>
      <c r="BA104" s="976">
        <f t="shared" ca="1" si="259"/>
        <v>0</v>
      </c>
      <c r="BB104" s="976">
        <f t="shared" ca="1" si="259"/>
        <v>0</v>
      </c>
      <c r="BC104" s="976">
        <f t="shared" ca="1" si="259"/>
        <v>0</v>
      </c>
      <c r="BD104" s="976">
        <f t="shared" ca="1" si="259"/>
        <v>0</v>
      </c>
      <c r="BE104" s="976">
        <f t="shared" ca="1" si="259"/>
        <v>0</v>
      </c>
      <c r="BF104" s="976">
        <f ca="1">SUM(AM104:BE104)</f>
        <v>-720.72631714452746</v>
      </c>
      <c r="BH104" s="990">
        <f ca="1">SUM(BH102:BH103)</f>
        <v>0</v>
      </c>
      <c r="BI104" s="990">
        <f ca="1">SUM(BI102:BI103)</f>
        <v>11.835941996259647</v>
      </c>
      <c r="BJ104" s="990">
        <f ca="1">SUM(BH104:BI104)</f>
        <v>11.835941996259647</v>
      </c>
      <c r="BL104" s="515">
        <f t="shared" ca="1" si="252"/>
        <v>3.5349501104064984E-13</v>
      </c>
      <c r="BM104" s="515"/>
      <c r="BN104" s="840"/>
      <c r="BO104" s="1482">
        <f t="shared" ref="BO104:DF104" ca="1" si="260">SUM(BO102:BO103)</f>
        <v>0</v>
      </c>
      <c r="BP104" s="1482">
        <f t="shared" ca="1" si="260"/>
        <v>0</v>
      </c>
      <c r="BQ104" s="1482">
        <f t="shared" ca="1" si="260"/>
        <v>0</v>
      </c>
      <c r="BR104" s="1482">
        <f t="shared" ca="1" si="260"/>
        <v>0</v>
      </c>
      <c r="BS104" s="1482">
        <f t="shared" ca="1" si="260"/>
        <v>0</v>
      </c>
      <c r="BT104" s="1482">
        <f t="shared" ca="1" si="260"/>
        <v>4.503270609576222</v>
      </c>
      <c r="BU104" s="1482">
        <f t="shared" ca="1" si="260"/>
        <v>0</v>
      </c>
      <c r="BV104" s="1482">
        <f t="shared" ca="1" si="260"/>
        <v>0</v>
      </c>
      <c r="BW104" s="1482">
        <f t="shared" ca="1" si="260"/>
        <v>0</v>
      </c>
      <c r="BX104" s="1482">
        <f t="shared" ca="1" si="260"/>
        <v>0</v>
      </c>
      <c r="BY104" s="1482">
        <f t="shared" ca="1" si="260"/>
        <v>0</v>
      </c>
      <c r="BZ104" s="1482">
        <f t="shared" ca="1" si="260"/>
        <v>0</v>
      </c>
      <c r="CA104" s="1482">
        <f t="shared" ca="1" si="260"/>
        <v>0</v>
      </c>
      <c r="CB104" s="1482">
        <f t="shared" ca="1" si="260"/>
        <v>0</v>
      </c>
      <c r="CC104" s="1482">
        <f t="shared" ca="1" si="260"/>
        <v>0</v>
      </c>
      <c r="CD104" s="1482">
        <f t="shared" ca="1" si="260"/>
        <v>0</v>
      </c>
      <c r="CE104" s="1482">
        <f t="shared" ca="1" si="260"/>
        <v>0</v>
      </c>
      <c r="CF104" s="1482">
        <f t="shared" ca="1" si="260"/>
        <v>0</v>
      </c>
      <c r="CG104" s="1482">
        <f t="shared" ca="1" si="260"/>
        <v>0</v>
      </c>
      <c r="CH104" s="1482">
        <f t="shared" ca="1" si="260"/>
        <v>0</v>
      </c>
      <c r="CI104" s="1482">
        <f t="shared" ca="1" si="260"/>
        <v>0</v>
      </c>
      <c r="CJ104" s="1482">
        <f t="shared" ca="1" si="260"/>
        <v>0</v>
      </c>
      <c r="CK104" s="1482">
        <f t="shared" ca="1" si="260"/>
        <v>0</v>
      </c>
      <c r="CL104" s="1482">
        <f t="shared" ca="1" si="260"/>
        <v>0</v>
      </c>
      <c r="CM104" s="1482">
        <f t="shared" ca="1" si="260"/>
        <v>0</v>
      </c>
      <c r="CN104" s="1482">
        <f t="shared" ca="1" si="260"/>
        <v>0</v>
      </c>
      <c r="CO104" s="1482">
        <f t="shared" ca="1" si="260"/>
        <v>0</v>
      </c>
      <c r="CP104" s="1482">
        <f t="shared" ca="1" si="260"/>
        <v>0</v>
      </c>
      <c r="CQ104" s="1482">
        <f t="shared" ca="1" si="260"/>
        <v>0</v>
      </c>
      <c r="CR104" s="1482">
        <f t="shared" ca="1" si="260"/>
        <v>0</v>
      </c>
      <c r="CS104" s="1482">
        <f t="shared" ca="1" si="260"/>
        <v>0</v>
      </c>
      <c r="CT104" s="1482">
        <f t="shared" ca="1" si="260"/>
        <v>0</v>
      </c>
      <c r="CU104" s="1482">
        <f t="shared" ca="1" si="260"/>
        <v>0</v>
      </c>
      <c r="CV104" s="1482">
        <f t="shared" ca="1" si="260"/>
        <v>0</v>
      </c>
      <c r="CW104" s="1482">
        <f t="shared" ca="1" si="260"/>
        <v>0</v>
      </c>
      <c r="CX104" s="1482">
        <f t="shared" ca="1" si="260"/>
        <v>0</v>
      </c>
      <c r="CY104" s="1482">
        <f t="shared" ca="1" si="260"/>
        <v>0</v>
      </c>
      <c r="CZ104" s="1482">
        <f t="shared" ca="1" si="260"/>
        <v>0</v>
      </c>
      <c r="DA104" s="1482">
        <f t="shared" ca="1" si="260"/>
        <v>0</v>
      </c>
      <c r="DB104" s="1482">
        <f t="shared" ca="1" si="260"/>
        <v>0</v>
      </c>
      <c r="DC104" s="1482">
        <f t="shared" ca="1" si="260"/>
        <v>0</v>
      </c>
      <c r="DD104" s="1482">
        <f t="shared" ca="1" si="260"/>
        <v>0</v>
      </c>
      <c r="DE104" s="1482">
        <f t="shared" ca="1" si="260"/>
        <v>0</v>
      </c>
      <c r="DF104" s="1482">
        <f t="shared" ca="1" si="260"/>
        <v>0</v>
      </c>
      <c r="DH104" s="838">
        <f t="shared" ca="1" si="234"/>
        <v>4.503270609576222</v>
      </c>
    </row>
    <row r="105" spans="1:112" s="743" customFormat="1" ht="6" customHeight="1">
      <c r="C105" s="508"/>
      <c r="D105" s="509"/>
      <c r="E105" s="509"/>
      <c r="G105" s="958"/>
      <c r="H105" s="958"/>
      <c r="I105" s="958"/>
      <c r="J105" s="958"/>
      <c r="K105" s="960"/>
      <c r="L105" s="958"/>
      <c r="M105" s="958"/>
      <c r="N105" s="958"/>
      <c r="O105" s="958"/>
      <c r="P105" s="958"/>
      <c r="Q105" s="958"/>
      <c r="S105" s="970"/>
      <c r="T105" s="970"/>
      <c r="U105" s="970"/>
      <c r="V105" s="970"/>
      <c r="W105" s="970"/>
      <c r="X105" s="970"/>
      <c r="Y105" s="970"/>
      <c r="Z105" s="970"/>
      <c r="AA105" s="970"/>
      <c r="AB105" s="970"/>
      <c r="AC105" s="970"/>
      <c r="AD105" s="970"/>
      <c r="AE105" s="970"/>
      <c r="AF105" s="970"/>
      <c r="AG105" s="970"/>
      <c r="AH105" s="970"/>
      <c r="AI105" s="970"/>
      <c r="AJ105" s="970"/>
      <c r="AK105" s="970"/>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H105" s="990"/>
      <c r="BI105" s="990"/>
      <c r="BJ105" s="990"/>
      <c r="BL105" s="515">
        <f t="shared" si="252"/>
        <v>0</v>
      </c>
      <c r="BM105" s="515"/>
      <c r="BO105" s="1482"/>
      <c r="BP105" s="1482"/>
      <c r="BQ105" s="1482"/>
      <c r="BR105" s="1482"/>
      <c r="BS105" s="1482"/>
      <c r="BT105" s="1482"/>
      <c r="BU105" s="1482"/>
      <c r="BV105" s="1482"/>
      <c r="BW105" s="1482"/>
      <c r="BX105" s="1482"/>
      <c r="BY105" s="1482"/>
      <c r="BZ105" s="1482"/>
      <c r="CA105" s="1482"/>
      <c r="CB105" s="1482"/>
      <c r="CC105" s="1482"/>
      <c r="CD105" s="1482"/>
      <c r="CE105" s="1482"/>
      <c r="CF105" s="1482"/>
      <c r="CG105" s="1482"/>
      <c r="CH105" s="1482"/>
      <c r="CI105" s="1482"/>
      <c r="CJ105" s="1482"/>
      <c r="CK105" s="1482"/>
      <c r="CL105" s="1482"/>
      <c r="CM105" s="1482"/>
      <c r="CN105" s="1482"/>
      <c r="CO105" s="1482"/>
      <c r="CP105" s="1482"/>
      <c r="CQ105" s="1482"/>
      <c r="CR105" s="1482"/>
      <c r="CS105" s="1482"/>
      <c r="CT105" s="1482"/>
      <c r="CU105" s="1482"/>
      <c r="CV105" s="1482"/>
      <c r="CW105" s="1482"/>
      <c r="CX105" s="1482"/>
      <c r="CY105" s="1482"/>
      <c r="CZ105" s="1482"/>
      <c r="DA105" s="1482"/>
      <c r="DB105" s="1482"/>
      <c r="DC105" s="1482"/>
      <c r="DD105" s="1482"/>
      <c r="DE105" s="1482"/>
      <c r="DF105" s="1482"/>
      <c r="DH105" s="838"/>
    </row>
    <row r="106" spans="1:112" s="743" customFormat="1" ht="15.75">
      <c r="B106" s="753"/>
      <c r="C106" s="2051" t="s">
        <v>1817</v>
      </c>
      <c r="D106" s="643" t="s">
        <v>1016</v>
      </c>
      <c r="E106" s="644"/>
      <c r="G106" s="1075">
        <f t="shared" ref="G106:P106" ca="1" si="261">G$93+G$99+G$104</f>
        <v>0</v>
      </c>
      <c r="H106" s="1075">
        <f t="shared" ca="1" si="261"/>
        <v>0</v>
      </c>
      <c r="I106" s="1075">
        <f t="shared" ca="1" si="261"/>
        <v>0</v>
      </c>
      <c r="J106" s="1075">
        <f t="shared" ca="1" si="261"/>
        <v>0</v>
      </c>
      <c r="K106" s="1076">
        <f t="shared" ca="1" si="261"/>
        <v>0</v>
      </c>
      <c r="L106" s="1075">
        <f t="shared" ca="1" si="261"/>
        <v>0</v>
      </c>
      <c r="M106" s="1075">
        <f t="shared" ca="1" si="261"/>
        <v>0</v>
      </c>
      <c r="N106" s="1075">
        <f t="shared" ca="1" si="261"/>
        <v>0</v>
      </c>
      <c r="O106" s="1075">
        <f t="shared" ca="1" si="261"/>
        <v>0</v>
      </c>
      <c r="P106" s="1075">
        <f t="shared" ca="1" si="261"/>
        <v>0</v>
      </c>
      <c r="Q106" s="1023">
        <f ca="1">SUM(G106:P106)</f>
        <v>0</v>
      </c>
      <c r="S106" s="1014">
        <f t="shared" ref="S106:AJ106" ca="1" si="262">S$93+S$99+S$104</f>
        <v>0</v>
      </c>
      <c r="T106" s="1014">
        <f t="shared" ca="1" si="262"/>
        <v>-27.080412682208134</v>
      </c>
      <c r="U106" s="1014">
        <f t="shared" ca="1" si="262"/>
        <v>432.07263090598673</v>
      </c>
      <c r="V106" s="1014">
        <f t="shared" ca="1" si="262"/>
        <v>880.94415447446522</v>
      </c>
      <c r="W106" s="1014">
        <f t="shared" ca="1" si="262"/>
        <v>1052.5131730578337</v>
      </c>
      <c r="X106" s="1014">
        <f t="shared" ca="1" si="262"/>
        <v>-157.92682688956131</v>
      </c>
      <c r="Y106" s="1014">
        <f t="shared" ca="1" si="262"/>
        <v>-815.4323959706519</v>
      </c>
      <c r="Z106" s="1014">
        <f t="shared" ca="1" si="262"/>
        <v>-637.88198465125163</v>
      </c>
      <c r="AA106" s="1014">
        <f t="shared" ca="1" si="262"/>
        <v>0</v>
      </c>
      <c r="AB106" s="1014">
        <f t="shared" ca="1" si="262"/>
        <v>0</v>
      </c>
      <c r="AC106" s="1014">
        <f t="shared" ca="1" si="262"/>
        <v>0</v>
      </c>
      <c r="AD106" s="1014">
        <f t="shared" ca="1" si="262"/>
        <v>-1.6469469103055956</v>
      </c>
      <c r="AE106" s="1014">
        <f t="shared" ca="1" si="262"/>
        <v>-1.1980448469689404</v>
      </c>
      <c r="AF106" s="1014">
        <f t="shared" ca="1" si="262"/>
        <v>-16.317601806219525</v>
      </c>
      <c r="AG106" s="1014">
        <f t="shared" ca="1" si="262"/>
        <v>-8.9604444924216153</v>
      </c>
      <c r="AH106" s="1014">
        <f t="shared" ca="1" si="262"/>
        <v>-18.397138633862209</v>
      </c>
      <c r="AI106" s="1014">
        <f t="shared" ca="1" si="262"/>
        <v>0</v>
      </c>
      <c r="AJ106" s="1014">
        <f t="shared" ca="1" si="262"/>
        <v>0</v>
      </c>
      <c r="AK106" s="1014">
        <f ca="1">SUM(S106:AJ106)</f>
        <v>680.68816155483478</v>
      </c>
      <c r="AM106" s="1015">
        <f t="shared" ref="AM106:BE106" ca="1" si="263">AM$93+AM$99+AM$104</f>
        <v>0</v>
      </c>
      <c r="AN106" s="1015">
        <f t="shared" ca="1" si="263"/>
        <v>0</v>
      </c>
      <c r="AO106" s="1015">
        <f t="shared" ca="1" si="263"/>
        <v>0</v>
      </c>
      <c r="AP106" s="1015">
        <f t="shared" ca="1" si="263"/>
        <v>-3.7216</v>
      </c>
      <c r="AQ106" s="1015">
        <f t="shared" ca="1" si="263"/>
        <v>0</v>
      </c>
      <c r="AR106" s="1015">
        <f t="shared" ca="1" si="263"/>
        <v>0</v>
      </c>
      <c r="AS106" s="1015">
        <f t="shared" ca="1" si="263"/>
        <v>-255.37052983268831</v>
      </c>
      <c r="AT106" s="1015">
        <f t="shared" ca="1" si="263"/>
        <v>-64.454151136796895</v>
      </c>
      <c r="AU106" s="1015">
        <f t="shared" ca="1" si="263"/>
        <v>-400.9016361750422</v>
      </c>
      <c r="AV106" s="1015">
        <f t="shared" ca="1" si="263"/>
        <v>0</v>
      </c>
      <c r="AW106" s="1015">
        <f t="shared" ca="1" si="263"/>
        <v>0</v>
      </c>
      <c r="AX106" s="1015">
        <f t="shared" ca="1" si="263"/>
        <v>0</v>
      </c>
      <c r="AY106" s="1015">
        <f t="shared" ca="1" si="263"/>
        <v>0</v>
      </c>
      <c r="AZ106" s="1015">
        <f t="shared" ca="1" si="263"/>
        <v>0</v>
      </c>
      <c r="BA106" s="1015">
        <f t="shared" ca="1" si="263"/>
        <v>0</v>
      </c>
      <c r="BB106" s="1015">
        <f t="shared" ca="1" si="263"/>
        <v>0</v>
      </c>
      <c r="BC106" s="1015">
        <f t="shared" ca="1" si="263"/>
        <v>0</v>
      </c>
      <c r="BD106" s="1015">
        <f t="shared" ca="1" si="263"/>
        <v>0</v>
      </c>
      <c r="BE106" s="1015">
        <f t="shared" ca="1" si="263"/>
        <v>0</v>
      </c>
      <c r="BF106" s="1015">
        <f ca="1">SUM(AM106:BE106)</f>
        <v>-724.44791714452742</v>
      </c>
      <c r="BH106" s="1016">
        <f ca="1">BH$93+BH$99+BH$104</f>
        <v>4.8434009112248617</v>
      </c>
      <c r="BI106" s="1016">
        <f ca="1">BI$93+BI$99+BI$104</f>
        <v>38.916354678467791</v>
      </c>
      <c r="BJ106" s="1016">
        <f ca="1">SUM(BH106:BI106)</f>
        <v>43.759755589692652</v>
      </c>
      <c r="BL106" s="518">
        <f t="shared" ca="1" si="252"/>
        <v>0</v>
      </c>
      <c r="BM106" s="518"/>
      <c r="BO106" s="1487">
        <f t="shared" ref="BO106:DE106" ca="1" si="264">BO$93+BO$99+BO$104</f>
        <v>0</v>
      </c>
      <c r="BP106" s="1487">
        <f t="shared" ca="1" si="264"/>
        <v>0</v>
      </c>
      <c r="BQ106" s="1487">
        <f t="shared" ca="1" si="264"/>
        <v>0</v>
      </c>
      <c r="BR106" s="1487">
        <f t="shared" ca="1" si="264"/>
        <v>0</v>
      </c>
      <c r="BS106" s="1487">
        <f t="shared" ca="1" si="264"/>
        <v>0</v>
      </c>
      <c r="BT106" s="1487">
        <f t="shared" ca="1" si="264"/>
        <v>4.503270609576222</v>
      </c>
      <c r="BU106" s="1487">
        <f t="shared" ca="1" si="264"/>
        <v>0</v>
      </c>
      <c r="BV106" s="1487">
        <f t="shared" ca="1" si="264"/>
        <v>0</v>
      </c>
      <c r="BW106" s="1487">
        <f t="shared" ca="1" si="264"/>
        <v>0</v>
      </c>
      <c r="BX106" s="1487">
        <f t="shared" ca="1" si="264"/>
        <v>0</v>
      </c>
      <c r="BY106" s="1487">
        <f t="shared" ca="1" si="264"/>
        <v>0</v>
      </c>
      <c r="BZ106" s="1487">
        <f t="shared" ca="1" si="264"/>
        <v>0</v>
      </c>
      <c r="CA106" s="1487">
        <f t="shared" ca="1" si="264"/>
        <v>0</v>
      </c>
      <c r="CB106" s="1487">
        <f t="shared" ca="1" si="264"/>
        <v>0</v>
      </c>
      <c r="CC106" s="1487">
        <f t="shared" ca="1" si="264"/>
        <v>0</v>
      </c>
      <c r="CD106" s="1487">
        <f t="shared" ca="1" si="264"/>
        <v>0</v>
      </c>
      <c r="CE106" s="1487">
        <f t="shared" ca="1" si="264"/>
        <v>0</v>
      </c>
      <c r="CF106" s="1487">
        <f t="shared" ca="1" si="264"/>
        <v>0</v>
      </c>
      <c r="CG106" s="1487">
        <f t="shared" ca="1" si="264"/>
        <v>0</v>
      </c>
      <c r="CH106" s="1487">
        <f t="shared" ca="1" si="264"/>
        <v>0</v>
      </c>
      <c r="CI106" s="1487">
        <f t="shared" ca="1" si="264"/>
        <v>0</v>
      </c>
      <c r="CJ106" s="1487">
        <f t="shared" ca="1" si="264"/>
        <v>0</v>
      </c>
      <c r="CK106" s="1487">
        <f t="shared" ca="1" si="264"/>
        <v>0</v>
      </c>
      <c r="CL106" s="1487">
        <f t="shared" ca="1" si="264"/>
        <v>0</v>
      </c>
      <c r="CM106" s="1487">
        <f t="shared" ca="1" si="264"/>
        <v>0</v>
      </c>
      <c r="CN106" s="1487">
        <f t="shared" ca="1" si="264"/>
        <v>0</v>
      </c>
      <c r="CO106" s="1487">
        <f t="shared" ca="1" si="264"/>
        <v>0</v>
      </c>
      <c r="CP106" s="1487">
        <f t="shared" ca="1" si="264"/>
        <v>0</v>
      </c>
      <c r="CQ106" s="1487">
        <f t="shared" ca="1" si="264"/>
        <v>0</v>
      </c>
      <c r="CR106" s="1487">
        <f t="shared" ca="1" si="264"/>
        <v>0</v>
      </c>
      <c r="CS106" s="1487">
        <f t="shared" ca="1" si="264"/>
        <v>0</v>
      </c>
      <c r="CT106" s="1487">
        <f t="shared" ca="1" si="264"/>
        <v>0</v>
      </c>
      <c r="CU106" s="1487">
        <f t="shared" ca="1" si="264"/>
        <v>0</v>
      </c>
      <c r="CV106" s="1487">
        <f t="shared" ca="1" si="264"/>
        <v>0</v>
      </c>
      <c r="CW106" s="1487">
        <f t="shared" ca="1" si="264"/>
        <v>0</v>
      </c>
      <c r="CX106" s="1487">
        <f t="shared" ca="1" si="264"/>
        <v>0</v>
      </c>
      <c r="CY106" s="1487">
        <f t="shared" ca="1" si="264"/>
        <v>-10.751237228260241</v>
      </c>
      <c r="CZ106" s="1487">
        <f t="shared" ca="1" si="264"/>
        <v>0</v>
      </c>
      <c r="DA106" s="1487">
        <f t="shared" ca="1" si="264"/>
        <v>0</v>
      </c>
      <c r="DB106" s="1487">
        <f t="shared" ca="1" si="264"/>
        <v>0</v>
      </c>
      <c r="DC106" s="1487">
        <f t="shared" ca="1" si="264"/>
        <v>0</v>
      </c>
      <c r="DD106" s="1487">
        <f t="shared" ca="1" si="264"/>
        <v>0</v>
      </c>
      <c r="DE106" s="1487">
        <f t="shared" ca="1" si="264"/>
        <v>0</v>
      </c>
      <c r="DF106" s="1487">
        <f ca="1">DF$93+DF$104</f>
        <v>0</v>
      </c>
      <c r="DH106" s="835">
        <f ca="1">SUM(BO106:DF106)</f>
        <v>-6.2479666186840186</v>
      </c>
    </row>
    <row r="107" spans="1:112" s="743" customFormat="1">
      <c r="C107" s="508"/>
      <c r="D107" s="509"/>
      <c r="E107" s="509"/>
      <c r="G107" s="958"/>
      <c r="H107" s="958"/>
      <c r="I107" s="958"/>
      <c r="J107" s="958"/>
      <c r="K107" s="960"/>
      <c r="L107" s="958"/>
      <c r="M107" s="958"/>
      <c r="N107" s="958"/>
      <c r="O107" s="958"/>
      <c r="P107" s="958"/>
      <c r="Q107" s="958"/>
      <c r="S107" s="970"/>
      <c r="T107" s="970"/>
      <c r="U107" s="970"/>
      <c r="V107" s="970"/>
      <c r="W107" s="970"/>
      <c r="X107" s="970"/>
      <c r="Y107" s="970"/>
      <c r="Z107" s="970"/>
      <c r="AA107" s="970"/>
      <c r="AB107" s="970"/>
      <c r="AC107" s="970"/>
      <c r="AD107" s="970"/>
      <c r="AE107" s="970"/>
      <c r="AF107" s="970"/>
      <c r="AG107" s="970"/>
      <c r="AH107" s="970"/>
      <c r="AI107" s="970"/>
      <c r="AJ107" s="970"/>
      <c r="AK107" s="970"/>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H107" s="990"/>
      <c r="BI107" s="990"/>
      <c r="BJ107" s="990"/>
      <c r="BL107" s="515">
        <f t="shared" si="252"/>
        <v>0</v>
      </c>
      <c r="BM107" s="515"/>
      <c r="BO107" s="1482"/>
      <c r="BP107" s="1482"/>
      <c r="BQ107" s="1482"/>
      <c r="BR107" s="1482"/>
      <c r="BS107" s="1482"/>
      <c r="BT107" s="1482"/>
      <c r="BU107" s="1482"/>
      <c r="BV107" s="1482"/>
      <c r="BW107" s="1482"/>
      <c r="BX107" s="1482"/>
      <c r="BY107" s="1482"/>
      <c r="BZ107" s="1482"/>
      <c r="CA107" s="1482"/>
      <c r="CB107" s="1482"/>
      <c r="CC107" s="1482"/>
      <c r="CD107" s="1482"/>
      <c r="CE107" s="1482"/>
      <c r="CF107" s="1482"/>
      <c r="CG107" s="1482"/>
      <c r="CH107" s="1482"/>
      <c r="CI107" s="1482"/>
      <c r="CJ107" s="1482"/>
      <c r="CK107" s="1482"/>
      <c r="CL107" s="1482"/>
      <c r="CM107" s="1482"/>
      <c r="CN107" s="1482"/>
      <c r="CO107" s="1482"/>
      <c r="CP107" s="1482"/>
      <c r="CQ107" s="1482"/>
      <c r="CR107" s="1482"/>
      <c r="CS107" s="1482"/>
      <c r="CT107" s="1482"/>
      <c r="CU107" s="1482"/>
      <c r="CV107" s="1482"/>
      <c r="CW107" s="1482"/>
      <c r="CX107" s="1482"/>
      <c r="CY107" s="1482"/>
      <c r="CZ107" s="1482"/>
      <c r="DA107" s="1482"/>
      <c r="DB107" s="1482"/>
      <c r="DC107" s="1482"/>
      <c r="DD107" s="1482"/>
      <c r="DE107" s="1482"/>
      <c r="DF107" s="1482"/>
      <c r="DH107" s="838"/>
    </row>
    <row r="108" spans="1:112" s="743" customFormat="1" ht="13.5" thickBot="1">
      <c r="C108" s="508"/>
      <c r="D108" s="509"/>
      <c r="E108" s="509"/>
      <c r="G108" s="958"/>
      <c r="H108" s="958"/>
      <c r="I108" s="958"/>
      <c r="J108" s="958"/>
      <c r="K108" s="960"/>
      <c r="L108" s="958"/>
      <c r="M108" s="958"/>
      <c r="N108" s="958"/>
      <c r="O108" s="958"/>
      <c r="P108" s="958"/>
      <c r="Q108" s="958"/>
      <c r="S108" s="970"/>
      <c r="T108" s="970"/>
      <c r="U108" s="970"/>
      <c r="V108" s="970"/>
      <c r="W108" s="970"/>
      <c r="X108" s="970"/>
      <c r="Y108" s="970"/>
      <c r="Z108" s="970"/>
      <c r="AA108" s="970"/>
      <c r="AB108" s="970"/>
      <c r="AC108" s="970"/>
      <c r="AD108" s="970"/>
      <c r="AE108" s="970"/>
      <c r="AF108" s="970"/>
      <c r="AG108" s="970"/>
      <c r="AH108" s="970"/>
      <c r="AI108" s="970"/>
      <c r="AJ108" s="970"/>
      <c r="AK108" s="970"/>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H108" s="990"/>
      <c r="BI108" s="990"/>
      <c r="BJ108" s="990"/>
      <c r="BL108" s="515">
        <f t="shared" si="252"/>
        <v>0</v>
      </c>
      <c r="BM108" s="515"/>
      <c r="BO108" s="1482"/>
      <c r="BP108" s="1482"/>
      <c r="BQ108" s="1482"/>
      <c r="BR108" s="1482"/>
      <c r="BS108" s="1482"/>
      <c r="BT108" s="1482"/>
      <c r="BU108" s="1482"/>
      <c r="BV108" s="1482"/>
      <c r="BW108" s="1482"/>
      <c r="BX108" s="1482"/>
      <c r="BY108" s="1482"/>
      <c r="BZ108" s="1482"/>
      <c r="CA108" s="1482"/>
      <c r="CB108" s="1482"/>
      <c r="CC108" s="1482"/>
      <c r="CD108" s="1482"/>
      <c r="CE108" s="1482"/>
      <c r="CF108" s="1482"/>
      <c r="CG108" s="1482"/>
      <c r="CH108" s="1482"/>
      <c r="CI108" s="1482"/>
      <c r="CJ108" s="1482"/>
      <c r="CK108" s="1482"/>
      <c r="CL108" s="1482"/>
      <c r="CM108" s="1482"/>
      <c r="CN108" s="1482"/>
      <c r="CO108" s="1482"/>
      <c r="CP108" s="1482"/>
      <c r="CQ108" s="1482"/>
      <c r="CR108" s="1482"/>
      <c r="CS108" s="1482"/>
      <c r="CT108" s="1482"/>
      <c r="CU108" s="1482"/>
      <c r="CV108" s="1482"/>
      <c r="CW108" s="1482"/>
      <c r="CX108" s="1482"/>
      <c r="CY108" s="1482"/>
      <c r="CZ108" s="1482"/>
      <c r="DA108" s="1482"/>
      <c r="DB108" s="1482"/>
      <c r="DC108" s="1482"/>
      <c r="DD108" s="1482"/>
      <c r="DE108" s="1482"/>
      <c r="DF108" s="1482"/>
      <c r="DH108" s="838"/>
    </row>
    <row r="109" spans="1:112" s="743" customFormat="1" ht="24" customHeight="1" thickBot="1">
      <c r="C109" s="608" t="s">
        <v>593</v>
      </c>
      <c r="D109" s="608"/>
      <c r="E109" s="608"/>
      <c r="G109" s="1098">
        <f t="shared" ref="G109:P109" ca="1" si="265">G$40+G$84+G$106</f>
        <v>530.15178411927457</v>
      </c>
      <c r="H109" s="1098">
        <f t="shared" ca="1" si="265"/>
        <v>177.42796936210306</v>
      </c>
      <c r="I109" s="1098">
        <f t="shared" ca="1" si="265"/>
        <v>477.03808458335413</v>
      </c>
      <c r="J109" s="1098">
        <f t="shared" ca="1" si="265"/>
        <v>470.28702972578913</v>
      </c>
      <c r="K109" s="1098">
        <f t="shared" ca="1" si="265"/>
        <v>17.724487403333239</v>
      </c>
      <c r="L109" s="1098">
        <f t="shared" ca="1" si="265"/>
        <v>9.5510973295169013</v>
      </c>
      <c r="M109" s="1098">
        <f t="shared" ca="1" si="265"/>
        <v>26.572895707388618</v>
      </c>
      <c r="N109" s="1098">
        <f t="shared" ca="1" si="265"/>
        <v>153.63082794362825</v>
      </c>
      <c r="O109" s="1098">
        <f t="shared" ca="1" si="265"/>
        <v>43.30892867886606</v>
      </c>
      <c r="P109" s="1098">
        <f t="shared" ca="1" si="265"/>
        <v>0</v>
      </c>
      <c r="Q109" s="1098">
        <f ca="1">SUM(G109:P109)</f>
        <v>1905.693104853254</v>
      </c>
      <c r="S109" s="1099">
        <f t="shared" ref="S109:AJ109" ca="1" si="266">S$40+S$84+S$106</f>
        <v>-361.16931700791082</v>
      </c>
      <c r="T109" s="1099">
        <f t="shared" ca="1" si="266"/>
        <v>361.16931700791082</v>
      </c>
      <c r="U109" s="1099">
        <f t="shared" ca="1" si="266"/>
        <v>0</v>
      </c>
      <c r="V109" s="1099">
        <f t="shared" ca="1" si="266"/>
        <v>0</v>
      </c>
      <c r="W109" s="1099">
        <f t="shared" ca="1" si="266"/>
        <v>0</v>
      </c>
      <c r="X109" s="1099">
        <f t="shared" ca="1" si="266"/>
        <v>0</v>
      </c>
      <c r="Y109" s="1099">
        <f t="shared" ca="1" si="266"/>
        <v>0</v>
      </c>
      <c r="Z109" s="1099">
        <f t="shared" ca="1" si="266"/>
        <v>0</v>
      </c>
      <c r="AA109" s="1099">
        <f t="shared" ca="1" si="266"/>
        <v>0</v>
      </c>
      <c r="AB109" s="1099">
        <f t="shared" ca="1" si="266"/>
        <v>0</v>
      </c>
      <c r="AC109" s="1099">
        <f t="shared" ca="1" si="266"/>
        <v>0</v>
      </c>
      <c r="AD109" s="1099">
        <f t="shared" ca="1" si="266"/>
        <v>0</v>
      </c>
      <c r="AE109" s="1099">
        <f t="shared" ca="1" si="266"/>
        <v>0</v>
      </c>
      <c r="AF109" s="1099">
        <f t="shared" ca="1" si="266"/>
        <v>0</v>
      </c>
      <c r="AG109" s="1099">
        <f t="shared" ca="1" si="266"/>
        <v>0</v>
      </c>
      <c r="AH109" s="1099">
        <f t="shared" ca="1" si="266"/>
        <v>0</v>
      </c>
      <c r="AI109" s="1099">
        <f t="shared" ca="1" si="266"/>
        <v>0</v>
      </c>
      <c r="AJ109" s="1099">
        <f t="shared" ca="1" si="266"/>
        <v>0</v>
      </c>
      <c r="AK109" s="1099">
        <f ca="1">SUM(S109:AJ109)</f>
        <v>0</v>
      </c>
      <c r="AM109" s="1100">
        <f t="shared" ref="AM109:BE109" ca="1" si="267">AM$40+AM$84+AM$106</f>
        <v>-124.39544583847987</v>
      </c>
      <c r="AN109" s="1100">
        <f t="shared" ca="1" si="267"/>
        <v>-815.4323959706519</v>
      </c>
      <c r="AO109" s="1100">
        <f t="shared" ca="1" si="267"/>
        <v>-637.88198465125163</v>
      </c>
      <c r="AP109" s="1100">
        <f t="shared" ca="1" si="267"/>
        <v>-3.7216</v>
      </c>
      <c r="AQ109" s="1100">
        <f t="shared" ca="1" si="267"/>
        <v>0</v>
      </c>
      <c r="AR109" s="1100">
        <f t="shared" ca="1" si="267"/>
        <v>0</v>
      </c>
      <c r="AS109" s="1100">
        <f t="shared" ca="1" si="267"/>
        <v>-255.37052983268831</v>
      </c>
      <c r="AT109" s="1100">
        <f t="shared" ca="1" si="267"/>
        <v>-64.454151136796895</v>
      </c>
      <c r="AU109" s="1100">
        <f t="shared" ca="1" si="267"/>
        <v>-400.9016361750422</v>
      </c>
      <c r="AV109" s="1100">
        <f t="shared" ca="1" si="267"/>
        <v>-160.70999999999998</v>
      </c>
      <c r="AW109" s="1100">
        <f t="shared" ca="1" si="267"/>
        <v>-2.8059966000000006E-2</v>
      </c>
      <c r="AX109" s="1100">
        <f t="shared" ca="1" si="267"/>
        <v>-14.440670099999998</v>
      </c>
      <c r="AY109" s="1100">
        <f t="shared" ca="1" si="267"/>
        <v>-5.0034246575342495E-3</v>
      </c>
      <c r="AZ109" s="1100">
        <f t="shared" ca="1" si="267"/>
        <v>0</v>
      </c>
      <c r="BA109" s="1100">
        <f t="shared" ca="1" si="267"/>
        <v>0</v>
      </c>
      <c r="BB109" s="1100">
        <f t="shared" ca="1" si="267"/>
        <v>-5.3297280000000011</v>
      </c>
      <c r="BC109" s="1100">
        <f t="shared" ca="1" si="267"/>
        <v>0</v>
      </c>
      <c r="BD109" s="1100">
        <f t="shared" ca="1" si="267"/>
        <v>-2.8449917572745358</v>
      </c>
      <c r="BE109" s="1100">
        <f t="shared" ca="1" si="267"/>
        <v>-77.206565983584795</v>
      </c>
      <c r="BF109" s="1100">
        <f ca="1">SUM(AM109:BE109)</f>
        <v>-2562.7227628364276</v>
      </c>
      <c r="BH109" s="1101">
        <f ca="1">BH$40+BH$84+BH$106</f>
        <v>539.66944594339941</v>
      </c>
      <c r="BI109" s="1101">
        <f ca="1">BI$40+BI$84+BI$106</f>
        <v>117.36021203977427</v>
      </c>
      <c r="BJ109" s="1101">
        <f ca="1">SUM(BH109:BI109)</f>
        <v>657.02965798317371</v>
      </c>
      <c r="BL109" s="514">
        <f t="shared" ca="1" si="252"/>
        <v>0</v>
      </c>
      <c r="BM109" s="514"/>
      <c r="BO109" s="1493">
        <f t="shared" ref="BO109:DF109" ca="1" si="268">BO$40+BO$84+BO$106</f>
        <v>497.71138434297802</v>
      </c>
      <c r="BP109" s="1493">
        <f t="shared" ca="1" si="268"/>
        <v>0.99195141470608572</v>
      </c>
      <c r="BQ109" s="1493">
        <f t="shared" ca="1" si="268"/>
        <v>4.672899716325758</v>
      </c>
      <c r="BR109" s="1493">
        <f t="shared" ca="1" si="268"/>
        <v>0</v>
      </c>
      <c r="BS109" s="1493">
        <f t="shared" ca="1" si="268"/>
        <v>4.2544931298279298</v>
      </c>
      <c r="BT109" s="1493">
        <f t="shared" ca="1" si="268"/>
        <v>7.1435835708279996</v>
      </c>
      <c r="BU109" s="1493">
        <f t="shared" ca="1" si="268"/>
        <v>0</v>
      </c>
      <c r="BV109" s="1493">
        <f t="shared" ca="1" si="268"/>
        <v>0</v>
      </c>
      <c r="BW109" s="1493">
        <f t="shared" ca="1" si="268"/>
        <v>14.397000891205074</v>
      </c>
      <c r="BX109" s="1493">
        <f t="shared" ca="1" si="268"/>
        <v>0.11259095901293661</v>
      </c>
      <c r="BY109" s="1493">
        <f t="shared" ca="1" si="268"/>
        <v>2.762245156954338</v>
      </c>
      <c r="BZ109" s="1493">
        <f t="shared" ca="1" si="268"/>
        <v>10.093975285454039</v>
      </c>
      <c r="CA109" s="1493">
        <f t="shared" ca="1" si="268"/>
        <v>0</v>
      </c>
      <c r="CB109" s="1493">
        <f t="shared" ca="1" si="268"/>
        <v>0</v>
      </c>
      <c r="CC109" s="1493">
        <f t="shared" ca="1" si="268"/>
        <v>0</v>
      </c>
      <c r="CD109" s="1493">
        <f t="shared" ca="1" si="268"/>
        <v>0</v>
      </c>
      <c r="CE109" s="1493">
        <f t="shared" ca="1" si="268"/>
        <v>0</v>
      </c>
      <c r="CF109" s="1493">
        <f t="shared" ca="1" si="268"/>
        <v>19.552860310176921</v>
      </c>
      <c r="CG109" s="1493">
        <f t="shared" ca="1" si="268"/>
        <v>22.836330553630731</v>
      </c>
      <c r="CH109" s="1493">
        <f t="shared" ca="1" si="268"/>
        <v>0</v>
      </c>
      <c r="CI109" s="1493">
        <f t="shared" ca="1" si="268"/>
        <v>2.6421556737666059</v>
      </c>
      <c r="CJ109" s="1493">
        <f t="shared" ca="1" si="268"/>
        <v>0</v>
      </c>
      <c r="CK109" s="1493">
        <f t="shared" ca="1" si="268"/>
        <v>0</v>
      </c>
      <c r="CL109" s="1493">
        <f t="shared" ca="1" si="268"/>
        <v>0</v>
      </c>
      <c r="CM109" s="1493">
        <f t="shared" ca="1" si="268"/>
        <v>0</v>
      </c>
      <c r="CN109" s="1493">
        <f t="shared" ca="1" si="268"/>
        <v>21.819028362127639</v>
      </c>
      <c r="CO109" s="1493">
        <f t="shared" ca="1" si="268"/>
        <v>1.2748995140127595</v>
      </c>
      <c r="CP109" s="1493">
        <f t="shared" ca="1" si="268"/>
        <v>0</v>
      </c>
      <c r="CQ109" s="1493">
        <f t="shared" ca="1" si="268"/>
        <v>0</v>
      </c>
      <c r="CR109" s="1493">
        <f t="shared" ca="1" si="268"/>
        <v>0</v>
      </c>
      <c r="CS109" s="1493">
        <f t="shared" ca="1" si="268"/>
        <v>0</v>
      </c>
      <c r="CT109" s="1493">
        <f t="shared" ca="1" si="268"/>
        <v>0</v>
      </c>
      <c r="CU109" s="1493">
        <f t="shared" ca="1" si="268"/>
        <v>49.234939155623579</v>
      </c>
      <c r="CV109" s="1493">
        <f t="shared" ca="1" si="268"/>
        <v>6.1297304881462844E-2</v>
      </c>
      <c r="CW109" s="1493">
        <f t="shared" ca="1" si="268"/>
        <v>0.8858374422622618</v>
      </c>
      <c r="CX109" s="1493">
        <f t="shared" ca="1" si="268"/>
        <v>0</v>
      </c>
      <c r="CY109" s="1493">
        <f t="shared" ca="1" si="268"/>
        <v>-10.751237228260241</v>
      </c>
      <c r="CZ109" s="1493">
        <f t="shared" ca="1" si="268"/>
        <v>0</v>
      </c>
      <c r="DA109" s="1493">
        <f t="shared" ca="1" si="268"/>
        <v>0</v>
      </c>
      <c r="DB109" s="1493">
        <f t="shared" ca="1" si="268"/>
        <v>0</v>
      </c>
      <c r="DC109" s="1493">
        <f t="shared" ca="1" si="268"/>
        <v>0</v>
      </c>
      <c r="DD109" s="1493">
        <f t="shared" ca="1" si="268"/>
        <v>0</v>
      </c>
      <c r="DE109" s="1493">
        <f t="shared" ca="1" si="268"/>
        <v>0</v>
      </c>
      <c r="DF109" s="1493">
        <f t="shared" ca="1" si="268"/>
        <v>0</v>
      </c>
      <c r="DH109" s="835">
        <f ca="1">SUM(BO109:DF109)</f>
        <v>649.69623555551379</v>
      </c>
    </row>
    <row r="110" spans="1:112" s="743" customFormat="1">
      <c r="C110" s="508"/>
      <c r="D110" s="509"/>
      <c r="E110" s="509"/>
      <c r="G110" s="995"/>
      <c r="H110" s="995"/>
      <c r="I110" s="995"/>
      <c r="J110" s="995"/>
      <c r="K110" s="996"/>
      <c r="L110" s="995"/>
      <c r="M110" s="995"/>
      <c r="N110" s="995"/>
      <c r="O110" s="995"/>
      <c r="P110" s="995"/>
      <c r="Q110" s="995"/>
      <c r="S110" s="998"/>
      <c r="T110" s="998"/>
      <c r="U110" s="998"/>
      <c r="V110" s="998"/>
      <c r="W110" s="998"/>
      <c r="X110" s="998"/>
      <c r="Y110" s="998"/>
      <c r="Z110" s="998"/>
      <c r="AA110" s="998"/>
      <c r="AB110" s="998"/>
      <c r="AC110" s="998"/>
      <c r="AD110" s="998"/>
      <c r="AE110" s="998"/>
      <c r="AF110" s="998"/>
      <c r="AG110" s="998"/>
      <c r="AH110" s="998"/>
      <c r="AI110" s="998"/>
      <c r="AJ110" s="998"/>
      <c r="AK110" s="998"/>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H110" s="1002"/>
      <c r="BI110" s="1002"/>
      <c r="BJ110" s="1002"/>
      <c r="BL110" s="515"/>
      <c r="BM110" s="515"/>
      <c r="BO110" s="1494"/>
      <c r="BP110" s="1494"/>
      <c r="BQ110" s="1494"/>
      <c r="BR110" s="1494"/>
      <c r="BS110" s="1494"/>
      <c r="BT110" s="1494"/>
      <c r="BU110" s="1494"/>
      <c r="BV110" s="1494"/>
      <c r="BW110" s="1494"/>
      <c r="BX110" s="1494"/>
      <c r="BY110" s="1494"/>
      <c r="BZ110" s="1494"/>
      <c r="CA110" s="1494"/>
      <c r="CB110" s="1494"/>
      <c r="CC110" s="1494"/>
      <c r="CD110" s="1494"/>
      <c r="CE110" s="1494"/>
      <c r="CF110" s="1494"/>
      <c r="CG110" s="1494"/>
      <c r="CH110" s="1494"/>
      <c r="CI110" s="1494"/>
      <c r="CJ110" s="1494"/>
      <c r="CK110" s="1494"/>
      <c r="CL110" s="1494"/>
      <c r="CM110" s="1494"/>
      <c r="CN110" s="1494"/>
      <c r="CO110" s="1494"/>
      <c r="CP110" s="1494"/>
      <c r="CQ110" s="1494"/>
      <c r="CR110" s="1494"/>
      <c r="CS110" s="1494"/>
      <c r="CT110" s="1494"/>
      <c r="CU110" s="1494"/>
      <c r="CV110" s="1494"/>
      <c r="CW110" s="1494"/>
      <c r="CX110" s="1494"/>
      <c r="CY110" s="1494"/>
      <c r="CZ110" s="1494"/>
      <c r="DA110" s="1494"/>
      <c r="DB110" s="1494"/>
      <c r="DC110" s="1494"/>
      <c r="DD110" s="1494"/>
      <c r="DE110" s="1494"/>
      <c r="DF110" s="1494"/>
    </row>
    <row r="111" spans="1:112">
      <c r="G111" s="515"/>
      <c r="H111" s="515"/>
      <c r="I111" s="515"/>
      <c r="J111" s="515"/>
      <c r="K111" s="519"/>
      <c r="L111" s="515"/>
      <c r="M111" s="515"/>
      <c r="N111" s="515"/>
      <c r="O111" s="515"/>
      <c r="P111" s="515"/>
      <c r="Q111" s="515"/>
      <c r="S111" s="515"/>
      <c r="T111" s="515"/>
      <c r="U111" s="515"/>
      <c r="V111" s="515"/>
      <c r="W111" s="515"/>
      <c r="X111" s="515"/>
      <c r="Y111" s="515"/>
      <c r="Z111" s="515"/>
      <c r="AA111" s="515"/>
      <c r="AB111" s="515"/>
      <c r="AC111" s="515"/>
      <c r="AD111" s="515"/>
      <c r="AE111" s="515"/>
      <c r="AF111" s="515"/>
      <c r="AG111" s="515"/>
      <c r="AH111" s="515"/>
      <c r="AI111" s="515"/>
      <c r="AJ111" s="515"/>
      <c r="AK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H111" s="515"/>
      <c r="BI111" s="515"/>
      <c r="BJ111" s="515"/>
      <c r="BL111" s="515"/>
      <c r="BM111" s="515"/>
    </row>
    <row r="112" spans="1:112">
      <c r="G112" s="515"/>
      <c r="H112" s="515"/>
      <c r="I112" s="515"/>
      <c r="J112" s="515"/>
      <c r="K112" s="519"/>
      <c r="L112" s="515"/>
      <c r="M112" s="515"/>
      <c r="N112" s="515"/>
      <c r="O112" s="515"/>
      <c r="P112" s="515"/>
      <c r="Q112" s="515"/>
      <c r="S112" s="515"/>
      <c r="T112" s="515"/>
      <c r="U112" s="515"/>
      <c r="V112" s="515"/>
      <c r="W112" s="515"/>
      <c r="X112" s="515"/>
      <c r="Y112" s="515"/>
      <c r="Z112" s="515"/>
      <c r="AA112" s="515"/>
      <c r="AB112" s="515"/>
      <c r="AC112" s="515"/>
      <c r="AD112" s="515"/>
      <c r="AE112" s="515"/>
      <c r="AF112" s="515"/>
      <c r="AG112" s="515"/>
      <c r="AH112" s="515"/>
      <c r="AI112" s="515"/>
      <c r="AJ112" s="515"/>
      <c r="AK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H112" s="515"/>
      <c r="BI112" s="515"/>
      <c r="BJ112" s="515"/>
      <c r="BL112" s="515"/>
      <c r="BM112" s="515"/>
      <c r="DF112" s="20" t="s">
        <v>2428</v>
      </c>
      <c r="DH112" s="2293">
        <f ca="1">SUM(DH63,DH68,DH76,DH82)</f>
        <v>188.32456293370183</v>
      </c>
    </row>
    <row r="113" spans="2:112">
      <c r="B113" s="121" t="s">
        <v>798</v>
      </c>
      <c r="C113" s="1095" t="s">
        <v>1017</v>
      </c>
      <c r="G113" s="515"/>
      <c r="H113" s="515"/>
      <c r="I113" s="515"/>
      <c r="J113" s="515"/>
      <c r="K113" s="519"/>
      <c r="L113" s="515"/>
      <c r="M113" s="515"/>
      <c r="N113" s="515"/>
      <c r="O113" s="515"/>
      <c r="P113" s="515"/>
      <c r="Q113" s="515"/>
      <c r="S113" s="515"/>
      <c r="T113" s="515"/>
      <c r="U113" s="515"/>
      <c r="V113" s="515"/>
      <c r="W113" s="515"/>
      <c r="X113" s="515"/>
      <c r="Y113" s="515"/>
      <c r="Z113" s="515"/>
      <c r="AA113" s="515"/>
      <c r="AB113" s="515"/>
      <c r="AC113" s="515"/>
      <c r="AD113" s="515"/>
      <c r="AE113" s="515"/>
      <c r="AF113" s="515"/>
      <c r="AG113" s="515"/>
      <c r="AH113" s="515"/>
      <c r="AI113" s="515"/>
      <c r="AJ113" s="515"/>
      <c r="AK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H113" s="515"/>
      <c r="BI113" s="515"/>
      <c r="BJ113" s="515"/>
      <c r="BL113" s="515"/>
      <c r="BM113" s="515"/>
      <c r="DF113" s="20" t="s">
        <v>2429</v>
      </c>
      <c r="DH113" s="2293">
        <f ca="1">T109-MIN(T103,0)-T72</f>
        <v>362.42927700824737</v>
      </c>
    </row>
    <row r="114" spans="2:112" ht="15.75">
      <c r="B114" s="3"/>
      <c r="G114" s="515"/>
      <c r="H114" s="515"/>
      <c r="I114" s="515"/>
      <c r="J114" s="515"/>
      <c r="K114" s="519"/>
      <c r="L114" s="515"/>
      <c r="M114" s="515"/>
      <c r="N114" s="515"/>
      <c r="O114" s="515"/>
      <c r="P114" s="515"/>
      <c r="Q114" s="515"/>
      <c r="S114" s="515"/>
      <c r="T114" s="515"/>
      <c r="U114" s="515"/>
      <c r="V114" s="515"/>
      <c r="W114" s="515"/>
      <c r="X114" s="515"/>
      <c r="Y114" s="515"/>
      <c r="Z114" s="515"/>
      <c r="AA114" s="515"/>
      <c r="AB114" s="515"/>
      <c r="AC114" s="515"/>
      <c r="AD114" s="515"/>
      <c r="AE114" s="515"/>
      <c r="AF114" s="515"/>
      <c r="AG114" s="515"/>
      <c r="AH114" s="515"/>
      <c r="AI114" s="515"/>
      <c r="AJ114" s="515"/>
      <c r="AK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H114" s="515"/>
      <c r="BI114" s="515"/>
      <c r="BJ114" s="515"/>
      <c r="BL114" s="515"/>
      <c r="BM114" s="515"/>
      <c r="DF114" s="20" t="s">
        <v>2430</v>
      </c>
      <c r="DH114" s="121">
        <f ca="1">DH112/DH113</f>
        <v>0.51961741194935629</v>
      </c>
    </row>
    <row r="115" spans="2:112">
      <c r="G115" s="515"/>
      <c r="H115" s="515"/>
      <c r="I115" s="515"/>
      <c r="J115" s="515"/>
      <c r="K115" s="519"/>
      <c r="L115" s="515"/>
      <c r="M115" s="515"/>
      <c r="N115" s="515"/>
      <c r="O115" s="515"/>
      <c r="P115" s="515"/>
      <c r="Q115" s="515"/>
      <c r="S115" s="515"/>
      <c r="T115" s="515"/>
      <c r="U115" s="515"/>
      <c r="V115" s="515"/>
      <c r="W115" s="515"/>
      <c r="X115" s="515"/>
      <c r="Y115" s="515"/>
      <c r="Z115" s="515"/>
      <c r="AA115" s="515"/>
      <c r="AB115" s="515"/>
      <c r="AC115" s="515"/>
      <c r="AD115" s="515"/>
      <c r="AE115" s="515"/>
      <c r="AF115" s="515"/>
      <c r="AG115" s="515"/>
      <c r="AH115" s="515"/>
      <c r="AI115" s="515"/>
      <c r="AJ115" s="515"/>
      <c r="AK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H115" s="515"/>
      <c r="BI115" s="515"/>
      <c r="BJ115" s="515"/>
      <c r="BL115" s="515"/>
      <c r="BM115" s="515"/>
    </row>
    <row r="116" spans="2:112" ht="15.75">
      <c r="B116" s="3"/>
      <c r="G116" s="515"/>
      <c r="H116" s="515"/>
      <c r="I116" s="515"/>
      <c r="J116" s="515"/>
      <c r="K116" s="519"/>
      <c r="L116" s="515"/>
      <c r="M116" s="515"/>
      <c r="N116" s="515"/>
      <c r="O116" s="515"/>
      <c r="P116" s="515"/>
      <c r="Q116" s="515"/>
      <c r="S116" s="515"/>
      <c r="T116" s="515"/>
      <c r="U116" s="515"/>
      <c r="V116" s="515"/>
      <c r="W116" s="515"/>
      <c r="X116" s="515"/>
      <c r="Y116" s="515"/>
      <c r="Z116" s="515"/>
      <c r="AA116" s="515"/>
      <c r="AB116" s="515"/>
      <c r="AC116" s="515"/>
      <c r="AD116" s="515"/>
      <c r="AE116" s="515"/>
      <c r="AF116" s="515"/>
      <c r="AG116" s="515"/>
      <c r="AH116" s="515"/>
      <c r="AI116" s="515"/>
      <c r="AJ116" s="515"/>
      <c r="AK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H116" s="515"/>
      <c r="BI116" s="515"/>
      <c r="BJ116" s="515"/>
      <c r="BL116" s="515"/>
      <c r="BM116" s="515"/>
    </row>
    <row r="117" spans="2:112" ht="15.75">
      <c r="B117" s="3"/>
      <c r="G117" s="515"/>
      <c r="H117" s="515"/>
      <c r="I117" s="515"/>
      <c r="J117" s="515"/>
      <c r="K117" s="519"/>
      <c r="L117" s="515"/>
      <c r="M117" s="515"/>
      <c r="N117" s="515"/>
      <c r="O117" s="515"/>
      <c r="P117" s="515"/>
      <c r="Q117" s="515"/>
      <c r="S117" s="515"/>
      <c r="T117" s="515"/>
      <c r="U117" s="515"/>
      <c r="V117" s="515"/>
      <c r="W117" s="515"/>
      <c r="X117" s="515"/>
      <c r="Y117" s="515"/>
      <c r="Z117" s="515"/>
      <c r="AA117" s="515"/>
      <c r="AB117" s="515"/>
      <c r="AC117" s="515"/>
      <c r="AD117" s="515"/>
      <c r="AE117" s="515"/>
      <c r="AF117" s="515"/>
      <c r="AG117" s="515"/>
      <c r="AH117" s="515"/>
      <c r="AI117" s="515"/>
      <c r="AJ117" s="515"/>
      <c r="AK117" s="515"/>
      <c r="AM117" s="515"/>
      <c r="AN117" s="515"/>
      <c r="AO117" s="515"/>
      <c r="AP117" s="515"/>
      <c r="AQ117" s="515"/>
      <c r="AR117" s="515"/>
      <c r="AS117" s="515"/>
      <c r="AT117" s="515"/>
      <c r="AU117" s="515"/>
      <c r="AV117" s="515"/>
      <c r="AW117" s="515"/>
      <c r="AX117" s="515"/>
      <c r="AY117" s="515"/>
      <c r="AZ117" s="515"/>
      <c r="BA117" s="515"/>
      <c r="BB117" s="515"/>
      <c r="BC117" s="515"/>
      <c r="BD117" s="515"/>
      <c r="BE117" s="515"/>
      <c r="BF117" s="515"/>
      <c r="BH117" s="515"/>
      <c r="BI117" s="515"/>
      <c r="BJ117" s="515"/>
      <c r="BL117" s="515"/>
      <c r="BM117" s="515"/>
    </row>
    <row r="118" spans="2:112" ht="15.75">
      <c r="B118" s="3"/>
      <c r="G118" s="515"/>
      <c r="H118" s="515"/>
      <c r="I118" s="515"/>
      <c r="J118" s="515"/>
      <c r="K118" s="519"/>
      <c r="L118" s="515"/>
      <c r="M118" s="515"/>
      <c r="N118" s="515"/>
      <c r="O118" s="515"/>
      <c r="P118" s="515"/>
      <c r="Q118" s="515"/>
      <c r="S118" s="515"/>
      <c r="T118" s="515"/>
      <c r="U118" s="515"/>
      <c r="V118" s="515"/>
      <c r="W118" s="515"/>
      <c r="X118" s="515"/>
      <c r="Y118" s="515"/>
      <c r="Z118" s="515"/>
      <c r="AA118" s="515"/>
      <c r="AB118" s="515"/>
      <c r="AC118" s="515"/>
      <c r="AD118" s="515"/>
      <c r="AE118" s="515"/>
      <c r="AF118" s="515"/>
      <c r="AG118" s="515"/>
      <c r="AH118" s="515"/>
      <c r="AI118" s="515"/>
      <c r="AJ118" s="515"/>
      <c r="AK118" s="515"/>
      <c r="AM118" s="515"/>
      <c r="AN118" s="515"/>
      <c r="AO118" s="515"/>
      <c r="AP118" s="515"/>
      <c r="AQ118" s="515"/>
      <c r="AR118" s="515"/>
      <c r="AS118" s="515"/>
      <c r="AT118" s="515"/>
      <c r="AU118" s="515"/>
      <c r="AV118" s="515"/>
      <c r="AW118" s="515"/>
      <c r="AX118" s="515"/>
      <c r="AY118" s="515"/>
      <c r="AZ118" s="515"/>
      <c r="BA118" s="515"/>
      <c r="BB118" s="515"/>
      <c r="BC118" s="515"/>
      <c r="BD118" s="515"/>
      <c r="BE118" s="515"/>
      <c r="BF118" s="515"/>
      <c r="BH118" s="515"/>
      <c r="BI118" s="515"/>
      <c r="BJ118" s="515"/>
      <c r="BL118" s="515"/>
      <c r="BM118" s="515"/>
    </row>
    <row r="119" spans="2:112" ht="15.75">
      <c r="B119" s="3"/>
      <c r="G119" s="515"/>
      <c r="H119" s="515"/>
      <c r="I119" s="515"/>
      <c r="J119" s="515"/>
      <c r="K119" s="519"/>
      <c r="L119" s="515"/>
      <c r="M119" s="515"/>
      <c r="N119" s="515"/>
      <c r="O119" s="515"/>
      <c r="P119" s="515"/>
      <c r="Q119" s="515"/>
      <c r="S119" s="515"/>
      <c r="T119" s="515"/>
      <c r="U119" s="515"/>
      <c r="V119" s="515"/>
      <c r="W119" s="515"/>
      <c r="X119" s="515"/>
      <c r="Y119" s="515"/>
      <c r="Z119" s="515"/>
      <c r="AA119" s="515"/>
      <c r="AB119" s="515"/>
      <c r="AC119" s="515"/>
      <c r="AD119" s="515"/>
      <c r="AE119" s="515"/>
      <c r="AF119" s="515"/>
      <c r="AG119" s="515"/>
      <c r="AH119" s="515"/>
      <c r="AI119" s="515"/>
      <c r="AJ119" s="515"/>
      <c r="AK119" s="515"/>
      <c r="AM119" s="515"/>
      <c r="AN119" s="515"/>
      <c r="AO119" s="515"/>
      <c r="AP119" s="515"/>
      <c r="AQ119" s="515"/>
      <c r="AR119" s="515"/>
      <c r="AS119" s="515"/>
      <c r="AT119" s="515"/>
      <c r="AU119" s="515"/>
      <c r="AV119" s="515"/>
      <c r="AW119" s="515"/>
      <c r="AX119" s="515"/>
      <c r="AY119" s="515"/>
      <c r="AZ119" s="515"/>
      <c r="BA119" s="515"/>
      <c r="BB119" s="515"/>
      <c r="BC119" s="515"/>
      <c r="BD119" s="515"/>
      <c r="BE119" s="515"/>
      <c r="BF119" s="515"/>
      <c r="BH119" s="515"/>
      <c r="BI119" s="515"/>
      <c r="BJ119" s="515"/>
      <c r="BL119" s="515"/>
      <c r="BM119" s="515"/>
    </row>
    <row r="120" spans="2:112" ht="15.75">
      <c r="B120" s="3"/>
      <c r="G120" s="515"/>
      <c r="H120" s="515"/>
      <c r="I120" s="515"/>
      <c r="J120" s="515"/>
      <c r="K120" s="519"/>
      <c r="L120" s="515"/>
      <c r="M120" s="515"/>
      <c r="N120" s="515"/>
      <c r="O120" s="515"/>
      <c r="P120" s="515"/>
      <c r="Q120" s="515"/>
      <c r="S120" s="515"/>
      <c r="T120" s="515"/>
      <c r="U120" s="515"/>
      <c r="V120" s="515"/>
      <c r="W120" s="515"/>
      <c r="X120" s="515"/>
      <c r="Y120" s="515"/>
      <c r="Z120" s="515"/>
      <c r="AA120" s="515"/>
      <c r="AB120" s="515"/>
      <c r="AC120" s="515"/>
      <c r="AD120" s="515"/>
      <c r="AE120" s="515"/>
      <c r="AF120" s="515"/>
      <c r="AG120" s="515"/>
      <c r="AH120" s="515"/>
      <c r="AI120" s="515"/>
      <c r="AJ120" s="515"/>
      <c r="AK120" s="515"/>
      <c r="AM120" s="515"/>
      <c r="AN120" s="515"/>
      <c r="AO120" s="515"/>
      <c r="AP120" s="515"/>
      <c r="AQ120" s="515"/>
      <c r="AR120" s="515"/>
      <c r="AS120" s="515"/>
      <c r="AT120" s="515"/>
      <c r="AU120" s="515"/>
      <c r="AV120" s="515"/>
      <c r="AW120" s="515"/>
      <c r="AX120" s="515"/>
      <c r="AY120" s="515"/>
      <c r="AZ120" s="515"/>
      <c r="BA120" s="515"/>
      <c r="BB120" s="515"/>
      <c r="BC120" s="515"/>
      <c r="BD120" s="515"/>
      <c r="BE120" s="515"/>
      <c r="BF120" s="515"/>
      <c r="BH120" s="515"/>
      <c r="BI120" s="515"/>
      <c r="BJ120" s="515"/>
      <c r="BL120" s="515"/>
      <c r="BM120" s="515"/>
    </row>
    <row r="121" spans="2:112" ht="15.75">
      <c r="B121" s="3"/>
      <c r="G121" s="515"/>
      <c r="H121" s="515"/>
      <c r="I121" s="515"/>
      <c r="J121" s="515"/>
      <c r="K121" s="519"/>
      <c r="L121" s="515"/>
      <c r="M121" s="515"/>
      <c r="N121" s="515"/>
      <c r="O121" s="515"/>
      <c r="P121" s="515"/>
      <c r="Q121" s="515"/>
      <c r="S121" s="515"/>
      <c r="T121" s="515"/>
      <c r="U121" s="515"/>
      <c r="V121" s="515"/>
      <c r="W121" s="515"/>
      <c r="X121" s="515"/>
      <c r="Y121" s="515"/>
      <c r="Z121" s="515"/>
      <c r="AA121" s="515"/>
      <c r="AB121" s="515"/>
      <c r="AC121" s="515"/>
      <c r="AD121" s="515"/>
      <c r="AE121" s="515"/>
      <c r="AF121" s="515"/>
      <c r="AG121" s="515"/>
      <c r="AH121" s="515"/>
      <c r="AI121" s="515"/>
      <c r="AJ121" s="515"/>
      <c r="AK121" s="515"/>
      <c r="AM121" s="515"/>
      <c r="AN121" s="515"/>
      <c r="AO121" s="515"/>
      <c r="AP121" s="515"/>
      <c r="AQ121" s="515"/>
      <c r="AR121" s="515"/>
      <c r="AS121" s="515"/>
      <c r="AT121" s="515"/>
      <c r="AU121" s="515"/>
      <c r="AV121" s="515"/>
      <c r="AW121" s="515"/>
      <c r="AX121" s="515"/>
      <c r="AY121" s="515"/>
      <c r="AZ121" s="515"/>
      <c r="BA121" s="515"/>
      <c r="BB121" s="515"/>
      <c r="BC121" s="515"/>
      <c r="BD121" s="515"/>
      <c r="BE121" s="515"/>
      <c r="BF121" s="515"/>
      <c r="BH121" s="515"/>
      <c r="BI121" s="515"/>
      <c r="BJ121" s="515"/>
      <c r="BL121" s="515"/>
      <c r="BM121" s="515"/>
    </row>
    <row r="122" spans="2:112">
      <c r="G122" s="515"/>
      <c r="H122" s="515"/>
      <c r="I122" s="515"/>
      <c r="J122" s="515"/>
      <c r="K122" s="519"/>
      <c r="L122" s="515"/>
      <c r="M122" s="515"/>
      <c r="N122" s="515"/>
      <c r="O122" s="515"/>
      <c r="P122" s="515"/>
      <c r="Q122" s="515"/>
      <c r="S122" s="515"/>
      <c r="T122" s="515"/>
      <c r="U122" s="515"/>
      <c r="V122" s="515"/>
      <c r="W122" s="515"/>
      <c r="X122" s="515"/>
      <c r="Y122" s="515"/>
      <c r="Z122" s="515"/>
      <c r="AA122" s="515"/>
      <c r="AB122" s="515"/>
      <c r="AC122" s="515"/>
      <c r="AD122" s="515"/>
      <c r="AE122" s="515"/>
      <c r="AF122" s="515"/>
      <c r="AG122" s="515"/>
      <c r="AH122" s="515"/>
      <c r="AI122" s="515"/>
      <c r="AJ122" s="515"/>
      <c r="AK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H122" s="515"/>
      <c r="BI122" s="515"/>
      <c r="BJ122" s="515"/>
      <c r="BL122" s="515"/>
      <c r="BM122" s="515"/>
    </row>
    <row r="123" spans="2:112" ht="24" customHeight="1">
      <c r="G123" s="515"/>
      <c r="H123" s="515"/>
      <c r="I123" s="515"/>
      <c r="J123" s="515"/>
      <c r="K123" s="519"/>
      <c r="L123" s="515"/>
      <c r="M123" s="515"/>
      <c r="N123" s="515"/>
      <c r="O123" s="515"/>
      <c r="P123" s="515"/>
      <c r="Q123" s="515"/>
      <c r="S123" s="515"/>
      <c r="T123" s="515"/>
      <c r="U123" s="515"/>
      <c r="V123" s="515"/>
      <c r="W123" s="515"/>
      <c r="X123" s="515"/>
      <c r="Y123" s="515"/>
      <c r="Z123" s="515"/>
      <c r="AA123" s="515"/>
      <c r="AB123" s="515"/>
      <c r="AC123" s="515"/>
      <c r="AD123" s="515"/>
      <c r="AE123" s="515"/>
      <c r="AF123" s="515"/>
      <c r="AG123" s="515"/>
      <c r="AH123" s="515"/>
      <c r="AI123" s="515"/>
      <c r="AJ123" s="515"/>
      <c r="AK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H123" s="515"/>
      <c r="BI123" s="515"/>
      <c r="BJ123" s="515"/>
      <c r="BL123" s="515"/>
      <c r="BM123" s="515"/>
    </row>
    <row r="124" spans="2:112">
      <c r="G124" s="515"/>
      <c r="H124" s="515"/>
      <c r="I124" s="515"/>
      <c r="J124" s="515"/>
      <c r="K124" s="519"/>
      <c r="L124" s="515"/>
      <c r="M124" s="515"/>
      <c r="N124" s="515"/>
      <c r="O124" s="515"/>
      <c r="P124" s="515"/>
      <c r="Q124" s="515"/>
      <c r="S124" s="515"/>
      <c r="T124" s="515"/>
      <c r="U124" s="515"/>
      <c r="V124" s="515"/>
      <c r="W124" s="515"/>
      <c r="X124" s="515"/>
      <c r="Y124" s="515"/>
      <c r="Z124" s="515"/>
      <c r="AA124" s="515"/>
      <c r="AB124" s="515"/>
      <c r="AC124" s="515"/>
      <c r="AD124" s="515"/>
      <c r="AE124" s="515"/>
      <c r="AF124" s="515"/>
      <c r="AG124" s="515"/>
      <c r="AH124" s="515"/>
      <c r="AI124" s="515"/>
      <c r="AJ124" s="515"/>
      <c r="AK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H124" s="515"/>
      <c r="BI124" s="515"/>
      <c r="BJ124" s="515"/>
      <c r="BL124" s="515"/>
      <c r="BM124" s="515"/>
    </row>
    <row r="125" spans="2:112">
      <c r="C125" s="520"/>
      <c r="D125" s="38"/>
      <c r="G125" s="515"/>
      <c r="H125" s="515"/>
      <c r="I125" s="515"/>
      <c r="J125" s="515"/>
      <c r="K125" s="519"/>
      <c r="L125" s="515"/>
      <c r="M125" s="515"/>
      <c r="N125" s="515"/>
      <c r="O125" s="515"/>
      <c r="P125" s="515"/>
      <c r="Q125" s="515"/>
      <c r="S125" s="515"/>
      <c r="T125" s="515"/>
      <c r="U125" s="515"/>
      <c r="V125" s="515"/>
      <c r="W125" s="515"/>
      <c r="X125" s="515"/>
      <c r="Y125" s="515"/>
      <c r="Z125" s="515"/>
      <c r="AA125" s="515"/>
      <c r="AB125" s="515"/>
      <c r="AC125" s="515"/>
      <c r="AD125" s="515"/>
      <c r="AE125" s="515"/>
      <c r="AF125" s="515"/>
      <c r="AG125" s="515"/>
      <c r="AH125" s="515"/>
      <c r="AI125" s="515"/>
      <c r="AJ125" s="515"/>
      <c r="AK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H125" s="515"/>
      <c r="BI125" s="515"/>
      <c r="BJ125" s="515"/>
      <c r="BL125" s="515"/>
      <c r="BM125" s="515"/>
    </row>
    <row r="126" spans="2:112">
      <c r="G126" s="515"/>
      <c r="H126" s="515"/>
      <c r="I126" s="515"/>
      <c r="J126" s="515"/>
      <c r="K126" s="519"/>
      <c r="L126" s="515"/>
      <c r="M126" s="515"/>
      <c r="N126" s="515"/>
      <c r="O126" s="515"/>
      <c r="P126" s="515"/>
      <c r="Q126" s="515"/>
      <c r="S126" s="515"/>
      <c r="T126" s="515"/>
      <c r="U126" s="515"/>
      <c r="V126" s="515"/>
      <c r="W126" s="515"/>
      <c r="X126" s="515"/>
      <c r="Y126" s="515"/>
      <c r="Z126" s="515"/>
      <c r="AA126" s="515"/>
      <c r="AB126" s="515"/>
      <c r="AC126" s="515"/>
      <c r="AD126" s="515"/>
      <c r="AE126" s="515"/>
      <c r="AF126" s="515"/>
      <c r="AG126" s="515"/>
      <c r="AH126" s="515"/>
      <c r="AI126" s="515"/>
      <c r="AJ126" s="515"/>
      <c r="AK126" s="515"/>
      <c r="AM126" s="515"/>
      <c r="AN126" s="515"/>
      <c r="AO126" s="515"/>
      <c r="AP126" s="515"/>
      <c r="AQ126" s="515"/>
      <c r="AR126" s="515"/>
      <c r="AS126" s="515"/>
      <c r="AT126" s="515"/>
      <c r="AU126" s="515"/>
      <c r="AV126" s="515"/>
      <c r="AW126" s="515"/>
      <c r="AX126" s="515"/>
      <c r="AY126" s="515"/>
      <c r="AZ126" s="515"/>
      <c r="BA126" s="515"/>
      <c r="BB126" s="515"/>
      <c r="BC126" s="515"/>
      <c r="BD126" s="515"/>
      <c r="BE126" s="515"/>
      <c r="BF126" s="515"/>
      <c r="BH126" s="515"/>
      <c r="BI126" s="515"/>
      <c r="BJ126" s="515"/>
      <c r="BL126" s="515"/>
      <c r="BM126" s="515"/>
    </row>
    <row r="127" spans="2:112">
      <c r="G127" s="515"/>
      <c r="H127" s="515"/>
      <c r="I127" s="515"/>
      <c r="J127" s="515"/>
      <c r="K127" s="519"/>
      <c r="L127" s="515"/>
      <c r="M127" s="515"/>
      <c r="N127" s="515"/>
      <c r="O127" s="515"/>
      <c r="P127" s="515"/>
      <c r="Q127" s="515"/>
      <c r="S127" s="515"/>
      <c r="T127" s="515"/>
      <c r="U127" s="515"/>
      <c r="V127" s="515"/>
      <c r="W127" s="515"/>
      <c r="X127" s="515"/>
      <c r="Y127" s="515"/>
      <c r="Z127" s="515"/>
      <c r="AA127" s="515"/>
      <c r="AB127" s="515"/>
      <c r="AC127" s="515"/>
      <c r="AD127" s="515"/>
      <c r="AE127" s="515"/>
      <c r="AF127" s="515"/>
      <c r="AG127" s="515"/>
      <c r="AH127" s="515"/>
      <c r="AI127" s="515"/>
      <c r="AJ127" s="515"/>
      <c r="AK127" s="515"/>
      <c r="AM127" s="515"/>
      <c r="AN127" s="515"/>
      <c r="AO127" s="515"/>
      <c r="AP127" s="515"/>
      <c r="AQ127" s="515"/>
      <c r="AR127" s="515"/>
      <c r="AS127" s="515"/>
      <c r="AT127" s="515"/>
      <c r="AU127" s="515"/>
      <c r="AV127" s="515"/>
      <c r="AW127" s="515"/>
      <c r="AX127" s="515"/>
      <c r="AY127" s="515"/>
      <c r="AZ127" s="515"/>
      <c r="BA127" s="515"/>
      <c r="BB127" s="515"/>
      <c r="BC127" s="515"/>
      <c r="BD127" s="515"/>
      <c r="BE127" s="515"/>
      <c r="BF127" s="515"/>
      <c r="BH127" s="515"/>
      <c r="BI127" s="515"/>
      <c r="BJ127" s="515"/>
      <c r="BL127" s="515"/>
      <c r="BM127" s="515"/>
    </row>
    <row r="128" spans="2:112">
      <c r="G128" s="515"/>
      <c r="H128" s="515"/>
      <c r="I128" s="515"/>
      <c r="J128" s="515"/>
      <c r="K128" s="519"/>
      <c r="L128" s="515"/>
      <c r="M128" s="515"/>
      <c r="N128" s="515"/>
      <c r="O128" s="515"/>
      <c r="P128" s="515"/>
      <c r="Q128" s="515"/>
      <c r="S128" s="515"/>
      <c r="T128" s="515"/>
      <c r="U128" s="515"/>
      <c r="V128" s="515"/>
      <c r="W128" s="515"/>
      <c r="X128" s="515"/>
      <c r="Y128" s="515"/>
      <c r="Z128" s="515"/>
      <c r="AA128" s="515"/>
      <c r="AB128" s="515"/>
      <c r="AC128" s="515"/>
      <c r="AD128" s="515"/>
      <c r="AE128" s="515"/>
      <c r="AF128" s="515"/>
      <c r="AG128" s="515"/>
      <c r="AH128" s="515"/>
      <c r="AI128" s="515"/>
      <c r="AJ128" s="515"/>
      <c r="AK128" s="515"/>
      <c r="AM128" s="515"/>
      <c r="AN128" s="515"/>
      <c r="AO128" s="515"/>
      <c r="AP128" s="515"/>
      <c r="AQ128" s="515"/>
      <c r="AR128" s="515"/>
      <c r="AS128" s="515"/>
      <c r="AT128" s="515"/>
      <c r="AU128" s="515"/>
      <c r="AV128" s="515"/>
      <c r="AW128" s="515"/>
      <c r="AX128" s="515"/>
      <c r="AY128" s="515"/>
      <c r="AZ128" s="515"/>
      <c r="BA128" s="515"/>
      <c r="BB128" s="515"/>
      <c r="BC128" s="515"/>
      <c r="BD128" s="515"/>
      <c r="BE128" s="515"/>
      <c r="BF128" s="515"/>
      <c r="BH128" s="515"/>
      <c r="BI128" s="515"/>
      <c r="BJ128" s="515"/>
      <c r="BL128" s="515"/>
      <c r="BM128" s="515"/>
    </row>
    <row r="129" spans="7:65">
      <c r="G129" s="515"/>
      <c r="H129" s="515"/>
      <c r="I129" s="515"/>
      <c r="J129" s="515"/>
      <c r="K129" s="519"/>
      <c r="L129" s="515"/>
      <c r="M129" s="515"/>
      <c r="N129" s="515"/>
      <c r="O129" s="515"/>
      <c r="P129" s="515"/>
      <c r="Q129" s="515"/>
      <c r="S129" s="515"/>
      <c r="T129" s="515"/>
      <c r="U129" s="515"/>
      <c r="V129" s="515"/>
      <c r="W129" s="515"/>
      <c r="X129" s="515"/>
      <c r="Y129" s="515"/>
      <c r="Z129" s="515"/>
      <c r="AA129" s="515"/>
      <c r="AB129" s="515"/>
      <c r="AC129" s="515"/>
      <c r="AD129" s="515"/>
      <c r="AE129" s="515"/>
      <c r="AF129" s="515"/>
      <c r="AG129" s="515"/>
      <c r="AH129" s="515"/>
      <c r="AI129" s="515"/>
      <c r="AJ129" s="515"/>
      <c r="AK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H129" s="515"/>
      <c r="BI129" s="515"/>
      <c r="BJ129" s="515"/>
      <c r="BL129" s="515"/>
      <c r="BM129" s="515"/>
    </row>
    <row r="130" spans="7:65">
      <c r="G130" s="515"/>
      <c r="H130" s="515"/>
      <c r="I130" s="515"/>
      <c r="J130" s="515"/>
      <c r="K130" s="519"/>
      <c r="L130" s="515"/>
      <c r="M130" s="515"/>
      <c r="N130" s="515"/>
      <c r="O130" s="515"/>
      <c r="P130" s="515"/>
      <c r="Q130" s="515"/>
      <c r="S130" s="515"/>
      <c r="T130" s="515"/>
      <c r="U130" s="515"/>
      <c r="V130" s="515"/>
      <c r="W130" s="515"/>
      <c r="X130" s="515"/>
      <c r="Y130" s="515"/>
      <c r="Z130" s="515"/>
      <c r="AA130" s="515"/>
      <c r="AB130" s="515"/>
      <c r="AC130" s="515"/>
      <c r="AD130" s="515"/>
      <c r="AE130" s="515"/>
      <c r="AF130" s="515"/>
      <c r="AG130" s="515"/>
      <c r="AH130" s="515"/>
      <c r="AI130" s="515"/>
      <c r="AJ130" s="515"/>
      <c r="AK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H130" s="515"/>
      <c r="BI130" s="515"/>
      <c r="BJ130" s="515"/>
      <c r="BL130" s="515"/>
      <c r="BM130" s="515"/>
    </row>
    <row r="131" spans="7:65">
      <c r="G131" s="515"/>
      <c r="H131" s="515"/>
      <c r="I131" s="515"/>
      <c r="J131" s="515"/>
      <c r="K131" s="519"/>
      <c r="L131" s="515"/>
      <c r="M131" s="515"/>
      <c r="N131" s="515"/>
      <c r="O131" s="515"/>
      <c r="P131" s="515"/>
      <c r="Q131" s="515"/>
      <c r="S131" s="515"/>
      <c r="T131" s="515"/>
      <c r="U131" s="515"/>
      <c r="V131" s="515"/>
      <c r="W131" s="515"/>
      <c r="X131" s="515"/>
      <c r="Y131" s="515"/>
      <c r="Z131" s="515"/>
      <c r="AA131" s="515"/>
      <c r="AB131" s="515"/>
      <c r="AC131" s="515"/>
      <c r="AD131" s="515"/>
      <c r="AE131" s="515"/>
      <c r="AF131" s="515"/>
      <c r="AG131" s="515"/>
      <c r="AH131" s="515"/>
      <c r="AI131" s="515"/>
      <c r="AJ131" s="515"/>
      <c r="AK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H131" s="515"/>
      <c r="BI131" s="515"/>
      <c r="BJ131" s="515"/>
      <c r="BL131" s="515"/>
      <c r="BM131" s="515"/>
    </row>
    <row r="132" spans="7:65">
      <c r="G132" s="515"/>
      <c r="H132" s="515"/>
      <c r="I132" s="515"/>
      <c r="J132" s="515"/>
      <c r="K132" s="519"/>
      <c r="L132" s="515"/>
      <c r="M132" s="515"/>
      <c r="N132" s="515"/>
      <c r="O132" s="515"/>
      <c r="P132" s="515"/>
      <c r="Q132" s="515"/>
      <c r="S132" s="515"/>
      <c r="T132" s="515"/>
      <c r="U132" s="515"/>
      <c r="V132" s="515"/>
      <c r="W132" s="515"/>
      <c r="X132" s="515"/>
      <c r="Y132" s="515"/>
      <c r="Z132" s="515"/>
      <c r="AA132" s="515"/>
      <c r="AB132" s="515"/>
      <c r="AC132" s="515"/>
      <c r="AD132" s="515"/>
      <c r="AE132" s="515"/>
      <c r="AF132" s="515"/>
      <c r="AG132" s="515"/>
      <c r="AH132" s="515"/>
      <c r="AI132" s="515"/>
      <c r="AJ132" s="515"/>
      <c r="AK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H132" s="515"/>
      <c r="BI132" s="515"/>
      <c r="BJ132" s="515"/>
      <c r="BL132" s="515"/>
      <c r="BM132" s="515"/>
    </row>
    <row r="133" spans="7:65">
      <c r="G133" s="515"/>
      <c r="H133" s="515"/>
      <c r="I133" s="515"/>
      <c r="J133" s="515"/>
      <c r="K133" s="519"/>
      <c r="L133" s="515"/>
      <c r="M133" s="515"/>
      <c r="N133" s="515"/>
      <c r="O133" s="515"/>
      <c r="P133" s="515"/>
      <c r="Q133" s="515"/>
      <c r="S133" s="515"/>
      <c r="T133" s="515"/>
      <c r="U133" s="515"/>
      <c r="V133" s="515"/>
      <c r="W133" s="515"/>
      <c r="X133" s="515"/>
      <c r="Y133" s="515"/>
      <c r="Z133" s="515"/>
      <c r="AA133" s="515"/>
      <c r="AB133" s="515"/>
      <c r="AC133" s="515"/>
      <c r="AD133" s="515"/>
      <c r="AE133" s="515"/>
      <c r="AF133" s="515"/>
      <c r="AG133" s="515"/>
      <c r="AH133" s="515"/>
      <c r="AI133" s="515"/>
      <c r="AJ133" s="515"/>
      <c r="AK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H133" s="515"/>
      <c r="BI133" s="515"/>
      <c r="BJ133" s="515"/>
      <c r="BL133" s="515"/>
      <c r="BM133" s="515"/>
    </row>
    <row r="134" spans="7:65">
      <c r="G134" s="515"/>
      <c r="H134" s="515"/>
      <c r="I134" s="515"/>
      <c r="J134" s="515"/>
      <c r="K134" s="519"/>
      <c r="L134" s="515"/>
      <c r="M134" s="515"/>
      <c r="N134" s="515"/>
      <c r="O134" s="515"/>
      <c r="P134" s="515"/>
      <c r="Q134" s="515"/>
      <c r="S134" s="515"/>
      <c r="T134" s="515"/>
      <c r="U134" s="515"/>
      <c r="V134" s="515"/>
      <c r="W134" s="515"/>
      <c r="X134" s="515"/>
      <c r="Y134" s="515"/>
      <c r="Z134" s="515"/>
      <c r="AA134" s="515"/>
      <c r="AB134" s="515"/>
      <c r="AC134" s="515"/>
      <c r="AD134" s="515"/>
      <c r="AE134" s="515"/>
      <c r="AF134" s="515"/>
      <c r="AG134" s="515"/>
      <c r="AH134" s="515"/>
      <c r="AI134" s="515"/>
      <c r="AJ134" s="515"/>
      <c r="AK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H134" s="515"/>
      <c r="BI134" s="515"/>
      <c r="BJ134" s="515"/>
      <c r="BL134" s="515"/>
      <c r="BM134" s="515"/>
    </row>
    <row r="135" spans="7:65">
      <c r="G135" s="515"/>
      <c r="H135" s="515"/>
      <c r="I135" s="515"/>
      <c r="J135" s="515"/>
      <c r="K135" s="519"/>
      <c r="L135" s="515"/>
      <c r="M135" s="515"/>
      <c r="N135" s="515"/>
      <c r="O135" s="515"/>
      <c r="P135" s="515"/>
      <c r="Q135" s="515"/>
      <c r="S135" s="515"/>
      <c r="T135" s="515"/>
      <c r="U135" s="515"/>
      <c r="V135" s="515"/>
      <c r="W135" s="515"/>
      <c r="X135" s="515"/>
      <c r="Y135" s="515"/>
      <c r="Z135" s="515"/>
      <c r="AA135" s="515"/>
      <c r="AB135" s="515"/>
      <c r="AC135" s="515"/>
      <c r="AD135" s="515"/>
      <c r="AE135" s="515"/>
      <c r="AF135" s="515"/>
      <c r="AG135" s="515"/>
      <c r="AH135" s="515"/>
      <c r="AI135" s="515"/>
      <c r="AJ135" s="515"/>
      <c r="AK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H135" s="515"/>
      <c r="BI135" s="515"/>
      <c r="BJ135" s="515"/>
      <c r="BL135" s="515"/>
      <c r="BM135" s="515"/>
    </row>
    <row r="136" spans="7:65">
      <c r="G136" s="515"/>
      <c r="H136" s="515"/>
      <c r="I136" s="515"/>
      <c r="J136" s="515"/>
      <c r="K136" s="519"/>
      <c r="L136" s="515"/>
      <c r="M136" s="515"/>
      <c r="N136" s="515"/>
      <c r="O136" s="515"/>
      <c r="P136" s="515"/>
      <c r="Q136" s="515"/>
      <c r="S136" s="515"/>
      <c r="T136" s="515"/>
      <c r="U136" s="515"/>
      <c r="V136" s="515"/>
      <c r="W136" s="515"/>
      <c r="X136" s="515"/>
      <c r="Y136" s="515"/>
      <c r="Z136" s="515"/>
      <c r="AA136" s="515"/>
      <c r="AB136" s="515"/>
      <c r="AC136" s="515"/>
      <c r="AD136" s="515"/>
      <c r="AE136" s="515"/>
      <c r="AF136" s="515"/>
      <c r="AG136" s="515"/>
      <c r="AH136" s="515"/>
      <c r="AI136" s="515"/>
      <c r="AJ136" s="515"/>
      <c r="AK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H136" s="515"/>
      <c r="BI136" s="515"/>
      <c r="BJ136" s="515"/>
      <c r="BL136" s="515"/>
      <c r="BM136" s="515"/>
    </row>
    <row r="137" spans="7:65">
      <c r="G137" s="515"/>
      <c r="H137" s="515"/>
      <c r="I137" s="515"/>
      <c r="J137" s="515"/>
      <c r="K137" s="519"/>
      <c r="L137" s="515"/>
      <c r="M137" s="515"/>
      <c r="N137" s="515"/>
      <c r="O137" s="515"/>
      <c r="P137" s="515"/>
      <c r="Q137" s="515"/>
      <c r="S137" s="515"/>
      <c r="T137" s="515"/>
      <c r="U137" s="515"/>
      <c r="V137" s="515"/>
      <c r="W137" s="515"/>
      <c r="X137" s="515"/>
      <c r="Y137" s="515"/>
      <c r="Z137" s="515"/>
      <c r="AA137" s="515"/>
      <c r="AB137" s="515"/>
      <c r="AC137" s="515"/>
      <c r="AD137" s="515"/>
      <c r="AE137" s="515"/>
      <c r="AF137" s="515"/>
      <c r="AG137" s="515"/>
      <c r="AH137" s="515"/>
      <c r="AI137" s="515"/>
      <c r="AJ137" s="515"/>
      <c r="AK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H137" s="515"/>
      <c r="BI137" s="515"/>
      <c r="BJ137" s="515"/>
      <c r="BL137" s="515"/>
      <c r="BM137" s="515"/>
    </row>
    <row r="138" spans="7:65">
      <c r="G138" s="515"/>
      <c r="H138" s="515"/>
      <c r="I138" s="515"/>
      <c r="J138" s="515"/>
      <c r="K138" s="519"/>
      <c r="L138" s="515"/>
      <c r="M138" s="515"/>
      <c r="N138" s="515"/>
      <c r="O138" s="515"/>
      <c r="P138" s="515"/>
      <c r="Q138" s="515"/>
      <c r="S138" s="515"/>
      <c r="T138" s="515"/>
      <c r="U138" s="515"/>
      <c r="V138" s="515"/>
      <c r="W138" s="515"/>
      <c r="X138" s="515"/>
      <c r="Y138" s="515"/>
      <c r="Z138" s="515"/>
      <c r="AA138" s="515"/>
      <c r="AB138" s="515"/>
      <c r="AC138" s="515"/>
      <c r="AD138" s="515"/>
      <c r="AE138" s="515"/>
      <c r="AF138" s="515"/>
      <c r="AG138" s="515"/>
      <c r="AH138" s="515"/>
      <c r="AI138" s="515"/>
      <c r="AJ138" s="515"/>
      <c r="AK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H138" s="515"/>
      <c r="BI138" s="515"/>
      <c r="BJ138" s="515"/>
      <c r="BL138" s="515"/>
      <c r="BM138" s="515"/>
    </row>
    <row r="139" spans="7:65">
      <c r="G139" s="515"/>
      <c r="H139" s="515"/>
      <c r="I139" s="515"/>
      <c r="J139" s="515"/>
      <c r="K139" s="519"/>
      <c r="L139" s="515"/>
      <c r="M139" s="515"/>
      <c r="N139" s="515"/>
      <c r="O139" s="515"/>
      <c r="P139" s="515"/>
      <c r="Q139" s="515"/>
      <c r="S139" s="515"/>
      <c r="T139" s="515"/>
      <c r="U139" s="515"/>
      <c r="V139" s="515"/>
      <c r="W139" s="515"/>
      <c r="X139" s="515"/>
      <c r="Y139" s="515"/>
      <c r="Z139" s="515"/>
      <c r="AA139" s="515"/>
      <c r="AB139" s="515"/>
      <c r="AC139" s="515"/>
      <c r="AD139" s="515"/>
      <c r="AE139" s="515"/>
      <c r="AF139" s="515"/>
      <c r="AG139" s="515"/>
      <c r="AH139" s="515"/>
      <c r="AI139" s="515"/>
      <c r="AJ139" s="515"/>
      <c r="AK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H139" s="515"/>
      <c r="BI139" s="515"/>
      <c r="BJ139" s="515"/>
      <c r="BL139" s="515"/>
      <c r="BM139" s="515"/>
    </row>
    <row r="140" spans="7:65">
      <c r="G140" s="515"/>
      <c r="H140" s="515"/>
      <c r="I140" s="515"/>
      <c r="J140" s="515"/>
      <c r="K140" s="519"/>
      <c r="L140" s="515"/>
      <c r="M140" s="515"/>
      <c r="N140" s="515"/>
      <c r="O140" s="515"/>
      <c r="P140" s="515"/>
      <c r="Q140" s="515"/>
      <c r="S140" s="515"/>
      <c r="T140" s="515"/>
      <c r="U140" s="515"/>
      <c r="V140" s="515"/>
      <c r="W140" s="515"/>
      <c r="X140" s="515"/>
      <c r="Y140" s="515"/>
      <c r="Z140" s="515"/>
      <c r="AA140" s="515"/>
      <c r="AB140" s="515"/>
      <c r="AC140" s="515"/>
      <c r="AD140" s="515"/>
      <c r="AE140" s="515"/>
      <c r="AF140" s="515"/>
      <c r="AG140" s="515"/>
      <c r="AH140" s="515"/>
      <c r="AI140" s="515"/>
      <c r="AJ140" s="515"/>
      <c r="AK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H140" s="515"/>
      <c r="BI140" s="515"/>
      <c r="BJ140" s="515"/>
      <c r="BL140" s="515"/>
      <c r="BM140" s="515"/>
    </row>
    <row r="141" spans="7:65">
      <c r="G141" s="515"/>
      <c r="H141" s="515"/>
      <c r="I141" s="515"/>
      <c r="J141" s="515"/>
      <c r="K141" s="519"/>
      <c r="L141" s="515"/>
      <c r="M141" s="515"/>
      <c r="N141" s="515"/>
      <c r="O141" s="515"/>
      <c r="P141" s="515"/>
      <c r="Q141" s="515"/>
      <c r="S141" s="515"/>
      <c r="T141" s="515"/>
      <c r="U141" s="515"/>
      <c r="V141" s="515"/>
      <c r="W141" s="515"/>
      <c r="X141" s="515"/>
      <c r="Y141" s="515"/>
      <c r="Z141" s="515"/>
      <c r="AA141" s="515"/>
      <c r="AB141" s="515"/>
      <c r="AC141" s="515"/>
      <c r="AD141" s="515"/>
      <c r="AE141" s="515"/>
      <c r="AF141" s="515"/>
      <c r="AG141" s="515"/>
      <c r="AH141" s="515"/>
      <c r="AI141" s="515"/>
      <c r="AJ141" s="515"/>
      <c r="AK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H141" s="515"/>
      <c r="BI141" s="515"/>
      <c r="BJ141" s="515"/>
      <c r="BL141" s="515"/>
      <c r="BM141" s="515"/>
    </row>
    <row r="142" spans="7:65">
      <c r="G142" s="515"/>
      <c r="H142" s="515"/>
      <c r="I142" s="515"/>
      <c r="J142" s="515"/>
      <c r="K142" s="519"/>
      <c r="L142" s="515"/>
      <c r="M142" s="515"/>
      <c r="N142" s="515"/>
      <c r="O142" s="515"/>
      <c r="P142" s="515"/>
      <c r="Q142" s="515"/>
      <c r="S142" s="515"/>
      <c r="T142" s="515"/>
      <c r="U142" s="515"/>
      <c r="V142" s="515"/>
      <c r="W142" s="515"/>
      <c r="X142" s="515"/>
      <c r="Y142" s="515"/>
      <c r="Z142" s="515"/>
      <c r="AA142" s="515"/>
      <c r="AB142" s="515"/>
      <c r="AC142" s="515"/>
      <c r="AD142" s="515"/>
      <c r="AE142" s="515"/>
      <c r="AF142" s="515"/>
      <c r="AG142" s="515"/>
      <c r="AH142" s="515"/>
      <c r="AI142" s="515"/>
      <c r="AJ142" s="515"/>
      <c r="AK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H142" s="515"/>
      <c r="BI142" s="515"/>
      <c r="BJ142" s="515"/>
      <c r="BL142" s="515"/>
      <c r="BM142" s="515"/>
    </row>
    <row r="143" spans="7:65">
      <c r="G143" s="515"/>
      <c r="H143" s="515"/>
      <c r="I143" s="515"/>
      <c r="J143" s="515"/>
      <c r="K143" s="519"/>
      <c r="L143" s="515"/>
      <c r="M143" s="515"/>
      <c r="N143" s="515"/>
      <c r="O143" s="515"/>
      <c r="P143" s="515"/>
      <c r="Q143" s="515"/>
      <c r="S143" s="515"/>
      <c r="T143" s="515"/>
      <c r="U143" s="515"/>
      <c r="V143" s="515"/>
      <c r="W143" s="515"/>
      <c r="X143" s="515"/>
      <c r="Y143" s="515"/>
      <c r="Z143" s="515"/>
      <c r="AA143" s="515"/>
      <c r="AB143" s="515"/>
      <c r="AC143" s="515"/>
      <c r="AD143" s="515"/>
      <c r="AE143" s="515"/>
      <c r="AF143" s="515"/>
      <c r="AG143" s="515"/>
      <c r="AH143" s="515"/>
      <c r="AI143" s="515"/>
      <c r="AJ143" s="515"/>
      <c r="AK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H143" s="515"/>
      <c r="BI143" s="515"/>
      <c r="BJ143" s="515"/>
      <c r="BL143" s="515"/>
      <c r="BM143" s="515"/>
    </row>
    <row r="144" spans="7:65">
      <c r="G144" s="515"/>
      <c r="H144" s="515"/>
      <c r="I144" s="515"/>
      <c r="J144" s="515"/>
      <c r="K144" s="519"/>
      <c r="L144" s="515"/>
      <c r="M144" s="515"/>
      <c r="N144" s="515"/>
      <c r="O144" s="515"/>
      <c r="P144" s="515"/>
      <c r="Q144" s="515"/>
      <c r="S144" s="515"/>
      <c r="T144" s="515"/>
      <c r="U144" s="515"/>
      <c r="V144" s="515"/>
      <c r="W144" s="515"/>
      <c r="X144" s="515"/>
      <c r="Y144" s="515"/>
      <c r="Z144" s="515"/>
      <c r="AA144" s="515"/>
      <c r="AB144" s="515"/>
      <c r="AC144" s="515"/>
      <c r="AD144" s="515"/>
      <c r="AE144" s="515"/>
      <c r="AF144" s="515"/>
      <c r="AG144" s="515"/>
      <c r="AH144" s="515"/>
      <c r="AI144" s="515"/>
      <c r="AJ144" s="515"/>
      <c r="AK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H144" s="515"/>
      <c r="BI144" s="515"/>
      <c r="BJ144" s="515"/>
      <c r="BL144" s="515"/>
      <c r="BM144" s="515"/>
    </row>
    <row r="145" spans="7:65">
      <c r="G145" s="515"/>
      <c r="H145" s="515"/>
      <c r="I145" s="515"/>
      <c r="J145" s="515"/>
      <c r="K145" s="519"/>
      <c r="L145" s="515"/>
      <c r="M145" s="515"/>
      <c r="N145" s="515"/>
      <c r="O145" s="515"/>
      <c r="P145" s="515"/>
      <c r="Q145" s="515"/>
      <c r="S145" s="515"/>
      <c r="T145" s="515"/>
      <c r="U145" s="515"/>
      <c r="V145" s="515"/>
      <c r="W145" s="515"/>
      <c r="X145" s="515"/>
      <c r="Y145" s="515"/>
      <c r="Z145" s="515"/>
      <c r="AA145" s="515"/>
      <c r="AB145" s="515"/>
      <c r="AC145" s="515"/>
      <c r="AD145" s="515"/>
      <c r="AE145" s="515"/>
      <c r="AF145" s="515"/>
      <c r="AG145" s="515"/>
      <c r="AH145" s="515"/>
      <c r="AI145" s="515"/>
      <c r="AJ145" s="515"/>
      <c r="AK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H145" s="515"/>
      <c r="BI145" s="515"/>
      <c r="BJ145" s="515"/>
      <c r="BL145" s="515"/>
      <c r="BM145" s="515"/>
    </row>
    <row r="146" spans="7:65">
      <c r="G146" s="515"/>
      <c r="H146" s="515"/>
      <c r="I146" s="515"/>
      <c r="J146" s="515"/>
      <c r="K146" s="519"/>
      <c r="L146" s="515"/>
      <c r="M146" s="515"/>
      <c r="N146" s="515"/>
      <c r="O146" s="515"/>
      <c r="P146" s="515"/>
      <c r="Q146" s="515"/>
      <c r="S146" s="515"/>
      <c r="T146" s="515"/>
      <c r="U146" s="515"/>
      <c r="V146" s="515"/>
      <c r="W146" s="515"/>
      <c r="X146" s="515"/>
      <c r="Y146" s="515"/>
      <c r="Z146" s="515"/>
      <c r="AA146" s="515"/>
      <c r="AB146" s="515"/>
      <c r="AC146" s="515"/>
      <c r="AD146" s="515"/>
      <c r="AE146" s="515"/>
      <c r="AF146" s="515"/>
      <c r="AG146" s="515"/>
      <c r="AH146" s="515"/>
      <c r="AI146" s="515"/>
      <c r="AJ146" s="515"/>
      <c r="AK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H146" s="515"/>
      <c r="BI146" s="515"/>
      <c r="BJ146" s="515"/>
      <c r="BL146" s="515"/>
      <c r="BM146" s="515"/>
    </row>
    <row r="147" spans="7:65">
      <c r="G147" s="515"/>
      <c r="H147" s="515"/>
      <c r="I147" s="515"/>
      <c r="J147" s="515"/>
      <c r="K147" s="519"/>
      <c r="L147" s="515"/>
      <c r="M147" s="515"/>
      <c r="N147" s="515"/>
      <c r="O147" s="515"/>
      <c r="P147" s="515"/>
      <c r="Q147" s="515"/>
      <c r="S147" s="515"/>
      <c r="T147" s="515"/>
      <c r="U147" s="515"/>
      <c r="V147" s="515"/>
      <c r="W147" s="515"/>
      <c r="X147" s="515"/>
      <c r="Y147" s="515"/>
      <c r="Z147" s="515"/>
      <c r="AA147" s="515"/>
      <c r="AB147" s="515"/>
      <c r="AC147" s="515"/>
      <c r="AD147" s="515"/>
      <c r="AE147" s="515"/>
      <c r="AF147" s="515"/>
      <c r="AG147" s="515"/>
      <c r="AH147" s="515"/>
      <c r="AI147" s="515"/>
      <c r="AJ147" s="515"/>
      <c r="AK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H147" s="515"/>
      <c r="BI147" s="515"/>
      <c r="BJ147" s="515"/>
      <c r="BL147" s="515"/>
      <c r="BM147" s="515"/>
    </row>
    <row r="148" spans="7:65">
      <c r="G148" s="515"/>
      <c r="H148" s="515"/>
      <c r="I148" s="515"/>
      <c r="J148" s="515"/>
      <c r="K148" s="519"/>
      <c r="L148" s="515"/>
      <c r="M148" s="515"/>
      <c r="N148" s="515"/>
      <c r="O148" s="515"/>
      <c r="P148" s="515"/>
      <c r="Q148" s="515"/>
      <c r="S148" s="515"/>
      <c r="T148" s="515"/>
      <c r="U148" s="515"/>
      <c r="V148" s="515"/>
      <c r="W148" s="515"/>
      <c r="X148" s="515"/>
      <c r="Y148" s="515"/>
      <c r="Z148" s="515"/>
      <c r="AA148" s="515"/>
      <c r="AB148" s="515"/>
      <c r="AC148" s="515"/>
      <c r="AD148" s="515"/>
      <c r="AE148" s="515"/>
      <c r="AF148" s="515"/>
      <c r="AG148" s="515"/>
      <c r="AH148" s="515"/>
      <c r="AI148" s="515"/>
      <c r="AJ148" s="515"/>
      <c r="AK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H148" s="515"/>
      <c r="BI148" s="515"/>
      <c r="BJ148" s="515"/>
      <c r="BL148" s="515"/>
      <c r="BM148" s="515"/>
    </row>
  </sheetData>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worksheet>
</file>

<file path=xl/worksheets/sheet55.xml><?xml version="1.0" encoding="utf-8"?>
<worksheet xmlns="http://schemas.openxmlformats.org/spreadsheetml/2006/main" xmlns:r="http://schemas.openxmlformats.org/officeDocument/2006/relationships">
  <sheetPr codeName="Sheet7">
    <tabColor theme="6" tint="0.39997558519241921"/>
    <pageSetUpPr autoPageBreaks="0"/>
  </sheetPr>
  <dimension ref="A1:DH148"/>
  <sheetViews>
    <sheetView showGridLines="0" zoomScale="80" zoomScaleNormal="80" workbookViewId="0">
      <pane xSplit="5" ySplit="5" topLeftCell="Q6" activePane="bottomRight" state="frozen"/>
      <selection pane="topRight"/>
      <selection pane="bottomLeft"/>
      <selection pane="bottomRight"/>
    </sheetView>
  </sheetViews>
  <sheetFormatPr defaultRowHeight="12.75" outlineLevelRow="2" outlineLevelCol="2"/>
  <cols>
    <col min="1" max="1" width="1.7109375" style="121" customWidth="1"/>
    <col min="2" max="2" width="1.5703125" style="121" customWidth="1"/>
    <col min="3" max="3" width="4.42578125" style="508" customWidth="1"/>
    <col min="4" max="4" width="3.85546875" style="509" customWidth="1"/>
    <col min="5" max="5" width="41.7109375" style="509" customWidth="1"/>
    <col min="6" max="6" width="1.140625" style="121" customWidth="1" outlineLevel="1"/>
    <col min="7" max="10" width="10" style="509" customWidth="1" outlineLevel="2"/>
    <col min="11" max="11" width="10" style="530" customWidth="1" outlineLevel="2"/>
    <col min="12" max="16" width="10" style="509" customWidth="1" outlineLevel="2"/>
    <col min="17" max="17" width="10" style="509" customWidth="1" outlineLevel="1"/>
    <col min="18" max="18" width="1.140625" style="121" customWidth="1" outlineLevel="1"/>
    <col min="19" max="36" width="10" style="509" customWidth="1" outlineLevel="2"/>
    <col min="37" max="37" width="10" style="509" customWidth="1" outlineLevel="1"/>
    <col min="38" max="38" width="1.140625" style="121" customWidth="1" outlineLevel="1"/>
    <col min="39" max="57" width="10" style="509" customWidth="1" outlineLevel="2"/>
    <col min="58" max="58" width="10" style="509" customWidth="1" outlineLevel="1"/>
    <col min="59" max="59" width="1.140625" style="121" customWidth="1" outlineLevel="1"/>
    <col min="60" max="61" width="10" style="509" customWidth="1" outlineLevel="2"/>
    <col min="62" max="62" width="10" style="509" customWidth="1" outlineLevel="1"/>
    <col min="63" max="63" width="1.140625" style="121" customWidth="1" outlineLevel="1"/>
    <col min="64" max="64" width="11" style="509" customWidth="1" outlineLevel="1"/>
    <col min="65" max="65" width="5.28515625" style="509" customWidth="1"/>
    <col min="66" max="66" width="9.140625" style="121"/>
    <col min="67" max="110" width="7.5703125" style="121" customWidth="1"/>
    <col min="111" max="111" width="2.5703125" style="121" customWidth="1"/>
    <col min="112" max="16384" width="9.140625" style="121"/>
  </cols>
  <sheetData>
    <row r="1" spans="1:112" ht="6" customHeight="1"/>
    <row r="2" spans="1:112" ht="21" customHeight="1">
      <c r="D2" s="495"/>
      <c r="E2" s="965">
        <v>2015</v>
      </c>
      <c r="G2" s="121"/>
      <c r="H2" s="121"/>
      <c r="I2" s="121"/>
      <c r="J2" s="121"/>
      <c r="K2" s="121"/>
      <c r="L2" s="121"/>
      <c r="M2" s="121"/>
      <c r="N2" s="121"/>
      <c r="O2" s="121"/>
      <c r="P2" s="121"/>
      <c r="Q2" s="121"/>
      <c r="S2" s="121"/>
      <c r="T2" s="121"/>
      <c r="U2" s="121"/>
      <c r="V2" s="121"/>
      <c r="W2" s="121"/>
      <c r="X2" s="121"/>
      <c r="Y2" s="121"/>
      <c r="Z2" s="121"/>
      <c r="AA2" s="121"/>
      <c r="AB2" s="121"/>
      <c r="AC2" s="121"/>
      <c r="AD2" s="121"/>
      <c r="AE2" s="121"/>
      <c r="AF2" s="121"/>
      <c r="AG2" s="121"/>
      <c r="AH2" s="121"/>
      <c r="AI2" s="121"/>
      <c r="AJ2" s="121"/>
      <c r="AK2" s="121"/>
      <c r="AM2" s="121"/>
      <c r="AN2" s="121"/>
      <c r="AO2" s="121"/>
      <c r="AP2" s="121"/>
      <c r="AQ2" s="121"/>
      <c r="AR2" s="121"/>
      <c r="AS2" s="121"/>
      <c r="AT2" s="121"/>
      <c r="AU2" s="121"/>
      <c r="AV2" s="121"/>
      <c r="AW2" s="121"/>
      <c r="AX2" s="121"/>
      <c r="AY2" s="121"/>
      <c r="AZ2" s="121"/>
      <c r="BA2" s="121"/>
      <c r="BB2" s="121"/>
      <c r="BC2" s="121"/>
      <c r="BD2" s="121"/>
      <c r="BE2" s="121"/>
      <c r="BF2" s="121"/>
      <c r="BH2" s="121"/>
      <c r="BI2" s="121"/>
      <c r="BJ2" s="121"/>
      <c r="BL2" s="121"/>
      <c r="BM2" s="681"/>
    </row>
    <row r="3" spans="1:112" ht="39" customHeight="1">
      <c r="A3" s="754"/>
      <c r="B3" s="754"/>
      <c r="C3" s="754"/>
      <c r="D3" s="500"/>
      <c r="E3" s="808" t="str">
        <f>Preferences.EnergyUnits</f>
        <v>TWh</v>
      </c>
      <c r="G3" s="994" t="s">
        <v>751</v>
      </c>
      <c r="H3" s="994"/>
      <c r="I3" s="994"/>
      <c r="J3" s="994"/>
      <c r="K3" s="994"/>
      <c r="L3" s="994"/>
      <c r="M3" s="994"/>
      <c r="N3" s="994"/>
      <c r="O3" s="994"/>
      <c r="P3" s="994"/>
      <c r="Q3" s="994"/>
      <c r="S3" s="1133" t="s">
        <v>689</v>
      </c>
      <c r="T3" s="1134"/>
      <c r="U3" s="1134"/>
      <c r="V3" s="1134"/>
      <c r="W3" s="1134"/>
      <c r="X3" s="1138"/>
      <c r="Y3" s="1134"/>
      <c r="Z3" s="1134"/>
      <c r="AA3" s="1134"/>
      <c r="AB3" s="1134"/>
      <c r="AC3" s="1134"/>
      <c r="AD3" s="1134"/>
      <c r="AE3" s="1134"/>
      <c r="AF3" s="1134"/>
      <c r="AG3" s="1134"/>
      <c r="AH3" s="1134"/>
      <c r="AI3" s="1134"/>
      <c r="AJ3" s="1134"/>
      <c r="AK3" s="1137"/>
      <c r="AM3" s="1135" t="s">
        <v>1063</v>
      </c>
      <c r="AN3" s="1136"/>
      <c r="AO3" s="1136"/>
      <c r="AP3" s="1139"/>
      <c r="AQ3" s="1136"/>
      <c r="AR3" s="1136"/>
      <c r="AS3" s="1136"/>
      <c r="AT3" s="1136"/>
      <c r="AU3" s="1136"/>
      <c r="AV3" s="1136"/>
      <c r="AW3" s="1136"/>
      <c r="AX3" s="1136"/>
      <c r="AY3" s="1136"/>
      <c r="AZ3" s="1136"/>
      <c r="BA3" s="1136"/>
      <c r="BB3" s="1136"/>
      <c r="BC3" s="1136"/>
      <c r="BD3" s="1136"/>
      <c r="BE3" s="1136"/>
      <c r="BF3" s="1140"/>
      <c r="BH3" s="1025" t="s">
        <v>944</v>
      </c>
      <c r="BI3" s="1003"/>
      <c r="BJ3" s="1003"/>
      <c r="BL3" s="504"/>
      <c r="BM3" s="504"/>
      <c r="BN3" s="754"/>
      <c r="BO3" s="1142" t="s">
        <v>1067</v>
      </c>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3"/>
      <c r="CM3" s="1143"/>
      <c r="CN3" s="1143"/>
      <c r="CO3" s="1143"/>
      <c r="CP3" s="1143"/>
      <c r="CQ3" s="1143"/>
      <c r="CR3" s="1143"/>
      <c r="CS3" s="1143"/>
      <c r="CT3" s="1143"/>
      <c r="CU3" s="1143"/>
      <c r="CV3" s="1143"/>
      <c r="CW3" s="1143"/>
      <c r="CX3" s="1143"/>
      <c r="CY3" s="1143"/>
      <c r="CZ3" s="1143"/>
      <c r="DA3" s="1143"/>
      <c r="DB3" s="1143"/>
      <c r="DC3" s="1280"/>
      <c r="DD3" s="1280"/>
      <c r="DE3" s="1280"/>
      <c r="DF3" s="1280"/>
    </row>
    <row r="4" spans="1:112" ht="36.75" customHeight="1">
      <c r="C4" s="505"/>
      <c r="D4" s="505"/>
      <c r="G4" s="966" t="str">
        <f>INDEX(Vectors[Description], MATCH(G$5,Vectors[Code],FALSE))</f>
        <v>Heating and cooling</v>
      </c>
      <c r="H4" s="966" t="str">
        <f>INDEX(Vectors[Description], MATCH(H$5,Vectors[Code],FALSE))</f>
        <v>Lighting &amp; appliances</v>
      </c>
      <c r="I4" s="966" t="str">
        <f>INDEX(Vectors[Description], MATCH(I$5,Vectors[Code],FALSE))</f>
        <v>Industry</v>
      </c>
      <c r="J4" s="966" t="str">
        <f>INDEX(Vectors[Description], MATCH(J$5,Vectors[Code],FALSE))</f>
        <v>Road transport</v>
      </c>
      <c r="K4" s="966" t="str">
        <f>INDEX(Vectors[Description], MATCH(K$5,Vectors[Code],FALSE))</f>
        <v>Rail transport</v>
      </c>
      <c r="L4" s="966" t="str">
        <f>INDEX(Vectors[Description], MATCH(L$5,Vectors[Code],FALSE))</f>
        <v>Domestic aviation</v>
      </c>
      <c r="M4" s="966" t="str">
        <f>INDEX(Vectors[Description], MATCH(M$5,Vectors[Code],FALSE))</f>
        <v>National navigation</v>
      </c>
      <c r="N4" s="966" t="str">
        <f>INDEX(Vectors[Description], MATCH(N$5,Vectors[Code],FALSE))</f>
        <v>International aviation</v>
      </c>
      <c r="O4" s="966" t="str">
        <f>INDEX(Vectors[Description], MATCH(O$5,Vectors[Code],FALSE))</f>
        <v>International shipping</v>
      </c>
      <c r="P4" s="966" t="str">
        <f>INDEX(Vectors[Description], MATCH(P$5,Vectors[Code],FALSE))</f>
        <v>Food consumption [UNUSED]</v>
      </c>
      <c r="Q4" s="983" t="s">
        <v>949</v>
      </c>
      <c r="S4" s="967" t="str">
        <f>INDEX(Vectors[Description], MATCH(S$5,Vectors[Code],FALSE))</f>
        <v>Electricity (delivered to end user)</v>
      </c>
      <c r="T4" s="967" t="str">
        <f>INDEX(Vectors[Description], MATCH(T$5,Vectors[Code],FALSE))</f>
        <v>Electricity (supplied to grid)</v>
      </c>
      <c r="U4" s="967" t="str">
        <f>INDEX(Vectors[Description], MATCH(U$5,Vectors[Code],FALSE))</f>
        <v>Solid hydrocarbons</v>
      </c>
      <c r="V4" s="967" t="str">
        <f>INDEX(Vectors[Description], MATCH(V$5,Vectors[Code],FALSE))</f>
        <v>Liquid hydrocarbons</v>
      </c>
      <c r="W4" s="967" t="str">
        <f>INDEX(Vectors[Description], MATCH(W$5,Vectors[Code],FALSE))</f>
        <v>Gaseous hydrocarbons</v>
      </c>
      <c r="X4" s="967" t="str">
        <f>INDEX(Vectors[Description], MATCH(X$5,Vectors[Code],FALSE))</f>
        <v>Coal and fossil waste</v>
      </c>
      <c r="Y4" s="967" t="str">
        <f>INDEX(Vectors[Description], MATCH(Y$5,Vectors[Code],FALSE))</f>
        <v>Oil and petroleum products</v>
      </c>
      <c r="Z4" s="967" t="str">
        <f>INDEX(Vectors[Description], MATCH(Z$5,Vectors[Code],FALSE))</f>
        <v>Natural gas</v>
      </c>
      <c r="AA4" s="967" t="str">
        <f>INDEX(Vectors[Description], MATCH(AA$5,Vectors[Code],FALSE))</f>
        <v>Blast furnace gas</v>
      </c>
      <c r="AB4" s="967" t="str">
        <f>INDEX(Vectors[Description], MATCH(AB$5,Vectors[Code],FALSE))</f>
        <v>Heat transport</v>
      </c>
      <c r="AC4" s="967" t="str">
        <f>INDEX(Vectors[Description], MATCH(AC$5,Vectors[Code],FALSE))</f>
        <v>Edible biomatter</v>
      </c>
      <c r="AD4" s="967" t="str">
        <f>INDEX(Vectors[Description], MATCH(AD$5,Vectors[Code],FALSE))</f>
        <v>Energy crops (second generation)</v>
      </c>
      <c r="AE4" s="967" t="str">
        <f>INDEX(Vectors[Description], MATCH(AE$5,Vectors[Code],FALSE))</f>
        <v>Energy crops (first generation)</v>
      </c>
      <c r="AF4" s="967" t="str">
        <f>INDEX(Vectors[Description], MATCH(AF$5,Vectors[Code],FALSE))</f>
        <v>Dry biomatter and waste</v>
      </c>
      <c r="AG4" s="967" t="str">
        <f>INDEX(Vectors[Description], MATCH(AG$5,Vectors[Code],FALSE))</f>
        <v>Wet biomatter and waste</v>
      </c>
      <c r="AH4" s="967" t="str">
        <f>INDEX(Vectors[Description], MATCH(AH$5,Vectors[Code],FALSE))</f>
        <v>Gaseous waste</v>
      </c>
      <c r="AI4" s="967" t="str">
        <f>INDEX(Vectors[Description], MATCH(AI$5,Vectors[Code],FALSE))</f>
        <v>Domestic solar thermal</v>
      </c>
      <c r="AJ4" s="967" t="str">
        <f>INDEX(Vectors[Description], MATCH(AJ$5,Vectors[Code],FALSE))</f>
        <v>H2</v>
      </c>
      <c r="AK4" s="997" t="s">
        <v>685</v>
      </c>
      <c r="AM4" s="981" t="str">
        <f>INDEX(Vectors[Description], MATCH(AM$5,Vectors[Code],FALSE))</f>
        <v>Coal reserves</v>
      </c>
      <c r="AN4" s="981" t="str">
        <f>INDEX(Vectors[Description], MATCH(AN$5,Vectors[Code],FALSE))</f>
        <v>Oil reserves</v>
      </c>
      <c r="AO4" s="981" t="str">
        <f>INDEX(Vectors[Description], MATCH(AO$5,Vectors[Code],FALSE))</f>
        <v>Gas reserves</v>
      </c>
      <c r="AP4" s="981" t="str">
        <f>INDEX(Vectors[Description], MATCH(AP$5,Vectors[Code],FALSE))</f>
        <v>Biomatter exports (imports)</v>
      </c>
      <c r="AQ4" s="981" t="str">
        <f>INDEX(Vectors[Description], MATCH(AQ$5,Vectors[Code],FALSE))</f>
        <v>Electricity exports (imports)</v>
      </c>
      <c r="AR4" s="981" t="str">
        <f>INDEX(Vectors[Description], MATCH(AR$5,Vectors[Code],FALSE))</f>
        <v>Petroleum products exports</v>
      </c>
      <c r="AS4" s="981" t="str">
        <f>INDEX(Vectors[Description], MATCH(AS$5,Vectors[Code],FALSE))</f>
        <v>Coal exports (imports)</v>
      </c>
      <c r="AT4" s="981" t="str">
        <f>INDEX(Vectors[Description], MATCH(AT$5,Vectors[Code],FALSE))</f>
        <v>Oil and petroleum products exports (imports)</v>
      </c>
      <c r="AU4" s="981" t="str">
        <f>INDEX(Vectors[Description], MATCH(AU$5,Vectors[Code],FALSE))</f>
        <v>Gas exports (imports)</v>
      </c>
      <c r="AV4" s="981" t="str">
        <f>INDEX(Vectors[Description], MATCH(AV$5,Vectors[Code],FALSE))</f>
        <v>Nuclear fission</v>
      </c>
      <c r="AW4" s="981" t="str">
        <f>INDEX(Vectors[Description], MATCH(AW$5,Vectors[Code],FALSE))</f>
        <v>Solar</v>
      </c>
      <c r="AX4" s="981" t="str">
        <f>INDEX(Vectors[Description], MATCH(AX$5,Vectors[Code],FALSE))</f>
        <v>Wind</v>
      </c>
      <c r="AY4" s="981" t="str">
        <f>INDEX(Vectors[Description], MATCH(AY$5,Vectors[Code],FALSE))</f>
        <v>Tidal</v>
      </c>
      <c r="AZ4" s="981" t="str">
        <f>INDEX(Vectors[Description], MATCH(AZ$5,Vectors[Code],FALSE))</f>
        <v>Wave</v>
      </c>
      <c r="BA4" s="981" t="str">
        <f>INDEX(Vectors[Description], MATCH(BA$5,Vectors[Code],FALSE))</f>
        <v>Geothermal</v>
      </c>
      <c r="BB4" s="981" t="str">
        <f>INDEX(Vectors[Description], MATCH(BB$5,Vectors[Code],FALSE))</f>
        <v>Hydro</v>
      </c>
      <c r="BC4" s="981" t="str">
        <f>INDEX(Vectors[Description], MATCH(BC$5,Vectors[Code],FALSE))</f>
        <v>Environmental heat</v>
      </c>
      <c r="BD4" s="981" t="str">
        <f>INDEX(Vectors[Description], MATCH(BD$5,Vectors[Code],FALSE))</f>
        <v>Agriculture</v>
      </c>
      <c r="BE4" s="981" t="str">
        <f>INDEX(Vectors[Description], MATCH(BE$5,Vectors[Code],FALSE))</f>
        <v>Waste</v>
      </c>
      <c r="BF4" s="999" t="s">
        <v>686</v>
      </c>
      <c r="BH4" s="986" t="str">
        <f>INDEX(Vectors[Description], MATCH(BH$5,Vectors[Code],FALSE))</f>
        <v>Conversion losses</v>
      </c>
      <c r="BI4" s="986" t="str">
        <f>INDEX(Vectors[Description], MATCH(BI$5,Vectors[Code],FALSE))</f>
        <v>Distribution losses and own use</v>
      </c>
      <c r="BJ4" s="1001" t="s">
        <v>943</v>
      </c>
      <c r="BL4" s="507" t="str">
        <f>INDEX(Vectors[Description], MATCH(BL$5,Vectors[Code],FALSE))</f>
        <v>Unallocated</v>
      </c>
      <c r="BM4" s="507"/>
      <c r="BO4" s="1151" t="str">
        <f>INDEX(IPCC[Sector_description], MATCH(BO$5, IPCC[Sector_code], 0))</f>
        <v>Fuel Combustion</v>
      </c>
      <c r="BP4" s="1152"/>
      <c r="BQ4" s="1152"/>
      <c r="BR4" s="1153"/>
      <c r="BS4" s="1151" t="str">
        <f>INDEX(IPCC[Sector_description], MATCH(BS$5, IPCC[Sector_code], 0))</f>
        <v>Fugitive Emissions from Fuels</v>
      </c>
      <c r="BT4" s="1152"/>
      <c r="BU4" s="1152"/>
      <c r="BV4" s="1153"/>
      <c r="BW4" s="1151" t="str">
        <f>INDEX(IPCC[Sector_description], MATCH(BW$5, IPCC[Sector_code], 0))</f>
        <v>Industrial Processes</v>
      </c>
      <c r="BX4" s="1152"/>
      <c r="BY4" s="1152"/>
      <c r="BZ4" s="1153"/>
      <c r="CA4" s="1151" t="str">
        <f>INDEX(IPCC[Sector_description], MATCH(CA$5, IPCC[Sector_code], 0))</f>
        <v>Solvent and Other Product Use</v>
      </c>
      <c r="CB4" s="1152"/>
      <c r="CC4" s="1152"/>
      <c r="CD4" s="1153"/>
      <c r="CE4" s="1151" t="str">
        <f>INDEX(IPCC[Sector_description], MATCH(CE$5, IPCC[Sector_code], 0))</f>
        <v>Agriculture</v>
      </c>
      <c r="CF4" s="1152"/>
      <c r="CG4" s="1152"/>
      <c r="CH4" s="1153"/>
      <c r="CI4" s="1151" t="str">
        <f>INDEX(IPCC[Sector_description], MATCH(CI$5, IPCC[Sector_code], 0))</f>
        <v>Land Use, Land-Use Change and Forestry</v>
      </c>
      <c r="CJ4" s="1152"/>
      <c r="CK4" s="1152"/>
      <c r="CL4" s="1153"/>
      <c r="CM4" s="1151" t="str">
        <f>INDEX(IPCC[Sector_description], MATCH(CM$5, IPCC[Sector_code], 0))</f>
        <v>Waste</v>
      </c>
      <c r="CN4" s="1152"/>
      <c r="CO4" s="1152"/>
      <c r="CP4" s="1153"/>
      <c r="CQ4" s="1151" t="str">
        <f>INDEX(IPCC[Sector_description], MATCH(CQ$5, IPCC[Sector_code], 0))</f>
        <v>Other</v>
      </c>
      <c r="CR4" s="1152"/>
      <c r="CS4" s="1152"/>
      <c r="CT4" s="1153"/>
      <c r="CU4" s="1151" t="str">
        <f>INDEX(IPCC[Sector_description], MATCH(CU$5, IPCC[Sector_code], 0))</f>
        <v>International Aviation and Shipping</v>
      </c>
      <c r="CV4" s="1152"/>
      <c r="CW4" s="1152"/>
      <c r="CX4" s="1153"/>
      <c r="CY4" s="1151" t="str">
        <f>INDEX(IPCC[Sector_description], MATCH(CY$5, IPCC[Sector_code], 0))</f>
        <v>Bioenergy credit</v>
      </c>
      <c r="CZ4" s="1152"/>
      <c r="DA4" s="1152"/>
      <c r="DB4" s="1153"/>
      <c r="DC4" s="1151" t="str">
        <f>INDEX(IPCC[Sector_description], MATCH(DC$5, IPCC[Sector_code], 0))</f>
        <v>Carbon capture</v>
      </c>
      <c r="DD4" s="1152"/>
      <c r="DE4" s="1152"/>
      <c r="DF4" s="1153"/>
      <c r="DH4" s="1479" t="s">
        <v>148</v>
      </c>
    </row>
    <row r="5" spans="1:112">
      <c r="D5" s="951" t="s">
        <v>200</v>
      </c>
      <c r="G5" s="984" t="s">
        <v>6</v>
      </c>
      <c r="H5" s="984" t="s">
        <v>57</v>
      </c>
      <c r="I5" s="984" t="s">
        <v>13</v>
      </c>
      <c r="J5" s="984" t="s">
        <v>36</v>
      </c>
      <c r="K5" s="984" t="s">
        <v>37</v>
      </c>
      <c r="L5" s="984" t="s">
        <v>38</v>
      </c>
      <c r="M5" s="984" t="s">
        <v>39</v>
      </c>
      <c r="N5" s="984" t="s">
        <v>966</v>
      </c>
      <c r="O5" s="984" t="s">
        <v>967</v>
      </c>
      <c r="P5" s="984" t="s">
        <v>40</v>
      </c>
      <c r="Q5" s="984"/>
      <c r="S5" s="985" t="s">
        <v>45</v>
      </c>
      <c r="T5" s="985" t="s">
        <v>46</v>
      </c>
      <c r="U5" s="985" t="s">
        <v>47</v>
      </c>
      <c r="V5" s="985" t="s">
        <v>49</v>
      </c>
      <c r="W5" s="985" t="s">
        <v>50</v>
      </c>
      <c r="X5" s="985" t="s">
        <v>64</v>
      </c>
      <c r="Y5" s="985" t="s">
        <v>65</v>
      </c>
      <c r="Z5" s="985" t="s">
        <v>66</v>
      </c>
      <c r="AA5" s="985" t="s">
        <v>108</v>
      </c>
      <c r="AB5" s="985" t="s">
        <v>753</v>
      </c>
      <c r="AC5" s="985" t="s">
        <v>754</v>
      </c>
      <c r="AD5" s="985" t="s">
        <v>1801</v>
      </c>
      <c r="AE5" s="985" t="s">
        <v>2291</v>
      </c>
      <c r="AF5" s="985" t="s">
        <v>755</v>
      </c>
      <c r="AG5" s="985" t="s">
        <v>929</v>
      </c>
      <c r="AH5" s="985" t="s">
        <v>2294</v>
      </c>
      <c r="AI5" s="985" t="s">
        <v>1331</v>
      </c>
      <c r="AJ5" s="985" t="s">
        <v>1476</v>
      </c>
      <c r="AK5" s="985"/>
      <c r="AM5" s="982" t="s">
        <v>999</v>
      </c>
      <c r="AN5" s="982" t="s">
        <v>1000</v>
      </c>
      <c r="AO5" s="982" t="s">
        <v>1001</v>
      </c>
      <c r="AP5" s="982" t="s">
        <v>59</v>
      </c>
      <c r="AQ5" s="982" t="s">
        <v>60</v>
      </c>
      <c r="AR5" s="982" t="s">
        <v>799</v>
      </c>
      <c r="AS5" s="982" t="s">
        <v>991</v>
      </c>
      <c r="AT5" s="982" t="s">
        <v>992</v>
      </c>
      <c r="AU5" s="982" t="s">
        <v>993</v>
      </c>
      <c r="AV5" s="982" t="s">
        <v>7</v>
      </c>
      <c r="AW5" s="982" t="s">
        <v>33</v>
      </c>
      <c r="AX5" s="982" t="s">
        <v>8</v>
      </c>
      <c r="AY5" s="982" t="s">
        <v>9</v>
      </c>
      <c r="AZ5" s="982" t="s">
        <v>10</v>
      </c>
      <c r="BA5" s="982" t="s">
        <v>11</v>
      </c>
      <c r="BB5" s="982" t="s">
        <v>12</v>
      </c>
      <c r="BC5" s="982" t="s">
        <v>104</v>
      </c>
      <c r="BD5" s="982" t="s">
        <v>1027</v>
      </c>
      <c r="BE5" s="982" t="s">
        <v>54</v>
      </c>
      <c r="BF5" s="982"/>
      <c r="BH5" s="987" t="s">
        <v>34</v>
      </c>
      <c r="BI5" s="987" t="s">
        <v>35</v>
      </c>
      <c r="BJ5" s="987"/>
      <c r="BL5" s="502" t="s">
        <v>61</v>
      </c>
      <c r="BM5" s="502"/>
      <c r="BO5" s="1154" t="s">
        <v>1065</v>
      </c>
      <c r="BP5" s="1155" t="s">
        <v>1065</v>
      </c>
      <c r="BQ5" s="1155" t="s">
        <v>1065</v>
      </c>
      <c r="BR5" s="1156" t="s">
        <v>1065</v>
      </c>
      <c r="BS5" s="1154" t="s">
        <v>1064</v>
      </c>
      <c r="BT5" s="1155" t="s">
        <v>1064</v>
      </c>
      <c r="BU5" s="1155" t="s">
        <v>1064</v>
      </c>
      <c r="BV5" s="1156" t="s">
        <v>1064</v>
      </c>
      <c r="BW5" s="1154">
        <v>2</v>
      </c>
      <c r="BX5" s="1155">
        <v>2</v>
      </c>
      <c r="BY5" s="1155">
        <v>2</v>
      </c>
      <c r="BZ5" s="1156">
        <v>2</v>
      </c>
      <c r="CA5" s="1154">
        <v>3</v>
      </c>
      <c r="CB5" s="1155">
        <v>3</v>
      </c>
      <c r="CC5" s="1155">
        <v>3</v>
      </c>
      <c r="CD5" s="1156">
        <v>3</v>
      </c>
      <c r="CE5" s="1154">
        <v>4</v>
      </c>
      <c r="CF5" s="1155">
        <v>4</v>
      </c>
      <c r="CG5" s="1155">
        <v>4</v>
      </c>
      <c r="CH5" s="1156">
        <v>4</v>
      </c>
      <c r="CI5" s="1154">
        <v>5</v>
      </c>
      <c r="CJ5" s="1155">
        <v>5</v>
      </c>
      <c r="CK5" s="1155">
        <v>5</v>
      </c>
      <c r="CL5" s="1156">
        <v>5</v>
      </c>
      <c r="CM5" s="1154">
        <v>6</v>
      </c>
      <c r="CN5" s="1155">
        <v>6</v>
      </c>
      <c r="CO5" s="1155">
        <v>6</v>
      </c>
      <c r="CP5" s="1156">
        <v>6</v>
      </c>
      <c r="CQ5" s="1154">
        <v>7</v>
      </c>
      <c r="CR5" s="1155">
        <v>7</v>
      </c>
      <c r="CS5" s="1155">
        <v>7</v>
      </c>
      <c r="CT5" s="1156">
        <v>7</v>
      </c>
      <c r="CU5" s="1154" t="s">
        <v>1050</v>
      </c>
      <c r="CV5" s="1155" t="s">
        <v>1050</v>
      </c>
      <c r="CW5" s="1155" t="s">
        <v>1050</v>
      </c>
      <c r="CX5" s="1156" t="s">
        <v>1050</v>
      </c>
      <c r="CY5" s="1154" t="s">
        <v>1051</v>
      </c>
      <c r="CZ5" s="1155" t="s">
        <v>1051</v>
      </c>
      <c r="DA5" s="1155" t="s">
        <v>1051</v>
      </c>
      <c r="DB5" s="1156" t="s">
        <v>1051</v>
      </c>
      <c r="DC5" s="1154" t="s">
        <v>1078</v>
      </c>
      <c r="DD5" s="1155" t="s">
        <v>1078</v>
      </c>
      <c r="DE5" s="1155" t="s">
        <v>1078</v>
      </c>
      <c r="DF5" s="1156" t="s">
        <v>1078</v>
      </c>
    </row>
    <row r="6" spans="1:112" ht="15.75" customHeight="1">
      <c r="G6" s="955"/>
      <c r="H6" s="955"/>
      <c r="I6" s="955"/>
      <c r="J6" s="955"/>
      <c r="K6" s="956"/>
      <c r="L6" s="955"/>
      <c r="M6" s="955"/>
      <c r="N6" s="955"/>
      <c r="O6" s="955"/>
      <c r="P6" s="955"/>
      <c r="Q6" s="955"/>
      <c r="S6" s="968"/>
      <c r="T6" s="968"/>
      <c r="U6" s="968"/>
      <c r="V6" s="968"/>
      <c r="W6" s="968"/>
      <c r="X6" s="968"/>
      <c r="Y6" s="968"/>
      <c r="Z6" s="968"/>
      <c r="AA6" s="968"/>
      <c r="AB6" s="968"/>
      <c r="AC6" s="968"/>
      <c r="AD6" s="968"/>
      <c r="AE6" s="968"/>
      <c r="AF6" s="968"/>
      <c r="AG6" s="968"/>
      <c r="AH6" s="968"/>
      <c r="AI6" s="968"/>
      <c r="AJ6" s="968"/>
      <c r="AK6" s="968"/>
      <c r="AM6" s="974"/>
      <c r="AN6" s="974"/>
      <c r="AO6" s="974"/>
      <c r="AP6" s="974"/>
      <c r="AQ6" s="974"/>
      <c r="AR6" s="974"/>
      <c r="AS6" s="974"/>
      <c r="AT6" s="974"/>
      <c r="AU6" s="974"/>
      <c r="AV6" s="974"/>
      <c r="AW6" s="974"/>
      <c r="AX6" s="974"/>
      <c r="AY6" s="974"/>
      <c r="AZ6" s="974"/>
      <c r="BA6" s="974"/>
      <c r="BB6" s="974"/>
      <c r="BC6" s="974"/>
      <c r="BD6" s="974"/>
      <c r="BE6" s="974"/>
      <c r="BF6" s="974"/>
      <c r="BH6" s="988"/>
      <c r="BI6" s="988"/>
      <c r="BJ6" s="988"/>
      <c r="BL6" s="511"/>
      <c r="BM6" s="511"/>
      <c r="BO6" s="1144" t="s">
        <v>1055</v>
      </c>
      <c r="BP6" s="1144" t="s">
        <v>1056</v>
      </c>
      <c r="BQ6" s="1144" t="s">
        <v>1057</v>
      </c>
      <c r="BR6" s="1144" t="s">
        <v>1058</v>
      </c>
      <c r="BS6" s="1144" t="s">
        <v>1055</v>
      </c>
      <c r="BT6" s="1144" t="s">
        <v>1056</v>
      </c>
      <c r="BU6" s="1144" t="s">
        <v>1057</v>
      </c>
      <c r="BV6" s="1144" t="s">
        <v>1058</v>
      </c>
      <c r="BW6" s="1144" t="s">
        <v>1055</v>
      </c>
      <c r="BX6" s="1144" t="s">
        <v>1056</v>
      </c>
      <c r="BY6" s="1144" t="s">
        <v>1057</v>
      </c>
      <c r="BZ6" s="1144" t="s">
        <v>1058</v>
      </c>
      <c r="CA6" s="1144" t="s">
        <v>1055</v>
      </c>
      <c r="CB6" s="1144" t="s">
        <v>1056</v>
      </c>
      <c r="CC6" s="1144" t="s">
        <v>1057</v>
      </c>
      <c r="CD6" s="1144" t="s">
        <v>1058</v>
      </c>
      <c r="CE6" s="1144" t="s">
        <v>1055</v>
      </c>
      <c r="CF6" s="1144" t="s">
        <v>1056</v>
      </c>
      <c r="CG6" s="1144" t="s">
        <v>1057</v>
      </c>
      <c r="CH6" s="1144" t="s">
        <v>1058</v>
      </c>
      <c r="CI6" s="1144" t="s">
        <v>1055</v>
      </c>
      <c r="CJ6" s="1144" t="s">
        <v>1056</v>
      </c>
      <c r="CK6" s="1144" t="s">
        <v>1057</v>
      </c>
      <c r="CL6" s="1144" t="s">
        <v>1058</v>
      </c>
      <c r="CM6" s="1144" t="s">
        <v>1055</v>
      </c>
      <c r="CN6" s="1144" t="s">
        <v>1056</v>
      </c>
      <c r="CO6" s="1144" t="s">
        <v>1057</v>
      </c>
      <c r="CP6" s="1144" t="s">
        <v>1058</v>
      </c>
      <c r="CQ6" s="1144" t="s">
        <v>1055</v>
      </c>
      <c r="CR6" s="1144" t="s">
        <v>1056</v>
      </c>
      <c r="CS6" s="1144" t="s">
        <v>1057</v>
      </c>
      <c r="CT6" s="1144" t="s">
        <v>1058</v>
      </c>
      <c r="CU6" s="1144" t="s">
        <v>1055</v>
      </c>
      <c r="CV6" s="1144" t="s">
        <v>1056</v>
      </c>
      <c r="CW6" s="1144" t="s">
        <v>1057</v>
      </c>
      <c r="CX6" s="1144" t="s">
        <v>1058</v>
      </c>
      <c r="CY6" s="1144" t="s">
        <v>1055</v>
      </c>
      <c r="CZ6" s="1144" t="s">
        <v>1056</v>
      </c>
      <c r="DA6" s="1144" t="s">
        <v>1057</v>
      </c>
      <c r="DB6" s="1144" t="s">
        <v>1058</v>
      </c>
      <c r="DC6" s="1144" t="s">
        <v>1055</v>
      </c>
      <c r="DD6" s="1144" t="s">
        <v>1056</v>
      </c>
      <c r="DE6" s="1144" t="s">
        <v>1057</v>
      </c>
      <c r="DF6" s="1144" t="s">
        <v>1058</v>
      </c>
    </row>
    <row r="7" spans="1:112" ht="18" customHeight="1">
      <c r="C7" s="501" t="s">
        <v>592</v>
      </c>
      <c r="D7" s="501"/>
      <c r="E7" s="639"/>
      <c r="G7" s="957"/>
      <c r="H7" s="957"/>
      <c r="I7" s="957"/>
      <c r="J7" s="957"/>
      <c r="K7" s="957"/>
      <c r="L7" s="957"/>
      <c r="M7" s="957"/>
      <c r="N7" s="957"/>
      <c r="O7" s="957"/>
      <c r="P7" s="957"/>
      <c r="Q7" s="957"/>
      <c r="S7" s="969"/>
      <c r="T7" s="969"/>
      <c r="U7" s="969"/>
      <c r="V7" s="969"/>
      <c r="W7" s="969"/>
      <c r="X7" s="969"/>
      <c r="Y7" s="969"/>
      <c r="Z7" s="969"/>
      <c r="AA7" s="969"/>
      <c r="AB7" s="969"/>
      <c r="AC7" s="969"/>
      <c r="AD7" s="969"/>
      <c r="AE7" s="969"/>
      <c r="AF7" s="969"/>
      <c r="AG7" s="969"/>
      <c r="AH7" s="969"/>
      <c r="AI7" s="969"/>
      <c r="AJ7" s="969"/>
      <c r="AK7" s="969"/>
      <c r="AM7" s="975"/>
      <c r="AN7" s="975"/>
      <c r="AO7" s="975"/>
      <c r="AP7" s="975"/>
      <c r="AQ7" s="975"/>
      <c r="AR7" s="975"/>
      <c r="AS7" s="975"/>
      <c r="AT7" s="975"/>
      <c r="AU7" s="975"/>
      <c r="AV7" s="975"/>
      <c r="AW7" s="975"/>
      <c r="AX7" s="975"/>
      <c r="AY7" s="975"/>
      <c r="AZ7" s="975"/>
      <c r="BA7" s="975"/>
      <c r="BB7" s="975"/>
      <c r="BC7" s="975"/>
      <c r="BD7" s="975"/>
      <c r="BE7" s="975"/>
      <c r="BF7" s="975"/>
      <c r="BH7" s="989"/>
      <c r="BI7" s="989"/>
      <c r="BJ7" s="989"/>
      <c r="BL7" s="514"/>
      <c r="BM7" s="514"/>
      <c r="BO7" s="1145"/>
      <c r="BP7" s="1145"/>
      <c r="BQ7" s="1145"/>
      <c r="BR7" s="1145"/>
      <c r="BS7" s="1145"/>
      <c r="BT7" s="1145"/>
      <c r="BU7" s="1145"/>
      <c r="BV7" s="1145"/>
      <c r="BW7" s="1145"/>
      <c r="BX7" s="1145"/>
      <c r="BY7" s="1145"/>
      <c r="BZ7" s="1145"/>
      <c r="CA7" s="1145"/>
      <c r="CB7" s="1145"/>
      <c r="CC7" s="1145"/>
      <c r="CD7" s="1145"/>
      <c r="CE7" s="1145"/>
      <c r="CF7" s="1145"/>
      <c r="CG7" s="1145"/>
      <c r="CH7" s="1145"/>
      <c r="CI7" s="1145"/>
      <c r="CJ7" s="1145"/>
      <c r="CK7" s="1145"/>
      <c r="CL7" s="1145"/>
      <c r="CM7" s="1145"/>
      <c r="CN7" s="1145"/>
      <c r="CO7" s="1145"/>
      <c r="CP7" s="1145"/>
      <c r="CQ7" s="1145"/>
      <c r="CR7" s="1145"/>
      <c r="CS7" s="1145"/>
      <c r="CT7" s="1145"/>
      <c r="CU7" s="1145"/>
      <c r="CV7" s="1145"/>
      <c r="CW7" s="1145"/>
      <c r="CX7" s="1145"/>
      <c r="CY7" s="1145"/>
      <c r="CZ7" s="1145"/>
      <c r="DA7" s="1145"/>
      <c r="DB7" s="1145"/>
      <c r="DC7" s="1145"/>
      <c r="DD7" s="1145"/>
      <c r="DE7" s="1145"/>
      <c r="DF7" s="1145"/>
    </row>
    <row r="8" spans="1:112" ht="6" hidden="1" customHeight="1" outlineLevel="1">
      <c r="G8" s="958"/>
      <c r="H8" s="958"/>
      <c r="I8" s="958"/>
      <c r="J8" s="958"/>
      <c r="K8" s="959"/>
      <c r="L8" s="958"/>
      <c r="M8" s="958"/>
      <c r="N8" s="958"/>
      <c r="O8" s="958"/>
      <c r="P8" s="958"/>
      <c r="Q8" s="958"/>
      <c r="S8" s="970"/>
      <c r="T8" s="970"/>
      <c r="U8" s="970"/>
      <c r="V8" s="970"/>
      <c r="W8" s="970"/>
      <c r="X8" s="970"/>
      <c r="Y8" s="970"/>
      <c r="Z8" s="970"/>
      <c r="AA8" s="970"/>
      <c r="AB8" s="970"/>
      <c r="AC8" s="970"/>
      <c r="AD8" s="970"/>
      <c r="AE8" s="970"/>
      <c r="AF8" s="970"/>
      <c r="AG8" s="970"/>
      <c r="AH8" s="970"/>
      <c r="AI8" s="970"/>
      <c r="AJ8" s="970"/>
      <c r="AK8" s="970"/>
      <c r="AM8" s="976"/>
      <c r="AN8" s="976"/>
      <c r="AO8" s="976"/>
      <c r="AP8" s="976"/>
      <c r="AQ8" s="976"/>
      <c r="AR8" s="976"/>
      <c r="AS8" s="976"/>
      <c r="AT8" s="976"/>
      <c r="AU8" s="976"/>
      <c r="AV8" s="976"/>
      <c r="AW8" s="976"/>
      <c r="AX8" s="976"/>
      <c r="AY8" s="976"/>
      <c r="AZ8" s="976"/>
      <c r="BA8" s="976"/>
      <c r="BB8" s="976"/>
      <c r="BC8" s="976"/>
      <c r="BD8" s="976"/>
      <c r="BE8" s="976"/>
      <c r="BF8" s="976"/>
      <c r="BH8" s="990"/>
      <c r="BI8" s="990"/>
      <c r="BJ8" s="990"/>
      <c r="BL8" s="515"/>
      <c r="BM8" s="515"/>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1146"/>
      <c r="DA8" s="1146"/>
      <c r="DB8" s="1146"/>
      <c r="DC8" s="1146"/>
      <c r="DD8" s="1146"/>
      <c r="DE8" s="1146"/>
      <c r="DF8" s="1146"/>
    </row>
    <row r="9" spans="1:112" s="743" customFormat="1" ht="10.5" hidden="1" customHeight="1" outlineLevel="2">
      <c r="A9" s="1480"/>
      <c r="B9" s="1480"/>
      <c r="C9" s="746" t="s">
        <v>829</v>
      </c>
      <c r="D9" s="1480" t="str">
        <f>INDEX(Modules[Module], MATCH($C9, Modules[Code], 0))</f>
        <v>Domestic space heating and hot water</v>
      </c>
      <c r="E9" s="521"/>
      <c r="G9" s="1017">
        <f ca="1">IFERROR(INDEX(INDIRECT($C9&amp;".Outputs["&amp;this.Year&amp;"]"), MATCH(G$5, INDIRECT($C9&amp;".Outputs[Vector]"), 0)), 0)</f>
        <v>430.86870681451069</v>
      </c>
      <c r="H9" s="1017">
        <f t="shared" ref="G9:P13" ca="1" si="0">IFERROR(INDEX(INDIRECT($C9&amp;".Outputs["&amp;this.Year&amp;"]"), MATCH(H$5, INDIRECT($C9&amp;".Outputs[Vector]"), 0)), 0)</f>
        <v>0</v>
      </c>
      <c r="I9" s="1017">
        <f t="shared" ca="1" si="0"/>
        <v>0</v>
      </c>
      <c r="J9" s="1017">
        <f t="shared" ca="1" si="0"/>
        <v>0</v>
      </c>
      <c r="K9" s="1017">
        <f t="shared" ca="1" si="0"/>
        <v>0</v>
      </c>
      <c r="L9" s="1017">
        <f t="shared" ca="1" si="0"/>
        <v>0</v>
      </c>
      <c r="M9" s="1017">
        <f t="shared" ca="1" si="0"/>
        <v>0</v>
      </c>
      <c r="N9" s="1017">
        <f t="shared" ca="1" si="0"/>
        <v>0</v>
      </c>
      <c r="O9" s="1017">
        <f t="shared" ca="1" si="0"/>
        <v>0</v>
      </c>
      <c r="P9" s="1017">
        <f t="shared" ca="1" si="0"/>
        <v>0</v>
      </c>
      <c r="Q9" s="1019">
        <f t="shared" ref="Q9:Q15" ca="1" si="1">SUM(G9:P9)</f>
        <v>430.86870681451069</v>
      </c>
      <c r="S9" s="1026">
        <f t="shared" ref="S9:BE13" ca="1" si="2">IFERROR(INDEX(INDIRECT($C9&amp;".Outputs["&amp;this.Year&amp;"]"), MATCH(S$5, INDIRECT($C9&amp;".Outputs[Vector]"), 0)), 0)</f>
        <v>-36.920774048245264</v>
      </c>
      <c r="T9" s="1026">
        <f t="shared" ca="1" si="2"/>
        <v>0</v>
      </c>
      <c r="U9" s="1026">
        <f t="shared" ca="1" si="2"/>
        <v>-10.921374269724915</v>
      </c>
      <c r="V9" s="1026">
        <f t="shared" ca="1" si="2"/>
        <v>-9.7954593965573977</v>
      </c>
      <c r="W9" s="1026">
        <f t="shared" ca="1" si="2"/>
        <v>-373.23109909998311</v>
      </c>
      <c r="X9" s="1026">
        <f t="shared" ref="X9:Z10" ca="1" si="3">IFERROR(INDEX(INDIRECT($C9&amp;".Outputs["&amp;this.Year&amp;"]"), MATCH(X$5, INDIRECT($C9&amp;".Outputs[Vector]"), 0)), 0)</f>
        <v>0</v>
      </c>
      <c r="Y9" s="1026">
        <f t="shared" ca="1" si="3"/>
        <v>0</v>
      </c>
      <c r="Z9" s="1026">
        <f t="shared" ca="1" si="3"/>
        <v>0</v>
      </c>
      <c r="AA9" s="1026">
        <f t="shared" ca="1" si="2"/>
        <v>0</v>
      </c>
      <c r="AB9" s="1026">
        <f t="shared" ca="1" si="2"/>
        <v>0</v>
      </c>
      <c r="AC9" s="1026">
        <f t="shared" ca="1" si="2"/>
        <v>0</v>
      </c>
      <c r="AD9" s="1026">
        <f t="shared" ca="1" si="2"/>
        <v>0</v>
      </c>
      <c r="AE9" s="1026">
        <f t="shared" ca="1" si="2"/>
        <v>0</v>
      </c>
      <c r="AF9" s="1026">
        <f t="shared" ca="1" si="2"/>
        <v>0</v>
      </c>
      <c r="AG9" s="1026">
        <f t="shared" ca="1" si="2"/>
        <v>0</v>
      </c>
      <c r="AH9" s="1026">
        <f t="shared" ca="1" si="2"/>
        <v>0</v>
      </c>
      <c r="AI9" s="1026">
        <f t="shared" ca="1" si="2"/>
        <v>0</v>
      </c>
      <c r="AJ9" s="1026">
        <f t="shared" ca="1" si="2"/>
        <v>0</v>
      </c>
      <c r="AK9" s="1027">
        <f t="shared" ref="AK9:AK15" ca="1" si="4">SUM(S9:AJ9)</f>
        <v>-430.86870681451069</v>
      </c>
      <c r="AM9" s="1038">
        <f t="shared" ref="AM9:AU10" ca="1" si="5">IFERROR(INDEX(INDIRECT($C9&amp;".Outputs["&amp;this.Year&amp;"]"), MATCH(AM$5, INDIRECT($C9&amp;".Outputs[Vector]"), 0)), 0)</f>
        <v>0</v>
      </c>
      <c r="AN9" s="1038">
        <f t="shared" ca="1" si="5"/>
        <v>0</v>
      </c>
      <c r="AO9" s="1038">
        <f t="shared" ca="1" si="5"/>
        <v>0</v>
      </c>
      <c r="AP9" s="1038">
        <f t="shared" ca="1" si="5"/>
        <v>0</v>
      </c>
      <c r="AQ9" s="1038">
        <f t="shared" ca="1" si="5"/>
        <v>0</v>
      </c>
      <c r="AR9" s="1038">
        <f t="shared" ca="1" si="5"/>
        <v>0</v>
      </c>
      <c r="AS9" s="1038">
        <f t="shared" ca="1" si="5"/>
        <v>0</v>
      </c>
      <c r="AT9" s="1038">
        <f t="shared" ca="1" si="5"/>
        <v>0</v>
      </c>
      <c r="AU9" s="1038">
        <f t="shared" ca="1" si="5"/>
        <v>0</v>
      </c>
      <c r="AV9" s="1038">
        <f t="shared" ca="1" si="2"/>
        <v>0</v>
      </c>
      <c r="AW9" s="1038">
        <f t="shared" ca="1" si="2"/>
        <v>0</v>
      </c>
      <c r="AX9" s="1038">
        <f t="shared" ca="1" si="2"/>
        <v>0</v>
      </c>
      <c r="AY9" s="1038">
        <f t="shared" ca="1" si="2"/>
        <v>0</v>
      </c>
      <c r="AZ9" s="1038">
        <f t="shared" ca="1" si="2"/>
        <v>0</v>
      </c>
      <c r="BA9" s="1038">
        <f t="shared" ca="1" si="2"/>
        <v>0</v>
      </c>
      <c r="BB9" s="1038">
        <f t="shared" ca="1" si="2"/>
        <v>0</v>
      </c>
      <c r="BC9" s="1038">
        <f t="shared" ca="1" si="2"/>
        <v>0</v>
      </c>
      <c r="BD9" s="1038">
        <f t="shared" ca="1" si="2"/>
        <v>0</v>
      </c>
      <c r="BE9" s="1038">
        <f t="shared" ca="1" si="2"/>
        <v>0</v>
      </c>
      <c r="BF9" s="977">
        <f t="shared" ref="BF9:BF15" ca="1" si="6">SUM(AM9:BE9)</f>
        <v>0</v>
      </c>
      <c r="BH9" s="1032">
        <f t="shared" ref="BH9:BI13" ca="1" si="7">IFERROR(INDEX(INDIRECT($C9&amp;".Outputs["&amp;this.Year&amp;"]"), MATCH(BH$5, INDIRECT($C9&amp;".Outputs[Vector]"), 0)), 0)</f>
        <v>0</v>
      </c>
      <c r="BI9" s="1032">
        <f t="shared" ca="1" si="7"/>
        <v>0</v>
      </c>
      <c r="BJ9" s="1034">
        <f t="shared" ref="BJ9:BJ15" ca="1" si="8">SUM(BH9:BI9)</f>
        <v>0</v>
      </c>
      <c r="BL9" s="524">
        <f t="shared" ref="BL9:BL44" ca="1" si="9">Q9+AK9+BF9+BJ9</f>
        <v>0</v>
      </c>
      <c r="BM9" s="524"/>
      <c r="BN9" s="840"/>
      <c r="BO9" s="1481">
        <f t="shared" ref="BO9:BX10" ca="1" si="10">IFERROR(SUMIFS(INDIRECT($C9&amp;".Emissions["&amp;this.Year&amp;"]"), INDIRECT($C9&amp;".Emissions[GHG]"), BO$6, INDIRECT($C9&amp;".Emissions[IPCC Sector]"), BO$5),0)</f>
        <v>74.487170358611493</v>
      </c>
      <c r="BP9" s="1482">
        <f t="shared" ca="1" si="10"/>
        <v>0.15058750508556185</v>
      </c>
      <c r="BQ9" s="1482">
        <f t="shared" ca="1" si="10"/>
        <v>0.22191511760357396</v>
      </c>
      <c r="BR9" s="1482">
        <f t="shared" ca="1" si="10"/>
        <v>0</v>
      </c>
      <c r="BS9" s="1482">
        <f t="shared" ca="1" si="10"/>
        <v>0</v>
      </c>
      <c r="BT9" s="1482">
        <f t="shared" ca="1" si="10"/>
        <v>0</v>
      </c>
      <c r="BU9" s="1482">
        <f t="shared" ca="1" si="10"/>
        <v>0</v>
      </c>
      <c r="BV9" s="1482">
        <f t="shared" ca="1" si="10"/>
        <v>0</v>
      </c>
      <c r="BW9" s="1482">
        <f t="shared" ca="1" si="10"/>
        <v>0</v>
      </c>
      <c r="BX9" s="1482">
        <f t="shared" ca="1" si="10"/>
        <v>0</v>
      </c>
      <c r="BY9" s="1482">
        <f t="shared" ref="BY9:CH10" ca="1" si="11">IFERROR(SUMIFS(INDIRECT($C9&amp;".Emissions["&amp;this.Year&amp;"]"), INDIRECT($C9&amp;".Emissions[GHG]"), BY$6, INDIRECT($C9&amp;".Emissions[IPCC Sector]"), BY$5),0)</f>
        <v>0</v>
      </c>
      <c r="BZ9" s="1482">
        <f t="shared" ca="1" si="11"/>
        <v>0</v>
      </c>
      <c r="CA9" s="1482">
        <f t="shared" ca="1" si="11"/>
        <v>0</v>
      </c>
      <c r="CB9" s="1482">
        <f t="shared" ca="1" si="11"/>
        <v>0</v>
      </c>
      <c r="CC9" s="1482">
        <f t="shared" ca="1" si="11"/>
        <v>0</v>
      </c>
      <c r="CD9" s="1482">
        <f t="shared" ca="1" si="11"/>
        <v>0</v>
      </c>
      <c r="CE9" s="1482">
        <f t="shared" ca="1" si="11"/>
        <v>0</v>
      </c>
      <c r="CF9" s="1482">
        <f t="shared" ca="1" si="11"/>
        <v>0</v>
      </c>
      <c r="CG9" s="1482">
        <f t="shared" ca="1" si="11"/>
        <v>0</v>
      </c>
      <c r="CH9" s="1482">
        <f t="shared" ca="1" si="11"/>
        <v>0</v>
      </c>
      <c r="CI9" s="1482">
        <f t="shared" ref="CI9:CR10" ca="1" si="12">IFERROR(SUMIFS(INDIRECT($C9&amp;".Emissions["&amp;this.Year&amp;"]"), INDIRECT($C9&amp;".Emissions[GHG]"), CI$6, INDIRECT($C9&amp;".Emissions[IPCC Sector]"), CI$5),0)</f>
        <v>0</v>
      </c>
      <c r="CJ9" s="1482">
        <f t="shared" ca="1" si="12"/>
        <v>0</v>
      </c>
      <c r="CK9" s="1482">
        <f t="shared" ca="1" si="12"/>
        <v>0</v>
      </c>
      <c r="CL9" s="1482">
        <f t="shared" ca="1" si="12"/>
        <v>0</v>
      </c>
      <c r="CM9" s="1482">
        <f t="shared" ca="1" si="12"/>
        <v>0</v>
      </c>
      <c r="CN9" s="1482">
        <f t="shared" ca="1" si="12"/>
        <v>0</v>
      </c>
      <c r="CO9" s="1482">
        <f t="shared" ca="1" si="12"/>
        <v>0</v>
      </c>
      <c r="CP9" s="1482">
        <f t="shared" ca="1" si="12"/>
        <v>0</v>
      </c>
      <c r="CQ9" s="1482">
        <f t="shared" ca="1" si="12"/>
        <v>0</v>
      </c>
      <c r="CR9" s="1482">
        <f t="shared" ca="1" si="12"/>
        <v>0</v>
      </c>
      <c r="CS9" s="1482">
        <f t="shared" ref="CS9:DF10" ca="1" si="13">IFERROR(SUMIFS(INDIRECT($C9&amp;".Emissions["&amp;this.Year&amp;"]"), INDIRECT($C9&amp;".Emissions[GHG]"), CS$6, INDIRECT($C9&amp;".Emissions[IPCC Sector]"), CS$5),0)</f>
        <v>0</v>
      </c>
      <c r="CT9" s="1482">
        <f t="shared" ca="1" si="13"/>
        <v>0</v>
      </c>
      <c r="CU9" s="1482">
        <f t="shared" ca="1" si="13"/>
        <v>0</v>
      </c>
      <c r="CV9" s="1482">
        <f t="shared" ca="1" si="13"/>
        <v>0</v>
      </c>
      <c r="CW9" s="1482">
        <f t="shared" ca="1" si="13"/>
        <v>0</v>
      </c>
      <c r="CX9" s="1482">
        <f t="shared" ca="1" si="13"/>
        <v>0</v>
      </c>
      <c r="CY9" s="1482">
        <f t="shared" ca="1" si="13"/>
        <v>0</v>
      </c>
      <c r="CZ9" s="1482">
        <f t="shared" ca="1" si="13"/>
        <v>0</v>
      </c>
      <c r="DA9" s="1482">
        <f t="shared" ca="1" si="13"/>
        <v>0</v>
      </c>
      <c r="DB9" s="1482">
        <f t="shared" ca="1" si="13"/>
        <v>0</v>
      </c>
      <c r="DC9" s="1482">
        <f t="shared" ca="1" si="13"/>
        <v>0</v>
      </c>
      <c r="DD9" s="1482">
        <f t="shared" ca="1" si="13"/>
        <v>0</v>
      </c>
      <c r="DE9" s="1482">
        <f t="shared" ca="1" si="13"/>
        <v>0</v>
      </c>
      <c r="DF9" s="1482">
        <f t="shared" ca="1" si="13"/>
        <v>0</v>
      </c>
      <c r="DH9" s="838"/>
    </row>
    <row r="10" spans="1:112" s="743" customFormat="1" ht="10.5" hidden="1" customHeight="1" outlineLevel="2">
      <c r="A10" s="1483"/>
      <c r="B10" s="1483"/>
      <c r="C10" s="1009" t="s">
        <v>898</v>
      </c>
      <c r="D10" s="1483" t="str">
        <f>INDEX(Modules[Module], MATCH($C10, Modules[Code], 0))</f>
        <v>Domestic hot water [UNUSED - See IX.a]</v>
      </c>
      <c r="E10" s="1006"/>
      <c r="G10" s="1018">
        <f t="shared" ca="1" si="0"/>
        <v>0</v>
      </c>
      <c r="H10" s="1018">
        <f t="shared" ca="1" si="0"/>
        <v>0</v>
      </c>
      <c r="I10" s="1018">
        <f t="shared" ca="1" si="0"/>
        <v>0</v>
      </c>
      <c r="J10" s="1018">
        <f t="shared" ca="1" si="0"/>
        <v>0</v>
      </c>
      <c r="K10" s="1018">
        <f t="shared" ca="1" si="0"/>
        <v>0</v>
      </c>
      <c r="L10" s="1018">
        <f t="shared" ca="1" si="0"/>
        <v>0</v>
      </c>
      <c r="M10" s="1018">
        <f t="shared" ca="1" si="0"/>
        <v>0</v>
      </c>
      <c r="N10" s="1018">
        <f t="shared" ca="1" si="0"/>
        <v>0</v>
      </c>
      <c r="O10" s="1018">
        <f t="shared" ca="1" si="0"/>
        <v>0</v>
      </c>
      <c r="P10" s="1018">
        <f t="shared" ca="1" si="0"/>
        <v>0</v>
      </c>
      <c r="Q10" s="1024">
        <f t="shared" ca="1" si="1"/>
        <v>0</v>
      </c>
      <c r="S10" s="1028">
        <f t="shared" ca="1" si="2"/>
        <v>0</v>
      </c>
      <c r="T10" s="1028">
        <f t="shared" ca="1" si="2"/>
        <v>0</v>
      </c>
      <c r="U10" s="1028">
        <f t="shared" ca="1" si="2"/>
        <v>0</v>
      </c>
      <c r="V10" s="1028">
        <f t="shared" ca="1" si="2"/>
        <v>0</v>
      </c>
      <c r="W10" s="1028">
        <f t="shared" ca="1" si="2"/>
        <v>0</v>
      </c>
      <c r="X10" s="1028">
        <f t="shared" ca="1" si="3"/>
        <v>0</v>
      </c>
      <c r="Y10" s="1028">
        <f t="shared" ca="1" si="3"/>
        <v>0</v>
      </c>
      <c r="Z10" s="1028">
        <f t="shared" ca="1" si="3"/>
        <v>0</v>
      </c>
      <c r="AA10" s="1028">
        <f t="shared" ca="1" si="2"/>
        <v>0</v>
      </c>
      <c r="AB10" s="1028">
        <f t="shared" ca="1" si="2"/>
        <v>0</v>
      </c>
      <c r="AC10" s="1028">
        <f t="shared" ca="1" si="2"/>
        <v>0</v>
      </c>
      <c r="AD10" s="1028">
        <f t="shared" ca="1" si="2"/>
        <v>0</v>
      </c>
      <c r="AE10" s="1028">
        <f t="shared" ca="1" si="2"/>
        <v>0</v>
      </c>
      <c r="AF10" s="1028">
        <f t="shared" ca="1" si="2"/>
        <v>0</v>
      </c>
      <c r="AG10" s="1028">
        <f t="shared" ca="1" si="2"/>
        <v>0</v>
      </c>
      <c r="AH10" s="1028">
        <f t="shared" ca="1" si="2"/>
        <v>0</v>
      </c>
      <c r="AI10" s="1028">
        <f t="shared" ca="1" si="2"/>
        <v>0</v>
      </c>
      <c r="AJ10" s="1028">
        <f t="shared" ca="1" si="2"/>
        <v>0</v>
      </c>
      <c r="AK10" s="1029">
        <f t="shared" ca="1" si="4"/>
        <v>0</v>
      </c>
      <c r="AM10" s="1039">
        <f t="shared" ca="1" si="5"/>
        <v>0</v>
      </c>
      <c r="AN10" s="1039">
        <f t="shared" ca="1" si="5"/>
        <v>0</v>
      </c>
      <c r="AO10" s="1039">
        <f t="shared" ca="1" si="5"/>
        <v>0</v>
      </c>
      <c r="AP10" s="1039">
        <f t="shared" ca="1" si="5"/>
        <v>0</v>
      </c>
      <c r="AQ10" s="1039">
        <f t="shared" ca="1" si="5"/>
        <v>0</v>
      </c>
      <c r="AR10" s="1039">
        <f t="shared" ca="1" si="5"/>
        <v>0</v>
      </c>
      <c r="AS10" s="1039">
        <f t="shared" ca="1" si="5"/>
        <v>0</v>
      </c>
      <c r="AT10" s="1039">
        <f t="shared" ca="1" si="5"/>
        <v>0</v>
      </c>
      <c r="AU10" s="1039">
        <f t="shared" ca="1" si="5"/>
        <v>0</v>
      </c>
      <c r="AV10" s="1039">
        <f t="shared" ca="1" si="2"/>
        <v>0</v>
      </c>
      <c r="AW10" s="1039">
        <f t="shared" ca="1" si="2"/>
        <v>0</v>
      </c>
      <c r="AX10" s="1039">
        <f t="shared" ca="1" si="2"/>
        <v>0</v>
      </c>
      <c r="AY10" s="1039">
        <f t="shared" ca="1" si="2"/>
        <v>0</v>
      </c>
      <c r="AZ10" s="1039">
        <f t="shared" ca="1" si="2"/>
        <v>0</v>
      </c>
      <c r="BA10" s="1039">
        <f t="shared" ca="1" si="2"/>
        <v>0</v>
      </c>
      <c r="BB10" s="1039">
        <f t="shared" ca="1" si="2"/>
        <v>0</v>
      </c>
      <c r="BC10" s="1039">
        <f t="shared" ca="1" si="2"/>
        <v>0</v>
      </c>
      <c r="BD10" s="1039">
        <f t="shared" ca="1" si="2"/>
        <v>0</v>
      </c>
      <c r="BE10" s="1039">
        <f t="shared" ca="1" si="2"/>
        <v>0</v>
      </c>
      <c r="BF10" s="1008">
        <f t="shared" ca="1" si="6"/>
        <v>0</v>
      </c>
      <c r="BH10" s="1033">
        <f t="shared" ca="1" si="7"/>
        <v>0</v>
      </c>
      <c r="BI10" s="1033">
        <f t="shared" ca="1" si="7"/>
        <v>0</v>
      </c>
      <c r="BJ10" s="1044">
        <f t="shared" ca="1" si="8"/>
        <v>0</v>
      </c>
      <c r="BL10" s="1007">
        <f t="shared" ca="1" si="9"/>
        <v>0</v>
      </c>
      <c r="BM10" s="1007"/>
      <c r="BN10" s="840"/>
      <c r="BO10" s="1481">
        <f t="shared" ca="1" si="10"/>
        <v>0</v>
      </c>
      <c r="BP10" s="1482">
        <f t="shared" ca="1" si="10"/>
        <v>0</v>
      </c>
      <c r="BQ10" s="1482">
        <f t="shared" ca="1" si="10"/>
        <v>0</v>
      </c>
      <c r="BR10" s="1482">
        <f t="shared" ca="1" si="10"/>
        <v>0</v>
      </c>
      <c r="BS10" s="1482">
        <f t="shared" ca="1" si="10"/>
        <v>0</v>
      </c>
      <c r="BT10" s="1482">
        <f t="shared" ca="1" si="10"/>
        <v>0</v>
      </c>
      <c r="BU10" s="1482">
        <f t="shared" ca="1" si="10"/>
        <v>0</v>
      </c>
      <c r="BV10" s="1482">
        <f t="shared" ca="1" si="10"/>
        <v>0</v>
      </c>
      <c r="BW10" s="1482">
        <f t="shared" ca="1" si="10"/>
        <v>0</v>
      </c>
      <c r="BX10" s="1482">
        <f t="shared" ca="1" si="10"/>
        <v>0</v>
      </c>
      <c r="BY10" s="1482">
        <f t="shared" ca="1" si="11"/>
        <v>0</v>
      </c>
      <c r="BZ10" s="1482">
        <f t="shared" ca="1" si="11"/>
        <v>0</v>
      </c>
      <c r="CA10" s="1482">
        <f t="shared" ca="1" si="11"/>
        <v>0</v>
      </c>
      <c r="CB10" s="1482">
        <f t="shared" ca="1" si="11"/>
        <v>0</v>
      </c>
      <c r="CC10" s="1482">
        <f t="shared" ca="1" si="11"/>
        <v>0</v>
      </c>
      <c r="CD10" s="1482">
        <f t="shared" ca="1" si="11"/>
        <v>0</v>
      </c>
      <c r="CE10" s="1482">
        <f t="shared" ca="1" si="11"/>
        <v>0</v>
      </c>
      <c r="CF10" s="1482">
        <f t="shared" ca="1" si="11"/>
        <v>0</v>
      </c>
      <c r="CG10" s="1482">
        <f t="shared" ca="1" si="11"/>
        <v>0</v>
      </c>
      <c r="CH10" s="1482">
        <f t="shared" ca="1" si="11"/>
        <v>0</v>
      </c>
      <c r="CI10" s="1482">
        <f t="shared" ca="1" si="12"/>
        <v>0</v>
      </c>
      <c r="CJ10" s="1482">
        <f t="shared" ca="1" si="12"/>
        <v>0</v>
      </c>
      <c r="CK10" s="1482">
        <f t="shared" ca="1" si="12"/>
        <v>0</v>
      </c>
      <c r="CL10" s="1482">
        <f t="shared" ca="1" si="12"/>
        <v>0</v>
      </c>
      <c r="CM10" s="1482">
        <f t="shared" ca="1" si="12"/>
        <v>0</v>
      </c>
      <c r="CN10" s="1482">
        <f t="shared" ca="1" si="12"/>
        <v>0</v>
      </c>
      <c r="CO10" s="1482">
        <f t="shared" ca="1" si="12"/>
        <v>0</v>
      </c>
      <c r="CP10" s="1482">
        <f t="shared" ca="1" si="12"/>
        <v>0</v>
      </c>
      <c r="CQ10" s="1482">
        <f t="shared" ca="1" si="12"/>
        <v>0</v>
      </c>
      <c r="CR10" s="1482">
        <f t="shared" ca="1" si="12"/>
        <v>0</v>
      </c>
      <c r="CS10" s="1482">
        <f t="shared" ca="1" si="13"/>
        <v>0</v>
      </c>
      <c r="CT10" s="1482">
        <f t="shared" ca="1" si="13"/>
        <v>0</v>
      </c>
      <c r="CU10" s="1482">
        <f t="shared" ca="1" si="13"/>
        <v>0</v>
      </c>
      <c r="CV10" s="1482">
        <f t="shared" ca="1" si="13"/>
        <v>0</v>
      </c>
      <c r="CW10" s="1482">
        <f t="shared" ca="1" si="13"/>
        <v>0</v>
      </c>
      <c r="CX10" s="1482">
        <f t="shared" ca="1" si="13"/>
        <v>0</v>
      </c>
      <c r="CY10" s="1482">
        <f t="shared" ca="1" si="13"/>
        <v>0</v>
      </c>
      <c r="CZ10" s="1482">
        <f t="shared" ca="1" si="13"/>
        <v>0</v>
      </c>
      <c r="DA10" s="1482">
        <f t="shared" ca="1" si="13"/>
        <v>0</v>
      </c>
      <c r="DB10" s="1482">
        <f t="shared" ca="1" si="13"/>
        <v>0</v>
      </c>
      <c r="DC10" s="1482">
        <f t="shared" ca="1" si="13"/>
        <v>0</v>
      </c>
      <c r="DD10" s="1482">
        <f t="shared" ca="1" si="13"/>
        <v>0</v>
      </c>
      <c r="DE10" s="1482">
        <f t="shared" ca="1" si="13"/>
        <v>0</v>
      </c>
      <c r="DF10" s="1482">
        <f t="shared" ca="1" si="13"/>
        <v>0</v>
      </c>
      <c r="DH10" s="838"/>
    </row>
    <row r="11" spans="1:112" s="743" customFormat="1" ht="12.75" hidden="1" customHeight="1" outlineLevel="1">
      <c r="A11" s="1484"/>
      <c r="B11" s="1484"/>
      <c r="C11" s="746"/>
      <c r="D11" s="1484" t="s">
        <v>947</v>
      </c>
      <c r="E11" s="521"/>
      <c r="G11" s="1019">
        <f ca="1">SUM(G9:G10)</f>
        <v>430.86870681451069</v>
      </c>
      <c r="H11" s="1019">
        <f t="shared" ref="H11:P11" ca="1" si="14">SUM(H9:H10)</f>
        <v>0</v>
      </c>
      <c r="I11" s="1019">
        <f t="shared" ca="1" si="14"/>
        <v>0</v>
      </c>
      <c r="J11" s="1019">
        <f t="shared" ca="1" si="14"/>
        <v>0</v>
      </c>
      <c r="K11" s="1019">
        <f t="shared" ca="1" si="14"/>
        <v>0</v>
      </c>
      <c r="L11" s="1019">
        <f t="shared" ca="1" si="14"/>
        <v>0</v>
      </c>
      <c r="M11" s="1019">
        <f t="shared" ca="1" si="14"/>
        <v>0</v>
      </c>
      <c r="N11" s="1019">
        <f t="shared" ca="1" si="14"/>
        <v>0</v>
      </c>
      <c r="O11" s="1019">
        <f t="shared" ca="1" si="14"/>
        <v>0</v>
      </c>
      <c r="P11" s="1019">
        <f t="shared" ca="1" si="14"/>
        <v>0</v>
      </c>
      <c r="Q11" s="1019">
        <f t="shared" ca="1" si="1"/>
        <v>430.86870681451069</v>
      </c>
      <c r="S11" s="1027">
        <f ca="1">SUM(S9:S10)</f>
        <v>-36.920774048245264</v>
      </c>
      <c r="T11" s="1027">
        <f t="shared" ref="T11:AJ11" ca="1" si="15">SUM(T9:T10)</f>
        <v>0</v>
      </c>
      <c r="U11" s="1027">
        <f t="shared" ca="1" si="15"/>
        <v>-10.921374269724915</v>
      </c>
      <c r="V11" s="1027">
        <f t="shared" ca="1" si="15"/>
        <v>-9.7954593965573977</v>
      </c>
      <c r="W11" s="1027">
        <f t="shared" ca="1" si="15"/>
        <v>-373.23109909998311</v>
      </c>
      <c r="X11" s="1027">
        <f ca="1">SUM(X9:X10)</f>
        <v>0</v>
      </c>
      <c r="Y11" s="1027">
        <f ca="1">SUM(Y9:Y10)</f>
        <v>0</v>
      </c>
      <c r="Z11" s="1027">
        <f ca="1">SUM(Z9:Z10)</f>
        <v>0</v>
      </c>
      <c r="AA11" s="1027">
        <f t="shared" ca="1" si="15"/>
        <v>0</v>
      </c>
      <c r="AB11" s="1027">
        <f t="shared" ca="1" si="15"/>
        <v>0</v>
      </c>
      <c r="AC11" s="1027">
        <f t="shared" ca="1" si="15"/>
        <v>0</v>
      </c>
      <c r="AD11" s="1027">
        <f ca="1">SUM(AD9:AD10)</f>
        <v>0</v>
      </c>
      <c r="AE11" s="1027">
        <f ca="1">SUM(AE9:AE10)</f>
        <v>0</v>
      </c>
      <c r="AF11" s="1027">
        <f t="shared" ca="1" si="15"/>
        <v>0</v>
      </c>
      <c r="AG11" s="1027">
        <f ca="1">SUM(AG9:AG10)</f>
        <v>0</v>
      </c>
      <c r="AH11" s="1027">
        <f ca="1">SUM(AH9:AH10)</f>
        <v>0</v>
      </c>
      <c r="AI11" s="1027">
        <f ca="1">SUM(AI9:AI10)</f>
        <v>0</v>
      </c>
      <c r="AJ11" s="1027">
        <f t="shared" ca="1" si="15"/>
        <v>0</v>
      </c>
      <c r="AK11" s="1027">
        <f t="shared" ca="1" si="4"/>
        <v>-430.86870681451069</v>
      </c>
      <c r="AM11" s="1040">
        <f t="shared" ref="AM11:BE11" ca="1" si="16">SUM(AM9:AM10)</f>
        <v>0</v>
      </c>
      <c r="AN11" s="1040">
        <f t="shared" ca="1" si="16"/>
        <v>0</v>
      </c>
      <c r="AO11" s="1040">
        <f t="shared" ca="1" si="16"/>
        <v>0</v>
      </c>
      <c r="AP11" s="1040">
        <f t="shared" ca="1" si="16"/>
        <v>0</v>
      </c>
      <c r="AQ11" s="1040">
        <f t="shared" ca="1" si="16"/>
        <v>0</v>
      </c>
      <c r="AR11" s="1040">
        <f t="shared" ca="1" si="16"/>
        <v>0</v>
      </c>
      <c r="AS11" s="1040">
        <f t="shared" ca="1" si="16"/>
        <v>0</v>
      </c>
      <c r="AT11" s="1040">
        <f t="shared" ca="1" si="16"/>
        <v>0</v>
      </c>
      <c r="AU11" s="1040">
        <f t="shared" ca="1" si="16"/>
        <v>0</v>
      </c>
      <c r="AV11" s="1040">
        <f t="shared" ca="1" si="16"/>
        <v>0</v>
      </c>
      <c r="AW11" s="1040">
        <f t="shared" ca="1" si="16"/>
        <v>0</v>
      </c>
      <c r="AX11" s="1040">
        <f t="shared" ca="1" si="16"/>
        <v>0</v>
      </c>
      <c r="AY11" s="1040">
        <f t="shared" ca="1" si="16"/>
        <v>0</v>
      </c>
      <c r="AZ11" s="1040">
        <f t="shared" ca="1" si="16"/>
        <v>0</v>
      </c>
      <c r="BA11" s="1040">
        <f t="shared" ca="1" si="16"/>
        <v>0</v>
      </c>
      <c r="BB11" s="1040">
        <f t="shared" ca="1" si="16"/>
        <v>0</v>
      </c>
      <c r="BC11" s="1040">
        <f t="shared" ca="1" si="16"/>
        <v>0</v>
      </c>
      <c r="BD11" s="1040">
        <f t="shared" ca="1" si="16"/>
        <v>0</v>
      </c>
      <c r="BE11" s="1040">
        <f t="shared" ca="1" si="16"/>
        <v>0</v>
      </c>
      <c r="BF11" s="979">
        <f t="shared" ca="1" si="6"/>
        <v>0</v>
      </c>
      <c r="BH11" s="1034">
        <f ca="1">SUM(BH9:BH10)</f>
        <v>0</v>
      </c>
      <c r="BI11" s="1034">
        <f ca="1">SUM(BI9:BI10)</f>
        <v>0</v>
      </c>
      <c r="BJ11" s="1034">
        <f t="shared" ca="1" si="8"/>
        <v>0</v>
      </c>
      <c r="BL11" s="814">
        <f t="shared" ca="1" si="9"/>
        <v>0</v>
      </c>
      <c r="BM11" s="814"/>
      <c r="BN11" s="840"/>
      <c r="BO11" s="1481">
        <f t="shared" ref="BO11:DF11" ca="1" si="17">SUM(BO9:BO10)</f>
        <v>74.487170358611493</v>
      </c>
      <c r="BP11" s="1482">
        <f t="shared" ca="1" si="17"/>
        <v>0.15058750508556185</v>
      </c>
      <c r="BQ11" s="1482">
        <f t="shared" ca="1" si="17"/>
        <v>0.22191511760357396</v>
      </c>
      <c r="BR11" s="1482">
        <f t="shared" ca="1" si="17"/>
        <v>0</v>
      </c>
      <c r="BS11" s="1482">
        <f t="shared" ca="1" si="17"/>
        <v>0</v>
      </c>
      <c r="BT11" s="1482">
        <f t="shared" ca="1" si="17"/>
        <v>0</v>
      </c>
      <c r="BU11" s="1482">
        <f t="shared" ca="1" si="17"/>
        <v>0</v>
      </c>
      <c r="BV11" s="1482">
        <f t="shared" ca="1" si="17"/>
        <v>0</v>
      </c>
      <c r="BW11" s="1482">
        <f t="shared" ca="1" si="17"/>
        <v>0</v>
      </c>
      <c r="BX11" s="1482">
        <f t="shared" ca="1" si="17"/>
        <v>0</v>
      </c>
      <c r="BY11" s="1482">
        <f t="shared" ca="1" si="17"/>
        <v>0</v>
      </c>
      <c r="BZ11" s="1482">
        <f t="shared" ca="1" si="17"/>
        <v>0</v>
      </c>
      <c r="CA11" s="1482">
        <f t="shared" ca="1" si="17"/>
        <v>0</v>
      </c>
      <c r="CB11" s="1482">
        <f t="shared" ca="1" si="17"/>
        <v>0</v>
      </c>
      <c r="CC11" s="1482">
        <f t="shared" ca="1" si="17"/>
        <v>0</v>
      </c>
      <c r="CD11" s="1482">
        <f t="shared" ca="1" si="17"/>
        <v>0</v>
      </c>
      <c r="CE11" s="1482">
        <f t="shared" ca="1" si="17"/>
        <v>0</v>
      </c>
      <c r="CF11" s="1482">
        <f t="shared" ca="1" si="17"/>
        <v>0</v>
      </c>
      <c r="CG11" s="1482">
        <f t="shared" ca="1" si="17"/>
        <v>0</v>
      </c>
      <c r="CH11" s="1482">
        <f t="shared" ca="1" si="17"/>
        <v>0</v>
      </c>
      <c r="CI11" s="1482">
        <f t="shared" ca="1" si="17"/>
        <v>0</v>
      </c>
      <c r="CJ11" s="1482">
        <f t="shared" ca="1" si="17"/>
        <v>0</v>
      </c>
      <c r="CK11" s="1482">
        <f t="shared" ca="1" si="17"/>
        <v>0</v>
      </c>
      <c r="CL11" s="1482">
        <f t="shared" ca="1" si="17"/>
        <v>0</v>
      </c>
      <c r="CM11" s="1482">
        <f t="shared" ca="1" si="17"/>
        <v>0</v>
      </c>
      <c r="CN11" s="1482">
        <f t="shared" ca="1" si="17"/>
        <v>0</v>
      </c>
      <c r="CO11" s="1482">
        <f t="shared" ca="1" si="17"/>
        <v>0</v>
      </c>
      <c r="CP11" s="1482">
        <f t="shared" ca="1" si="17"/>
        <v>0</v>
      </c>
      <c r="CQ11" s="1482">
        <f t="shared" ca="1" si="17"/>
        <v>0</v>
      </c>
      <c r="CR11" s="1482">
        <f t="shared" ca="1" si="17"/>
        <v>0</v>
      </c>
      <c r="CS11" s="1482">
        <f t="shared" ca="1" si="17"/>
        <v>0</v>
      </c>
      <c r="CT11" s="1482">
        <f t="shared" ca="1" si="17"/>
        <v>0</v>
      </c>
      <c r="CU11" s="1482">
        <f t="shared" ca="1" si="17"/>
        <v>0</v>
      </c>
      <c r="CV11" s="1482">
        <f t="shared" ca="1" si="17"/>
        <v>0</v>
      </c>
      <c r="CW11" s="1482">
        <f t="shared" ca="1" si="17"/>
        <v>0</v>
      </c>
      <c r="CX11" s="1482">
        <f t="shared" ca="1" si="17"/>
        <v>0</v>
      </c>
      <c r="CY11" s="1482">
        <f t="shared" ca="1" si="17"/>
        <v>0</v>
      </c>
      <c r="CZ11" s="1482">
        <f t="shared" ca="1" si="17"/>
        <v>0</v>
      </c>
      <c r="DA11" s="1482">
        <f t="shared" ca="1" si="17"/>
        <v>0</v>
      </c>
      <c r="DB11" s="1482">
        <f t="shared" ca="1" si="17"/>
        <v>0</v>
      </c>
      <c r="DC11" s="1482">
        <f t="shared" ca="1" si="17"/>
        <v>0</v>
      </c>
      <c r="DD11" s="1482">
        <f t="shared" ca="1" si="17"/>
        <v>0</v>
      </c>
      <c r="DE11" s="1482">
        <f t="shared" ca="1" si="17"/>
        <v>0</v>
      </c>
      <c r="DF11" s="1482">
        <f t="shared" ca="1" si="17"/>
        <v>0</v>
      </c>
      <c r="DH11" s="838"/>
    </row>
    <row r="12" spans="1:112" s="743" customFormat="1" ht="10.5" hidden="1" customHeight="1" outlineLevel="2">
      <c r="A12" s="1480"/>
      <c r="B12" s="1480"/>
      <c r="C12" s="746" t="s">
        <v>945</v>
      </c>
      <c r="D12" s="1480" t="str">
        <f>INDEX(Modules[Module], MATCH($C12, Modules[Code], 0))</f>
        <v>Commercial heating and cooling</v>
      </c>
      <c r="E12" s="1006"/>
      <c r="G12" s="1017">
        <f t="shared" ca="1" si="0"/>
        <v>129.92787034452689</v>
      </c>
      <c r="H12" s="1017">
        <f t="shared" ca="1" si="0"/>
        <v>0</v>
      </c>
      <c r="I12" s="1017">
        <f t="shared" ca="1" si="0"/>
        <v>0</v>
      </c>
      <c r="J12" s="1017">
        <f t="shared" ca="1" si="0"/>
        <v>0</v>
      </c>
      <c r="K12" s="1017">
        <f t="shared" ca="1" si="0"/>
        <v>0</v>
      </c>
      <c r="L12" s="1017">
        <f t="shared" ca="1" si="0"/>
        <v>0</v>
      </c>
      <c r="M12" s="1017">
        <f t="shared" ca="1" si="0"/>
        <v>0</v>
      </c>
      <c r="N12" s="1017">
        <f t="shared" ca="1" si="0"/>
        <v>0</v>
      </c>
      <c r="O12" s="1017">
        <f t="shared" ca="1" si="0"/>
        <v>0</v>
      </c>
      <c r="P12" s="1017">
        <f t="shared" ca="1" si="0"/>
        <v>0</v>
      </c>
      <c r="Q12" s="1019">
        <f t="shared" ca="1" si="1"/>
        <v>129.92787034452689</v>
      </c>
      <c r="S12" s="1026">
        <f t="shared" ca="1" si="2"/>
        <v>-35.16946485012258</v>
      </c>
      <c r="T12" s="1026">
        <f t="shared" ca="1" si="2"/>
        <v>0</v>
      </c>
      <c r="U12" s="1026">
        <f t="shared" ca="1" si="2"/>
        <v>0</v>
      </c>
      <c r="V12" s="1026">
        <f t="shared" ca="1" si="2"/>
        <v>-9.3601915660227526</v>
      </c>
      <c r="W12" s="1026">
        <f t="shared" ca="1" si="2"/>
        <v>-85.398213928381523</v>
      </c>
      <c r="X12" s="1026">
        <f t="shared" ref="X12:Z13" ca="1" si="18">IFERROR(INDEX(INDIRECT($C12&amp;".Outputs["&amp;this.Year&amp;"]"), MATCH(X$5, INDIRECT($C12&amp;".Outputs[Vector]"), 0)), 0)</f>
        <v>0</v>
      </c>
      <c r="Y12" s="1026">
        <f t="shared" ca="1" si="18"/>
        <v>0</v>
      </c>
      <c r="Z12" s="1026">
        <f t="shared" ca="1" si="18"/>
        <v>0</v>
      </c>
      <c r="AA12" s="1026">
        <f t="shared" ca="1" si="2"/>
        <v>0</v>
      </c>
      <c r="AB12" s="1026">
        <f t="shared" ca="1" si="2"/>
        <v>0</v>
      </c>
      <c r="AC12" s="1026">
        <f t="shared" ca="1" si="2"/>
        <v>0</v>
      </c>
      <c r="AD12" s="1026">
        <f t="shared" ca="1" si="2"/>
        <v>0</v>
      </c>
      <c r="AE12" s="1026">
        <f t="shared" ca="1" si="2"/>
        <v>0</v>
      </c>
      <c r="AF12" s="1026">
        <f t="shared" ca="1" si="2"/>
        <v>0</v>
      </c>
      <c r="AG12" s="1026">
        <f t="shared" ca="1" si="2"/>
        <v>0</v>
      </c>
      <c r="AH12" s="1026">
        <f t="shared" ca="1" si="2"/>
        <v>0</v>
      </c>
      <c r="AI12" s="1026">
        <f t="shared" ca="1" si="2"/>
        <v>0</v>
      </c>
      <c r="AJ12" s="1026">
        <f t="shared" ca="1" si="2"/>
        <v>0</v>
      </c>
      <c r="AK12" s="1027">
        <f t="shared" ca="1" si="4"/>
        <v>-129.92787034452687</v>
      </c>
      <c r="AM12" s="1038">
        <f t="shared" ref="AM12:AU13" ca="1" si="19">IFERROR(INDEX(INDIRECT($C12&amp;".Outputs["&amp;this.Year&amp;"]"), MATCH(AM$5, INDIRECT($C12&amp;".Outputs[Vector]"), 0)), 0)</f>
        <v>0</v>
      </c>
      <c r="AN12" s="1038">
        <f t="shared" ca="1" si="19"/>
        <v>0</v>
      </c>
      <c r="AO12" s="1038">
        <f t="shared" ca="1" si="19"/>
        <v>0</v>
      </c>
      <c r="AP12" s="1038">
        <f t="shared" ca="1" si="19"/>
        <v>0</v>
      </c>
      <c r="AQ12" s="1038">
        <f t="shared" ca="1" si="19"/>
        <v>0</v>
      </c>
      <c r="AR12" s="1038">
        <f t="shared" ca="1" si="19"/>
        <v>0</v>
      </c>
      <c r="AS12" s="1038">
        <f t="shared" ca="1" si="19"/>
        <v>0</v>
      </c>
      <c r="AT12" s="1038">
        <f t="shared" ca="1" si="19"/>
        <v>0</v>
      </c>
      <c r="AU12" s="1038">
        <f t="shared" ca="1" si="19"/>
        <v>0</v>
      </c>
      <c r="AV12" s="1038">
        <f t="shared" ca="1" si="2"/>
        <v>0</v>
      </c>
      <c r="AW12" s="1038">
        <f t="shared" ca="1" si="2"/>
        <v>0</v>
      </c>
      <c r="AX12" s="1038">
        <f t="shared" ca="1" si="2"/>
        <v>0</v>
      </c>
      <c r="AY12" s="1038">
        <f t="shared" ca="1" si="2"/>
        <v>0</v>
      </c>
      <c r="AZ12" s="1038">
        <f t="shared" ca="1" si="2"/>
        <v>0</v>
      </c>
      <c r="BA12" s="1038">
        <f t="shared" ca="1" si="2"/>
        <v>0</v>
      </c>
      <c r="BB12" s="1038">
        <f t="shared" ca="1" si="2"/>
        <v>0</v>
      </c>
      <c r="BC12" s="1038">
        <f t="shared" ca="1" si="2"/>
        <v>0</v>
      </c>
      <c r="BD12" s="1038">
        <f t="shared" ca="1" si="2"/>
        <v>0</v>
      </c>
      <c r="BE12" s="1038">
        <f t="shared" ca="1" si="2"/>
        <v>0</v>
      </c>
      <c r="BF12" s="977">
        <f t="shared" ca="1" si="6"/>
        <v>0</v>
      </c>
      <c r="BH12" s="1032">
        <f t="shared" ca="1" si="7"/>
        <v>0</v>
      </c>
      <c r="BI12" s="1032">
        <f t="shared" ca="1" si="7"/>
        <v>0</v>
      </c>
      <c r="BJ12" s="1034">
        <f t="shared" ca="1" si="8"/>
        <v>0</v>
      </c>
      <c r="BL12" s="524">
        <f t="shared" ca="1" si="9"/>
        <v>2.8421709430404007E-14</v>
      </c>
      <c r="BM12" s="524"/>
      <c r="BN12" s="840"/>
      <c r="BO12" s="1481">
        <f t="shared" ref="BO12:BX13" ca="1" si="20">IFERROR(SUMIFS(INDIRECT($C12&amp;".Emissions["&amp;this.Year&amp;"]"), INDIRECT($C12&amp;".Emissions[GHG]"), BO$6, INDIRECT($C12&amp;".Emissions[IPCC Sector]"), BO$5),0)</f>
        <v>18.053319254327885</v>
      </c>
      <c r="BP12" s="1482">
        <f t="shared" ca="1" si="20"/>
        <v>3.4410378264801728E-2</v>
      </c>
      <c r="BQ12" s="1482">
        <f t="shared" ca="1" si="20"/>
        <v>7.5978841297249272E-2</v>
      </c>
      <c r="BR12" s="1482">
        <f t="shared" ca="1" si="20"/>
        <v>0</v>
      </c>
      <c r="BS12" s="1482">
        <f t="shared" ca="1" si="20"/>
        <v>0</v>
      </c>
      <c r="BT12" s="1482">
        <f t="shared" ca="1" si="20"/>
        <v>0</v>
      </c>
      <c r="BU12" s="1482">
        <f t="shared" ca="1" si="20"/>
        <v>0</v>
      </c>
      <c r="BV12" s="1482">
        <f t="shared" ca="1" si="20"/>
        <v>0</v>
      </c>
      <c r="BW12" s="1482">
        <f t="shared" ca="1" si="20"/>
        <v>0</v>
      </c>
      <c r="BX12" s="1482">
        <f t="shared" ca="1" si="20"/>
        <v>0</v>
      </c>
      <c r="BY12" s="1482">
        <f t="shared" ref="BY12:CH13" ca="1" si="21">IFERROR(SUMIFS(INDIRECT($C12&amp;".Emissions["&amp;this.Year&amp;"]"), INDIRECT($C12&amp;".Emissions[GHG]"), BY$6, INDIRECT($C12&amp;".Emissions[IPCC Sector]"), BY$5),0)</f>
        <v>0</v>
      </c>
      <c r="BZ12" s="1482">
        <f t="shared" ca="1" si="21"/>
        <v>0</v>
      </c>
      <c r="CA12" s="1482">
        <f t="shared" ca="1" si="21"/>
        <v>0</v>
      </c>
      <c r="CB12" s="1482">
        <f t="shared" ca="1" si="21"/>
        <v>0</v>
      </c>
      <c r="CC12" s="1482">
        <f t="shared" ca="1" si="21"/>
        <v>0</v>
      </c>
      <c r="CD12" s="1482">
        <f t="shared" ca="1" si="21"/>
        <v>0</v>
      </c>
      <c r="CE12" s="1482">
        <f t="shared" ca="1" si="21"/>
        <v>0</v>
      </c>
      <c r="CF12" s="1482">
        <f t="shared" ca="1" si="21"/>
        <v>0</v>
      </c>
      <c r="CG12" s="1482">
        <f t="shared" ca="1" si="21"/>
        <v>0</v>
      </c>
      <c r="CH12" s="1482">
        <f t="shared" ca="1" si="21"/>
        <v>0</v>
      </c>
      <c r="CI12" s="1482">
        <f t="shared" ref="CI12:CR13" ca="1" si="22">IFERROR(SUMIFS(INDIRECT($C12&amp;".Emissions["&amp;this.Year&amp;"]"), INDIRECT($C12&amp;".Emissions[GHG]"), CI$6, INDIRECT($C12&amp;".Emissions[IPCC Sector]"), CI$5),0)</f>
        <v>0</v>
      </c>
      <c r="CJ12" s="1482">
        <f t="shared" ca="1" si="22"/>
        <v>0</v>
      </c>
      <c r="CK12" s="1482">
        <f t="shared" ca="1" si="22"/>
        <v>0</v>
      </c>
      <c r="CL12" s="1482">
        <f t="shared" ca="1" si="22"/>
        <v>0</v>
      </c>
      <c r="CM12" s="1482">
        <f t="shared" ca="1" si="22"/>
        <v>0</v>
      </c>
      <c r="CN12" s="1482">
        <f t="shared" ca="1" si="22"/>
        <v>0</v>
      </c>
      <c r="CO12" s="1482">
        <f t="shared" ca="1" si="22"/>
        <v>0</v>
      </c>
      <c r="CP12" s="1482">
        <f t="shared" ca="1" si="22"/>
        <v>0</v>
      </c>
      <c r="CQ12" s="1482">
        <f t="shared" ca="1" si="22"/>
        <v>0</v>
      </c>
      <c r="CR12" s="1482">
        <f t="shared" ca="1" si="22"/>
        <v>0</v>
      </c>
      <c r="CS12" s="1482">
        <f t="shared" ref="CS12:DF13" ca="1" si="23">IFERROR(SUMIFS(INDIRECT($C12&amp;".Emissions["&amp;this.Year&amp;"]"), INDIRECT($C12&amp;".Emissions[GHG]"), CS$6, INDIRECT($C12&amp;".Emissions[IPCC Sector]"), CS$5),0)</f>
        <v>0</v>
      </c>
      <c r="CT12" s="1482">
        <f t="shared" ca="1" si="23"/>
        <v>0</v>
      </c>
      <c r="CU12" s="1482">
        <f t="shared" ca="1" si="23"/>
        <v>0</v>
      </c>
      <c r="CV12" s="1482">
        <f t="shared" ca="1" si="23"/>
        <v>0</v>
      </c>
      <c r="CW12" s="1482">
        <f t="shared" ca="1" si="23"/>
        <v>0</v>
      </c>
      <c r="CX12" s="1482">
        <f t="shared" ca="1" si="23"/>
        <v>0</v>
      </c>
      <c r="CY12" s="1482">
        <f t="shared" ca="1" si="23"/>
        <v>0</v>
      </c>
      <c r="CZ12" s="1482">
        <f t="shared" ca="1" si="23"/>
        <v>0</v>
      </c>
      <c r="DA12" s="1482">
        <f t="shared" ca="1" si="23"/>
        <v>0</v>
      </c>
      <c r="DB12" s="1482">
        <f t="shared" ca="1" si="23"/>
        <v>0</v>
      </c>
      <c r="DC12" s="1482">
        <f t="shared" ca="1" si="23"/>
        <v>0</v>
      </c>
      <c r="DD12" s="1482">
        <f t="shared" ca="1" si="23"/>
        <v>0</v>
      </c>
      <c r="DE12" s="1482">
        <f t="shared" ca="1" si="23"/>
        <v>0</v>
      </c>
      <c r="DF12" s="1482">
        <f t="shared" ca="1" si="23"/>
        <v>0</v>
      </c>
      <c r="DH12" s="838"/>
    </row>
    <row r="13" spans="1:112" s="743" customFormat="1" ht="10.5" hidden="1" customHeight="1" outlineLevel="2">
      <c r="A13" s="1483"/>
      <c r="B13" s="1483"/>
      <c r="C13" s="1009" t="s">
        <v>946</v>
      </c>
      <c r="D13" s="1483" t="str">
        <f>INDEX(Modules[Module], MATCH($C13, Modules[Code], 0))</f>
        <v>Commercial hot water [UNUSED - See IX.c]</v>
      </c>
      <c r="E13" s="1006"/>
      <c r="G13" s="1018">
        <f t="shared" ca="1" si="0"/>
        <v>0</v>
      </c>
      <c r="H13" s="1018">
        <f t="shared" ca="1" si="0"/>
        <v>0</v>
      </c>
      <c r="I13" s="1018">
        <f t="shared" ca="1" si="0"/>
        <v>0</v>
      </c>
      <c r="J13" s="1018">
        <f t="shared" ca="1" si="0"/>
        <v>0</v>
      </c>
      <c r="K13" s="1018">
        <f t="shared" ca="1" si="0"/>
        <v>0</v>
      </c>
      <c r="L13" s="1018">
        <f t="shared" ca="1" si="0"/>
        <v>0</v>
      </c>
      <c r="M13" s="1018">
        <f t="shared" ca="1" si="0"/>
        <v>0</v>
      </c>
      <c r="N13" s="1018">
        <f t="shared" ca="1" si="0"/>
        <v>0</v>
      </c>
      <c r="O13" s="1018">
        <f t="shared" ca="1" si="0"/>
        <v>0</v>
      </c>
      <c r="P13" s="1018">
        <f t="shared" ca="1" si="0"/>
        <v>0</v>
      </c>
      <c r="Q13" s="1024">
        <f t="shared" ca="1" si="1"/>
        <v>0</v>
      </c>
      <c r="S13" s="1028">
        <f t="shared" ca="1" si="2"/>
        <v>0</v>
      </c>
      <c r="T13" s="1028">
        <f t="shared" ca="1" si="2"/>
        <v>0</v>
      </c>
      <c r="U13" s="1028">
        <f t="shared" ca="1" si="2"/>
        <v>0</v>
      </c>
      <c r="V13" s="1028">
        <f t="shared" ca="1" si="2"/>
        <v>0</v>
      </c>
      <c r="W13" s="1028">
        <f t="shared" ca="1" si="2"/>
        <v>0</v>
      </c>
      <c r="X13" s="1028">
        <f t="shared" ca="1" si="18"/>
        <v>0</v>
      </c>
      <c r="Y13" s="1028">
        <f t="shared" ca="1" si="18"/>
        <v>0</v>
      </c>
      <c r="Z13" s="1028">
        <f t="shared" ca="1" si="18"/>
        <v>0</v>
      </c>
      <c r="AA13" s="1028">
        <f t="shared" ca="1" si="2"/>
        <v>0</v>
      </c>
      <c r="AB13" s="1028">
        <f t="shared" ca="1" si="2"/>
        <v>0</v>
      </c>
      <c r="AC13" s="1028">
        <f t="shared" ca="1" si="2"/>
        <v>0</v>
      </c>
      <c r="AD13" s="1028">
        <f t="shared" ca="1" si="2"/>
        <v>0</v>
      </c>
      <c r="AE13" s="1028">
        <f t="shared" ca="1" si="2"/>
        <v>0</v>
      </c>
      <c r="AF13" s="1028">
        <f t="shared" ca="1" si="2"/>
        <v>0</v>
      </c>
      <c r="AG13" s="1028">
        <f t="shared" ca="1" si="2"/>
        <v>0</v>
      </c>
      <c r="AH13" s="1028">
        <f t="shared" ca="1" si="2"/>
        <v>0</v>
      </c>
      <c r="AI13" s="1028">
        <f t="shared" ca="1" si="2"/>
        <v>0</v>
      </c>
      <c r="AJ13" s="1028">
        <f t="shared" ca="1" si="2"/>
        <v>0</v>
      </c>
      <c r="AK13" s="1029">
        <f t="shared" ca="1" si="4"/>
        <v>0</v>
      </c>
      <c r="AM13" s="1039">
        <f t="shared" ca="1" si="19"/>
        <v>0</v>
      </c>
      <c r="AN13" s="1039">
        <f t="shared" ca="1" si="19"/>
        <v>0</v>
      </c>
      <c r="AO13" s="1039">
        <f t="shared" ca="1" si="19"/>
        <v>0</v>
      </c>
      <c r="AP13" s="1039">
        <f t="shared" ca="1" si="19"/>
        <v>0</v>
      </c>
      <c r="AQ13" s="1039">
        <f t="shared" ca="1" si="19"/>
        <v>0</v>
      </c>
      <c r="AR13" s="1039">
        <f t="shared" ca="1" si="19"/>
        <v>0</v>
      </c>
      <c r="AS13" s="1039">
        <f t="shared" ca="1" si="19"/>
        <v>0</v>
      </c>
      <c r="AT13" s="1039">
        <f t="shared" ca="1" si="19"/>
        <v>0</v>
      </c>
      <c r="AU13" s="1039">
        <f t="shared" ca="1" si="19"/>
        <v>0</v>
      </c>
      <c r="AV13" s="1039">
        <f t="shared" ca="1" si="2"/>
        <v>0</v>
      </c>
      <c r="AW13" s="1039">
        <f t="shared" ca="1" si="2"/>
        <v>0</v>
      </c>
      <c r="AX13" s="1039">
        <f t="shared" ca="1" si="2"/>
        <v>0</v>
      </c>
      <c r="AY13" s="1039">
        <f t="shared" ca="1" si="2"/>
        <v>0</v>
      </c>
      <c r="AZ13" s="1039">
        <f t="shared" ca="1" si="2"/>
        <v>0</v>
      </c>
      <c r="BA13" s="1039">
        <f t="shared" ca="1" si="2"/>
        <v>0</v>
      </c>
      <c r="BB13" s="1039">
        <f t="shared" ca="1" si="2"/>
        <v>0</v>
      </c>
      <c r="BC13" s="1039">
        <f t="shared" ca="1" si="2"/>
        <v>0</v>
      </c>
      <c r="BD13" s="1039">
        <f t="shared" ca="1" si="2"/>
        <v>0</v>
      </c>
      <c r="BE13" s="1039">
        <f t="shared" ca="1" si="2"/>
        <v>0</v>
      </c>
      <c r="BF13" s="1008">
        <f t="shared" ca="1" si="6"/>
        <v>0</v>
      </c>
      <c r="BH13" s="1033">
        <f t="shared" ca="1" si="7"/>
        <v>0</v>
      </c>
      <c r="BI13" s="1033">
        <f t="shared" ca="1" si="7"/>
        <v>0</v>
      </c>
      <c r="BJ13" s="1044">
        <f t="shared" ca="1" si="8"/>
        <v>0</v>
      </c>
      <c r="BL13" s="1007">
        <f t="shared" ca="1" si="9"/>
        <v>0</v>
      </c>
      <c r="BM13" s="1007"/>
      <c r="BN13" s="840"/>
      <c r="BO13" s="1481">
        <f t="shared" ca="1" si="20"/>
        <v>0</v>
      </c>
      <c r="BP13" s="1482">
        <f t="shared" ca="1" si="20"/>
        <v>0</v>
      </c>
      <c r="BQ13" s="1482">
        <f t="shared" ca="1" si="20"/>
        <v>0</v>
      </c>
      <c r="BR13" s="1482">
        <f t="shared" ca="1" si="20"/>
        <v>0</v>
      </c>
      <c r="BS13" s="1482">
        <f t="shared" ca="1" si="20"/>
        <v>0</v>
      </c>
      <c r="BT13" s="1482">
        <f t="shared" ca="1" si="20"/>
        <v>0</v>
      </c>
      <c r="BU13" s="1482">
        <f t="shared" ca="1" si="20"/>
        <v>0</v>
      </c>
      <c r="BV13" s="1482">
        <f t="shared" ca="1" si="20"/>
        <v>0</v>
      </c>
      <c r="BW13" s="1482">
        <f t="shared" ca="1" si="20"/>
        <v>0</v>
      </c>
      <c r="BX13" s="1482">
        <f t="shared" ca="1" si="20"/>
        <v>0</v>
      </c>
      <c r="BY13" s="1482">
        <f t="shared" ca="1" si="21"/>
        <v>0</v>
      </c>
      <c r="BZ13" s="1482">
        <f t="shared" ca="1" si="21"/>
        <v>0</v>
      </c>
      <c r="CA13" s="1482">
        <f t="shared" ca="1" si="21"/>
        <v>0</v>
      </c>
      <c r="CB13" s="1482">
        <f t="shared" ca="1" si="21"/>
        <v>0</v>
      </c>
      <c r="CC13" s="1482">
        <f t="shared" ca="1" si="21"/>
        <v>0</v>
      </c>
      <c r="CD13" s="1482">
        <f t="shared" ca="1" si="21"/>
        <v>0</v>
      </c>
      <c r="CE13" s="1482">
        <f t="shared" ca="1" si="21"/>
        <v>0</v>
      </c>
      <c r="CF13" s="1482">
        <f t="shared" ca="1" si="21"/>
        <v>0</v>
      </c>
      <c r="CG13" s="1482">
        <f t="shared" ca="1" si="21"/>
        <v>0</v>
      </c>
      <c r="CH13" s="1482">
        <f t="shared" ca="1" si="21"/>
        <v>0</v>
      </c>
      <c r="CI13" s="1482">
        <f t="shared" ca="1" si="22"/>
        <v>0</v>
      </c>
      <c r="CJ13" s="1482">
        <f t="shared" ca="1" si="22"/>
        <v>0</v>
      </c>
      <c r="CK13" s="1482">
        <f t="shared" ca="1" si="22"/>
        <v>0</v>
      </c>
      <c r="CL13" s="1482">
        <f t="shared" ca="1" si="22"/>
        <v>0</v>
      </c>
      <c r="CM13" s="1482">
        <f t="shared" ca="1" si="22"/>
        <v>0</v>
      </c>
      <c r="CN13" s="1482">
        <f t="shared" ca="1" si="22"/>
        <v>0</v>
      </c>
      <c r="CO13" s="1482">
        <f t="shared" ca="1" si="22"/>
        <v>0</v>
      </c>
      <c r="CP13" s="1482">
        <f t="shared" ca="1" si="22"/>
        <v>0</v>
      </c>
      <c r="CQ13" s="1482">
        <f t="shared" ca="1" si="22"/>
        <v>0</v>
      </c>
      <c r="CR13" s="1482">
        <f t="shared" ca="1" si="22"/>
        <v>0</v>
      </c>
      <c r="CS13" s="1482">
        <f t="shared" ca="1" si="23"/>
        <v>0</v>
      </c>
      <c r="CT13" s="1482">
        <f t="shared" ca="1" si="23"/>
        <v>0</v>
      </c>
      <c r="CU13" s="1482">
        <f t="shared" ca="1" si="23"/>
        <v>0</v>
      </c>
      <c r="CV13" s="1482">
        <f t="shared" ca="1" si="23"/>
        <v>0</v>
      </c>
      <c r="CW13" s="1482">
        <f t="shared" ca="1" si="23"/>
        <v>0</v>
      </c>
      <c r="CX13" s="1482">
        <f t="shared" ca="1" si="23"/>
        <v>0</v>
      </c>
      <c r="CY13" s="1482">
        <f t="shared" ca="1" si="23"/>
        <v>0</v>
      </c>
      <c r="CZ13" s="1482">
        <f t="shared" ca="1" si="23"/>
        <v>0</v>
      </c>
      <c r="DA13" s="1482">
        <f t="shared" ca="1" si="23"/>
        <v>0</v>
      </c>
      <c r="DB13" s="1482">
        <f t="shared" ca="1" si="23"/>
        <v>0</v>
      </c>
      <c r="DC13" s="1482">
        <f t="shared" ca="1" si="23"/>
        <v>0</v>
      </c>
      <c r="DD13" s="1482">
        <f t="shared" ca="1" si="23"/>
        <v>0</v>
      </c>
      <c r="DE13" s="1482">
        <f t="shared" ca="1" si="23"/>
        <v>0</v>
      </c>
      <c r="DF13" s="1482">
        <f t="shared" ca="1" si="23"/>
        <v>0</v>
      </c>
      <c r="DH13" s="838"/>
    </row>
    <row r="14" spans="1:112" s="743" customFormat="1" ht="12.75" hidden="1" customHeight="1" outlineLevel="1">
      <c r="A14" s="1484"/>
      <c r="B14" s="1484"/>
      <c r="C14" s="746"/>
      <c r="D14" s="1010" t="s">
        <v>948</v>
      </c>
      <c r="E14" s="1010"/>
      <c r="G14" s="1020">
        <f ca="1">SUM(G12:G13)</f>
        <v>129.92787034452689</v>
      </c>
      <c r="H14" s="1020">
        <f t="shared" ref="H14:P14" ca="1" si="24">SUM(H12:H13)</f>
        <v>0</v>
      </c>
      <c r="I14" s="1020">
        <f t="shared" ca="1" si="24"/>
        <v>0</v>
      </c>
      <c r="J14" s="1020">
        <f t="shared" ca="1" si="24"/>
        <v>0</v>
      </c>
      <c r="K14" s="1020">
        <f t="shared" ca="1" si="24"/>
        <v>0</v>
      </c>
      <c r="L14" s="1020">
        <f t="shared" ca="1" si="24"/>
        <v>0</v>
      </c>
      <c r="M14" s="1020">
        <f t="shared" ca="1" si="24"/>
        <v>0</v>
      </c>
      <c r="N14" s="1020">
        <f t="shared" ca="1" si="24"/>
        <v>0</v>
      </c>
      <c r="O14" s="1020">
        <f t="shared" ca="1" si="24"/>
        <v>0</v>
      </c>
      <c r="P14" s="1020">
        <f t="shared" ca="1" si="24"/>
        <v>0</v>
      </c>
      <c r="Q14" s="1020">
        <f t="shared" ca="1" si="1"/>
        <v>129.92787034452689</v>
      </c>
      <c r="S14" s="1030">
        <f t="shared" ref="S14:AJ14" ca="1" si="25">SUM(S12:S13)</f>
        <v>-35.16946485012258</v>
      </c>
      <c r="T14" s="1030">
        <f t="shared" ca="1" si="25"/>
        <v>0</v>
      </c>
      <c r="U14" s="1030">
        <f t="shared" ca="1" si="25"/>
        <v>0</v>
      </c>
      <c r="V14" s="1030">
        <f t="shared" ca="1" si="25"/>
        <v>-9.3601915660227526</v>
      </c>
      <c r="W14" s="1030">
        <f t="shared" ca="1" si="25"/>
        <v>-85.398213928381523</v>
      </c>
      <c r="X14" s="1030">
        <f ca="1">SUM(X12:X13)</f>
        <v>0</v>
      </c>
      <c r="Y14" s="1030">
        <f ca="1">SUM(Y12:Y13)</f>
        <v>0</v>
      </c>
      <c r="Z14" s="1030">
        <f ca="1">SUM(Z12:Z13)</f>
        <v>0</v>
      </c>
      <c r="AA14" s="1030">
        <f t="shared" ca="1" si="25"/>
        <v>0</v>
      </c>
      <c r="AB14" s="1030">
        <f t="shared" ca="1" si="25"/>
        <v>0</v>
      </c>
      <c r="AC14" s="1030">
        <f t="shared" ca="1" si="25"/>
        <v>0</v>
      </c>
      <c r="AD14" s="1030">
        <f ca="1">SUM(AD12:AD13)</f>
        <v>0</v>
      </c>
      <c r="AE14" s="1030">
        <f ca="1">SUM(AE12:AE13)</f>
        <v>0</v>
      </c>
      <c r="AF14" s="1030">
        <f t="shared" ca="1" si="25"/>
        <v>0</v>
      </c>
      <c r="AG14" s="1030">
        <f ca="1">SUM(AG12:AG13)</f>
        <v>0</v>
      </c>
      <c r="AH14" s="1030">
        <f ca="1">SUM(AH12:AH13)</f>
        <v>0</v>
      </c>
      <c r="AI14" s="1030">
        <f ca="1">SUM(AI12:AI13)</f>
        <v>0</v>
      </c>
      <c r="AJ14" s="1030">
        <f t="shared" ca="1" si="25"/>
        <v>0</v>
      </c>
      <c r="AK14" s="1030">
        <f t="shared" ca="1" si="4"/>
        <v>-129.92787034452687</v>
      </c>
      <c r="AM14" s="1041">
        <f t="shared" ref="AM14:AS14" ca="1" si="26">SUM(AM12:AM13)</f>
        <v>0</v>
      </c>
      <c r="AN14" s="1041">
        <f t="shared" ca="1" si="26"/>
        <v>0</v>
      </c>
      <c r="AO14" s="1041">
        <f t="shared" ca="1" si="26"/>
        <v>0</v>
      </c>
      <c r="AP14" s="1041">
        <f t="shared" ca="1" si="26"/>
        <v>0</v>
      </c>
      <c r="AQ14" s="1041">
        <f t="shared" ca="1" si="26"/>
        <v>0</v>
      </c>
      <c r="AR14" s="1041">
        <f t="shared" ca="1" si="26"/>
        <v>0</v>
      </c>
      <c r="AS14" s="1041">
        <f t="shared" ca="1" si="26"/>
        <v>0</v>
      </c>
      <c r="AT14" s="1041">
        <f t="shared" ref="AT14:BE14" ca="1" si="27">SUM(AT12:AT13)</f>
        <v>0</v>
      </c>
      <c r="AU14" s="1041">
        <f t="shared" ca="1" si="27"/>
        <v>0</v>
      </c>
      <c r="AV14" s="1041">
        <f t="shared" ca="1" si="27"/>
        <v>0</v>
      </c>
      <c r="AW14" s="1041">
        <f t="shared" ca="1" si="27"/>
        <v>0</v>
      </c>
      <c r="AX14" s="1041">
        <f t="shared" ca="1" si="27"/>
        <v>0</v>
      </c>
      <c r="AY14" s="1041">
        <f t="shared" ca="1" si="27"/>
        <v>0</v>
      </c>
      <c r="AZ14" s="1041">
        <f t="shared" ca="1" si="27"/>
        <v>0</v>
      </c>
      <c r="BA14" s="1041">
        <f t="shared" ca="1" si="27"/>
        <v>0</v>
      </c>
      <c r="BB14" s="1041">
        <f t="shared" ca="1" si="27"/>
        <v>0</v>
      </c>
      <c r="BC14" s="1041">
        <f t="shared" ca="1" si="27"/>
        <v>0</v>
      </c>
      <c r="BD14" s="1041">
        <f t="shared" ca="1" si="27"/>
        <v>0</v>
      </c>
      <c r="BE14" s="1041">
        <f t="shared" ca="1" si="27"/>
        <v>0</v>
      </c>
      <c r="BF14" s="1012">
        <f t="shared" ca="1" si="6"/>
        <v>0</v>
      </c>
      <c r="BH14" s="1035">
        <f ca="1">SUM(BH12:BH13)</f>
        <v>0</v>
      </c>
      <c r="BI14" s="1035">
        <f ca="1">SUM(BI12:BI13)</f>
        <v>0</v>
      </c>
      <c r="BJ14" s="1035">
        <f t="shared" ca="1" si="8"/>
        <v>0</v>
      </c>
      <c r="BL14" s="814">
        <f t="shared" ca="1" si="9"/>
        <v>2.8421709430404007E-14</v>
      </c>
      <c r="BM14" s="814"/>
      <c r="BN14" s="840"/>
      <c r="BO14" s="1485">
        <f t="shared" ref="BO14:DF14" ca="1" si="28">SUM(BO12:BO13)</f>
        <v>18.053319254327885</v>
      </c>
      <c r="BP14" s="1486">
        <f t="shared" ca="1" si="28"/>
        <v>3.4410378264801728E-2</v>
      </c>
      <c r="BQ14" s="1486">
        <f t="shared" ca="1" si="28"/>
        <v>7.5978841297249272E-2</v>
      </c>
      <c r="BR14" s="1486">
        <f t="shared" ca="1" si="28"/>
        <v>0</v>
      </c>
      <c r="BS14" s="1486">
        <f t="shared" ca="1" si="28"/>
        <v>0</v>
      </c>
      <c r="BT14" s="1486">
        <f t="shared" ca="1" si="28"/>
        <v>0</v>
      </c>
      <c r="BU14" s="1486">
        <f t="shared" ca="1" si="28"/>
        <v>0</v>
      </c>
      <c r="BV14" s="1486">
        <f t="shared" ca="1" si="28"/>
        <v>0</v>
      </c>
      <c r="BW14" s="1486">
        <f t="shared" ca="1" si="28"/>
        <v>0</v>
      </c>
      <c r="BX14" s="1486">
        <f t="shared" ca="1" si="28"/>
        <v>0</v>
      </c>
      <c r="BY14" s="1486">
        <f t="shared" ca="1" si="28"/>
        <v>0</v>
      </c>
      <c r="BZ14" s="1486">
        <f t="shared" ca="1" si="28"/>
        <v>0</v>
      </c>
      <c r="CA14" s="1486">
        <f t="shared" ca="1" si="28"/>
        <v>0</v>
      </c>
      <c r="CB14" s="1486">
        <f t="shared" ca="1" si="28"/>
        <v>0</v>
      </c>
      <c r="CC14" s="1486">
        <f t="shared" ca="1" si="28"/>
        <v>0</v>
      </c>
      <c r="CD14" s="1486">
        <f t="shared" ca="1" si="28"/>
        <v>0</v>
      </c>
      <c r="CE14" s="1486">
        <f t="shared" ca="1" si="28"/>
        <v>0</v>
      </c>
      <c r="CF14" s="1486">
        <f t="shared" ca="1" si="28"/>
        <v>0</v>
      </c>
      <c r="CG14" s="1486">
        <f t="shared" ca="1" si="28"/>
        <v>0</v>
      </c>
      <c r="CH14" s="1486">
        <f t="shared" ca="1" si="28"/>
        <v>0</v>
      </c>
      <c r="CI14" s="1486">
        <f t="shared" ca="1" si="28"/>
        <v>0</v>
      </c>
      <c r="CJ14" s="1486">
        <f t="shared" ca="1" si="28"/>
        <v>0</v>
      </c>
      <c r="CK14" s="1486">
        <f t="shared" ca="1" si="28"/>
        <v>0</v>
      </c>
      <c r="CL14" s="1486">
        <f t="shared" ca="1" si="28"/>
        <v>0</v>
      </c>
      <c r="CM14" s="1486">
        <f t="shared" ca="1" si="28"/>
        <v>0</v>
      </c>
      <c r="CN14" s="1486">
        <f t="shared" ca="1" si="28"/>
        <v>0</v>
      </c>
      <c r="CO14" s="1486">
        <f t="shared" ca="1" si="28"/>
        <v>0</v>
      </c>
      <c r="CP14" s="1486">
        <f t="shared" ca="1" si="28"/>
        <v>0</v>
      </c>
      <c r="CQ14" s="1486">
        <f t="shared" ca="1" si="28"/>
        <v>0</v>
      </c>
      <c r="CR14" s="1486">
        <f t="shared" ca="1" si="28"/>
        <v>0</v>
      </c>
      <c r="CS14" s="1486">
        <f t="shared" ca="1" si="28"/>
        <v>0</v>
      </c>
      <c r="CT14" s="1486">
        <f t="shared" ca="1" si="28"/>
        <v>0</v>
      </c>
      <c r="CU14" s="1486">
        <f t="shared" ca="1" si="28"/>
        <v>0</v>
      </c>
      <c r="CV14" s="1486">
        <f t="shared" ca="1" si="28"/>
        <v>0</v>
      </c>
      <c r="CW14" s="1486">
        <f t="shared" ca="1" si="28"/>
        <v>0</v>
      </c>
      <c r="CX14" s="1486">
        <f t="shared" ca="1" si="28"/>
        <v>0</v>
      </c>
      <c r="CY14" s="1486">
        <f t="shared" ca="1" si="28"/>
        <v>0</v>
      </c>
      <c r="CZ14" s="1486">
        <f t="shared" ca="1" si="28"/>
        <v>0</v>
      </c>
      <c r="DA14" s="1486">
        <f t="shared" ca="1" si="28"/>
        <v>0</v>
      </c>
      <c r="DB14" s="1486">
        <f t="shared" ca="1" si="28"/>
        <v>0</v>
      </c>
      <c r="DC14" s="1486">
        <f t="shared" ca="1" si="28"/>
        <v>0</v>
      </c>
      <c r="DD14" s="1486">
        <f t="shared" ca="1" si="28"/>
        <v>0</v>
      </c>
      <c r="DE14" s="1486">
        <f t="shared" ca="1" si="28"/>
        <v>0</v>
      </c>
      <c r="DF14" s="1486">
        <f t="shared" ca="1" si="28"/>
        <v>0</v>
      </c>
      <c r="DH14" s="838"/>
    </row>
    <row r="15" spans="1:112" s="743" customFormat="1" ht="15.75" collapsed="1">
      <c r="A15" s="22"/>
      <c r="B15" s="753"/>
      <c r="C15" s="744" t="s">
        <v>676</v>
      </c>
      <c r="D15" s="517" t="str">
        <f>INDEX(Workstreams[Workstream], MATCH($C15, Workstreams[Code], 0))</f>
        <v>Heating</v>
      </c>
      <c r="E15" s="512"/>
      <c r="G15" s="1021">
        <f t="shared" ref="G15:P15" ca="1" si="29">G14+G11</f>
        <v>560.79657715903761</v>
      </c>
      <c r="H15" s="1021">
        <f t="shared" ca="1" si="29"/>
        <v>0</v>
      </c>
      <c r="I15" s="1021">
        <f t="shared" ca="1" si="29"/>
        <v>0</v>
      </c>
      <c r="J15" s="1021">
        <f t="shared" ca="1" si="29"/>
        <v>0</v>
      </c>
      <c r="K15" s="1021">
        <f t="shared" ca="1" si="29"/>
        <v>0</v>
      </c>
      <c r="L15" s="1021">
        <f t="shared" ca="1" si="29"/>
        <v>0</v>
      </c>
      <c r="M15" s="1021">
        <f t="shared" ca="1" si="29"/>
        <v>0</v>
      </c>
      <c r="N15" s="1021">
        <f t="shared" ca="1" si="29"/>
        <v>0</v>
      </c>
      <c r="O15" s="1021">
        <f t="shared" ca="1" si="29"/>
        <v>0</v>
      </c>
      <c r="P15" s="1021">
        <f t="shared" ca="1" si="29"/>
        <v>0</v>
      </c>
      <c r="Q15" s="1021">
        <f t="shared" ca="1" si="1"/>
        <v>560.79657715903761</v>
      </c>
      <c r="S15" s="970">
        <f t="shared" ref="S15:Z15" ca="1" si="30">S14+S11</f>
        <v>-72.090238898367843</v>
      </c>
      <c r="T15" s="970">
        <f t="shared" ca="1" si="30"/>
        <v>0</v>
      </c>
      <c r="U15" s="970">
        <f t="shared" ca="1" si="30"/>
        <v>-10.921374269724915</v>
      </c>
      <c r="V15" s="970">
        <f t="shared" ca="1" si="30"/>
        <v>-19.15565096258015</v>
      </c>
      <c r="W15" s="970">
        <f t="shared" ca="1" si="30"/>
        <v>-458.62931302836466</v>
      </c>
      <c r="X15" s="970">
        <f t="shared" ca="1" si="30"/>
        <v>0</v>
      </c>
      <c r="Y15" s="970">
        <f t="shared" ca="1" si="30"/>
        <v>0</v>
      </c>
      <c r="Z15" s="970">
        <f t="shared" ca="1" si="30"/>
        <v>0</v>
      </c>
      <c r="AA15" s="970">
        <f t="shared" ref="AA15:AJ15" ca="1" si="31">AA14+AA11</f>
        <v>0</v>
      </c>
      <c r="AB15" s="970">
        <f t="shared" ca="1" si="31"/>
        <v>0</v>
      </c>
      <c r="AC15" s="970">
        <f t="shared" ca="1" si="31"/>
        <v>0</v>
      </c>
      <c r="AD15" s="970">
        <f ca="1">AD14+AD11</f>
        <v>0</v>
      </c>
      <c r="AE15" s="970">
        <f ca="1">AE14+AE11</f>
        <v>0</v>
      </c>
      <c r="AF15" s="970">
        <f t="shared" ca="1" si="31"/>
        <v>0</v>
      </c>
      <c r="AG15" s="970">
        <f ca="1">AG14+AG11</f>
        <v>0</v>
      </c>
      <c r="AH15" s="970">
        <f ca="1">AH14+AH11</f>
        <v>0</v>
      </c>
      <c r="AI15" s="970">
        <f ca="1">AI14+AI11</f>
        <v>0</v>
      </c>
      <c r="AJ15" s="970">
        <f t="shared" ca="1" si="31"/>
        <v>0</v>
      </c>
      <c r="AK15" s="970">
        <f t="shared" ca="1" si="4"/>
        <v>-560.79657715903761</v>
      </c>
      <c r="AM15" s="976">
        <f t="shared" ref="AM15:AS15" ca="1" si="32">AM14+AM11</f>
        <v>0</v>
      </c>
      <c r="AN15" s="976">
        <f t="shared" ca="1" si="32"/>
        <v>0</v>
      </c>
      <c r="AO15" s="976">
        <f t="shared" ca="1" si="32"/>
        <v>0</v>
      </c>
      <c r="AP15" s="976">
        <f t="shared" ca="1" si="32"/>
        <v>0</v>
      </c>
      <c r="AQ15" s="976">
        <f t="shared" ca="1" si="32"/>
        <v>0</v>
      </c>
      <c r="AR15" s="976">
        <f t="shared" ca="1" si="32"/>
        <v>0</v>
      </c>
      <c r="AS15" s="976">
        <f t="shared" ca="1" si="32"/>
        <v>0</v>
      </c>
      <c r="AT15" s="976">
        <f t="shared" ref="AT15:BE15" ca="1" si="33">AT14+AT11</f>
        <v>0</v>
      </c>
      <c r="AU15" s="976">
        <f t="shared" ca="1" si="33"/>
        <v>0</v>
      </c>
      <c r="AV15" s="976">
        <f t="shared" ca="1" si="33"/>
        <v>0</v>
      </c>
      <c r="AW15" s="976">
        <f t="shared" ca="1" si="33"/>
        <v>0</v>
      </c>
      <c r="AX15" s="976">
        <f t="shared" ca="1" si="33"/>
        <v>0</v>
      </c>
      <c r="AY15" s="976">
        <f t="shared" ca="1" si="33"/>
        <v>0</v>
      </c>
      <c r="AZ15" s="976">
        <f t="shared" ca="1" si="33"/>
        <v>0</v>
      </c>
      <c r="BA15" s="976">
        <f t="shared" ca="1" si="33"/>
        <v>0</v>
      </c>
      <c r="BB15" s="976">
        <f t="shared" ca="1" si="33"/>
        <v>0</v>
      </c>
      <c r="BC15" s="976">
        <f t="shared" ca="1" si="33"/>
        <v>0</v>
      </c>
      <c r="BD15" s="976">
        <f t="shared" ca="1" si="33"/>
        <v>0</v>
      </c>
      <c r="BE15" s="976">
        <f t="shared" ca="1" si="33"/>
        <v>0</v>
      </c>
      <c r="BF15" s="976">
        <f t="shared" ca="1" si="6"/>
        <v>0</v>
      </c>
      <c r="BH15" s="990">
        <f ca="1">BH14+BH11</f>
        <v>0</v>
      </c>
      <c r="BI15" s="990">
        <f ca="1">BI14+BI11</f>
        <v>0</v>
      </c>
      <c r="BJ15" s="990">
        <f t="shared" ca="1" si="8"/>
        <v>0</v>
      </c>
      <c r="BL15" s="515">
        <f t="shared" ca="1" si="9"/>
        <v>0</v>
      </c>
      <c r="BM15" s="515"/>
      <c r="BN15" s="840"/>
      <c r="BO15" s="1482">
        <f t="shared" ref="BO15:DF15" ca="1" si="34">BO14+BO11</f>
        <v>92.540489612939382</v>
      </c>
      <c r="BP15" s="1482">
        <f t="shared" ca="1" si="34"/>
        <v>0.18499788335036357</v>
      </c>
      <c r="BQ15" s="1482">
        <f t="shared" ca="1" si="34"/>
        <v>0.29789395890082326</v>
      </c>
      <c r="BR15" s="1482">
        <f t="shared" ca="1" si="34"/>
        <v>0</v>
      </c>
      <c r="BS15" s="1482">
        <f t="shared" ca="1" si="34"/>
        <v>0</v>
      </c>
      <c r="BT15" s="1482">
        <f t="shared" ca="1" si="34"/>
        <v>0</v>
      </c>
      <c r="BU15" s="1482">
        <f t="shared" ca="1" si="34"/>
        <v>0</v>
      </c>
      <c r="BV15" s="1482">
        <f t="shared" ca="1" si="34"/>
        <v>0</v>
      </c>
      <c r="BW15" s="1482">
        <f t="shared" ca="1" si="34"/>
        <v>0</v>
      </c>
      <c r="BX15" s="1482">
        <f t="shared" ca="1" si="34"/>
        <v>0</v>
      </c>
      <c r="BY15" s="1482">
        <f t="shared" ca="1" si="34"/>
        <v>0</v>
      </c>
      <c r="BZ15" s="1482">
        <f t="shared" ca="1" si="34"/>
        <v>0</v>
      </c>
      <c r="CA15" s="1482">
        <f t="shared" ca="1" si="34"/>
        <v>0</v>
      </c>
      <c r="CB15" s="1482">
        <f t="shared" ca="1" si="34"/>
        <v>0</v>
      </c>
      <c r="CC15" s="1482">
        <f t="shared" ca="1" si="34"/>
        <v>0</v>
      </c>
      <c r="CD15" s="1482">
        <f t="shared" ca="1" si="34"/>
        <v>0</v>
      </c>
      <c r="CE15" s="1482">
        <f t="shared" ca="1" si="34"/>
        <v>0</v>
      </c>
      <c r="CF15" s="1482">
        <f t="shared" ca="1" si="34"/>
        <v>0</v>
      </c>
      <c r="CG15" s="1482">
        <f t="shared" ca="1" si="34"/>
        <v>0</v>
      </c>
      <c r="CH15" s="1482">
        <f t="shared" ca="1" si="34"/>
        <v>0</v>
      </c>
      <c r="CI15" s="1482">
        <f t="shared" ca="1" si="34"/>
        <v>0</v>
      </c>
      <c r="CJ15" s="1482">
        <f t="shared" ca="1" si="34"/>
        <v>0</v>
      </c>
      <c r="CK15" s="1482">
        <f t="shared" ca="1" si="34"/>
        <v>0</v>
      </c>
      <c r="CL15" s="1482">
        <f t="shared" ca="1" si="34"/>
        <v>0</v>
      </c>
      <c r="CM15" s="1482">
        <f t="shared" ca="1" si="34"/>
        <v>0</v>
      </c>
      <c r="CN15" s="1482">
        <f t="shared" ca="1" si="34"/>
        <v>0</v>
      </c>
      <c r="CO15" s="1482">
        <f t="shared" ca="1" si="34"/>
        <v>0</v>
      </c>
      <c r="CP15" s="1482">
        <f t="shared" ca="1" si="34"/>
        <v>0</v>
      </c>
      <c r="CQ15" s="1482">
        <f t="shared" ca="1" si="34"/>
        <v>0</v>
      </c>
      <c r="CR15" s="1482">
        <f t="shared" ca="1" si="34"/>
        <v>0</v>
      </c>
      <c r="CS15" s="1482">
        <f t="shared" ca="1" si="34"/>
        <v>0</v>
      </c>
      <c r="CT15" s="1482">
        <f t="shared" ca="1" si="34"/>
        <v>0</v>
      </c>
      <c r="CU15" s="1482">
        <f t="shared" ca="1" si="34"/>
        <v>0</v>
      </c>
      <c r="CV15" s="1482">
        <f t="shared" ca="1" si="34"/>
        <v>0</v>
      </c>
      <c r="CW15" s="1482">
        <f t="shared" ca="1" si="34"/>
        <v>0</v>
      </c>
      <c r="CX15" s="1482">
        <f t="shared" ca="1" si="34"/>
        <v>0</v>
      </c>
      <c r="CY15" s="1482">
        <f t="shared" ca="1" si="34"/>
        <v>0</v>
      </c>
      <c r="CZ15" s="1482">
        <f t="shared" ca="1" si="34"/>
        <v>0</v>
      </c>
      <c r="DA15" s="1482">
        <f t="shared" ca="1" si="34"/>
        <v>0</v>
      </c>
      <c r="DB15" s="1482">
        <f t="shared" ca="1" si="34"/>
        <v>0</v>
      </c>
      <c r="DC15" s="1482">
        <f t="shared" ca="1" si="34"/>
        <v>0</v>
      </c>
      <c r="DD15" s="1482">
        <f t="shared" ca="1" si="34"/>
        <v>0</v>
      </c>
      <c r="DE15" s="1482">
        <f t="shared" ca="1" si="34"/>
        <v>0</v>
      </c>
      <c r="DF15" s="1482">
        <f t="shared" ca="1" si="34"/>
        <v>0</v>
      </c>
      <c r="DH15" s="838">
        <f t="shared" ref="DH15:DH38" ca="1" si="35">SUM(BO15:DF15)</f>
        <v>93.023381455190574</v>
      </c>
    </row>
    <row r="16" spans="1:112" s="743" customFormat="1" hidden="1" outlineLevel="1">
      <c r="A16" s="1484"/>
      <c r="B16" s="1484"/>
      <c r="C16" s="746"/>
      <c r="D16" s="521"/>
      <c r="E16" s="521"/>
      <c r="G16" s="1019"/>
      <c r="H16" s="1019"/>
      <c r="I16" s="1019"/>
      <c r="J16" s="1019"/>
      <c r="K16" s="1019"/>
      <c r="L16" s="1019"/>
      <c r="M16" s="1019"/>
      <c r="N16" s="1019"/>
      <c r="O16" s="1019"/>
      <c r="P16" s="1019"/>
      <c r="Q16" s="1019"/>
      <c r="S16" s="1027"/>
      <c r="T16" s="1027"/>
      <c r="U16" s="1027"/>
      <c r="V16" s="1027"/>
      <c r="W16" s="1027"/>
      <c r="X16" s="1027"/>
      <c r="Y16" s="1027"/>
      <c r="Z16" s="1027"/>
      <c r="AA16" s="1027"/>
      <c r="AB16" s="1027"/>
      <c r="AC16" s="1027"/>
      <c r="AD16" s="1027"/>
      <c r="AE16" s="1027"/>
      <c r="AF16" s="1027"/>
      <c r="AG16" s="1027"/>
      <c r="AH16" s="1027"/>
      <c r="AI16" s="1027"/>
      <c r="AJ16" s="1027"/>
      <c r="AK16" s="1027"/>
      <c r="AM16" s="1040"/>
      <c r="AN16" s="1040"/>
      <c r="AO16" s="1040"/>
      <c r="AP16" s="1040"/>
      <c r="AQ16" s="1040"/>
      <c r="AR16" s="1040"/>
      <c r="AS16" s="1040"/>
      <c r="AT16" s="1040"/>
      <c r="AU16" s="1040"/>
      <c r="AV16" s="1040"/>
      <c r="AW16" s="1040"/>
      <c r="AX16" s="1040"/>
      <c r="AY16" s="1040"/>
      <c r="AZ16" s="1040"/>
      <c r="BA16" s="1040"/>
      <c r="BB16" s="1040"/>
      <c r="BC16" s="1040"/>
      <c r="BD16" s="1040"/>
      <c r="BE16" s="1040"/>
      <c r="BF16" s="979"/>
      <c r="BH16" s="1034"/>
      <c r="BI16" s="1034"/>
      <c r="BJ16" s="1034"/>
      <c r="BL16" s="814">
        <f t="shared" si="9"/>
        <v>0</v>
      </c>
      <c r="BM16" s="814"/>
      <c r="BN16" s="1484"/>
      <c r="BO16" s="1481"/>
      <c r="BP16" s="1482"/>
      <c r="BQ16" s="1482"/>
      <c r="BR16" s="1482"/>
      <c r="BS16" s="1482"/>
      <c r="BT16" s="1482"/>
      <c r="BU16" s="1482"/>
      <c r="BV16" s="1482"/>
      <c r="BW16" s="1482"/>
      <c r="BX16" s="1482"/>
      <c r="BY16" s="1482"/>
      <c r="BZ16" s="1482"/>
      <c r="CA16" s="1482"/>
      <c r="CB16" s="1482"/>
      <c r="CC16" s="1482"/>
      <c r="CD16" s="1482"/>
      <c r="CE16" s="1482"/>
      <c r="CF16" s="1482"/>
      <c r="CG16" s="1482"/>
      <c r="CH16" s="1482"/>
      <c r="CI16" s="1482"/>
      <c r="CJ16" s="1482"/>
      <c r="CK16" s="1482"/>
      <c r="CL16" s="1482"/>
      <c r="CM16" s="1482"/>
      <c r="CN16" s="1482"/>
      <c r="CO16" s="1482"/>
      <c r="CP16" s="1482"/>
      <c r="CQ16" s="1482"/>
      <c r="CR16" s="1482"/>
      <c r="CS16" s="1482"/>
      <c r="CT16" s="1482"/>
      <c r="CU16" s="1482"/>
      <c r="CV16" s="1482"/>
      <c r="CW16" s="1482"/>
      <c r="CX16" s="1482"/>
      <c r="CY16" s="1482"/>
      <c r="CZ16" s="1482"/>
      <c r="DA16" s="1482"/>
      <c r="DB16" s="1482"/>
      <c r="DC16" s="1482"/>
      <c r="DD16" s="1482"/>
      <c r="DE16" s="1482"/>
      <c r="DF16" s="1482"/>
      <c r="DH16" s="838">
        <f t="shared" si="35"/>
        <v>0</v>
      </c>
    </row>
    <row r="17" spans="1:112" s="743" customFormat="1" ht="12.75" hidden="1" customHeight="1" outlineLevel="1">
      <c r="A17" s="1484"/>
      <c r="B17" s="1484"/>
      <c r="C17" s="746" t="s">
        <v>950</v>
      </c>
      <c r="D17" s="1480" t="str">
        <f>INDEX(Modules[Module], MATCH($C17, Modules[Code], 0))</f>
        <v>Domestic lighting, appliances, and cooking</v>
      </c>
      <c r="E17" s="1006"/>
      <c r="G17" s="1017">
        <f t="shared" ref="G17:P18" ca="1" si="36">IFERROR(INDEX(INDIRECT($C17&amp;".Outputs["&amp;this.Year&amp;"]"), MATCH(G$5, INDIRECT($C17&amp;".Outputs[Vector]"), 0)), 0)</f>
        <v>0</v>
      </c>
      <c r="H17" s="1017">
        <f t="shared" ca="1" si="36"/>
        <v>97.494067032101526</v>
      </c>
      <c r="I17" s="1017">
        <f t="shared" ca="1" si="36"/>
        <v>0</v>
      </c>
      <c r="J17" s="1017">
        <f t="shared" ca="1" si="36"/>
        <v>0</v>
      </c>
      <c r="K17" s="1017">
        <f t="shared" ca="1" si="36"/>
        <v>0</v>
      </c>
      <c r="L17" s="1017">
        <f t="shared" ca="1" si="36"/>
        <v>0</v>
      </c>
      <c r="M17" s="1017">
        <f t="shared" ca="1" si="36"/>
        <v>0</v>
      </c>
      <c r="N17" s="1017">
        <f t="shared" ca="1" si="36"/>
        <v>0</v>
      </c>
      <c r="O17" s="1017">
        <f t="shared" ca="1" si="36"/>
        <v>0</v>
      </c>
      <c r="P17" s="1017">
        <f t="shared" ca="1" si="36"/>
        <v>0</v>
      </c>
      <c r="Q17" s="1019">
        <f ca="1">SUM(G17:P17)</f>
        <v>97.494067032101526</v>
      </c>
      <c r="S17" s="1026">
        <f t="shared" ref="S17:BE18" ca="1" si="37">IFERROR(INDEX(INDIRECT($C17&amp;".Outputs["&amp;this.Year&amp;"]"), MATCH(S$5, INDIRECT($C17&amp;".Outputs[Vector]"), 0)), 0)</f>
        <v>-89.4785198583305</v>
      </c>
      <c r="T17" s="1026">
        <f t="shared" ca="1" si="37"/>
        <v>0</v>
      </c>
      <c r="U17" s="1026">
        <f t="shared" ca="1" si="37"/>
        <v>0</v>
      </c>
      <c r="V17" s="1026">
        <f t="shared" ca="1" si="37"/>
        <v>0</v>
      </c>
      <c r="W17" s="1026">
        <f t="shared" ca="1" si="37"/>
        <v>-8.0155471737710187</v>
      </c>
      <c r="X17" s="1026">
        <f t="shared" ref="X17:Z18" ca="1" si="38">IFERROR(INDEX(INDIRECT($C17&amp;".Outputs["&amp;this.Year&amp;"]"), MATCH(X$5, INDIRECT($C17&amp;".Outputs[Vector]"), 0)), 0)</f>
        <v>0</v>
      </c>
      <c r="Y17" s="1026">
        <f t="shared" ca="1" si="38"/>
        <v>0</v>
      </c>
      <c r="Z17" s="1026">
        <f t="shared" ca="1" si="38"/>
        <v>0</v>
      </c>
      <c r="AA17" s="1026">
        <f t="shared" ca="1" si="37"/>
        <v>0</v>
      </c>
      <c r="AB17" s="1026">
        <f t="shared" ca="1" si="37"/>
        <v>0</v>
      </c>
      <c r="AC17" s="1026">
        <f t="shared" ca="1" si="37"/>
        <v>0</v>
      </c>
      <c r="AD17" s="1026">
        <f t="shared" ca="1" si="37"/>
        <v>0</v>
      </c>
      <c r="AE17" s="1026">
        <f t="shared" ca="1" si="37"/>
        <v>0</v>
      </c>
      <c r="AF17" s="1026">
        <f t="shared" ca="1" si="37"/>
        <v>0</v>
      </c>
      <c r="AG17" s="1026">
        <f t="shared" ca="1" si="37"/>
        <v>0</v>
      </c>
      <c r="AH17" s="1026">
        <f t="shared" ca="1" si="37"/>
        <v>0</v>
      </c>
      <c r="AI17" s="1026">
        <f t="shared" ca="1" si="37"/>
        <v>0</v>
      </c>
      <c r="AJ17" s="1026">
        <f t="shared" ca="1" si="37"/>
        <v>0</v>
      </c>
      <c r="AK17" s="1027">
        <f ca="1">SUM(S17:AJ17)</f>
        <v>-97.494067032101526</v>
      </c>
      <c r="AM17" s="1038">
        <f t="shared" ref="AM17:AU18" ca="1" si="39">IFERROR(INDEX(INDIRECT($C17&amp;".Outputs["&amp;this.Year&amp;"]"), MATCH(AM$5, INDIRECT($C17&amp;".Outputs[Vector]"), 0)), 0)</f>
        <v>0</v>
      </c>
      <c r="AN17" s="1038">
        <f t="shared" ca="1" si="39"/>
        <v>0</v>
      </c>
      <c r="AO17" s="1038">
        <f t="shared" ca="1" si="39"/>
        <v>0</v>
      </c>
      <c r="AP17" s="1038">
        <f t="shared" ca="1" si="39"/>
        <v>0</v>
      </c>
      <c r="AQ17" s="1038">
        <f t="shared" ca="1" si="39"/>
        <v>0</v>
      </c>
      <c r="AR17" s="1038">
        <f t="shared" ca="1" si="39"/>
        <v>0</v>
      </c>
      <c r="AS17" s="1038">
        <f t="shared" ca="1" si="39"/>
        <v>0</v>
      </c>
      <c r="AT17" s="1038">
        <f t="shared" ca="1" si="39"/>
        <v>0</v>
      </c>
      <c r="AU17" s="1038">
        <f t="shared" ca="1" si="39"/>
        <v>0</v>
      </c>
      <c r="AV17" s="1038">
        <f t="shared" ca="1" si="37"/>
        <v>0</v>
      </c>
      <c r="AW17" s="1038">
        <f t="shared" ca="1" si="37"/>
        <v>0</v>
      </c>
      <c r="AX17" s="1038">
        <f t="shared" ca="1" si="37"/>
        <v>0</v>
      </c>
      <c r="AY17" s="1038">
        <f t="shared" ca="1" si="37"/>
        <v>0</v>
      </c>
      <c r="AZ17" s="1038">
        <f t="shared" ca="1" si="37"/>
        <v>0</v>
      </c>
      <c r="BA17" s="1038">
        <f t="shared" ca="1" si="37"/>
        <v>0</v>
      </c>
      <c r="BB17" s="1038">
        <f t="shared" ca="1" si="37"/>
        <v>0</v>
      </c>
      <c r="BC17" s="1038">
        <f t="shared" ca="1" si="37"/>
        <v>0</v>
      </c>
      <c r="BD17" s="1038">
        <f t="shared" ca="1" si="37"/>
        <v>0</v>
      </c>
      <c r="BE17" s="1038">
        <f t="shared" ca="1" si="37"/>
        <v>0</v>
      </c>
      <c r="BF17" s="979">
        <f ca="1">SUM(AM17:BE17)</f>
        <v>0</v>
      </c>
      <c r="BH17" s="1032">
        <f ca="1">IFERROR(INDEX(INDIRECT($C17&amp;".Outputs["&amp;this.Year&amp;"]"), MATCH(BH$5, INDIRECT($C17&amp;".Outputs[Vector]"), 0)), 0)</f>
        <v>0</v>
      </c>
      <c r="BI17" s="1032">
        <f ca="1">IFERROR(INDEX(INDIRECT($C17&amp;".Outputs["&amp;this.Year&amp;"]"), MATCH(BI$5, INDIRECT($C17&amp;".Outputs[Vector]"), 0)), 0)</f>
        <v>0</v>
      </c>
      <c r="BJ17" s="1034">
        <f ca="1">SUM(BH17:BI17)</f>
        <v>0</v>
      </c>
      <c r="BL17" s="814">
        <f t="shared" ca="1" si="9"/>
        <v>0</v>
      </c>
      <c r="BM17" s="814"/>
      <c r="BN17" s="840"/>
      <c r="BO17" s="1481">
        <f t="shared" ref="BO17:BX18" ca="1" si="40">IFERROR(SUMIFS(INDIRECT($C17&amp;".Emissions["&amp;this.Year&amp;"]"), INDIRECT($C17&amp;".Emissions[GHG]"), BO$6, INDIRECT($C17&amp;".Emissions[IPCC Sector]"), BO$5),0)</f>
        <v>1.4748606799738673</v>
      </c>
      <c r="BP17" s="1482">
        <f t="shared" ca="1" si="40"/>
        <v>2.9563371547775778E-3</v>
      </c>
      <c r="BQ17" s="1482">
        <f t="shared" ca="1" si="40"/>
        <v>3.1796843368238326E-3</v>
      </c>
      <c r="BR17" s="1482">
        <f t="shared" ca="1" si="40"/>
        <v>0</v>
      </c>
      <c r="BS17" s="1482">
        <f t="shared" ca="1" si="40"/>
        <v>0</v>
      </c>
      <c r="BT17" s="1482">
        <f t="shared" ca="1" si="40"/>
        <v>0</v>
      </c>
      <c r="BU17" s="1482">
        <f t="shared" ca="1" si="40"/>
        <v>0</v>
      </c>
      <c r="BV17" s="1482">
        <f t="shared" ca="1" si="40"/>
        <v>0</v>
      </c>
      <c r="BW17" s="1482">
        <f t="shared" ca="1" si="40"/>
        <v>0</v>
      </c>
      <c r="BX17" s="1482">
        <f t="shared" ca="1" si="40"/>
        <v>0</v>
      </c>
      <c r="BY17" s="1482">
        <f t="shared" ref="BY17:CH18" ca="1" si="41">IFERROR(SUMIFS(INDIRECT($C17&amp;".Emissions["&amp;this.Year&amp;"]"), INDIRECT($C17&amp;".Emissions[GHG]"), BY$6, INDIRECT($C17&amp;".Emissions[IPCC Sector]"), BY$5),0)</f>
        <v>0</v>
      </c>
      <c r="BZ17" s="1482">
        <f t="shared" ca="1" si="41"/>
        <v>0</v>
      </c>
      <c r="CA17" s="1482">
        <f t="shared" ca="1" si="41"/>
        <v>0</v>
      </c>
      <c r="CB17" s="1482">
        <f t="shared" ca="1" si="41"/>
        <v>0</v>
      </c>
      <c r="CC17" s="1482">
        <f t="shared" ca="1" si="41"/>
        <v>0</v>
      </c>
      <c r="CD17" s="1482">
        <f t="shared" ca="1" si="41"/>
        <v>0</v>
      </c>
      <c r="CE17" s="1482">
        <f t="shared" ca="1" si="41"/>
        <v>0</v>
      </c>
      <c r="CF17" s="1482">
        <f t="shared" ca="1" si="41"/>
        <v>0</v>
      </c>
      <c r="CG17" s="1482">
        <f t="shared" ca="1" si="41"/>
        <v>0</v>
      </c>
      <c r="CH17" s="1482">
        <f t="shared" ca="1" si="41"/>
        <v>0</v>
      </c>
      <c r="CI17" s="1482">
        <f t="shared" ref="CI17:CR18" ca="1" si="42">IFERROR(SUMIFS(INDIRECT($C17&amp;".Emissions["&amp;this.Year&amp;"]"), INDIRECT($C17&amp;".Emissions[GHG]"), CI$6, INDIRECT($C17&amp;".Emissions[IPCC Sector]"), CI$5),0)</f>
        <v>0</v>
      </c>
      <c r="CJ17" s="1482">
        <f t="shared" ca="1" si="42"/>
        <v>0</v>
      </c>
      <c r="CK17" s="1482">
        <f t="shared" ca="1" si="42"/>
        <v>0</v>
      </c>
      <c r="CL17" s="1482">
        <f t="shared" ca="1" si="42"/>
        <v>0</v>
      </c>
      <c r="CM17" s="1482">
        <f t="shared" ca="1" si="42"/>
        <v>0</v>
      </c>
      <c r="CN17" s="1482">
        <f t="shared" ca="1" si="42"/>
        <v>0</v>
      </c>
      <c r="CO17" s="1482">
        <f t="shared" ca="1" si="42"/>
        <v>0</v>
      </c>
      <c r="CP17" s="1482">
        <f t="shared" ca="1" si="42"/>
        <v>0</v>
      </c>
      <c r="CQ17" s="1482">
        <f t="shared" ca="1" si="42"/>
        <v>0</v>
      </c>
      <c r="CR17" s="1482">
        <f t="shared" ca="1" si="42"/>
        <v>0</v>
      </c>
      <c r="CS17" s="1482">
        <f t="shared" ref="CS17:DF18" ca="1" si="43">IFERROR(SUMIFS(INDIRECT($C17&amp;".Emissions["&amp;this.Year&amp;"]"), INDIRECT($C17&amp;".Emissions[GHG]"), CS$6, INDIRECT($C17&amp;".Emissions[IPCC Sector]"), CS$5),0)</f>
        <v>0</v>
      </c>
      <c r="CT17" s="1482">
        <f t="shared" ca="1" si="43"/>
        <v>0</v>
      </c>
      <c r="CU17" s="1482">
        <f t="shared" ca="1" si="43"/>
        <v>0</v>
      </c>
      <c r="CV17" s="1482">
        <f t="shared" ca="1" si="43"/>
        <v>0</v>
      </c>
      <c r="CW17" s="1482">
        <f t="shared" ca="1" si="43"/>
        <v>0</v>
      </c>
      <c r="CX17" s="1482">
        <f t="shared" ca="1" si="43"/>
        <v>0</v>
      </c>
      <c r="CY17" s="1482">
        <f t="shared" ca="1" si="43"/>
        <v>0</v>
      </c>
      <c r="CZ17" s="1482">
        <f t="shared" ca="1" si="43"/>
        <v>0</v>
      </c>
      <c r="DA17" s="1482">
        <f t="shared" ca="1" si="43"/>
        <v>0</v>
      </c>
      <c r="DB17" s="1482">
        <f t="shared" ca="1" si="43"/>
        <v>0</v>
      </c>
      <c r="DC17" s="1482">
        <f t="shared" ca="1" si="43"/>
        <v>0</v>
      </c>
      <c r="DD17" s="1482">
        <f t="shared" ca="1" si="43"/>
        <v>0</v>
      </c>
      <c r="DE17" s="1482">
        <f t="shared" ca="1" si="43"/>
        <v>0</v>
      </c>
      <c r="DF17" s="1482">
        <f t="shared" ca="1" si="43"/>
        <v>0</v>
      </c>
      <c r="DH17" s="838">
        <f t="shared" ca="1" si="35"/>
        <v>1.4809967014654688</v>
      </c>
    </row>
    <row r="18" spans="1:112" s="743" customFormat="1" ht="12.75" hidden="1" customHeight="1" outlineLevel="1">
      <c r="A18" s="1484"/>
      <c r="B18" s="1484"/>
      <c r="C18" s="746" t="s">
        <v>951</v>
      </c>
      <c r="D18" s="1010" t="str">
        <f>INDEX(Modules[Module], MATCH($C18, Modules[Code], 0))</f>
        <v>Commercial lighting, appliances, and catering</v>
      </c>
      <c r="E18" s="1010"/>
      <c r="G18" s="1022">
        <f t="shared" ca="1" si="36"/>
        <v>0</v>
      </c>
      <c r="H18" s="1022">
        <f t="shared" ca="1" si="36"/>
        <v>84.153453361469857</v>
      </c>
      <c r="I18" s="1022">
        <f t="shared" ca="1" si="36"/>
        <v>0</v>
      </c>
      <c r="J18" s="1022">
        <f t="shared" ca="1" si="36"/>
        <v>0</v>
      </c>
      <c r="K18" s="1022">
        <f t="shared" ca="1" si="36"/>
        <v>0</v>
      </c>
      <c r="L18" s="1022">
        <f t="shared" ca="1" si="36"/>
        <v>0</v>
      </c>
      <c r="M18" s="1022">
        <f t="shared" ca="1" si="36"/>
        <v>0</v>
      </c>
      <c r="N18" s="1022">
        <f t="shared" ca="1" si="36"/>
        <v>0</v>
      </c>
      <c r="O18" s="1022">
        <f t="shared" ca="1" si="36"/>
        <v>0</v>
      </c>
      <c r="P18" s="1022">
        <f t="shared" ca="1" si="36"/>
        <v>0</v>
      </c>
      <c r="Q18" s="1020">
        <f ca="1">SUM(G18:P18)</f>
        <v>84.153453361469857</v>
      </c>
      <c r="S18" s="1031">
        <f t="shared" ca="1" si="37"/>
        <v>-75.158187531929585</v>
      </c>
      <c r="T18" s="1031">
        <f t="shared" ca="1" si="37"/>
        <v>0</v>
      </c>
      <c r="U18" s="1031">
        <f t="shared" ca="1" si="37"/>
        <v>0</v>
      </c>
      <c r="V18" s="1031">
        <f t="shared" ca="1" si="37"/>
        <v>0</v>
      </c>
      <c r="W18" s="1031">
        <f t="shared" ca="1" si="37"/>
        <v>-8.9952658295402781</v>
      </c>
      <c r="X18" s="1031">
        <f t="shared" ca="1" si="38"/>
        <v>0</v>
      </c>
      <c r="Y18" s="1031">
        <f t="shared" ca="1" si="38"/>
        <v>0</v>
      </c>
      <c r="Z18" s="1031">
        <f t="shared" ca="1" si="38"/>
        <v>0</v>
      </c>
      <c r="AA18" s="1031">
        <f t="shared" ca="1" si="37"/>
        <v>0</v>
      </c>
      <c r="AB18" s="1031">
        <f t="shared" ca="1" si="37"/>
        <v>0</v>
      </c>
      <c r="AC18" s="1031">
        <f t="shared" ca="1" si="37"/>
        <v>0</v>
      </c>
      <c r="AD18" s="1031">
        <f t="shared" ca="1" si="37"/>
        <v>0</v>
      </c>
      <c r="AE18" s="1031">
        <f t="shared" ca="1" si="37"/>
        <v>0</v>
      </c>
      <c r="AF18" s="1031">
        <f t="shared" ca="1" si="37"/>
        <v>0</v>
      </c>
      <c r="AG18" s="1031">
        <f t="shared" ca="1" si="37"/>
        <v>0</v>
      </c>
      <c r="AH18" s="1031">
        <f t="shared" ca="1" si="37"/>
        <v>0</v>
      </c>
      <c r="AI18" s="1031">
        <f t="shared" ca="1" si="37"/>
        <v>0</v>
      </c>
      <c r="AJ18" s="1031">
        <f t="shared" ca="1" si="37"/>
        <v>0</v>
      </c>
      <c r="AK18" s="1030">
        <f ca="1">SUM(S18:AJ18)</f>
        <v>-84.153453361469857</v>
      </c>
      <c r="AM18" s="1042">
        <f t="shared" ca="1" si="39"/>
        <v>0</v>
      </c>
      <c r="AN18" s="1042">
        <f t="shared" ca="1" si="39"/>
        <v>0</v>
      </c>
      <c r="AO18" s="1042">
        <f t="shared" ca="1" si="39"/>
        <v>0</v>
      </c>
      <c r="AP18" s="1042">
        <f t="shared" ca="1" si="39"/>
        <v>0</v>
      </c>
      <c r="AQ18" s="1042">
        <f t="shared" ca="1" si="39"/>
        <v>0</v>
      </c>
      <c r="AR18" s="1042">
        <f t="shared" ca="1" si="39"/>
        <v>0</v>
      </c>
      <c r="AS18" s="1042">
        <f t="shared" ca="1" si="39"/>
        <v>0</v>
      </c>
      <c r="AT18" s="1042">
        <f t="shared" ca="1" si="39"/>
        <v>0</v>
      </c>
      <c r="AU18" s="1042">
        <f t="shared" ca="1" si="39"/>
        <v>0</v>
      </c>
      <c r="AV18" s="1042">
        <f t="shared" ca="1" si="37"/>
        <v>0</v>
      </c>
      <c r="AW18" s="1042">
        <f t="shared" ca="1" si="37"/>
        <v>0</v>
      </c>
      <c r="AX18" s="1042">
        <f t="shared" ca="1" si="37"/>
        <v>0</v>
      </c>
      <c r="AY18" s="1042">
        <f t="shared" ca="1" si="37"/>
        <v>0</v>
      </c>
      <c r="AZ18" s="1042">
        <f t="shared" ca="1" si="37"/>
        <v>0</v>
      </c>
      <c r="BA18" s="1042">
        <f t="shared" ca="1" si="37"/>
        <v>0</v>
      </c>
      <c r="BB18" s="1042">
        <f t="shared" ca="1" si="37"/>
        <v>0</v>
      </c>
      <c r="BC18" s="1042">
        <f t="shared" ca="1" si="37"/>
        <v>0</v>
      </c>
      <c r="BD18" s="1042">
        <f t="shared" ca="1" si="37"/>
        <v>0</v>
      </c>
      <c r="BE18" s="1042">
        <f t="shared" ca="1" si="37"/>
        <v>0</v>
      </c>
      <c r="BF18" s="1012">
        <f ca="1">SUM(AM18:BE18)</f>
        <v>0</v>
      </c>
      <c r="BH18" s="1036">
        <f ca="1">IFERROR(INDEX(INDIRECT($C18&amp;".Outputs["&amp;this.Year&amp;"]"), MATCH(BH$5, INDIRECT($C18&amp;".Outputs[Vector]"), 0)), 0)</f>
        <v>0</v>
      </c>
      <c r="BI18" s="1036">
        <f ca="1">IFERROR(INDEX(INDIRECT($C18&amp;".Outputs["&amp;this.Year&amp;"]"), MATCH(BI$5, INDIRECT($C18&amp;".Outputs[Vector]"), 0)), 0)</f>
        <v>0</v>
      </c>
      <c r="BJ18" s="1035">
        <f ca="1">SUM(BH18:BI18)</f>
        <v>0</v>
      </c>
      <c r="BL18" s="814">
        <f t="shared" ca="1" si="9"/>
        <v>0</v>
      </c>
      <c r="BM18" s="814"/>
      <c r="BN18" s="840"/>
      <c r="BO18" s="1485">
        <f t="shared" ca="1" si="40"/>
        <v>1.655128912635411</v>
      </c>
      <c r="BP18" s="1486">
        <f t="shared" ca="1" si="40"/>
        <v>3.3176822508125831E-3</v>
      </c>
      <c r="BQ18" s="1486">
        <f t="shared" ca="1" si="40"/>
        <v>3.568328554954986E-3</v>
      </c>
      <c r="BR18" s="1486">
        <f t="shared" ca="1" si="40"/>
        <v>0</v>
      </c>
      <c r="BS18" s="1486">
        <f t="shared" ca="1" si="40"/>
        <v>0</v>
      </c>
      <c r="BT18" s="1486">
        <f t="shared" ca="1" si="40"/>
        <v>0</v>
      </c>
      <c r="BU18" s="1486">
        <f t="shared" ca="1" si="40"/>
        <v>0</v>
      </c>
      <c r="BV18" s="1486">
        <f t="shared" ca="1" si="40"/>
        <v>0</v>
      </c>
      <c r="BW18" s="1486">
        <f t="shared" ca="1" si="40"/>
        <v>0</v>
      </c>
      <c r="BX18" s="1486">
        <f t="shared" ca="1" si="40"/>
        <v>0</v>
      </c>
      <c r="BY18" s="1486">
        <f t="shared" ca="1" si="41"/>
        <v>0</v>
      </c>
      <c r="BZ18" s="1486">
        <f t="shared" ca="1" si="41"/>
        <v>0</v>
      </c>
      <c r="CA18" s="1486">
        <f t="shared" ca="1" si="41"/>
        <v>0</v>
      </c>
      <c r="CB18" s="1486">
        <f t="shared" ca="1" si="41"/>
        <v>0</v>
      </c>
      <c r="CC18" s="1486">
        <f t="shared" ca="1" si="41"/>
        <v>0</v>
      </c>
      <c r="CD18" s="1486">
        <f t="shared" ca="1" si="41"/>
        <v>0</v>
      </c>
      <c r="CE18" s="1486">
        <f t="shared" ca="1" si="41"/>
        <v>0</v>
      </c>
      <c r="CF18" s="1486">
        <f t="shared" ca="1" si="41"/>
        <v>0</v>
      </c>
      <c r="CG18" s="1486">
        <f t="shared" ca="1" si="41"/>
        <v>0</v>
      </c>
      <c r="CH18" s="1486">
        <f t="shared" ca="1" si="41"/>
        <v>0</v>
      </c>
      <c r="CI18" s="1486">
        <f t="shared" ca="1" si="42"/>
        <v>0</v>
      </c>
      <c r="CJ18" s="1486">
        <f t="shared" ca="1" si="42"/>
        <v>0</v>
      </c>
      <c r="CK18" s="1486">
        <f t="shared" ca="1" si="42"/>
        <v>0</v>
      </c>
      <c r="CL18" s="1486">
        <f t="shared" ca="1" si="42"/>
        <v>0</v>
      </c>
      <c r="CM18" s="1486">
        <f t="shared" ca="1" si="42"/>
        <v>0</v>
      </c>
      <c r="CN18" s="1486">
        <f t="shared" ca="1" si="42"/>
        <v>0</v>
      </c>
      <c r="CO18" s="1486">
        <f t="shared" ca="1" si="42"/>
        <v>0</v>
      </c>
      <c r="CP18" s="1486">
        <f t="shared" ca="1" si="42"/>
        <v>0</v>
      </c>
      <c r="CQ18" s="1486">
        <f t="shared" ca="1" si="42"/>
        <v>0</v>
      </c>
      <c r="CR18" s="1486">
        <f t="shared" ca="1" si="42"/>
        <v>0</v>
      </c>
      <c r="CS18" s="1486">
        <f t="shared" ca="1" si="43"/>
        <v>0</v>
      </c>
      <c r="CT18" s="1486">
        <f t="shared" ca="1" si="43"/>
        <v>0</v>
      </c>
      <c r="CU18" s="1486">
        <f t="shared" ca="1" si="43"/>
        <v>0</v>
      </c>
      <c r="CV18" s="1486">
        <f t="shared" ca="1" si="43"/>
        <v>0</v>
      </c>
      <c r="CW18" s="1486">
        <f t="shared" ca="1" si="43"/>
        <v>0</v>
      </c>
      <c r="CX18" s="1486">
        <f t="shared" ca="1" si="43"/>
        <v>0</v>
      </c>
      <c r="CY18" s="1486">
        <f t="shared" ca="1" si="43"/>
        <v>0</v>
      </c>
      <c r="CZ18" s="1486">
        <f t="shared" ca="1" si="43"/>
        <v>0</v>
      </c>
      <c r="DA18" s="1486">
        <f t="shared" ca="1" si="43"/>
        <v>0</v>
      </c>
      <c r="DB18" s="1486">
        <f t="shared" ca="1" si="43"/>
        <v>0</v>
      </c>
      <c r="DC18" s="1486">
        <f t="shared" ca="1" si="43"/>
        <v>0</v>
      </c>
      <c r="DD18" s="1486">
        <f t="shared" ca="1" si="43"/>
        <v>0</v>
      </c>
      <c r="DE18" s="1486">
        <f t="shared" ca="1" si="43"/>
        <v>0</v>
      </c>
      <c r="DF18" s="1486">
        <f t="shared" ca="1" si="43"/>
        <v>0</v>
      </c>
      <c r="DH18" s="838">
        <f t="shared" ca="1" si="35"/>
        <v>1.6620149234411785</v>
      </c>
    </row>
    <row r="19" spans="1:112" s="743" customFormat="1" ht="15.75" collapsed="1">
      <c r="A19" s="22"/>
      <c r="B19" s="753"/>
      <c r="C19" s="744" t="s">
        <v>677</v>
      </c>
      <c r="D19" s="517" t="str">
        <f>INDEX(Workstreams[Workstream], MATCH($C19, Workstreams[Code], 0))</f>
        <v>Lighting and appliances</v>
      </c>
      <c r="E19" s="512"/>
      <c r="G19" s="1021">
        <f ca="1">G17+G18</f>
        <v>0</v>
      </c>
      <c r="H19" s="1021">
        <f t="shared" ref="H19:P19" ca="1" si="44">H17+H18</f>
        <v>181.64752039357137</v>
      </c>
      <c r="I19" s="1021">
        <f t="shared" ca="1" si="44"/>
        <v>0</v>
      </c>
      <c r="J19" s="1021">
        <f t="shared" ca="1" si="44"/>
        <v>0</v>
      </c>
      <c r="K19" s="1021">
        <f t="shared" ca="1" si="44"/>
        <v>0</v>
      </c>
      <c r="L19" s="1021">
        <f t="shared" ca="1" si="44"/>
        <v>0</v>
      </c>
      <c r="M19" s="1021">
        <f t="shared" ca="1" si="44"/>
        <v>0</v>
      </c>
      <c r="N19" s="1021">
        <f t="shared" ca="1" si="44"/>
        <v>0</v>
      </c>
      <c r="O19" s="1021">
        <f t="shared" ca="1" si="44"/>
        <v>0</v>
      </c>
      <c r="P19" s="1021">
        <f t="shared" ca="1" si="44"/>
        <v>0</v>
      </c>
      <c r="Q19" s="1021">
        <f ca="1">SUM(G19:P19)</f>
        <v>181.64752039357137</v>
      </c>
      <c r="S19" s="970">
        <f ca="1">S17+S18</f>
        <v>-164.63670739026009</v>
      </c>
      <c r="T19" s="970">
        <f t="shared" ref="T19:AJ19" ca="1" si="45">T17+T18</f>
        <v>0</v>
      </c>
      <c r="U19" s="970">
        <f t="shared" ca="1" si="45"/>
        <v>0</v>
      </c>
      <c r="V19" s="970">
        <f t="shared" ca="1" si="45"/>
        <v>0</v>
      </c>
      <c r="W19" s="970">
        <f t="shared" ca="1" si="45"/>
        <v>-17.010813003311299</v>
      </c>
      <c r="X19" s="970">
        <f ca="1">X17+X18</f>
        <v>0</v>
      </c>
      <c r="Y19" s="970">
        <f ca="1">Y17+Y18</f>
        <v>0</v>
      </c>
      <c r="Z19" s="970">
        <f ca="1">Z17+Z18</f>
        <v>0</v>
      </c>
      <c r="AA19" s="970">
        <f t="shared" ca="1" si="45"/>
        <v>0</v>
      </c>
      <c r="AB19" s="970">
        <f t="shared" ca="1" si="45"/>
        <v>0</v>
      </c>
      <c r="AC19" s="970">
        <f t="shared" ca="1" si="45"/>
        <v>0</v>
      </c>
      <c r="AD19" s="970">
        <f ca="1">AD17+AD18</f>
        <v>0</v>
      </c>
      <c r="AE19" s="970">
        <f ca="1">AE17+AE18</f>
        <v>0</v>
      </c>
      <c r="AF19" s="970">
        <f t="shared" ca="1" si="45"/>
        <v>0</v>
      </c>
      <c r="AG19" s="970">
        <f ca="1">AG17+AG18</f>
        <v>0</v>
      </c>
      <c r="AH19" s="970">
        <f ca="1">AH17+AH18</f>
        <v>0</v>
      </c>
      <c r="AI19" s="970">
        <f ca="1">AI17+AI18</f>
        <v>0</v>
      </c>
      <c r="AJ19" s="970">
        <f t="shared" ca="1" si="45"/>
        <v>0</v>
      </c>
      <c r="AK19" s="970">
        <f ca="1">SUM(S19:AJ19)</f>
        <v>-181.64752039357137</v>
      </c>
      <c r="AM19" s="976">
        <f t="shared" ref="AM19:BE19" ca="1" si="46">AM17+AM18</f>
        <v>0</v>
      </c>
      <c r="AN19" s="976">
        <f t="shared" ca="1" si="46"/>
        <v>0</v>
      </c>
      <c r="AO19" s="976">
        <f t="shared" ca="1" si="46"/>
        <v>0</v>
      </c>
      <c r="AP19" s="976">
        <f t="shared" ca="1" si="46"/>
        <v>0</v>
      </c>
      <c r="AQ19" s="976">
        <f t="shared" ca="1" si="46"/>
        <v>0</v>
      </c>
      <c r="AR19" s="976">
        <f t="shared" ca="1" si="46"/>
        <v>0</v>
      </c>
      <c r="AS19" s="976">
        <f t="shared" ca="1" si="46"/>
        <v>0</v>
      </c>
      <c r="AT19" s="976">
        <f t="shared" ca="1" si="46"/>
        <v>0</v>
      </c>
      <c r="AU19" s="976">
        <f t="shared" ca="1" si="46"/>
        <v>0</v>
      </c>
      <c r="AV19" s="976">
        <f t="shared" ca="1" si="46"/>
        <v>0</v>
      </c>
      <c r="AW19" s="976">
        <f t="shared" ca="1" si="46"/>
        <v>0</v>
      </c>
      <c r="AX19" s="976">
        <f t="shared" ca="1" si="46"/>
        <v>0</v>
      </c>
      <c r="AY19" s="976">
        <f t="shared" ca="1" si="46"/>
        <v>0</v>
      </c>
      <c r="AZ19" s="976">
        <f t="shared" ca="1" si="46"/>
        <v>0</v>
      </c>
      <c r="BA19" s="976">
        <f t="shared" ca="1" si="46"/>
        <v>0</v>
      </c>
      <c r="BB19" s="976">
        <f t="shared" ca="1" si="46"/>
        <v>0</v>
      </c>
      <c r="BC19" s="976">
        <f t="shared" ca="1" si="46"/>
        <v>0</v>
      </c>
      <c r="BD19" s="976">
        <f t="shared" ca="1" si="46"/>
        <v>0</v>
      </c>
      <c r="BE19" s="976">
        <f t="shared" ca="1" si="46"/>
        <v>0</v>
      </c>
      <c r="BF19" s="976">
        <f ca="1">SUM(AM19:BE19)</f>
        <v>0</v>
      </c>
      <c r="BH19" s="990">
        <f ca="1">BH17+BH18</f>
        <v>0</v>
      </c>
      <c r="BI19" s="990">
        <f ca="1">BI17+BI18</f>
        <v>0</v>
      </c>
      <c r="BJ19" s="990">
        <f ca="1">SUM(BH19:BI19)</f>
        <v>0</v>
      </c>
      <c r="BL19" s="515">
        <f t="shared" ca="1" si="9"/>
        <v>0</v>
      </c>
      <c r="BM19" s="515"/>
      <c r="BN19" s="840"/>
      <c r="BO19" s="1482">
        <f t="shared" ref="BO19:DF19" ca="1" si="47">BO17+BO18</f>
        <v>3.1299895926092782</v>
      </c>
      <c r="BP19" s="1482">
        <f t="shared" ca="1" si="47"/>
        <v>6.2740194055901609E-3</v>
      </c>
      <c r="BQ19" s="1482">
        <f t="shared" ca="1" si="47"/>
        <v>6.7480128917788186E-3</v>
      </c>
      <c r="BR19" s="1482">
        <f t="shared" ca="1" si="47"/>
        <v>0</v>
      </c>
      <c r="BS19" s="1482">
        <f t="shared" ca="1" si="47"/>
        <v>0</v>
      </c>
      <c r="BT19" s="1482">
        <f t="shared" ca="1" si="47"/>
        <v>0</v>
      </c>
      <c r="BU19" s="1482">
        <f t="shared" ca="1" si="47"/>
        <v>0</v>
      </c>
      <c r="BV19" s="1482">
        <f t="shared" ca="1" si="47"/>
        <v>0</v>
      </c>
      <c r="BW19" s="1482">
        <f t="shared" ca="1" si="47"/>
        <v>0</v>
      </c>
      <c r="BX19" s="1482">
        <f t="shared" ca="1" si="47"/>
        <v>0</v>
      </c>
      <c r="BY19" s="1482">
        <f t="shared" ca="1" si="47"/>
        <v>0</v>
      </c>
      <c r="BZ19" s="1482">
        <f t="shared" ca="1" si="47"/>
        <v>0</v>
      </c>
      <c r="CA19" s="1482">
        <f t="shared" ca="1" si="47"/>
        <v>0</v>
      </c>
      <c r="CB19" s="1482">
        <f t="shared" ca="1" si="47"/>
        <v>0</v>
      </c>
      <c r="CC19" s="1482">
        <f t="shared" ca="1" si="47"/>
        <v>0</v>
      </c>
      <c r="CD19" s="1482">
        <f t="shared" ca="1" si="47"/>
        <v>0</v>
      </c>
      <c r="CE19" s="1482">
        <f t="shared" ca="1" si="47"/>
        <v>0</v>
      </c>
      <c r="CF19" s="1482">
        <f t="shared" ca="1" si="47"/>
        <v>0</v>
      </c>
      <c r="CG19" s="1482">
        <f t="shared" ca="1" si="47"/>
        <v>0</v>
      </c>
      <c r="CH19" s="1482">
        <f t="shared" ca="1" si="47"/>
        <v>0</v>
      </c>
      <c r="CI19" s="1482">
        <f t="shared" ca="1" si="47"/>
        <v>0</v>
      </c>
      <c r="CJ19" s="1482">
        <f t="shared" ca="1" si="47"/>
        <v>0</v>
      </c>
      <c r="CK19" s="1482">
        <f t="shared" ca="1" si="47"/>
        <v>0</v>
      </c>
      <c r="CL19" s="1482">
        <f t="shared" ca="1" si="47"/>
        <v>0</v>
      </c>
      <c r="CM19" s="1482">
        <f t="shared" ca="1" si="47"/>
        <v>0</v>
      </c>
      <c r="CN19" s="1482">
        <f t="shared" ca="1" si="47"/>
        <v>0</v>
      </c>
      <c r="CO19" s="1482">
        <f t="shared" ca="1" si="47"/>
        <v>0</v>
      </c>
      <c r="CP19" s="1482">
        <f t="shared" ca="1" si="47"/>
        <v>0</v>
      </c>
      <c r="CQ19" s="1482">
        <f t="shared" ca="1" si="47"/>
        <v>0</v>
      </c>
      <c r="CR19" s="1482">
        <f t="shared" ca="1" si="47"/>
        <v>0</v>
      </c>
      <c r="CS19" s="1482">
        <f t="shared" ca="1" si="47"/>
        <v>0</v>
      </c>
      <c r="CT19" s="1482">
        <f t="shared" ca="1" si="47"/>
        <v>0</v>
      </c>
      <c r="CU19" s="1482">
        <f t="shared" ca="1" si="47"/>
        <v>0</v>
      </c>
      <c r="CV19" s="1482">
        <f t="shared" ca="1" si="47"/>
        <v>0</v>
      </c>
      <c r="CW19" s="1482">
        <f t="shared" ca="1" si="47"/>
        <v>0</v>
      </c>
      <c r="CX19" s="1482">
        <f t="shared" ca="1" si="47"/>
        <v>0</v>
      </c>
      <c r="CY19" s="1482">
        <f t="shared" ca="1" si="47"/>
        <v>0</v>
      </c>
      <c r="CZ19" s="1482">
        <f t="shared" ca="1" si="47"/>
        <v>0</v>
      </c>
      <c r="DA19" s="1482">
        <f t="shared" ca="1" si="47"/>
        <v>0</v>
      </c>
      <c r="DB19" s="1482">
        <f t="shared" ca="1" si="47"/>
        <v>0</v>
      </c>
      <c r="DC19" s="1482">
        <f t="shared" ca="1" si="47"/>
        <v>0</v>
      </c>
      <c r="DD19" s="1482">
        <f t="shared" ca="1" si="47"/>
        <v>0</v>
      </c>
      <c r="DE19" s="1482">
        <f t="shared" ca="1" si="47"/>
        <v>0</v>
      </c>
      <c r="DF19" s="1482">
        <f t="shared" ca="1" si="47"/>
        <v>0</v>
      </c>
      <c r="DH19" s="838">
        <f t="shared" ca="1" si="35"/>
        <v>3.1430116249066473</v>
      </c>
    </row>
    <row r="20" spans="1:112" s="743" customFormat="1" ht="12.75" hidden="1" customHeight="1" outlineLevel="1">
      <c r="A20" s="1484"/>
      <c r="B20" s="1484"/>
      <c r="C20" s="746"/>
      <c r="D20" s="521"/>
      <c r="E20" s="521"/>
      <c r="G20" s="1019"/>
      <c r="H20" s="1019"/>
      <c r="I20" s="1019"/>
      <c r="J20" s="1019"/>
      <c r="K20" s="1019"/>
      <c r="L20" s="1019"/>
      <c r="M20" s="1019"/>
      <c r="N20" s="1019"/>
      <c r="O20" s="1019"/>
      <c r="P20" s="1019"/>
      <c r="Q20" s="1019"/>
      <c r="S20" s="1027"/>
      <c r="T20" s="1027"/>
      <c r="U20" s="1027"/>
      <c r="V20" s="1027"/>
      <c r="W20" s="1027"/>
      <c r="X20" s="1027"/>
      <c r="Y20" s="1027"/>
      <c r="Z20" s="1027"/>
      <c r="AA20" s="1027"/>
      <c r="AB20" s="1027"/>
      <c r="AC20" s="1027"/>
      <c r="AD20" s="1027"/>
      <c r="AE20" s="1027"/>
      <c r="AF20" s="1027"/>
      <c r="AG20" s="1027"/>
      <c r="AH20" s="1027"/>
      <c r="AI20" s="1027"/>
      <c r="AJ20" s="1027"/>
      <c r="AK20" s="1027"/>
      <c r="AM20" s="1040"/>
      <c r="AN20" s="1040"/>
      <c r="AO20" s="1040"/>
      <c r="AP20" s="1040"/>
      <c r="AQ20" s="1040"/>
      <c r="AR20" s="1040"/>
      <c r="AS20" s="1040"/>
      <c r="AT20" s="1040"/>
      <c r="AU20" s="1040"/>
      <c r="AV20" s="1040"/>
      <c r="AW20" s="1040"/>
      <c r="AX20" s="1040"/>
      <c r="AY20" s="1040"/>
      <c r="AZ20" s="1040"/>
      <c r="BA20" s="1040"/>
      <c r="BB20" s="1040"/>
      <c r="BC20" s="1040"/>
      <c r="BD20" s="1040"/>
      <c r="BE20" s="1040"/>
      <c r="BF20" s="979"/>
      <c r="BH20" s="1034"/>
      <c r="BI20" s="1034"/>
      <c r="BJ20" s="1034"/>
      <c r="BL20" s="814">
        <f t="shared" si="9"/>
        <v>0</v>
      </c>
      <c r="BM20" s="814"/>
      <c r="BN20" s="1484"/>
      <c r="BO20" s="1481"/>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H20" s="838">
        <f t="shared" si="35"/>
        <v>0</v>
      </c>
    </row>
    <row r="21" spans="1:112" s="743" customFormat="1" ht="12.75" hidden="1" customHeight="1" outlineLevel="1">
      <c r="A21" s="1484"/>
      <c r="B21" s="1484"/>
      <c r="C21" s="746" t="s">
        <v>900</v>
      </c>
      <c r="D21" s="1010" t="str">
        <f>INDEX(Modules[Module], MATCH($C21, Modules[Code], 0))</f>
        <v>Industrial processes</v>
      </c>
      <c r="E21" s="1010"/>
      <c r="G21" s="1022">
        <f t="shared" ref="G21:P21" ca="1" si="48">IFERROR(INDEX(INDIRECT($C21&amp;".Outputs["&amp;this.Year&amp;"]"), MATCH(G$5, INDIRECT($C21&amp;".Outputs[Vector]"), 0)), 0)</f>
        <v>0</v>
      </c>
      <c r="H21" s="1022">
        <f t="shared" ca="1" si="48"/>
        <v>0</v>
      </c>
      <c r="I21" s="1022">
        <f t="shared" ca="1" si="48"/>
        <v>415.84603598805307</v>
      </c>
      <c r="J21" s="1022">
        <f t="shared" ca="1" si="48"/>
        <v>0</v>
      </c>
      <c r="K21" s="1022">
        <f t="shared" ca="1" si="48"/>
        <v>0</v>
      </c>
      <c r="L21" s="1022">
        <f t="shared" ca="1" si="48"/>
        <v>0</v>
      </c>
      <c r="M21" s="1022">
        <f t="shared" ca="1" si="48"/>
        <v>0</v>
      </c>
      <c r="N21" s="1022">
        <f t="shared" ca="1" si="48"/>
        <v>0</v>
      </c>
      <c r="O21" s="1022">
        <f t="shared" ca="1" si="48"/>
        <v>0</v>
      </c>
      <c r="P21" s="1022">
        <f t="shared" ca="1" si="48"/>
        <v>0</v>
      </c>
      <c r="Q21" s="1020">
        <f ca="1">SUM(G21:P21)</f>
        <v>415.84603598805307</v>
      </c>
      <c r="S21" s="1031">
        <f t="shared" ref="S21:BE21" ca="1" si="49">IFERROR(INDEX(INDIRECT($C21&amp;".Outputs["&amp;this.Year&amp;"]"), MATCH(S$5, INDIRECT($C21&amp;".Outputs[Vector]"), 0)), 0)</f>
        <v>-116.39812479199203</v>
      </c>
      <c r="T21" s="1031">
        <f t="shared" ca="1" si="49"/>
        <v>0</v>
      </c>
      <c r="U21" s="1031">
        <f t="shared" ca="1" si="49"/>
        <v>-55.519529264302946</v>
      </c>
      <c r="V21" s="1031">
        <f t="shared" ca="1" si="49"/>
        <v>-83.068761002553643</v>
      </c>
      <c r="W21" s="1031">
        <f t="shared" ca="1" si="49"/>
        <v>-152.71074698244044</v>
      </c>
      <c r="X21" s="1031">
        <f ca="1">IFERROR(INDEX(INDIRECT($C21&amp;".Outputs["&amp;this.Year&amp;"]"), MATCH(X$5, INDIRECT($C21&amp;".Outputs[Vector]"), 0)), 0)</f>
        <v>0</v>
      </c>
      <c r="Y21" s="1031">
        <f ca="1">IFERROR(INDEX(INDIRECT($C21&amp;".Outputs["&amp;this.Year&amp;"]"), MATCH(Y$5, INDIRECT($C21&amp;".Outputs[Vector]"), 0)), 0)</f>
        <v>0</v>
      </c>
      <c r="Z21" s="1031">
        <f ca="1">IFERROR(INDEX(INDIRECT($C21&amp;".Outputs["&amp;this.Year&amp;"]"), MATCH(Z$5, INDIRECT($C21&amp;".Outputs[Vector]"), 0)), 0)</f>
        <v>0</v>
      </c>
      <c r="AA21" s="1031">
        <f t="shared" ca="1" si="49"/>
        <v>0</v>
      </c>
      <c r="AB21" s="1031">
        <f t="shared" ca="1" si="49"/>
        <v>-8.1488739467640343</v>
      </c>
      <c r="AC21" s="1031">
        <f t="shared" ca="1" si="49"/>
        <v>0</v>
      </c>
      <c r="AD21" s="1031">
        <f t="shared" ca="1" si="49"/>
        <v>0</v>
      </c>
      <c r="AE21" s="1031">
        <f t="shared" ca="1" si="49"/>
        <v>0</v>
      </c>
      <c r="AF21" s="1031">
        <f t="shared" ca="1" si="49"/>
        <v>0</v>
      </c>
      <c r="AG21" s="1031">
        <f t="shared" ca="1" si="49"/>
        <v>0</v>
      </c>
      <c r="AH21" s="1031">
        <f t="shared" ca="1" si="49"/>
        <v>0</v>
      </c>
      <c r="AI21" s="1031">
        <f t="shared" ca="1" si="49"/>
        <v>0</v>
      </c>
      <c r="AJ21" s="1031">
        <f t="shared" ca="1" si="49"/>
        <v>0</v>
      </c>
      <c r="AK21" s="1030">
        <f ca="1">SUM(S21:AJ21)</f>
        <v>-415.84603598805307</v>
      </c>
      <c r="AM21" s="1042">
        <f t="shared" ref="AM21:AU21" ca="1" si="50">IFERROR(INDEX(INDIRECT($C21&amp;".Outputs["&amp;this.Year&amp;"]"), MATCH(AM$5, INDIRECT($C21&amp;".Outputs[Vector]"), 0)), 0)</f>
        <v>0</v>
      </c>
      <c r="AN21" s="1042">
        <f t="shared" ca="1" si="50"/>
        <v>0</v>
      </c>
      <c r="AO21" s="1042">
        <f t="shared" ca="1" si="50"/>
        <v>0</v>
      </c>
      <c r="AP21" s="1042">
        <f t="shared" ca="1" si="50"/>
        <v>0</v>
      </c>
      <c r="AQ21" s="1042">
        <f t="shared" ca="1" si="50"/>
        <v>0</v>
      </c>
      <c r="AR21" s="1042">
        <f t="shared" ca="1" si="50"/>
        <v>0</v>
      </c>
      <c r="AS21" s="1042">
        <f t="shared" ca="1" si="50"/>
        <v>0</v>
      </c>
      <c r="AT21" s="1042">
        <f t="shared" ca="1" si="50"/>
        <v>0</v>
      </c>
      <c r="AU21" s="1042">
        <f t="shared" ca="1" si="50"/>
        <v>0</v>
      </c>
      <c r="AV21" s="1042">
        <f t="shared" ca="1" si="49"/>
        <v>0</v>
      </c>
      <c r="AW21" s="1042">
        <f t="shared" ca="1" si="49"/>
        <v>0</v>
      </c>
      <c r="AX21" s="1042">
        <f t="shared" ca="1" si="49"/>
        <v>0</v>
      </c>
      <c r="AY21" s="1042">
        <f t="shared" ca="1" si="49"/>
        <v>0</v>
      </c>
      <c r="AZ21" s="1042">
        <f t="shared" ca="1" si="49"/>
        <v>0</v>
      </c>
      <c r="BA21" s="1042">
        <f t="shared" ca="1" si="49"/>
        <v>0</v>
      </c>
      <c r="BB21" s="1042">
        <f t="shared" ca="1" si="49"/>
        <v>0</v>
      </c>
      <c r="BC21" s="1042">
        <f t="shared" ca="1" si="49"/>
        <v>0</v>
      </c>
      <c r="BD21" s="1042">
        <f t="shared" ca="1" si="49"/>
        <v>0</v>
      </c>
      <c r="BE21" s="1042">
        <f t="shared" ca="1" si="49"/>
        <v>0</v>
      </c>
      <c r="BF21" s="1012">
        <f ca="1">SUM(AM21:BE21)</f>
        <v>0</v>
      </c>
      <c r="BH21" s="1036">
        <f ca="1">IFERROR(INDEX(INDIRECT($C21&amp;".Outputs["&amp;this.Year&amp;"]"), MATCH(BH$5, INDIRECT($C21&amp;".Outputs[Vector]"), 0)), 0)</f>
        <v>0</v>
      </c>
      <c r="BI21" s="1036">
        <f ca="1">IFERROR(INDEX(INDIRECT($C21&amp;".Outputs["&amp;this.Year&amp;"]"), MATCH(BI$5, INDIRECT($C21&amp;".Outputs[Vector]"), 0)), 0)</f>
        <v>0</v>
      </c>
      <c r="BJ21" s="1035">
        <f ca="1">SUM(BH21:BI21)</f>
        <v>0</v>
      </c>
      <c r="BL21" s="814">
        <f t="shared" ca="1" si="9"/>
        <v>0</v>
      </c>
      <c r="BM21" s="814"/>
      <c r="BN21" s="840"/>
      <c r="BO21" s="1485">
        <f t="shared" ref="BO21:DF21" ca="1" si="51">IFERROR(SUMIFS(INDIRECT($C21&amp;".Emissions["&amp;this.Year&amp;"]"), INDIRECT($C21&amp;".Emissions[GHG]"), BO$6, INDIRECT($C21&amp;".Emissions[IPCC Sector]"), BO$5),0)</f>
        <v>65.96598270881276</v>
      </c>
      <c r="BP21" s="1486">
        <f t="shared" ca="1" si="51"/>
        <v>0.13241233225906232</v>
      </c>
      <c r="BQ21" s="1486">
        <f t="shared" ca="1" si="51"/>
        <v>0.58570378693243763</v>
      </c>
      <c r="BR21" s="1486">
        <f t="shared" ca="1" si="51"/>
        <v>0</v>
      </c>
      <c r="BS21" s="1486">
        <f t="shared" ca="1" si="51"/>
        <v>0</v>
      </c>
      <c r="BT21" s="1486">
        <f t="shared" ca="1" si="51"/>
        <v>0</v>
      </c>
      <c r="BU21" s="1486">
        <f t="shared" ca="1" si="51"/>
        <v>0</v>
      </c>
      <c r="BV21" s="1486">
        <f t="shared" ca="1" si="51"/>
        <v>0</v>
      </c>
      <c r="BW21" s="1486">
        <f t="shared" ca="1" si="51"/>
        <v>14.403687991960901</v>
      </c>
      <c r="BX21" s="1486">
        <f t="shared" ca="1" si="51"/>
        <v>0.11212216057615614</v>
      </c>
      <c r="BY21" s="1486">
        <f t="shared" ca="1" si="51"/>
        <v>2.7618835900319163</v>
      </c>
      <c r="BZ21" s="1486">
        <f t="shared" ca="1" si="51"/>
        <v>9.2740959850517761</v>
      </c>
      <c r="CA21" s="1486">
        <f t="shared" ca="1" si="51"/>
        <v>0</v>
      </c>
      <c r="CB21" s="1486">
        <f t="shared" ca="1" si="51"/>
        <v>0</v>
      </c>
      <c r="CC21" s="1486">
        <f t="shared" ca="1" si="51"/>
        <v>0</v>
      </c>
      <c r="CD21" s="1486">
        <f t="shared" ca="1" si="51"/>
        <v>0</v>
      </c>
      <c r="CE21" s="1486">
        <f t="shared" ca="1" si="51"/>
        <v>0</v>
      </c>
      <c r="CF21" s="1486">
        <f t="shared" ca="1" si="51"/>
        <v>0</v>
      </c>
      <c r="CG21" s="1486">
        <f t="shared" ca="1" si="51"/>
        <v>0</v>
      </c>
      <c r="CH21" s="1486">
        <f t="shared" ca="1" si="51"/>
        <v>0</v>
      </c>
      <c r="CI21" s="1486">
        <f t="shared" ca="1" si="51"/>
        <v>0</v>
      </c>
      <c r="CJ21" s="1486">
        <f t="shared" ca="1" si="51"/>
        <v>0</v>
      </c>
      <c r="CK21" s="1486">
        <f t="shared" ca="1" si="51"/>
        <v>0</v>
      </c>
      <c r="CL21" s="1486">
        <f t="shared" ca="1" si="51"/>
        <v>0</v>
      </c>
      <c r="CM21" s="1486">
        <f t="shared" ca="1" si="51"/>
        <v>0</v>
      </c>
      <c r="CN21" s="1486">
        <f t="shared" ca="1" si="51"/>
        <v>0</v>
      </c>
      <c r="CO21" s="1486">
        <f t="shared" ca="1" si="51"/>
        <v>0</v>
      </c>
      <c r="CP21" s="1486">
        <f t="shared" ca="1" si="51"/>
        <v>0</v>
      </c>
      <c r="CQ21" s="1486">
        <f t="shared" ca="1" si="51"/>
        <v>0</v>
      </c>
      <c r="CR21" s="1486">
        <f t="shared" ca="1" si="51"/>
        <v>0</v>
      </c>
      <c r="CS21" s="1486">
        <f t="shared" ca="1" si="51"/>
        <v>0</v>
      </c>
      <c r="CT21" s="1486">
        <f t="shared" ca="1" si="51"/>
        <v>0</v>
      </c>
      <c r="CU21" s="1486">
        <f t="shared" ca="1" si="51"/>
        <v>0</v>
      </c>
      <c r="CV21" s="1486">
        <f t="shared" ca="1" si="51"/>
        <v>0</v>
      </c>
      <c r="CW21" s="1486">
        <f t="shared" ca="1" si="51"/>
        <v>0</v>
      </c>
      <c r="CX21" s="1486">
        <f t="shared" ca="1" si="51"/>
        <v>0</v>
      </c>
      <c r="CY21" s="1486">
        <f t="shared" ca="1" si="51"/>
        <v>0</v>
      </c>
      <c r="CZ21" s="1486">
        <f t="shared" ca="1" si="51"/>
        <v>0</v>
      </c>
      <c r="DA21" s="1486">
        <f t="shared" ca="1" si="51"/>
        <v>0</v>
      </c>
      <c r="DB21" s="1486">
        <f t="shared" ca="1" si="51"/>
        <v>0</v>
      </c>
      <c r="DC21" s="1486">
        <f t="shared" ca="1" si="51"/>
        <v>0</v>
      </c>
      <c r="DD21" s="1486">
        <f t="shared" ca="1" si="51"/>
        <v>0</v>
      </c>
      <c r="DE21" s="1486">
        <f t="shared" ca="1" si="51"/>
        <v>0</v>
      </c>
      <c r="DF21" s="1486">
        <f t="shared" ca="1" si="51"/>
        <v>0</v>
      </c>
      <c r="DH21" s="838">
        <f t="shared" ca="1" si="35"/>
        <v>93.23588855562501</v>
      </c>
    </row>
    <row r="22" spans="1:112" s="743" customFormat="1" ht="15.75" collapsed="1">
      <c r="A22" s="22"/>
      <c r="B22" s="753"/>
      <c r="C22" s="744" t="s">
        <v>678</v>
      </c>
      <c r="D22" s="517" t="str">
        <f>INDEX(Workstreams[Workstream], MATCH($C22, Workstreams[Code], 0))</f>
        <v>Industry</v>
      </c>
      <c r="E22" s="512"/>
      <c r="G22" s="1021">
        <f ca="1">G21</f>
        <v>0</v>
      </c>
      <c r="H22" s="1021">
        <f t="shared" ref="H22:P22" ca="1" si="52">H21</f>
        <v>0</v>
      </c>
      <c r="I22" s="1021">
        <f t="shared" ca="1" si="52"/>
        <v>415.84603598805307</v>
      </c>
      <c r="J22" s="1021">
        <f t="shared" ca="1" si="52"/>
        <v>0</v>
      </c>
      <c r="K22" s="1021">
        <f t="shared" ca="1" si="52"/>
        <v>0</v>
      </c>
      <c r="L22" s="1021">
        <f t="shared" ca="1" si="52"/>
        <v>0</v>
      </c>
      <c r="M22" s="1021">
        <f t="shared" ca="1" si="52"/>
        <v>0</v>
      </c>
      <c r="N22" s="1021">
        <f t="shared" ca="1" si="52"/>
        <v>0</v>
      </c>
      <c r="O22" s="1021">
        <f t="shared" ca="1" si="52"/>
        <v>0</v>
      </c>
      <c r="P22" s="1021">
        <f t="shared" ca="1" si="52"/>
        <v>0</v>
      </c>
      <c r="Q22" s="1021">
        <f ca="1">SUM(G22:P22)</f>
        <v>415.84603598805307</v>
      </c>
      <c r="S22" s="970">
        <f t="shared" ref="S22:Z22" ca="1" si="53">S21</f>
        <v>-116.39812479199203</v>
      </c>
      <c r="T22" s="970">
        <f t="shared" ca="1" si="53"/>
        <v>0</v>
      </c>
      <c r="U22" s="970">
        <f t="shared" ca="1" si="53"/>
        <v>-55.519529264302946</v>
      </c>
      <c r="V22" s="970">
        <f t="shared" ca="1" si="53"/>
        <v>-83.068761002553643</v>
      </c>
      <c r="W22" s="970">
        <f t="shared" ca="1" si="53"/>
        <v>-152.71074698244044</v>
      </c>
      <c r="X22" s="970">
        <f t="shared" ca="1" si="53"/>
        <v>0</v>
      </c>
      <c r="Y22" s="970">
        <f t="shared" ca="1" si="53"/>
        <v>0</v>
      </c>
      <c r="Z22" s="970">
        <f t="shared" ca="1" si="53"/>
        <v>0</v>
      </c>
      <c r="AA22" s="970">
        <f t="shared" ref="AA22:AJ22" ca="1" si="54">AA21</f>
        <v>0</v>
      </c>
      <c r="AB22" s="970">
        <f t="shared" ca="1" si="54"/>
        <v>-8.1488739467640343</v>
      </c>
      <c r="AC22" s="970">
        <f t="shared" ca="1" si="54"/>
        <v>0</v>
      </c>
      <c r="AD22" s="970">
        <f ca="1">AD21</f>
        <v>0</v>
      </c>
      <c r="AE22" s="970">
        <f ca="1">AE21</f>
        <v>0</v>
      </c>
      <c r="AF22" s="970">
        <f t="shared" ca="1" si="54"/>
        <v>0</v>
      </c>
      <c r="AG22" s="970">
        <f ca="1">AG21</f>
        <v>0</v>
      </c>
      <c r="AH22" s="970">
        <f ca="1">AH21</f>
        <v>0</v>
      </c>
      <c r="AI22" s="970">
        <f ca="1">AI21</f>
        <v>0</v>
      </c>
      <c r="AJ22" s="970">
        <f t="shared" ca="1" si="54"/>
        <v>0</v>
      </c>
      <c r="AK22" s="970">
        <f ca="1">SUM(S22:AJ22)</f>
        <v>-415.84603598805307</v>
      </c>
      <c r="AM22" s="976">
        <f t="shared" ref="AM22:BE22" ca="1" si="55">AM21</f>
        <v>0</v>
      </c>
      <c r="AN22" s="976">
        <f t="shared" ca="1" si="55"/>
        <v>0</v>
      </c>
      <c r="AO22" s="976">
        <f t="shared" ca="1" si="55"/>
        <v>0</v>
      </c>
      <c r="AP22" s="976">
        <f t="shared" ca="1" si="55"/>
        <v>0</v>
      </c>
      <c r="AQ22" s="976">
        <f t="shared" ca="1" si="55"/>
        <v>0</v>
      </c>
      <c r="AR22" s="976">
        <f t="shared" ca="1" si="55"/>
        <v>0</v>
      </c>
      <c r="AS22" s="976">
        <f t="shared" ca="1" si="55"/>
        <v>0</v>
      </c>
      <c r="AT22" s="976">
        <f t="shared" ca="1" si="55"/>
        <v>0</v>
      </c>
      <c r="AU22" s="976">
        <f t="shared" ca="1" si="55"/>
        <v>0</v>
      </c>
      <c r="AV22" s="976">
        <f t="shared" ca="1" si="55"/>
        <v>0</v>
      </c>
      <c r="AW22" s="976">
        <f t="shared" ca="1" si="55"/>
        <v>0</v>
      </c>
      <c r="AX22" s="976">
        <f t="shared" ca="1" si="55"/>
        <v>0</v>
      </c>
      <c r="AY22" s="976">
        <f t="shared" ca="1" si="55"/>
        <v>0</v>
      </c>
      <c r="AZ22" s="976">
        <f t="shared" ca="1" si="55"/>
        <v>0</v>
      </c>
      <c r="BA22" s="976">
        <f t="shared" ca="1" si="55"/>
        <v>0</v>
      </c>
      <c r="BB22" s="976">
        <f t="shared" ca="1" si="55"/>
        <v>0</v>
      </c>
      <c r="BC22" s="976">
        <f t="shared" ca="1" si="55"/>
        <v>0</v>
      </c>
      <c r="BD22" s="976">
        <f t="shared" ca="1" si="55"/>
        <v>0</v>
      </c>
      <c r="BE22" s="976">
        <f t="shared" ca="1" si="55"/>
        <v>0</v>
      </c>
      <c r="BF22" s="976">
        <f ca="1">SUM(AM22:BE22)</f>
        <v>0</v>
      </c>
      <c r="BH22" s="990">
        <f ca="1">BH21</f>
        <v>0</v>
      </c>
      <c r="BI22" s="990">
        <f ca="1">BI21</f>
        <v>0</v>
      </c>
      <c r="BJ22" s="990">
        <f ca="1">SUM(BH22:BI22)</f>
        <v>0</v>
      </c>
      <c r="BL22" s="515">
        <f t="shared" ca="1" si="9"/>
        <v>0</v>
      </c>
      <c r="BM22" s="515"/>
      <c r="BN22" s="840"/>
      <c r="BO22" s="1482">
        <f t="shared" ref="BO22:DF22" ca="1" si="56">BO21</f>
        <v>65.96598270881276</v>
      </c>
      <c r="BP22" s="1482">
        <f t="shared" ca="1" si="56"/>
        <v>0.13241233225906232</v>
      </c>
      <c r="BQ22" s="1482">
        <f t="shared" ca="1" si="56"/>
        <v>0.58570378693243763</v>
      </c>
      <c r="BR22" s="1482">
        <f t="shared" ca="1" si="56"/>
        <v>0</v>
      </c>
      <c r="BS22" s="1482">
        <f t="shared" ca="1" si="56"/>
        <v>0</v>
      </c>
      <c r="BT22" s="1482">
        <f t="shared" ca="1" si="56"/>
        <v>0</v>
      </c>
      <c r="BU22" s="1482">
        <f t="shared" ca="1" si="56"/>
        <v>0</v>
      </c>
      <c r="BV22" s="1482">
        <f t="shared" ca="1" si="56"/>
        <v>0</v>
      </c>
      <c r="BW22" s="1482">
        <f t="shared" ca="1" si="56"/>
        <v>14.403687991960901</v>
      </c>
      <c r="BX22" s="1482">
        <f t="shared" ca="1" si="56"/>
        <v>0.11212216057615614</v>
      </c>
      <c r="BY22" s="1482">
        <f t="shared" ca="1" si="56"/>
        <v>2.7618835900319163</v>
      </c>
      <c r="BZ22" s="1482">
        <f t="shared" ca="1" si="56"/>
        <v>9.2740959850517761</v>
      </c>
      <c r="CA22" s="1482">
        <f t="shared" ca="1" si="56"/>
        <v>0</v>
      </c>
      <c r="CB22" s="1482">
        <f t="shared" ca="1" si="56"/>
        <v>0</v>
      </c>
      <c r="CC22" s="1482">
        <f t="shared" ca="1" si="56"/>
        <v>0</v>
      </c>
      <c r="CD22" s="1482">
        <f t="shared" ca="1" si="56"/>
        <v>0</v>
      </c>
      <c r="CE22" s="1482">
        <f t="shared" ca="1" si="56"/>
        <v>0</v>
      </c>
      <c r="CF22" s="1482">
        <f t="shared" ca="1" si="56"/>
        <v>0</v>
      </c>
      <c r="CG22" s="1482">
        <f t="shared" ca="1" si="56"/>
        <v>0</v>
      </c>
      <c r="CH22" s="1482">
        <f t="shared" ca="1" si="56"/>
        <v>0</v>
      </c>
      <c r="CI22" s="1482">
        <f t="shared" ca="1" si="56"/>
        <v>0</v>
      </c>
      <c r="CJ22" s="1482">
        <f t="shared" ca="1" si="56"/>
        <v>0</v>
      </c>
      <c r="CK22" s="1482">
        <f t="shared" ca="1" si="56"/>
        <v>0</v>
      </c>
      <c r="CL22" s="1482">
        <f t="shared" ca="1" si="56"/>
        <v>0</v>
      </c>
      <c r="CM22" s="1482">
        <f t="shared" ca="1" si="56"/>
        <v>0</v>
      </c>
      <c r="CN22" s="1482">
        <f t="shared" ca="1" si="56"/>
        <v>0</v>
      </c>
      <c r="CO22" s="1482">
        <f t="shared" ca="1" si="56"/>
        <v>0</v>
      </c>
      <c r="CP22" s="1482">
        <f t="shared" ca="1" si="56"/>
        <v>0</v>
      </c>
      <c r="CQ22" s="1482">
        <f t="shared" ca="1" si="56"/>
        <v>0</v>
      </c>
      <c r="CR22" s="1482">
        <f t="shared" ca="1" si="56"/>
        <v>0</v>
      </c>
      <c r="CS22" s="1482">
        <f t="shared" ca="1" si="56"/>
        <v>0</v>
      </c>
      <c r="CT22" s="1482">
        <f t="shared" ca="1" si="56"/>
        <v>0</v>
      </c>
      <c r="CU22" s="1482">
        <f t="shared" ca="1" si="56"/>
        <v>0</v>
      </c>
      <c r="CV22" s="1482">
        <f t="shared" ca="1" si="56"/>
        <v>0</v>
      </c>
      <c r="CW22" s="1482">
        <f t="shared" ca="1" si="56"/>
        <v>0</v>
      </c>
      <c r="CX22" s="1482">
        <f t="shared" ca="1" si="56"/>
        <v>0</v>
      </c>
      <c r="CY22" s="1482">
        <f t="shared" ca="1" si="56"/>
        <v>0</v>
      </c>
      <c r="CZ22" s="1482">
        <f t="shared" ca="1" si="56"/>
        <v>0</v>
      </c>
      <c r="DA22" s="1482">
        <f t="shared" ca="1" si="56"/>
        <v>0</v>
      </c>
      <c r="DB22" s="1482">
        <f t="shared" ca="1" si="56"/>
        <v>0</v>
      </c>
      <c r="DC22" s="1482">
        <f t="shared" ca="1" si="56"/>
        <v>0</v>
      </c>
      <c r="DD22" s="1482">
        <f t="shared" ca="1" si="56"/>
        <v>0</v>
      </c>
      <c r="DE22" s="1482">
        <f t="shared" ca="1" si="56"/>
        <v>0</v>
      </c>
      <c r="DF22" s="1482">
        <f t="shared" ca="1" si="56"/>
        <v>0</v>
      </c>
      <c r="DH22" s="838">
        <f t="shared" ca="1" si="35"/>
        <v>93.23588855562501</v>
      </c>
    </row>
    <row r="23" spans="1:112" s="743" customFormat="1" ht="12.75" hidden="1" customHeight="1" outlineLevel="1">
      <c r="A23" s="22"/>
      <c r="B23" s="22"/>
      <c r="C23" s="751"/>
      <c r="D23" s="512"/>
      <c r="E23" s="512"/>
      <c r="G23" s="1021"/>
      <c r="H23" s="1021"/>
      <c r="I23" s="1021"/>
      <c r="J23" s="1021"/>
      <c r="K23" s="1021"/>
      <c r="L23" s="1021"/>
      <c r="M23" s="1021"/>
      <c r="N23" s="1021"/>
      <c r="O23" s="1021"/>
      <c r="P23" s="1021"/>
      <c r="Q23" s="1021"/>
      <c r="S23" s="970"/>
      <c r="T23" s="970"/>
      <c r="U23" s="970"/>
      <c r="V23" s="970"/>
      <c r="W23" s="970"/>
      <c r="X23" s="970"/>
      <c r="Y23" s="970"/>
      <c r="Z23" s="970"/>
      <c r="AA23" s="970"/>
      <c r="AB23" s="970"/>
      <c r="AC23" s="970"/>
      <c r="AD23" s="970"/>
      <c r="AE23" s="970"/>
      <c r="AF23" s="970"/>
      <c r="AG23" s="970"/>
      <c r="AH23" s="970"/>
      <c r="AI23" s="970"/>
      <c r="AJ23" s="970"/>
      <c r="AK23" s="970"/>
      <c r="AM23" s="976"/>
      <c r="AN23" s="976"/>
      <c r="AO23" s="976"/>
      <c r="AP23" s="976"/>
      <c r="AQ23" s="976"/>
      <c r="AR23" s="976"/>
      <c r="AS23" s="976"/>
      <c r="AT23" s="976"/>
      <c r="AU23" s="976"/>
      <c r="AV23" s="976"/>
      <c r="AW23" s="976"/>
      <c r="AX23" s="976"/>
      <c r="AY23" s="976"/>
      <c r="AZ23" s="976"/>
      <c r="BA23" s="976"/>
      <c r="BB23" s="976"/>
      <c r="BC23" s="976"/>
      <c r="BD23" s="976"/>
      <c r="BE23" s="976"/>
      <c r="BF23" s="976"/>
      <c r="BH23" s="990"/>
      <c r="BI23" s="990"/>
      <c r="BJ23" s="990"/>
      <c r="BL23" s="515">
        <f t="shared" si="9"/>
        <v>0</v>
      </c>
      <c r="BM23" s="515"/>
      <c r="BN23" s="22"/>
      <c r="BO23" s="1482"/>
      <c r="BP23" s="1482"/>
      <c r="BQ23" s="1482"/>
      <c r="BR23" s="1482"/>
      <c r="BS23" s="1482"/>
      <c r="BT23" s="1482"/>
      <c r="BU23" s="1482"/>
      <c r="BV23" s="1482"/>
      <c r="BW23" s="1482"/>
      <c r="BX23" s="1482"/>
      <c r="BY23" s="1482"/>
      <c r="BZ23" s="1482"/>
      <c r="CA23" s="1482"/>
      <c r="CB23" s="1482"/>
      <c r="CC23" s="1482"/>
      <c r="CD23" s="1482"/>
      <c r="CE23" s="1482"/>
      <c r="CF23" s="1482"/>
      <c r="CG23" s="1482"/>
      <c r="CH23" s="1482"/>
      <c r="CI23" s="1482"/>
      <c r="CJ23" s="1482"/>
      <c r="CK23" s="1482"/>
      <c r="CL23" s="1482"/>
      <c r="CM23" s="1482"/>
      <c r="CN23" s="1482"/>
      <c r="CO23" s="1482"/>
      <c r="CP23" s="1482"/>
      <c r="CQ23" s="1482"/>
      <c r="CR23" s="1482"/>
      <c r="CS23" s="1482"/>
      <c r="CT23" s="1482"/>
      <c r="CU23" s="1482"/>
      <c r="CV23" s="1482"/>
      <c r="CW23" s="1482"/>
      <c r="CX23" s="1482"/>
      <c r="CY23" s="1482"/>
      <c r="CZ23" s="1482"/>
      <c r="DA23" s="1482"/>
      <c r="DB23" s="1482"/>
      <c r="DC23" s="1482"/>
      <c r="DD23" s="1482"/>
      <c r="DE23" s="1482"/>
      <c r="DF23" s="1482"/>
      <c r="DH23" s="838">
        <f t="shared" si="35"/>
        <v>0</v>
      </c>
    </row>
    <row r="24" spans="1:112" s="743" customFormat="1" ht="12.75" hidden="1" customHeight="1" outlineLevel="1">
      <c r="A24" s="1484"/>
      <c r="B24" s="1484"/>
      <c r="C24" s="746" t="s">
        <v>903</v>
      </c>
      <c r="D24" s="523" t="str">
        <f>INDEX(Modules[Module], MATCH($C24, Modules[Code], 0))</f>
        <v>Domestic passenger transport</v>
      </c>
      <c r="E24" s="1006"/>
      <c r="G24" s="1017">
        <f t="shared" ref="G24:P27" ca="1" si="57">IFERROR(INDEX(INDIRECT($C24&amp;".Outputs["&amp;this.Year&amp;"]"), MATCH(G$5, INDIRECT($C24&amp;".Outputs[Vector]"), 0)), 0)</f>
        <v>0</v>
      </c>
      <c r="H24" s="1017">
        <f t="shared" ca="1" si="57"/>
        <v>0</v>
      </c>
      <c r="I24" s="1017">
        <f t="shared" ca="1" si="57"/>
        <v>0</v>
      </c>
      <c r="J24" s="1017">
        <f t="shared" ca="1" si="57"/>
        <v>345.05877441902999</v>
      </c>
      <c r="K24" s="1017">
        <f t="shared" ca="1" si="57"/>
        <v>14.600331355565261</v>
      </c>
      <c r="L24" s="1017">
        <f t="shared" ca="1" si="57"/>
        <v>10.163716423089292</v>
      </c>
      <c r="M24" s="1017">
        <f t="shared" ca="1" si="57"/>
        <v>0</v>
      </c>
      <c r="N24" s="1017">
        <f t="shared" ca="1" si="57"/>
        <v>0</v>
      </c>
      <c r="O24" s="1017">
        <f t="shared" ca="1" si="57"/>
        <v>0</v>
      </c>
      <c r="P24" s="1017">
        <f t="shared" ca="1" si="57"/>
        <v>0</v>
      </c>
      <c r="Q24" s="1019">
        <f ca="1">SUM(G24:P24)</f>
        <v>369.82282219768456</v>
      </c>
      <c r="S24" s="1026">
        <f t="shared" ref="S24:BE30" ca="1" si="58">IFERROR(INDEX(INDIRECT($C24&amp;".Outputs["&amp;this.Year&amp;"]"), MATCH(S$5, INDIRECT($C24&amp;".Outputs[Vector]"), 0)), 0)</f>
        <v>-8.1359911349875933</v>
      </c>
      <c r="T24" s="1026">
        <f t="shared" ca="1" si="58"/>
        <v>0</v>
      </c>
      <c r="U24" s="1026">
        <f t="shared" ca="1" si="58"/>
        <v>0</v>
      </c>
      <c r="V24" s="1026">
        <f t="shared" ca="1" si="58"/>
        <v>-361.68683106269697</v>
      </c>
      <c r="W24" s="1026">
        <f t="shared" ca="1" si="58"/>
        <v>0</v>
      </c>
      <c r="X24" s="1026">
        <f t="shared" ref="X24:Z27" ca="1" si="59">IFERROR(INDEX(INDIRECT($C24&amp;".Outputs["&amp;this.Year&amp;"]"), MATCH(X$5, INDIRECT($C24&amp;".Outputs[Vector]"), 0)), 0)</f>
        <v>0</v>
      </c>
      <c r="Y24" s="1026">
        <f t="shared" ca="1" si="59"/>
        <v>0</v>
      </c>
      <c r="Z24" s="1026">
        <f t="shared" ca="1" si="59"/>
        <v>0</v>
      </c>
      <c r="AA24" s="1026">
        <f t="shared" ca="1" si="58"/>
        <v>0</v>
      </c>
      <c r="AB24" s="1026">
        <f t="shared" ca="1" si="58"/>
        <v>0</v>
      </c>
      <c r="AC24" s="1026">
        <f t="shared" ca="1" si="58"/>
        <v>0</v>
      </c>
      <c r="AD24" s="1026">
        <f t="shared" ca="1" si="58"/>
        <v>0</v>
      </c>
      <c r="AE24" s="1026">
        <f t="shared" ca="1" si="58"/>
        <v>0</v>
      </c>
      <c r="AF24" s="1026">
        <f t="shared" ca="1" si="58"/>
        <v>0</v>
      </c>
      <c r="AG24" s="1026">
        <f t="shared" ca="1" si="58"/>
        <v>0</v>
      </c>
      <c r="AH24" s="1026">
        <f t="shared" ca="1" si="58"/>
        <v>0</v>
      </c>
      <c r="AI24" s="1026">
        <f t="shared" ca="1" si="58"/>
        <v>0</v>
      </c>
      <c r="AJ24" s="1026">
        <f t="shared" ca="1" si="58"/>
        <v>0</v>
      </c>
      <c r="AK24" s="1027">
        <f t="shared" ref="AK24:AK32" ca="1" si="60">SUM(S24:AJ24)</f>
        <v>-369.82282219768456</v>
      </c>
      <c r="AM24" s="1038">
        <f t="shared" ref="AM24:AU27" ca="1" si="61">IFERROR(INDEX(INDIRECT($C24&amp;".Outputs["&amp;this.Year&amp;"]"), MATCH(AM$5, INDIRECT($C24&amp;".Outputs[Vector]"), 0)), 0)</f>
        <v>0</v>
      </c>
      <c r="AN24" s="1038">
        <f t="shared" ca="1" si="61"/>
        <v>0</v>
      </c>
      <c r="AO24" s="1038">
        <f t="shared" ca="1" si="61"/>
        <v>0</v>
      </c>
      <c r="AP24" s="1038">
        <f t="shared" ca="1" si="61"/>
        <v>0</v>
      </c>
      <c r="AQ24" s="1038">
        <f t="shared" ca="1" si="61"/>
        <v>0</v>
      </c>
      <c r="AR24" s="1038">
        <f t="shared" ca="1" si="61"/>
        <v>0</v>
      </c>
      <c r="AS24" s="1038">
        <f t="shared" ca="1" si="61"/>
        <v>0</v>
      </c>
      <c r="AT24" s="1038">
        <f t="shared" ca="1" si="61"/>
        <v>0</v>
      </c>
      <c r="AU24" s="1038">
        <f t="shared" ca="1" si="61"/>
        <v>0</v>
      </c>
      <c r="AV24" s="1038">
        <f t="shared" ca="1" si="58"/>
        <v>0</v>
      </c>
      <c r="AW24" s="1038">
        <f t="shared" ca="1" si="58"/>
        <v>0</v>
      </c>
      <c r="AX24" s="1038">
        <f t="shared" ca="1" si="58"/>
        <v>0</v>
      </c>
      <c r="AY24" s="1038">
        <f t="shared" ca="1" si="58"/>
        <v>0</v>
      </c>
      <c r="AZ24" s="1038">
        <f t="shared" ca="1" si="58"/>
        <v>0</v>
      </c>
      <c r="BA24" s="1038">
        <f t="shared" ca="1" si="58"/>
        <v>0</v>
      </c>
      <c r="BB24" s="1038">
        <f t="shared" ca="1" si="58"/>
        <v>0</v>
      </c>
      <c r="BC24" s="1038">
        <f t="shared" ca="1" si="58"/>
        <v>0</v>
      </c>
      <c r="BD24" s="1038">
        <f t="shared" ca="1" si="58"/>
        <v>0</v>
      </c>
      <c r="BE24" s="1038">
        <f t="shared" ca="1" si="58"/>
        <v>0</v>
      </c>
      <c r="BF24" s="979">
        <f t="shared" ref="BF24:BF32" ca="1" si="62">SUM(AM24:BE24)</f>
        <v>0</v>
      </c>
      <c r="BH24" s="1032">
        <f t="shared" ref="BH24:BI30" ca="1" si="63">IFERROR(INDEX(INDIRECT($C24&amp;".Outputs["&amp;this.Year&amp;"]"), MATCH(BH$5, INDIRECT($C24&amp;".Outputs[Vector]"), 0)), 0)</f>
        <v>0</v>
      </c>
      <c r="BI24" s="1032">
        <f t="shared" ca="1" si="63"/>
        <v>0</v>
      </c>
      <c r="BJ24" s="1034">
        <f t="shared" ref="BJ24:BJ32" ca="1" si="64">SUM(BH24:BI24)</f>
        <v>0</v>
      </c>
      <c r="BL24" s="814">
        <f t="shared" ca="1" si="9"/>
        <v>0</v>
      </c>
      <c r="BM24" s="814"/>
      <c r="BN24" s="840"/>
      <c r="BO24" s="1481">
        <f t="shared" ref="BO24:BX27" ca="1" si="65">IFERROR(SUMIFS(INDIRECT($C24&amp;".Emissions["&amp;this.Year&amp;"]"), INDIRECT($C24&amp;".Emissions[GHG]"), BO$6, INDIRECT($C24&amp;".Emissions[IPCC Sector]"), BO$5),0)</f>
        <v>90.421707765674242</v>
      </c>
      <c r="BP24" s="1482">
        <f t="shared" ca="1" si="65"/>
        <v>0.11257466920586208</v>
      </c>
      <c r="BQ24" s="1482">
        <f t="shared" ca="1" si="65"/>
        <v>1.6268718049787969</v>
      </c>
      <c r="BR24" s="1482">
        <f t="shared" ca="1" si="65"/>
        <v>0</v>
      </c>
      <c r="BS24" s="1482">
        <f t="shared" ca="1" si="65"/>
        <v>0</v>
      </c>
      <c r="BT24" s="1482">
        <f t="shared" ca="1" si="65"/>
        <v>0</v>
      </c>
      <c r="BU24" s="1482">
        <f t="shared" ca="1" si="65"/>
        <v>0</v>
      </c>
      <c r="BV24" s="1482">
        <f t="shared" ca="1" si="65"/>
        <v>0</v>
      </c>
      <c r="BW24" s="1482">
        <f t="shared" ca="1" si="65"/>
        <v>0</v>
      </c>
      <c r="BX24" s="1482">
        <f t="shared" ca="1" si="65"/>
        <v>0</v>
      </c>
      <c r="BY24" s="1482">
        <f t="shared" ref="BY24:CH27" ca="1" si="66">IFERROR(SUMIFS(INDIRECT($C24&amp;".Emissions["&amp;this.Year&amp;"]"), INDIRECT($C24&amp;".Emissions[GHG]"), BY$6, INDIRECT($C24&amp;".Emissions[IPCC Sector]"), BY$5),0)</f>
        <v>0</v>
      </c>
      <c r="BZ24" s="1482">
        <f t="shared" ca="1" si="66"/>
        <v>0</v>
      </c>
      <c r="CA24" s="1482">
        <f t="shared" ca="1" si="66"/>
        <v>0</v>
      </c>
      <c r="CB24" s="1482">
        <f t="shared" ca="1" si="66"/>
        <v>0</v>
      </c>
      <c r="CC24" s="1482">
        <f t="shared" ca="1" si="66"/>
        <v>0</v>
      </c>
      <c r="CD24" s="1482">
        <f t="shared" ca="1" si="66"/>
        <v>0</v>
      </c>
      <c r="CE24" s="1482">
        <f t="shared" ca="1" si="66"/>
        <v>0</v>
      </c>
      <c r="CF24" s="1482">
        <f t="shared" ca="1" si="66"/>
        <v>0</v>
      </c>
      <c r="CG24" s="1482">
        <f t="shared" ca="1" si="66"/>
        <v>0</v>
      </c>
      <c r="CH24" s="1482">
        <f t="shared" ca="1" si="66"/>
        <v>0</v>
      </c>
      <c r="CI24" s="1482">
        <f t="shared" ref="CI24:CR27" ca="1" si="67">IFERROR(SUMIFS(INDIRECT($C24&amp;".Emissions["&amp;this.Year&amp;"]"), INDIRECT($C24&amp;".Emissions[GHG]"), CI$6, INDIRECT($C24&amp;".Emissions[IPCC Sector]"), CI$5),0)</f>
        <v>0</v>
      </c>
      <c r="CJ24" s="1482">
        <f t="shared" ca="1" si="67"/>
        <v>0</v>
      </c>
      <c r="CK24" s="1482">
        <f t="shared" ca="1" si="67"/>
        <v>0</v>
      </c>
      <c r="CL24" s="1482">
        <f t="shared" ca="1" si="67"/>
        <v>0</v>
      </c>
      <c r="CM24" s="1482">
        <f t="shared" ca="1" si="67"/>
        <v>0</v>
      </c>
      <c r="CN24" s="1482">
        <f t="shared" ca="1" si="67"/>
        <v>0</v>
      </c>
      <c r="CO24" s="1482">
        <f t="shared" ca="1" si="67"/>
        <v>0</v>
      </c>
      <c r="CP24" s="1482">
        <f t="shared" ca="1" si="67"/>
        <v>0</v>
      </c>
      <c r="CQ24" s="1482">
        <f t="shared" ca="1" si="67"/>
        <v>0</v>
      </c>
      <c r="CR24" s="1482">
        <f t="shared" ca="1" si="67"/>
        <v>0</v>
      </c>
      <c r="CS24" s="1482">
        <f t="shared" ref="CS24:DF27" ca="1" si="68">IFERROR(SUMIFS(INDIRECT($C24&amp;".Emissions["&amp;this.Year&amp;"]"), INDIRECT($C24&amp;".Emissions[GHG]"), CS$6, INDIRECT($C24&amp;".Emissions[IPCC Sector]"), CS$5),0)</f>
        <v>0</v>
      </c>
      <c r="CT24" s="1482">
        <f t="shared" ca="1" si="68"/>
        <v>0</v>
      </c>
      <c r="CU24" s="1482">
        <f t="shared" ca="1" si="68"/>
        <v>0</v>
      </c>
      <c r="CV24" s="1482">
        <f t="shared" ca="1" si="68"/>
        <v>0</v>
      </c>
      <c r="CW24" s="1482">
        <f t="shared" ca="1" si="68"/>
        <v>0</v>
      </c>
      <c r="CX24" s="1482">
        <f t="shared" ca="1" si="68"/>
        <v>0</v>
      </c>
      <c r="CY24" s="1482">
        <f t="shared" ca="1" si="68"/>
        <v>0</v>
      </c>
      <c r="CZ24" s="1482">
        <f t="shared" ca="1" si="68"/>
        <v>0</v>
      </c>
      <c r="DA24" s="1482">
        <f t="shared" ca="1" si="68"/>
        <v>0</v>
      </c>
      <c r="DB24" s="1482">
        <f t="shared" ca="1" si="68"/>
        <v>0</v>
      </c>
      <c r="DC24" s="1482">
        <f t="shared" ca="1" si="68"/>
        <v>0</v>
      </c>
      <c r="DD24" s="1482">
        <f t="shared" ca="1" si="68"/>
        <v>0</v>
      </c>
      <c r="DE24" s="1482">
        <f t="shared" ca="1" si="68"/>
        <v>0</v>
      </c>
      <c r="DF24" s="1482">
        <f t="shared" ca="1" si="68"/>
        <v>0</v>
      </c>
      <c r="DH24" s="838">
        <f t="shared" ca="1" si="35"/>
        <v>92.161154239858888</v>
      </c>
    </row>
    <row r="25" spans="1:112" s="743" customFormat="1" ht="12.75" hidden="1" customHeight="1" outlineLevel="1">
      <c r="A25" s="1484"/>
      <c r="B25" s="1484"/>
      <c r="C25" s="746" t="s">
        <v>916</v>
      </c>
      <c r="D25" s="523" t="str">
        <f>INDEX(Modules[Module], MATCH($C25, Modules[Code], 0))</f>
        <v>Domestic freight</v>
      </c>
      <c r="E25" s="1006"/>
      <c r="G25" s="1017">
        <f t="shared" ca="1" si="57"/>
        <v>0</v>
      </c>
      <c r="H25" s="1017">
        <f t="shared" ca="1" si="57"/>
        <v>0</v>
      </c>
      <c r="I25" s="1017">
        <f t="shared" ca="1" si="57"/>
        <v>0</v>
      </c>
      <c r="J25" s="1017">
        <f t="shared" ca="1" si="57"/>
        <v>100.03347264357501</v>
      </c>
      <c r="K25" s="1017">
        <f t="shared" ca="1" si="57"/>
        <v>2.5831174845651748</v>
      </c>
      <c r="L25" s="1017">
        <f t="shared" ca="1" si="57"/>
        <v>0</v>
      </c>
      <c r="M25" s="1017">
        <f t="shared" ca="1" si="57"/>
        <v>25.383064556311584</v>
      </c>
      <c r="N25" s="1017">
        <f t="shared" ca="1" si="57"/>
        <v>0</v>
      </c>
      <c r="O25" s="1017">
        <f t="shared" ca="1" si="57"/>
        <v>0</v>
      </c>
      <c r="P25" s="1017">
        <f t="shared" ca="1" si="57"/>
        <v>0</v>
      </c>
      <c r="Q25" s="1019">
        <f ca="1">SUM(G25:P25)</f>
        <v>127.99965468445177</v>
      </c>
      <c r="S25" s="1026">
        <f t="shared" ca="1" si="58"/>
        <v>-0.10846245968266201</v>
      </c>
      <c r="T25" s="1026">
        <f t="shared" ca="1" si="58"/>
        <v>0</v>
      </c>
      <c r="U25" s="1026">
        <f t="shared" ca="1" si="58"/>
        <v>0</v>
      </c>
      <c r="V25" s="1026">
        <f t="shared" ca="1" si="58"/>
        <v>-127.8911922247691</v>
      </c>
      <c r="W25" s="1026">
        <f t="shared" ca="1" si="58"/>
        <v>0</v>
      </c>
      <c r="X25" s="1026">
        <f t="shared" ca="1" si="59"/>
        <v>0</v>
      </c>
      <c r="Y25" s="1026">
        <f t="shared" ca="1" si="59"/>
        <v>0</v>
      </c>
      <c r="Z25" s="1026">
        <f t="shared" ca="1" si="59"/>
        <v>0</v>
      </c>
      <c r="AA25" s="1026">
        <f t="shared" ca="1" si="58"/>
        <v>0</v>
      </c>
      <c r="AB25" s="1026">
        <f t="shared" ca="1" si="58"/>
        <v>0</v>
      </c>
      <c r="AC25" s="1026">
        <f t="shared" ca="1" si="58"/>
        <v>0</v>
      </c>
      <c r="AD25" s="1026">
        <f t="shared" ca="1" si="58"/>
        <v>0</v>
      </c>
      <c r="AE25" s="1026">
        <f t="shared" ca="1" si="58"/>
        <v>0</v>
      </c>
      <c r="AF25" s="1026">
        <f t="shared" ca="1" si="58"/>
        <v>0</v>
      </c>
      <c r="AG25" s="1026">
        <f t="shared" ca="1" si="58"/>
        <v>0</v>
      </c>
      <c r="AH25" s="1026">
        <f t="shared" ca="1" si="58"/>
        <v>0</v>
      </c>
      <c r="AI25" s="1026">
        <f t="shared" ca="1" si="58"/>
        <v>0</v>
      </c>
      <c r="AJ25" s="1026">
        <f t="shared" ca="1" si="58"/>
        <v>0</v>
      </c>
      <c r="AK25" s="1027">
        <f t="shared" ca="1" si="60"/>
        <v>-127.99965468445176</v>
      </c>
      <c r="AM25" s="1038">
        <f t="shared" ca="1" si="61"/>
        <v>0</v>
      </c>
      <c r="AN25" s="1038">
        <f t="shared" ca="1" si="61"/>
        <v>0</v>
      </c>
      <c r="AO25" s="1038">
        <f t="shared" ca="1" si="61"/>
        <v>0</v>
      </c>
      <c r="AP25" s="1038">
        <f t="shared" ca="1" si="61"/>
        <v>0</v>
      </c>
      <c r="AQ25" s="1038">
        <f t="shared" ca="1" si="61"/>
        <v>0</v>
      </c>
      <c r="AR25" s="1038">
        <f t="shared" ca="1" si="61"/>
        <v>0</v>
      </c>
      <c r="AS25" s="1038">
        <f t="shared" ca="1" si="61"/>
        <v>0</v>
      </c>
      <c r="AT25" s="1038">
        <f t="shared" ca="1" si="61"/>
        <v>0</v>
      </c>
      <c r="AU25" s="1038">
        <f t="shared" ca="1" si="61"/>
        <v>0</v>
      </c>
      <c r="AV25" s="1038">
        <f t="shared" ca="1" si="58"/>
        <v>0</v>
      </c>
      <c r="AW25" s="1038">
        <f t="shared" ca="1" si="58"/>
        <v>0</v>
      </c>
      <c r="AX25" s="1038">
        <f t="shared" ca="1" si="58"/>
        <v>0</v>
      </c>
      <c r="AY25" s="1038">
        <f t="shared" ca="1" si="58"/>
        <v>0</v>
      </c>
      <c r="AZ25" s="1038">
        <f t="shared" ca="1" si="58"/>
        <v>0</v>
      </c>
      <c r="BA25" s="1038">
        <f t="shared" ca="1" si="58"/>
        <v>0</v>
      </c>
      <c r="BB25" s="1038">
        <f t="shared" ca="1" si="58"/>
        <v>0</v>
      </c>
      <c r="BC25" s="1038">
        <f t="shared" ca="1" si="58"/>
        <v>0</v>
      </c>
      <c r="BD25" s="1038">
        <f t="shared" ca="1" si="58"/>
        <v>0</v>
      </c>
      <c r="BE25" s="1038">
        <f t="shared" ca="1" si="58"/>
        <v>0</v>
      </c>
      <c r="BF25" s="979">
        <f t="shared" ca="1" si="62"/>
        <v>0</v>
      </c>
      <c r="BH25" s="1032">
        <f t="shared" ca="1" si="63"/>
        <v>0</v>
      </c>
      <c r="BI25" s="1032">
        <f t="shared" ca="1" si="63"/>
        <v>0</v>
      </c>
      <c r="BJ25" s="1034">
        <f t="shared" ca="1" si="64"/>
        <v>0</v>
      </c>
      <c r="BL25" s="814">
        <f t="shared" ca="1" si="9"/>
        <v>1.4210854715202004E-14</v>
      </c>
      <c r="BM25" s="814"/>
      <c r="BN25" s="840"/>
      <c r="BO25" s="1481">
        <f t="shared" ca="1" si="65"/>
        <v>31.972798056192275</v>
      </c>
      <c r="BP25" s="1482">
        <f t="shared" ca="1" si="65"/>
        <v>3.9806007359308546E-2</v>
      </c>
      <c r="BQ25" s="1482">
        <f t="shared" ca="1" si="65"/>
        <v>0.57525615219187665</v>
      </c>
      <c r="BR25" s="1482">
        <f t="shared" ca="1" si="65"/>
        <v>0</v>
      </c>
      <c r="BS25" s="1482">
        <f t="shared" ca="1" si="65"/>
        <v>0</v>
      </c>
      <c r="BT25" s="1482">
        <f t="shared" ca="1" si="65"/>
        <v>0</v>
      </c>
      <c r="BU25" s="1482">
        <f t="shared" ca="1" si="65"/>
        <v>0</v>
      </c>
      <c r="BV25" s="1482">
        <f t="shared" ca="1" si="65"/>
        <v>0</v>
      </c>
      <c r="BW25" s="1482">
        <f t="shared" ca="1" si="65"/>
        <v>0</v>
      </c>
      <c r="BX25" s="1482">
        <f t="shared" ca="1" si="65"/>
        <v>0</v>
      </c>
      <c r="BY25" s="1482">
        <f t="shared" ca="1" si="66"/>
        <v>0</v>
      </c>
      <c r="BZ25" s="1482">
        <f t="shared" ca="1" si="66"/>
        <v>0</v>
      </c>
      <c r="CA25" s="1482">
        <f t="shared" ca="1" si="66"/>
        <v>0</v>
      </c>
      <c r="CB25" s="1482">
        <f t="shared" ca="1" si="66"/>
        <v>0</v>
      </c>
      <c r="CC25" s="1482">
        <f t="shared" ca="1" si="66"/>
        <v>0</v>
      </c>
      <c r="CD25" s="1482">
        <f t="shared" ca="1" si="66"/>
        <v>0</v>
      </c>
      <c r="CE25" s="1482">
        <f t="shared" ca="1" si="66"/>
        <v>0</v>
      </c>
      <c r="CF25" s="1482">
        <f t="shared" ca="1" si="66"/>
        <v>0</v>
      </c>
      <c r="CG25" s="1482">
        <f t="shared" ca="1" si="66"/>
        <v>0</v>
      </c>
      <c r="CH25" s="1482">
        <f t="shared" ca="1" si="66"/>
        <v>0</v>
      </c>
      <c r="CI25" s="1482">
        <f t="shared" ca="1" si="67"/>
        <v>0</v>
      </c>
      <c r="CJ25" s="1482">
        <f t="shared" ca="1" si="67"/>
        <v>0</v>
      </c>
      <c r="CK25" s="1482">
        <f t="shared" ca="1" si="67"/>
        <v>0</v>
      </c>
      <c r="CL25" s="1482">
        <f t="shared" ca="1" si="67"/>
        <v>0</v>
      </c>
      <c r="CM25" s="1482">
        <f t="shared" ca="1" si="67"/>
        <v>0</v>
      </c>
      <c r="CN25" s="1482">
        <f t="shared" ca="1" si="67"/>
        <v>0</v>
      </c>
      <c r="CO25" s="1482">
        <f t="shared" ca="1" si="67"/>
        <v>0</v>
      </c>
      <c r="CP25" s="1482">
        <f t="shared" ca="1" si="67"/>
        <v>0</v>
      </c>
      <c r="CQ25" s="1482">
        <f t="shared" ca="1" si="67"/>
        <v>0</v>
      </c>
      <c r="CR25" s="1482">
        <f t="shared" ca="1" si="67"/>
        <v>0</v>
      </c>
      <c r="CS25" s="1482">
        <f t="shared" ca="1" si="68"/>
        <v>0</v>
      </c>
      <c r="CT25" s="1482">
        <f t="shared" ca="1" si="68"/>
        <v>0</v>
      </c>
      <c r="CU25" s="1482">
        <f t="shared" ca="1" si="68"/>
        <v>0</v>
      </c>
      <c r="CV25" s="1482">
        <f t="shared" ca="1" si="68"/>
        <v>0</v>
      </c>
      <c r="CW25" s="1482">
        <f t="shared" ca="1" si="68"/>
        <v>0</v>
      </c>
      <c r="CX25" s="1482">
        <f t="shared" ca="1" si="68"/>
        <v>0</v>
      </c>
      <c r="CY25" s="1482">
        <f t="shared" ca="1" si="68"/>
        <v>0</v>
      </c>
      <c r="CZ25" s="1482">
        <f t="shared" ca="1" si="68"/>
        <v>0</v>
      </c>
      <c r="DA25" s="1482">
        <f t="shared" ca="1" si="68"/>
        <v>0</v>
      </c>
      <c r="DB25" s="1482">
        <f t="shared" ca="1" si="68"/>
        <v>0</v>
      </c>
      <c r="DC25" s="1482">
        <f t="shared" ca="1" si="68"/>
        <v>0</v>
      </c>
      <c r="DD25" s="1482">
        <f t="shared" ca="1" si="68"/>
        <v>0</v>
      </c>
      <c r="DE25" s="1482">
        <f t="shared" ca="1" si="68"/>
        <v>0</v>
      </c>
      <c r="DF25" s="1482">
        <f t="shared" ca="1" si="68"/>
        <v>0</v>
      </c>
      <c r="DH25" s="838">
        <f t="shared" ca="1" si="35"/>
        <v>32.587860215743461</v>
      </c>
    </row>
    <row r="26" spans="1:112" s="743" customFormat="1" ht="10.5" hidden="1" customHeight="1" outlineLevel="2">
      <c r="A26" s="1480"/>
      <c r="B26" s="1480"/>
      <c r="C26" s="746" t="s">
        <v>919</v>
      </c>
      <c r="D26" s="523" t="str">
        <f>INDEX(Modules[Module], MATCH($C26, Modules[Code], 0))</f>
        <v>International aviation</v>
      </c>
      <c r="E26" s="1006"/>
      <c r="G26" s="1017">
        <f t="shared" ca="1" si="57"/>
        <v>0</v>
      </c>
      <c r="H26" s="1017">
        <f t="shared" ca="1" si="57"/>
        <v>0</v>
      </c>
      <c r="I26" s="1017">
        <f t="shared" ca="1" si="57"/>
        <v>0</v>
      </c>
      <c r="J26" s="1017">
        <f t="shared" ca="1" si="57"/>
        <v>0</v>
      </c>
      <c r="K26" s="1017">
        <f t="shared" ca="1" si="57"/>
        <v>0</v>
      </c>
      <c r="L26" s="1017">
        <f t="shared" ca="1" si="57"/>
        <v>0</v>
      </c>
      <c r="M26" s="1017">
        <f t="shared" ca="1" si="57"/>
        <v>0</v>
      </c>
      <c r="N26" s="1017">
        <f t="shared" ca="1" si="57"/>
        <v>174.02097069883129</v>
      </c>
      <c r="O26" s="1017">
        <f t="shared" ca="1" si="57"/>
        <v>0</v>
      </c>
      <c r="P26" s="1017">
        <f t="shared" ca="1" si="57"/>
        <v>0</v>
      </c>
      <c r="Q26" s="1019">
        <f t="shared" ref="Q26:Q32" ca="1" si="69">SUM(G26:P26)</f>
        <v>174.02097069883129</v>
      </c>
      <c r="S26" s="1026">
        <f t="shared" ca="1" si="58"/>
        <v>0</v>
      </c>
      <c r="T26" s="1026">
        <f t="shared" ca="1" si="58"/>
        <v>0</v>
      </c>
      <c r="U26" s="1026">
        <f t="shared" ca="1" si="58"/>
        <v>0</v>
      </c>
      <c r="V26" s="1026">
        <f t="shared" ca="1" si="58"/>
        <v>-174.02097069883129</v>
      </c>
      <c r="W26" s="1026">
        <f t="shared" ca="1" si="58"/>
        <v>0</v>
      </c>
      <c r="X26" s="1026">
        <f t="shared" ca="1" si="59"/>
        <v>0</v>
      </c>
      <c r="Y26" s="1026">
        <f t="shared" ca="1" si="59"/>
        <v>0</v>
      </c>
      <c r="Z26" s="1026">
        <f t="shared" ca="1" si="59"/>
        <v>0</v>
      </c>
      <c r="AA26" s="1026">
        <f t="shared" ca="1" si="58"/>
        <v>0</v>
      </c>
      <c r="AB26" s="1026">
        <f t="shared" ca="1" si="58"/>
        <v>0</v>
      </c>
      <c r="AC26" s="1026">
        <f t="shared" ca="1" si="58"/>
        <v>0</v>
      </c>
      <c r="AD26" s="1026">
        <f t="shared" ca="1" si="58"/>
        <v>0</v>
      </c>
      <c r="AE26" s="1026">
        <f t="shared" ca="1" si="58"/>
        <v>0</v>
      </c>
      <c r="AF26" s="1026">
        <f t="shared" ca="1" si="58"/>
        <v>0</v>
      </c>
      <c r="AG26" s="1026">
        <f t="shared" ca="1" si="58"/>
        <v>0</v>
      </c>
      <c r="AH26" s="1026">
        <f t="shared" ca="1" si="58"/>
        <v>0</v>
      </c>
      <c r="AI26" s="1026">
        <f t="shared" ca="1" si="58"/>
        <v>0</v>
      </c>
      <c r="AJ26" s="1026">
        <f t="shared" ca="1" si="58"/>
        <v>0</v>
      </c>
      <c r="AK26" s="1027">
        <f t="shared" ca="1" si="60"/>
        <v>-174.02097069883129</v>
      </c>
      <c r="AM26" s="1038">
        <f t="shared" ca="1" si="61"/>
        <v>0</v>
      </c>
      <c r="AN26" s="1038">
        <f t="shared" ca="1" si="61"/>
        <v>0</v>
      </c>
      <c r="AO26" s="1038">
        <f t="shared" ca="1" si="61"/>
        <v>0</v>
      </c>
      <c r="AP26" s="1038">
        <f t="shared" ca="1" si="61"/>
        <v>0</v>
      </c>
      <c r="AQ26" s="1038">
        <f t="shared" ca="1" si="61"/>
        <v>0</v>
      </c>
      <c r="AR26" s="1038">
        <f t="shared" ca="1" si="61"/>
        <v>0</v>
      </c>
      <c r="AS26" s="1038">
        <f t="shared" ca="1" si="61"/>
        <v>0</v>
      </c>
      <c r="AT26" s="1038">
        <f t="shared" ca="1" si="61"/>
        <v>0</v>
      </c>
      <c r="AU26" s="1038">
        <f t="shared" ca="1" si="61"/>
        <v>0</v>
      </c>
      <c r="AV26" s="1038">
        <f t="shared" ca="1" si="58"/>
        <v>0</v>
      </c>
      <c r="AW26" s="1038">
        <f t="shared" ca="1" si="58"/>
        <v>0</v>
      </c>
      <c r="AX26" s="1038">
        <f t="shared" ca="1" si="58"/>
        <v>0</v>
      </c>
      <c r="AY26" s="1038">
        <f t="shared" ca="1" si="58"/>
        <v>0</v>
      </c>
      <c r="AZ26" s="1038">
        <f t="shared" ca="1" si="58"/>
        <v>0</v>
      </c>
      <c r="BA26" s="1038">
        <f t="shared" ca="1" si="58"/>
        <v>0</v>
      </c>
      <c r="BB26" s="1038">
        <f t="shared" ca="1" si="58"/>
        <v>0</v>
      </c>
      <c r="BC26" s="1038">
        <f t="shared" ca="1" si="58"/>
        <v>0</v>
      </c>
      <c r="BD26" s="1038">
        <f t="shared" ca="1" si="58"/>
        <v>0</v>
      </c>
      <c r="BE26" s="1038">
        <f t="shared" ca="1" si="58"/>
        <v>0</v>
      </c>
      <c r="BF26" s="977">
        <f t="shared" ca="1" si="62"/>
        <v>0</v>
      </c>
      <c r="BH26" s="1032">
        <f t="shared" ca="1" si="63"/>
        <v>0</v>
      </c>
      <c r="BI26" s="1032">
        <f t="shared" ca="1" si="63"/>
        <v>0</v>
      </c>
      <c r="BJ26" s="1034">
        <f t="shared" ca="1" si="64"/>
        <v>0</v>
      </c>
      <c r="BL26" s="524">
        <f t="shared" ca="1" si="9"/>
        <v>0</v>
      </c>
      <c r="BM26" s="524"/>
      <c r="BN26" s="840"/>
      <c r="BO26" s="1481">
        <f t="shared" ca="1" si="65"/>
        <v>0</v>
      </c>
      <c r="BP26" s="1482">
        <f t="shared" ca="1" si="65"/>
        <v>0</v>
      </c>
      <c r="BQ26" s="1482">
        <f t="shared" ca="1" si="65"/>
        <v>0</v>
      </c>
      <c r="BR26" s="1482">
        <f t="shared" ca="1" si="65"/>
        <v>0</v>
      </c>
      <c r="BS26" s="1482">
        <f t="shared" ca="1" si="65"/>
        <v>0</v>
      </c>
      <c r="BT26" s="1482">
        <f t="shared" ca="1" si="65"/>
        <v>0</v>
      </c>
      <c r="BU26" s="1482">
        <f t="shared" ca="1" si="65"/>
        <v>0</v>
      </c>
      <c r="BV26" s="1482">
        <f t="shared" ca="1" si="65"/>
        <v>0</v>
      </c>
      <c r="BW26" s="1482">
        <f t="shared" ca="1" si="65"/>
        <v>0</v>
      </c>
      <c r="BX26" s="1482">
        <f t="shared" ca="1" si="65"/>
        <v>0</v>
      </c>
      <c r="BY26" s="1482">
        <f t="shared" ca="1" si="66"/>
        <v>0</v>
      </c>
      <c r="BZ26" s="1482">
        <f t="shared" ca="1" si="66"/>
        <v>0</v>
      </c>
      <c r="CA26" s="1482">
        <f t="shared" ca="1" si="66"/>
        <v>0</v>
      </c>
      <c r="CB26" s="1482">
        <f t="shared" ca="1" si="66"/>
        <v>0</v>
      </c>
      <c r="CC26" s="1482">
        <f t="shared" ca="1" si="66"/>
        <v>0</v>
      </c>
      <c r="CD26" s="1482">
        <f t="shared" ca="1" si="66"/>
        <v>0</v>
      </c>
      <c r="CE26" s="1482">
        <f t="shared" ca="1" si="66"/>
        <v>0</v>
      </c>
      <c r="CF26" s="1482">
        <f t="shared" ca="1" si="66"/>
        <v>0</v>
      </c>
      <c r="CG26" s="1482">
        <f t="shared" ca="1" si="66"/>
        <v>0</v>
      </c>
      <c r="CH26" s="1482">
        <f t="shared" ca="1" si="66"/>
        <v>0</v>
      </c>
      <c r="CI26" s="1482">
        <f t="shared" ca="1" si="67"/>
        <v>0</v>
      </c>
      <c r="CJ26" s="1482">
        <f t="shared" ca="1" si="67"/>
        <v>0</v>
      </c>
      <c r="CK26" s="1482">
        <f t="shared" ca="1" si="67"/>
        <v>0</v>
      </c>
      <c r="CL26" s="1482">
        <f t="shared" ca="1" si="67"/>
        <v>0</v>
      </c>
      <c r="CM26" s="1482">
        <f t="shared" ca="1" si="67"/>
        <v>0</v>
      </c>
      <c r="CN26" s="1482">
        <f t="shared" ca="1" si="67"/>
        <v>0</v>
      </c>
      <c r="CO26" s="1482">
        <f t="shared" ca="1" si="67"/>
        <v>0</v>
      </c>
      <c r="CP26" s="1482">
        <f t="shared" ca="1" si="67"/>
        <v>0</v>
      </c>
      <c r="CQ26" s="1482">
        <f t="shared" ca="1" si="67"/>
        <v>0</v>
      </c>
      <c r="CR26" s="1482">
        <f t="shared" ca="1" si="67"/>
        <v>0</v>
      </c>
      <c r="CS26" s="1482">
        <f t="shared" ca="1" si="68"/>
        <v>0</v>
      </c>
      <c r="CT26" s="1482">
        <f t="shared" ca="1" si="68"/>
        <v>0</v>
      </c>
      <c r="CU26" s="1482">
        <f t="shared" ca="1" si="68"/>
        <v>43.505242674707823</v>
      </c>
      <c r="CV26" s="1482">
        <f t="shared" ca="1" si="68"/>
        <v>5.4163855382138699E-2</v>
      </c>
      <c r="CW26" s="1482">
        <f t="shared" ca="1" si="68"/>
        <v>0.7827484619032038</v>
      </c>
      <c r="CX26" s="1482">
        <f t="shared" ca="1" si="68"/>
        <v>0</v>
      </c>
      <c r="CY26" s="1482">
        <f t="shared" ca="1" si="68"/>
        <v>0</v>
      </c>
      <c r="CZ26" s="1482">
        <f t="shared" ca="1" si="68"/>
        <v>0</v>
      </c>
      <c r="DA26" s="1482">
        <f t="shared" ca="1" si="68"/>
        <v>0</v>
      </c>
      <c r="DB26" s="1482">
        <f t="shared" ca="1" si="68"/>
        <v>0</v>
      </c>
      <c r="DC26" s="1482">
        <f t="shared" ca="1" si="68"/>
        <v>0</v>
      </c>
      <c r="DD26" s="1482">
        <f t="shared" ca="1" si="68"/>
        <v>0</v>
      </c>
      <c r="DE26" s="1482">
        <f t="shared" ca="1" si="68"/>
        <v>0</v>
      </c>
      <c r="DF26" s="1482">
        <f t="shared" ca="1" si="68"/>
        <v>0</v>
      </c>
      <c r="DH26" s="838">
        <f t="shared" ca="1" si="35"/>
        <v>44.342154991993162</v>
      </c>
    </row>
    <row r="27" spans="1:112" s="743" customFormat="1" ht="10.5" hidden="1" customHeight="1" outlineLevel="2">
      <c r="A27" s="1483"/>
      <c r="B27" s="1483"/>
      <c r="C27" s="1009" t="s">
        <v>954</v>
      </c>
      <c r="D27" s="1005" t="str">
        <f>INDEX(Modules[Module], MATCH($C27, Modules[Code], 0))</f>
        <v>Domestic aviation [UNUSED - see XII.a]</v>
      </c>
      <c r="E27" s="1006"/>
      <c r="G27" s="1018">
        <f t="shared" ca="1" si="57"/>
        <v>0</v>
      </c>
      <c r="H27" s="1018">
        <f t="shared" ca="1" si="57"/>
        <v>0</v>
      </c>
      <c r="I27" s="1018">
        <f t="shared" ca="1" si="57"/>
        <v>0</v>
      </c>
      <c r="J27" s="1018">
        <f t="shared" ca="1" si="57"/>
        <v>0</v>
      </c>
      <c r="K27" s="1018">
        <f t="shared" ca="1" si="57"/>
        <v>0</v>
      </c>
      <c r="L27" s="1018">
        <f t="shared" ca="1" si="57"/>
        <v>0</v>
      </c>
      <c r="M27" s="1018">
        <f t="shared" ca="1" si="57"/>
        <v>0</v>
      </c>
      <c r="N27" s="1018">
        <f t="shared" ca="1" si="57"/>
        <v>0</v>
      </c>
      <c r="O27" s="1018">
        <f t="shared" ca="1" si="57"/>
        <v>0</v>
      </c>
      <c r="P27" s="1018">
        <f t="shared" ca="1" si="57"/>
        <v>0</v>
      </c>
      <c r="Q27" s="1024">
        <f t="shared" ca="1" si="69"/>
        <v>0</v>
      </c>
      <c r="S27" s="1028">
        <f t="shared" ca="1" si="58"/>
        <v>0</v>
      </c>
      <c r="T27" s="1028">
        <f t="shared" ca="1" si="58"/>
        <v>0</v>
      </c>
      <c r="U27" s="1028">
        <f t="shared" ca="1" si="58"/>
        <v>0</v>
      </c>
      <c r="V27" s="1028">
        <f t="shared" ca="1" si="58"/>
        <v>0</v>
      </c>
      <c r="W27" s="1028">
        <f t="shared" ca="1" si="58"/>
        <v>0</v>
      </c>
      <c r="X27" s="1028">
        <f t="shared" ca="1" si="59"/>
        <v>0</v>
      </c>
      <c r="Y27" s="1028">
        <f t="shared" ca="1" si="59"/>
        <v>0</v>
      </c>
      <c r="Z27" s="1028">
        <f t="shared" ca="1" si="59"/>
        <v>0</v>
      </c>
      <c r="AA27" s="1028">
        <f t="shared" ca="1" si="58"/>
        <v>0</v>
      </c>
      <c r="AB27" s="1028">
        <f t="shared" ca="1" si="58"/>
        <v>0</v>
      </c>
      <c r="AC27" s="1028">
        <f t="shared" ca="1" si="58"/>
        <v>0</v>
      </c>
      <c r="AD27" s="1028">
        <f t="shared" ca="1" si="58"/>
        <v>0</v>
      </c>
      <c r="AE27" s="1028">
        <f t="shared" ca="1" si="58"/>
        <v>0</v>
      </c>
      <c r="AF27" s="1028">
        <f t="shared" ca="1" si="58"/>
        <v>0</v>
      </c>
      <c r="AG27" s="1028">
        <f t="shared" ca="1" si="58"/>
        <v>0</v>
      </c>
      <c r="AH27" s="1028">
        <f t="shared" ca="1" si="58"/>
        <v>0</v>
      </c>
      <c r="AI27" s="1028">
        <f t="shared" ca="1" si="58"/>
        <v>0</v>
      </c>
      <c r="AJ27" s="1028">
        <f t="shared" ca="1" si="58"/>
        <v>0</v>
      </c>
      <c r="AK27" s="1029">
        <f t="shared" ca="1" si="60"/>
        <v>0</v>
      </c>
      <c r="AM27" s="1039">
        <f t="shared" ca="1" si="61"/>
        <v>0</v>
      </c>
      <c r="AN27" s="1039">
        <f t="shared" ca="1" si="61"/>
        <v>0</v>
      </c>
      <c r="AO27" s="1039">
        <f t="shared" ca="1" si="61"/>
        <v>0</v>
      </c>
      <c r="AP27" s="1039">
        <f t="shared" ca="1" si="61"/>
        <v>0</v>
      </c>
      <c r="AQ27" s="1039">
        <f t="shared" ca="1" si="61"/>
        <v>0</v>
      </c>
      <c r="AR27" s="1039">
        <f t="shared" ca="1" si="61"/>
        <v>0</v>
      </c>
      <c r="AS27" s="1039">
        <f t="shared" ca="1" si="61"/>
        <v>0</v>
      </c>
      <c r="AT27" s="1039">
        <f t="shared" ca="1" si="61"/>
        <v>0</v>
      </c>
      <c r="AU27" s="1039">
        <f t="shared" ca="1" si="61"/>
        <v>0</v>
      </c>
      <c r="AV27" s="1039">
        <f t="shared" ca="1" si="58"/>
        <v>0</v>
      </c>
      <c r="AW27" s="1039">
        <f t="shared" ca="1" si="58"/>
        <v>0</v>
      </c>
      <c r="AX27" s="1039">
        <f t="shared" ca="1" si="58"/>
        <v>0</v>
      </c>
      <c r="AY27" s="1039">
        <f t="shared" ca="1" si="58"/>
        <v>0</v>
      </c>
      <c r="AZ27" s="1039">
        <f t="shared" ca="1" si="58"/>
        <v>0</v>
      </c>
      <c r="BA27" s="1039">
        <f t="shared" ca="1" si="58"/>
        <v>0</v>
      </c>
      <c r="BB27" s="1039">
        <f t="shared" ca="1" si="58"/>
        <v>0</v>
      </c>
      <c r="BC27" s="1039">
        <f t="shared" ca="1" si="58"/>
        <v>0</v>
      </c>
      <c r="BD27" s="1039">
        <f t="shared" ca="1" si="58"/>
        <v>0</v>
      </c>
      <c r="BE27" s="1039">
        <f t="shared" ca="1" si="58"/>
        <v>0</v>
      </c>
      <c r="BF27" s="1008">
        <f t="shared" ca="1" si="62"/>
        <v>0</v>
      </c>
      <c r="BH27" s="1033">
        <f t="shared" ca="1" si="63"/>
        <v>0</v>
      </c>
      <c r="BI27" s="1033">
        <f t="shared" ca="1" si="63"/>
        <v>0</v>
      </c>
      <c r="BJ27" s="1044">
        <f t="shared" ca="1" si="64"/>
        <v>0</v>
      </c>
      <c r="BL27" s="1007">
        <f t="shared" ca="1" si="9"/>
        <v>0</v>
      </c>
      <c r="BM27" s="1007"/>
      <c r="BN27" s="840"/>
      <c r="BO27" s="1481">
        <f t="shared" ca="1" si="65"/>
        <v>0</v>
      </c>
      <c r="BP27" s="1482">
        <f t="shared" ca="1" si="65"/>
        <v>0</v>
      </c>
      <c r="BQ27" s="1482">
        <f t="shared" ca="1" si="65"/>
        <v>0</v>
      </c>
      <c r="BR27" s="1482">
        <f t="shared" ca="1" si="65"/>
        <v>0</v>
      </c>
      <c r="BS27" s="1482">
        <f t="shared" ca="1" si="65"/>
        <v>0</v>
      </c>
      <c r="BT27" s="1482">
        <f t="shared" ca="1" si="65"/>
        <v>0</v>
      </c>
      <c r="BU27" s="1482">
        <f t="shared" ca="1" si="65"/>
        <v>0</v>
      </c>
      <c r="BV27" s="1482">
        <f t="shared" ca="1" si="65"/>
        <v>0</v>
      </c>
      <c r="BW27" s="1482">
        <f t="shared" ca="1" si="65"/>
        <v>0</v>
      </c>
      <c r="BX27" s="1482">
        <f t="shared" ca="1" si="65"/>
        <v>0</v>
      </c>
      <c r="BY27" s="1482">
        <f t="shared" ca="1" si="66"/>
        <v>0</v>
      </c>
      <c r="BZ27" s="1482">
        <f t="shared" ca="1" si="66"/>
        <v>0</v>
      </c>
      <c r="CA27" s="1482">
        <f t="shared" ca="1" si="66"/>
        <v>0</v>
      </c>
      <c r="CB27" s="1482">
        <f t="shared" ca="1" si="66"/>
        <v>0</v>
      </c>
      <c r="CC27" s="1482">
        <f t="shared" ca="1" si="66"/>
        <v>0</v>
      </c>
      <c r="CD27" s="1482">
        <f t="shared" ca="1" si="66"/>
        <v>0</v>
      </c>
      <c r="CE27" s="1482">
        <f t="shared" ca="1" si="66"/>
        <v>0</v>
      </c>
      <c r="CF27" s="1482">
        <f t="shared" ca="1" si="66"/>
        <v>0</v>
      </c>
      <c r="CG27" s="1482">
        <f t="shared" ca="1" si="66"/>
        <v>0</v>
      </c>
      <c r="CH27" s="1482">
        <f t="shared" ca="1" si="66"/>
        <v>0</v>
      </c>
      <c r="CI27" s="1482">
        <f t="shared" ca="1" si="67"/>
        <v>0</v>
      </c>
      <c r="CJ27" s="1482">
        <f t="shared" ca="1" si="67"/>
        <v>0</v>
      </c>
      <c r="CK27" s="1482">
        <f t="shared" ca="1" si="67"/>
        <v>0</v>
      </c>
      <c r="CL27" s="1482">
        <f t="shared" ca="1" si="67"/>
        <v>0</v>
      </c>
      <c r="CM27" s="1482">
        <f t="shared" ca="1" si="67"/>
        <v>0</v>
      </c>
      <c r="CN27" s="1482">
        <f t="shared" ca="1" si="67"/>
        <v>0</v>
      </c>
      <c r="CO27" s="1482">
        <f t="shared" ca="1" si="67"/>
        <v>0</v>
      </c>
      <c r="CP27" s="1482">
        <f t="shared" ca="1" si="67"/>
        <v>0</v>
      </c>
      <c r="CQ27" s="1482">
        <f t="shared" ca="1" si="67"/>
        <v>0</v>
      </c>
      <c r="CR27" s="1482">
        <f t="shared" ca="1" si="67"/>
        <v>0</v>
      </c>
      <c r="CS27" s="1482">
        <f t="shared" ca="1" si="68"/>
        <v>0</v>
      </c>
      <c r="CT27" s="1482">
        <f t="shared" ca="1" si="68"/>
        <v>0</v>
      </c>
      <c r="CU27" s="1482">
        <f t="shared" ca="1" si="68"/>
        <v>0</v>
      </c>
      <c r="CV27" s="1482">
        <f t="shared" ca="1" si="68"/>
        <v>0</v>
      </c>
      <c r="CW27" s="1482">
        <f t="shared" ca="1" si="68"/>
        <v>0</v>
      </c>
      <c r="CX27" s="1482">
        <f t="shared" ca="1" si="68"/>
        <v>0</v>
      </c>
      <c r="CY27" s="1482">
        <f t="shared" ca="1" si="68"/>
        <v>0</v>
      </c>
      <c r="CZ27" s="1482">
        <f t="shared" ca="1" si="68"/>
        <v>0</v>
      </c>
      <c r="DA27" s="1482">
        <f t="shared" ca="1" si="68"/>
        <v>0</v>
      </c>
      <c r="DB27" s="1482">
        <f t="shared" ca="1" si="68"/>
        <v>0</v>
      </c>
      <c r="DC27" s="1482">
        <f t="shared" ca="1" si="68"/>
        <v>0</v>
      </c>
      <c r="DD27" s="1482">
        <f t="shared" ca="1" si="68"/>
        <v>0</v>
      </c>
      <c r="DE27" s="1482">
        <f t="shared" ca="1" si="68"/>
        <v>0</v>
      </c>
      <c r="DF27" s="1482">
        <f t="shared" ca="1" si="68"/>
        <v>0</v>
      </c>
      <c r="DH27" s="838">
        <f t="shared" ca="1" si="35"/>
        <v>0</v>
      </c>
    </row>
    <row r="28" spans="1:112" s="743" customFormat="1" ht="10.5" hidden="1" customHeight="1" outlineLevel="1">
      <c r="A28" s="1484"/>
      <c r="B28" s="1484"/>
      <c r="C28" s="746"/>
      <c r="D28" s="523" t="s">
        <v>960</v>
      </c>
      <c r="E28" s="1006"/>
      <c r="G28" s="1019">
        <f ca="1">SUM(G26:G27)</f>
        <v>0</v>
      </c>
      <c r="H28" s="1019">
        <f t="shared" ref="H28:P28" ca="1" si="70">SUM(H26:H27)</f>
        <v>0</v>
      </c>
      <c r="I28" s="1019">
        <f t="shared" ca="1" si="70"/>
        <v>0</v>
      </c>
      <c r="J28" s="1019">
        <f t="shared" ca="1" si="70"/>
        <v>0</v>
      </c>
      <c r="K28" s="1019">
        <f t="shared" ca="1" si="70"/>
        <v>0</v>
      </c>
      <c r="L28" s="1019">
        <f t="shared" ca="1" si="70"/>
        <v>0</v>
      </c>
      <c r="M28" s="1019">
        <f t="shared" ca="1" si="70"/>
        <v>0</v>
      </c>
      <c r="N28" s="1019">
        <f t="shared" ca="1" si="70"/>
        <v>174.02097069883129</v>
      </c>
      <c r="O28" s="1019">
        <f t="shared" ca="1" si="70"/>
        <v>0</v>
      </c>
      <c r="P28" s="1019">
        <f t="shared" ca="1" si="70"/>
        <v>0</v>
      </c>
      <c r="Q28" s="1019">
        <f t="shared" ca="1" si="69"/>
        <v>174.02097069883129</v>
      </c>
      <c r="S28" s="1027">
        <f t="shared" ref="S28:Z28" ca="1" si="71">SUM(S26:S27)</f>
        <v>0</v>
      </c>
      <c r="T28" s="1027">
        <f t="shared" ca="1" si="71"/>
        <v>0</v>
      </c>
      <c r="U28" s="1027">
        <f t="shared" ca="1" si="71"/>
        <v>0</v>
      </c>
      <c r="V28" s="1027">
        <f t="shared" ca="1" si="71"/>
        <v>-174.02097069883129</v>
      </c>
      <c r="W28" s="1027">
        <f t="shared" ca="1" si="71"/>
        <v>0</v>
      </c>
      <c r="X28" s="1027">
        <f t="shared" ca="1" si="71"/>
        <v>0</v>
      </c>
      <c r="Y28" s="1027">
        <f t="shared" ca="1" si="71"/>
        <v>0</v>
      </c>
      <c r="Z28" s="1027">
        <f t="shared" ca="1" si="71"/>
        <v>0</v>
      </c>
      <c r="AA28" s="1027">
        <f t="shared" ref="AA28:AJ28" ca="1" si="72">SUM(AA26:AA27)</f>
        <v>0</v>
      </c>
      <c r="AB28" s="1027">
        <f t="shared" ca="1" si="72"/>
        <v>0</v>
      </c>
      <c r="AC28" s="1027">
        <f t="shared" ca="1" si="72"/>
        <v>0</v>
      </c>
      <c r="AD28" s="1027">
        <f ca="1">SUM(AD26:AD27)</f>
        <v>0</v>
      </c>
      <c r="AE28" s="1027">
        <f ca="1">SUM(AE26:AE27)</f>
        <v>0</v>
      </c>
      <c r="AF28" s="1027">
        <f t="shared" ca="1" si="72"/>
        <v>0</v>
      </c>
      <c r="AG28" s="1027">
        <f ca="1">SUM(AG26:AG27)</f>
        <v>0</v>
      </c>
      <c r="AH28" s="1027">
        <f ca="1">SUM(AH26:AH27)</f>
        <v>0</v>
      </c>
      <c r="AI28" s="1027">
        <f ca="1">SUM(AI26:AI27)</f>
        <v>0</v>
      </c>
      <c r="AJ28" s="1027">
        <f t="shared" ca="1" si="72"/>
        <v>0</v>
      </c>
      <c r="AK28" s="1027">
        <f t="shared" ca="1" si="60"/>
        <v>-174.02097069883129</v>
      </c>
      <c r="AM28" s="1040">
        <f t="shared" ref="AM28:BE28" ca="1" si="73">SUM(AM26:AM27)</f>
        <v>0</v>
      </c>
      <c r="AN28" s="1040">
        <f t="shared" ca="1" si="73"/>
        <v>0</v>
      </c>
      <c r="AO28" s="1040">
        <f t="shared" ca="1" si="73"/>
        <v>0</v>
      </c>
      <c r="AP28" s="1040">
        <f t="shared" ca="1" si="73"/>
        <v>0</v>
      </c>
      <c r="AQ28" s="1040">
        <f t="shared" ca="1" si="73"/>
        <v>0</v>
      </c>
      <c r="AR28" s="1040">
        <f t="shared" ca="1" si="73"/>
        <v>0</v>
      </c>
      <c r="AS28" s="1040">
        <f t="shared" ca="1" si="73"/>
        <v>0</v>
      </c>
      <c r="AT28" s="1040">
        <f t="shared" ca="1" si="73"/>
        <v>0</v>
      </c>
      <c r="AU28" s="1040">
        <f t="shared" ca="1" si="73"/>
        <v>0</v>
      </c>
      <c r="AV28" s="1040">
        <f t="shared" ca="1" si="73"/>
        <v>0</v>
      </c>
      <c r="AW28" s="1040">
        <f t="shared" ca="1" si="73"/>
        <v>0</v>
      </c>
      <c r="AX28" s="1040">
        <f t="shared" ca="1" si="73"/>
        <v>0</v>
      </c>
      <c r="AY28" s="1040">
        <f t="shared" ca="1" si="73"/>
        <v>0</v>
      </c>
      <c r="AZ28" s="1040">
        <f t="shared" ca="1" si="73"/>
        <v>0</v>
      </c>
      <c r="BA28" s="1040">
        <f t="shared" ca="1" si="73"/>
        <v>0</v>
      </c>
      <c r="BB28" s="1040">
        <f t="shared" ca="1" si="73"/>
        <v>0</v>
      </c>
      <c r="BC28" s="1040">
        <f t="shared" ca="1" si="73"/>
        <v>0</v>
      </c>
      <c r="BD28" s="1040">
        <f t="shared" ca="1" si="73"/>
        <v>0</v>
      </c>
      <c r="BE28" s="1040">
        <f t="shared" ca="1" si="73"/>
        <v>0</v>
      </c>
      <c r="BF28" s="977">
        <f t="shared" ca="1" si="62"/>
        <v>0</v>
      </c>
      <c r="BH28" s="1034">
        <f ca="1">SUM(BH26:BH27)</f>
        <v>0</v>
      </c>
      <c r="BI28" s="1034">
        <f ca="1">SUM(BI26:BI27)</f>
        <v>0</v>
      </c>
      <c r="BJ28" s="1034">
        <f t="shared" ca="1" si="64"/>
        <v>0</v>
      </c>
      <c r="BL28" s="524">
        <f t="shared" ca="1" si="9"/>
        <v>0</v>
      </c>
      <c r="BM28" s="524"/>
      <c r="BN28" s="840"/>
      <c r="BO28" s="1481">
        <f t="shared" ref="BO28:DF28" ca="1" si="74">SUM(BO26:BO27)</f>
        <v>0</v>
      </c>
      <c r="BP28" s="1482">
        <f t="shared" ca="1" si="74"/>
        <v>0</v>
      </c>
      <c r="BQ28" s="1482">
        <f t="shared" ca="1" si="74"/>
        <v>0</v>
      </c>
      <c r="BR28" s="1482">
        <f t="shared" ca="1" si="74"/>
        <v>0</v>
      </c>
      <c r="BS28" s="1482">
        <f t="shared" ca="1" si="74"/>
        <v>0</v>
      </c>
      <c r="BT28" s="1482">
        <f t="shared" ca="1" si="74"/>
        <v>0</v>
      </c>
      <c r="BU28" s="1482">
        <f t="shared" ca="1" si="74"/>
        <v>0</v>
      </c>
      <c r="BV28" s="1482">
        <f t="shared" ca="1" si="74"/>
        <v>0</v>
      </c>
      <c r="BW28" s="1482">
        <f t="shared" ca="1" si="74"/>
        <v>0</v>
      </c>
      <c r="BX28" s="1482">
        <f t="shared" ca="1" si="74"/>
        <v>0</v>
      </c>
      <c r="BY28" s="1482">
        <f t="shared" ca="1" si="74"/>
        <v>0</v>
      </c>
      <c r="BZ28" s="1482">
        <f t="shared" ca="1" si="74"/>
        <v>0</v>
      </c>
      <c r="CA28" s="1482">
        <f t="shared" ca="1" si="74"/>
        <v>0</v>
      </c>
      <c r="CB28" s="1482">
        <f t="shared" ca="1" si="74"/>
        <v>0</v>
      </c>
      <c r="CC28" s="1482">
        <f t="shared" ca="1" si="74"/>
        <v>0</v>
      </c>
      <c r="CD28" s="1482">
        <f t="shared" ca="1" si="74"/>
        <v>0</v>
      </c>
      <c r="CE28" s="1482">
        <f t="shared" ca="1" si="74"/>
        <v>0</v>
      </c>
      <c r="CF28" s="1482">
        <f t="shared" ca="1" si="74"/>
        <v>0</v>
      </c>
      <c r="CG28" s="1482">
        <f t="shared" ca="1" si="74"/>
        <v>0</v>
      </c>
      <c r="CH28" s="1482">
        <f t="shared" ca="1" si="74"/>
        <v>0</v>
      </c>
      <c r="CI28" s="1482">
        <f t="shared" ca="1" si="74"/>
        <v>0</v>
      </c>
      <c r="CJ28" s="1482">
        <f t="shared" ca="1" si="74"/>
        <v>0</v>
      </c>
      <c r="CK28" s="1482">
        <f t="shared" ca="1" si="74"/>
        <v>0</v>
      </c>
      <c r="CL28" s="1482">
        <f t="shared" ca="1" si="74"/>
        <v>0</v>
      </c>
      <c r="CM28" s="1482">
        <f t="shared" ca="1" si="74"/>
        <v>0</v>
      </c>
      <c r="CN28" s="1482">
        <f t="shared" ca="1" si="74"/>
        <v>0</v>
      </c>
      <c r="CO28" s="1482">
        <f t="shared" ca="1" si="74"/>
        <v>0</v>
      </c>
      <c r="CP28" s="1482">
        <f t="shared" ca="1" si="74"/>
        <v>0</v>
      </c>
      <c r="CQ28" s="1482">
        <f t="shared" ca="1" si="74"/>
        <v>0</v>
      </c>
      <c r="CR28" s="1482">
        <f t="shared" ca="1" si="74"/>
        <v>0</v>
      </c>
      <c r="CS28" s="1482">
        <f t="shared" ca="1" si="74"/>
        <v>0</v>
      </c>
      <c r="CT28" s="1482">
        <f t="shared" ca="1" si="74"/>
        <v>0</v>
      </c>
      <c r="CU28" s="1482">
        <f t="shared" ca="1" si="74"/>
        <v>43.505242674707823</v>
      </c>
      <c r="CV28" s="1482">
        <f t="shared" ca="1" si="74"/>
        <v>5.4163855382138699E-2</v>
      </c>
      <c r="CW28" s="1482">
        <f t="shared" ca="1" si="74"/>
        <v>0.7827484619032038</v>
      </c>
      <c r="CX28" s="1482">
        <f t="shared" ca="1" si="74"/>
        <v>0</v>
      </c>
      <c r="CY28" s="1482">
        <f t="shared" ca="1" si="74"/>
        <v>0</v>
      </c>
      <c r="CZ28" s="1482">
        <f t="shared" ca="1" si="74"/>
        <v>0</v>
      </c>
      <c r="DA28" s="1482">
        <f t="shared" ca="1" si="74"/>
        <v>0</v>
      </c>
      <c r="DB28" s="1482">
        <f t="shared" ca="1" si="74"/>
        <v>0</v>
      </c>
      <c r="DC28" s="1482">
        <f t="shared" ca="1" si="74"/>
        <v>0</v>
      </c>
      <c r="DD28" s="1482">
        <f t="shared" ca="1" si="74"/>
        <v>0</v>
      </c>
      <c r="DE28" s="1482">
        <f t="shared" ca="1" si="74"/>
        <v>0</v>
      </c>
      <c r="DF28" s="1482">
        <f t="shared" ca="1" si="74"/>
        <v>0</v>
      </c>
      <c r="DH28" s="838">
        <f t="shared" ca="1" si="35"/>
        <v>44.342154991993162</v>
      </c>
    </row>
    <row r="29" spans="1:112" s="743" customFormat="1" ht="12.75" hidden="1" customHeight="1" outlineLevel="2">
      <c r="A29" s="1480"/>
      <c r="B29" s="1480"/>
      <c r="C29" s="746" t="s">
        <v>957</v>
      </c>
      <c r="D29" s="523" t="str">
        <f>INDEX(Modules[Module], MATCH($C29, Modules[Code], 0))</f>
        <v>International shipping (maritime bunkers)</v>
      </c>
      <c r="E29" s="1006"/>
      <c r="G29" s="1017">
        <f t="shared" ref="G29:P30" ca="1" si="75">IFERROR(INDEX(INDIRECT($C29&amp;".Outputs["&amp;this.Year&amp;"]"), MATCH(G$5, INDIRECT($C29&amp;".Outputs[Vector]"), 0)), 0)</f>
        <v>0</v>
      </c>
      <c r="H29" s="1017">
        <f t="shared" ca="1" si="75"/>
        <v>0</v>
      </c>
      <c r="I29" s="1017">
        <f t="shared" ca="1" si="75"/>
        <v>0</v>
      </c>
      <c r="J29" s="1017">
        <f t="shared" ca="1" si="75"/>
        <v>0</v>
      </c>
      <c r="K29" s="1017">
        <f t="shared" ca="1" si="75"/>
        <v>0</v>
      </c>
      <c r="L29" s="1017">
        <f t="shared" ca="1" si="75"/>
        <v>0</v>
      </c>
      <c r="M29" s="1017">
        <f t="shared" ca="1" si="75"/>
        <v>0</v>
      </c>
      <c r="N29" s="1017">
        <f t="shared" ca="1" si="75"/>
        <v>0</v>
      </c>
      <c r="O29" s="1017">
        <f t="shared" ca="1" si="75"/>
        <v>46.676563829064939</v>
      </c>
      <c r="P29" s="1017">
        <f t="shared" ca="1" si="75"/>
        <v>0</v>
      </c>
      <c r="Q29" s="1019">
        <f t="shared" ca="1" si="69"/>
        <v>46.676563829064939</v>
      </c>
      <c r="S29" s="1026">
        <f t="shared" ca="1" si="58"/>
        <v>0</v>
      </c>
      <c r="T29" s="1026">
        <f t="shared" ca="1" si="58"/>
        <v>0</v>
      </c>
      <c r="U29" s="1026">
        <f t="shared" ca="1" si="58"/>
        <v>0</v>
      </c>
      <c r="V29" s="1026">
        <f t="shared" ca="1" si="58"/>
        <v>-46.676563829064939</v>
      </c>
      <c r="W29" s="1026">
        <f t="shared" ca="1" si="58"/>
        <v>0</v>
      </c>
      <c r="X29" s="1026">
        <f t="shared" ref="X29:Z30" ca="1" si="76">IFERROR(INDEX(INDIRECT($C29&amp;".Outputs["&amp;this.Year&amp;"]"), MATCH(X$5, INDIRECT($C29&amp;".Outputs[Vector]"), 0)), 0)</f>
        <v>0</v>
      </c>
      <c r="Y29" s="1026">
        <f t="shared" ca="1" si="76"/>
        <v>0</v>
      </c>
      <c r="Z29" s="1026">
        <f t="shared" ca="1" si="76"/>
        <v>0</v>
      </c>
      <c r="AA29" s="1026">
        <f t="shared" ca="1" si="58"/>
        <v>0</v>
      </c>
      <c r="AB29" s="1026">
        <f t="shared" ca="1" si="58"/>
        <v>0</v>
      </c>
      <c r="AC29" s="1026">
        <f t="shared" ca="1" si="58"/>
        <v>0</v>
      </c>
      <c r="AD29" s="1026">
        <f t="shared" ca="1" si="58"/>
        <v>0</v>
      </c>
      <c r="AE29" s="1026">
        <f t="shared" ca="1" si="58"/>
        <v>0</v>
      </c>
      <c r="AF29" s="1026">
        <f t="shared" ca="1" si="58"/>
        <v>0</v>
      </c>
      <c r="AG29" s="1026">
        <f t="shared" ca="1" si="58"/>
        <v>0</v>
      </c>
      <c r="AH29" s="1026">
        <f t="shared" ca="1" si="58"/>
        <v>0</v>
      </c>
      <c r="AI29" s="1026">
        <f t="shared" ca="1" si="58"/>
        <v>0</v>
      </c>
      <c r="AJ29" s="1026">
        <f t="shared" ca="1" si="58"/>
        <v>0</v>
      </c>
      <c r="AK29" s="1027">
        <f t="shared" ca="1" si="60"/>
        <v>-46.676563829064939</v>
      </c>
      <c r="AM29" s="1038">
        <f t="shared" ref="AM29:AU30" ca="1" si="77">IFERROR(INDEX(INDIRECT($C29&amp;".Outputs["&amp;this.Year&amp;"]"), MATCH(AM$5, INDIRECT($C29&amp;".Outputs[Vector]"), 0)), 0)</f>
        <v>0</v>
      </c>
      <c r="AN29" s="1038">
        <f t="shared" ca="1" si="77"/>
        <v>0</v>
      </c>
      <c r="AO29" s="1038">
        <f t="shared" ca="1" si="77"/>
        <v>0</v>
      </c>
      <c r="AP29" s="1038">
        <f t="shared" ca="1" si="77"/>
        <v>0</v>
      </c>
      <c r="AQ29" s="1038">
        <f t="shared" ca="1" si="77"/>
        <v>0</v>
      </c>
      <c r="AR29" s="1038">
        <f t="shared" ca="1" si="77"/>
        <v>0</v>
      </c>
      <c r="AS29" s="1038">
        <f t="shared" ca="1" si="77"/>
        <v>0</v>
      </c>
      <c r="AT29" s="1038">
        <f t="shared" ca="1" si="77"/>
        <v>0</v>
      </c>
      <c r="AU29" s="1038">
        <f t="shared" ca="1" si="77"/>
        <v>0</v>
      </c>
      <c r="AV29" s="1038">
        <f t="shared" ca="1" si="58"/>
        <v>0</v>
      </c>
      <c r="AW29" s="1038">
        <f t="shared" ca="1" si="58"/>
        <v>0</v>
      </c>
      <c r="AX29" s="1038">
        <f t="shared" ca="1" si="58"/>
        <v>0</v>
      </c>
      <c r="AY29" s="1038">
        <f t="shared" ca="1" si="58"/>
        <v>0</v>
      </c>
      <c r="AZ29" s="1038">
        <f t="shared" ca="1" si="58"/>
        <v>0</v>
      </c>
      <c r="BA29" s="1038">
        <f t="shared" ca="1" si="58"/>
        <v>0</v>
      </c>
      <c r="BB29" s="1038">
        <f t="shared" ca="1" si="58"/>
        <v>0</v>
      </c>
      <c r="BC29" s="1038">
        <f t="shared" ca="1" si="58"/>
        <v>0</v>
      </c>
      <c r="BD29" s="1038">
        <f t="shared" ca="1" si="58"/>
        <v>0</v>
      </c>
      <c r="BE29" s="1038">
        <f t="shared" ca="1" si="58"/>
        <v>0</v>
      </c>
      <c r="BF29" s="979">
        <f t="shared" ca="1" si="62"/>
        <v>0</v>
      </c>
      <c r="BH29" s="1032">
        <f t="shared" ca="1" si="63"/>
        <v>0</v>
      </c>
      <c r="BI29" s="1032">
        <f t="shared" ca="1" si="63"/>
        <v>0</v>
      </c>
      <c r="BJ29" s="1034">
        <f t="shared" ca="1" si="64"/>
        <v>0</v>
      </c>
      <c r="BL29" s="814">
        <f t="shared" ca="1" si="9"/>
        <v>0</v>
      </c>
      <c r="BM29" s="814"/>
      <c r="BN29" s="840"/>
      <c r="BO29" s="1481">
        <f t="shared" ref="BO29:BX30" ca="1" si="78">IFERROR(SUMIFS(INDIRECT($C29&amp;".Emissions["&amp;this.Year&amp;"]"), INDIRECT($C29&amp;".Emissions[GHG]"), BO$6, INDIRECT($C29&amp;".Emissions[IPCC Sector]"), BO$5),0)</f>
        <v>0</v>
      </c>
      <c r="BP29" s="1482">
        <f t="shared" ca="1" si="78"/>
        <v>0</v>
      </c>
      <c r="BQ29" s="1482">
        <f t="shared" ca="1" si="78"/>
        <v>0</v>
      </c>
      <c r="BR29" s="1482">
        <f t="shared" ca="1" si="78"/>
        <v>0</v>
      </c>
      <c r="BS29" s="1482">
        <f t="shared" ca="1" si="78"/>
        <v>0</v>
      </c>
      <c r="BT29" s="1482">
        <f t="shared" ca="1" si="78"/>
        <v>0</v>
      </c>
      <c r="BU29" s="1482">
        <f t="shared" ca="1" si="78"/>
        <v>0</v>
      </c>
      <c r="BV29" s="1482">
        <f t="shared" ca="1" si="78"/>
        <v>0</v>
      </c>
      <c r="BW29" s="1482">
        <f t="shared" ca="1" si="78"/>
        <v>0</v>
      </c>
      <c r="BX29" s="1482">
        <f t="shared" ca="1" si="78"/>
        <v>0</v>
      </c>
      <c r="BY29" s="1482">
        <f t="shared" ref="BY29:CH30" ca="1" si="79">IFERROR(SUMIFS(INDIRECT($C29&amp;".Emissions["&amp;this.Year&amp;"]"), INDIRECT($C29&amp;".Emissions[GHG]"), BY$6, INDIRECT($C29&amp;".Emissions[IPCC Sector]"), BY$5),0)</f>
        <v>0</v>
      </c>
      <c r="BZ29" s="1482">
        <f t="shared" ca="1" si="79"/>
        <v>0</v>
      </c>
      <c r="CA29" s="1482">
        <f t="shared" ca="1" si="79"/>
        <v>0</v>
      </c>
      <c r="CB29" s="1482">
        <f t="shared" ca="1" si="79"/>
        <v>0</v>
      </c>
      <c r="CC29" s="1482">
        <f t="shared" ca="1" si="79"/>
        <v>0</v>
      </c>
      <c r="CD29" s="1482">
        <f t="shared" ca="1" si="79"/>
        <v>0</v>
      </c>
      <c r="CE29" s="1482">
        <f t="shared" ca="1" si="79"/>
        <v>0</v>
      </c>
      <c r="CF29" s="1482">
        <f t="shared" ca="1" si="79"/>
        <v>0</v>
      </c>
      <c r="CG29" s="1482">
        <f t="shared" ca="1" si="79"/>
        <v>0</v>
      </c>
      <c r="CH29" s="1482">
        <f t="shared" ca="1" si="79"/>
        <v>0</v>
      </c>
      <c r="CI29" s="1482">
        <f t="shared" ref="CI29:CR30" ca="1" si="80">IFERROR(SUMIFS(INDIRECT($C29&amp;".Emissions["&amp;this.Year&amp;"]"), INDIRECT($C29&amp;".Emissions[GHG]"), CI$6, INDIRECT($C29&amp;".Emissions[IPCC Sector]"), CI$5),0)</f>
        <v>0</v>
      </c>
      <c r="CJ29" s="1482">
        <f t="shared" ca="1" si="80"/>
        <v>0</v>
      </c>
      <c r="CK29" s="1482">
        <f t="shared" ca="1" si="80"/>
        <v>0</v>
      </c>
      <c r="CL29" s="1482">
        <f t="shared" ca="1" si="80"/>
        <v>0</v>
      </c>
      <c r="CM29" s="1482">
        <f t="shared" ca="1" si="80"/>
        <v>0</v>
      </c>
      <c r="CN29" s="1482">
        <f t="shared" ca="1" si="80"/>
        <v>0</v>
      </c>
      <c r="CO29" s="1482">
        <f t="shared" ca="1" si="80"/>
        <v>0</v>
      </c>
      <c r="CP29" s="1482">
        <f t="shared" ca="1" si="80"/>
        <v>0</v>
      </c>
      <c r="CQ29" s="1482">
        <f t="shared" ca="1" si="80"/>
        <v>0</v>
      </c>
      <c r="CR29" s="1482">
        <f t="shared" ca="1" si="80"/>
        <v>0</v>
      </c>
      <c r="CS29" s="1482">
        <f t="shared" ref="CS29:DF30" ca="1" si="81">IFERROR(SUMIFS(INDIRECT($C29&amp;".Emissions["&amp;this.Year&amp;"]"), INDIRECT($C29&amp;".Emissions[GHG]"), CS$6, INDIRECT($C29&amp;".Emissions[IPCC Sector]"), CS$5),0)</f>
        <v>0</v>
      </c>
      <c r="CT29" s="1482">
        <f t="shared" ca="1" si="81"/>
        <v>0</v>
      </c>
      <c r="CU29" s="1482">
        <f t="shared" ca="1" si="81"/>
        <v>11.669140957266235</v>
      </c>
      <c r="CV29" s="1482">
        <f t="shared" ca="1" si="81"/>
        <v>1.452803442493163E-2</v>
      </c>
      <c r="CW29" s="1482">
        <f t="shared" ca="1" si="81"/>
        <v>0.20995175694863924</v>
      </c>
      <c r="CX29" s="1482">
        <f t="shared" ca="1" si="81"/>
        <v>0</v>
      </c>
      <c r="CY29" s="1482">
        <f t="shared" ca="1" si="81"/>
        <v>0</v>
      </c>
      <c r="CZ29" s="1482">
        <f t="shared" ca="1" si="81"/>
        <v>0</v>
      </c>
      <c r="DA29" s="1482">
        <f t="shared" ca="1" si="81"/>
        <v>0</v>
      </c>
      <c r="DB29" s="1482">
        <f t="shared" ca="1" si="81"/>
        <v>0</v>
      </c>
      <c r="DC29" s="1482">
        <f t="shared" ca="1" si="81"/>
        <v>0</v>
      </c>
      <c r="DD29" s="1482">
        <f t="shared" ca="1" si="81"/>
        <v>0</v>
      </c>
      <c r="DE29" s="1482">
        <f t="shared" ca="1" si="81"/>
        <v>0</v>
      </c>
      <c r="DF29" s="1482">
        <f t="shared" ca="1" si="81"/>
        <v>0</v>
      </c>
      <c r="DH29" s="838">
        <f t="shared" ca="1" si="35"/>
        <v>11.893620748639805</v>
      </c>
    </row>
    <row r="30" spans="1:112" s="743" customFormat="1" ht="10.5" hidden="1" customHeight="1" outlineLevel="2">
      <c r="A30" s="1483"/>
      <c r="B30" s="1483"/>
      <c r="C30" s="1009" t="s">
        <v>959</v>
      </c>
      <c r="D30" s="1005" t="str">
        <f>INDEX(Modules[Module], MATCH($C30, Modules[Code], 0))</f>
        <v>National navigation [UNUSED - see XII.a]</v>
      </c>
      <c r="E30" s="1006"/>
      <c r="G30" s="1018">
        <f t="shared" ca="1" si="75"/>
        <v>0</v>
      </c>
      <c r="H30" s="1018">
        <f t="shared" ca="1" si="75"/>
        <v>0</v>
      </c>
      <c r="I30" s="1018">
        <f t="shared" ca="1" si="75"/>
        <v>0</v>
      </c>
      <c r="J30" s="1018">
        <f t="shared" ca="1" si="75"/>
        <v>0</v>
      </c>
      <c r="K30" s="1018">
        <f t="shared" ca="1" si="75"/>
        <v>0</v>
      </c>
      <c r="L30" s="1018">
        <f t="shared" ca="1" si="75"/>
        <v>0</v>
      </c>
      <c r="M30" s="1018">
        <f t="shared" ca="1" si="75"/>
        <v>0</v>
      </c>
      <c r="N30" s="1018">
        <f t="shared" ca="1" si="75"/>
        <v>0</v>
      </c>
      <c r="O30" s="1018">
        <f t="shared" ca="1" si="75"/>
        <v>0</v>
      </c>
      <c r="P30" s="1018">
        <f t="shared" ca="1" si="75"/>
        <v>0</v>
      </c>
      <c r="Q30" s="1024">
        <f t="shared" ca="1" si="69"/>
        <v>0</v>
      </c>
      <c r="S30" s="1028">
        <f t="shared" ca="1" si="58"/>
        <v>0</v>
      </c>
      <c r="T30" s="1028">
        <f t="shared" ca="1" si="58"/>
        <v>0</v>
      </c>
      <c r="U30" s="1028">
        <f t="shared" ca="1" si="58"/>
        <v>0</v>
      </c>
      <c r="V30" s="1028">
        <f t="shared" ca="1" si="58"/>
        <v>0</v>
      </c>
      <c r="W30" s="1028">
        <f t="shared" ca="1" si="58"/>
        <v>0</v>
      </c>
      <c r="X30" s="1028">
        <f t="shared" ca="1" si="76"/>
        <v>0</v>
      </c>
      <c r="Y30" s="1028">
        <f t="shared" ca="1" si="76"/>
        <v>0</v>
      </c>
      <c r="Z30" s="1028">
        <f t="shared" ca="1" si="76"/>
        <v>0</v>
      </c>
      <c r="AA30" s="1028">
        <f t="shared" ca="1" si="58"/>
        <v>0</v>
      </c>
      <c r="AB30" s="1028">
        <f t="shared" ca="1" si="58"/>
        <v>0</v>
      </c>
      <c r="AC30" s="1028">
        <f t="shared" ca="1" si="58"/>
        <v>0</v>
      </c>
      <c r="AD30" s="1028">
        <f t="shared" ca="1" si="58"/>
        <v>0</v>
      </c>
      <c r="AE30" s="1028">
        <f t="shared" ca="1" si="58"/>
        <v>0</v>
      </c>
      <c r="AF30" s="1028">
        <f t="shared" ca="1" si="58"/>
        <v>0</v>
      </c>
      <c r="AG30" s="1028">
        <f t="shared" ca="1" si="58"/>
        <v>0</v>
      </c>
      <c r="AH30" s="1028">
        <f t="shared" ca="1" si="58"/>
        <v>0</v>
      </c>
      <c r="AI30" s="1028">
        <f t="shared" ca="1" si="58"/>
        <v>0</v>
      </c>
      <c r="AJ30" s="1028">
        <f t="shared" ca="1" si="58"/>
        <v>0</v>
      </c>
      <c r="AK30" s="1029">
        <f t="shared" ca="1" si="60"/>
        <v>0</v>
      </c>
      <c r="AM30" s="1039">
        <f t="shared" ca="1" si="77"/>
        <v>0</v>
      </c>
      <c r="AN30" s="1039">
        <f t="shared" ca="1" si="77"/>
        <v>0</v>
      </c>
      <c r="AO30" s="1039">
        <f t="shared" ca="1" si="77"/>
        <v>0</v>
      </c>
      <c r="AP30" s="1039">
        <f t="shared" ca="1" si="77"/>
        <v>0</v>
      </c>
      <c r="AQ30" s="1039">
        <f t="shared" ca="1" si="77"/>
        <v>0</v>
      </c>
      <c r="AR30" s="1039">
        <f t="shared" ca="1" si="77"/>
        <v>0</v>
      </c>
      <c r="AS30" s="1039">
        <f t="shared" ca="1" si="77"/>
        <v>0</v>
      </c>
      <c r="AT30" s="1039">
        <f t="shared" ca="1" si="77"/>
        <v>0</v>
      </c>
      <c r="AU30" s="1039">
        <f t="shared" ca="1" si="77"/>
        <v>0</v>
      </c>
      <c r="AV30" s="1039">
        <f t="shared" ca="1" si="58"/>
        <v>0</v>
      </c>
      <c r="AW30" s="1039">
        <f t="shared" ca="1" si="58"/>
        <v>0</v>
      </c>
      <c r="AX30" s="1039">
        <f t="shared" ca="1" si="58"/>
        <v>0</v>
      </c>
      <c r="AY30" s="1039">
        <f t="shared" ca="1" si="58"/>
        <v>0</v>
      </c>
      <c r="AZ30" s="1039">
        <f t="shared" ca="1" si="58"/>
        <v>0</v>
      </c>
      <c r="BA30" s="1039">
        <f t="shared" ca="1" si="58"/>
        <v>0</v>
      </c>
      <c r="BB30" s="1039">
        <f t="shared" ca="1" si="58"/>
        <v>0</v>
      </c>
      <c r="BC30" s="1039">
        <f t="shared" ca="1" si="58"/>
        <v>0</v>
      </c>
      <c r="BD30" s="1039">
        <f t="shared" ca="1" si="58"/>
        <v>0</v>
      </c>
      <c r="BE30" s="1039">
        <f t="shared" ca="1" si="58"/>
        <v>0</v>
      </c>
      <c r="BF30" s="1008">
        <f t="shared" ca="1" si="62"/>
        <v>0</v>
      </c>
      <c r="BH30" s="1033">
        <f t="shared" ca="1" si="63"/>
        <v>0</v>
      </c>
      <c r="BI30" s="1033">
        <f t="shared" ca="1" si="63"/>
        <v>0</v>
      </c>
      <c r="BJ30" s="1044">
        <f t="shared" ca="1" si="64"/>
        <v>0</v>
      </c>
      <c r="BL30" s="1007">
        <f t="shared" ca="1" si="9"/>
        <v>0</v>
      </c>
      <c r="BM30" s="1007"/>
      <c r="BN30" s="840"/>
      <c r="BO30" s="1481">
        <f t="shared" ca="1" si="78"/>
        <v>0</v>
      </c>
      <c r="BP30" s="1482">
        <f t="shared" ca="1" si="78"/>
        <v>0</v>
      </c>
      <c r="BQ30" s="1482">
        <f t="shared" ca="1" si="78"/>
        <v>0</v>
      </c>
      <c r="BR30" s="1482">
        <f t="shared" ca="1" si="78"/>
        <v>0</v>
      </c>
      <c r="BS30" s="1482">
        <f t="shared" ca="1" si="78"/>
        <v>0</v>
      </c>
      <c r="BT30" s="1482">
        <f t="shared" ca="1" si="78"/>
        <v>0</v>
      </c>
      <c r="BU30" s="1482">
        <f t="shared" ca="1" si="78"/>
        <v>0</v>
      </c>
      <c r="BV30" s="1482">
        <f t="shared" ca="1" si="78"/>
        <v>0</v>
      </c>
      <c r="BW30" s="1482">
        <f t="shared" ca="1" si="78"/>
        <v>0</v>
      </c>
      <c r="BX30" s="1482">
        <f t="shared" ca="1" si="78"/>
        <v>0</v>
      </c>
      <c r="BY30" s="1482">
        <f t="shared" ca="1" si="79"/>
        <v>0</v>
      </c>
      <c r="BZ30" s="1482">
        <f t="shared" ca="1" si="79"/>
        <v>0</v>
      </c>
      <c r="CA30" s="1482">
        <f t="shared" ca="1" si="79"/>
        <v>0</v>
      </c>
      <c r="CB30" s="1482">
        <f t="shared" ca="1" si="79"/>
        <v>0</v>
      </c>
      <c r="CC30" s="1482">
        <f t="shared" ca="1" si="79"/>
        <v>0</v>
      </c>
      <c r="CD30" s="1482">
        <f t="shared" ca="1" si="79"/>
        <v>0</v>
      </c>
      <c r="CE30" s="1482">
        <f t="shared" ca="1" si="79"/>
        <v>0</v>
      </c>
      <c r="CF30" s="1482">
        <f t="shared" ca="1" si="79"/>
        <v>0</v>
      </c>
      <c r="CG30" s="1482">
        <f t="shared" ca="1" si="79"/>
        <v>0</v>
      </c>
      <c r="CH30" s="1482">
        <f t="shared" ca="1" si="79"/>
        <v>0</v>
      </c>
      <c r="CI30" s="1482">
        <f t="shared" ca="1" si="80"/>
        <v>0</v>
      </c>
      <c r="CJ30" s="1482">
        <f t="shared" ca="1" si="80"/>
        <v>0</v>
      </c>
      <c r="CK30" s="1482">
        <f t="shared" ca="1" si="80"/>
        <v>0</v>
      </c>
      <c r="CL30" s="1482">
        <f t="shared" ca="1" si="80"/>
        <v>0</v>
      </c>
      <c r="CM30" s="1482">
        <f t="shared" ca="1" si="80"/>
        <v>0</v>
      </c>
      <c r="CN30" s="1482">
        <f t="shared" ca="1" si="80"/>
        <v>0</v>
      </c>
      <c r="CO30" s="1482">
        <f t="shared" ca="1" si="80"/>
        <v>0</v>
      </c>
      <c r="CP30" s="1482">
        <f t="shared" ca="1" si="80"/>
        <v>0</v>
      </c>
      <c r="CQ30" s="1482">
        <f t="shared" ca="1" si="80"/>
        <v>0</v>
      </c>
      <c r="CR30" s="1482">
        <f t="shared" ca="1" si="80"/>
        <v>0</v>
      </c>
      <c r="CS30" s="1482">
        <f t="shared" ca="1" si="81"/>
        <v>0</v>
      </c>
      <c r="CT30" s="1482">
        <f t="shared" ca="1" si="81"/>
        <v>0</v>
      </c>
      <c r="CU30" s="1482">
        <f t="shared" ca="1" si="81"/>
        <v>0</v>
      </c>
      <c r="CV30" s="1482">
        <f t="shared" ca="1" si="81"/>
        <v>0</v>
      </c>
      <c r="CW30" s="1482">
        <f t="shared" ca="1" si="81"/>
        <v>0</v>
      </c>
      <c r="CX30" s="1482">
        <f t="shared" ca="1" si="81"/>
        <v>0</v>
      </c>
      <c r="CY30" s="1482">
        <f t="shared" ca="1" si="81"/>
        <v>0</v>
      </c>
      <c r="CZ30" s="1482">
        <f t="shared" ca="1" si="81"/>
        <v>0</v>
      </c>
      <c r="DA30" s="1482">
        <f t="shared" ca="1" si="81"/>
        <v>0</v>
      </c>
      <c r="DB30" s="1482">
        <f t="shared" ca="1" si="81"/>
        <v>0</v>
      </c>
      <c r="DC30" s="1482">
        <f t="shared" ca="1" si="81"/>
        <v>0</v>
      </c>
      <c r="DD30" s="1482">
        <f t="shared" ca="1" si="81"/>
        <v>0</v>
      </c>
      <c r="DE30" s="1482">
        <f t="shared" ca="1" si="81"/>
        <v>0</v>
      </c>
      <c r="DF30" s="1482">
        <f t="shared" ca="1" si="81"/>
        <v>0</v>
      </c>
      <c r="DH30" s="838">
        <f t="shared" ca="1" si="35"/>
        <v>0</v>
      </c>
    </row>
    <row r="31" spans="1:112" s="743" customFormat="1" ht="11.25" hidden="1" customHeight="1" outlineLevel="1">
      <c r="A31" s="1484"/>
      <c r="B31" s="1484"/>
      <c r="C31" s="746"/>
      <c r="D31" s="1011" t="s">
        <v>961</v>
      </c>
      <c r="E31" s="1010"/>
      <c r="G31" s="1020">
        <f ca="1">SUM(G29:G30)</f>
        <v>0</v>
      </c>
      <c r="H31" s="1020">
        <f t="shared" ref="H31:P31" ca="1" si="82">SUM(H29:H30)</f>
        <v>0</v>
      </c>
      <c r="I31" s="1020">
        <f t="shared" ca="1" si="82"/>
        <v>0</v>
      </c>
      <c r="J31" s="1020">
        <f t="shared" ca="1" si="82"/>
        <v>0</v>
      </c>
      <c r="K31" s="1020">
        <f t="shared" ca="1" si="82"/>
        <v>0</v>
      </c>
      <c r="L31" s="1020">
        <f t="shared" ca="1" si="82"/>
        <v>0</v>
      </c>
      <c r="M31" s="1020">
        <f t="shared" ca="1" si="82"/>
        <v>0</v>
      </c>
      <c r="N31" s="1020">
        <f t="shared" ca="1" si="82"/>
        <v>0</v>
      </c>
      <c r="O31" s="1020">
        <f t="shared" ca="1" si="82"/>
        <v>46.676563829064939</v>
      </c>
      <c r="P31" s="1020">
        <f t="shared" ca="1" si="82"/>
        <v>0</v>
      </c>
      <c r="Q31" s="1020">
        <f t="shared" ca="1" si="69"/>
        <v>46.676563829064939</v>
      </c>
      <c r="S31" s="1030">
        <f t="shared" ref="S31:Z31" ca="1" si="83">SUM(S29:S30)</f>
        <v>0</v>
      </c>
      <c r="T31" s="1030">
        <f t="shared" ca="1" si="83"/>
        <v>0</v>
      </c>
      <c r="U31" s="1030">
        <f t="shared" ca="1" si="83"/>
        <v>0</v>
      </c>
      <c r="V31" s="1030">
        <f t="shared" ca="1" si="83"/>
        <v>-46.676563829064939</v>
      </c>
      <c r="W31" s="1030">
        <f t="shared" ca="1" si="83"/>
        <v>0</v>
      </c>
      <c r="X31" s="1132">
        <f t="shared" ca="1" si="83"/>
        <v>0</v>
      </c>
      <c r="Y31" s="1132">
        <f t="shared" ca="1" si="83"/>
        <v>0</v>
      </c>
      <c r="Z31" s="1132">
        <f t="shared" ca="1" si="83"/>
        <v>0</v>
      </c>
      <c r="AA31" s="1030">
        <f t="shared" ref="AA31:AJ31" ca="1" si="84">SUM(AA29:AA30)</f>
        <v>0</v>
      </c>
      <c r="AB31" s="1030">
        <f t="shared" ca="1" si="84"/>
        <v>0</v>
      </c>
      <c r="AC31" s="1030">
        <f t="shared" ca="1" si="84"/>
        <v>0</v>
      </c>
      <c r="AD31" s="1030">
        <f ca="1">SUM(AD29:AD30)</f>
        <v>0</v>
      </c>
      <c r="AE31" s="1030">
        <f ca="1">SUM(AE29:AE30)</f>
        <v>0</v>
      </c>
      <c r="AF31" s="1030">
        <f t="shared" ca="1" si="84"/>
        <v>0</v>
      </c>
      <c r="AG31" s="1030">
        <f ca="1">SUM(AG29:AG30)</f>
        <v>0</v>
      </c>
      <c r="AH31" s="1030">
        <f ca="1">SUM(AH29:AH30)</f>
        <v>0</v>
      </c>
      <c r="AI31" s="1030">
        <f ca="1">SUM(AI29:AI30)</f>
        <v>0</v>
      </c>
      <c r="AJ31" s="1030">
        <f t="shared" ca="1" si="84"/>
        <v>0</v>
      </c>
      <c r="AK31" s="1030">
        <f t="shared" ca="1" si="60"/>
        <v>-46.676563829064939</v>
      </c>
      <c r="AM31" s="1043">
        <f t="shared" ref="AM31:BE31" ca="1" si="85">SUM(AM29:AM30)</f>
        <v>0</v>
      </c>
      <c r="AN31" s="1043">
        <f t="shared" ca="1" si="85"/>
        <v>0</v>
      </c>
      <c r="AO31" s="1043">
        <f t="shared" ca="1" si="85"/>
        <v>0</v>
      </c>
      <c r="AP31" s="1043">
        <f t="shared" ca="1" si="85"/>
        <v>0</v>
      </c>
      <c r="AQ31" s="1043">
        <f t="shared" ca="1" si="85"/>
        <v>0</v>
      </c>
      <c r="AR31" s="1043">
        <f t="shared" ca="1" si="85"/>
        <v>0</v>
      </c>
      <c r="AS31" s="1043">
        <f t="shared" ca="1" si="85"/>
        <v>0</v>
      </c>
      <c r="AT31" s="1043">
        <f t="shared" ca="1" si="85"/>
        <v>0</v>
      </c>
      <c r="AU31" s="1043">
        <f t="shared" ca="1" si="85"/>
        <v>0</v>
      </c>
      <c r="AV31" s="1043">
        <f t="shared" ca="1" si="85"/>
        <v>0</v>
      </c>
      <c r="AW31" s="1043">
        <f t="shared" ca="1" si="85"/>
        <v>0</v>
      </c>
      <c r="AX31" s="1043">
        <f t="shared" ca="1" si="85"/>
        <v>0</v>
      </c>
      <c r="AY31" s="1043">
        <f t="shared" ca="1" si="85"/>
        <v>0</v>
      </c>
      <c r="AZ31" s="1043">
        <f t="shared" ca="1" si="85"/>
        <v>0</v>
      </c>
      <c r="BA31" s="1043">
        <f t="shared" ca="1" si="85"/>
        <v>0</v>
      </c>
      <c r="BB31" s="1043">
        <f t="shared" ca="1" si="85"/>
        <v>0</v>
      </c>
      <c r="BC31" s="1043">
        <f t="shared" ca="1" si="85"/>
        <v>0</v>
      </c>
      <c r="BD31" s="1043">
        <f t="shared" ca="1" si="85"/>
        <v>0</v>
      </c>
      <c r="BE31" s="1043">
        <f t="shared" ca="1" si="85"/>
        <v>0</v>
      </c>
      <c r="BF31" s="1013">
        <f t="shared" ca="1" si="62"/>
        <v>0</v>
      </c>
      <c r="BH31" s="1037">
        <f ca="1">SUM(BH29:BH30)</f>
        <v>0</v>
      </c>
      <c r="BI31" s="1037">
        <f ca="1">SUM(BI29:BI30)</f>
        <v>0</v>
      </c>
      <c r="BJ31" s="1035">
        <f t="shared" ca="1" si="64"/>
        <v>0</v>
      </c>
      <c r="BL31" s="524">
        <f t="shared" ca="1" si="9"/>
        <v>0</v>
      </c>
      <c r="BM31" s="524"/>
      <c r="BN31" s="1484"/>
      <c r="BO31" s="1485">
        <f t="shared" ref="BO31:DF31" ca="1" si="86">SUM(BO29:BO30)</f>
        <v>0</v>
      </c>
      <c r="BP31" s="1486">
        <f t="shared" ca="1" si="86"/>
        <v>0</v>
      </c>
      <c r="BQ31" s="1486">
        <f t="shared" ca="1" si="86"/>
        <v>0</v>
      </c>
      <c r="BR31" s="1486">
        <f t="shared" ca="1" si="86"/>
        <v>0</v>
      </c>
      <c r="BS31" s="1486">
        <f t="shared" ca="1" si="86"/>
        <v>0</v>
      </c>
      <c r="BT31" s="1486">
        <f t="shared" ca="1" si="86"/>
        <v>0</v>
      </c>
      <c r="BU31" s="1486">
        <f t="shared" ca="1" si="86"/>
        <v>0</v>
      </c>
      <c r="BV31" s="1486">
        <f t="shared" ca="1" si="86"/>
        <v>0</v>
      </c>
      <c r="BW31" s="1486">
        <f t="shared" ca="1" si="86"/>
        <v>0</v>
      </c>
      <c r="BX31" s="1486">
        <f t="shared" ca="1" si="86"/>
        <v>0</v>
      </c>
      <c r="BY31" s="1486">
        <f t="shared" ca="1" si="86"/>
        <v>0</v>
      </c>
      <c r="BZ31" s="1486">
        <f t="shared" ca="1" si="86"/>
        <v>0</v>
      </c>
      <c r="CA31" s="1486">
        <f t="shared" ca="1" si="86"/>
        <v>0</v>
      </c>
      <c r="CB31" s="1486">
        <f t="shared" ca="1" si="86"/>
        <v>0</v>
      </c>
      <c r="CC31" s="1486">
        <f t="shared" ca="1" si="86"/>
        <v>0</v>
      </c>
      <c r="CD31" s="1486">
        <f t="shared" ca="1" si="86"/>
        <v>0</v>
      </c>
      <c r="CE31" s="1486">
        <f t="shared" ca="1" si="86"/>
        <v>0</v>
      </c>
      <c r="CF31" s="1486">
        <f t="shared" ca="1" si="86"/>
        <v>0</v>
      </c>
      <c r="CG31" s="1486">
        <f t="shared" ca="1" si="86"/>
        <v>0</v>
      </c>
      <c r="CH31" s="1486">
        <f t="shared" ca="1" si="86"/>
        <v>0</v>
      </c>
      <c r="CI31" s="1486">
        <f t="shared" ca="1" si="86"/>
        <v>0</v>
      </c>
      <c r="CJ31" s="1486">
        <f t="shared" ca="1" si="86"/>
        <v>0</v>
      </c>
      <c r="CK31" s="1486">
        <f t="shared" ca="1" si="86"/>
        <v>0</v>
      </c>
      <c r="CL31" s="1486">
        <f t="shared" ca="1" si="86"/>
        <v>0</v>
      </c>
      <c r="CM31" s="1486">
        <f t="shared" ca="1" si="86"/>
        <v>0</v>
      </c>
      <c r="CN31" s="1486">
        <f t="shared" ca="1" si="86"/>
        <v>0</v>
      </c>
      <c r="CO31" s="1486">
        <f t="shared" ca="1" si="86"/>
        <v>0</v>
      </c>
      <c r="CP31" s="1486">
        <f t="shared" ca="1" si="86"/>
        <v>0</v>
      </c>
      <c r="CQ31" s="1486">
        <f t="shared" ca="1" si="86"/>
        <v>0</v>
      </c>
      <c r="CR31" s="1486">
        <f t="shared" ca="1" si="86"/>
        <v>0</v>
      </c>
      <c r="CS31" s="1486">
        <f t="shared" ca="1" si="86"/>
        <v>0</v>
      </c>
      <c r="CT31" s="1486">
        <f t="shared" ca="1" si="86"/>
        <v>0</v>
      </c>
      <c r="CU31" s="1486">
        <f t="shared" ca="1" si="86"/>
        <v>11.669140957266235</v>
      </c>
      <c r="CV31" s="1486">
        <f t="shared" ca="1" si="86"/>
        <v>1.452803442493163E-2</v>
      </c>
      <c r="CW31" s="1486">
        <f t="shared" ca="1" si="86"/>
        <v>0.20995175694863924</v>
      </c>
      <c r="CX31" s="1486">
        <f t="shared" ca="1" si="86"/>
        <v>0</v>
      </c>
      <c r="CY31" s="1486">
        <f t="shared" ca="1" si="86"/>
        <v>0</v>
      </c>
      <c r="CZ31" s="1486">
        <f t="shared" ca="1" si="86"/>
        <v>0</v>
      </c>
      <c r="DA31" s="1486">
        <f t="shared" ca="1" si="86"/>
        <v>0</v>
      </c>
      <c r="DB31" s="1486">
        <f t="shared" ca="1" si="86"/>
        <v>0</v>
      </c>
      <c r="DC31" s="1486">
        <f t="shared" ca="1" si="86"/>
        <v>0</v>
      </c>
      <c r="DD31" s="1486">
        <f t="shared" ca="1" si="86"/>
        <v>0</v>
      </c>
      <c r="DE31" s="1486">
        <f t="shared" ca="1" si="86"/>
        <v>0</v>
      </c>
      <c r="DF31" s="1486">
        <f t="shared" ca="1" si="86"/>
        <v>0</v>
      </c>
      <c r="DH31" s="838">
        <f t="shared" ca="1" si="35"/>
        <v>11.893620748639805</v>
      </c>
    </row>
    <row r="32" spans="1:112" s="743" customFormat="1" ht="15.75" collapsed="1">
      <c r="A32" s="22"/>
      <c r="B32" s="753"/>
      <c r="C32" s="744" t="s">
        <v>679</v>
      </c>
      <c r="D32" s="517" t="str">
        <f>INDEX(Workstreams[Workstream], MATCH($C32, Workstreams[Code], 0))</f>
        <v>Transport</v>
      </c>
      <c r="E32" s="512"/>
      <c r="G32" s="1021">
        <f t="shared" ref="G32:P32" ca="1" si="87">G24+G25+G28+G31</f>
        <v>0</v>
      </c>
      <c r="H32" s="1021">
        <f t="shared" ca="1" si="87"/>
        <v>0</v>
      </c>
      <c r="I32" s="1021">
        <f t="shared" ca="1" si="87"/>
        <v>0</v>
      </c>
      <c r="J32" s="1021">
        <f t="shared" ca="1" si="87"/>
        <v>445.092247062605</v>
      </c>
      <c r="K32" s="1021">
        <f t="shared" ca="1" si="87"/>
        <v>17.183448840130435</v>
      </c>
      <c r="L32" s="1021">
        <f t="shared" ca="1" si="87"/>
        <v>10.163716423089292</v>
      </c>
      <c r="M32" s="1021">
        <f t="shared" ca="1" si="87"/>
        <v>25.383064556311584</v>
      </c>
      <c r="N32" s="1021">
        <f t="shared" ca="1" si="87"/>
        <v>174.02097069883129</v>
      </c>
      <c r="O32" s="1021">
        <f t="shared" ca="1" si="87"/>
        <v>46.676563829064939</v>
      </c>
      <c r="P32" s="1021">
        <f t="shared" ca="1" si="87"/>
        <v>0</v>
      </c>
      <c r="Q32" s="1021">
        <f t="shared" ca="1" si="69"/>
        <v>718.52001141003245</v>
      </c>
      <c r="S32" s="970">
        <f t="shared" ref="S32:Z32" ca="1" si="88">S24+S25+S28+S31</f>
        <v>-8.2444535946702562</v>
      </c>
      <c r="T32" s="970">
        <f t="shared" ca="1" si="88"/>
        <v>0</v>
      </c>
      <c r="U32" s="970">
        <f t="shared" ca="1" si="88"/>
        <v>0</v>
      </c>
      <c r="V32" s="970">
        <f t="shared" ca="1" si="88"/>
        <v>-710.27555781536228</v>
      </c>
      <c r="W32" s="970">
        <f t="shared" ca="1" si="88"/>
        <v>0</v>
      </c>
      <c r="X32" s="970">
        <f t="shared" ca="1" si="88"/>
        <v>0</v>
      </c>
      <c r="Y32" s="970">
        <f t="shared" ca="1" si="88"/>
        <v>0</v>
      </c>
      <c r="Z32" s="970">
        <f t="shared" ca="1" si="88"/>
        <v>0</v>
      </c>
      <c r="AA32" s="970">
        <f t="shared" ref="AA32:AJ32" ca="1" si="89">AA24+AA25+AA28+AA31</f>
        <v>0</v>
      </c>
      <c r="AB32" s="970">
        <f t="shared" ca="1" si="89"/>
        <v>0</v>
      </c>
      <c r="AC32" s="970">
        <f t="shared" ca="1" si="89"/>
        <v>0</v>
      </c>
      <c r="AD32" s="970">
        <f ca="1">AD24+AD25+AD28+AD31</f>
        <v>0</v>
      </c>
      <c r="AE32" s="970">
        <f ca="1">AE24+AE25+AE28+AE31</f>
        <v>0</v>
      </c>
      <c r="AF32" s="970">
        <f t="shared" ca="1" si="89"/>
        <v>0</v>
      </c>
      <c r="AG32" s="970">
        <f ca="1">AG24+AG25+AG28+AG31</f>
        <v>0</v>
      </c>
      <c r="AH32" s="970">
        <f ca="1">AH24+AH25+AH28+AH31</f>
        <v>0</v>
      </c>
      <c r="AI32" s="970">
        <f ca="1">AI24+AI25+AI28+AI31</f>
        <v>0</v>
      </c>
      <c r="AJ32" s="970">
        <f t="shared" ca="1" si="89"/>
        <v>0</v>
      </c>
      <c r="AK32" s="970">
        <f t="shared" ca="1" si="60"/>
        <v>-718.52001141003257</v>
      </c>
      <c r="AM32" s="976">
        <f t="shared" ref="AM32:AS32" ca="1" si="90">AM24+AM25+AM28+AM31</f>
        <v>0</v>
      </c>
      <c r="AN32" s="976">
        <f t="shared" ca="1" si="90"/>
        <v>0</v>
      </c>
      <c r="AO32" s="976">
        <f t="shared" ca="1" si="90"/>
        <v>0</v>
      </c>
      <c r="AP32" s="976">
        <f t="shared" ca="1" si="90"/>
        <v>0</v>
      </c>
      <c r="AQ32" s="976">
        <f t="shared" ca="1" si="90"/>
        <v>0</v>
      </c>
      <c r="AR32" s="976">
        <f t="shared" ca="1" si="90"/>
        <v>0</v>
      </c>
      <c r="AS32" s="976">
        <f t="shared" ca="1" si="90"/>
        <v>0</v>
      </c>
      <c r="AT32" s="976">
        <f t="shared" ref="AT32:BE32" ca="1" si="91">AT24+AT25+AT28+AT31</f>
        <v>0</v>
      </c>
      <c r="AU32" s="976">
        <f t="shared" ca="1" si="91"/>
        <v>0</v>
      </c>
      <c r="AV32" s="976">
        <f t="shared" ca="1" si="91"/>
        <v>0</v>
      </c>
      <c r="AW32" s="976">
        <f t="shared" ca="1" si="91"/>
        <v>0</v>
      </c>
      <c r="AX32" s="976">
        <f t="shared" ca="1" si="91"/>
        <v>0</v>
      </c>
      <c r="AY32" s="976">
        <f t="shared" ca="1" si="91"/>
        <v>0</v>
      </c>
      <c r="AZ32" s="976">
        <f t="shared" ca="1" si="91"/>
        <v>0</v>
      </c>
      <c r="BA32" s="976">
        <f t="shared" ca="1" si="91"/>
        <v>0</v>
      </c>
      <c r="BB32" s="976">
        <f t="shared" ca="1" si="91"/>
        <v>0</v>
      </c>
      <c r="BC32" s="976">
        <f t="shared" ca="1" si="91"/>
        <v>0</v>
      </c>
      <c r="BD32" s="976">
        <f t="shared" ca="1" si="91"/>
        <v>0</v>
      </c>
      <c r="BE32" s="976">
        <f t="shared" ca="1" si="91"/>
        <v>0</v>
      </c>
      <c r="BF32" s="976">
        <f t="shared" ca="1" si="62"/>
        <v>0</v>
      </c>
      <c r="BH32" s="990">
        <f ca="1">BH24+BH25+BH28+BH31</f>
        <v>0</v>
      </c>
      <c r="BI32" s="990">
        <f ca="1">BI24+BI25+BI28+BI31</f>
        <v>0</v>
      </c>
      <c r="BJ32" s="990">
        <f t="shared" ca="1" si="64"/>
        <v>0</v>
      </c>
      <c r="BL32" s="515">
        <f t="shared" ca="1" si="9"/>
        <v>-1.1368683772161603E-13</v>
      </c>
      <c r="BM32" s="515"/>
      <c r="BN32" s="840"/>
      <c r="BO32" s="1482">
        <f t="shared" ref="BO32:DF32" ca="1" si="92">BO24+BO25+BO28+BO31</f>
        <v>122.39450582186652</v>
      </c>
      <c r="BP32" s="1482">
        <f t="shared" ca="1" si="92"/>
        <v>0.15238067656517063</v>
      </c>
      <c r="BQ32" s="1482">
        <f t="shared" ca="1" si="92"/>
        <v>2.2021279571706733</v>
      </c>
      <c r="BR32" s="1482">
        <f t="shared" ca="1" si="92"/>
        <v>0</v>
      </c>
      <c r="BS32" s="1482">
        <f t="shared" ca="1" si="92"/>
        <v>0</v>
      </c>
      <c r="BT32" s="1482">
        <f t="shared" ca="1" si="92"/>
        <v>0</v>
      </c>
      <c r="BU32" s="1482">
        <f t="shared" ca="1" si="92"/>
        <v>0</v>
      </c>
      <c r="BV32" s="1482">
        <f t="shared" ca="1" si="92"/>
        <v>0</v>
      </c>
      <c r="BW32" s="1482">
        <f t="shared" ca="1" si="92"/>
        <v>0</v>
      </c>
      <c r="BX32" s="1482">
        <f t="shared" ca="1" si="92"/>
        <v>0</v>
      </c>
      <c r="BY32" s="1482">
        <f t="shared" ca="1" si="92"/>
        <v>0</v>
      </c>
      <c r="BZ32" s="1482">
        <f t="shared" ca="1" si="92"/>
        <v>0</v>
      </c>
      <c r="CA32" s="1482">
        <f t="shared" ca="1" si="92"/>
        <v>0</v>
      </c>
      <c r="CB32" s="1482">
        <f t="shared" ca="1" si="92"/>
        <v>0</v>
      </c>
      <c r="CC32" s="1482">
        <f t="shared" ca="1" si="92"/>
        <v>0</v>
      </c>
      <c r="CD32" s="1482">
        <f t="shared" ca="1" si="92"/>
        <v>0</v>
      </c>
      <c r="CE32" s="1482">
        <f t="shared" ca="1" si="92"/>
        <v>0</v>
      </c>
      <c r="CF32" s="1482">
        <f t="shared" ca="1" si="92"/>
        <v>0</v>
      </c>
      <c r="CG32" s="1482">
        <f t="shared" ca="1" si="92"/>
        <v>0</v>
      </c>
      <c r="CH32" s="1482">
        <f t="shared" ca="1" si="92"/>
        <v>0</v>
      </c>
      <c r="CI32" s="1482">
        <f t="shared" ca="1" si="92"/>
        <v>0</v>
      </c>
      <c r="CJ32" s="1482">
        <f t="shared" ca="1" si="92"/>
        <v>0</v>
      </c>
      <c r="CK32" s="1482">
        <f t="shared" ca="1" si="92"/>
        <v>0</v>
      </c>
      <c r="CL32" s="1482">
        <f t="shared" ca="1" si="92"/>
        <v>0</v>
      </c>
      <c r="CM32" s="1482">
        <f t="shared" ca="1" si="92"/>
        <v>0</v>
      </c>
      <c r="CN32" s="1482">
        <f t="shared" ca="1" si="92"/>
        <v>0</v>
      </c>
      <c r="CO32" s="1482">
        <f t="shared" ca="1" si="92"/>
        <v>0</v>
      </c>
      <c r="CP32" s="1482">
        <f t="shared" ca="1" si="92"/>
        <v>0</v>
      </c>
      <c r="CQ32" s="1482">
        <f t="shared" ca="1" si="92"/>
        <v>0</v>
      </c>
      <c r="CR32" s="1482">
        <f t="shared" ca="1" si="92"/>
        <v>0</v>
      </c>
      <c r="CS32" s="1482">
        <f t="shared" ca="1" si="92"/>
        <v>0</v>
      </c>
      <c r="CT32" s="1482">
        <f t="shared" ca="1" si="92"/>
        <v>0</v>
      </c>
      <c r="CU32" s="1482">
        <f t="shared" ca="1" si="92"/>
        <v>55.174383631974059</v>
      </c>
      <c r="CV32" s="1482">
        <f t="shared" ca="1" si="92"/>
        <v>6.8691889807070333E-2</v>
      </c>
      <c r="CW32" s="1482">
        <f t="shared" ca="1" si="92"/>
        <v>0.99270021885184301</v>
      </c>
      <c r="CX32" s="1482">
        <f t="shared" ca="1" si="92"/>
        <v>0</v>
      </c>
      <c r="CY32" s="1482">
        <f t="shared" ca="1" si="92"/>
        <v>0</v>
      </c>
      <c r="CZ32" s="1482">
        <f t="shared" ca="1" si="92"/>
        <v>0</v>
      </c>
      <c r="DA32" s="1482">
        <f t="shared" ca="1" si="92"/>
        <v>0</v>
      </c>
      <c r="DB32" s="1482">
        <f t="shared" ca="1" si="92"/>
        <v>0</v>
      </c>
      <c r="DC32" s="1482">
        <f t="shared" ca="1" si="92"/>
        <v>0</v>
      </c>
      <c r="DD32" s="1482">
        <f t="shared" ca="1" si="92"/>
        <v>0</v>
      </c>
      <c r="DE32" s="1482">
        <f t="shared" ca="1" si="92"/>
        <v>0</v>
      </c>
      <c r="DF32" s="1482">
        <f t="shared" ca="1" si="92"/>
        <v>0</v>
      </c>
      <c r="DH32" s="838">
        <f t="shared" ca="1" si="35"/>
        <v>180.98479019623534</v>
      </c>
    </row>
    <row r="33" spans="1:112" s="743" customFormat="1" ht="12.75" hidden="1" customHeight="1" outlineLevel="1">
      <c r="A33" s="22"/>
      <c r="B33" s="22"/>
      <c r="C33" s="751"/>
      <c r="D33" s="512"/>
      <c r="E33" s="512"/>
      <c r="G33" s="1021"/>
      <c r="H33" s="1021"/>
      <c r="I33" s="1021"/>
      <c r="J33" s="1021"/>
      <c r="K33" s="1021"/>
      <c r="L33" s="1021"/>
      <c r="M33" s="1021"/>
      <c r="N33" s="1021"/>
      <c r="O33" s="1021"/>
      <c r="P33" s="1021"/>
      <c r="Q33" s="1021"/>
      <c r="S33" s="970"/>
      <c r="T33" s="970"/>
      <c r="U33" s="970"/>
      <c r="V33" s="970"/>
      <c r="W33" s="970"/>
      <c r="X33" s="970"/>
      <c r="Y33" s="970"/>
      <c r="Z33" s="970"/>
      <c r="AA33" s="970"/>
      <c r="AB33" s="970"/>
      <c r="AC33" s="970"/>
      <c r="AD33" s="970"/>
      <c r="AE33" s="970"/>
      <c r="AF33" s="970"/>
      <c r="AG33" s="970"/>
      <c r="AH33" s="970"/>
      <c r="AI33" s="970"/>
      <c r="AJ33" s="970"/>
      <c r="AK33" s="970"/>
      <c r="AM33" s="976"/>
      <c r="AN33" s="976"/>
      <c r="AO33" s="976"/>
      <c r="AP33" s="976"/>
      <c r="AQ33" s="976"/>
      <c r="AR33" s="976"/>
      <c r="AS33" s="976"/>
      <c r="AT33" s="976"/>
      <c r="AU33" s="976"/>
      <c r="AV33" s="976"/>
      <c r="AW33" s="976"/>
      <c r="AX33" s="976"/>
      <c r="AY33" s="976"/>
      <c r="AZ33" s="976"/>
      <c r="BA33" s="976"/>
      <c r="BB33" s="976"/>
      <c r="BC33" s="976"/>
      <c r="BD33" s="976"/>
      <c r="BE33" s="976"/>
      <c r="BF33" s="976"/>
      <c r="BH33" s="990"/>
      <c r="BI33" s="990"/>
      <c r="BJ33" s="990"/>
      <c r="BL33" s="515">
        <f t="shared" si="9"/>
        <v>0</v>
      </c>
      <c r="BM33" s="515"/>
      <c r="BN33" s="22"/>
      <c r="BO33" s="1482"/>
      <c r="BP33" s="1482"/>
      <c r="BQ33" s="1482"/>
      <c r="BR33" s="1482"/>
      <c r="BS33" s="1482"/>
      <c r="BT33" s="1482"/>
      <c r="BU33" s="1482"/>
      <c r="BV33" s="1482"/>
      <c r="BW33" s="1482"/>
      <c r="BX33" s="1482"/>
      <c r="BY33" s="1482"/>
      <c r="BZ33" s="1482"/>
      <c r="CA33" s="1482"/>
      <c r="CB33" s="1482"/>
      <c r="CC33" s="1482"/>
      <c r="CD33" s="1482"/>
      <c r="CE33" s="1482"/>
      <c r="CF33" s="1482"/>
      <c r="CG33" s="1482"/>
      <c r="CH33" s="1482"/>
      <c r="CI33" s="1482"/>
      <c r="CJ33" s="1482"/>
      <c r="CK33" s="1482"/>
      <c r="CL33" s="1482"/>
      <c r="CM33" s="1482"/>
      <c r="CN33" s="1482"/>
      <c r="CO33" s="1482"/>
      <c r="CP33" s="1482"/>
      <c r="CQ33" s="1482"/>
      <c r="CR33" s="1482"/>
      <c r="CS33" s="1482"/>
      <c r="CT33" s="1482"/>
      <c r="CU33" s="1482"/>
      <c r="CV33" s="1482"/>
      <c r="CW33" s="1482"/>
      <c r="CX33" s="1482"/>
      <c r="CY33" s="1482"/>
      <c r="CZ33" s="1482"/>
      <c r="DA33" s="1482"/>
      <c r="DB33" s="1482"/>
      <c r="DC33" s="1482"/>
      <c r="DD33" s="1482"/>
      <c r="DE33" s="1482"/>
      <c r="DF33" s="1482"/>
      <c r="DH33" s="838">
        <f t="shared" si="35"/>
        <v>0</v>
      </c>
    </row>
    <row r="34" spans="1:112" s="743" customFormat="1" ht="12.75" hidden="1" customHeight="1" outlineLevel="1">
      <c r="A34" s="1484"/>
      <c r="B34" s="1484"/>
      <c r="C34" s="746" t="s">
        <v>930</v>
      </c>
      <c r="D34" s="1010" t="str">
        <f>INDEX(Modules[Module], MATCH($C34, Modules[Code], 0))</f>
        <v>Food consumption [UNUSED]</v>
      </c>
      <c r="E34" s="1010"/>
      <c r="G34" s="1022">
        <f t="shared" ref="G34:P34" ca="1" si="93">IFERROR(INDEX(INDIRECT($C34&amp;".Outputs["&amp;this.Year&amp;"]"), MATCH(G$5, INDIRECT($C34&amp;".Outputs[Vector]"), 0)), 0)</f>
        <v>0</v>
      </c>
      <c r="H34" s="1022">
        <f t="shared" ca="1" si="93"/>
        <v>0</v>
      </c>
      <c r="I34" s="1022">
        <f t="shared" ca="1" si="93"/>
        <v>0</v>
      </c>
      <c r="J34" s="1022">
        <f t="shared" ca="1" si="93"/>
        <v>0</v>
      </c>
      <c r="K34" s="1022">
        <f t="shared" ca="1" si="93"/>
        <v>0</v>
      </c>
      <c r="L34" s="1022">
        <f t="shared" ca="1" si="93"/>
        <v>0</v>
      </c>
      <c r="M34" s="1022">
        <f t="shared" ca="1" si="93"/>
        <v>0</v>
      </c>
      <c r="N34" s="1022">
        <f t="shared" ca="1" si="93"/>
        <v>0</v>
      </c>
      <c r="O34" s="1022">
        <f t="shared" ca="1" si="93"/>
        <v>0</v>
      </c>
      <c r="P34" s="1022">
        <f t="shared" ca="1" si="93"/>
        <v>0</v>
      </c>
      <c r="Q34" s="1020">
        <f ca="1">SUM(G34:P34)</f>
        <v>0</v>
      </c>
      <c r="S34" s="1031">
        <f t="shared" ref="S34:BE34" ca="1" si="94">IFERROR(INDEX(INDIRECT($C34&amp;".Outputs["&amp;this.Year&amp;"]"), MATCH(S$5, INDIRECT($C34&amp;".Outputs[Vector]"), 0)), 0)</f>
        <v>0</v>
      </c>
      <c r="T34" s="1031">
        <f t="shared" ca="1" si="94"/>
        <v>0</v>
      </c>
      <c r="U34" s="1031">
        <f t="shared" ca="1" si="94"/>
        <v>0</v>
      </c>
      <c r="V34" s="1031">
        <f t="shared" ca="1" si="94"/>
        <v>0</v>
      </c>
      <c r="W34" s="1031">
        <f t="shared" ca="1" si="94"/>
        <v>0</v>
      </c>
      <c r="X34" s="1031">
        <f ca="1">IFERROR(INDEX(INDIRECT($C34&amp;".Outputs["&amp;this.Year&amp;"]"), MATCH(X$5, INDIRECT($C34&amp;".Outputs[Vector]"), 0)), 0)</f>
        <v>0</v>
      </c>
      <c r="Y34" s="1031">
        <f ca="1">IFERROR(INDEX(INDIRECT($C34&amp;".Outputs["&amp;this.Year&amp;"]"), MATCH(Y$5, INDIRECT($C34&amp;".Outputs[Vector]"), 0)), 0)</f>
        <v>0</v>
      </c>
      <c r="Z34" s="1031">
        <f ca="1">IFERROR(INDEX(INDIRECT($C34&amp;".Outputs["&amp;this.Year&amp;"]"), MATCH(Z$5, INDIRECT($C34&amp;".Outputs[Vector]"), 0)), 0)</f>
        <v>0</v>
      </c>
      <c r="AA34" s="1031">
        <f t="shared" ca="1" si="94"/>
        <v>0</v>
      </c>
      <c r="AB34" s="1031">
        <f t="shared" ca="1" si="94"/>
        <v>0</v>
      </c>
      <c r="AC34" s="1031">
        <f t="shared" ca="1" si="94"/>
        <v>0</v>
      </c>
      <c r="AD34" s="1031">
        <f t="shared" ca="1" si="94"/>
        <v>0</v>
      </c>
      <c r="AE34" s="1031">
        <f t="shared" ca="1" si="94"/>
        <v>0</v>
      </c>
      <c r="AF34" s="1031">
        <f t="shared" ca="1" si="94"/>
        <v>0</v>
      </c>
      <c r="AG34" s="1031">
        <f t="shared" ca="1" si="94"/>
        <v>0</v>
      </c>
      <c r="AH34" s="1031">
        <f t="shared" ca="1" si="94"/>
        <v>0</v>
      </c>
      <c r="AI34" s="1031">
        <f t="shared" ca="1" si="94"/>
        <v>0</v>
      </c>
      <c r="AJ34" s="1031">
        <f t="shared" ca="1" si="94"/>
        <v>0</v>
      </c>
      <c r="AK34" s="1030">
        <f ca="1">SUM(S34:AJ34)</f>
        <v>0</v>
      </c>
      <c r="AM34" s="1042">
        <f t="shared" ref="AM34:AU34" ca="1" si="95">IFERROR(INDEX(INDIRECT($C34&amp;".Outputs["&amp;this.Year&amp;"]"), MATCH(AM$5, INDIRECT($C34&amp;".Outputs[Vector]"), 0)), 0)</f>
        <v>0</v>
      </c>
      <c r="AN34" s="1042">
        <f t="shared" ca="1" si="95"/>
        <v>0</v>
      </c>
      <c r="AO34" s="1042">
        <f t="shared" ca="1" si="95"/>
        <v>0</v>
      </c>
      <c r="AP34" s="1042">
        <f t="shared" ca="1" si="95"/>
        <v>0</v>
      </c>
      <c r="AQ34" s="1042">
        <f t="shared" ca="1" si="95"/>
        <v>0</v>
      </c>
      <c r="AR34" s="1042">
        <f t="shared" ca="1" si="95"/>
        <v>0</v>
      </c>
      <c r="AS34" s="1042">
        <f t="shared" ca="1" si="95"/>
        <v>0</v>
      </c>
      <c r="AT34" s="1042">
        <f t="shared" ca="1" si="95"/>
        <v>0</v>
      </c>
      <c r="AU34" s="1042">
        <f t="shared" ca="1" si="95"/>
        <v>0</v>
      </c>
      <c r="AV34" s="1042">
        <f t="shared" ca="1" si="94"/>
        <v>0</v>
      </c>
      <c r="AW34" s="1042">
        <f t="shared" ca="1" si="94"/>
        <v>0</v>
      </c>
      <c r="AX34" s="1042">
        <f t="shared" ca="1" si="94"/>
        <v>0</v>
      </c>
      <c r="AY34" s="1042">
        <f t="shared" ca="1" si="94"/>
        <v>0</v>
      </c>
      <c r="AZ34" s="1042">
        <f t="shared" ca="1" si="94"/>
        <v>0</v>
      </c>
      <c r="BA34" s="1042">
        <f t="shared" ca="1" si="94"/>
        <v>0</v>
      </c>
      <c r="BB34" s="1042">
        <f t="shared" ca="1" si="94"/>
        <v>0</v>
      </c>
      <c r="BC34" s="1042">
        <f t="shared" ca="1" si="94"/>
        <v>0</v>
      </c>
      <c r="BD34" s="1042">
        <f t="shared" ca="1" si="94"/>
        <v>0</v>
      </c>
      <c r="BE34" s="1042">
        <f t="shared" ca="1" si="94"/>
        <v>0</v>
      </c>
      <c r="BF34" s="1012">
        <f ca="1">SUM(AM34:BE34)</f>
        <v>0</v>
      </c>
      <c r="BH34" s="1036">
        <f ca="1">IFERROR(INDEX(INDIRECT($C34&amp;".Outputs["&amp;this.Year&amp;"]"), MATCH(BH$5, INDIRECT($C34&amp;".Outputs[Vector]"), 0)), 0)</f>
        <v>0</v>
      </c>
      <c r="BI34" s="1036">
        <f ca="1">IFERROR(INDEX(INDIRECT($C34&amp;".Outputs["&amp;this.Year&amp;"]"), MATCH(BI$5, INDIRECT($C34&amp;".Outputs[Vector]"), 0)), 0)</f>
        <v>0</v>
      </c>
      <c r="BJ34" s="1035">
        <f ca="1">SUM(BH34:BI34)</f>
        <v>0</v>
      </c>
      <c r="BL34" s="814">
        <f t="shared" ca="1" si="9"/>
        <v>0</v>
      </c>
      <c r="BM34" s="814"/>
      <c r="BN34" s="840"/>
      <c r="BO34" s="1485">
        <f t="shared" ref="BO34:DF34" ca="1" si="96">IFERROR(SUMIFS(INDIRECT($C34&amp;".Emissions["&amp;this.Year&amp;"]"), INDIRECT($C34&amp;".Emissions[GHG]"), BO$6, INDIRECT($C34&amp;".Emissions[IPCC Sector]"), BO$5),0)</f>
        <v>0</v>
      </c>
      <c r="BP34" s="1486">
        <f t="shared" ca="1" si="96"/>
        <v>0</v>
      </c>
      <c r="BQ34" s="1486">
        <f t="shared" ca="1" si="96"/>
        <v>0</v>
      </c>
      <c r="BR34" s="1486">
        <f t="shared" ca="1" si="96"/>
        <v>0</v>
      </c>
      <c r="BS34" s="1486">
        <f t="shared" ca="1" si="96"/>
        <v>0</v>
      </c>
      <c r="BT34" s="1486">
        <f t="shared" ca="1" si="96"/>
        <v>0</v>
      </c>
      <c r="BU34" s="1486">
        <f t="shared" ca="1" si="96"/>
        <v>0</v>
      </c>
      <c r="BV34" s="1486">
        <f t="shared" ca="1" si="96"/>
        <v>0</v>
      </c>
      <c r="BW34" s="1486">
        <f t="shared" ca="1" si="96"/>
        <v>0</v>
      </c>
      <c r="BX34" s="1486">
        <f t="shared" ca="1" si="96"/>
        <v>0</v>
      </c>
      <c r="BY34" s="1486">
        <f t="shared" ca="1" si="96"/>
        <v>0</v>
      </c>
      <c r="BZ34" s="1486">
        <f t="shared" ca="1" si="96"/>
        <v>0</v>
      </c>
      <c r="CA34" s="1486">
        <f t="shared" ca="1" si="96"/>
        <v>0</v>
      </c>
      <c r="CB34" s="1486">
        <f t="shared" ca="1" si="96"/>
        <v>0</v>
      </c>
      <c r="CC34" s="1486">
        <f t="shared" ca="1" si="96"/>
        <v>0</v>
      </c>
      <c r="CD34" s="1486">
        <f t="shared" ca="1" si="96"/>
        <v>0</v>
      </c>
      <c r="CE34" s="1486">
        <f t="shared" ca="1" si="96"/>
        <v>0</v>
      </c>
      <c r="CF34" s="1486">
        <f t="shared" ca="1" si="96"/>
        <v>0</v>
      </c>
      <c r="CG34" s="1486">
        <f t="shared" ca="1" si="96"/>
        <v>0</v>
      </c>
      <c r="CH34" s="1486">
        <f t="shared" ca="1" si="96"/>
        <v>0</v>
      </c>
      <c r="CI34" s="1486">
        <f t="shared" ca="1" si="96"/>
        <v>0</v>
      </c>
      <c r="CJ34" s="1486">
        <f t="shared" ca="1" si="96"/>
        <v>0</v>
      </c>
      <c r="CK34" s="1486">
        <f t="shared" ca="1" si="96"/>
        <v>0</v>
      </c>
      <c r="CL34" s="1486">
        <f t="shared" ca="1" si="96"/>
        <v>0</v>
      </c>
      <c r="CM34" s="1486">
        <f t="shared" ca="1" si="96"/>
        <v>0</v>
      </c>
      <c r="CN34" s="1486">
        <f t="shared" ca="1" si="96"/>
        <v>0</v>
      </c>
      <c r="CO34" s="1486">
        <f t="shared" ca="1" si="96"/>
        <v>0</v>
      </c>
      <c r="CP34" s="1486">
        <f t="shared" ca="1" si="96"/>
        <v>0</v>
      </c>
      <c r="CQ34" s="1486">
        <f t="shared" ca="1" si="96"/>
        <v>0</v>
      </c>
      <c r="CR34" s="1486">
        <f t="shared" ca="1" si="96"/>
        <v>0</v>
      </c>
      <c r="CS34" s="1486">
        <f t="shared" ca="1" si="96"/>
        <v>0</v>
      </c>
      <c r="CT34" s="1486">
        <f t="shared" ca="1" si="96"/>
        <v>0</v>
      </c>
      <c r="CU34" s="1486">
        <f t="shared" ca="1" si="96"/>
        <v>0</v>
      </c>
      <c r="CV34" s="1486">
        <f t="shared" ca="1" si="96"/>
        <v>0</v>
      </c>
      <c r="CW34" s="1486">
        <f t="shared" ca="1" si="96"/>
        <v>0</v>
      </c>
      <c r="CX34" s="1486">
        <f t="shared" ca="1" si="96"/>
        <v>0</v>
      </c>
      <c r="CY34" s="1486">
        <f t="shared" ca="1" si="96"/>
        <v>0</v>
      </c>
      <c r="CZ34" s="1486">
        <f t="shared" ca="1" si="96"/>
        <v>0</v>
      </c>
      <c r="DA34" s="1486">
        <f t="shared" ca="1" si="96"/>
        <v>0</v>
      </c>
      <c r="DB34" s="1486">
        <f t="shared" ca="1" si="96"/>
        <v>0</v>
      </c>
      <c r="DC34" s="1486">
        <f t="shared" ca="1" si="96"/>
        <v>0</v>
      </c>
      <c r="DD34" s="1486">
        <f t="shared" ca="1" si="96"/>
        <v>0</v>
      </c>
      <c r="DE34" s="1486">
        <f t="shared" ca="1" si="96"/>
        <v>0</v>
      </c>
      <c r="DF34" s="1486">
        <f t="shared" ca="1" si="96"/>
        <v>0</v>
      </c>
      <c r="DH34" s="838">
        <f t="shared" ca="1" si="35"/>
        <v>0</v>
      </c>
    </row>
    <row r="35" spans="1:112" s="743" customFormat="1" ht="15.75" collapsed="1">
      <c r="A35" s="22"/>
      <c r="B35" s="753"/>
      <c r="C35" s="744" t="s">
        <v>680</v>
      </c>
      <c r="D35" s="517" t="str">
        <f>INDEX(Workstreams[Workstream], MATCH($C35, Workstreams[Code], 0))</f>
        <v>Food consumption [UNUSED]</v>
      </c>
      <c r="E35" s="512"/>
      <c r="G35" s="1021">
        <f ca="1">G34</f>
        <v>0</v>
      </c>
      <c r="H35" s="1021">
        <f t="shared" ref="H35:P35" ca="1" si="97">H34</f>
        <v>0</v>
      </c>
      <c r="I35" s="1021">
        <f t="shared" ca="1" si="97"/>
        <v>0</v>
      </c>
      <c r="J35" s="1021">
        <f t="shared" ca="1" si="97"/>
        <v>0</v>
      </c>
      <c r="K35" s="1021">
        <f t="shared" ca="1" si="97"/>
        <v>0</v>
      </c>
      <c r="L35" s="1021">
        <f t="shared" ca="1" si="97"/>
        <v>0</v>
      </c>
      <c r="M35" s="1021">
        <f t="shared" ca="1" si="97"/>
        <v>0</v>
      </c>
      <c r="N35" s="1021">
        <f t="shared" ca="1" si="97"/>
        <v>0</v>
      </c>
      <c r="O35" s="1021">
        <f t="shared" ca="1" si="97"/>
        <v>0</v>
      </c>
      <c r="P35" s="1021">
        <f t="shared" ca="1" si="97"/>
        <v>0</v>
      </c>
      <c r="Q35" s="1021">
        <f ca="1">SUM(G35:P35)</f>
        <v>0</v>
      </c>
      <c r="S35" s="970">
        <f ca="1">S34</f>
        <v>0</v>
      </c>
      <c r="T35" s="970">
        <f t="shared" ref="T35:AJ35" ca="1" si="98">T34</f>
        <v>0</v>
      </c>
      <c r="U35" s="970">
        <f t="shared" ca="1" si="98"/>
        <v>0</v>
      </c>
      <c r="V35" s="970">
        <f t="shared" ca="1" si="98"/>
        <v>0</v>
      </c>
      <c r="W35" s="970">
        <f t="shared" ca="1" si="98"/>
        <v>0</v>
      </c>
      <c r="X35" s="970">
        <f ca="1">X34</f>
        <v>0</v>
      </c>
      <c r="Y35" s="970">
        <f ca="1">Y34</f>
        <v>0</v>
      </c>
      <c r="Z35" s="970">
        <f ca="1">Z34</f>
        <v>0</v>
      </c>
      <c r="AA35" s="970">
        <f t="shared" ca="1" si="98"/>
        <v>0</v>
      </c>
      <c r="AB35" s="970">
        <f t="shared" ca="1" si="98"/>
        <v>0</v>
      </c>
      <c r="AC35" s="970">
        <f t="shared" ca="1" si="98"/>
        <v>0</v>
      </c>
      <c r="AD35" s="970">
        <f ca="1">AD34</f>
        <v>0</v>
      </c>
      <c r="AE35" s="970">
        <f ca="1">AE34</f>
        <v>0</v>
      </c>
      <c r="AF35" s="970">
        <f t="shared" ca="1" si="98"/>
        <v>0</v>
      </c>
      <c r="AG35" s="970">
        <f ca="1">AG34</f>
        <v>0</v>
      </c>
      <c r="AH35" s="970">
        <f ca="1">AH34</f>
        <v>0</v>
      </c>
      <c r="AI35" s="970">
        <f ca="1">AI34</f>
        <v>0</v>
      </c>
      <c r="AJ35" s="970">
        <f t="shared" ca="1" si="98"/>
        <v>0</v>
      </c>
      <c r="AK35" s="970">
        <f ca="1">SUM(S35:AJ35)</f>
        <v>0</v>
      </c>
      <c r="AM35" s="976">
        <f t="shared" ref="AM35:BE35" ca="1" si="99">AM34</f>
        <v>0</v>
      </c>
      <c r="AN35" s="976">
        <f t="shared" ca="1" si="99"/>
        <v>0</v>
      </c>
      <c r="AO35" s="976">
        <f t="shared" ca="1" si="99"/>
        <v>0</v>
      </c>
      <c r="AP35" s="976">
        <f t="shared" ca="1" si="99"/>
        <v>0</v>
      </c>
      <c r="AQ35" s="976">
        <f t="shared" ca="1" si="99"/>
        <v>0</v>
      </c>
      <c r="AR35" s="976">
        <f t="shared" ca="1" si="99"/>
        <v>0</v>
      </c>
      <c r="AS35" s="976">
        <f t="shared" ca="1" si="99"/>
        <v>0</v>
      </c>
      <c r="AT35" s="976">
        <f t="shared" ca="1" si="99"/>
        <v>0</v>
      </c>
      <c r="AU35" s="976">
        <f t="shared" ca="1" si="99"/>
        <v>0</v>
      </c>
      <c r="AV35" s="976">
        <f t="shared" ca="1" si="99"/>
        <v>0</v>
      </c>
      <c r="AW35" s="976">
        <f t="shared" ca="1" si="99"/>
        <v>0</v>
      </c>
      <c r="AX35" s="976">
        <f t="shared" ca="1" si="99"/>
        <v>0</v>
      </c>
      <c r="AY35" s="976">
        <f t="shared" ca="1" si="99"/>
        <v>0</v>
      </c>
      <c r="AZ35" s="976">
        <f t="shared" ca="1" si="99"/>
        <v>0</v>
      </c>
      <c r="BA35" s="976">
        <f t="shared" ca="1" si="99"/>
        <v>0</v>
      </c>
      <c r="BB35" s="976">
        <f t="shared" ca="1" si="99"/>
        <v>0</v>
      </c>
      <c r="BC35" s="976">
        <f t="shared" ca="1" si="99"/>
        <v>0</v>
      </c>
      <c r="BD35" s="976">
        <f t="shared" ca="1" si="99"/>
        <v>0</v>
      </c>
      <c r="BE35" s="976">
        <f t="shared" ca="1" si="99"/>
        <v>0</v>
      </c>
      <c r="BF35" s="976">
        <f ca="1">SUM(AM35:BE35)</f>
        <v>0</v>
      </c>
      <c r="BH35" s="990">
        <f ca="1">BH34</f>
        <v>0</v>
      </c>
      <c r="BI35" s="990">
        <f ca="1">BI34</f>
        <v>0</v>
      </c>
      <c r="BJ35" s="990">
        <f ca="1">SUM(BH35:BI35)</f>
        <v>0</v>
      </c>
      <c r="BL35" s="515">
        <f t="shared" ca="1" si="9"/>
        <v>0</v>
      </c>
      <c r="BM35" s="515"/>
      <c r="BN35" s="840"/>
      <c r="BO35" s="1482">
        <f t="shared" ref="BO35:DF35" ca="1" si="100">BO34</f>
        <v>0</v>
      </c>
      <c r="BP35" s="1482">
        <f t="shared" ca="1" si="100"/>
        <v>0</v>
      </c>
      <c r="BQ35" s="1482">
        <f t="shared" ca="1" si="100"/>
        <v>0</v>
      </c>
      <c r="BR35" s="1482">
        <f t="shared" ca="1" si="100"/>
        <v>0</v>
      </c>
      <c r="BS35" s="1482">
        <f t="shared" ca="1" si="100"/>
        <v>0</v>
      </c>
      <c r="BT35" s="1482">
        <f t="shared" ca="1" si="100"/>
        <v>0</v>
      </c>
      <c r="BU35" s="1482">
        <f t="shared" ca="1" si="100"/>
        <v>0</v>
      </c>
      <c r="BV35" s="1482">
        <f t="shared" ca="1" si="100"/>
        <v>0</v>
      </c>
      <c r="BW35" s="1482">
        <f t="shared" ca="1" si="100"/>
        <v>0</v>
      </c>
      <c r="BX35" s="1482">
        <f t="shared" ca="1" si="100"/>
        <v>0</v>
      </c>
      <c r="BY35" s="1482">
        <f t="shared" ca="1" si="100"/>
        <v>0</v>
      </c>
      <c r="BZ35" s="1482">
        <f t="shared" ca="1" si="100"/>
        <v>0</v>
      </c>
      <c r="CA35" s="1482">
        <f t="shared" ca="1" si="100"/>
        <v>0</v>
      </c>
      <c r="CB35" s="1482">
        <f t="shared" ca="1" si="100"/>
        <v>0</v>
      </c>
      <c r="CC35" s="1482">
        <f t="shared" ca="1" si="100"/>
        <v>0</v>
      </c>
      <c r="CD35" s="1482">
        <f t="shared" ca="1" si="100"/>
        <v>0</v>
      </c>
      <c r="CE35" s="1482">
        <f t="shared" ca="1" si="100"/>
        <v>0</v>
      </c>
      <c r="CF35" s="1482">
        <f t="shared" ca="1" si="100"/>
        <v>0</v>
      </c>
      <c r="CG35" s="1482">
        <f t="shared" ca="1" si="100"/>
        <v>0</v>
      </c>
      <c r="CH35" s="1482">
        <f t="shared" ca="1" si="100"/>
        <v>0</v>
      </c>
      <c r="CI35" s="1482">
        <f t="shared" ca="1" si="100"/>
        <v>0</v>
      </c>
      <c r="CJ35" s="1482">
        <f t="shared" ca="1" si="100"/>
        <v>0</v>
      </c>
      <c r="CK35" s="1482">
        <f t="shared" ca="1" si="100"/>
        <v>0</v>
      </c>
      <c r="CL35" s="1482">
        <f t="shared" ca="1" si="100"/>
        <v>0</v>
      </c>
      <c r="CM35" s="1482">
        <f t="shared" ca="1" si="100"/>
        <v>0</v>
      </c>
      <c r="CN35" s="1482">
        <f t="shared" ca="1" si="100"/>
        <v>0</v>
      </c>
      <c r="CO35" s="1482">
        <f t="shared" ca="1" si="100"/>
        <v>0</v>
      </c>
      <c r="CP35" s="1482">
        <f t="shared" ca="1" si="100"/>
        <v>0</v>
      </c>
      <c r="CQ35" s="1482">
        <f t="shared" ca="1" si="100"/>
        <v>0</v>
      </c>
      <c r="CR35" s="1482">
        <f t="shared" ca="1" si="100"/>
        <v>0</v>
      </c>
      <c r="CS35" s="1482">
        <f t="shared" ca="1" si="100"/>
        <v>0</v>
      </c>
      <c r="CT35" s="1482">
        <f t="shared" ca="1" si="100"/>
        <v>0</v>
      </c>
      <c r="CU35" s="1482">
        <f t="shared" ca="1" si="100"/>
        <v>0</v>
      </c>
      <c r="CV35" s="1482">
        <f t="shared" ca="1" si="100"/>
        <v>0</v>
      </c>
      <c r="CW35" s="1482">
        <f t="shared" ca="1" si="100"/>
        <v>0</v>
      </c>
      <c r="CX35" s="1482">
        <f t="shared" ca="1" si="100"/>
        <v>0</v>
      </c>
      <c r="CY35" s="1482">
        <f t="shared" ca="1" si="100"/>
        <v>0</v>
      </c>
      <c r="CZ35" s="1482">
        <f t="shared" ca="1" si="100"/>
        <v>0</v>
      </c>
      <c r="DA35" s="1482">
        <f t="shared" ca="1" si="100"/>
        <v>0</v>
      </c>
      <c r="DB35" s="1482">
        <f t="shared" ca="1" si="100"/>
        <v>0</v>
      </c>
      <c r="DC35" s="1482">
        <f t="shared" ca="1" si="100"/>
        <v>0</v>
      </c>
      <c r="DD35" s="1482">
        <f t="shared" ca="1" si="100"/>
        <v>0</v>
      </c>
      <c r="DE35" s="1482">
        <f t="shared" ca="1" si="100"/>
        <v>0</v>
      </c>
      <c r="DF35" s="1482">
        <f t="shared" ca="1" si="100"/>
        <v>0</v>
      </c>
      <c r="DH35" s="838">
        <f t="shared" ca="1" si="35"/>
        <v>0</v>
      </c>
    </row>
    <row r="36" spans="1:112" s="743" customFormat="1" ht="12.75" hidden="1" customHeight="1" outlineLevel="1">
      <c r="A36" s="22"/>
      <c r="B36" s="22"/>
      <c r="C36" s="751"/>
      <c r="D36" s="512"/>
      <c r="E36" s="512"/>
      <c r="G36" s="1021"/>
      <c r="H36" s="1021"/>
      <c r="I36" s="1021"/>
      <c r="J36" s="1021"/>
      <c r="K36" s="1021"/>
      <c r="L36" s="1021"/>
      <c r="M36" s="1021"/>
      <c r="N36" s="1021"/>
      <c r="O36" s="1021"/>
      <c r="P36" s="1021"/>
      <c r="Q36" s="1021"/>
      <c r="S36" s="970"/>
      <c r="T36" s="970"/>
      <c r="U36" s="970"/>
      <c r="V36" s="970"/>
      <c r="W36" s="970"/>
      <c r="X36" s="970"/>
      <c r="Y36" s="970"/>
      <c r="Z36" s="970"/>
      <c r="AA36" s="970"/>
      <c r="AB36" s="970"/>
      <c r="AC36" s="970"/>
      <c r="AD36" s="970"/>
      <c r="AE36" s="970"/>
      <c r="AF36" s="970"/>
      <c r="AG36" s="970"/>
      <c r="AH36" s="970"/>
      <c r="AI36" s="970"/>
      <c r="AJ36" s="970"/>
      <c r="AK36" s="970"/>
      <c r="AM36" s="976"/>
      <c r="AN36" s="976"/>
      <c r="AO36" s="976"/>
      <c r="AP36" s="976"/>
      <c r="AQ36" s="976"/>
      <c r="AR36" s="976"/>
      <c r="AS36" s="976"/>
      <c r="AT36" s="976"/>
      <c r="AU36" s="976"/>
      <c r="AV36" s="976"/>
      <c r="AW36" s="976"/>
      <c r="AX36" s="976"/>
      <c r="AY36" s="976"/>
      <c r="AZ36" s="976"/>
      <c r="BA36" s="976"/>
      <c r="BB36" s="976"/>
      <c r="BC36" s="976"/>
      <c r="BD36" s="976"/>
      <c r="BE36" s="976"/>
      <c r="BF36" s="976"/>
      <c r="BH36" s="990"/>
      <c r="BI36" s="990"/>
      <c r="BJ36" s="990"/>
      <c r="BL36" s="515">
        <f t="shared" si="9"/>
        <v>0</v>
      </c>
      <c r="BM36" s="515"/>
      <c r="BN36" s="22"/>
      <c r="BO36" s="1481"/>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H36" s="838">
        <f t="shared" si="35"/>
        <v>0</v>
      </c>
    </row>
    <row r="37" spans="1:112" s="743" customFormat="1" ht="12.75" hidden="1" customHeight="1" outlineLevel="1">
      <c r="A37" s="1484"/>
      <c r="B37" s="1484"/>
      <c r="C37" s="746" t="s">
        <v>962</v>
      </c>
      <c r="D37" s="1010" t="str">
        <f>INDEX(Modules[Module], MATCH($C37, Modules[Code], 0))</f>
        <v>Geosequestration</v>
      </c>
      <c r="E37" s="1010"/>
      <c r="G37" s="1022">
        <f t="shared" ref="G37:P37" ca="1" si="101">IFERROR(INDEX(INDIRECT($C37&amp;".Outputs["&amp;this.Year&amp;"]"), MATCH(G$5, INDIRECT($C37&amp;".Outputs[Vector]"), 0)), 0)</f>
        <v>0</v>
      </c>
      <c r="H37" s="1022">
        <f t="shared" ca="1" si="101"/>
        <v>0</v>
      </c>
      <c r="I37" s="1022">
        <f t="shared" ca="1" si="101"/>
        <v>0</v>
      </c>
      <c r="J37" s="1022">
        <f t="shared" ca="1" si="101"/>
        <v>0</v>
      </c>
      <c r="K37" s="1022">
        <f t="shared" ca="1" si="101"/>
        <v>0</v>
      </c>
      <c r="L37" s="1022">
        <f t="shared" ca="1" si="101"/>
        <v>0</v>
      </c>
      <c r="M37" s="1022">
        <f t="shared" ca="1" si="101"/>
        <v>0</v>
      </c>
      <c r="N37" s="1022">
        <f t="shared" ca="1" si="101"/>
        <v>0</v>
      </c>
      <c r="O37" s="1022">
        <f t="shared" ca="1" si="101"/>
        <v>0</v>
      </c>
      <c r="P37" s="1022">
        <f t="shared" ca="1" si="101"/>
        <v>0</v>
      </c>
      <c r="Q37" s="1020">
        <f ca="1">SUM(G37:P37)</f>
        <v>0</v>
      </c>
      <c r="S37" s="1031">
        <f t="shared" ref="S37:BE37" ca="1" si="102">IFERROR(INDEX(INDIRECT($C37&amp;".Outputs["&amp;this.Year&amp;"]"), MATCH(S$5, INDIRECT($C37&amp;".Outputs[Vector]"), 0)), 0)</f>
        <v>0</v>
      </c>
      <c r="T37" s="1031">
        <f t="shared" ca="1" si="102"/>
        <v>0</v>
      </c>
      <c r="U37" s="1031">
        <f t="shared" ca="1" si="102"/>
        <v>0</v>
      </c>
      <c r="V37" s="1031">
        <f t="shared" ca="1" si="102"/>
        <v>0</v>
      </c>
      <c r="W37" s="1031">
        <f t="shared" ca="1" si="102"/>
        <v>0</v>
      </c>
      <c r="X37" s="1031">
        <f ca="1">IFERROR(INDEX(INDIRECT($C37&amp;".Outputs["&amp;this.Year&amp;"]"), MATCH(X$5, INDIRECT($C37&amp;".Outputs[Vector]"), 0)), 0)</f>
        <v>0</v>
      </c>
      <c r="Y37" s="1031">
        <f ca="1">IFERROR(INDEX(INDIRECT($C37&amp;".Outputs["&amp;this.Year&amp;"]"), MATCH(Y$5, INDIRECT($C37&amp;".Outputs[Vector]"), 0)), 0)</f>
        <v>0</v>
      </c>
      <c r="Z37" s="1031">
        <f ca="1">IFERROR(INDEX(INDIRECT($C37&amp;".Outputs["&amp;this.Year&amp;"]"), MATCH(Z$5, INDIRECT($C37&amp;".Outputs[Vector]"), 0)), 0)</f>
        <v>0</v>
      </c>
      <c r="AA37" s="1031">
        <f t="shared" ca="1" si="102"/>
        <v>0</v>
      </c>
      <c r="AB37" s="1031">
        <f t="shared" ca="1" si="102"/>
        <v>0</v>
      </c>
      <c r="AC37" s="1031">
        <f t="shared" ca="1" si="102"/>
        <v>0</v>
      </c>
      <c r="AD37" s="1031">
        <f t="shared" ca="1" si="102"/>
        <v>0</v>
      </c>
      <c r="AE37" s="1031">
        <f t="shared" ca="1" si="102"/>
        <v>0</v>
      </c>
      <c r="AF37" s="1031">
        <f t="shared" ca="1" si="102"/>
        <v>0</v>
      </c>
      <c r="AG37" s="1031">
        <f t="shared" ca="1" si="102"/>
        <v>0</v>
      </c>
      <c r="AH37" s="1031">
        <f t="shared" ca="1" si="102"/>
        <v>0</v>
      </c>
      <c r="AI37" s="1031">
        <f t="shared" ca="1" si="102"/>
        <v>0</v>
      </c>
      <c r="AJ37" s="1031">
        <f t="shared" ca="1" si="102"/>
        <v>0</v>
      </c>
      <c r="AK37" s="1030">
        <f ca="1">SUM(S37:AJ37)</f>
        <v>0</v>
      </c>
      <c r="AM37" s="1042">
        <f t="shared" ref="AM37:AU37" ca="1" si="103">IFERROR(INDEX(INDIRECT($C37&amp;".Outputs["&amp;this.Year&amp;"]"), MATCH(AM$5, INDIRECT($C37&amp;".Outputs[Vector]"), 0)), 0)</f>
        <v>0</v>
      </c>
      <c r="AN37" s="1042">
        <f t="shared" ca="1" si="103"/>
        <v>0</v>
      </c>
      <c r="AO37" s="1042">
        <f t="shared" ca="1" si="103"/>
        <v>0</v>
      </c>
      <c r="AP37" s="1042">
        <f t="shared" ca="1" si="103"/>
        <v>0</v>
      </c>
      <c r="AQ37" s="1042">
        <f t="shared" ca="1" si="103"/>
        <v>0</v>
      </c>
      <c r="AR37" s="1042">
        <f t="shared" ca="1" si="103"/>
        <v>0</v>
      </c>
      <c r="AS37" s="1042">
        <f t="shared" ca="1" si="103"/>
        <v>0</v>
      </c>
      <c r="AT37" s="1042">
        <f t="shared" ca="1" si="103"/>
        <v>0</v>
      </c>
      <c r="AU37" s="1042">
        <f t="shared" ca="1" si="103"/>
        <v>0</v>
      </c>
      <c r="AV37" s="1042">
        <f t="shared" ca="1" si="102"/>
        <v>0</v>
      </c>
      <c r="AW37" s="1042">
        <f t="shared" ca="1" si="102"/>
        <v>0</v>
      </c>
      <c r="AX37" s="1042">
        <f t="shared" ca="1" si="102"/>
        <v>0</v>
      </c>
      <c r="AY37" s="1042">
        <f t="shared" ca="1" si="102"/>
        <v>0</v>
      </c>
      <c r="AZ37" s="1042">
        <f t="shared" ca="1" si="102"/>
        <v>0</v>
      </c>
      <c r="BA37" s="1042">
        <f t="shared" ca="1" si="102"/>
        <v>0</v>
      </c>
      <c r="BB37" s="1042">
        <f t="shared" ca="1" si="102"/>
        <v>0</v>
      </c>
      <c r="BC37" s="1042">
        <f t="shared" ca="1" si="102"/>
        <v>0</v>
      </c>
      <c r="BD37" s="1042">
        <f t="shared" ca="1" si="102"/>
        <v>0</v>
      </c>
      <c r="BE37" s="1042">
        <f t="shared" ca="1" si="102"/>
        <v>0</v>
      </c>
      <c r="BF37" s="1012">
        <f ca="1">SUM(AM37:BE37)</f>
        <v>0</v>
      </c>
      <c r="BH37" s="1036">
        <f ca="1">IFERROR(INDEX(INDIRECT($C37&amp;".Outputs["&amp;this.Year&amp;"]"), MATCH(BH$5, INDIRECT($C37&amp;".Outputs[Vector]"), 0)), 0)</f>
        <v>0</v>
      </c>
      <c r="BI37" s="1036">
        <f ca="1">IFERROR(INDEX(INDIRECT($C37&amp;".Outputs["&amp;this.Year&amp;"]"), MATCH(BI$5, INDIRECT($C37&amp;".Outputs[Vector]"), 0)), 0)</f>
        <v>0</v>
      </c>
      <c r="BJ37" s="1035">
        <f ca="1">SUM(BH37:BI37)</f>
        <v>0</v>
      </c>
      <c r="BL37" s="814">
        <f t="shared" ca="1" si="9"/>
        <v>0</v>
      </c>
      <c r="BM37" s="814"/>
      <c r="BN37" s="840"/>
      <c r="BO37" s="1485">
        <f t="shared" ref="BO37:DF37" ca="1" si="104">IFERROR(SUMIFS(INDIRECT($C37&amp;".Emissions["&amp;this.Year&amp;"]"), INDIRECT($C37&amp;".Emissions[GHG]"), BO$6, INDIRECT($C37&amp;".Emissions[IPCC Sector]"), BO$5),0)</f>
        <v>0</v>
      </c>
      <c r="BP37" s="1486">
        <f t="shared" ca="1" si="104"/>
        <v>0</v>
      </c>
      <c r="BQ37" s="1486">
        <f t="shared" ca="1" si="104"/>
        <v>0</v>
      </c>
      <c r="BR37" s="1486">
        <f t="shared" ca="1" si="104"/>
        <v>0</v>
      </c>
      <c r="BS37" s="1486">
        <f t="shared" ca="1" si="104"/>
        <v>0</v>
      </c>
      <c r="BT37" s="1486">
        <f t="shared" ca="1" si="104"/>
        <v>0</v>
      </c>
      <c r="BU37" s="1486">
        <f t="shared" ca="1" si="104"/>
        <v>0</v>
      </c>
      <c r="BV37" s="1486">
        <f t="shared" ca="1" si="104"/>
        <v>0</v>
      </c>
      <c r="BW37" s="1486">
        <f t="shared" ca="1" si="104"/>
        <v>0</v>
      </c>
      <c r="BX37" s="1486">
        <f t="shared" ca="1" si="104"/>
        <v>0</v>
      </c>
      <c r="BY37" s="1486">
        <f t="shared" ca="1" si="104"/>
        <v>0</v>
      </c>
      <c r="BZ37" s="1486">
        <f t="shared" ca="1" si="104"/>
        <v>0</v>
      </c>
      <c r="CA37" s="1486">
        <f t="shared" ca="1" si="104"/>
        <v>0</v>
      </c>
      <c r="CB37" s="1486">
        <f t="shared" ca="1" si="104"/>
        <v>0</v>
      </c>
      <c r="CC37" s="1486">
        <f t="shared" ca="1" si="104"/>
        <v>0</v>
      </c>
      <c r="CD37" s="1486">
        <f t="shared" ca="1" si="104"/>
        <v>0</v>
      </c>
      <c r="CE37" s="1486">
        <f t="shared" ca="1" si="104"/>
        <v>0</v>
      </c>
      <c r="CF37" s="1486">
        <f t="shared" ca="1" si="104"/>
        <v>0</v>
      </c>
      <c r="CG37" s="1486">
        <f t="shared" ca="1" si="104"/>
        <v>0</v>
      </c>
      <c r="CH37" s="1486">
        <f t="shared" ca="1" si="104"/>
        <v>0</v>
      </c>
      <c r="CI37" s="1486">
        <f t="shared" ca="1" si="104"/>
        <v>0</v>
      </c>
      <c r="CJ37" s="1486">
        <f t="shared" ca="1" si="104"/>
        <v>0</v>
      </c>
      <c r="CK37" s="1486">
        <f t="shared" ca="1" si="104"/>
        <v>0</v>
      </c>
      <c r="CL37" s="1486">
        <f t="shared" ca="1" si="104"/>
        <v>0</v>
      </c>
      <c r="CM37" s="1486">
        <f t="shared" ca="1" si="104"/>
        <v>0</v>
      </c>
      <c r="CN37" s="1486">
        <f t="shared" ca="1" si="104"/>
        <v>0</v>
      </c>
      <c r="CO37" s="1486">
        <f t="shared" ca="1" si="104"/>
        <v>0</v>
      </c>
      <c r="CP37" s="1486">
        <f t="shared" ca="1" si="104"/>
        <v>0</v>
      </c>
      <c r="CQ37" s="1486">
        <f t="shared" ca="1" si="104"/>
        <v>0</v>
      </c>
      <c r="CR37" s="1486">
        <f t="shared" ca="1" si="104"/>
        <v>0</v>
      </c>
      <c r="CS37" s="1486">
        <f t="shared" ca="1" si="104"/>
        <v>0</v>
      </c>
      <c r="CT37" s="1486">
        <f t="shared" ca="1" si="104"/>
        <v>0</v>
      </c>
      <c r="CU37" s="1486">
        <f t="shared" ca="1" si="104"/>
        <v>0</v>
      </c>
      <c r="CV37" s="1486">
        <f t="shared" ca="1" si="104"/>
        <v>0</v>
      </c>
      <c r="CW37" s="1486">
        <f t="shared" ca="1" si="104"/>
        <v>0</v>
      </c>
      <c r="CX37" s="1486">
        <f t="shared" ca="1" si="104"/>
        <v>0</v>
      </c>
      <c r="CY37" s="1486">
        <f t="shared" ca="1" si="104"/>
        <v>0</v>
      </c>
      <c r="CZ37" s="1486">
        <f t="shared" ca="1" si="104"/>
        <v>0</v>
      </c>
      <c r="DA37" s="1486">
        <f t="shared" ca="1" si="104"/>
        <v>0</v>
      </c>
      <c r="DB37" s="1486">
        <f t="shared" ca="1" si="104"/>
        <v>0</v>
      </c>
      <c r="DC37" s="1486">
        <f t="shared" ca="1" si="104"/>
        <v>0</v>
      </c>
      <c r="DD37" s="1486">
        <f t="shared" ca="1" si="104"/>
        <v>0</v>
      </c>
      <c r="DE37" s="1486">
        <f t="shared" ca="1" si="104"/>
        <v>0</v>
      </c>
      <c r="DF37" s="1486">
        <f t="shared" ca="1" si="104"/>
        <v>0</v>
      </c>
      <c r="DH37" s="838">
        <f t="shared" ca="1" si="35"/>
        <v>0</v>
      </c>
    </row>
    <row r="38" spans="1:112" s="743" customFormat="1" ht="15.75" collapsed="1">
      <c r="A38" s="22"/>
      <c r="B38" s="753"/>
      <c r="C38" s="744" t="s">
        <v>675</v>
      </c>
      <c r="D38" s="517" t="str">
        <f>INDEX(Workstreams[Workstream], MATCH($C38, Workstreams[Code], 0))</f>
        <v>Geosequestration</v>
      </c>
      <c r="E38" s="512"/>
      <c r="G38" s="1021">
        <f ca="1">G37</f>
        <v>0</v>
      </c>
      <c r="H38" s="1021">
        <f t="shared" ref="H38:P38" ca="1" si="105">H37</f>
        <v>0</v>
      </c>
      <c r="I38" s="1021">
        <f t="shared" ca="1" si="105"/>
        <v>0</v>
      </c>
      <c r="J38" s="1021">
        <f t="shared" ca="1" si="105"/>
        <v>0</v>
      </c>
      <c r="K38" s="1021">
        <f t="shared" ca="1" si="105"/>
        <v>0</v>
      </c>
      <c r="L38" s="1021">
        <f t="shared" ca="1" si="105"/>
        <v>0</v>
      </c>
      <c r="M38" s="1021">
        <f t="shared" ca="1" si="105"/>
        <v>0</v>
      </c>
      <c r="N38" s="1021">
        <f t="shared" ca="1" si="105"/>
        <v>0</v>
      </c>
      <c r="O38" s="1021">
        <f t="shared" ca="1" si="105"/>
        <v>0</v>
      </c>
      <c r="P38" s="1021">
        <f t="shared" ca="1" si="105"/>
        <v>0</v>
      </c>
      <c r="Q38" s="1021">
        <f ca="1">SUM(G38:P38)</f>
        <v>0</v>
      </c>
      <c r="S38" s="970">
        <f t="shared" ref="S38:AJ38" ca="1" si="106">S37</f>
        <v>0</v>
      </c>
      <c r="T38" s="970">
        <f t="shared" ca="1" si="106"/>
        <v>0</v>
      </c>
      <c r="U38" s="970">
        <f t="shared" ca="1" si="106"/>
        <v>0</v>
      </c>
      <c r="V38" s="970">
        <f t="shared" ca="1" si="106"/>
        <v>0</v>
      </c>
      <c r="W38" s="970">
        <f t="shared" ca="1" si="106"/>
        <v>0</v>
      </c>
      <c r="X38" s="970">
        <f ca="1">X37</f>
        <v>0</v>
      </c>
      <c r="Y38" s="970">
        <f ca="1">Y37</f>
        <v>0</v>
      </c>
      <c r="Z38" s="970">
        <f ca="1">Z37</f>
        <v>0</v>
      </c>
      <c r="AA38" s="970">
        <f t="shared" ca="1" si="106"/>
        <v>0</v>
      </c>
      <c r="AB38" s="970">
        <f t="shared" ca="1" si="106"/>
        <v>0</v>
      </c>
      <c r="AC38" s="970">
        <f t="shared" ca="1" si="106"/>
        <v>0</v>
      </c>
      <c r="AD38" s="970">
        <f ca="1">AD37</f>
        <v>0</v>
      </c>
      <c r="AE38" s="970">
        <f ca="1">AE37</f>
        <v>0</v>
      </c>
      <c r="AF38" s="970">
        <f t="shared" ca="1" si="106"/>
        <v>0</v>
      </c>
      <c r="AG38" s="970">
        <f ca="1">AG37</f>
        <v>0</v>
      </c>
      <c r="AH38" s="970">
        <f ca="1">AH37</f>
        <v>0</v>
      </c>
      <c r="AI38" s="970">
        <f ca="1">AI37</f>
        <v>0</v>
      </c>
      <c r="AJ38" s="970">
        <f t="shared" ca="1" si="106"/>
        <v>0</v>
      </c>
      <c r="AK38" s="970">
        <f ca="1">SUM(S38:AJ38)</f>
        <v>0</v>
      </c>
      <c r="AM38" s="976">
        <f t="shared" ref="AM38:AS38" ca="1" si="107">AM37</f>
        <v>0</v>
      </c>
      <c r="AN38" s="976">
        <f t="shared" ca="1" si="107"/>
        <v>0</v>
      </c>
      <c r="AO38" s="976">
        <f t="shared" ca="1" si="107"/>
        <v>0</v>
      </c>
      <c r="AP38" s="976">
        <f t="shared" ca="1" si="107"/>
        <v>0</v>
      </c>
      <c r="AQ38" s="976">
        <f t="shared" ca="1" si="107"/>
        <v>0</v>
      </c>
      <c r="AR38" s="976">
        <f t="shared" ca="1" si="107"/>
        <v>0</v>
      </c>
      <c r="AS38" s="976">
        <f t="shared" ca="1" si="107"/>
        <v>0</v>
      </c>
      <c r="AT38" s="976">
        <f t="shared" ref="AT38:BE38" ca="1" si="108">AT37</f>
        <v>0</v>
      </c>
      <c r="AU38" s="976">
        <f t="shared" ca="1" si="108"/>
        <v>0</v>
      </c>
      <c r="AV38" s="976">
        <f t="shared" ca="1" si="108"/>
        <v>0</v>
      </c>
      <c r="AW38" s="976">
        <f t="shared" ca="1" si="108"/>
        <v>0</v>
      </c>
      <c r="AX38" s="976">
        <f t="shared" ca="1" si="108"/>
        <v>0</v>
      </c>
      <c r="AY38" s="976">
        <f t="shared" ca="1" si="108"/>
        <v>0</v>
      </c>
      <c r="AZ38" s="976">
        <f t="shared" ca="1" si="108"/>
        <v>0</v>
      </c>
      <c r="BA38" s="976">
        <f t="shared" ca="1" si="108"/>
        <v>0</v>
      </c>
      <c r="BB38" s="976">
        <f t="shared" ca="1" si="108"/>
        <v>0</v>
      </c>
      <c r="BC38" s="976">
        <f t="shared" ca="1" si="108"/>
        <v>0</v>
      </c>
      <c r="BD38" s="976">
        <f t="shared" ca="1" si="108"/>
        <v>0</v>
      </c>
      <c r="BE38" s="976">
        <f t="shared" ca="1" si="108"/>
        <v>0</v>
      </c>
      <c r="BF38" s="976">
        <f ca="1">SUM(AM38:BE38)</f>
        <v>0</v>
      </c>
      <c r="BH38" s="990">
        <f ca="1">BH37</f>
        <v>0</v>
      </c>
      <c r="BI38" s="990">
        <f ca="1">BI37</f>
        <v>0</v>
      </c>
      <c r="BJ38" s="990">
        <f ca="1">SUM(BH38:BI38)</f>
        <v>0</v>
      </c>
      <c r="BL38" s="515">
        <f t="shared" ca="1" si="9"/>
        <v>0</v>
      </c>
      <c r="BM38" s="515"/>
      <c r="BN38" s="840"/>
      <c r="BO38" s="1482">
        <f t="shared" ref="BO38:DF38" ca="1" si="109">BO37</f>
        <v>0</v>
      </c>
      <c r="BP38" s="1482">
        <f t="shared" ca="1" si="109"/>
        <v>0</v>
      </c>
      <c r="BQ38" s="1482">
        <f t="shared" ca="1" si="109"/>
        <v>0</v>
      </c>
      <c r="BR38" s="1482">
        <f t="shared" ca="1" si="109"/>
        <v>0</v>
      </c>
      <c r="BS38" s="1482">
        <f t="shared" ca="1" si="109"/>
        <v>0</v>
      </c>
      <c r="BT38" s="1482">
        <f t="shared" ca="1" si="109"/>
        <v>0</v>
      </c>
      <c r="BU38" s="1482">
        <f t="shared" ca="1" si="109"/>
        <v>0</v>
      </c>
      <c r="BV38" s="1482">
        <f t="shared" ca="1" si="109"/>
        <v>0</v>
      </c>
      <c r="BW38" s="1482">
        <f t="shared" ca="1" si="109"/>
        <v>0</v>
      </c>
      <c r="BX38" s="1482">
        <f t="shared" ca="1" si="109"/>
        <v>0</v>
      </c>
      <c r="BY38" s="1482">
        <f t="shared" ca="1" si="109"/>
        <v>0</v>
      </c>
      <c r="BZ38" s="1482">
        <f t="shared" ca="1" si="109"/>
        <v>0</v>
      </c>
      <c r="CA38" s="1482">
        <f t="shared" ca="1" si="109"/>
        <v>0</v>
      </c>
      <c r="CB38" s="1482">
        <f t="shared" ca="1" si="109"/>
        <v>0</v>
      </c>
      <c r="CC38" s="1482">
        <f t="shared" ca="1" si="109"/>
        <v>0</v>
      </c>
      <c r="CD38" s="1482">
        <f t="shared" ca="1" si="109"/>
        <v>0</v>
      </c>
      <c r="CE38" s="1482">
        <f t="shared" ca="1" si="109"/>
        <v>0</v>
      </c>
      <c r="CF38" s="1482">
        <f t="shared" ca="1" si="109"/>
        <v>0</v>
      </c>
      <c r="CG38" s="1482">
        <f t="shared" ca="1" si="109"/>
        <v>0</v>
      </c>
      <c r="CH38" s="1482">
        <f t="shared" ca="1" si="109"/>
        <v>0</v>
      </c>
      <c r="CI38" s="1482">
        <f t="shared" ca="1" si="109"/>
        <v>0</v>
      </c>
      <c r="CJ38" s="1482">
        <f t="shared" ca="1" si="109"/>
        <v>0</v>
      </c>
      <c r="CK38" s="1482">
        <f t="shared" ca="1" si="109"/>
        <v>0</v>
      </c>
      <c r="CL38" s="1482">
        <f t="shared" ca="1" si="109"/>
        <v>0</v>
      </c>
      <c r="CM38" s="1482">
        <f t="shared" ca="1" si="109"/>
        <v>0</v>
      </c>
      <c r="CN38" s="1482">
        <f t="shared" ca="1" si="109"/>
        <v>0</v>
      </c>
      <c r="CO38" s="1482">
        <f t="shared" ca="1" si="109"/>
        <v>0</v>
      </c>
      <c r="CP38" s="1482">
        <f t="shared" ca="1" si="109"/>
        <v>0</v>
      </c>
      <c r="CQ38" s="1482">
        <f t="shared" ca="1" si="109"/>
        <v>0</v>
      </c>
      <c r="CR38" s="1482">
        <f t="shared" ca="1" si="109"/>
        <v>0</v>
      </c>
      <c r="CS38" s="1482">
        <f t="shared" ca="1" si="109"/>
        <v>0</v>
      </c>
      <c r="CT38" s="1482">
        <f t="shared" ca="1" si="109"/>
        <v>0</v>
      </c>
      <c r="CU38" s="1482">
        <f t="shared" ca="1" si="109"/>
        <v>0</v>
      </c>
      <c r="CV38" s="1482">
        <f t="shared" ca="1" si="109"/>
        <v>0</v>
      </c>
      <c r="CW38" s="1482">
        <f t="shared" ca="1" si="109"/>
        <v>0</v>
      </c>
      <c r="CX38" s="1482">
        <f t="shared" ca="1" si="109"/>
        <v>0</v>
      </c>
      <c r="CY38" s="1482">
        <f t="shared" ca="1" si="109"/>
        <v>0</v>
      </c>
      <c r="CZ38" s="1482">
        <f t="shared" ca="1" si="109"/>
        <v>0</v>
      </c>
      <c r="DA38" s="1482">
        <f t="shared" ca="1" si="109"/>
        <v>0</v>
      </c>
      <c r="DB38" s="1482">
        <f t="shared" ca="1" si="109"/>
        <v>0</v>
      </c>
      <c r="DC38" s="1482">
        <f t="shared" ca="1" si="109"/>
        <v>0</v>
      </c>
      <c r="DD38" s="1482">
        <f t="shared" ca="1" si="109"/>
        <v>0</v>
      </c>
      <c r="DE38" s="1482">
        <f t="shared" ca="1" si="109"/>
        <v>0</v>
      </c>
      <c r="DF38" s="1482">
        <f t="shared" ca="1" si="109"/>
        <v>0</v>
      </c>
      <c r="DH38" s="838">
        <f t="shared" ca="1" si="35"/>
        <v>0</v>
      </c>
    </row>
    <row r="39" spans="1:112" s="743" customFormat="1" ht="6" customHeight="1">
      <c r="C39" s="516"/>
      <c r="D39" s="517"/>
      <c r="E39" s="509"/>
      <c r="G39" s="1021"/>
      <c r="H39" s="1021"/>
      <c r="I39" s="1021"/>
      <c r="J39" s="1021"/>
      <c r="K39" s="1021"/>
      <c r="L39" s="1021"/>
      <c r="M39" s="1021"/>
      <c r="N39" s="1021"/>
      <c r="O39" s="1021"/>
      <c r="P39" s="1021"/>
      <c r="Q39" s="1021"/>
      <c r="S39" s="970"/>
      <c r="T39" s="970"/>
      <c r="U39" s="970"/>
      <c r="V39" s="970"/>
      <c r="W39" s="970"/>
      <c r="X39" s="970"/>
      <c r="Y39" s="970"/>
      <c r="Z39" s="970"/>
      <c r="AA39" s="970"/>
      <c r="AB39" s="970"/>
      <c r="AC39" s="970"/>
      <c r="AD39" s="970"/>
      <c r="AE39" s="970"/>
      <c r="AF39" s="970"/>
      <c r="AG39" s="970"/>
      <c r="AH39" s="970"/>
      <c r="AI39" s="970"/>
      <c r="AJ39" s="970"/>
      <c r="AK39" s="970"/>
      <c r="AM39" s="976"/>
      <c r="AN39" s="976"/>
      <c r="AO39" s="976"/>
      <c r="AP39" s="976"/>
      <c r="AQ39" s="976"/>
      <c r="AR39" s="976"/>
      <c r="AS39" s="976"/>
      <c r="AT39" s="976"/>
      <c r="AU39" s="976"/>
      <c r="AV39" s="976"/>
      <c r="AW39" s="976"/>
      <c r="AX39" s="976"/>
      <c r="AY39" s="976"/>
      <c r="AZ39" s="976"/>
      <c r="BA39" s="976"/>
      <c r="BB39" s="976"/>
      <c r="BC39" s="976"/>
      <c r="BD39" s="976"/>
      <c r="BE39" s="976"/>
      <c r="BF39" s="976">
        <f>SUM(AM39:BE39)</f>
        <v>0</v>
      </c>
      <c r="BH39" s="990"/>
      <c r="BI39" s="990"/>
      <c r="BJ39" s="990"/>
      <c r="BL39" s="515">
        <f t="shared" si="9"/>
        <v>0</v>
      </c>
      <c r="BM39" s="515"/>
      <c r="BO39" s="1482"/>
      <c r="BP39" s="1482"/>
      <c r="BQ39" s="1482"/>
      <c r="BR39" s="1482"/>
      <c r="BS39" s="1482"/>
      <c r="BT39" s="1482"/>
      <c r="BU39" s="1482"/>
      <c r="BV39" s="1482"/>
      <c r="BW39" s="1482"/>
      <c r="BX39" s="1482"/>
      <c r="BY39" s="1482"/>
      <c r="BZ39" s="1482"/>
      <c r="CA39" s="1482"/>
      <c r="CB39" s="1482"/>
      <c r="CC39" s="1482"/>
      <c r="CD39" s="1482"/>
      <c r="CE39" s="1482"/>
      <c r="CF39" s="1482"/>
      <c r="CG39" s="1482"/>
      <c r="CH39" s="1482"/>
      <c r="CI39" s="1482"/>
      <c r="CJ39" s="1482"/>
      <c r="CK39" s="1482"/>
      <c r="CL39" s="1482"/>
      <c r="CM39" s="1482"/>
      <c r="CN39" s="1482"/>
      <c r="CO39" s="1482"/>
      <c r="CP39" s="1482"/>
      <c r="CQ39" s="1482"/>
      <c r="CR39" s="1482"/>
      <c r="CS39" s="1482"/>
      <c r="CT39" s="1482"/>
      <c r="CU39" s="1482"/>
      <c r="CV39" s="1482"/>
      <c r="CW39" s="1482"/>
      <c r="CX39" s="1482"/>
      <c r="CY39" s="1482"/>
      <c r="CZ39" s="1482"/>
      <c r="DA39" s="1482"/>
      <c r="DB39" s="1482"/>
      <c r="DC39" s="1482"/>
      <c r="DD39" s="1482"/>
      <c r="DE39" s="1482"/>
      <c r="DF39" s="1482"/>
      <c r="DH39" s="838"/>
    </row>
    <row r="40" spans="1:112" s="743" customFormat="1" ht="15.75">
      <c r="B40" s="753"/>
      <c r="C40" s="2051" t="s">
        <v>1815</v>
      </c>
      <c r="D40" s="643" t="s">
        <v>619</v>
      </c>
      <c r="E40" s="644"/>
      <c r="G40" s="1023">
        <f t="shared" ref="G40:Q40" ca="1" si="110">G$15+G$19+G$22+G$32+G$35+G$38</f>
        <v>560.79657715903761</v>
      </c>
      <c r="H40" s="1023">
        <f t="shared" ca="1" si="110"/>
        <v>181.64752039357137</v>
      </c>
      <c r="I40" s="1023">
        <f t="shared" ca="1" si="110"/>
        <v>415.84603598805307</v>
      </c>
      <c r="J40" s="1023">
        <f t="shared" ca="1" si="110"/>
        <v>445.092247062605</v>
      </c>
      <c r="K40" s="1023">
        <f t="shared" ca="1" si="110"/>
        <v>17.183448840130435</v>
      </c>
      <c r="L40" s="1023">
        <f t="shared" ca="1" si="110"/>
        <v>10.163716423089292</v>
      </c>
      <c r="M40" s="1023">
        <f t="shared" ca="1" si="110"/>
        <v>25.383064556311584</v>
      </c>
      <c r="N40" s="1023">
        <f t="shared" ca="1" si="110"/>
        <v>174.02097069883129</v>
      </c>
      <c r="O40" s="1023">
        <f t="shared" ca="1" si="110"/>
        <v>46.676563829064939</v>
      </c>
      <c r="P40" s="1023">
        <f t="shared" ca="1" si="110"/>
        <v>0</v>
      </c>
      <c r="Q40" s="1023">
        <f t="shared" ca="1" si="110"/>
        <v>1876.8101449506944</v>
      </c>
      <c r="S40" s="1014">
        <f t="shared" ref="S40:AJ40" ca="1" si="111">S$15+S$19+S$22+S$32+S$35+S$38</f>
        <v>-361.36952467529017</v>
      </c>
      <c r="T40" s="1014">
        <f t="shared" ca="1" si="111"/>
        <v>0</v>
      </c>
      <c r="U40" s="1014">
        <f t="shared" ca="1" si="111"/>
        <v>-66.440903534027854</v>
      </c>
      <c r="V40" s="1014">
        <f t="shared" ca="1" si="111"/>
        <v>-812.49996978049603</v>
      </c>
      <c r="W40" s="1014">
        <f t="shared" ca="1" si="111"/>
        <v>-628.35087301411636</v>
      </c>
      <c r="X40" s="1014">
        <f ca="1">X$15+X$19+X$22+X$32+X$35+X$38</f>
        <v>0</v>
      </c>
      <c r="Y40" s="1014">
        <f ca="1">Y$15+Y$19+Y$22+Y$32+Y$35+Y$38</f>
        <v>0</v>
      </c>
      <c r="Z40" s="1014">
        <f ca="1">Z$15+Z$19+Z$22+Z$32+Z$35+Z$38</f>
        <v>0</v>
      </c>
      <c r="AA40" s="1014">
        <f t="shared" ca="1" si="111"/>
        <v>0</v>
      </c>
      <c r="AB40" s="1014">
        <f t="shared" ca="1" si="111"/>
        <v>-8.1488739467640343</v>
      </c>
      <c r="AC40" s="1014">
        <f t="shared" ca="1" si="111"/>
        <v>0</v>
      </c>
      <c r="AD40" s="1014">
        <f t="shared" ca="1" si="111"/>
        <v>0</v>
      </c>
      <c r="AE40" s="1014">
        <f t="shared" ca="1" si="111"/>
        <v>0</v>
      </c>
      <c r="AF40" s="1014">
        <f t="shared" ca="1" si="111"/>
        <v>0</v>
      </c>
      <c r="AG40" s="1014">
        <f t="shared" ca="1" si="111"/>
        <v>0</v>
      </c>
      <c r="AH40" s="1014">
        <f t="shared" ca="1" si="111"/>
        <v>0</v>
      </c>
      <c r="AI40" s="1014">
        <f t="shared" ca="1" si="111"/>
        <v>0</v>
      </c>
      <c r="AJ40" s="1014">
        <f t="shared" ca="1" si="111"/>
        <v>0</v>
      </c>
      <c r="AK40" s="1014">
        <f ca="1">SUM(S40:AJ40)</f>
        <v>-1876.8101449506946</v>
      </c>
      <c r="AM40" s="1015">
        <f t="shared" ref="AM40:BE40" ca="1" si="112">AM$15+AM$19+AM$22+AM$32+AM$35+AM$38</f>
        <v>0</v>
      </c>
      <c r="AN40" s="1015">
        <f t="shared" ca="1" si="112"/>
        <v>0</v>
      </c>
      <c r="AO40" s="1015">
        <f t="shared" ca="1" si="112"/>
        <v>0</v>
      </c>
      <c r="AP40" s="1015">
        <f t="shared" ca="1" si="112"/>
        <v>0</v>
      </c>
      <c r="AQ40" s="1015">
        <f t="shared" ca="1" si="112"/>
        <v>0</v>
      </c>
      <c r="AR40" s="1015">
        <f t="shared" ca="1" si="112"/>
        <v>0</v>
      </c>
      <c r="AS40" s="1015">
        <f t="shared" ca="1" si="112"/>
        <v>0</v>
      </c>
      <c r="AT40" s="1015">
        <f t="shared" ca="1" si="112"/>
        <v>0</v>
      </c>
      <c r="AU40" s="1015">
        <f t="shared" ca="1" si="112"/>
        <v>0</v>
      </c>
      <c r="AV40" s="1015">
        <f t="shared" ca="1" si="112"/>
        <v>0</v>
      </c>
      <c r="AW40" s="1015">
        <f t="shared" ca="1" si="112"/>
        <v>0</v>
      </c>
      <c r="AX40" s="1015">
        <f t="shared" ca="1" si="112"/>
        <v>0</v>
      </c>
      <c r="AY40" s="1015">
        <f t="shared" ca="1" si="112"/>
        <v>0</v>
      </c>
      <c r="AZ40" s="1015">
        <f t="shared" ca="1" si="112"/>
        <v>0</v>
      </c>
      <c r="BA40" s="1015">
        <f t="shared" ca="1" si="112"/>
        <v>0</v>
      </c>
      <c r="BB40" s="1015">
        <f t="shared" ca="1" si="112"/>
        <v>0</v>
      </c>
      <c r="BC40" s="1015">
        <f t="shared" ca="1" si="112"/>
        <v>0</v>
      </c>
      <c r="BD40" s="1015">
        <f t="shared" ca="1" si="112"/>
        <v>0</v>
      </c>
      <c r="BE40" s="1015">
        <f t="shared" ca="1" si="112"/>
        <v>0</v>
      </c>
      <c r="BF40" s="1015">
        <f ca="1">SUM(AM40:BE40)</f>
        <v>0</v>
      </c>
      <c r="BH40" s="1016">
        <f ca="1">BH$15+BH$19+BH$22+BH$32+BH$35+BH$38</f>
        <v>0</v>
      </c>
      <c r="BI40" s="1016">
        <f ca="1">BI$15+BI$19+BI$22+BI$32+BI$35+BI$38</f>
        <v>0</v>
      </c>
      <c r="BJ40" s="1016">
        <f ca="1">SUM(BH40:BI40)</f>
        <v>0</v>
      </c>
      <c r="BL40" s="518">
        <f t="shared" ca="1" si="9"/>
        <v>-2.2737367544323206E-13</v>
      </c>
      <c r="BM40" s="518"/>
      <c r="BO40" s="1487">
        <f t="shared" ref="BO40:DF40" ca="1" si="113">BO$15+BO$19+BO$22+BO$32+BO$35+BO$38</f>
        <v>284.03096773622792</v>
      </c>
      <c r="BP40" s="1487">
        <f t="shared" ca="1" si="113"/>
        <v>0.47606491158018671</v>
      </c>
      <c r="BQ40" s="1487">
        <f t="shared" ca="1" si="113"/>
        <v>3.092473715895713</v>
      </c>
      <c r="BR40" s="1487">
        <f t="shared" ca="1" si="113"/>
        <v>0</v>
      </c>
      <c r="BS40" s="1487">
        <f t="shared" ca="1" si="113"/>
        <v>0</v>
      </c>
      <c r="BT40" s="1487">
        <f t="shared" ca="1" si="113"/>
        <v>0</v>
      </c>
      <c r="BU40" s="1487">
        <f t="shared" ca="1" si="113"/>
        <v>0</v>
      </c>
      <c r="BV40" s="1487">
        <f t="shared" ca="1" si="113"/>
        <v>0</v>
      </c>
      <c r="BW40" s="1487">
        <f t="shared" ca="1" si="113"/>
        <v>14.403687991960901</v>
      </c>
      <c r="BX40" s="1487">
        <f t="shared" ca="1" si="113"/>
        <v>0.11212216057615614</v>
      </c>
      <c r="BY40" s="1487">
        <f t="shared" ca="1" si="113"/>
        <v>2.7618835900319163</v>
      </c>
      <c r="BZ40" s="1487">
        <f t="shared" ca="1" si="113"/>
        <v>9.2740959850517761</v>
      </c>
      <c r="CA40" s="1487">
        <f t="shared" ca="1" si="113"/>
        <v>0</v>
      </c>
      <c r="CB40" s="1487">
        <f t="shared" ca="1" si="113"/>
        <v>0</v>
      </c>
      <c r="CC40" s="1487">
        <f t="shared" ca="1" si="113"/>
        <v>0</v>
      </c>
      <c r="CD40" s="1487">
        <f t="shared" ca="1" si="113"/>
        <v>0</v>
      </c>
      <c r="CE40" s="1487">
        <f t="shared" ca="1" si="113"/>
        <v>0</v>
      </c>
      <c r="CF40" s="1487">
        <f t="shared" ca="1" si="113"/>
        <v>0</v>
      </c>
      <c r="CG40" s="1487">
        <f t="shared" ca="1" si="113"/>
        <v>0</v>
      </c>
      <c r="CH40" s="1487">
        <f t="shared" ca="1" si="113"/>
        <v>0</v>
      </c>
      <c r="CI40" s="1487">
        <f t="shared" ca="1" si="113"/>
        <v>0</v>
      </c>
      <c r="CJ40" s="1487">
        <f t="shared" ca="1" si="113"/>
        <v>0</v>
      </c>
      <c r="CK40" s="1487">
        <f t="shared" ca="1" si="113"/>
        <v>0</v>
      </c>
      <c r="CL40" s="1487">
        <f t="shared" ca="1" si="113"/>
        <v>0</v>
      </c>
      <c r="CM40" s="1487">
        <f t="shared" ca="1" si="113"/>
        <v>0</v>
      </c>
      <c r="CN40" s="1487">
        <f t="shared" ca="1" si="113"/>
        <v>0</v>
      </c>
      <c r="CO40" s="1487">
        <f t="shared" ca="1" si="113"/>
        <v>0</v>
      </c>
      <c r="CP40" s="1487">
        <f t="shared" ca="1" si="113"/>
        <v>0</v>
      </c>
      <c r="CQ40" s="1487">
        <f t="shared" ca="1" si="113"/>
        <v>0</v>
      </c>
      <c r="CR40" s="1487">
        <f t="shared" ca="1" si="113"/>
        <v>0</v>
      </c>
      <c r="CS40" s="1487">
        <f t="shared" ca="1" si="113"/>
        <v>0</v>
      </c>
      <c r="CT40" s="1487">
        <f t="shared" ca="1" si="113"/>
        <v>0</v>
      </c>
      <c r="CU40" s="1487">
        <f t="shared" ca="1" si="113"/>
        <v>55.174383631974059</v>
      </c>
      <c r="CV40" s="1487">
        <f t="shared" ca="1" si="113"/>
        <v>6.8691889807070333E-2</v>
      </c>
      <c r="CW40" s="1487">
        <f t="shared" ca="1" si="113"/>
        <v>0.99270021885184301</v>
      </c>
      <c r="CX40" s="1487">
        <f t="shared" ca="1" si="113"/>
        <v>0</v>
      </c>
      <c r="CY40" s="1487">
        <f t="shared" ca="1" si="113"/>
        <v>0</v>
      </c>
      <c r="CZ40" s="1487">
        <f t="shared" ca="1" si="113"/>
        <v>0</v>
      </c>
      <c r="DA40" s="1487">
        <f t="shared" ca="1" si="113"/>
        <v>0</v>
      </c>
      <c r="DB40" s="1487">
        <f t="shared" ca="1" si="113"/>
        <v>0</v>
      </c>
      <c r="DC40" s="1487">
        <f t="shared" ca="1" si="113"/>
        <v>0</v>
      </c>
      <c r="DD40" s="1487">
        <f t="shared" ca="1" si="113"/>
        <v>0</v>
      </c>
      <c r="DE40" s="1487">
        <f t="shared" ca="1" si="113"/>
        <v>0</v>
      </c>
      <c r="DF40" s="1487">
        <f t="shared" ca="1" si="113"/>
        <v>0</v>
      </c>
      <c r="DH40" s="835">
        <f ca="1">SUM(BO40:DF40)</f>
        <v>370.3870718319576</v>
      </c>
    </row>
    <row r="41" spans="1:112" s="743" customFormat="1" ht="6" customHeight="1">
      <c r="C41" s="509"/>
      <c r="D41" s="509"/>
      <c r="E41" s="509"/>
      <c r="G41" s="958"/>
      <c r="H41" s="958"/>
      <c r="I41" s="958"/>
      <c r="J41" s="958"/>
      <c r="K41" s="960"/>
      <c r="L41" s="958"/>
      <c r="M41" s="958"/>
      <c r="N41" s="958"/>
      <c r="O41" s="958"/>
      <c r="P41" s="958"/>
      <c r="Q41" s="958"/>
      <c r="S41" s="970"/>
      <c r="T41" s="970"/>
      <c r="U41" s="970"/>
      <c r="V41" s="970"/>
      <c r="W41" s="970"/>
      <c r="X41" s="970"/>
      <c r="Y41" s="970"/>
      <c r="Z41" s="970"/>
      <c r="AA41" s="970"/>
      <c r="AB41" s="970"/>
      <c r="AC41" s="970"/>
      <c r="AD41" s="970"/>
      <c r="AE41" s="970"/>
      <c r="AF41" s="970"/>
      <c r="AG41" s="970"/>
      <c r="AH41" s="970"/>
      <c r="AI41" s="970"/>
      <c r="AJ41" s="970"/>
      <c r="AK41" s="970"/>
      <c r="AM41" s="976"/>
      <c r="AN41" s="976"/>
      <c r="AO41" s="976"/>
      <c r="AP41" s="976"/>
      <c r="AQ41" s="976"/>
      <c r="AR41" s="976"/>
      <c r="AS41" s="976"/>
      <c r="AT41" s="976"/>
      <c r="AU41" s="976"/>
      <c r="AV41" s="976"/>
      <c r="AW41" s="976"/>
      <c r="AX41" s="976"/>
      <c r="AY41" s="976"/>
      <c r="AZ41" s="976"/>
      <c r="BA41" s="976"/>
      <c r="BB41" s="976"/>
      <c r="BC41" s="976"/>
      <c r="BD41" s="976"/>
      <c r="BE41" s="976"/>
      <c r="BF41" s="976"/>
      <c r="BH41" s="990"/>
      <c r="BI41" s="990"/>
      <c r="BJ41" s="990"/>
      <c r="BL41" s="515">
        <f t="shared" si="9"/>
        <v>0</v>
      </c>
      <c r="BM41" s="515"/>
      <c r="BO41" s="1482"/>
      <c r="BP41" s="1482"/>
      <c r="BQ41" s="1482"/>
      <c r="BR41" s="1482"/>
      <c r="BS41" s="1482"/>
      <c r="BT41" s="1482"/>
      <c r="BU41" s="1482"/>
      <c r="BV41" s="1482"/>
      <c r="BW41" s="1482"/>
      <c r="BX41" s="1482"/>
      <c r="BY41" s="1482"/>
      <c r="BZ41" s="1482"/>
      <c r="CA41" s="1482"/>
      <c r="CB41" s="1482"/>
      <c r="CC41" s="1482"/>
      <c r="CD41" s="1482"/>
      <c r="CE41" s="1482"/>
      <c r="CF41" s="1482"/>
      <c r="CG41" s="1482"/>
      <c r="CH41" s="1482"/>
      <c r="CI41" s="1482"/>
      <c r="CJ41" s="1482"/>
      <c r="CK41" s="1482"/>
      <c r="CL41" s="1482"/>
      <c r="CM41" s="1482"/>
      <c r="CN41" s="1482"/>
      <c r="CO41" s="1482"/>
      <c r="CP41" s="1482"/>
      <c r="CQ41" s="1482"/>
      <c r="CR41" s="1482"/>
      <c r="CS41" s="1482"/>
      <c r="CT41" s="1482"/>
      <c r="CU41" s="1482"/>
      <c r="CV41" s="1482"/>
      <c r="CW41" s="1482"/>
      <c r="CX41" s="1482"/>
      <c r="CY41" s="1482"/>
      <c r="CZ41" s="1482"/>
      <c r="DA41" s="1482"/>
      <c r="DB41" s="1482"/>
      <c r="DC41" s="1482"/>
      <c r="DD41" s="1482"/>
      <c r="DE41" s="1482"/>
      <c r="DF41" s="1482"/>
      <c r="DH41" s="838"/>
    </row>
    <row r="42" spans="1:112" s="743" customFormat="1" ht="24" customHeight="1">
      <c r="C42" s="501" t="s">
        <v>72</v>
      </c>
      <c r="D42" s="501"/>
      <c r="E42" s="639"/>
      <c r="G42" s="957"/>
      <c r="H42" s="957"/>
      <c r="I42" s="957"/>
      <c r="J42" s="957"/>
      <c r="K42" s="957"/>
      <c r="L42" s="957"/>
      <c r="M42" s="957"/>
      <c r="N42" s="957"/>
      <c r="O42" s="957"/>
      <c r="P42" s="957"/>
      <c r="Q42" s="957"/>
      <c r="S42" s="969"/>
      <c r="T42" s="969"/>
      <c r="U42" s="969"/>
      <c r="V42" s="969"/>
      <c r="W42" s="969"/>
      <c r="X42" s="969"/>
      <c r="Y42" s="969"/>
      <c r="Z42" s="969"/>
      <c r="AA42" s="969"/>
      <c r="AB42" s="969"/>
      <c r="AC42" s="969"/>
      <c r="AD42" s="969"/>
      <c r="AE42" s="969"/>
      <c r="AF42" s="969"/>
      <c r="AG42" s="969"/>
      <c r="AH42" s="969"/>
      <c r="AI42" s="969"/>
      <c r="AJ42" s="969"/>
      <c r="AK42" s="969"/>
      <c r="AM42" s="975"/>
      <c r="AN42" s="975"/>
      <c r="AO42" s="975"/>
      <c r="AP42" s="975"/>
      <c r="AQ42" s="975"/>
      <c r="AR42" s="975"/>
      <c r="AS42" s="975"/>
      <c r="AT42" s="975"/>
      <c r="AU42" s="975"/>
      <c r="AV42" s="975"/>
      <c r="AW42" s="975"/>
      <c r="AX42" s="975"/>
      <c r="AY42" s="975"/>
      <c r="AZ42" s="975"/>
      <c r="BA42" s="975"/>
      <c r="BB42" s="975"/>
      <c r="BC42" s="975"/>
      <c r="BD42" s="975"/>
      <c r="BE42" s="975"/>
      <c r="BF42" s="975"/>
      <c r="BH42" s="989"/>
      <c r="BI42" s="989"/>
      <c r="BJ42" s="989"/>
      <c r="BL42" s="514">
        <f t="shared" si="9"/>
        <v>0</v>
      </c>
      <c r="BM42" s="514"/>
      <c r="BO42" s="1482"/>
      <c r="BP42" s="1482"/>
      <c r="BQ42" s="1482"/>
      <c r="BR42" s="1482"/>
      <c r="BS42" s="1482"/>
      <c r="BT42" s="1482"/>
      <c r="BU42" s="1482"/>
      <c r="BV42" s="1482"/>
      <c r="BW42" s="1482"/>
      <c r="BX42" s="1482"/>
      <c r="BY42" s="1482"/>
      <c r="BZ42" s="1482"/>
      <c r="CA42" s="1482"/>
      <c r="CB42" s="1482"/>
      <c r="CC42" s="1482"/>
      <c r="CD42" s="1482"/>
      <c r="CE42" s="1482"/>
      <c r="CF42" s="1482"/>
      <c r="CG42" s="1482"/>
      <c r="CH42" s="1482"/>
      <c r="CI42" s="1482"/>
      <c r="CJ42" s="1482"/>
      <c r="CK42" s="1482"/>
      <c r="CL42" s="1482"/>
      <c r="CM42" s="1482"/>
      <c r="CN42" s="1482"/>
      <c r="CO42" s="1482"/>
      <c r="CP42" s="1482"/>
      <c r="CQ42" s="1482"/>
      <c r="CR42" s="1482"/>
      <c r="CS42" s="1482"/>
      <c r="CT42" s="1482"/>
      <c r="CU42" s="1482"/>
      <c r="CV42" s="1482"/>
      <c r="CW42" s="1482"/>
      <c r="CX42" s="1482"/>
      <c r="CY42" s="1482"/>
      <c r="CZ42" s="1482"/>
      <c r="DA42" s="1482"/>
      <c r="DB42" s="1482"/>
      <c r="DC42" s="1482"/>
      <c r="DD42" s="1482"/>
      <c r="DE42" s="1482"/>
      <c r="DF42" s="1482"/>
      <c r="DH42" s="838"/>
    </row>
    <row r="43" spans="1:112" s="743" customFormat="1" ht="12.75" hidden="1" customHeight="1" outlineLevel="1">
      <c r="A43" s="22"/>
      <c r="B43" s="22"/>
      <c r="C43" s="751"/>
      <c r="D43" s="512"/>
      <c r="E43" s="512"/>
      <c r="G43" s="958"/>
      <c r="H43" s="958"/>
      <c r="I43" s="958"/>
      <c r="J43" s="958"/>
      <c r="K43" s="960"/>
      <c r="L43" s="958"/>
      <c r="M43" s="958"/>
      <c r="N43" s="958"/>
      <c r="O43" s="958"/>
      <c r="P43" s="958"/>
      <c r="Q43" s="958"/>
      <c r="S43" s="970"/>
      <c r="T43" s="970"/>
      <c r="U43" s="970"/>
      <c r="V43" s="970"/>
      <c r="W43" s="970"/>
      <c r="X43" s="970"/>
      <c r="Y43" s="970"/>
      <c r="Z43" s="970"/>
      <c r="AA43" s="970"/>
      <c r="AB43" s="970"/>
      <c r="AC43" s="970"/>
      <c r="AD43" s="970"/>
      <c r="AE43" s="970"/>
      <c r="AF43" s="970"/>
      <c r="AG43" s="970"/>
      <c r="AH43" s="970"/>
      <c r="AI43" s="970"/>
      <c r="AJ43" s="970"/>
      <c r="AK43" s="970"/>
      <c r="AM43" s="976"/>
      <c r="AN43" s="976"/>
      <c r="AO43" s="976"/>
      <c r="AP43" s="976"/>
      <c r="AQ43" s="976"/>
      <c r="AR43" s="976"/>
      <c r="AS43" s="976"/>
      <c r="AT43" s="976"/>
      <c r="AU43" s="976"/>
      <c r="AV43" s="976"/>
      <c r="AW43" s="976"/>
      <c r="AX43" s="976"/>
      <c r="AY43" s="976"/>
      <c r="AZ43" s="976"/>
      <c r="BA43" s="976"/>
      <c r="BB43" s="976"/>
      <c r="BC43" s="976"/>
      <c r="BD43" s="976"/>
      <c r="BE43" s="976"/>
      <c r="BF43" s="976"/>
      <c r="BH43" s="990"/>
      <c r="BI43" s="990"/>
      <c r="BJ43" s="990"/>
      <c r="BL43" s="515">
        <f t="shared" si="9"/>
        <v>0</v>
      </c>
      <c r="BM43" s="515"/>
      <c r="BN43" s="22"/>
      <c r="BO43" s="1482"/>
      <c r="BP43" s="1482"/>
      <c r="BQ43" s="1482"/>
      <c r="BR43" s="1482"/>
      <c r="BS43" s="1482"/>
      <c r="BT43" s="1482"/>
      <c r="BU43" s="1482"/>
      <c r="BV43" s="1482"/>
      <c r="BW43" s="1482"/>
      <c r="BX43" s="1482"/>
      <c r="BY43" s="1482"/>
      <c r="BZ43" s="1482"/>
      <c r="CA43" s="1482"/>
      <c r="CB43" s="1482"/>
      <c r="CC43" s="1482"/>
      <c r="CD43" s="1482"/>
      <c r="CE43" s="1482"/>
      <c r="CF43" s="1482"/>
      <c r="CG43" s="1482"/>
      <c r="CH43" s="1482"/>
      <c r="CI43" s="1482"/>
      <c r="CJ43" s="1482"/>
      <c r="CK43" s="1482"/>
      <c r="CL43" s="1482"/>
      <c r="CM43" s="1482"/>
      <c r="CN43" s="1482"/>
      <c r="CO43" s="1482"/>
      <c r="CP43" s="1482"/>
      <c r="CQ43" s="1482"/>
      <c r="CR43" s="1482"/>
      <c r="CS43" s="1482"/>
      <c r="CT43" s="1482"/>
      <c r="CU43" s="1482"/>
      <c r="CV43" s="1482"/>
      <c r="CW43" s="1482"/>
      <c r="CX43" s="1482"/>
      <c r="CY43" s="1482"/>
      <c r="CZ43" s="1482"/>
      <c r="DA43" s="1482"/>
      <c r="DB43" s="1482"/>
      <c r="DC43" s="1482"/>
      <c r="DD43" s="1482"/>
      <c r="DE43" s="1482"/>
      <c r="DF43" s="1482"/>
      <c r="DH43" s="838"/>
    </row>
    <row r="44" spans="1:112" s="1491" customFormat="1" ht="12.75" hidden="1" customHeight="1" outlineLevel="1">
      <c r="C44" s="1534" t="s">
        <v>1925</v>
      </c>
      <c r="D44" s="1535" t="s">
        <v>1926</v>
      </c>
      <c r="E44" s="1535"/>
      <c r="F44" s="1957"/>
      <c r="G44" s="1070"/>
      <c r="H44" s="1070"/>
      <c r="I44" s="1070"/>
      <c r="J44" s="1070"/>
      <c r="K44" s="1071"/>
      <c r="L44" s="1070"/>
      <c r="M44" s="1070"/>
      <c r="N44" s="1070"/>
      <c r="O44" s="1070"/>
      <c r="P44" s="1070"/>
      <c r="Q44" s="1070"/>
      <c r="R44" s="1957"/>
      <c r="S44" s="1072"/>
      <c r="T44" s="1072"/>
      <c r="U44" s="1072"/>
      <c r="V44" s="1072"/>
      <c r="W44" s="1072"/>
      <c r="X44" s="1072"/>
      <c r="Y44" s="1072"/>
      <c r="Z44" s="1072"/>
      <c r="AA44" s="1072"/>
      <c r="AB44" s="1072"/>
      <c r="AC44" s="1072"/>
      <c r="AD44" s="1072"/>
      <c r="AE44" s="1072"/>
      <c r="AF44" s="1072"/>
      <c r="AG44" s="1072"/>
      <c r="AH44" s="1072"/>
      <c r="AI44" s="1072"/>
      <c r="AJ44" s="1072">
        <f ca="1">AJ$40</f>
        <v>0</v>
      </c>
      <c r="AK44" s="1072"/>
      <c r="AL44" s="1957"/>
      <c r="AM44" s="1073"/>
      <c r="AN44" s="1073"/>
      <c r="AO44" s="1073"/>
      <c r="AP44" s="1073"/>
      <c r="AQ44" s="1073"/>
      <c r="AR44" s="1073"/>
      <c r="AS44" s="1073"/>
      <c r="AT44" s="1073"/>
      <c r="AU44" s="1073"/>
      <c r="AV44" s="1073"/>
      <c r="AW44" s="1073"/>
      <c r="AX44" s="1073"/>
      <c r="AY44" s="1073"/>
      <c r="AZ44" s="1073"/>
      <c r="BA44" s="1073"/>
      <c r="BB44" s="1073"/>
      <c r="BC44" s="1073"/>
      <c r="BD44" s="1073"/>
      <c r="BE44" s="1073"/>
      <c r="BF44" s="1073"/>
      <c r="BG44" s="1957"/>
      <c r="BH44" s="1074"/>
      <c r="BI44" s="1074"/>
      <c r="BJ44" s="1074"/>
      <c r="BK44" s="1957"/>
      <c r="BL44" s="1536">
        <f t="shared" si="9"/>
        <v>0</v>
      </c>
      <c r="BM44" s="1536"/>
      <c r="BO44" s="1963"/>
      <c r="BP44" s="1963"/>
      <c r="BQ44" s="1963"/>
      <c r="BR44" s="1963"/>
      <c r="BS44" s="1963"/>
      <c r="BT44" s="1963"/>
      <c r="BU44" s="1963"/>
      <c r="BV44" s="1963"/>
      <c r="BW44" s="1963"/>
      <c r="BX44" s="1963"/>
      <c r="BY44" s="1963"/>
      <c r="BZ44" s="1963"/>
      <c r="CA44" s="1963"/>
      <c r="CB44" s="1963"/>
      <c r="CC44" s="1963"/>
      <c r="CD44" s="1963"/>
      <c r="CE44" s="1963"/>
      <c r="CF44" s="1963"/>
      <c r="CG44" s="1963"/>
      <c r="CH44" s="1963"/>
      <c r="CI44" s="1963"/>
      <c r="CJ44" s="1963"/>
      <c r="CK44" s="1963"/>
      <c r="CL44" s="1963"/>
      <c r="CM44" s="1963"/>
      <c r="CN44" s="1963"/>
      <c r="CO44" s="1963"/>
      <c r="CP44" s="1963"/>
      <c r="CQ44" s="1963"/>
      <c r="CR44" s="1963"/>
      <c r="CS44" s="1963"/>
      <c r="CT44" s="1963"/>
      <c r="CU44" s="1963"/>
      <c r="CV44" s="1963"/>
      <c r="CW44" s="1963"/>
      <c r="CX44" s="1963"/>
      <c r="CY44" s="1963"/>
      <c r="CZ44" s="1963"/>
      <c r="DA44" s="1963"/>
      <c r="DB44" s="1963"/>
      <c r="DC44" s="1963"/>
      <c r="DD44" s="1963"/>
      <c r="DE44" s="1963"/>
      <c r="DF44" s="1963"/>
      <c r="DH44" s="1962">
        <f>SUM(BO44:DF44)</f>
        <v>0</v>
      </c>
    </row>
    <row r="45" spans="1:112" s="743" customFormat="1" ht="12.75" hidden="1" customHeight="1" outlineLevel="1">
      <c r="A45" s="22"/>
      <c r="B45" s="22"/>
      <c r="C45" s="746" t="s">
        <v>981</v>
      </c>
      <c r="D45" s="1010" t="str">
        <f>INDEX(Modules[Module], MATCH($C45, Modules[Code], 0))</f>
        <v>H2 Production</v>
      </c>
      <c r="E45" s="1069"/>
      <c r="G45" s="1022">
        <f t="shared" ref="G45:P45" ca="1" si="114">IFERROR(INDEX(INDIRECT($C45&amp;".Outputs["&amp;this.Year&amp;"]"), MATCH(G$5, INDIRECT($C45&amp;".Outputs[Vector]"), 0)), 0)</f>
        <v>0</v>
      </c>
      <c r="H45" s="1022">
        <f t="shared" ca="1" si="114"/>
        <v>0</v>
      </c>
      <c r="I45" s="1022">
        <f t="shared" ca="1" si="114"/>
        <v>0</v>
      </c>
      <c r="J45" s="1022">
        <f t="shared" ca="1" si="114"/>
        <v>0</v>
      </c>
      <c r="K45" s="1022">
        <f t="shared" ca="1" si="114"/>
        <v>0</v>
      </c>
      <c r="L45" s="1022">
        <f t="shared" ca="1" si="114"/>
        <v>0</v>
      </c>
      <c r="M45" s="1022">
        <f t="shared" ca="1" si="114"/>
        <v>0</v>
      </c>
      <c r="N45" s="1022">
        <f t="shared" ca="1" si="114"/>
        <v>0</v>
      </c>
      <c r="O45" s="1022">
        <f t="shared" ca="1" si="114"/>
        <v>0</v>
      </c>
      <c r="P45" s="1022">
        <f t="shared" ca="1" si="114"/>
        <v>0</v>
      </c>
      <c r="Q45" s="1020">
        <f ca="1">SUM(G45:P45)</f>
        <v>0</v>
      </c>
      <c r="S45" s="1031">
        <f t="shared" ref="S45:AJ45" ca="1" si="115">IFERROR(INDEX(INDIRECT($C45&amp;".Outputs["&amp;this.Year&amp;"]"), MATCH(S$5, INDIRECT($C45&amp;".Outputs[Vector]"), 0)), 0)</f>
        <v>0</v>
      </c>
      <c r="T45" s="1031">
        <f t="shared" ca="1" si="115"/>
        <v>0</v>
      </c>
      <c r="U45" s="1031">
        <f t="shared" ca="1" si="115"/>
        <v>0</v>
      </c>
      <c r="V45" s="1031">
        <f t="shared" ca="1" si="115"/>
        <v>0</v>
      </c>
      <c r="W45" s="1031">
        <f t="shared" ca="1" si="115"/>
        <v>0</v>
      </c>
      <c r="X45" s="1031">
        <f ca="1">IFERROR(INDEX(INDIRECT($C45&amp;".Outputs["&amp;this.Year&amp;"]"), MATCH(X$5, INDIRECT($C45&amp;".Outputs[Vector]"), 0)), 0)</f>
        <v>0</v>
      </c>
      <c r="Y45" s="1031">
        <f ca="1">IFERROR(INDEX(INDIRECT($C45&amp;".Outputs["&amp;this.Year&amp;"]"), MATCH(Y$5, INDIRECT($C45&amp;".Outputs[Vector]"), 0)), 0)</f>
        <v>0</v>
      </c>
      <c r="Z45" s="1031">
        <f ca="1">IFERROR(INDEX(INDIRECT($C45&amp;".Outputs["&amp;this.Year&amp;"]"), MATCH(Z$5, INDIRECT($C45&amp;".Outputs[Vector]"), 0)), 0)</f>
        <v>0</v>
      </c>
      <c r="AA45" s="1031">
        <f t="shared" ca="1" si="115"/>
        <v>0</v>
      </c>
      <c r="AB45" s="1031">
        <f t="shared" ca="1" si="115"/>
        <v>0</v>
      </c>
      <c r="AC45" s="1031">
        <f t="shared" ca="1" si="115"/>
        <v>0</v>
      </c>
      <c r="AD45" s="1031">
        <f t="shared" ca="1" si="115"/>
        <v>0</v>
      </c>
      <c r="AE45" s="1031">
        <f t="shared" ca="1" si="115"/>
        <v>0</v>
      </c>
      <c r="AF45" s="1031">
        <f t="shared" ca="1" si="115"/>
        <v>0</v>
      </c>
      <c r="AG45" s="1031">
        <f t="shared" ca="1" si="115"/>
        <v>0</v>
      </c>
      <c r="AH45" s="1031">
        <f t="shared" ca="1" si="115"/>
        <v>0</v>
      </c>
      <c r="AI45" s="1031">
        <f t="shared" ca="1" si="115"/>
        <v>0</v>
      </c>
      <c r="AJ45" s="1031">
        <f t="shared" ca="1" si="115"/>
        <v>0</v>
      </c>
      <c r="AK45" s="1030">
        <f ca="1">SUM(S45:AJ45)</f>
        <v>0</v>
      </c>
      <c r="AM45" s="1042">
        <f t="shared" ref="AM45:AU45" ca="1" si="116">IFERROR(INDEX(INDIRECT($C45&amp;".Outputs["&amp;this.Year&amp;"]"), MATCH(AM$5, INDIRECT($C45&amp;".Outputs[Vector]"), 0)), 0)</f>
        <v>0</v>
      </c>
      <c r="AN45" s="1042">
        <f t="shared" ca="1" si="116"/>
        <v>0</v>
      </c>
      <c r="AO45" s="1042">
        <f t="shared" ca="1" si="116"/>
        <v>0</v>
      </c>
      <c r="AP45" s="1042">
        <f t="shared" ca="1" si="116"/>
        <v>0</v>
      </c>
      <c r="AQ45" s="1042">
        <f t="shared" ca="1" si="116"/>
        <v>0</v>
      </c>
      <c r="AR45" s="1042">
        <f t="shared" ca="1" si="116"/>
        <v>0</v>
      </c>
      <c r="AS45" s="1042">
        <f t="shared" ca="1" si="116"/>
        <v>0</v>
      </c>
      <c r="AT45" s="1042">
        <f t="shared" ca="1" si="116"/>
        <v>0</v>
      </c>
      <c r="AU45" s="1042">
        <f t="shared" ca="1" si="116"/>
        <v>0</v>
      </c>
      <c r="AV45" s="1042">
        <f t="shared" ref="AV45:BE45" ca="1" si="117">IFERROR(INDEX(INDIRECT($C45&amp;".Outputs["&amp;this.Year&amp;"]"), MATCH(AV$5, INDIRECT($C45&amp;".Outputs[Vector]"), 0)), 0)</f>
        <v>0</v>
      </c>
      <c r="AW45" s="1042">
        <f t="shared" ca="1" si="117"/>
        <v>0</v>
      </c>
      <c r="AX45" s="1042">
        <f t="shared" ca="1" si="117"/>
        <v>0</v>
      </c>
      <c r="AY45" s="1042">
        <f t="shared" ca="1" si="117"/>
        <v>0</v>
      </c>
      <c r="AZ45" s="1042">
        <f t="shared" ca="1" si="117"/>
        <v>0</v>
      </c>
      <c r="BA45" s="1042">
        <f t="shared" ca="1" si="117"/>
        <v>0</v>
      </c>
      <c r="BB45" s="1042">
        <f t="shared" ca="1" si="117"/>
        <v>0</v>
      </c>
      <c r="BC45" s="1042">
        <f t="shared" ca="1" si="117"/>
        <v>0</v>
      </c>
      <c r="BD45" s="1042">
        <f t="shared" ca="1" si="117"/>
        <v>0</v>
      </c>
      <c r="BE45" s="1042">
        <f t="shared" ca="1" si="117"/>
        <v>0</v>
      </c>
      <c r="BF45" s="1012">
        <f ca="1">SUM(AM45:BE45)</f>
        <v>0</v>
      </c>
      <c r="BH45" s="1036">
        <f ca="1">IFERROR(INDEX(INDIRECT($C45&amp;".Outputs["&amp;this.Year&amp;"]"), MATCH(BH$5, INDIRECT($C45&amp;".Outputs[Vector]"), 0)), 0)</f>
        <v>0</v>
      </c>
      <c r="BI45" s="1036">
        <f ca="1">IFERROR(INDEX(INDIRECT($C45&amp;".Outputs["&amp;this.Year&amp;"]"), MATCH(BI$5, INDIRECT($C45&amp;".Outputs[Vector]"), 0)), 0)</f>
        <v>0</v>
      </c>
      <c r="BJ45" s="1035">
        <f ca="1">SUM(BH45:BI45)</f>
        <v>0</v>
      </c>
      <c r="BL45" s="515"/>
      <c r="BM45" s="515"/>
      <c r="BN45" s="840"/>
      <c r="BO45" s="1485">
        <f t="shared" ref="BO45:DF45" ca="1" si="118">IFERROR(SUMIFS(INDIRECT($C45&amp;".Emissions["&amp;this.Year&amp;"]"), INDIRECT($C45&amp;".Emissions[GHG]"), BO$6, INDIRECT($C45&amp;".Emissions[IPCC Sector]"), BO$5),0)</f>
        <v>0</v>
      </c>
      <c r="BP45" s="1486">
        <f t="shared" ca="1" si="118"/>
        <v>0</v>
      </c>
      <c r="BQ45" s="1486">
        <f t="shared" ca="1" si="118"/>
        <v>0</v>
      </c>
      <c r="BR45" s="1486">
        <f t="shared" ca="1" si="118"/>
        <v>0</v>
      </c>
      <c r="BS45" s="1486">
        <f t="shared" ca="1" si="118"/>
        <v>0</v>
      </c>
      <c r="BT45" s="1486">
        <f t="shared" ca="1" si="118"/>
        <v>0</v>
      </c>
      <c r="BU45" s="1486">
        <f t="shared" ca="1" si="118"/>
        <v>0</v>
      </c>
      <c r="BV45" s="1486">
        <f t="shared" ca="1" si="118"/>
        <v>0</v>
      </c>
      <c r="BW45" s="1486">
        <f t="shared" ca="1" si="118"/>
        <v>0</v>
      </c>
      <c r="BX45" s="1486">
        <f t="shared" ca="1" si="118"/>
        <v>0</v>
      </c>
      <c r="BY45" s="1486">
        <f t="shared" ca="1" si="118"/>
        <v>0</v>
      </c>
      <c r="BZ45" s="1486">
        <f t="shared" ca="1" si="118"/>
        <v>0</v>
      </c>
      <c r="CA45" s="1486">
        <f t="shared" ca="1" si="118"/>
        <v>0</v>
      </c>
      <c r="CB45" s="1486">
        <f t="shared" ca="1" si="118"/>
        <v>0</v>
      </c>
      <c r="CC45" s="1486">
        <f t="shared" ca="1" si="118"/>
        <v>0</v>
      </c>
      <c r="CD45" s="1486">
        <f t="shared" ca="1" si="118"/>
        <v>0</v>
      </c>
      <c r="CE45" s="1486">
        <f t="shared" ca="1" si="118"/>
        <v>0</v>
      </c>
      <c r="CF45" s="1486">
        <f t="shared" ca="1" si="118"/>
        <v>0</v>
      </c>
      <c r="CG45" s="1486">
        <f t="shared" ca="1" si="118"/>
        <v>0</v>
      </c>
      <c r="CH45" s="1486">
        <f t="shared" ca="1" si="118"/>
        <v>0</v>
      </c>
      <c r="CI45" s="1486">
        <f t="shared" ca="1" si="118"/>
        <v>0</v>
      </c>
      <c r="CJ45" s="1486">
        <f t="shared" ca="1" si="118"/>
        <v>0</v>
      </c>
      <c r="CK45" s="1486">
        <f t="shared" ca="1" si="118"/>
        <v>0</v>
      </c>
      <c r="CL45" s="1486">
        <f t="shared" ca="1" si="118"/>
        <v>0</v>
      </c>
      <c r="CM45" s="1486">
        <f t="shared" ca="1" si="118"/>
        <v>0</v>
      </c>
      <c r="CN45" s="1486">
        <f t="shared" ca="1" si="118"/>
        <v>0</v>
      </c>
      <c r="CO45" s="1486">
        <f t="shared" ca="1" si="118"/>
        <v>0</v>
      </c>
      <c r="CP45" s="1486">
        <f t="shared" ca="1" si="118"/>
        <v>0</v>
      </c>
      <c r="CQ45" s="1486">
        <f t="shared" ca="1" si="118"/>
        <v>0</v>
      </c>
      <c r="CR45" s="1486">
        <f t="shared" ca="1" si="118"/>
        <v>0</v>
      </c>
      <c r="CS45" s="1486">
        <f t="shared" ca="1" si="118"/>
        <v>0</v>
      </c>
      <c r="CT45" s="1486">
        <f t="shared" ca="1" si="118"/>
        <v>0</v>
      </c>
      <c r="CU45" s="1486">
        <f t="shared" ca="1" si="118"/>
        <v>0</v>
      </c>
      <c r="CV45" s="1486">
        <f t="shared" ca="1" si="118"/>
        <v>0</v>
      </c>
      <c r="CW45" s="1486">
        <f t="shared" ca="1" si="118"/>
        <v>0</v>
      </c>
      <c r="CX45" s="1486">
        <f t="shared" ca="1" si="118"/>
        <v>0</v>
      </c>
      <c r="CY45" s="1486">
        <f t="shared" ca="1" si="118"/>
        <v>0</v>
      </c>
      <c r="CZ45" s="1486">
        <f t="shared" ca="1" si="118"/>
        <v>0</v>
      </c>
      <c r="DA45" s="1486">
        <f t="shared" ca="1" si="118"/>
        <v>0</v>
      </c>
      <c r="DB45" s="1486">
        <f t="shared" ca="1" si="118"/>
        <v>0</v>
      </c>
      <c r="DC45" s="1486">
        <f t="shared" ca="1" si="118"/>
        <v>0</v>
      </c>
      <c r="DD45" s="1486">
        <f t="shared" ca="1" si="118"/>
        <v>0</v>
      </c>
      <c r="DE45" s="1486">
        <f t="shared" ca="1" si="118"/>
        <v>0</v>
      </c>
      <c r="DF45" s="1486">
        <f t="shared" ca="1" si="118"/>
        <v>0</v>
      </c>
      <c r="DH45" s="838"/>
    </row>
    <row r="46" spans="1:112" s="743" customFormat="1" ht="15.75" collapsed="1">
      <c r="A46" s="22"/>
      <c r="B46" s="753"/>
      <c r="C46" s="744" t="s">
        <v>674</v>
      </c>
      <c r="D46" s="517" t="str">
        <f>INDEX(Workstreams[Workstream], MATCH($C46, Workstreams[Code], 0))</f>
        <v>H2 Production</v>
      </c>
      <c r="E46" s="512"/>
      <c r="G46" s="1021">
        <f ca="1">G45</f>
        <v>0</v>
      </c>
      <c r="H46" s="1021">
        <f t="shared" ref="H46:P46" ca="1" si="119">H45</f>
        <v>0</v>
      </c>
      <c r="I46" s="1021">
        <f t="shared" ca="1" si="119"/>
        <v>0</v>
      </c>
      <c r="J46" s="1021">
        <f t="shared" ca="1" si="119"/>
        <v>0</v>
      </c>
      <c r="K46" s="1021">
        <f t="shared" ca="1" si="119"/>
        <v>0</v>
      </c>
      <c r="L46" s="1021">
        <f t="shared" ca="1" si="119"/>
        <v>0</v>
      </c>
      <c r="M46" s="1021">
        <f t="shared" ca="1" si="119"/>
        <v>0</v>
      </c>
      <c r="N46" s="1021">
        <f t="shared" ca="1" si="119"/>
        <v>0</v>
      </c>
      <c r="O46" s="1021">
        <f t="shared" ca="1" si="119"/>
        <v>0</v>
      </c>
      <c r="P46" s="1021">
        <f t="shared" ca="1" si="119"/>
        <v>0</v>
      </c>
      <c r="Q46" s="1021">
        <f ca="1">SUM(G46:P46)</f>
        <v>0</v>
      </c>
      <c r="S46" s="970">
        <f t="shared" ref="S46:AJ46" ca="1" si="120">S45</f>
        <v>0</v>
      </c>
      <c r="T46" s="970">
        <f t="shared" ca="1" si="120"/>
        <v>0</v>
      </c>
      <c r="U46" s="970">
        <f t="shared" ca="1" si="120"/>
        <v>0</v>
      </c>
      <c r="V46" s="970">
        <f t="shared" ca="1" si="120"/>
        <v>0</v>
      </c>
      <c r="W46" s="970">
        <f t="shared" ca="1" si="120"/>
        <v>0</v>
      </c>
      <c r="X46" s="970">
        <f t="shared" ca="1" si="120"/>
        <v>0</v>
      </c>
      <c r="Y46" s="970">
        <f t="shared" ca="1" si="120"/>
        <v>0</v>
      </c>
      <c r="Z46" s="970">
        <f t="shared" ca="1" si="120"/>
        <v>0</v>
      </c>
      <c r="AA46" s="970">
        <f t="shared" ca="1" si="120"/>
        <v>0</v>
      </c>
      <c r="AB46" s="970">
        <f t="shared" ca="1" si="120"/>
        <v>0</v>
      </c>
      <c r="AC46" s="970">
        <f t="shared" ca="1" si="120"/>
        <v>0</v>
      </c>
      <c r="AD46" s="970">
        <f ca="1">AD45</f>
        <v>0</v>
      </c>
      <c r="AE46" s="970">
        <f ca="1">AE45</f>
        <v>0</v>
      </c>
      <c r="AF46" s="970">
        <f t="shared" ca="1" si="120"/>
        <v>0</v>
      </c>
      <c r="AG46" s="970">
        <f ca="1">AG45</f>
        <v>0</v>
      </c>
      <c r="AH46" s="970">
        <f ca="1">AH45</f>
        <v>0</v>
      </c>
      <c r="AI46" s="970">
        <f ca="1">AI45</f>
        <v>0</v>
      </c>
      <c r="AJ46" s="970">
        <f t="shared" ca="1" si="120"/>
        <v>0</v>
      </c>
      <c r="AK46" s="970">
        <f ca="1">SUM(S46:AJ46)</f>
        <v>0</v>
      </c>
      <c r="AM46" s="976">
        <f ca="1">AM45</f>
        <v>0</v>
      </c>
      <c r="AN46" s="976">
        <f t="shared" ref="AN46:BE46" ca="1" si="121">AN45</f>
        <v>0</v>
      </c>
      <c r="AO46" s="976">
        <f t="shared" ca="1" si="121"/>
        <v>0</v>
      </c>
      <c r="AP46" s="976">
        <f t="shared" ca="1" si="121"/>
        <v>0</v>
      </c>
      <c r="AQ46" s="976">
        <f t="shared" ca="1" si="121"/>
        <v>0</v>
      </c>
      <c r="AR46" s="976">
        <f t="shared" ca="1" si="121"/>
        <v>0</v>
      </c>
      <c r="AS46" s="976">
        <f t="shared" ca="1" si="121"/>
        <v>0</v>
      </c>
      <c r="AT46" s="976">
        <f t="shared" ca="1" si="121"/>
        <v>0</v>
      </c>
      <c r="AU46" s="976">
        <f t="shared" ca="1" si="121"/>
        <v>0</v>
      </c>
      <c r="AV46" s="976">
        <f t="shared" ca="1" si="121"/>
        <v>0</v>
      </c>
      <c r="AW46" s="976">
        <f t="shared" ca="1" si="121"/>
        <v>0</v>
      </c>
      <c r="AX46" s="976">
        <f t="shared" ca="1" si="121"/>
        <v>0</v>
      </c>
      <c r="AY46" s="976">
        <f t="shared" ca="1" si="121"/>
        <v>0</v>
      </c>
      <c r="AZ46" s="976">
        <f t="shared" ca="1" si="121"/>
        <v>0</v>
      </c>
      <c r="BA46" s="976">
        <f t="shared" ca="1" si="121"/>
        <v>0</v>
      </c>
      <c r="BB46" s="976">
        <f t="shared" ca="1" si="121"/>
        <v>0</v>
      </c>
      <c r="BC46" s="976">
        <f t="shared" ca="1" si="121"/>
        <v>0</v>
      </c>
      <c r="BD46" s="976">
        <f t="shared" ca="1" si="121"/>
        <v>0</v>
      </c>
      <c r="BE46" s="976">
        <f t="shared" ca="1" si="121"/>
        <v>0</v>
      </c>
      <c r="BF46" s="976">
        <f ca="1">SUM(AM46:BE46)</f>
        <v>0</v>
      </c>
      <c r="BH46" s="990">
        <f ca="1">BH45</f>
        <v>0</v>
      </c>
      <c r="BI46" s="990">
        <f ca="1">BI45</f>
        <v>0</v>
      </c>
      <c r="BJ46" s="990">
        <f ca="1">SUM(BH46:BI46)</f>
        <v>0</v>
      </c>
      <c r="BL46" s="515">
        <f ca="1">Q46+AK46+BF46+BJ46</f>
        <v>0</v>
      </c>
      <c r="BM46" s="515"/>
      <c r="BN46" s="840"/>
      <c r="BO46" s="1482">
        <f t="shared" ref="BO46:DF46" ca="1" si="122">BO45</f>
        <v>0</v>
      </c>
      <c r="BP46" s="1482">
        <f t="shared" ca="1" si="122"/>
        <v>0</v>
      </c>
      <c r="BQ46" s="1482">
        <f t="shared" ca="1" si="122"/>
        <v>0</v>
      </c>
      <c r="BR46" s="1482">
        <f t="shared" ca="1" si="122"/>
        <v>0</v>
      </c>
      <c r="BS46" s="1482">
        <f t="shared" ca="1" si="122"/>
        <v>0</v>
      </c>
      <c r="BT46" s="1482">
        <f t="shared" ca="1" si="122"/>
        <v>0</v>
      </c>
      <c r="BU46" s="1482">
        <f t="shared" ca="1" si="122"/>
        <v>0</v>
      </c>
      <c r="BV46" s="1482">
        <f t="shared" ca="1" si="122"/>
        <v>0</v>
      </c>
      <c r="BW46" s="1482">
        <f t="shared" ca="1" si="122"/>
        <v>0</v>
      </c>
      <c r="BX46" s="1482">
        <f t="shared" ca="1" si="122"/>
        <v>0</v>
      </c>
      <c r="BY46" s="1482">
        <f t="shared" ca="1" si="122"/>
        <v>0</v>
      </c>
      <c r="BZ46" s="1482">
        <f t="shared" ca="1" si="122"/>
        <v>0</v>
      </c>
      <c r="CA46" s="1482">
        <f t="shared" ca="1" si="122"/>
        <v>0</v>
      </c>
      <c r="CB46" s="1482">
        <f t="shared" ca="1" si="122"/>
        <v>0</v>
      </c>
      <c r="CC46" s="1482">
        <f t="shared" ca="1" si="122"/>
        <v>0</v>
      </c>
      <c r="CD46" s="1482">
        <f t="shared" ca="1" si="122"/>
        <v>0</v>
      </c>
      <c r="CE46" s="1482">
        <f t="shared" ca="1" si="122"/>
        <v>0</v>
      </c>
      <c r="CF46" s="1482">
        <f t="shared" ca="1" si="122"/>
        <v>0</v>
      </c>
      <c r="CG46" s="1482">
        <f t="shared" ca="1" si="122"/>
        <v>0</v>
      </c>
      <c r="CH46" s="1482">
        <f t="shared" ca="1" si="122"/>
        <v>0</v>
      </c>
      <c r="CI46" s="1482">
        <f t="shared" ca="1" si="122"/>
        <v>0</v>
      </c>
      <c r="CJ46" s="1482">
        <f t="shared" ca="1" si="122"/>
        <v>0</v>
      </c>
      <c r="CK46" s="1482">
        <f t="shared" ca="1" si="122"/>
        <v>0</v>
      </c>
      <c r="CL46" s="1482">
        <f t="shared" ca="1" si="122"/>
        <v>0</v>
      </c>
      <c r="CM46" s="1482">
        <f t="shared" ca="1" si="122"/>
        <v>0</v>
      </c>
      <c r="CN46" s="1482">
        <f t="shared" ca="1" si="122"/>
        <v>0</v>
      </c>
      <c r="CO46" s="1482">
        <f t="shared" ca="1" si="122"/>
        <v>0</v>
      </c>
      <c r="CP46" s="1482">
        <f t="shared" ca="1" si="122"/>
        <v>0</v>
      </c>
      <c r="CQ46" s="1482">
        <f t="shared" ca="1" si="122"/>
        <v>0</v>
      </c>
      <c r="CR46" s="1482">
        <f t="shared" ca="1" si="122"/>
        <v>0</v>
      </c>
      <c r="CS46" s="1482">
        <f t="shared" ca="1" si="122"/>
        <v>0</v>
      </c>
      <c r="CT46" s="1482">
        <f t="shared" ca="1" si="122"/>
        <v>0</v>
      </c>
      <c r="CU46" s="1482">
        <f t="shared" ca="1" si="122"/>
        <v>0</v>
      </c>
      <c r="CV46" s="1482">
        <f t="shared" ca="1" si="122"/>
        <v>0</v>
      </c>
      <c r="CW46" s="1482">
        <f t="shared" ca="1" si="122"/>
        <v>0</v>
      </c>
      <c r="CX46" s="1482">
        <f t="shared" ca="1" si="122"/>
        <v>0</v>
      </c>
      <c r="CY46" s="1482">
        <f t="shared" ca="1" si="122"/>
        <v>0</v>
      </c>
      <c r="CZ46" s="1482">
        <f t="shared" ca="1" si="122"/>
        <v>0</v>
      </c>
      <c r="DA46" s="1482">
        <f t="shared" ca="1" si="122"/>
        <v>0</v>
      </c>
      <c r="DB46" s="1482">
        <f t="shared" ca="1" si="122"/>
        <v>0</v>
      </c>
      <c r="DC46" s="1482">
        <f t="shared" ca="1" si="122"/>
        <v>0</v>
      </c>
      <c r="DD46" s="1482">
        <f t="shared" ca="1" si="122"/>
        <v>0</v>
      </c>
      <c r="DE46" s="1482">
        <f t="shared" ca="1" si="122"/>
        <v>0</v>
      </c>
      <c r="DF46" s="1482">
        <f t="shared" ca="1" si="122"/>
        <v>0</v>
      </c>
      <c r="DH46" s="838">
        <f t="shared" ref="DH46:DH82" ca="1" si="123">SUM(BO46:DF46)</f>
        <v>0</v>
      </c>
    </row>
    <row r="47" spans="1:112" s="743" customFormat="1" hidden="1" outlineLevel="1">
      <c r="C47" s="508"/>
      <c r="D47" s="509"/>
      <c r="E47" s="509"/>
      <c r="G47" s="958"/>
      <c r="H47" s="958"/>
      <c r="I47" s="958"/>
      <c r="J47" s="958"/>
      <c r="K47" s="960"/>
      <c r="L47" s="958"/>
      <c r="M47" s="958"/>
      <c r="N47" s="958"/>
      <c r="O47" s="958"/>
      <c r="P47" s="958"/>
      <c r="Q47" s="958"/>
      <c r="S47" s="970"/>
      <c r="T47" s="970"/>
      <c r="U47" s="970"/>
      <c r="V47" s="970"/>
      <c r="W47" s="970"/>
      <c r="X47" s="970"/>
      <c r="Y47" s="970"/>
      <c r="Z47" s="970"/>
      <c r="AA47" s="970"/>
      <c r="AB47" s="970"/>
      <c r="AC47" s="970"/>
      <c r="AD47" s="970"/>
      <c r="AE47" s="970"/>
      <c r="AF47" s="970"/>
      <c r="AG47" s="970"/>
      <c r="AH47" s="970"/>
      <c r="AI47" s="970"/>
      <c r="AJ47" s="970"/>
      <c r="AK47" s="970"/>
      <c r="AM47" s="976"/>
      <c r="AN47" s="976"/>
      <c r="AO47" s="976"/>
      <c r="AP47" s="976"/>
      <c r="AQ47" s="976"/>
      <c r="AR47" s="976"/>
      <c r="AS47" s="976"/>
      <c r="AT47" s="976"/>
      <c r="AU47" s="976"/>
      <c r="AV47" s="976"/>
      <c r="AW47" s="976"/>
      <c r="AX47" s="976"/>
      <c r="AY47" s="976"/>
      <c r="AZ47" s="976"/>
      <c r="BA47" s="976"/>
      <c r="BB47" s="976"/>
      <c r="BC47" s="976"/>
      <c r="BD47" s="976"/>
      <c r="BE47" s="976"/>
      <c r="BF47" s="976"/>
      <c r="BH47" s="990"/>
      <c r="BI47" s="990"/>
      <c r="BJ47" s="990"/>
      <c r="BL47" s="515">
        <f>Q47+AK47+BF47+BJ47</f>
        <v>0</v>
      </c>
      <c r="BM47" s="515"/>
      <c r="BO47" s="1482"/>
      <c r="BP47" s="1482"/>
      <c r="BQ47" s="1482"/>
      <c r="BR47" s="1482"/>
      <c r="BS47" s="1482"/>
      <c r="BT47" s="1482"/>
      <c r="BU47" s="1482"/>
      <c r="BV47" s="1482"/>
      <c r="BW47" s="1482"/>
      <c r="BX47" s="1482"/>
      <c r="BY47" s="1482"/>
      <c r="BZ47" s="1482"/>
      <c r="CA47" s="1482"/>
      <c r="CB47" s="1482"/>
      <c r="CC47" s="1482"/>
      <c r="CD47" s="1482"/>
      <c r="CE47" s="1482"/>
      <c r="CF47" s="1482"/>
      <c r="CG47" s="1482"/>
      <c r="CH47" s="1482"/>
      <c r="CI47" s="1482"/>
      <c r="CJ47" s="1482"/>
      <c r="CK47" s="1482"/>
      <c r="CL47" s="1482"/>
      <c r="CM47" s="1482"/>
      <c r="CN47" s="1482"/>
      <c r="CO47" s="1482"/>
      <c r="CP47" s="1482"/>
      <c r="CQ47" s="1482"/>
      <c r="CR47" s="1482"/>
      <c r="CS47" s="1482"/>
      <c r="CT47" s="1482"/>
      <c r="CU47" s="1482"/>
      <c r="CV47" s="1482"/>
      <c r="CW47" s="1482"/>
      <c r="CX47" s="1482"/>
      <c r="CY47" s="1482"/>
      <c r="CZ47" s="1482"/>
      <c r="DA47" s="1482"/>
      <c r="DB47" s="1482"/>
      <c r="DC47" s="1482"/>
      <c r="DD47" s="1482"/>
      <c r="DE47" s="1482"/>
      <c r="DF47" s="1482"/>
      <c r="DH47" s="838">
        <f t="shared" si="123"/>
        <v>0</v>
      </c>
    </row>
    <row r="48" spans="1:112" s="743" customFormat="1" hidden="1" outlineLevel="1">
      <c r="A48" s="1484"/>
      <c r="B48" s="1484"/>
      <c r="C48" s="746" t="s">
        <v>2280</v>
      </c>
      <c r="D48" s="521" t="str">
        <f>INDEX(Modules[Module], MATCH($C48, Modules[Code], 0))</f>
        <v>Marine algae</v>
      </c>
      <c r="E48" s="521"/>
      <c r="G48" s="1017">
        <f t="shared" ref="G48:P49" ca="1" si="124">IFERROR(INDEX(INDIRECT($C48&amp;".Outputs["&amp;this.Year&amp;"]"), MATCH(G$5, INDIRECT($C48&amp;".Outputs[Vector]"), 0)), 0)</f>
        <v>0</v>
      </c>
      <c r="H48" s="1017">
        <f t="shared" ca="1" si="124"/>
        <v>0</v>
      </c>
      <c r="I48" s="1017">
        <f t="shared" ca="1" si="124"/>
        <v>0</v>
      </c>
      <c r="J48" s="1017">
        <f t="shared" ca="1" si="124"/>
        <v>0</v>
      </c>
      <c r="K48" s="1017">
        <f t="shared" ca="1" si="124"/>
        <v>0</v>
      </c>
      <c r="L48" s="1017">
        <f t="shared" ca="1" si="124"/>
        <v>0</v>
      </c>
      <c r="M48" s="1017">
        <f t="shared" ca="1" si="124"/>
        <v>0</v>
      </c>
      <c r="N48" s="1017">
        <f t="shared" ca="1" si="124"/>
        <v>0</v>
      </c>
      <c r="O48" s="1017">
        <f t="shared" ca="1" si="124"/>
        <v>0</v>
      </c>
      <c r="P48" s="1017">
        <f t="shared" ca="1" si="124"/>
        <v>0</v>
      </c>
      <c r="Q48" s="1019">
        <f ca="1">SUM(G48:P48)</f>
        <v>0</v>
      </c>
      <c r="S48" s="1026">
        <f t="shared" ref="S48:BE49" ca="1" si="125">IFERROR(INDEX(INDIRECT($C48&amp;".Outputs["&amp;this.Year&amp;"]"), MATCH(S$5, INDIRECT($C48&amp;".Outputs[Vector]"), 0)), 0)</f>
        <v>0</v>
      </c>
      <c r="T48" s="1026">
        <f t="shared" ca="1" si="125"/>
        <v>0</v>
      </c>
      <c r="U48" s="1026">
        <f t="shared" ca="1" si="125"/>
        <v>0</v>
      </c>
      <c r="V48" s="1026">
        <f t="shared" ca="1" si="125"/>
        <v>0</v>
      </c>
      <c r="W48" s="1026">
        <f t="shared" ca="1" si="125"/>
        <v>0</v>
      </c>
      <c r="X48" s="1026">
        <f t="shared" ref="X48:Z50" ca="1" si="126">IFERROR(INDEX(INDIRECT($C48&amp;".Outputs["&amp;this.Year&amp;"]"), MATCH(X$5, INDIRECT($C48&amp;".Outputs[Vector]"), 0)), 0)</f>
        <v>0</v>
      </c>
      <c r="Y48" s="1026">
        <f t="shared" ca="1" si="126"/>
        <v>0</v>
      </c>
      <c r="Z48" s="1026">
        <f t="shared" ca="1" si="126"/>
        <v>0</v>
      </c>
      <c r="AA48" s="1026">
        <f t="shared" ca="1" si="125"/>
        <v>0</v>
      </c>
      <c r="AB48" s="1026">
        <f t="shared" ca="1" si="125"/>
        <v>0</v>
      </c>
      <c r="AC48" s="1026">
        <f t="shared" ca="1" si="125"/>
        <v>0</v>
      </c>
      <c r="AD48" s="1026">
        <f t="shared" ca="1" si="125"/>
        <v>0</v>
      </c>
      <c r="AE48" s="1026">
        <f t="shared" ca="1" si="125"/>
        <v>0</v>
      </c>
      <c r="AF48" s="1026">
        <f t="shared" ca="1" si="125"/>
        <v>0</v>
      </c>
      <c r="AG48" s="1026">
        <f t="shared" ca="1" si="125"/>
        <v>0</v>
      </c>
      <c r="AH48" s="1026">
        <f t="shared" ca="1" si="125"/>
        <v>0</v>
      </c>
      <c r="AI48" s="1026">
        <f t="shared" ca="1" si="125"/>
        <v>0</v>
      </c>
      <c r="AJ48" s="1026">
        <f t="shared" ca="1" si="125"/>
        <v>0</v>
      </c>
      <c r="AK48" s="1027">
        <f ca="1">SUM(S48:AJ48)</f>
        <v>0</v>
      </c>
      <c r="AM48" s="1038">
        <f t="shared" ref="AM48:AU50" ca="1" si="127">IFERROR(INDEX(INDIRECT($C48&amp;".Outputs["&amp;this.Year&amp;"]"), MATCH(AM$5, INDIRECT($C48&amp;".Outputs[Vector]"), 0)), 0)</f>
        <v>0</v>
      </c>
      <c r="AN48" s="1038">
        <f t="shared" ca="1" si="127"/>
        <v>0</v>
      </c>
      <c r="AO48" s="1038">
        <f t="shared" ca="1" si="127"/>
        <v>0</v>
      </c>
      <c r="AP48" s="1038">
        <f t="shared" ca="1" si="127"/>
        <v>0</v>
      </c>
      <c r="AQ48" s="1038">
        <f t="shared" ca="1" si="127"/>
        <v>0</v>
      </c>
      <c r="AR48" s="1038">
        <f t="shared" ca="1" si="127"/>
        <v>0</v>
      </c>
      <c r="AS48" s="1038">
        <f t="shared" ca="1" si="127"/>
        <v>0</v>
      </c>
      <c r="AT48" s="1038">
        <f t="shared" ca="1" si="127"/>
        <v>0</v>
      </c>
      <c r="AU48" s="1038">
        <f t="shared" ca="1" si="127"/>
        <v>0</v>
      </c>
      <c r="AV48" s="1038">
        <f t="shared" ca="1" si="125"/>
        <v>0</v>
      </c>
      <c r="AW48" s="1038">
        <f t="shared" ca="1" si="125"/>
        <v>0</v>
      </c>
      <c r="AX48" s="1038">
        <f t="shared" ca="1" si="125"/>
        <v>0</v>
      </c>
      <c r="AY48" s="1038">
        <f t="shared" ca="1" si="125"/>
        <v>0</v>
      </c>
      <c r="AZ48" s="1038">
        <f t="shared" ca="1" si="125"/>
        <v>0</v>
      </c>
      <c r="BA48" s="1038">
        <f t="shared" ca="1" si="125"/>
        <v>0</v>
      </c>
      <c r="BB48" s="1038">
        <f t="shared" ca="1" si="125"/>
        <v>0</v>
      </c>
      <c r="BC48" s="1038">
        <f t="shared" ca="1" si="125"/>
        <v>0</v>
      </c>
      <c r="BD48" s="1038">
        <f t="shared" ca="1" si="125"/>
        <v>0</v>
      </c>
      <c r="BE48" s="1038">
        <f t="shared" ca="1" si="125"/>
        <v>0</v>
      </c>
      <c r="BF48" s="979">
        <f ca="1">SUM(AM48:BE48)</f>
        <v>0</v>
      </c>
      <c r="BH48" s="1032">
        <f t="shared" ref="BH48:BI50" ca="1" si="128">IFERROR(INDEX(INDIRECT($C48&amp;".Outputs["&amp;this.Year&amp;"]"), MATCH(BH$5, INDIRECT($C48&amp;".Outputs[Vector]"), 0)), 0)</f>
        <v>0</v>
      </c>
      <c r="BI48" s="1032">
        <f t="shared" ca="1" si="128"/>
        <v>0</v>
      </c>
      <c r="BJ48" s="1034">
        <f ca="1">SUM(BH48:BI48)</f>
        <v>0</v>
      </c>
      <c r="BL48" s="814"/>
      <c r="BM48" s="814"/>
      <c r="BN48" s="840"/>
      <c r="BO48" s="1481">
        <f t="shared" ref="BO48:BX50" ca="1" si="129">IFERROR(SUMIFS(INDIRECT($C48&amp;".Emissions["&amp;this.Year&amp;"]"), INDIRECT($C48&amp;".Emissions[GHG]"), BO$6, INDIRECT($C48&amp;".Emissions[IPCC Sector]"), BO$5),0)</f>
        <v>0</v>
      </c>
      <c r="BP48" s="1482">
        <f t="shared" ca="1" si="129"/>
        <v>0</v>
      </c>
      <c r="BQ48" s="1482">
        <f t="shared" ca="1" si="129"/>
        <v>0</v>
      </c>
      <c r="BR48" s="1482">
        <f t="shared" ca="1" si="129"/>
        <v>0</v>
      </c>
      <c r="BS48" s="1482">
        <f t="shared" ca="1" si="129"/>
        <v>0</v>
      </c>
      <c r="BT48" s="1482">
        <f t="shared" ca="1" si="129"/>
        <v>0</v>
      </c>
      <c r="BU48" s="1482">
        <f t="shared" ca="1" si="129"/>
        <v>0</v>
      </c>
      <c r="BV48" s="1482">
        <f t="shared" ca="1" si="129"/>
        <v>0</v>
      </c>
      <c r="BW48" s="1482">
        <f t="shared" ca="1" si="129"/>
        <v>0</v>
      </c>
      <c r="BX48" s="1482">
        <f t="shared" ca="1" si="129"/>
        <v>0</v>
      </c>
      <c r="BY48" s="1482">
        <f t="shared" ref="BY48:CH50" ca="1" si="130">IFERROR(SUMIFS(INDIRECT($C48&amp;".Emissions["&amp;this.Year&amp;"]"), INDIRECT($C48&amp;".Emissions[GHG]"), BY$6, INDIRECT($C48&amp;".Emissions[IPCC Sector]"), BY$5),0)</f>
        <v>0</v>
      </c>
      <c r="BZ48" s="1482">
        <f t="shared" ca="1" si="130"/>
        <v>0</v>
      </c>
      <c r="CA48" s="1482">
        <f t="shared" ca="1" si="130"/>
        <v>0</v>
      </c>
      <c r="CB48" s="1482">
        <f t="shared" ca="1" si="130"/>
        <v>0</v>
      </c>
      <c r="CC48" s="1482">
        <f t="shared" ca="1" si="130"/>
        <v>0</v>
      </c>
      <c r="CD48" s="1482">
        <f t="shared" ca="1" si="130"/>
        <v>0</v>
      </c>
      <c r="CE48" s="1482">
        <f t="shared" ca="1" si="130"/>
        <v>0</v>
      </c>
      <c r="CF48" s="1482">
        <f t="shared" ca="1" si="130"/>
        <v>0</v>
      </c>
      <c r="CG48" s="1482">
        <f t="shared" ca="1" si="130"/>
        <v>0</v>
      </c>
      <c r="CH48" s="1482">
        <f t="shared" ca="1" si="130"/>
        <v>0</v>
      </c>
      <c r="CI48" s="1482">
        <f t="shared" ref="CI48:CR50" ca="1" si="131">IFERROR(SUMIFS(INDIRECT($C48&amp;".Emissions["&amp;this.Year&amp;"]"), INDIRECT($C48&amp;".Emissions[GHG]"), CI$6, INDIRECT($C48&amp;".Emissions[IPCC Sector]"), CI$5),0)</f>
        <v>0</v>
      </c>
      <c r="CJ48" s="1482">
        <f t="shared" ca="1" si="131"/>
        <v>0</v>
      </c>
      <c r="CK48" s="1482">
        <f t="shared" ca="1" si="131"/>
        <v>0</v>
      </c>
      <c r="CL48" s="1482">
        <f t="shared" ca="1" si="131"/>
        <v>0</v>
      </c>
      <c r="CM48" s="1482">
        <f t="shared" ca="1" si="131"/>
        <v>0</v>
      </c>
      <c r="CN48" s="1482">
        <f t="shared" ca="1" si="131"/>
        <v>0</v>
      </c>
      <c r="CO48" s="1482">
        <f t="shared" ca="1" si="131"/>
        <v>0</v>
      </c>
      <c r="CP48" s="1482">
        <f t="shared" ca="1" si="131"/>
        <v>0</v>
      </c>
      <c r="CQ48" s="1482">
        <f t="shared" ca="1" si="131"/>
        <v>0</v>
      </c>
      <c r="CR48" s="1482">
        <f t="shared" ca="1" si="131"/>
        <v>0</v>
      </c>
      <c r="CS48" s="1482">
        <f t="shared" ref="CS48:DF50" ca="1" si="132">IFERROR(SUMIFS(INDIRECT($C48&amp;".Emissions["&amp;this.Year&amp;"]"), INDIRECT($C48&amp;".Emissions[GHG]"), CS$6, INDIRECT($C48&amp;".Emissions[IPCC Sector]"), CS$5),0)</f>
        <v>0</v>
      </c>
      <c r="CT48" s="1482">
        <f t="shared" ca="1" si="132"/>
        <v>0</v>
      </c>
      <c r="CU48" s="1482">
        <f t="shared" ca="1" si="132"/>
        <v>0</v>
      </c>
      <c r="CV48" s="1482">
        <f t="shared" ca="1" si="132"/>
        <v>0</v>
      </c>
      <c r="CW48" s="1482">
        <f t="shared" ca="1" si="132"/>
        <v>0</v>
      </c>
      <c r="CX48" s="1482">
        <f t="shared" ca="1" si="132"/>
        <v>0</v>
      </c>
      <c r="CY48" s="1482">
        <f t="shared" ca="1" si="132"/>
        <v>0</v>
      </c>
      <c r="CZ48" s="1482">
        <f t="shared" ca="1" si="132"/>
        <v>0</v>
      </c>
      <c r="DA48" s="1482">
        <f t="shared" ca="1" si="132"/>
        <v>0</v>
      </c>
      <c r="DB48" s="1482">
        <f t="shared" ca="1" si="132"/>
        <v>0</v>
      </c>
      <c r="DC48" s="1482">
        <f t="shared" ca="1" si="132"/>
        <v>0</v>
      </c>
      <c r="DD48" s="1482">
        <f t="shared" ca="1" si="132"/>
        <v>0</v>
      </c>
      <c r="DE48" s="1482">
        <f t="shared" ca="1" si="132"/>
        <v>0</v>
      </c>
      <c r="DF48" s="1482">
        <f t="shared" ca="1" si="132"/>
        <v>0</v>
      </c>
      <c r="DH48" s="838">
        <f ca="1">SUM(BO48:DF48)</f>
        <v>0</v>
      </c>
    </row>
    <row r="49" spans="1:112" s="743" customFormat="1" hidden="1" outlineLevel="1">
      <c r="A49" s="1484"/>
      <c r="B49" s="1484"/>
      <c r="C49" s="746" t="s">
        <v>965</v>
      </c>
      <c r="D49" s="521" t="str">
        <f>INDEX(Modules[Module], MATCH($C49, Modules[Code], 0))</f>
        <v>Waste arising</v>
      </c>
      <c r="E49" s="521"/>
      <c r="G49" s="1017">
        <f t="shared" ca="1" si="124"/>
        <v>0</v>
      </c>
      <c r="H49" s="1017">
        <f t="shared" ca="1" si="124"/>
        <v>0</v>
      </c>
      <c r="I49" s="1017">
        <f t="shared" ca="1" si="124"/>
        <v>0</v>
      </c>
      <c r="J49" s="1017">
        <f t="shared" ca="1" si="124"/>
        <v>0</v>
      </c>
      <c r="K49" s="1017">
        <f t="shared" ca="1" si="124"/>
        <v>0</v>
      </c>
      <c r="L49" s="1017">
        <f t="shared" ca="1" si="124"/>
        <v>0</v>
      </c>
      <c r="M49" s="1017">
        <f t="shared" ca="1" si="124"/>
        <v>0</v>
      </c>
      <c r="N49" s="1017">
        <f t="shared" ca="1" si="124"/>
        <v>0</v>
      </c>
      <c r="O49" s="1017">
        <f t="shared" ca="1" si="124"/>
        <v>0</v>
      </c>
      <c r="P49" s="1017">
        <f t="shared" ca="1" si="124"/>
        <v>0</v>
      </c>
      <c r="Q49" s="1019">
        <f ca="1">SUM(G49:P49)</f>
        <v>0</v>
      </c>
      <c r="S49" s="1026">
        <f t="shared" ca="1" si="125"/>
        <v>0</v>
      </c>
      <c r="T49" s="1026">
        <f t="shared" ca="1" si="125"/>
        <v>0</v>
      </c>
      <c r="U49" s="1026">
        <f t="shared" ca="1" si="125"/>
        <v>0</v>
      </c>
      <c r="V49" s="1026">
        <f t="shared" ca="1" si="125"/>
        <v>0</v>
      </c>
      <c r="W49" s="1026">
        <f t="shared" ca="1" si="125"/>
        <v>0</v>
      </c>
      <c r="X49" s="1026">
        <f t="shared" ca="1" si="126"/>
        <v>52.991703495171834</v>
      </c>
      <c r="Y49" s="1026">
        <f t="shared" ca="1" si="126"/>
        <v>0</v>
      </c>
      <c r="Z49" s="1026">
        <f t="shared" ca="1" si="126"/>
        <v>0</v>
      </c>
      <c r="AA49" s="1026">
        <f t="shared" ca="1" si="125"/>
        <v>0</v>
      </c>
      <c r="AB49" s="1026">
        <f t="shared" ca="1" si="125"/>
        <v>0</v>
      </c>
      <c r="AC49" s="1026">
        <f t="shared" ca="1" si="125"/>
        <v>0</v>
      </c>
      <c r="AD49" s="1026">
        <f t="shared" ca="1" si="125"/>
        <v>0</v>
      </c>
      <c r="AE49" s="1026">
        <f t="shared" ca="1" si="125"/>
        <v>0</v>
      </c>
      <c r="AF49" s="1026">
        <f t="shared" ca="1" si="125"/>
        <v>22.520488933005577</v>
      </c>
      <c r="AG49" s="1026">
        <f t="shared" ca="1" si="125"/>
        <v>4.2094840403847611</v>
      </c>
      <c r="AH49" s="1026">
        <f t="shared" ca="1" si="125"/>
        <v>18.090473221244544</v>
      </c>
      <c r="AI49" s="1026">
        <f t="shared" ca="1" si="125"/>
        <v>0</v>
      </c>
      <c r="AJ49" s="1026">
        <f t="shared" ca="1" si="125"/>
        <v>0</v>
      </c>
      <c r="AK49" s="1027">
        <f ca="1">SUM(S49:AJ49)</f>
        <v>97.812149689806716</v>
      </c>
      <c r="AM49" s="1038">
        <f t="shared" ca="1" si="127"/>
        <v>0</v>
      </c>
      <c r="AN49" s="1038">
        <f t="shared" ca="1" si="127"/>
        <v>0</v>
      </c>
      <c r="AO49" s="1038">
        <f t="shared" ca="1" si="127"/>
        <v>0</v>
      </c>
      <c r="AP49" s="1038">
        <f t="shared" ca="1" si="127"/>
        <v>0</v>
      </c>
      <c r="AQ49" s="1038">
        <f t="shared" ca="1" si="127"/>
        <v>0</v>
      </c>
      <c r="AR49" s="1038">
        <f t="shared" ca="1" si="127"/>
        <v>0</v>
      </c>
      <c r="AS49" s="1038">
        <f t="shared" ca="1" si="127"/>
        <v>0</v>
      </c>
      <c r="AT49" s="1038">
        <f t="shared" ca="1" si="127"/>
        <v>0</v>
      </c>
      <c r="AU49" s="1038">
        <f t="shared" ca="1" si="127"/>
        <v>0</v>
      </c>
      <c r="AV49" s="1038">
        <f t="shared" ca="1" si="125"/>
        <v>0</v>
      </c>
      <c r="AW49" s="1038">
        <f t="shared" ca="1" si="125"/>
        <v>0</v>
      </c>
      <c r="AX49" s="1038">
        <f t="shared" ca="1" si="125"/>
        <v>0</v>
      </c>
      <c r="AY49" s="1038">
        <f t="shared" ca="1" si="125"/>
        <v>0</v>
      </c>
      <c r="AZ49" s="1038">
        <f t="shared" ca="1" si="125"/>
        <v>0</v>
      </c>
      <c r="BA49" s="1038">
        <f t="shared" ca="1" si="125"/>
        <v>0</v>
      </c>
      <c r="BB49" s="1038">
        <f t="shared" ca="1" si="125"/>
        <v>0</v>
      </c>
      <c r="BC49" s="1038">
        <f t="shared" ca="1" si="125"/>
        <v>0</v>
      </c>
      <c r="BD49" s="1038">
        <f t="shared" ca="1" si="125"/>
        <v>0</v>
      </c>
      <c r="BE49" s="1038">
        <f t="shared" ca="1" si="125"/>
        <v>-97.812149689806731</v>
      </c>
      <c r="BF49" s="979">
        <f ca="1">SUM(AM49:BE49)</f>
        <v>-97.812149689806731</v>
      </c>
      <c r="BH49" s="1032">
        <f t="shared" ca="1" si="128"/>
        <v>0</v>
      </c>
      <c r="BI49" s="1032">
        <f t="shared" ca="1" si="128"/>
        <v>0</v>
      </c>
      <c r="BJ49" s="1034">
        <f ca="1">SUM(BH49:BI49)</f>
        <v>0</v>
      </c>
      <c r="BL49" s="814"/>
      <c r="BM49" s="814"/>
      <c r="BN49" s="840"/>
      <c r="BO49" s="1481">
        <f t="shared" ca="1" si="129"/>
        <v>0</v>
      </c>
      <c r="BP49" s="1482">
        <f t="shared" ca="1" si="129"/>
        <v>0</v>
      </c>
      <c r="BQ49" s="1482">
        <f t="shared" ca="1" si="129"/>
        <v>0</v>
      </c>
      <c r="BR49" s="1482">
        <f t="shared" ca="1" si="129"/>
        <v>0</v>
      </c>
      <c r="BS49" s="1482">
        <f t="shared" ca="1" si="129"/>
        <v>0</v>
      </c>
      <c r="BT49" s="1482">
        <f t="shared" ca="1" si="129"/>
        <v>0</v>
      </c>
      <c r="BU49" s="1482">
        <f t="shared" ca="1" si="129"/>
        <v>0</v>
      </c>
      <c r="BV49" s="1482">
        <f t="shared" ca="1" si="129"/>
        <v>0</v>
      </c>
      <c r="BW49" s="1482">
        <f t="shared" ca="1" si="129"/>
        <v>0</v>
      </c>
      <c r="BX49" s="1482">
        <f t="shared" ca="1" si="129"/>
        <v>0</v>
      </c>
      <c r="BY49" s="1482">
        <f t="shared" ca="1" si="130"/>
        <v>0</v>
      </c>
      <c r="BZ49" s="1482">
        <f t="shared" ca="1" si="130"/>
        <v>0</v>
      </c>
      <c r="CA49" s="1482">
        <f t="shared" ca="1" si="130"/>
        <v>0</v>
      </c>
      <c r="CB49" s="1482">
        <f t="shared" ca="1" si="130"/>
        <v>0</v>
      </c>
      <c r="CC49" s="1482">
        <f t="shared" ca="1" si="130"/>
        <v>0</v>
      </c>
      <c r="CD49" s="1482">
        <f t="shared" ca="1" si="130"/>
        <v>0</v>
      </c>
      <c r="CE49" s="1482">
        <f t="shared" ca="1" si="130"/>
        <v>0</v>
      </c>
      <c r="CF49" s="1482">
        <f t="shared" ca="1" si="130"/>
        <v>0</v>
      </c>
      <c r="CG49" s="1482">
        <f t="shared" ca="1" si="130"/>
        <v>0</v>
      </c>
      <c r="CH49" s="1482">
        <f t="shared" ca="1" si="130"/>
        <v>0</v>
      </c>
      <c r="CI49" s="1482">
        <f t="shared" ca="1" si="131"/>
        <v>0</v>
      </c>
      <c r="CJ49" s="1482">
        <f t="shared" ca="1" si="131"/>
        <v>0</v>
      </c>
      <c r="CK49" s="1482">
        <f t="shared" ca="1" si="131"/>
        <v>0</v>
      </c>
      <c r="CL49" s="1482">
        <f t="shared" ca="1" si="131"/>
        <v>0</v>
      </c>
      <c r="CM49" s="1482">
        <f t="shared" ca="1" si="131"/>
        <v>0</v>
      </c>
      <c r="CN49" s="1482">
        <f t="shared" ca="1" si="131"/>
        <v>21.499291171709096</v>
      </c>
      <c r="CO49" s="1482">
        <f t="shared" ca="1" si="131"/>
        <v>1.3183729534515276</v>
      </c>
      <c r="CP49" s="1482">
        <f t="shared" ca="1" si="131"/>
        <v>0</v>
      </c>
      <c r="CQ49" s="1482">
        <f t="shared" ca="1" si="131"/>
        <v>0</v>
      </c>
      <c r="CR49" s="1482">
        <f t="shared" ca="1" si="131"/>
        <v>0</v>
      </c>
      <c r="CS49" s="1482">
        <f t="shared" ca="1" si="132"/>
        <v>0</v>
      </c>
      <c r="CT49" s="1482">
        <f t="shared" ca="1" si="132"/>
        <v>0</v>
      </c>
      <c r="CU49" s="1482">
        <f t="shared" ca="1" si="132"/>
        <v>0</v>
      </c>
      <c r="CV49" s="1482">
        <f t="shared" ca="1" si="132"/>
        <v>0</v>
      </c>
      <c r="CW49" s="1482">
        <f t="shared" ca="1" si="132"/>
        <v>0</v>
      </c>
      <c r="CX49" s="1482">
        <f t="shared" ca="1" si="132"/>
        <v>0</v>
      </c>
      <c r="CY49" s="1482">
        <f t="shared" ca="1" si="132"/>
        <v>0</v>
      </c>
      <c r="CZ49" s="1482">
        <f t="shared" ca="1" si="132"/>
        <v>0</v>
      </c>
      <c r="DA49" s="1482">
        <f t="shared" ca="1" si="132"/>
        <v>0</v>
      </c>
      <c r="DB49" s="1482">
        <f t="shared" ca="1" si="132"/>
        <v>0</v>
      </c>
      <c r="DC49" s="1482">
        <f t="shared" ca="1" si="132"/>
        <v>0</v>
      </c>
      <c r="DD49" s="1482">
        <f t="shared" ca="1" si="132"/>
        <v>0</v>
      </c>
      <c r="DE49" s="1482">
        <f t="shared" ca="1" si="132"/>
        <v>0</v>
      </c>
      <c r="DF49" s="1482">
        <f t="shared" ca="1" si="132"/>
        <v>0</v>
      </c>
      <c r="DH49" s="838">
        <f t="shared" ca="1" si="123"/>
        <v>22.817664125160626</v>
      </c>
    </row>
    <row r="50" spans="1:112" s="743" customFormat="1" ht="12.75" hidden="1" customHeight="1" outlineLevel="1">
      <c r="A50" s="1484"/>
      <c r="B50" s="1484"/>
      <c r="C50" s="746" t="s">
        <v>924</v>
      </c>
      <c r="D50" s="1010" t="str">
        <f>INDEX(Modules[Module], MATCH($C50, Modules[Code], 0))</f>
        <v>Agriculture and land use</v>
      </c>
      <c r="E50" s="1010"/>
      <c r="G50" s="1022">
        <f t="shared" ref="G50:P50" ca="1" si="133">IFERROR(INDEX(INDIRECT($C50&amp;".Outputs["&amp;this.Year&amp;"]"), MATCH(G$5, INDIRECT($C50&amp;".Outputs[Vector]"), 0)), 0)</f>
        <v>0</v>
      </c>
      <c r="H50" s="1022">
        <f t="shared" ca="1" si="133"/>
        <v>0</v>
      </c>
      <c r="I50" s="1022">
        <f t="shared" ca="1" si="133"/>
        <v>10.662178153055516</v>
      </c>
      <c r="J50" s="1022">
        <f t="shared" ca="1" si="133"/>
        <v>0</v>
      </c>
      <c r="K50" s="1022">
        <f t="shared" ca="1" si="133"/>
        <v>0</v>
      </c>
      <c r="L50" s="1022">
        <f t="shared" ca="1" si="133"/>
        <v>0</v>
      </c>
      <c r="M50" s="1022">
        <f t="shared" ca="1" si="133"/>
        <v>0</v>
      </c>
      <c r="N50" s="1022">
        <f t="shared" ca="1" si="133"/>
        <v>0</v>
      </c>
      <c r="O50" s="1022">
        <f t="shared" ca="1" si="133"/>
        <v>0</v>
      </c>
      <c r="P50" s="1022">
        <f t="shared" ca="1" si="133"/>
        <v>0</v>
      </c>
      <c r="Q50" s="1020">
        <f ca="1">SUM(G50:P50)</f>
        <v>10.662178153055516</v>
      </c>
      <c r="S50" s="1031">
        <f t="shared" ref="S50:AJ50" ca="1" si="134">IFERROR(INDEX(INDIRECT($C50&amp;".Outputs["&amp;this.Year&amp;"]"), MATCH(S$5, INDIRECT($C50&amp;".Outputs[Vector]"), 0)), 0)</f>
        <v>-4.2648712612222068</v>
      </c>
      <c r="T50" s="1031">
        <f t="shared" ca="1" si="134"/>
        <v>0</v>
      </c>
      <c r="U50" s="1031">
        <f t="shared" ca="1" si="134"/>
        <v>-0.85297425224444123</v>
      </c>
      <c r="V50" s="1031">
        <f t="shared" ca="1" si="134"/>
        <v>-3.5185187905083204</v>
      </c>
      <c r="W50" s="1031">
        <f t="shared" ca="1" si="134"/>
        <v>-2.025813849080548</v>
      </c>
      <c r="X50" s="1031">
        <f t="shared" ca="1" si="126"/>
        <v>0</v>
      </c>
      <c r="Y50" s="1031">
        <f t="shared" ca="1" si="126"/>
        <v>0</v>
      </c>
      <c r="Z50" s="1031">
        <f t="shared" ca="1" si="126"/>
        <v>0</v>
      </c>
      <c r="AA50" s="1031">
        <f t="shared" ca="1" si="134"/>
        <v>0</v>
      </c>
      <c r="AB50" s="1031">
        <f t="shared" ca="1" si="134"/>
        <v>0</v>
      </c>
      <c r="AC50" s="1031">
        <f t="shared" ca="1" si="134"/>
        <v>0</v>
      </c>
      <c r="AD50" s="1031">
        <f t="shared" ca="1" si="134"/>
        <v>7.7206352827919442</v>
      </c>
      <c r="AE50" s="1031">
        <f t="shared" ca="1" si="134"/>
        <v>1.252228408041016</v>
      </c>
      <c r="AF50" s="1031">
        <f t="shared" ca="1" si="134"/>
        <v>3.5408324923433501</v>
      </c>
      <c r="AG50" s="1031">
        <f t="shared" ca="1" si="134"/>
        <v>9.8777242937790248</v>
      </c>
      <c r="AH50" s="1031">
        <f t="shared" ca="1" si="134"/>
        <v>0</v>
      </c>
      <c r="AI50" s="1031">
        <f t="shared" ca="1" si="134"/>
        <v>0</v>
      </c>
      <c r="AJ50" s="1031">
        <f t="shared" ca="1" si="134"/>
        <v>0</v>
      </c>
      <c r="AK50" s="1030">
        <f ca="1">SUM(S50:AJ50)</f>
        <v>11.72924232389982</v>
      </c>
      <c r="AM50" s="1042">
        <f t="shared" ca="1" si="127"/>
        <v>0</v>
      </c>
      <c r="AN50" s="1042">
        <f t="shared" ca="1" si="127"/>
        <v>0</v>
      </c>
      <c r="AO50" s="1042">
        <f t="shared" ca="1" si="127"/>
        <v>0</v>
      </c>
      <c r="AP50" s="1042">
        <f t="shared" ca="1" si="127"/>
        <v>0</v>
      </c>
      <c r="AQ50" s="1042">
        <f t="shared" ca="1" si="127"/>
        <v>0</v>
      </c>
      <c r="AR50" s="1042">
        <f t="shared" ca="1" si="127"/>
        <v>0</v>
      </c>
      <c r="AS50" s="1042">
        <f t="shared" ca="1" si="127"/>
        <v>0</v>
      </c>
      <c r="AT50" s="1042">
        <f t="shared" ca="1" si="127"/>
        <v>0</v>
      </c>
      <c r="AU50" s="1042">
        <f t="shared" ca="1" si="127"/>
        <v>0</v>
      </c>
      <c r="AV50" s="1042">
        <f t="shared" ref="AV50:BE50" ca="1" si="135">IFERROR(INDEX(INDIRECT($C50&amp;".Outputs["&amp;this.Year&amp;"]"), MATCH(AV$5, INDIRECT($C50&amp;".Outputs[Vector]"), 0)), 0)</f>
        <v>0</v>
      </c>
      <c r="AW50" s="1042">
        <f t="shared" ca="1" si="135"/>
        <v>0</v>
      </c>
      <c r="AX50" s="1042">
        <f t="shared" ca="1" si="135"/>
        <v>0</v>
      </c>
      <c r="AY50" s="1042">
        <f t="shared" ca="1" si="135"/>
        <v>0</v>
      </c>
      <c r="AZ50" s="1042">
        <f t="shared" ca="1" si="135"/>
        <v>0</v>
      </c>
      <c r="BA50" s="1042">
        <f t="shared" ca="1" si="135"/>
        <v>0</v>
      </c>
      <c r="BB50" s="1042">
        <f t="shared" ca="1" si="135"/>
        <v>0</v>
      </c>
      <c r="BC50" s="1042">
        <f t="shared" ca="1" si="135"/>
        <v>0</v>
      </c>
      <c r="BD50" s="1042">
        <f t="shared" ca="1" si="135"/>
        <v>-8.9728636908329609</v>
      </c>
      <c r="BE50" s="1042">
        <f t="shared" ca="1" si="135"/>
        <v>-13.418556786122375</v>
      </c>
      <c r="BF50" s="1012">
        <f ca="1">SUM(AM50:BE50)</f>
        <v>-22.391420476955336</v>
      </c>
      <c r="BH50" s="1036">
        <f t="shared" ca="1" si="128"/>
        <v>0</v>
      </c>
      <c r="BI50" s="1036">
        <f t="shared" ca="1" si="128"/>
        <v>0</v>
      </c>
      <c r="BJ50" s="1035">
        <f ca="1">SUM(BH50:BI50)</f>
        <v>0</v>
      </c>
      <c r="BL50" s="814">
        <f ca="1">Q50+AK50+BF50+BJ50</f>
        <v>0</v>
      </c>
      <c r="BM50" s="814"/>
      <c r="BN50" s="840"/>
      <c r="BO50" s="1485">
        <f t="shared" ca="1" si="129"/>
        <v>1.5150955155491888</v>
      </c>
      <c r="BP50" s="1486">
        <f t="shared" ca="1" si="129"/>
        <v>2.6140719175201743E-3</v>
      </c>
      <c r="BQ50" s="1486">
        <f t="shared" ca="1" si="129"/>
        <v>1.895723385422261E-2</v>
      </c>
      <c r="BR50" s="1486">
        <f t="shared" ca="1" si="129"/>
        <v>0</v>
      </c>
      <c r="BS50" s="1486">
        <f t="shared" ca="1" si="129"/>
        <v>0</v>
      </c>
      <c r="BT50" s="1486">
        <f t="shared" ca="1" si="129"/>
        <v>0</v>
      </c>
      <c r="BU50" s="1486">
        <f t="shared" ca="1" si="129"/>
        <v>0</v>
      </c>
      <c r="BV50" s="1486">
        <f t="shared" ca="1" si="129"/>
        <v>0</v>
      </c>
      <c r="BW50" s="1486">
        <f t="shared" ca="1" si="129"/>
        <v>0</v>
      </c>
      <c r="BX50" s="1486">
        <f t="shared" ca="1" si="129"/>
        <v>0</v>
      </c>
      <c r="BY50" s="1486">
        <f t="shared" ca="1" si="130"/>
        <v>0</v>
      </c>
      <c r="BZ50" s="1486">
        <f t="shared" ca="1" si="130"/>
        <v>0</v>
      </c>
      <c r="CA50" s="1486">
        <f t="shared" ca="1" si="130"/>
        <v>0</v>
      </c>
      <c r="CB50" s="1486">
        <f t="shared" ca="1" si="130"/>
        <v>0</v>
      </c>
      <c r="CC50" s="1486">
        <f t="shared" ca="1" si="130"/>
        <v>0</v>
      </c>
      <c r="CD50" s="1486">
        <f t="shared" ca="1" si="130"/>
        <v>0</v>
      </c>
      <c r="CE50" s="1486">
        <f t="shared" ca="1" si="130"/>
        <v>0</v>
      </c>
      <c r="CF50" s="1486">
        <f t="shared" ca="1" si="130"/>
        <v>18.918166511860726</v>
      </c>
      <c r="CG50" s="1486">
        <f t="shared" ca="1" si="130"/>
        <v>22.115591632724669</v>
      </c>
      <c r="CH50" s="1486">
        <f t="shared" ca="1" si="130"/>
        <v>0</v>
      </c>
      <c r="CI50" s="1486">
        <f t="shared" ca="1" si="131"/>
        <v>5.8382909270138512</v>
      </c>
      <c r="CJ50" s="1486">
        <f t="shared" ca="1" si="131"/>
        <v>0</v>
      </c>
      <c r="CK50" s="1486">
        <f t="shared" ca="1" si="131"/>
        <v>0</v>
      </c>
      <c r="CL50" s="1486">
        <f t="shared" ca="1" si="131"/>
        <v>0</v>
      </c>
      <c r="CM50" s="1486">
        <f t="shared" ca="1" si="131"/>
        <v>0</v>
      </c>
      <c r="CN50" s="1486">
        <f t="shared" ca="1" si="131"/>
        <v>0</v>
      </c>
      <c r="CO50" s="1486">
        <f t="shared" ca="1" si="131"/>
        <v>0</v>
      </c>
      <c r="CP50" s="1486">
        <f t="shared" ca="1" si="131"/>
        <v>0</v>
      </c>
      <c r="CQ50" s="1486">
        <f t="shared" ca="1" si="131"/>
        <v>0</v>
      </c>
      <c r="CR50" s="1486">
        <f t="shared" ca="1" si="131"/>
        <v>0</v>
      </c>
      <c r="CS50" s="1486">
        <f t="shared" ca="1" si="132"/>
        <v>0</v>
      </c>
      <c r="CT50" s="1486">
        <f t="shared" ca="1" si="132"/>
        <v>0</v>
      </c>
      <c r="CU50" s="1486">
        <f t="shared" ca="1" si="132"/>
        <v>0</v>
      </c>
      <c r="CV50" s="1486">
        <f t="shared" ca="1" si="132"/>
        <v>0</v>
      </c>
      <c r="CW50" s="1486">
        <f t="shared" ca="1" si="132"/>
        <v>0</v>
      </c>
      <c r="CX50" s="1486">
        <f t="shared" ca="1" si="132"/>
        <v>0</v>
      </c>
      <c r="CY50" s="1486">
        <f t="shared" ca="1" si="132"/>
        <v>0</v>
      </c>
      <c r="CZ50" s="1486">
        <f t="shared" ca="1" si="132"/>
        <v>0</v>
      </c>
      <c r="DA50" s="1486">
        <f t="shared" ca="1" si="132"/>
        <v>0</v>
      </c>
      <c r="DB50" s="1486">
        <f t="shared" ca="1" si="132"/>
        <v>0</v>
      </c>
      <c r="DC50" s="1486">
        <f t="shared" ca="1" si="132"/>
        <v>0</v>
      </c>
      <c r="DD50" s="1486">
        <f t="shared" ca="1" si="132"/>
        <v>0</v>
      </c>
      <c r="DE50" s="1486">
        <f t="shared" ca="1" si="132"/>
        <v>0</v>
      </c>
      <c r="DF50" s="1486">
        <f t="shared" ca="1" si="132"/>
        <v>0</v>
      </c>
      <c r="DH50" s="838">
        <f t="shared" ca="1" si="123"/>
        <v>48.408715892920178</v>
      </c>
    </row>
    <row r="51" spans="1:112" s="743" customFormat="1" ht="15.75" collapsed="1">
      <c r="A51" s="22"/>
      <c r="B51" s="753"/>
      <c r="C51" s="744" t="s">
        <v>672</v>
      </c>
      <c r="D51" s="517" t="str">
        <f>INDEX(Workstreams[Workstream], MATCH($C51, Workstreams[Code], 0))</f>
        <v>Agriculture and waste</v>
      </c>
      <c r="E51" s="512"/>
      <c r="G51" s="1021">
        <f ca="1">SUM(G48:G50)</f>
        <v>0</v>
      </c>
      <c r="H51" s="1021">
        <f t="shared" ref="H51:P51" ca="1" si="136">SUM(H48:H50)</f>
        <v>0</v>
      </c>
      <c r="I51" s="1021">
        <f t="shared" ca="1" si="136"/>
        <v>10.662178153055516</v>
      </c>
      <c r="J51" s="1021">
        <f t="shared" ca="1" si="136"/>
        <v>0</v>
      </c>
      <c r="K51" s="1021">
        <f t="shared" ca="1" si="136"/>
        <v>0</v>
      </c>
      <c r="L51" s="1021">
        <f t="shared" ca="1" si="136"/>
        <v>0</v>
      </c>
      <c r="M51" s="1021">
        <f t="shared" ca="1" si="136"/>
        <v>0</v>
      </c>
      <c r="N51" s="1021">
        <f t="shared" ca="1" si="136"/>
        <v>0</v>
      </c>
      <c r="O51" s="1021">
        <f t="shared" ca="1" si="136"/>
        <v>0</v>
      </c>
      <c r="P51" s="1021">
        <f t="shared" ca="1" si="136"/>
        <v>0</v>
      </c>
      <c r="Q51" s="1021">
        <f ca="1">SUM(G51:P51)</f>
        <v>10.662178153055516</v>
      </c>
      <c r="S51" s="970">
        <f t="shared" ref="S51:AJ51" ca="1" si="137">SUM(S48:S50)</f>
        <v>-4.2648712612222068</v>
      </c>
      <c r="T51" s="970">
        <f t="shared" ca="1" si="137"/>
        <v>0</v>
      </c>
      <c r="U51" s="970">
        <f t="shared" ca="1" si="137"/>
        <v>-0.85297425224444123</v>
      </c>
      <c r="V51" s="970">
        <f t="shared" ca="1" si="137"/>
        <v>-3.5185187905083204</v>
      </c>
      <c r="W51" s="970">
        <f t="shared" ca="1" si="137"/>
        <v>-2.025813849080548</v>
      </c>
      <c r="X51" s="970">
        <f t="shared" ca="1" si="137"/>
        <v>52.991703495171834</v>
      </c>
      <c r="Y51" s="970">
        <f t="shared" ca="1" si="137"/>
        <v>0</v>
      </c>
      <c r="Z51" s="970">
        <f t="shared" ca="1" si="137"/>
        <v>0</v>
      </c>
      <c r="AA51" s="970">
        <f t="shared" ca="1" si="137"/>
        <v>0</v>
      </c>
      <c r="AB51" s="970">
        <f t="shared" ca="1" si="137"/>
        <v>0</v>
      </c>
      <c r="AC51" s="970">
        <f t="shared" ca="1" si="137"/>
        <v>0</v>
      </c>
      <c r="AD51" s="970">
        <f t="shared" ca="1" si="137"/>
        <v>7.7206352827919442</v>
      </c>
      <c r="AE51" s="970">
        <f ca="1">SUM(AE48:AE50)</f>
        <v>1.252228408041016</v>
      </c>
      <c r="AF51" s="970">
        <f t="shared" ca="1" si="137"/>
        <v>26.061321425348929</v>
      </c>
      <c r="AG51" s="970">
        <f t="shared" ca="1" si="137"/>
        <v>14.087208334163787</v>
      </c>
      <c r="AH51" s="970">
        <f ca="1">SUM(AH48:AH50)</f>
        <v>18.090473221244544</v>
      </c>
      <c r="AI51" s="970">
        <f t="shared" ca="1" si="137"/>
        <v>0</v>
      </c>
      <c r="AJ51" s="970">
        <f t="shared" ca="1" si="137"/>
        <v>0</v>
      </c>
      <c r="AK51" s="970">
        <f ca="1">SUM(S51:AJ51)</f>
        <v>109.54139201370654</v>
      </c>
      <c r="AM51" s="976">
        <f t="shared" ref="AM51:BE51" ca="1" si="138">SUM(AM48:AM50)</f>
        <v>0</v>
      </c>
      <c r="AN51" s="976">
        <f t="shared" ca="1" si="138"/>
        <v>0</v>
      </c>
      <c r="AO51" s="976">
        <f t="shared" ca="1" si="138"/>
        <v>0</v>
      </c>
      <c r="AP51" s="976">
        <f t="shared" ca="1" si="138"/>
        <v>0</v>
      </c>
      <c r="AQ51" s="976">
        <f t="shared" ca="1" si="138"/>
        <v>0</v>
      </c>
      <c r="AR51" s="976">
        <f t="shared" ca="1" si="138"/>
        <v>0</v>
      </c>
      <c r="AS51" s="976">
        <f t="shared" ca="1" si="138"/>
        <v>0</v>
      </c>
      <c r="AT51" s="976">
        <f t="shared" ca="1" si="138"/>
        <v>0</v>
      </c>
      <c r="AU51" s="976">
        <f t="shared" ca="1" si="138"/>
        <v>0</v>
      </c>
      <c r="AV51" s="976">
        <f t="shared" ca="1" si="138"/>
        <v>0</v>
      </c>
      <c r="AW51" s="976">
        <f t="shared" ca="1" si="138"/>
        <v>0</v>
      </c>
      <c r="AX51" s="976">
        <f t="shared" ca="1" si="138"/>
        <v>0</v>
      </c>
      <c r="AY51" s="976">
        <f t="shared" ca="1" si="138"/>
        <v>0</v>
      </c>
      <c r="AZ51" s="976">
        <f t="shared" ca="1" si="138"/>
        <v>0</v>
      </c>
      <c r="BA51" s="976">
        <f t="shared" ca="1" si="138"/>
        <v>0</v>
      </c>
      <c r="BB51" s="976">
        <f t="shared" ca="1" si="138"/>
        <v>0</v>
      </c>
      <c r="BC51" s="976">
        <f t="shared" ca="1" si="138"/>
        <v>0</v>
      </c>
      <c r="BD51" s="976">
        <f t="shared" ca="1" si="138"/>
        <v>-8.9728636908329609</v>
      </c>
      <c r="BE51" s="976">
        <f t="shared" ca="1" si="138"/>
        <v>-111.23070647592911</v>
      </c>
      <c r="BF51" s="976">
        <f ca="1">SUM(AM51:BE51)</f>
        <v>-120.20357016676208</v>
      </c>
      <c r="BH51" s="990">
        <f ca="1">SUM(BH48:BH50)</f>
        <v>0</v>
      </c>
      <c r="BI51" s="990">
        <f ca="1">SUM(BI48:BI50)</f>
        <v>0</v>
      </c>
      <c r="BJ51" s="990">
        <f ca="1">SUM(BH51:BI51)</f>
        <v>0</v>
      </c>
      <c r="BL51" s="515">
        <f ca="1">Q51+AK51+BF51+BJ51</f>
        <v>-1.4210854715202004E-14</v>
      </c>
      <c r="BM51" s="515"/>
      <c r="BN51" s="840"/>
      <c r="BO51" s="1482">
        <f t="shared" ref="BO51:DF51" ca="1" si="139">SUM(BO48:BO50)</f>
        <v>1.5150955155491888</v>
      </c>
      <c r="BP51" s="1482">
        <f t="shared" ca="1" si="139"/>
        <v>2.6140719175201743E-3</v>
      </c>
      <c r="BQ51" s="1482">
        <f t="shared" ca="1" si="139"/>
        <v>1.895723385422261E-2</v>
      </c>
      <c r="BR51" s="1482">
        <f t="shared" ca="1" si="139"/>
        <v>0</v>
      </c>
      <c r="BS51" s="1482">
        <f t="shared" ca="1" si="139"/>
        <v>0</v>
      </c>
      <c r="BT51" s="1482">
        <f t="shared" ca="1" si="139"/>
        <v>0</v>
      </c>
      <c r="BU51" s="1482">
        <f t="shared" ca="1" si="139"/>
        <v>0</v>
      </c>
      <c r="BV51" s="1482">
        <f t="shared" ca="1" si="139"/>
        <v>0</v>
      </c>
      <c r="BW51" s="1482">
        <f t="shared" ca="1" si="139"/>
        <v>0</v>
      </c>
      <c r="BX51" s="1482">
        <f t="shared" ca="1" si="139"/>
        <v>0</v>
      </c>
      <c r="BY51" s="1482">
        <f t="shared" ca="1" si="139"/>
        <v>0</v>
      </c>
      <c r="BZ51" s="1482">
        <f t="shared" ca="1" si="139"/>
        <v>0</v>
      </c>
      <c r="CA51" s="1482">
        <f t="shared" ca="1" si="139"/>
        <v>0</v>
      </c>
      <c r="CB51" s="1482">
        <f t="shared" ca="1" si="139"/>
        <v>0</v>
      </c>
      <c r="CC51" s="1482">
        <f t="shared" ca="1" si="139"/>
        <v>0</v>
      </c>
      <c r="CD51" s="1482">
        <f t="shared" ca="1" si="139"/>
        <v>0</v>
      </c>
      <c r="CE51" s="1482">
        <f t="shared" ca="1" si="139"/>
        <v>0</v>
      </c>
      <c r="CF51" s="1482">
        <f t="shared" ca="1" si="139"/>
        <v>18.918166511860726</v>
      </c>
      <c r="CG51" s="1482">
        <f t="shared" ca="1" si="139"/>
        <v>22.115591632724669</v>
      </c>
      <c r="CH51" s="1482">
        <f t="shared" ca="1" si="139"/>
        <v>0</v>
      </c>
      <c r="CI51" s="1482">
        <f t="shared" ca="1" si="139"/>
        <v>5.8382909270138512</v>
      </c>
      <c r="CJ51" s="1482">
        <f t="shared" ca="1" si="139"/>
        <v>0</v>
      </c>
      <c r="CK51" s="1482">
        <f t="shared" ca="1" si="139"/>
        <v>0</v>
      </c>
      <c r="CL51" s="1482">
        <f t="shared" ca="1" si="139"/>
        <v>0</v>
      </c>
      <c r="CM51" s="1482">
        <f t="shared" ca="1" si="139"/>
        <v>0</v>
      </c>
      <c r="CN51" s="1482">
        <f t="shared" ca="1" si="139"/>
        <v>21.499291171709096</v>
      </c>
      <c r="CO51" s="1482">
        <f t="shared" ca="1" si="139"/>
        <v>1.3183729534515276</v>
      </c>
      <c r="CP51" s="1482">
        <f t="shared" ca="1" si="139"/>
        <v>0</v>
      </c>
      <c r="CQ51" s="1482">
        <f t="shared" ca="1" si="139"/>
        <v>0</v>
      </c>
      <c r="CR51" s="1482">
        <f t="shared" ca="1" si="139"/>
        <v>0</v>
      </c>
      <c r="CS51" s="1482">
        <f t="shared" ca="1" si="139"/>
        <v>0</v>
      </c>
      <c r="CT51" s="1482">
        <f t="shared" ca="1" si="139"/>
        <v>0</v>
      </c>
      <c r="CU51" s="1482">
        <f t="shared" ca="1" si="139"/>
        <v>0</v>
      </c>
      <c r="CV51" s="1482">
        <f t="shared" ca="1" si="139"/>
        <v>0</v>
      </c>
      <c r="CW51" s="1482">
        <f t="shared" ca="1" si="139"/>
        <v>0</v>
      </c>
      <c r="CX51" s="1482">
        <f t="shared" ca="1" si="139"/>
        <v>0</v>
      </c>
      <c r="CY51" s="1482">
        <f t="shared" ca="1" si="139"/>
        <v>0</v>
      </c>
      <c r="CZ51" s="1482">
        <f t="shared" ca="1" si="139"/>
        <v>0</v>
      </c>
      <c r="DA51" s="1482">
        <f t="shared" ca="1" si="139"/>
        <v>0</v>
      </c>
      <c r="DB51" s="1482">
        <f t="shared" ca="1" si="139"/>
        <v>0</v>
      </c>
      <c r="DC51" s="1482">
        <f t="shared" ca="1" si="139"/>
        <v>0</v>
      </c>
      <c r="DD51" s="1482">
        <f t="shared" ca="1" si="139"/>
        <v>0</v>
      </c>
      <c r="DE51" s="1482">
        <f t="shared" ca="1" si="139"/>
        <v>0</v>
      </c>
      <c r="DF51" s="1482">
        <f t="shared" ca="1" si="139"/>
        <v>0</v>
      </c>
      <c r="DH51" s="838">
        <f t="shared" ca="1" si="123"/>
        <v>71.226380018080803</v>
      </c>
    </row>
    <row r="52" spans="1:112" s="743" customFormat="1" ht="12.75" hidden="1" customHeight="1" outlineLevel="1">
      <c r="A52" s="22"/>
      <c r="B52" s="22"/>
      <c r="C52" s="751"/>
      <c r="D52" s="512"/>
      <c r="E52" s="512"/>
      <c r="G52" s="958"/>
      <c r="H52" s="958"/>
      <c r="I52" s="958"/>
      <c r="J52" s="958"/>
      <c r="K52" s="960"/>
      <c r="L52" s="958"/>
      <c r="M52" s="958"/>
      <c r="N52" s="958"/>
      <c r="O52" s="958"/>
      <c r="P52" s="958"/>
      <c r="Q52" s="958"/>
      <c r="S52" s="970"/>
      <c r="T52" s="970"/>
      <c r="U52" s="970"/>
      <c r="V52" s="970"/>
      <c r="W52" s="970"/>
      <c r="X52" s="970"/>
      <c r="Y52" s="970"/>
      <c r="Z52" s="970"/>
      <c r="AA52" s="970"/>
      <c r="AB52" s="970"/>
      <c r="AC52" s="970"/>
      <c r="AD52" s="970"/>
      <c r="AE52" s="970"/>
      <c r="AF52" s="970"/>
      <c r="AG52" s="970"/>
      <c r="AH52" s="970"/>
      <c r="AI52" s="970"/>
      <c r="AJ52" s="970"/>
      <c r="AK52" s="970"/>
      <c r="AM52" s="976"/>
      <c r="AN52" s="976"/>
      <c r="AO52" s="976"/>
      <c r="AP52" s="976"/>
      <c r="AQ52" s="976"/>
      <c r="AR52" s="976"/>
      <c r="AS52" s="976"/>
      <c r="AT52" s="976"/>
      <c r="AU52" s="976"/>
      <c r="AV52" s="976"/>
      <c r="AW52" s="976"/>
      <c r="AX52" s="976"/>
      <c r="AY52" s="976"/>
      <c r="AZ52" s="976"/>
      <c r="BA52" s="976"/>
      <c r="BB52" s="976"/>
      <c r="BC52" s="976"/>
      <c r="BD52" s="976"/>
      <c r="BE52" s="976"/>
      <c r="BF52" s="976"/>
      <c r="BH52" s="990"/>
      <c r="BI52" s="990"/>
      <c r="BJ52" s="990"/>
      <c r="BL52" s="515">
        <f>Q52+AK52+BF52+BJ52</f>
        <v>0</v>
      </c>
      <c r="BM52" s="515"/>
      <c r="BN52" s="22"/>
      <c r="BO52" s="1482"/>
      <c r="BP52" s="1482"/>
      <c r="BQ52" s="1482"/>
      <c r="BR52" s="1482"/>
      <c r="BS52" s="1482"/>
      <c r="BT52" s="1482"/>
      <c r="BU52" s="1482"/>
      <c r="BV52" s="1482"/>
      <c r="BW52" s="1482"/>
      <c r="BX52" s="1482"/>
      <c r="BY52" s="1482"/>
      <c r="BZ52" s="1482"/>
      <c r="CA52" s="1482"/>
      <c r="CB52" s="1482"/>
      <c r="CC52" s="1482"/>
      <c r="CD52" s="1482"/>
      <c r="CE52" s="1482"/>
      <c r="CF52" s="1482"/>
      <c r="CG52" s="1482"/>
      <c r="CH52" s="1482"/>
      <c r="CI52" s="1482"/>
      <c r="CJ52" s="1482"/>
      <c r="CK52" s="1482"/>
      <c r="CL52" s="1482"/>
      <c r="CM52" s="1482"/>
      <c r="CN52" s="1482"/>
      <c r="CO52" s="1482"/>
      <c r="CP52" s="1482"/>
      <c r="CQ52" s="1482"/>
      <c r="CR52" s="1482"/>
      <c r="CS52" s="1482"/>
      <c r="CT52" s="1482"/>
      <c r="CU52" s="1482"/>
      <c r="CV52" s="1482"/>
      <c r="CW52" s="1482"/>
      <c r="CX52" s="1482"/>
      <c r="CY52" s="1482"/>
      <c r="CZ52" s="1482"/>
      <c r="DA52" s="1482"/>
      <c r="DB52" s="1482"/>
      <c r="DC52" s="1482"/>
      <c r="DD52" s="1482"/>
      <c r="DE52" s="1482"/>
      <c r="DF52" s="1482"/>
      <c r="DH52" s="838">
        <f t="shared" si="123"/>
        <v>0</v>
      </c>
    </row>
    <row r="53" spans="1:112" s="743" customFormat="1" hidden="1" outlineLevel="1">
      <c r="A53" s="1484"/>
      <c r="B53" s="1484"/>
      <c r="C53" s="522" t="s">
        <v>971</v>
      </c>
      <c r="D53" s="521" t="str">
        <f>INDEX(Modules[Module], MATCH($C53, Modules[Code], 0))</f>
        <v>Petroleum refineries</v>
      </c>
      <c r="E53" s="521"/>
      <c r="G53" s="1017">
        <f t="shared" ref="G53:P54" ca="1" si="140">IFERROR(INDEX(INDIRECT($C53&amp;".Outputs["&amp;this.Year&amp;"]"), MATCH(G$5, INDIRECT($C53&amp;".Outputs[Vector]"), 0)), 0)</f>
        <v>0</v>
      </c>
      <c r="H53" s="1017">
        <f t="shared" ca="1" si="140"/>
        <v>0</v>
      </c>
      <c r="I53" s="1017">
        <f t="shared" ca="1" si="140"/>
        <v>0</v>
      </c>
      <c r="J53" s="1017">
        <f t="shared" ca="1" si="140"/>
        <v>0</v>
      </c>
      <c r="K53" s="1017">
        <f t="shared" ca="1" si="140"/>
        <v>0</v>
      </c>
      <c r="L53" s="1017">
        <f t="shared" ca="1" si="140"/>
        <v>0</v>
      </c>
      <c r="M53" s="1017">
        <f t="shared" ca="1" si="140"/>
        <v>0</v>
      </c>
      <c r="N53" s="1017">
        <f t="shared" ca="1" si="140"/>
        <v>0</v>
      </c>
      <c r="O53" s="1017">
        <f t="shared" ca="1" si="140"/>
        <v>0</v>
      </c>
      <c r="P53" s="1017">
        <f t="shared" ca="1" si="140"/>
        <v>0</v>
      </c>
      <c r="Q53" s="1019">
        <f ca="1">SUM(G53:P53)</f>
        <v>0</v>
      </c>
      <c r="S53" s="1026">
        <f t="shared" ref="S53:BE54" ca="1" si="141">IFERROR(INDEX(INDIRECT($C53&amp;".Outputs["&amp;this.Year&amp;"]"), MATCH(S$5, INDIRECT($C53&amp;".Outputs[Vector]"), 0)), 0)</f>
        <v>-6.1659401635918787</v>
      </c>
      <c r="T53" s="1026">
        <f t="shared" ca="1" si="141"/>
        <v>0</v>
      </c>
      <c r="U53" s="1026">
        <f t="shared" ca="1" si="141"/>
        <v>0</v>
      </c>
      <c r="V53" s="1026">
        <f t="shared" ca="1" si="141"/>
        <v>-50.538427681284524</v>
      </c>
      <c r="W53" s="1026">
        <f t="shared" ca="1" si="141"/>
        <v>-2.2482843222706577</v>
      </c>
      <c r="X53" s="1026">
        <f t="shared" ref="X53:Z54" ca="1" si="142">IFERROR(INDEX(INDIRECT($C53&amp;".Outputs["&amp;this.Year&amp;"]"), MATCH(X$5, INDIRECT($C53&amp;".Outputs[Vector]"), 0)), 0)</f>
        <v>0</v>
      </c>
      <c r="Y53" s="1026">
        <f t="shared" ca="1" si="142"/>
        <v>0</v>
      </c>
      <c r="Z53" s="1026">
        <f t="shared" ca="1" si="142"/>
        <v>0</v>
      </c>
      <c r="AA53" s="1026">
        <f t="shared" ca="1" si="141"/>
        <v>0</v>
      </c>
      <c r="AB53" s="1026">
        <f t="shared" ca="1" si="141"/>
        <v>-0.7240722625197441</v>
      </c>
      <c r="AC53" s="1026">
        <f t="shared" ca="1" si="141"/>
        <v>0</v>
      </c>
      <c r="AD53" s="1026">
        <f t="shared" ca="1" si="141"/>
        <v>0</v>
      </c>
      <c r="AE53" s="1026">
        <f t="shared" ca="1" si="141"/>
        <v>0</v>
      </c>
      <c r="AF53" s="1026">
        <f t="shared" ca="1" si="141"/>
        <v>0</v>
      </c>
      <c r="AG53" s="1026">
        <f t="shared" ca="1" si="141"/>
        <v>0</v>
      </c>
      <c r="AH53" s="1026">
        <f t="shared" ca="1" si="141"/>
        <v>0</v>
      </c>
      <c r="AI53" s="1026">
        <f t="shared" ca="1" si="141"/>
        <v>0</v>
      </c>
      <c r="AJ53" s="1026">
        <f t="shared" ca="1" si="141"/>
        <v>0</v>
      </c>
      <c r="AK53" s="1027">
        <f ca="1">SUM(S53:AJ53)</f>
        <v>-59.676724429666798</v>
      </c>
      <c r="AM53" s="1038">
        <f t="shared" ref="AM53:AU54" ca="1" si="143">IFERROR(INDEX(INDIRECT($C53&amp;".Outputs["&amp;this.Year&amp;"]"), MATCH(AM$5, INDIRECT($C53&amp;".Outputs[Vector]"), 0)), 0)</f>
        <v>0</v>
      </c>
      <c r="AN53" s="1038">
        <f t="shared" ca="1" si="143"/>
        <v>0</v>
      </c>
      <c r="AO53" s="1038">
        <f t="shared" ca="1" si="143"/>
        <v>0</v>
      </c>
      <c r="AP53" s="1038">
        <f t="shared" ca="1" si="143"/>
        <v>0</v>
      </c>
      <c r="AQ53" s="1038">
        <f t="shared" ca="1" si="143"/>
        <v>0</v>
      </c>
      <c r="AR53" s="1038">
        <f t="shared" ca="1" si="143"/>
        <v>0</v>
      </c>
      <c r="AS53" s="1038">
        <f t="shared" ca="1" si="143"/>
        <v>0</v>
      </c>
      <c r="AT53" s="1038">
        <f t="shared" ca="1" si="143"/>
        <v>0</v>
      </c>
      <c r="AU53" s="1038">
        <f t="shared" ca="1" si="143"/>
        <v>0</v>
      </c>
      <c r="AV53" s="1038">
        <f t="shared" ca="1" si="141"/>
        <v>0</v>
      </c>
      <c r="AW53" s="1038">
        <f t="shared" ca="1" si="141"/>
        <v>0</v>
      </c>
      <c r="AX53" s="1038">
        <f t="shared" ca="1" si="141"/>
        <v>0</v>
      </c>
      <c r="AY53" s="1038">
        <f t="shared" ca="1" si="141"/>
        <v>0</v>
      </c>
      <c r="AZ53" s="1038">
        <f t="shared" ca="1" si="141"/>
        <v>0</v>
      </c>
      <c r="BA53" s="1038">
        <f t="shared" ca="1" si="141"/>
        <v>0</v>
      </c>
      <c r="BB53" s="1038">
        <f t="shared" ca="1" si="141"/>
        <v>0</v>
      </c>
      <c r="BC53" s="1038">
        <f t="shared" ca="1" si="141"/>
        <v>0</v>
      </c>
      <c r="BD53" s="1038">
        <f t="shared" ca="1" si="141"/>
        <v>0</v>
      </c>
      <c r="BE53" s="1038">
        <f t="shared" ca="1" si="141"/>
        <v>0</v>
      </c>
      <c r="BF53" s="979">
        <f ca="1">SUM(AM53:BE53)</f>
        <v>0</v>
      </c>
      <c r="BH53" s="1032">
        <f ca="1">IFERROR(INDEX(INDIRECT($C53&amp;".Outputs["&amp;this.Year&amp;"]"), MATCH(BH$5, INDIRECT($C53&amp;".Outputs[Vector]"), 0)), 0)</f>
        <v>0</v>
      </c>
      <c r="BI53" s="1032">
        <f ca="1">IFERROR(INDEX(INDIRECT($C53&amp;".Outputs["&amp;this.Year&amp;"]"), MATCH(BI$5, INDIRECT($C53&amp;".Outputs[Vector]"), 0)), 0)</f>
        <v>59.676724429666798</v>
      </c>
      <c r="BJ53" s="1034">
        <f ca="1">SUM(BH53:BI53)</f>
        <v>59.676724429666798</v>
      </c>
      <c r="BL53" s="814">
        <f ca="1">Q53+AK53+BF53+BJ53</f>
        <v>0</v>
      </c>
      <c r="BM53" s="814"/>
      <c r="BN53" s="840"/>
      <c r="BO53" s="1481">
        <f t="shared" ref="BO53:BX54" ca="1" si="144">IFERROR(SUMIFS(INDIRECT($C53&amp;".Emissions["&amp;this.Year&amp;"]"), INDIRECT($C53&amp;".Emissions[GHG]"), BO$6, INDIRECT($C53&amp;".Emissions[IPCC Sector]"), BO$5),0)</f>
        <v>13.048291235618931</v>
      </c>
      <c r="BP53" s="1482">
        <f t="shared" ca="1" si="144"/>
        <v>1.6559260035288102E-2</v>
      </c>
      <c r="BQ53" s="1482">
        <f t="shared" ca="1" si="144"/>
        <v>0.22821433899752142</v>
      </c>
      <c r="BR53" s="1482">
        <f t="shared" ca="1" si="144"/>
        <v>0</v>
      </c>
      <c r="BS53" s="1482">
        <f t="shared" ca="1" si="144"/>
        <v>0</v>
      </c>
      <c r="BT53" s="1482">
        <f t="shared" ca="1" si="144"/>
        <v>0</v>
      </c>
      <c r="BU53" s="1482">
        <f t="shared" ca="1" si="144"/>
        <v>0</v>
      </c>
      <c r="BV53" s="1482">
        <f t="shared" ca="1" si="144"/>
        <v>0</v>
      </c>
      <c r="BW53" s="1482">
        <f t="shared" ca="1" si="144"/>
        <v>0</v>
      </c>
      <c r="BX53" s="1482">
        <f t="shared" ca="1" si="144"/>
        <v>0</v>
      </c>
      <c r="BY53" s="1482">
        <f t="shared" ref="BY53:CH54" ca="1" si="145">IFERROR(SUMIFS(INDIRECT($C53&amp;".Emissions["&amp;this.Year&amp;"]"), INDIRECT($C53&amp;".Emissions[GHG]"), BY$6, INDIRECT($C53&amp;".Emissions[IPCC Sector]"), BY$5),0)</f>
        <v>0</v>
      </c>
      <c r="BZ53" s="1482">
        <f t="shared" ca="1" si="145"/>
        <v>0</v>
      </c>
      <c r="CA53" s="1482">
        <f t="shared" ca="1" si="145"/>
        <v>0</v>
      </c>
      <c r="CB53" s="1482">
        <f t="shared" ca="1" si="145"/>
        <v>0</v>
      </c>
      <c r="CC53" s="1482">
        <f t="shared" ca="1" si="145"/>
        <v>0</v>
      </c>
      <c r="CD53" s="1482">
        <f t="shared" ca="1" si="145"/>
        <v>0</v>
      </c>
      <c r="CE53" s="1482">
        <f t="shared" ca="1" si="145"/>
        <v>0</v>
      </c>
      <c r="CF53" s="1482">
        <f t="shared" ca="1" si="145"/>
        <v>0</v>
      </c>
      <c r="CG53" s="1482">
        <f t="shared" ca="1" si="145"/>
        <v>0</v>
      </c>
      <c r="CH53" s="1482">
        <f t="shared" ca="1" si="145"/>
        <v>0</v>
      </c>
      <c r="CI53" s="1482">
        <f t="shared" ref="CI53:CR54" ca="1" si="146">IFERROR(SUMIFS(INDIRECT($C53&amp;".Emissions["&amp;this.Year&amp;"]"), INDIRECT($C53&amp;".Emissions[GHG]"), CI$6, INDIRECT($C53&amp;".Emissions[IPCC Sector]"), CI$5),0)</f>
        <v>0</v>
      </c>
      <c r="CJ53" s="1482">
        <f t="shared" ca="1" si="146"/>
        <v>0</v>
      </c>
      <c r="CK53" s="1482">
        <f t="shared" ca="1" si="146"/>
        <v>0</v>
      </c>
      <c r="CL53" s="1482">
        <f t="shared" ca="1" si="146"/>
        <v>0</v>
      </c>
      <c r="CM53" s="1482">
        <f t="shared" ca="1" si="146"/>
        <v>0</v>
      </c>
      <c r="CN53" s="1482">
        <f t="shared" ca="1" si="146"/>
        <v>0</v>
      </c>
      <c r="CO53" s="1482">
        <f t="shared" ca="1" si="146"/>
        <v>0</v>
      </c>
      <c r="CP53" s="1482">
        <f t="shared" ca="1" si="146"/>
        <v>0</v>
      </c>
      <c r="CQ53" s="1482">
        <f t="shared" ca="1" si="146"/>
        <v>0</v>
      </c>
      <c r="CR53" s="1482">
        <f t="shared" ca="1" si="146"/>
        <v>0</v>
      </c>
      <c r="CS53" s="1482">
        <f t="shared" ref="CS53:DF54" ca="1" si="147">IFERROR(SUMIFS(INDIRECT($C53&amp;".Emissions["&amp;this.Year&amp;"]"), INDIRECT($C53&amp;".Emissions[GHG]"), CS$6, INDIRECT($C53&amp;".Emissions[IPCC Sector]"), CS$5),0)</f>
        <v>0</v>
      </c>
      <c r="CT53" s="1482">
        <f t="shared" ca="1" si="147"/>
        <v>0</v>
      </c>
      <c r="CU53" s="1482">
        <f t="shared" ca="1" si="147"/>
        <v>0</v>
      </c>
      <c r="CV53" s="1482">
        <f t="shared" ca="1" si="147"/>
        <v>0</v>
      </c>
      <c r="CW53" s="1482">
        <f t="shared" ca="1" si="147"/>
        <v>0</v>
      </c>
      <c r="CX53" s="1482">
        <f t="shared" ca="1" si="147"/>
        <v>0</v>
      </c>
      <c r="CY53" s="1482">
        <f t="shared" ca="1" si="147"/>
        <v>0</v>
      </c>
      <c r="CZ53" s="1482">
        <f t="shared" ca="1" si="147"/>
        <v>0</v>
      </c>
      <c r="DA53" s="1482">
        <f t="shared" ca="1" si="147"/>
        <v>0</v>
      </c>
      <c r="DB53" s="1482">
        <f t="shared" ca="1" si="147"/>
        <v>0</v>
      </c>
      <c r="DC53" s="1482">
        <f t="shared" ca="1" si="147"/>
        <v>0</v>
      </c>
      <c r="DD53" s="1482">
        <f t="shared" ca="1" si="147"/>
        <v>0</v>
      </c>
      <c r="DE53" s="1482">
        <f t="shared" ca="1" si="147"/>
        <v>0</v>
      </c>
      <c r="DF53" s="1482">
        <f t="shared" ca="1" si="147"/>
        <v>0</v>
      </c>
      <c r="DH53" s="838">
        <f t="shared" ca="1" si="123"/>
        <v>13.293064834651741</v>
      </c>
    </row>
    <row r="54" spans="1:112" s="743" customFormat="1" hidden="1" outlineLevel="1">
      <c r="A54" s="1484"/>
      <c r="B54" s="1484"/>
      <c r="C54" s="522" t="s">
        <v>989</v>
      </c>
      <c r="D54" s="1010" t="str">
        <f>INDEX(Modules[Module], MATCH($C54, Modules[Code], 0))</f>
        <v>Indigenous fossil-fuel production</v>
      </c>
      <c r="E54" s="1010"/>
      <c r="G54" s="1022">
        <f t="shared" ca="1" si="140"/>
        <v>0</v>
      </c>
      <c r="H54" s="1022">
        <f t="shared" ca="1" si="140"/>
        <v>0</v>
      </c>
      <c r="I54" s="1022">
        <f t="shared" ca="1" si="140"/>
        <v>45.236742489093203</v>
      </c>
      <c r="J54" s="1022">
        <f t="shared" ca="1" si="140"/>
        <v>0</v>
      </c>
      <c r="K54" s="1022">
        <f t="shared" ca="1" si="140"/>
        <v>0</v>
      </c>
      <c r="L54" s="1022">
        <f t="shared" ca="1" si="140"/>
        <v>0</v>
      </c>
      <c r="M54" s="1022">
        <f t="shared" ca="1" si="140"/>
        <v>0</v>
      </c>
      <c r="N54" s="1022">
        <f t="shared" ca="1" si="140"/>
        <v>0</v>
      </c>
      <c r="O54" s="1022">
        <f t="shared" ca="1" si="140"/>
        <v>0</v>
      </c>
      <c r="P54" s="1022">
        <f t="shared" ca="1" si="140"/>
        <v>0</v>
      </c>
      <c r="Q54" s="1020">
        <f ca="1">SUM(G54:P54)</f>
        <v>45.236742489093203</v>
      </c>
      <c r="S54" s="1031">
        <f t="shared" ca="1" si="141"/>
        <v>-1.3646143107322832</v>
      </c>
      <c r="T54" s="1031">
        <f t="shared" ca="1" si="141"/>
        <v>0</v>
      </c>
      <c r="U54" s="1031">
        <f t="shared" ca="1" si="141"/>
        <v>-4.4692473051785787E-2</v>
      </c>
      <c r="V54" s="1031">
        <f t="shared" ca="1" si="141"/>
        <v>0</v>
      </c>
      <c r="W54" s="1031">
        <f t="shared" ca="1" si="141"/>
        <v>-43.827435705309135</v>
      </c>
      <c r="X54" s="1031">
        <f t="shared" ca="1" si="142"/>
        <v>124.39544583847987</v>
      </c>
      <c r="Y54" s="1031">
        <f t="shared" ca="1" si="142"/>
        <v>664.52033513004915</v>
      </c>
      <c r="Z54" s="1031">
        <f t="shared" ca="1" si="142"/>
        <v>508.98355251965154</v>
      </c>
      <c r="AA54" s="1031">
        <f t="shared" ca="1" si="141"/>
        <v>0</v>
      </c>
      <c r="AB54" s="1031">
        <f t="shared" ca="1" si="141"/>
        <v>0</v>
      </c>
      <c r="AC54" s="1031">
        <f t="shared" ca="1" si="141"/>
        <v>0</v>
      </c>
      <c r="AD54" s="1031">
        <f t="shared" ca="1" si="141"/>
        <v>0</v>
      </c>
      <c r="AE54" s="1031">
        <f t="shared" ca="1" si="141"/>
        <v>0</v>
      </c>
      <c r="AF54" s="1031">
        <f t="shared" ca="1" si="141"/>
        <v>0</v>
      </c>
      <c r="AG54" s="1031">
        <f t="shared" ca="1" si="141"/>
        <v>0</v>
      </c>
      <c r="AH54" s="1031">
        <f t="shared" ca="1" si="141"/>
        <v>0</v>
      </c>
      <c r="AI54" s="1031">
        <f t="shared" ca="1" si="141"/>
        <v>0</v>
      </c>
      <c r="AJ54" s="1031">
        <f t="shared" ca="1" si="141"/>
        <v>0</v>
      </c>
      <c r="AK54" s="1030">
        <f ca="1">SUM(S54:AJ54)</f>
        <v>1252.6625909990873</v>
      </c>
      <c r="AM54" s="1042">
        <f t="shared" ca="1" si="143"/>
        <v>-124.39544583847987</v>
      </c>
      <c r="AN54" s="1042">
        <f t="shared" ca="1" si="143"/>
        <v>-664.52033513004915</v>
      </c>
      <c r="AO54" s="1042">
        <f t="shared" ca="1" si="143"/>
        <v>-508.98355251965154</v>
      </c>
      <c r="AP54" s="1042">
        <f t="shared" ca="1" si="143"/>
        <v>0</v>
      </c>
      <c r="AQ54" s="1042">
        <f t="shared" ca="1" si="143"/>
        <v>0</v>
      </c>
      <c r="AR54" s="1042">
        <f t="shared" ca="1" si="143"/>
        <v>0</v>
      </c>
      <c r="AS54" s="1042">
        <f t="shared" ca="1" si="143"/>
        <v>0</v>
      </c>
      <c r="AT54" s="1042">
        <f t="shared" ca="1" si="143"/>
        <v>0</v>
      </c>
      <c r="AU54" s="1042">
        <f t="shared" ca="1" si="143"/>
        <v>0</v>
      </c>
      <c r="AV54" s="1042">
        <f t="shared" ca="1" si="141"/>
        <v>0</v>
      </c>
      <c r="AW54" s="1042">
        <f t="shared" ca="1" si="141"/>
        <v>0</v>
      </c>
      <c r="AX54" s="1042">
        <f t="shared" ca="1" si="141"/>
        <v>0</v>
      </c>
      <c r="AY54" s="1042">
        <f t="shared" ca="1" si="141"/>
        <v>0</v>
      </c>
      <c r="AZ54" s="1042">
        <f t="shared" ca="1" si="141"/>
        <v>0</v>
      </c>
      <c r="BA54" s="1042">
        <f t="shared" ca="1" si="141"/>
        <v>0</v>
      </c>
      <c r="BB54" s="1042">
        <f t="shared" ca="1" si="141"/>
        <v>0</v>
      </c>
      <c r="BC54" s="1042">
        <f t="shared" ca="1" si="141"/>
        <v>0</v>
      </c>
      <c r="BD54" s="1042">
        <f t="shared" ca="1" si="141"/>
        <v>0</v>
      </c>
      <c r="BE54" s="1042">
        <f t="shared" ca="1" si="141"/>
        <v>0</v>
      </c>
      <c r="BF54" s="1012">
        <f ca="1">SUM(AM54:BE54)</f>
        <v>-1297.8993334881807</v>
      </c>
      <c r="BH54" s="1036">
        <f ca="1">IFERROR(INDEX(INDIRECT($C54&amp;".Outputs["&amp;this.Year&amp;"]"), MATCH(BH$5, INDIRECT($C54&amp;".Outputs[Vector]"), 0)), 0)</f>
        <v>0</v>
      </c>
      <c r="BI54" s="1036">
        <f ca="1">IFERROR(INDEX(INDIRECT($C54&amp;".Outputs["&amp;this.Year&amp;"]"), MATCH(BI$5, INDIRECT($C54&amp;".Outputs[Vector]"), 0)), 0)</f>
        <v>0</v>
      </c>
      <c r="BJ54" s="1035">
        <f ca="1">SUM(BH54:BI54)</f>
        <v>0</v>
      </c>
      <c r="BL54" s="814"/>
      <c r="BM54" s="814"/>
      <c r="BN54" s="840"/>
      <c r="BO54" s="1485">
        <f t="shared" ca="1" si="144"/>
        <v>8.0475041697768788</v>
      </c>
      <c r="BP54" s="1486">
        <f t="shared" ca="1" si="144"/>
        <v>1.6131107096000703E-2</v>
      </c>
      <c r="BQ54" s="1486">
        <f t="shared" ca="1" si="144"/>
        <v>1.7349789920236686E-2</v>
      </c>
      <c r="BR54" s="1486">
        <f t="shared" ca="1" si="144"/>
        <v>0</v>
      </c>
      <c r="BS54" s="1486">
        <f t="shared" ca="1" si="144"/>
        <v>3.467114152456976</v>
      </c>
      <c r="BT54" s="1486">
        <f t="shared" ca="1" si="144"/>
        <v>2.6403129612517775</v>
      </c>
      <c r="BU54" s="1486">
        <f t="shared" ca="1" si="144"/>
        <v>0</v>
      </c>
      <c r="BV54" s="1486">
        <f t="shared" ca="1" si="144"/>
        <v>0</v>
      </c>
      <c r="BW54" s="1486">
        <f t="shared" ca="1" si="144"/>
        <v>0</v>
      </c>
      <c r="BX54" s="1486">
        <f t="shared" ca="1" si="144"/>
        <v>0</v>
      </c>
      <c r="BY54" s="1486">
        <f t="shared" ca="1" si="145"/>
        <v>0</v>
      </c>
      <c r="BZ54" s="1486">
        <f t="shared" ca="1" si="145"/>
        <v>0</v>
      </c>
      <c r="CA54" s="1486">
        <f t="shared" ca="1" si="145"/>
        <v>0</v>
      </c>
      <c r="CB54" s="1486">
        <f t="shared" ca="1" si="145"/>
        <v>0</v>
      </c>
      <c r="CC54" s="1486">
        <f t="shared" ca="1" si="145"/>
        <v>0</v>
      </c>
      <c r="CD54" s="1486">
        <f t="shared" ca="1" si="145"/>
        <v>0</v>
      </c>
      <c r="CE54" s="1486">
        <f t="shared" ca="1" si="145"/>
        <v>0</v>
      </c>
      <c r="CF54" s="1486">
        <f t="shared" ca="1" si="145"/>
        <v>0</v>
      </c>
      <c r="CG54" s="1486">
        <f t="shared" ca="1" si="145"/>
        <v>0</v>
      </c>
      <c r="CH54" s="1486">
        <f t="shared" ca="1" si="145"/>
        <v>0</v>
      </c>
      <c r="CI54" s="1486">
        <f t="shared" ca="1" si="146"/>
        <v>0</v>
      </c>
      <c r="CJ54" s="1486">
        <f t="shared" ca="1" si="146"/>
        <v>0</v>
      </c>
      <c r="CK54" s="1486">
        <f t="shared" ca="1" si="146"/>
        <v>0</v>
      </c>
      <c r="CL54" s="1486">
        <f t="shared" ca="1" si="146"/>
        <v>0</v>
      </c>
      <c r="CM54" s="1486">
        <f t="shared" ca="1" si="146"/>
        <v>0</v>
      </c>
      <c r="CN54" s="1486">
        <f t="shared" ca="1" si="146"/>
        <v>0</v>
      </c>
      <c r="CO54" s="1486">
        <f t="shared" ca="1" si="146"/>
        <v>0</v>
      </c>
      <c r="CP54" s="1486">
        <f t="shared" ca="1" si="146"/>
        <v>0</v>
      </c>
      <c r="CQ54" s="1486">
        <f t="shared" ca="1" si="146"/>
        <v>0</v>
      </c>
      <c r="CR54" s="1486">
        <f t="shared" ca="1" si="146"/>
        <v>0</v>
      </c>
      <c r="CS54" s="1486">
        <f t="shared" ca="1" si="147"/>
        <v>0</v>
      </c>
      <c r="CT54" s="1486">
        <f t="shared" ca="1" si="147"/>
        <v>0</v>
      </c>
      <c r="CU54" s="1486">
        <f t="shared" ca="1" si="147"/>
        <v>0</v>
      </c>
      <c r="CV54" s="1486">
        <f t="shared" ca="1" si="147"/>
        <v>0</v>
      </c>
      <c r="CW54" s="1486">
        <f t="shared" ca="1" si="147"/>
        <v>0</v>
      </c>
      <c r="CX54" s="1486">
        <f t="shared" ca="1" si="147"/>
        <v>0</v>
      </c>
      <c r="CY54" s="1486">
        <f t="shared" ca="1" si="147"/>
        <v>0</v>
      </c>
      <c r="CZ54" s="1486">
        <f t="shared" ca="1" si="147"/>
        <v>0</v>
      </c>
      <c r="DA54" s="1486">
        <f t="shared" ca="1" si="147"/>
        <v>0</v>
      </c>
      <c r="DB54" s="1486">
        <f t="shared" ca="1" si="147"/>
        <v>0</v>
      </c>
      <c r="DC54" s="1486">
        <f t="shared" ca="1" si="147"/>
        <v>0</v>
      </c>
      <c r="DD54" s="1486">
        <f t="shared" ca="1" si="147"/>
        <v>0</v>
      </c>
      <c r="DE54" s="1486">
        <f t="shared" ca="1" si="147"/>
        <v>0</v>
      </c>
      <c r="DF54" s="1486">
        <f t="shared" ca="1" si="147"/>
        <v>0</v>
      </c>
      <c r="DH54" s="838">
        <f t="shared" ca="1" si="123"/>
        <v>14.188412180501871</v>
      </c>
    </row>
    <row r="55" spans="1:112" s="743" customFormat="1" ht="15.75" collapsed="1">
      <c r="A55" s="1488"/>
      <c r="B55" s="1489"/>
      <c r="C55" s="744" t="s">
        <v>969</v>
      </c>
      <c r="D55" s="517" t="str">
        <f>INDEX(Workstreams[Workstream], MATCH($C55, Workstreams[Code], 0))</f>
        <v>Fossil fuel production</v>
      </c>
      <c r="E55" s="512"/>
      <c r="G55" s="1021">
        <f ca="1">SUM(G53:G54)</f>
        <v>0</v>
      </c>
      <c r="H55" s="1021">
        <f t="shared" ref="H55:P55" ca="1" si="148">SUM(H53:H54)</f>
        <v>0</v>
      </c>
      <c r="I55" s="1021">
        <f t="shared" ca="1" si="148"/>
        <v>45.236742489093203</v>
      </c>
      <c r="J55" s="1021">
        <f t="shared" ca="1" si="148"/>
        <v>0</v>
      </c>
      <c r="K55" s="1021">
        <f t="shared" ca="1" si="148"/>
        <v>0</v>
      </c>
      <c r="L55" s="1021">
        <f t="shared" ca="1" si="148"/>
        <v>0</v>
      </c>
      <c r="M55" s="1021">
        <f t="shared" ca="1" si="148"/>
        <v>0</v>
      </c>
      <c r="N55" s="1021">
        <f t="shared" ca="1" si="148"/>
        <v>0</v>
      </c>
      <c r="O55" s="1021">
        <f t="shared" ca="1" si="148"/>
        <v>0</v>
      </c>
      <c r="P55" s="1021">
        <f t="shared" ca="1" si="148"/>
        <v>0</v>
      </c>
      <c r="Q55" s="1021">
        <f ca="1">SUM(G55:P55)</f>
        <v>45.236742489093203</v>
      </c>
      <c r="S55" s="970">
        <f t="shared" ref="S55:AJ55" ca="1" si="149">SUM(S53:S54)</f>
        <v>-7.5305544743241617</v>
      </c>
      <c r="T55" s="970">
        <f t="shared" ca="1" si="149"/>
        <v>0</v>
      </c>
      <c r="U55" s="970">
        <f t="shared" ca="1" si="149"/>
        <v>-4.4692473051785787E-2</v>
      </c>
      <c r="V55" s="970">
        <f t="shared" ca="1" si="149"/>
        <v>-50.538427681284524</v>
      </c>
      <c r="W55" s="970">
        <f t="shared" ca="1" si="149"/>
        <v>-46.075720027579791</v>
      </c>
      <c r="X55" s="970">
        <f ca="1">SUM(X53:X54)</f>
        <v>124.39544583847987</v>
      </c>
      <c r="Y55" s="970">
        <f ca="1">SUM(Y53:Y54)</f>
        <v>664.52033513004915</v>
      </c>
      <c r="Z55" s="970">
        <f ca="1">SUM(Z53:Z54)</f>
        <v>508.98355251965154</v>
      </c>
      <c r="AA55" s="970">
        <f t="shared" ca="1" si="149"/>
        <v>0</v>
      </c>
      <c r="AB55" s="970">
        <f t="shared" ca="1" si="149"/>
        <v>-0.7240722625197441</v>
      </c>
      <c r="AC55" s="970">
        <f t="shared" ca="1" si="149"/>
        <v>0</v>
      </c>
      <c r="AD55" s="970">
        <f ca="1">SUM(AD53:AD54)</f>
        <v>0</v>
      </c>
      <c r="AE55" s="970">
        <f ca="1">SUM(AE53:AE54)</f>
        <v>0</v>
      </c>
      <c r="AF55" s="970">
        <f t="shared" ca="1" si="149"/>
        <v>0</v>
      </c>
      <c r="AG55" s="970">
        <f ca="1">SUM(AG53:AG54)</f>
        <v>0</v>
      </c>
      <c r="AH55" s="970">
        <f ca="1">SUM(AH53:AH54)</f>
        <v>0</v>
      </c>
      <c r="AI55" s="970">
        <f ca="1">SUM(AI53:AI54)</f>
        <v>0</v>
      </c>
      <c r="AJ55" s="970">
        <f t="shared" ca="1" si="149"/>
        <v>0</v>
      </c>
      <c r="AK55" s="970">
        <f ca="1">SUM(S55:AJ55)</f>
        <v>1192.9858665694205</v>
      </c>
      <c r="AM55" s="976">
        <f t="shared" ref="AM55:BE55" ca="1" si="150">SUM(AM53:AM54)</f>
        <v>-124.39544583847987</v>
      </c>
      <c r="AN55" s="976">
        <f t="shared" ca="1" si="150"/>
        <v>-664.52033513004915</v>
      </c>
      <c r="AO55" s="976">
        <f t="shared" ca="1" si="150"/>
        <v>-508.98355251965154</v>
      </c>
      <c r="AP55" s="976">
        <f t="shared" ca="1" si="150"/>
        <v>0</v>
      </c>
      <c r="AQ55" s="976">
        <f t="shared" ca="1" si="150"/>
        <v>0</v>
      </c>
      <c r="AR55" s="976">
        <f t="shared" ca="1" si="150"/>
        <v>0</v>
      </c>
      <c r="AS55" s="976">
        <f t="shared" ca="1" si="150"/>
        <v>0</v>
      </c>
      <c r="AT55" s="976">
        <f t="shared" ca="1" si="150"/>
        <v>0</v>
      </c>
      <c r="AU55" s="976">
        <f t="shared" ca="1" si="150"/>
        <v>0</v>
      </c>
      <c r="AV55" s="976">
        <f t="shared" ca="1" si="150"/>
        <v>0</v>
      </c>
      <c r="AW55" s="976">
        <f t="shared" ca="1" si="150"/>
        <v>0</v>
      </c>
      <c r="AX55" s="976">
        <f t="shared" ca="1" si="150"/>
        <v>0</v>
      </c>
      <c r="AY55" s="976">
        <f t="shared" ca="1" si="150"/>
        <v>0</v>
      </c>
      <c r="AZ55" s="976">
        <f t="shared" ca="1" si="150"/>
        <v>0</v>
      </c>
      <c r="BA55" s="976">
        <f t="shared" ca="1" si="150"/>
        <v>0</v>
      </c>
      <c r="BB55" s="976">
        <f t="shared" ca="1" si="150"/>
        <v>0</v>
      </c>
      <c r="BC55" s="976">
        <f t="shared" ca="1" si="150"/>
        <v>0</v>
      </c>
      <c r="BD55" s="976">
        <f t="shared" ca="1" si="150"/>
        <v>0</v>
      </c>
      <c r="BE55" s="976">
        <f t="shared" ca="1" si="150"/>
        <v>0</v>
      </c>
      <c r="BF55" s="976">
        <f ca="1">SUM(AM55:BE55)</f>
        <v>-1297.8993334881807</v>
      </c>
      <c r="BH55" s="990">
        <f ca="1">SUM(BH53:BH54)</f>
        <v>0</v>
      </c>
      <c r="BI55" s="990">
        <f ca="1">SUM(BI53:BI54)</f>
        <v>59.676724429666798</v>
      </c>
      <c r="BJ55" s="990">
        <f ca="1">SUM(BH55:BI55)</f>
        <v>59.676724429666798</v>
      </c>
      <c r="BL55" s="515">
        <f ca="1">Q55+AK55+BF55+BJ55</f>
        <v>-2.4868995751603507E-13</v>
      </c>
      <c r="BM55" s="852"/>
      <c r="BN55" s="840"/>
      <c r="BO55" s="1481">
        <f t="shared" ref="BO55:DF55" ca="1" si="151">SUM(BO53:BO54)</f>
        <v>21.095795405395812</v>
      </c>
      <c r="BP55" s="1482">
        <f t="shared" ca="1" si="151"/>
        <v>3.2690367131288804E-2</v>
      </c>
      <c r="BQ55" s="1482">
        <f t="shared" ca="1" si="151"/>
        <v>0.24556412891775811</v>
      </c>
      <c r="BR55" s="1482">
        <f t="shared" ca="1" si="151"/>
        <v>0</v>
      </c>
      <c r="BS55" s="1482">
        <f t="shared" ca="1" si="151"/>
        <v>3.467114152456976</v>
      </c>
      <c r="BT55" s="1482">
        <f t="shared" ca="1" si="151"/>
        <v>2.6403129612517775</v>
      </c>
      <c r="BU55" s="1482">
        <f t="shared" ca="1" si="151"/>
        <v>0</v>
      </c>
      <c r="BV55" s="1482">
        <f t="shared" ca="1" si="151"/>
        <v>0</v>
      </c>
      <c r="BW55" s="1482">
        <f t="shared" ca="1" si="151"/>
        <v>0</v>
      </c>
      <c r="BX55" s="1482">
        <f t="shared" ca="1" si="151"/>
        <v>0</v>
      </c>
      <c r="BY55" s="1482">
        <f t="shared" ca="1" si="151"/>
        <v>0</v>
      </c>
      <c r="BZ55" s="1482">
        <f t="shared" ca="1" si="151"/>
        <v>0</v>
      </c>
      <c r="CA55" s="1482">
        <f t="shared" ca="1" si="151"/>
        <v>0</v>
      </c>
      <c r="CB55" s="1482">
        <f t="shared" ca="1" si="151"/>
        <v>0</v>
      </c>
      <c r="CC55" s="1482">
        <f t="shared" ca="1" si="151"/>
        <v>0</v>
      </c>
      <c r="CD55" s="1482">
        <f t="shared" ca="1" si="151"/>
        <v>0</v>
      </c>
      <c r="CE55" s="1482">
        <f t="shared" ca="1" si="151"/>
        <v>0</v>
      </c>
      <c r="CF55" s="1482">
        <f t="shared" ca="1" si="151"/>
        <v>0</v>
      </c>
      <c r="CG55" s="1482">
        <f t="shared" ca="1" si="151"/>
        <v>0</v>
      </c>
      <c r="CH55" s="1482">
        <f t="shared" ca="1" si="151"/>
        <v>0</v>
      </c>
      <c r="CI55" s="1482">
        <f t="shared" ca="1" si="151"/>
        <v>0</v>
      </c>
      <c r="CJ55" s="1482">
        <f t="shared" ca="1" si="151"/>
        <v>0</v>
      </c>
      <c r="CK55" s="1482">
        <f t="shared" ca="1" si="151"/>
        <v>0</v>
      </c>
      <c r="CL55" s="1482">
        <f t="shared" ca="1" si="151"/>
        <v>0</v>
      </c>
      <c r="CM55" s="1482">
        <f t="shared" ca="1" si="151"/>
        <v>0</v>
      </c>
      <c r="CN55" s="1482">
        <f t="shared" ca="1" si="151"/>
        <v>0</v>
      </c>
      <c r="CO55" s="1482">
        <f t="shared" ca="1" si="151"/>
        <v>0</v>
      </c>
      <c r="CP55" s="1482">
        <f t="shared" ca="1" si="151"/>
        <v>0</v>
      </c>
      <c r="CQ55" s="1482">
        <f t="shared" ca="1" si="151"/>
        <v>0</v>
      </c>
      <c r="CR55" s="1482">
        <f t="shared" ca="1" si="151"/>
        <v>0</v>
      </c>
      <c r="CS55" s="1482">
        <f t="shared" ca="1" si="151"/>
        <v>0</v>
      </c>
      <c r="CT55" s="1482">
        <f t="shared" ca="1" si="151"/>
        <v>0</v>
      </c>
      <c r="CU55" s="1482">
        <f t="shared" ca="1" si="151"/>
        <v>0</v>
      </c>
      <c r="CV55" s="1482">
        <f t="shared" ca="1" si="151"/>
        <v>0</v>
      </c>
      <c r="CW55" s="1482">
        <f t="shared" ca="1" si="151"/>
        <v>0</v>
      </c>
      <c r="CX55" s="1482">
        <f t="shared" ca="1" si="151"/>
        <v>0</v>
      </c>
      <c r="CY55" s="1482">
        <f t="shared" ca="1" si="151"/>
        <v>0</v>
      </c>
      <c r="CZ55" s="1482">
        <f t="shared" ca="1" si="151"/>
        <v>0</v>
      </c>
      <c r="DA55" s="1482">
        <f t="shared" ca="1" si="151"/>
        <v>0</v>
      </c>
      <c r="DB55" s="1482">
        <f t="shared" ca="1" si="151"/>
        <v>0</v>
      </c>
      <c r="DC55" s="1482">
        <f t="shared" ca="1" si="151"/>
        <v>0</v>
      </c>
      <c r="DD55" s="1482">
        <f t="shared" ca="1" si="151"/>
        <v>0</v>
      </c>
      <c r="DE55" s="1482">
        <f t="shared" ca="1" si="151"/>
        <v>0</v>
      </c>
      <c r="DF55" s="1482">
        <f t="shared" ca="1" si="151"/>
        <v>0</v>
      </c>
      <c r="DH55" s="838">
        <f t="shared" ca="1" si="123"/>
        <v>27.481477015153608</v>
      </c>
    </row>
    <row r="56" spans="1:112" s="743" customFormat="1" hidden="1" outlineLevel="1">
      <c r="C56" s="520"/>
      <c r="D56" s="38"/>
      <c r="E56" s="509"/>
      <c r="G56" s="958"/>
      <c r="H56" s="958"/>
      <c r="I56" s="958"/>
      <c r="J56" s="958"/>
      <c r="K56" s="960"/>
      <c r="L56" s="958"/>
      <c r="M56" s="958"/>
      <c r="N56" s="958"/>
      <c r="O56" s="958"/>
      <c r="P56" s="958"/>
      <c r="Q56" s="958"/>
      <c r="S56" s="970"/>
      <c r="T56" s="970"/>
      <c r="U56" s="970"/>
      <c r="V56" s="970"/>
      <c r="W56" s="970"/>
      <c r="X56" s="970"/>
      <c r="Y56" s="970"/>
      <c r="Z56" s="970"/>
      <c r="AA56" s="970"/>
      <c r="AB56" s="970"/>
      <c r="AC56" s="970"/>
      <c r="AD56" s="970"/>
      <c r="AE56" s="970"/>
      <c r="AF56" s="970"/>
      <c r="AG56" s="970"/>
      <c r="AH56" s="970"/>
      <c r="AI56" s="970"/>
      <c r="AJ56" s="970"/>
      <c r="AK56" s="970"/>
      <c r="AM56" s="976"/>
      <c r="AN56" s="976"/>
      <c r="AO56" s="976"/>
      <c r="AP56" s="976"/>
      <c r="AQ56" s="976"/>
      <c r="AR56" s="976"/>
      <c r="AS56" s="976"/>
      <c r="AT56" s="976"/>
      <c r="AU56" s="976"/>
      <c r="AV56" s="976"/>
      <c r="AW56" s="976"/>
      <c r="AX56" s="976"/>
      <c r="AY56" s="976"/>
      <c r="AZ56" s="976"/>
      <c r="BA56" s="976"/>
      <c r="BB56" s="976"/>
      <c r="BC56" s="976"/>
      <c r="BD56" s="976"/>
      <c r="BE56" s="976"/>
      <c r="BF56" s="976"/>
      <c r="BH56" s="990"/>
      <c r="BI56" s="990"/>
      <c r="BJ56" s="990"/>
      <c r="BL56" s="515">
        <f t="shared" ref="BL56:BL63" si="152">Q56+AK56+BF56+BJ56</f>
        <v>0</v>
      </c>
      <c r="BM56" s="515"/>
      <c r="BO56" s="1482"/>
      <c r="BP56" s="1482"/>
      <c r="BQ56" s="1482"/>
      <c r="BR56" s="1482"/>
      <c r="BS56" s="1482"/>
      <c r="BT56" s="1482"/>
      <c r="BU56" s="1482"/>
      <c r="BV56" s="1482"/>
      <c r="BW56" s="1482"/>
      <c r="BX56" s="1482"/>
      <c r="BY56" s="1482"/>
      <c r="BZ56" s="1482"/>
      <c r="CA56" s="1482"/>
      <c r="CB56" s="1482"/>
      <c r="CC56" s="1482"/>
      <c r="CD56" s="1482"/>
      <c r="CE56" s="1482"/>
      <c r="CF56" s="1482"/>
      <c r="CG56" s="1482"/>
      <c r="CH56" s="1482"/>
      <c r="CI56" s="1482"/>
      <c r="CJ56" s="1482"/>
      <c r="CK56" s="1482"/>
      <c r="CL56" s="1482"/>
      <c r="CM56" s="1482"/>
      <c r="CN56" s="1482"/>
      <c r="CO56" s="1482"/>
      <c r="CP56" s="1482"/>
      <c r="CQ56" s="1482"/>
      <c r="CR56" s="1482"/>
      <c r="CS56" s="1482"/>
      <c r="CT56" s="1482"/>
      <c r="CU56" s="1482"/>
      <c r="CV56" s="1482"/>
      <c r="CW56" s="1482"/>
      <c r="CX56" s="1482"/>
      <c r="CY56" s="1482"/>
      <c r="CZ56" s="1482"/>
      <c r="DA56" s="1482"/>
      <c r="DB56" s="1482"/>
      <c r="DC56" s="1482"/>
      <c r="DD56" s="1482"/>
      <c r="DE56" s="1482"/>
      <c r="DF56" s="1482"/>
      <c r="DH56" s="838">
        <f t="shared" si="123"/>
        <v>0</v>
      </c>
    </row>
    <row r="57" spans="1:112" s="1484" customFormat="1" ht="12.75" hidden="1" customHeight="1" outlineLevel="1">
      <c r="C57" s="746" t="s">
        <v>1730</v>
      </c>
      <c r="D57" s="521" t="str">
        <f>INDEX(Modules[Module], MATCH($C57, Modules[Code], 0))</f>
        <v>Onshore wind</v>
      </c>
      <c r="E57" s="521"/>
      <c r="F57" s="743"/>
      <c r="G57" s="1017">
        <f t="shared" ref="G57:P62" ca="1" si="153">IFERROR(INDEX(INDIRECT($C57&amp;".Outputs["&amp;this.Year&amp;"]"), MATCH(G$5, INDIRECT($C57&amp;".Outputs[Vector]"), 0)), 0)</f>
        <v>0</v>
      </c>
      <c r="H57" s="1017">
        <f t="shared" ca="1" si="153"/>
        <v>0</v>
      </c>
      <c r="I57" s="1017">
        <f t="shared" ca="1" si="153"/>
        <v>0</v>
      </c>
      <c r="J57" s="1017">
        <f t="shared" ca="1" si="153"/>
        <v>0</v>
      </c>
      <c r="K57" s="1017">
        <f t="shared" ca="1" si="153"/>
        <v>0</v>
      </c>
      <c r="L57" s="1017">
        <f t="shared" ca="1" si="153"/>
        <v>0</v>
      </c>
      <c r="M57" s="1017">
        <f t="shared" ca="1" si="153"/>
        <v>0</v>
      </c>
      <c r="N57" s="1017">
        <f t="shared" ca="1" si="153"/>
        <v>0</v>
      </c>
      <c r="O57" s="1017">
        <f t="shared" ca="1" si="153"/>
        <v>0</v>
      </c>
      <c r="P57" s="1017">
        <f t="shared" ca="1" si="153"/>
        <v>0</v>
      </c>
      <c r="Q57" s="1019">
        <f t="shared" ref="Q57:Q63" ca="1" si="154">SUM(G57:P57)</f>
        <v>0</v>
      </c>
      <c r="R57" s="743"/>
      <c r="S57" s="1026">
        <f t="shared" ref="S57:BE62" ca="1" si="155">IFERROR(INDEX(INDIRECT($C57&amp;".Outputs["&amp;this.Year&amp;"]"), MATCH(S$5, INDIRECT($C57&amp;".Outputs[Vector]"), 0)), 0)</f>
        <v>0</v>
      </c>
      <c r="T57" s="1026">
        <f t="shared" ca="1" si="155"/>
        <v>17.549707319999996</v>
      </c>
      <c r="U57" s="1026">
        <f t="shared" ca="1" si="155"/>
        <v>0</v>
      </c>
      <c r="V57" s="1026">
        <f t="shared" ca="1" si="155"/>
        <v>0</v>
      </c>
      <c r="W57" s="1026">
        <f t="shared" ca="1" si="155"/>
        <v>0</v>
      </c>
      <c r="X57" s="1026">
        <f t="shared" ref="X57:Z62" ca="1" si="156">IFERROR(INDEX(INDIRECT($C57&amp;".Outputs["&amp;this.Year&amp;"]"), MATCH(X$5, INDIRECT($C57&amp;".Outputs[Vector]"), 0)), 0)</f>
        <v>0</v>
      </c>
      <c r="Y57" s="1026">
        <f t="shared" ca="1" si="156"/>
        <v>0</v>
      </c>
      <c r="Z57" s="1026">
        <f t="shared" ca="1" si="156"/>
        <v>0</v>
      </c>
      <c r="AA57" s="1026">
        <f t="shared" ca="1" si="155"/>
        <v>0</v>
      </c>
      <c r="AB57" s="1026">
        <f t="shared" ca="1" si="155"/>
        <v>0</v>
      </c>
      <c r="AC57" s="1026">
        <f t="shared" ca="1" si="155"/>
        <v>0</v>
      </c>
      <c r="AD57" s="1026">
        <f t="shared" ca="1" si="155"/>
        <v>0</v>
      </c>
      <c r="AE57" s="1026">
        <f t="shared" ca="1" si="155"/>
        <v>0</v>
      </c>
      <c r="AF57" s="1026">
        <f t="shared" ca="1" si="155"/>
        <v>0</v>
      </c>
      <c r="AG57" s="1026">
        <f t="shared" ca="1" si="155"/>
        <v>0</v>
      </c>
      <c r="AH57" s="1026">
        <f t="shared" ca="1" si="155"/>
        <v>0</v>
      </c>
      <c r="AI57" s="1026">
        <f t="shared" ca="1" si="155"/>
        <v>0</v>
      </c>
      <c r="AJ57" s="1026">
        <f t="shared" ca="1" si="155"/>
        <v>0</v>
      </c>
      <c r="AK57" s="1027">
        <f t="shared" ref="AK57:AK63" ca="1" si="157">SUM(S57:AJ57)</f>
        <v>17.549707319999996</v>
      </c>
      <c r="AL57" s="743"/>
      <c r="AM57" s="1038">
        <f t="shared" ref="AM57:AU62" ca="1" si="158">IFERROR(INDEX(INDIRECT($C57&amp;".Outputs["&amp;this.Year&amp;"]"), MATCH(AM$5, INDIRECT($C57&amp;".Outputs[Vector]"), 0)), 0)</f>
        <v>0</v>
      </c>
      <c r="AN57" s="1038">
        <f t="shared" ca="1" si="158"/>
        <v>0</v>
      </c>
      <c r="AO57" s="1038">
        <f t="shared" ca="1" si="158"/>
        <v>0</v>
      </c>
      <c r="AP57" s="1038">
        <f t="shared" ca="1" si="158"/>
        <v>0</v>
      </c>
      <c r="AQ57" s="1038">
        <f t="shared" ca="1" si="158"/>
        <v>0</v>
      </c>
      <c r="AR57" s="1038">
        <f t="shared" ca="1" si="158"/>
        <v>0</v>
      </c>
      <c r="AS57" s="1038">
        <f t="shared" ca="1" si="158"/>
        <v>0</v>
      </c>
      <c r="AT57" s="1038">
        <f t="shared" ca="1" si="158"/>
        <v>0</v>
      </c>
      <c r="AU57" s="1038">
        <f t="shared" ca="1" si="158"/>
        <v>0</v>
      </c>
      <c r="AV57" s="1038">
        <f t="shared" ca="1" si="155"/>
        <v>0</v>
      </c>
      <c r="AW57" s="1038">
        <f t="shared" ca="1" si="155"/>
        <v>0</v>
      </c>
      <c r="AX57" s="1038">
        <f t="shared" ca="1" si="155"/>
        <v>-17.549707319999996</v>
      </c>
      <c r="AY57" s="1038">
        <f t="shared" ca="1" si="155"/>
        <v>0</v>
      </c>
      <c r="AZ57" s="1038">
        <f t="shared" ca="1" si="155"/>
        <v>0</v>
      </c>
      <c r="BA57" s="1038">
        <f t="shared" ca="1" si="155"/>
        <v>0</v>
      </c>
      <c r="BB57" s="1038">
        <f t="shared" ca="1" si="155"/>
        <v>0</v>
      </c>
      <c r="BC57" s="1038">
        <f t="shared" ca="1" si="155"/>
        <v>0</v>
      </c>
      <c r="BD57" s="1038">
        <f t="shared" ca="1" si="155"/>
        <v>0</v>
      </c>
      <c r="BE57" s="1038">
        <f t="shared" ca="1" si="155"/>
        <v>0</v>
      </c>
      <c r="BF57" s="979">
        <f t="shared" ref="BF57:BF63" ca="1" si="159">SUM(AM57:BE57)</f>
        <v>-17.549707319999996</v>
      </c>
      <c r="BG57" s="743"/>
      <c r="BH57" s="1032">
        <f t="shared" ref="BH57:BI62" ca="1" si="160">IFERROR(INDEX(INDIRECT($C57&amp;".Outputs["&amp;this.Year&amp;"]"), MATCH(BH$5, INDIRECT($C57&amp;".Outputs[Vector]"), 0)), 0)</f>
        <v>0</v>
      </c>
      <c r="BI57" s="1032">
        <f t="shared" ca="1" si="160"/>
        <v>0</v>
      </c>
      <c r="BJ57" s="1034">
        <f t="shared" ref="BJ57:BJ63" ca="1" si="161">SUM(BH57:BI57)</f>
        <v>0</v>
      </c>
      <c r="BK57" s="743"/>
      <c r="BL57" s="814">
        <f t="shared" ca="1" si="152"/>
        <v>0</v>
      </c>
      <c r="BM57" s="814"/>
      <c r="BN57" s="840"/>
      <c r="BO57" s="1481">
        <f t="shared" ref="BO57:BX62" ca="1" si="162">IFERROR(SUMIFS(INDIRECT($C57&amp;".Emissions["&amp;this.Year&amp;"]"), INDIRECT($C57&amp;".Emissions[GHG]"), BO$6, INDIRECT($C57&amp;".Emissions[IPCC Sector]"), BO$5),0)</f>
        <v>0</v>
      </c>
      <c r="BP57" s="1482">
        <f t="shared" ca="1" si="162"/>
        <v>0</v>
      </c>
      <c r="BQ57" s="1482">
        <f t="shared" ca="1" si="162"/>
        <v>0</v>
      </c>
      <c r="BR57" s="1482">
        <f t="shared" ca="1" si="162"/>
        <v>0</v>
      </c>
      <c r="BS57" s="1482">
        <f t="shared" ca="1" si="162"/>
        <v>0</v>
      </c>
      <c r="BT57" s="1482">
        <f t="shared" ca="1" si="162"/>
        <v>0</v>
      </c>
      <c r="BU57" s="1482">
        <f t="shared" ca="1" si="162"/>
        <v>0</v>
      </c>
      <c r="BV57" s="1482">
        <f t="shared" ca="1" si="162"/>
        <v>0</v>
      </c>
      <c r="BW57" s="1482">
        <f t="shared" ca="1" si="162"/>
        <v>0</v>
      </c>
      <c r="BX57" s="1482">
        <f t="shared" ca="1" si="162"/>
        <v>0</v>
      </c>
      <c r="BY57" s="1482">
        <f t="shared" ref="BY57:CH62" ca="1" si="163">IFERROR(SUMIFS(INDIRECT($C57&amp;".Emissions["&amp;this.Year&amp;"]"), INDIRECT($C57&amp;".Emissions[GHG]"), BY$6, INDIRECT($C57&amp;".Emissions[IPCC Sector]"), BY$5),0)</f>
        <v>0</v>
      </c>
      <c r="BZ57" s="1482">
        <f t="shared" ca="1" si="163"/>
        <v>0</v>
      </c>
      <c r="CA57" s="1482">
        <f t="shared" ca="1" si="163"/>
        <v>0</v>
      </c>
      <c r="CB57" s="1482">
        <f t="shared" ca="1" si="163"/>
        <v>0</v>
      </c>
      <c r="CC57" s="1482">
        <f t="shared" ca="1" si="163"/>
        <v>0</v>
      </c>
      <c r="CD57" s="1482">
        <f t="shared" ca="1" si="163"/>
        <v>0</v>
      </c>
      <c r="CE57" s="1482">
        <f t="shared" ca="1" si="163"/>
        <v>0</v>
      </c>
      <c r="CF57" s="1482">
        <f t="shared" ca="1" si="163"/>
        <v>0</v>
      </c>
      <c r="CG57" s="1482">
        <f t="shared" ca="1" si="163"/>
        <v>0</v>
      </c>
      <c r="CH57" s="1482">
        <f t="shared" ca="1" si="163"/>
        <v>0</v>
      </c>
      <c r="CI57" s="1482">
        <f t="shared" ref="CI57:CR62" ca="1" si="164">IFERROR(SUMIFS(INDIRECT($C57&amp;".Emissions["&amp;this.Year&amp;"]"), INDIRECT($C57&amp;".Emissions[GHG]"), CI$6, INDIRECT($C57&amp;".Emissions[IPCC Sector]"), CI$5),0)</f>
        <v>0</v>
      </c>
      <c r="CJ57" s="1482">
        <f t="shared" ca="1" si="164"/>
        <v>0</v>
      </c>
      <c r="CK57" s="1482">
        <f t="shared" ca="1" si="164"/>
        <v>0</v>
      </c>
      <c r="CL57" s="1482">
        <f t="shared" ca="1" si="164"/>
        <v>0</v>
      </c>
      <c r="CM57" s="1482">
        <f t="shared" ca="1" si="164"/>
        <v>0</v>
      </c>
      <c r="CN57" s="1482">
        <f t="shared" ca="1" si="164"/>
        <v>0</v>
      </c>
      <c r="CO57" s="1482">
        <f t="shared" ca="1" si="164"/>
        <v>0</v>
      </c>
      <c r="CP57" s="1482">
        <f t="shared" ca="1" si="164"/>
        <v>0</v>
      </c>
      <c r="CQ57" s="1482">
        <f t="shared" ca="1" si="164"/>
        <v>0</v>
      </c>
      <c r="CR57" s="1482">
        <f t="shared" ca="1" si="164"/>
        <v>0</v>
      </c>
      <c r="CS57" s="1482">
        <f t="shared" ref="CS57:DF62" ca="1" si="165">IFERROR(SUMIFS(INDIRECT($C57&amp;".Emissions["&amp;this.Year&amp;"]"), INDIRECT($C57&amp;".Emissions[GHG]"), CS$6, INDIRECT($C57&amp;".Emissions[IPCC Sector]"), CS$5),0)</f>
        <v>0</v>
      </c>
      <c r="CT57" s="1482">
        <f t="shared" ca="1" si="165"/>
        <v>0</v>
      </c>
      <c r="CU57" s="1482">
        <f t="shared" ca="1" si="165"/>
        <v>0</v>
      </c>
      <c r="CV57" s="1482">
        <f t="shared" ca="1" si="165"/>
        <v>0</v>
      </c>
      <c r="CW57" s="1482">
        <f t="shared" ca="1" si="165"/>
        <v>0</v>
      </c>
      <c r="CX57" s="1482">
        <f t="shared" ca="1" si="165"/>
        <v>0</v>
      </c>
      <c r="CY57" s="1482">
        <f t="shared" ca="1" si="165"/>
        <v>0</v>
      </c>
      <c r="CZ57" s="1482">
        <f t="shared" ca="1" si="165"/>
        <v>0</v>
      </c>
      <c r="DA57" s="1482">
        <f t="shared" ca="1" si="165"/>
        <v>0</v>
      </c>
      <c r="DB57" s="1482">
        <f t="shared" ca="1" si="165"/>
        <v>0</v>
      </c>
      <c r="DC57" s="1482">
        <f t="shared" ca="1" si="165"/>
        <v>0</v>
      </c>
      <c r="DD57" s="1482">
        <f t="shared" ca="1" si="165"/>
        <v>0</v>
      </c>
      <c r="DE57" s="1482">
        <f t="shared" ca="1" si="165"/>
        <v>0</v>
      </c>
      <c r="DF57" s="1482">
        <f t="shared" ca="1" si="165"/>
        <v>0</v>
      </c>
      <c r="DH57" s="838">
        <f t="shared" ca="1" si="123"/>
        <v>0</v>
      </c>
    </row>
    <row r="58" spans="1:112" s="1484" customFormat="1" ht="12.75" hidden="1" customHeight="1" outlineLevel="1">
      <c r="C58" s="746" t="s">
        <v>1731</v>
      </c>
      <c r="D58" s="521" t="str">
        <f>INDEX(Modules[Module], MATCH($C58, Modules[Code], 0))</f>
        <v>Offshore wind</v>
      </c>
      <c r="E58" s="521"/>
      <c r="F58" s="743"/>
      <c r="G58" s="1017">
        <f t="shared" ca="1" si="153"/>
        <v>0</v>
      </c>
      <c r="H58" s="1017">
        <f t="shared" ca="1" si="153"/>
        <v>0</v>
      </c>
      <c r="I58" s="1017">
        <f t="shared" ca="1" si="153"/>
        <v>0</v>
      </c>
      <c r="J58" s="1017">
        <f t="shared" ca="1" si="153"/>
        <v>0</v>
      </c>
      <c r="K58" s="1017">
        <f t="shared" ca="1" si="153"/>
        <v>0</v>
      </c>
      <c r="L58" s="1017">
        <f t="shared" ca="1" si="153"/>
        <v>0</v>
      </c>
      <c r="M58" s="1017">
        <f t="shared" ca="1" si="153"/>
        <v>0</v>
      </c>
      <c r="N58" s="1017">
        <f t="shared" ca="1" si="153"/>
        <v>0</v>
      </c>
      <c r="O58" s="1017">
        <f t="shared" ca="1" si="153"/>
        <v>0</v>
      </c>
      <c r="P58" s="1017">
        <f t="shared" ca="1" si="153"/>
        <v>0</v>
      </c>
      <c r="Q58" s="1019">
        <f ca="1">SUM(G58:P58)</f>
        <v>0</v>
      </c>
      <c r="R58" s="743"/>
      <c r="S58" s="1026">
        <f t="shared" ca="1" si="155"/>
        <v>0</v>
      </c>
      <c r="T58" s="1026">
        <f t="shared" ca="1" si="155"/>
        <v>11.793162780000001</v>
      </c>
      <c r="U58" s="1026">
        <f t="shared" ca="1" si="155"/>
        <v>0</v>
      </c>
      <c r="V58" s="1026">
        <f t="shared" ca="1" si="155"/>
        <v>0</v>
      </c>
      <c r="W58" s="1026">
        <f t="shared" ca="1" si="155"/>
        <v>0</v>
      </c>
      <c r="X58" s="1026">
        <f t="shared" ca="1" si="156"/>
        <v>0</v>
      </c>
      <c r="Y58" s="1026">
        <f t="shared" ca="1" si="156"/>
        <v>0</v>
      </c>
      <c r="Z58" s="1026">
        <f t="shared" ca="1" si="156"/>
        <v>0</v>
      </c>
      <c r="AA58" s="1026">
        <f t="shared" ca="1" si="155"/>
        <v>0</v>
      </c>
      <c r="AB58" s="1026">
        <f t="shared" ca="1" si="155"/>
        <v>0</v>
      </c>
      <c r="AC58" s="1026">
        <f t="shared" ca="1" si="155"/>
        <v>0</v>
      </c>
      <c r="AD58" s="1026">
        <f t="shared" ca="1" si="155"/>
        <v>0</v>
      </c>
      <c r="AE58" s="1026">
        <f t="shared" ca="1" si="155"/>
        <v>0</v>
      </c>
      <c r="AF58" s="1026">
        <f t="shared" ca="1" si="155"/>
        <v>0</v>
      </c>
      <c r="AG58" s="1026">
        <f t="shared" ca="1" si="155"/>
        <v>0</v>
      </c>
      <c r="AH58" s="1026">
        <f t="shared" ca="1" si="155"/>
        <v>0</v>
      </c>
      <c r="AI58" s="1026">
        <f t="shared" ca="1" si="155"/>
        <v>0</v>
      </c>
      <c r="AJ58" s="1026">
        <f t="shared" ca="1" si="155"/>
        <v>0</v>
      </c>
      <c r="AK58" s="1027">
        <f ca="1">SUM(S58:AJ58)</f>
        <v>11.793162780000001</v>
      </c>
      <c r="AL58" s="743"/>
      <c r="AM58" s="1038">
        <f t="shared" ca="1" si="158"/>
        <v>0</v>
      </c>
      <c r="AN58" s="1038">
        <f t="shared" ca="1" si="158"/>
        <v>0</v>
      </c>
      <c r="AO58" s="1038">
        <f t="shared" ca="1" si="158"/>
        <v>0</v>
      </c>
      <c r="AP58" s="1038">
        <f t="shared" ca="1" si="158"/>
        <v>0</v>
      </c>
      <c r="AQ58" s="1038">
        <f t="shared" ca="1" si="158"/>
        <v>0</v>
      </c>
      <c r="AR58" s="1038">
        <f t="shared" ca="1" si="158"/>
        <v>0</v>
      </c>
      <c r="AS58" s="1038">
        <f t="shared" ca="1" si="158"/>
        <v>0</v>
      </c>
      <c r="AT58" s="1038">
        <f t="shared" ca="1" si="158"/>
        <v>0</v>
      </c>
      <c r="AU58" s="1038">
        <f t="shared" ca="1" si="158"/>
        <v>0</v>
      </c>
      <c r="AV58" s="1038">
        <f t="shared" ca="1" si="155"/>
        <v>0</v>
      </c>
      <c r="AW58" s="1038">
        <f t="shared" ca="1" si="155"/>
        <v>0</v>
      </c>
      <c r="AX58" s="1038">
        <f t="shared" ca="1" si="155"/>
        <v>-11.793162780000001</v>
      </c>
      <c r="AY58" s="1038">
        <f t="shared" ca="1" si="155"/>
        <v>0</v>
      </c>
      <c r="AZ58" s="1038">
        <f t="shared" ca="1" si="155"/>
        <v>0</v>
      </c>
      <c r="BA58" s="1038">
        <f t="shared" ca="1" si="155"/>
        <v>0</v>
      </c>
      <c r="BB58" s="1038">
        <f t="shared" ca="1" si="155"/>
        <v>0</v>
      </c>
      <c r="BC58" s="1038">
        <f t="shared" ca="1" si="155"/>
        <v>0</v>
      </c>
      <c r="BD58" s="1038">
        <f t="shared" ca="1" si="155"/>
        <v>0</v>
      </c>
      <c r="BE58" s="1038">
        <f t="shared" ca="1" si="155"/>
        <v>0</v>
      </c>
      <c r="BF58" s="979">
        <f ca="1">SUM(AM58:BE58)</f>
        <v>-11.793162780000001</v>
      </c>
      <c r="BG58" s="743"/>
      <c r="BH58" s="1032">
        <f t="shared" ca="1" si="160"/>
        <v>0</v>
      </c>
      <c r="BI58" s="1032">
        <f t="shared" ca="1" si="160"/>
        <v>0</v>
      </c>
      <c r="BJ58" s="1034">
        <f ca="1">SUM(BH58:BI58)</f>
        <v>0</v>
      </c>
      <c r="BK58" s="743"/>
      <c r="BL58" s="814">
        <f ca="1">Q58+AK58+BF58+BJ58</f>
        <v>0</v>
      </c>
      <c r="BM58" s="814"/>
      <c r="BN58" s="840"/>
      <c r="BO58" s="1481">
        <f t="shared" ca="1" si="162"/>
        <v>0</v>
      </c>
      <c r="BP58" s="1482">
        <f t="shared" ca="1" si="162"/>
        <v>0</v>
      </c>
      <c r="BQ58" s="1482">
        <f t="shared" ca="1" si="162"/>
        <v>0</v>
      </c>
      <c r="BR58" s="1482">
        <f t="shared" ca="1" si="162"/>
        <v>0</v>
      </c>
      <c r="BS58" s="1482">
        <f t="shared" ca="1" si="162"/>
        <v>0</v>
      </c>
      <c r="BT58" s="1482">
        <f t="shared" ca="1" si="162"/>
        <v>0</v>
      </c>
      <c r="BU58" s="1482">
        <f t="shared" ca="1" si="162"/>
        <v>0</v>
      </c>
      <c r="BV58" s="1482">
        <f t="shared" ca="1" si="162"/>
        <v>0</v>
      </c>
      <c r="BW58" s="1482">
        <f t="shared" ca="1" si="162"/>
        <v>0</v>
      </c>
      <c r="BX58" s="1482">
        <f t="shared" ca="1" si="162"/>
        <v>0</v>
      </c>
      <c r="BY58" s="1482">
        <f t="shared" ca="1" si="163"/>
        <v>0</v>
      </c>
      <c r="BZ58" s="1482">
        <f t="shared" ca="1" si="163"/>
        <v>0</v>
      </c>
      <c r="CA58" s="1482">
        <f t="shared" ca="1" si="163"/>
        <v>0</v>
      </c>
      <c r="CB58" s="1482">
        <f t="shared" ca="1" si="163"/>
        <v>0</v>
      </c>
      <c r="CC58" s="1482">
        <f t="shared" ca="1" si="163"/>
        <v>0</v>
      </c>
      <c r="CD58" s="1482">
        <f t="shared" ca="1" si="163"/>
        <v>0</v>
      </c>
      <c r="CE58" s="1482">
        <f t="shared" ca="1" si="163"/>
        <v>0</v>
      </c>
      <c r="CF58" s="1482">
        <f t="shared" ca="1" si="163"/>
        <v>0</v>
      </c>
      <c r="CG58" s="1482">
        <f t="shared" ca="1" si="163"/>
        <v>0</v>
      </c>
      <c r="CH58" s="1482">
        <f t="shared" ca="1" si="163"/>
        <v>0</v>
      </c>
      <c r="CI58" s="1482">
        <f t="shared" ca="1" si="164"/>
        <v>0</v>
      </c>
      <c r="CJ58" s="1482">
        <f t="shared" ca="1" si="164"/>
        <v>0</v>
      </c>
      <c r="CK58" s="1482">
        <f t="shared" ca="1" si="164"/>
        <v>0</v>
      </c>
      <c r="CL58" s="1482">
        <f t="shared" ca="1" si="164"/>
        <v>0</v>
      </c>
      <c r="CM58" s="1482">
        <f t="shared" ca="1" si="164"/>
        <v>0</v>
      </c>
      <c r="CN58" s="1482">
        <f t="shared" ca="1" si="164"/>
        <v>0</v>
      </c>
      <c r="CO58" s="1482">
        <f t="shared" ca="1" si="164"/>
        <v>0</v>
      </c>
      <c r="CP58" s="1482">
        <f t="shared" ca="1" si="164"/>
        <v>0</v>
      </c>
      <c r="CQ58" s="1482">
        <f t="shared" ca="1" si="164"/>
        <v>0</v>
      </c>
      <c r="CR58" s="1482">
        <f t="shared" ca="1" si="164"/>
        <v>0</v>
      </c>
      <c r="CS58" s="1482">
        <f t="shared" ca="1" si="165"/>
        <v>0</v>
      </c>
      <c r="CT58" s="1482">
        <f t="shared" ca="1" si="165"/>
        <v>0</v>
      </c>
      <c r="CU58" s="1482">
        <f t="shared" ca="1" si="165"/>
        <v>0</v>
      </c>
      <c r="CV58" s="1482">
        <f t="shared" ca="1" si="165"/>
        <v>0</v>
      </c>
      <c r="CW58" s="1482">
        <f t="shared" ca="1" si="165"/>
        <v>0</v>
      </c>
      <c r="CX58" s="1482">
        <f t="shared" ca="1" si="165"/>
        <v>0</v>
      </c>
      <c r="CY58" s="1482">
        <f t="shared" ca="1" si="165"/>
        <v>0</v>
      </c>
      <c r="CZ58" s="1482">
        <f t="shared" ca="1" si="165"/>
        <v>0</v>
      </c>
      <c r="DA58" s="1482">
        <f t="shared" ca="1" si="165"/>
        <v>0</v>
      </c>
      <c r="DB58" s="1482">
        <f t="shared" ca="1" si="165"/>
        <v>0</v>
      </c>
      <c r="DC58" s="1482">
        <f t="shared" ca="1" si="165"/>
        <v>0</v>
      </c>
      <c r="DD58" s="1482">
        <f t="shared" ca="1" si="165"/>
        <v>0</v>
      </c>
      <c r="DE58" s="1482">
        <f t="shared" ca="1" si="165"/>
        <v>0</v>
      </c>
      <c r="DF58" s="1482">
        <f t="shared" ca="1" si="165"/>
        <v>0</v>
      </c>
      <c r="DH58" s="838">
        <f ca="1">SUM(BO58:DF58)</f>
        <v>0</v>
      </c>
    </row>
    <row r="59" spans="1:112" s="1484" customFormat="1" ht="12.75" hidden="1" customHeight="1" outlineLevel="1">
      <c r="C59" s="746" t="s">
        <v>803</v>
      </c>
      <c r="D59" s="521" t="str">
        <f>INDEX(Modules[Module], MATCH($C59, Modules[Code], 0))</f>
        <v>Hydroelectric</v>
      </c>
      <c r="E59" s="521"/>
      <c r="F59" s="743"/>
      <c r="G59" s="1017">
        <f t="shared" ca="1" si="153"/>
        <v>0</v>
      </c>
      <c r="H59" s="1017">
        <f t="shared" ca="1" si="153"/>
        <v>0</v>
      </c>
      <c r="I59" s="1017">
        <f t="shared" ca="1" si="153"/>
        <v>0</v>
      </c>
      <c r="J59" s="1017">
        <f t="shared" ca="1" si="153"/>
        <v>0</v>
      </c>
      <c r="K59" s="1017">
        <f t="shared" ca="1" si="153"/>
        <v>0</v>
      </c>
      <c r="L59" s="1017">
        <f t="shared" ca="1" si="153"/>
        <v>0</v>
      </c>
      <c r="M59" s="1017">
        <f t="shared" ca="1" si="153"/>
        <v>0</v>
      </c>
      <c r="N59" s="1017">
        <f t="shared" ca="1" si="153"/>
        <v>0</v>
      </c>
      <c r="O59" s="1017">
        <f t="shared" ca="1" si="153"/>
        <v>0</v>
      </c>
      <c r="P59" s="1017">
        <f t="shared" ca="1" si="153"/>
        <v>0</v>
      </c>
      <c r="Q59" s="1019">
        <f t="shared" ca="1" si="154"/>
        <v>0</v>
      </c>
      <c r="R59" s="743"/>
      <c r="S59" s="1026">
        <f t="shared" ca="1" si="155"/>
        <v>0</v>
      </c>
      <c r="T59" s="1026">
        <f t="shared" ca="1" si="155"/>
        <v>5.3297280000000011</v>
      </c>
      <c r="U59" s="1026">
        <f t="shared" ca="1" si="155"/>
        <v>0</v>
      </c>
      <c r="V59" s="1026">
        <f t="shared" ca="1" si="155"/>
        <v>0</v>
      </c>
      <c r="W59" s="1026">
        <f t="shared" ca="1" si="155"/>
        <v>0</v>
      </c>
      <c r="X59" s="1026">
        <f t="shared" ca="1" si="156"/>
        <v>0</v>
      </c>
      <c r="Y59" s="1026">
        <f t="shared" ca="1" si="156"/>
        <v>0</v>
      </c>
      <c r="Z59" s="1026">
        <f t="shared" ca="1" si="156"/>
        <v>0</v>
      </c>
      <c r="AA59" s="1026">
        <f t="shared" ca="1" si="155"/>
        <v>0</v>
      </c>
      <c r="AB59" s="1026">
        <f t="shared" ca="1" si="155"/>
        <v>0</v>
      </c>
      <c r="AC59" s="1026">
        <f t="shared" ca="1" si="155"/>
        <v>0</v>
      </c>
      <c r="AD59" s="1026">
        <f t="shared" ca="1" si="155"/>
        <v>0</v>
      </c>
      <c r="AE59" s="1026">
        <f t="shared" ca="1" si="155"/>
        <v>0</v>
      </c>
      <c r="AF59" s="1026">
        <f t="shared" ca="1" si="155"/>
        <v>0</v>
      </c>
      <c r="AG59" s="1026">
        <f t="shared" ca="1" si="155"/>
        <v>0</v>
      </c>
      <c r="AH59" s="1026">
        <f t="shared" ca="1" si="155"/>
        <v>0</v>
      </c>
      <c r="AI59" s="1026">
        <f t="shared" ca="1" si="155"/>
        <v>0</v>
      </c>
      <c r="AJ59" s="1026">
        <f t="shared" ca="1" si="155"/>
        <v>0</v>
      </c>
      <c r="AK59" s="1027">
        <f t="shared" ca="1" si="157"/>
        <v>5.3297280000000011</v>
      </c>
      <c r="AL59" s="743"/>
      <c r="AM59" s="1038">
        <f t="shared" ca="1" si="158"/>
        <v>0</v>
      </c>
      <c r="AN59" s="1038">
        <f t="shared" ca="1" si="158"/>
        <v>0</v>
      </c>
      <c r="AO59" s="1038">
        <f t="shared" ca="1" si="158"/>
        <v>0</v>
      </c>
      <c r="AP59" s="1038">
        <f t="shared" ca="1" si="158"/>
        <v>0</v>
      </c>
      <c r="AQ59" s="1038">
        <f t="shared" ca="1" si="158"/>
        <v>0</v>
      </c>
      <c r="AR59" s="1038">
        <f t="shared" ca="1" si="158"/>
        <v>0</v>
      </c>
      <c r="AS59" s="1038">
        <f t="shared" ca="1" si="158"/>
        <v>0</v>
      </c>
      <c r="AT59" s="1038">
        <f t="shared" ca="1" si="158"/>
        <v>0</v>
      </c>
      <c r="AU59" s="1038">
        <f t="shared" ca="1" si="158"/>
        <v>0</v>
      </c>
      <c r="AV59" s="1038">
        <f t="shared" ca="1" si="155"/>
        <v>0</v>
      </c>
      <c r="AW59" s="1038">
        <f t="shared" ca="1" si="155"/>
        <v>0</v>
      </c>
      <c r="AX59" s="1038">
        <f t="shared" ca="1" si="155"/>
        <v>0</v>
      </c>
      <c r="AY59" s="1038">
        <f t="shared" ca="1" si="155"/>
        <v>0</v>
      </c>
      <c r="AZ59" s="1038">
        <f t="shared" ca="1" si="155"/>
        <v>0</v>
      </c>
      <c r="BA59" s="1038">
        <f t="shared" ca="1" si="155"/>
        <v>0</v>
      </c>
      <c r="BB59" s="1038">
        <f t="shared" ca="1" si="155"/>
        <v>-5.3297280000000011</v>
      </c>
      <c r="BC59" s="1038">
        <f t="shared" ca="1" si="155"/>
        <v>0</v>
      </c>
      <c r="BD59" s="1038">
        <f t="shared" ca="1" si="155"/>
        <v>0</v>
      </c>
      <c r="BE59" s="1038">
        <f t="shared" ca="1" si="155"/>
        <v>0</v>
      </c>
      <c r="BF59" s="979">
        <f t="shared" ca="1" si="159"/>
        <v>-5.3297280000000011</v>
      </c>
      <c r="BG59" s="743"/>
      <c r="BH59" s="1032">
        <f t="shared" ca="1" si="160"/>
        <v>0</v>
      </c>
      <c r="BI59" s="1032">
        <f t="shared" ca="1" si="160"/>
        <v>0</v>
      </c>
      <c r="BJ59" s="1034">
        <f t="shared" ca="1" si="161"/>
        <v>0</v>
      </c>
      <c r="BK59" s="743"/>
      <c r="BL59" s="814">
        <f t="shared" ca="1" si="152"/>
        <v>0</v>
      </c>
      <c r="BM59" s="814"/>
      <c r="BN59" s="840"/>
      <c r="BO59" s="1481">
        <f t="shared" ca="1" si="162"/>
        <v>0</v>
      </c>
      <c r="BP59" s="1482">
        <f t="shared" ca="1" si="162"/>
        <v>0</v>
      </c>
      <c r="BQ59" s="1482">
        <f t="shared" ca="1" si="162"/>
        <v>0</v>
      </c>
      <c r="BR59" s="1482">
        <f t="shared" ca="1" si="162"/>
        <v>0</v>
      </c>
      <c r="BS59" s="1482">
        <f t="shared" ca="1" si="162"/>
        <v>0</v>
      </c>
      <c r="BT59" s="1482">
        <f t="shared" ca="1" si="162"/>
        <v>0</v>
      </c>
      <c r="BU59" s="1482">
        <f t="shared" ca="1" si="162"/>
        <v>0</v>
      </c>
      <c r="BV59" s="1482">
        <f t="shared" ca="1" si="162"/>
        <v>0</v>
      </c>
      <c r="BW59" s="1482">
        <f t="shared" ca="1" si="162"/>
        <v>0</v>
      </c>
      <c r="BX59" s="1482">
        <f t="shared" ca="1" si="162"/>
        <v>0</v>
      </c>
      <c r="BY59" s="1482">
        <f t="shared" ca="1" si="163"/>
        <v>0</v>
      </c>
      <c r="BZ59" s="1482">
        <f t="shared" ca="1" si="163"/>
        <v>0</v>
      </c>
      <c r="CA59" s="1482">
        <f t="shared" ca="1" si="163"/>
        <v>0</v>
      </c>
      <c r="CB59" s="1482">
        <f t="shared" ca="1" si="163"/>
        <v>0</v>
      </c>
      <c r="CC59" s="1482">
        <f t="shared" ca="1" si="163"/>
        <v>0</v>
      </c>
      <c r="CD59" s="1482">
        <f t="shared" ca="1" si="163"/>
        <v>0</v>
      </c>
      <c r="CE59" s="1482">
        <f t="shared" ca="1" si="163"/>
        <v>0</v>
      </c>
      <c r="CF59" s="1482">
        <f t="shared" ca="1" si="163"/>
        <v>0</v>
      </c>
      <c r="CG59" s="1482">
        <f t="shared" ca="1" si="163"/>
        <v>0</v>
      </c>
      <c r="CH59" s="1482">
        <f t="shared" ca="1" si="163"/>
        <v>0</v>
      </c>
      <c r="CI59" s="1482">
        <f t="shared" ca="1" si="164"/>
        <v>0</v>
      </c>
      <c r="CJ59" s="1482">
        <f t="shared" ca="1" si="164"/>
        <v>0</v>
      </c>
      <c r="CK59" s="1482">
        <f t="shared" ca="1" si="164"/>
        <v>0</v>
      </c>
      <c r="CL59" s="1482">
        <f t="shared" ca="1" si="164"/>
        <v>0</v>
      </c>
      <c r="CM59" s="1482">
        <f t="shared" ca="1" si="164"/>
        <v>0</v>
      </c>
      <c r="CN59" s="1482">
        <f t="shared" ca="1" si="164"/>
        <v>0</v>
      </c>
      <c r="CO59" s="1482">
        <f t="shared" ca="1" si="164"/>
        <v>0</v>
      </c>
      <c r="CP59" s="1482">
        <f t="shared" ca="1" si="164"/>
        <v>0</v>
      </c>
      <c r="CQ59" s="1482">
        <f t="shared" ca="1" si="164"/>
        <v>0</v>
      </c>
      <c r="CR59" s="1482">
        <f t="shared" ca="1" si="164"/>
        <v>0</v>
      </c>
      <c r="CS59" s="1482">
        <f t="shared" ca="1" si="165"/>
        <v>0</v>
      </c>
      <c r="CT59" s="1482">
        <f t="shared" ca="1" si="165"/>
        <v>0</v>
      </c>
      <c r="CU59" s="1482">
        <f t="shared" ca="1" si="165"/>
        <v>0</v>
      </c>
      <c r="CV59" s="1482">
        <f t="shared" ca="1" si="165"/>
        <v>0</v>
      </c>
      <c r="CW59" s="1482">
        <f t="shared" ca="1" si="165"/>
        <v>0</v>
      </c>
      <c r="CX59" s="1482">
        <f t="shared" ca="1" si="165"/>
        <v>0</v>
      </c>
      <c r="CY59" s="1482">
        <f t="shared" ca="1" si="165"/>
        <v>0</v>
      </c>
      <c r="CZ59" s="1482">
        <f t="shared" ca="1" si="165"/>
        <v>0</v>
      </c>
      <c r="DA59" s="1482">
        <f t="shared" ca="1" si="165"/>
        <v>0</v>
      </c>
      <c r="DB59" s="1482">
        <f t="shared" ca="1" si="165"/>
        <v>0</v>
      </c>
      <c r="DC59" s="1482">
        <f t="shared" ca="1" si="165"/>
        <v>0</v>
      </c>
      <c r="DD59" s="1482">
        <f t="shared" ca="1" si="165"/>
        <v>0</v>
      </c>
      <c r="DE59" s="1482">
        <f t="shared" ca="1" si="165"/>
        <v>0</v>
      </c>
      <c r="DF59" s="1482">
        <f t="shared" ca="1" si="165"/>
        <v>0</v>
      </c>
      <c r="DH59" s="838">
        <f t="shared" ca="1" si="123"/>
        <v>0</v>
      </c>
    </row>
    <row r="60" spans="1:112" s="1484" customFormat="1" ht="12.75" hidden="1" customHeight="1" outlineLevel="1">
      <c r="C60" s="746" t="s">
        <v>808</v>
      </c>
      <c r="D60" s="521" t="str">
        <f>INDEX(Modules[Module], MATCH($C60, Modules[Code], 0))</f>
        <v>Wave and Tidal</v>
      </c>
      <c r="E60" s="521"/>
      <c r="F60" s="743"/>
      <c r="G60" s="1017">
        <f t="shared" ca="1" si="153"/>
        <v>0</v>
      </c>
      <c r="H60" s="1017">
        <f t="shared" ca="1" si="153"/>
        <v>0</v>
      </c>
      <c r="I60" s="1017">
        <f t="shared" ca="1" si="153"/>
        <v>0</v>
      </c>
      <c r="J60" s="1017">
        <f t="shared" ca="1" si="153"/>
        <v>0</v>
      </c>
      <c r="K60" s="1017">
        <f t="shared" ca="1" si="153"/>
        <v>0</v>
      </c>
      <c r="L60" s="1017">
        <f t="shared" ca="1" si="153"/>
        <v>0</v>
      </c>
      <c r="M60" s="1017">
        <f t="shared" ca="1" si="153"/>
        <v>0</v>
      </c>
      <c r="N60" s="1017">
        <f t="shared" ca="1" si="153"/>
        <v>0</v>
      </c>
      <c r="O60" s="1017">
        <f t="shared" ca="1" si="153"/>
        <v>0</v>
      </c>
      <c r="P60" s="1017">
        <f t="shared" ca="1" si="153"/>
        <v>0</v>
      </c>
      <c r="Q60" s="1019">
        <f t="shared" ca="1" si="154"/>
        <v>0</v>
      </c>
      <c r="R60" s="743"/>
      <c r="S60" s="1026">
        <f t="shared" ca="1" si="155"/>
        <v>0</v>
      </c>
      <c r="T60" s="1026">
        <f t="shared" ca="1" si="155"/>
        <v>2.3015753424657545E-2</v>
      </c>
      <c r="U60" s="1026">
        <f t="shared" ca="1" si="155"/>
        <v>0</v>
      </c>
      <c r="V60" s="1026">
        <f t="shared" ca="1" si="155"/>
        <v>0</v>
      </c>
      <c r="W60" s="1026">
        <f t="shared" ca="1" si="155"/>
        <v>0</v>
      </c>
      <c r="X60" s="1026">
        <f t="shared" ca="1" si="156"/>
        <v>0</v>
      </c>
      <c r="Y60" s="1026">
        <f t="shared" ca="1" si="156"/>
        <v>0</v>
      </c>
      <c r="Z60" s="1026">
        <f t="shared" ca="1" si="156"/>
        <v>0</v>
      </c>
      <c r="AA60" s="1026">
        <f t="shared" ca="1" si="155"/>
        <v>0</v>
      </c>
      <c r="AB60" s="1026">
        <f t="shared" ca="1" si="155"/>
        <v>0</v>
      </c>
      <c r="AC60" s="1026">
        <f t="shared" ca="1" si="155"/>
        <v>0</v>
      </c>
      <c r="AD60" s="1026">
        <f t="shared" ca="1" si="155"/>
        <v>0</v>
      </c>
      <c r="AE60" s="1026">
        <f t="shared" ca="1" si="155"/>
        <v>0</v>
      </c>
      <c r="AF60" s="1026">
        <f t="shared" ca="1" si="155"/>
        <v>0</v>
      </c>
      <c r="AG60" s="1026">
        <f t="shared" ca="1" si="155"/>
        <v>0</v>
      </c>
      <c r="AH60" s="1026">
        <f t="shared" ca="1" si="155"/>
        <v>0</v>
      </c>
      <c r="AI60" s="1026">
        <f t="shared" ca="1" si="155"/>
        <v>0</v>
      </c>
      <c r="AJ60" s="1026">
        <f t="shared" ca="1" si="155"/>
        <v>0</v>
      </c>
      <c r="AK60" s="1027">
        <f t="shared" ca="1" si="157"/>
        <v>2.3015753424657545E-2</v>
      </c>
      <c r="AL60" s="743"/>
      <c r="AM60" s="1038">
        <f t="shared" ca="1" si="158"/>
        <v>0</v>
      </c>
      <c r="AN60" s="1038">
        <f t="shared" ca="1" si="158"/>
        <v>0</v>
      </c>
      <c r="AO60" s="1038">
        <f t="shared" ca="1" si="158"/>
        <v>0</v>
      </c>
      <c r="AP60" s="1038">
        <f t="shared" ca="1" si="158"/>
        <v>0</v>
      </c>
      <c r="AQ60" s="1038">
        <f t="shared" ca="1" si="158"/>
        <v>0</v>
      </c>
      <c r="AR60" s="1038">
        <f t="shared" ca="1" si="158"/>
        <v>0</v>
      </c>
      <c r="AS60" s="1038">
        <f t="shared" ca="1" si="158"/>
        <v>0</v>
      </c>
      <c r="AT60" s="1038">
        <f t="shared" ca="1" si="158"/>
        <v>0</v>
      </c>
      <c r="AU60" s="1038">
        <f t="shared" ca="1" si="158"/>
        <v>0</v>
      </c>
      <c r="AV60" s="1038">
        <f t="shared" ca="1" si="155"/>
        <v>0</v>
      </c>
      <c r="AW60" s="1038">
        <f t="shared" ca="1" si="155"/>
        <v>0</v>
      </c>
      <c r="AX60" s="1038">
        <f t="shared" ca="1" si="155"/>
        <v>0</v>
      </c>
      <c r="AY60" s="1038">
        <f t="shared" ca="1" si="155"/>
        <v>-2.0013698630136998E-2</v>
      </c>
      <c r="AZ60" s="1038">
        <f t="shared" ca="1" si="155"/>
        <v>-3.0020547945205484E-3</v>
      </c>
      <c r="BA60" s="1038">
        <f t="shared" ca="1" si="155"/>
        <v>0</v>
      </c>
      <c r="BB60" s="1038">
        <f t="shared" ca="1" si="155"/>
        <v>0</v>
      </c>
      <c r="BC60" s="1038">
        <f t="shared" ca="1" si="155"/>
        <v>0</v>
      </c>
      <c r="BD60" s="1038">
        <f t="shared" ca="1" si="155"/>
        <v>0</v>
      </c>
      <c r="BE60" s="1038">
        <f t="shared" ca="1" si="155"/>
        <v>0</v>
      </c>
      <c r="BF60" s="979">
        <f t="shared" ca="1" si="159"/>
        <v>-2.3015753424657545E-2</v>
      </c>
      <c r="BG60" s="743"/>
      <c r="BH60" s="1032">
        <f t="shared" ca="1" si="160"/>
        <v>0</v>
      </c>
      <c r="BI60" s="1032">
        <f t="shared" ca="1" si="160"/>
        <v>0</v>
      </c>
      <c r="BJ60" s="1034">
        <f t="shared" ca="1" si="161"/>
        <v>0</v>
      </c>
      <c r="BK60" s="743"/>
      <c r="BL60" s="814">
        <f t="shared" ca="1" si="152"/>
        <v>0</v>
      </c>
      <c r="BM60" s="814"/>
      <c r="BN60" s="840"/>
      <c r="BO60" s="1481">
        <f t="shared" ca="1" si="162"/>
        <v>0</v>
      </c>
      <c r="BP60" s="1482">
        <f t="shared" ca="1" si="162"/>
        <v>0</v>
      </c>
      <c r="BQ60" s="1482">
        <f t="shared" ca="1" si="162"/>
        <v>0</v>
      </c>
      <c r="BR60" s="1482">
        <f t="shared" ca="1" si="162"/>
        <v>0</v>
      </c>
      <c r="BS60" s="1482">
        <f t="shared" ca="1" si="162"/>
        <v>0</v>
      </c>
      <c r="BT60" s="1482">
        <f t="shared" ca="1" si="162"/>
        <v>0</v>
      </c>
      <c r="BU60" s="1482">
        <f t="shared" ca="1" si="162"/>
        <v>0</v>
      </c>
      <c r="BV60" s="1482">
        <f t="shared" ca="1" si="162"/>
        <v>0</v>
      </c>
      <c r="BW60" s="1482">
        <f t="shared" ca="1" si="162"/>
        <v>0</v>
      </c>
      <c r="BX60" s="1482">
        <f t="shared" ca="1" si="162"/>
        <v>0</v>
      </c>
      <c r="BY60" s="1482">
        <f t="shared" ca="1" si="163"/>
        <v>0</v>
      </c>
      <c r="BZ60" s="1482">
        <f t="shared" ca="1" si="163"/>
        <v>0</v>
      </c>
      <c r="CA60" s="1482">
        <f t="shared" ca="1" si="163"/>
        <v>0</v>
      </c>
      <c r="CB60" s="1482">
        <f t="shared" ca="1" si="163"/>
        <v>0</v>
      </c>
      <c r="CC60" s="1482">
        <f t="shared" ca="1" si="163"/>
        <v>0</v>
      </c>
      <c r="CD60" s="1482">
        <f t="shared" ca="1" si="163"/>
        <v>0</v>
      </c>
      <c r="CE60" s="1482">
        <f t="shared" ca="1" si="163"/>
        <v>0</v>
      </c>
      <c r="CF60" s="1482">
        <f t="shared" ca="1" si="163"/>
        <v>0</v>
      </c>
      <c r="CG60" s="1482">
        <f t="shared" ca="1" si="163"/>
        <v>0</v>
      </c>
      <c r="CH60" s="1482">
        <f t="shared" ca="1" si="163"/>
        <v>0</v>
      </c>
      <c r="CI60" s="1482">
        <f t="shared" ca="1" si="164"/>
        <v>0</v>
      </c>
      <c r="CJ60" s="1482">
        <f t="shared" ca="1" si="164"/>
        <v>0</v>
      </c>
      <c r="CK60" s="1482">
        <f t="shared" ca="1" si="164"/>
        <v>0</v>
      </c>
      <c r="CL60" s="1482">
        <f t="shared" ca="1" si="164"/>
        <v>0</v>
      </c>
      <c r="CM60" s="1482">
        <f t="shared" ca="1" si="164"/>
        <v>0</v>
      </c>
      <c r="CN60" s="1482">
        <f t="shared" ca="1" si="164"/>
        <v>0</v>
      </c>
      <c r="CO60" s="1482">
        <f t="shared" ca="1" si="164"/>
        <v>0</v>
      </c>
      <c r="CP60" s="1482">
        <f t="shared" ca="1" si="164"/>
        <v>0</v>
      </c>
      <c r="CQ60" s="1482">
        <f t="shared" ca="1" si="164"/>
        <v>0</v>
      </c>
      <c r="CR60" s="1482">
        <f t="shared" ca="1" si="164"/>
        <v>0</v>
      </c>
      <c r="CS60" s="1482">
        <f t="shared" ca="1" si="165"/>
        <v>0</v>
      </c>
      <c r="CT60" s="1482">
        <f t="shared" ca="1" si="165"/>
        <v>0</v>
      </c>
      <c r="CU60" s="1482">
        <f t="shared" ca="1" si="165"/>
        <v>0</v>
      </c>
      <c r="CV60" s="1482">
        <f t="shared" ca="1" si="165"/>
        <v>0</v>
      </c>
      <c r="CW60" s="1482">
        <f t="shared" ca="1" si="165"/>
        <v>0</v>
      </c>
      <c r="CX60" s="1482">
        <f t="shared" ca="1" si="165"/>
        <v>0</v>
      </c>
      <c r="CY60" s="1482">
        <f t="shared" ca="1" si="165"/>
        <v>0</v>
      </c>
      <c r="CZ60" s="1482">
        <f t="shared" ca="1" si="165"/>
        <v>0</v>
      </c>
      <c r="DA60" s="1482">
        <f t="shared" ca="1" si="165"/>
        <v>0</v>
      </c>
      <c r="DB60" s="1482">
        <f t="shared" ca="1" si="165"/>
        <v>0</v>
      </c>
      <c r="DC60" s="1482">
        <f t="shared" ca="1" si="165"/>
        <v>0</v>
      </c>
      <c r="DD60" s="1482">
        <f t="shared" ca="1" si="165"/>
        <v>0</v>
      </c>
      <c r="DE60" s="1482">
        <f t="shared" ca="1" si="165"/>
        <v>0</v>
      </c>
      <c r="DF60" s="1482">
        <f t="shared" ca="1" si="165"/>
        <v>0</v>
      </c>
      <c r="DH60" s="838">
        <f t="shared" ca="1" si="123"/>
        <v>0</v>
      </c>
    </row>
    <row r="61" spans="1:112" s="1484" customFormat="1" ht="12.75" hidden="1" customHeight="1" outlineLevel="1">
      <c r="C61" s="746" t="s">
        <v>809</v>
      </c>
      <c r="D61" s="521" t="str">
        <f>INDEX(Modules[Module], MATCH($C61, Modules[Code], 0))</f>
        <v>Geothermal</v>
      </c>
      <c r="E61" s="521"/>
      <c r="F61" s="743"/>
      <c r="G61" s="1017">
        <f t="shared" ca="1" si="153"/>
        <v>0</v>
      </c>
      <c r="H61" s="1017">
        <f t="shared" ca="1" si="153"/>
        <v>0</v>
      </c>
      <c r="I61" s="1017">
        <f t="shared" ca="1" si="153"/>
        <v>0</v>
      </c>
      <c r="J61" s="1017">
        <f t="shared" ca="1" si="153"/>
        <v>0</v>
      </c>
      <c r="K61" s="1017">
        <f t="shared" ca="1" si="153"/>
        <v>0</v>
      </c>
      <c r="L61" s="1017">
        <f t="shared" ca="1" si="153"/>
        <v>0</v>
      </c>
      <c r="M61" s="1017">
        <f t="shared" ca="1" si="153"/>
        <v>0</v>
      </c>
      <c r="N61" s="1017">
        <f t="shared" ca="1" si="153"/>
        <v>0</v>
      </c>
      <c r="O61" s="1017">
        <f t="shared" ca="1" si="153"/>
        <v>0</v>
      </c>
      <c r="P61" s="1017">
        <f t="shared" ca="1" si="153"/>
        <v>0</v>
      </c>
      <c r="Q61" s="1019">
        <f t="shared" ca="1" si="154"/>
        <v>0</v>
      </c>
      <c r="R61" s="743"/>
      <c r="S61" s="1026">
        <f t="shared" ca="1" si="155"/>
        <v>0</v>
      </c>
      <c r="T61" s="1026">
        <f t="shared" ca="1" si="155"/>
        <v>0</v>
      </c>
      <c r="U61" s="1026">
        <f t="shared" ca="1" si="155"/>
        <v>0</v>
      </c>
      <c r="V61" s="1026">
        <f t="shared" ca="1" si="155"/>
        <v>0</v>
      </c>
      <c r="W61" s="1026">
        <f t="shared" ca="1" si="155"/>
        <v>0</v>
      </c>
      <c r="X61" s="1026">
        <f t="shared" ca="1" si="156"/>
        <v>0</v>
      </c>
      <c r="Y61" s="1026">
        <f t="shared" ca="1" si="156"/>
        <v>0</v>
      </c>
      <c r="Z61" s="1026">
        <f t="shared" ca="1" si="156"/>
        <v>0</v>
      </c>
      <c r="AA61" s="1026">
        <f t="shared" ca="1" si="155"/>
        <v>0</v>
      </c>
      <c r="AB61" s="1026">
        <f t="shared" ca="1" si="155"/>
        <v>0</v>
      </c>
      <c r="AC61" s="1026">
        <f t="shared" ca="1" si="155"/>
        <v>0</v>
      </c>
      <c r="AD61" s="1026">
        <f t="shared" ca="1" si="155"/>
        <v>0</v>
      </c>
      <c r="AE61" s="1026">
        <f t="shared" ca="1" si="155"/>
        <v>0</v>
      </c>
      <c r="AF61" s="1026">
        <f t="shared" ca="1" si="155"/>
        <v>0</v>
      </c>
      <c r="AG61" s="1026">
        <f t="shared" ca="1" si="155"/>
        <v>0</v>
      </c>
      <c r="AH61" s="1026">
        <f t="shared" ca="1" si="155"/>
        <v>0</v>
      </c>
      <c r="AI61" s="1026">
        <f t="shared" ca="1" si="155"/>
        <v>0</v>
      </c>
      <c r="AJ61" s="1026">
        <f t="shared" ca="1" si="155"/>
        <v>0</v>
      </c>
      <c r="AK61" s="1027">
        <f t="shared" ca="1" si="157"/>
        <v>0</v>
      </c>
      <c r="AL61" s="743"/>
      <c r="AM61" s="1038">
        <f t="shared" ca="1" si="158"/>
        <v>0</v>
      </c>
      <c r="AN61" s="1038">
        <f t="shared" ca="1" si="158"/>
        <v>0</v>
      </c>
      <c r="AO61" s="1038">
        <f t="shared" ca="1" si="158"/>
        <v>0</v>
      </c>
      <c r="AP61" s="1038">
        <f t="shared" ca="1" si="158"/>
        <v>0</v>
      </c>
      <c r="AQ61" s="1038">
        <f t="shared" ca="1" si="158"/>
        <v>0</v>
      </c>
      <c r="AR61" s="1038">
        <f t="shared" ca="1" si="158"/>
        <v>0</v>
      </c>
      <c r="AS61" s="1038">
        <f t="shared" ca="1" si="158"/>
        <v>0</v>
      </c>
      <c r="AT61" s="1038">
        <f t="shared" ca="1" si="158"/>
        <v>0</v>
      </c>
      <c r="AU61" s="1038">
        <f t="shared" ca="1" si="158"/>
        <v>0</v>
      </c>
      <c r="AV61" s="1038">
        <f t="shared" ca="1" si="155"/>
        <v>0</v>
      </c>
      <c r="AW61" s="1038">
        <f t="shared" ca="1" si="155"/>
        <v>0</v>
      </c>
      <c r="AX61" s="1038">
        <f t="shared" ca="1" si="155"/>
        <v>0</v>
      </c>
      <c r="AY61" s="1038">
        <f t="shared" ca="1" si="155"/>
        <v>0</v>
      </c>
      <c r="AZ61" s="1038">
        <f t="shared" ca="1" si="155"/>
        <v>0</v>
      </c>
      <c r="BA61" s="1038">
        <f t="shared" ca="1" si="155"/>
        <v>0</v>
      </c>
      <c r="BB61" s="1038">
        <f t="shared" ca="1" si="155"/>
        <v>0</v>
      </c>
      <c r="BC61" s="1038">
        <f t="shared" ca="1" si="155"/>
        <v>0</v>
      </c>
      <c r="BD61" s="1038">
        <f t="shared" ca="1" si="155"/>
        <v>0</v>
      </c>
      <c r="BE61" s="1038">
        <f t="shared" ca="1" si="155"/>
        <v>0</v>
      </c>
      <c r="BF61" s="979">
        <f t="shared" ca="1" si="159"/>
        <v>0</v>
      </c>
      <c r="BG61" s="743"/>
      <c r="BH61" s="1032">
        <f t="shared" ca="1" si="160"/>
        <v>0</v>
      </c>
      <c r="BI61" s="1032">
        <f t="shared" ca="1" si="160"/>
        <v>0</v>
      </c>
      <c r="BJ61" s="1034">
        <f t="shared" ca="1" si="161"/>
        <v>0</v>
      </c>
      <c r="BK61" s="743"/>
      <c r="BL61" s="814">
        <f t="shared" ca="1" si="152"/>
        <v>0</v>
      </c>
      <c r="BM61" s="814"/>
      <c r="BN61" s="840"/>
      <c r="BO61" s="1481">
        <f t="shared" ca="1" si="162"/>
        <v>0</v>
      </c>
      <c r="BP61" s="1482">
        <f t="shared" ca="1" si="162"/>
        <v>0</v>
      </c>
      <c r="BQ61" s="1482">
        <f t="shared" ca="1" si="162"/>
        <v>0</v>
      </c>
      <c r="BR61" s="1482">
        <f t="shared" ca="1" si="162"/>
        <v>0</v>
      </c>
      <c r="BS61" s="1482">
        <f t="shared" ca="1" si="162"/>
        <v>0</v>
      </c>
      <c r="BT61" s="1482">
        <f t="shared" ca="1" si="162"/>
        <v>0</v>
      </c>
      <c r="BU61" s="1482">
        <f t="shared" ca="1" si="162"/>
        <v>0</v>
      </c>
      <c r="BV61" s="1482">
        <f t="shared" ca="1" si="162"/>
        <v>0</v>
      </c>
      <c r="BW61" s="1482">
        <f t="shared" ca="1" si="162"/>
        <v>0</v>
      </c>
      <c r="BX61" s="1482">
        <f t="shared" ca="1" si="162"/>
        <v>0</v>
      </c>
      <c r="BY61" s="1482">
        <f t="shared" ca="1" si="163"/>
        <v>0</v>
      </c>
      <c r="BZ61" s="1482">
        <f t="shared" ca="1" si="163"/>
        <v>0</v>
      </c>
      <c r="CA61" s="1482">
        <f t="shared" ca="1" si="163"/>
        <v>0</v>
      </c>
      <c r="CB61" s="1482">
        <f t="shared" ca="1" si="163"/>
        <v>0</v>
      </c>
      <c r="CC61" s="1482">
        <f t="shared" ca="1" si="163"/>
        <v>0</v>
      </c>
      <c r="CD61" s="1482">
        <f t="shared" ca="1" si="163"/>
        <v>0</v>
      </c>
      <c r="CE61" s="1482">
        <f t="shared" ca="1" si="163"/>
        <v>0</v>
      </c>
      <c r="CF61" s="1482">
        <f t="shared" ca="1" si="163"/>
        <v>0</v>
      </c>
      <c r="CG61" s="1482">
        <f t="shared" ca="1" si="163"/>
        <v>0</v>
      </c>
      <c r="CH61" s="1482">
        <f t="shared" ca="1" si="163"/>
        <v>0</v>
      </c>
      <c r="CI61" s="1482">
        <f t="shared" ca="1" si="164"/>
        <v>0</v>
      </c>
      <c r="CJ61" s="1482">
        <f t="shared" ca="1" si="164"/>
        <v>0</v>
      </c>
      <c r="CK61" s="1482">
        <f t="shared" ca="1" si="164"/>
        <v>0</v>
      </c>
      <c r="CL61" s="1482">
        <f t="shared" ca="1" si="164"/>
        <v>0</v>
      </c>
      <c r="CM61" s="1482">
        <f t="shared" ca="1" si="164"/>
        <v>0</v>
      </c>
      <c r="CN61" s="1482">
        <f t="shared" ca="1" si="164"/>
        <v>0</v>
      </c>
      <c r="CO61" s="1482">
        <f t="shared" ca="1" si="164"/>
        <v>0</v>
      </c>
      <c r="CP61" s="1482">
        <f t="shared" ca="1" si="164"/>
        <v>0</v>
      </c>
      <c r="CQ61" s="1482">
        <f t="shared" ca="1" si="164"/>
        <v>0</v>
      </c>
      <c r="CR61" s="1482">
        <f t="shared" ca="1" si="164"/>
        <v>0</v>
      </c>
      <c r="CS61" s="1482">
        <f t="shared" ca="1" si="165"/>
        <v>0</v>
      </c>
      <c r="CT61" s="1482">
        <f t="shared" ca="1" si="165"/>
        <v>0</v>
      </c>
      <c r="CU61" s="1482">
        <f t="shared" ca="1" si="165"/>
        <v>0</v>
      </c>
      <c r="CV61" s="1482">
        <f t="shared" ca="1" si="165"/>
        <v>0</v>
      </c>
      <c r="CW61" s="1482">
        <f t="shared" ca="1" si="165"/>
        <v>0</v>
      </c>
      <c r="CX61" s="1482">
        <f t="shared" ca="1" si="165"/>
        <v>0</v>
      </c>
      <c r="CY61" s="1482">
        <f t="shared" ca="1" si="165"/>
        <v>0</v>
      </c>
      <c r="CZ61" s="1482">
        <f t="shared" ca="1" si="165"/>
        <v>0</v>
      </c>
      <c r="DA61" s="1482">
        <f t="shared" ca="1" si="165"/>
        <v>0</v>
      </c>
      <c r="DB61" s="1482">
        <f t="shared" ca="1" si="165"/>
        <v>0</v>
      </c>
      <c r="DC61" s="1482">
        <f t="shared" ca="1" si="165"/>
        <v>0</v>
      </c>
      <c r="DD61" s="1482">
        <f t="shared" ca="1" si="165"/>
        <v>0</v>
      </c>
      <c r="DE61" s="1482">
        <f t="shared" ca="1" si="165"/>
        <v>0</v>
      </c>
      <c r="DF61" s="1482">
        <f t="shared" ca="1" si="165"/>
        <v>0</v>
      </c>
      <c r="DH61" s="838">
        <f t="shared" ca="1" si="123"/>
        <v>0</v>
      </c>
    </row>
    <row r="62" spans="1:112" s="743" customFormat="1" ht="12.75" hidden="1" customHeight="1" outlineLevel="1">
      <c r="A62" s="1484"/>
      <c r="B62" s="1484"/>
      <c r="C62" s="746" t="s">
        <v>810</v>
      </c>
      <c r="D62" s="1010" t="str">
        <f>INDEX(Modules[Module], MATCH($C62, Modules[Code], 0))</f>
        <v>Tidal [UNUSED - See III.c]</v>
      </c>
      <c r="E62" s="1010"/>
      <c r="G62" s="1022">
        <f t="shared" ca="1" si="153"/>
        <v>0</v>
      </c>
      <c r="H62" s="1022">
        <f t="shared" ca="1" si="153"/>
        <v>0</v>
      </c>
      <c r="I62" s="1022">
        <f t="shared" ca="1" si="153"/>
        <v>0</v>
      </c>
      <c r="J62" s="1022">
        <f t="shared" ca="1" si="153"/>
        <v>0</v>
      </c>
      <c r="K62" s="1022">
        <f t="shared" ca="1" si="153"/>
        <v>0</v>
      </c>
      <c r="L62" s="1022">
        <f t="shared" ca="1" si="153"/>
        <v>0</v>
      </c>
      <c r="M62" s="1022">
        <f t="shared" ca="1" si="153"/>
        <v>0</v>
      </c>
      <c r="N62" s="1022">
        <f t="shared" ca="1" si="153"/>
        <v>0</v>
      </c>
      <c r="O62" s="1022">
        <f t="shared" ca="1" si="153"/>
        <v>0</v>
      </c>
      <c r="P62" s="1022">
        <f t="shared" ca="1" si="153"/>
        <v>0</v>
      </c>
      <c r="Q62" s="1020">
        <f t="shared" ca="1" si="154"/>
        <v>0</v>
      </c>
      <c r="S62" s="1031">
        <f t="shared" ca="1" si="155"/>
        <v>0</v>
      </c>
      <c r="T62" s="1031">
        <f t="shared" ca="1" si="155"/>
        <v>0</v>
      </c>
      <c r="U62" s="1031">
        <f t="shared" ca="1" si="155"/>
        <v>0</v>
      </c>
      <c r="V62" s="1031">
        <f t="shared" ca="1" si="155"/>
        <v>0</v>
      </c>
      <c r="W62" s="1031">
        <f t="shared" ca="1" si="155"/>
        <v>0</v>
      </c>
      <c r="X62" s="1031">
        <f t="shared" ca="1" si="156"/>
        <v>0</v>
      </c>
      <c r="Y62" s="1031">
        <f t="shared" ca="1" si="156"/>
        <v>0</v>
      </c>
      <c r="Z62" s="1031">
        <f t="shared" ca="1" si="156"/>
        <v>0</v>
      </c>
      <c r="AA62" s="1031">
        <f t="shared" ca="1" si="155"/>
        <v>0</v>
      </c>
      <c r="AB62" s="1031">
        <f t="shared" ca="1" si="155"/>
        <v>0</v>
      </c>
      <c r="AC62" s="1031">
        <f t="shared" ca="1" si="155"/>
        <v>0</v>
      </c>
      <c r="AD62" s="1031">
        <f t="shared" ca="1" si="155"/>
        <v>0</v>
      </c>
      <c r="AE62" s="1031">
        <f t="shared" ca="1" si="155"/>
        <v>0</v>
      </c>
      <c r="AF62" s="1031">
        <f t="shared" ca="1" si="155"/>
        <v>0</v>
      </c>
      <c r="AG62" s="1031">
        <f t="shared" ca="1" si="155"/>
        <v>0</v>
      </c>
      <c r="AH62" s="1031">
        <f t="shared" ca="1" si="155"/>
        <v>0</v>
      </c>
      <c r="AI62" s="1031">
        <f t="shared" ca="1" si="155"/>
        <v>0</v>
      </c>
      <c r="AJ62" s="1031">
        <f t="shared" ca="1" si="155"/>
        <v>0</v>
      </c>
      <c r="AK62" s="1030">
        <f t="shared" ca="1" si="157"/>
        <v>0</v>
      </c>
      <c r="AM62" s="1042">
        <f t="shared" ca="1" si="158"/>
        <v>0</v>
      </c>
      <c r="AN62" s="1042">
        <f t="shared" ca="1" si="158"/>
        <v>0</v>
      </c>
      <c r="AO62" s="1042">
        <f t="shared" ca="1" si="158"/>
        <v>0</v>
      </c>
      <c r="AP62" s="1042">
        <f t="shared" ca="1" si="158"/>
        <v>0</v>
      </c>
      <c r="AQ62" s="1042">
        <f t="shared" ca="1" si="158"/>
        <v>0</v>
      </c>
      <c r="AR62" s="1042">
        <f t="shared" ca="1" si="158"/>
        <v>0</v>
      </c>
      <c r="AS62" s="1042">
        <f t="shared" ca="1" si="158"/>
        <v>0</v>
      </c>
      <c r="AT62" s="1042">
        <f t="shared" ca="1" si="158"/>
        <v>0</v>
      </c>
      <c r="AU62" s="1042">
        <f t="shared" ca="1" si="158"/>
        <v>0</v>
      </c>
      <c r="AV62" s="1042">
        <f t="shared" ca="1" si="155"/>
        <v>0</v>
      </c>
      <c r="AW62" s="1042">
        <f t="shared" ca="1" si="155"/>
        <v>0</v>
      </c>
      <c r="AX62" s="1042">
        <f t="shared" ca="1" si="155"/>
        <v>0</v>
      </c>
      <c r="AY62" s="1042">
        <f t="shared" ca="1" si="155"/>
        <v>0</v>
      </c>
      <c r="AZ62" s="1042">
        <f t="shared" ca="1" si="155"/>
        <v>0</v>
      </c>
      <c r="BA62" s="1042">
        <f t="shared" ca="1" si="155"/>
        <v>0</v>
      </c>
      <c r="BB62" s="1042">
        <f t="shared" ca="1" si="155"/>
        <v>0</v>
      </c>
      <c r="BC62" s="1042">
        <f t="shared" ca="1" si="155"/>
        <v>0</v>
      </c>
      <c r="BD62" s="1042">
        <f t="shared" ca="1" si="155"/>
        <v>0</v>
      </c>
      <c r="BE62" s="1042">
        <f t="shared" ca="1" si="155"/>
        <v>0</v>
      </c>
      <c r="BF62" s="1012">
        <f t="shared" ca="1" si="159"/>
        <v>0</v>
      </c>
      <c r="BH62" s="1036">
        <f t="shared" ca="1" si="160"/>
        <v>0</v>
      </c>
      <c r="BI62" s="1036">
        <f t="shared" ca="1" si="160"/>
        <v>0</v>
      </c>
      <c r="BJ62" s="1035">
        <f t="shared" ca="1" si="161"/>
        <v>0</v>
      </c>
      <c r="BL62" s="814">
        <f t="shared" ca="1" si="152"/>
        <v>0</v>
      </c>
      <c r="BM62" s="814"/>
      <c r="BN62" s="840"/>
      <c r="BO62" s="1485">
        <f t="shared" ca="1" si="162"/>
        <v>0</v>
      </c>
      <c r="BP62" s="1486">
        <f t="shared" ca="1" si="162"/>
        <v>0</v>
      </c>
      <c r="BQ62" s="1486">
        <f t="shared" ca="1" si="162"/>
        <v>0</v>
      </c>
      <c r="BR62" s="1486">
        <f t="shared" ca="1" si="162"/>
        <v>0</v>
      </c>
      <c r="BS62" s="1486">
        <f t="shared" ca="1" si="162"/>
        <v>0</v>
      </c>
      <c r="BT62" s="1486">
        <f t="shared" ca="1" si="162"/>
        <v>0</v>
      </c>
      <c r="BU62" s="1486">
        <f t="shared" ca="1" si="162"/>
        <v>0</v>
      </c>
      <c r="BV62" s="1486">
        <f t="shared" ca="1" si="162"/>
        <v>0</v>
      </c>
      <c r="BW62" s="1486">
        <f t="shared" ca="1" si="162"/>
        <v>0</v>
      </c>
      <c r="BX62" s="1486">
        <f t="shared" ca="1" si="162"/>
        <v>0</v>
      </c>
      <c r="BY62" s="1486">
        <f t="shared" ca="1" si="163"/>
        <v>0</v>
      </c>
      <c r="BZ62" s="1486">
        <f t="shared" ca="1" si="163"/>
        <v>0</v>
      </c>
      <c r="CA62" s="1486">
        <f t="shared" ca="1" si="163"/>
        <v>0</v>
      </c>
      <c r="CB62" s="1486">
        <f t="shared" ca="1" si="163"/>
        <v>0</v>
      </c>
      <c r="CC62" s="1486">
        <f t="shared" ca="1" si="163"/>
        <v>0</v>
      </c>
      <c r="CD62" s="1486">
        <f t="shared" ca="1" si="163"/>
        <v>0</v>
      </c>
      <c r="CE62" s="1486">
        <f t="shared" ca="1" si="163"/>
        <v>0</v>
      </c>
      <c r="CF62" s="1486">
        <f t="shared" ca="1" si="163"/>
        <v>0</v>
      </c>
      <c r="CG62" s="1486">
        <f t="shared" ca="1" si="163"/>
        <v>0</v>
      </c>
      <c r="CH62" s="1486">
        <f t="shared" ca="1" si="163"/>
        <v>0</v>
      </c>
      <c r="CI62" s="1486">
        <f t="shared" ca="1" si="164"/>
        <v>0</v>
      </c>
      <c r="CJ62" s="1486">
        <f t="shared" ca="1" si="164"/>
        <v>0</v>
      </c>
      <c r="CK62" s="1486">
        <f t="shared" ca="1" si="164"/>
        <v>0</v>
      </c>
      <c r="CL62" s="1486">
        <f t="shared" ca="1" si="164"/>
        <v>0</v>
      </c>
      <c r="CM62" s="1486">
        <f t="shared" ca="1" si="164"/>
        <v>0</v>
      </c>
      <c r="CN62" s="1486">
        <f t="shared" ca="1" si="164"/>
        <v>0</v>
      </c>
      <c r="CO62" s="1486">
        <f t="shared" ca="1" si="164"/>
        <v>0</v>
      </c>
      <c r="CP62" s="1486">
        <f t="shared" ca="1" si="164"/>
        <v>0</v>
      </c>
      <c r="CQ62" s="1486">
        <f t="shared" ca="1" si="164"/>
        <v>0</v>
      </c>
      <c r="CR62" s="1486">
        <f t="shared" ca="1" si="164"/>
        <v>0</v>
      </c>
      <c r="CS62" s="1486">
        <f t="shared" ca="1" si="165"/>
        <v>0</v>
      </c>
      <c r="CT62" s="1486">
        <f t="shared" ca="1" si="165"/>
        <v>0</v>
      </c>
      <c r="CU62" s="1486">
        <f t="shared" ca="1" si="165"/>
        <v>0</v>
      </c>
      <c r="CV62" s="1486">
        <f t="shared" ca="1" si="165"/>
        <v>0</v>
      </c>
      <c r="CW62" s="1486">
        <f t="shared" ca="1" si="165"/>
        <v>0</v>
      </c>
      <c r="CX62" s="1486">
        <f t="shared" ca="1" si="165"/>
        <v>0</v>
      </c>
      <c r="CY62" s="1486">
        <f t="shared" ca="1" si="165"/>
        <v>0</v>
      </c>
      <c r="CZ62" s="1486">
        <f t="shared" ca="1" si="165"/>
        <v>0</v>
      </c>
      <c r="DA62" s="1486">
        <f t="shared" ca="1" si="165"/>
        <v>0</v>
      </c>
      <c r="DB62" s="1486">
        <f t="shared" ca="1" si="165"/>
        <v>0</v>
      </c>
      <c r="DC62" s="1486">
        <f t="shared" ca="1" si="165"/>
        <v>0</v>
      </c>
      <c r="DD62" s="1486">
        <f t="shared" ca="1" si="165"/>
        <v>0</v>
      </c>
      <c r="DE62" s="1486">
        <f t="shared" ca="1" si="165"/>
        <v>0</v>
      </c>
      <c r="DF62" s="1486">
        <f t="shared" ca="1" si="165"/>
        <v>0</v>
      </c>
      <c r="DH62" s="838">
        <f t="shared" ca="1" si="123"/>
        <v>0</v>
      </c>
    </row>
    <row r="63" spans="1:112" s="743" customFormat="1" ht="15.75" collapsed="1">
      <c r="A63" s="22"/>
      <c r="B63" s="753"/>
      <c r="C63" s="744" t="s">
        <v>76</v>
      </c>
      <c r="D63" s="517" t="str">
        <f>INDEX(Workstreams[Workstream], MATCH($C63, Workstreams[Code], 0))</f>
        <v>National renewable power generation</v>
      </c>
      <c r="E63" s="512"/>
      <c r="G63" s="958">
        <f t="shared" ref="G63:P63" ca="1" si="166">SUM(G57:G62)</f>
        <v>0</v>
      </c>
      <c r="H63" s="958">
        <f t="shared" ca="1" si="166"/>
        <v>0</v>
      </c>
      <c r="I63" s="958">
        <f t="shared" ca="1" si="166"/>
        <v>0</v>
      </c>
      <c r="J63" s="958">
        <f t="shared" ca="1" si="166"/>
        <v>0</v>
      </c>
      <c r="K63" s="958">
        <f t="shared" ca="1" si="166"/>
        <v>0</v>
      </c>
      <c r="L63" s="958">
        <f t="shared" ca="1" si="166"/>
        <v>0</v>
      </c>
      <c r="M63" s="958">
        <f t="shared" ca="1" si="166"/>
        <v>0</v>
      </c>
      <c r="N63" s="958">
        <f t="shared" ca="1" si="166"/>
        <v>0</v>
      </c>
      <c r="O63" s="958">
        <f t="shared" ca="1" si="166"/>
        <v>0</v>
      </c>
      <c r="P63" s="958">
        <f t="shared" ca="1" si="166"/>
        <v>0</v>
      </c>
      <c r="Q63" s="1021">
        <f t="shared" ca="1" si="154"/>
        <v>0</v>
      </c>
      <c r="S63" s="970">
        <f t="shared" ref="S63:AJ63" ca="1" si="167">SUM(S57:S62)</f>
        <v>0</v>
      </c>
      <c r="T63" s="970">
        <f t="shared" ca="1" si="167"/>
        <v>34.695613853424661</v>
      </c>
      <c r="U63" s="970">
        <f t="shared" ca="1" si="167"/>
        <v>0</v>
      </c>
      <c r="V63" s="970">
        <f t="shared" ca="1" si="167"/>
        <v>0</v>
      </c>
      <c r="W63" s="970">
        <f t="shared" ca="1" si="167"/>
        <v>0</v>
      </c>
      <c r="X63" s="970">
        <f t="shared" ca="1" si="167"/>
        <v>0</v>
      </c>
      <c r="Y63" s="970">
        <f t="shared" ca="1" si="167"/>
        <v>0</v>
      </c>
      <c r="Z63" s="970">
        <f t="shared" ca="1" si="167"/>
        <v>0</v>
      </c>
      <c r="AA63" s="970">
        <f t="shared" ca="1" si="167"/>
        <v>0</v>
      </c>
      <c r="AB63" s="970">
        <f t="shared" ca="1" si="167"/>
        <v>0</v>
      </c>
      <c r="AC63" s="970">
        <f t="shared" ca="1" si="167"/>
        <v>0</v>
      </c>
      <c r="AD63" s="970">
        <f t="shared" ca="1" si="167"/>
        <v>0</v>
      </c>
      <c r="AE63" s="970">
        <f ca="1">SUM(AE57:AE62)</f>
        <v>0</v>
      </c>
      <c r="AF63" s="970">
        <f t="shared" ca="1" si="167"/>
        <v>0</v>
      </c>
      <c r="AG63" s="970">
        <f t="shared" ca="1" si="167"/>
        <v>0</v>
      </c>
      <c r="AH63" s="970">
        <f ca="1">SUM(AH57:AH62)</f>
        <v>0</v>
      </c>
      <c r="AI63" s="970">
        <f t="shared" ca="1" si="167"/>
        <v>0</v>
      </c>
      <c r="AJ63" s="970">
        <f t="shared" ca="1" si="167"/>
        <v>0</v>
      </c>
      <c r="AK63" s="970">
        <f t="shared" ca="1" si="157"/>
        <v>34.695613853424661</v>
      </c>
      <c r="AM63" s="976">
        <f t="shared" ref="AM63:BE63" ca="1" si="168">SUM(AM57:AM62)</f>
        <v>0</v>
      </c>
      <c r="AN63" s="976">
        <f t="shared" ca="1" si="168"/>
        <v>0</v>
      </c>
      <c r="AO63" s="976">
        <f t="shared" ca="1" si="168"/>
        <v>0</v>
      </c>
      <c r="AP63" s="976">
        <f t="shared" ca="1" si="168"/>
        <v>0</v>
      </c>
      <c r="AQ63" s="976">
        <f t="shared" ca="1" si="168"/>
        <v>0</v>
      </c>
      <c r="AR63" s="976">
        <f t="shared" ca="1" si="168"/>
        <v>0</v>
      </c>
      <c r="AS63" s="976">
        <f t="shared" ca="1" si="168"/>
        <v>0</v>
      </c>
      <c r="AT63" s="976">
        <f t="shared" ca="1" si="168"/>
        <v>0</v>
      </c>
      <c r="AU63" s="976">
        <f t="shared" ca="1" si="168"/>
        <v>0</v>
      </c>
      <c r="AV63" s="976">
        <f t="shared" ca="1" si="168"/>
        <v>0</v>
      </c>
      <c r="AW63" s="976">
        <f t="shared" ca="1" si="168"/>
        <v>0</v>
      </c>
      <c r="AX63" s="976">
        <f t="shared" ca="1" si="168"/>
        <v>-29.342870099999999</v>
      </c>
      <c r="AY63" s="976">
        <f t="shared" ca="1" si="168"/>
        <v>-2.0013698630136998E-2</v>
      </c>
      <c r="AZ63" s="976">
        <f t="shared" ca="1" si="168"/>
        <v>-3.0020547945205484E-3</v>
      </c>
      <c r="BA63" s="976">
        <f t="shared" ca="1" si="168"/>
        <v>0</v>
      </c>
      <c r="BB63" s="976">
        <f t="shared" ca="1" si="168"/>
        <v>-5.3297280000000011</v>
      </c>
      <c r="BC63" s="976">
        <f t="shared" ca="1" si="168"/>
        <v>0</v>
      </c>
      <c r="BD63" s="976">
        <f t="shared" ca="1" si="168"/>
        <v>0</v>
      </c>
      <c r="BE63" s="976">
        <f t="shared" ca="1" si="168"/>
        <v>0</v>
      </c>
      <c r="BF63" s="976">
        <f t="shared" ca="1" si="159"/>
        <v>-34.695613853424661</v>
      </c>
      <c r="BH63" s="990">
        <f ca="1">SUM(BH57:BH62)</f>
        <v>0</v>
      </c>
      <c r="BI63" s="990">
        <f ca="1">SUM(BI57:BI62)</f>
        <v>0</v>
      </c>
      <c r="BJ63" s="990">
        <f t="shared" ca="1" si="161"/>
        <v>0</v>
      </c>
      <c r="BL63" s="515">
        <f t="shared" ca="1" si="152"/>
        <v>0</v>
      </c>
      <c r="BM63" s="515"/>
      <c r="BN63" s="840"/>
      <c r="BO63" s="1482">
        <f t="shared" ref="BO63:DF63" ca="1" si="169">SUM(BO57:BO62)</f>
        <v>0</v>
      </c>
      <c r="BP63" s="1482">
        <f t="shared" ca="1" si="169"/>
        <v>0</v>
      </c>
      <c r="BQ63" s="1482">
        <f t="shared" ca="1" si="169"/>
        <v>0</v>
      </c>
      <c r="BR63" s="1482">
        <f t="shared" ca="1" si="169"/>
        <v>0</v>
      </c>
      <c r="BS63" s="1482">
        <f t="shared" ca="1" si="169"/>
        <v>0</v>
      </c>
      <c r="BT63" s="1482">
        <f t="shared" ca="1" si="169"/>
        <v>0</v>
      </c>
      <c r="BU63" s="1482">
        <f t="shared" ca="1" si="169"/>
        <v>0</v>
      </c>
      <c r="BV63" s="1482">
        <f t="shared" ca="1" si="169"/>
        <v>0</v>
      </c>
      <c r="BW63" s="1482">
        <f t="shared" ca="1" si="169"/>
        <v>0</v>
      </c>
      <c r="BX63" s="1482">
        <f t="shared" ca="1" si="169"/>
        <v>0</v>
      </c>
      <c r="BY63" s="1482">
        <f t="shared" ca="1" si="169"/>
        <v>0</v>
      </c>
      <c r="BZ63" s="1482">
        <f t="shared" ca="1" si="169"/>
        <v>0</v>
      </c>
      <c r="CA63" s="1482">
        <f t="shared" ca="1" si="169"/>
        <v>0</v>
      </c>
      <c r="CB63" s="1482">
        <f t="shared" ca="1" si="169"/>
        <v>0</v>
      </c>
      <c r="CC63" s="1482">
        <f t="shared" ca="1" si="169"/>
        <v>0</v>
      </c>
      <c r="CD63" s="1482">
        <f t="shared" ca="1" si="169"/>
        <v>0</v>
      </c>
      <c r="CE63" s="1482">
        <f t="shared" ca="1" si="169"/>
        <v>0</v>
      </c>
      <c r="CF63" s="1482">
        <f t="shared" ca="1" si="169"/>
        <v>0</v>
      </c>
      <c r="CG63" s="1482">
        <f t="shared" ca="1" si="169"/>
        <v>0</v>
      </c>
      <c r="CH63" s="1482">
        <f t="shared" ca="1" si="169"/>
        <v>0</v>
      </c>
      <c r="CI63" s="1482">
        <f t="shared" ca="1" si="169"/>
        <v>0</v>
      </c>
      <c r="CJ63" s="1482">
        <f t="shared" ca="1" si="169"/>
        <v>0</v>
      </c>
      <c r="CK63" s="1482">
        <f t="shared" ca="1" si="169"/>
        <v>0</v>
      </c>
      <c r="CL63" s="1482">
        <f t="shared" ca="1" si="169"/>
        <v>0</v>
      </c>
      <c r="CM63" s="1482">
        <f t="shared" ca="1" si="169"/>
        <v>0</v>
      </c>
      <c r="CN63" s="1482">
        <f t="shared" ca="1" si="169"/>
        <v>0</v>
      </c>
      <c r="CO63" s="1482">
        <f t="shared" ca="1" si="169"/>
        <v>0</v>
      </c>
      <c r="CP63" s="1482">
        <f t="shared" ca="1" si="169"/>
        <v>0</v>
      </c>
      <c r="CQ63" s="1482">
        <f t="shared" ca="1" si="169"/>
        <v>0</v>
      </c>
      <c r="CR63" s="1482">
        <f t="shared" ca="1" si="169"/>
        <v>0</v>
      </c>
      <c r="CS63" s="1482">
        <f t="shared" ca="1" si="169"/>
        <v>0</v>
      </c>
      <c r="CT63" s="1482">
        <f t="shared" ca="1" si="169"/>
        <v>0</v>
      </c>
      <c r="CU63" s="1482">
        <f t="shared" ca="1" si="169"/>
        <v>0</v>
      </c>
      <c r="CV63" s="1482">
        <f t="shared" ca="1" si="169"/>
        <v>0</v>
      </c>
      <c r="CW63" s="1482">
        <f t="shared" ca="1" si="169"/>
        <v>0</v>
      </c>
      <c r="CX63" s="1482">
        <f t="shared" ca="1" si="169"/>
        <v>0</v>
      </c>
      <c r="CY63" s="1482">
        <f t="shared" ca="1" si="169"/>
        <v>0</v>
      </c>
      <c r="CZ63" s="1482">
        <f t="shared" ca="1" si="169"/>
        <v>0</v>
      </c>
      <c r="DA63" s="1482">
        <f t="shared" ca="1" si="169"/>
        <v>0</v>
      </c>
      <c r="DB63" s="1482">
        <f t="shared" ca="1" si="169"/>
        <v>0</v>
      </c>
      <c r="DC63" s="1482">
        <f t="shared" ca="1" si="169"/>
        <v>0</v>
      </c>
      <c r="DD63" s="1482">
        <f t="shared" ca="1" si="169"/>
        <v>0</v>
      </c>
      <c r="DE63" s="1482">
        <f t="shared" ca="1" si="169"/>
        <v>0</v>
      </c>
      <c r="DF63" s="1482">
        <f t="shared" ca="1" si="169"/>
        <v>0</v>
      </c>
      <c r="DH63" s="838">
        <f t="shared" ca="1" si="123"/>
        <v>0</v>
      </c>
    </row>
    <row r="64" spans="1:112" s="743" customFormat="1" ht="12.75" hidden="1" customHeight="1" outlineLevel="1">
      <c r="A64" s="22"/>
      <c r="B64" s="22"/>
      <c r="C64" s="751"/>
      <c r="D64" s="512"/>
      <c r="E64" s="512"/>
      <c r="G64" s="958"/>
      <c r="H64" s="958"/>
      <c r="I64" s="958"/>
      <c r="J64" s="958"/>
      <c r="K64" s="960"/>
      <c r="L64" s="958"/>
      <c r="M64" s="958"/>
      <c r="N64" s="958"/>
      <c r="O64" s="958"/>
      <c r="P64" s="958"/>
      <c r="Q64" s="958"/>
      <c r="S64" s="970"/>
      <c r="T64" s="970"/>
      <c r="U64" s="970"/>
      <c r="V64" s="970"/>
      <c r="W64" s="970"/>
      <c r="X64" s="970"/>
      <c r="Y64" s="970"/>
      <c r="Z64" s="970"/>
      <c r="AA64" s="970"/>
      <c r="AB64" s="970"/>
      <c r="AC64" s="970"/>
      <c r="AD64" s="970"/>
      <c r="AE64" s="970"/>
      <c r="AF64" s="970"/>
      <c r="AG64" s="970"/>
      <c r="AH64" s="970"/>
      <c r="AI64" s="970"/>
      <c r="AJ64" s="970"/>
      <c r="AK64" s="970"/>
      <c r="AM64" s="976"/>
      <c r="AN64" s="976"/>
      <c r="AO64" s="976"/>
      <c r="AP64" s="976"/>
      <c r="AQ64" s="976"/>
      <c r="AR64" s="976"/>
      <c r="AS64" s="976"/>
      <c r="AT64" s="976"/>
      <c r="AU64" s="976"/>
      <c r="AV64" s="976"/>
      <c r="AW64" s="976"/>
      <c r="AX64" s="976"/>
      <c r="AY64" s="976"/>
      <c r="AZ64" s="976"/>
      <c r="BA64" s="976"/>
      <c r="BB64" s="976"/>
      <c r="BC64" s="976"/>
      <c r="BD64" s="976"/>
      <c r="BE64" s="976"/>
      <c r="BF64" s="976"/>
      <c r="BH64" s="990"/>
      <c r="BI64" s="990"/>
      <c r="BJ64" s="990"/>
      <c r="BL64" s="515"/>
      <c r="BM64" s="515"/>
      <c r="BN64" s="22"/>
      <c r="BO64" s="1482"/>
      <c r="BP64" s="1482"/>
      <c r="BQ64" s="1482"/>
      <c r="BR64" s="1482"/>
      <c r="BS64" s="1482"/>
      <c r="BT64" s="1482"/>
      <c r="BU64" s="1482"/>
      <c r="BV64" s="1482"/>
      <c r="BW64" s="1482"/>
      <c r="BX64" s="1482"/>
      <c r="BY64" s="1482"/>
      <c r="BZ64" s="1482"/>
      <c r="CA64" s="1482"/>
      <c r="CB64" s="1482"/>
      <c r="CC64" s="1482"/>
      <c r="CD64" s="1482"/>
      <c r="CE64" s="1482"/>
      <c r="CF64" s="1482"/>
      <c r="CG64" s="1482"/>
      <c r="CH64" s="1482"/>
      <c r="CI64" s="1482"/>
      <c r="CJ64" s="1482"/>
      <c r="CK64" s="1482"/>
      <c r="CL64" s="1482"/>
      <c r="CM64" s="1482"/>
      <c r="CN64" s="1482"/>
      <c r="CO64" s="1482"/>
      <c r="CP64" s="1482"/>
      <c r="CQ64" s="1482"/>
      <c r="CR64" s="1482"/>
      <c r="CS64" s="1482"/>
      <c r="CT64" s="1482"/>
      <c r="CU64" s="1482"/>
      <c r="CV64" s="1482"/>
      <c r="CW64" s="1482"/>
      <c r="CX64" s="1482"/>
      <c r="CY64" s="1482"/>
      <c r="CZ64" s="1482"/>
      <c r="DA64" s="1482"/>
      <c r="DB64" s="1482"/>
      <c r="DC64" s="1482"/>
      <c r="DD64" s="1482"/>
      <c r="DE64" s="1482"/>
      <c r="DF64" s="1482"/>
      <c r="DH64" s="838">
        <f t="shared" si="123"/>
        <v>0</v>
      </c>
    </row>
    <row r="65" spans="1:112" s="1484" customFormat="1" ht="12.75" hidden="1" customHeight="1" outlineLevel="1">
      <c r="C65" s="746" t="s">
        <v>976</v>
      </c>
      <c r="D65" s="521" t="str">
        <f>INDEX(Modules[Module], MATCH($C65, Modules[Code], 0))</f>
        <v>Distributed solar PV</v>
      </c>
      <c r="E65" s="521"/>
      <c r="G65" s="1604">
        <f t="shared" ref="G65:P67" ca="1" si="170">IFERROR(INDEX(INDIRECT($C65&amp;".Outputs["&amp;this.Year&amp;"]"), MATCH(G$5, INDIRECT($C65&amp;".Outputs[Vector]"), 0)), 0)</f>
        <v>0</v>
      </c>
      <c r="H65" s="1604">
        <f t="shared" ca="1" si="170"/>
        <v>0</v>
      </c>
      <c r="I65" s="1604">
        <f t="shared" ca="1" si="170"/>
        <v>0</v>
      </c>
      <c r="J65" s="1604">
        <f t="shared" ca="1" si="170"/>
        <v>0</v>
      </c>
      <c r="K65" s="1605">
        <f t="shared" ca="1" si="170"/>
        <v>0</v>
      </c>
      <c r="L65" s="1604">
        <f t="shared" ca="1" si="170"/>
        <v>0</v>
      </c>
      <c r="M65" s="1604">
        <f t="shared" ca="1" si="170"/>
        <v>0</v>
      </c>
      <c r="N65" s="1604">
        <f t="shared" ca="1" si="170"/>
        <v>0</v>
      </c>
      <c r="O65" s="1604">
        <f t="shared" ca="1" si="170"/>
        <v>0</v>
      </c>
      <c r="P65" s="1604">
        <f t="shared" ca="1" si="170"/>
        <v>0</v>
      </c>
      <c r="Q65" s="963">
        <f ca="1">SUM(G65:P65)</f>
        <v>0</v>
      </c>
      <c r="S65" s="1606">
        <f t="shared" ref="S65:BE67" ca="1" si="171">IFERROR(INDEX(INDIRECT($C65&amp;".Outputs["&amp;this.Year&amp;"]"), MATCH(S$5, INDIRECT($C65&amp;".Outputs[Vector]"), 0)), 0)</f>
        <v>0</v>
      </c>
      <c r="T65" s="1606">
        <f t="shared" ca="1" si="171"/>
        <v>1.3604831999999999E-2</v>
      </c>
      <c r="U65" s="1606">
        <f t="shared" ca="1" si="171"/>
        <v>0</v>
      </c>
      <c r="V65" s="1606">
        <f t="shared" ca="1" si="171"/>
        <v>0</v>
      </c>
      <c r="W65" s="1606">
        <f t="shared" ca="1" si="171"/>
        <v>0</v>
      </c>
      <c r="X65" s="1606">
        <f t="shared" ref="X65:Z67" ca="1" si="172">IFERROR(INDEX(INDIRECT($C65&amp;".Outputs["&amp;this.Year&amp;"]"), MATCH(X$5, INDIRECT($C65&amp;".Outputs[Vector]"), 0)), 0)</f>
        <v>0</v>
      </c>
      <c r="Y65" s="1606">
        <f t="shared" ca="1" si="172"/>
        <v>0</v>
      </c>
      <c r="Z65" s="1606">
        <f t="shared" ca="1" si="172"/>
        <v>0</v>
      </c>
      <c r="AA65" s="1606">
        <f t="shared" ca="1" si="171"/>
        <v>0</v>
      </c>
      <c r="AB65" s="1606">
        <f t="shared" ca="1" si="171"/>
        <v>0</v>
      </c>
      <c r="AC65" s="1606">
        <f t="shared" ca="1" si="171"/>
        <v>0</v>
      </c>
      <c r="AD65" s="1606">
        <f t="shared" ca="1" si="171"/>
        <v>0</v>
      </c>
      <c r="AE65" s="1606">
        <f t="shared" ca="1" si="171"/>
        <v>0</v>
      </c>
      <c r="AF65" s="1606">
        <f t="shared" ca="1" si="171"/>
        <v>0</v>
      </c>
      <c r="AG65" s="1606">
        <f t="shared" ca="1" si="171"/>
        <v>0</v>
      </c>
      <c r="AH65" s="1606">
        <f t="shared" ca="1" si="171"/>
        <v>0</v>
      </c>
      <c r="AI65" s="1606">
        <f t="shared" ca="1" si="171"/>
        <v>0</v>
      </c>
      <c r="AJ65" s="1606">
        <f t="shared" ca="1" si="171"/>
        <v>0</v>
      </c>
      <c r="AK65" s="972">
        <f ca="1">SUM(S65:AJ65)</f>
        <v>1.3604831999999999E-2</v>
      </c>
      <c r="AM65" s="1607">
        <f t="shared" ref="AM65:AU67" ca="1" si="173">IFERROR(INDEX(INDIRECT($C65&amp;".Outputs["&amp;this.Year&amp;"]"), MATCH(AM$5, INDIRECT($C65&amp;".Outputs[Vector]"), 0)), 0)</f>
        <v>0</v>
      </c>
      <c r="AN65" s="1607">
        <f t="shared" ca="1" si="173"/>
        <v>0</v>
      </c>
      <c r="AO65" s="1607">
        <f t="shared" ca="1" si="173"/>
        <v>0</v>
      </c>
      <c r="AP65" s="1607">
        <f t="shared" ca="1" si="173"/>
        <v>0</v>
      </c>
      <c r="AQ65" s="1607">
        <f t="shared" ca="1" si="173"/>
        <v>0</v>
      </c>
      <c r="AR65" s="1607">
        <f t="shared" ca="1" si="173"/>
        <v>0</v>
      </c>
      <c r="AS65" s="1607">
        <f t="shared" ca="1" si="173"/>
        <v>0</v>
      </c>
      <c r="AT65" s="1607">
        <f t="shared" ca="1" si="173"/>
        <v>0</v>
      </c>
      <c r="AU65" s="1607">
        <f t="shared" ca="1" si="173"/>
        <v>0</v>
      </c>
      <c r="AV65" s="1607">
        <f t="shared" ca="1" si="171"/>
        <v>0</v>
      </c>
      <c r="AW65" s="1607">
        <f t="shared" ca="1" si="171"/>
        <v>-1.3604831999999999E-2</v>
      </c>
      <c r="AX65" s="1607">
        <f t="shared" ca="1" si="171"/>
        <v>0</v>
      </c>
      <c r="AY65" s="1607">
        <f t="shared" ca="1" si="171"/>
        <v>0</v>
      </c>
      <c r="AZ65" s="1607">
        <f t="shared" ca="1" si="171"/>
        <v>0</v>
      </c>
      <c r="BA65" s="1607">
        <f t="shared" ca="1" si="171"/>
        <v>0</v>
      </c>
      <c r="BB65" s="1607">
        <f t="shared" ca="1" si="171"/>
        <v>0</v>
      </c>
      <c r="BC65" s="1607">
        <f t="shared" ca="1" si="171"/>
        <v>0</v>
      </c>
      <c r="BD65" s="1607">
        <f t="shared" ca="1" si="171"/>
        <v>0</v>
      </c>
      <c r="BE65" s="1607">
        <f t="shared" ca="1" si="171"/>
        <v>0</v>
      </c>
      <c r="BF65" s="979">
        <f ca="1">SUM(AM65:BE65)</f>
        <v>-1.3604831999999999E-2</v>
      </c>
      <c r="BH65" s="1608">
        <f t="shared" ref="BH65:BI67" ca="1" si="174">IFERROR(INDEX(INDIRECT($C65&amp;".Outputs["&amp;this.Year&amp;"]"), MATCH(BH$5, INDIRECT($C65&amp;".Outputs[Vector]"), 0)), 0)</f>
        <v>0</v>
      </c>
      <c r="BI65" s="1608">
        <f t="shared" ca="1" si="174"/>
        <v>0</v>
      </c>
      <c r="BJ65" s="992">
        <f ca="1">SUM(BH65:BI65)</f>
        <v>0</v>
      </c>
      <c r="BL65" s="814">
        <f t="shared" ref="BL65:BL70" ca="1" si="175">Q65+AK65+BF65+BJ65</f>
        <v>0</v>
      </c>
      <c r="BM65" s="814"/>
      <c r="BO65" s="1602">
        <f t="shared" ref="BO65:DF67" ca="1" si="176">IFERROR(SUMIFS(INDIRECT($C65&amp;".Emissions["&amp;this.Year&amp;"]"), INDIRECT($C65&amp;".Emissions[GHG]"), BO$6, INDIRECT($C65&amp;".Emissions[IPCC Sector]"), BO$5),0)</f>
        <v>0</v>
      </c>
      <c r="BP65" s="1602">
        <f t="shared" ca="1" si="176"/>
        <v>0</v>
      </c>
      <c r="BQ65" s="1602">
        <f t="shared" ca="1" si="176"/>
        <v>0</v>
      </c>
      <c r="BR65" s="1602">
        <f t="shared" ca="1" si="176"/>
        <v>0</v>
      </c>
      <c r="BS65" s="1602">
        <f t="shared" ca="1" si="176"/>
        <v>0</v>
      </c>
      <c r="BT65" s="1602">
        <f t="shared" ca="1" si="176"/>
        <v>0</v>
      </c>
      <c r="BU65" s="1602">
        <f t="shared" ca="1" si="176"/>
        <v>0</v>
      </c>
      <c r="BV65" s="1602">
        <f t="shared" ca="1" si="176"/>
        <v>0</v>
      </c>
      <c r="BW65" s="1602">
        <f t="shared" ca="1" si="176"/>
        <v>0</v>
      </c>
      <c r="BX65" s="1602">
        <f t="shared" ca="1" si="176"/>
        <v>0</v>
      </c>
      <c r="BY65" s="1602">
        <f t="shared" ca="1" si="176"/>
        <v>0</v>
      </c>
      <c r="BZ65" s="1602">
        <f t="shared" ca="1" si="176"/>
        <v>0</v>
      </c>
      <c r="CA65" s="1602">
        <f t="shared" ca="1" si="176"/>
        <v>0</v>
      </c>
      <c r="CB65" s="1602">
        <f t="shared" ca="1" si="176"/>
        <v>0</v>
      </c>
      <c r="CC65" s="1602">
        <f t="shared" ca="1" si="176"/>
        <v>0</v>
      </c>
      <c r="CD65" s="1602">
        <f t="shared" ca="1" si="176"/>
        <v>0</v>
      </c>
      <c r="CE65" s="1602">
        <f t="shared" ca="1" si="176"/>
        <v>0</v>
      </c>
      <c r="CF65" s="1602">
        <f t="shared" ca="1" si="176"/>
        <v>0</v>
      </c>
      <c r="CG65" s="1602">
        <f t="shared" ca="1" si="176"/>
        <v>0</v>
      </c>
      <c r="CH65" s="1602">
        <f t="shared" ca="1" si="176"/>
        <v>0</v>
      </c>
      <c r="CI65" s="1602">
        <f t="shared" ca="1" si="176"/>
        <v>0</v>
      </c>
      <c r="CJ65" s="1602">
        <f t="shared" ca="1" si="176"/>
        <v>0</v>
      </c>
      <c r="CK65" s="1602">
        <f t="shared" ca="1" si="176"/>
        <v>0</v>
      </c>
      <c r="CL65" s="1602">
        <f t="shared" ca="1" si="176"/>
        <v>0</v>
      </c>
      <c r="CM65" s="1602">
        <f t="shared" ca="1" si="176"/>
        <v>0</v>
      </c>
      <c r="CN65" s="1602">
        <f t="shared" ca="1" si="176"/>
        <v>0</v>
      </c>
      <c r="CO65" s="1602">
        <f t="shared" ca="1" si="176"/>
        <v>0</v>
      </c>
      <c r="CP65" s="1602">
        <f t="shared" ca="1" si="176"/>
        <v>0</v>
      </c>
      <c r="CQ65" s="1602">
        <f t="shared" ca="1" si="176"/>
        <v>0</v>
      </c>
      <c r="CR65" s="1602">
        <f t="shared" ca="1" si="176"/>
        <v>0</v>
      </c>
      <c r="CS65" s="1602">
        <f t="shared" ca="1" si="176"/>
        <v>0</v>
      </c>
      <c r="CT65" s="1602">
        <f t="shared" ca="1" si="176"/>
        <v>0</v>
      </c>
      <c r="CU65" s="1602">
        <f t="shared" ca="1" si="176"/>
        <v>0</v>
      </c>
      <c r="CV65" s="1602">
        <f t="shared" ca="1" si="176"/>
        <v>0</v>
      </c>
      <c r="CW65" s="1602">
        <f t="shared" ca="1" si="176"/>
        <v>0</v>
      </c>
      <c r="CX65" s="1602">
        <f t="shared" ca="1" si="176"/>
        <v>0</v>
      </c>
      <c r="CY65" s="1602">
        <f t="shared" ca="1" si="176"/>
        <v>0</v>
      </c>
      <c r="CZ65" s="1602">
        <f t="shared" ca="1" si="176"/>
        <v>0</v>
      </c>
      <c r="DA65" s="1602">
        <f t="shared" ca="1" si="176"/>
        <v>0</v>
      </c>
      <c r="DB65" s="1602">
        <f t="shared" ca="1" si="176"/>
        <v>0</v>
      </c>
      <c r="DC65" s="1602">
        <f t="shared" ca="1" si="176"/>
        <v>0</v>
      </c>
      <c r="DD65" s="1602">
        <f t="shared" ca="1" si="176"/>
        <v>0</v>
      </c>
      <c r="DE65" s="1602">
        <f t="shared" ca="1" si="176"/>
        <v>0</v>
      </c>
      <c r="DF65" s="1602">
        <f t="shared" ca="1" si="176"/>
        <v>0</v>
      </c>
      <c r="DH65" s="1603">
        <f t="shared" ca="1" si="123"/>
        <v>0</v>
      </c>
    </row>
    <row r="66" spans="1:112" s="1484" customFormat="1" ht="12.75" hidden="1" customHeight="1" outlineLevel="1">
      <c r="C66" s="746" t="s">
        <v>1329</v>
      </c>
      <c r="D66" s="521" t="str">
        <f>INDEX(Modules[Module], MATCH($C66, Modules[Code], 0))</f>
        <v>Distributed solar thermal</v>
      </c>
      <c r="E66" s="521"/>
      <c r="G66" s="1604">
        <f t="shared" ca="1" si="170"/>
        <v>0</v>
      </c>
      <c r="H66" s="1604">
        <f t="shared" ca="1" si="170"/>
        <v>0</v>
      </c>
      <c r="I66" s="1604">
        <f t="shared" ca="1" si="170"/>
        <v>0</v>
      </c>
      <c r="J66" s="1604">
        <f t="shared" ca="1" si="170"/>
        <v>0</v>
      </c>
      <c r="K66" s="1605">
        <f t="shared" ca="1" si="170"/>
        <v>0</v>
      </c>
      <c r="L66" s="1604">
        <f t="shared" ca="1" si="170"/>
        <v>0</v>
      </c>
      <c r="M66" s="1604">
        <f t="shared" ca="1" si="170"/>
        <v>0</v>
      </c>
      <c r="N66" s="1604">
        <f t="shared" ca="1" si="170"/>
        <v>0</v>
      </c>
      <c r="O66" s="1604">
        <f t="shared" ca="1" si="170"/>
        <v>0</v>
      </c>
      <c r="P66" s="1604">
        <f t="shared" ca="1" si="170"/>
        <v>0</v>
      </c>
      <c r="Q66" s="963">
        <f ca="1">SUM(G66:P66)</f>
        <v>0</v>
      </c>
      <c r="S66" s="1606">
        <f t="shared" ca="1" si="171"/>
        <v>0</v>
      </c>
      <c r="T66" s="1606">
        <f t="shared" ca="1" si="171"/>
        <v>0</v>
      </c>
      <c r="U66" s="1606">
        <f t="shared" ca="1" si="171"/>
        <v>0</v>
      </c>
      <c r="V66" s="1606">
        <f t="shared" ca="1" si="171"/>
        <v>0</v>
      </c>
      <c r="W66" s="1606">
        <f t="shared" ca="1" si="171"/>
        <v>0</v>
      </c>
      <c r="X66" s="1606">
        <f t="shared" ca="1" si="172"/>
        <v>0</v>
      </c>
      <c r="Y66" s="1606">
        <f t="shared" ca="1" si="172"/>
        <v>0</v>
      </c>
      <c r="Z66" s="1606">
        <f t="shared" ca="1" si="172"/>
        <v>0</v>
      </c>
      <c r="AA66" s="1606">
        <f t="shared" ca="1" si="171"/>
        <v>0</v>
      </c>
      <c r="AB66" s="1606">
        <f t="shared" ca="1" si="171"/>
        <v>0</v>
      </c>
      <c r="AC66" s="1606">
        <f t="shared" ca="1" si="171"/>
        <v>0</v>
      </c>
      <c r="AD66" s="1606">
        <f t="shared" ca="1" si="171"/>
        <v>0</v>
      </c>
      <c r="AE66" s="1606">
        <f t="shared" ca="1" si="171"/>
        <v>0</v>
      </c>
      <c r="AF66" s="1606">
        <f t="shared" ca="1" si="171"/>
        <v>0</v>
      </c>
      <c r="AG66" s="1606">
        <f t="shared" ca="1" si="171"/>
        <v>0</v>
      </c>
      <c r="AH66" s="1606">
        <f t="shared" ca="1" si="171"/>
        <v>0</v>
      </c>
      <c r="AI66" s="1606">
        <f t="shared" ca="1" si="171"/>
        <v>0</v>
      </c>
      <c r="AJ66" s="1606">
        <f t="shared" ca="1" si="171"/>
        <v>0</v>
      </c>
      <c r="AK66" s="972">
        <f ca="1">SUM(S66:AJ66)</f>
        <v>0</v>
      </c>
      <c r="AM66" s="1607">
        <f t="shared" ca="1" si="173"/>
        <v>0</v>
      </c>
      <c r="AN66" s="1607">
        <f t="shared" ca="1" si="173"/>
        <v>0</v>
      </c>
      <c r="AO66" s="1607">
        <f t="shared" ca="1" si="173"/>
        <v>0</v>
      </c>
      <c r="AP66" s="1607">
        <f t="shared" ca="1" si="173"/>
        <v>0</v>
      </c>
      <c r="AQ66" s="1607">
        <f t="shared" ca="1" si="173"/>
        <v>0</v>
      </c>
      <c r="AR66" s="1607">
        <f t="shared" ca="1" si="173"/>
        <v>0</v>
      </c>
      <c r="AS66" s="1607">
        <f t="shared" ca="1" si="173"/>
        <v>0</v>
      </c>
      <c r="AT66" s="1607">
        <f t="shared" ca="1" si="173"/>
        <v>0</v>
      </c>
      <c r="AU66" s="1607">
        <f t="shared" ca="1" si="173"/>
        <v>0</v>
      </c>
      <c r="AV66" s="1607">
        <f t="shared" ca="1" si="171"/>
        <v>0</v>
      </c>
      <c r="AW66" s="1607">
        <f t="shared" ca="1" si="171"/>
        <v>0</v>
      </c>
      <c r="AX66" s="1607">
        <f t="shared" ca="1" si="171"/>
        <v>0</v>
      </c>
      <c r="AY66" s="1607">
        <f t="shared" ca="1" si="171"/>
        <v>0</v>
      </c>
      <c r="AZ66" s="1607">
        <f t="shared" ca="1" si="171"/>
        <v>0</v>
      </c>
      <c r="BA66" s="1607">
        <f t="shared" ca="1" si="171"/>
        <v>0</v>
      </c>
      <c r="BB66" s="1607">
        <f t="shared" ca="1" si="171"/>
        <v>0</v>
      </c>
      <c r="BC66" s="1607">
        <f t="shared" ca="1" si="171"/>
        <v>0</v>
      </c>
      <c r="BD66" s="1607">
        <f t="shared" ca="1" si="171"/>
        <v>0</v>
      </c>
      <c r="BE66" s="1607">
        <f t="shared" ca="1" si="171"/>
        <v>0</v>
      </c>
      <c r="BF66" s="979">
        <f ca="1">SUM(AM66:BE66)</f>
        <v>0</v>
      </c>
      <c r="BH66" s="1608">
        <f t="shared" ca="1" si="174"/>
        <v>0</v>
      </c>
      <c r="BI66" s="1608">
        <f t="shared" ca="1" si="174"/>
        <v>0</v>
      </c>
      <c r="BJ66" s="992">
        <f ca="1">SUM(BH66:BI66)</f>
        <v>0</v>
      </c>
      <c r="BL66" s="814">
        <f t="shared" ca="1" si="175"/>
        <v>0</v>
      </c>
      <c r="BM66" s="814"/>
      <c r="BO66" s="1602">
        <f t="shared" ca="1" si="176"/>
        <v>0</v>
      </c>
      <c r="BP66" s="1602">
        <f t="shared" ca="1" si="176"/>
        <v>0</v>
      </c>
      <c r="BQ66" s="1602">
        <f t="shared" ca="1" si="176"/>
        <v>0</v>
      </c>
      <c r="BR66" s="1602">
        <f t="shared" ca="1" si="176"/>
        <v>0</v>
      </c>
      <c r="BS66" s="1602">
        <f t="shared" ca="1" si="176"/>
        <v>0</v>
      </c>
      <c r="BT66" s="1602">
        <f t="shared" ca="1" si="176"/>
        <v>0</v>
      </c>
      <c r="BU66" s="1602">
        <f t="shared" ca="1" si="176"/>
        <v>0</v>
      </c>
      <c r="BV66" s="1602">
        <f t="shared" ca="1" si="176"/>
        <v>0</v>
      </c>
      <c r="BW66" s="1602">
        <f t="shared" ca="1" si="176"/>
        <v>0</v>
      </c>
      <c r="BX66" s="1602">
        <f t="shared" ca="1" si="176"/>
        <v>0</v>
      </c>
      <c r="BY66" s="1602">
        <f t="shared" ca="1" si="176"/>
        <v>0</v>
      </c>
      <c r="BZ66" s="1602">
        <f t="shared" ca="1" si="176"/>
        <v>0</v>
      </c>
      <c r="CA66" s="1602">
        <f t="shared" ca="1" si="176"/>
        <v>0</v>
      </c>
      <c r="CB66" s="1602">
        <f t="shared" ca="1" si="176"/>
        <v>0</v>
      </c>
      <c r="CC66" s="1602">
        <f t="shared" ca="1" si="176"/>
        <v>0</v>
      </c>
      <c r="CD66" s="1602">
        <f t="shared" ca="1" si="176"/>
        <v>0</v>
      </c>
      <c r="CE66" s="1602">
        <f t="shared" ca="1" si="176"/>
        <v>0</v>
      </c>
      <c r="CF66" s="1602">
        <f t="shared" ca="1" si="176"/>
        <v>0</v>
      </c>
      <c r="CG66" s="1602">
        <f t="shared" ca="1" si="176"/>
        <v>0</v>
      </c>
      <c r="CH66" s="1602">
        <f t="shared" ca="1" si="176"/>
        <v>0</v>
      </c>
      <c r="CI66" s="1602">
        <f t="shared" ca="1" si="176"/>
        <v>0</v>
      </c>
      <c r="CJ66" s="1602">
        <f t="shared" ca="1" si="176"/>
        <v>0</v>
      </c>
      <c r="CK66" s="1602">
        <f t="shared" ca="1" si="176"/>
        <v>0</v>
      </c>
      <c r="CL66" s="1602">
        <f t="shared" ca="1" si="176"/>
        <v>0</v>
      </c>
      <c r="CM66" s="1602">
        <f t="shared" ca="1" si="176"/>
        <v>0</v>
      </c>
      <c r="CN66" s="1602">
        <f t="shared" ca="1" si="176"/>
        <v>0</v>
      </c>
      <c r="CO66" s="1602">
        <f t="shared" ca="1" si="176"/>
        <v>0</v>
      </c>
      <c r="CP66" s="1602">
        <f t="shared" ca="1" si="176"/>
        <v>0</v>
      </c>
      <c r="CQ66" s="1602">
        <f t="shared" ca="1" si="176"/>
        <v>0</v>
      </c>
      <c r="CR66" s="1602">
        <f t="shared" ca="1" si="176"/>
        <v>0</v>
      </c>
      <c r="CS66" s="1602">
        <f t="shared" ca="1" si="176"/>
        <v>0</v>
      </c>
      <c r="CT66" s="1602">
        <f t="shared" ca="1" si="176"/>
        <v>0</v>
      </c>
      <c r="CU66" s="1602">
        <f t="shared" ca="1" si="176"/>
        <v>0</v>
      </c>
      <c r="CV66" s="1602">
        <f t="shared" ca="1" si="176"/>
        <v>0</v>
      </c>
      <c r="CW66" s="1602">
        <f t="shared" ca="1" si="176"/>
        <v>0</v>
      </c>
      <c r="CX66" s="1602">
        <f t="shared" ca="1" si="176"/>
        <v>0</v>
      </c>
      <c r="CY66" s="1602">
        <f t="shared" ca="1" si="176"/>
        <v>0</v>
      </c>
      <c r="CZ66" s="1602">
        <f t="shared" ca="1" si="176"/>
        <v>0</v>
      </c>
      <c r="DA66" s="1602">
        <f t="shared" ca="1" si="176"/>
        <v>0</v>
      </c>
      <c r="DB66" s="1602">
        <f t="shared" ca="1" si="176"/>
        <v>0</v>
      </c>
      <c r="DC66" s="1602">
        <f t="shared" ca="1" si="176"/>
        <v>0</v>
      </c>
      <c r="DD66" s="1602">
        <f t="shared" ca="1" si="176"/>
        <v>0</v>
      </c>
      <c r="DE66" s="1602">
        <f t="shared" ca="1" si="176"/>
        <v>0</v>
      </c>
      <c r="DF66" s="1602">
        <f t="shared" ca="1" si="176"/>
        <v>0</v>
      </c>
      <c r="DH66" s="1603">
        <f t="shared" ca="1" si="123"/>
        <v>0</v>
      </c>
    </row>
    <row r="67" spans="1:112" s="1484" customFormat="1" ht="12.75" hidden="1" customHeight="1" outlineLevel="1">
      <c r="C67" s="746" t="s">
        <v>1597</v>
      </c>
      <c r="D67" s="1010" t="str">
        <f>INDEX(Modules[Module], MATCH($C67, Modules[Code], 0))</f>
        <v>Micro wind</v>
      </c>
      <c r="E67" s="1010"/>
      <c r="F67" s="743"/>
      <c r="G67" s="1022">
        <f t="shared" ca="1" si="170"/>
        <v>0</v>
      </c>
      <c r="H67" s="1022">
        <f t="shared" ca="1" si="170"/>
        <v>0</v>
      </c>
      <c r="I67" s="1022">
        <f t="shared" ca="1" si="170"/>
        <v>0</v>
      </c>
      <c r="J67" s="1022">
        <f t="shared" ca="1" si="170"/>
        <v>0</v>
      </c>
      <c r="K67" s="1022">
        <f t="shared" ca="1" si="170"/>
        <v>0</v>
      </c>
      <c r="L67" s="1022">
        <f t="shared" ca="1" si="170"/>
        <v>0</v>
      </c>
      <c r="M67" s="1022">
        <f t="shared" ca="1" si="170"/>
        <v>0</v>
      </c>
      <c r="N67" s="1022">
        <f t="shared" ca="1" si="170"/>
        <v>0</v>
      </c>
      <c r="O67" s="1022">
        <f t="shared" ca="1" si="170"/>
        <v>0</v>
      </c>
      <c r="P67" s="1022">
        <f t="shared" ca="1" si="170"/>
        <v>0</v>
      </c>
      <c r="Q67" s="1020">
        <f ca="1">SUM(G67:P67)</f>
        <v>0</v>
      </c>
      <c r="R67" s="743"/>
      <c r="S67" s="1031">
        <f t="shared" ca="1" si="171"/>
        <v>0</v>
      </c>
      <c r="T67" s="1031">
        <f t="shared" ca="1" si="171"/>
        <v>0</v>
      </c>
      <c r="U67" s="1031">
        <f t="shared" ca="1" si="171"/>
        <v>0</v>
      </c>
      <c r="V67" s="1031">
        <f t="shared" ca="1" si="171"/>
        <v>0</v>
      </c>
      <c r="W67" s="1031">
        <f t="shared" ca="1" si="171"/>
        <v>0</v>
      </c>
      <c r="X67" s="1031">
        <f t="shared" ca="1" si="172"/>
        <v>0</v>
      </c>
      <c r="Y67" s="1031">
        <f t="shared" ca="1" si="172"/>
        <v>0</v>
      </c>
      <c r="Z67" s="1031">
        <f t="shared" ca="1" si="172"/>
        <v>0</v>
      </c>
      <c r="AA67" s="1031">
        <f t="shared" ca="1" si="171"/>
        <v>0</v>
      </c>
      <c r="AB67" s="1031">
        <f t="shared" ca="1" si="171"/>
        <v>0</v>
      </c>
      <c r="AC67" s="1031">
        <f t="shared" ca="1" si="171"/>
        <v>0</v>
      </c>
      <c r="AD67" s="1031">
        <f t="shared" ca="1" si="171"/>
        <v>0</v>
      </c>
      <c r="AE67" s="1031">
        <f t="shared" ca="1" si="171"/>
        <v>0</v>
      </c>
      <c r="AF67" s="1031">
        <f t="shared" ca="1" si="171"/>
        <v>0</v>
      </c>
      <c r="AG67" s="1031">
        <f t="shared" ca="1" si="171"/>
        <v>0</v>
      </c>
      <c r="AH67" s="1031">
        <f t="shared" ca="1" si="171"/>
        <v>0</v>
      </c>
      <c r="AI67" s="1031">
        <f t="shared" ca="1" si="171"/>
        <v>0</v>
      </c>
      <c r="AJ67" s="1031">
        <f t="shared" ca="1" si="171"/>
        <v>0</v>
      </c>
      <c r="AK67" s="1030">
        <f ca="1">SUM(S67:AJ67)</f>
        <v>0</v>
      </c>
      <c r="AL67" s="743"/>
      <c r="AM67" s="1042">
        <f t="shared" ca="1" si="173"/>
        <v>0</v>
      </c>
      <c r="AN67" s="1042">
        <f t="shared" ca="1" si="173"/>
        <v>0</v>
      </c>
      <c r="AO67" s="1042">
        <f t="shared" ca="1" si="173"/>
        <v>0</v>
      </c>
      <c r="AP67" s="1042">
        <f t="shared" ca="1" si="173"/>
        <v>0</v>
      </c>
      <c r="AQ67" s="1042">
        <f t="shared" ca="1" si="173"/>
        <v>0</v>
      </c>
      <c r="AR67" s="1042">
        <f t="shared" ca="1" si="173"/>
        <v>0</v>
      </c>
      <c r="AS67" s="1042">
        <f t="shared" ca="1" si="173"/>
        <v>0</v>
      </c>
      <c r="AT67" s="1042">
        <f t="shared" ca="1" si="173"/>
        <v>0</v>
      </c>
      <c r="AU67" s="1042">
        <f t="shared" ca="1" si="173"/>
        <v>0</v>
      </c>
      <c r="AV67" s="1042">
        <f t="shared" ca="1" si="171"/>
        <v>0</v>
      </c>
      <c r="AW67" s="1042">
        <f t="shared" ca="1" si="171"/>
        <v>0</v>
      </c>
      <c r="AX67" s="1042">
        <f t="shared" ca="1" si="171"/>
        <v>0</v>
      </c>
      <c r="AY67" s="1042">
        <f t="shared" ca="1" si="171"/>
        <v>0</v>
      </c>
      <c r="AZ67" s="1042">
        <f t="shared" ca="1" si="171"/>
        <v>0</v>
      </c>
      <c r="BA67" s="1042">
        <f t="shared" ca="1" si="171"/>
        <v>0</v>
      </c>
      <c r="BB67" s="1042">
        <f t="shared" ca="1" si="171"/>
        <v>0</v>
      </c>
      <c r="BC67" s="1042">
        <f t="shared" ca="1" si="171"/>
        <v>0</v>
      </c>
      <c r="BD67" s="1042">
        <f t="shared" ca="1" si="171"/>
        <v>0</v>
      </c>
      <c r="BE67" s="1042">
        <f t="shared" ca="1" si="171"/>
        <v>0</v>
      </c>
      <c r="BF67" s="1012">
        <f ca="1">SUM(AM67:BE67)</f>
        <v>0</v>
      </c>
      <c r="BG67" s="743"/>
      <c r="BH67" s="1036">
        <f t="shared" ca="1" si="174"/>
        <v>0</v>
      </c>
      <c r="BI67" s="1036">
        <f t="shared" ca="1" si="174"/>
        <v>0</v>
      </c>
      <c r="BJ67" s="1035">
        <f ca="1">SUM(BH67:BI67)</f>
        <v>0</v>
      </c>
      <c r="BK67" s="743"/>
      <c r="BL67" s="814">
        <f t="shared" ca="1" si="175"/>
        <v>0</v>
      </c>
      <c r="BM67" s="814"/>
      <c r="BN67" s="840"/>
      <c r="BO67" s="1485">
        <f t="shared" ca="1" si="176"/>
        <v>0</v>
      </c>
      <c r="BP67" s="1486">
        <f t="shared" ca="1" si="176"/>
        <v>0</v>
      </c>
      <c r="BQ67" s="1486">
        <f t="shared" ca="1" si="176"/>
        <v>0</v>
      </c>
      <c r="BR67" s="1486">
        <f t="shared" ca="1" si="176"/>
        <v>0</v>
      </c>
      <c r="BS67" s="1486">
        <f t="shared" ca="1" si="176"/>
        <v>0</v>
      </c>
      <c r="BT67" s="1486">
        <f t="shared" ca="1" si="176"/>
        <v>0</v>
      </c>
      <c r="BU67" s="1486">
        <f t="shared" ca="1" si="176"/>
        <v>0</v>
      </c>
      <c r="BV67" s="1486">
        <f t="shared" ca="1" si="176"/>
        <v>0</v>
      </c>
      <c r="BW67" s="1486">
        <f t="shared" ca="1" si="176"/>
        <v>0</v>
      </c>
      <c r="BX67" s="1486">
        <f t="shared" ca="1" si="176"/>
        <v>0</v>
      </c>
      <c r="BY67" s="1486">
        <f t="shared" ca="1" si="176"/>
        <v>0</v>
      </c>
      <c r="BZ67" s="1486">
        <f t="shared" ca="1" si="176"/>
        <v>0</v>
      </c>
      <c r="CA67" s="1486">
        <f t="shared" ca="1" si="176"/>
        <v>0</v>
      </c>
      <c r="CB67" s="1486">
        <f t="shared" ca="1" si="176"/>
        <v>0</v>
      </c>
      <c r="CC67" s="1486">
        <f t="shared" ca="1" si="176"/>
        <v>0</v>
      </c>
      <c r="CD67" s="1486">
        <f t="shared" ca="1" si="176"/>
        <v>0</v>
      </c>
      <c r="CE67" s="1486">
        <f t="shared" ca="1" si="176"/>
        <v>0</v>
      </c>
      <c r="CF67" s="1486">
        <f t="shared" ca="1" si="176"/>
        <v>0</v>
      </c>
      <c r="CG67" s="1486">
        <f t="shared" ca="1" si="176"/>
        <v>0</v>
      </c>
      <c r="CH67" s="1486">
        <f t="shared" ca="1" si="176"/>
        <v>0</v>
      </c>
      <c r="CI67" s="1486">
        <f t="shared" ca="1" si="176"/>
        <v>0</v>
      </c>
      <c r="CJ67" s="1486">
        <f t="shared" ca="1" si="176"/>
        <v>0</v>
      </c>
      <c r="CK67" s="1486">
        <f t="shared" ca="1" si="176"/>
        <v>0</v>
      </c>
      <c r="CL67" s="1486">
        <f t="shared" ca="1" si="176"/>
        <v>0</v>
      </c>
      <c r="CM67" s="1486">
        <f t="shared" ca="1" si="176"/>
        <v>0</v>
      </c>
      <c r="CN67" s="1486">
        <f t="shared" ca="1" si="176"/>
        <v>0</v>
      </c>
      <c r="CO67" s="1486">
        <f t="shared" ca="1" si="176"/>
        <v>0</v>
      </c>
      <c r="CP67" s="1486">
        <f t="shared" ca="1" si="176"/>
        <v>0</v>
      </c>
      <c r="CQ67" s="1486">
        <f t="shared" ca="1" si="176"/>
        <v>0</v>
      </c>
      <c r="CR67" s="1486">
        <f t="shared" ca="1" si="176"/>
        <v>0</v>
      </c>
      <c r="CS67" s="1486">
        <f t="shared" ca="1" si="176"/>
        <v>0</v>
      </c>
      <c r="CT67" s="1486">
        <f t="shared" ca="1" si="176"/>
        <v>0</v>
      </c>
      <c r="CU67" s="1486">
        <f t="shared" ca="1" si="176"/>
        <v>0</v>
      </c>
      <c r="CV67" s="1486">
        <f t="shared" ca="1" si="176"/>
        <v>0</v>
      </c>
      <c r="CW67" s="1486">
        <f t="shared" ca="1" si="176"/>
        <v>0</v>
      </c>
      <c r="CX67" s="1486">
        <f t="shared" ca="1" si="176"/>
        <v>0</v>
      </c>
      <c r="CY67" s="1486">
        <f t="shared" ca="1" si="176"/>
        <v>0</v>
      </c>
      <c r="CZ67" s="1486">
        <f t="shared" ca="1" si="176"/>
        <v>0</v>
      </c>
      <c r="DA67" s="1486">
        <f t="shared" ca="1" si="176"/>
        <v>0</v>
      </c>
      <c r="DB67" s="1486">
        <f t="shared" ca="1" si="176"/>
        <v>0</v>
      </c>
      <c r="DC67" s="1486">
        <f t="shared" ca="1" si="176"/>
        <v>0</v>
      </c>
      <c r="DD67" s="1486">
        <f t="shared" ca="1" si="176"/>
        <v>0</v>
      </c>
      <c r="DE67" s="1486">
        <f t="shared" ca="1" si="176"/>
        <v>0</v>
      </c>
      <c r="DF67" s="1486">
        <f t="shared" ca="1" si="176"/>
        <v>0</v>
      </c>
      <c r="DH67" s="838">
        <f t="shared" ca="1" si="123"/>
        <v>0</v>
      </c>
    </row>
    <row r="68" spans="1:112" s="743" customFormat="1" ht="15.75" collapsed="1">
      <c r="A68" s="22"/>
      <c r="B68" s="753"/>
      <c r="C68" s="744" t="s">
        <v>77</v>
      </c>
      <c r="D68" s="517" t="str">
        <f>INDEX(Workstreams[Workstream], MATCH($C68, Workstreams[Code], 0))</f>
        <v>Distributed renewable power generation</v>
      </c>
      <c r="E68" s="512"/>
      <c r="G68" s="1021">
        <f ca="1">SUM(G65:G67)</f>
        <v>0</v>
      </c>
      <c r="H68" s="1021">
        <f t="shared" ref="H68:P68" ca="1" si="177">SUM(H65:H67)</f>
        <v>0</v>
      </c>
      <c r="I68" s="1021">
        <f t="shared" ca="1" si="177"/>
        <v>0</v>
      </c>
      <c r="J68" s="1021">
        <f t="shared" ca="1" si="177"/>
        <v>0</v>
      </c>
      <c r="K68" s="1021">
        <f t="shared" ca="1" si="177"/>
        <v>0</v>
      </c>
      <c r="L68" s="1021">
        <f t="shared" ca="1" si="177"/>
        <v>0</v>
      </c>
      <c r="M68" s="1021">
        <f t="shared" ca="1" si="177"/>
        <v>0</v>
      </c>
      <c r="N68" s="1021">
        <f t="shared" ca="1" si="177"/>
        <v>0</v>
      </c>
      <c r="O68" s="1021">
        <f t="shared" ca="1" si="177"/>
        <v>0</v>
      </c>
      <c r="P68" s="1021">
        <f t="shared" ca="1" si="177"/>
        <v>0</v>
      </c>
      <c r="Q68" s="1021">
        <f ca="1">SUM(G68:P68)</f>
        <v>0</v>
      </c>
      <c r="S68" s="970">
        <f t="shared" ref="S68:AJ68" ca="1" si="178">SUM(S65:S67)</f>
        <v>0</v>
      </c>
      <c r="T68" s="970">
        <f t="shared" ca="1" si="178"/>
        <v>1.3604831999999999E-2</v>
      </c>
      <c r="U68" s="970">
        <f t="shared" ca="1" si="178"/>
        <v>0</v>
      </c>
      <c r="V68" s="970">
        <f t="shared" ca="1" si="178"/>
        <v>0</v>
      </c>
      <c r="W68" s="970">
        <f t="shared" ca="1" si="178"/>
        <v>0</v>
      </c>
      <c r="X68" s="970">
        <f t="shared" ca="1" si="178"/>
        <v>0</v>
      </c>
      <c r="Y68" s="970">
        <f t="shared" ca="1" si="178"/>
        <v>0</v>
      </c>
      <c r="Z68" s="970">
        <f t="shared" ca="1" si="178"/>
        <v>0</v>
      </c>
      <c r="AA68" s="970">
        <f t="shared" ca="1" si="178"/>
        <v>0</v>
      </c>
      <c r="AB68" s="970">
        <f t="shared" ca="1" si="178"/>
        <v>0</v>
      </c>
      <c r="AC68" s="970">
        <f t="shared" ca="1" si="178"/>
        <v>0</v>
      </c>
      <c r="AD68" s="970">
        <f t="shared" ca="1" si="178"/>
        <v>0</v>
      </c>
      <c r="AE68" s="970">
        <f ca="1">SUM(AE65:AE67)</f>
        <v>0</v>
      </c>
      <c r="AF68" s="970">
        <f t="shared" ca="1" si="178"/>
        <v>0</v>
      </c>
      <c r="AG68" s="970">
        <f t="shared" ca="1" si="178"/>
        <v>0</v>
      </c>
      <c r="AH68" s="970">
        <f ca="1">SUM(AH65:AH67)</f>
        <v>0</v>
      </c>
      <c r="AI68" s="970">
        <f t="shared" ca="1" si="178"/>
        <v>0</v>
      </c>
      <c r="AJ68" s="970">
        <f t="shared" ca="1" si="178"/>
        <v>0</v>
      </c>
      <c r="AK68" s="970">
        <f ca="1">SUM(S68:AJ68)</f>
        <v>1.3604831999999999E-2</v>
      </c>
      <c r="AM68" s="976">
        <f t="shared" ref="AM68:BE68" ca="1" si="179">SUM(AM65:AM67)</f>
        <v>0</v>
      </c>
      <c r="AN68" s="976">
        <f t="shared" ca="1" si="179"/>
        <v>0</v>
      </c>
      <c r="AO68" s="976">
        <f t="shared" ca="1" si="179"/>
        <v>0</v>
      </c>
      <c r="AP68" s="976">
        <f t="shared" ca="1" si="179"/>
        <v>0</v>
      </c>
      <c r="AQ68" s="976">
        <f t="shared" ca="1" si="179"/>
        <v>0</v>
      </c>
      <c r="AR68" s="976">
        <f t="shared" ca="1" si="179"/>
        <v>0</v>
      </c>
      <c r="AS68" s="976">
        <f t="shared" ca="1" si="179"/>
        <v>0</v>
      </c>
      <c r="AT68" s="976">
        <f t="shared" ca="1" si="179"/>
        <v>0</v>
      </c>
      <c r="AU68" s="976">
        <f t="shared" ca="1" si="179"/>
        <v>0</v>
      </c>
      <c r="AV68" s="976">
        <f t="shared" ca="1" si="179"/>
        <v>0</v>
      </c>
      <c r="AW68" s="976">
        <f t="shared" ca="1" si="179"/>
        <v>-1.3604831999999999E-2</v>
      </c>
      <c r="AX68" s="976">
        <f t="shared" ca="1" si="179"/>
        <v>0</v>
      </c>
      <c r="AY68" s="976">
        <f t="shared" ca="1" si="179"/>
        <v>0</v>
      </c>
      <c r="AZ68" s="976">
        <f t="shared" ca="1" si="179"/>
        <v>0</v>
      </c>
      <c r="BA68" s="976">
        <f t="shared" ca="1" si="179"/>
        <v>0</v>
      </c>
      <c r="BB68" s="976">
        <f t="shared" ca="1" si="179"/>
        <v>0</v>
      </c>
      <c r="BC68" s="976">
        <f t="shared" ca="1" si="179"/>
        <v>0</v>
      </c>
      <c r="BD68" s="976">
        <f t="shared" ca="1" si="179"/>
        <v>0</v>
      </c>
      <c r="BE68" s="976">
        <f t="shared" ca="1" si="179"/>
        <v>0</v>
      </c>
      <c r="BF68" s="976">
        <f ca="1">SUM(AM68:BE68)</f>
        <v>-1.3604831999999999E-2</v>
      </c>
      <c r="BH68" s="990">
        <f ca="1">SUM(BH65:BH67)</f>
        <v>0</v>
      </c>
      <c r="BI68" s="990">
        <f ca="1">SUM(BI65:BI67)</f>
        <v>0</v>
      </c>
      <c r="BJ68" s="990">
        <f ca="1">SUM(BH68:BI68)</f>
        <v>0</v>
      </c>
      <c r="BL68" s="515">
        <f t="shared" ca="1" si="175"/>
        <v>0</v>
      </c>
      <c r="BM68" s="515"/>
      <c r="BN68" s="840"/>
      <c r="BO68" s="1482">
        <f ca="1">SUM(BO65:BO67)</f>
        <v>0</v>
      </c>
      <c r="BP68" s="1482">
        <f t="shared" ref="BP68:DF68" ca="1" si="180">SUM(BP65:BP67)</f>
        <v>0</v>
      </c>
      <c r="BQ68" s="1482">
        <f t="shared" ca="1" si="180"/>
        <v>0</v>
      </c>
      <c r="BR68" s="1482">
        <f t="shared" ca="1" si="180"/>
        <v>0</v>
      </c>
      <c r="BS68" s="1482">
        <f t="shared" ca="1" si="180"/>
        <v>0</v>
      </c>
      <c r="BT68" s="1482">
        <f t="shared" ca="1" si="180"/>
        <v>0</v>
      </c>
      <c r="BU68" s="1482">
        <f t="shared" ca="1" si="180"/>
        <v>0</v>
      </c>
      <c r="BV68" s="1482">
        <f t="shared" ca="1" si="180"/>
        <v>0</v>
      </c>
      <c r="BW68" s="1482">
        <f t="shared" ca="1" si="180"/>
        <v>0</v>
      </c>
      <c r="BX68" s="1482">
        <f t="shared" ca="1" si="180"/>
        <v>0</v>
      </c>
      <c r="BY68" s="1482">
        <f t="shared" ca="1" si="180"/>
        <v>0</v>
      </c>
      <c r="BZ68" s="1482">
        <f t="shared" ca="1" si="180"/>
        <v>0</v>
      </c>
      <c r="CA68" s="1482">
        <f t="shared" ca="1" si="180"/>
        <v>0</v>
      </c>
      <c r="CB68" s="1482">
        <f t="shared" ca="1" si="180"/>
        <v>0</v>
      </c>
      <c r="CC68" s="1482">
        <f t="shared" ca="1" si="180"/>
        <v>0</v>
      </c>
      <c r="CD68" s="1482">
        <f t="shared" ca="1" si="180"/>
        <v>0</v>
      </c>
      <c r="CE68" s="1482">
        <f t="shared" ca="1" si="180"/>
        <v>0</v>
      </c>
      <c r="CF68" s="1482">
        <f t="shared" ca="1" si="180"/>
        <v>0</v>
      </c>
      <c r="CG68" s="1482">
        <f t="shared" ca="1" si="180"/>
        <v>0</v>
      </c>
      <c r="CH68" s="1482">
        <f t="shared" ca="1" si="180"/>
        <v>0</v>
      </c>
      <c r="CI68" s="1482">
        <f t="shared" ca="1" si="180"/>
        <v>0</v>
      </c>
      <c r="CJ68" s="1482">
        <f t="shared" ca="1" si="180"/>
        <v>0</v>
      </c>
      <c r="CK68" s="1482">
        <f t="shared" ca="1" si="180"/>
        <v>0</v>
      </c>
      <c r="CL68" s="1482">
        <f t="shared" ca="1" si="180"/>
        <v>0</v>
      </c>
      <c r="CM68" s="1482">
        <f t="shared" ca="1" si="180"/>
        <v>0</v>
      </c>
      <c r="CN68" s="1482">
        <f t="shared" ca="1" si="180"/>
        <v>0</v>
      </c>
      <c r="CO68" s="1482">
        <f t="shared" ca="1" si="180"/>
        <v>0</v>
      </c>
      <c r="CP68" s="1482">
        <f t="shared" ca="1" si="180"/>
        <v>0</v>
      </c>
      <c r="CQ68" s="1482">
        <f t="shared" ca="1" si="180"/>
        <v>0</v>
      </c>
      <c r="CR68" s="1482">
        <f t="shared" ca="1" si="180"/>
        <v>0</v>
      </c>
      <c r="CS68" s="1482">
        <f t="shared" ca="1" si="180"/>
        <v>0</v>
      </c>
      <c r="CT68" s="1482">
        <f t="shared" ca="1" si="180"/>
        <v>0</v>
      </c>
      <c r="CU68" s="1482">
        <f t="shared" ca="1" si="180"/>
        <v>0</v>
      </c>
      <c r="CV68" s="1482">
        <f t="shared" ca="1" si="180"/>
        <v>0</v>
      </c>
      <c r="CW68" s="1482">
        <f t="shared" ca="1" si="180"/>
        <v>0</v>
      </c>
      <c r="CX68" s="1482">
        <f t="shared" ca="1" si="180"/>
        <v>0</v>
      </c>
      <c r="CY68" s="1482">
        <f t="shared" ca="1" si="180"/>
        <v>0</v>
      </c>
      <c r="CZ68" s="1482">
        <f t="shared" ca="1" si="180"/>
        <v>0</v>
      </c>
      <c r="DA68" s="1482">
        <f t="shared" ca="1" si="180"/>
        <v>0</v>
      </c>
      <c r="DB68" s="1482">
        <f t="shared" ca="1" si="180"/>
        <v>0</v>
      </c>
      <c r="DC68" s="1482">
        <f t="shared" ca="1" si="180"/>
        <v>0</v>
      </c>
      <c r="DD68" s="1482">
        <f t="shared" ca="1" si="180"/>
        <v>0</v>
      </c>
      <c r="DE68" s="1482">
        <f t="shared" ca="1" si="180"/>
        <v>0</v>
      </c>
      <c r="DF68" s="1482">
        <f t="shared" ca="1" si="180"/>
        <v>0</v>
      </c>
      <c r="DH68" s="838">
        <f t="shared" ca="1" si="123"/>
        <v>0</v>
      </c>
    </row>
    <row r="69" spans="1:112" s="743" customFormat="1" ht="12.75" hidden="1" customHeight="1" outlineLevel="1">
      <c r="A69" s="22"/>
      <c r="B69" s="22"/>
      <c r="C69" s="751"/>
      <c r="D69" s="512"/>
      <c r="E69" s="512"/>
      <c r="G69" s="958"/>
      <c r="H69" s="958"/>
      <c r="I69" s="958"/>
      <c r="J69" s="958"/>
      <c r="K69" s="960"/>
      <c r="L69" s="958"/>
      <c r="M69" s="958"/>
      <c r="N69" s="958"/>
      <c r="O69" s="958"/>
      <c r="P69" s="958"/>
      <c r="Q69" s="958"/>
      <c r="S69" s="970"/>
      <c r="T69" s="970"/>
      <c r="U69" s="970"/>
      <c r="V69" s="970"/>
      <c r="W69" s="970"/>
      <c r="X69" s="970"/>
      <c r="Y69" s="970"/>
      <c r="Z69" s="970"/>
      <c r="AA69" s="970"/>
      <c r="AB69" s="970"/>
      <c r="AC69" s="970"/>
      <c r="AD69" s="970"/>
      <c r="AE69" s="970"/>
      <c r="AF69" s="970"/>
      <c r="AG69" s="970"/>
      <c r="AH69" s="970"/>
      <c r="AI69" s="970"/>
      <c r="AJ69" s="970"/>
      <c r="AK69" s="970"/>
      <c r="AM69" s="976"/>
      <c r="AN69" s="976"/>
      <c r="AO69" s="976"/>
      <c r="AP69" s="976"/>
      <c r="AQ69" s="976"/>
      <c r="AR69" s="976"/>
      <c r="AS69" s="976"/>
      <c r="AT69" s="976"/>
      <c r="AU69" s="976"/>
      <c r="AV69" s="976"/>
      <c r="AW69" s="976"/>
      <c r="AX69" s="976"/>
      <c r="AY69" s="976"/>
      <c r="AZ69" s="976"/>
      <c r="BA69" s="976"/>
      <c r="BB69" s="976"/>
      <c r="BC69" s="976"/>
      <c r="BD69" s="976"/>
      <c r="BE69" s="976"/>
      <c r="BF69" s="976"/>
      <c r="BH69" s="990"/>
      <c r="BI69" s="990"/>
      <c r="BJ69" s="990"/>
      <c r="BL69" s="515">
        <f t="shared" si="175"/>
        <v>0</v>
      </c>
      <c r="BM69" s="515"/>
      <c r="BN69" s="22"/>
      <c r="BO69" s="1482"/>
      <c r="BP69" s="1482"/>
      <c r="BQ69" s="1482"/>
      <c r="BR69" s="1482"/>
      <c r="BS69" s="1482"/>
      <c r="BT69" s="1482"/>
      <c r="BU69" s="1482"/>
      <c r="BV69" s="1482"/>
      <c r="BW69" s="1482"/>
      <c r="BX69" s="1482"/>
      <c r="BY69" s="1482"/>
      <c r="BZ69" s="1482"/>
      <c r="CA69" s="1482"/>
      <c r="CB69" s="1482"/>
      <c r="CC69" s="1482"/>
      <c r="CD69" s="1482"/>
      <c r="CE69" s="1482"/>
      <c r="CF69" s="1482"/>
      <c r="CG69" s="1482"/>
      <c r="CH69" s="1482"/>
      <c r="CI69" s="1482"/>
      <c r="CJ69" s="1482"/>
      <c r="CK69" s="1482"/>
      <c r="CL69" s="1482"/>
      <c r="CM69" s="1482"/>
      <c r="CN69" s="1482"/>
      <c r="CO69" s="1482"/>
      <c r="CP69" s="1482"/>
      <c r="CQ69" s="1482"/>
      <c r="CR69" s="1482"/>
      <c r="CS69" s="1482"/>
      <c r="CT69" s="1482"/>
      <c r="CU69" s="1482"/>
      <c r="CV69" s="1482"/>
      <c r="CW69" s="1482"/>
      <c r="CX69" s="1482"/>
      <c r="CY69" s="1482"/>
      <c r="CZ69" s="1482"/>
      <c r="DA69" s="1482"/>
      <c r="DB69" s="1482"/>
      <c r="DC69" s="1482"/>
      <c r="DD69" s="1482"/>
      <c r="DE69" s="1482"/>
      <c r="DF69" s="1482"/>
      <c r="DH69" s="838">
        <f t="shared" si="123"/>
        <v>0</v>
      </c>
    </row>
    <row r="70" spans="1:112" s="1491" customFormat="1" ht="12.75" hidden="1" customHeight="1" outlineLevel="1">
      <c r="C70" s="1534" t="s">
        <v>1718</v>
      </c>
      <c r="D70" s="1535" t="s">
        <v>1340</v>
      </c>
      <c r="E70" s="1535"/>
      <c r="F70" s="1957"/>
      <c r="G70" s="1070"/>
      <c r="H70" s="1070"/>
      <c r="I70" s="1070"/>
      <c r="J70" s="1070"/>
      <c r="K70" s="1071"/>
      <c r="L70" s="1070"/>
      <c r="M70" s="1070"/>
      <c r="N70" s="1070"/>
      <c r="O70" s="1070"/>
      <c r="P70" s="1070"/>
      <c r="Q70" s="1070"/>
      <c r="R70" s="1957"/>
      <c r="S70" s="1072"/>
      <c r="T70" s="1072"/>
      <c r="U70" s="1072"/>
      <c r="V70" s="1072"/>
      <c r="W70" s="1072"/>
      <c r="X70" s="1072"/>
      <c r="Y70" s="1072"/>
      <c r="Z70" s="1072"/>
      <c r="AA70" s="1072"/>
      <c r="AB70" s="1072">
        <f ca="1">AB$40+AB$46+AB$51+AB$99+AB$55+AB$63+AB$68</f>
        <v>-8.8729462092837785</v>
      </c>
      <c r="AC70" s="1072"/>
      <c r="AD70" s="1072"/>
      <c r="AE70" s="1072"/>
      <c r="AF70" s="1072"/>
      <c r="AG70" s="1072"/>
      <c r="AH70" s="1072"/>
      <c r="AI70" s="1072"/>
      <c r="AJ70" s="1072"/>
      <c r="AK70" s="1072"/>
      <c r="AL70" s="1957"/>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957"/>
      <c r="BH70" s="1074"/>
      <c r="BI70" s="1074"/>
      <c r="BJ70" s="1074">
        <f>SUM(BH70:BI70)</f>
        <v>0</v>
      </c>
      <c r="BK70" s="1957"/>
      <c r="BL70" s="1536">
        <f t="shared" si="175"/>
        <v>0</v>
      </c>
      <c r="BM70" s="1536"/>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1963"/>
      <c r="CO70" s="1963"/>
      <c r="CP70" s="1963"/>
      <c r="CQ70" s="1963"/>
      <c r="CR70" s="1963"/>
      <c r="CS70" s="1963"/>
      <c r="CT70" s="1963"/>
      <c r="CU70" s="1963"/>
      <c r="CV70" s="1963"/>
      <c r="CW70" s="1963"/>
      <c r="CX70" s="1963"/>
      <c r="CY70" s="1963"/>
      <c r="CZ70" s="1963"/>
      <c r="DA70" s="1963"/>
      <c r="DB70" s="1963"/>
      <c r="DC70" s="1963"/>
      <c r="DD70" s="1963"/>
      <c r="DE70" s="1963"/>
      <c r="DF70" s="1963"/>
      <c r="DH70" s="1962">
        <f t="shared" si="123"/>
        <v>0</v>
      </c>
    </row>
    <row r="71" spans="1:112" s="1484" customFormat="1" ht="12.75" hidden="1" customHeight="1" outlineLevel="1">
      <c r="C71" s="746" t="s">
        <v>1338</v>
      </c>
      <c r="D71" s="1010" t="str">
        <f>INDEX(Modules[Module], MATCH($C71, Modules[Code], 0))</f>
        <v>District heating effective demand</v>
      </c>
      <c r="E71" s="1010"/>
      <c r="F71" s="743"/>
      <c r="G71" s="1022">
        <f t="shared" ref="G71:P71" ca="1" si="181">IFERROR(INDEX(INDIRECT($C71&amp;".Outputs["&amp;this.Year&amp;"]"), MATCH(G$5, INDIRECT($C71&amp;".Outputs[Vector]"), 0)), 0)</f>
        <v>0</v>
      </c>
      <c r="H71" s="1022">
        <f t="shared" ca="1" si="181"/>
        <v>0</v>
      </c>
      <c r="I71" s="1022">
        <f t="shared" ca="1" si="181"/>
        <v>0</v>
      </c>
      <c r="J71" s="1022">
        <f t="shared" ca="1" si="181"/>
        <v>0</v>
      </c>
      <c r="K71" s="1022">
        <f t="shared" ca="1" si="181"/>
        <v>0</v>
      </c>
      <c r="L71" s="1022">
        <f t="shared" ca="1" si="181"/>
        <v>0</v>
      </c>
      <c r="M71" s="1022">
        <f t="shared" ca="1" si="181"/>
        <v>0</v>
      </c>
      <c r="N71" s="1022">
        <f t="shared" ca="1" si="181"/>
        <v>0</v>
      </c>
      <c r="O71" s="1022">
        <f t="shared" ca="1" si="181"/>
        <v>0</v>
      </c>
      <c r="P71" s="1022">
        <f t="shared" ca="1" si="181"/>
        <v>0</v>
      </c>
      <c r="Q71" s="1020">
        <f ca="1">SUM(G71:P71)</f>
        <v>0</v>
      </c>
      <c r="R71" s="743"/>
      <c r="S71" s="1031">
        <f t="shared" ref="S71:BE71" ca="1" si="182">IFERROR(INDEX(INDIRECT($C71&amp;".Outputs["&amp;this.Year&amp;"]"), MATCH(S$5, INDIRECT($C71&amp;".Outputs[Vector]"), 0)), 0)</f>
        <v>0</v>
      </c>
      <c r="T71" s="1031">
        <f t="shared" ca="1" si="182"/>
        <v>-1.2675637441833969</v>
      </c>
      <c r="U71" s="1031">
        <f t="shared" ca="1" si="182"/>
        <v>0</v>
      </c>
      <c r="V71" s="1031">
        <f t="shared" ca="1" si="182"/>
        <v>0</v>
      </c>
      <c r="W71" s="1031">
        <f t="shared" ca="1" si="182"/>
        <v>0</v>
      </c>
      <c r="X71" s="1031">
        <f ca="1">IFERROR(INDEX(INDIRECT($C71&amp;".Outputs["&amp;this.Year&amp;"]"), MATCH(X$5, INDIRECT($C71&amp;".Outputs[Vector]"), 0)), 0)</f>
        <v>0</v>
      </c>
      <c r="Y71" s="1031">
        <f ca="1">IFERROR(INDEX(INDIRECT($C71&amp;".Outputs["&amp;this.Year&amp;"]"), MATCH(Y$5, INDIRECT($C71&amp;".Outputs[Vector]"), 0)), 0)</f>
        <v>0</v>
      </c>
      <c r="Z71" s="1031">
        <f ca="1">IFERROR(INDEX(INDIRECT($C71&amp;".Outputs["&amp;this.Year&amp;"]"), MATCH(Z$5, INDIRECT($C71&amp;".Outputs[Vector]"), 0)), 0)</f>
        <v>0</v>
      </c>
      <c r="AA71" s="1031">
        <f t="shared" ca="1" si="182"/>
        <v>0</v>
      </c>
      <c r="AB71" s="1031">
        <f t="shared" ca="1" si="182"/>
        <v>8.8729462092837785</v>
      </c>
      <c r="AC71" s="1031">
        <f t="shared" ca="1" si="182"/>
        <v>0</v>
      </c>
      <c r="AD71" s="1031">
        <f t="shared" ca="1" si="182"/>
        <v>0</v>
      </c>
      <c r="AE71" s="1031">
        <f t="shared" ca="1" si="182"/>
        <v>0</v>
      </c>
      <c r="AF71" s="1031">
        <f t="shared" ca="1" si="182"/>
        <v>0</v>
      </c>
      <c r="AG71" s="1031">
        <f t="shared" ca="1" si="182"/>
        <v>0</v>
      </c>
      <c r="AH71" s="1031">
        <f t="shared" ca="1" si="182"/>
        <v>0</v>
      </c>
      <c r="AI71" s="1031">
        <f t="shared" ca="1" si="182"/>
        <v>0</v>
      </c>
      <c r="AJ71" s="1031">
        <f t="shared" ca="1" si="182"/>
        <v>0</v>
      </c>
      <c r="AK71" s="1030">
        <f ca="1">SUM(S71:AJ71)</f>
        <v>7.6053824651003819</v>
      </c>
      <c r="AL71" s="743"/>
      <c r="AM71" s="1042">
        <f t="shared" ref="AM71:AU71" ca="1" si="183">IFERROR(INDEX(INDIRECT($C71&amp;".Outputs["&amp;this.Year&amp;"]"), MATCH(AM$5, INDIRECT($C71&amp;".Outputs[Vector]"), 0)), 0)</f>
        <v>0</v>
      </c>
      <c r="AN71" s="1042">
        <f t="shared" ca="1" si="183"/>
        <v>0</v>
      </c>
      <c r="AO71" s="1042">
        <f t="shared" ca="1" si="183"/>
        <v>0</v>
      </c>
      <c r="AP71" s="1042">
        <f t="shared" ca="1" si="183"/>
        <v>0</v>
      </c>
      <c r="AQ71" s="1042">
        <f t="shared" ca="1" si="183"/>
        <v>0</v>
      </c>
      <c r="AR71" s="1042">
        <f t="shared" ca="1" si="183"/>
        <v>0</v>
      </c>
      <c r="AS71" s="1042">
        <f t="shared" ca="1" si="183"/>
        <v>0</v>
      </c>
      <c r="AT71" s="1042">
        <f t="shared" ca="1" si="183"/>
        <v>0</v>
      </c>
      <c r="AU71" s="1042">
        <f t="shared" ca="1" si="183"/>
        <v>0</v>
      </c>
      <c r="AV71" s="1042">
        <f t="shared" ca="1" si="182"/>
        <v>0</v>
      </c>
      <c r="AW71" s="1042">
        <f t="shared" ca="1" si="182"/>
        <v>0</v>
      </c>
      <c r="AX71" s="1042">
        <f t="shared" ca="1" si="182"/>
        <v>0</v>
      </c>
      <c r="AY71" s="1042">
        <f t="shared" ca="1" si="182"/>
        <v>0</v>
      </c>
      <c r="AZ71" s="1042">
        <f t="shared" ca="1" si="182"/>
        <v>0</v>
      </c>
      <c r="BA71" s="1042">
        <f t="shared" ca="1" si="182"/>
        <v>0</v>
      </c>
      <c r="BB71" s="1042">
        <f t="shared" ca="1" si="182"/>
        <v>0</v>
      </c>
      <c r="BC71" s="1042">
        <f t="shared" ca="1" si="182"/>
        <v>0</v>
      </c>
      <c r="BD71" s="1042">
        <f t="shared" ca="1" si="182"/>
        <v>0</v>
      </c>
      <c r="BE71" s="1042">
        <f t="shared" ca="1" si="182"/>
        <v>0</v>
      </c>
      <c r="BF71" s="1012">
        <f ca="1">SUM(AM71:BE71)</f>
        <v>0</v>
      </c>
      <c r="BG71" s="743"/>
      <c r="BH71" s="1036">
        <f ca="1">IFERROR(INDEX(INDIRECT($C71&amp;".Outputs["&amp;this.Year&amp;"]"), MATCH(BH$5, INDIRECT($C71&amp;".Outputs[Vector]"), 0)), 0)</f>
        <v>-7.6053824651003819</v>
      </c>
      <c r="BI71" s="1036">
        <f ca="1">IFERROR(INDEX(INDIRECT($C71&amp;".Outputs["&amp;this.Year&amp;"]"), MATCH(BI$5, INDIRECT($C71&amp;".Outputs[Vector]"), 0)), 0)</f>
        <v>0</v>
      </c>
      <c r="BJ71" s="1035">
        <f ca="1">SUM(BH71:BI71)</f>
        <v>-7.6053824651003819</v>
      </c>
      <c r="BK71" s="743"/>
      <c r="BL71" s="814">
        <f ca="1">Q71+AK71+BF71+BJ71</f>
        <v>0</v>
      </c>
      <c r="BM71" s="814"/>
      <c r="BN71" s="840"/>
      <c r="BO71" s="1485">
        <f t="shared" ref="BO71:DF71" ca="1" si="184">IFERROR(SUMIFS(INDIRECT($C71&amp;".Emissions["&amp;this.Year&amp;"]"), INDIRECT($C71&amp;".Emissions[GHG]"), BO$6, INDIRECT($C71&amp;".Emissions[IPCC Sector]"), BO$5),0)</f>
        <v>0</v>
      </c>
      <c r="BP71" s="1486">
        <f t="shared" ca="1" si="184"/>
        <v>0</v>
      </c>
      <c r="BQ71" s="1486">
        <f t="shared" ca="1" si="184"/>
        <v>0</v>
      </c>
      <c r="BR71" s="1486">
        <f t="shared" ca="1" si="184"/>
        <v>0</v>
      </c>
      <c r="BS71" s="1486">
        <f t="shared" ca="1" si="184"/>
        <v>0</v>
      </c>
      <c r="BT71" s="1486">
        <f t="shared" ca="1" si="184"/>
        <v>0</v>
      </c>
      <c r="BU71" s="1486">
        <f t="shared" ca="1" si="184"/>
        <v>0</v>
      </c>
      <c r="BV71" s="1486">
        <f t="shared" ca="1" si="184"/>
        <v>0</v>
      </c>
      <c r="BW71" s="1486">
        <f t="shared" ca="1" si="184"/>
        <v>0</v>
      </c>
      <c r="BX71" s="1486">
        <f t="shared" ca="1" si="184"/>
        <v>0</v>
      </c>
      <c r="BY71" s="1486">
        <f t="shared" ca="1" si="184"/>
        <v>0</v>
      </c>
      <c r="BZ71" s="1486">
        <f t="shared" ca="1" si="184"/>
        <v>0</v>
      </c>
      <c r="CA71" s="1486">
        <f t="shared" ca="1" si="184"/>
        <v>0</v>
      </c>
      <c r="CB71" s="1486">
        <f t="shared" ca="1" si="184"/>
        <v>0</v>
      </c>
      <c r="CC71" s="1486">
        <f t="shared" ca="1" si="184"/>
        <v>0</v>
      </c>
      <c r="CD71" s="1486">
        <f t="shared" ca="1" si="184"/>
        <v>0</v>
      </c>
      <c r="CE71" s="1486">
        <f t="shared" ca="1" si="184"/>
        <v>0</v>
      </c>
      <c r="CF71" s="1486">
        <f t="shared" ca="1" si="184"/>
        <v>0</v>
      </c>
      <c r="CG71" s="1486">
        <f t="shared" ca="1" si="184"/>
        <v>0</v>
      </c>
      <c r="CH71" s="1486">
        <f t="shared" ca="1" si="184"/>
        <v>0</v>
      </c>
      <c r="CI71" s="1486">
        <f t="shared" ca="1" si="184"/>
        <v>0</v>
      </c>
      <c r="CJ71" s="1486">
        <f t="shared" ca="1" si="184"/>
        <v>0</v>
      </c>
      <c r="CK71" s="1486">
        <f t="shared" ca="1" si="184"/>
        <v>0</v>
      </c>
      <c r="CL71" s="1486">
        <f t="shared" ca="1" si="184"/>
        <v>0</v>
      </c>
      <c r="CM71" s="1486">
        <f t="shared" ca="1" si="184"/>
        <v>0</v>
      </c>
      <c r="CN71" s="1486">
        <f t="shared" ca="1" si="184"/>
        <v>0</v>
      </c>
      <c r="CO71" s="1486">
        <f t="shared" ca="1" si="184"/>
        <v>0</v>
      </c>
      <c r="CP71" s="1486">
        <f t="shared" ca="1" si="184"/>
        <v>0</v>
      </c>
      <c r="CQ71" s="1486">
        <f t="shared" ca="1" si="184"/>
        <v>0</v>
      </c>
      <c r="CR71" s="1486">
        <f t="shared" ca="1" si="184"/>
        <v>0</v>
      </c>
      <c r="CS71" s="1486">
        <f t="shared" ca="1" si="184"/>
        <v>0</v>
      </c>
      <c r="CT71" s="1486">
        <f t="shared" ca="1" si="184"/>
        <v>0</v>
      </c>
      <c r="CU71" s="1486">
        <f t="shared" ca="1" si="184"/>
        <v>0</v>
      </c>
      <c r="CV71" s="1486">
        <f t="shared" ca="1" si="184"/>
        <v>0</v>
      </c>
      <c r="CW71" s="1486">
        <f t="shared" ca="1" si="184"/>
        <v>0</v>
      </c>
      <c r="CX71" s="1486">
        <f t="shared" ca="1" si="184"/>
        <v>0</v>
      </c>
      <c r="CY71" s="1486">
        <f t="shared" ca="1" si="184"/>
        <v>0</v>
      </c>
      <c r="CZ71" s="1486">
        <f t="shared" ca="1" si="184"/>
        <v>0</v>
      </c>
      <c r="DA71" s="1486">
        <f t="shared" ca="1" si="184"/>
        <v>0</v>
      </c>
      <c r="DB71" s="1486">
        <f t="shared" ca="1" si="184"/>
        <v>0</v>
      </c>
      <c r="DC71" s="1486">
        <f t="shared" ca="1" si="184"/>
        <v>0</v>
      </c>
      <c r="DD71" s="1486">
        <f t="shared" ca="1" si="184"/>
        <v>0</v>
      </c>
      <c r="DE71" s="1486">
        <f t="shared" ca="1" si="184"/>
        <v>0</v>
      </c>
      <c r="DF71" s="1486">
        <f t="shared" ca="1" si="184"/>
        <v>0</v>
      </c>
      <c r="DH71" s="838">
        <f t="shared" ca="1" si="123"/>
        <v>0</v>
      </c>
    </row>
    <row r="72" spans="1:112" s="743" customFormat="1" ht="15.75" collapsed="1">
      <c r="A72" s="22"/>
      <c r="B72" s="753"/>
      <c r="C72" s="744" t="s">
        <v>1336</v>
      </c>
      <c r="D72" s="517" t="str">
        <f>INDEX(Workstreams[Workstream], MATCH($C72, Workstreams[Code], 0))</f>
        <v>District heating</v>
      </c>
      <c r="E72" s="512"/>
      <c r="G72" s="1021">
        <f ca="1">G71</f>
        <v>0</v>
      </c>
      <c r="H72" s="1021">
        <f t="shared" ref="H72:P72" ca="1" si="185">H71</f>
        <v>0</v>
      </c>
      <c r="I72" s="1021">
        <f t="shared" ca="1" si="185"/>
        <v>0</v>
      </c>
      <c r="J72" s="1021">
        <f t="shared" ca="1" si="185"/>
        <v>0</v>
      </c>
      <c r="K72" s="1021">
        <f t="shared" ca="1" si="185"/>
        <v>0</v>
      </c>
      <c r="L72" s="1021">
        <f t="shared" ca="1" si="185"/>
        <v>0</v>
      </c>
      <c r="M72" s="1021">
        <f t="shared" ca="1" si="185"/>
        <v>0</v>
      </c>
      <c r="N72" s="1021">
        <f t="shared" ca="1" si="185"/>
        <v>0</v>
      </c>
      <c r="O72" s="1021">
        <f t="shared" ca="1" si="185"/>
        <v>0</v>
      </c>
      <c r="P72" s="1021">
        <f t="shared" ca="1" si="185"/>
        <v>0</v>
      </c>
      <c r="Q72" s="1021">
        <f ca="1">SUM(G72:P72)</f>
        <v>0</v>
      </c>
      <c r="S72" s="970">
        <f t="shared" ref="S72:AJ72" ca="1" si="186">S71</f>
        <v>0</v>
      </c>
      <c r="T72" s="970">
        <f t="shared" ca="1" si="186"/>
        <v>-1.2675637441833969</v>
      </c>
      <c r="U72" s="970">
        <f t="shared" ca="1" si="186"/>
        <v>0</v>
      </c>
      <c r="V72" s="970">
        <f t="shared" ca="1" si="186"/>
        <v>0</v>
      </c>
      <c r="W72" s="970">
        <f t="shared" ca="1" si="186"/>
        <v>0</v>
      </c>
      <c r="X72" s="970">
        <f t="shared" ca="1" si="186"/>
        <v>0</v>
      </c>
      <c r="Y72" s="970">
        <f t="shared" ca="1" si="186"/>
        <v>0</v>
      </c>
      <c r="Z72" s="970">
        <f t="shared" ca="1" si="186"/>
        <v>0</v>
      </c>
      <c r="AA72" s="970">
        <f t="shared" ca="1" si="186"/>
        <v>0</v>
      </c>
      <c r="AB72" s="970">
        <f t="shared" ca="1" si="186"/>
        <v>8.8729462092837785</v>
      </c>
      <c r="AC72" s="970">
        <f t="shared" ca="1" si="186"/>
        <v>0</v>
      </c>
      <c r="AD72" s="970">
        <f ca="1">AD71</f>
        <v>0</v>
      </c>
      <c r="AE72" s="970">
        <f ca="1">AE71</f>
        <v>0</v>
      </c>
      <c r="AF72" s="970">
        <f t="shared" ca="1" si="186"/>
        <v>0</v>
      </c>
      <c r="AG72" s="970">
        <f t="shared" ca="1" si="186"/>
        <v>0</v>
      </c>
      <c r="AH72" s="970">
        <f ca="1">AH71</f>
        <v>0</v>
      </c>
      <c r="AI72" s="970">
        <f ca="1">AI71</f>
        <v>0</v>
      </c>
      <c r="AJ72" s="970">
        <f t="shared" ca="1" si="186"/>
        <v>0</v>
      </c>
      <c r="AK72" s="970">
        <f ca="1">SUM(S72:AJ72)</f>
        <v>7.6053824651003819</v>
      </c>
      <c r="AM72" s="976">
        <f ca="1">AM71</f>
        <v>0</v>
      </c>
      <c r="AN72" s="976">
        <f t="shared" ref="AN72:BE72" ca="1" si="187">AN71</f>
        <v>0</v>
      </c>
      <c r="AO72" s="976">
        <f t="shared" ca="1" si="187"/>
        <v>0</v>
      </c>
      <c r="AP72" s="976">
        <f t="shared" ca="1" si="187"/>
        <v>0</v>
      </c>
      <c r="AQ72" s="976">
        <f t="shared" ca="1" si="187"/>
        <v>0</v>
      </c>
      <c r="AR72" s="976">
        <f t="shared" ca="1" si="187"/>
        <v>0</v>
      </c>
      <c r="AS72" s="976">
        <f t="shared" ca="1" si="187"/>
        <v>0</v>
      </c>
      <c r="AT72" s="976">
        <f t="shared" ca="1" si="187"/>
        <v>0</v>
      </c>
      <c r="AU72" s="976">
        <f t="shared" ca="1" si="187"/>
        <v>0</v>
      </c>
      <c r="AV72" s="976">
        <f t="shared" ca="1" si="187"/>
        <v>0</v>
      </c>
      <c r="AW72" s="976">
        <f t="shared" ca="1" si="187"/>
        <v>0</v>
      </c>
      <c r="AX72" s="976">
        <f t="shared" ca="1" si="187"/>
        <v>0</v>
      </c>
      <c r="AY72" s="976">
        <f t="shared" ca="1" si="187"/>
        <v>0</v>
      </c>
      <c r="AZ72" s="976">
        <f t="shared" ca="1" si="187"/>
        <v>0</v>
      </c>
      <c r="BA72" s="976">
        <f t="shared" ca="1" si="187"/>
        <v>0</v>
      </c>
      <c r="BB72" s="976">
        <f t="shared" ca="1" si="187"/>
        <v>0</v>
      </c>
      <c r="BC72" s="976">
        <f t="shared" ca="1" si="187"/>
        <v>0</v>
      </c>
      <c r="BD72" s="976">
        <f t="shared" ca="1" si="187"/>
        <v>0</v>
      </c>
      <c r="BE72" s="976">
        <f t="shared" ca="1" si="187"/>
        <v>0</v>
      </c>
      <c r="BF72" s="976">
        <f ca="1">SUM(AM72:BE72)</f>
        <v>0</v>
      </c>
      <c r="BH72" s="990">
        <f ca="1">BH71</f>
        <v>-7.6053824651003819</v>
      </c>
      <c r="BI72" s="990">
        <f ca="1">BI71</f>
        <v>0</v>
      </c>
      <c r="BJ72" s="990">
        <f ca="1">SUM(BH72:BI72)</f>
        <v>-7.6053824651003819</v>
      </c>
      <c r="BL72" s="515">
        <f ca="1">Q72+AK72+BF72+BJ72</f>
        <v>0</v>
      </c>
      <c r="BM72" s="515"/>
      <c r="BN72" s="840"/>
      <c r="BO72" s="1482">
        <f t="shared" ref="BO72:DF72" ca="1" si="188">BO71</f>
        <v>0</v>
      </c>
      <c r="BP72" s="1482">
        <f t="shared" ca="1" si="188"/>
        <v>0</v>
      </c>
      <c r="BQ72" s="1482">
        <f t="shared" ca="1" si="188"/>
        <v>0</v>
      </c>
      <c r="BR72" s="1482">
        <f t="shared" ca="1" si="188"/>
        <v>0</v>
      </c>
      <c r="BS72" s="1482">
        <f t="shared" ca="1" si="188"/>
        <v>0</v>
      </c>
      <c r="BT72" s="1482">
        <f t="shared" ca="1" si="188"/>
        <v>0</v>
      </c>
      <c r="BU72" s="1482">
        <f t="shared" ca="1" si="188"/>
        <v>0</v>
      </c>
      <c r="BV72" s="1482">
        <f t="shared" ca="1" si="188"/>
        <v>0</v>
      </c>
      <c r="BW72" s="1482">
        <f t="shared" ca="1" si="188"/>
        <v>0</v>
      </c>
      <c r="BX72" s="1482">
        <f t="shared" ca="1" si="188"/>
        <v>0</v>
      </c>
      <c r="BY72" s="1482">
        <f t="shared" ca="1" si="188"/>
        <v>0</v>
      </c>
      <c r="BZ72" s="1482">
        <f t="shared" ca="1" si="188"/>
        <v>0</v>
      </c>
      <c r="CA72" s="1482">
        <f t="shared" ca="1" si="188"/>
        <v>0</v>
      </c>
      <c r="CB72" s="1482">
        <f t="shared" ca="1" si="188"/>
        <v>0</v>
      </c>
      <c r="CC72" s="1482">
        <f t="shared" ca="1" si="188"/>
        <v>0</v>
      </c>
      <c r="CD72" s="1482">
        <f t="shared" ca="1" si="188"/>
        <v>0</v>
      </c>
      <c r="CE72" s="1482">
        <f t="shared" ca="1" si="188"/>
        <v>0</v>
      </c>
      <c r="CF72" s="1482">
        <f t="shared" ca="1" si="188"/>
        <v>0</v>
      </c>
      <c r="CG72" s="1482">
        <f t="shared" ca="1" si="188"/>
        <v>0</v>
      </c>
      <c r="CH72" s="1482">
        <f t="shared" ca="1" si="188"/>
        <v>0</v>
      </c>
      <c r="CI72" s="1482">
        <f t="shared" ca="1" si="188"/>
        <v>0</v>
      </c>
      <c r="CJ72" s="1482">
        <f t="shared" ca="1" si="188"/>
        <v>0</v>
      </c>
      <c r="CK72" s="1482">
        <f t="shared" ca="1" si="188"/>
        <v>0</v>
      </c>
      <c r="CL72" s="1482">
        <f t="shared" ca="1" si="188"/>
        <v>0</v>
      </c>
      <c r="CM72" s="1482">
        <f t="shared" ca="1" si="188"/>
        <v>0</v>
      </c>
      <c r="CN72" s="1482">
        <f t="shared" ca="1" si="188"/>
        <v>0</v>
      </c>
      <c r="CO72" s="1482">
        <f t="shared" ca="1" si="188"/>
        <v>0</v>
      </c>
      <c r="CP72" s="1482">
        <f t="shared" ca="1" si="188"/>
        <v>0</v>
      </c>
      <c r="CQ72" s="1482">
        <f t="shared" ca="1" si="188"/>
        <v>0</v>
      </c>
      <c r="CR72" s="1482">
        <f t="shared" ca="1" si="188"/>
        <v>0</v>
      </c>
      <c r="CS72" s="1482">
        <f t="shared" ca="1" si="188"/>
        <v>0</v>
      </c>
      <c r="CT72" s="1482">
        <f t="shared" ca="1" si="188"/>
        <v>0</v>
      </c>
      <c r="CU72" s="1482">
        <f t="shared" ca="1" si="188"/>
        <v>0</v>
      </c>
      <c r="CV72" s="1482">
        <f t="shared" ca="1" si="188"/>
        <v>0</v>
      </c>
      <c r="CW72" s="1482">
        <f t="shared" ca="1" si="188"/>
        <v>0</v>
      </c>
      <c r="CX72" s="1482">
        <f t="shared" ca="1" si="188"/>
        <v>0</v>
      </c>
      <c r="CY72" s="1482">
        <f t="shared" ca="1" si="188"/>
        <v>0</v>
      </c>
      <c r="CZ72" s="1482">
        <f t="shared" ca="1" si="188"/>
        <v>0</v>
      </c>
      <c r="DA72" s="1482">
        <f t="shared" ca="1" si="188"/>
        <v>0</v>
      </c>
      <c r="DB72" s="1482">
        <f t="shared" ca="1" si="188"/>
        <v>0</v>
      </c>
      <c r="DC72" s="1482">
        <f t="shared" ca="1" si="188"/>
        <v>0</v>
      </c>
      <c r="DD72" s="1482">
        <f t="shared" ca="1" si="188"/>
        <v>0</v>
      </c>
      <c r="DE72" s="1482">
        <f t="shared" ca="1" si="188"/>
        <v>0</v>
      </c>
      <c r="DF72" s="1482">
        <f t="shared" ca="1" si="188"/>
        <v>0</v>
      </c>
      <c r="DH72" s="838">
        <f t="shared" ca="1" si="123"/>
        <v>0</v>
      </c>
    </row>
    <row r="73" spans="1:112" s="743" customFormat="1" ht="12.75" hidden="1" customHeight="1" outlineLevel="1">
      <c r="A73" s="22"/>
      <c r="B73" s="22"/>
      <c r="C73" s="751"/>
      <c r="D73" s="512"/>
      <c r="E73" s="512"/>
      <c r="G73" s="958"/>
      <c r="H73" s="958"/>
      <c r="I73" s="958"/>
      <c r="J73" s="958"/>
      <c r="K73" s="960"/>
      <c r="L73" s="958"/>
      <c r="M73" s="958"/>
      <c r="N73" s="958"/>
      <c r="O73" s="958"/>
      <c r="P73" s="958"/>
      <c r="Q73" s="958"/>
      <c r="S73" s="970"/>
      <c r="T73" s="970"/>
      <c r="U73" s="970"/>
      <c r="V73" s="970"/>
      <c r="W73" s="970"/>
      <c r="X73" s="970"/>
      <c r="Y73" s="970"/>
      <c r="Z73" s="970"/>
      <c r="AA73" s="970"/>
      <c r="AB73" s="970"/>
      <c r="AC73" s="970"/>
      <c r="AD73" s="970"/>
      <c r="AE73" s="970"/>
      <c r="AF73" s="970"/>
      <c r="AG73" s="970"/>
      <c r="AH73" s="970"/>
      <c r="AI73" s="970"/>
      <c r="AJ73" s="970"/>
      <c r="AK73" s="970"/>
      <c r="AM73" s="976"/>
      <c r="AN73" s="976"/>
      <c r="AO73" s="976"/>
      <c r="AP73" s="976"/>
      <c r="AQ73" s="976"/>
      <c r="AR73" s="976"/>
      <c r="AS73" s="976"/>
      <c r="AT73" s="976"/>
      <c r="AU73" s="976"/>
      <c r="AV73" s="976"/>
      <c r="AW73" s="976"/>
      <c r="AX73" s="976"/>
      <c r="AY73" s="976"/>
      <c r="AZ73" s="976"/>
      <c r="BA73" s="976"/>
      <c r="BB73" s="976"/>
      <c r="BC73" s="976"/>
      <c r="BD73" s="976"/>
      <c r="BE73" s="976"/>
      <c r="BF73" s="976"/>
      <c r="BH73" s="990"/>
      <c r="BI73" s="990"/>
      <c r="BJ73" s="990"/>
      <c r="BL73" s="515"/>
      <c r="BM73" s="515"/>
      <c r="BN73" s="22"/>
      <c r="BO73" s="1482"/>
      <c r="BP73" s="1482"/>
      <c r="BQ73" s="1482"/>
      <c r="BR73" s="1482"/>
      <c r="BS73" s="1482"/>
      <c r="BT73" s="1482"/>
      <c r="BU73" s="1482"/>
      <c r="BV73" s="1482"/>
      <c r="BW73" s="1482"/>
      <c r="BX73" s="1482"/>
      <c r="BY73" s="1482"/>
      <c r="BZ73" s="1482"/>
      <c r="CA73" s="1482"/>
      <c r="CB73" s="1482"/>
      <c r="CC73" s="1482"/>
      <c r="CD73" s="1482"/>
      <c r="CE73" s="1482"/>
      <c r="CF73" s="1482"/>
      <c r="CG73" s="1482"/>
      <c r="CH73" s="1482"/>
      <c r="CI73" s="1482"/>
      <c r="CJ73" s="1482"/>
      <c r="CK73" s="1482"/>
      <c r="CL73" s="1482"/>
      <c r="CM73" s="1482"/>
      <c r="CN73" s="1482"/>
      <c r="CO73" s="1482"/>
      <c r="CP73" s="1482"/>
      <c r="CQ73" s="1482"/>
      <c r="CR73" s="1482"/>
      <c r="CS73" s="1482"/>
      <c r="CT73" s="1482"/>
      <c r="CU73" s="1482"/>
      <c r="CV73" s="1482"/>
      <c r="CW73" s="1482"/>
      <c r="CX73" s="1482"/>
      <c r="CY73" s="1482"/>
      <c r="CZ73" s="1482"/>
      <c r="DA73" s="1482"/>
      <c r="DB73" s="1482"/>
      <c r="DC73" s="1482"/>
      <c r="DD73" s="1482"/>
      <c r="DE73" s="1482"/>
      <c r="DF73" s="1482"/>
      <c r="DH73" s="838">
        <f t="shared" si="123"/>
        <v>0</v>
      </c>
    </row>
    <row r="74" spans="1:112" s="1488" customFormat="1" ht="12.75" hidden="1" customHeight="1" outlineLevel="1">
      <c r="C74" s="1048" t="s">
        <v>1719</v>
      </c>
      <c r="D74" s="1049" t="s">
        <v>1334</v>
      </c>
      <c r="E74" s="1049"/>
      <c r="F74" s="743"/>
      <c r="G74" s="1050"/>
      <c r="H74" s="1050"/>
      <c r="I74" s="1050"/>
      <c r="J74" s="1050"/>
      <c r="K74" s="1051"/>
      <c r="L74" s="1050"/>
      <c r="M74" s="1050"/>
      <c r="N74" s="1050"/>
      <c r="O74" s="1050"/>
      <c r="P74" s="1050"/>
      <c r="Q74" s="1050"/>
      <c r="R74" s="743"/>
      <c r="S74" s="1052">
        <f ca="1">S$40+S$46+S$51+S$99+S$55+S$93+S$63+S$68+S$72</f>
        <v>-373.16495041083652</v>
      </c>
      <c r="T74" s="1052">
        <f ca="1">T$40+T$46+T$51+T$99+T$55+T$93+T$63+T$68+T$72</f>
        <v>5.4618117491910958</v>
      </c>
      <c r="U74" s="1052"/>
      <c r="V74" s="1052"/>
      <c r="W74" s="1052"/>
      <c r="X74" s="1052"/>
      <c r="Y74" s="1052"/>
      <c r="Z74" s="1052"/>
      <c r="AA74" s="1052"/>
      <c r="AB74" s="1052"/>
      <c r="AC74" s="1052"/>
      <c r="AD74" s="1052"/>
      <c r="AE74" s="1052"/>
      <c r="AF74" s="1052"/>
      <c r="AG74" s="1052"/>
      <c r="AH74" s="1052"/>
      <c r="AI74" s="1052"/>
      <c r="AJ74" s="1052"/>
      <c r="AK74" s="1052"/>
      <c r="AL74" s="743"/>
      <c r="AM74" s="1053"/>
      <c r="AN74" s="1053"/>
      <c r="AO74" s="1053"/>
      <c r="AP74" s="1053"/>
      <c r="AQ74" s="1053"/>
      <c r="AR74" s="1053"/>
      <c r="AS74" s="1053"/>
      <c r="AT74" s="1053"/>
      <c r="AU74" s="1053"/>
      <c r="AV74" s="1053"/>
      <c r="AW74" s="1053"/>
      <c r="AX74" s="1053"/>
      <c r="AY74" s="1053"/>
      <c r="AZ74" s="1053"/>
      <c r="BA74" s="1053"/>
      <c r="BB74" s="1053"/>
      <c r="BC74" s="1053"/>
      <c r="BD74" s="1053"/>
      <c r="BE74" s="1053"/>
      <c r="BF74" s="1053"/>
      <c r="BG74" s="743"/>
      <c r="BH74" s="1054"/>
      <c r="BI74" s="1054"/>
      <c r="BJ74" s="1054">
        <f>SUM(BH74:BI74)</f>
        <v>0</v>
      </c>
      <c r="BK74" s="743"/>
      <c r="BL74" s="852">
        <f t="shared" ref="BL74:BL80" si="189">Q74+AK74+BF74+BJ74</f>
        <v>0</v>
      </c>
      <c r="BM74" s="852"/>
      <c r="BO74" s="1490"/>
      <c r="BP74" s="1490"/>
      <c r="BQ74" s="1490"/>
      <c r="BR74" s="1490"/>
      <c r="BS74" s="1490"/>
      <c r="BT74" s="1490"/>
      <c r="BU74" s="1490"/>
      <c r="BV74" s="1490"/>
      <c r="BW74" s="1490"/>
      <c r="BX74" s="1490"/>
      <c r="BY74" s="1490"/>
      <c r="BZ74" s="1490"/>
      <c r="CA74" s="1490"/>
      <c r="CB74" s="1490"/>
      <c r="CC74" s="1490"/>
      <c r="CD74" s="1490"/>
      <c r="CE74" s="1490"/>
      <c r="CF74" s="1490"/>
      <c r="CG74" s="1490"/>
      <c r="CH74" s="1490"/>
      <c r="CI74" s="1490"/>
      <c r="CJ74" s="1490"/>
      <c r="CK74" s="1490"/>
      <c r="CL74" s="1490"/>
      <c r="CM74" s="1490"/>
      <c r="CN74" s="1490"/>
      <c r="CO74" s="1490"/>
      <c r="CP74" s="1490"/>
      <c r="CQ74" s="1490"/>
      <c r="CR74" s="1490"/>
      <c r="CS74" s="1490"/>
      <c r="CT74" s="1490"/>
      <c r="CU74" s="1490"/>
      <c r="CV74" s="1490"/>
      <c r="CW74" s="1490"/>
      <c r="CX74" s="1490"/>
      <c r="CY74" s="1490"/>
      <c r="CZ74" s="1490"/>
      <c r="DA74" s="1490"/>
      <c r="DB74" s="1490"/>
      <c r="DC74" s="1490"/>
      <c r="DD74" s="1490"/>
      <c r="DE74" s="1490"/>
      <c r="DF74" s="1490"/>
      <c r="DH74" s="838">
        <f t="shared" si="123"/>
        <v>0</v>
      </c>
    </row>
    <row r="75" spans="1:112" s="1484" customFormat="1" ht="12.75" hidden="1" customHeight="1" outlineLevel="1">
      <c r="C75" s="746" t="s">
        <v>756</v>
      </c>
      <c r="D75" s="1010" t="str">
        <f>INDEX(Modules[Module], MATCH($C75, Modules[Code], 0))</f>
        <v>Nuclear power</v>
      </c>
      <c r="E75" s="1010"/>
      <c r="F75" s="743"/>
      <c r="G75" s="1022">
        <f t="shared" ref="G75:P75" ca="1" si="190">IFERROR(INDEX(INDIRECT($C75&amp;".Outputs["&amp;this.Year&amp;"]"), MATCH(G$5, INDIRECT($C75&amp;".Outputs[Vector]"), 0)), 0)</f>
        <v>0</v>
      </c>
      <c r="H75" s="1022">
        <f t="shared" ca="1" si="190"/>
        <v>0</v>
      </c>
      <c r="I75" s="1022">
        <f t="shared" ca="1" si="190"/>
        <v>0</v>
      </c>
      <c r="J75" s="1022">
        <f t="shared" ca="1" si="190"/>
        <v>0</v>
      </c>
      <c r="K75" s="1022">
        <f t="shared" ca="1" si="190"/>
        <v>0</v>
      </c>
      <c r="L75" s="1022">
        <f t="shared" ca="1" si="190"/>
        <v>0</v>
      </c>
      <c r="M75" s="1022">
        <f t="shared" ca="1" si="190"/>
        <v>0</v>
      </c>
      <c r="N75" s="1022">
        <f t="shared" ca="1" si="190"/>
        <v>0</v>
      </c>
      <c r="O75" s="1022">
        <f t="shared" ca="1" si="190"/>
        <v>0</v>
      </c>
      <c r="P75" s="1022">
        <f t="shared" ca="1" si="190"/>
        <v>0</v>
      </c>
      <c r="Q75" s="1020">
        <f ca="1">SUM(G75:P75)</f>
        <v>0</v>
      </c>
      <c r="R75" s="743"/>
      <c r="S75" s="1031">
        <f t="shared" ref="S75:BE75" ca="1" si="191">IFERROR(INDEX(INDIRECT($C75&amp;".Outputs["&amp;this.Year&amp;"]"), MATCH(S$5, INDIRECT($C75&amp;".Outputs[Vector]"), 0)), 0)</f>
        <v>0</v>
      </c>
      <c r="T75" s="1031">
        <f t="shared" ca="1" si="191"/>
        <v>44.180639999999997</v>
      </c>
      <c r="U75" s="1031">
        <f t="shared" ca="1" si="191"/>
        <v>0</v>
      </c>
      <c r="V75" s="1031">
        <f t="shared" ca="1" si="191"/>
        <v>0</v>
      </c>
      <c r="W75" s="1031">
        <f t="shared" ca="1" si="191"/>
        <v>0</v>
      </c>
      <c r="X75" s="1031">
        <f ca="1">IFERROR(INDEX(INDIRECT($C75&amp;".Outputs["&amp;this.Year&amp;"]"), MATCH(X$5, INDIRECT($C75&amp;".Outputs[Vector]"), 0)), 0)</f>
        <v>0</v>
      </c>
      <c r="Y75" s="1031">
        <f ca="1">IFERROR(INDEX(INDIRECT($C75&amp;".Outputs["&amp;this.Year&amp;"]"), MATCH(Y$5, INDIRECT($C75&amp;".Outputs[Vector]"), 0)), 0)</f>
        <v>0</v>
      </c>
      <c r="Z75" s="1031">
        <f ca="1">IFERROR(INDEX(INDIRECT($C75&amp;".Outputs["&amp;this.Year&amp;"]"), MATCH(Z$5, INDIRECT($C75&amp;".Outputs[Vector]"), 0)), 0)</f>
        <v>0</v>
      </c>
      <c r="AA75" s="1031">
        <f t="shared" ca="1" si="191"/>
        <v>0</v>
      </c>
      <c r="AB75" s="1031">
        <f t="shared" ca="1" si="191"/>
        <v>0</v>
      </c>
      <c r="AC75" s="1031">
        <f t="shared" ca="1" si="191"/>
        <v>0</v>
      </c>
      <c r="AD75" s="1031">
        <f t="shared" ca="1" si="191"/>
        <v>0</v>
      </c>
      <c r="AE75" s="1031">
        <f t="shared" ca="1" si="191"/>
        <v>0</v>
      </c>
      <c r="AF75" s="1031">
        <f t="shared" ca="1" si="191"/>
        <v>0</v>
      </c>
      <c r="AG75" s="1031">
        <f t="shared" ca="1" si="191"/>
        <v>0</v>
      </c>
      <c r="AH75" s="1031">
        <f t="shared" ca="1" si="191"/>
        <v>0</v>
      </c>
      <c r="AI75" s="1031">
        <f t="shared" ca="1" si="191"/>
        <v>0</v>
      </c>
      <c r="AJ75" s="1031">
        <f t="shared" ca="1" si="191"/>
        <v>0</v>
      </c>
      <c r="AK75" s="1030">
        <f ca="1">SUM(S75:AJ75)</f>
        <v>44.180639999999997</v>
      </c>
      <c r="AL75" s="743"/>
      <c r="AM75" s="1042">
        <f t="shared" ref="AM75:AU75" ca="1" si="192">IFERROR(INDEX(INDIRECT($C75&amp;".Outputs["&amp;this.Year&amp;"]"), MATCH(AM$5, INDIRECT($C75&amp;".Outputs[Vector]"), 0)), 0)</f>
        <v>0</v>
      </c>
      <c r="AN75" s="1042">
        <f t="shared" ca="1" si="192"/>
        <v>0</v>
      </c>
      <c r="AO75" s="1042">
        <f t="shared" ca="1" si="192"/>
        <v>0</v>
      </c>
      <c r="AP75" s="1042">
        <f t="shared" ca="1" si="192"/>
        <v>0</v>
      </c>
      <c r="AQ75" s="1042">
        <f t="shared" ca="1" si="192"/>
        <v>0</v>
      </c>
      <c r="AR75" s="1042">
        <f t="shared" ca="1" si="192"/>
        <v>0</v>
      </c>
      <c r="AS75" s="1042">
        <f t="shared" ca="1" si="192"/>
        <v>0</v>
      </c>
      <c r="AT75" s="1042">
        <f t="shared" ca="1" si="192"/>
        <v>0</v>
      </c>
      <c r="AU75" s="1042">
        <f t="shared" ca="1" si="192"/>
        <v>0</v>
      </c>
      <c r="AV75" s="1042">
        <f t="shared" ca="1" si="191"/>
        <v>-134.99639999999999</v>
      </c>
      <c r="AW75" s="1042">
        <f t="shared" ca="1" si="191"/>
        <v>0</v>
      </c>
      <c r="AX75" s="1042">
        <f t="shared" ca="1" si="191"/>
        <v>0</v>
      </c>
      <c r="AY75" s="1042">
        <f t="shared" ca="1" si="191"/>
        <v>0</v>
      </c>
      <c r="AZ75" s="1042">
        <f t="shared" ca="1" si="191"/>
        <v>0</v>
      </c>
      <c r="BA75" s="1042">
        <f t="shared" ca="1" si="191"/>
        <v>0</v>
      </c>
      <c r="BB75" s="1042">
        <f t="shared" ca="1" si="191"/>
        <v>0</v>
      </c>
      <c r="BC75" s="1042">
        <f t="shared" ca="1" si="191"/>
        <v>0</v>
      </c>
      <c r="BD75" s="1042">
        <f t="shared" ca="1" si="191"/>
        <v>0</v>
      </c>
      <c r="BE75" s="1042">
        <f t="shared" ca="1" si="191"/>
        <v>0</v>
      </c>
      <c r="BF75" s="1012">
        <f ca="1">SUM(AM75:BE75)</f>
        <v>-134.99639999999999</v>
      </c>
      <c r="BG75" s="743"/>
      <c r="BH75" s="1036">
        <f ca="1">IFERROR(INDEX(INDIRECT($C75&amp;".Outputs["&amp;this.Year&amp;"]"), MATCH(BH$5, INDIRECT($C75&amp;".Outputs[Vector]"), 0)), 0)</f>
        <v>86.397695999999996</v>
      </c>
      <c r="BI75" s="1036">
        <f ca="1">IFERROR(INDEX(INDIRECT($C75&amp;".Outputs["&amp;this.Year&amp;"]"), MATCH(BI$5, INDIRECT($C75&amp;".Outputs[Vector]"), 0)), 0)</f>
        <v>4.4180640000000002</v>
      </c>
      <c r="BJ75" s="1035">
        <f ca="1">SUM(BH75:BI75)</f>
        <v>90.815759999999997</v>
      </c>
      <c r="BK75" s="743"/>
      <c r="BL75" s="814">
        <f t="shared" ca="1" si="189"/>
        <v>0</v>
      </c>
      <c r="BM75" s="814"/>
      <c r="BN75" s="840"/>
      <c r="BO75" s="1485">
        <f t="shared" ref="BO75:DF75" ca="1" si="193">IFERROR(SUMIFS(INDIRECT($C75&amp;".Emissions["&amp;this.Year&amp;"]"), INDIRECT($C75&amp;".Emissions[GHG]"), BO$6, INDIRECT($C75&amp;".Emissions[IPCC Sector]"), BO$5),0)</f>
        <v>0</v>
      </c>
      <c r="BP75" s="1486">
        <f t="shared" ca="1" si="193"/>
        <v>0</v>
      </c>
      <c r="BQ75" s="1486">
        <f t="shared" ca="1" si="193"/>
        <v>0</v>
      </c>
      <c r="BR75" s="1486">
        <f t="shared" ca="1" si="193"/>
        <v>0</v>
      </c>
      <c r="BS75" s="1486">
        <f t="shared" ca="1" si="193"/>
        <v>0</v>
      </c>
      <c r="BT75" s="1486">
        <f t="shared" ca="1" si="193"/>
        <v>0</v>
      </c>
      <c r="BU75" s="1486">
        <f t="shared" ca="1" si="193"/>
        <v>0</v>
      </c>
      <c r="BV75" s="1486">
        <f t="shared" ca="1" si="193"/>
        <v>0</v>
      </c>
      <c r="BW75" s="1486">
        <f t="shared" ca="1" si="193"/>
        <v>0</v>
      </c>
      <c r="BX75" s="1486">
        <f t="shared" ca="1" si="193"/>
        <v>0</v>
      </c>
      <c r="BY75" s="1486">
        <f t="shared" ca="1" si="193"/>
        <v>0</v>
      </c>
      <c r="BZ75" s="1486">
        <f t="shared" ca="1" si="193"/>
        <v>0</v>
      </c>
      <c r="CA75" s="1486">
        <f t="shared" ca="1" si="193"/>
        <v>0</v>
      </c>
      <c r="CB75" s="1486">
        <f t="shared" ca="1" si="193"/>
        <v>0</v>
      </c>
      <c r="CC75" s="1486">
        <f t="shared" ca="1" si="193"/>
        <v>0</v>
      </c>
      <c r="CD75" s="1486">
        <f t="shared" ca="1" si="193"/>
        <v>0</v>
      </c>
      <c r="CE75" s="1486">
        <f t="shared" ca="1" si="193"/>
        <v>0</v>
      </c>
      <c r="CF75" s="1486">
        <f t="shared" ca="1" si="193"/>
        <v>0</v>
      </c>
      <c r="CG75" s="1486">
        <f t="shared" ca="1" si="193"/>
        <v>0</v>
      </c>
      <c r="CH75" s="1486">
        <f t="shared" ca="1" si="193"/>
        <v>0</v>
      </c>
      <c r="CI75" s="1486">
        <f t="shared" ca="1" si="193"/>
        <v>0</v>
      </c>
      <c r="CJ75" s="1486">
        <f t="shared" ca="1" si="193"/>
        <v>0</v>
      </c>
      <c r="CK75" s="1486">
        <f t="shared" ca="1" si="193"/>
        <v>0</v>
      </c>
      <c r="CL75" s="1486">
        <f t="shared" ca="1" si="193"/>
        <v>0</v>
      </c>
      <c r="CM75" s="1486">
        <f t="shared" ca="1" si="193"/>
        <v>0</v>
      </c>
      <c r="CN75" s="1486">
        <f t="shared" ca="1" si="193"/>
        <v>0</v>
      </c>
      <c r="CO75" s="1486">
        <f t="shared" ca="1" si="193"/>
        <v>0</v>
      </c>
      <c r="CP75" s="1486">
        <f t="shared" ca="1" si="193"/>
        <v>0</v>
      </c>
      <c r="CQ75" s="1486">
        <f t="shared" ca="1" si="193"/>
        <v>0</v>
      </c>
      <c r="CR75" s="1486">
        <f t="shared" ca="1" si="193"/>
        <v>0</v>
      </c>
      <c r="CS75" s="1486">
        <f t="shared" ca="1" si="193"/>
        <v>0</v>
      </c>
      <c r="CT75" s="1486">
        <f t="shared" ca="1" si="193"/>
        <v>0</v>
      </c>
      <c r="CU75" s="1486">
        <f t="shared" ca="1" si="193"/>
        <v>0</v>
      </c>
      <c r="CV75" s="1486">
        <f t="shared" ca="1" si="193"/>
        <v>0</v>
      </c>
      <c r="CW75" s="1486">
        <f t="shared" ca="1" si="193"/>
        <v>0</v>
      </c>
      <c r="CX75" s="1486">
        <f t="shared" ca="1" si="193"/>
        <v>0</v>
      </c>
      <c r="CY75" s="1486">
        <f t="shared" ca="1" si="193"/>
        <v>0</v>
      </c>
      <c r="CZ75" s="1486">
        <f t="shared" ca="1" si="193"/>
        <v>0</v>
      </c>
      <c r="DA75" s="1486">
        <f t="shared" ca="1" si="193"/>
        <v>0</v>
      </c>
      <c r="DB75" s="1486">
        <f t="shared" ca="1" si="193"/>
        <v>0</v>
      </c>
      <c r="DC75" s="1486">
        <f t="shared" ca="1" si="193"/>
        <v>0</v>
      </c>
      <c r="DD75" s="1486">
        <f t="shared" ca="1" si="193"/>
        <v>0</v>
      </c>
      <c r="DE75" s="1486">
        <f t="shared" ca="1" si="193"/>
        <v>0</v>
      </c>
      <c r="DF75" s="1486">
        <f t="shared" ca="1" si="193"/>
        <v>0</v>
      </c>
      <c r="DH75" s="838">
        <f t="shared" ca="1" si="123"/>
        <v>0</v>
      </c>
    </row>
    <row r="76" spans="1:112" s="743" customFormat="1" ht="15.75" collapsed="1">
      <c r="A76" s="22"/>
      <c r="B76" s="753"/>
      <c r="C76" s="744" t="s">
        <v>75</v>
      </c>
      <c r="D76" s="517" t="str">
        <f>INDEX(Workstreams[Workstream], MATCH($C76, Workstreams[Code], 0))</f>
        <v>Nuclear power generation</v>
      </c>
      <c r="E76" s="512"/>
      <c r="G76" s="1021">
        <f ca="1">G75</f>
        <v>0</v>
      </c>
      <c r="H76" s="1021">
        <f t="shared" ref="H76:P76" ca="1" si="194">H75</f>
        <v>0</v>
      </c>
      <c r="I76" s="1021">
        <f t="shared" ca="1" si="194"/>
        <v>0</v>
      </c>
      <c r="J76" s="1021">
        <f t="shared" ca="1" si="194"/>
        <v>0</v>
      </c>
      <c r="K76" s="1021">
        <f t="shared" ca="1" si="194"/>
        <v>0</v>
      </c>
      <c r="L76" s="1021">
        <f t="shared" ca="1" si="194"/>
        <v>0</v>
      </c>
      <c r="M76" s="1021">
        <f t="shared" ca="1" si="194"/>
        <v>0</v>
      </c>
      <c r="N76" s="1021">
        <f t="shared" ca="1" si="194"/>
        <v>0</v>
      </c>
      <c r="O76" s="1021">
        <f t="shared" ca="1" si="194"/>
        <v>0</v>
      </c>
      <c r="P76" s="1021">
        <f t="shared" ca="1" si="194"/>
        <v>0</v>
      </c>
      <c r="Q76" s="1021">
        <f ca="1">SUM(G76:P76)</f>
        <v>0</v>
      </c>
      <c r="S76" s="970">
        <f t="shared" ref="S76:AJ76" ca="1" si="195">S75</f>
        <v>0</v>
      </c>
      <c r="T76" s="970">
        <f t="shared" ca="1" si="195"/>
        <v>44.180639999999997</v>
      </c>
      <c r="U76" s="970">
        <f t="shared" ca="1" si="195"/>
        <v>0</v>
      </c>
      <c r="V76" s="970">
        <f t="shared" ca="1" si="195"/>
        <v>0</v>
      </c>
      <c r="W76" s="970">
        <f t="shared" ca="1" si="195"/>
        <v>0</v>
      </c>
      <c r="X76" s="970">
        <f t="shared" ca="1" si="195"/>
        <v>0</v>
      </c>
      <c r="Y76" s="970">
        <f t="shared" ca="1" si="195"/>
        <v>0</v>
      </c>
      <c r="Z76" s="970">
        <f t="shared" ca="1" si="195"/>
        <v>0</v>
      </c>
      <c r="AA76" s="970">
        <f t="shared" ca="1" si="195"/>
        <v>0</v>
      </c>
      <c r="AB76" s="970">
        <f t="shared" ca="1" si="195"/>
        <v>0</v>
      </c>
      <c r="AC76" s="970">
        <f t="shared" ca="1" si="195"/>
        <v>0</v>
      </c>
      <c r="AD76" s="970">
        <f ca="1">AD75</f>
        <v>0</v>
      </c>
      <c r="AE76" s="970">
        <f ca="1">AE75</f>
        <v>0</v>
      </c>
      <c r="AF76" s="970">
        <f t="shared" ca="1" si="195"/>
        <v>0</v>
      </c>
      <c r="AG76" s="970">
        <f ca="1">AG75</f>
        <v>0</v>
      </c>
      <c r="AH76" s="970">
        <f ca="1">AH75</f>
        <v>0</v>
      </c>
      <c r="AI76" s="970">
        <f ca="1">AI75</f>
        <v>0</v>
      </c>
      <c r="AJ76" s="970">
        <f t="shared" ca="1" si="195"/>
        <v>0</v>
      </c>
      <c r="AK76" s="970">
        <f ca="1">SUM(S76:AJ76)</f>
        <v>44.180639999999997</v>
      </c>
      <c r="AM76" s="976">
        <f ca="1">AM75</f>
        <v>0</v>
      </c>
      <c r="AN76" s="976">
        <f t="shared" ref="AN76:BE76" ca="1" si="196">AN75</f>
        <v>0</v>
      </c>
      <c r="AO76" s="976">
        <f t="shared" ca="1" si="196"/>
        <v>0</v>
      </c>
      <c r="AP76" s="976">
        <f t="shared" ca="1" si="196"/>
        <v>0</v>
      </c>
      <c r="AQ76" s="976">
        <f t="shared" ca="1" si="196"/>
        <v>0</v>
      </c>
      <c r="AR76" s="976">
        <f t="shared" ca="1" si="196"/>
        <v>0</v>
      </c>
      <c r="AS76" s="976">
        <f t="shared" ca="1" si="196"/>
        <v>0</v>
      </c>
      <c r="AT76" s="976">
        <f t="shared" ca="1" si="196"/>
        <v>0</v>
      </c>
      <c r="AU76" s="976">
        <f t="shared" ca="1" si="196"/>
        <v>0</v>
      </c>
      <c r="AV76" s="976">
        <f t="shared" ca="1" si="196"/>
        <v>-134.99639999999999</v>
      </c>
      <c r="AW76" s="976">
        <f t="shared" ca="1" si="196"/>
        <v>0</v>
      </c>
      <c r="AX76" s="976">
        <f t="shared" ca="1" si="196"/>
        <v>0</v>
      </c>
      <c r="AY76" s="976">
        <f t="shared" ca="1" si="196"/>
        <v>0</v>
      </c>
      <c r="AZ76" s="976">
        <f t="shared" ca="1" si="196"/>
        <v>0</v>
      </c>
      <c r="BA76" s="976">
        <f t="shared" ca="1" si="196"/>
        <v>0</v>
      </c>
      <c r="BB76" s="976">
        <f t="shared" ca="1" si="196"/>
        <v>0</v>
      </c>
      <c r="BC76" s="976">
        <f t="shared" ca="1" si="196"/>
        <v>0</v>
      </c>
      <c r="BD76" s="976">
        <f t="shared" ca="1" si="196"/>
        <v>0</v>
      </c>
      <c r="BE76" s="976">
        <f t="shared" ca="1" si="196"/>
        <v>0</v>
      </c>
      <c r="BF76" s="976">
        <f ca="1">SUM(AM76:BE76)</f>
        <v>-134.99639999999999</v>
      </c>
      <c r="BH76" s="990">
        <f ca="1">BH75</f>
        <v>86.397695999999996</v>
      </c>
      <c r="BI76" s="990">
        <f ca="1">BI75</f>
        <v>4.4180640000000002</v>
      </c>
      <c r="BJ76" s="990">
        <f ca="1">SUM(BH76:BI76)</f>
        <v>90.815759999999997</v>
      </c>
      <c r="BL76" s="515">
        <f t="shared" ca="1" si="189"/>
        <v>0</v>
      </c>
      <c r="BM76" s="515"/>
      <c r="BN76" s="840"/>
      <c r="BO76" s="1482">
        <f t="shared" ref="BO76:DF76" ca="1" si="197">BO75</f>
        <v>0</v>
      </c>
      <c r="BP76" s="1482">
        <f t="shared" ca="1" si="197"/>
        <v>0</v>
      </c>
      <c r="BQ76" s="1482">
        <f t="shared" ca="1" si="197"/>
        <v>0</v>
      </c>
      <c r="BR76" s="1482">
        <f t="shared" ca="1" si="197"/>
        <v>0</v>
      </c>
      <c r="BS76" s="1482">
        <f t="shared" ca="1" si="197"/>
        <v>0</v>
      </c>
      <c r="BT76" s="1482">
        <f t="shared" ca="1" si="197"/>
        <v>0</v>
      </c>
      <c r="BU76" s="1482">
        <f t="shared" ca="1" si="197"/>
        <v>0</v>
      </c>
      <c r="BV76" s="1482">
        <f t="shared" ca="1" si="197"/>
        <v>0</v>
      </c>
      <c r="BW76" s="1482">
        <f t="shared" ca="1" si="197"/>
        <v>0</v>
      </c>
      <c r="BX76" s="1482">
        <f t="shared" ca="1" si="197"/>
        <v>0</v>
      </c>
      <c r="BY76" s="1482">
        <f t="shared" ca="1" si="197"/>
        <v>0</v>
      </c>
      <c r="BZ76" s="1482">
        <f t="shared" ca="1" si="197"/>
        <v>0</v>
      </c>
      <c r="CA76" s="1482">
        <f t="shared" ca="1" si="197"/>
        <v>0</v>
      </c>
      <c r="CB76" s="1482">
        <f t="shared" ca="1" si="197"/>
        <v>0</v>
      </c>
      <c r="CC76" s="1482">
        <f t="shared" ca="1" si="197"/>
        <v>0</v>
      </c>
      <c r="CD76" s="1482">
        <f t="shared" ca="1" si="197"/>
        <v>0</v>
      </c>
      <c r="CE76" s="1482">
        <f t="shared" ca="1" si="197"/>
        <v>0</v>
      </c>
      <c r="CF76" s="1482">
        <f t="shared" ca="1" si="197"/>
        <v>0</v>
      </c>
      <c r="CG76" s="1482">
        <f t="shared" ca="1" si="197"/>
        <v>0</v>
      </c>
      <c r="CH76" s="1482">
        <f t="shared" ca="1" si="197"/>
        <v>0</v>
      </c>
      <c r="CI76" s="1482">
        <f t="shared" ca="1" si="197"/>
        <v>0</v>
      </c>
      <c r="CJ76" s="1482">
        <f t="shared" ca="1" si="197"/>
        <v>0</v>
      </c>
      <c r="CK76" s="1482">
        <f t="shared" ca="1" si="197"/>
        <v>0</v>
      </c>
      <c r="CL76" s="1482">
        <f t="shared" ca="1" si="197"/>
        <v>0</v>
      </c>
      <c r="CM76" s="1482">
        <f t="shared" ca="1" si="197"/>
        <v>0</v>
      </c>
      <c r="CN76" s="1482">
        <f t="shared" ca="1" si="197"/>
        <v>0</v>
      </c>
      <c r="CO76" s="1482">
        <f t="shared" ca="1" si="197"/>
        <v>0</v>
      </c>
      <c r="CP76" s="1482">
        <f t="shared" ca="1" si="197"/>
        <v>0</v>
      </c>
      <c r="CQ76" s="1482">
        <f t="shared" ca="1" si="197"/>
        <v>0</v>
      </c>
      <c r="CR76" s="1482">
        <f t="shared" ca="1" si="197"/>
        <v>0</v>
      </c>
      <c r="CS76" s="1482">
        <f t="shared" ca="1" si="197"/>
        <v>0</v>
      </c>
      <c r="CT76" s="1482">
        <f t="shared" ca="1" si="197"/>
        <v>0</v>
      </c>
      <c r="CU76" s="1482">
        <f t="shared" ca="1" si="197"/>
        <v>0</v>
      </c>
      <c r="CV76" s="1482">
        <f t="shared" ca="1" si="197"/>
        <v>0</v>
      </c>
      <c r="CW76" s="1482">
        <f t="shared" ca="1" si="197"/>
        <v>0</v>
      </c>
      <c r="CX76" s="1482">
        <f t="shared" ca="1" si="197"/>
        <v>0</v>
      </c>
      <c r="CY76" s="1482">
        <f t="shared" ca="1" si="197"/>
        <v>0</v>
      </c>
      <c r="CZ76" s="1482">
        <f t="shared" ca="1" si="197"/>
        <v>0</v>
      </c>
      <c r="DA76" s="1482">
        <f t="shared" ca="1" si="197"/>
        <v>0</v>
      </c>
      <c r="DB76" s="1482">
        <f t="shared" ca="1" si="197"/>
        <v>0</v>
      </c>
      <c r="DC76" s="1482">
        <f t="shared" ca="1" si="197"/>
        <v>0</v>
      </c>
      <c r="DD76" s="1482">
        <f t="shared" ca="1" si="197"/>
        <v>0</v>
      </c>
      <c r="DE76" s="1482">
        <f t="shared" ca="1" si="197"/>
        <v>0</v>
      </c>
      <c r="DF76" s="1482">
        <f t="shared" ca="1" si="197"/>
        <v>0</v>
      </c>
      <c r="DH76" s="838">
        <f t="shared" ca="1" si="123"/>
        <v>0</v>
      </c>
    </row>
    <row r="77" spans="1:112" s="743" customFormat="1" ht="12.75" hidden="1" customHeight="1" outlineLevel="1">
      <c r="A77" s="22"/>
      <c r="B77" s="22"/>
      <c r="C77" s="751"/>
      <c r="D77" s="512"/>
      <c r="E77" s="512"/>
      <c r="G77" s="958"/>
      <c r="H77" s="958"/>
      <c r="I77" s="958"/>
      <c r="J77" s="958"/>
      <c r="K77" s="960"/>
      <c r="L77" s="958"/>
      <c r="M77" s="958"/>
      <c r="N77" s="958"/>
      <c r="O77" s="958"/>
      <c r="P77" s="958"/>
      <c r="Q77" s="958"/>
      <c r="S77" s="970"/>
      <c r="T77" s="970"/>
      <c r="U77" s="970"/>
      <c r="V77" s="970"/>
      <c r="W77" s="970"/>
      <c r="X77" s="970"/>
      <c r="Y77" s="970"/>
      <c r="Z77" s="970"/>
      <c r="AA77" s="970"/>
      <c r="AB77" s="970"/>
      <c r="AC77" s="970"/>
      <c r="AD77" s="970"/>
      <c r="AE77" s="970"/>
      <c r="AF77" s="970"/>
      <c r="AG77" s="970"/>
      <c r="AH77" s="970"/>
      <c r="AI77" s="970"/>
      <c r="AJ77" s="970"/>
      <c r="AK77" s="970"/>
      <c r="AM77" s="976"/>
      <c r="AN77" s="976"/>
      <c r="AO77" s="976"/>
      <c r="AP77" s="976"/>
      <c r="AQ77" s="976"/>
      <c r="AR77" s="976"/>
      <c r="AS77" s="976"/>
      <c r="AT77" s="976"/>
      <c r="AU77" s="976"/>
      <c r="AV77" s="976"/>
      <c r="AW77" s="976"/>
      <c r="AX77" s="976"/>
      <c r="AY77" s="976"/>
      <c r="AZ77" s="976"/>
      <c r="BA77" s="976"/>
      <c r="BB77" s="976"/>
      <c r="BC77" s="976"/>
      <c r="BD77" s="976"/>
      <c r="BE77" s="976"/>
      <c r="BF77" s="976"/>
      <c r="BH77" s="990"/>
      <c r="BI77" s="990"/>
      <c r="BJ77" s="990"/>
      <c r="BL77" s="515">
        <f t="shared" si="189"/>
        <v>0</v>
      </c>
      <c r="BM77" s="515"/>
      <c r="BN77" s="22"/>
      <c r="BO77" s="1482"/>
      <c r="BP77" s="1482"/>
      <c r="BQ77" s="1482"/>
      <c r="BR77" s="1482"/>
      <c r="BS77" s="1482"/>
      <c r="BT77" s="1482"/>
      <c r="BU77" s="1482"/>
      <c r="BV77" s="1482"/>
      <c r="BW77" s="1482"/>
      <c r="BX77" s="1482"/>
      <c r="BY77" s="1482"/>
      <c r="BZ77" s="1482"/>
      <c r="CA77" s="1482"/>
      <c r="CB77" s="1482"/>
      <c r="CC77" s="1482"/>
      <c r="CD77" s="1482"/>
      <c r="CE77" s="1482"/>
      <c r="CF77" s="1482"/>
      <c r="CG77" s="1482"/>
      <c r="CH77" s="1482"/>
      <c r="CI77" s="1482"/>
      <c r="CJ77" s="1482"/>
      <c r="CK77" s="1482"/>
      <c r="CL77" s="1482"/>
      <c r="CM77" s="1482"/>
      <c r="CN77" s="1482"/>
      <c r="CO77" s="1482"/>
      <c r="CP77" s="1482"/>
      <c r="CQ77" s="1482"/>
      <c r="CR77" s="1482"/>
      <c r="CS77" s="1482"/>
      <c r="CT77" s="1482"/>
      <c r="CU77" s="1482"/>
      <c r="CV77" s="1482"/>
      <c r="CW77" s="1482"/>
      <c r="CX77" s="1482"/>
      <c r="CY77" s="1482"/>
      <c r="CZ77" s="1482"/>
      <c r="DA77" s="1482"/>
      <c r="DB77" s="1482"/>
      <c r="DC77" s="1482"/>
      <c r="DD77" s="1482"/>
      <c r="DE77" s="1482"/>
      <c r="DF77" s="1482"/>
      <c r="DH77" s="838">
        <f t="shared" si="123"/>
        <v>0</v>
      </c>
    </row>
    <row r="78" spans="1:112" s="1488" customFormat="1" ht="12.75" hidden="1" customHeight="1" outlineLevel="1">
      <c r="C78" s="1048" t="s">
        <v>1720</v>
      </c>
      <c r="D78" s="1049" t="s">
        <v>1334</v>
      </c>
      <c r="E78" s="1049"/>
      <c r="F78" s="743"/>
      <c r="G78" s="1050"/>
      <c r="H78" s="1050"/>
      <c r="I78" s="1050"/>
      <c r="J78" s="1050"/>
      <c r="K78" s="1051"/>
      <c r="L78" s="1050"/>
      <c r="M78" s="1050"/>
      <c r="N78" s="1050"/>
      <c r="O78" s="1050"/>
      <c r="P78" s="1050"/>
      <c r="Q78" s="1050"/>
      <c r="R78" s="743"/>
      <c r="S78" s="1052">
        <f ca="1">S$74+S$76</f>
        <v>-373.16495041083652</v>
      </c>
      <c r="T78" s="1052">
        <f ca="1">T$74+T$76</f>
        <v>49.642451749191096</v>
      </c>
      <c r="U78" s="1052"/>
      <c r="V78" s="1052"/>
      <c r="W78" s="1052"/>
      <c r="X78" s="1052"/>
      <c r="Y78" s="1052"/>
      <c r="Z78" s="1052"/>
      <c r="AA78" s="1052"/>
      <c r="AB78" s="1052"/>
      <c r="AC78" s="1052"/>
      <c r="AD78" s="1052"/>
      <c r="AE78" s="1052"/>
      <c r="AF78" s="1052"/>
      <c r="AG78" s="1052"/>
      <c r="AH78" s="1052"/>
      <c r="AI78" s="1052"/>
      <c r="AJ78" s="1052"/>
      <c r="AK78" s="1052"/>
      <c r="AL78" s="743"/>
      <c r="AM78" s="1053"/>
      <c r="AN78" s="1053"/>
      <c r="AO78" s="1053"/>
      <c r="AP78" s="1053"/>
      <c r="AQ78" s="1053"/>
      <c r="AR78" s="1053"/>
      <c r="AS78" s="1053"/>
      <c r="AT78" s="1053"/>
      <c r="AU78" s="1053"/>
      <c r="AV78" s="1053"/>
      <c r="AW78" s="1053"/>
      <c r="AX78" s="1053"/>
      <c r="AY78" s="1053"/>
      <c r="AZ78" s="1053"/>
      <c r="BA78" s="1053"/>
      <c r="BB78" s="1053"/>
      <c r="BC78" s="1053"/>
      <c r="BD78" s="1053"/>
      <c r="BE78" s="1053"/>
      <c r="BF78" s="1053"/>
      <c r="BG78" s="743"/>
      <c r="BH78" s="1054"/>
      <c r="BI78" s="1054"/>
      <c r="BJ78" s="1054"/>
      <c r="BK78" s="743"/>
      <c r="BL78" s="852">
        <f t="shared" si="189"/>
        <v>0</v>
      </c>
      <c r="BM78" s="852"/>
      <c r="BO78" s="1490"/>
      <c r="BP78" s="1490"/>
      <c r="BQ78" s="1490"/>
      <c r="BR78" s="1490"/>
      <c r="BS78" s="1490"/>
      <c r="BT78" s="1490"/>
      <c r="BU78" s="1490"/>
      <c r="BV78" s="1490"/>
      <c r="BW78" s="1490"/>
      <c r="BX78" s="1490"/>
      <c r="BY78" s="1490"/>
      <c r="BZ78" s="1490"/>
      <c r="CA78" s="1490"/>
      <c r="CB78" s="1490"/>
      <c r="CC78" s="1490"/>
      <c r="CD78" s="1490"/>
      <c r="CE78" s="1490"/>
      <c r="CF78" s="1490"/>
      <c r="CG78" s="1490"/>
      <c r="CH78" s="1490"/>
      <c r="CI78" s="1490"/>
      <c r="CJ78" s="1490"/>
      <c r="CK78" s="1490"/>
      <c r="CL78" s="1490"/>
      <c r="CM78" s="1490"/>
      <c r="CN78" s="1490"/>
      <c r="CO78" s="1490"/>
      <c r="CP78" s="1490"/>
      <c r="CQ78" s="1490"/>
      <c r="CR78" s="1490"/>
      <c r="CS78" s="1490"/>
      <c r="CT78" s="1490"/>
      <c r="CU78" s="1490"/>
      <c r="CV78" s="1490"/>
      <c r="CW78" s="1490"/>
      <c r="CX78" s="1490"/>
      <c r="CY78" s="1490"/>
      <c r="CZ78" s="1490"/>
      <c r="DA78" s="1490"/>
      <c r="DB78" s="1490"/>
      <c r="DC78" s="1490"/>
      <c r="DD78" s="1490"/>
      <c r="DE78" s="1490"/>
      <c r="DF78" s="1490"/>
      <c r="DH78" s="838">
        <f t="shared" si="123"/>
        <v>0</v>
      </c>
    </row>
    <row r="79" spans="1:112" s="1484" customFormat="1" ht="12.75" hidden="1" customHeight="1" outlineLevel="1">
      <c r="C79" s="746" t="s">
        <v>878</v>
      </c>
      <c r="D79" s="521" t="str">
        <f>INDEX(Modules[Module], MATCH($C79, Modules[Code], 0))</f>
        <v>Combustion + CCS</v>
      </c>
      <c r="E79" s="521"/>
      <c r="F79" s="743"/>
      <c r="G79" s="2013">
        <f t="shared" ref="G79:P79" ca="1" si="198">IFERROR(INDEX(INDIRECT($C79&amp;".Outputs["&amp;this.Year&amp;"]"), MATCH(G$5, INDIRECT($C79&amp;".Outputs[Vector]"), 0)), 0)</f>
        <v>0</v>
      </c>
      <c r="H79" s="2013">
        <f t="shared" ca="1" si="198"/>
        <v>0</v>
      </c>
      <c r="I79" s="2013">
        <f t="shared" ca="1" si="198"/>
        <v>0</v>
      </c>
      <c r="J79" s="2013">
        <f t="shared" ca="1" si="198"/>
        <v>0</v>
      </c>
      <c r="K79" s="2013">
        <f t="shared" ca="1" si="198"/>
        <v>0</v>
      </c>
      <c r="L79" s="2013">
        <f t="shared" ca="1" si="198"/>
        <v>0</v>
      </c>
      <c r="M79" s="2013">
        <f t="shared" ca="1" si="198"/>
        <v>0</v>
      </c>
      <c r="N79" s="2013">
        <f t="shared" ca="1" si="198"/>
        <v>0</v>
      </c>
      <c r="O79" s="2013">
        <f t="shared" ca="1" si="198"/>
        <v>0</v>
      </c>
      <c r="P79" s="2013">
        <f t="shared" ca="1" si="198"/>
        <v>0</v>
      </c>
      <c r="Q79" s="2014">
        <f ca="1">SUM(G79:P79)</f>
        <v>0</v>
      </c>
      <c r="R79" s="743"/>
      <c r="S79" s="2015">
        <f t="shared" ref="S79:BE79" ca="1" si="199">IFERROR(INDEX(INDIRECT($C79&amp;".Outputs["&amp;this.Year&amp;"]"), MATCH(S$5, INDIRECT($C79&amp;".Outputs[Vector]"), 0)), 0)</f>
        <v>0</v>
      </c>
      <c r="T79" s="2015">
        <f t="shared" ca="1" si="199"/>
        <v>1.6778124000000003</v>
      </c>
      <c r="U79" s="2015">
        <f t="shared" ca="1" si="199"/>
        <v>-5.1252920433392211</v>
      </c>
      <c r="V79" s="2015">
        <f t="shared" ca="1" si="199"/>
        <v>0</v>
      </c>
      <c r="W79" s="2015">
        <f t="shared" ca="1" si="199"/>
        <v>0</v>
      </c>
      <c r="X79" s="2015">
        <f ca="1">IFERROR(INDEX(INDIRECT($C79&amp;".Outputs["&amp;this.Year&amp;"]"), MATCH(X$5, INDIRECT($C79&amp;".Outputs[Vector]"), 0)), 0)</f>
        <v>0</v>
      </c>
      <c r="Y79" s="2015">
        <f ca="1">IFERROR(INDEX(INDIRECT($C79&amp;".Outputs["&amp;this.Year&amp;"]"), MATCH(Y$5, INDIRECT($C79&amp;".Outputs[Vector]"), 0)), 0)</f>
        <v>0</v>
      </c>
      <c r="Z79" s="2015">
        <f ca="1">IFERROR(INDEX(INDIRECT($C79&amp;".Outputs["&amp;this.Year&amp;"]"), MATCH(Z$5, INDIRECT($C79&amp;".Outputs[Vector]"), 0)), 0)</f>
        <v>0</v>
      </c>
      <c r="AA79" s="2015">
        <f t="shared" ca="1" si="199"/>
        <v>0</v>
      </c>
      <c r="AB79" s="2015">
        <f t="shared" ca="1" si="199"/>
        <v>0</v>
      </c>
      <c r="AC79" s="2015">
        <f t="shared" ca="1" si="199"/>
        <v>0</v>
      </c>
      <c r="AD79" s="2015">
        <f t="shared" ca="1" si="199"/>
        <v>0</v>
      </c>
      <c r="AE79" s="2015">
        <f t="shared" ca="1" si="199"/>
        <v>0</v>
      </c>
      <c r="AF79" s="2015">
        <f t="shared" ca="1" si="199"/>
        <v>0</v>
      </c>
      <c r="AG79" s="2015">
        <f t="shared" ca="1" si="199"/>
        <v>0</v>
      </c>
      <c r="AH79" s="2015">
        <f t="shared" ca="1" si="199"/>
        <v>0</v>
      </c>
      <c r="AI79" s="2015">
        <f t="shared" ca="1" si="199"/>
        <v>0</v>
      </c>
      <c r="AJ79" s="2015">
        <f t="shared" ca="1" si="199"/>
        <v>0</v>
      </c>
      <c r="AK79" s="2016">
        <f ca="1">SUM(S79:AJ79)</f>
        <v>-3.4474796433392205</v>
      </c>
      <c r="AL79" s="743"/>
      <c r="AM79" s="2017">
        <f t="shared" ref="AM79:AU79" ca="1" si="200">IFERROR(INDEX(INDIRECT($C79&amp;".Outputs["&amp;this.Year&amp;"]"), MATCH(AM$5, INDIRECT($C79&amp;".Outputs[Vector]"), 0)), 0)</f>
        <v>0</v>
      </c>
      <c r="AN79" s="2017">
        <f t="shared" ca="1" si="200"/>
        <v>0</v>
      </c>
      <c r="AO79" s="2017">
        <f t="shared" ca="1" si="200"/>
        <v>0</v>
      </c>
      <c r="AP79" s="2017">
        <f t="shared" ca="1" si="200"/>
        <v>0</v>
      </c>
      <c r="AQ79" s="2017">
        <f t="shared" ca="1" si="200"/>
        <v>0</v>
      </c>
      <c r="AR79" s="2017">
        <f t="shared" ca="1" si="200"/>
        <v>0</v>
      </c>
      <c r="AS79" s="2017">
        <f t="shared" ca="1" si="200"/>
        <v>0</v>
      </c>
      <c r="AT79" s="2017">
        <f t="shared" ca="1" si="200"/>
        <v>0</v>
      </c>
      <c r="AU79" s="2017">
        <f t="shared" ca="1" si="200"/>
        <v>0</v>
      </c>
      <c r="AV79" s="2017">
        <f t="shared" ca="1" si="199"/>
        <v>0</v>
      </c>
      <c r="AW79" s="2017">
        <f t="shared" ca="1" si="199"/>
        <v>0</v>
      </c>
      <c r="AX79" s="2017">
        <f t="shared" ca="1" si="199"/>
        <v>0</v>
      </c>
      <c r="AY79" s="2017">
        <f t="shared" ca="1" si="199"/>
        <v>0</v>
      </c>
      <c r="AZ79" s="2017">
        <f t="shared" ca="1" si="199"/>
        <v>0</v>
      </c>
      <c r="BA79" s="2017">
        <f t="shared" ca="1" si="199"/>
        <v>0</v>
      </c>
      <c r="BB79" s="2017">
        <f t="shared" ca="1" si="199"/>
        <v>0</v>
      </c>
      <c r="BC79" s="2017">
        <f t="shared" ca="1" si="199"/>
        <v>0</v>
      </c>
      <c r="BD79" s="2017">
        <f t="shared" ca="1" si="199"/>
        <v>0</v>
      </c>
      <c r="BE79" s="2017">
        <f t="shared" ca="1" si="199"/>
        <v>0</v>
      </c>
      <c r="BF79" s="2018">
        <f ca="1">SUM(AM79:BE79)</f>
        <v>0</v>
      </c>
      <c r="BG79" s="743"/>
      <c r="BH79" s="2019">
        <f ca="1">IFERROR(INDEX(INDIRECT($C79&amp;".Outputs["&amp;this.Year&amp;"]"), MATCH(BH$5, INDIRECT($C79&amp;".Outputs[Vector]"), 0)), 0)</f>
        <v>2.7868775485657014</v>
      </c>
      <c r="BI79" s="2019">
        <f ca="1">IFERROR(INDEX(INDIRECT($C79&amp;".Outputs["&amp;this.Year&amp;"]"), MATCH(BI$5, INDIRECT($C79&amp;".Outputs[Vector]"), 0)), 0)</f>
        <v>0.66060209477351928</v>
      </c>
      <c r="BJ79" s="2020">
        <f ca="1">SUM(BH79:BI79)</f>
        <v>3.4474796433392205</v>
      </c>
      <c r="BK79" s="743"/>
      <c r="BL79" s="814">
        <f t="shared" ca="1" si="189"/>
        <v>0</v>
      </c>
      <c r="BM79" s="814"/>
      <c r="BN79" s="840"/>
      <c r="BO79" s="1481">
        <f t="shared" ref="BO79:DF79" ca="1" si="201">IFERROR(SUMIFS(INDIRECT($C79&amp;".Emissions["&amp;this.Year&amp;"]"), INDIRECT($C79&amp;".Emissions[GHG]"), BO$6, INDIRECT($C79&amp;".Emissions[IPCC Sector]"), BO$5),0)</f>
        <v>1.5785899493484798</v>
      </c>
      <c r="BP79" s="1482">
        <f t="shared" ca="1" si="201"/>
        <v>4.637326806380287E-3</v>
      </c>
      <c r="BQ79" s="1482">
        <f t="shared" ca="1" si="201"/>
        <v>1.3983960277562692E-2</v>
      </c>
      <c r="BR79" s="1482">
        <f t="shared" ca="1" si="201"/>
        <v>0</v>
      </c>
      <c r="BS79" s="1482">
        <f t="shared" ca="1" si="201"/>
        <v>0</v>
      </c>
      <c r="BT79" s="1482">
        <f t="shared" ca="1" si="201"/>
        <v>0</v>
      </c>
      <c r="BU79" s="1482">
        <f t="shared" ca="1" si="201"/>
        <v>0</v>
      </c>
      <c r="BV79" s="1482">
        <f t="shared" ca="1" si="201"/>
        <v>0</v>
      </c>
      <c r="BW79" s="1482">
        <f t="shared" ca="1" si="201"/>
        <v>0</v>
      </c>
      <c r="BX79" s="1482">
        <f t="shared" ca="1" si="201"/>
        <v>0</v>
      </c>
      <c r="BY79" s="1482">
        <f t="shared" ca="1" si="201"/>
        <v>0</v>
      </c>
      <c r="BZ79" s="1482">
        <f t="shared" ca="1" si="201"/>
        <v>0</v>
      </c>
      <c r="CA79" s="1482">
        <f t="shared" ca="1" si="201"/>
        <v>0</v>
      </c>
      <c r="CB79" s="1482">
        <f t="shared" ca="1" si="201"/>
        <v>0</v>
      </c>
      <c r="CC79" s="1482">
        <f t="shared" ca="1" si="201"/>
        <v>0</v>
      </c>
      <c r="CD79" s="1482">
        <f t="shared" ca="1" si="201"/>
        <v>0</v>
      </c>
      <c r="CE79" s="1482">
        <f t="shared" ca="1" si="201"/>
        <v>0</v>
      </c>
      <c r="CF79" s="1482">
        <f t="shared" ca="1" si="201"/>
        <v>0</v>
      </c>
      <c r="CG79" s="1482">
        <f t="shared" ca="1" si="201"/>
        <v>0</v>
      </c>
      <c r="CH79" s="1482">
        <f t="shared" ca="1" si="201"/>
        <v>0</v>
      </c>
      <c r="CI79" s="1482">
        <f t="shared" ca="1" si="201"/>
        <v>0</v>
      </c>
      <c r="CJ79" s="1482">
        <f t="shared" ca="1" si="201"/>
        <v>0</v>
      </c>
      <c r="CK79" s="1482">
        <f t="shared" ca="1" si="201"/>
        <v>0</v>
      </c>
      <c r="CL79" s="1482">
        <f t="shared" ca="1" si="201"/>
        <v>0</v>
      </c>
      <c r="CM79" s="1482">
        <f t="shared" ca="1" si="201"/>
        <v>0</v>
      </c>
      <c r="CN79" s="1482">
        <f t="shared" ca="1" si="201"/>
        <v>0</v>
      </c>
      <c r="CO79" s="1482">
        <f t="shared" ca="1" si="201"/>
        <v>0</v>
      </c>
      <c r="CP79" s="1482">
        <f t="shared" ca="1" si="201"/>
        <v>0</v>
      </c>
      <c r="CQ79" s="1482">
        <f t="shared" ca="1" si="201"/>
        <v>0</v>
      </c>
      <c r="CR79" s="1482">
        <f t="shared" ca="1" si="201"/>
        <v>0</v>
      </c>
      <c r="CS79" s="1482">
        <f t="shared" ca="1" si="201"/>
        <v>0</v>
      </c>
      <c r="CT79" s="1482">
        <f t="shared" ca="1" si="201"/>
        <v>0</v>
      </c>
      <c r="CU79" s="1482">
        <f t="shared" ca="1" si="201"/>
        <v>0</v>
      </c>
      <c r="CV79" s="1482">
        <f t="shared" ca="1" si="201"/>
        <v>0</v>
      </c>
      <c r="CW79" s="1482">
        <f t="shared" ca="1" si="201"/>
        <v>0</v>
      </c>
      <c r="CX79" s="1482">
        <f t="shared" ca="1" si="201"/>
        <v>0</v>
      </c>
      <c r="CY79" s="1482">
        <f t="shared" ca="1" si="201"/>
        <v>0</v>
      </c>
      <c r="CZ79" s="1482">
        <f t="shared" ca="1" si="201"/>
        <v>0</v>
      </c>
      <c r="DA79" s="1482">
        <f t="shared" ca="1" si="201"/>
        <v>0</v>
      </c>
      <c r="DB79" s="1482">
        <f t="shared" ca="1" si="201"/>
        <v>0</v>
      </c>
      <c r="DC79" s="1482">
        <f t="shared" ca="1" si="201"/>
        <v>-1.420730954413632</v>
      </c>
      <c r="DD79" s="1482">
        <f t="shared" ca="1" si="201"/>
        <v>0</v>
      </c>
      <c r="DE79" s="1482">
        <f t="shared" ca="1" si="201"/>
        <v>0</v>
      </c>
      <c r="DF79" s="1482">
        <f t="shared" ca="1" si="201"/>
        <v>0</v>
      </c>
      <c r="DH79" s="838">
        <f t="shared" ca="1" si="123"/>
        <v>0.17648028201879074</v>
      </c>
    </row>
    <row r="80" spans="1:112" s="1491" customFormat="1" ht="12.75" hidden="1" customHeight="1" outlineLevel="1">
      <c r="C80" s="1534" t="s">
        <v>1721</v>
      </c>
      <c r="D80" s="1049" t="s">
        <v>1334</v>
      </c>
      <c r="E80" s="1535"/>
      <c r="F80" s="1957"/>
      <c r="G80" s="1070"/>
      <c r="H80" s="1070"/>
      <c r="I80" s="1070"/>
      <c r="J80" s="1070"/>
      <c r="K80" s="1071"/>
      <c r="L80" s="1070"/>
      <c r="M80" s="1070"/>
      <c r="N80" s="1070"/>
      <c r="O80" s="1070"/>
      <c r="P80" s="1070"/>
      <c r="Q80" s="1070"/>
      <c r="R80" s="1957"/>
      <c r="S80" s="1072">
        <f ca="1">S78+S79</f>
        <v>-373.16495041083652</v>
      </c>
      <c r="T80" s="1072">
        <f ca="1">T78+T79</f>
        <v>51.320264149191097</v>
      </c>
      <c r="U80" s="1072"/>
      <c r="V80" s="1072"/>
      <c r="W80" s="1072"/>
      <c r="X80" s="1072"/>
      <c r="Y80" s="1072"/>
      <c r="Z80" s="1072"/>
      <c r="AA80" s="1072"/>
      <c r="AB80" s="1072"/>
      <c r="AC80" s="1072"/>
      <c r="AD80" s="1072"/>
      <c r="AE80" s="1072"/>
      <c r="AF80" s="1072"/>
      <c r="AG80" s="1072"/>
      <c r="AH80" s="1072"/>
      <c r="AI80" s="1072"/>
      <c r="AJ80" s="1072"/>
      <c r="AK80" s="1072"/>
      <c r="AL80" s="1957"/>
      <c r="AM80" s="1073"/>
      <c r="AN80" s="1073"/>
      <c r="AO80" s="1073"/>
      <c r="AP80" s="1073"/>
      <c r="AQ80" s="1073"/>
      <c r="AR80" s="1073"/>
      <c r="AS80" s="1073"/>
      <c r="AT80" s="1073"/>
      <c r="AU80" s="1073"/>
      <c r="AV80" s="1073"/>
      <c r="AW80" s="1073"/>
      <c r="AX80" s="1073"/>
      <c r="AY80" s="1073"/>
      <c r="AZ80" s="1073"/>
      <c r="BA80" s="1073"/>
      <c r="BB80" s="1073"/>
      <c r="BC80" s="1073"/>
      <c r="BD80" s="1073"/>
      <c r="BE80" s="1073"/>
      <c r="BF80" s="1073"/>
      <c r="BG80" s="1957"/>
      <c r="BH80" s="1074"/>
      <c r="BI80" s="1074"/>
      <c r="BJ80" s="1074"/>
      <c r="BK80" s="1957"/>
      <c r="BL80" s="1536">
        <f t="shared" si="189"/>
        <v>0</v>
      </c>
      <c r="BM80" s="1536"/>
      <c r="BO80" s="1963"/>
      <c r="BP80" s="1963"/>
      <c r="BQ80" s="1963"/>
      <c r="BR80" s="1963"/>
      <c r="BS80" s="1963"/>
      <c r="BT80" s="1963"/>
      <c r="BU80" s="1963"/>
      <c r="BV80" s="1963"/>
      <c r="BW80" s="1963"/>
      <c r="BX80" s="1963"/>
      <c r="BY80" s="1963"/>
      <c r="BZ80" s="1963"/>
      <c r="CA80" s="1963"/>
      <c r="CB80" s="1963"/>
      <c r="CC80" s="1963"/>
      <c r="CD80" s="1963"/>
      <c r="CE80" s="1963"/>
      <c r="CF80" s="1963"/>
      <c r="CG80" s="1963"/>
      <c r="CH80" s="1963"/>
      <c r="CI80" s="1963"/>
      <c r="CJ80" s="1963"/>
      <c r="CK80" s="1963"/>
      <c r="CL80" s="1963"/>
      <c r="CM80" s="1963"/>
      <c r="CN80" s="1963"/>
      <c r="CO80" s="1963"/>
      <c r="CP80" s="1963"/>
      <c r="CQ80" s="1963"/>
      <c r="CR80" s="1963"/>
      <c r="CS80" s="1963"/>
      <c r="CT80" s="1963"/>
      <c r="CU80" s="1963"/>
      <c r="CV80" s="1963"/>
      <c r="CW80" s="1963"/>
      <c r="CX80" s="1963"/>
      <c r="CY80" s="1963"/>
      <c r="CZ80" s="1963"/>
      <c r="DA80" s="1963"/>
      <c r="DB80" s="1963"/>
      <c r="DC80" s="1963"/>
      <c r="DD80" s="1963"/>
      <c r="DE80" s="1963"/>
      <c r="DF80" s="1963"/>
      <c r="DH80" s="1962">
        <f t="shared" si="123"/>
        <v>0</v>
      </c>
    </row>
    <row r="81" spans="1:112" s="1484" customFormat="1" ht="12.75" hidden="1" customHeight="1" outlineLevel="1">
      <c r="C81" s="746" t="s">
        <v>742</v>
      </c>
      <c r="D81" s="521" t="str">
        <f>INDEX(Modules[Module], MATCH($C81, Modules[Code], 0))</f>
        <v>Conventional thermal plant</v>
      </c>
      <c r="E81" s="521"/>
      <c r="F81" s="743"/>
      <c r="G81" s="1022">
        <f t="shared" ref="G81:P81" ca="1" si="202">IFERROR(INDEX(INDIRECT($C81&amp;".Outputs["&amp;this.Year&amp;"]"), MATCH(G$5, INDIRECT($C81&amp;".Outputs[Vector]"), 0)), 0)</f>
        <v>0</v>
      </c>
      <c r="H81" s="1022">
        <f t="shared" ca="1" si="202"/>
        <v>0</v>
      </c>
      <c r="I81" s="1022">
        <f t="shared" ca="1" si="202"/>
        <v>0</v>
      </c>
      <c r="J81" s="1022">
        <f t="shared" ca="1" si="202"/>
        <v>0</v>
      </c>
      <c r="K81" s="1022">
        <f t="shared" ca="1" si="202"/>
        <v>0</v>
      </c>
      <c r="L81" s="1022">
        <f t="shared" ca="1" si="202"/>
        <v>0</v>
      </c>
      <c r="M81" s="1022">
        <f t="shared" ca="1" si="202"/>
        <v>0</v>
      </c>
      <c r="N81" s="1022">
        <f t="shared" ca="1" si="202"/>
        <v>0</v>
      </c>
      <c r="O81" s="1022">
        <f t="shared" ca="1" si="202"/>
        <v>0</v>
      </c>
      <c r="P81" s="1022">
        <f t="shared" ca="1" si="202"/>
        <v>0</v>
      </c>
      <c r="Q81" s="1020">
        <f ca="1">SUM(G81:P81)</f>
        <v>0</v>
      </c>
      <c r="R81" s="743"/>
      <c r="S81" s="1031">
        <f t="shared" ref="S81:BE81" ca="1" si="203">IFERROR(INDEX(INDIRECT($C81&amp;".Outputs["&amp;this.Year&amp;"]"), MATCH(S$5, INDIRECT($C81&amp;".Outputs[Vector]"), 0)), 0)</f>
        <v>0</v>
      </c>
      <c r="T81" s="1031">
        <f t="shared" ca="1" si="203"/>
        <v>321.84468626164545</v>
      </c>
      <c r="U81" s="1031">
        <f t="shared" ca="1" si="203"/>
        <v>-249.43127040000002</v>
      </c>
      <c r="V81" s="1031">
        <f t="shared" ca="1" si="203"/>
        <v>0</v>
      </c>
      <c r="W81" s="1031">
        <f t="shared" ca="1" si="203"/>
        <v>-486.94989610175668</v>
      </c>
      <c r="X81" s="1031">
        <f ca="1">IFERROR(INDEX(INDIRECT($C81&amp;".Outputs["&amp;this.Year&amp;"]"), MATCH(X$5, INDIRECT($C81&amp;".Outputs[Vector]"), 0)), 0)</f>
        <v>0</v>
      </c>
      <c r="Y81" s="1031">
        <f ca="1">IFERROR(INDEX(INDIRECT($C81&amp;".Outputs["&amp;this.Year&amp;"]"), MATCH(Y$5, INDIRECT($C81&amp;".Outputs[Vector]"), 0)), 0)</f>
        <v>0</v>
      </c>
      <c r="Z81" s="1031">
        <f ca="1">IFERROR(INDEX(INDIRECT($C81&amp;".Outputs["&amp;this.Year&amp;"]"), MATCH(Z$5, INDIRECT($C81&amp;".Outputs[Vector]"), 0)), 0)</f>
        <v>0</v>
      </c>
      <c r="AA81" s="1031">
        <f t="shared" ca="1" si="203"/>
        <v>0</v>
      </c>
      <c r="AB81" s="1031">
        <f t="shared" ca="1" si="203"/>
        <v>0</v>
      </c>
      <c r="AC81" s="1031">
        <f t="shared" ca="1" si="203"/>
        <v>0</v>
      </c>
      <c r="AD81" s="1031">
        <f t="shared" ca="1" si="203"/>
        <v>0</v>
      </c>
      <c r="AE81" s="1031">
        <f t="shared" ca="1" si="203"/>
        <v>0</v>
      </c>
      <c r="AF81" s="1031">
        <f t="shared" ca="1" si="203"/>
        <v>0</v>
      </c>
      <c r="AG81" s="1031">
        <f t="shared" ca="1" si="203"/>
        <v>0</v>
      </c>
      <c r="AH81" s="1031">
        <f t="shared" ca="1" si="203"/>
        <v>0</v>
      </c>
      <c r="AI81" s="1031">
        <f t="shared" ca="1" si="203"/>
        <v>0</v>
      </c>
      <c r="AJ81" s="1031">
        <f t="shared" ca="1" si="203"/>
        <v>0</v>
      </c>
      <c r="AK81" s="1030">
        <f ca="1">SUM(S81:AJ81)</f>
        <v>-414.53648024011125</v>
      </c>
      <c r="AL81" s="743"/>
      <c r="AM81" s="1042">
        <f t="shared" ref="AM81:AU81" ca="1" si="204">IFERROR(INDEX(INDIRECT($C81&amp;".Outputs["&amp;this.Year&amp;"]"), MATCH(AM$5, INDIRECT($C81&amp;".Outputs[Vector]"), 0)), 0)</f>
        <v>0</v>
      </c>
      <c r="AN81" s="1042">
        <f t="shared" ca="1" si="204"/>
        <v>0</v>
      </c>
      <c r="AO81" s="1042">
        <f t="shared" ca="1" si="204"/>
        <v>0</v>
      </c>
      <c r="AP81" s="1042">
        <f t="shared" ca="1" si="204"/>
        <v>0</v>
      </c>
      <c r="AQ81" s="1042">
        <f t="shared" ca="1" si="204"/>
        <v>0</v>
      </c>
      <c r="AR81" s="1042">
        <f t="shared" ca="1" si="204"/>
        <v>0</v>
      </c>
      <c r="AS81" s="1042">
        <f t="shared" ca="1" si="204"/>
        <v>0</v>
      </c>
      <c r="AT81" s="1042">
        <f t="shared" ca="1" si="204"/>
        <v>0</v>
      </c>
      <c r="AU81" s="1042">
        <f t="shared" ca="1" si="204"/>
        <v>0</v>
      </c>
      <c r="AV81" s="1042">
        <f t="shared" ca="1" si="203"/>
        <v>0</v>
      </c>
      <c r="AW81" s="1042">
        <f t="shared" ca="1" si="203"/>
        <v>0</v>
      </c>
      <c r="AX81" s="1042">
        <f t="shared" ca="1" si="203"/>
        <v>0</v>
      </c>
      <c r="AY81" s="1042">
        <f t="shared" ca="1" si="203"/>
        <v>0</v>
      </c>
      <c r="AZ81" s="1042">
        <f t="shared" ca="1" si="203"/>
        <v>0</v>
      </c>
      <c r="BA81" s="1042">
        <f t="shared" ca="1" si="203"/>
        <v>0</v>
      </c>
      <c r="BB81" s="1042">
        <f t="shared" ca="1" si="203"/>
        <v>0</v>
      </c>
      <c r="BC81" s="1042">
        <f t="shared" ca="1" si="203"/>
        <v>0</v>
      </c>
      <c r="BD81" s="1042">
        <f t="shared" ca="1" si="203"/>
        <v>0</v>
      </c>
      <c r="BE81" s="1042">
        <f t="shared" ca="1" si="203"/>
        <v>0</v>
      </c>
      <c r="BF81" s="1012">
        <f ca="1">SUM(AM81:BE81)</f>
        <v>0</v>
      </c>
      <c r="BG81" s="743"/>
      <c r="BH81" s="1036">
        <f ca="1">IFERROR(INDEX(INDIRECT($C81&amp;".Outputs["&amp;this.Year&amp;"]"), MATCH(BH$5, INDIRECT($C81&amp;".Outputs[Vector]"), 0)), 0)</f>
        <v>405.60527381087843</v>
      </c>
      <c r="BI81" s="1036">
        <f ca="1">IFERROR(INDEX(INDIRECT($C81&amp;".Outputs["&amp;this.Year&amp;"]"), MATCH(BI$5, INDIRECT($C81&amp;".Outputs[Vector]"), 0)), 0)</f>
        <v>8.9312064292329083</v>
      </c>
      <c r="BJ81" s="1035">
        <f ca="1">SUM(BH81:BI81)</f>
        <v>414.53648024011136</v>
      </c>
      <c r="BK81" s="743"/>
      <c r="BL81" s="814">
        <f t="shared" ref="BL81:BL87" ca="1" si="205">Q81+AK81+BF81+BJ81</f>
        <v>0</v>
      </c>
      <c r="BM81" s="814"/>
      <c r="BN81" s="840"/>
      <c r="BO81" s="1485">
        <f t="shared" ref="BO81:DF81" ca="1" si="206">IFERROR(SUMIFS(INDIRECT($C81&amp;".Emissions["&amp;this.Year&amp;"]"), INDIRECT($C81&amp;".Emissions[GHG]"), BO$6, INDIRECT($C81&amp;".Emissions[IPCC Sector]"), BO$5),0)</f>
        <v>166.4236121659232</v>
      </c>
      <c r="BP81" s="1486">
        <f t="shared" ca="1" si="206"/>
        <v>0.40528306740871956</v>
      </c>
      <c r="BQ81" s="1486">
        <f t="shared" ca="1" si="206"/>
        <v>0.8737217678916418</v>
      </c>
      <c r="BR81" s="1486">
        <f t="shared" ca="1" si="206"/>
        <v>0</v>
      </c>
      <c r="BS81" s="1486">
        <f t="shared" ca="1" si="206"/>
        <v>0</v>
      </c>
      <c r="BT81" s="1486">
        <f t="shared" ca="1" si="206"/>
        <v>0</v>
      </c>
      <c r="BU81" s="1486">
        <f t="shared" ca="1" si="206"/>
        <v>0</v>
      </c>
      <c r="BV81" s="1486">
        <f t="shared" ca="1" si="206"/>
        <v>0</v>
      </c>
      <c r="BW81" s="1486">
        <f t="shared" ca="1" si="206"/>
        <v>0</v>
      </c>
      <c r="BX81" s="1486">
        <f t="shared" ca="1" si="206"/>
        <v>0</v>
      </c>
      <c r="BY81" s="1486">
        <f t="shared" ca="1" si="206"/>
        <v>0</v>
      </c>
      <c r="BZ81" s="1486">
        <f t="shared" ca="1" si="206"/>
        <v>0</v>
      </c>
      <c r="CA81" s="1486">
        <f t="shared" ca="1" si="206"/>
        <v>0</v>
      </c>
      <c r="CB81" s="1486">
        <f t="shared" ca="1" si="206"/>
        <v>0</v>
      </c>
      <c r="CC81" s="1486">
        <f t="shared" ca="1" si="206"/>
        <v>0</v>
      </c>
      <c r="CD81" s="1486">
        <f t="shared" ca="1" si="206"/>
        <v>0</v>
      </c>
      <c r="CE81" s="1486">
        <f t="shared" ca="1" si="206"/>
        <v>0</v>
      </c>
      <c r="CF81" s="1486">
        <f t="shared" ca="1" si="206"/>
        <v>0</v>
      </c>
      <c r="CG81" s="1486">
        <f t="shared" ca="1" si="206"/>
        <v>0</v>
      </c>
      <c r="CH81" s="1486">
        <f t="shared" ca="1" si="206"/>
        <v>0</v>
      </c>
      <c r="CI81" s="1486">
        <f t="shared" ca="1" si="206"/>
        <v>0</v>
      </c>
      <c r="CJ81" s="1486">
        <f t="shared" ca="1" si="206"/>
        <v>0</v>
      </c>
      <c r="CK81" s="1486">
        <f t="shared" ca="1" si="206"/>
        <v>0</v>
      </c>
      <c r="CL81" s="1486">
        <f t="shared" ca="1" si="206"/>
        <v>0</v>
      </c>
      <c r="CM81" s="1486">
        <f t="shared" ca="1" si="206"/>
        <v>0</v>
      </c>
      <c r="CN81" s="1486">
        <f t="shared" ca="1" si="206"/>
        <v>0</v>
      </c>
      <c r="CO81" s="1486">
        <f t="shared" ca="1" si="206"/>
        <v>0</v>
      </c>
      <c r="CP81" s="1486">
        <f t="shared" ca="1" si="206"/>
        <v>0</v>
      </c>
      <c r="CQ81" s="1486">
        <f t="shared" ca="1" si="206"/>
        <v>0</v>
      </c>
      <c r="CR81" s="1486">
        <f t="shared" ca="1" si="206"/>
        <v>0</v>
      </c>
      <c r="CS81" s="1486">
        <f t="shared" ca="1" si="206"/>
        <v>0</v>
      </c>
      <c r="CT81" s="1486">
        <f t="shared" ca="1" si="206"/>
        <v>0</v>
      </c>
      <c r="CU81" s="1486">
        <f t="shared" ca="1" si="206"/>
        <v>0</v>
      </c>
      <c r="CV81" s="1486">
        <f t="shared" ca="1" si="206"/>
        <v>0</v>
      </c>
      <c r="CW81" s="1486">
        <f t="shared" ca="1" si="206"/>
        <v>0</v>
      </c>
      <c r="CX81" s="1486">
        <f t="shared" ca="1" si="206"/>
        <v>0</v>
      </c>
      <c r="CY81" s="1486">
        <f t="shared" ca="1" si="206"/>
        <v>0</v>
      </c>
      <c r="CZ81" s="1486">
        <f t="shared" ca="1" si="206"/>
        <v>0</v>
      </c>
      <c r="DA81" s="1486">
        <f t="shared" ca="1" si="206"/>
        <v>0</v>
      </c>
      <c r="DB81" s="1486">
        <f t="shared" ca="1" si="206"/>
        <v>0</v>
      </c>
      <c r="DC81" s="1486">
        <f t="shared" ca="1" si="206"/>
        <v>0</v>
      </c>
      <c r="DD81" s="1486">
        <f t="shared" ca="1" si="206"/>
        <v>0</v>
      </c>
      <c r="DE81" s="1486">
        <f t="shared" ca="1" si="206"/>
        <v>0</v>
      </c>
      <c r="DF81" s="1486">
        <f t="shared" ca="1" si="206"/>
        <v>0</v>
      </c>
      <c r="DH81" s="838">
        <f t="shared" ca="1" si="123"/>
        <v>167.70261700122359</v>
      </c>
    </row>
    <row r="82" spans="1:112" s="743" customFormat="1" ht="15.75" collapsed="1">
      <c r="A82" s="22"/>
      <c r="B82" s="753"/>
      <c r="C82" s="744" t="s">
        <v>74</v>
      </c>
      <c r="D82" s="517" t="str">
        <f>INDEX(Workstreams[Workstream], MATCH($C82, Workstreams[Code], 0))</f>
        <v>Hydrocarbon fuel power generation</v>
      </c>
      <c r="E82" s="512"/>
      <c r="G82" s="1021">
        <f t="shared" ref="G82:P82" ca="1" si="207">G79+G81</f>
        <v>0</v>
      </c>
      <c r="H82" s="1021">
        <f t="shared" ca="1" si="207"/>
        <v>0</v>
      </c>
      <c r="I82" s="1021">
        <f t="shared" ca="1" si="207"/>
        <v>0</v>
      </c>
      <c r="J82" s="1021">
        <f t="shared" ca="1" si="207"/>
        <v>0</v>
      </c>
      <c r="K82" s="1021">
        <f t="shared" ca="1" si="207"/>
        <v>0</v>
      </c>
      <c r="L82" s="1021">
        <f t="shared" ca="1" si="207"/>
        <v>0</v>
      </c>
      <c r="M82" s="1021">
        <f t="shared" ca="1" si="207"/>
        <v>0</v>
      </c>
      <c r="N82" s="1021">
        <f t="shared" ca="1" si="207"/>
        <v>0</v>
      </c>
      <c r="O82" s="1021">
        <f t="shared" ca="1" si="207"/>
        <v>0</v>
      </c>
      <c r="P82" s="1021">
        <f t="shared" ca="1" si="207"/>
        <v>0</v>
      </c>
      <c r="Q82" s="1021">
        <f ca="1">SUM(G82:P82)</f>
        <v>0</v>
      </c>
      <c r="S82" s="970">
        <f t="shared" ref="S82:AJ82" ca="1" si="208">S79+S81</f>
        <v>0</v>
      </c>
      <c r="T82" s="970">
        <f t="shared" ca="1" si="208"/>
        <v>323.52249866164544</v>
      </c>
      <c r="U82" s="970">
        <f t="shared" ca="1" si="208"/>
        <v>-254.55656244333923</v>
      </c>
      <c r="V82" s="970">
        <f t="shared" ca="1" si="208"/>
        <v>0</v>
      </c>
      <c r="W82" s="970">
        <f t="shared" ca="1" si="208"/>
        <v>-486.94989610175668</v>
      </c>
      <c r="X82" s="970">
        <f t="shared" ca="1" si="208"/>
        <v>0</v>
      </c>
      <c r="Y82" s="970">
        <f t="shared" ca="1" si="208"/>
        <v>0</v>
      </c>
      <c r="Z82" s="970">
        <f t="shared" ca="1" si="208"/>
        <v>0</v>
      </c>
      <c r="AA82" s="970">
        <f t="shared" ca="1" si="208"/>
        <v>0</v>
      </c>
      <c r="AB82" s="970">
        <f t="shared" ca="1" si="208"/>
        <v>0</v>
      </c>
      <c r="AC82" s="970">
        <f t="shared" ca="1" si="208"/>
        <v>0</v>
      </c>
      <c r="AD82" s="970">
        <f ca="1">AD79+AD81</f>
        <v>0</v>
      </c>
      <c r="AE82" s="970">
        <f ca="1">AE79+AE81</f>
        <v>0</v>
      </c>
      <c r="AF82" s="970">
        <f t="shared" ca="1" si="208"/>
        <v>0</v>
      </c>
      <c r="AG82" s="970">
        <f t="shared" ca="1" si="208"/>
        <v>0</v>
      </c>
      <c r="AH82" s="970">
        <f ca="1">AH79+AH81</f>
        <v>0</v>
      </c>
      <c r="AI82" s="970">
        <f t="shared" ca="1" si="208"/>
        <v>0</v>
      </c>
      <c r="AJ82" s="970">
        <f t="shared" ca="1" si="208"/>
        <v>0</v>
      </c>
      <c r="AK82" s="970">
        <f ca="1">SUM(S82:AJ82)</f>
        <v>-417.98395988345044</v>
      </c>
      <c r="AM82" s="976">
        <f t="shared" ref="AM82:BE82" ca="1" si="209">AM79+AM81</f>
        <v>0</v>
      </c>
      <c r="AN82" s="976">
        <f t="shared" ca="1" si="209"/>
        <v>0</v>
      </c>
      <c r="AO82" s="976">
        <f t="shared" ca="1" si="209"/>
        <v>0</v>
      </c>
      <c r="AP82" s="976">
        <f t="shared" ca="1" si="209"/>
        <v>0</v>
      </c>
      <c r="AQ82" s="976">
        <f t="shared" ca="1" si="209"/>
        <v>0</v>
      </c>
      <c r="AR82" s="976">
        <f t="shared" ca="1" si="209"/>
        <v>0</v>
      </c>
      <c r="AS82" s="976">
        <f t="shared" ca="1" si="209"/>
        <v>0</v>
      </c>
      <c r="AT82" s="976">
        <f t="shared" ca="1" si="209"/>
        <v>0</v>
      </c>
      <c r="AU82" s="976">
        <f t="shared" ca="1" si="209"/>
        <v>0</v>
      </c>
      <c r="AV82" s="976">
        <f t="shared" ca="1" si="209"/>
        <v>0</v>
      </c>
      <c r="AW82" s="976">
        <f t="shared" ca="1" si="209"/>
        <v>0</v>
      </c>
      <c r="AX82" s="976">
        <f t="shared" ca="1" si="209"/>
        <v>0</v>
      </c>
      <c r="AY82" s="976">
        <f t="shared" ca="1" si="209"/>
        <v>0</v>
      </c>
      <c r="AZ82" s="976">
        <f t="shared" ca="1" si="209"/>
        <v>0</v>
      </c>
      <c r="BA82" s="976">
        <f t="shared" ca="1" si="209"/>
        <v>0</v>
      </c>
      <c r="BB82" s="976">
        <f t="shared" ca="1" si="209"/>
        <v>0</v>
      </c>
      <c r="BC82" s="976">
        <f t="shared" ca="1" si="209"/>
        <v>0</v>
      </c>
      <c r="BD82" s="976">
        <f t="shared" ca="1" si="209"/>
        <v>0</v>
      </c>
      <c r="BE82" s="976">
        <f t="shared" ca="1" si="209"/>
        <v>0</v>
      </c>
      <c r="BF82" s="976">
        <f ca="1">SUM(AM82:BE82)</f>
        <v>0</v>
      </c>
      <c r="BH82" s="990">
        <f ca="1">BH79+BH81</f>
        <v>408.39215135944414</v>
      </c>
      <c r="BI82" s="990">
        <f ca="1">BI79+BI81</f>
        <v>9.5918085240064279</v>
      </c>
      <c r="BJ82" s="990">
        <f ca="1">SUM(BH82:BI82)</f>
        <v>417.98395988345055</v>
      </c>
      <c r="BL82" s="515">
        <f t="shared" ca="1" si="205"/>
        <v>0</v>
      </c>
      <c r="BM82" s="515"/>
      <c r="BN82" s="840"/>
      <c r="BO82" s="1482">
        <f t="shared" ref="BO82:DF82" ca="1" si="210">BO79+BO81</f>
        <v>168.00220211527167</v>
      </c>
      <c r="BP82" s="1482">
        <f t="shared" ca="1" si="210"/>
        <v>0.40992039421509985</v>
      </c>
      <c r="BQ82" s="1482">
        <f t="shared" ca="1" si="210"/>
        <v>0.88770572816920446</v>
      </c>
      <c r="BR82" s="1482">
        <f t="shared" ca="1" si="210"/>
        <v>0</v>
      </c>
      <c r="BS82" s="1482">
        <f t="shared" ca="1" si="210"/>
        <v>0</v>
      </c>
      <c r="BT82" s="1482">
        <f t="shared" ca="1" si="210"/>
        <v>0</v>
      </c>
      <c r="BU82" s="1482">
        <f t="shared" ca="1" si="210"/>
        <v>0</v>
      </c>
      <c r="BV82" s="1482">
        <f t="shared" ca="1" si="210"/>
        <v>0</v>
      </c>
      <c r="BW82" s="1482">
        <f t="shared" ca="1" si="210"/>
        <v>0</v>
      </c>
      <c r="BX82" s="1482">
        <f t="shared" ca="1" si="210"/>
        <v>0</v>
      </c>
      <c r="BY82" s="1482">
        <f t="shared" ca="1" si="210"/>
        <v>0</v>
      </c>
      <c r="BZ82" s="1482">
        <f t="shared" ca="1" si="210"/>
        <v>0</v>
      </c>
      <c r="CA82" s="1482">
        <f t="shared" ca="1" si="210"/>
        <v>0</v>
      </c>
      <c r="CB82" s="1482">
        <f t="shared" ca="1" si="210"/>
        <v>0</v>
      </c>
      <c r="CC82" s="1482">
        <f t="shared" ca="1" si="210"/>
        <v>0</v>
      </c>
      <c r="CD82" s="1482">
        <f t="shared" ca="1" si="210"/>
        <v>0</v>
      </c>
      <c r="CE82" s="1482">
        <f t="shared" ca="1" si="210"/>
        <v>0</v>
      </c>
      <c r="CF82" s="1482">
        <f t="shared" ca="1" si="210"/>
        <v>0</v>
      </c>
      <c r="CG82" s="1482">
        <f t="shared" ca="1" si="210"/>
        <v>0</v>
      </c>
      <c r="CH82" s="1482">
        <f t="shared" ca="1" si="210"/>
        <v>0</v>
      </c>
      <c r="CI82" s="1482">
        <f t="shared" ca="1" si="210"/>
        <v>0</v>
      </c>
      <c r="CJ82" s="1482">
        <f t="shared" ca="1" si="210"/>
        <v>0</v>
      </c>
      <c r="CK82" s="1482">
        <f t="shared" ca="1" si="210"/>
        <v>0</v>
      </c>
      <c r="CL82" s="1482">
        <f t="shared" ca="1" si="210"/>
        <v>0</v>
      </c>
      <c r="CM82" s="1482">
        <f t="shared" ca="1" si="210"/>
        <v>0</v>
      </c>
      <c r="CN82" s="1482">
        <f t="shared" ca="1" si="210"/>
        <v>0</v>
      </c>
      <c r="CO82" s="1482">
        <f t="shared" ca="1" si="210"/>
        <v>0</v>
      </c>
      <c r="CP82" s="1482">
        <f t="shared" ca="1" si="210"/>
        <v>0</v>
      </c>
      <c r="CQ82" s="1482">
        <f t="shared" ca="1" si="210"/>
        <v>0</v>
      </c>
      <c r="CR82" s="1482">
        <f t="shared" ca="1" si="210"/>
        <v>0</v>
      </c>
      <c r="CS82" s="1482">
        <f t="shared" ca="1" si="210"/>
        <v>0</v>
      </c>
      <c r="CT82" s="1482">
        <f t="shared" ca="1" si="210"/>
        <v>0</v>
      </c>
      <c r="CU82" s="1482">
        <f t="shared" ca="1" si="210"/>
        <v>0</v>
      </c>
      <c r="CV82" s="1482">
        <f t="shared" ca="1" si="210"/>
        <v>0</v>
      </c>
      <c r="CW82" s="1482">
        <f t="shared" ca="1" si="210"/>
        <v>0</v>
      </c>
      <c r="CX82" s="1482">
        <f t="shared" ca="1" si="210"/>
        <v>0</v>
      </c>
      <c r="CY82" s="1482">
        <f t="shared" ca="1" si="210"/>
        <v>0</v>
      </c>
      <c r="CZ82" s="1482">
        <f t="shared" ca="1" si="210"/>
        <v>0</v>
      </c>
      <c r="DA82" s="1482">
        <f t="shared" ca="1" si="210"/>
        <v>0</v>
      </c>
      <c r="DB82" s="1482">
        <f t="shared" ca="1" si="210"/>
        <v>0</v>
      </c>
      <c r="DC82" s="1482">
        <f t="shared" ca="1" si="210"/>
        <v>-1.420730954413632</v>
      </c>
      <c r="DD82" s="1482">
        <f t="shared" ca="1" si="210"/>
        <v>0</v>
      </c>
      <c r="DE82" s="1482">
        <f t="shared" ca="1" si="210"/>
        <v>0</v>
      </c>
      <c r="DF82" s="1482">
        <f t="shared" ca="1" si="210"/>
        <v>0</v>
      </c>
      <c r="DH82" s="838">
        <f t="shared" ca="1" si="123"/>
        <v>167.87909728324234</v>
      </c>
    </row>
    <row r="83" spans="1:112" s="743" customFormat="1" ht="6" customHeight="1">
      <c r="C83" s="516"/>
      <c r="D83" s="517"/>
      <c r="E83" s="509"/>
      <c r="G83" s="958"/>
      <c r="H83" s="958"/>
      <c r="I83" s="958"/>
      <c r="J83" s="958"/>
      <c r="K83" s="960"/>
      <c r="L83" s="958"/>
      <c r="M83" s="958"/>
      <c r="N83" s="958"/>
      <c r="O83" s="958"/>
      <c r="P83" s="958"/>
      <c r="Q83" s="958"/>
      <c r="S83" s="970"/>
      <c r="T83" s="970"/>
      <c r="U83" s="970"/>
      <c r="V83" s="970"/>
      <c r="W83" s="970"/>
      <c r="X83" s="970"/>
      <c r="Y83" s="970"/>
      <c r="Z83" s="970"/>
      <c r="AA83" s="970"/>
      <c r="AB83" s="970"/>
      <c r="AC83" s="970"/>
      <c r="AD83" s="970"/>
      <c r="AE83" s="970"/>
      <c r="AF83" s="970"/>
      <c r="AG83" s="970"/>
      <c r="AH83" s="970"/>
      <c r="AI83" s="970"/>
      <c r="AJ83" s="970"/>
      <c r="AK83" s="970"/>
      <c r="AM83" s="976"/>
      <c r="AN83" s="976"/>
      <c r="AO83" s="976"/>
      <c r="AP83" s="976"/>
      <c r="AQ83" s="976"/>
      <c r="AR83" s="976"/>
      <c r="AS83" s="976"/>
      <c r="AT83" s="976"/>
      <c r="AU83" s="976"/>
      <c r="AV83" s="976"/>
      <c r="AW83" s="976"/>
      <c r="AX83" s="976"/>
      <c r="AY83" s="976"/>
      <c r="AZ83" s="976"/>
      <c r="BA83" s="976"/>
      <c r="BB83" s="976"/>
      <c r="BC83" s="976"/>
      <c r="BD83" s="976"/>
      <c r="BE83" s="976"/>
      <c r="BF83" s="976">
        <f>SUM(AM83:BE83)</f>
        <v>0</v>
      </c>
      <c r="BH83" s="990"/>
      <c r="BI83" s="990"/>
      <c r="BJ83" s="990"/>
      <c r="BL83" s="515">
        <f t="shared" si="205"/>
        <v>0</v>
      </c>
      <c r="BM83" s="515"/>
      <c r="BO83" s="1482"/>
      <c r="BP83" s="1482"/>
      <c r="BQ83" s="1482"/>
      <c r="BR83" s="1482"/>
      <c r="BS83" s="1482"/>
      <c r="BT83" s="1482"/>
      <c r="BU83" s="1482"/>
      <c r="BV83" s="1482"/>
      <c r="BW83" s="1482"/>
      <c r="BX83" s="1482"/>
      <c r="BY83" s="1482"/>
      <c r="BZ83" s="1482"/>
      <c r="CA83" s="1482"/>
      <c r="CB83" s="1482"/>
      <c r="CC83" s="1482"/>
      <c r="CD83" s="1482"/>
      <c r="CE83" s="1482"/>
      <c r="CF83" s="1482"/>
      <c r="CG83" s="1482"/>
      <c r="CH83" s="1482"/>
      <c r="CI83" s="1482"/>
      <c r="CJ83" s="1482"/>
      <c r="CK83" s="1482"/>
      <c r="CL83" s="1482"/>
      <c r="CM83" s="1482"/>
      <c r="CN83" s="1482"/>
      <c r="CO83" s="1482"/>
      <c r="CP83" s="1482"/>
      <c r="CQ83" s="1482"/>
      <c r="CR83" s="1482"/>
      <c r="CS83" s="1482"/>
      <c r="CT83" s="1482"/>
      <c r="CU83" s="1482"/>
      <c r="CV83" s="1482"/>
      <c r="CW83" s="1482"/>
      <c r="CX83" s="1482"/>
      <c r="CY83" s="1482"/>
      <c r="CZ83" s="1482"/>
      <c r="DA83" s="1482"/>
      <c r="DB83" s="1482"/>
      <c r="DC83" s="1482"/>
      <c r="DD83" s="1482"/>
      <c r="DE83" s="1482"/>
      <c r="DF83" s="1482"/>
      <c r="DH83" s="838"/>
    </row>
    <row r="84" spans="1:112" s="743" customFormat="1" ht="15.75">
      <c r="B84" s="753"/>
      <c r="C84" s="2051" t="s">
        <v>1816</v>
      </c>
      <c r="D84" s="643" t="s">
        <v>249</v>
      </c>
      <c r="E84" s="644"/>
      <c r="G84" s="1075">
        <f t="shared" ref="G84:P84" ca="1" si="211">G$51+G$55+G$63+G$68+G$72+G$76+G$82+G$46</f>
        <v>0</v>
      </c>
      <c r="H84" s="1075">
        <f t="shared" ca="1" si="211"/>
        <v>0</v>
      </c>
      <c r="I84" s="1075">
        <f t="shared" ca="1" si="211"/>
        <v>55.898920642148717</v>
      </c>
      <c r="J84" s="1075">
        <f t="shared" ca="1" si="211"/>
        <v>0</v>
      </c>
      <c r="K84" s="1076">
        <f t="shared" ca="1" si="211"/>
        <v>0</v>
      </c>
      <c r="L84" s="1075">
        <f t="shared" ca="1" si="211"/>
        <v>0</v>
      </c>
      <c r="M84" s="1075">
        <f t="shared" ca="1" si="211"/>
        <v>0</v>
      </c>
      <c r="N84" s="1075">
        <f t="shared" ca="1" si="211"/>
        <v>0</v>
      </c>
      <c r="O84" s="1075">
        <f t="shared" ca="1" si="211"/>
        <v>0</v>
      </c>
      <c r="P84" s="1075">
        <f t="shared" ca="1" si="211"/>
        <v>0</v>
      </c>
      <c r="Q84" s="1023">
        <f ca="1">SUM(G84:P84)</f>
        <v>55.898920642148717</v>
      </c>
      <c r="S84" s="1014">
        <f t="shared" ref="S84:AJ84" ca="1" si="212">S$51+S$55+S$63+S$68+S$72+S$76+S$82+S$46</f>
        <v>-11.795425735546369</v>
      </c>
      <c r="T84" s="1014">
        <f t="shared" ca="1" si="212"/>
        <v>401.14479360288669</v>
      </c>
      <c r="U84" s="1014">
        <f t="shared" ca="1" si="212"/>
        <v>-255.45422916863546</v>
      </c>
      <c r="V84" s="1014">
        <f t="shared" ca="1" si="212"/>
        <v>-54.056946471792841</v>
      </c>
      <c r="W84" s="1014">
        <f t="shared" ca="1" si="212"/>
        <v>-535.05142997841699</v>
      </c>
      <c r="X84" s="1014">
        <f t="shared" ca="1" si="212"/>
        <v>177.38714933365171</v>
      </c>
      <c r="Y84" s="1014">
        <f t="shared" ca="1" si="212"/>
        <v>664.52033513004915</v>
      </c>
      <c r="Z84" s="1014">
        <f t="shared" ca="1" si="212"/>
        <v>508.98355251965154</v>
      </c>
      <c r="AA84" s="1014">
        <f t="shared" ca="1" si="212"/>
        <v>0</v>
      </c>
      <c r="AB84" s="1014">
        <f t="shared" ca="1" si="212"/>
        <v>8.1488739467640343</v>
      </c>
      <c r="AC84" s="1014">
        <f t="shared" ca="1" si="212"/>
        <v>0</v>
      </c>
      <c r="AD84" s="1014">
        <f t="shared" ca="1" si="212"/>
        <v>7.7206352827919442</v>
      </c>
      <c r="AE84" s="1014">
        <f t="shared" ca="1" si="212"/>
        <v>1.252228408041016</v>
      </c>
      <c r="AF84" s="1014">
        <f t="shared" ca="1" si="212"/>
        <v>26.061321425348929</v>
      </c>
      <c r="AG84" s="1014">
        <f t="shared" ca="1" si="212"/>
        <v>14.087208334163787</v>
      </c>
      <c r="AH84" s="1014">
        <f t="shared" ca="1" si="212"/>
        <v>18.090473221244544</v>
      </c>
      <c r="AI84" s="1014">
        <f t="shared" ca="1" si="212"/>
        <v>0</v>
      </c>
      <c r="AJ84" s="1014">
        <f t="shared" ca="1" si="212"/>
        <v>0</v>
      </c>
      <c r="AK84" s="1014">
        <f ca="1">SUM(S84:AJ84)</f>
        <v>971.03853985020169</v>
      </c>
      <c r="AM84" s="1015">
        <f t="shared" ref="AM84:BE84" ca="1" si="213">AM$51+AM$55+AM$63+AM$68+AM$72+AM$76+AM$82+AM$46</f>
        <v>-124.39544583847987</v>
      </c>
      <c r="AN84" s="1015">
        <f t="shared" ca="1" si="213"/>
        <v>-664.52033513004915</v>
      </c>
      <c r="AO84" s="1015">
        <f t="shared" ca="1" si="213"/>
        <v>-508.98355251965154</v>
      </c>
      <c r="AP84" s="1015">
        <f t="shared" ca="1" si="213"/>
        <v>0</v>
      </c>
      <c r="AQ84" s="1015">
        <f t="shared" ca="1" si="213"/>
        <v>0</v>
      </c>
      <c r="AR84" s="1015">
        <f t="shared" ca="1" si="213"/>
        <v>0</v>
      </c>
      <c r="AS84" s="1015">
        <f t="shared" ca="1" si="213"/>
        <v>0</v>
      </c>
      <c r="AT84" s="1015">
        <f t="shared" ca="1" si="213"/>
        <v>0</v>
      </c>
      <c r="AU84" s="1015">
        <f t="shared" ca="1" si="213"/>
        <v>0</v>
      </c>
      <c r="AV84" s="1015">
        <f t="shared" ca="1" si="213"/>
        <v>-134.99639999999999</v>
      </c>
      <c r="AW84" s="1015">
        <f t="shared" ca="1" si="213"/>
        <v>-1.3604831999999999E-2</v>
      </c>
      <c r="AX84" s="1015">
        <f t="shared" ca="1" si="213"/>
        <v>-29.342870099999999</v>
      </c>
      <c r="AY84" s="1015">
        <f t="shared" ca="1" si="213"/>
        <v>-2.0013698630136998E-2</v>
      </c>
      <c r="AZ84" s="1015">
        <f t="shared" ca="1" si="213"/>
        <v>-3.0020547945205484E-3</v>
      </c>
      <c r="BA84" s="1015">
        <f t="shared" ca="1" si="213"/>
        <v>0</v>
      </c>
      <c r="BB84" s="1015">
        <f t="shared" ca="1" si="213"/>
        <v>-5.3297280000000011</v>
      </c>
      <c r="BC84" s="1015">
        <f t="shared" ca="1" si="213"/>
        <v>0</v>
      </c>
      <c r="BD84" s="1015">
        <f t="shared" ca="1" si="213"/>
        <v>-8.9728636908329609</v>
      </c>
      <c r="BE84" s="1015">
        <f t="shared" ca="1" si="213"/>
        <v>-111.23070647592911</v>
      </c>
      <c r="BF84" s="1015">
        <f ca="1">SUM(AM84:BE84)</f>
        <v>-1587.8085223403675</v>
      </c>
      <c r="BH84" s="1016">
        <f ca="1">BH$51+BH$55+BH$63+BH$68+BH$72+BH$76+BH$82+BH$46</f>
        <v>487.18446489434376</v>
      </c>
      <c r="BI84" s="1016">
        <f ca="1">BI$51+BI$55+BI$63+BI$68+BI$72+BI$76+BI$82+BI$46</f>
        <v>73.686596953673217</v>
      </c>
      <c r="BJ84" s="1016">
        <f ca="1">SUM(BH84:BI84)</f>
        <v>560.87106184801701</v>
      </c>
      <c r="BL84" s="518">
        <f t="shared" ca="1" si="205"/>
        <v>0</v>
      </c>
      <c r="BM84" s="518"/>
      <c r="BO84" s="1487">
        <f t="shared" ref="BO84:DE84" ca="1" si="214">BO$51+BO$55+BO$63+BO$68+BO$72+BO$76+BO$82+BO$46</f>
        <v>190.61309303621667</v>
      </c>
      <c r="BP84" s="1487">
        <f t="shared" ca="1" si="214"/>
        <v>0.44522483326390883</v>
      </c>
      <c r="BQ84" s="1487">
        <f t="shared" ca="1" si="214"/>
        <v>1.1522270909411851</v>
      </c>
      <c r="BR84" s="1487">
        <f t="shared" ca="1" si="214"/>
        <v>0</v>
      </c>
      <c r="BS84" s="1487">
        <f t="shared" ca="1" si="214"/>
        <v>3.467114152456976</v>
      </c>
      <c r="BT84" s="1487">
        <f t="shared" ca="1" si="214"/>
        <v>2.6403129612517775</v>
      </c>
      <c r="BU84" s="1487">
        <f t="shared" ca="1" si="214"/>
        <v>0</v>
      </c>
      <c r="BV84" s="1487">
        <f t="shared" ca="1" si="214"/>
        <v>0</v>
      </c>
      <c r="BW84" s="1487">
        <f t="shared" ca="1" si="214"/>
        <v>0</v>
      </c>
      <c r="BX84" s="1487">
        <f t="shared" ca="1" si="214"/>
        <v>0</v>
      </c>
      <c r="BY84" s="1487">
        <f t="shared" ca="1" si="214"/>
        <v>0</v>
      </c>
      <c r="BZ84" s="1487">
        <f t="shared" ca="1" si="214"/>
        <v>0</v>
      </c>
      <c r="CA84" s="1487">
        <f t="shared" ca="1" si="214"/>
        <v>0</v>
      </c>
      <c r="CB84" s="1487">
        <f t="shared" ca="1" si="214"/>
        <v>0</v>
      </c>
      <c r="CC84" s="1487">
        <f t="shared" ca="1" si="214"/>
        <v>0</v>
      </c>
      <c r="CD84" s="1487">
        <f t="shared" ca="1" si="214"/>
        <v>0</v>
      </c>
      <c r="CE84" s="1487">
        <f t="shared" ca="1" si="214"/>
        <v>0</v>
      </c>
      <c r="CF84" s="1487">
        <f t="shared" ca="1" si="214"/>
        <v>18.918166511860726</v>
      </c>
      <c r="CG84" s="1487">
        <f t="shared" ca="1" si="214"/>
        <v>22.115591632724669</v>
      </c>
      <c r="CH84" s="1487">
        <f t="shared" ca="1" si="214"/>
        <v>0</v>
      </c>
      <c r="CI84" s="1487">
        <f t="shared" ca="1" si="214"/>
        <v>5.8382909270138512</v>
      </c>
      <c r="CJ84" s="1487">
        <f t="shared" ca="1" si="214"/>
        <v>0</v>
      </c>
      <c r="CK84" s="1487">
        <f t="shared" ca="1" si="214"/>
        <v>0</v>
      </c>
      <c r="CL84" s="1487">
        <f t="shared" ca="1" si="214"/>
        <v>0</v>
      </c>
      <c r="CM84" s="1487">
        <f t="shared" ca="1" si="214"/>
        <v>0</v>
      </c>
      <c r="CN84" s="1487">
        <f t="shared" ca="1" si="214"/>
        <v>21.499291171709096</v>
      </c>
      <c r="CO84" s="1487">
        <f t="shared" ca="1" si="214"/>
        <v>1.3183729534515276</v>
      </c>
      <c r="CP84" s="1487">
        <f t="shared" ca="1" si="214"/>
        <v>0</v>
      </c>
      <c r="CQ84" s="1487">
        <f t="shared" ca="1" si="214"/>
        <v>0</v>
      </c>
      <c r="CR84" s="1487">
        <f t="shared" ca="1" si="214"/>
        <v>0</v>
      </c>
      <c r="CS84" s="1487">
        <f t="shared" ca="1" si="214"/>
        <v>0</v>
      </c>
      <c r="CT84" s="1487">
        <f t="shared" ca="1" si="214"/>
        <v>0</v>
      </c>
      <c r="CU84" s="1487">
        <f t="shared" ca="1" si="214"/>
        <v>0</v>
      </c>
      <c r="CV84" s="1487">
        <f t="shared" ca="1" si="214"/>
        <v>0</v>
      </c>
      <c r="CW84" s="1487">
        <f t="shared" ca="1" si="214"/>
        <v>0</v>
      </c>
      <c r="CX84" s="1487">
        <f t="shared" ca="1" si="214"/>
        <v>0</v>
      </c>
      <c r="CY84" s="1487">
        <f t="shared" ca="1" si="214"/>
        <v>0</v>
      </c>
      <c r="CZ84" s="1487">
        <f t="shared" ca="1" si="214"/>
        <v>0</v>
      </c>
      <c r="DA84" s="1487">
        <f t="shared" ca="1" si="214"/>
        <v>0</v>
      </c>
      <c r="DB84" s="1487">
        <f t="shared" ca="1" si="214"/>
        <v>0</v>
      </c>
      <c r="DC84" s="1487">
        <f t="shared" ca="1" si="214"/>
        <v>-1.420730954413632</v>
      </c>
      <c r="DD84" s="1487">
        <f t="shared" ca="1" si="214"/>
        <v>0</v>
      </c>
      <c r="DE84" s="1487">
        <f t="shared" ca="1" si="214"/>
        <v>0</v>
      </c>
      <c r="DF84" s="1487">
        <f ca="1">DF$51+DF$99+DF$55+DF$63+DF$68+DF$76+DF$82+DF$46</f>
        <v>0</v>
      </c>
      <c r="DH84" s="835">
        <f ca="1">SUM(BO84:DF84)</f>
        <v>266.58695431647675</v>
      </c>
    </row>
    <row r="85" spans="1:112" s="743" customFormat="1" ht="6" customHeight="1">
      <c r="C85" s="516"/>
      <c r="D85" s="517"/>
      <c r="E85" s="509"/>
      <c r="G85" s="958"/>
      <c r="H85" s="958"/>
      <c r="I85" s="958"/>
      <c r="J85" s="958"/>
      <c r="K85" s="960"/>
      <c r="L85" s="958"/>
      <c r="M85" s="958"/>
      <c r="N85" s="958"/>
      <c r="O85" s="958"/>
      <c r="P85" s="958"/>
      <c r="Q85" s="958"/>
      <c r="S85" s="970"/>
      <c r="T85" s="970"/>
      <c r="U85" s="970"/>
      <c r="V85" s="970"/>
      <c r="W85" s="970"/>
      <c r="X85" s="970"/>
      <c r="Y85" s="970"/>
      <c r="Z85" s="970"/>
      <c r="AA85" s="970"/>
      <c r="AB85" s="970"/>
      <c r="AC85" s="970"/>
      <c r="AD85" s="970"/>
      <c r="AE85" s="970"/>
      <c r="AF85" s="970"/>
      <c r="AG85" s="970"/>
      <c r="AH85" s="970"/>
      <c r="AI85" s="970"/>
      <c r="AJ85" s="970"/>
      <c r="AK85" s="970"/>
      <c r="AM85" s="976"/>
      <c r="AN85" s="976"/>
      <c r="AO85" s="976"/>
      <c r="AP85" s="976"/>
      <c r="AQ85" s="976"/>
      <c r="AR85" s="976"/>
      <c r="AS85" s="976"/>
      <c r="AT85" s="976"/>
      <c r="AU85" s="976"/>
      <c r="AV85" s="976"/>
      <c r="AW85" s="976"/>
      <c r="AX85" s="976"/>
      <c r="AY85" s="976"/>
      <c r="AZ85" s="976"/>
      <c r="BA85" s="976"/>
      <c r="BB85" s="976"/>
      <c r="BC85" s="976"/>
      <c r="BD85" s="976"/>
      <c r="BE85" s="976"/>
      <c r="BF85" s="976"/>
      <c r="BH85" s="990"/>
      <c r="BI85" s="990"/>
      <c r="BJ85" s="990"/>
      <c r="BL85" s="515">
        <f t="shared" si="205"/>
        <v>0</v>
      </c>
      <c r="BM85" s="515"/>
      <c r="BO85" s="1482"/>
      <c r="BP85" s="1482"/>
      <c r="BQ85" s="1482"/>
      <c r="BR85" s="1482"/>
      <c r="BS85" s="1482"/>
      <c r="BT85" s="1482"/>
      <c r="BU85" s="1482"/>
      <c r="BV85" s="1482"/>
      <c r="BW85" s="1482"/>
      <c r="BX85" s="1482"/>
      <c r="BY85" s="1482"/>
      <c r="BZ85" s="1482"/>
      <c r="CA85" s="1482"/>
      <c r="CB85" s="1482"/>
      <c r="CC85" s="1482"/>
      <c r="CD85" s="1482"/>
      <c r="CE85" s="1482"/>
      <c r="CF85" s="1482"/>
      <c r="CG85" s="1482"/>
      <c r="CH85" s="1482"/>
      <c r="CI85" s="1482"/>
      <c r="CJ85" s="1482"/>
      <c r="CK85" s="1482"/>
      <c r="CL85" s="1482"/>
      <c r="CM85" s="1482"/>
      <c r="CN85" s="1482"/>
      <c r="CO85" s="1482"/>
      <c r="CP85" s="1482"/>
      <c r="CQ85" s="1482"/>
      <c r="CR85" s="1482"/>
      <c r="CS85" s="1482"/>
      <c r="CT85" s="1482"/>
      <c r="CU85" s="1482"/>
      <c r="CV85" s="1482"/>
      <c r="CW85" s="1482"/>
      <c r="CX85" s="1482"/>
      <c r="CY85" s="1482"/>
      <c r="CZ85" s="1482"/>
      <c r="DA85" s="1482"/>
      <c r="DB85" s="1482"/>
      <c r="DC85" s="1482"/>
      <c r="DD85" s="1482"/>
      <c r="DE85" s="1482"/>
      <c r="DF85" s="1482"/>
      <c r="DH85" s="838"/>
    </row>
    <row r="86" spans="1:112" s="743" customFormat="1" ht="24" customHeight="1">
      <c r="C86" s="501" t="s">
        <v>987</v>
      </c>
      <c r="D86" s="501"/>
      <c r="E86" s="639"/>
      <c r="G86" s="957"/>
      <c r="H86" s="957"/>
      <c r="I86" s="957"/>
      <c r="J86" s="957"/>
      <c r="K86" s="957"/>
      <c r="L86" s="957"/>
      <c r="M86" s="957"/>
      <c r="N86" s="957"/>
      <c r="O86" s="957"/>
      <c r="P86" s="957"/>
      <c r="Q86" s="957"/>
      <c r="S86" s="973"/>
      <c r="T86" s="973"/>
      <c r="U86" s="973"/>
      <c r="V86" s="973"/>
      <c r="W86" s="973"/>
      <c r="X86" s="969"/>
      <c r="Y86" s="969"/>
      <c r="Z86" s="969"/>
      <c r="AA86" s="973"/>
      <c r="AB86" s="973"/>
      <c r="AC86" s="973"/>
      <c r="AD86" s="973"/>
      <c r="AE86" s="973"/>
      <c r="AF86" s="973"/>
      <c r="AG86" s="973"/>
      <c r="AH86" s="973"/>
      <c r="AI86" s="973"/>
      <c r="AJ86" s="973"/>
      <c r="AK86" s="973"/>
      <c r="AM86" s="980"/>
      <c r="AN86" s="980"/>
      <c r="AO86" s="980"/>
      <c r="AP86" s="980"/>
      <c r="AQ86" s="980"/>
      <c r="AR86" s="980"/>
      <c r="AS86" s="980"/>
      <c r="AT86" s="980"/>
      <c r="AU86" s="980"/>
      <c r="AV86" s="980"/>
      <c r="AW86" s="975"/>
      <c r="AX86" s="975"/>
      <c r="AY86" s="975"/>
      <c r="AZ86" s="975"/>
      <c r="BA86" s="975"/>
      <c r="BB86" s="975"/>
      <c r="BC86" s="975"/>
      <c r="BD86" s="975"/>
      <c r="BE86" s="975"/>
      <c r="BF86" s="980"/>
      <c r="BH86" s="993"/>
      <c r="BI86" s="993"/>
      <c r="BJ86" s="993"/>
      <c r="BL86" s="514">
        <f t="shared" si="205"/>
        <v>0</v>
      </c>
      <c r="BM86" s="514"/>
      <c r="BO86" s="1482"/>
      <c r="BP86" s="1482"/>
      <c r="BQ86" s="1482"/>
      <c r="BR86" s="1482"/>
      <c r="BS86" s="1482"/>
      <c r="BT86" s="1482"/>
      <c r="BU86" s="1482"/>
      <c r="BV86" s="1482"/>
      <c r="BW86" s="1482"/>
      <c r="BX86" s="1482"/>
      <c r="BY86" s="1482"/>
      <c r="BZ86" s="1482"/>
      <c r="CA86" s="1482"/>
      <c r="CB86" s="1482"/>
      <c r="CC86" s="1482"/>
      <c r="CD86" s="1482"/>
      <c r="CE86" s="1482"/>
      <c r="CF86" s="1482"/>
      <c r="CG86" s="1482"/>
      <c r="CH86" s="1482"/>
      <c r="CI86" s="1482"/>
      <c r="CJ86" s="1482"/>
      <c r="CK86" s="1482"/>
      <c r="CL86" s="1482"/>
      <c r="CM86" s="1482"/>
      <c r="CN86" s="1482"/>
      <c r="CO86" s="1482"/>
      <c r="CP86" s="1482"/>
      <c r="CQ86" s="1482"/>
      <c r="CR86" s="1482"/>
      <c r="CS86" s="1482"/>
      <c r="CT86" s="1482"/>
      <c r="CU86" s="1482"/>
      <c r="CV86" s="1482"/>
      <c r="CW86" s="1482"/>
      <c r="CX86" s="1482"/>
      <c r="CY86" s="1482"/>
      <c r="CZ86" s="1482"/>
      <c r="DA86" s="1482"/>
      <c r="DB86" s="1482"/>
      <c r="DC86" s="1482"/>
      <c r="DD86" s="1482"/>
      <c r="DE86" s="1482"/>
      <c r="DF86" s="1482"/>
      <c r="DH86" s="838"/>
    </row>
    <row r="87" spans="1:112" s="743" customFormat="1" ht="6" customHeight="1">
      <c r="C87" s="520"/>
      <c r="D87" s="38"/>
      <c r="E87" s="509"/>
      <c r="G87" s="958"/>
      <c r="H87" s="958"/>
      <c r="I87" s="958"/>
      <c r="J87" s="958"/>
      <c r="K87" s="960"/>
      <c r="L87" s="958"/>
      <c r="M87" s="958"/>
      <c r="N87" s="958"/>
      <c r="O87" s="958"/>
      <c r="P87" s="958"/>
      <c r="Q87" s="958"/>
      <c r="S87" s="970"/>
      <c r="T87" s="970"/>
      <c r="U87" s="970"/>
      <c r="V87" s="970"/>
      <c r="W87" s="970"/>
      <c r="X87" s="970"/>
      <c r="Y87" s="970"/>
      <c r="Z87" s="970"/>
      <c r="AA87" s="970"/>
      <c r="AB87" s="970"/>
      <c r="AC87" s="970"/>
      <c r="AD87" s="970"/>
      <c r="AE87" s="970"/>
      <c r="AF87" s="970"/>
      <c r="AG87" s="970"/>
      <c r="AH87" s="970"/>
      <c r="AI87" s="970"/>
      <c r="AJ87" s="970"/>
      <c r="AK87" s="970"/>
      <c r="AM87" s="976"/>
      <c r="AN87" s="976"/>
      <c r="AO87" s="976"/>
      <c r="AP87" s="976"/>
      <c r="AQ87" s="976"/>
      <c r="AR87" s="976"/>
      <c r="AS87" s="976"/>
      <c r="AT87" s="976"/>
      <c r="AU87" s="976"/>
      <c r="AV87" s="976"/>
      <c r="AW87" s="976"/>
      <c r="AX87" s="976"/>
      <c r="AY87" s="976"/>
      <c r="AZ87" s="976"/>
      <c r="BA87" s="976"/>
      <c r="BB87" s="976"/>
      <c r="BC87" s="976"/>
      <c r="BD87" s="976"/>
      <c r="BE87" s="976"/>
      <c r="BF87" s="976"/>
      <c r="BH87" s="990"/>
      <c r="BI87" s="990"/>
      <c r="BJ87" s="990"/>
      <c r="BL87" s="515">
        <f t="shared" si="205"/>
        <v>0</v>
      </c>
      <c r="BM87" s="515"/>
      <c r="BO87" s="1482"/>
      <c r="BP87" s="1482"/>
      <c r="BQ87" s="1482"/>
      <c r="BR87" s="1482"/>
      <c r="BS87" s="1482"/>
      <c r="BT87" s="1482"/>
      <c r="BU87" s="1482"/>
      <c r="BV87" s="1482"/>
      <c r="BW87" s="1482"/>
      <c r="BX87" s="1482"/>
      <c r="BY87" s="1482"/>
      <c r="BZ87" s="1482"/>
      <c r="CA87" s="1482"/>
      <c r="CB87" s="1482"/>
      <c r="CC87" s="1482"/>
      <c r="CD87" s="1482"/>
      <c r="CE87" s="1482"/>
      <c r="CF87" s="1482"/>
      <c r="CG87" s="1482"/>
      <c r="CH87" s="1482"/>
      <c r="CI87" s="1482"/>
      <c r="CJ87" s="1482"/>
      <c r="CK87" s="1482"/>
      <c r="CL87" s="1482"/>
      <c r="CM87" s="1482"/>
      <c r="CN87" s="1482"/>
      <c r="CO87" s="1482"/>
      <c r="CP87" s="1482"/>
      <c r="CQ87" s="1482"/>
      <c r="CR87" s="1482"/>
      <c r="CS87" s="1482"/>
      <c r="CT87" s="1482"/>
      <c r="CU87" s="1482"/>
      <c r="CV87" s="1482"/>
      <c r="CW87" s="1482"/>
      <c r="CX87" s="1482"/>
      <c r="CY87" s="1482"/>
      <c r="CZ87" s="1482"/>
      <c r="DA87" s="1482"/>
      <c r="DB87" s="1482"/>
      <c r="DC87" s="1482"/>
      <c r="DD87" s="1482"/>
      <c r="DE87" s="1482"/>
      <c r="DF87" s="1482"/>
      <c r="DH87" s="838"/>
    </row>
    <row r="88" spans="1:112" s="743" customFormat="1" hidden="1" outlineLevel="1">
      <c r="A88" s="1488"/>
      <c r="B88" s="1488"/>
      <c r="C88" s="850"/>
      <c r="D88" s="851"/>
      <c r="E88" s="851"/>
      <c r="G88" s="961"/>
      <c r="H88" s="961"/>
      <c r="I88" s="961"/>
      <c r="J88" s="961"/>
      <c r="K88" s="962"/>
      <c r="L88" s="961"/>
      <c r="M88" s="961"/>
      <c r="N88" s="961"/>
      <c r="O88" s="961"/>
      <c r="P88" s="961"/>
      <c r="Q88" s="961"/>
      <c r="S88" s="971"/>
      <c r="T88" s="971"/>
      <c r="U88" s="971"/>
      <c r="V88" s="971"/>
      <c r="W88" s="971"/>
      <c r="X88" s="971"/>
      <c r="Y88" s="971"/>
      <c r="Z88" s="971"/>
      <c r="AA88" s="971"/>
      <c r="AB88" s="971"/>
      <c r="AC88" s="971"/>
      <c r="AD88" s="971"/>
      <c r="AE88" s="971"/>
      <c r="AF88" s="971"/>
      <c r="AG88" s="971"/>
      <c r="AH88" s="971"/>
      <c r="AI88" s="971"/>
      <c r="AJ88" s="971"/>
      <c r="AK88" s="971"/>
      <c r="AM88" s="978"/>
      <c r="AN88" s="978"/>
      <c r="AO88" s="978"/>
      <c r="AP88" s="978"/>
      <c r="AQ88" s="978"/>
      <c r="AR88" s="978"/>
      <c r="AS88" s="978"/>
      <c r="AT88" s="978"/>
      <c r="AU88" s="978"/>
      <c r="AV88" s="978"/>
      <c r="AW88" s="978"/>
      <c r="AX88" s="978"/>
      <c r="AY88" s="978"/>
      <c r="AZ88" s="978"/>
      <c r="BA88" s="978"/>
      <c r="BB88" s="978"/>
      <c r="BC88" s="978"/>
      <c r="BD88" s="978"/>
      <c r="BE88" s="978"/>
      <c r="BF88" s="978"/>
      <c r="BH88" s="991"/>
      <c r="BI88" s="991"/>
      <c r="BJ88" s="991"/>
      <c r="BL88" s="852"/>
      <c r="BM88" s="852"/>
      <c r="BN88" s="1488"/>
      <c r="BO88" s="1490"/>
      <c r="BP88" s="1482"/>
      <c r="BQ88" s="1482"/>
      <c r="BR88" s="1482"/>
      <c r="BS88" s="1482"/>
      <c r="BT88" s="1482"/>
      <c r="BU88" s="1482"/>
      <c r="BV88" s="1482"/>
      <c r="BW88" s="1482"/>
      <c r="BX88" s="1482"/>
      <c r="BY88" s="1482"/>
      <c r="BZ88" s="1482"/>
      <c r="CA88" s="1482"/>
      <c r="CB88" s="1482"/>
      <c r="CC88" s="1482"/>
      <c r="CD88" s="1482"/>
      <c r="CE88" s="1482"/>
      <c r="CF88" s="1482"/>
      <c r="CG88" s="1482"/>
      <c r="CH88" s="1482"/>
      <c r="CI88" s="1482"/>
      <c r="CJ88" s="1482"/>
      <c r="CK88" s="1482"/>
      <c r="CL88" s="1482"/>
      <c r="CM88" s="1482"/>
      <c r="CN88" s="1482"/>
      <c r="CO88" s="1482"/>
      <c r="CP88" s="1482"/>
      <c r="CQ88" s="1482"/>
      <c r="CR88" s="1482"/>
      <c r="CS88" s="1482"/>
      <c r="CT88" s="1482"/>
      <c r="CU88" s="1482"/>
      <c r="CV88" s="1482"/>
      <c r="CW88" s="1482"/>
      <c r="CX88" s="1482"/>
      <c r="CY88" s="1482"/>
      <c r="CZ88" s="1482"/>
      <c r="DA88" s="1482"/>
      <c r="DB88" s="1482"/>
      <c r="DC88" s="1482"/>
      <c r="DD88" s="1482"/>
      <c r="DE88" s="1482"/>
      <c r="DF88" s="1482"/>
      <c r="DH88" s="838"/>
    </row>
    <row r="89" spans="1:112" s="1484" customFormat="1" hidden="1" outlineLevel="1">
      <c r="C89" s="522" t="s">
        <v>774</v>
      </c>
      <c r="D89" s="521" t="str">
        <f>INDEX(Modules[Module], MATCH($C89, Modules[Code], 0))</f>
        <v>Electricity imports / exports</v>
      </c>
      <c r="E89" s="521"/>
      <c r="F89" s="743"/>
      <c r="G89" s="1017">
        <f t="shared" ref="G89:P89" ca="1" si="215">IFERROR(INDEX(INDIRECT($C89&amp;".Outputs["&amp;this.Year&amp;"]"), MATCH(G$5, INDIRECT($C89&amp;".Outputs[Vector]"), 0)), 0)</f>
        <v>0</v>
      </c>
      <c r="H89" s="1017">
        <f t="shared" ca="1" si="215"/>
        <v>0</v>
      </c>
      <c r="I89" s="1017">
        <f t="shared" ca="1" si="215"/>
        <v>0</v>
      </c>
      <c r="J89" s="1017">
        <f t="shared" ca="1" si="215"/>
        <v>0</v>
      </c>
      <c r="K89" s="1017">
        <f t="shared" ca="1" si="215"/>
        <v>0</v>
      </c>
      <c r="L89" s="1017">
        <f t="shared" ca="1" si="215"/>
        <v>0</v>
      </c>
      <c r="M89" s="1017">
        <f t="shared" ca="1" si="215"/>
        <v>0</v>
      </c>
      <c r="N89" s="1017">
        <f t="shared" ca="1" si="215"/>
        <v>0</v>
      </c>
      <c r="O89" s="1017">
        <f t="shared" ca="1" si="215"/>
        <v>0</v>
      </c>
      <c r="P89" s="1017">
        <f t="shared" ca="1" si="215"/>
        <v>0</v>
      </c>
      <c r="Q89" s="1019">
        <f ca="1">SUM(G89:P89)</f>
        <v>0</v>
      </c>
      <c r="R89" s="743"/>
      <c r="S89" s="1026">
        <f t="shared" ref="S89:AJ89" ca="1" si="216">IFERROR(INDEX(INDIRECT($C89&amp;".Outputs["&amp;this.Year&amp;"]"), MATCH(S$5, INDIRECT($C89&amp;".Outputs[Vector]"), 0)), 0)</f>
        <v>0</v>
      </c>
      <c r="T89" s="1026">
        <f t="shared" ca="1" si="216"/>
        <v>0</v>
      </c>
      <c r="U89" s="1026">
        <f t="shared" ca="1" si="216"/>
        <v>0</v>
      </c>
      <c r="V89" s="1026">
        <f t="shared" ca="1" si="216"/>
        <v>0</v>
      </c>
      <c r="W89" s="1026">
        <f t="shared" ca="1" si="216"/>
        <v>0</v>
      </c>
      <c r="X89" s="1026">
        <f ca="1">IFERROR(INDEX(INDIRECT($C89&amp;".Outputs["&amp;this.Year&amp;"]"), MATCH(X$5, INDIRECT($C89&amp;".Outputs[Vector]"), 0)), 0)</f>
        <v>0</v>
      </c>
      <c r="Y89" s="1026">
        <f ca="1">IFERROR(INDEX(INDIRECT($C89&amp;".Outputs["&amp;this.Year&amp;"]"), MATCH(Y$5, INDIRECT($C89&amp;".Outputs[Vector]"), 0)), 0)</f>
        <v>0</v>
      </c>
      <c r="Z89" s="1026">
        <f ca="1">IFERROR(INDEX(INDIRECT($C89&amp;".Outputs["&amp;this.Year&amp;"]"), MATCH(Z$5, INDIRECT($C89&amp;".Outputs[Vector]"), 0)), 0)</f>
        <v>0</v>
      </c>
      <c r="AA89" s="1026">
        <f t="shared" ca="1" si="216"/>
        <v>0</v>
      </c>
      <c r="AB89" s="1026">
        <f t="shared" ca="1" si="216"/>
        <v>0</v>
      </c>
      <c r="AC89" s="1026">
        <f t="shared" ca="1" si="216"/>
        <v>0</v>
      </c>
      <c r="AD89" s="1026">
        <f t="shared" ca="1" si="216"/>
        <v>0</v>
      </c>
      <c r="AE89" s="1026">
        <f t="shared" ca="1" si="216"/>
        <v>0</v>
      </c>
      <c r="AF89" s="1026">
        <f t="shared" ca="1" si="216"/>
        <v>0</v>
      </c>
      <c r="AG89" s="1026">
        <f t="shared" ca="1" si="216"/>
        <v>0</v>
      </c>
      <c r="AH89" s="1026">
        <f t="shared" ca="1" si="216"/>
        <v>0</v>
      </c>
      <c r="AI89" s="1026">
        <f t="shared" ca="1" si="216"/>
        <v>0</v>
      </c>
      <c r="AJ89" s="1026">
        <f t="shared" ca="1" si="216"/>
        <v>0</v>
      </c>
      <c r="AK89" s="1027">
        <f ca="1">SUM(S89:AJ89)</f>
        <v>0</v>
      </c>
      <c r="AL89" s="743"/>
      <c r="AM89" s="1038">
        <f t="shared" ref="AM89:AU89" ca="1" si="217">IFERROR(INDEX(INDIRECT($C89&amp;".Outputs["&amp;this.Year&amp;"]"), MATCH(AM$5, INDIRECT($C89&amp;".Outputs[Vector]"), 0)), 0)</f>
        <v>0</v>
      </c>
      <c r="AN89" s="1038">
        <f t="shared" ca="1" si="217"/>
        <v>0</v>
      </c>
      <c r="AO89" s="1038">
        <f t="shared" ca="1" si="217"/>
        <v>0</v>
      </c>
      <c r="AP89" s="1038">
        <f t="shared" ca="1" si="217"/>
        <v>0</v>
      </c>
      <c r="AQ89" s="1038">
        <f t="shared" ca="1" si="217"/>
        <v>0</v>
      </c>
      <c r="AR89" s="1038">
        <f t="shared" ca="1" si="217"/>
        <v>0</v>
      </c>
      <c r="AS89" s="1038">
        <f t="shared" ca="1" si="217"/>
        <v>0</v>
      </c>
      <c r="AT89" s="1038">
        <f t="shared" ca="1" si="217"/>
        <v>0</v>
      </c>
      <c r="AU89" s="1038">
        <f t="shared" ca="1" si="217"/>
        <v>0</v>
      </c>
      <c r="AV89" s="1038">
        <f t="shared" ref="AV89:BE89" ca="1" si="218">IFERROR(INDEX(INDIRECT($C89&amp;".Outputs["&amp;this.Year&amp;"]"), MATCH(AV$5, INDIRECT($C89&amp;".Outputs[Vector]"), 0)), 0)</f>
        <v>0</v>
      </c>
      <c r="AW89" s="1038">
        <f t="shared" ca="1" si="218"/>
        <v>0</v>
      </c>
      <c r="AX89" s="1038">
        <f t="shared" ca="1" si="218"/>
        <v>0</v>
      </c>
      <c r="AY89" s="1038">
        <f t="shared" ca="1" si="218"/>
        <v>0</v>
      </c>
      <c r="AZ89" s="1038">
        <f t="shared" ca="1" si="218"/>
        <v>0</v>
      </c>
      <c r="BA89" s="1038">
        <f t="shared" ca="1" si="218"/>
        <v>0</v>
      </c>
      <c r="BB89" s="1038">
        <f t="shared" ca="1" si="218"/>
        <v>0</v>
      </c>
      <c r="BC89" s="1038">
        <f t="shared" ca="1" si="218"/>
        <v>0</v>
      </c>
      <c r="BD89" s="1038">
        <f t="shared" ca="1" si="218"/>
        <v>0</v>
      </c>
      <c r="BE89" s="1038">
        <f t="shared" ca="1" si="218"/>
        <v>0</v>
      </c>
      <c r="BF89" s="979">
        <f ca="1">SUM(AM89:BE89)</f>
        <v>0</v>
      </c>
      <c r="BG89" s="743"/>
      <c r="BH89" s="1032">
        <f ca="1">IFERROR(INDEX(INDIRECT($C89&amp;".Outputs["&amp;this.Year&amp;"]"), MATCH(BH$5, INDIRECT($C89&amp;".Outputs[Vector]"), 0)), 0)</f>
        <v>0</v>
      </c>
      <c r="BI89" s="1032">
        <f ca="1">IFERROR(INDEX(INDIRECT($C89&amp;".Outputs["&amp;this.Year&amp;"]"), MATCH(BI$5, INDIRECT($C89&amp;".Outputs[Vector]"), 0)), 0)</f>
        <v>0</v>
      </c>
      <c r="BJ89" s="1034">
        <f ca="1">SUM(BH89:BI89)</f>
        <v>0</v>
      </c>
      <c r="BK89" s="743"/>
      <c r="BL89" s="814">
        <f t="shared" ref="BL89:BL94" ca="1" si="219">Q89+AK89+BF89+BJ89</f>
        <v>0</v>
      </c>
      <c r="BM89" s="814"/>
      <c r="BO89" s="1481">
        <f t="shared" ref="BO89:DF89" ca="1" si="220">IFERROR(SUMIFS(INDIRECT($C89&amp;".Emissions["&amp;this.Year&amp;"]"), INDIRECT($C89&amp;".Emissions[GHG]"), BO$6, INDIRECT($C89&amp;".Emissions[IPCC Sector]"), BO$5),0)</f>
        <v>0</v>
      </c>
      <c r="BP89" s="1482">
        <f t="shared" ca="1" si="220"/>
        <v>0</v>
      </c>
      <c r="BQ89" s="1482">
        <f t="shared" ca="1" si="220"/>
        <v>0</v>
      </c>
      <c r="BR89" s="1482">
        <f t="shared" ca="1" si="220"/>
        <v>0</v>
      </c>
      <c r="BS89" s="1482">
        <f t="shared" ca="1" si="220"/>
        <v>0</v>
      </c>
      <c r="BT89" s="1482">
        <f t="shared" ca="1" si="220"/>
        <v>0</v>
      </c>
      <c r="BU89" s="1482">
        <f t="shared" ca="1" si="220"/>
        <v>0</v>
      </c>
      <c r="BV89" s="1482">
        <f t="shared" ca="1" si="220"/>
        <v>0</v>
      </c>
      <c r="BW89" s="1482">
        <f t="shared" ca="1" si="220"/>
        <v>0</v>
      </c>
      <c r="BX89" s="1482">
        <f t="shared" ca="1" si="220"/>
        <v>0</v>
      </c>
      <c r="BY89" s="1482">
        <f t="shared" ca="1" si="220"/>
        <v>0</v>
      </c>
      <c r="BZ89" s="1482">
        <f t="shared" ca="1" si="220"/>
        <v>0</v>
      </c>
      <c r="CA89" s="1482">
        <f t="shared" ca="1" si="220"/>
        <v>0</v>
      </c>
      <c r="CB89" s="1482">
        <f t="shared" ca="1" si="220"/>
        <v>0</v>
      </c>
      <c r="CC89" s="1482">
        <f t="shared" ca="1" si="220"/>
        <v>0</v>
      </c>
      <c r="CD89" s="1482">
        <f t="shared" ca="1" si="220"/>
        <v>0</v>
      </c>
      <c r="CE89" s="1482">
        <f t="shared" ca="1" si="220"/>
        <v>0</v>
      </c>
      <c r="CF89" s="1482">
        <f t="shared" ca="1" si="220"/>
        <v>0</v>
      </c>
      <c r="CG89" s="1482">
        <f t="shared" ca="1" si="220"/>
        <v>0</v>
      </c>
      <c r="CH89" s="1482">
        <f t="shared" ca="1" si="220"/>
        <v>0</v>
      </c>
      <c r="CI89" s="1482">
        <f t="shared" ca="1" si="220"/>
        <v>0</v>
      </c>
      <c r="CJ89" s="1482">
        <f t="shared" ca="1" si="220"/>
        <v>0</v>
      </c>
      <c r="CK89" s="1482">
        <f t="shared" ca="1" si="220"/>
        <v>0</v>
      </c>
      <c r="CL89" s="1482">
        <f t="shared" ca="1" si="220"/>
        <v>0</v>
      </c>
      <c r="CM89" s="1482">
        <f t="shared" ca="1" si="220"/>
        <v>0</v>
      </c>
      <c r="CN89" s="1482">
        <f t="shared" ca="1" si="220"/>
        <v>0</v>
      </c>
      <c r="CO89" s="1482">
        <f t="shared" ca="1" si="220"/>
        <v>0</v>
      </c>
      <c r="CP89" s="1482">
        <f t="shared" ca="1" si="220"/>
        <v>0</v>
      </c>
      <c r="CQ89" s="1482">
        <f t="shared" ca="1" si="220"/>
        <v>0</v>
      </c>
      <c r="CR89" s="1482">
        <f t="shared" ca="1" si="220"/>
        <v>0</v>
      </c>
      <c r="CS89" s="1482">
        <f t="shared" ca="1" si="220"/>
        <v>0</v>
      </c>
      <c r="CT89" s="1482">
        <f t="shared" ca="1" si="220"/>
        <v>0</v>
      </c>
      <c r="CU89" s="1482">
        <f t="shared" ca="1" si="220"/>
        <v>0</v>
      </c>
      <c r="CV89" s="1482">
        <f t="shared" ca="1" si="220"/>
        <v>0</v>
      </c>
      <c r="CW89" s="1482">
        <f t="shared" ca="1" si="220"/>
        <v>0</v>
      </c>
      <c r="CX89" s="1482">
        <f t="shared" ca="1" si="220"/>
        <v>0</v>
      </c>
      <c r="CY89" s="1482">
        <f t="shared" ca="1" si="220"/>
        <v>0</v>
      </c>
      <c r="CZ89" s="1482">
        <f t="shared" ca="1" si="220"/>
        <v>0</v>
      </c>
      <c r="DA89" s="1482">
        <f t="shared" ca="1" si="220"/>
        <v>0</v>
      </c>
      <c r="DB89" s="1482">
        <f t="shared" ca="1" si="220"/>
        <v>0</v>
      </c>
      <c r="DC89" s="1482">
        <f t="shared" ca="1" si="220"/>
        <v>0</v>
      </c>
      <c r="DD89" s="1482">
        <f t="shared" ca="1" si="220"/>
        <v>0</v>
      </c>
      <c r="DE89" s="1482">
        <f t="shared" ca="1" si="220"/>
        <v>0</v>
      </c>
      <c r="DF89" s="1482">
        <f t="shared" ca="1" si="220"/>
        <v>0</v>
      </c>
      <c r="DH89" s="838"/>
    </row>
    <row r="90" spans="1:112" s="1488" customFormat="1" ht="12.75" hidden="1" customHeight="1" outlineLevel="1">
      <c r="C90" s="1048" t="s">
        <v>1722</v>
      </c>
      <c r="D90" s="1049" t="s">
        <v>1335</v>
      </c>
      <c r="E90" s="1049"/>
      <c r="F90" s="743"/>
      <c r="G90" s="1070"/>
      <c r="H90" s="1070"/>
      <c r="I90" s="1070"/>
      <c r="J90" s="1070"/>
      <c r="K90" s="1071"/>
      <c r="L90" s="1070"/>
      <c r="M90" s="1070"/>
      <c r="N90" s="1070"/>
      <c r="O90" s="1070"/>
      <c r="P90" s="1070"/>
      <c r="Q90" s="1070"/>
      <c r="R90" s="743"/>
      <c r="S90" s="1072">
        <f ca="1">S$40+$S46+S$51+S$99+S$55+S$89</f>
        <v>-373.16495041083652</v>
      </c>
      <c r="T90" s="1072">
        <f ca="1">T$40+$S46+T$51+T$99+T$55+T$89</f>
        <v>0</v>
      </c>
      <c r="U90" s="1072"/>
      <c r="V90" s="1072"/>
      <c r="W90" s="1072"/>
      <c r="X90" s="1072"/>
      <c r="Y90" s="1072"/>
      <c r="Z90" s="1072"/>
      <c r="AA90" s="1072"/>
      <c r="AB90" s="1072"/>
      <c r="AC90" s="1072"/>
      <c r="AD90" s="1072"/>
      <c r="AE90" s="1072"/>
      <c r="AF90" s="1072"/>
      <c r="AG90" s="1072"/>
      <c r="AH90" s="1072"/>
      <c r="AI90" s="1072"/>
      <c r="AJ90" s="1072"/>
      <c r="AK90" s="1072"/>
      <c r="AL90" s="74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743"/>
      <c r="BH90" s="1074"/>
      <c r="BI90" s="1074"/>
      <c r="BJ90" s="1074"/>
      <c r="BK90" s="743"/>
      <c r="BL90" s="852">
        <f t="shared" si="219"/>
        <v>0</v>
      </c>
      <c r="BM90" s="852"/>
      <c r="BO90" s="1490"/>
      <c r="BP90" s="1490"/>
      <c r="BQ90" s="1490"/>
      <c r="BR90" s="1490"/>
      <c r="BS90" s="1490"/>
      <c r="BT90" s="1490"/>
      <c r="BU90" s="1490"/>
      <c r="BV90" s="1490"/>
      <c r="BW90" s="1490"/>
      <c r="BX90" s="1490"/>
      <c r="BY90" s="1490"/>
      <c r="BZ90" s="1490"/>
      <c r="CA90" s="1490"/>
      <c r="CB90" s="1490"/>
      <c r="CC90" s="1490"/>
      <c r="CD90" s="1490"/>
      <c r="CE90" s="1490"/>
      <c r="CF90" s="1490"/>
      <c r="CG90" s="1490"/>
      <c r="CH90" s="1490"/>
      <c r="CI90" s="1490"/>
      <c r="CJ90" s="1490"/>
      <c r="CK90" s="1490"/>
      <c r="CL90" s="1490"/>
      <c r="CM90" s="1490"/>
      <c r="CN90" s="1490"/>
      <c r="CO90" s="1490"/>
      <c r="CP90" s="1490"/>
      <c r="CQ90" s="1490"/>
      <c r="CR90" s="1490"/>
      <c r="CS90" s="1490"/>
      <c r="CT90" s="1490"/>
      <c r="CU90" s="1490"/>
      <c r="CV90" s="1490"/>
      <c r="CW90" s="1490"/>
      <c r="CX90" s="1490"/>
      <c r="CY90" s="1490"/>
      <c r="CZ90" s="1490"/>
      <c r="DA90" s="1490"/>
      <c r="DB90" s="1490"/>
      <c r="DC90" s="1490"/>
      <c r="DD90" s="1490"/>
      <c r="DE90" s="1490"/>
      <c r="DF90" s="1490"/>
      <c r="DH90" s="838"/>
    </row>
    <row r="91" spans="1:112" s="1484" customFormat="1" hidden="1" outlineLevel="1">
      <c r="C91" s="522" t="s">
        <v>784</v>
      </c>
      <c r="D91" s="521" t="str">
        <f>INDEX(Modules[Module], MATCH($C91, Modules[Code], 0))</f>
        <v>Electricity grid distribution</v>
      </c>
      <c r="E91" s="521"/>
      <c r="F91" s="743"/>
      <c r="G91" s="1017">
        <f t="shared" ref="G91:P92" ca="1" si="221">IFERROR(INDEX(INDIRECT($C91&amp;".Outputs["&amp;this.Year&amp;"]"), MATCH(G$5, INDIRECT($C91&amp;".Outputs[Vector]"), 0)), 0)</f>
        <v>0</v>
      </c>
      <c r="H91" s="1017">
        <f t="shared" ca="1" si="221"/>
        <v>0</v>
      </c>
      <c r="I91" s="1017">
        <f t="shared" ca="1" si="221"/>
        <v>0</v>
      </c>
      <c r="J91" s="1017">
        <f t="shared" ca="1" si="221"/>
        <v>0</v>
      </c>
      <c r="K91" s="1017">
        <f t="shared" ca="1" si="221"/>
        <v>0</v>
      </c>
      <c r="L91" s="1017">
        <f t="shared" ca="1" si="221"/>
        <v>0</v>
      </c>
      <c r="M91" s="1017">
        <f t="shared" ca="1" si="221"/>
        <v>0</v>
      </c>
      <c r="N91" s="1017">
        <f t="shared" ca="1" si="221"/>
        <v>0</v>
      </c>
      <c r="O91" s="1017">
        <f t="shared" ca="1" si="221"/>
        <v>0</v>
      </c>
      <c r="P91" s="1017">
        <f t="shared" ca="1" si="221"/>
        <v>0</v>
      </c>
      <c r="Q91" s="1019">
        <f ca="1">SUM(G91:P91)</f>
        <v>0</v>
      </c>
      <c r="R91" s="743"/>
      <c r="S91" s="1026">
        <f t="shared" ref="S91:AJ92" ca="1" si="222">IFERROR(INDEX(INDIRECT($C91&amp;".Outputs["&amp;this.Year&amp;"]"), MATCH(S$5, INDIRECT($C91&amp;".Outputs[Vector]"), 0)), 0)</f>
        <v>0</v>
      </c>
      <c r="T91" s="1026">
        <f t="shared" ca="1" si="222"/>
        <v>-27.979843192050168</v>
      </c>
      <c r="U91" s="1026">
        <f t="shared" ca="1" si="222"/>
        <v>0</v>
      </c>
      <c r="V91" s="1026">
        <f t="shared" ca="1" si="222"/>
        <v>0</v>
      </c>
      <c r="W91" s="1026">
        <f t="shared" ca="1" si="222"/>
        <v>0</v>
      </c>
      <c r="X91" s="1026">
        <f t="shared" ref="X91:Z92" ca="1" si="223">IFERROR(INDEX(INDIRECT($C91&amp;".Outputs["&amp;this.Year&amp;"]"), MATCH(X$5, INDIRECT($C91&amp;".Outputs[Vector]"), 0)), 0)</f>
        <v>0</v>
      </c>
      <c r="Y91" s="1026">
        <f t="shared" ca="1" si="223"/>
        <v>0</v>
      </c>
      <c r="Z91" s="1026">
        <f t="shared" ca="1" si="223"/>
        <v>0</v>
      </c>
      <c r="AA91" s="1026">
        <f t="shared" ca="1" si="222"/>
        <v>0</v>
      </c>
      <c r="AB91" s="1026">
        <f t="shared" ca="1" si="222"/>
        <v>0</v>
      </c>
      <c r="AC91" s="1026">
        <f t="shared" ca="1" si="222"/>
        <v>0</v>
      </c>
      <c r="AD91" s="1026">
        <f t="shared" ca="1" si="222"/>
        <v>0</v>
      </c>
      <c r="AE91" s="1026">
        <f t="shared" ca="1" si="222"/>
        <v>0</v>
      </c>
      <c r="AF91" s="1026">
        <f t="shared" ca="1" si="222"/>
        <v>0</v>
      </c>
      <c r="AG91" s="1026">
        <f t="shared" ca="1" si="222"/>
        <v>0</v>
      </c>
      <c r="AH91" s="1026">
        <f t="shared" ca="1" si="222"/>
        <v>0</v>
      </c>
      <c r="AI91" s="1026">
        <f t="shared" ca="1" si="222"/>
        <v>0</v>
      </c>
      <c r="AJ91" s="1026">
        <f t="shared" ca="1" si="222"/>
        <v>0</v>
      </c>
      <c r="AK91" s="1027">
        <f ca="1">SUM(S91:AJ91)</f>
        <v>-27.979843192050168</v>
      </c>
      <c r="AL91" s="743"/>
      <c r="AM91" s="1038">
        <f t="shared" ref="AM91:AU92" ca="1" si="224">IFERROR(INDEX(INDIRECT($C91&amp;".Outputs["&amp;this.Year&amp;"]"), MATCH(AM$5, INDIRECT($C91&amp;".Outputs[Vector]"), 0)), 0)</f>
        <v>0</v>
      </c>
      <c r="AN91" s="1038">
        <f t="shared" ca="1" si="224"/>
        <v>0</v>
      </c>
      <c r="AO91" s="1038">
        <f t="shared" ca="1" si="224"/>
        <v>0</v>
      </c>
      <c r="AP91" s="1038">
        <f t="shared" ca="1" si="224"/>
        <v>0</v>
      </c>
      <c r="AQ91" s="1038">
        <f t="shared" ca="1" si="224"/>
        <v>0</v>
      </c>
      <c r="AR91" s="1038">
        <f t="shared" ca="1" si="224"/>
        <v>0</v>
      </c>
      <c r="AS91" s="1038">
        <f t="shared" ca="1" si="224"/>
        <v>0</v>
      </c>
      <c r="AT91" s="1038">
        <f t="shared" ca="1" si="224"/>
        <v>0</v>
      </c>
      <c r="AU91" s="1038">
        <f t="shared" ca="1" si="224"/>
        <v>0</v>
      </c>
      <c r="AV91" s="1038">
        <f t="shared" ref="AV91:BE92" ca="1" si="225">IFERROR(INDEX(INDIRECT($C91&amp;".Outputs["&amp;this.Year&amp;"]"), MATCH(AV$5, INDIRECT($C91&amp;".Outputs[Vector]"), 0)), 0)</f>
        <v>0</v>
      </c>
      <c r="AW91" s="1038">
        <f t="shared" ca="1" si="225"/>
        <v>0</v>
      </c>
      <c r="AX91" s="1038">
        <f t="shared" ca="1" si="225"/>
        <v>0</v>
      </c>
      <c r="AY91" s="1038">
        <f t="shared" ca="1" si="225"/>
        <v>0</v>
      </c>
      <c r="AZ91" s="1038">
        <f t="shared" ca="1" si="225"/>
        <v>0</v>
      </c>
      <c r="BA91" s="1038">
        <f t="shared" ca="1" si="225"/>
        <v>0</v>
      </c>
      <c r="BB91" s="1038">
        <f t="shared" ca="1" si="225"/>
        <v>0</v>
      </c>
      <c r="BC91" s="1038">
        <f t="shared" ca="1" si="225"/>
        <v>0</v>
      </c>
      <c r="BD91" s="1038">
        <f t="shared" ca="1" si="225"/>
        <v>0</v>
      </c>
      <c r="BE91" s="1038">
        <f t="shared" ca="1" si="225"/>
        <v>0</v>
      </c>
      <c r="BF91" s="979">
        <f ca="1">SUM(AM91:BE91)</f>
        <v>0</v>
      </c>
      <c r="BG91" s="743"/>
      <c r="BH91" s="1032">
        <f ca="1">IFERROR(INDEX(INDIRECT($C91&amp;".Outputs["&amp;this.Year&amp;"]"), MATCH(BH$5, INDIRECT($C91&amp;".Outputs[Vector]"), 0)), 0)</f>
        <v>0</v>
      </c>
      <c r="BI91" s="1032">
        <f ca="1">IFERROR(INDEX(INDIRECT($C91&amp;".Outputs["&amp;this.Year&amp;"]"), MATCH(BI$5, INDIRECT($C91&amp;".Outputs[Vector]"), 0)), 0)</f>
        <v>27.979843192050133</v>
      </c>
      <c r="BJ91" s="1034">
        <f ca="1">SUM(BH91:BI91)</f>
        <v>27.979843192050133</v>
      </c>
      <c r="BK91" s="743"/>
      <c r="BL91" s="852">
        <f t="shared" ca="1" si="219"/>
        <v>-3.5527136788005009E-14</v>
      </c>
      <c r="BM91" s="814"/>
      <c r="BO91" s="1481">
        <f t="shared" ref="BO91:BX92" ca="1" si="226">IFERROR(SUMIFS(INDIRECT($C91&amp;".Emissions["&amp;this.Year&amp;"]"), INDIRECT($C91&amp;".Emissions[GHG]"), BO$6, INDIRECT($C91&amp;".Emissions[IPCC Sector]"), BO$5),0)</f>
        <v>0</v>
      </c>
      <c r="BP91" s="1482">
        <f t="shared" ca="1" si="226"/>
        <v>0</v>
      </c>
      <c r="BQ91" s="1482">
        <f t="shared" ca="1" si="226"/>
        <v>0</v>
      </c>
      <c r="BR91" s="1482">
        <f t="shared" ca="1" si="226"/>
        <v>0</v>
      </c>
      <c r="BS91" s="1482">
        <f t="shared" ca="1" si="226"/>
        <v>0</v>
      </c>
      <c r="BT91" s="1482">
        <f t="shared" ca="1" si="226"/>
        <v>0</v>
      </c>
      <c r="BU91" s="1482">
        <f t="shared" ca="1" si="226"/>
        <v>0</v>
      </c>
      <c r="BV91" s="1482">
        <f t="shared" ca="1" si="226"/>
        <v>0</v>
      </c>
      <c r="BW91" s="1482">
        <f t="shared" ca="1" si="226"/>
        <v>0</v>
      </c>
      <c r="BX91" s="1482">
        <f t="shared" ca="1" si="226"/>
        <v>0</v>
      </c>
      <c r="BY91" s="1482">
        <f t="shared" ref="BY91:CH92" ca="1" si="227">IFERROR(SUMIFS(INDIRECT($C91&amp;".Emissions["&amp;this.Year&amp;"]"), INDIRECT($C91&amp;".Emissions[GHG]"), BY$6, INDIRECT($C91&amp;".Emissions[IPCC Sector]"), BY$5),0)</f>
        <v>0</v>
      </c>
      <c r="BZ91" s="1482">
        <f t="shared" ca="1" si="227"/>
        <v>0</v>
      </c>
      <c r="CA91" s="1482">
        <f t="shared" ca="1" si="227"/>
        <v>0</v>
      </c>
      <c r="CB91" s="1482">
        <f t="shared" ca="1" si="227"/>
        <v>0</v>
      </c>
      <c r="CC91" s="1482">
        <f t="shared" ca="1" si="227"/>
        <v>0</v>
      </c>
      <c r="CD91" s="1482">
        <f t="shared" ca="1" si="227"/>
        <v>0</v>
      </c>
      <c r="CE91" s="1482">
        <f t="shared" ca="1" si="227"/>
        <v>0</v>
      </c>
      <c r="CF91" s="1482">
        <f t="shared" ca="1" si="227"/>
        <v>0</v>
      </c>
      <c r="CG91" s="1482">
        <f t="shared" ca="1" si="227"/>
        <v>0</v>
      </c>
      <c r="CH91" s="1482">
        <f t="shared" ca="1" si="227"/>
        <v>0</v>
      </c>
      <c r="CI91" s="1482">
        <f t="shared" ref="CI91:CR92" ca="1" si="228">IFERROR(SUMIFS(INDIRECT($C91&amp;".Emissions["&amp;this.Year&amp;"]"), INDIRECT($C91&amp;".Emissions[GHG]"), CI$6, INDIRECT($C91&amp;".Emissions[IPCC Sector]"), CI$5),0)</f>
        <v>0</v>
      </c>
      <c r="CJ91" s="1482">
        <f t="shared" ca="1" si="228"/>
        <v>0</v>
      </c>
      <c r="CK91" s="1482">
        <f t="shared" ca="1" si="228"/>
        <v>0</v>
      </c>
      <c r="CL91" s="1482">
        <f t="shared" ca="1" si="228"/>
        <v>0</v>
      </c>
      <c r="CM91" s="1482">
        <f t="shared" ca="1" si="228"/>
        <v>0</v>
      </c>
      <c r="CN91" s="1482">
        <f t="shared" ca="1" si="228"/>
        <v>0</v>
      </c>
      <c r="CO91" s="1482">
        <f t="shared" ca="1" si="228"/>
        <v>0</v>
      </c>
      <c r="CP91" s="1482">
        <f t="shared" ca="1" si="228"/>
        <v>0</v>
      </c>
      <c r="CQ91" s="1482">
        <f t="shared" ca="1" si="228"/>
        <v>0</v>
      </c>
      <c r="CR91" s="1482">
        <f t="shared" ca="1" si="228"/>
        <v>0</v>
      </c>
      <c r="CS91" s="1482">
        <f t="shared" ref="CS91:DF92" ca="1" si="229">IFERROR(SUMIFS(INDIRECT($C91&amp;".Emissions["&amp;this.Year&amp;"]"), INDIRECT($C91&amp;".Emissions[GHG]"), CS$6, INDIRECT($C91&amp;".Emissions[IPCC Sector]"), CS$5),0)</f>
        <v>0</v>
      </c>
      <c r="CT91" s="1482">
        <f t="shared" ca="1" si="229"/>
        <v>0</v>
      </c>
      <c r="CU91" s="1482">
        <f t="shared" ca="1" si="229"/>
        <v>0</v>
      </c>
      <c r="CV91" s="1482">
        <f t="shared" ca="1" si="229"/>
        <v>0</v>
      </c>
      <c r="CW91" s="1482">
        <f t="shared" ca="1" si="229"/>
        <v>0</v>
      </c>
      <c r="CX91" s="1482">
        <f t="shared" ca="1" si="229"/>
        <v>0</v>
      </c>
      <c r="CY91" s="1482">
        <f t="shared" ca="1" si="229"/>
        <v>0</v>
      </c>
      <c r="CZ91" s="1482">
        <f t="shared" ca="1" si="229"/>
        <v>0</v>
      </c>
      <c r="DA91" s="1482">
        <f t="shared" ca="1" si="229"/>
        <v>0</v>
      </c>
      <c r="DB91" s="1482">
        <f t="shared" ca="1" si="229"/>
        <v>0</v>
      </c>
      <c r="DC91" s="1482">
        <f t="shared" ca="1" si="229"/>
        <v>0</v>
      </c>
      <c r="DD91" s="1482">
        <f t="shared" ca="1" si="229"/>
        <v>0</v>
      </c>
      <c r="DE91" s="1482">
        <f t="shared" ca="1" si="229"/>
        <v>0</v>
      </c>
      <c r="DF91" s="1482">
        <f t="shared" ca="1" si="229"/>
        <v>0</v>
      </c>
      <c r="DH91" s="838"/>
    </row>
    <row r="92" spans="1:112" s="1484" customFormat="1" hidden="1" outlineLevel="1">
      <c r="C92" s="522" t="s">
        <v>796</v>
      </c>
      <c r="D92" s="1010" t="str">
        <f>INDEX(Modules[Module], MATCH($C92, Modules[Code], 0))</f>
        <v>Storage, demand shifting, backup</v>
      </c>
      <c r="E92" s="1010"/>
      <c r="F92" s="743"/>
      <c r="G92" s="1022">
        <f t="shared" ca="1" si="221"/>
        <v>0</v>
      </c>
      <c r="H92" s="1022">
        <f t="shared" ca="1" si="221"/>
        <v>0</v>
      </c>
      <c r="I92" s="1022">
        <f t="shared" ca="1" si="221"/>
        <v>0</v>
      </c>
      <c r="J92" s="1022">
        <f t="shared" ca="1" si="221"/>
        <v>0</v>
      </c>
      <c r="K92" s="1022">
        <f t="shared" ca="1" si="221"/>
        <v>0</v>
      </c>
      <c r="L92" s="1022">
        <f t="shared" ca="1" si="221"/>
        <v>0</v>
      </c>
      <c r="M92" s="1022">
        <f t="shared" ca="1" si="221"/>
        <v>0</v>
      </c>
      <c r="N92" s="1022">
        <f t="shared" ca="1" si="221"/>
        <v>0</v>
      </c>
      <c r="O92" s="1022">
        <f t="shared" ca="1" si="221"/>
        <v>0</v>
      </c>
      <c r="P92" s="1022">
        <f t="shared" ca="1" si="221"/>
        <v>0</v>
      </c>
      <c r="Q92" s="1020">
        <f ca="1">SUM(G92:P92)</f>
        <v>0</v>
      </c>
      <c r="R92" s="743"/>
      <c r="S92" s="1031">
        <f t="shared" ca="1" si="222"/>
        <v>0</v>
      </c>
      <c r="T92" s="1031">
        <f t="shared" ca="1" si="222"/>
        <v>0</v>
      </c>
      <c r="U92" s="1031">
        <f t="shared" ca="1" si="222"/>
        <v>0</v>
      </c>
      <c r="V92" s="1031">
        <f t="shared" ca="1" si="222"/>
        <v>0</v>
      </c>
      <c r="W92" s="1031">
        <f t="shared" ca="1" si="222"/>
        <v>0</v>
      </c>
      <c r="X92" s="1031">
        <f t="shared" ca="1" si="223"/>
        <v>0</v>
      </c>
      <c r="Y92" s="1031">
        <f t="shared" ca="1" si="223"/>
        <v>0</v>
      </c>
      <c r="Z92" s="1031">
        <f t="shared" ca="1" si="223"/>
        <v>0</v>
      </c>
      <c r="AA92" s="1031">
        <f t="shared" ca="1" si="222"/>
        <v>0</v>
      </c>
      <c r="AB92" s="1031">
        <f t="shared" ca="1" si="222"/>
        <v>0</v>
      </c>
      <c r="AC92" s="1031">
        <f t="shared" ca="1" si="222"/>
        <v>0</v>
      </c>
      <c r="AD92" s="1031">
        <f t="shared" ca="1" si="222"/>
        <v>0</v>
      </c>
      <c r="AE92" s="1031">
        <f t="shared" ca="1" si="222"/>
        <v>0</v>
      </c>
      <c r="AF92" s="1031">
        <f t="shared" ca="1" si="222"/>
        <v>0</v>
      </c>
      <c r="AG92" s="1031">
        <f t="shared" ca="1" si="222"/>
        <v>0</v>
      </c>
      <c r="AH92" s="1031">
        <f t="shared" ca="1" si="222"/>
        <v>0</v>
      </c>
      <c r="AI92" s="1031">
        <f t="shared" ca="1" si="222"/>
        <v>0</v>
      </c>
      <c r="AJ92" s="1031">
        <f t="shared" ca="1" si="222"/>
        <v>0</v>
      </c>
      <c r="AK92" s="1030">
        <f ca="1">SUM(S92:AJ92)</f>
        <v>0</v>
      </c>
      <c r="AL92" s="743"/>
      <c r="AM92" s="1042">
        <f t="shared" ca="1" si="224"/>
        <v>0</v>
      </c>
      <c r="AN92" s="1042">
        <f t="shared" ca="1" si="224"/>
        <v>0</v>
      </c>
      <c r="AO92" s="1042">
        <f t="shared" ca="1" si="224"/>
        <v>0</v>
      </c>
      <c r="AP92" s="1042">
        <f t="shared" ca="1" si="224"/>
        <v>0</v>
      </c>
      <c r="AQ92" s="1042">
        <f t="shared" ca="1" si="224"/>
        <v>0</v>
      </c>
      <c r="AR92" s="1042">
        <f t="shared" ca="1" si="224"/>
        <v>0</v>
      </c>
      <c r="AS92" s="1042">
        <f t="shared" ca="1" si="224"/>
        <v>0</v>
      </c>
      <c r="AT92" s="1042">
        <f t="shared" ca="1" si="224"/>
        <v>0</v>
      </c>
      <c r="AU92" s="1042">
        <f t="shared" ca="1" si="224"/>
        <v>0</v>
      </c>
      <c r="AV92" s="1042">
        <f t="shared" ca="1" si="225"/>
        <v>0</v>
      </c>
      <c r="AW92" s="1042">
        <f t="shared" ca="1" si="225"/>
        <v>0</v>
      </c>
      <c r="AX92" s="1042">
        <f t="shared" ca="1" si="225"/>
        <v>0</v>
      </c>
      <c r="AY92" s="1042">
        <f t="shared" ca="1" si="225"/>
        <v>0</v>
      </c>
      <c r="AZ92" s="1042">
        <f t="shared" ca="1" si="225"/>
        <v>0</v>
      </c>
      <c r="BA92" s="1042">
        <f t="shared" ca="1" si="225"/>
        <v>0</v>
      </c>
      <c r="BB92" s="1042">
        <f t="shared" ca="1" si="225"/>
        <v>0</v>
      </c>
      <c r="BC92" s="1042">
        <f t="shared" ca="1" si="225"/>
        <v>0</v>
      </c>
      <c r="BD92" s="1042">
        <f t="shared" ca="1" si="225"/>
        <v>0</v>
      </c>
      <c r="BE92" s="1042">
        <f t="shared" ca="1" si="225"/>
        <v>0</v>
      </c>
      <c r="BF92" s="1012">
        <f ca="1">SUM(AM92:BE92)</f>
        <v>0</v>
      </c>
      <c r="BG92" s="743"/>
      <c r="BH92" s="1036">
        <f ca="1">IFERROR(INDEX(INDIRECT($C92&amp;".Outputs["&amp;this.Year&amp;"]"), MATCH(BH$5, INDIRECT($C92&amp;".Outputs[Vector]"), 0)), 0)</f>
        <v>0</v>
      </c>
      <c r="BI92" s="1036">
        <f ca="1">IFERROR(INDEX(INDIRECT($C92&amp;".Outputs["&amp;this.Year&amp;"]"), MATCH(BI$5, INDIRECT($C92&amp;".Outputs[Vector]"), 0)), 0)</f>
        <v>0</v>
      </c>
      <c r="BJ92" s="1035">
        <f ca="1">SUM(BH92:BI92)</f>
        <v>0</v>
      </c>
      <c r="BK92" s="743"/>
      <c r="BL92" s="852">
        <f t="shared" ca="1" si="219"/>
        <v>0</v>
      </c>
      <c r="BM92" s="814"/>
      <c r="BO92" s="1485">
        <f t="shared" ca="1" si="226"/>
        <v>0</v>
      </c>
      <c r="BP92" s="1486">
        <f t="shared" ca="1" si="226"/>
        <v>0</v>
      </c>
      <c r="BQ92" s="1486">
        <f t="shared" ca="1" si="226"/>
        <v>0</v>
      </c>
      <c r="BR92" s="1486">
        <f t="shared" ca="1" si="226"/>
        <v>0</v>
      </c>
      <c r="BS92" s="1486">
        <f t="shared" ca="1" si="226"/>
        <v>0</v>
      </c>
      <c r="BT92" s="1486">
        <f t="shared" ca="1" si="226"/>
        <v>0</v>
      </c>
      <c r="BU92" s="1486">
        <f t="shared" ca="1" si="226"/>
        <v>0</v>
      </c>
      <c r="BV92" s="1486">
        <f t="shared" ca="1" si="226"/>
        <v>0</v>
      </c>
      <c r="BW92" s="1486">
        <f t="shared" ca="1" si="226"/>
        <v>0</v>
      </c>
      <c r="BX92" s="1486">
        <f t="shared" ca="1" si="226"/>
        <v>0</v>
      </c>
      <c r="BY92" s="1486">
        <f t="shared" ca="1" si="227"/>
        <v>0</v>
      </c>
      <c r="BZ92" s="1486">
        <f t="shared" ca="1" si="227"/>
        <v>0</v>
      </c>
      <c r="CA92" s="1486">
        <f t="shared" ca="1" si="227"/>
        <v>0</v>
      </c>
      <c r="CB92" s="1486">
        <f t="shared" ca="1" si="227"/>
        <v>0</v>
      </c>
      <c r="CC92" s="1486">
        <f t="shared" ca="1" si="227"/>
        <v>0</v>
      </c>
      <c r="CD92" s="1486">
        <f t="shared" ca="1" si="227"/>
        <v>0</v>
      </c>
      <c r="CE92" s="1486">
        <f t="shared" ca="1" si="227"/>
        <v>0</v>
      </c>
      <c r="CF92" s="1486">
        <f t="shared" ca="1" si="227"/>
        <v>0</v>
      </c>
      <c r="CG92" s="1486">
        <f t="shared" ca="1" si="227"/>
        <v>0</v>
      </c>
      <c r="CH92" s="1486">
        <f t="shared" ca="1" si="227"/>
        <v>0</v>
      </c>
      <c r="CI92" s="1486">
        <f t="shared" ca="1" si="228"/>
        <v>0</v>
      </c>
      <c r="CJ92" s="1486">
        <f t="shared" ca="1" si="228"/>
        <v>0</v>
      </c>
      <c r="CK92" s="1486">
        <f t="shared" ca="1" si="228"/>
        <v>0</v>
      </c>
      <c r="CL92" s="1486">
        <f t="shared" ca="1" si="228"/>
        <v>0</v>
      </c>
      <c r="CM92" s="1486">
        <f t="shared" ca="1" si="228"/>
        <v>0</v>
      </c>
      <c r="CN92" s="1486">
        <f t="shared" ca="1" si="228"/>
        <v>0</v>
      </c>
      <c r="CO92" s="1486">
        <f t="shared" ca="1" si="228"/>
        <v>0</v>
      </c>
      <c r="CP92" s="1486">
        <f t="shared" ca="1" si="228"/>
        <v>0</v>
      </c>
      <c r="CQ92" s="1486">
        <f t="shared" ca="1" si="228"/>
        <v>0</v>
      </c>
      <c r="CR92" s="1486">
        <f t="shared" ca="1" si="228"/>
        <v>0</v>
      </c>
      <c r="CS92" s="1486">
        <f t="shared" ca="1" si="229"/>
        <v>0</v>
      </c>
      <c r="CT92" s="1486">
        <f t="shared" ca="1" si="229"/>
        <v>0</v>
      </c>
      <c r="CU92" s="1486">
        <f t="shared" ca="1" si="229"/>
        <v>0</v>
      </c>
      <c r="CV92" s="1486">
        <f t="shared" ca="1" si="229"/>
        <v>0</v>
      </c>
      <c r="CW92" s="1486">
        <f t="shared" ca="1" si="229"/>
        <v>0</v>
      </c>
      <c r="CX92" s="1486">
        <f t="shared" ca="1" si="229"/>
        <v>0</v>
      </c>
      <c r="CY92" s="1486">
        <f t="shared" ca="1" si="229"/>
        <v>0</v>
      </c>
      <c r="CZ92" s="1486">
        <f t="shared" ca="1" si="229"/>
        <v>0</v>
      </c>
      <c r="DA92" s="1486">
        <f t="shared" ca="1" si="229"/>
        <v>0</v>
      </c>
      <c r="DB92" s="1486">
        <f t="shared" ca="1" si="229"/>
        <v>0</v>
      </c>
      <c r="DC92" s="1486">
        <f t="shared" ca="1" si="229"/>
        <v>0</v>
      </c>
      <c r="DD92" s="1486">
        <f t="shared" ca="1" si="229"/>
        <v>0</v>
      </c>
      <c r="DE92" s="1486">
        <f t="shared" ca="1" si="229"/>
        <v>0</v>
      </c>
      <c r="DF92" s="1486">
        <f t="shared" ca="1" si="229"/>
        <v>0</v>
      </c>
      <c r="DH92" s="838"/>
    </row>
    <row r="93" spans="1:112" s="22" customFormat="1" ht="12.75" customHeight="1" collapsed="1">
      <c r="B93" s="753"/>
      <c r="C93" s="744" t="s">
        <v>673</v>
      </c>
      <c r="D93" s="517" t="str">
        <f>INDEX(Workstreams[Workstream], MATCH($C93, Workstreams[Code], 0))</f>
        <v>Electricity distribution, storage, and balancing</v>
      </c>
      <c r="E93" s="512"/>
      <c r="F93" s="743"/>
      <c r="G93" s="958">
        <f t="shared" ref="G93:P93" ca="1" si="230">G$89+G$91+G$92</f>
        <v>0</v>
      </c>
      <c r="H93" s="958">
        <f t="shared" ca="1" si="230"/>
        <v>0</v>
      </c>
      <c r="I93" s="958">
        <f t="shared" ca="1" si="230"/>
        <v>0</v>
      </c>
      <c r="J93" s="958">
        <f t="shared" ca="1" si="230"/>
        <v>0</v>
      </c>
      <c r="K93" s="960">
        <f t="shared" ca="1" si="230"/>
        <v>0</v>
      </c>
      <c r="L93" s="958">
        <f t="shared" ca="1" si="230"/>
        <v>0</v>
      </c>
      <c r="M93" s="958">
        <f t="shared" ca="1" si="230"/>
        <v>0</v>
      </c>
      <c r="N93" s="958">
        <f t="shared" ca="1" si="230"/>
        <v>0</v>
      </c>
      <c r="O93" s="958">
        <f t="shared" ca="1" si="230"/>
        <v>0</v>
      </c>
      <c r="P93" s="958">
        <f t="shared" ca="1" si="230"/>
        <v>0</v>
      </c>
      <c r="Q93" s="1021">
        <f ca="1">SUM(G93:P93)</f>
        <v>0</v>
      </c>
      <c r="R93" s="743"/>
      <c r="S93" s="970">
        <f t="shared" ref="S93:AJ93" ca="1" si="231">S$89+S$91+S$92</f>
        <v>0</v>
      </c>
      <c r="T93" s="970">
        <f t="shared" ca="1" si="231"/>
        <v>-27.979843192050168</v>
      </c>
      <c r="U93" s="970">
        <f t="shared" ca="1" si="231"/>
        <v>0</v>
      </c>
      <c r="V93" s="970">
        <f t="shared" ca="1" si="231"/>
        <v>0</v>
      </c>
      <c r="W93" s="970">
        <f t="shared" ca="1" si="231"/>
        <v>0</v>
      </c>
      <c r="X93" s="970">
        <f ca="1">X$89+X$91+X$92</f>
        <v>0</v>
      </c>
      <c r="Y93" s="970">
        <f ca="1">Y$89+Y$91+Y$92</f>
        <v>0</v>
      </c>
      <c r="Z93" s="970">
        <f ca="1">Z$89+Z$91+Z$92</f>
        <v>0</v>
      </c>
      <c r="AA93" s="970">
        <f t="shared" ca="1" si="231"/>
        <v>0</v>
      </c>
      <c r="AB93" s="970">
        <f t="shared" ca="1" si="231"/>
        <v>0</v>
      </c>
      <c r="AC93" s="970">
        <f t="shared" ca="1" si="231"/>
        <v>0</v>
      </c>
      <c r="AD93" s="970">
        <f t="shared" ca="1" si="231"/>
        <v>0</v>
      </c>
      <c r="AE93" s="970">
        <f t="shared" ca="1" si="231"/>
        <v>0</v>
      </c>
      <c r="AF93" s="970">
        <f t="shared" ca="1" si="231"/>
        <v>0</v>
      </c>
      <c r="AG93" s="970">
        <f t="shared" ca="1" si="231"/>
        <v>0</v>
      </c>
      <c r="AH93" s="970">
        <f t="shared" ca="1" si="231"/>
        <v>0</v>
      </c>
      <c r="AI93" s="970">
        <f t="shared" ca="1" si="231"/>
        <v>0</v>
      </c>
      <c r="AJ93" s="970">
        <f t="shared" ca="1" si="231"/>
        <v>0</v>
      </c>
      <c r="AK93" s="970">
        <f ca="1">SUM(S93:AJ93)</f>
        <v>-27.979843192050168</v>
      </c>
      <c r="AL93" s="743"/>
      <c r="AM93" s="976">
        <f t="shared" ref="AM93:BE93" ca="1" si="232">AM$89+AM$91+AM$92</f>
        <v>0</v>
      </c>
      <c r="AN93" s="976">
        <f t="shared" ca="1" si="232"/>
        <v>0</v>
      </c>
      <c r="AO93" s="976">
        <f t="shared" ca="1" si="232"/>
        <v>0</v>
      </c>
      <c r="AP93" s="976">
        <f t="shared" ca="1" si="232"/>
        <v>0</v>
      </c>
      <c r="AQ93" s="976">
        <f t="shared" ca="1" si="232"/>
        <v>0</v>
      </c>
      <c r="AR93" s="976">
        <f t="shared" ca="1" si="232"/>
        <v>0</v>
      </c>
      <c r="AS93" s="976">
        <f t="shared" ca="1" si="232"/>
        <v>0</v>
      </c>
      <c r="AT93" s="976">
        <f t="shared" ca="1" si="232"/>
        <v>0</v>
      </c>
      <c r="AU93" s="976">
        <f t="shared" ca="1" si="232"/>
        <v>0</v>
      </c>
      <c r="AV93" s="976">
        <f t="shared" ca="1" si="232"/>
        <v>0</v>
      </c>
      <c r="AW93" s="976">
        <f t="shared" ca="1" si="232"/>
        <v>0</v>
      </c>
      <c r="AX93" s="976">
        <f t="shared" ca="1" si="232"/>
        <v>0</v>
      </c>
      <c r="AY93" s="976">
        <f t="shared" ca="1" si="232"/>
        <v>0</v>
      </c>
      <c r="AZ93" s="976">
        <f t="shared" ca="1" si="232"/>
        <v>0</v>
      </c>
      <c r="BA93" s="976">
        <f t="shared" ca="1" si="232"/>
        <v>0</v>
      </c>
      <c r="BB93" s="976">
        <f t="shared" ca="1" si="232"/>
        <v>0</v>
      </c>
      <c r="BC93" s="976">
        <f t="shared" ca="1" si="232"/>
        <v>0</v>
      </c>
      <c r="BD93" s="976">
        <f t="shared" ca="1" si="232"/>
        <v>0</v>
      </c>
      <c r="BE93" s="976">
        <f t="shared" ca="1" si="232"/>
        <v>0</v>
      </c>
      <c r="BF93" s="976">
        <f ca="1">SUM(AM93:BE93)</f>
        <v>0</v>
      </c>
      <c r="BG93" s="743"/>
      <c r="BH93" s="990">
        <f ca="1">BH$89+BH$91+BH$92</f>
        <v>0</v>
      </c>
      <c r="BI93" s="990">
        <f ca="1">BI$89+BI$91+BI$92</f>
        <v>27.979843192050133</v>
      </c>
      <c r="BJ93" s="990">
        <f ca="1">SUM(BH93:BI93)</f>
        <v>27.979843192050133</v>
      </c>
      <c r="BK93" s="743"/>
      <c r="BL93" s="515">
        <f t="shared" ca="1" si="219"/>
        <v>-3.5527136788005009E-14</v>
      </c>
      <c r="BM93" s="515"/>
      <c r="BN93" s="840"/>
      <c r="BO93" s="1482">
        <f t="shared" ref="BO93:DF93" ca="1" si="233">BO$89+BO$91+BO$92</f>
        <v>0</v>
      </c>
      <c r="BP93" s="1482">
        <f t="shared" ca="1" si="233"/>
        <v>0</v>
      </c>
      <c r="BQ93" s="1482">
        <f t="shared" ca="1" si="233"/>
        <v>0</v>
      </c>
      <c r="BR93" s="1482">
        <f t="shared" ca="1" si="233"/>
        <v>0</v>
      </c>
      <c r="BS93" s="1482">
        <f t="shared" ca="1" si="233"/>
        <v>0</v>
      </c>
      <c r="BT93" s="1482">
        <f t="shared" ca="1" si="233"/>
        <v>0</v>
      </c>
      <c r="BU93" s="1482">
        <f t="shared" ca="1" si="233"/>
        <v>0</v>
      </c>
      <c r="BV93" s="1482">
        <f t="shared" ca="1" si="233"/>
        <v>0</v>
      </c>
      <c r="BW93" s="1482">
        <f t="shared" ca="1" si="233"/>
        <v>0</v>
      </c>
      <c r="BX93" s="1482">
        <f t="shared" ca="1" si="233"/>
        <v>0</v>
      </c>
      <c r="BY93" s="1482">
        <f t="shared" ca="1" si="233"/>
        <v>0</v>
      </c>
      <c r="BZ93" s="1482">
        <f t="shared" ca="1" si="233"/>
        <v>0</v>
      </c>
      <c r="CA93" s="1482">
        <f t="shared" ca="1" si="233"/>
        <v>0</v>
      </c>
      <c r="CB93" s="1482">
        <f t="shared" ca="1" si="233"/>
        <v>0</v>
      </c>
      <c r="CC93" s="1482">
        <f t="shared" ca="1" si="233"/>
        <v>0</v>
      </c>
      <c r="CD93" s="1482">
        <f t="shared" ca="1" si="233"/>
        <v>0</v>
      </c>
      <c r="CE93" s="1482">
        <f t="shared" ca="1" si="233"/>
        <v>0</v>
      </c>
      <c r="CF93" s="1482">
        <f t="shared" ca="1" si="233"/>
        <v>0</v>
      </c>
      <c r="CG93" s="1482">
        <f t="shared" ca="1" si="233"/>
        <v>0</v>
      </c>
      <c r="CH93" s="1482">
        <f t="shared" ca="1" si="233"/>
        <v>0</v>
      </c>
      <c r="CI93" s="1482">
        <f t="shared" ca="1" si="233"/>
        <v>0</v>
      </c>
      <c r="CJ93" s="1482">
        <f t="shared" ca="1" si="233"/>
        <v>0</v>
      </c>
      <c r="CK93" s="1482">
        <f t="shared" ca="1" si="233"/>
        <v>0</v>
      </c>
      <c r="CL93" s="1482">
        <f t="shared" ca="1" si="233"/>
        <v>0</v>
      </c>
      <c r="CM93" s="1482">
        <f t="shared" ca="1" si="233"/>
        <v>0</v>
      </c>
      <c r="CN93" s="1482">
        <f t="shared" ca="1" si="233"/>
        <v>0</v>
      </c>
      <c r="CO93" s="1482">
        <f t="shared" ca="1" si="233"/>
        <v>0</v>
      </c>
      <c r="CP93" s="1482">
        <f t="shared" ca="1" si="233"/>
        <v>0</v>
      </c>
      <c r="CQ93" s="1482">
        <f t="shared" ca="1" si="233"/>
        <v>0</v>
      </c>
      <c r="CR93" s="1482">
        <f t="shared" ca="1" si="233"/>
        <v>0</v>
      </c>
      <c r="CS93" s="1482">
        <f t="shared" ca="1" si="233"/>
        <v>0</v>
      </c>
      <c r="CT93" s="1482">
        <f t="shared" ca="1" si="233"/>
        <v>0</v>
      </c>
      <c r="CU93" s="1482">
        <f t="shared" ca="1" si="233"/>
        <v>0</v>
      </c>
      <c r="CV93" s="1482">
        <f t="shared" ca="1" si="233"/>
        <v>0</v>
      </c>
      <c r="CW93" s="1482">
        <f t="shared" ca="1" si="233"/>
        <v>0</v>
      </c>
      <c r="CX93" s="1482">
        <f t="shared" ca="1" si="233"/>
        <v>0</v>
      </c>
      <c r="CY93" s="1482">
        <f t="shared" ca="1" si="233"/>
        <v>0</v>
      </c>
      <c r="CZ93" s="1482">
        <f t="shared" ca="1" si="233"/>
        <v>0</v>
      </c>
      <c r="DA93" s="1482">
        <f t="shared" ca="1" si="233"/>
        <v>0</v>
      </c>
      <c r="DB93" s="1482">
        <f t="shared" ca="1" si="233"/>
        <v>0</v>
      </c>
      <c r="DC93" s="1482">
        <f t="shared" ca="1" si="233"/>
        <v>0</v>
      </c>
      <c r="DD93" s="1482">
        <f t="shared" ca="1" si="233"/>
        <v>0</v>
      </c>
      <c r="DE93" s="1482">
        <f t="shared" ca="1" si="233"/>
        <v>0</v>
      </c>
      <c r="DF93" s="1482">
        <f t="shared" ca="1" si="233"/>
        <v>0</v>
      </c>
      <c r="DH93" s="838">
        <f t="shared" ref="DH93:DH104" ca="1" si="234">SUM(BO93:DF93)</f>
        <v>0</v>
      </c>
    </row>
    <row r="94" spans="1:112" s="743" customFormat="1" ht="12.75" hidden="1" customHeight="1" outlineLevel="1">
      <c r="A94" s="22"/>
      <c r="B94" s="22"/>
      <c r="C94" s="751"/>
      <c r="D94" s="512"/>
      <c r="E94" s="512"/>
      <c r="G94" s="958"/>
      <c r="H94" s="958"/>
      <c r="I94" s="958"/>
      <c r="J94" s="958"/>
      <c r="K94" s="960"/>
      <c r="L94" s="958"/>
      <c r="M94" s="958"/>
      <c r="N94" s="958"/>
      <c r="O94" s="958"/>
      <c r="P94" s="958"/>
      <c r="Q94" s="958"/>
      <c r="S94" s="970"/>
      <c r="T94" s="970"/>
      <c r="U94" s="970"/>
      <c r="V94" s="970"/>
      <c r="W94" s="970"/>
      <c r="X94" s="970"/>
      <c r="Y94" s="970"/>
      <c r="Z94" s="970"/>
      <c r="AA94" s="970"/>
      <c r="AB94" s="970"/>
      <c r="AC94" s="970"/>
      <c r="AD94" s="970"/>
      <c r="AE94" s="970"/>
      <c r="AF94" s="970"/>
      <c r="AG94" s="970"/>
      <c r="AH94" s="970"/>
      <c r="AI94" s="970"/>
      <c r="AJ94" s="970"/>
      <c r="AK94" s="970"/>
      <c r="AM94" s="976"/>
      <c r="AN94" s="976"/>
      <c r="AO94" s="976"/>
      <c r="AP94" s="976"/>
      <c r="AQ94" s="976"/>
      <c r="AR94" s="976"/>
      <c r="AS94" s="976"/>
      <c r="AT94" s="976"/>
      <c r="AU94" s="976"/>
      <c r="AV94" s="976"/>
      <c r="AW94" s="976"/>
      <c r="AX94" s="976"/>
      <c r="AY94" s="976"/>
      <c r="AZ94" s="976"/>
      <c r="BA94" s="976"/>
      <c r="BB94" s="976"/>
      <c r="BC94" s="976"/>
      <c r="BD94" s="976"/>
      <c r="BE94" s="976"/>
      <c r="BF94" s="976"/>
      <c r="BH94" s="990"/>
      <c r="BI94" s="990"/>
      <c r="BJ94" s="990"/>
      <c r="BL94" s="515">
        <f t="shared" si="219"/>
        <v>0</v>
      </c>
      <c r="BM94" s="515"/>
      <c r="BN94" s="840"/>
      <c r="BO94" s="1482"/>
      <c r="BP94" s="1482"/>
      <c r="BQ94" s="1482"/>
      <c r="BR94" s="1482"/>
      <c r="BS94" s="1482"/>
      <c r="BT94" s="1482"/>
      <c r="BU94" s="1482"/>
      <c r="BV94" s="1482"/>
      <c r="BW94" s="1482"/>
      <c r="BX94" s="1482"/>
      <c r="BY94" s="1482"/>
      <c r="BZ94" s="1482"/>
      <c r="CA94" s="1482"/>
      <c r="CB94" s="1482"/>
      <c r="CC94" s="1482"/>
      <c r="CD94" s="1482"/>
      <c r="CE94" s="1482"/>
      <c r="CF94" s="1482"/>
      <c r="CG94" s="1482"/>
      <c r="CH94" s="1482"/>
      <c r="CI94" s="1482"/>
      <c r="CJ94" s="1482"/>
      <c r="CK94" s="1482"/>
      <c r="CL94" s="1482"/>
      <c r="CM94" s="1482"/>
      <c r="CN94" s="1482"/>
      <c r="CO94" s="1482"/>
      <c r="CP94" s="1482"/>
      <c r="CQ94" s="1482"/>
      <c r="CR94" s="1482"/>
      <c r="CS94" s="1482"/>
      <c r="CT94" s="1482"/>
      <c r="CU94" s="1482"/>
      <c r="CV94" s="1482"/>
      <c r="CW94" s="1482"/>
      <c r="CX94" s="1482"/>
      <c r="CY94" s="1482"/>
      <c r="CZ94" s="1482"/>
      <c r="DA94" s="1482"/>
      <c r="DB94" s="1482"/>
      <c r="DC94" s="1482"/>
      <c r="DD94" s="1482"/>
      <c r="DE94" s="1482"/>
      <c r="DF94" s="1482"/>
      <c r="DH94" s="838">
        <f t="shared" si="234"/>
        <v>0</v>
      </c>
    </row>
    <row r="95" spans="1:112" s="1491" customFormat="1" ht="12.75" hidden="1" customHeight="1" outlineLevel="1">
      <c r="C95" s="1534" t="s">
        <v>1723</v>
      </c>
      <c r="D95" s="1535" t="s">
        <v>1665</v>
      </c>
      <c r="E95" s="1535"/>
      <c r="G95" s="1070"/>
      <c r="H95" s="1070"/>
      <c r="I95" s="1070"/>
      <c r="J95" s="1070"/>
      <c r="K95" s="1071"/>
      <c r="L95" s="1070"/>
      <c r="M95" s="1070"/>
      <c r="N95" s="1070"/>
      <c r="O95" s="1070"/>
      <c r="P95" s="1070"/>
      <c r="Q95" s="1070"/>
      <c r="S95" s="1072"/>
      <c r="T95" s="1072"/>
      <c r="U95" s="1072">
        <f ca="1">(U$40+U$84+U$93)</f>
        <v>-321.89513270266332</v>
      </c>
      <c r="V95" s="1072">
        <f ca="1">(V$40+V$84+V$93)</f>
        <v>-866.55691625228883</v>
      </c>
      <c r="W95" s="1072">
        <f ca="1">(W$40+W$84+W$93)</f>
        <v>-1163.4023029925334</v>
      </c>
      <c r="X95" s="1072"/>
      <c r="Y95" s="1072"/>
      <c r="Z95" s="1072"/>
      <c r="AA95" s="1072"/>
      <c r="AB95" s="1072"/>
      <c r="AC95" s="1072">
        <f t="shared" ref="AC95:AH95" ca="1" si="235">(AC$40+AC$84+AC$93)</f>
        <v>0</v>
      </c>
      <c r="AD95" s="1072">
        <f t="shared" ca="1" si="235"/>
        <v>7.7206352827919442</v>
      </c>
      <c r="AE95" s="1072">
        <f t="shared" ca="1" si="235"/>
        <v>1.252228408041016</v>
      </c>
      <c r="AF95" s="1072">
        <f t="shared" ca="1" si="235"/>
        <v>26.061321425348929</v>
      </c>
      <c r="AG95" s="1072">
        <f t="shared" ca="1" si="235"/>
        <v>14.087208334163787</v>
      </c>
      <c r="AH95" s="1072">
        <f t="shared" ca="1" si="235"/>
        <v>18.090473221244544</v>
      </c>
      <c r="AI95" s="1072"/>
      <c r="AJ95" s="1072"/>
      <c r="AK95" s="1072"/>
      <c r="AM95" s="1073"/>
      <c r="AN95" s="1073"/>
      <c r="AO95" s="1073"/>
      <c r="AP95" s="1073"/>
      <c r="AQ95" s="1073"/>
      <c r="AR95" s="1073"/>
      <c r="AS95" s="1073"/>
      <c r="AT95" s="1073"/>
      <c r="AU95" s="1073"/>
      <c r="AV95" s="1073"/>
      <c r="AW95" s="1073"/>
      <c r="AX95" s="1073"/>
      <c r="AY95" s="1073"/>
      <c r="AZ95" s="1073"/>
      <c r="BA95" s="1073"/>
      <c r="BB95" s="1073"/>
      <c r="BC95" s="1073"/>
      <c r="BD95" s="1073"/>
      <c r="BE95" s="1073">
        <f ca="1">BE40+BE46+BE51</f>
        <v>-111.23070647592911</v>
      </c>
      <c r="BF95" s="1073">
        <f ca="1">SUM(AM95:BE95)</f>
        <v>-111.23070647592911</v>
      </c>
      <c r="BH95" s="1074"/>
      <c r="BI95" s="1074"/>
      <c r="BJ95" s="1074"/>
      <c r="BL95" s="1536"/>
      <c r="BM95" s="1536"/>
      <c r="BN95" s="1537"/>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8"/>
      <c r="CP95" s="1538"/>
      <c r="CQ95" s="1538"/>
      <c r="CR95" s="1538"/>
      <c r="CS95" s="1538"/>
      <c r="CT95" s="1538"/>
      <c r="CU95" s="1538"/>
      <c r="CV95" s="1538"/>
      <c r="CW95" s="1538"/>
      <c r="CX95" s="1538"/>
      <c r="CY95" s="1538"/>
      <c r="CZ95" s="1538"/>
      <c r="DA95" s="1538"/>
      <c r="DB95" s="1538"/>
      <c r="DC95" s="1538"/>
      <c r="DD95" s="1538"/>
      <c r="DE95" s="1538"/>
      <c r="DF95" s="1538"/>
      <c r="DH95" s="1537">
        <f t="shared" si="234"/>
        <v>0</v>
      </c>
    </row>
    <row r="96" spans="1:112" s="1957" customFormat="1" ht="12.75" hidden="1" customHeight="1" outlineLevel="1">
      <c r="A96" s="1954"/>
      <c r="B96" s="1954"/>
      <c r="C96" s="1955" t="s">
        <v>963</v>
      </c>
      <c r="D96" s="1956" t="str">
        <f>INDEX(Modules[Module], MATCH($C96, Modules[Code], 0))</f>
        <v>Biomatter to fuel conversion</v>
      </c>
      <c r="E96" s="1956"/>
      <c r="G96" s="1061">
        <f t="shared" ref="G96:P96" ca="1" si="236">IFERROR(INDEX(INDIRECT($C96&amp;".Outputs["&amp;this.Year&amp;"]"), MATCH(G$5, INDIRECT($C96&amp;".Outputs[Vector]"), 0)), 0)</f>
        <v>0</v>
      </c>
      <c r="H96" s="1061">
        <f t="shared" ca="1" si="236"/>
        <v>0</v>
      </c>
      <c r="I96" s="1061">
        <f t="shared" ca="1" si="236"/>
        <v>0</v>
      </c>
      <c r="J96" s="1061">
        <f t="shared" ca="1" si="236"/>
        <v>0</v>
      </c>
      <c r="K96" s="1061">
        <f t="shared" ca="1" si="236"/>
        <v>0</v>
      </c>
      <c r="L96" s="1061">
        <f t="shared" ca="1" si="236"/>
        <v>0</v>
      </c>
      <c r="M96" s="1061">
        <f t="shared" ca="1" si="236"/>
        <v>0</v>
      </c>
      <c r="N96" s="1061">
        <f t="shared" ca="1" si="236"/>
        <v>0</v>
      </c>
      <c r="O96" s="1061">
        <f t="shared" ca="1" si="236"/>
        <v>0</v>
      </c>
      <c r="P96" s="1061">
        <f t="shared" ca="1" si="236"/>
        <v>0</v>
      </c>
      <c r="Q96" s="1062">
        <f ca="1">SUM(G96:P96)</f>
        <v>0</v>
      </c>
      <c r="S96" s="1063">
        <f t="shared" ref="S96:AJ96" ca="1" si="237">IFERROR(INDEX(INDIRECT($C96&amp;".Outputs["&amp;this.Year&amp;"]"), MATCH(S$5, INDIRECT($C96&amp;".Outputs[Vector]"), 0)), 0)</f>
        <v>0</v>
      </c>
      <c r="T96" s="1063">
        <f t="shared" ca="1" si="237"/>
        <v>0</v>
      </c>
      <c r="U96" s="1063">
        <f t="shared" ca="1" si="237"/>
        <v>23.455189282814036</v>
      </c>
      <c r="V96" s="1063">
        <f t="shared" ca="1" si="237"/>
        <v>5.3293973874795597</v>
      </c>
      <c r="W96" s="1063">
        <f t="shared" ca="1" si="237"/>
        <v>29.360239888575574</v>
      </c>
      <c r="X96" s="1063">
        <f t="shared" ca="1" si="237"/>
        <v>0</v>
      </c>
      <c r="Y96" s="1063">
        <f t="shared" ca="1" si="237"/>
        <v>0</v>
      </c>
      <c r="Z96" s="1063">
        <f t="shared" ca="1" si="237"/>
        <v>0</v>
      </c>
      <c r="AA96" s="1063">
        <f t="shared" ca="1" si="237"/>
        <v>0</v>
      </c>
      <c r="AB96" s="1063">
        <f t="shared" ca="1" si="237"/>
        <v>0</v>
      </c>
      <c r="AC96" s="1063">
        <f t="shared" ca="1" si="237"/>
        <v>0</v>
      </c>
      <c r="AD96" s="1063">
        <f t="shared" ca="1" si="237"/>
        <v>-7.7206352827919442</v>
      </c>
      <c r="AE96" s="1063">
        <f t="shared" ca="1" si="237"/>
        <v>-1.252228408041016</v>
      </c>
      <c r="AF96" s="1063">
        <f t="shared" ca="1" si="237"/>
        <v>-26.061321425348929</v>
      </c>
      <c r="AG96" s="1063">
        <f t="shared" ca="1" si="237"/>
        <v>-14.087208334163787</v>
      </c>
      <c r="AH96" s="1063">
        <f t="shared" ca="1" si="237"/>
        <v>-18.090473221244544</v>
      </c>
      <c r="AI96" s="1063">
        <f t="shared" ca="1" si="237"/>
        <v>0</v>
      </c>
      <c r="AJ96" s="1063">
        <f t="shared" ca="1" si="237"/>
        <v>0</v>
      </c>
      <c r="AK96" s="1064">
        <f ca="1">SUM(S96:AJ96)</f>
        <v>-9.0670401127210489</v>
      </c>
      <c r="AM96" s="1065">
        <f t="shared" ref="AM96:BE96" ca="1" si="238">IFERROR(INDEX(INDIRECT($C96&amp;".Outputs["&amp;this.Year&amp;"]"), MATCH(AM$5, INDIRECT($C96&amp;".Outputs[Vector]"), 0)), 0)</f>
        <v>0</v>
      </c>
      <c r="AN96" s="1065">
        <f t="shared" ca="1" si="238"/>
        <v>0</v>
      </c>
      <c r="AO96" s="1065">
        <f t="shared" ca="1" si="238"/>
        <v>0</v>
      </c>
      <c r="AP96" s="1065">
        <f t="shared" ca="1" si="238"/>
        <v>0</v>
      </c>
      <c r="AQ96" s="1065">
        <f t="shared" ca="1" si="238"/>
        <v>0</v>
      </c>
      <c r="AR96" s="1065">
        <f t="shared" ca="1" si="238"/>
        <v>0</v>
      </c>
      <c r="AS96" s="1065">
        <f t="shared" ca="1" si="238"/>
        <v>0</v>
      </c>
      <c r="AT96" s="1065">
        <f t="shared" ca="1" si="238"/>
        <v>0</v>
      </c>
      <c r="AU96" s="1065">
        <f t="shared" ca="1" si="238"/>
        <v>0</v>
      </c>
      <c r="AV96" s="1065">
        <f t="shared" ca="1" si="238"/>
        <v>0</v>
      </c>
      <c r="AW96" s="1065">
        <f t="shared" ca="1" si="238"/>
        <v>0</v>
      </c>
      <c r="AX96" s="1065">
        <f t="shared" ca="1" si="238"/>
        <v>0</v>
      </c>
      <c r="AY96" s="1065">
        <f t="shared" ca="1" si="238"/>
        <v>0</v>
      </c>
      <c r="AZ96" s="1065">
        <f t="shared" ca="1" si="238"/>
        <v>0</v>
      </c>
      <c r="BA96" s="1065">
        <f t="shared" ca="1" si="238"/>
        <v>0</v>
      </c>
      <c r="BB96" s="1065">
        <f t="shared" ca="1" si="238"/>
        <v>0</v>
      </c>
      <c r="BC96" s="1065">
        <f t="shared" ca="1" si="238"/>
        <v>0</v>
      </c>
      <c r="BD96" s="1065">
        <f t="shared" ca="1" si="238"/>
        <v>0</v>
      </c>
      <c r="BE96" s="1065">
        <f t="shared" ca="1" si="238"/>
        <v>0</v>
      </c>
      <c r="BF96" s="1066">
        <f ca="1">SUM(AM96:BE96)</f>
        <v>0</v>
      </c>
      <c r="BH96" s="1067">
        <f ca="1">IFERROR(INDEX(INDIRECT($C96&amp;".Outputs["&amp;this.Year&amp;"]"), MATCH(BH$5, INDIRECT($C96&amp;".Outputs[Vector]"), 0)), 0)</f>
        <v>9.0670401127210454</v>
      </c>
      <c r="BI96" s="1067">
        <f ca="1">IFERROR(INDEX(INDIRECT($C96&amp;".Outputs["&amp;this.Year&amp;"]"), MATCH(BI$5, INDIRECT($C96&amp;".Outputs[Vector]"), 0)), 0)</f>
        <v>0</v>
      </c>
      <c r="BJ96" s="1068">
        <f ca="1">SUM(BH96:BI96)</f>
        <v>9.0670401127210454</v>
      </c>
      <c r="BL96" s="1958">
        <f ca="1">Q96+AK96+BF96+BJ96</f>
        <v>0</v>
      </c>
      <c r="BM96" s="1958"/>
      <c r="BN96" s="1959"/>
      <c r="BO96" s="1960">
        <f t="shared" ref="BO96:DF96" ca="1" si="239">IFERROR(SUMIFS(INDIRECT($C96&amp;".Emissions["&amp;this.Year&amp;"]"), INDIRECT($C96&amp;".Emissions[GHG]"), BO$6, INDIRECT($C96&amp;".Emissions[IPCC Sector]"), BO$5),0)</f>
        <v>0</v>
      </c>
      <c r="BP96" s="1961">
        <f t="shared" ca="1" si="239"/>
        <v>0</v>
      </c>
      <c r="BQ96" s="1961">
        <f t="shared" ca="1" si="239"/>
        <v>0</v>
      </c>
      <c r="BR96" s="1961">
        <f t="shared" ca="1" si="239"/>
        <v>0</v>
      </c>
      <c r="BS96" s="1961">
        <f t="shared" ca="1" si="239"/>
        <v>0</v>
      </c>
      <c r="BT96" s="1961">
        <f t="shared" ca="1" si="239"/>
        <v>0</v>
      </c>
      <c r="BU96" s="1961">
        <f t="shared" ca="1" si="239"/>
        <v>0</v>
      </c>
      <c r="BV96" s="1961">
        <f t="shared" ca="1" si="239"/>
        <v>0</v>
      </c>
      <c r="BW96" s="1961">
        <f t="shared" ca="1" si="239"/>
        <v>0</v>
      </c>
      <c r="BX96" s="1961">
        <f t="shared" ca="1" si="239"/>
        <v>0</v>
      </c>
      <c r="BY96" s="1961">
        <f t="shared" ca="1" si="239"/>
        <v>0</v>
      </c>
      <c r="BZ96" s="1961">
        <f t="shared" ca="1" si="239"/>
        <v>0</v>
      </c>
      <c r="CA96" s="1961">
        <f t="shared" ca="1" si="239"/>
        <v>0</v>
      </c>
      <c r="CB96" s="1961">
        <f t="shared" ca="1" si="239"/>
        <v>0</v>
      </c>
      <c r="CC96" s="1961">
        <f t="shared" ca="1" si="239"/>
        <v>0</v>
      </c>
      <c r="CD96" s="1961">
        <f t="shared" ca="1" si="239"/>
        <v>0</v>
      </c>
      <c r="CE96" s="1961">
        <f t="shared" ca="1" si="239"/>
        <v>0</v>
      </c>
      <c r="CF96" s="1961">
        <f t="shared" ca="1" si="239"/>
        <v>0</v>
      </c>
      <c r="CG96" s="1961">
        <f t="shared" ca="1" si="239"/>
        <v>0</v>
      </c>
      <c r="CH96" s="1961">
        <f t="shared" ca="1" si="239"/>
        <v>0</v>
      </c>
      <c r="CI96" s="1961">
        <f t="shared" ca="1" si="239"/>
        <v>0</v>
      </c>
      <c r="CJ96" s="1961">
        <f t="shared" ca="1" si="239"/>
        <v>0</v>
      </c>
      <c r="CK96" s="1961">
        <f t="shared" ca="1" si="239"/>
        <v>0</v>
      </c>
      <c r="CL96" s="1961">
        <f t="shared" ca="1" si="239"/>
        <v>0</v>
      </c>
      <c r="CM96" s="1961">
        <f t="shared" ca="1" si="239"/>
        <v>0</v>
      </c>
      <c r="CN96" s="1961">
        <f t="shared" ca="1" si="239"/>
        <v>0</v>
      </c>
      <c r="CO96" s="1961">
        <f t="shared" ca="1" si="239"/>
        <v>0</v>
      </c>
      <c r="CP96" s="1961">
        <f t="shared" ca="1" si="239"/>
        <v>0</v>
      </c>
      <c r="CQ96" s="1961">
        <f t="shared" ca="1" si="239"/>
        <v>0</v>
      </c>
      <c r="CR96" s="1961">
        <f t="shared" ca="1" si="239"/>
        <v>0</v>
      </c>
      <c r="CS96" s="1961">
        <f t="shared" ca="1" si="239"/>
        <v>0</v>
      </c>
      <c r="CT96" s="1961">
        <f t="shared" ca="1" si="239"/>
        <v>0</v>
      </c>
      <c r="CU96" s="1961">
        <f t="shared" ca="1" si="239"/>
        <v>0</v>
      </c>
      <c r="CV96" s="1961">
        <f t="shared" ca="1" si="239"/>
        <v>0</v>
      </c>
      <c r="CW96" s="1961">
        <f t="shared" ca="1" si="239"/>
        <v>0</v>
      </c>
      <c r="CX96" s="1961">
        <f t="shared" ca="1" si="239"/>
        <v>0</v>
      </c>
      <c r="CY96" s="1961">
        <f t="shared" ca="1" si="239"/>
        <v>-13.958831785474516</v>
      </c>
      <c r="CZ96" s="1961">
        <f t="shared" ca="1" si="239"/>
        <v>0</v>
      </c>
      <c r="DA96" s="1961">
        <f t="shared" ca="1" si="239"/>
        <v>0</v>
      </c>
      <c r="DB96" s="1961">
        <f t="shared" ca="1" si="239"/>
        <v>0</v>
      </c>
      <c r="DC96" s="1961">
        <f t="shared" ca="1" si="239"/>
        <v>0</v>
      </c>
      <c r="DD96" s="1961">
        <f t="shared" ca="1" si="239"/>
        <v>0</v>
      </c>
      <c r="DE96" s="1961">
        <f t="shared" ca="1" si="239"/>
        <v>0</v>
      </c>
      <c r="DF96" s="1961">
        <f t="shared" ca="1" si="239"/>
        <v>0</v>
      </c>
      <c r="DH96" s="1962">
        <f t="shared" ca="1" si="234"/>
        <v>-13.958831785474516</v>
      </c>
    </row>
    <row r="97" spans="1:112" s="1491" customFormat="1" ht="12.75" hidden="1" customHeight="1" outlineLevel="1">
      <c r="C97" s="1534" t="s">
        <v>1724</v>
      </c>
      <c r="D97" s="1535" t="s">
        <v>1665</v>
      </c>
      <c r="E97" s="1535"/>
      <c r="G97" s="1070"/>
      <c r="H97" s="1070"/>
      <c r="I97" s="1070"/>
      <c r="J97" s="1070"/>
      <c r="K97" s="1071"/>
      <c r="L97" s="1070"/>
      <c r="M97" s="1070"/>
      <c r="N97" s="1070"/>
      <c r="O97" s="1070"/>
      <c r="P97" s="1070"/>
      <c r="Q97" s="1070"/>
      <c r="S97" s="1072"/>
      <c r="T97" s="1072"/>
      <c r="U97" s="1072">
        <f ca="1">U$95+U$96</f>
        <v>-298.43994341984927</v>
      </c>
      <c r="V97" s="1072">
        <f ca="1">V$95+V$96</f>
        <v>-861.22751886480933</v>
      </c>
      <c r="W97" s="1072">
        <f ca="1">W$95+W$96</f>
        <v>-1134.0420631039578</v>
      </c>
      <c r="X97" s="1072"/>
      <c r="Y97" s="1072"/>
      <c r="Z97" s="1072"/>
      <c r="AA97" s="1072"/>
      <c r="AB97" s="1072"/>
      <c r="AC97" s="1072">
        <f t="shared" ref="AC97:AH97" ca="1" si="240">AC$95+AC$96</f>
        <v>0</v>
      </c>
      <c r="AD97" s="1072">
        <f t="shared" ca="1" si="240"/>
        <v>0</v>
      </c>
      <c r="AE97" s="1072">
        <f t="shared" ca="1" si="240"/>
        <v>0</v>
      </c>
      <c r="AF97" s="1072">
        <f t="shared" ca="1" si="240"/>
        <v>0</v>
      </c>
      <c r="AG97" s="1072">
        <f t="shared" ca="1" si="240"/>
        <v>0</v>
      </c>
      <c r="AH97" s="1072">
        <f t="shared" ca="1" si="240"/>
        <v>0</v>
      </c>
      <c r="AI97" s="1072"/>
      <c r="AJ97" s="1072"/>
      <c r="AK97" s="1072"/>
      <c r="AM97" s="1073"/>
      <c r="AN97" s="1073"/>
      <c r="AO97" s="1073"/>
      <c r="AP97" s="1073"/>
      <c r="AQ97" s="1073"/>
      <c r="AR97" s="1073"/>
      <c r="AS97" s="1073"/>
      <c r="AT97" s="1073"/>
      <c r="AU97" s="1073"/>
      <c r="AV97" s="1073"/>
      <c r="AW97" s="1073"/>
      <c r="AX97" s="1073"/>
      <c r="AY97" s="1073"/>
      <c r="AZ97" s="1073"/>
      <c r="BA97" s="1073"/>
      <c r="BB97" s="1073"/>
      <c r="BC97" s="1073"/>
      <c r="BD97" s="1073"/>
      <c r="BE97" s="1073">
        <f ca="1">BE42+BE49+BE53</f>
        <v>-97.812149689806731</v>
      </c>
      <c r="BF97" s="1073">
        <f ca="1">SUM(AM97:BE97)</f>
        <v>-97.812149689806731</v>
      </c>
      <c r="BH97" s="1074"/>
      <c r="BI97" s="1074"/>
      <c r="BJ97" s="1074"/>
      <c r="BL97" s="1536"/>
      <c r="BM97" s="1536"/>
      <c r="BN97" s="1537"/>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8"/>
      <c r="CP97" s="1538"/>
      <c r="CQ97" s="1538"/>
      <c r="CR97" s="1538"/>
      <c r="CS97" s="1538"/>
      <c r="CT97" s="1538"/>
      <c r="CU97" s="1538"/>
      <c r="CV97" s="1538"/>
      <c r="CW97" s="1538"/>
      <c r="CX97" s="1538"/>
      <c r="CY97" s="1538"/>
      <c r="CZ97" s="1538"/>
      <c r="DA97" s="1538"/>
      <c r="DB97" s="1538"/>
      <c r="DC97" s="1538"/>
      <c r="DD97" s="1538"/>
      <c r="DE97" s="1538"/>
      <c r="DF97" s="1538"/>
      <c r="DH97" s="1537">
        <f>SUM(BO97:DF97)</f>
        <v>0</v>
      </c>
    </row>
    <row r="98" spans="1:112" s="743" customFormat="1" ht="12.75" hidden="1" customHeight="1" outlineLevel="1">
      <c r="A98" s="1484"/>
      <c r="B98" s="1484"/>
      <c r="C98" s="746" t="s">
        <v>1695</v>
      </c>
      <c r="D98" s="1010" t="str">
        <f>INDEX(Modules[Module], MATCH($C98, Modules[Code], 0))</f>
        <v>Bioenergy imports</v>
      </c>
      <c r="E98" s="1010"/>
      <c r="G98" s="1022">
        <f t="shared" ref="G98:P98" ca="1" si="241">IFERROR(INDEX(INDIRECT($C98&amp;".Outputs["&amp;this.Year&amp;"]"), MATCH(G$5, INDIRECT($C98&amp;".Outputs[Vector]"), 0)), 0)</f>
        <v>0</v>
      </c>
      <c r="H98" s="1022">
        <f t="shared" ca="1" si="241"/>
        <v>0</v>
      </c>
      <c r="I98" s="1022">
        <f t="shared" ca="1" si="241"/>
        <v>0</v>
      </c>
      <c r="J98" s="1022">
        <f t="shared" ca="1" si="241"/>
        <v>0</v>
      </c>
      <c r="K98" s="1022">
        <f t="shared" ca="1" si="241"/>
        <v>0</v>
      </c>
      <c r="L98" s="1022">
        <f t="shared" ca="1" si="241"/>
        <v>0</v>
      </c>
      <c r="M98" s="1022">
        <f t="shared" ca="1" si="241"/>
        <v>0</v>
      </c>
      <c r="N98" s="1022">
        <f t="shared" ca="1" si="241"/>
        <v>0</v>
      </c>
      <c r="O98" s="1022">
        <f t="shared" ca="1" si="241"/>
        <v>0</v>
      </c>
      <c r="P98" s="1022">
        <f t="shared" ca="1" si="241"/>
        <v>0</v>
      </c>
      <c r="Q98" s="1020">
        <f ca="1">SUM(G98:P98)</f>
        <v>0</v>
      </c>
      <c r="S98" s="1031">
        <f t="shared" ref="S98:AJ98" ca="1" si="242">IFERROR(INDEX(INDIRECT($C98&amp;".Outputs["&amp;this.Year&amp;"]"), MATCH(S$5, INDIRECT($C98&amp;".Outputs[Vector]"), 0)), 0)</f>
        <v>0</v>
      </c>
      <c r="T98" s="1031">
        <f t="shared" ca="1" si="242"/>
        <v>0</v>
      </c>
      <c r="U98" s="1031">
        <f t="shared" ca="1" si="242"/>
        <v>3.5782534883720931</v>
      </c>
      <c r="V98" s="1031">
        <f t="shared" ca="1" si="242"/>
        <v>-0.32185348837209304</v>
      </c>
      <c r="W98" s="1031">
        <f t="shared" ca="1" si="242"/>
        <v>0</v>
      </c>
      <c r="X98" s="1031">
        <f t="shared" ca="1" si="242"/>
        <v>0</v>
      </c>
      <c r="Y98" s="1031">
        <f t="shared" ca="1" si="242"/>
        <v>0</v>
      </c>
      <c r="Z98" s="1031">
        <f t="shared" ca="1" si="242"/>
        <v>0</v>
      </c>
      <c r="AA98" s="1031">
        <f t="shared" ca="1" si="242"/>
        <v>0</v>
      </c>
      <c r="AB98" s="1031">
        <f t="shared" ca="1" si="242"/>
        <v>0</v>
      </c>
      <c r="AC98" s="1031">
        <f t="shared" ca="1" si="242"/>
        <v>0</v>
      </c>
      <c r="AD98" s="1031">
        <f t="shared" ca="1" si="242"/>
        <v>0</v>
      </c>
      <c r="AE98" s="1031">
        <f t="shared" ca="1" si="242"/>
        <v>0</v>
      </c>
      <c r="AF98" s="1031">
        <f t="shared" ca="1" si="242"/>
        <v>0</v>
      </c>
      <c r="AG98" s="1031">
        <f t="shared" ca="1" si="242"/>
        <v>0</v>
      </c>
      <c r="AH98" s="1031">
        <f t="shared" ca="1" si="242"/>
        <v>0</v>
      </c>
      <c r="AI98" s="1031">
        <f t="shared" ca="1" si="242"/>
        <v>0</v>
      </c>
      <c r="AJ98" s="1031">
        <f t="shared" ca="1" si="242"/>
        <v>0</v>
      </c>
      <c r="AK98" s="1030">
        <f ca="1">SUM(S98:AJ98)</f>
        <v>3.2564000000000002</v>
      </c>
      <c r="AM98" s="1042">
        <f t="shared" ref="AM98:BE98" ca="1" si="243">IFERROR(INDEX(INDIRECT($C98&amp;".Outputs["&amp;this.Year&amp;"]"), MATCH(AM$5, INDIRECT($C98&amp;".Outputs[Vector]"), 0)), 0)</f>
        <v>0</v>
      </c>
      <c r="AN98" s="1042">
        <f t="shared" ca="1" si="243"/>
        <v>0</v>
      </c>
      <c r="AO98" s="1042">
        <f t="shared" ca="1" si="243"/>
        <v>0</v>
      </c>
      <c r="AP98" s="1042">
        <f t="shared" ca="1" si="243"/>
        <v>-3.2564000000000002</v>
      </c>
      <c r="AQ98" s="1042">
        <f t="shared" ca="1" si="243"/>
        <v>0</v>
      </c>
      <c r="AR98" s="1042">
        <f t="shared" ca="1" si="243"/>
        <v>0</v>
      </c>
      <c r="AS98" s="1042">
        <f t="shared" ca="1" si="243"/>
        <v>0</v>
      </c>
      <c r="AT98" s="1042">
        <f t="shared" ca="1" si="243"/>
        <v>0</v>
      </c>
      <c r="AU98" s="1042">
        <f t="shared" ca="1" si="243"/>
        <v>0</v>
      </c>
      <c r="AV98" s="1042">
        <f t="shared" ca="1" si="243"/>
        <v>0</v>
      </c>
      <c r="AW98" s="1042">
        <f t="shared" ca="1" si="243"/>
        <v>0</v>
      </c>
      <c r="AX98" s="1042">
        <f t="shared" ca="1" si="243"/>
        <v>0</v>
      </c>
      <c r="AY98" s="1042">
        <f t="shared" ca="1" si="243"/>
        <v>0</v>
      </c>
      <c r="AZ98" s="1042">
        <f t="shared" ca="1" si="243"/>
        <v>0</v>
      </c>
      <c r="BA98" s="1042">
        <f t="shared" ca="1" si="243"/>
        <v>0</v>
      </c>
      <c r="BB98" s="1042">
        <f t="shared" ca="1" si="243"/>
        <v>0</v>
      </c>
      <c r="BC98" s="1042">
        <f t="shared" ca="1" si="243"/>
        <v>0</v>
      </c>
      <c r="BD98" s="1042">
        <f t="shared" ca="1" si="243"/>
        <v>0</v>
      </c>
      <c r="BE98" s="1042">
        <f t="shared" ca="1" si="243"/>
        <v>0</v>
      </c>
      <c r="BF98" s="1012">
        <f ca="1">SUM(AM98:BE98)</f>
        <v>-3.2564000000000002</v>
      </c>
      <c r="BH98" s="1036">
        <f ca="1">IFERROR(INDEX(INDIRECT($C98&amp;".Outputs["&amp;this.Year&amp;"]"), MATCH(BH$5, INDIRECT($C98&amp;".Outputs[Vector]"), 0)), 0)</f>
        <v>0</v>
      </c>
      <c r="BI98" s="1036">
        <f ca="1">IFERROR(INDEX(INDIRECT($C98&amp;".Outputs["&amp;this.Year&amp;"]"), MATCH(BI$5, INDIRECT($C98&amp;".Outputs[Vector]"), 0)), 0)</f>
        <v>0</v>
      </c>
      <c r="BJ98" s="1035">
        <f ca="1">SUM(BH98:BI98)</f>
        <v>0</v>
      </c>
      <c r="BL98" s="814">
        <f ca="1">Q98+AK98+BF98+BJ98</f>
        <v>0</v>
      </c>
      <c r="BM98" s="814"/>
      <c r="BN98" s="840"/>
      <c r="BO98" s="1485">
        <f t="shared" ref="BO98:DF98" ca="1" si="244">IFERROR(SUMIFS(INDIRECT($C98&amp;".Emissions["&amp;this.Year&amp;"]"), INDIRECT($C98&amp;".Emissions[GHG]"), BO$6, INDIRECT($C98&amp;".Emissions[IPCC Sector]"), BO$5),0)</f>
        <v>0</v>
      </c>
      <c r="BP98" s="1486">
        <f t="shared" ca="1" si="244"/>
        <v>0</v>
      </c>
      <c r="BQ98" s="1486">
        <f t="shared" ca="1" si="244"/>
        <v>0</v>
      </c>
      <c r="BR98" s="1486">
        <f t="shared" ca="1" si="244"/>
        <v>0</v>
      </c>
      <c r="BS98" s="1486">
        <f t="shared" ca="1" si="244"/>
        <v>0</v>
      </c>
      <c r="BT98" s="1486">
        <f t="shared" ca="1" si="244"/>
        <v>0</v>
      </c>
      <c r="BU98" s="1486">
        <f t="shared" ca="1" si="244"/>
        <v>0</v>
      </c>
      <c r="BV98" s="1486">
        <f t="shared" ca="1" si="244"/>
        <v>0</v>
      </c>
      <c r="BW98" s="1486">
        <f t="shared" ca="1" si="244"/>
        <v>0</v>
      </c>
      <c r="BX98" s="1486">
        <f t="shared" ca="1" si="244"/>
        <v>0</v>
      </c>
      <c r="BY98" s="1486">
        <f t="shared" ca="1" si="244"/>
        <v>0</v>
      </c>
      <c r="BZ98" s="1486">
        <f t="shared" ca="1" si="244"/>
        <v>0</v>
      </c>
      <c r="CA98" s="1486">
        <f t="shared" ca="1" si="244"/>
        <v>0</v>
      </c>
      <c r="CB98" s="1486">
        <f t="shared" ca="1" si="244"/>
        <v>0</v>
      </c>
      <c r="CC98" s="1486">
        <f t="shared" ca="1" si="244"/>
        <v>0</v>
      </c>
      <c r="CD98" s="1486">
        <f t="shared" ca="1" si="244"/>
        <v>0</v>
      </c>
      <c r="CE98" s="1486">
        <f t="shared" ca="1" si="244"/>
        <v>0</v>
      </c>
      <c r="CF98" s="1486">
        <f t="shared" ca="1" si="244"/>
        <v>0</v>
      </c>
      <c r="CG98" s="1486">
        <f t="shared" ca="1" si="244"/>
        <v>0</v>
      </c>
      <c r="CH98" s="1486">
        <f t="shared" ca="1" si="244"/>
        <v>0</v>
      </c>
      <c r="CI98" s="1486">
        <f t="shared" ca="1" si="244"/>
        <v>0</v>
      </c>
      <c r="CJ98" s="1486">
        <f t="shared" ca="1" si="244"/>
        <v>0</v>
      </c>
      <c r="CK98" s="1486">
        <f t="shared" ca="1" si="244"/>
        <v>0</v>
      </c>
      <c r="CL98" s="1486">
        <f t="shared" ca="1" si="244"/>
        <v>0</v>
      </c>
      <c r="CM98" s="1486">
        <f t="shared" ca="1" si="244"/>
        <v>0</v>
      </c>
      <c r="CN98" s="1486">
        <f t="shared" ca="1" si="244"/>
        <v>0</v>
      </c>
      <c r="CO98" s="1486">
        <f t="shared" ca="1" si="244"/>
        <v>0</v>
      </c>
      <c r="CP98" s="1486">
        <f t="shared" ca="1" si="244"/>
        <v>0</v>
      </c>
      <c r="CQ98" s="1486">
        <f t="shared" ca="1" si="244"/>
        <v>0</v>
      </c>
      <c r="CR98" s="1486">
        <f t="shared" ca="1" si="244"/>
        <v>0</v>
      </c>
      <c r="CS98" s="1486">
        <f t="shared" ca="1" si="244"/>
        <v>0</v>
      </c>
      <c r="CT98" s="1486">
        <f t="shared" ca="1" si="244"/>
        <v>0</v>
      </c>
      <c r="CU98" s="1486">
        <f t="shared" ca="1" si="244"/>
        <v>0</v>
      </c>
      <c r="CV98" s="1486">
        <f t="shared" ca="1" si="244"/>
        <v>0</v>
      </c>
      <c r="CW98" s="1486">
        <f t="shared" ca="1" si="244"/>
        <v>0</v>
      </c>
      <c r="CX98" s="1486">
        <f t="shared" ca="1" si="244"/>
        <v>0</v>
      </c>
      <c r="CY98" s="1486">
        <f t="shared" ca="1" si="244"/>
        <v>-1.0216387023255813</v>
      </c>
      <c r="CZ98" s="1486">
        <f t="shared" ca="1" si="244"/>
        <v>0</v>
      </c>
      <c r="DA98" s="1486">
        <f t="shared" ca="1" si="244"/>
        <v>0</v>
      </c>
      <c r="DB98" s="1486">
        <f t="shared" ca="1" si="244"/>
        <v>0</v>
      </c>
      <c r="DC98" s="1486">
        <f t="shared" ca="1" si="244"/>
        <v>0</v>
      </c>
      <c r="DD98" s="1486">
        <f t="shared" ca="1" si="244"/>
        <v>0</v>
      </c>
      <c r="DE98" s="1486">
        <f t="shared" ca="1" si="244"/>
        <v>0</v>
      </c>
      <c r="DF98" s="1486">
        <f t="shared" ca="1" si="244"/>
        <v>0</v>
      </c>
      <c r="DH98" s="838">
        <f ca="1">SUM(BO98:DF98)</f>
        <v>-1.0216387023255813</v>
      </c>
    </row>
    <row r="99" spans="1:112" s="743" customFormat="1" ht="15.75" collapsed="1">
      <c r="A99" s="22"/>
      <c r="B99" s="753"/>
      <c r="C99" s="744" t="s">
        <v>671</v>
      </c>
      <c r="D99" s="517" t="str">
        <f>INDEX(Workstreams[Workstream], MATCH($C99, Workstreams[Code], 0))</f>
        <v>Bioenergy</v>
      </c>
      <c r="E99" s="512"/>
      <c r="G99" s="1021">
        <f ca="1">G$96+G98</f>
        <v>0</v>
      </c>
      <c r="H99" s="1021">
        <f t="shared" ref="H99:P99" ca="1" si="245">H$96+H98</f>
        <v>0</v>
      </c>
      <c r="I99" s="1021">
        <f t="shared" ca="1" si="245"/>
        <v>0</v>
      </c>
      <c r="J99" s="1021">
        <f t="shared" ca="1" si="245"/>
        <v>0</v>
      </c>
      <c r="K99" s="1021">
        <f t="shared" ca="1" si="245"/>
        <v>0</v>
      </c>
      <c r="L99" s="1021">
        <f t="shared" ca="1" si="245"/>
        <v>0</v>
      </c>
      <c r="M99" s="1021">
        <f t="shared" ca="1" si="245"/>
        <v>0</v>
      </c>
      <c r="N99" s="1021">
        <f t="shared" ca="1" si="245"/>
        <v>0</v>
      </c>
      <c r="O99" s="1021">
        <f t="shared" ca="1" si="245"/>
        <v>0</v>
      </c>
      <c r="P99" s="1021">
        <f t="shared" ca="1" si="245"/>
        <v>0</v>
      </c>
      <c r="Q99" s="1021">
        <f ca="1">SUM(G99:P99)</f>
        <v>0</v>
      </c>
      <c r="S99" s="970">
        <f t="shared" ref="S99:AJ99" ca="1" si="246">S$96+S98</f>
        <v>0</v>
      </c>
      <c r="T99" s="970">
        <f t="shared" ca="1" si="246"/>
        <v>0</v>
      </c>
      <c r="U99" s="970">
        <f t="shared" ca="1" si="246"/>
        <v>27.033442771186131</v>
      </c>
      <c r="V99" s="970">
        <f t="shared" ca="1" si="246"/>
        <v>5.0075438991074668</v>
      </c>
      <c r="W99" s="970">
        <f t="shared" ca="1" si="246"/>
        <v>29.360239888575574</v>
      </c>
      <c r="X99" s="970">
        <f t="shared" ca="1" si="246"/>
        <v>0</v>
      </c>
      <c r="Y99" s="970">
        <f t="shared" ca="1" si="246"/>
        <v>0</v>
      </c>
      <c r="Z99" s="970">
        <f t="shared" ca="1" si="246"/>
        <v>0</v>
      </c>
      <c r="AA99" s="970">
        <f t="shared" ca="1" si="246"/>
        <v>0</v>
      </c>
      <c r="AB99" s="970">
        <f t="shared" ca="1" si="246"/>
        <v>0</v>
      </c>
      <c r="AC99" s="970">
        <f t="shared" ca="1" si="246"/>
        <v>0</v>
      </c>
      <c r="AD99" s="970">
        <f ca="1">AD$96+AD98</f>
        <v>-7.7206352827919442</v>
      </c>
      <c r="AE99" s="970">
        <f ca="1">AE$96+AE98</f>
        <v>-1.252228408041016</v>
      </c>
      <c r="AF99" s="970">
        <f t="shared" ca="1" si="246"/>
        <v>-26.061321425348929</v>
      </c>
      <c r="AG99" s="970">
        <f t="shared" ca="1" si="246"/>
        <v>-14.087208334163787</v>
      </c>
      <c r="AH99" s="970">
        <f ca="1">AH$96+AH98</f>
        <v>-18.090473221244544</v>
      </c>
      <c r="AI99" s="970">
        <f t="shared" ca="1" si="246"/>
        <v>0</v>
      </c>
      <c r="AJ99" s="970">
        <f t="shared" ca="1" si="246"/>
        <v>0</v>
      </c>
      <c r="AK99" s="970">
        <f ca="1">SUM(S99:AJ99)</f>
        <v>-5.8106401127210496</v>
      </c>
      <c r="AM99" s="976">
        <f t="shared" ref="AM99:BE99" ca="1" si="247">AM$96+AM98</f>
        <v>0</v>
      </c>
      <c r="AN99" s="976">
        <f t="shared" ca="1" si="247"/>
        <v>0</v>
      </c>
      <c r="AO99" s="976">
        <f t="shared" ca="1" si="247"/>
        <v>0</v>
      </c>
      <c r="AP99" s="976">
        <f t="shared" ca="1" si="247"/>
        <v>-3.2564000000000002</v>
      </c>
      <c r="AQ99" s="976">
        <f t="shared" ca="1" si="247"/>
        <v>0</v>
      </c>
      <c r="AR99" s="976">
        <f t="shared" ca="1" si="247"/>
        <v>0</v>
      </c>
      <c r="AS99" s="976">
        <f t="shared" ca="1" si="247"/>
        <v>0</v>
      </c>
      <c r="AT99" s="976">
        <f t="shared" ca="1" si="247"/>
        <v>0</v>
      </c>
      <c r="AU99" s="976">
        <f t="shared" ca="1" si="247"/>
        <v>0</v>
      </c>
      <c r="AV99" s="976">
        <f t="shared" ca="1" si="247"/>
        <v>0</v>
      </c>
      <c r="AW99" s="976">
        <f t="shared" ca="1" si="247"/>
        <v>0</v>
      </c>
      <c r="AX99" s="976">
        <f t="shared" ca="1" si="247"/>
        <v>0</v>
      </c>
      <c r="AY99" s="976">
        <f t="shared" ca="1" si="247"/>
        <v>0</v>
      </c>
      <c r="AZ99" s="976">
        <f t="shared" ca="1" si="247"/>
        <v>0</v>
      </c>
      <c r="BA99" s="976">
        <f t="shared" ca="1" si="247"/>
        <v>0</v>
      </c>
      <c r="BB99" s="976">
        <f t="shared" ca="1" si="247"/>
        <v>0</v>
      </c>
      <c r="BC99" s="976">
        <f t="shared" ca="1" si="247"/>
        <v>0</v>
      </c>
      <c r="BD99" s="976">
        <f t="shared" ca="1" si="247"/>
        <v>0</v>
      </c>
      <c r="BE99" s="976">
        <f t="shared" ca="1" si="247"/>
        <v>0</v>
      </c>
      <c r="BF99" s="976">
        <f ca="1">SUM(AM99:BE99)</f>
        <v>-3.2564000000000002</v>
      </c>
      <c r="BH99" s="990">
        <f ca="1">BH$96+BH98</f>
        <v>9.0670401127210454</v>
      </c>
      <c r="BI99" s="990">
        <f ca="1">BI$96+BI98</f>
        <v>0</v>
      </c>
      <c r="BJ99" s="990">
        <f ca="1">SUM(BH99:BI99)</f>
        <v>9.0670401127210454</v>
      </c>
      <c r="BL99" s="515">
        <f ca="1">Q99+AK99+BF99+BJ99</f>
        <v>0</v>
      </c>
      <c r="BM99" s="515"/>
      <c r="BN99" s="840"/>
      <c r="BO99" s="1482">
        <f t="shared" ref="BO99:DF99" ca="1" si="248">BO$96+BO98</f>
        <v>0</v>
      </c>
      <c r="BP99" s="1482">
        <f t="shared" ca="1" si="248"/>
        <v>0</v>
      </c>
      <c r="BQ99" s="1482">
        <f t="shared" ca="1" si="248"/>
        <v>0</v>
      </c>
      <c r="BR99" s="1482">
        <f t="shared" ca="1" si="248"/>
        <v>0</v>
      </c>
      <c r="BS99" s="1482">
        <f t="shared" ca="1" si="248"/>
        <v>0</v>
      </c>
      <c r="BT99" s="1482">
        <f t="shared" ca="1" si="248"/>
        <v>0</v>
      </c>
      <c r="BU99" s="1482">
        <f t="shared" ca="1" si="248"/>
        <v>0</v>
      </c>
      <c r="BV99" s="1482">
        <f t="shared" ca="1" si="248"/>
        <v>0</v>
      </c>
      <c r="BW99" s="1482">
        <f t="shared" ca="1" si="248"/>
        <v>0</v>
      </c>
      <c r="BX99" s="1482">
        <f t="shared" ca="1" si="248"/>
        <v>0</v>
      </c>
      <c r="BY99" s="1482">
        <f t="shared" ca="1" si="248"/>
        <v>0</v>
      </c>
      <c r="BZ99" s="1482">
        <f t="shared" ca="1" si="248"/>
        <v>0</v>
      </c>
      <c r="CA99" s="1482">
        <f t="shared" ca="1" si="248"/>
        <v>0</v>
      </c>
      <c r="CB99" s="1482">
        <f t="shared" ca="1" si="248"/>
        <v>0</v>
      </c>
      <c r="CC99" s="1482">
        <f t="shared" ca="1" si="248"/>
        <v>0</v>
      </c>
      <c r="CD99" s="1482">
        <f t="shared" ca="1" si="248"/>
        <v>0</v>
      </c>
      <c r="CE99" s="1482">
        <f t="shared" ca="1" si="248"/>
        <v>0</v>
      </c>
      <c r="CF99" s="1482">
        <f t="shared" ca="1" si="248"/>
        <v>0</v>
      </c>
      <c r="CG99" s="1482">
        <f t="shared" ca="1" si="248"/>
        <v>0</v>
      </c>
      <c r="CH99" s="1482">
        <f t="shared" ca="1" si="248"/>
        <v>0</v>
      </c>
      <c r="CI99" s="1482">
        <f t="shared" ca="1" si="248"/>
        <v>0</v>
      </c>
      <c r="CJ99" s="1482">
        <f t="shared" ca="1" si="248"/>
        <v>0</v>
      </c>
      <c r="CK99" s="1482">
        <f t="shared" ca="1" si="248"/>
        <v>0</v>
      </c>
      <c r="CL99" s="1482">
        <f t="shared" ca="1" si="248"/>
        <v>0</v>
      </c>
      <c r="CM99" s="1482">
        <f t="shared" ca="1" si="248"/>
        <v>0</v>
      </c>
      <c r="CN99" s="1482">
        <f t="shared" ca="1" si="248"/>
        <v>0</v>
      </c>
      <c r="CO99" s="1482">
        <f t="shared" ca="1" si="248"/>
        <v>0</v>
      </c>
      <c r="CP99" s="1482">
        <f t="shared" ca="1" si="248"/>
        <v>0</v>
      </c>
      <c r="CQ99" s="1482">
        <f t="shared" ca="1" si="248"/>
        <v>0</v>
      </c>
      <c r="CR99" s="1482">
        <f t="shared" ca="1" si="248"/>
        <v>0</v>
      </c>
      <c r="CS99" s="1482">
        <f t="shared" ca="1" si="248"/>
        <v>0</v>
      </c>
      <c r="CT99" s="1482">
        <f t="shared" ca="1" si="248"/>
        <v>0</v>
      </c>
      <c r="CU99" s="1482">
        <f t="shared" ca="1" si="248"/>
        <v>0</v>
      </c>
      <c r="CV99" s="1482">
        <f t="shared" ca="1" si="248"/>
        <v>0</v>
      </c>
      <c r="CW99" s="1482">
        <f t="shared" ca="1" si="248"/>
        <v>0</v>
      </c>
      <c r="CX99" s="1482">
        <f t="shared" ca="1" si="248"/>
        <v>0</v>
      </c>
      <c r="CY99" s="1482">
        <f t="shared" ca="1" si="248"/>
        <v>-14.980470487800098</v>
      </c>
      <c r="CZ99" s="1482">
        <f t="shared" ca="1" si="248"/>
        <v>0</v>
      </c>
      <c r="DA99" s="1482">
        <f t="shared" ca="1" si="248"/>
        <v>0</v>
      </c>
      <c r="DB99" s="1482">
        <f t="shared" ca="1" si="248"/>
        <v>0</v>
      </c>
      <c r="DC99" s="1482">
        <f t="shared" ca="1" si="248"/>
        <v>0</v>
      </c>
      <c r="DD99" s="1482">
        <f t="shared" ca="1" si="248"/>
        <v>0</v>
      </c>
      <c r="DE99" s="1482">
        <f t="shared" ca="1" si="248"/>
        <v>0</v>
      </c>
      <c r="DF99" s="1482">
        <f t="shared" ca="1" si="248"/>
        <v>0</v>
      </c>
      <c r="DH99" s="838">
        <f t="shared" ca="1" si="234"/>
        <v>-14.980470487800098</v>
      </c>
    </row>
    <row r="100" spans="1:112" s="22" customFormat="1" ht="12.75" hidden="1" customHeight="1" outlineLevel="1">
      <c r="B100" s="753"/>
      <c r="C100" s="744"/>
      <c r="D100" s="517"/>
      <c r="E100" s="512"/>
      <c r="F100" s="743"/>
      <c r="G100" s="958"/>
      <c r="H100" s="958"/>
      <c r="I100" s="958"/>
      <c r="J100" s="958"/>
      <c r="K100" s="960"/>
      <c r="L100" s="958"/>
      <c r="M100" s="958"/>
      <c r="N100" s="958"/>
      <c r="O100" s="958"/>
      <c r="P100" s="958"/>
      <c r="Q100" s="1021"/>
      <c r="R100" s="743"/>
      <c r="S100" s="970"/>
      <c r="T100" s="970"/>
      <c r="U100" s="970"/>
      <c r="V100" s="970"/>
      <c r="W100" s="970"/>
      <c r="X100" s="970"/>
      <c r="Y100" s="970"/>
      <c r="Z100" s="970"/>
      <c r="AA100" s="970"/>
      <c r="AB100" s="970"/>
      <c r="AC100" s="970"/>
      <c r="AD100" s="970"/>
      <c r="AE100" s="970"/>
      <c r="AF100" s="970"/>
      <c r="AG100" s="970"/>
      <c r="AH100" s="970"/>
      <c r="AI100" s="970"/>
      <c r="AJ100" s="970"/>
      <c r="AK100" s="970"/>
      <c r="AL100" s="743"/>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743"/>
      <c r="BH100" s="990"/>
      <c r="BI100" s="990"/>
      <c r="BJ100" s="990"/>
      <c r="BK100" s="743"/>
      <c r="BL100" s="515"/>
      <c r="BM100" s="515"/>
      <c r="BO100" s="1482"/>
      <c r="BP100" s="1482"/>
      <c r="BQ100" s="1482"/>
      <c r="BR100" s="1482"/>
      <c r="BS100" s="1482"/>
      <c r="BT100" s="1482"/>
      <c r="BU100" s="1482"/>
      <c r="BV100" s="1482"/>
      <c r="BW100" s="1482"/>
      <c r="BX100" s="1482"/>
      <c r="BY100" s="1482"/>
      <c r="BZ100" s="1482"/>
      <c r="CA100" s="1482"/>
      <c r="CB100" s="1482"/>
      <c r="CC100" s="1482"/>
      <c r="CD100" s="1482"/>
      <c r="CE100" s="1482"/>
      <c r="CF100" s="1482"/>
      <c r="CG100" s="1482"/>
      <c r="CH100" s="1482"/>
      <c r="CI100" s="1482"/>
      <c r="CJ100" s="1482"/>
      <c r="CK100" s="1482"/>
      <c r="CL100" s="1482"/>
      <c r="CM100" s="1482"/>
      <c r="CN100" s="1482"/>
      <c r="CO100" s="1482"/>
      <c r="CP100" s="1482"/>
      <c r="CQ100" s="1482"/>
      <c r="CR100" s="1482"/>
      <c r="CS100" s="1482"/>
      <c r="CT100" s="1482"/>
      <c r="CU100" s="1482"/>
      <c r="CV100" s="1482"/>
      <c r="CW100" s="1482"/>
      <c r="CX100" s="1482"/>
      <c r="CY100" s="1482"/>
      <c r="CZ100" s="1482"/>
      <c r="DA100" s="1482"/>
      <c r="DB100" s="1482"/>
      <c r="DC100" s="1482"/>
      <c r="DD100" s="1482"/>
      <c r="DE100" s="1482"/>
      <c r="DF100" s="1482"/>
      <c r="DH100" s="838">
        <f t="shared" si="234"/>
        <v>0</v>
      </c>
    </row>
    <row r="101" spans="1:112" s="1488" customFormat="1" ht="12.75" hidden="1" customHeight="1" outlineLevel="1">
      <c r="C101" s="1048" t="s">
        <v>1725</v>
      </c>
      <c r="D101" s="851" t="s">
        <v>1224</v>
      </c>
      <c r="E101" s="851"/>
      <c r="G101" s="1070"/>
      <c r="H101" s="1070"/>
      <c r="I101" s="1070"/>
      <c r="J101" s="1070"/>
      <c r="K101" s="1071"/>
      <c r="L101" s="1070"/>
      <c r="M101" s="1070"/>
      <c r="N101" s="1070"/>
      <c r="O101" s="1070"/>
      <c r="P101" s="1070"/>
      <c r="Q101" s="1478"/>
      <c r="R101" s="1491"/>
      <c r="S101" s="1072">
        <f ca="1">(S$40+S$84+S$93+S$99)</f>
        <v>-373.16495041083652</v>
      </c>
      <c r="T101" s="1072">
        <f ca="1">(T$40+T$84+T$93+T$99)</f>
        <v>373.16495041083652</v>
      </c>
      <c r="U101" s="1072">
        <f ca="1">(U$40+U$84+U$93+U$99)</f>
        <v>-294.8616899314772</v>
      </c>
      <c r="V101" s="1072">
        <f ca="1">(V$40+V$84+V$93+V$99)</f>
        <v>-861.54937235318141</v>
      </c>
      <c r="W101" s="1072">
        <f ca="1">(W$40+W$84+W$93+W$99)</f>
        <v>-1134.0420631039578</v>
      </c>
      <c r="X101" s="1072"/>
      <c r="Y101" s="1072"/>
      <c r="Z101" s="1072"/>
      <c r="AA101" s="1072"/>
      <c r="AB101" s="1072"/>
      <c r="AC101" s="1072"/>
      <c r="AD101" s="1072"/>
      <c r="AE101" s="1072"/>
      <c r="AF101" s="1072"/>
      <c r="AG101" s="1072"/>
      <c r="AH101" s="1072"/>
      <c r="AI101" s="1072"/>
      <c r="AJ101" s="1072"/>
      <c r="AK101" s="1072"/>
      <c r="AL101" s="1491"/>
      <c r="AM101" s="1073"/>
      <c r="AN101" s="1073"/>
      <c r="AO101" s="1073"/>
      <c r="AP101" s="1073"/>
      <c r="AQ101" s="1073"/>
      <c r="AR101" s="1073"/>
      <c r="AS101" s="1073"/>
      <c r="AT101" s="1073"/>
      <c r="AU101" s="1073"/>
      <c r="AV101" s="1073"/>
      <c r="AW101" s="1073"/>
      <c r="AX101" s="1073"/>
      <c r="AY101" s="1073"/>
      <c r="AZ101" s="1073"/>
      <c r="BA101" s="1073"/>
      <c r="BB101" s="1073"/>
      <c r="BC101" s="1073"/>
      <c r="BD101" s="1073"/>
      <c r="BE101" s="1073"/>
      <c r="BF101" s="1073"/>
      <c r="BG101" s="1491"/>
      <c r="BH101" s="1074"/>
      <c r="BI101" s="1074"/>
      <c r="BJ101" s="1074"/>
      <c r="BL101" s="852"/>
      <c r="BM101" s="852"/>
      <c r="BO101" s="1490"/>
      <c r="BP101" s="1490"/>
      <c r="BQ101" s="1490"/>
      <c r="BR101" s="1490"/>
      <c r="BS101" s="1490"/>
      <c r="BT101" s="1490"/>
      <c r="BU101" s="1490"/>
      <c r="BV101" s="1490"/>
      <c r="BW101" s="1490"/>
      <c r="BX101" s="1490"/>
      <c r="BY101" s="1490"/>
      <c r="BZ101" s="1490"/>
      <c r="CA101" s="1490"/>
      <c r="CB101" s="1490"/>
      <c r="CC101" s="1490"/>
      <c r="CD101" s="1490"/>
      <c r="CE101" s="1490"/>
      <c r="CF101" s="1490"/>
      <c r="CG101" s="1490"/>
      <c r="CH101" s="1490"/>
      <c r="CI101" s="1490"/>
      <c r="CJ101" s="1490"/>
      <c r="CK101" s="1490"/>
      <c r="CL101" s="1490"/>
      <c r="CM101" s="1490"/>
      <c r="CN101" s="1490"/>
      <c r="CO101" s="1490"/>
      <c r="CP101" s="1490"/>
      <c r="CQ101" s="1490"/>
      <c r="CR101" s="1490"/>
      <c r="CS101" s="1490"/>
      <c r="CT101" s="1490"/>
      <c r="CU101" s="1490"/>
      <c r="CV101" s="1490"/>
      <c r="CW101" s="1490"/>
      <c r="CX101" s="1490"/>
      <c r="CY101" s="1490"/>
      <c r="CZ101" s="1490"/>
      <c r="DA101" s="1490"/>
      <c r="DB101" s="1490"/>
      <c r="DC101" s="1490"/>
      <c r="DD101" s="1490"/>
      <c r="DE101" s="1490"/>
      <c r="DF101" s="1490"/>
      <c r="DH101" s="838">
        <f t="shared" si="234"/>
        <v>0</v>
      </c>
    </row>
    <row r="102" spans="1:112" s="1484" customFormat="1" ht="12.75" hidden="1" customHeight="1" outlineLevel="1">
      <c r="B102" s="1492"/>
      <c r="C102" s="522" t="s">
        <v>1013</v>
      </c>
      <c r="D102" s="521" t="str">
        <f>INDEX(Modules[Module], MATCH($C102, Modules[Code], 0))</f>
        <v>Fossil fuel transfers</v>
      </c>
      <c r="E102" s="521"/>
      <c r="F102" s="743"/>
      <c r="G102" s="963">
        <f t="shared" ref="G102:P102" ca="1" si="249">IFERROR(INDEX(INDIRECT($C102&amp;".Outputs["&amp;this.Year&amp;"]"), MATCH(G$5, INDIRECT($C102&amp;".Outputs[Vector]"), 0)), 0)</f>
        <v>0</v>
      </c>
      <c r="H102" s="963">
        <f t="shared" ca="1" si="249"/>
        <v>0</v>
      </c>
      <c r="I102" s="963">
        <f t="shared" ca="1" si="249"/>
        <v>0</v>
      </c>
      <c r="J102" s="963">
        <f t="shared" ca="1" si="249"/>
        <v>0</v>
      </c>
      <c r="K102" s="964">
        <f t="shared" ca="1" si="249"/>
        <v>0</v>
      </c>
      <c r="L102" s="963">
        <f t="shared" ca="1" si="249"/>
        <v>0</v>
      </c>
      <c r="M102" s="963">
        <f t="shared" ca="1" si="249"/>
        <v>0</v>
      </c>
      <c r="N102" s="963">
        <f t="shared" ca="1" si="249"/>
        <v>0</v>
      </c>
      <c r="O102" s="963">
        <f t="shared" ca="1" si="249"/>
        <v>0</v>
      </c>
      <c r="P102" s="963">
        <f t="shared" ca="1" si="249"/>
        <v>0</v>
      </c>
      <c r="Q102" s="1096">
        <f ca="1">SUM(G102:P102)</f>
        <v>0</v>
      </c>
      <c r="R102" s="743"/>
      <c r="S102" s="972">
        <f t="shared" ref="S102:AJ102" ca="1" si="250">IFERROR(INDEX(INDIRECT($C102&amp;".Outputs["&amp;this.Year&amp;"]"), MATCH(S$5, INDIRECT($C102&amp;".Outputs[Vector]"), 0)), 0)</f>
        <v>0</v>
      </c>
      <c r="T102" s="972">
        <f t="shared" ca="1" si="250"/>
        <v>0</v>
      </c>
      <c r="U102" s="972">
        <f t="shared" ca="1" si="250"/>
        <v>294.8616899314772</v>
      </c>
      <c r="V102" s="972">
        <f t="shared" ca="1" si="250"/>
        <v>861.54937235318141</v>
      </c>
      <c r="W102" s="972">
        <f t="shared" ca="1" si="250"/>
        <v>1134.0420631039578</v>
      </c>
      <c r="X102" s="972">
        <f t="shared" ca="1" si="250"/>
        <v>-294.8616899314772</v>
      </c>
      <c r="Y102" s="972">
        <f t="shared" ca="1" si="250"/>
        <v>-861.54937235318141</v>
      </c>
      <c r="Z102" s="972">
        <f t="shared" ca="1" si="250"/>
        <v>-1147.1123064638814</v>
      </c>
      <c r="AA102" s="972">
        <f t="shared" ca="1" si="250"/>
        <v>0</v>
      </c>
      <c r="AB102" s="972">
        <f t="shared" ca="1" si="250"/>
        <v>0</v>
      </c>
      <c r="AC102" s="972">
        <f t="shared" ca="1" si="250"/>
        <v>0</v>
      </c>
      <c r="AD102" s="972">
        <f t="shared" ca="1" si="250"/>
        <v>0</v>
      </c>
      <c r="AE102" s="972">
        <f t="shared" ca="1" si="250"/>
        <v>0</v>
      </c>
      <c r="AF102" s="972">
        <f t="shared" ca="1" si="250"/>
        <v>0</v>
      </c>
      <c r="AG102" s="972">
        <f t="shared" ca="1" si="250"/>
        <v>0</v>
      </c>
      <c r="AH102" s="972">
        <f t="shared" ca="1" si="250"/>
        <v>0</v>
      </c>
      <c r="AI102" s="972">
        <f t="shared" ca="1" si="250"/>
        <v>0</v>
      </c>
      <c r="AJ102" s="972">
        <f t="shared" ca="1" si="250"/>
        <v>0</v>
      </c>
      <c r="AK102" s="972">
        <f ca="1">SUM(S102:AJ102)</f>
        <v>-13.070243359924007</v>
      </c>
      <c r="AL102" s="743"/>
      <c r="AM102" s="979">
        <f t="shared" ref="AM102:BE102" ca="1" si="251">IFERROR(INDEX(INDIRECT($C102&amp;".Outputs["&amp;this.Year&amp;"]"), MATCH(AM$5, INDIRECT($C102&amp;".Outputs[Vector]"), 0)), 0)</f>
        <v>0</v>
      </c>
      <c r="AN102" s="979">
        <f t="shared" ca="1" si="251"/>
        <v>0</v>
      </c>
      <c r="AO102" s="979">
        <f t="shared" ca="1" si="251"/>
        <v>0</v>
      </c>
      <c r="AP102" s="979">
        <f t="shared" ca="1" si="251"/>
        <v>0</v>
      </c>
      <c r="AQ102" s="979">
        <f t="shared" ca="1" si="251"/>
        <v>0</v>
      </c>
      <c r="AR102" s="979">
        <f t="shared" ca="1" si="251"/>
        <v>0</v>
      </c>
      <c r="AS102" s="979">
        <f t="shared" ca="1" si="251"/>
        <v>0</v>
      </c>
      <c r="AT102" s="979">
        <f t="shared" ca="1" si="251"/>
        <v>0</v>
      </c>
      <c r="AU102" s="979">
        <f t="shared" ca="1" si="251"/>
        <v>0</v>
      </c>
      <c r="AV102" s="979">
        <f t="shared" ca="1" si="251"/>
        <v>0</v>
      </c>
      <c r="AW102" s="979">
        <f t="shared" ca="1" si="251"/>
        <v>0</v>
      </c>
      <c r="AX102" s="979">
        <f t="shared" ca="1" si="251"/>
        <v>0</v>
      </c>
      <c r="AY102" s="979">
        <f t="shared" ca="1" si="251"/>
        <v>0</v>
      </c>
      <c r="AZ102" s="979">
        <f t="shared" ca="1" si="251"/>
        <v>0</v>
      </c>
      <c r="BA102" s="979">
        <f t="shared" ca="1" si="251"/>
        <v>0</v>
      </c>
      <c r="BB102" s="979">
        <f t="shared" ca="1" si="251"/>
        <v>0</v>
      </c>
      <c r="BC102" s="979">
        <f t="shared" ca="1" si="251"/>
        <v>0</v>
      </c>
      <c r="BD102" s="979">
        <f t="shared" ca="1" si="251"/>
        <v>0</v>
      </c>
      <c r="BE102" s="979">
        <f t="shared" ca="1" si="251"/>
        <v>0</v>
      </c>
      <c r="BF102" s="979">
        <f ca="1">SUM(AM102:BE102)</f>
        <v>0</v>
      </c>
      <c r="BG102" s="743"/>
      <c r="BH102" s="992">
        <f ca="1">IFERROR(INDEX(INDIRECT($C102&amp;".Outputs["&amp;this.Year&amp;"]"), MATCH(BH$5, INDIRECT($C102&amp;".Outputs[Vector]"), 0)), 0)</f>
        <v>0</v>
      </c>
      <c r="BI102" s="992">
        <f ca="1">IFERROR(INDEX(INDIRECT($C102&amp;".Outputs["&amp;this.Year&amp;"]"), MATCH(BI$5, INDIRECT($C102&amp;".Outputs[Vector]"), 0)), 0)</f>
        <v>13.070243359923463</v>
      </c>
      <c r="BJ102" s="992">
        <f ca="1">SUM(BH102:BI102)</f>
        <v>13.070243359923463</v>
      </c>
      <c r="BK102" s="743"/>
      <c r="BL102" s="515">
        <f t="shared" ref="BL102:BL109" ca="1" si="252">Q102+AK102+BF102+BJ102</f>
        <v>-5.4356519285647664E-13</v>
      </c>
      <c r="BM102" s="814"/>
      <c r="BO102" s="1481">
        <f t="shared" ref="BO102:BX103" ca="1" si="253">IFERROR(SUMIFS(INDIRECT($C102&amp;".Emissions["&amp;this.Year&amp;"]"), INDIRECT($C102&amp;".Emissions[GHG]"), BO$6, INDIRECT($C102&amp;".Emissions[IPCC Sector]"), BO$5),0)</f>
        <v>0</v>
      </c>
      <c r="BP102" s="1482">
        <f t="shared" ca="1" si="253"/>
        <v>0</v>
      </c>
      <c r="BQ102" s="1482">
        <f t="shared" ca="1" si="253"/>
        <v>0</v>
      </c>
      <c r="BR102" s="1482">
        <f t="shared" ca="1" si="253"/>
        <v>0</v>
      </c>
      <c r="BS102" s="1482">
        <f t="shared" ca="1" si="253"/>
        <v>0</v>
      </c>
      <c r="BT102" s="1482">
        <f t="shared" ca="1" si="253"/>
        <v>4.9728904384080685</v>
      </c>
      <c r="BU102" s="1482">
        <f t="shared" ca="1" si="253"/>
        <v>0</v>
      </c>
      <c r="BV102" s="1482">
        <f t="shared" ca="1" si="253"/>
        <v>0</v>
      </c>
      <c r="BW102" s="1482">
        <f t="shared" ca="1" si="253"/>
        <v>0</v>
      </c>
      <c r="BX102" s="1482">
        <f t="shared" ca="1" si="253"/>
        <v>0</v>
      </c>
      <c r="BY102" s="1482">
        <f t="shared" ref="BY102:CH103" ca="1" si="254">IFERROR(SUMIFS(INDIRECT($C102&amp;".Emissions["&amp;this.Year&amp;"]"), INDIRECT($C102&amp;".Emissions[GHG]"), BY$6, INDIRECT($C102&amp;".Emissions[IPCC Sector]"), BY$5),0)</f>
        <v>0</v>
      </c>
      <c r="BZ102" s="1482">
        <f t="shared" ca="1" si="254"/>
        <v>0</v>
      </c>
      <c r="CA102" s="1482">
        <f t="shared" ca="1" si="254"/>
        <v>0</v>
      </c>
      <c r="CB102" s="1482">
        <f t="shared" ca="1" si="254"/>
        <v>0</v>
      </c>
      <c r="CC102" s="1482">
        <f t="shared" ca="1" si="254"/>
        <v>0</v>
      </c>
      <c r="CD102" s="1482">
        <f t="shared" ca="1" si="254"/>
        <v>0</v>
      </c>
      <c r="CE102" s="1482">
        <f t="shared" ca="1" si="254"/>
        <v>0</v>
      </c>
      <c r="CF102" s="1482">
        <f t="shared" ca="1" si="254"/>
        <v>0</v>
      </c>
      <c r="CG102" s="1482">
        <f t="shared" ca="1" si="254"/>
        <v>0</v>
      </c>
      <c r="CH102" s="1482">
        <f t="shared" ca="1" si="254"/>
        <v>0</v>
      </c>
      <c r="CI102" s="1482">
        <f t="shared" ref="CI102:CR103" ca="1" si="255">IFERROR(SUMIFS(INDIRECT($C102&amp;".Emissions["&amp;this.Year&amp;"]"), INDIRECT($C102&amp;".Emissions[GHG]"), CI$6, INDIRECT($C102&amp;".Emissions[IPCC Sector]"), CI$5),0)</f>
        <v>0</v>
      </c>
      <c r="CJ102" s="1482">
        <f t="shared" ca="1" si="255"/>
        <v>0</v>
      </c>
      <c r="CK102" s="1482">
        <f t="shared" ca="1" si="255"/>
        <v>0</v>
      </c>
      <c r="CL102" s="1482">
        <f t="shared" ca="1" si="255"/>
        <v>0</v>
      </c>
      <c r="CM102" s="1482">
        <f t="shared" ca="1" si="255"/>
        <v>0</v>
      </c>
      <c r="CN102" s="1482">
        <f t="shared" ca="1" si="255"/>
        <v>0</v>
      </c>
      <c r="CO102" s="1482">
        <f t="shared" ca="1" si="255"/>
        <v>0</v>
      </c>
      <c r="CP102" s="1482">
        <f t="shared" ca="1" si="255"/>
        <v>0</v>
      </c>
      <c r="CQ102" s="1482">
        <f t="shared" ca="1" si="255"/>
        <v>0</v>
      </c>
      <c r="CR102" s="1482">
        <f t="shared" ca="1" si="255"/>
        <v>0</v>
      </c>
      <c r="CS102" s="1482">
        <f t="shared" ref="CS102:DF103" ca="1" si="256">IFERROR(SUMIFS(INDIRECT($C102&amp;".Emissions["&amp;this.Year&amp;"]"), INDIRECT($C102&amp;".Emissions[GHG]"), CS$6, INDIRECT($C102&amp;".Emissions[IPCC Sector]"), CS$5),0)</f>
        <v>0</v>
      </c>
      <c r="CT102" s="1482">
        <f t="shared" ca="1" si="256"/>
        <v>0</v>
      </c>
      <c r="CU102" s="1482">
        <f t="shared" ca="1" si="256"/>
        <v>0</v>
      </c>
      <c r="CV102" s="1482">
        <f t="shared" ca="1" si="256"/>
        <v>0</v>
      </c>
      <c r="CW102" s="1482">
        <f t="shared" ca="1" si="256"/>
        <v>0</v>
      </c>
      <c r="CX102" s="1482">
        <f t="shared" ca="1" si="256"/>
        <v>0</v>
      </c>
      <c r="CY102" s="1482">
        <f t="shared" ca="1" si="256"/>
        <v>0</v>
      </c>
      <c r="CZ102" s="1482">
        <f t="shared" ca="1" si="256"/>
        <v>0</v>
      </c>
      <c r="DA102" s="1482">
        <f t="shared" ca="1" si="256"/>
        <v>0</v>
      </c>
      <c r="DB102" s="1482">
        <f t="shared" ca="1" si="256"/>
        <v>0</v>
      </c>
      <c r="DC102" s="1482">
        <f t="shared" ca="1" si="256"/>
        <v>0</v>
      </c>
      <c r="DD102" s="1482">
        <f t="shared" ca="1" si="256"/>
        <v>0</v>
      </c>
      <c r="DE102" s="1482">
        <f t="shared" ca="1" si="256"/>
        <v>0</v>
      </c>
      <c r="DF102" s="1482">
        <f t="shared" ca="1" si="256"/>
        <v>0</v>
      </c>
      <c r="DH102" s="838">
        <f t="shared" ca="1" si="234"/>
        <v>4.9728904384080685</v>
      </c>
    </row>
    <row r="103" spans="1:112" s="1484" customFormat="1" ht="12.75" hidden="1" customHeight="1" outlineLevel="1">
      <c r="B103" s="1492" t="s">
        <v>798</v>
      </c>
      <c r="C103" s="522" t="s">
        <v>1014</v>
      </c>
      <c r="D103" s="1010" t="str">
        <f>INDEX(Modules[Module], MATCH($C103, Modules[Code], 0))</f>
        <v>Balancing imports</v>
      </c>
      <c r="E103" s="1010"/>
      <c r="F103" s="743"/>
      <c r="G103" s="1102"/>
      <c r="H103" s="1102"/>
      <c r="I103" s="1102"/>
      <c r="J103" s="1102"/>
      <c r="K103" s="1103"/>
      <c r="L103" s="1102"/>
      <c r="M103" s="1102"/>
      <c r="N103" s="1102"/>
      <c r="O103" s="1102"/>
      <c r="P103" s="1102"/>
      <c r="Q103" s="1104">
        <f>SUM(G103:P103)</f>
        <v>0</v>
      </c>
      <c r="R103" s="743"/>
      <c r="S103" s="1105"/>
      <c r="T103" s="1105">
        <f ca="1">-(T$101+S$101)</f>
        <v>0</v>
      </c>
      <c r="U103" s="1105"/>
      <c r="V103" s="1105"/>
      <c r="W103" s="1105"/>
      <c r="X103" s="1105">
        <f ca="1">-(X$40+X$84+X$93+X$99+X$102)</f>
        <v>117.4745405978255</v>
      </c>
      <c r="Y103" s="1105">
        <f ca="1">-(Y$40+Y$84+Y$93+Y$99+Y$102)</f>
        <v>197.02903722313226</v>
      </c>
      <c r="Z103" s="1105">
        <f ca="1">-(Z$40+Z$84+Z$93+Z$99+Z$102)</f>
        <v>638.12875394422986</v>
      </c>
      <c r="AA103" s="1105"/>
      <c r="AB103" s="1105"/>
      <c r="AC103" s="1105"/>
      <c r="AD103" s="1105"/>
      <c r="AE103" s="1105"/>
      <c r="AF103" s="1105"/>
      <c r="AG103" s="1105"/>
      <c r="AH103" s="1105"/>
      <c r="AI103" s="1105"/>
      <c r="AJ103" s="1105"/>
      <c r="AK103" s="1105">
        <f ca="1">SUM(S103:AJ103)</f>
        <v>952.63233176518759</v>
      </c>
      <c r="AL103" s="743"/>
      <c r="AM103" s="1012"/>
      <c r="AN103" s="1012"/>
      <c r="AO103" s="1012"/>
      <c r="AP103" s="1012"/>
      <c r="AQ103" s="1012">
        <f ca="1">-T103</f>
        <v>0</v>
      </c>
      <c r="AR103" s="1012">
        <f>-V103</f>
        <v>0</v>
      </c>
      <c r="AS103" s="1012">
        <f ca="1">-X103</f>
        <v>-117.4745405978255</v>
      </c>
      <c r="AT103" s="1012">
        <f ca="1">-Y103</f>
        <v>-197.02903722313226</v>
      </c>
      <c r="AU103" s="1012">
        <f ca="1">-Z103</f>
        <v>-638.12875394422986</v>
      </c>
      <c r="AV103" s="1012"/>
      <c r="AW103" s="1012"/>
      <c r="AX103" s="1012"/>
      <c r="AY103" s="1012"/>
      <c r="AZ103" s="1012"/>
      <c r="BA103" s="1012"/>
      <c r="BB103" s="1012"/>
      <c r="BC103" s="1012"/>
      <c r="BD103" s="1012"/>
      <c r="BE103" s="1012"/>
      <c r="BF103" s="1012">
        <f ca="1">SUM(AM103:BE103)</f>
        <v>-952.63233176518759</v>
      </c>
      <c r="BG103" s="743"/>
      <c r="BH103" s="1106"/>
      <c r="BI103" s="1106"/>
      <c r="BJ103" s="1106">
        <f>SUM(BH103:BI103)</f>
        <v>0</v>
      </c>
      <c r="BK103" s="743"/>
      <c r="BL103" s="515">
        <f t="shared" ca="1" si="252"/>
        <v>0</v>
      </c>
      <c r="BM103" s="814"/>
      <c r="BO103" s="1485">
        <f t="shared" ca="1" si="253"/>
        <v>0</v>
      </c>
      <c r="BP103" s="1486">
        <f t="shared" ca="1" si="253"/>
        <v>0</v>
      </c>
      <c r="BQ103" s="1486">
        <f t="shared" ca="1" si="253"/>
        <v>0</v>
      </c>
      <c r="BR103" s="1486">
        <f t="shared" ca="1" si="253"/>
        <v>0</v>
      </c>
      <c r="BS103" s="1486">
        <f t="shared" ca="1" si="253"/>
        <v>0</v>
      </c>
      <c r="BT103" s="1486">
        <f t="shared" ca="1" si="253"/>
        <v>0</v>
      </c>
      <c r="BU103" s="1486">
        <f t="shared" ca="1" si="253"/>
        <v>0</v>
      </c>
      <c r="BV103" s="1486">
        <f t="shared" ca="1" si="253"/>
        <v>0</v>
      </c>
      <c r="BW103" s="1486">
        <f t="shared" ca="1" si="253"/>
        <v>0</v>
      </c>
      <c r="BX103" s="1486">
        <f t="shared" ca="1" si="253"/>
        <v>0</v>
      </c>
      <c r="BY103" s="1486">
        <f t="shared" ca="1" si="254"/>
        <v>0</v>
      </c>
      <c r="BZ103" s="1486">
        <f t="shared" ca="1" si="254"/>
        <v>0</v>
      </c>
      <c r="CA103" s="1486">
        <f t="shared" ca="1" si="254"/>
        <v>0</v>
      </c>
      <c r="CB103" s="1486">
        <f t="shared" ca="1" si="254"/>
        <v>0</v>
      </c>
      <c r="CC103" s="1486">
        <f t="shared" ca="1" si="254"/>
        <v>0</v>
      </c>
      <c r="CD103" s="1486">
        <f t="shared" ca="1" si="254"/>
        <v>0</v>
      </c>
      <c r="CE103" s="1486">
        <f t="shared" ca="1" si="254"/>
        <v>0</v>
      </c>
      <c r="CF103" s="1486">
        <f t="shared" ca="1" si="254"/>
        <v>0</v>
      </c>
      <c r="CG103" s="1486">
        <f t="shared" ca="1" si="254"/>
        <v>0</v>
      </c>
      <c r="CH103" s="1486">
        <f t="shared" ca="1" si="254"/>
        <v>0</v>
      </c>
      <c r="CI103" s="1486">
        <f t="shared" ca="1" si="255"/>
        <v>0</v>
      </c>
      <c r="CJ103" s="1486">
        <f t="shared" ca="1" si="255"/>
        <v>0</v>
      </c>
      <c r="CK103" s="1486">
        <f t="shared" ca="1" si="255"/>
        <v>0</v>
      </c>
      <c r="CL103" s="1486">
        <f t="shared" ca="1" si="255"/>
        <v>0</v>
      </c>
      <c r="CM103" s="1486">
        <f t="shared" ca="1" si="255"/>
        <v>0</v>
      </c>
      <c r="CN103" s="1486">
        <f t="shared" ca="1" si="255"/>
        <v>0</v>
      </c>
      <c r="CO103" s="1486">
        <f t="shared" ca="1" si="255"/>
        <v>0</v>
      </c>
      <c r="CP103" s="1486">
        <f t="shared" ca="1" si="255"/>
        <v>0</v>
      </c>
      <c r="CQ103" s="1486">
        <f t="shared" ca="1" si="255"/>
        <v>0</v>
      </c>
      <c r="CR103" s="1486">
        <f t="shared" ca="1" si="255"/>
        <v>0</v>
      </c>
      <c r="CS103" s="1486">
        <f t="shared" ca="1" si="256"/>
        <v>0</v>
      </c>
      <c r="CT103" s="1486">
        <f t="shared" ca="1" si="256"/>
        <v>0</v>
      </c>
      <c r="CU103" s="1486">
        <f t="shared" ca="1" si="256"/>
        <v>0</v>
      </c>
      <c r="CV103" s="1486">
        <f t="shared" ca="1" si="256"/>
        <v>0</v>
      </c>
      <c r="CW103" s="1486">
        <f t="shared" ca="1" si="256"/>
        <v>0</v>
      </c>
      <c r="CX103" s="1486">
        <f t="shared" ca="1" si="256"/>
        <v>0</v>
      </c>
      <c r="CY103" s="1486">
        <f t="shared" ca="1" si="256"/>
        <v>0</v>
      </c>
      <c r="CZ103" s="1486">
        <f t="shared" ca="1" si="256"/>
        <v>0</v>
      </c>
      <c r="DA103" s="1486">
        <f t="shared" ca="1" si="256"/>
        <v>0</v>
      </c>
      <c r="DB103" s="1486">
        <f t="shared" ca="1" si="256"/>
        <v>0</v>
      </c>
      <c r="DC103" s="1486">
        <f t="shared" ca="1" si="256"/>
        <v>0</v>
      </c>
      <c r="DD103" s="1486">
        <f t="shared" ca="1" si="256"/>
        <v>0</v>
      </c>
      <c r="DE103" s="1486">
        <f t="shared" ca="1" si="256"/>
        <v>0</v>
      </c>
      <c r="DF103" s="1486">
        <f t="shared" ca="1" si="256"/>
        <v>0</v>
      </c>
      <c r="DH103" s="838">
        <f t="shared" ca="1" si="234"/>
        <v>0</v>
      </c>
    </row>
    <row r="104" spans="1:112" s="743" customFormat="1" ht="15.75" collapsed="1">
      <c r="B104" s="753" t="s">
        <v>798</v>
      </c>
      <c r="C104" s="516" t="s">
        <v>1012</v>
      </c>
      <c r="D104" s="517" t="str">
        <f>INDEX(Workstreams[Workstream], MATCH($C104, Workstreams[Code], 0))</f>
        <v>Transfers</v>
      </c>
      <c r="E104" s="509"/>
      <c r="G104" s="1021">
        <f ca="1">SUM(G102:G103)</f>
        <v>0</v>
      </c>
      <c r="H104" s="1021">
        <f t="shared" ref="H104:P104" ca="1" si="257">SUM(H102:H103)</f>
        <v>0</v>
      </c>
      <c r="I104" s="1021">
        <f t="shared" ca="1" si="257"/>
        <v>0</v>
      </c>
      <c r="J104" s="1021">
        <f t="shared" ca="1" si="257"/>
        <v>0</v>
      </c>
      <c r="K104" s="1021">
        <f t="shared" ca="1" si="257"/>
        <v>0</v>
      </c>
      <c r="L104" s="1021">
        <f t="shared" ca="1" si="257"/>
        <v>0</v>
      </c>
      <c r="M104" s="1021">
        <f t="shared" ca="1" si="257"/>
        <v>0</v>
      </c>
      <c r="N104" s="1021">
        <f t="shared" ca="1" si="257"/>
        <v>0</v>
      </c>
      <c r="O104" s="1021">
        <f t="shared" ca="1" si="257"/>
        <v>0</v>
      </c>
      <c r="P104" s="1021">
        <f t="shared" ca="1" si="257"/>
        <v>0</v>
      </c>
      <c r="Q104" s="1021">
        <f ca="1">SUM(G104:P104)</f>
        <v>0</v>
      </c>
      <c r="S104" s="970">
        <f t="shared" ref="S104:AJ104" ca="1" si="258">SUM(S102:S103)</f>
        <v>0</v>
      </c>
      <c r="T104" s="970">
        <f t="shared" ca="1" si="258"/>
        <v>0</v>
      </c>
      <c r="U104" s="970">
        <f t="shared" ca="1" si="258"/>
        <v>294.8616899314772</v>
      </c>
      <c r="V104" s="970">
        <f t="shared" ca="1" si="258"/>
        <v>861.54937235318141</v>
      </c>
      <c r="W104" s="970">
        <f t="shared" ca="1" si="258"/>
        <v>1134.0420631039578</v>
      </c>
      <c r="X104" s="970">
        <f t="shared" ca="1" si="258"/>
        <v>-177.38714933365171</v>
      </c>
      <c r="Y104" s="970">
        <f t="shared" ca="1" si="258"/>
        <v>-664.52033513004915</v>
      </c>
      <c r="Z104" s="970">
        <f t="shared" ca="1" si="258"/>
        <v>-508.98355251965154</v>
      </c>
      <c r="AA104" s="970">
        <f t="shared" ca="1" si="258"/>
        <v>0</v>
      </c>
      <c r="AB104" s="970">
        <f t="shared" ca="1" si="258"/>
        <v>0</v>
      </c>
      <c r="AC104" s="970">
        <f t="shared" ca="1" si="258"/>
        <v>0</v>
      </c>
      <c r="AD104" s="970">
        <f ca="1">SUM(AD102:AD103)</f>
        <v>0</v>
      </c>
      <c r="AE104" s="970">
        <f ca="1">SUM(AE102:AE103)</f>
        <v>0</v>
      </c>
      <c r="AF104" s="970">
        <f t="shared" ca="1" si="258"/>
        <v>0</v>
      </c>
      <c r="AG104" s="970">
        <f ca="1">SUM(AG102:AG103)</f>
        <v>0</v>
      </c>
      <c r="AH104" s="970">
        <f ca="1">SUM(AH102:AH103)</f>
        <v>0</v>
      </c>
      <c r="AI104" s="970">
        <f ca="1">SUM(AI102:AI103)</f>
        <v>0</v>
      </c>
      <c r="AJ104" s="970">
        <f t="shared" ca="1" si="258"/>
        <v>0</v>
      </c>
      <c r="AK104" s="970">
        <f ca="1">SUM(S104:AJ104)</f>
        <v>939.56208840526347</v>
      </c>
      <c r="AM104" s="976">
        <f t="shared" ref="AM104:BE104" ca="1" si="259">SUM(AM102:AM103)</f>
        <v>0</v>
      </c>
      <c r="AN104" s="976">
        <f t="shared" ca="1" si="259"/>
        <v>0</v>
      </c>
      <c r="AO104" s="976">
        <f t="shared" ca="1" si="259"/>
        <v>0</v>
      </c>
      <c r="AP104" s="976">
        <f t="shared" ca="1" si="259"/>
        <v>0</v>
      </c>
      <c r="AQ104" s="976">
        <f t="shared" ca="1" si="259"/>
        <v>0</v>
      </c>
      <c r="AR104" s="976">
        <f t="shared" ca="1" si="259"/>
        <v>0</v>
      </c>
      <c r="AS104" s="976">
        <f t="shared" ca="1" si="259"/>
        <v>-117.4745405978255</v>
      </c>
      <c r="AT104" s="976">
        <f t="shared" ca="1" si="259"/>
        <v>-197.02903722313226</v>
      </c>
      <c r="AU104" s="976">
        <f t="shared" ca="1" si="259"/>
        <v>-638.12875394422986</v>
      </c>
      <c r="AV104" s="976">
        <f t="shared" ca="1" si="259"/>
        <v>0</v>
      </c>
      <c r="AW104" s="976">
        <f t="shared" ca="1" si="259"/>
        <v>0</v>
      </c>
      <c r="AX104" s="976">
        <f t="shared" ca="1" si="259"/>
        <v>0</v>
      </c>
      <c r="AY104" s="976">
        <f t="shared" ca="1" si="259"/>
        <v>0</v>
      </c>
      <c r="AZ104" s="976">
        <f t="shared" ca="1" si="259"/>
        <v>0</v>
      </c>
      <c r="BA104" s="976">
        <f t="shared" ca="1" si="259"/>
        <v>0</v>
      </c>
      <c r="BB104" s="976">
        <f t="shared" ca="1" si="259"/>
        <v>0</v>
      </c>
      <c r="BC104" s="976">
        <f t="shared" ca="1" si="259"/>
        <v>0</v>
      </c>
      <c r="BD104" s="976">
        <f t="shared" ca="1" si="259"/>
        <v>0</v>
      </c>
      <c r="BE104" s="976">
        <f t="shared" ca="1" si="259"/>
        <v>0</v>
      </c>
      <c r="BF104" s="976">
        <f ca="1">SUM(AM104:BE104)</f>
        <v>-952.63233176518759</v>
      </c>
      <c r="BH104" s="990">
        <f ca="1">SUM(BH102:BH103)</f>
        <v>0</v>
      </c>
      <c r="BI104" s="990">
        <f ca="1">SUM(BI102:BI103)</f>
        <v>13.070243359923463</v>
      </c>
      <c r="BJ104" s="990">
        <f ca="1">SUM(BH104:BI104)</f>
        <v>13.070243359923463</v>
      </c>
      <c r="BL104" s="515">
        <f t="shared" ca="1" si="252"/>
        <v>-6.5725203057809267E-13</v>
      </c>
      <c r="BM104" s="515"/>
      <c r="BN104" s="840"/>
      <c r="BO104" s="1482">
        <f t="shared" ref="BO104:DF104" ca="1" si="260">SUM(BO102:BO103)</f>
        <v>0</v>
      </c>
      <c r="BP104" s="1482">
        <f t="shared" ca="1" si="260"/>
        <v>0</v>
      </c>
      <c r="BQ104" s="1482">
        <f t="shared" ca="1" si="260"/>
        <v>0</v>
      </c>
      <c r="BR104" s="1482">
        <f t="shared" ca="1" si="260"/>
        <v>0</v>
      </c>
      <c r="BS104" s="1482">
        <f t="shared" ca="1" si="260"/>
        <v>0</v>
      </c>
      <c r="BT104" s="1482">
        <f t="shared" ca="1" si="260"/>
        <v>4.9728904384080685</v>
      </c>
      <c r="BU104" s="1482">
        <f t="shared" ca="1" si="260"/>
        <v>0</v>
      </c>
      <c r="BV104" s="1482">
        <f t="shared" ca="1" si="260"/>
        <v>0</v>
      </c>
      <c r="BW104" s="1482">
        <f t="shared" ca="1" si="260"/>
        <v>0</v>
      </c>
      <c r="BX104" s="1482">
        <f t="shared" ca="1" si="260"/>
        <v>0</v>
      </c>
      <c r="BY104" s="1482">
        <f t="shared" ca="1" si="260"/>
        <v>0</v>
      </c>
      <c r="BZ104" s="1482">
        <f t="shared" ca="1" si="260"/>
        <v>0</v>
      </c>
      <c r="CA104" s="1482">
        <f t="shared" ca="1" si="260"/>
        <v>0</v>
      </c>
      <c r="CB104" s="1482">
        <f t="shared" ca="1" si="260"/>
        <v>0</v>
      </c>
      <c r="CC104" s="1482">
        <f t="shared" ca="1" si="260"/>
        <v>0</v>
      </c>
      <c r="CD104" s="1482">
        <f t="shared" ca="1" si="260"/>
        <v>0</v>
      </c>
      <c r="CE104" s="1482">
        <f t="shared" ca="1" si="260"/>
        <v>0</v>
      </c>
      <c r="CF104" s="1482">
        <f t="shared" ca="1" si="260"/>
        <v>0</v>
      </c>
      <c r="CG104" s="1482">
        <f t="shared" ca="1" si="260"/>
        <v>0</v>
      </c>
      <c r="CH104" s="1482">
        <f t="shared" ca="1" si="260"/>
        <v>0</v>
      </c>
      <c r="CI104" s="1482">
        <f t="shared" ca="1" si="260"/>
        <v>0</v>
      </c>
      <c r="CJ104" s="1482">
        <f t="shared" ca="1" si="260"/>
        <v>0</v>
      </c>
      <c r="CK104" s="1482">
        <f t="shared" ca="1" si="260"/>
        <v>0</v>
      </c>
      <c r="CL104" s="1482">
        <f t="shared" ca="1" si="260"/>
        <v>0</v>
      </c>
      <c r="CM104" s="1482">
        <f t="shared" ca="1" si="260"/>
        <v>0</v>
      </c>
      <c r="CN104" s="1482">
        <f t="shared" ca="1" si="260"/>
        <v>0</v>
      </c>
      <c r="CO104" s="1482">
        <f t="shared" ca="1" si="260"/>
        <v>0</v>
      </c>
      <c r="CP104" s="1482">
        <f t="shared" ca="1" si="260"/>
        <v>0</v>
      </c>
      <c r="CQ104" s="1482">
        <f t="shared" ca="1" si="260"/>
        <v>0</v>
      </c>
      <c r="CR104" s="1482">
        <f t="shared" ca="1" si="260"/>
        <v>0</v>
      </c>
      <c r="CS104" s="1482">
        <f t="shared" ca="1" si="260"/>
        <v>0</v>
      </c>
      <c r="CT104" s="1482">
        <f t="shared" ca="1" si="260"/>
        <v>0</v>
      </c>
      <c r="CU104" s="1482">
        <f t="shared" ca="1" si="260"/>
        <v>0</v>
      </c>
      <c r="CV104" s="1482">
        <f t="shared" ca="1" si="260"/>
        <v>0</v>
      </c>
      <c r="CW104" s="1482">
        <f t="shared" ca="1" si="260"/>
        <v>0</v>
      </c>
      <c r="CX104" s="1482">
        <f t="shared" ca="1" si="260"/>
        <v>0</v>
      </c>
      <c r="CY104" s="1482">
        <f t="shared" ca="1" si="260"/>
        <v>0</v>
      </c>
      <c r="CZ104" s="1482">
        <f t="shared" ca="1" si="260"/>
        <v>0</v>
      </c>
      <c r="DA104" s="1482">
        <f t="shared" ca="1" si="260"/>
        <v>0</v>
      </c>
      <c r="DB104" s="1482">
        <f t="shared" ca="1" si="260"/>
        <v>0</v>
      </c>
      <c r="DC104" s="1482">
        <f t="shared" ca="1" si="260"/>
        <v>0</v>
      </c>
      <c r="DD104" s="1482">
        <f t="shared" ca="1" si="260"/>
        <v>0</v>
      </c>
      <c r="DE104" s="1482">
        <f t="shared" ca="1" si="260"/>
        <v>0</v>
      </c>
      <c r="DF104" s="1482">
        <f t="shared" ca="1" si="260"/>
        <v>0</v>
      </c>
      <c r="DH104" s="838">
        <f t="shared" ca="1" si="234"/>
        <v>4.9728904384080685</v>
      </c>
    </row>
    <row r="105" spans="1:112" s="743" customFormat="1" ht="6" customHeight="1">
      <c r="C105" s="508"/>
      <c r="D105" s="509"/>
      <c r="E105" s="509"/>
      <c r="G105" s="958"/>
      <c r="H105" s="958"/>
      <c r="I105" s="958"/>
      <c r="J105" s="958"/>
      <c r="K105" s="960"/>
      <c r="L105" s="958"/>
      <c r="M105" s="958"/>
      <c r="N105" s="958"/>
      <c r="O105" s="958"/>
      <c r="P105" s="958"/>
      <c r="Q105" s="958"/>
      <c r="S105" s="970"/>
      <c r="T105" s="970"/>
      <c r="U105" s="970"/>
      <c r="V105" s="970"/>
      <c r="W105" s="970"/>
      <c r="X105" s="970"/>
      <c r="Y105" s="970"/>
      <c r="Z105" s="970"/>
      <c r="AA105" s="970"/>
      <c r="AB105" s="970"/>
      <c r="AC105" s="970"/>
      <c r="AD105" s="970"/>
      <c r="AE105" s="970"/>
      <c r="AF105" s="970"/>
      <c r="AG105" s="970"/>
      <c r="AH105" s="970"/>
      <c r="AI105" s="970"/>
      <c r="AJ105" s="970"/>
      <c r="AK105" s="970"/>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H105" s="990"/>
      <c r="BI105" s="990"/>
      <c r="BJ105" s="990"/>
      <c r="BL105" s="515">
        <f t="shared" si="252"/>
        <v>0</v>
      </c>
      <c r="BM105" s="515"/>
      <c r="BO105" s="1482"/>
      <c r="BP105" s="1482"/>
      <c r="BQ105" s="1482"/>
      <c r="BR105" s="1482"/>
      <c r="BS105" s="1482"/>
      <c r="BT105" s="1482"/>
      <c r="BU105" s="1482"/>
      <c r="BV105" s="1482"/>
      <c r="BW105" s="1482"/>
      <c r="BX105" s="1482"/>
      <c r="BY105" s="1482"/>
      <c r="BZ105" s="1482"/>
      <c r="CA105" s="1482"/>
      <c r="CB105" s="1482"/>
      <c r="CC105" s="1482"/>
      <c r="CD105" s="1482"/>
      <c r="CE105" s="1482"/>
      <c r="CF105" s="1482"/>
      <c r="CG105" s="1482"/>
      <c r="CH105" s="1482"/>
      <c r="CI105" s="1482"/>
      <c r="CJ105" s="1482"/>
      <c r="CK105" s="1482"/>
      <c r="CL105" s="1482"/>
      <c r="CM105" s="1482"/>
      <c r="CN105" s="1482"/>
      <c r="CO105" s="1482"/>
      <c r="CP105" s="1482"/>
      <c r="CQ105" s="1482"/>
      <c r="CR105" s="1482"/>
      <c r="CS105" s="1482"/>
      <c r="CT105" s="1482"/>
      <c r="CU105" s="1482"/>
      <c r="CV105" s="1482"/>
      <c r="CW105" s="1482"/>
      <c r="CX105" s="1482"/>
      <c r="CY105" s="1482"/>
      <c r="CZ105" s="1482"/>
      <c r="DA105" s="1482"/>
      <c r="DB105" s="1482"/>
      <c r="DC105" s="1482"/>
      <c r="DD105" s="1482"/>
      <c r="DE105" s="1482"/>
      <c r="DF105" s="1482"/>
      <c r="DH105" s="838"/>
    </row>
    <row r="106" spans="1:112" s="743" customFormat="1" ht="15.75">
      <c r="B106" s="753"/>
      <c r="C106" s="2051" t="s">
        <v>1817</v>
      </c>
      <c r="D106" s="643" t="s">
        <v>1016</v>
      </c>
      <c r="E106" s="644"/>
      <c r="G106" s="1075">
        <f t="shared" ref="G106:P106" ca="1" si="261">G$93+G$99+G$104</f>
        <v>0</v>
      </c>
      <c r="H106" s="1075">
        <f t="shared" ca="1" si="261"/>
        <v>0</v>
      </c>
      <c r="I106" s="1075">
        <f t="shared" ca="1" si="261"/>
        <v>0</v>
      </c>
      <c r="J106" s="1075">
        <f t="shared" ca="1" si="261"/>
        <v>0</v>
      </c>
      <c r="K106" s="1076">
        <f t="shared" ca="1" si="261"/>
        <v>0</v>
      </c>
      <c r="L106" s="1075">
        <f t="shared" ca="1" si="261"/>
        <v>0</v>
      </c>
      <c r="M106" s="1075">
        <f t="shared" ca="1" si="261"/>
        <v>0</v>
      </c>
      <c r="N106" s="1075">
        <f t="shared" ca="1" si="261"/>
        <v>0</v>
      </c>
      <c r="O106" s="1075">
        <f t="shared" ca="1" si="261"/>
        <v>0</v>
      </c>
      <c r="P106" s="1075">
        <f t="shared" ca="1" si="261"/>
        <v>0</v>
      </c>
      <c r="Q106" s="1023">
        <f ca="1">SUM(G106:P106)</f>
        <v>0</v>
      </c>
      <c r="S106" s="1014">
        <f t="shared" ref="S106:AJ106" ca="1" si="262">S$93+S$99+S$104</f>
        <v>0</v>
      </c>
      <c r="T106" s="1014">
        <f t="shared" ca="1" si="262"/>
        <v>-27.979843192050168</v>
      </c>
      <c r="U106" s="1014">
        <f t="shared" ca="1" si="262"/>
        <v>321.89513270266332</v>
      </c>
      <c r="V106" s="1014">
        <f t="shared" ca="1" si="262"/>
        <v>866.55691625228883</v>
      </c>
      <c r="W106" s="1014">
        <f t="shared" ca="1" si="262"/>
        <v>1163.4023029925334</v>
      </c>
      <c r="X106" s="1014">
        <f t="shared" ca="1" si="262"/>
        <v>-177.38714933365171</v>
      </c>
      <c r="Y106" s="1014">
        <f t="shared" ca="1" si="262"/>
        <v>-664.52033513004915</v>
      </c>
      <c r="Z106" s="1014">
        <f t="shared" ca="1" si="262"/>
        <v>-508.98355251965154</v>
      </c>
      <c r="AA106" s="1014">
        <f t="shared" ca="1" si="262"/>
        <v>0</v>
      </c>
      <c r="AB106" s="1014">
        <f t="shared" ca="1" si="262"/>
        <v>0</v>
      </c>
      <c r="AC106" s="1014">
        <f t="shared" ca="1" si="262"/>
        <v>0</v>
      </c>
      <c r="AD106" s="1014">
        <f t="shared" ca="1" si="262"/>
        <v>-7.7206352827919442</v>
      </c>
      <c r="AE106" s="1014">
        <f t="shared" ca="1" si="262"/>
        <v>-1.252228408041016</v>
      </c>
      <c r="AF106" s="1014">
        <f t="shared" ca="1" si="262"/>
        <v>-26.061321425348929</v>
      </c>
      <c r="AG106" s="1014">
        <f t="shared" ca="1" si="262"/>
        <v>-14.087208334163787</v>
      </c>
      <c r="AH106" s="1014">
        <f t="shared" ca="1" si="262"/>
        <v>-18.090473221244544</v>
      </c>
      <c r="AI106" s="1014">
        <f t="shared" ca="1" si="262"/>
        <v>0</v>
      </c>
      <c r="AJ106" s="1014">
        <f t="shared" ca="1" si="262"/>
        <v>0</v>
      </c>
      <c r="AK106" s="1014">
        <f ca="1">SUM(S106:AJ106)</f>
        <v>905.77160510049237</v>
      </c>
      <c r="AM106" s="1015">
        <f t="shared" ref="AM106:BE106" ca="1" si="263">AM$93+AM$99+AM$104</f>
        <v>0</v>
      </c>
      <c r="AN106" s="1015">
        <f t="shared" ca="1" si="263"/>
        <v>0</v>
      </c>
      <c r="AO106" s="1015">
        <f t="shared" ca="1" si="263"/>
        <v>0</v>
      </c>
      <c r="AP106" s="1015">
        <f t="shared" ca="1" si="263"/>
        <v>-3.2564000000000002</v>
      </c>
      <c r="AQ106" s="1015">
        <f t="shared" ca="1" si="263"/>
        <v>0</v>
      </c>
      <c r="AR106" s="1015">
        <f t="shared" ca="1" si="263"/>
        <v>0</v>
      </c>
      <c r="AS106" s="1015">
        <f t="shared" ca="1" si="263"/>
        <v>-117.4745405978255</v>
      </c>
      <c r="AT106" s="1015">
        <f t="shared" ca="1" si="263"/>
        <v>-197.02903722313226</v>
      </c>
      <c r="AU106" s="1015">
        <f t="shared" ca="1" si="263"/>
        <v>-638.12875394422986</v>
      </c>
      <c r="AV106" s="1015">
        <f t="shared" ca="1" si="263"/>
        <v>0</v>
      </c>
      <c r="AW106" s="1015">
        <f t="shared" ca="1" si="263"/>
        <v>0</v>
      </c>
      <c r="AX106" s="1015">
        <f t="shared" ca="1" si="263"/>
        <v>0</v>
      </c>
      <c r="AY106" s="1015">
        <f t="shared" ca="1" si="263"/>
        <v>0</v>
      </c>
      <c r="AZ106" s="1015">
        <f t="shared" ca="1" si="263"/>
        <v>0</v>
      </c>
      <c r="BA106" s="1015">
        <f t="shared" ca="1" si="263"/>
        <v>0</v>
      </c>
      <c r="BB106" s="1015">
        <f t="shared" ca="1" si="263"/>
        <v>0</v>
      </c>
      <c r="BC106" s="1015">
        <f t="shared" ca="1" si="263"/>
        <v>0</v>
      </c>
      <c r="BD106" s="1015">
        <f t="shared" ca="1" si="263"/>
        <v>0</v>
      </c>
      <c r="BE106" s="1015">
        <f t="shared" ca="1" si="263"/>
        <v>0</v>
      </c>
      <c r="BF106" s="1015">
        <f ca="1">SUM(AM106:BE106)</f>
        <v>-955.88873176518769</v>
      </c>
      <c r="BH106" s="1016">
        <f ca="1">BH$93+BH$99+BH$104</f>
        <v>9.0670401127210454</v>
      </c>
      <c r="BI106" s="1016">
        <f ca="1">BI$93+BI$99+BI$104</f>
        <v>41.050086551973592</v>
      </c>
      <c r="BJ106" s="1016">
        <f ca="1">SUM(BH106:BI106)</f>
        <v>50.117126664694638</v>
      </c>
      <c r="BL106" s="518">
        <f t="shared" ca="1" si="252"/>
        <v>-6.8212102632969618E-13</v>
      </c>
      <c r="BM106" s="518"/>
      <c r="BO106" s="1487">
        <f t="shared" ref="BO106:DE106" ca="1" si="264">BO$93+BO$99+BO$104</f>
        <v>0</v>
      </c>
      <c r="BP106" s="1487">
        <f t="shared" ca="1" si="264"/>
        <v>0</v>
      </c>
      <c r="BQ106" s="1487">
        <f t="shared" ca="1" si="264"/>
        <v>0</v>
      </c>
      <c r="BR106" s="1487">
        <f t="shared" ca="1" si="264"/>
        <v>0</v>
      </c>
      <c r="BS106" s="1487">
        <f t="shared" ca="1" si="264"/>
        <v>0</v>
      </c>
      <c r="BT106" s="1487">
        <f t="shared" ca="1" si="264"/>
        <v>4.9728904384080685</v>
      </c>
      <c r="BU106" s="1487">
        <f t="shared" ca="1" si="264"/>
        <v>0</v>
      </c>
      <c r="BV106" s="1487">
        <f t="shared" ca="1" si="264"/>
        <v>0</v>
      </c>
      <c r="BW106" s="1487">
        <f t="shared" ca="1" si="264"/>
        <v>0</v>
      </c>
      <c r="BX106" s="1487">
        <f t="shared" ca="1" si="264"/>
        <v>0</v>
      </c>
      <c r="BY106" s="1487">
        <f t="shared" ca="1" si="264"/>
        <v>0</v>
      </c>
      <c r="BZ106" s="1487">
        <f t="shared" ca="1" si="264"/>
        <v>0</v>
      </c>
      <c r="CA106" s="1487">
        <f t="shared" ca="1" si="264"/>
        <v>0</v>
      </c>
      <c r="CB106" s="1487">
        <f t="shared" ca="1" si="264"/>
        <v>0</v>
      </c>
      <c r="CC106" s="1487">
        <f t="shared" ca="1" si="264"/>
        <v>0</v>
      </c>
      <c r="CD106" s="1487">
        <f t="shared" ca="1" si="264"/>
        <v>0</v>
      </c>
      <c r="CE106" s="1487">
        <f t="shared" ca="1" si="264"/>
        <v>0</v>
      </c>
      <c r="CF106" s="1487">
        <f t="shared" ca="1" si="264"/>
        <v>0</v>
      </c>
      <c r="CG106" s="1487">
        <f t="shared" ca="1" si="264"/>
        <v>0</v>
      </c>
      <c r="CH106" s="1487">
        <f t="shared" ca="1" si="264"/>
        <v>0</v>
      </c>
      <c r="CI106" s="1487">
        <f t="shared" ca="1" si="264"/>
        <v>0</v>
      </c>
      <c r="CJ106" s="1487">
        <f t="shared" ca="1" si="264"/>
        <v>0</v>
      </c>
      <c r="CK106" s="1487">
        <f t="shared" ca="1" si="264"/>
        <v>0</v>
      </c>
      <c r="CL106" s="1487">
        <f t="shared" ca="1" si="264"/>
        <v>0</v>
      </c>
      <c r="CM106" s="1487">
        <f t="shared" ca="1" si="264"/>
        <v>0</v>
      </c>
      <c r="CN106" s="1487">
        <f t="shared" ca="1" si="264"/>
        <v>0</v>
      </c>
      <c r="CO106" s="1487">
        <f t="shared" ca="1" si="264"/>
        <v>0</v>
      </c>
      <c r="CP106" s="1487">
        <f t="shared" ca="1" si="264"/>
        <v>0</v>
      </c>
      <c r="CQ106" s="1487">
        <f t="shared" ca="1" si="264"/>
        <v>0</v>
      </c>
      <c r="CR106" s="1487">
        <f t="shared" ca="1" si="264"/>
        <v>0</v>
      </c>
      <c r="CS106" s="1487">
        <f t="shared" ca="1" si="264"/>
        <v>0</v>
      </c>
      <c r="CT106" s="1487">
        <f t="shared" ca="1" si="264"/>
        <v>0</v>
      </c>
      <c r="CU106" s="1487">
        <f t="shared" ca="1" si="264"/>
        <v>0</v>
      </c>
      <c r="CV106" s="1487">
        <f t="shared" ca="1" si="264"/>
        <v>0</v>
      </c>
      <c r="CW106" s="1487">
        <f t="shared" ca="1" si="264"/>
        <v>0</v>
      </c>
      <c r="CX106" s="1487">
        <f t="shared" ca="1" si="264"/>
        <v>0</v>
      </c>
      <c r="CY106" s="1487">
        <f t="shared" ca="1" si="264"/>
        <v>-14.980470487800098</v>
      </c>
      <c r="CZ106" s="1487">
        <f t="shared" ca="1" si="264"/>
        <v>0</v>
      </c>
      <c r="DA106" s="1487">
        <f t="shared" ca="1" si="264"/>
        <v>0</v>
      </c>
      <c r="DB106" s="1487">
        <f t="shared" ca="1" si="264"/>
        <v>0</v>
      </c>
      <c r="DC106" s="1487">
        <f t="shared" ca="1" si="264"/>
        <v>0</v>
      </c>
      <c r="DD106" s="1487">
        <f t="shared" ca="1" si="264"/>
        <v>0</v>
      </c>
      <c r="DE106" s="1487">
        <f t="shared" ca="1" si="264"/>
        <v>0</v>
      </c>
      <c r="DF106" s="1487">
        <f ca="1">DF$93+DF$104</f>
        <v>0</v>
      </c>
      <c r="DH106" s="835">
        <f ca="1">SUM(BO106:DF106)</f>
        <v>-10.007580049392029</v>
      </c>
    </row>
    <row r="107" spans="1:112" s="743" customFormat="1">
      <c r="C107" s="508"/>
      <c r="D107" s="509"/>
      <c r="E107" s="509"/>
      <c r="G107" s="958"/>
      <c r="H107" s="958"/>
      <c r="I107" s="958"/>
      <c r="J107" s="958"/>
      <c r="K107" s="960"/>
      <c r="L107" s="958"/>
      <c r="M107" s="958"/>
      <c r="N107" s="958"/>
      <c r="O107" s="958"/>
      <c r="P107" s="958"/>
      <c r="Q107" s="958"/>
      <c r="S107" s="970"/>
      <c r="T107" s="970"/>
      <c r="U107" s="970"/>
      <c r="V107" s="970"/>
      <c r="W107" s="970"/>
      <c r="X107" s="970"/>
      <c r="Y107" s="970"/>
      <c r="Z107" s="970"/>
      <c r="AA107" s="970"/>
      <c r="AB107" s="970"/>
      <c r="AC107" s="970"/>
      <c r="AD107" s="970"/>
      <c r="AE107" s="970"/>
      <c r="AF107" s="970"/>
      <c r="AG107" s="970"/>
      <c r="AH107" s="970"/>
      <c r="AI107" s="970"/>
      <c r="AJ107" s="970"/>
      <c r="AK107" s="970"/>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H107" s="990"/>
      <c r="BI107" s="990"/>
      <c r="BJ107" s="990"/>
      <c r="BL107" s="515">
        <f t="shared" si="252"/>
        <v>0</v>
      </c>
      <c r="BM107" s="515"/>
      <c r="BO107" s="1482"/>
      <c r="BP107" s="1482"/>
      <c r="BQ107" s="1482"/>
      <c r="BR107" s="1482"/>
      <c r="BS107" s="1482"/>
      <c r="BT107" s="1482"/>
      <c r="BU107" s="1482"/>
      <c r="BV107" s="1482"/>
      <c r="BW107" s="1482"/>
      <c r="BX107" s="1482"/>
      <c r="BY107" s="1482"/>
      <c r="BZ107" s="1482"/>
      <c r="CA107" s="1482"/>
      <c r="CB107" s="1482"/>
      <c r="CC107" s="1482"/>
      <c r="CD107" s="1482"/>
      <c r="CE107" s="1482"/>
      <c r="CF107" s="1482"/>
      <c r="CG107" s="1482"/>
      <c r="CH107" s="1482"/>
      <c r="CI107" s="1482"/>
      <c r="CJ107" s="1482"/>
      <c r="CK107" s="1482"/>
      <c r="CL107" s="1482"/>
      <c r="CM107" s="1482"/>
      <c r="CN107" s="1482"/>
      <c r="CO107" s="1482"/>
      <c r="CP107" s="1482"/>
      <c r="CQ107" s="1482"/>
      <c r="CR107" s="1482"/>
      <c r="CS107" s="1482"/>
      <c r="CT107" s="1482"/>
      <c r="CU107" s="1482"/>
      <c r="CV107" s="1482"/>
      <c r="CW107" s="1482"/>
      <c r="CX107" s="1482"/>
      <c r="CY107" s="1482"/>
      <c r="CZ107" s="1482"/>
      <c r="DA107" s="1482"/>
      <c r="DB107" s="1482"/>
      <c r="DC107" s="1482"/>
      <c r="DD107" s="1482"/>
      <c r="DE107" s="1482"/>
      <c r="DF107" s="1482"/>
      <c r="DH107" s="838"/>
    </row>
    <row r="108" spans="1:112" s="743" customFormat="1" ht="13.5" thickBot="1">
      <c r="C108" s="508"/>
      <c r="D108" s="509"/>
      <c r="E108" s="509"/>
      <c r="G108" s="958"/>
      <c r="H108" s="958"/>
      <c r="I108" s="958"/>
      <c r="J108" s="958"/>
      <c r="K108" s="960"/>
      <c r="L108" s="958"/>
      <c r="M108" s="958"/>
      <c r="N108" s="958"/>
      <c r="O108" s="958"/>
      <c r="P108" s="958"/>
      <c r="Q108" s="958"/>
      <c r="S108" s="970"/>
      <c r="T108" s="970"/>
      <c r="U108" s="970"/>
      <c r="V108" s="970"/>
      <c r="W108" s="970"/>
      <c r="X108" s="970"/>
      <c r="Y108" s="970"/>
      <c r="Z108" s="970"/>
      <c r="AA108" s="970"/>
      <c r="AB108" s="970"/>
      <c r="AC108" s="970"/>
      <c r="AD108" s="970"/>
      <c r="AE108" s="970"/>
      <c r="AF108" s="970"/>
      <c r="AG108" s="970"/>
      <c r="AH108" s="970"/>
      <c r="AI108" s="970"/>
      <c r="AJ108" s="970"/>
      <c r="AK108" s="970"/>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H108" s="990"/>
      <c r="BI108" s="990"/>
      <c r="BJ108" s="990"/>
      <c r="BL108" s="515">
        <f t="shared" si="252"/>
        <v>0</v>
      </c>
      <c r="BM108" s="515"/>
      <c r="BO108" s="1482"/>
      <c r="BP108" s="1482"/>
      <c r="BQ108" s="1482"/>
      <c r="BR108" s="1482"/>
      <c r="BS108" s="1482"/>
      <c r="BT108" s="1482"/>
      <c r="BU108" s="1482"/>
      <c r="BV108" s="1482"/>
      <c r="BW108" s="1482"/>
      <c r="BX108" s="1482"/>
      <c r="BY108" s="1482"/>
      <c r="BZ108" s="1482"/>
      <c r="CA108" s="1482"/>
      <c r="CB108" s="1482"/>
      <c r="CC108" s="1482"/>
      <c r="CD108" s="1482"/>
      <c r="CE108" s="1482"/>
      <c r="CF108" s="1482"/>
      <c r="CG108" s="1482"/>
      <c r="CH108" s="1482"/>
      <c r="CI108" s="1482"/>
      <c r="CJ108" s="1482"/>
      <c r="CK108" s="1482"/>
      <c r="CL108" s="1482"/>
      <c r="CM108" s="1482"/>
      <c r="CN108" s="1482"/>
      <c r="CO108" s="1482"/>
      <c r="CP108" s="1482"/>
      <c r="CQ108" s="1482"/>
      <c r="CR108" s="1482"/>
      <c r="CS108" s="1482"/>
      <c r="CT108" s="1482"/>
      <c r="CU108" s="1482"/>
      <c r="CV108" s="1482"/>
      <c r="CW108" s="1482"/>
      <c r="CX108" s="1482"/>
      <c r="CY108" s="1482"/>
      <c r="CZ108" s="1482"/>
      <c r="DA108" s="1482"/>
      <c r="DB108" s="1482"/>
      <c r="DC108" s="1482"/>
      <c r="DD108" s="1482"/>
      <c r="DE108" s="1482"/>
      <c r="DF108" s="1482"/>
      <c r="DH108" s="838"/>
    </row>
    <row r="109" spans="1:112" s="743" customFormat="1" ht="24" customHeight="1" thickBot="1">
      <c r="C109" s="608" t="s">
        <v>593</v>
      </c>
      <c r="D109" s="608"/>
      <c r="E109" s="608"/>
      <c r="G109" s="1098">
        <f t="shared" ref="G109:P109" ca="1" si="265">G$40+G$84+G$106</f>
        <v>560.79657715903761</v>
      </c>
      <c r="H109" s="1098">
        <f t="shared" ca="1" si="265"/>
        <v>181.64752039357137</v>
      </c>
      <c r="I109" s="1098">
        <f t="shared" ca="1" si="265"/>
        <v>471.74495663020178</v>
      </c>
      <c r="J109" s="1098">
        <f t="shared" ca="1" si="265"/>
        <v>445.092247062605</v>
      </c>
      <c r="K109" s="1098">
        <f t="shared" ca="1" si="265"/>
        <v>17.183448840130435</v>
      </c>
      <c r="L109" s="1098">
        <f t="shared" ca="1" si="265"/>
        <v>10.163716423089292</v>
      </c>
      <c r="M109" s="1098">
        <f t="shared" ca="1" si="265"/>
        <v>25.383064556311584</v>
      </c>
      <c r="N109" s="1098">
        <f t="shared" ca="1" si="265"/>
        <v>174.02097069883129</v>
      </c>
      <c r="O109" s="1098">
        <f t="shared" ca="1" si="265"/>
        <v>46.676563829064939</v>
      </c>
      <c r="P109" s="1098">
        <f t="shared" ca="1" si="265"/>
        <v>0</v>
      </c>
      <c r="Q109" s="1098">
        <f ca="1">SUM(G109:P109)</f>
        <v>1932.7090655928432</v>
      </c>
      <c r="S109" s="1099">
        <f t="shared" ref="S109:AJ109" ca="1" si="266">S$40+S$84+S$106</f>
        <v>-373.16495041083652</v>
      </c>
      <c r="T109" s="1099">
        <f t="shared" ca="1" si="266"/>
        <v>373.16495041083652</v>
      </c>
      <c r="U109" s="1099">
        <f t="shared" ca="1" si="266"/>
        <v>0</v>
      </c>
      <c r="V109" s="1099">
        <f t="shared" ca="1" si="266"/>
        <v>0</v>
      </c>
      <c r="W109" s="1099">
        <f t="shared" ca="1" si="266"/>
        <v>0</v>
      </c>
      <c r="X109" s="1099">
        <f t="shared" ca="1" si="266"/>
        <v>0</v>
      </c>
      <c r="Y109" s="1099">
        <f t="shared" ca="1" si="266"/>
        <v>0</v>
      </c>
      <c r="Z109" s="1099">
        <f t="shared" ca="1" si="266"/>
        <v>0</v>
      </c>
      <c r="AA109" s="1099">
        <f t="shared" ca="1" si="266"/>
        <v>0</v>
      </c>
      <c r="AB109" s="1099">
        <f t="shared" ca="1" si="266"/>
        <v>0</v>
      </c>
      <c r="AC109" s="1099">
        <f t="shared" ca="1" si="266"/>
        <v>0</v>
      </c>
      <c r="AD109" s="1099">
        <f t="shared" ca="1" si="266"/>
        <v>0</v>
      </c>
      <c r="AE109" s="1099">
        <f t="shared" ca="1" si="266"/>
        <v>0</v>
      </c>
      <c r="AF109" s="1099">
        <f t="shared" ca="1" si="266"/>
        <v>0</v>
      </c>
      <c r="AG109" s="1099">
        <f t="shared" ca="1" si="266"/>
        <v>0</v>
      </c>
      <c r="AH109" s="1099">
        <f t="shared" ca="1" si="266"/>
        <v>0</v>
      </c>
      <c r="AI109" s="1099">
        <f t="shared" ca="1" si="266"/>
        <v>0</v>
      </c>
      <c r="AJ109" s="1099">
        <f t="shared" ca="1" si="266"/>
        <v>0</v>
      </c>
      <c r="AK109" s="1099">
        <f ca="1">SUM(S109:AJ109)</f>
        <v>0</v>
      </c>
      <c r="AM109" s="1100">
        <f t="shared" ref="AM109:BE109" ca="1" si="267">AM$40+AM$84+AM$106</f>
        <v>-124.39544583847987</v>
      </c>
      <c r="AN109" s="1100">
        <f t="shared" ca="1" si="267"/>
        <v>-664.52033513004915</v>
      </c>
      <c r="AO109" s="1100">
        <f t="shared" ca="1" si="267"/>
        <v>-508.98355251965154</v>
      </c>
      <c r="AP109" s="1100">
        <f t="shared" ca="1" si="267"/>
        <v>-3.2564000000000002</v>
      </c>
      <c r="AQ109" s="1100">
        <f t="shared" ca="1" si="267"/>
        <v>0</v>
      </c>
      <c r="AR109" s="1100">
        <f t="shared" ca="1" si="267"/>
        <v>0</v>
      </c>
      <c r="AS109" s="1100">
        <f t="shared" ca="1" si="267"/>
        <v>-117.4745405978255</v>
      </c>
      <c r="AT109" s="1100">
        <f t="shared" ca="1" si="267"/>
        <v>-197.02903722313226</v>
      </c>
      <c r="AU109" s="1100">
        <f t="shared" ca="1" si="267"/>
        <v>-638.12875394422986</v>
      </c>
      <c r="AV109" s="1100">
        <f t="shared" ca="1" si="267"/>
        <v>-134.99639999999999</v>
      </c>
      <c r="AW109" s="1100">
        <f t="shared" ca="1" si="267"/>
        <v>-1.3604831999999999E-2</v>
      </c>
      <c r="AX109" s="1100">
        <f t="shared" ca="1" si="267"/>
        <v>-29.342870099999999</v>
      </c>
      <c r="AY109" s="1100">
        <f t="shared" ca="1" si="267"/>
        <v>-2.0013698630136998E-2</v>
      </c>
      <c r="AZ109" s="1100">
        <f t="shared" ca="1" si="267"/>
        <v>-3.0020547945205484E-3</v>
      </c>
      <c r="BA109" s="1100">
        <f t="shared" ca="1" si="267"/>
        <v>0</v>
      </c>
      <c r="BB109" s="1100">
        <f t="shared" ca="1" si="267"/>
        <v>-5.3297280000000011</v>
      </c>
      <c r="BC109" s="1100">
        <f t="shared" ca="1" si="267"/>
        <v>0</v>
      </c>
      <c r="BD109" s="1100">
        <f t="shared" ca="1" si="267"/>
        <v>-8.9728636908329609</v>
      </c>
      <c r="BE109" s="1100">
        <f t="shared" ca="1" si="267"/>
        <v>-111.23070647592911</v>
      </c>
      <c r="BF109" s="1100">
        <f ca="1">SUM(AM109:BE109)</f>
        <v>-2543.6972541055557</v>
      </c>
      <c r="BH109" s="1101">
        <f ca="1">BH$40+BH$84+BH$106</f>
        <v>496.25150500706479</v>
      </c>
      <c r="BI109" s="1101">
        <f ca="1">BI$40+BI$84+BI$106</f>
        <v>114.73668350564681</v>
      </c>
      <c r="BJ109" s="1101">
        <f ca="1">SUM(BH109:BI109)</f>
        <v>610.98818851271164</v>
      </c>
      <c r="BL109" s="514">
        <f t="shared" ca="1" si="252"/>
        <v>0</v>
      </c>
      <c r="BM109" s="514"/>
      <c r="BO109" s="1493">
        <f t="shared" ref="BO109:DF109" ca="1" si="268">BO$40+BO$84+BO$106</f>
        <v>474.64406077244462</v>
      </c>
      <c r="BP109" s="1493">
        <f t="shared" ca="1" si="268"/>
        <v>0.92128974484409554</v>
      </c>
      <c r="BQ109" s="1493">
        <f t="shared" ca="1" si="268"/>
        <v>4.2447008068368977</v>
      </c>
      <c r="BR109" s="1493">
        <f t="shared" ca="1" si="268"/>
        <v>0</v>
      </c>
      <c r="BS109" s="1493">
        <f t="shared" ca="1" si="268"/>
        <v>3.467114152456976</v>
      </c>
      <c r="BT109" s="1493">
        <f t="shared" ca="1" si="268"/>
        <v>7.613203399659846</v>
      </c>
      <c r="BU109" s="1493">
        <f t="shared" ca="1" si="268"/>
        <v>0</v>
      </c>
      <c r="BV109" s="1493">
        <f t="shared" ca="1" si="268"/>
        <v>0</v>
      </c>
      <c r="BW109" s="1493">
        <f t="shared" ca="1" si="268"/>
        <v>14.403687991960901</v>
      </c>
      <c r="BX109" s="1493">
        <f t="shared" ca="1" si="268"/>
        <v>0.11212216057615614</v>
      </c>
      <c r="BY109" s="1493">
        <f t="shared" ca="1" si="268"/>
        <v>2.7618835900319163</v>
      </c>
      <c r="BZ109" s="1493">
        <f t="shared" ca="1" si="268"/>
        <v>9.2740959850517761</v>
      </c>
      <c r="CA109" s="1493">
        <f t="shared" ca="1" si="268"/>
        <v>0</v>
      </c>
      <c r="CB109" s="1493">
        <f t="shared" ca="1" si="268"/>
        <v>0</v>
      </c>
      <c r="CC109" s="1493">
        <f t="shared" ca="1" si="268"/>
        <v>0</v>
      </c>
      <c r="CD109" s="1493">
        <f t="shared" ca="1" si="268"/>
        <v>0</v>
      </c>
      <c r="CE109" s="1493">
        <f t="shared" ca="1" si="268"/>
        <v>0</v>
      </c>
      <c r="CF109" s="1493">
        <f t="shared" ca="1" si="268"/>
        <v>18.918166511860726</v>
      </c>
      <c r="CG109" s="1493">
        <f t="shared" ca="1" si="268"/>
        <v>22.115591632724669</v>
      </c>
      <c r="CH109" s="1493">
        <f t="shared" ca="1" si="268"/>
        <v>0</v>
      </c>
      <c r="CI109" s="1493">
        <f t="shared" ca="1" si="268"/>
        <v>5.8382909270138512</v>
      </c>
      <c r="CJ109" s="1493">
        <f t="shared" ca="1" si="268"/>
        <v>0</v>
      </c>
      <c r="CK109" s="1493">
        <f t="shared" ca="1" si="268"/>
        <v>0</v>
      </c>
      <c r="CL109" s="1493">
        <f t="shared" ca="1" si="268"/>
        <v>0</v>
      </c>
      <c r="CM109" s="1493">
        <f t="shared" ca="1" si="268"/>
        <v>0</v>
      </c>
      <c r="CN109" s="1493">
        <f t="shared" ca="1" si="268"/>
        <v>21.499291171709096</v>
      </c>
      <c r="CO109" s="1493">
        <f t="shared" ca="1" si="268"/>
        <v>1.3183729534515276</v>
      </c>
      <c r="CP109" s="1493">
        <f t="shared" ca="1" si="268"/>
        <v>0</v>
      </c>
      <c r="CQ109" s="1493">
        <f t="shared" ca="1" si="268"/>
        <v>0</v>
      </c>
      <c r="CR109" s="1493">
        <f t="shared" ca="1" si="268"/>
        <v>0</v>
      </c>
      <c r="CS109" s="1493">
        <f t="shared" ca="1" si="268"/>
        <v>0</v>
      </c>
      <c r="CT109" s="1493">
        <f t="shared" ca="1" si="268"/>
        <v>0</v>
      </c>
      <c r="CU109" s="1493">
        <f t="shared" ca="1" si="268"/>
        <v>55.174383631974059</v>
      </c>
      <c r="CV109" s="1493">
        <f t="shared" ca="1" si="268"/>
        <v>6.8691889807070333E-2</v>
      </c>
      <c r="CW109" s="1493">
        <f t="shared" ca="1" si="268"/>
        <v>0.99270021885184301</v>
      </c>
      <c r="CX109" s="1493">
        <f t="shared" ca="1" si="268"/>
        <v>0</v>
      </c>
      <c r="CY109" s="1493">
        <f t="shared" ca="1" si="268"/>
        <v>-14.980470487800098</v>
      </c>
      <c r="CZ109" s="1493">
        <f t="shared" ca="1" si="268"/>
        <v>0</v>
      </c>
      <c r="DA109" s="1493">
        <f t="shared" ca="1" si="268"/>
        <v>0</v>
      </c>
      <c r="DB109" s="1493">
        <f t="shared" ca="1" si="268"/>
        <v>0</v>
      </c>
      <c r="DC109" s="1493">
        <f t="shared" ca="1" si="268"/>
        <v>-1.420730954413632</v>
      </c>
      <c r="DD109" s="1493">
        <f t="shared" ca="1" si="268"/>
        <v>0</v>
      </c>
      <c r="DE109" s="1493">
        <f t="shared" ca="1" si="268"/>
        <v>0</v>
      </c>
      <c r="DF109" s="1493">
        <f t="shared" ca="1" si="268"/>
        <v>0</v>
      </c>
      <c r="DH109" s="835">
        <f ca="1">SUM(BO109:DF109)</f>
        <v>626.96644609904217</v>
      </c>
    </row>
    <row r="110" spans="1:112" s="743" customFormat="1">
      <c r="C110" s="508"/>
      <c r="D110" s="509"/>
      <c r="E110" s="509"/>
      <c r="G110" s="995"/>
      <c r="H110" s="995"/>
      <c r="I110" s="995"/>
      <c r="J110" s="995"/>
      <c r="K110" s="996"/>
      <c r="L110" s="995"/>
      <c r="M110" s="995"/>
      <c r="N110" s="995"/>
      <c r="O110" s="995"/>
      <c r="P110" s="995"/>
      <c r="Q110" s="995"/>
      <c r="S110" s="998"/>
      <c r="T110" s="998"/>
      <c r="U110" s="998"/>
      <c r="V110" s="998"/>
      <c r="W110" s="998"/>
      <c r="X110" s="998"/>
      <c r="Y110" s="998"/>
      <c r="Z110" s="998"/>
      <c r="AA110" s="998"/>
      <c r="AB110" s="998"/>
      <c r="AC110" s="998"/>
      <c r="AD110" s="998"/>
      <c r="AE110" s="998"/>
      <c r="AF110" s="998"/>
      <c r="AG110" s="998"/>
      <c r="AH110" s="998"/>
      <c r="AI110" s="998"/>
      <c r="AJ110" s="998"/>
      <c r="AK110" s="998"/>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H110" s="1002"/>
      <c r="BI110" s="1002"/>
      <c r="BJ110" s="1002"/>
      <c r="BL110" s="515"/>
      <c r="BM110" s="515"/>
      <c r="BO110" s="1494"/>
      <c r="BP110" s="1494"/>
      <c r="BQ110" s="1494"/>
      <c r="BR110" s="1494"/>
      <c r="BS110" s="1494"/>
      <c r="BT110" s="1494"/>
      <c r="BU110" s="1494"/>
      <c r="BV110" s="1494"/>
      <c r="BW110" s="1494"/>
      <c r="BX110" s="1494"/>
      <c r="BY110" s="1494"/>
      <c r="BZ110" s="1494"/>
      <c r="CA110" s="1494"/>
      <c r="CB110" s="1494"/>
      <c r="CC110" s="1494"/>
      <c r="CD110" s="1494"/>
      <c r="CE110" s="1494"/>
      <c r="CF110" s="1494"/>
      <c r="CG110" s="1494"/>
      <c r="CH110" s="1494"/>
      <c r="CI110" s="1494"/>
      <c r="CJ110" s="1494"/>
      <c r="CK110" s="1494"/>
      <c r="CL110" s="1494"/>
      <c r="CM110" s="1494"/>
      <c r="CN110" s="1494"/>
      <c r="CO110" s="1494"/>
      <c r="CP110" s="1494"/>
      <c r="CQ110" s="1494"/>
      <c r="CR110" s="1494"/>
      <c r="CS110" s="1494"/>
      <c r="CT110" s="1494"/>
      <c r="CU110" s="1494"/>
      <c r="CV110" s="1494"/>
      <c r="CW110" s="1494"/>
      <c r="CX110" s="1494"/>
      <c r="CY110" s="1494"/>
      <c r="CZ110" s="1494"/>
      <c r="DA110" s="1494"/>
      <c r="DB110" s="1494"/>
      <c r="DC110" s="1494"/>
      <c r="DD110" s="1494"/>
      <c r="DE110" s="1494"/>
      <c r="DF110" s="1494"/>
    </row>
    <row r="111" spans="1:112">
      <c r="G111" s="515"/>
      <c r="H111" s="515"/>
      <c r="I111" s="515"/>
      <c r="J111" s="515"/>
      <c r="K111" s="519"/>
      <c r="L111" s="515"/>
      <c r="M111" s="515"/>
      <c r="N111" s="515"/>
      <c r="O111" s="515"/>
      <c r="P111" s="515"/>
      <c r="Q111" s="515"/>
      <c r="S111" s="515"/>
      <c r="T111" s="515"/>
      <c r="U111" s="515"/>
      <c r="V111" s="515"/>
      <c r="W111" s="515"/>
      <c r="X111" s="515"/>
      <c r="Y111" s="515"/>
      <c r="Z111" s="515"/>
      <c r="AA111" s="515"/>
      <c r="AB111" s="515"/>
      <c r="AC111" s="515"/>
      <c r="AD111" s="515"/>
      <c r="AE111" s="515"/>
      <c r="AF111" s="515"/>
      <c r="AG111" s="515"/>
      <c r="AH111" s="515"/>
      <c r="AI111" s="515"/>
      <c r="AJ111" s="515"/>
      <c r="AK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H111" s="515"/>
      <c r="BI111" s="515"/>
      <c r="BJ111" s="515"/>
      <c r="BL111" s="515"/>
      <c r="BM111" s="515"/>
    </row>
    <row r="112" spans="1:112">
      <c r="G112" s="515"/>
      <c r="H112" s="515"/>
      <c r="I112" s="515"/>
      <c r="J112" s="515"/>
      <c r="K112" s="519"/>
      <c r="L112" s="515"/>
      <c r="M112" s="515"/>
      <c r="N112" s="515"/>
      <c r="O112" s="515"/>
      <c r="P112" s="515"/>
      <c r="Q112" s="515"/>
      <c r="S112" s="515"/>
      <c r="T112" s="515"/>
      <c r="U112" s="515"/>
      <c r="V112" s="515"/>
      <c r="W112" s="515"/>
      <c r="X112" s="515"/>
      <c r="Y112" s="515"/>
      <c r="Z112" s="515"/>
      <c r="AA112" s="515"/>
      <c r="AB112" s="515"/>
      <c r="AC112" s="515"/>
      <c r="AD112" s="515"/>
      <c r="AE112" s="515"/>
      <c r="AF112" s="515"/>
      <c r="AG112" s="515"/>
      <c r="AH112" s="515"/>
      <c r="AI112" s="515"/>
      <c r="AJ112" s="515"/>
      <c r="AK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H112" s="515"/>
      <c r="BI112" s="515"/>
      <c r="BJ112" s="515"/>
      <c r="BL112" s="515"/>
      <c r="BM112" s="515"/>
      <c r="DF112" s="20" t="s">
        <v>2428</v>
      </c>
      <c r="DH112" s="2293">
        <f ca="1">SUM(DH63,DH68,DH76,DH82)</f>
        <v>167.87909728324234</v>
      </c>
    </row>
    <row r="113" spans="2:112">
      <c r="B113" s="121" t="s">
        <v>798</v>
      </c>
      <c r="C113" s="1095" t="s">
        <v>1017</v>
      </c>
      <c r="G113" s="515"/>
      <c r="H113" s="515"/>
      <c r="I113" s="515"/>
      <c r="J113" s="515"/>
      <c r="K113" s="519"/>
      <c r="L113" s="515"/>
      <c r="M113" s="515"/>
      <c r="N113" s="515"/>
      <c r="O113" s="515"/>
      <c r="P113" s="515"/>
      <c r="Q113" s="515"/>
      <c r="S113" s="515"/>
      <c r="T113" s="515"/>
      <c r="U113" s="515"/>
      <c r="V113" s="515"/>
      <c r="W113" s="515"/>
      <c r="X113" s="515"/>
      <c r="Y113" s="515"/>
      <c r="Z113" s="515"/>
      <c r="AA113" s="515"/>
      <c r="AB113" s="515"/>
      <c r="AC113" s="515"/>
      <c r="AD113" s="515"/>
      <c r="AE113" s="515"/>
      <c r="AF113" s="515"/>
      <c r="AG113" s="515"/>
      <c r="AH113" s="515"/>
      <c r="AI113" s="515"/>
      <c r="AJ113" s="515"/>
      <c r="AK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H113" s="515"/>
      <c r="BI113" s="515"/>
      <c r="BJ113" s="515"/>
      <c r="BL113" s="515"/>
      <c r="BM113" s="515"/>
      <c r="DF113" s="20" t="s">
        <v>2429</v>
      </c>
      <c r="DH113" s="2293">
        <f ca="1">T109-MIN(T103,0)-T72</f>
        <v>374.43251415501993</v>
      </c>
    </row>
    <row r="114" spans="2:112" ht="15.75">
      <c r="B114" s="3"/>
      <c r="G114" s="515"/>
      <c r="H114" s="515"/>
      <c r="I114" s="515"/>
      <c r="J114" s="515"/>
      <c r="K114" s="519"/>
      <c r="L114" s="515"/>
      <c r="M114" s="515"/>
      <c r="N114" s="515"/>
      <c r="O114" s="515"/>
      <c r="P114" s="515"/>
      <c r="Q114" s="515"/>
      <c r="S114" s="515"/>
      <c r="T114" s="515"/>
      <c r="U114" s="515"/>
      <c r="V114" s="515"/>
      <c r="W114" s="515"/>
      <c r="X114" s="515"/>
      <c r="Y114" s="515"/>
      <c r="Z114" s="515"/>
      <c r="AA114" s="515"/>
      <c r="AB114" s="515"/>
      <c r="AC114" s="515"/>
      <c r="AD114" s="515"/>
      <c r="AE114" s="515"/>
      <c r="AF114" s="515"/>
      <c r="AG114" s="515"/>
      <c r="AH114" s="515"/>
      <c r="AI114" s="515"/>
      <c r="AJ114" s="515"/>
      <c r="AK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H114" s="515"/>
      <c r="BI114" s="515"/>
      <c r="BJ114" s="515"/>
      <c r="BL114" s="515"/>
      <c r="BM114" s="515"/>
      <c r="DF114" s="20" t="s">
        <v>2430</v>
      </c>
      <c r="DH114" s="121">
        <f ca="1">DH112/DH113</f>
        <v>0.4483560880445821</v>
      </c>
    </row>
    <row r="115" spans="2:112">
      <c r="G115" s="515"/>
      <c r="H115" s="515"/>
      <c r="I115" s="515"/>
      <c r="J115" s="515"/>
      <c r="K115" s="519"/>
      <c r="L115" s="515"/>
      <c r="M115" s="515"/>
      <c r="N115" s="515"/>
      <c r="O115" s="515"/>
      <c r="P115" s="515"/>
      <c r="Q115" s="515"/>
      <c r="S115" s="515"/>
      <c r="T115" s="515"/>
      <c r="U115" s="515"/>
      <c r="V115" s="515"/>
      <c r="W115" s="515"/>
      <c r="X115" s="515"/>
      <c r="Y115" s="515"/>
      <c r="Z115" s="515"/>
      <c r="AA115" s="515"/>
      <c r="AB115" s="515"/>
      <c r="AC115" s="515"/>
      <c r="AD115" s="515"/>
      <c r="AE115" s="515"/>
      <c r="AF115" s="515"/>
      <c r="AG115" s="515"/>
      <c r="AH115" s="515"/>
      <c r="AI115" s="515"/>
      <c r="AJ115" s="515"/>
      <c r="AK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H115" s="515"/>
      <c r="BI115" s="515"/>
      <c r="BJ115" s="515"/>
      <c r="BL115" s="515"/>
      <c r="BM115" s="515"/>
    </row>
    <row r="116" spans="2:112" ht="15.75">
      <c r="B116" s="3"/>
      <c r="G116" s="515"/>
      <c r="H116" s="515"/>
      <c r="I116" s="515"/>
      <c r="J116" s="515"/>
      <c r="K116" s="519"/>
      <c r="L116" s="515"/>
      <c r="M116" s="515"/>
      <c r="N116" s="515"/>
      <c r="O116" s="515"/>
      <c r="P116" s="515"/>
      <c r="Q116" s="515"/>
      <c r="S116" s="515"/>
      <c r="T116" s="515"/>
      <c r="U116" s="515"/>
      <c r="V116" s="515"/>
      <c r="W116" s="515"/>
      <c r="X116" s="515"/>
      <c r="Y116" s="515"/>
      <c r="Z116" s="515"/>
      <c r="AA116" s="515"/>
      <c r="AB116" s="515"/>
      <c r="AC116" s="515"/>
      <c r="AD116" s="515"/>
      <c r="AE116" s="515"/>
      <c r="AF116" s="515"/>
      <c r="AG116" s="515"/>
      <c r="AH116" s="515"/>
      <c r="AI116" s="515"/>
      <c r="AJ116" s="515"/>
      <c r="AK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H116" s="515"/>
      <c r="BI116" s="515"/>
      <c r="BJ116" s="515"/>
      <c r="BL116" s="515"/>
      <c r="BM116" s="515"/>
    </row>
    <row r="117" spans="2:112" ht="15.75">
      <c r="B117" s="3"/>
      <c r="G117" s="515"/>
      <c r="H117" s="515"/>
      <c r="I117" s="515"/>
      <c r="J117" s="515"/>
      <c r="K117" s="519"/>
      <c r="L117" s="515"/>
      <c r="M117" s="515"/>
      <c r="N117" s="515"/>
      <c r="O117" s="515"/>
      <c r="P117" s="515"/>
      <c r="Q117" s="515"/>
      <c r="S117" s="515"/>
      <c r="T117" s="515"/>
      <c r="U117" s="515"/>
      <c r="V117" s="515"/>
      <c r="W117" s="515"/>
      <c r="X117" s="515"/>
      <c r="Y117" s="515"/>
      <c r="Z117" s="515"/>
      <c r="AA117" s="515"/>
      <c r="AB117" s="515"/>
      <c r="AC117" s="515"/>
      <c r="AD117" s="515"/>
      <c r="AE117" s="515"/>
      <c r="AF117" s="515"/>
      <c r="AG117" s="515"/>
      <c r="AH117" s="515"/>
      <c r="AI117" s="515"/>
      <c r="AJ117" s="515"/>
      <c r="AK117" s="515"/>
      <c r="AM117" s="515"/>
      <c r="AN117" s="515"/>
      <c r="AO117" s="515"/>
      <c r="AP117" s="515"/>
      <c r="AQ117" s="515"/>
      <c r="AR117" s="515"/>
      <c r="AS117" s="515"/>
      <c r="AT117" s="515"/>
      <c r="AU117" s="515"/>
      <c r="AV117" s="515"/>
      <c r="AW117" s="515"/>
      <c r="AX117" s="515"/>
      <c r="AY117" s="515"/>
      <c r="AZ117" s="515"/>
      <c r="BA117" s="515"/>
      <c r="BB117" s="515"/>
      <c r="BC117" s="515"/>
      <c r="BD117" s="515"/>
      <c r="BE117" s="515"/>
      <c r="BF117" s="515"/>
      <c r="BH117" s="515"/>
      <c r="BI117" s="515"/>
      <c r="BJ117" s="515"/>
      <c r="BL117" s="515"/>
      <c r="BM117" s="515"/>
    </row>
    <row r="118" spans="2:112" ht="15.75">
      <c r="B118" s="3"/>
      <c r="G118" s="515"/>
      <c r="H118" s="515"/>
      <c r="I118" s="515"/>
      <c r="J118" s="515"/>
      <c r="K118" s="519"/>
      <c r="L118" s="515"/>
      <c r="M118" s="515"/>
      <c r="N118" s="515"/>
      <c r="O118" s="515"/>
      <c r="P118" s="515"/>
      <c r="Q118" s="515"/>
      <c r="S118" s="515"/>
      <c r="T118" s="515"/>
      <c r="U118" s="515"/>
      <c r="V118" s="515"/>
      <c r="W118" s="515"/>
      <c r="X118" s="515"/>
      <c r="Y118" s="515"/>
      <c r="Z118" s="515"/>
      <c r="AA118" s="515"/>
      <c r="AB118" s="515"/>
      <c r="AC118" s="515"/>
      <c r="AD118" s="515"/>
      <c r="AE118" s="515"/>
      <c r="AF118" s="515"/>
      <c r="AG118" s="515"/>
      <c r="AH118" s="515"/>
      <c r="AI118" s="515"/>
      <c r="AJ118" s="515"/>
      <c r="AK118" s="515"/>
      <c r="AM118" s="515"/>
      <c r="AN118" s="515"/>
      <c r="AO118" s="515"/>
      <c r="AP118" s="515"/>
      <c r="AQ118" s="515"/>
      <c r="AR118" s="515"/>
      <c r="AS118" s="515"/>
      <c r="AT118" s="515"/>
      <c r="AU118" s="515"/>
      <c r="AV118" s="515"/>
      <c r="AW118" s="515"/>
      <c r="AX118" s="515"/>
      <c r="AY118" s="515"/>
      <c r="AZ118" s="515"/>
      <c r="BA118" s="515"/>
      <c r="BB118" s="515"/>
      <c r="BC118" s="515"/>
      <c r="BD118" s="515"/>
      <c r="BE118" s="515"/>
      <c r="BF118" s="515"/>
      <c r="BH118" s="515"/>
      <c r="BI118" s="515"/>
      <c r="BJ118" s="515"/>
      <c r="BL118" s="515"/>
      <c r="BM118" s="515"/>
    </row>
    <row r="119" spans="2:112" ht="15.75">
      <c r="B119" s="3"/>
      <c r="G119" s="515"/>
      <c r="H119" s="515"/>
      <c r="I119" s="515"/>
      <c r="J119" s="515"/>
      <c r="K119" s="519"/>
      <c r="L119" s="515"/>
      <c r="M119" s="515"/>
      <c r="N119" s="515"/>
      <c r="O119" s="515"/>
      <c r="P119" s="515"/>
      <c r="Q119" s="515"/>
      <c r="S119" s="515"/>
      <c r="T119" s="515"/>
      <c r="U119" s="515"/>
      <c r="V119" s="515"/>
      <c r="W119" s="515"/>
      <c r="X119" s="515"/>
      <c r="Y119" s="515"/>
      <c r="Z119" s="515"/>
      <c r="AA119" s="515"/>
      <c r="AB119" s="515"/>
      <c r="AC119" s="515"/>
      <c r="AD119" s="515"/>
      <c r="AE119" s="515"/>
      <c r="AF119" s="515"/>
      <c r="AG119" s="515"/>
      <c r="AH119" s="515"/>
      <c r="AI119" s="515"/>
      <c r="AJ119" s="515"/>
      <c r="AK119" s="515"/>
      <c r="AM119" s="515"/>
      <c r="AN119" s="515"/>
      <c r="AO119" s="515"/>
      <c r="AP119" s="515"/>
      <c r="AQ119" s="515"/>
      <c r="AR119" s="515"/>
      <c r="AS119" s="515"/>
      <c r="AT119" s="515"/>
      <c r="AU119" s="515"/>
      <c r="AV119" s="515"/>
      <c r="AW119" s="515"/>
      <c r="AX119" s="515"/>
      <c r="AY119" s="515"/>
      <c r="AZ119" s="515"/>
      <c r="BA119" s="515"/>
      <c r="BB119" s="515"/>
      <c r="BC119" s="515"/>
      <c r="BD119" s="515"/>
      <c r="BE119" s="515"/>
      <c r="BF119" s="515"/>
      <c r="BH119" s="515"/>
      <c r="BI119" s="515"/>
      <c r="BJ119" s="515"/>
      <c r="BL119" s="515"/>
      <c r="BM119" s="515"/>
    </row>
    <row r="120" spans="2:112" ht="15.75">
      <c r="B120" s="3"/>
      <c r="G120" s="515"/>
      <c r="H120" s="515"/>
      <c r="I120" s="515"/>
      <c r="J120" s="515"/>
      <c r="K120" s="519"/>
      <c r="L120" s="515"/>
      <c r="M120" s="515"/>
      <c r="N120" s="515"/>
      <c r="O120" s="515"/>
      <c r="P120" s="515"/>
      <c r="Q120" s="515"/>
      <c r="S120" s="515"/>
      <c r="T120" s="515"/>
      <c r="U120" s="515"/>
      <c r="V120" s="515"/>
      <c r="W120" s="515"/>
      <c r="X120" s="515"/>
      <c r="Y120" s="515"/>
      <c r="Z120" s="515"/>
      <c r="AA120" s="515"/>
      <c r="AB120" s="515"/>
      <c r="AC120" s="515"/>
      <c r="AD120" s="515"/>
      <c r="AE120" s="515"/>
      <c r="AF120" s="515"/>
      <c r="AG120" s="515"/>
      <c r="AH120" s="515"/>
      <c r="AI120" s="515"/>
      <c r="AJ120" s="515"/>
      <c r="AK120" s="515"/>
      <c r="AM120" s="515"/>
      <c r="AN120" s="515"/>
      <c r="AO120" s="515"/>
      <c r="AP120" s="515"/>
      <c r="AQ120" s="515"/>
      <c r="AR120" s="515"/>
      <c r="AS120" s="515"/>
      <c r="AT120" s="515"/>
      <c r="AU120" s="515"/>
      <c r="AV120" s="515"/>
      <c r="AW120" s="515"/>
      <c r="AX120" s="515"/>
      <c r="AY120" s="515"/>
      <c r="AZ120" s="515"/>
      <c r="BA120" s="515"/>
      <c r="BB120" s="515"/>
      <c r="BC120" s="515"/>
      <c r="BD120" s="515"/>
      <c r="BE120" s="515"/>
      <c r="BF120" s="515"/>
      <c r="BH120" s="515"/>
      <c r="BI120" s="515"/>
      <c r="BJ120" s="515"/>
      <c r="BL120" s="515"/>
      <c r="BM120" s="515"/>
    </row>
    <row r="121" spans="2:112" ht="15.75">
      <c r="B121" s="3"/>
      <c r="G121" s="515"/>
      <c r="H121" s="515"/>
      <c r="I121" s="515"/>
      <c r="J121" s="515"/>
      <c r="K121" s="519"/>
      <c r="L121" s="515"/>
      <c r="M121" s="515"/>
      <c r="N121" s="515"/>
      <c r="O121" s="515"/>
      <c r="P121" s="515"/>
      <c r="Q121" s="515"/>
      <c r="S121" s="515"/>
      <c r="T121" s="515"/>
      <c r="U121" s="515"/>
      <c r="V121" s="515"/>
      <c r="W121" s="515"/>
      <c r="X121" s="515"/>
      <c r="Y121" s="515"/>
      <c r="Z121" s="515"/>
      <c r="AA121" s="515"/>
      <c r="AB121" s="515"/>
      <c r="AC121" s="515"/>
      <c r="AD121" s="515"/>
      <c r="AE121" s="515"/>
      <c r="AF121" s="515"/>
      <c r="AG121" s="515"/>
      <c r="AH121" s="515"/>
      <c r="AI121" s="515"/>
      <c r="AJ121" s="515"/>
      <c r="AK121" s="515"/>
      <c r="AM121" s="515"/>
      <c r="AN121" s="515"/>
      <c r="AO121" s="515"/>
      <c r="AP121" s="515"/>
      <c r="AQ121" s="515"/>
      <c r="AR121" s="515"/>
      <c r="AS121" s="515"/>
      <c r="AT121" s="515"/>
      <c r="AU121" s="515"/>
      <c r="AV121" s="515"/>
      <c r="AW121" s="515"/>
      <c r="AX121" s="515"/>
      <c r="AY121" s="515"/>
      <c r="AZ121" s="515"/>
      <c r="BA121" s="515"/>
      <c r="BB121" s="515"/>
      <c r="BC121" s="515"/>
      <c r="BD121" s="515"/>
      <c r="BE121" s="515"/>
      <c r="BF121" s="515"/>
      <c r="BH121" s="515"/>
      <c r="BI121" s="515"/>
      <c r="BJ121" s="515"/>
      <c r="BL121" s="515"/>
      <c r="BM121" s="515"/>
    </row>
    <row r="122" spans="2:112">
      <c r="G122" s="515"/>
      <c r="H122" s="515"/>
      <c r="I122" s="515"/>
      <c r="J122" s="515"/>
      <c r="K122" s="519"/>
      <c r="L122" s="515"/>
      <c r="M122" s="515"/>
      <c r="N122" s="515"/>
      <c r="O122" s="515"/>
      <c r="P122" s="515"/>
      <c r="Q122" s="515"/>
      <c r="S122" s="515"/>
      <c r="T122" s="515"/>
      <c r="U122" s="515"/>
      <c r="V122" s="515"/>
      <c r="W122" s="515"/>
      <c r="X122" s="515"/>
      <c r="Y122" s="515"/>
      <c r="Z122" s="515"/>
      <c r="AA122" s="515"/>
      <c r="AB122" s="515"/>
      <c r="AC122" s="515"/>
      <c r="AD122" s="515"/>
      <c r="AE122" s="515"/>
      <c r="AF122" s="515"/>
      <c r="AG122" s="515"/>
      <c r="AH122" s="515"/>
      <c r="AI122" s="515"/>
      <c r="AJ122" s="515"/>
      <c r="AK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H122" s="515"/>
      <c r="BI122" s="515"/>
      <c r="BJ122" s="515"/>
      <c r="BL122" s="515"/>
      <c r="BM122" s="515"/>
    </row>
    <row r="123" spans="2:112" ht="24" customHeight="1">
      <c r="G123" s="515"/>
      <c r="H123" s="515"/>
      <c r="I123" s="515"/>
      <c r="J123" s="515"/>
      <c r="K123" s="519"/>
      <c r="L123" s="515"/>
      <c r="M123" s="515"/>
      <c r="N123" s="515"/>
      <c r="O123" s="515"/>
      <c r="P123" s="515"/>
      <c r="Q123" s="515"/>
      <c r="S123" s="515"/>
      <c r="T123" s="515"/>
      <c r="U123" s="515"/>
      <c r="V123" s="515"/>
      <c r="W123" s="515"/>
      <c r="X123" s="515"/>
      <c r="Y123" s="515"/>
      <c r="Z123" s="515"/>
      <c r="AA123" s="515"/>
      <c r="AB123" s="515"/>
      <c r="AC123" s="515"/>
      <c r="AD123" s="515"/>
      <c r="AE123" s="515"/>
      <c r="AF123" s="515"/>
      <c r="AG123" s="515"/>
      <c r="AH123" s="515"/>
      <c r="AI123" s="515"/>
      <c r="AJ123" s="515"/>
      <c r="AK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H123" s="515"/>
      <c r="BI123" s="515"/>
      <c r="BJ123" s="515"/>
      <c r="BL123" s="515"/>
      <c r="BM123" s="515"/>
    </row>
    <row r="124" spans="2:112">
      <c r="G124" s="515"/>
      <c r="H124" s="515"/>
      <c r="I124" s="515"/>
      <c r="J124" s="515"/>
      <c r="K124" s="519"/>
      <c r="L124" s="515"/>
      <c r="M124" s="515"/>
      <c r="N124" s="515"/>
      <c r="O124" s="515"/>
      <c r="P124" s="515"/>
      <c r="Q124" s="515"/>
      <c r="S124" s="515"/>
      <c r="T124" s="515"/>
      <c r="U124" s="515"/>
      <c r="V124" s="515"/>
      <c r="W124" s="515"/>
      <c r="X124" s="515"/>
      <c r="Y124" s="515"/>
      <c r="Z124" s="515"/>
      <c r="AA124" s="515"/>
      <c r="AB124" s="515"/>
      <c r="AC124" s="515"/>
      <c r="AD124" s="515"/>
      <c r="AE124" s="515"/>
      <c r="AF124" s="515"/>
      <c r="AG124" s="515"/>
      <c r="AH124" s="515"/>
      <c r="AI124" s="515"/>
      <c r="AJ124" s="515"/>
      <c r="AK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H124" s="515"/>
      <c r="BI124" s="515"/>
      <c r="BJ124" s="515"/>
      <c r="BL124" s="515"/>
      <c r="BM124" s="515"/>
    </row>
    <row r="125" spans="2:112">
      <c r="C125" s="520"/>
      <c r="D125" s="38"/>
      <c r="G125" s="515"/>
      <c r="H125" s="515"/>
      <c r="I125" s="515"/>
      <c r="J125" s="515"/>
      <c r="K125" s="519"/>
      <c r="L125" s="515"/>
      <c r="M125" s="515"/>
      <c r="N125" s="515"/>
      <c r="O125" s="515"/>
      <c r="P125" s="515"/>
      <c r="Q125" s="515"/>
      <c r="S125" s="515"/>
      <c r="T125" s="515"/>
      <c r="U125" s="515"/>
      <c r="V125" s="515"/>
      <c r="W125" s="515"/>
      <c r="X125" s="515"/>
      <c r="Y125" s="515"/>
      <c r="Z125" s="515"/>
      <c r="AA125" s="515"/>
      <c r="AB125" s="515"/>
      <c r="AC125" s="515"/>
      <c r="AD125" s="515"/>
      <c r="AE125" s="515"/>
      <c r="AF125" s="515"/>
      <c r="AG125" s="515"/>
      <c r="AH125" s="515"/>
      <c r="AI125" s="515"/>
      <c r="AJ125" s="515"/>
      <c r="AK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H125" s="515"/>
      <c r="BI125" s="515"/>
      <c r="BJ125" s="515"/>
      <c r="BL125" s="515"/>
      <c r="BM125" s="515"/>
    </row>
    <row r="126" spans="2:112">
      <c r="G126" s="515"/>
      <c r="H126" s="515"/>
      <c r="I126" s="515"/>
      <c r="J126" s="515"/>
      <c r="K126" s="519"/>
      <c r="L126" s="515"/>
      <c r="M126" s="515"/>
      <c r="N126" s="515"/>
      <c r="O126" s="515"/>
      <c r="P126" s="515"/>
      <c r="Q126" s="515"/>
      <c r="S126" s="515"/>
      <c r="T126" s="515"/>
      <c r="U126" s="515"/>
      <c r="V126" s="515"/>
      <c r="W126" s="515"/>
      <c r="X126" s="515"/>
      <c r="Y126" s="515"/>
      <c r="Z126" s="515"/>
      <c r="AA126" s="515"/>
      <c r="AB126" s="515"/>
      <c r="AC126" s="515"/>
      <c r="AD126" s="515"/>
      <c r="AE126" s="515"/>
      <c r="AF126" s="515"/>
      <c r="AG126" s="515"/>
      <c r="AH126" s="515"/>
      <c r="AI126" s="515"/>
      <c r="AJ126" s="515"/>
      <c r="AK126" s="515"/>
      <c r="AM126" s="515"/>
      <c r="AN126" s="515"/>
      <c r="AO126" s="515"/>
      <c r="AP126" s="515"/>
      <c r="AQ126" s="515"/>
      <c r="AR126" s="515"/>
      <c r="AS126" s="515"/>
      <c r="AT126" s="515"/>
      <c r="AU126" s="515"/>
      <c r="AV126" s="515"/>
      <c r="AW126" s="515"/>
      <c r="AX126" s="515"/>
      <c r="AY126" s="515"/>
      <c r="AZ126" s="515"/>
      <c r="BA126" s="515"/>
      <c r="BB126" s="515"/>
      <c r="BC126" s="515"/>
      <c r="BD126" s="515"/>
      <c r="BE126" s="515"/>
      <c r="BF126" s="515"/>
      <c r="BH126" s="515"/>
      <c r="BI126" s="515"/>
      <c r="BJ126" s="515"/>
      <c r="BL126" s="515"/>
      <c r="BM126" s="515"/>
    </row>
    <row r="127" spans="2:112">
      <c r="G127" s="515"/>
      <c r="H127" s="515"/>
      <c r="I127" s="515"/>
      <c r="J127" s="515"/>
      <c r="K127" s="519"/>
      <c r="L127" s="515"/>
      <c r="M127" s="515"/>
      <c r="N127" s="515"/>
      <c r="O127" s="515"/>
      <c r="P127" s="515"/>
      <c r="Q127" s="515"/>
      <c r="S127" s="515"/>
      <c r="T127" s="515"/>
      <c r="U127" s="515"/>
      <c r="V127" s="515"/>
      <c r="W127" s="515"/>
      <c r="X127" s="515"/>
      <c r="Y127" s="515"/>
      <c r="Z127" s="515"/>
      <c r="AA127" s="515"/>
      <c r="AB127" s="515"/>
      <c r="AC127" s="515"/>
      <c r="AD127" s="515"/>
      <c r="AE127" s="515"/>
      <c r="AF127" s="515"/>
      <c r="AG127" s="515"/>
      <c r="AH127" s="515"/>
      <c r="AI127" s="515"/>
      <c r="AJ127" s="515"/>
      <c r="AK127" s="515"/>
      <c r="AM127" s="515"/>
      <c r="AN127" s="515"/>
      <c r="AO127" s="515"/>
      <c r="AP127" s="515"/>
      <c r="AQ127" s="515"/>
      <c r="AR127" s="515"/>
      <c r="AS127" s="515"/>
      <c r="AT127" s="515"/>
      <c r="AU127" s="515"/>
      <c r="AV127" s="515"/>
      <c r="AW127" s="515"/>
      <c r="AX127" s="515"/>
      <c r="AY127" s="515"/>
      <c r="AZ127" s="515"/>
      <c r="BA127" s="515"/>
      <c r="BB127" s="515"/>
      <c r="BC127" s="515"/>
      <c r="BD127" s="515"/>
      <c r="BE127" s="515"/>
      <c r="BF127" s="515"/>
      <c r="BH127" s="515"/>
      <c r="BI127" s="515"/>
      <c r="BJ127" s="515"/>
      <c r="BL127" s="515"/>
      <c r="BM127" s="515"/>
    </row>
    <row r="128" spans="2:112">
      <c r="G128" s="515"/>
      <c r="H128" s="515"/>
      <c r="I128" s="515"/>
      <c r="J128" s="515"/>
      <c r="K128" s="519"/>
      <c r="L128" s="515"/>
      <c r="M128" s="515"/>
      <c r="N128" s="515"/>
      <c r="O128" s="515"/>
      <c r="P128" s="515"/>
      <c r="Q128" s="515"/>
      <c r="S128" s="515"/>
      <c r="T128" s="515"/>
      <c r="U128" s="515"/>
      <c r="V128" s="515"/>
      <c r="W128" s="515"/>
      <c r="X128" s="515"/>
      <c r="Y128" s="515"/>
      <c r="Z128" s="515"/>
      <c r="AA128" s="515"/>
      <c r="AB128" s="515"/>
      <c r="AC128" s="515"/>
      <c r="AD128" s="515"/>
      <c r="AE128" s="515"/>
      <c r="AF128" s="515"/>
      <c r="AG128" s="515"/>
      <c r="AH128" s="515"/>
      <c r="AI128" s="515"/>
      <c r="AJ128" s="515"/>
      <c r="AK128" s="515"/>
      <c r="AM128" s="515"/>
      <c r="AN128" s="515"/>
      <c r="AO128" s="515"/>
      <c r="AP128" s="515"/>
      <c r="AQ128" s="515"/>
      <c r="AR128" s="515"/>
      <c r="AS128" s="515"/>
      <c r="AT128" s="515"/>
      <c r="AU128" s="515"/>
      <c r="AV128" s="515"/>
      <c r="AW128" s="515"/>
      <c r="AX128" s="515"/>
      <c r="AY128" s="515"/>
      <c r="AZ128" s="515"/>
      <c r="BA128" s="515"/>
      <c r="BB128" s="515"/>
      <c r="BC128" s="515"/>
      <c r="BD128" s="515"/>
      <c r="BE128" s="515"/>
      <c r="BF128" s="515"/>
      <c r="BH128" s="515"/>
      <c r="BI128" s="515"/>
      <c r="BJ128" s="515"/>
      <c r="BL128" s="515"/>
      <c r="BM128" s="515"/>
    </row>
    <row r="129" spans="7:65">
      <c r="G129" s="515"/>
      <c r="H129" s="515"/>
      <c r="I129" s="515"/>
      <c r="J129" s="515"/>
      <c r="K129" s="519"/>
      <c r="L129" s="515"/>
      <c r="M129" s="515"/>
      <c r="N129" s="515"/>
      <c r="O129" s="515"/>
      <c r="P129" s="515"/>
      <c r="Q129" s="515"/>
      <c r="S129" s="515"/>
      <c r="T129" s="515"/>
      <c r="U129" s="515"/>
      <c r="V129" s="515"/>
      <c r="W129" s="515"/>
      <c r="X129" s="515"/>
      <c r="Y129" s="515"/>
      <c r="Z129" s="515"/>
      <c r="AA129" s="515"/>
      <c r="AB129" s="515"/>
      <c r="AC129" s="515"/>
      <c r="AD129" s="515"/>
      <c r="AE129" s="515"/>
      <c r="AF129" s="515"/>
      <c r="AG129" s="515"/>
      <c r="AH129" s="515"/>
      <c r="AI129" s="515"/>
      <c r="AJ129" s="515"/>
      <c r="AK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H129" s="515"/>
      <c r="BI129" s="515"/>
      <c r="BJ129" s="515"/>
      <c r="BL129" s="515"/>
      <c r="BM129" s="515"/>
    </row>
    <row r="130" spans="7:65">
      <c r="G130" s="515"/>
      <c r="H130" s="515"/>
      <c r="I130" s="515"/>
      <c r="J130" s="515"/>
      <c r="K130" s="519"/>
      <c r="L130" s="515"/>
      <c r="M130" s="515"/>
      <c r="N130" s="515"/>
      <c r="O130" s="515"/>
      <c r="P130" s="515"/>
      <c r="Q130" s="515"/>
      <c r="S130" s="515"/>
      <c r="T130" s="515"/>
      <c r="U130" s="515"/>
      <c r="V130" s="515"/>
      <c r="W130" s="515"/>
      <c r="X130" s="515"/>
      <c r="Y130" s="515"/>
      <c r="Z130" s="515"/>
      <c r="AA130" s="515"/>
      <c r="AB130" s="515"/>
      <c r="AC130" s="515"/>
      <c r="AD130" s="515"/>
      <c r="AE130" s="515"/>
      <c r="AF130" s="515"/>
      <c r="AG130" s="515"/>
      <c r="AH130" s="515"/>
      <c r="AI130" s="515"/>
      <c r="AJ130" s="515"/>
      <c r="AK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H130" s="515"/>
      <c r="BI130" s="515"/>
      <c r="BJ130" s="515"/>
      <c r="BL130" s="515"/>
      <c r="BM130" s="515"/>
    </row>
    <row r="131" spans="7:65">
      <c r="G131" s="515"/>
      <c r="H131" s="515"/>
      <c r="I131" s="515"/>
      <c r="J131" s="515"/>
      <c r="K131" s="519"/>
      <c r="L131" s="515"/>
      <c r="M131" s="515"/>
      <c r="N131" s="515"/>
      <c r="O131" s="515"/>
      <c r="P131" s="515"/>
      <c r="Q131" s="515"/>
      <c r="S131" s="515"/>
      <c r="T131" s="515"/>
      <c r="U131" s="515"/>
      <c r="V131" s="515"/>
      <c r="W131" s="515"/>
      <c r="X131" s="515"/>
      <c r="Y131" s="515"/>
      <c r="Z131" s="515"/>
      <c r="AA131" s="515"/>
      <c r="AB131" s="515"/>
      <c r="AC131" s="515"/>
      <c r="AD131" s="515"/>
      <c r="AE131" s="515"/>
      <c r="AF131" s="515"/>
      <c r="AG131" s="515"/>
      <c r="AH131" s="515"/>
      <c r="AI131" s="515"/>
      <c r="AJ131" s="515"/>
      <c r="AK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H131" s="515"/>
      <c r="BI131" s="515"/>
      <c r="BJ131" s="515"/>
      <c r="BL131" s="515"/>
      <c r="BM131" s="515"/>
    </row>
    <row r="132" spans="7:65">
      <c r="G132" s="515"/>
      <c r="H132" s="515"/>
      <c r="I132" s="515"/>
      <c r="J132" s="515"/>
      <c r="K132" s="519"/>
      <c r="L132" s="515"/>
      <c r="M132" s="515"/>
      <c r="N132" s="515"/>
      <c r="O132" s="515"/>
      <c r="P132" s="515"/>
      <c r="Q132" s="515"/>
      <c r="S132" s="515"/>
      <c r="T132" s="515"/>
      <c r="U132" s="515"/>
      <c r="V132" s="515"/>
      <c r="W132" s="515"/>
      <c r="X132" s="515"/>
      <c r="Y132" s="515"/>
      <c r="Z132" s="515"/>
      <c r="AA132" s="515"/>
      <c r="AB132" s="515"/>
      <c r="AC132" s="515"/>
      <c r="AD132" s="515"/>
      <c r="AE132" s="515"/>
      <c r="AF132" s="515"/>
      <c r="AG132" s="515"/>
      <c r="AH132" s="515"/>
      <c r="AI132" s="515"/>
      <c r="AJ132" s="515"/>
      <c r="AK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H132" s="515"/>
      <c r="BI132" s="515"/>
      <c r="BJ132" s="515"/>
      <c r="BL132" s="515"/>
      <c r="BM132" s="515"/>
    </row>
    <row r="133" spans="7:65">
      <c r="G133" s="515"/>
      <c r="H133" s="515"/>
      <c r="I133" s="515"/>
      <c r="J133" s="515"/>
      <c r="K133" s="519"/>
      <c r="L133" s="515"/>
      <c r="M133" s="515"/>
      <c r="N133" s="515"/>
      <c r="O133" s="515"/>
      <c r="P133" s="515"/>
      <c r="Q133" s="515"/>
      <c r="S133" s="515"/>
      <c r="T133" s="515"/>
      <c r="U133" s="515"/>
      <c r="V133" s="515"/>
      <c r="W133" s="515"/>
      <c r="X133" s="515"/>
      <c r="Y133" s="515"/>
      <c r="Z133" s="515"/>
      <c r="AA133" s="515"/>
      <c r="AB133" s="515"/>
      <c r="AC133" s="515"/>
      <c r="AD133" s="515"/>
      <c r="AE133" s="515"/>
      <c r="AF133" s="515"/>
      <c r="AG133" s="515"/>
      <c r="AH133" s="515"/>
      <c r="AI133" s="515"/>
      <c r="AJ133" s="515"/>
      <c r="AK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H133" s="515"/>
      <c r="BI133" s="515"/>
      <c r="BJ133" s="515"/>
      <c r="BL133" s="515"/>
      <c r="BM133" s="515"/>
    </row>
    <row r="134" spans="7:65">
      <c r="G134" s="515"/>
      <c r="H134" s="515"/>
      <c r="I134" s="515"/>
      <c r="J134" s="515"/>
      <c r="K134" s="519"/>
      <c r="L134" s="515"/>
      <c r="M134" s="515"/>
      <c r="N134" s="515"/>
      <c r="O134" s="515"/>
      <c r="P134" s="515"/>
      <c r="Q134" s="515"/>
      <c r="S134" s="515"/>
      <c r="T134" s="515"/>
      <c r="U134" s="515"/>
      <c r="V134" s="515"/>
      <c r="W134" s="515"/>
      <c r="X134" s="515"/>
      <c r="Y134" s="515"/>
      <c r="Z134" s="515"/>
      <c r="AA134" s="515"/>
      <c r="AB134" s="515"/>
      <c r="AC134" s="515"/>
      <c r="AD134" s="515"/>
      <c r="AE134" s="515"/>
      <c r="AF134" s="515"/>
      <c r="AG134" s="515"/>
      <c r="AH134" s="515"/>
      <c r="AI134" s="515"/>
      <c r="AJ134" s="515"/>
      <c r="AK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H134" s="515"/>
      <c r="BI134" s="515"/>
      <c r="BJ134" s="515"/>
      <c r="BL134" s="515"/>
      <c r="BM134" s="515"/>
    </row>
    <row r="135" spans="7:65">
      <c r="G135" s="515"/>
      <c r="H135" s="515"/>
      <c r="I135" s="515"/>
      <c r="J135" s="515"/>
      <c r="K135" s="519"/>
      <c r="L135" s="515"/>
      <c r="M135" s="515"/>
      <c r="N135" s="515"/>
      <c r="O135" s="515"/>
      <c r="P135" s="515"/>
      <c r="Q135" s="515"/>
      <c r="S135" s="515"/>
      <c r="T135" s="515"/>
      <c r="U135" s="515"/>
      <c r="V135" s="515"/>
      <c r="W135" s="515"/>
      <c r="X135" s="515"/>
      <c r="Y135" s="515"/>
      <c r="Z135" s="515"/>
      <c r="AA135" s="515"/>
      <c r="AB135" s="515"/>
      <c r="AC135" s="515"/>
      <c r="AD135" s="515"/>
      <c r="AE135" s="515"/>
      <c r="AF135" s="515"/>
      <c r="AG135" s="515"/>
      <c r="AH135" s="515"/>
      <c r="AI135" s="515"/>
      <c r="AJ135" s="515"/>
      <c r="AK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H135" s="515"/>
      <c r="BI135" s="515"/>
      <c r="BJ135" s="515"/>
      <c r="BL135" s="515"/>
      <c r="BM135" s="515"/>
    </row>
    <row r="136" spans="7:65">
      <c r="G136" s="515"/>
      <c r="H136" s="515"/>
      <c r="I136" s="515"/>
      <c r="J136" s="515"/>
      <c r="K136" s="519"/>
      <c r="L136" s="515"/>
      <c r="M136" s="515"/>
      <c r="N136" s="515"/>
      <c r="O136" s="515"/>
      <c r="P136" s="515"/>
      <c r="Q136" s="515"/>
      <c r="S136" s="515"/>
      <c r="T136" s="515"/>
      <c r="U136" s="515"/>
      <c r="V136" s="515"/>
      <c r="W136" s="515"/>
      <c r="X136" s="515"/>
      <c r="Y136" s="515"/>
      <c r="Z136" s="515"/>
      <c r="AA136" s="515"/>
      <c r="AB136" s="515"/>
      <c r="AC136" s="515"/>
      <c r="AD136" s="515"/>
      <c r="AE136" s="515"/>
      <c r="AF136" s="515"/>
      <c r="AG136" s="515"/>
      <c r="AH136" s="515"/>
      <c r="AI136" s="515"/>
      <c r="AJ136" s="515"/>
      <c r="AK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H136" s="515"/>
      <c r="BI136" s="515"/>
      <c r="BJ136" s="515"/>
      <c r="BL136" s="515"/>
      <c r="BM136" s="515"/>
    </row>
    <row r="137" spans="7:65">
      <c r="G137" s="515"/>
      <c r="H137" s="515"/>
      <c r="I137" s="515"/>
      <c r="J137" s="515"/>
      <c r="K137" s="519"/>
      <c r="L137" s="515"/>
      <c r="M137" s="515"/>
      <c r="N137" s="515"/>
      <c r="O137" s="515"/>
      <c r="P137" s="515"/>
      <c r="Q137" s="515"/>
      <c r="S137" s="515"/>
      <c r="T137" s="515"/>
      <c r="U137" s="515"/>
      <c r="V137" s="515"/>
      <c r="W137" s="515"/>
      <c r="X137" s="515"/>
      <c r="Y137" s="515"/>
      <c r="Z137" s="515"/>
      <c r="AA137" s="515"/>
      <c r="AB137" s="515"/>
      <c r="AC137" s="515"/>
      <c r="AD137" s="515"/>
      <c r="AE137" s="515"/>
      <c r="AF137" s="515"/>
      <c r="AG137" s="515"/>
      <c r="AH137" s="515"/>
      <c r="AI137" s="515"/>
      <c r="AJ137" s="515"/>
      <c r="AK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H137" s="515"/>
      <c r="BI137" s="515"/>
      <c r="BJ137" s="515"/>
      <c r="BL137" s="515"/>
      <c r="BM137" s="515"/>
    </row>
    <row r="138" spans="7:65">
      <c r="G138" s="515"/>
      <c r="H138" s="515"/>
      <c r="I138" s="515"/>
      <c r="J138" s="515"/>
      <c r="K138" s="519"/>
      <c r="L138" s="515"/>
      <c r="M138" s="515"/>
      <c r="N138" s="515"/>
      <c r="O138" s="515"/>
      <c r="P138" s="515"/>
      <c r="Q138" s="515"/>
      <c r="S138" s="515"/>
      <c r="T138" s="515"/>
      <c r="U138" s="515"/>
      <c r="V138" s="515"/>
      <c r="W138" s="515"/>
      <c r="X138" s="515"/>
      <c r="Y138" s="515"/>
      <c r="Z138" s="515"/>
      <c r="AA138" s="515"/>
      <c r="AB138" s="515"/>
      <c r="AC138" s="515"/>
      <c r="AD138" s="515"/>
      <c r="AE138" s="515"/>
      <c r="AF138" s="515"/>
      <c r="AG138" s="515"/>
      <c r="AH138" s="515"/>
      <c r="AI138" s="515"/>
      <c r="AJ138" s="515"/>
      <c r="AK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H138" s="515"/>
      <c r="BI138" s="515"/>
      <c r="BJ138" s="515"/>
      <c r="BL138" s="515"/>
      <c r="BM138" s="515"/>
    </row>
    <row r="139" spans="7:65">
      <c r="G139" s="515"/>
      <c r="H139" s="515"/>
      <c r="I139" s="515"/>
      <c r="J139" s="515"/>
      <c r="K139" s="519"/>
      <c r="L139" s="515"/>
      <c r="M139" s="515"/>
      <c r="N139" s="515"/>
      <c r="O139" s="515"/>
      <c r="P139" s="515"/>
      <c r="Q139" s="515"/>
      <c r="S139" s="515"/>
      <c r="T139" s="515"/>
      <c r="U139" s="515"/>
      <c r="V139" s="515"/>
      <c r="W139" s="515"/>
      <c r="X139" s="515"/>
      <c r="Y139" s="515"/>
      <c r="Z139" s="515"/>
      <c r="AA139" s="515"/>
      <c r="AB139" s="515"/>
      <c r="AC139" s="515"/>
      <c r="AD139" s="515"/>
      <c r="AE139" s="515"/>
      <c r="AF139" s="515"/>
      <c r="AG139" s="515"/>
      <c r="AH139" s="515"/>
      <c r="AI139" s="515"/>
      <c r="AJ139" s="515"/>
      <c r="AK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H139" s="515"/>
      <c r="BI139" s="515"/>
      <c r="BJ139" s="515"/>
      <c r="BL139" s="515"/>
      <c r="BM139" s="515"/>
    </row>
    <row r="140" spans="7:65">
      <c r="G140" s="515"/>
      <c r="H140" s="515"/>
      <c r="I140" s="515"/>
      <c r="J140" s="515"/>
      <c r="K140" s="519"/>
      <c r="L140" s="515"/>
      <c r="M140" s="515"/>
      <c r="N140" s="515"/>
      <c r="O140" s="515"/>
      <c r="P140" s="515"/>
      <c r="Q140" s="515"/>
      <c r="S140" s="515"/>
      <c r="T140" s="515"/>
      <c r="U140" s="515"/>
      <c r="V140" s="515"/>
      <c r="W140" s="515"/>
      <c r="X140" s="515"/>
      <c r="Y140" s="515"/>
      <c r="Z140" s="515"/>
      <c r="AA140" s="515"/>
      <c r="AB140" s="515"/>
      <c r="AC140" s="515"/>
      <c r="AD140" s="515"/>
      <c r="AE140" s="515"/>
      <c r="AF140" s="515"/>
      <c r="AG140" s="515"/>
      <c r="AH140" s="515"/>
      <c r="AI140" s="515"/>
      <c r="AJ140" s="515"/>
      <c r="AK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H140" s="515"/>
      <c r="BI140" s="515"/>
      <c r="BJ140" s="515"/>
      <c r="BL140" s="515"/>
      <c r="BM140" s="515"/>
    </row>
    <row r="141" spans="7:65">
      <c r="G141" s="515"/>
      <c r="H141" s="515"/>
      <c r="I141" s="515"/>
      <c r="J141" s="515"/>
      <c r="K141" s="519"/>
      <c r="L141" s="515"/>
      <c r="M141" s="515"/>
      <c r="N141" s="515"/>
      <c r="O141" s="515"/>
      <c r="P141" s="515"/>
      <c r="Q141" s="515"/>
      <c r="S141" s="515"/>
      <c r="T141" s="515"/>
      <c r="U141" s="515"/>
      <c r="V141" s="515"/>
      <c r="W141" s="515"/>
      <c r="X141" s="515"/>
      <c r="Y141" s="515"/>
      <c r="Z141" s="515"/>
      <c r="AA141" s="515"/>
      <c r="AB141" s="515"/>
      <c r="AC141" s="515"/>
      <c r="AD141" s="515"/>
      <c r="AE141" s="515"/>
      <c r="AF141" s="515"/>
      <c r="AG141" s="515"/>
      <c r="AH141" s="515"/>
      <c r="AI141" s="515"/>
      <c r="AJ141" s="515"/>
      <c r="AK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H141" s="515"/>
      <c r="BI141" s="515"/>
      <c r="BJ141" s="515"/>
      <c r="BL141" s="515"/>
      <c r="BM141" s="515"/>
    </row>
    <row r="142" spans="7:65">
      <c r="G142" s="515"/>
      <c r="H142" s="515"/>
      <c r="I142" s="515"/>
      <c r="J142" s="515"/>
      <c r="K142" s="519"/>
      <c r="L142" s="515"/>
      <c r="M142" s="515"/>
      <c r="N142" s="515"/>
      <c r="O142" s="515"/>
      <c r="P142" s="515"/>
      <c r="Q142" s="515"/>
      <c r="S142" s="515"/>
      <c r="T142" s="515"/>
      <c r="U142" s="515"/>
      <c r="V142" s="515"/>
      <c r="W142" s="515"/>
      <c r="X142" s="515"/>
      <c r="Y142" s="515"/>
      <c r="Z142" s="515"/>
      <c r="AA142" s="515"/>
      <c r="AB142" s="515"/>
      <c r="AC142" s="515"/>
      <c r="AD142" s="515"/>
      <c r="AE142" s="515"/>
      <c r="AF142" s="515"/>
      <c r="AG142" s="515"/>
      <c r="AH142" s="515"/>
      <c r="AI142" s="515"/>
      <c r="AJ142" s="515"/>
      <c r="AK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H142" s="515"/>
      <c r="BI142" s="515"/>
      <c r="BJ142" s="515"/>
      <c r="BL142" s="515"/>
      <c r="BM142" s="515"/>
    </row>
    <row r="143" spans="7:65">
      <c r="G143" s="515"/>
      <c r="H143" s="515"/>
      <c r="I143" s="515"/>
      <c r="J143" s="515"/>
      <c r="K143" s="519"/>
      <c r="L143" s="515"/>
      <c r="M143" s="515"/>
      <c r="N143" s="515"/>
      <c r="O143" s="515"/>
      <c r="P143" s="515"/>
      <c r="Q143" s="515"/>
      <c r="S143" s="515"/>
      <c r="T143" s="515"/>
      <c r="U143" s="515"/>
      <c r="V143" s="515"/>
      <c r="W143" s="515"/>
      <c r="X143" s="515"/>
      <c r="Y143" s="515"/>
      <c r="Z143" s="515"/>
      <c r="AA143" s="515"/>
      <c r="AB143" s="515"/>
      <c r="AC143" s="515"/>
      <c r="AD143" s="515"/>
      <c r="AE143" s="515"/>
      <c r="AF143" s="515"/>
      <c r="AG143" s="515"/>
      <c r="AH143" s="515"/>
      <c r="AI143" s="515"/>
      <c r="AJ143" s="515"/>
      <c r="AK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H143" s="515"/>
      <c r="BI143" s="515"/>
      <c r="BJ143" s="515"/>
      <c r="BL143" s="515"/>
      <c r="BM143" s="515"/>
    </row>
    <row r="144" spans="7:65">
      <c r="G144" s="515"/>
      <c r="H144" s="515"/>
      <c r="I144" s="515"/>
      <c r="J144" s="515"/>
      <c r="K144" s="519"/>
      <c r="L144" s="515"/>
      <c r="M144" s="515"/>
      <c r="N144" s="515"/>
      <c r="O144" s="515"/>
      <c r="P144" s="515"/>
      <c r="Q144" s="515"/>
      <c r="S144" s="515"/>
      <c r="T144" s="515"/>
      <c r="U144" s="515"/>
      <c r="V144" s="515"/>
      <c r="W144" s="515"/>
      <c r="X144" s="515"/>
      <c r="Y144" s="515"/>
      <c r="Z144" s="515"/>
      <c r="AA144" s="515"/>
      <c r="AB144" s="515"/>
      <c r="AC144" s="515"/>
      <c r="AD144" s="515"/>
      <c r="AE144" s="515"/>
      <c r="AF144" s="515"/>
      <c r="AG144" s="515"/>
      <c r="AH144" s="515"/>
      <c r="AI144" s="515"/>
      <c r="AJ144" s="515"/>
      <c r="AK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H144" s="515"/>
      <c r="BI144" s="515"/>
      <c r="BJ144" s="515"/>
      <c r="BL144" s="515"/>
      <c r="BM144" s="515"/>
    </row>
    <row r="145" spans="7:65">
      <c r="G145" s="515"/>
      <c r="H145" s="515"/>
      <c r="I145" s="515"/>
      <c r="J145" s="515"/>
      <c r="K145" s="519"/>
      <c r="L145" s="515"/>
      <c r="M145" s="515"/>
      <c r="N145" s="515"/>
      <c r="O145" s="515"/>
      <c r="P145" s="515"/>
      <c r="Q145" s="515"/>
      <c r="S145" s="515"/>
      <c r="T145" s="515"/>
      <c r="U145" s="515"/>
      <c r="V145" s="515"/>
      <c r="W145" s="515"/>
      <c r="X145" s="515"/>
      <c r="Y145" s="515"/>
      <c r="Z145" s="515"/>
      <c r="AA145" s="515"/>
      <c r="AB145" s="515"/>
      <c r="AC145" s="515"/>
      <c r="AD145" s="515"/>
      <c r="AE145" s="515"/>
      <c r="AF145" s="515"/>
      <c r="AG145" s="515"/>
      <c r="AH145" s="515"/>
      <c r="AI145" s="515"/>
      <c r="AJ145" s="515"/>
      <c r="AK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H145" s="515"/>
      <c r="BI145" s="515"/>
      <c r="BJ145" s="515"/>
      <c r="BL145" s="515"/>
      <c r="BM145" s="515"/>
    </row>
    <row r="146" spans="7:65">
      <c r="G146" s="515"/>
      <c r="H146" s="515"/>
      <c r="I146" s="515"/>
      <c r="J146" s="515"/>
      <c r="K146" s="519"/>
      <c r="L146" s="515"/>
      <c r="M146" s="515"/>
      <c r="N146" s="515"/>
      <c r="O146" s="515"/>
      <c r="P146" s="515"/>
      <c r="Q146" s="515"/>
      <c r="S146" s="515"/>
      <c r="T146" s="515"/>
      <c r="U146" s="515"/>
      <c r="V146" s="515"/>
      <c r="W146" s="515"/>
      <c r="X146" s="515"/>
      <c r="Y146" s="515"/>
      <c r="Z146" s="515"/>
      <c r="AA146" s="515"/>
      <c r="AB146" s="515"/>
      <c r="AC146" s="515"/>
      <c r="AD146" s="515"/>
      <c r="AE146" s="515"/>
      <c r="AF146" s="515"/>
      <c r="AG146" s="515"/>
      <c r="AH146" s="515"/>
      <c r="AI146" s="515"/>
      <c r="AJ146" s="515"/>
      <c r="AK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H146" s="515"/>
      <c r="BI146" s="515"/>
      <c r="BJ146" s="515"/>
      <c r="BL146" s="515"/>
      <c r="BM146" s="515"/>
    </row>
    <row r="147" spans="7:65">
      <c r="G147" s="515"/>
      <c r="H147" s="515"/>
      <c r="I147" s="515"/>
      <c r="J147" s="515"/>
      <c r="K147" s="519"/>
      <c r="L147" s="515"/>
      <c r="M147" s="515"/>
      <c r="N147" s="515"/>
      <c r="O147" s="515"/>
      <c r="P147" s="515"/>
      <c r="Q147" s="515"/>
      <c r="S147" s="515"/>
      <c r="T147" s="515"/>
      <c r="U147" s="515"/>
      <c r="V147" s="515"/>
      <c r="W147" s="515"/>
      <c r="X147" s="515"/>
      <c r="Y147" s="515"/>
      <c r="Z147" s="515"/>
      <c r="AA147" s="515"/>
      <c r="AB147" s="515"/>
      <c r="AC147" s="515"/>
      <c r="AD147" s="515"/>
      <c r="AE147" s="515"/>
      <c r="AF147" s="515"/>
      <c r="AG147" s="515"/>
      <c r="AH147" s="515"/>
      <c r="AI147" s="515"/>
      <c r="AJ147" s="515"/>
      <c r="AK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H147" s="515"/>
      <c r="BI147" s="515"/>
      <c r="BJ147" s="515"/>
      <c r="BL147" s="515"/>
      <c r="BM147" s="515"/>
    </row>
    <row r="148" spans="7:65">
      <c r="G148" s="515"/>
      <c r="H148" s="515"/>
      <c r="I148" s="515"/>
      <c r="J148" s="515"/>
      <c r="K148" s="519"/>
      <c r="L148" s="515"/>
      <c r="M148" s="515"/>
      <c r="N148" s="515"/>
      <c r="O148" s="515"/>
      <c r="P148" s="515"/>
      <c r="Q148" s="515"/>
      <c r="S148" s="515"/>
      <c r="T148" s="515"/>
      <c r="U148" s="515"/>
      <c r="V148" s="515"/>
      <c r="W148" s="515"/>
      <c r="X148" s="515"/>
      <c r="Y148" s="515"/>
      <c r="Z148" s="515"/>
      <c r="AA148" s="515"/>
      <c r="AB148" s="515"/>
      <c r="AC148" s="515"/>
      <c r="AD148" s="515"/>
      <c r="AE148" s="515"/>
      <c r="AF148" s="515"/>
      <c r="AG148" s="515"/>
      <c r="AH148" s="515"/>
      <c r="AI148" s="515"/>
      <c r="AJ148" s="515"/>
      <c r="AK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H148" s="515"/>
      <c r="BI148" s="515"/>
      <c r="BJ148" s="515"/>
      <c r="BL148" s="515"/>
      <c r="BM148" s="515"/>
    </row>
  </sheetData>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worksheet>
</file>

<file path=xl/worksheets/sheet56.xml><?xml version="1.0" encoding="utf-8"?>
<worksheet xmlns="http://schemas.openxmlformats.org/spreadsheetml/2006/main" xmlns:r="http://schemas.openxmlformats.org/officeDocument/2006/relationships">
  <sheetPr codeName="Sheet8">
    <tabColor theme="6" tint="0.39997558519241921"/>
    <pageSetUpPr autoPageBreaks="0"/>
  </sheetPr>
  <dimension ref="A1:DH148"/>
  <sheetViews>
    <sheetView showGridLines="0" zoomScale="80" zoomScaleNormal="80" workbookViewId="0">
      <pane xSplit="5" ySplit="5" topLeftCell="N6" activePane="bottomRight" state="frozen"/>
      <selection pane="topRight"/>
      <selection pane="bottomLeft"/>
      <selection pane="bottomRight"/>
    </sheetView>
  </sheetViews>
  <sheetFormatPr defaultRowHeight="12.75" outlineLevelRow="2" outlineLevelCol="2"/>
  <cols>
    <col min="1" max="1" width="1.7109375" style="121" customWidth="1"/>
    <col min="2" max="2" width="1.5703125" style="121" customWidth="1"/>
    <col min="3" max="3" width="4.42578125" style="508" customWidth="1"/>
    <col min="4" max="4" width="3.85546875" style="509" customWidth="1"/>
    <col min="5" max="5" width="41.7109375" style="509" customWidth="1"/>
    <col min="6" max="6" width="1.140625" style="121" customWidth="1" outlineLevel="1"/>
    <col min="7" max="10" width="10" style="509" customWidth="1" outlineLevel="2"/>
    <col min="11" max="11" width="10" style="530" customWidth="1" outlineLevel="2"/>
    <col min="12" max="16" width="10" style="509" customWidth="1" outlineLevel="2"/>
    <col min="17" max="17" width="10" style="509" customWidth="1" outlineLevel="1"/>
    <col min="18" max="18" width="1.140625" style="121" customWidth="1" outlineLevel="1"/>
    <col min="19" max="36" width="10" style="509" customWidth="1" outlineLevel="2"/>
    <col min="37" max="37" width="10" style="509" customWidth="1" outlineLevel="1"/>
    <col min="38" max="38" width="1.140625" style="121" customWidth="1" outlineLevel="1"/>
    <col min="39" max="57" width="10" style="509" customWidth="1" outlineLevel="2"/>
    <col min="58" max="58" width="10" style="509" customWidth="1" outlineLevel="1"/>
    <col min="59" max="59" width="1.140625" style="121" customWidth="1" outlineLevel="1"/>
    <col min="60" max="61" width="10" style="509" customWidth="1" outlineLevel="2"/>
    <col min="62" max="62" width="10" style="509" customWidth="1" outlineLevel="1"/>
    <col min="63" max="63" width="1.140625" style="121" customWidth="1" outlineLevel="1"/>
    <col min="64" max="64" width="11" style="509" customWidth="1" outlineLevel="1"/>
    <col min="65" max="65" width="5.28515625" style="509" customWidth="1"/>
    <col min="66" max="66" width="9.140625" style="121"/>
    <col min="67" max="110" width="7.5703125" style="121" customWidth="1"/>
    <col min="111" max="111" width="2.5703125" style="121" customWidth="1"/>
    <col min="112" max="16384" width="9.140625" style="121"/>
  </cols>
  <sheetData>
    <row r="1" spans="1:112" ht="6" customHeight="1"/>
    <row r="2" spans="1:112" ht="21" customHeight="1">
      <c r="D2" s="495"/>
      <c r="E2" s="965">
        <v>2020</v>
      </c>
      <c r="G2" s="121"/>
      <c r="H2" s="121"/>
      <c r="I2" s="121"/>
      <c r="J2" s="121"/>
      <c r="K2" s="121"/>
      <c r="L2" s="121"/>
      <c r="M2" s="121"/>
      <c r="N2" s="121"/>
      <c r="O2" s="121"/>
      <c r="P2" s="121"/>
      <c r="Q2" s="121"/>
      <c r="S2" s="121"/>
      <c r="T2" s="121"/>
      <c r="U2" s="121"/>
      <c r="V2" s="121"/>
      <c r="W2" s="121"/>
      <c r="X2" s="121"/>
      <c r="Y2" s="121"/>
      <c r="Z2" s="121"/>
      <c r="AA2" s="121"/>
      <c r="AB2" s="121"/>
      <c r="AC2" s="121"/>
      <c r="AD2" s="121"/>
      <c r="AE2" s="121"/>
      <c r="AF2" s="121"/>
      <c r="AG2" s="121"/>
      <c r="AH2" s="121"/>
      <c r="AI2" s="121"/>
      <c r="AJ2" s="121"/>
      <c r="AK2" s="121"/>
      <c r="AM2" s="121"/>
      <c r="AN2" s="121"/>
      <c r="AO2" s="121"/>
      <c r="AP2" s="121"/>
      <c r="AQ2" s="121"/>
      <c r="AR2" s="121"/>
      <c r="AS2" s="121"/>
      <c r="AT2" s="121"/>
      <c r="AU2" s="121"/>
      <c r="AV2" s="121"/>
      <c r="AW2" s="121"/>
      <c r="AX2" s="121"/>
      <c r="AY2" s="121"/>
      <c r="AZ2" s="121"/>
      <c r="BA2" s="121"/>
      <c r="BB2" s="121"/>
      <c r="BC2" s="121"/>
      <c r="BD2" s="121"/>
      <c r="BE2" s="121"/>
      <c r="BF2" s="121"/>
      <c r="BH2" s="121"/>
      <c r="BI2" s="121"/>
      <c r="BJ2" s="121"/>
      <c r="BL2" s="121"/>
      <c r="BM2" s="681"/>
    </row>
    <row r="3" spans="1:112" ht="39" customHeight="1">
      <c r="A3" s="754"/>
      <c r="B3" s="754"/>
      <c r="C3" s="754"/>
      <c r="D3" s="500"/>
      <c r="E3" s="808" t="str">
        <f>Preferences.EnergyUnits</f>
        <v>TWh</v>
      </c>
      <c r="G3" s="994" t="s">
        <v>751</v>
      </c>
      <c r="H3" s="994"/>
      <c r="I3" s="994"/>
      <c r="J3" s="994"/>
      <c r="K3" s="994"/>
      <c r="L3" s="994"/>
      <c r="M3" s="994"/>
      <c r="N3" s="994"/>
      <c r="O3" s="994"/>
      <c r="P3" s="994"/>
      <c r="Q3" s="994"/>
      <c r="S3" s="1133" t="s">
        <v>689</v>
      </c>
      <c r="T3" s="1134"/>
      <c r="U3" s="1134"/>
      <c r="V3" s="1134"/>
      <c r="W3" s="1134"/>
      <c r="X3" s="1138"/>
      <c r="Y3" s="1134"/>
      <c r="Z3" s="1134"/>
      <c r="AA3" s="1134"/>
      <c r="AB3" s="1134"/>
      <c r="AC3" s="1134"/>
      <c r="AD3" s="1134"/>
      <c r="AE3" s="1134"/>
      <c r="AF3" s="1134"/>
      <c r="AG3" s="1134"/>
      <c r="AH3" s="1134"/>
      <c r="AI3" s="1134"/>
      <c r="AJ3" s="1134"/>
      <c r="AK3" s="1137"/>
      <c r="AM3" s="1135" t="s">
        <v>1063</v>
      </c>
      <c r="AN3" s="1136"/>
      <c r="AO3" s="1136"/>
      <c r="AP3" s="1139"/>
      <c r="AQ3" s="1136"/>
      <c r="AR3" s="1136"/>
      <c r="AS3" s="1136"/>
      <c r="AT3" s="1136"/>
      <c r="AU3" s="1136"/>
      <c r="AV3" s="1136"/>
      <c r="AW3" s="1136"/>
      <c r="AX3" s="1136"/>
      <c r="AY3" s="1136"/>
      <c r="AZ3" s="1136"/>
      <c r="BA3" s="1136"/>
      <c r="BB3" s="1136"/>
      <c r="BC3" s="1136"/>
      <c r="BD3" s="1136"/>
      <c r="BE3" s="1136"/>
      <c r="BF3" s="1140"/>
      <c r="BH3" s="1025" t="s">
        <v>944</v>
      </c>
      <c r="BI3" s="1003"/>
      <c r="BJ3" s="1003"/>
      <c r="BL3" s="504"/>
      <c r="BM3" s="504"/>
      <c r="BN3" s="754"/>
      <c r="BO3" s="1142" t="s">
        <v>1067</v>
      </c>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3"/>
      <c r="CM3" s="1143"/>
      <c r="CN3" s="1143"/>
      <c r="CO3" s="1143"/>
      <c r="CP3" s="1143"/>
      <c r="CQ3" s="1143"/>
      <c r="CR3" s="1143"/>
      <c r="CS3" s="1143"/>
      <c r="CT3" s="1143"/>
      <c r="CU3" s="1143"/>
      <c r="CV3" s="1143"/>
      <c r="CW3" s="1143"/>
      <c r="CX3" s="1143"/>
      <c r="CY3" s="1143"/>
      <c r="CZ3" s="1143"/>
      <c r="DA3" s="1143"/>
      <c r="DB3" s="1143"/>
      <c r="DC3" s="1280"/>
      <c r="DD3" s="1280"/>
      <c r="DE3" s="1280"/>
      <c r="DF3" s="1280"/>
    </row>
    <row r="4" spans="1:112" ht="36.75" customHeight="1">
      <c r="C4" s="505"/>
      <c r="D4" s="505"/>
      <c r="G4" s="966" t="str">
        <f>INDEX(Vectors[Description], MATCH(G$5,Vectors[Code],FALSE))</f>
        <v>Heating and cooling</v>
      </c>
      <c r="H4" s="966" t="str">
        <f>INDEX(Vectors[Description], MATCH(H$5,Vectors[Code],FALSE))</f>
        <v>Lighting &amp; appliances</v>
      </c>
      <c r="I4" s="966" t="str">
        <f>INDEX(Vectors[Description], MATCH(I$5,Vectors[Code],FALSE))</f>
        <v>Industry</v>
      </c>
      <c r="J4" s="966" t="str">
        <f>INDEX(Vectors[Description], MATCH(J$5,Vectors[Code],FALSE))</f>
        <v>Road transport</v>
      </c>
      <c r="K4" s="966" t="str">
        <f>INDEX(Vectors[Description], MATCH(K$5,Vectors[Code],FALSE))</f>
        <v>Rail transport</v>
      </c>
      <c r="L4" s="966" t="str">
        <f>INDEX(Vectors[Description], MATCH(L$5,Vectors[Code],FALSE))</f>
        <v>Domestic aviation</v>
      </c>
      <c r="M4" s="966" t="str">
        <f>INDEX(Vectors[Description], MATCH(M$5,Vectors[Code],FALSE))</f>
        <v>National navigation</v>
      </c>
      <c r="N4" s="966" t="str">
        <f>INDEX(Vectors[Description], MATCH(N$5,Vectors[Code],FALSE))</f>
        <v>International aviation</v>
      </c>
      <c r="O4" s="966" t="str">
        <f>INDEX(Vectors[Description], MATCH(O$5,Vectors[Code],FALSE))</f>
        <v>International shipping</v>
      </c>
      <c r="P4" s="966" t="str">
        <f>INDEX(Vectors[Description], MATCH(P$5,Vectors[Code],FALSE))</f>
        <v>Food consumption [UNUSED]</v>
      </c>
      <c r="Q4" s="983" t="s">
        <v>949</v>
      </c>
      <c r="S4" s="967" t="str">
        <f>INDEX(Vectors[Description], MATCH(S$5,Vectors[Code],FALSE))</f>
        <v>Electricity (delivered to end user)</v>
      </c>
      <c r="T4" s="967" t="str">
        <f>INDEX(Vectors[Description], MATCH(T$5,Vectors[Code],FALSE))</f>
        <v>Electricity (supplied to grid)</v>
      </c>
      <c r="U4" s="967" t="str">
        <f>INDEX(Vectors[Description], MATCH(U$5,Vectors[Code],FALSE))</f>
        <v>Solid hydrocarbons</v>
      </c>
      <c r="V4" s="967" t="str">
        <f>INDEX(Vectors[Description], MATCH(V$5,Vectors[Code],FALSE))</f>
        <v>Liquid hydrocarbons</v>
      </c>
      <c r="W4" s="967" t="str">
        <f>INDEX(Vectors[Description], MATCH(W$5,Vectors[Code],FALSE))</f>
        <v>Gaseous hydrocarbons</v>
      </c>
      <c r="X4" s="967" t="str">
        <f>INDEX(Vectors[Description], MATCH(X$5,Vectors[Code],FALSE))</f>
        <v>Coal and fossil waste</v>
      </c>
      <c r="Y4" s="967" t="str">
        <f>INDEX(Vectors[Description], MATCH(Y$5,Vectors[Code],FALSE))</f>
        <v>Oil and petroleum products</v>
      </c>
      <c r="Z4" s="967" t="str">
        <f>INDEX(Vectors[Description], MATCH(Z$5,Vectors[Code],FALSE))</f>
        <v>Natural gas</v>
      </c>
      <c r="AA4" s="967" t="str">
        <f>INDEX(Vectors[Description], MATCH(AA$5,Vectors[Code],FALSE))</f>
        <v>Blast furnace gas</v>
      </c>
      <c r="AB4" s="967" t="str">
        <f>INDEX(Vectors[Description], MATCH(AB$5,Vectors[Code],FALSE))</f>
        <v>Heat transport</v>
      </c>
      <c r="AC4" s="967" t="str">
        <f>INDEX(Vectors[Description], MATCH(AC$5,Vectors[Code],FALSE))</f>
        <v>Edible biomatter</v>
      </c>
      <c r="AD4" s="967" t="str">
        <f>INDEX(Vectors[Description], MATCH(AD$5,Vectors[Code],FALSE))</f>
        <v>Energy crops (second generation)</v>
      </c>
      <c r="AE4" s="967" t="str">
        <f>INDEX(Vectors[Description], MATCH(AE$5,Vectors[Code],FALSE))</f>
        <v>Energy crops (first generation)</v>
      </c>
      <c r="AF4" s="967" t="str">
        <f>INDEX(Vectors[Description], MATCH(AF$5,Vectors[Code],FALSE))</f>
        <v>Dry biomatter and waste</v>
      </c>
      <c r="AG4" s="967" t="str">
        <f>INDEX(Vectors[Description], MATCH(AG$5,Vectors[Code],FALSE))</f>
        <v>Wet biomatter and waste</v>
      </c>
      <c r="AH4" s="967" t="str">
        <f>INDEX(Vectors[Description], MATCH(AH$5,Vectors[Code],FALSE))</f>
        <v>Gaseous waste</v>
      </c>
      <c r="AI4" s="967" t="str">
        <f>INDEX(Vectors[Description], MATCH(AI$5,Vectors[Code],FALSE))</f>
        <v>Domestic solar thermal</v>
      </c>
      <c r="AJ4" s="967" t="str">
        <f>INDEX(Vectors[Description], MATCH(AJ$5,Vectors[Code],FALSE))</f>
        <v>H2</v>
      </c>
      <c r="AK4" s="997" t="s">
        <v>685</v>
      </c>
      <c r="AM4" s="981" t="str">
        <f>INDEX(Vectors[Description], MATCH(AM$5,Vectors[Code],FALSE))</f>
        <v>Coal reserves</v>
      </c>
      <c r="AN4" s="981" t="str">
        <f>INDEX(Vectors[Description], MATCH(AN$5,Vectors[Code],FALSE))</f>
        <v>Oil reserves</v>
      </c>
      <c r="AO4" s="981" t="str">
        <f>INDEX(Vectors[Description], MATCH(AO$5,Vectors[Code],FALSE))</f>
        <v>Gas reserves</v>
      </c>
      <c r="AP4" s="981" t="str">
        <f>INDEX(Vectors[Description], MATCH(AP$5,Vectors[Code],FALSE))</f>
        <v>Biomatter exports (imports)</v>
      </c>
      <c r="AQ4" s="981" t="str">
        <f>INDEX(Vectors[Description], MATCH(AQ$5,Vectors[Code],FALSE))</f>
        <v>Electricity exports (imports)</v>
      </c>
      <c r="AR4" s="981" t="str">
        <f>INDEX(Vectors[Description], MATCH(AR$5,Vectors[Code],FALSE))</f>
        <v>Petroleum products exports</v>
      </c>
      <c r="AS4" s="981" t="str">
        <f>INDEX(Vectors[Description], MATCH(AS$5,Vectors[Code],FALSE))</f>
        <v>Coal exports (imports)</v>
      </c>
      <c r="AT4" s="981" t="str">
        <f>INDEX(Vectors[Description], MATCH(AT$5,Vectors[Code],FALSE))</f>
        <v>Oil and petroleum products exports (imports)</v>
      </c>
      <c r="AU4" s="981" t="str">
        <f>INDEX(Vectors[Description], MATCH(AU$5,Vectors[Code],FALSE))</f>
        <v>Gas exports (imports)</v>
      </c>
      <c r="AV4" s="981" t="str">
        <f>INDEX(Vectors[Description], MATCH(AV$5,Vectors[Code],FALSE))</f>
        <v>Nuclear fission</v>
      </c>
      <c r="AW4" s="981" t="str">
        <f>INDEX(Vectors[Description], MATCH(AW$5,Vectors[Code],FALSE))</f>
        <v>Solar</v>
      </c>
      <c r="AX4" s="981" t="str">
        <f>INDEX(Vectors[Description], MATCH(AX$5,Vectors[Code],FALSE))</f>
        <v>Wind</v>
      </c>
      <c r="AY4" s="981" t="str">
        <f>INDEX(Vectors[Description], MATCH(AY$5,Vectors[Code],FALSE))</f>
        <v>Tidal</v>
      </c>
      <c r="AZ4" s="981" t="str">
        <f>INDEX(Vectors[Description], MATCH(AZ$5,Vectors[Code],FALSE))</f>
        <v>Wave</v>
      </c>
      <c r="BA4" s="981" t="str">
        <f>INDEX(Vectors[Description], MATCH(BA$5,Vectors[Code],FALSE))</f>
        <v>Geothermal</v>
      </c>
      <c r="BB4" s="981" t="str">
        <f>INDEX(Vectors[Description], MATCH(BB$5,Vectors[Code],FALSE))</f>
        <v>Hydro</v>
      </c>
      <c r="BC4" s="981" t="str">
        <f>INDEX(Vectors[Description], MATCH(BC$5,Vectors[Code],FALSE))</f>
        <v>Environmental heat</v>
      </c>
      <c r="BD4" s="981" t="str">
        <f>INDEX(Vectors[Description], MATCH(BD$5,Vectors[Code],FALSE))</f>
        <v>Agriculture</v>
      </c>
      <c r="BE4" s="981" t="str">
        <f>INDEX(Vectors[Description], MATCH(BE$5,Vectors[Code],FALSE))</f>
        <v>Waste</v>
      </c>
      <c r="BF4" s="999" t="s">
        <v>686</v>
      </c>
      <c r="BH4" s="986" t="str">
        <f>INDEX(Vectors[Description], MATCH(BH$5,Vectors[Code],FALSE))</f>
        <v>Conversion losses</v>
      </c>
      <c r="BI4" s="986" t="str">
        <f>INDEX(Vectors[Description], MATCH(BI$5,Vectors[Code],FALSE))</f>
        <v>Distribution losses and own use</v>
      </c>
      <c r="BJ4" s="1001" t="s">
        <v>943</v>
      </c>
      <c r="BL4" s="507" t="str">
        <f>INDEX(Vectors[Description], MATCH(BL$5,Vectors[Code],FALSE))</f>
        <v>Unallocated</v>
      </c>
      <c r="BM4" s="507"/>
      <c r="BO4" s="1151" t="str">
        <f>INDEX(IPCC[Sector_description], MATCH(BO$5, IPCC[Sector_code], 0))</f>
        <v>Fuel Combustion</v>
      </c>
      <c r="BP4" s="1152"/>
      <c r="BQ4" s="1152"/>
      <c r="BR4" s="1153"/>
      <c r="BS4" s="1151" t="str">
        <f>INDEX(IPCC[Sector_description], MATCH(BS$5, IPCC[Sector_code], 0))</f>
        <v>Fugitive Emissions from Fuels</v>
      </c>
      <c r="BT4" s="1152"/>
      <c r="BU4" s="1152"/>
      <c r="BV4" s="1153"/>
      <c r="BW4" s="1151" t="str">
        <f>INDEX(IPCC[Sector_description], MATCH(BW$5, IPCC[Sector_code], 0))</f>
        <v>Industrial Processes</v>
      </c>
      <c r="BX4" s="1152"/>
      <c r="BY4" s="1152"/>
      <c r="BZ4" s="1153"/>
      <c r="CA4" s="1151" t="str">
        <f>INDEX(IPCC[Sector_description], MATCH(CA$5, IPCC[Sector_code], 0))</f>
        <v>Solvent and Other Product Use</v>
      </c>
      <c r="CB4" s="1152"/>
      <c r="CC4" s="1152"/>
      <c r="CD4" s="1153"/>
      <c r="CE4" s="1151" t="str">
        <f>INDEX(IPCC[Sector_description], MATCH(CE$5, IPCC[Sector_code], 0))</f>
        <v>Agriculture</v>
      </c>
      <c r="CF4" s="1152"/>
      <c r="CG4" s="1152"/>
      <c r="CH4" s="1153"/>
      <c r="CI4" s="1151" t="str">
        <f>INDEX(IPCC[Sector_description], MATCH(CI$5, IPCC[Sector_code], 0))</f>
        <v>Land Use, Land-Use Change and Forestry</v>
      </c>
      <c r="CJ4" s="1152"/>
      <c r="CK4" s="1152"/>
      <c r="CL4" s="1153"/>
      <c r="CM4" s="1151" t="str">
        <f>INDEX(IPCC[Sector_description], MATCH(CM$5, IPCC[Sector_code], 0))</f>
        <v>Waste</v>
      </c>
      <c r="CN4" s="1152"/>
      <c r="CO4" s="1152"/>
      <c r="CP4" s="1153"/>
      <c r="CQ4" s="1151" t="str">
        <f>INDEX(IPCC[Sector_description], MATCH(CQ$5, IPCC[Sector_code], 0))</f>
        <v>Other</v>
      </c>
      <c r="CR4" s="1152"/>
      <c r="CS4" s="1152"/>
      <c r="CT4" s="1153"/>
      <c r="CU4" s="1151" t="str">
        <f>INDEX(IPCC[Sector_description], MATCH(CU$5, IPCC[Sector_code], 0))</f>
        <v>International Aviation and Shipping</v>
      </c>
      <c r="CV4" s="1152"/>
      <c r="CW4" s="1152"/>
      <c r="CX4" s="1153"/>
      <c r="CY4" s="1151" t="str">
        <f>INDEX(IPCC[Sector_description], MATCH(CY$5, IPCC[Sector_code], 0))</f>
        <v>Bioenergy credit</v>
      </c>
      <c r="CZ4" s="1152"/>
      <c r="DA4" s="1152"/>
      <c r="DB4" s="1153"/>
      <c r="DC4" s="1151" t="str">
        <f>INDEX(IPCC[Sector_description], MATCH(DC$5, IPCC[Sector_code], 0))</f>
        <v>Carbon capture</v>
      </c>
      <c r="DD4" s="1152"/>
      <c r="DE4" s="1152"/>
      <c r="DF4" s="1153"/>
      <c r="DH4" s="1479" t="s">
        <v>148</v>
      </c>
    </row>
    <row r="5" spans="1:112">
      <c r="D5" s="951" t="s">
        <v>200</v>
      </c>
      <c r="G5" s="984" t="s">
        <v>6</v>
      </c>
      <c r="H5" s="984" t="s">
        <v>57</v>
      </c>
      <c r="I5" s="984" t="s">
        <v>13</v>
      </c>
      <c r="J5" s="984" t="s">
        <v>36</v>
      </c>
      <c r="K5" s="984" t="s">
        <v>37</v>
      </c>
      <c r="L5" s="984" t="s">
        <v>38</v>
      </c>
      <c r="M5" s="984" t="s">
        <v>39</v>
      </c>
      <c r="N5" s="984" t="s">
        <v>966</v>
      </c>
      <c r="O5" s="984" t="s">
        <v>967</v>
      </c>
      <c r="P5" s="984" t="s">
        <v>40</v>
      </c>
      <c r="Q5" s="984"/>
      <c r="S5" s="985" t="s">
        <v>45</v>
      </c>
      <c r="T5" s="985" t="s">
        <v>46</v>
      </c>
      <c r="U5" s="985" t="s">
        <v>47</v>
      </c>
      <c r="V5" s="985" t="s">
        <v>49</v>
      </c>
      <c r="W5" s="985" t="s">
        <v>50</v>
      </c>
      <c r="X5" s="985" t="s">
        <v>64</v>
      </c>
      <c r="Y5" s="985" t="s">
        <v>65</v>
      </c>
      <c r="Z5" s="985" t="s">
        <v>66</v>
      </c>
      <c r="AA5" s="985" t="s">
        <v>108</v>
      </c>
      <c r="AB5" s="985" t="s">
        <v>753</v>
      </c>
      <c r="AC5" s="985" t="s">
        <v>754</v>
      </c>
      <c r="AD5" s="985" t="s">
        <v>1801</v>
      </c>
      <c r="AE5" s="985" t="s">
        <v>2291</v>
      </c>
      <c r="AF5" s="985" t="s">
        <v>755</v>
      </c>
      <c r="AG5" s="985" t="s">
        <v>929</v>
      </c>
      <c r="AH5" s="985" t="s">
        <v>2294</v>
      </c>
      <c r="AI5" s="985" t="s">
        <v>1331</v>
      </c>
      <c r="AJ5" s="985" t="s">
        <v>1476</v>
      </c>
      <c r="AK5" s="985"/>
      <c r="AM5" s="982" t="s">
        <v>999</v>
      </c>
      <c r="AN5" s="982" t="s">
        <v>1000</v>
      </c>
      <c r="AO5" s="982" t="s">
        <v>1001</v>
      </c>
      <c r="AP5" s="982" t="s">
        <v>59</v>
      </c>
      <c r="AQ5" s="982" t="s">
        <v>60</v>
      </c>
      <c r="AR5" s="982" t="s">
        <v>799</v>
      </c>
      <c r="AS5" s="982" t="s">
        <v>991</v>
      </c>
      <c r="AT5" s="982" t="s">
        <v>992</v>
      </c>
      <c r="AU5" s="982" t="s">
        <v>993</v>
      </c>
      <c r="AV5" s="982" t="s">
        <v>7</v>
      </c>
      <c r="AW5" s="982" t="s">
        <v>33</v>
      </c>
      <c r="AX5" s="982" t="s">
        <v>8</v>
      </c>
      <c r="AY5" s="982" t="s">
        <v>9</v>
      </c>
      <c r="AZ5" s="982" t="s">
        <v>10</v>
      </c>
      <c r="BA5" s="982" t="s">
        <v>11</v>
      </c>
      <c r="BB5" s="982" t="s">
        <v>12</v>
      </c>
      <c r="BC5" s="982" t="s">
        <v>104</v>
      </c>
      <c r="BD5" s="982" t="s">
        <v>1027</v>
      </c>
      <c r="BE5" s="982" t="s">
        <v>54</v>
      </c>
      <c r="BF5" s="982"/>
      <c r="BH5" s="987" t="s">
        <v>34</v>
      </c>
      <c r="BI5" s="987" t="s">
        <v>35</v>
      </c>
      <c r="BJ5" s="987"/>
      <c r="BL5" s="502" t="s">
        <v>61</v>
      </c>
      <c r="BM5" s="502"/>
      <c r="BO5" s="1154" t="s">
        <v>1065</v>
      </c>
      <c r="BP5" s="1155" t="s">
        <v>1065</v>
      </c>
      <c r="BQ5" s="1155" t="s">
        <v>1065</v>
      </c>
      <c r="BR5" s="1156" t="s">
        <v>1065</v>
      </c>
      <c r="BS5" s="1154" t="s">
        <v>1064</v>
      </c>
      <c r="BT5" s="1155" t="s">
        <v>1064</v>
      </c>
      <c r="BU5" s="1155" t="s">
        <v>1064</v>
      </c>
      <c r="BV5" s="1156" t="s">
        <v>1064</v>
      </c>
      <c r="BW5" s="1154">
        <v>2</v>
      </c>
      <c r="BX5" s="1155">
        <v>2</v>
      </c>
      <c r="BY5" s="1155">
        <v>2</v>
      </c>
      <c r="BZ5" s="1156">
        <v>2</v>
      </c>
      <c r="CA5" s="1154">
        <v>3</v>
      </c>
      <c r="CB5" s="1155">
        <v>3</v>
      </c>
      <c r="CC5" s="1155">
        <v>3</v>
      </c>
      <c r="CD5" s="1156">
        <v>3</v>
      </c>
      <c r="CE5" s="1154">
        <v>4</v>
      </c>
      <c r="CF5" s="1155">
        <v>4</v>
      </c>
      <c r="CG5" s="1155">
        <v>4</v>
      </c>
      <c r="CH5" s="1156">
        <v>4</v>
      </c>
      <c r="CI5" s="1154">
        <v>5</v>
      </c>
      <c r="CJ5" s="1155">
        <v>5</v>
      </c>
      <c r="CK5" s="1155">
        <v>5</v>
      </c>
      <c r="CL5" s="1156">
        <v>5</v>
      </c>
      <c r="CM5" s="1154">
        <v>6</v>
      </c>
      <c r="CN5" s="1155">
        <v>6</v>
      </c>
      <c r="CO5" s="1155">
        <v>6</v>
      </c>
      <c r="CP5" s="1156">
        <v>6</v>
      </c>
      <c r="CQ5" s="1154">
        <v>7</v>
      </c>
      <c r="CR5" s="1155">
        <v>7</v>
      </c>
      <c r="CS5" s="1155">
        <v>7</v>
      </c>
      <c r="CT5" s="1156">
        <v>7</v>
      </c>
      <c r="CU5" s="1154" t="s">
        <v>1050</v>
      </c>
      <c r="CV5" s="1155" t="s">
        <v>1050</v>
      </c>
      <c r="CW5" s="1155" t="s">
        <v>1050</v>
      </c>
      <c r="CX5" s="1156" t="s">
        <v>1050</v>
      </c>
      <c r="CY5" s="1154" t="s">
        <v>1051</v>
      </c>
      <c r="CZ5" s="1155" t="s">
        <v>1051</v>
      </c>
      <c r="DA5" s="1155" t="s">
        <v>1051</v>
      </c>
      <c r="DB5" s="1156" t="s">
        <v>1051</v>
      </c>
      <c r="DC5" s="1154" t="s">
        <v>1078</v>
      </c>
      <c r="DD5" s="1155" t="s">
        <v>1078</v>
      </c>
      <c r="DE5" s="1155" t="s">
        <v>1078</v>
      </c>
      <c r="DF5" s="1156" t="s">
        <v>1078</v>
      </c>
    </row>
    <row r="6" spans="1:112" ht="15.75" customHeight="1">
      <c r="G6" s="955"/>
      <c r="H6" s="955"/>
      <c r="I6" s="955"/>
      <c r="J6" s="955"/>
      <c r="K6" s="956"/>
      <c r="L6" s="955"/>
      <c r="M6" s="955"/>
      <c r="N6" s="955"/>
      <c r="O6" s="955"/>
      <c r="P6" s="955"/>
      <c r="Q6" s="955"/>
      <c r="S6" s="968"/>
      <c r="T6" s="968"/>
      <c r="U6" s="968"/>
      <c r="V6" s="968"/>
      <c r="W6" s="968"/>
      <c r="X6" s="968"/>
      <c r="Y6" s="968"/>
      <c r="Z6" s="968"/>
      <c r="AA6" s="968"/>
      <c r="AB6" s="968"/>
      <c r="AC6" s="968"/>
      <c r="AD6" s="968"/>
      <c r="AE6" s="968"/>
      <c r="AF6" s="968"/>
      <c r="AG6" s="968"/>
      <c r="AH6" s="968"/>
      <c r="AI6" s="968"/>
      <c r="AJ6" s="968"/>
      <c r="AK6" s="968"/>
      <c r="AM6" s="974"/>
      <c r="AN6" s="974"/>
      <c r="AO6" s="974"/>
      <c r="AP6" s="974"/>
      <c r="AQ6" s="974"/>
      <c r="AR6" s="974"/>
      <c r="AS6" s="974"/>
      <c r="AT6" s="974"/>
      <c r="AU6" s="974"/>
      <c r="AV6" s="974"/>
      <c r="AW6" s="974"/>
      <c r="AX6" s="974"/>
      <c r="AY6" s="974"/>
      <c r="AZ6" s="974"/>
      <c r="BA6" s="974"/>
      <c r="BB6" s="974"/>
      <c r="BC6" s="974"/>
      <c r="BD6" s="974"/>
      <c r="BE6" s="974"/>
      <c r="BF6" s="974"/>
      <c r="BH6" s="988"/>
      <c r="BI6" s="988"/>
      <c r="BJ6" s="988"/>
      <c r="BL6" s="511"/>
      <c r="BM6" s="511"/>
      <c r="BO6" s="1144" t="s">
        <v>1055</v>
      </c>
      <c r="BP6" s="1144" t="s">
        <v>1056</v>
      </c>
      <c r="BQ6" s="1144" t="s">
        <v>1057</v>
      </c>
      <c r="BR6" s="1144" t="s">
        <v>1058</v>
      </c>
      <c r="BS6" s="1144" t="s">
        <v>1055</v>
      </c>
      <c r="BT6" s="1144" t="s">
        <v>1056</v>
      </c>
      <c r="BU6" s="1144" t="s">
        <v>1057</v>
      </c>
      <c r="BV6" s="1144" t="s">
        <v>1058</v>
      </c>
      <c r="BW6" s="1144" t="s">
        <v>1055</v>
      </c>
      <c r="BX6" s="1144" t="s">
        <v>1056</v>
      </c>
      <c r="BY6" s="1144" t="s">
        <v>1057</v>
      </c>
      <c r="BZ6" s="1144" t="s">
        <v>1058</v>
      </c>
      <c r="CA6" s="1144" t="s">
        <v>1055</v>
      </c>
      <c r="CB6" s="1144" t="s">
        <v>1056</v>
      </c>
      <c r="CC6" s="1144" t="s">
        <v>1057</v>
      </c>
      <c r="CD6" s="1144" t="s">
        <v>1058</v>
      </c>
      <c r="CE6" s="1144" t="s">
        <v>1055</v>
      </c>
      <c r="CF6" s="1144" t="s">
        <v>1056</v>
      </c>
      <c r="CG6" s="1144" t="s">
        <v>1057</v>
      </c>
      <c r="CH6" s="1144" t="s">
        <v>1058</v>
      </c>
      <c r="CI6" s="1144" t="s">
        <v>1055</v>
      </c>
      <c r="CJ6" s="1144" t="s">
        <v>1056</v>
      </c>
      <c r="CK6" s="1144" t="s">
        <v>1057</v>
      </c>
      <c r="CL6" s="1144" t="s">
        <v>1058</v>
      </c>
      <c r="CM6" s="1144" t="s">
        <v>1055</v>
      </c>
      <c r="CN6" s="1144" t="s">
        <v>1056</v>
      </c>
      <c r="CO6" s="1144" t="s">
        <v>1057</v>
      </c>
      <c r="CP6" s="1144" t="s">
        <v>1058</v>
      </c>
      <c r="CQ6" s="1144" t="s">
        <v>1055</v>
      </c>
      <c r="CR6" s="1144" t="s">
        <v>1056</v>
      </c>
      <c r="CS6" s="1144" t="s">
        <v>1057</v>
      </c>
      <c r="CT6" s="1144" t="s">
        <v>1058</v>
      </c>
      <c r="CU6" s="1144" t="s">
        <v>1055</v>
      </c>
      <c r="CV6" s="1144" t="s">
        <v>1056</v>
      </c>
      <c r="CW6" s="1144" t="s">
        <v>1057</v>
      </c>
      <c r="CX6" s="1144" t="s">
        <v>1058</v>
      </c>
      <c r="CY6" s="1144" t="s">
        <v>1055</v>
      </c>
      <c r="CZ6" s="1144" t="s">
        <v>1056</v>
      </c>
      <c r="DA6" s="1144" t="s">
        <v>1057</v>
      </c>
      <c r="DB6" s="1144" t="s">
        <v>1058</v>
      </c>
      <c r="DC6" s="1144" t="s">
        <v>1055</v>
      </c>
      <c r="DD6" s="1144" t="s">
        <v>1056</v>
      </c>
      <c r="DE6" s="1144" t="s">
        <v>1057</v>
      </c>
      <c r="DF6" s="1144" t="s">
        <v>1058</v>
      </c>
    </row>
    <row r="7" spans="1:112" ht="18" customHeight="1">
      <c r="C7" s="501" t="s">
        <v>592</v>
      </c>
      <c r="D7" s="501"/>
      <c r="E7" s="639"/>
      <c r="G7" s="957"/>
      <c r="H7" s="957"/>
      <c r="I7" s="957"/>
      <c r="J7" s="957"/>
      <c r="K7" s="957"/>
      <c r="L7" s="957"/>
      <c r="M7" s="957"/>
      <c r="N7" s="957"/>
      <c r="O7" s="957"/>
      <c r="P7" s="957"/>
      <c r="Q7" s="957"/>
      <c r="S7" s="969"/>
      <c r="T7" s="969"/>
      <c r="U7" s="969"/>
      <c r="V7" s="969"/>
      <c r="W7" s="969"/>
      <c r="X7" s="969"/>
      <c r="Y7" s="969"/>
      <c r="Z7" s="969"/>
      <c r="AA7" s="969"/>
      <c r="AB7" s="969"/>
      <c r="AC7" s="969"/>
      <c r="AD7" s="969"/>
      <c r="AE7" s="969"/>
      <c r="AF7" s="969"/>
      <c r="AG7" s="969"/>
      <c r="AH7" s="969"/>
      <c r="AI7" s="969"/>
      <c r="AJ7" s="969"/>
      <c r="AK7" s="969"/>
      <c r="AM7" s="975"/>
      <c r="AN7" s="975"/>
      <c r="AO7" s="975"/>
      <c r="AP7" s="975"/>
      <c r="AQ7" s="975"/>
      <c r="AR7" s="975"/>
      <c r="AS7" s="975"/>
      <c r="AT7" s="975"/>
      <c r="AU7" s="975"/>
      <c r="AV7" s="975"/>
      <c r="AW7" s="975"/>
      <c r="AX7" s="975"/>
      <c r="AY7" s="975"/>
      <c r="AZ7" s="975"/>
      <c r="BA7" s="975"/>
      <c r="BB7" s="975"/>
      <c r="BC7" s="975"/>
      <c r="BD7" s="975"/>
      <c r="BE7" s="975"/>
      <c r="BF7" s="975"/>
      <c r="BH7" s="989"/>
      <c r="BI7" s="989"/>
      <c r="BJ7" s="989"/>
      <c r="BL7" s="514"/>
      <c r="BM7" s="514"/>
      <c r="BO7" s="1145"/>
      <c r="BP7" s="1145"/>
      <c r="BQ7" s="1145"/>
      <c r="BR7" s="1145"/>
      <c r="BS7" s="1145"/>
      <c r="BT7" s="1145"/>
      <c r="BU7" s="1145"/>
      <c r="BV7" s="1145"/>
      <c r="BW7" s="1145"/>
      <c r="BX7" s="1145"/>
      <c r="BY7" s="1145"/>
      <c r="BZ7" s="1145"/>
      <c r="CA7" s="1145"/>
      <c r="CB7" s="1145"/>
      <c r="CC7" s="1145"/>
      <c r="CD7" s="1145"/>
      <c r="CE7" s="1145"/>
      <c r="CF7" s="1145"/>
      <c r="CG7" s="1145"/>
      <c r="CH7" s="1145"/>
      <c r="CI7" s="1145"/>
      <c r="CJ7" s="1145"/>
      <c r="CK7" s="1145"/>
      <c r="CL7" s="1145"/>
      <c r="CM7" s="1145"/>
      <c r="CN7" s="1145"/>
      <c r="CO7" s="1145"/>
      <c r="CP7" s="1145"/>
      <c r="CQ7" s="1145"/>
      <c r="CR7" s="1145"/>
      <c r="CS7" s="1145"/>
      <c r="CT7" s="1145"/>
      <c r="CU7" s="1145"/>
      <c r="CV7" s="1145"/>
      <c r="CW7" s="1145"/>
      <c r="CX7" s="1145"/>
      <c r="CY7" s="1145"/>
      <c r="CZ7" s="1145"/>
      <c r="DA7" s="1145"/>
      <c r="DB7" s="1145"/>
      <c r="DC7" s="1145"/>
      <c r="DD7" s="1145"/>
      <c r="DE7" s="1145"/>
      <c r="DF7" s="1145"/>
    </row>
    <row r="8" spans="1:112" ht="6" hidden="1" customHeight="1" outlineLevel="1">
      <c r="G8" s="958"/>
      <c r="H8" s="958"/>
      <c r="I8" s="958"/>
      <c r="J8" s="958"/>
      <c r="K8" s="959"/>
      <c r="L8" s="958"/>
      <c r="M8" s="958"/>
      <c r="N8" s="958"/>
      <c r="O8" s="958"/>
      <c r="P8" s="958"/>
      <c r="Q8" s="958"/>
      <c r="S8" s="970"/>
      <c r="T8" s="970"/>
      <c r="U8" s="970"/>
      <c r="V8" s="970"/>
      <c r="W8" s="970"/>
      <c r="X8" s="970"/>
      <c r="Y8" s="970"/>
      <c r="Z8" s="970"/>
      <c r="AA8" s="970"/>
      <c r="AB8" s="970"/>
      <c r="AC8" s="970"/>
      <c r="AD8" s="970"/>
      <c r="AE8" s="970"/>
      <c r="AF8" s="970"/>
      <c r="AG8" s="970"/>
      <c r="AH8" s="970"/>
      <c r="AI8" s="970"/>
      <c r="AJ8" s="970"/>
      <c r="AK8" s="970"/>
      <c r="AM8" s="976"/>
      <c r="AN8" s="976"/>
      <c r="AO8" s="976"/>
      <c r="AP8" s="976"/>
      <c r="AQ8" s="976"/>
      <c r="AR8" s="976"/>
      <c r="AS8" s="976"/>
      <c r="AT8" s="976"/>
      <c r="AU8" s="976"/>
      <c r="AV8" s="976"/>
      <c r="AW8" s="976"/>
      <c r="AX8" s="976"/>
      <c r="AY8" s="976"/>
      <c r="AZ8" s="976"/>
      <c r="BA8" s="976"/>
      <c r="BB8" s="976"/>
      <c r="BC8" s="976"/>
      <c r="BD8" s="976"/>
      <c r="BE8" s="976"/>
      <c r="BF8" s="976"/>
      <c r="BH8" s="990"/>
      <c r="BI8" s="990"/>
      <c r="BJ8" s="990"/>
      <c r="BL8" s="515"/>
      <c r="BM8" s="515"/>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1146"/>
      <c r="DA8" s="1146"/>
      <c r="DB8" s="1146"/>
      <c r="DC8" s="1146"/>
      <c r="DD8" s="1146"/>
      <c r="DE8" s="1146"/>
      <c r="DF8" s="1146"/>
    </row>
    <row r="9" spans="1:112" s="743" customFormat="1" ht="10.5" hidden="1" customHeight="1" outlineLevel="2">
      <c r="A9" s="1480"/>
      <c r="B9" s="1480"/>
      <c r="C9" s="746" t="s">
        <v>829</v>
      </c>
      <c r="D9" s="1480" t="str">
        <f>INDEX(Modules[Module], MATCH($C9, Modules[Code], 0))</f>
        <v>Domestic space heating and hot water</v>
      </c>
      <c r="E9" s="521"/>
      <c r="G9" s="1017">
        <f ca="1">IFERROR(INDEX(INDIRECT($C9&amp;".Outputs["&amp;this.Year&amp;"]"), MATCH(G$5, INDIRECT($C9&amp;".Outputs[Vector]"), 0)), 0)</f>
        <v>455.54925278536825</v>
      </c>
      <c r="H9" s="1017">
        <f t="shared" ref="G9:P13" ca="1" si="0">IFERROR(INDEX(INDIRECT($C9&amp;".Outputs["&amp;this.Year&amp;"]"), MATCH(H$5, INDIRECT($C9&amp;".Outputs[Vector]"), 0)), 0)</f>
        <v>0</v>
      </c>
      <c r="I9" s="1017">
        <f t="shared" ca="1" si="0"/>
        <v>0</v>
      </c>
      <c r="J9" s="1017">
        <f t="shared" ca="1" si="0"/>
        <v>0</v>
      </c>
      <c r="K9" s="1017">
        <f t="shared" ca="1" si="0"/>
        <v>0</v>
      </c>
      <c r="L9" s="1017">
        <f t="shared" ca="1" si="0"/>
        <v>0</v>
      </c>
      <c r="M9" s="1017">
        <f t="shared" ca="1" si="0"/>
        <v>0</v>
      </c>
      <c r="N9" s="1017">
        <f t="shared" ca="1" si="0"/>
        <v>0</v>
      </c>
      <c r="O9" s="1017">
        <f t="shared" ca="1" si="0"/>
        <v>0</v>
      </c>
      <c r="P9" s="1017">
        <f t="shared" ca="1" si="0"/>
        <v>0</v>
      </c>
      <c r="Q9" s="1019">
        <f t="shared" ref="Q9:Q15" ca="1" si="1">SUM(G9:P9)</f>
        <v>455.54925278536825</v>
      </c>
      <c r="S9" s="1026">
        <f t="shared" ref="S9:BE13" ca="1" si="2">IFERROR(INDEX(INDIRECT($C9&amp;".Outputs["&amp;this.Year&amp;"]"), MATCH(S$5, INDIRECT($C9&amp;".Outputs[Vector]"), 0)), 0)</f>
        <v>-40.208501284271783</v>
      </c>
      <c r="T9" s="1026">
        <f t="shared" ca="1" si="2"/>
        <v>0</v>
      </c>
      <c r="U9" s="1026">
        <f t="shared" ca="1" si="2"/>
        <v>-8.9729383224903891</v>
      </c>
      <c r="V9" s="1026">
        <f t="shared" ca="1" si="2"/>
        <v>-8.0478931346047808</v>
      </c>
      <c r="W9" s="1026">
        <f t="shared" ca="1" si="2"/>
        <v>-398.31992004400138</v>
      </c>
      <c r="X9" s="1026">
        <f t="shared" ref="X9:Z10" ca="1" si="3">IFERROR(INDEX(INDIRECT($C9&amp;".Outputs["&amp;this.Year&amp;"]"), MATCH(X$5, INDIRECT($C9&amp;".Outputs[Vector]"), 0)), 0)</f>
        <v>0</v>
      </c>
      <c r="Y9" s="1026">
        <f t="shared" ca="1" si="3"/>
        <v>0</v>
      </c>
      <c r="Z9" s="1026">
        <f t="shared" ca="1" si="3"/>
        <v>0</v>
      </c>
      <c r="AA9" s="1026">
        <f t="shared" ca="1" si="2"/>
        <v>0</v>
      </c>
      <c r="AB9" s="1026">
        <f t="shared" ca="1" si="2"/>
        <v>0</v>
      </c>
      <c r="AC9" s="1026">
        <f t="shared" ca="1" si="2"/>
        <v>0</v>
      </c>
      <c r="AD9" s="1026">
        <f t="shared" ca="1" si="2"/>
        <v>0</v>
      </c>
      <c r="AE9" s="1026">
        <f t="shared" ca="1" si="2"/>
        <v>0</v>
      </c>
      <c r="AF9" s="1026">
        <f t="shared" ca="1" si="2"/>
        <v>0</v>
      </c>
      <c r="AG9" s="1026">
        <f t="shared" ca="1" si="2"/>
        <v>0</v>
      </c>
      <c r="AH9" s="1026">
        <f t="shared" ca="1" si="2"/>
        <v>0</v>
      </c>
      <c r="AI9" s="1026">
        <f t="shared" ca="1" si="2"/>
        <v>0</v>
      </c>
      <c r="AJ9" s="1026">
        <f t="shared" ca="1" si="2"/>
        <v>0</v>
      </c>
      <c r="AK9" s="1027">
        <f t="shared" ref="AK9:AK15" ca="1" si="4">SUM(S9:AJ9)</f>
        <v>-455.54925278536831</v>
      </c>
      <c r="AM9" s="1038">
        <f t="shared" ref="AM9:AU10" ca="1" si="5">IFERROR(INDEX(INDIRECT($C9&amp;".Outputs["&amp;this.Year&amp;"]"), MATCH(AM$5, INDIRECT($C9&amp;".Outputs[Vector]"), 0)), 0)</f>
        <v>0</v>
      </c>
      <c r="AN9" s="1038">
        <f t="shared" ca="1" si="5"/>
        <v>0</v>
      </c>
      <c r="AO9" s="1038">
        <f t="shared" ca="1" si="5"/>
        <v>0</v>
      </c>
      <c r="AP9" s="1038">
        <f t="shared" ca="1" si="5"/>
        <v>0</v>
      </c>
      <c r="AQ9" s="1038">
        <f t="shared" ca="1" si="5"/>
        <v>0</v>
      </c>
      <c r="AR9" s="1038">
        <f t="shared" ca="1" si="5"/>
        <v>0</v>
      </c>
      <c r="AS9" s="1038">
        <f t="shared" ca="1" si="5"/>
        <v>0</v>
      </c>
      <c r="AT9" s="1038">
        <f t="shared" ca="1" si="5"/>
        <v>0</v>
      </c>
      <c r="AU9" s="1038">
        <f t="shared" ca="1" si="5"/>
        <v>0</v>
      </c>
      <c r="AV9" s="1038">
        <f t="shared" ca="1" si="2"/>
        <v>0</v>
      </c>
      <c r="AW9" s="1038">
        <f t="shared" ca="1" si="2"/>
        <v>0</v>
      </c>
      <c r="AX9" s="1038">
        <f t="shared" ca="1" si="2"/>
        <v>0</v>
      </c>
      <c r="AY9" s="1038">
        <f t="shared" ca="1" si="2"/>
        <v>0</v>
      </c>
      <c r="AZ9" s="1038">
        <f t="shared" ca="1" si="2"/>
        <v>0</v>
      </c>
      <c r="BA9" s="1038">
        <f t="shared" ca="1" si="2"/>
        <v>0</v>
      </c>
      <c r="BB9" s="1038">
        <f t="shared" ca="1" si="2"/>
        <v>0</v>
      </c>
      <c r="BC9" s="1038">
        <f t="shared" ca="1" si="2"/>
        <v>0</v>
      </c>
      <c r="BD9" s="1038">
        <f t="shared" ca="1" si="2"/>
        <v>0</v>
      </c>
      <c r="BE9" s="1038">
        <f t="shared" ca="1" si="2"/>
        <v>0</v>
      </c>
      <c r="BF9" s="977">
        <f t="shared" ref="BF9:BF15" ca="1" si="6">SUM(AM9:BE9)</f>
        <v>0</v>
      </c>
      <c r="BH9" s="1032">
        <f t="shared" ref="BH9:BI13" ca="1" si="7">IFERROR(INDEX(INDIRECT($C9&amp;".Outputs["&amp;this.Year&amp;"]"), MATCH(BH$5, INDIRECT($C9&amp;".Outputs[Vector]"), 0)), 0)</f>
        <v>0</v>
      </c>
      <c r="BI9" s="1032">
        <f t="shared" ca="1" si="7"/>
        <v>0</v>
      </c>
      <c r="BJ9" s="1034">
        <f t="shared" ref="BJ9:BJ15" ca="1" si="8">SUM(BH9:BI9)</f>
        <v>0</v>
      </c>
      <c r="BL9" s="524">
        <f t="shared" ref="BL9:BL44" ca="1" si="9">Q9+AK9+BF9+BJ9</f>
        <v>-5.6843418860808015E-14</v>
      </c>
      <c r="BM9" s="524"/>
      <c r="BN9" s="840"/>
      <c r="BO9" s="1481">
        <f t="shared" ref="BO9:BX10" ca="1" si="10">IFERROR(SUMIFS(INDIRECT($C9&amp;".Emissions["&amp;this.Year&amp;"]"), INDIRECT($C9&amp;".Emissions[GHG]"), BO$6, INDIRECT($C9&amp;".Emissions[IPCC Sector]"), BO$5),0)</f>
        <v>78.066503575074478</v>
      </c>
      <c r="BP9" s="1482">
        <f t="shared" ca="1" si="10"/>
        <v>0.15753403987318462</v>
      </c>
      <c r="BQ9" s="1482">
        <f t="shared" ca="1" si="10"/>
        <v>0.21869086210235725</v>
      </c>
      <c r="BR9" s="1482">
        <f t="shared" ca="1" si="10"/>
        <v>0</v>
      </c>
      <c r="BS9" s="1482">
        <f t="shared" ca="1" si="10"/>
        <v>0</v>
      </c>
      <c r="BT9" s="1482">
        <f t="shared" ca="1" si="10"/>
        <v>0</v>
      </c>
      <c r="BU9" s="1482">
        <f t="shared" ca="1" si="10"/>
        <v>0</v>
      </c>
      <c r="BV9" s="1482">
        <f t="shared" ca="1" si="10"/>
        <v>0</v>
      </c>
      <c r="BW9" s="1482">
        <f t="shared" ca="1" si="10"/>
        <v>0</v>
      </c>
      <c r="BX9" s="1482">
        <f t="shared" ca="1" si="10"/>
        <v>0</v>
      </c>
      <c r="BY9" s="1482">
        <f t="shared" ref="BY9:CH10" ca="1" si="11">IFERROR(SUMIFS(INDIRECT($C9&amp;".Emissions["&amp;this.Year&amp;"]"), INDIRECT($C9&amp;".Emissions[GHG]"), BY$6, INDIRECT($C9&amp;".Emissions[IPCC Sector]"), BY$5),0)</f>
        <v>0</v>
      </c>
      <c r="BZ9" s="1482">
        <f t="shared" ca="1" si="11"/>
        <v>0</v>
      </c>
      <c r="CA9" s="1482">
        <f t="shared" ca="1" si="11"/>
        <v>0</v>
      </c>
      <c r="CB9" s="1482">
        <f t="shared" ca="1" si="11"/>
        <v>0</v>
      </c>
      <c r="CC9" s="1482">
        <f t="shared" ca="1" si="11"/>
        <v>0</v>
      </c>
      <c r="CD9" s="1482">
        <f t="shared" ca="1" si="11"/>
        <v>0</v>
      </c>
      <c r="CE9" s="1482">
        <f t="shared" ca="1" si="11"/>
        <v>0</v>
      </c>
      <c r="CF9" s="1482">
        <f t="shared" ca="1" si="11"/>
        <v>0</v>
      </c>
      <c r="CG9" s="1482">
        <f t="shared" ca="1" si="11"/>
        <v>0</v>
      </c>
      <c r="CH9" s="1482">
        <f t="shared" ca="1" si="11"/>
        <v>0</v>
      </c>
      <c r="CI9" s="1482">
        <f t="shared" ref="CI9:CR10" ca="1" si="12">IFERROR(SUMIFS(INDIRECT($C9&amp;".Emissions["&amp;this.Year&amp;"]"), INDIRECT($C9&amp;".Emissions[GHG]"), CI$6, INDIRECT($C9&amp;".Emissions[IPCC Sector]"), CI$5),0)</f>
        <v>0</v>
      </c>
      <c r="CJ9" s="1482">
        <f t="shared" ca="1" si="12"/>
        <v>0</v>
      </c>
      <c r="CK9" s="1482">
        <f t="shared" ca="1" si="12"/>
        <v>0</v>
      </c>
      <c r="CL9" s="1482">
        <f t="shared" ca="1" si="12"/>
        <v>0</v>
      </c>
      <c r="CM9" s="1482">
        <f t="shared" ca="1" si="12"/>
        <v>0</v>
      </c>
      <c r="CN9" s="1482">
        <f t="shared" ca="1" si="12"/>
        <v>0</v>
      </c>
      <c r="CO9" s="1482">
        <f t="shared" ca="1" si="12"/>
        <v>0</v>
      </c>
      <c r="CP9" s="1482">
        <f t="shared" ca="1" si="12"/>
        <v>0</v>
      </c>
      <c r="CQ9" s="1482">
        <f t="shared" ca="1" si="12"/>
        <v>0</v>
      </c>
      <c r="CR9" s="1482">
        <f t="shared" ca="1" si="12"/>
        <v>0</v>
      </c>
      <c r="CS9" s="1482">
        <f t="shared" ref="CS9:DF10" ca="1" si="13">IFERROR(SUMIFS(INDIRECT($C9&amp;".Emissions["&amp;this.Year&amp;"]"), INDIRECT($C9&amp;".Emissions[GHG]"), CS$6, INDIRECT($C9&amp;".Emissions[IPCC Sector]"), CS$5),0)</f>
        <v>0</v>
      </c>
      <c r="CT9" s="1482">
        <f t="shared" ca="1" si="13"/>
        <v>0</v>
      </c>
      <c r="CU9" s="1482">
        <f t="shared" ca="1" si="13"/>
        <v>0</v>
      </c>
      <c r="CV9" s="1482">
        <f t="shared" ca="1" si="13"/>
        <v>0</v>
      </c>
      <c r="CW9" s="1482">
        <f t="shared" ca="1" si="13"/>
        <v>0</v>
      </c>
      <c r="CX9" s="1482">
        <f t="shared" ca="1" si="13"/>
        <v>0</v>
      </c>
      <c r="CY9" s="1482">
        <f t="shared" ca="1" si="13"/>
        <v>0</v>
      </c>
      <c r="CZ9" s="1482">
        <f t="shared" ca="1" si="13"/>
        <v>0</v>
      </c>
      <c r="DA9" s="1482">
        <f t="shared" ca="1" si="13"/>
        <v>0</v>
      </c>
      <c r="DB9" s="1482">
        <f t="shared" ca="1" si="13"/>
        <v>0</v>
      </c>
      <c r="DC9" s="1482">
        <f t="shared" ca="1" si="13"/>
        <v>0</v>
      </c>
      <c r="DD9" s="1482">
        <f t="shared" ca="1" si="13"/>
        <v>0</v>
      </c>
      <c r="DE9" s="1482">
        <f t="shared" ca="1" si="13"/>
        <v>0</v>
      </c>
      <c r="DF9" s="1482">
        <f t="shared" ca="1" si="13"/>
        <v>0</v>
      </c>
      <c r="DH9" s="838"/>
    </row>
    <row r="10" spans="1:112" s="743" customFormat="1" ht="10.5" hidden="1" customHeight="1" outlineLevel="2">
      <c r="A10" s="1483"/>
      <c r="B10" s="1483"/>
      <c r="C10" s="1009" t="s">
        <v>898</v>
      </c>
      <c r="D10" s="1483" t="str">
        <f>INDEX(Modules[Module], MATCH($C10, Modules[Code], 0))</f>
        <v>Domestic hot water [UNUSED - See IX.a]</v>
      </c>
      <c r="E10" s="1006"/>
      <c r="G10" s="1018">
        <f t="shared" ca="1" si="0"/>
        <v>0</v>
      </c>
      <c r="H10" s="1018">
        <f t="shared" ca="1" si="0"/>
        <v>0</v>
      </c>
      <c r="I10" s="1018">
        <f t="shared" ca="1" si="0"/>
        <v>0</v>
      </c>
      <c r="J10" s="1018">
        <f t="shared" ca="1" si="0"/>
        <v>0</v>
      </c>
      <c r="K10" s="1018">
        <f t="shared" ca="1" si="0"/>
        <v>0</v>
      </c>
      <c r="L10" s="1018">
        <f t="shared" ca="1" si="0"/>
        <v>0</v>
      </c>
      <c r="M10" s="1018">
        <f t="shared" ca="1" si="0"/>
        <v>0</v>
      </c>
      <c r="N10" s="1018">
        <f t="shared" ca="1" si="0"/>
        <v>0</v>
      </c>
      <c r="O10" s="1018">
        <f t="shared" ca="1" si="0"/>
        <v>0</v>
      </c>
      <c r="P10" s="1018">
        <f t="shared" ca="1" si="0"/>
        <v>0</v>
      </c>
      <c r="Q10" s="1024">
        <f t="shared" ca="1" si="1"/>
        <v>0</v>
      </c>
      <c r="S10" s="1028">
        <f t="shared" ca="1" si="2"/>
        <v>0</v>
      </c>
      <c r="T10" s="1028">
        <f t="shared" ca="1" si="2"/>
        <v>0</v>
      </c>
      <c r="U10" s="1028">
        <f t="shared" ca="1" si="2"/>
        <v>0</v>
      </c>
      <c r="V10" s="1028">
        <f t="shared" ca="1" si="2"/>
        <v>0</v>
      </c>
      <c r="W10" s="1028">
        <f t="shared" ca="1" si="2"/>
        <v>0</v>
      </c>
      <c r="X10" s="1028">
        <f t="shared" ca="1" si="3"/>
        <v>0</v>
      </c>
      <c r="Y10" s="1028">
        <f t="shared" ca="1" si="3"/>
        <v>0</v>
      </c>
      <c r="Z10" s="1028">
        <f t="shared" ca="1" si="3"/>
        <v>0</v>
      </c>
      <c r="AA10" s="1028">
        <f t="shared" ca="1" si="2"/>
        <v>0</v>
      </c>
      <c r="AB10" s="1028">
        <f t="shared" ca="1" si="2"/>
        <v>0</v>
      </c>
      <c r="AC10" s="1028">
        <f t="shared" ca="1" si="2"/>
        <v>0</v>
      </c>
      <c r="AD10" s="1028">
        <f t="shared" ca="1" si="2"/>
        <v>0</v>
      </c>
      <c r="AE10" s="1028">
        <f t="shared" ca="1" si="2"/>
        <v>0</v>
      </c>
      <c r="AF10" s="1028">
        <f t="shared" ca="1" si="2"/>
        <v>0</v>
      </c>
      <c r="AG10" s="1028">
        <f t="shared" ca="1" si="2"/>
        <v>0</v>
      </c>
      <c r="AH10" s="1028">
        <f t="shared" ca="1" si="2"/>
        <v>0</v>
      </c>
      <c r="AI10" s="1028">
        <f t="shared" ca="1" si="2"/>
        <v>0</v>
      </c>
      <c r="AJ10" s="1028">
        <f t="shared" ca="1" si="2"/>
        <v>0</v>
      </c>
      <c r="AK10" s="1029">
        <f t="shared" ca="1" si="4"/>
        <v>0</v>
      </c>
      <c r="AM10" s="1039">
        <f t="shared" ca="1" si="5"/>
        <v>0</v>
      </c>
      <c r="AN10" s="1039">
        <f t="shared" ca="1" si="5"/>
        <v>0</v>
      </c>
      <c r="AO10" s="1039">
        <f t="shared" ca="1" si="5"/>
        <v>0</v>
      </c>
      <c r="AP10" s="1039">
        <f t="shared" ca="1" si="5"/>
        <v>0</v>
      </c>
      <c r="AQ10" s="1039">
        <f t="shared" ca="1" si="5"/>
        <v>0</v>
      </c>
      <c r="AR10" s="1039">
        <f t="shared" ca="1" si="5"/>
        <v>0</v>
      </c>
      <c r="AS10" s="1039">
        <f t="shared" ca="1" si="5"/>
        <v>0</v>
      </c>
      <c r="AT10" s="1039">
        <f t="shared" ca="1" si="5"/>
        <v>0</v>
      </c>
      <c r="AU10" s="1039">
        <f t="shared" ca="1" si="5"/>
        <v>0</v>
      </c>
      <c r="AV10" s="1039">
        <f t="shared" ca="1" si="2"/>
        <v>0</v>
      </c>
      <c r="AW10" s="1039">
        <f t="shared" ca="1" si="2"/>
        <v>0</v>
      </c>
      <c r="AX10" s="1039">
        <f t="shared" ca="1" si="2"/>
        <v>0</v>
      </c>
      <c r="AY10" s="1039">
        <f t="shared" ca="1" si="2"/>
        <v>0</v>
      </c>
      <c r="AZ10" s="1039">
        <f t="shared" ca="1" si="2"/>
        <v>0</v>
      </c>
      <c r="BA10" s="1039">
        <f t="shared" ca="1" si="2"/>
        <v>0</v>
      </c>
      <c r="BB10" s="1039">
        <f t="shared" ca="1" si="2"/>
        <v>0</v>
      </c>
      <c r="BC10" s="1039">
        <f t="shared" ca="1" si="2"/>
        <v>0</v>
      </c>
      <c r="BD10" s="1039">
        <f t="shared" ca="1" si="2"/>
        <v>0</v>
      </c>
      <c r="BE10" s="1039">
        <f t="shared" ca="1" si="2"/>
        <v>0</v>
      </c>
      <c r="BF10" s="1008">
        <f t="shared" ca="1" si="6"/>
        <v>0</v>
      </c>
      <c r="BH10" s="1033">
        <f t="shared" ca="1" si="7"/>
        <v>0</v>
      </c>
      <c r="BI10" s="1033">
        <f t="shared" ca="1" si="7"/>
        <v>0</v>
      </c>
      <c r="BJ10" s="1044">
        <f t="shared" ca="1" si="8"/>
        <v>0</v>
      </c>
      <c r="BL10" s="1007">
        <f t="shared" ca="1" si="9"/>
        <v>0</v>
      </c>
      <c r="BM10" s="1007"/>
      <c r="BN10" s="840"/>
      <c r="BO10" s="1481">
        <f t="shared" ca="1" si="10"/>
        <v>0</v>
      </c>
      <c r="BP10" s="1482">
        <f t="shared" ca="1" si="10"/>
        <v>0</v>
      </c>
      <c r="BQ10" s="1482">
        <f t="shared" ca="1" si="10"/>
        <v>0</v>
      </c>
      <c r="BR10" s="1482">
        <f t="shared" ca="1" si="10"/>
        <v>0</v>
      </c>
      <c r="BS10" s="1482">
        <f t="shared" ca="1" si="10"/>
        <v>0</v>
      </c>
      <c r="BT10" s="1482">
        <f t="shared" ca="1" si="10"/>
        <v>0</v>
      </c>
      <c r="BU10" s="1482">
        <f t="shared" ca="1" si="10"/>
        <v>0</v>
      </c>
      <c r="BV10" s="1482">
        <f t="shared" ca="1" si="10"/>
        <v>0</v>
      </c>
      <c r="BW10" s="1482">
        <f t="shared" ca="1" si="10"/>
        <v>0</v>
      </c>
      <c r="BX10" s="1482">
        <f t="shared" ca="1" si="10"/>
        <v>0</v>
      </c>
      <c r="BY10" s="1482">
        <f t="shared" ca="1" si="11"/>
        <v>0</v>
      </c>
      <c r="BZ10" s="1482">
        <f t="shared" ca="1" si="11"/>
        <v>0</v>
      </c>
      <c r="CA10" s="1482">
        <f t="shared" ca="1" si="11"/>
        <v>0</v>
      </c>
      <c r="CB10" s="1482">
        <f t="shared" ca="1" si="11"/>
        <v>0</v>
      </c>
      <c r="CC10" s="1482">
        <f t="shared" ca="1" si="11"/>
        <v>0</v>
      </c>
      <c r="CD10" s="1482">
        <f t="shared" ca="1" si="11"/>
        <v>0</v>
      </c>
      <c r="CE10" s="1482">
        <f t="shared" ca="1" si="11"/>
        <v>0</v>
      </c>
      <c r="CF10" s="1482">
        <f t="shared" ca="1" si="11"/>
        <v>0</v>
      </c>
      <c r="CG10" s="1482">
        <f t="shared" ca="1" si="11"/>
        <v>0</v>
      </c>
      <c r="CH10" s="1482">
        <f t="shared" ca="1" si="11"/>
        <v>0</v>
      </c>
      <c r="CI10" s="1482">
        <f t="shared" ca="1" si="12"/>
        <v>0</v>
      </c>
      <c r="CJ10" s="1482">
        <f t="shared" ca="1" si="12"/>
        <v>0</v>
      </c>
      <c r="CK10" s="1482">
        <f t="shared" ca="1" si="12"/>
        <v>0</v>
      </c>
      <c r="CL10" s="1482">
        <f t="shared" ca="1" si="12"/>
        <v>0</v>
      </c>
      <c r="CM10" s="1482">
        <f t="shared" ca="1" si="12"/>
        <v>0</v>
      </c>
      <c r="CN10" s="1482">
        <f t="shared" ca="1" si="12"/>
        <v>0</v>
      </c>
      <c r="CO10" s="1482">
        <f t="shared" ca="1" si="12"/>
        <v>0</v>
      </c>
      <c r="CP10" s="1482">
        <f t="shared" ca="1" si="12"/>
        <v>0</v>
      </c>
      <c r="CQ10" s="1482">
        <f t="shared" ca="1" si="12"/>
        <v>0</v>
      </c>
      <c r="CR10" s="1482">
        <f t="shared" ca="1" si="12"/>
        <v>0</v>
      </c>
      <c r="CS10" s="1482">
        <f t="shared" ca="1" si="13"/>
        <v>0</v>
      </c>
      <c r="CT10" s="1482">
        <f t="shared" ca="1" si="13"/>
        <v>0</v>
      </c>
      <c r="CU10" s="1482">
        <f t="shared" ca="1" si="13"/>
        <v>0</v>
      </c>
      <c r="CV10" s="1482">
        <f t="shared" ca="1" si="13"/>
        <v>0</v>
      </c>
      <c r="CW10" s="1482">
        <f t="shared" ca="1" si="13"/>
        <v>0</v>
      </c>
      <c r="CX10" s="1482">
        <f t="shared" ca="1" si="13"/>
        <v>0</v>
      </c>
      <c r="CY10" s="1482">
        <f t="shared" ca="1" si="13"/>
        <v>0</v>
      </c>
      <c r="CZ10" s="1482">
        <f t="shared" ca="1" si="13"/>
        <v>0</v>
      </c>
      <c r="DA10" s="1482">
        <f t="shared" ca="1" si="13"/>
        <v>0</v>
      </c>
      <c r="DB10" s="1482">
        <f t="shared" ca="1" si="13"/>
        <v>0</v>
      </c>
      <c r="DC10" s="1482">
        <f t="shared" ca="1" si="13"/>
        <v>0</v>
      </c>
      <c r="DD10" s="1482">
        <f t="shared" ca="1" si="13"/>
        <v>0</v>
      </c>
      <c r="DE10" s="1482">
        <f t="shared" ca="1" si="13"/>
        <v>0</v>
      </c>
      <c r="DF10" s="1482">
        <f t="shared" ca="1" si="13"/>
        <v>0</v>
      </c>
      <c r="DH10" s="838"/>
    </row>
    <row r="11" spans="1:112" s="743" customFormat="1" ht="12.75" hidden="1" customHeight="1" outlineLevel="1" collapsed="1">
      <c r="A11" s="1484"/>
      <c r="B11" s="1484"/>
      <c r="C11" s="746"/>
      <c r="D11" s="1484" t="s">
        <v>947</v>
      </c>
      <c r="E11" s="521"/>
      <c r="G11" s="1019">
        <f ca="1">SUM(G9:G10)</f>
        <v>455.54925278536825</v>
      </c>
      <c r="H11" s="1019">
        <f t="shared" ref="H11:P11" ca="1" si="14">SUM(H9:H10)</f>
        <v>0</v>
      </c>
      <c r="I11" s="1019">
        <f t="shared" ca="1" si="14"/>
        <v>0</v>
      </c>
      <c r="J11" s="1019">
        <f t="shared" ca="1" si="14"/>
        <v>0</v>
      </c>
      <c r="K11" s="1019">
        <f t="shared" ca="1" si="14"/>
        <v>0</v>
      </c>
      <c r="L11" s="1019">
        <f t="shared" ca="1" si="14"/>
        <v>0</v>
      </c>
      <c r="M11" s="1019">
        <f t="shared" ca="1" si="14"/>
        <v>0</v>
      </c>
      <c r="N11" s="1019">
        <f t="shared" ca="1" si="14"/>
        <v>0</v>
      </c>
      <c r="O11" s="1019">
        <f t="shared" ca="1" si="14"/>
        <v>0</v>
      </c>
      <c r="P11" s="1019">
        <f t="shared" ca="1" si="14"/>
        <v>0</v>
      </c>
      <c r="Q11" s="1019">
        <f t="shared" ca="1" si="1"/>
        <v>455.54925278536825</v>
      </c>
      <c r="S11" s="1027">
        <f ca="1">SUM(S9:S10)</f>
        <v>-40.208501284271783</v>
      </c>
      <c r="T11" s="1027">
        <f t="shared" ref="T11:AJ11" ca="1" si="15">SUM(T9:T10)</f>
        <v>0</v>
      </c>
      <c r="U11" s="1027">
        <f t="shared" ca="1" si="15"/>
        <v>-8.9729383224903891</v>
      </c>
      <c r="V11" s="1027">
        <f t="shared" ca="1" si="15"/>
        <v>-8.0478931346047808</v>
      </c>
      <c r="W11" s="1027">
        <f t="shared" ca="1" si="15"/>
        <v>-398.31992004400138</v>
      </c>
      <c r="X11" s="1027">
        <f ca="1">SUM(X9:X10)</f>
        <v>0</v>
      </c>
      <c r="Y11" s="1027">
        <f ca="1">SUM(Y9:Y10)</f>
        <v>0</v>
      </c>
      <c r="Z11" s="1027">
        <f ca="1">SUM(Z9:Z10)</f>
        <v>0</v>
      </c>
      <c r="AA11" s="1027">
        <f t="shared" ca="1" si="15"/>
        <v>0</v>
      </c>
      <c r="AB11" s="1027">
        <f t="shared" ca="1" si="15"/>
        <v>0</v>
      </c>
      <c r="AC11" s="1027">
        <f t="shared" ca="1" si="15"/>
        <v>0</v>
      </c>
      <c r="AD11" s="1027">
        <f ca="1">SUM(AD9:AD10)</f>
        <v>0</v>
      </c>
      <c r="AE11" s="1027">
        <f ca="1">SUM(AE9:AE10)</f>
        <v>0</v>
      </c>
      <c r="AF11" s="1027">
        <f t="shared" ca="1" si="15"/>
        <v>0</v>
      </c>
      <c r="AG11" s="1027">
        <f ca="1">SUM(AG9:AG10)</f>
        <v>0</v>
      </c>
      <c r="AH11" s="1027">
        <f ca="1">SUM(AH9:AH10)</f>
        <v>0</v>
      </c>
      <c r="AI11" s="1027">
        <f ca="1">SUM(AI9:AI10)</f>
        <v>0</v>
      </c>
      <c r="AJ11" s="1027">
        <f t="shared" ca="1" si="15"/>
        <v>0</v>
      </c>
      <c r="AK11" s="1027">
        <f t="shared" ca="1" si="4"/>
        <v>-455.54925278536831</v>
      </c>
      <c r="AM11" s="1040">
        <f t="shared" ref="AM11:BE11" ca="1" si="16">SUM(AM9:AM10)</f>
        <v>0</v>
      </c>
      <c r="AN11" s="1040">
        <f t="shared" ca="1" si="16"/>
        <v>0</v>
      </c>
      <c r="AO11" s="1040">
        <f t="shared" ca="1" si="16"/>
        <v>0</v>
      </c>
      <c r="AP11" s="1040">
        <f t="shared" ca="1" si="16"/>
        <v>0</v>
      </c>
      <c r="AQ11" s="1040">
        <f t="shared" ca="1" si="16"/>
        <v>0</v>
      </c>
      <c r="AR11" s="1040">
        <f t="shared" ca="1" si="16"/>
        <v>0</v>
      </c>
      <c r="AS11" s="1040">
        <f t="shared" ca="1" si="16"/>
        <v>0</v>
      </c>
      <c r="AT11" s="1040">
        <f t="shared" ca="1" si="16"/>
        <v>0</v>
      </c>
      <c r="AU11" s="1040">
        <f t="shared" ca="1" si="16"/>
        <v>0</v>
      </c>
      <c r="AV11" s="1040">
        <f t="shared" ca="1" si="16"/>
        <v>0</v>
      </c>
      <c r="AW11" s="1040">
        <f t="shared" ca="1" si="16"/>
        <v>0</v>
      </c>
      <c r="AX11" s="1040">
        <f t="shared" ca="1" si="16"/>
        <v>0</v>
      </c>
      <c r="AY11" s="1040">
        <f t="shared" ca="1" si="16"/>
        <v>0</v>
      </c>
      <c r="AZ11" s="1040">
        <f t="shared" ca="1" si="16"/>
        <v>0</v>
      </c>
      <c r="BA11" s="1040">
        <f t="shared" ca="1" si="16"/>
        <v>0</v>
      </c>
      <c r="BB11" s="1040">
        <f t="shared" ca="1" si="16"/>
        <v>0</v>
      </c>
      <c r="BC11" s="1040">
        <f t="shared" ca="1" si="16"/>
        <v>0</v>
      </c>
      <c r="BD11" s="1040">
        <f t="shared" ca="1" si="16"/>
        <v>0</v>
      </c>
      <c r="BE11" s="1040">
        <f t="shared" ca="1" si="16"/>
        <v>0</v>
      </c>
      <c r="BF11" s="979">
        <f t="shared" ca="1" si="6"/>
        <v>0</v>
      </c>
      <c r="BH11" s="1034">
        <f ca="1">SUM(BH9:BH10)</f>
        <v>0</v>
      </c>
      <c r="BI11" s="1034">
        <f ca="1">SUM(BI9:BI10)</f>
        <v>0</v>
      </c>
      <c r="BJ11" s="1034">
        <f t="shared" ca="1" si="8"/>
        <v>0</v>
      </c>
      <c r="BL11" s="814">
        <f t="shared" ca="1" si="9"/>
        <v>-5.6843418860808015E-14</v>
      </c>
      <c r="BM11" s="814"/>
      <c r="BN11" s="840"/>
      <c r="BO11" s="1481">
        <f t="shared" ref="BO11:DF11" ca="1" si="17">SUM(BO9:BO10)</f>
        <v>78.066503575074478</v>
      </c>
      <c r="BP11" s="1482">
        <f t="shared" ca="1" si="17"/>
        <v>0.15753403987318462</v>
      </c>
      <c r="BQ11" s="1482">
        <f t="shared" ca="1" si="17"/>
        <v>0.21869086210235725</v>
      </c>
      <c r="BR11" s="1482">
        <f t="shared" ca="1" si="17"/>
        <v>0</v>
      </c>
      <c r="BS11" s="1482">
        <f t="shared" ca="1" si="17"/>
        <v>0</v>
      </c>
      <c r="BT11" s="1482">
        <f t="shared" ca="1" si="17"/>
        <v>0</v>
      </c>
      <c r="BU11" s="1482">
        <f t="shared" ca="1" si="17"/>
        <v>0</v>
      </c>
      <c r="BV11" s="1482">
        <f t="shared" ca="1" si="17"/>
        <v>0</v>
      </c>
      <c r="BW11" s="1482">
        <f t="shared" ca="1" si="17"/>
        <v>0</v>
      </c>
      <c r="BX11" s="1482">
        <f t="shared" ca="1" si="17"/>
        <v>0</v>
      </c>
      <c r="BY11" s="1482">
        <f t="shared" ca="1" si="17"/>
        <v>0</v>
      </c>
      <c r="BZ11" s="1482">
        <f t="shared" ca="1" si="17"/>
        <v>0</v>
      </c>
      <c r="CA11" s="1482">
        <f t="shared" ca="1" si="17"/>
        <v>0</v>
      </c>
      <c r="CB11" s="1482">
        <f t="shared" ca="1" si="17"/>
        <v>0</v>
      </c>
      <c r="CC11" s="1482">
        <f t="shared" ca="1" si="17"/>
        <v>0</v>
      </c>
      <c r="CD11" s="1482">
        <f t="shared" ca="1" si="17"/>
        <v>0</v>
      </c>
      <c r="CE11" s="1482">
        <f t="shared" ca="1" si="17"/>
        <v>0</v>
      </c>
      <c r="CF11" s="1482">
        <f t="shared" ca="1" si="17"/>
        <v>0</v>
      </c>
      <c r="CG11" s="1482">
        <f t="shared" ca="1" si="17"/>
        <v>0</v>
      </c>
      <c r="CH11" s="1482">
        <f t="shared" ca="1" si="17"/>
        <v>0</v>
      </c>
      <c r="CI11" s="1482">
        <f t="shared" ca="1" si="17"/>
        <v>0</v>
      </c>
      <c r="CJ11" s="1482">
        <f t="shared" ca="1" si="17"/>
        <v>0</v>
      </c>
      <c r="CK11" s="1482">
        <f t="shared" ca="1" si="17"/>
        <v>0</v>
      </c>
      <c r="CL11" s="1482">
        <f t="shared" ca="1" si="17"/>
        <v>0</v>
      </c>
      <c r="CM11" s="1482">
        <f t="shared" ca="1" si="17"/>
        <v>0</v>
      </c>
      <c r="CN11" s="1482">
        <f t="shared" ca="1" si="17"/>
        <v>0</v>
      </c>
      <c r="CO11" s="1482">
        <f t="shared" ca="1" si="17"/>
        <v>0</v>
      </c>
      <c r="CP11" s="1482">
        <f t="shared" ca="1" si="17"/>
        <v>0</v>
      </c>
      <c r="CQ11" s="1482">
        <f t="shared" ca="1" si="17"/>
        <v>0</v>
      </c>
      <c r="CR11" s="1482">
        <f t="shared" ca="1" si="17"/>
        <v>0</v>
      </c>
      <c r="CS11" s="1482">
        <f t="shared" ca="1" si="17"/>
        <v>0</v>
      </c>
      <c r="CT11" s="1482">
        <f t="shared" ca="1" si="17"/>
        <v>0</v>
      </c>
      <c r="CU11" s="1482">
        <f t="shared" ca="1" si="17"/>
        <v>0</v>
      </c>
      <c r="CV11" s="1482">
        <f t="shared" ca="1" si="17"/>
        <v>0</v>
      </c>
      <c r="CW11" s="1482">
        <f t="shared" ca="1" si="17"/>
        <v>0</v>
      </c>
      <c r="CX11" s="1482">
        <f t="shared" ca="1" si="17"/>
        <v>0</v>
      </c>
      <c r="CY11" s="1482">
        <f t="shared" ca="1" si="17"/>
        <v>0</v>
      </c>
      <c r="CZ11" s="1482">
        <f t="shared" ca="1" si="17"/>
        <v>0</v>
      </c>
      <c r="DA11" s="1482">
        <f t="shared" ca="1" si="17"/>
        <v>0</v>
      </c>
      <c r="DB11" s="1482">
        <f t="shared" ca="1" si="17"/>
        <v>0</v>
      </c>
      <c r="DC11" s="1482">
        <f t="shared" ca="1" si="17"/>
        <v>0</v>
      </c>
      <c r="DD11" s="1482">
        <f t="shared" ca="1" si="17"/>
        <v>0</v>
      </c>
      <c r="DE11" s="1482">
        <f t="shared" ca="1" si="17"/>
        <v>0</v>
      </c>
      <c r="DF11" s="1482">
        <f t="shared" ca="1" si="17"/>
        <v>0</v>
      </c>
      <c r="DH11" s="838"/>
    </row>
    <row r="12" spans="1:112" s="743" customFormat="1" ht="10.5" hidden="1" customHeight="1" outlineLevel="2">
      <c r="A12" s="1480"/>
      <c r="B12" s="1480"/>
      <c r="C12" s="746" t="s">
        <v>945</v>
      </c>
      <c r="D12" s="1480" t="str">
        <f>INDEX(Modules[Module], MATCH($C12, Modules[Code], 0))</f>
        <v>Commercial heating and cooling</v>
      </c>
      <c r="E12" s="1006"/>
      <c r="G12" s="1017">
        <f t="shared" ca="1" si="0"/>
        <v>135.4332467228455</v>
      </c>
      <c r="H12" s="1017">
        <f t="shared" ca="1" si="0"/>
        <v>0</v>
      </c>
      <c r="I12" s="1017">
        <f t="shared" ca="1" si="0"/>
        <v>0</v>
      </c>
      <c r="J12" s="1017">
        <f t="shared" ca="1" si="0"/>
        <v>0</v>
      </c>
      <c r="K12" s="1017">
        <f t="shared" ca="1" si="0"/>
        <v>0</v>
      </c>
      <c r="L12" s="1017">
        <f t="shared" ca="1" si="0"/>
        <v>0</v>
      </c>
      <c r="M12" s="1017">
        <f t="shared" ca="1" si="0"/>
        <v>0</v>
      </c>
      <c r="N12" s="1017">
        <f t="shared" ca="1" si="0"/>
        <v>0</v>
      </c>
      <c r="O12" s="1017">
        <f t="shared" ca="1" si="0"/>
        <v>0</v>
      </c>
      <c r="P12" s="1017">
        <f t="shared" ca="1" si="0"/>
        <v>0</v>
      </c>
      <c r="Q12" s="1019">
        <f t="shared" ca="1" si="1"/>
        <v>135.4332467228455</v>
      </c>
      <c r="S12" s="1026">
        <f t="shared" ca="1" si="2"/>
        <v>-35.541507779304595</v>
      </c>
      <c r="T12" s="1026">
        <f t="shared" ca="1" si="2"/>
        <v>0</v>
      </c>
      <c r="U12" s="1026">
        <f t="shared" ca="1" si="2"/>
        <v>0</v>
      </c>
      <c r="V12" s="1026">
        <f t="shared" ca="1" si="2"/>
        <v>-7.8977446745454811</v>
      </c>
      <c r="W12" s="1026">
        <f t="shared" ca="1" si="2"/>
        <v>-91.993994268995408</v>
      </c>
      <c r="X12" s="1026">
        <f t="shared" ref="X12:Z13" ca="1" si="18">IFERROR(INDEX(INDIRECT($C12&amp;".Outputs["&amp;this.Year&amp;"]"), MATCH(X$5, INDIRECT($C12&amp;".Outputs[Vector]"), 0)), 0)</f>
        <v>0</v>
      </c>
      <c r="Y12" s="1026">
        <f t="shared" ca="1" si="18"/>
        <v>0</v>
      </c>
      <c r="Z12" s="1026">
        <f t="shared" ca="1" si="18"/>
        <v>0</v>
      </c>
      <c r="AA12" s="1026">
        <f t="shared" ca="1" si="2"/>
        <v>0</v>
      </c>
      <c r="AB12" s="1026">
        <f t="shared" ca="1" si="2"/>
        <v>0</v>
      </c>
      <c r="AC12" s="1026">
        <f t="shared" ca="1" si="2"/>
        <v>0</v>
      </c>
      <c r="AD12" s="1026">
        <f t="shared" ca="1" si="2"/>
        <v>0</v>
      </c>
      <c r="AE12" s="1026">
        <f t="shared" ca="1" si="2"/>
        <v>0</v>
      </c>
      <c r="AF12" s="1026">
        <f t="shared" ca="1" si="2"/>
        <v>0</v>
      </c>
      <c r="AG12" s="1026">
        <f t="shared" ca="1" si="2"/>
        <v>0</v>
      </c>
      <c r="AH12" s="1026">
        <f t="shared" ca="1" si="2"/>
        <v>0</v>
      </c>
      <c r="AI12" s="1026">
        <f t="shared" ca="1" si="2"/>
        <v>0</v>
      </c>
      <c r="AJ12" s="1026">
        <f t="shared" ca="1" si="2"/>
        <v>0</v>
      </c>
      <c r="AK12" s="1027">
        <f t="shared" ca="1" si="4"/>
        <v>-135.43324672284547</v>
      </c>
      <c r="AM12" s="1038">
        <f t="shared" ref="AM12:AU13" ca="1" si="19">IFERROR(INDEX(INDIRECT($C12&amp;".Outputs["&amp;this.Year&amp;"]"), MATCH(AM$5, INDIRECT($C12&amp;".Outputs[Vector]"), 0)), 0)</f>
        <v>0</v>
      </c>
      <c r="AN12" s="1038">
        <f t="shared" ca="1" si="19"/>
        <v>0</v>
      </c>
      <c r="AO12" s="1038">
        <f t="shared" ca="1" si="19"/>
        <v>0</v>
      </c>
      <c r="AP12" s="1038">
        <f t="shared" ca="1" si="19"/>
        <v>0</v>
      </c>
      <c r="AQ12" s="1038">
        <f t="shared" ca="1" si="19"/>
        <v>0</v>
      </c>
      <c r="AR12" s="1038">
        <f t="shared" ca="1" si="19"/>
        <v>0</v>
      </c>
      <c r="AS12" s="1038">
        <f t="shared" ca="1" si="19"/>
        <v>0</v>
      </c>
      <c r="AT12" s="1038">
        <f t="shared" ca="1" si="19"/>
        <v>0</v>
      </c>
      <c r="AU12" s="1038">
        <f t="shared" ca="1" si="19"/>
        <v>0</v>
      </c>
      <c r="AV12" s="1038">
        <f t="shared" ca="1" si="2"/>
        <v>0</v>
      </c>
      <c r="AW12" s="1038">
        <f t="shared" ca="1" si="2"/>
        <v>0</v>
      </c>
      <c r="AX12" s="1038">
        <f t="shared" ca="1" si="2"/>
        <v>0</v>
      </c>
      <c r="AY12" s="1038">
        <f t="shared" ca="1" si="2"/>
        <v>0</v>
      </c>
      <c r="AZ12" s="1038">
        <f t="shared" ca="1" si="2"/>
        <v>0</v>
      </c>
      <c r="BA12" s="1038">
        <f t="shared" ca="1" si="2"/>
        <v>0</v>
      </c>
      <c r="BB12" s="1038">
        <f t="shared" ca="1" si="2"/>
        <v>0</v>
      </c>
      <c r="BC12" s="1038">
        <f t="shared" ca="1" si="2"/>
        <v>0</v>
      </c>
      <c r="BD12" s="1038">
        <f t="shared" ca="1" si="2"/>
        <v>0</v>
      </c>
      <c r="BE12" s="1038">
        <f t="shared" ca="1" si="2"/>
        <v>0</v>
      </c>
      <c r="BF12" s="977">
        <f t="shared" ca="1" si="6"/>
        <v>0</v>
      </c>
      <c r="BH12" s="1032">
        <f t="shared" ca="1" si="7"/>
        <v>0</v>
      </c>
      <c r="BI12" s="1032">
        <f t="shared" ca="1" si="7"/>
        <v>0</v>
      </c>
      <c r="BJ12" s="1034">
        <f t="shared" ca="1" si="8"/>
        <v>0</v>
      </c>
      <c r="BL12" s="524">
        <f t="shared" ca="1" si="9"/>
        <v>2.8421709430404007E-14</v>
      </c>
      <c r="BM12" s="524"/>
      <c r="BN12" s="840"/>
      <c r="BO12" s="1481">
        <f t="shared" ref="BO12:BX13" ca="1" si="20">IFERROR(SUMIFS(INDIRECT($C12&amp;".Emissions["&amp;this.Year&amp;"]"), INDIRECT($C12&amp;".Emissions[GHG]"), BO$6, INDIRECT($C12&amp;".Emissions[IPCC Sector]"), BO$5),0)</f>
        <v>18.901331114131523</v>
      </c>
      <c r="BP12" s="1482">
        <f t="shared" ca="1" si="20"/>
        <v>3.6387884239927212E-2</v>
      </c>
      <c r="BQ12" s="1482">
        <f t="shared" ca="1" si="20"/>
        <v>7.2017214807104074E-2</v>
      </c>
      <c r="BR12" s="1482">
        <f t="shared" ca="1" si="20"/>
        <v>0</v>
      </c>
      <c r="BS12" s="1482">
        <f t="shared" ca="1" si="20"/>
        <v>0</v>
      </c>
      <c r="BT12" s="1482">
        <f t="shared" ca="1" si="20"/>
        <v>0</v>
      </c>
      <c r="BU12" s="1482">
        <f t="shared" ca="1" si="20"/>
        <v>0</v>
      </c>
      <c r="BV12" s="1482">
        <f t="shared" ca="1" si="20"/>
        <v>0</v>
      </c>
      <c r="BW12" s="1482">
        <f t="shared" ca="1" si="20"/>
        <v>0</v>
      </c>
      <c r="BX12" s="1482">
        <f t="shared" ca="1" si="20"/>
        <v>0</v>
      </c>
      <c r="BY12" s="1482">
        <f t="shared" ref="BY12:CH13" ca="1" si="21">IFERROR(SUMIFS(INDIRECT($C12&amp;".Emissions["&amp;this.Year&amp;"]"), INDIRECT($C12&amp;".Emissions[GHG]"), BY$6, INDIRECT($C12&amp;".Emissions[IPCC Sector]"), BY$5),0)</f>
        <v>0</v>
      </c>
      <c r="BZ12" s="1482">
        <f t="shared" ca="1" si="21"/>
        <v>0</v>
      </c>
      <c r="CA12" s="1482">
        <f t="shared" ca="1" si="21"/>
        <v>0</v>
      </c>
      <c r="CB12" s="1482">
        <f t="shared" ca="1" si="21"/>
        <v>0</v>
      </c>
      <c r="CC12" s="1482">
        <f t="shared" ca="1" si="21"/>
        <v>0</v>
      </c>
      <c r="CD12" s="1482">
        <f t="shared" ca="1" si="21"/>
        <v>0</v>
      </c>
      <c r="CE12" s="1482">
        <f t="shared" ca="1" si="21"/>
        <v>0</v>
      </c>
      <c r="CF12" s="1482">
        <f t="shared" ca="1" si="21"/>
        <v>0</v>
      </c>
      <c r="CG12" s="1482">
        <f t="shared" ca="1" si="21"/>
        <v>0</v>
      </c>
      <c r="CH12" s="1482">
        <f t="shared" ca="1" si="21"/>
        <v>0</v>
      </c>
      <c r="CI12" s="1482">
        <f t="shared" ref="CI12:CR13" ca="1" si="22">IFERROR(SUMIFS(INDIRECT($C12&amp;".Emissions["&amp;this.Year&amp;"]"), INDIRECT($C12&amp;".Emissions[GHG]"), CI$6, INDIRECT($C12&amp;".Emissions[IPCC Sector]"), CI$5),0)</f>
        <v>0</v>
      </c>
      <c r="CJ12" s="1482">
        <f t="shared" ca="1" si="22"/>
        <v>0</v>
      </c>
      <c r="CK12" s="1482">
        <f t="shared" ca="1" si="22"/>
        <v>0</v>
      </c>
      <c r="CL12" s="1482">
        <f t="shared" ca="1" si="22"/>
        <v>0</v>
      </c>
      <c r="CM12" s="1482">
        <f t="shared" ca="1" si="22"/>
        <v>0</v>
      </c>
      <c r="CN12" s="1482">
        <f t="shared" ca="1" si="22"/>
        <v>0</v>
      </c>
      <c r="CO12" s="1482">
        <f t="shared" ca="1" si="22"/>
        <v>0</v>
      </c>
      <c r="CP12" s="1482">
        <f t="shared" ca="1" si="22"/>
        <v>0</v>
      </c>
      <c r="CQ12" s="1482">
        <f t="shared" ca="1" si="22"/>
        <v>0</v>
      </c>
      <c r="CR12" s="1482">
        <f t="shared" ca="1" si="22"/>
        <v>0</v>
      </c>
      <c r="CS12" s="1482">
        <f t="shared" ref="CS12:DF13" ca="1" si="23">IFERROR(SUMIFS(INDIRECT($C12&amp;".Emissions["&amp;this.Year&amp;"]"), INDIRECT($C12&amp;".Emissions[GHG]"), CS$6, INDIRECT($C12&amp;".Emissions[IPCC Sector]"), CS$5),0)</f>
        <v>0</v>
      </c>
      <c r="CT12" s="1482">
        <f t="shared" ca="1" si="23"/>
        <v>0</v>
      </c>
      <c r="CU12" s="1482">
        <f t="shared" ca="1" si="23"/>
        <v>0</v>
      </c>
      <c r="CV12" s="1482">
        <f t="shared" ca="1" si="23"/>
        <v>0</v>
      </c>
      <c r="CW12" s="1482">
        <f t="shared" ca="1" si="23"/>
        <v>0</v>
      </c>
      <c r="CX12" s="1482">
        <f t="shared" ca="1" si="23"/>
        <v>0</v>
      </c>
      <c r="CY12" s="1482">
        <f t="shared" ca="1" si="23"/>
        <v>0</v>
      </c>
      <c r="CZ12" s="1482">
        <f t="shared" ca="1" si="23"/>
        <v>0</v>
      </c>
      <c r="DA12" s="1482">
        <f t="shared" ca="1" si="23"/>
        <v>0</v>
      </c>
      <c r="DB12" s="1482">
        <f t="shared" ca="1" si="23"/>
        <v>0</v>
      </c>
      <c r="DC12" s="1482">
        <f t="shared" ca="1" si="23"/>
        <v>0</v>
      </c>
      <c r="DD12" s="1482">
        <f t="shared" ca="1" si="23"/>
        <v>0</v>
      </c>
      <c r="DE12" s="1482">
        <f t="shared" ca="1" si="23"/>
        <v>0</v>
      </c>
      <c r="DF12" s="1482">
        <f t="shared" ca="1" si="23"/>
        <v>0</v>
      </c>
      <c r="DH12" s="838"/>
    </row>
    <row r="13" spans="1:112" s="743" customFormat="1" ht="10.5" hidden="1" customHeight="1" outlineLevel="2">
      <c r="A13" s="1483"/>
      <c r="B13" s="1483"/>
      <c r="C13" s="1009" t="s">
        <v>946</v>
      </c>
      <c r="D13" s="1483" t="str">
        <f>INDEX(Modules[Module], MATCH($C13, Modules[Code], 0))</f>
        <v>Commercial hot water [UNUSED - See IX.c]</v>
      </c>
      <c r="E13" s="1006"/>
      <c r="G13" s="1018">
        <f t="shared" ca="1" si="0"/>
        <v>0</v>
      </c>
      <c r="H13" s="1018">
        <f t="shared" ca="1" si="0"/>
        <v>0</v>
      </c>
      <c r="I13" s="1018">
        <f t="shared" ca="1" si="0"/>
        <v>0</v>
      </c>
      <c r="J13" s="1018">
        <f t="shared" ca="1" si="0"/>
        <v>0</v>
      </c>
      <c r="K13" s="1018">
        <f t="shared" ca="1" si="0"/>
        <v>0</v>
      </c>
      <c r="L13" s="1018">
        <f t="shared" ca="1" si="0"/>
        <v>0</v>
      </c>
      <c r="M13" s="1018">
        <f t="shared" ca="1" si="0"/>
        <v>0</v>
      </c>
      <c r="N13" s="1018">
        <f t="shared" ca="1" si="0"/>
        <v>0</v>
      </c>
      <c r="O13" s="1018">
        <f t="shared" ca="1" si="0"/>
        <v>0</v>
      </c>
      <c r="P13" s="1018">
        <f t="shared" ca="1" si="0"/>
        <v>0</v>
      </c>
      <c r="Q13" s="1024">
        <f t="shared" ca="1" si="1"/>
        <v>0</v>
      </c>
      <c r="S13" s="1028">
        <f t="shared" ca="1" si="2"/>
        <v>0</v>
      </c>
      <c r="T13" s="1028">
        <f t="shared" ca="1" si="2"/>
        <v>0</v>
      </c>
      <c r="U13" s="1028">
        <f t="shared" ca="1" si="2"/>
        <v>0</v>
      </c>
      <c r="V13" s="1028">
        <f t="shared" ca="1" si="2"/>
        <v>0</v>
      </c>
      <c r="W13" s="1028">
        <f t="shared" ca="1" si="2"/>
        <v>0</v>
      </c>
      <c r="X13" s="1028">
        <f t="shared" ca="1" si="18"/>
        <v>0</v>
      </c>
      <c r="Y13" s="1028">
        <f t="shared" ca="1" si="18"/>
        <v>0</v>
      </c>
      <c r="Z13" s="1028">
        <f t="shared" ca="1" si="18"/>
        <v>0</v>
      </c>
      <c r="AA13" s="1028">
        <f t="shared" ca="1" si="2"/>
        <v>0</v>
      </c>
      <c r="AB13" s="1028">
        <f t="shared" ca="1" si="2"/>
        <v>0</v>
      </c>
      <c r="AC13" s="1028">
        <f t="shared" ca="1" si="2"/>
        <v>0</v>
      </c>
      <c r="AD13" s="1028">
        <f t="shared" ca="1" si="2"/>
        <v>0</v>
      </c>
      <c r="AE13" s="1028">
        <f t="shared" ca="1" si="2"/>
        <v>0</v>
      </c>
      <c r="AF13" s="1028">
        <f t="shared" ca="1" si="2"/>
        <v>0</v>
      </c>
      <c r="AG13" s="1028">
        <f t="shared" ca="1" si="2"/>
        <v>0</v>
      </c>
      <c r="AH13" s="1028">
        <f t="shared" ca="1" si="2"/>
        <v>0</v>
      </c>
      <c r="AI13" s="1028">
        <f t="shared" ca="1" si="2"/>
        <v>0</v>
      </c>
      <c r="AJ13" s="1028">
        <f t="shared" ca="1" si="2"/>
        <v>0</v>
      </c>
      <c r="AK13" s="1029">
        <f t="shared" ca="1" si="4"/>
        <v>0</v>
      </c>
      <c r="AM13" s="1039">
        <f t="shared" ca="1" si="19"/>
        <v>0</v>
      </c>
      <c r="AN13" s="1039">
        <f t="shared" ca="1" si="19"/>
        <v>0</v>
      </c>
      <c r="AO13" s="1039">
        <f t="shared" ca="1" si="19"/>
        <v>0</v>
      </c>
      <c r="AP13" s="1039">
        <f t="shared" ca="1" si="19"/>
        <v>0</v>
      </c>
      <c r="AQ13" s="1039">
        <f t="shared" ca="1" si="19"/>
        <v>0</v>
      </c>
      <c r="AR13" s="1039">
        <f t="shared" ca="1" si="19"/>
        <v>0</v>
      </c>
      <c r="AS13" s="1039">
        <f t="shared" ca="1" si="19"/>
        <v>0</v>
      </c>
      <c r="AT13" s="1039">
        <f t="shared" ca="1" si="19"/>
        <v>0</v>
      </c>
      <c r="AU13" s="1039">
        <f t="shared" ca="1" si="19"/>
        <v>0</v>
      </c>
      <c r="AV13" s="1039">
        <f t="shared" ca="1" si="2"/>
        <v>0</v>
      </c>
      <c r="AW13" s="1039">
        <f t="shared" ca="1" si="2"/>
        <v>0</v>
      </c>
      <c r="AX13" s="1039">
        <f t="shared" ca="1" si="2"/>
        <v>0</v>
      </c>
      <c r="AY13" s="1039">
        <f t="shared" ca="1" si="2"/>
        <v>0</v>
      </c>
      <c r="AZ13" s="1039">
        <f t="shared" ca="1" si="2"/>
        <v>0</v>
      </c>
      <c r="BA13" s="1039">
        <f t="shared" ca="1" si="2"/>
        <v>0</v>
      </c>
      <c r="BB13" s="1039">
        <f t="shared" ca="1" si="2"/>
        <v>0</v>
      </c>
      <c r="BC13" s="1039">
        <f t="shared" ca="1" si="2"/>
        <v>0</v>
      </c>
      <c r="BD13" s="1039">
        <f t="shared" ca="1" si="2"/>
        <v>0</v>
      </c>
      <c r="BE13" s="1039">
        <f t="shared" ca="1" si="2"/>
        <v>0</v>
      </c>
      <c r="BF13" s="1008">
        <f t="shared" ca="1" si="6"/>
        <v>0</v>
      </c>
      <c r="BH13" s="1033">
        <f t="shared" ca="1" si="7"/>
        <v>0</v>
      </c>
      <c r="BI13" s="1033">
        <f t="shared" ca="1" si="7"/>
        <v>0</v>
      </c>
      <c r="BJ13" s="1044">
        <f t="shared" ca="1" si="8"/>
        <v>0</v>
      </c>
      <c r="BL13" s="1007">
        <f t="shared" ca="1" si="9"/>
        <v>0</v>
      </c>
      <c r="BM13" s="1007"/>
      <c r="BN13" s="840"/>
      <c r="BO13" s="1481">
        <f t="shared" ca="1" si="20"/>
        <v>0</v>
      </c>
      <c r="BP13" s="1482">
        <f t="shared" ca="1" si="20"/>
        <v>0</v>
      </c>
      <c r="BQ13" s="1482">
        <f t="shared" ca="1" si="20"/>
        <v>0</v>
      </c>
      <c r="BR13" s="1482">
        <f t="shared" ca="1" si="20"/>
        <v>0</v>
      </c>
      <c r="BS13" s="1482">
        <f t="shared" ca="1" si="20"/>
        <v>0</v>
      </c>
      <c r="BT13" s="1482">
        <f t="shared" ca="1" si="20"/>
        <v>0</v>
      </c>
      <c r="BU13" s="1482">
        <f t="shared" ca="1" si="20"/>
        <v>0</v>
      </c>
      <c r="BV13" s="1482">
        <f t="shared" ca="1" si="20"/>
        <v>0</v>
      </c>
      <c r="BW13" s="1482">
        <f t="shared" ca="1" si="20"/>
        <v>0</v>
      </c>
      <c r="BX13" s="1482">
        <f t="shared" ca="1" si="20"/>
        <v>0</v>
      </c>
      <c r="BY13" s="1482">
        <f t="shared" ca="1" si="21"/>
        <v>0</v>
      </c>
      <c r="BZ13" s="1482">
        <f t="shared" ca="1" si="21"/>
        <v>0</v>
      </c>
      <c r="CA13" s="1482">
        <f t="shared" ca="1" si="21"/>
        <v>0</v>
      </c>
      <c r="CB13" s="1482">
        <f t="shared" ca="1" si="21"/>
        <v>0</v>
      </c>
      <c r="CC13" s="1482">
        <f t="shared" ca="1" si="21"/>
        <v>0</v>
      </c>
      <c r="CD13" s="1482">
        <f t="shared" ca="1" si="21"/>
        <v>0</v>
      </c>
      <c r="CE13" s="1482">
        <f t="shared" ca="1" si="21"/>
        <v>0</v>
      </c>
      <c r="CF13" s="1482">
        <f t="shared" ca="1" si="21"/>
        <v>0</v>
      </c>
      <c r="CG13" s="1482">
        <f t="shared" ca="1" si="21"/>
        <v>0</v>
      </c>
      <c r="CH13" s="1482">
        <f t="shared" ca="1" si="21"/>
        <v>0</v>
      </c>
      <c r="CI13" s="1482">
        <f t="shared" ca="1" si="22"/>
        <v>0</v>
      </c>
      <c r="CJ13" s="1482">
        <f t="shared" ca="1" si="22"/>
        <v>0</v>
      </c>
      <c r="CK13" s="1482">
        <f t="shared" ca="1" si="22"/>
        <v>0</v>
      </c>
      <c r="CL13" s="1482">
        <f t="shared" ca="1" si="22"/>
        <v>0</v>
      </c>
      <c r="CM13" s="1482">
        <f t="shared" ca="1" si="22"/>
        <v>0</v>
      </c>
      <c r="CN13" s="1482">
        <f t="shared" ca="1" si="22"/>
        <v>0</v>
      </c>
      <c r="CO13" s="1482">
        <f t="shared" ca="1" si="22"/>
        <v>0</v>
      </c>
      <c r="CP13" s="1482">
        <f t="shared" ca="1" si="22"/>
        <v>0</v>
      </c>
      <c r="CQ13" s="1482">
        <f t="shared" ca="1" si="22"/>
        <v>0</v>
      </c>
      <c r="CR13" s="1482">
        <f t="shared" ca="1" si="22"/>
        <v>0</v>
      </c>
      <c r="CS13" s="1482">
        <f t="shared" ca="1" si="23"/>
        <v>0</v>
      </c>
      <c r="CT13" s="1482">
        <f t="shared" ca="1" si="23"/>
        <v>0</v>
      </c>
      <c r="CU13" s="1482">
        <f t="shared" ca="1" si="23"/>
        <v>0</v>
      </c>
      <c r="CV13" s="1482">
        <f t="shared" ca="1" si="23"/>
        <v>0</v>
      </c>
      <c r="CW13" s="1482">
        <f t="shared" ca="1" si="23"/>
        <v>0</v>
      </c>
      <c r="CX13" s="1482">
        <f t="shared" ca="1" si="23"/>
        <v>0</v>
      </c>
      <c r="CY13" s="1482">
        <f t="shared" ca="1" si="23"/>
        <v>0</v>
      </c>
      <c r="CZ13" s="1482">
        <f t="shared" ca="1" si="23"/>
        <v>0</v>
      </c>
      <c r="DA13" s="1482">
        <f t="shared" ca="1" si="23"/>
        <v>0</v>
      </c>
      <c r="DB13" s="1482">
        <f t="shared" ca="1" si="23"/>
        <v>0</v>
      </c>
      <c r="DC13" s="1482">
        <f t="shared" ca="1" si="23"/>
        <v>0</v>
      </c>
      <c r="DD13" s="1482">
        <f t="shared" ca="1" si="23"/>
        <v>0</v>
      </c>
      <c r="DE13" s="1482">
        <f t="shared" ca="1" si="23"/>
        <v>0</v>
      </c>
      <c r="DF13" s="1482">
        <f t="shared" ca="1" si="23"/>
        <v>0</v>
      </c>
      <c r="DH13" s="838"/>
    </row>
    <row r="14" spans="1:112" s="743" customFormat="1" ht="12.75" hidden="1" customHeight="1" outlineLevel="1" collapsed="1">
      <c r="A14" s="1484"/>
      <c r="B14" s="1484"/>
      <c r="C14" s="746"/>
      <c r="D14" s="1010" t="s">
        <v>948</v>
      </c>
      <c r="E14" s="1010"/>
      <c r="G14" s="1020">
        <f ca="1">SUM(G12:G13)</f>
        <v>135.4332467228455</v>
      </c>
      <c r="H14" s="1020">
        <f t="shared" ref="H14:P14" ca="1" si="24">SUM(H12:H13)</f>
        <v>0</v>
      </c>
      <c r="I14" s="1020">
        <f t="shared" ca="1" si="24"/>
        <v>0</v>
      </c>
      <c r="J14" s="1020">
        <f t="shared" ca="1" si="24"/>
        <v>0</v>
      </c>
      <c r="K14" s="1020">
        <f t="shared" ca="1" si="24"/>
        <v>0</v>
      </c>
      <c r="L14" s="1020">
        <f t="shared" ca="1" si="24"/>
        <v>0</v>
      </c>
      <c r="M14" s="1020">
        <f t="shared" ca="1" si="24"/>
        <v>0</v>
      </c>
      <c r="N14" s="1020">
        <f t="shared" ca="1" si="24"/>
        <v>0</v>
      </c>
      <c r="O14" s="1020">
        <f t="shared" ca="1" si="24"/>
        <v>0</v>
      </c>
      <c r="P14" s="1020">
        <f t="shared" ca="1" si="24"/>
        <v>0</v>
      </c>
      <c r="Q14" s="1020">
        <f t="shared" ca="1" si="1"/>
        <v>135.4332467228455</v>
      </c>
      <c r="S14" s="1030">
        <f t="shared" ref="S14:AJ14" ca="1" si="25">SUM(S12:S13)</f>
        <v>-35.541507779304595</v>
      </c>
      <c r="T14" s="1030">
        <f t="shared" ca="1" si="25"/>
        <v>0</v>
      </c>
      <c r="U14" s="1030">
        <f t="shared" ca="1" si="25"/>
        <v>0</v>
      </c>
      <c r="V14" s="1030">
        <f t="shared" ca="1" si="25"/>
        <v>-7.8977446745454811</v>
      </c>
      <c r="W14" s="1030">
        <f t="shared" ca="1" si="25"/>
        <v>-91.993994268995408</v>
      </c>
      <c r="X14" s="1030">
        <f ca="1">SUM(X12:X13)</f>
        <v>0</v>
      </c>
      <c r="Y14" s="1030">
        <f ca="1">SUM(Y12:Y13)</f>
        <v>0</v>
      </c>
      <c r="Z14" s="1030">
        <f ca="1">SUM(Z12:Z13)</f>
        <v>0</v>
      </c>
      <c r="AA14" s="1030">
        <f t="shared" ca="1" si="25"/>
        <v>0</v>
      </c>
      <c r="AB14" s="1030">
        <f t="shared" ca="1" si="25"/>
        <v>0</v>
      </c>
      <c r="AC14" s="1030">
        <f t="shared" ca="1" si="25"/>
        <v>0</v>
      </c>
      <c r="AD14" s="1030">
        <f ca="1">SUM(AD12:AD13)</f>
        <v>0</v>
      </c>
      <c r="AE14" s="1030">
        <f ca="1">SUM(AE12:AE13)</f>
        <v>0</v>
      </c>
      <c r="AF14" s="1030">
        <f t="shared" ca="1" si="25"/>
        <v>0</v>
      </c>
      <c r="AG14" s="1030">
        <f ca="1">SUM(AG12:AG13)</f>
        <v>0</v>
      </c>
      <c r="AH14" s="1030">
        <f ca="1">SUM(AH12:AH13)</f>
        <v>0</v>
      </c>
      <c r="AI14" s="1030">
        <f ca="1">SUM(AI12:AI13)</f>
        <v>0</v>
      </c>
      <c r="AJ14" s="1030">
        <f t="shared" ca="1" si="25"/>
        <v>0</v>
      </c>
      <c r="AK14" s="1030">
        <f t="shared" ca="1" si="4"/>
        <v>-135.43324672284547</v>
      </c>
      <c r="AM14" s="1041">
        <f t="shared" ref="AM14:AS14" ca="1" si="26">SUM(AM12:AM13)</f>
        <v>0</v>
      </c>
      <c r="AN14" s="1041">
        <f t="shared" ca="1" si="26"/>
        <v>0</v>
      </c>
      <c r="AO14" s="1041">
        <f t="shared" ca="1" si="26"/>
        <v>0</v>
      </c>
      <c r="AP14" s="1041">
        <f t="shared" ca="1" si="26"/>
        <v>0</v>
      </c>
      <c r="AQ14" s="1041">
        <f t="shared" ca="1" si="26"/>
        <v>0</v>
      </c>
      <c r="AR14" s="1041">
        <f t="shared" ca="1" si="26"/>
        <v>0</v>
      </c>
      <c r="AS14" s="1041">
        <f t="shared" ca="1" si="26"/>
        <v>0</v>
      </c>
      <c r="AT14" s="1041">
        <f t="shared" ref="AT14:BE14" ca="1" si="27">SUM(AT12:AT13)</f>
        <v>0</v>
      </c>
      <c r="AU14" s="1041">
        <f t="shared" ca="1" si="27"/>
        <v>0</v>
      </c>
      <c r="AV14" s="1041">
        <f t="shared" ca="1" si="27"/>
        <v>0</v>
      </c>
      <c r="AW14" s="1041">
        <f t="shared" ca="1" si="27"/>
        <v>0</v>
      </c>
      <c r="AX14" s="1041">
        <f t="shared" ca="1" si="27"/>
        <v>0</v>
      </c>
      <c r="AY14" s="1041">
        <f t="shared" ca="1" si="27"/>
        <v>0</v>
      </c>
      <c r="AZ14" s="1041">
        <f t="shared" ca="1" si="27"/>
        <v>0</v>
      </c>
      <c r="BA14" s="1041">
        <f t="shared" ca="1" si="27"/>
        <v>0</v>
      </c>
      <c r="BB14" s="1041">
        <f t="shared" ca="1" si="27"/>
        <v>0</v>
      </c>
      <c r="BC14" s="1041">
        <f t="shared" ca="1" si="27"/>
        <v>0</v>
      </c>
      <c r="BD14" s="1041">
        <f t="shared" ca="1" si="27"/>
        <v>0</v>
      </c>
      <c r="BE14" s="1041">
        <f t="shared" ca="1" si="27"/>
        <v>0</v>
      </c>
      <c r="BF14" s="1012">
        <f t="shared" ca="1" si="6"/>
        <v>0</v>
      </c>
      <c r="BH14" s="1035">
        <f ca="1">SUM(BH12:BH13)</f>
        <v>0</v>
      </c>
      <c r="BI14" s="1035">
        <f ca="1">SUM(BI12:BI13)</f>
        <v>0</v>
      </c>
      <c r="BJ14" s="1035">
        <f t="shared" ca="1" si="8"/>
        <v>0</v>
      </c>
      <c r="BL14" s="814">
        <f t="shared" ca="1" si="9"/>
        <v>2.8421709430404007E-14</v>
      </c>
      <c r="BM14" s="814"/>
      <c r="BN14" s="840"/>
      <c r="BO14" s="1485">
        <f t="shared" ref="BO14:DF14" ca="1" si="28">SUM(BO12:BO13)</f>
        <v>18.901331114131523</v>
      </c>
      <c r="BP14" s="1486">
        <f t="shared" ca="1" si="28"/>
        <v>3.6387884239927212E-2</v>
      </c>
      <c r="BQ14" s="1486">
        <f t="shared" ca="1" si="28"/>
        <v>7.2017214807104074E-2</v>
      </c>
      <c r="BR14" s="1486">
        <f t="shared" ca="1" si="28"/>
        <v>0</v>
      </c>
      <c r="BS14" s="1486">
        <f t="shared" ca="1" si="28"/>
        <v>0</v>
      </c>
      <c r="BT14" s="1486">
        <f t="shared" ca="1" si="28"/>
        <v>0</v>
      </c>
      <c r="BU14" s="1486">
        <f t="shared" ca="1" si="28"/>
        <v>0</v>
      </c>
      <c r="BV14" s="1486">
        <f t="shared" ca="1" si="28"/>
        <v>0</v>
      </c>
      <c r="BW14" s="1486">
        <f t="shared" ca="1" si="28"/>
        <v>0</v>
      </c>
      <c r="BX14" s="1486">
        <f t="shared" ca="1" si="28"/>
        <v>0</v>
      </c>
      <c r="BY14" s="1486">
        <f t="shared" ca="1" si="28"/>
        <v>0</v>
      </c>
      <c r="BZ14" s="1486">
        <f t="shared" ca="1" si="28"/>
        <v>0</v>
      </c>
      <c r="CA14" s="1486">
        <f t="shared" ca="1" si="28"/>
        <v>0</v>
      </c>
      <c r="CB14" s="1486">
        <f t="shared" ca="1" si="28"/>
        <v>0</v>
      </c>
      <c r="CC14" s="1486">
        <f t="shared" ca="1" si="28"/>
        <v>0</v>
      </c>
      <c r="CD14" s="1486">
        <f t="shared" ca="1" si="28"/>
        <v>0</v>
      </c>
      <c r="CE14" s="1486">
        <f t="shared" ca="1" si="28"/>
        <v>0</v>
      </c>
      <c r="CF14" s="1486">
        <f t="shared" ca="1" si="28"/>
        <v>0</v>
      </c>
      <c r="CG14" s="1486">
        <f t="shared" ca="1" si="28"/>
        <v>0</v>
      </c>
      <c r="CH14" s="1486">
        <f t="shared" ca="1" si="28"/>
        <v>0</v>
      </c>
      <c r="CI14" s="1486">
        <f t="shared" ca="1" si="28"/>
        <v>0</v>
      </c>
      <c r="CJ14" s="1486">
        <f t="shared" ca="1" si="28"/>
        <v>0</v>
      </c>
      <c r="CK14" s="1486">
        <f t="shared" ca="1" si="28"/>
        <v>0</v>
      </c>
      <c r="CL14" s="1486">
        <f t="shared" ca="1" si="28"/>
        <v>0</v>
      </c>
      <c r="CM14" s="1486">
        <f t="shared" ca="1" si="28"/>
        <v>0</v>
      </c>
      <c r="CN14" s="1486">
        <f t="shared" ca="1" si="28"/>
        <v>0</v>
      </c>
      <c r="CO14" s="1486">
        <f t="shared" ca="1" si="28"/>
        <v>0</v>
      </c>
      <c r="CP14" s="1486">
        <f t="shared" ca="1" si="28"/>
        <v>0</v>
      </c>
      <c r="CQ14" s="1486">
        <f t="shared" ca="1" si="28"/>
        <v>0</v>
      </c>
      <c r="CR14" s="1486">
        <f t="shared" ca="1" si="28"/>
        <v>0</v>
      </c>
      <c r="CS14" s="1486">
        <f t="shared" ca="1" si="28"/>
        <v>0</v>
      </c>
      <c r="CT14" s="1486">
        <f t="shared" ca="1" si="28"/>
        <v>0</v>
      </c>
      <c r="CU14" s="1486">
        <f t="shared" ca="1" si="28"/>
        <v>0</v>
      </c>
      <c r="CV14" s="1486">
        <f t="shared" ca="1" si="28"/>
        <v>0</v>
      </c>
      <c r="CW14" s="1486">
        <f t="shared" ca="1" si="28"/>
        <v>0</v>
      </c>
      <c r="CX14" s="1486">
        <f t="shared" ca="1" si="28"/>
        <v>0</v>
      </c>
      <c r="CY14" s="1486">
        <f t="shared" ca="1" si="28"/>
        <v>0</v>
      </c>
      <c r="CZ14" s="1486">
        <f t="shared" ca="1" si="28"/>
        <v>0</v>
      </c>
      <c r="DA14" s="1486">
        <f t="shared" ca="1" si="28"/>
        <v>0</v>
      </c>
      <c r="DB14" s="1486">
        <f t="shared" ca="1" si="28"/>
        <v>0</v>
      </c>
      <c r="DC14" s="1486">
        <f t="shared" ca="1" si="28"/>
        <v>0</v>
      </c>
      <c r="DD14" s="1486">
        <f t="shared" ca="1" si="28"/>
        <v>0</v>
      </c>
      <c r="DE14" s="1486">
        <f t="shared" ca="1" si="28"/>
        <v>0</v>
      </c>
      <c r="DF14" s="1486">
        <f t="shared" ca="1" si="28"/>
        <v>0</v>
      </c>
      <c r="DH14" s="838"/>
    </row>
    <row r="15" spans="1:112" s="743" customFormat="1" ht="15.75" collapsed="1">
      <c r="A15" s="22"/>
      <c r="B15" s="753"/>
      <c r="C15" s="744" t="s">
        <v>676</v>
      </c>
      <c r="D15" s="517" t="str">
        <f>INDEX(Workstreams[Workstream], MATCH($C15, Workstreams[Code], 0))</f>
        <v>Heating</v>
      </c>
      <c r="E15" s="512"/>
      <c r="G15" s="1021">
        <f t="shared" ref="G15:P15" ca="1" si="29">G14+G11</f>
        <v>590.98249950821378</v>
      </c>
      <c r="H15" s="1021">
        <f t="shared" ca="1" si="29"/>
        <v>0</v>
      </c>
      <c r="I15" s="1021">
        <f t="shared" ca="1" si="29"/>
        <v>0</v>
      </c>
      <c r="J15" s="1021">
        <f t="shared" ca="1" si="29"/>
        <v>0</v>
      </c>
      <c r="K15" s="1021">
        <f t="shared" ca="1" si="29"/>
        <v>0</v>
      </c>
      <c r="L15" s="1021">
        <f t="shared" ca="1" si="29"/>
        <v>0</v>
      </c>
      <c r="M15" s="1021">
        <f t="shared" ca="1" si="29"/>
        <v>0</v>
      </c>
      <c r="N15" s="1021">
        <f t="shared" ca="1" si="29"/>
        <v>0</v>
      </c>
      <c r="O15" s="1021">
        <f t="shared" ca="1" si="29"/>
        <v>0</v>
      </c>
      <c r="P15" s="1021">
        <f t="shared" ca="1" si="29"/>
        <v>0</v>
      </c>
      <c r="Q15" s="1021">
        <f t="shared" ca="1" si="1"/>
        <v>590.98249950821378</v>
      </c>
      <c r="S15" s="970">
        <f t="shared" ref="S15:Z15" ca="1" si="30">S14+S11</f>
        <v>-75.750009063576385</v>
      </c>
      <c r="T15" s="970">
        <f t="shared" ca="1" si="30"/>
        <v>0</v>
      </c>
      <c r="U15" s="970">
        <f t="shared" ca="1" si="30"/>
        <v>-8.9729383224903891</v>
      </c>
      <c r="V15" s="970">
        <f t="shared" ca="1" si="30"/>
        <v>-15.945637809150263</v>
      </c>
      <c r="W15" s="970">
        <f t="shared" ca="1" si="30"/>
        <v>-490.31391431299676</v>
      </c>
      <c r="X15" s="970">
        <f t="shared" ca="1" si="30"/>
        <v>0</v>
      </c>
      <c r="Y15" s="970">
        <f t="shared" ca="1" si="30"/>
        <v>0</v>
      </c>
      <c r="Z15" s="970">
        <f t="shared" ca="1" si="30"/>
        <v>0</v>
      </c>
      <c r="AA15" s="970">
        <f t="shared" ref="AA15:AJ15" ca="1" si="31">AA14+AA11</f>
        <v>0</v>
      </c>
      <c r="AB15" s="970">
        <f t="shared" ca="1" si="31"/>
        <v>0</v>
      </c>
      <c r="AC15" s="970">
        <f t="shared" ca="1" si="31"/>
        <v>0</v>
      </c>
      <c r="AD15" s="970">
        <f ca="1">AD14+AD11</f>
        <v>0</v>
      </c>
      <c r="AE15" s="970">
        <f ca="1">AE14+AE11</f>
        <v>0</v>
      </c>
      <c r="AF15" s="970">
        <f t="shared" ca="1" si="31"/>
        <v>0</v>
      </c>
      <c r="AG15" s="970">
        <f ca="1">AG14+AG11</f>
        <v>0</v>
      </c>
      <c r="AH15" s="970">
        <f ca="1">AH14+AH11</f>
        <v>0</v>
      </c>
      <c r="AI15" s="970">
        <f ca="1">AI14+AI11</f>
        <v>0</v>
      </c>
      <c r="AJ15" s="970">
        <f t="shared" ca="1" si="31"/>
        <v>0</v>
      </c>
      <c r="AK15" s="970">
        <f t="shared" ca="1" si="4"/>
        <v>-590.98249950821378</v>
      </c>
      <c r="AM15" s="976">
        <f t="shared" ref="AM15:AS15" ca="1" si="32">AM14+AM11</f>
        <v>0</v>
      </c>
      <c r="AN15" s="976">
        <f t="shared" ca="1" si="32"/>
        <v>0</v>
      </c>
      <c r="AO15" s="976">
        <f t="shared" ca="1" si="32"/>
        <v>0</v>
      </c>
      <c r="AP15" s="976">
        <f t="shared" ca="1" si="32"/>
        <v>0</v>
      </c>
      <c r="AQ15" s="976">
        <f t="shared" ca="1" si="32"/>
        <v>0</v>
      </c>
      <c r="AR15" s="976">
        <f t="shared" ca="1" si="32"/>
        <v>0</v>
      </c>
      <c r="AS15" s="976">
        <f t="shared" ca="1" si="32"/>
        <v>0</v>
      </c>
      <c r="AT15" s="976">
        <f t="shared" ref="AT15:BE15" ca="1" si="33">AT14+AT11</f>
        <v>0</v>
      </c>
      <c r="AU15" s="976">
        <f t="shared" ca="1" si="33"/>
        <v>0</v>
      </c>
      <c r="AV15" s="976">
        <f t="shared" ca="1" si="33"/>
        <v>0</v>
      </c>
      <c r="AW15" s="976">
        <f t="shared" ca="1" si="33"/>
        <v>0</v>
      </c>
      <c r="AX15" s="976">
        <f t="shared" ca="1" si="33"/>
        <v>0</v>
      </c>
      <c r="AY15" s="976">
        <f t="shared" ca="1" si="33"/>
        <v>0</v>
      </c>
      <c r="AZ15" s="976">
        <f t="shared" ca="1" si="33"/>
        <v>0</v>
      </c>
      <c r="BA15" s="976">
        <f t="shared" ca="1" si="33"/>
        <v>0</v>
      </c>
      <c r="BB15" s="976">
        <f t="shared" ca="1" si="33"/>
        <v>0</v>
      </c>
      <c r="BC15" s="976">
        <f t="shared" ca="1" si="33"/>
        <v>0</v>
      </c>
      <c r="BD15" s="976">
        <f t="shared" ca="1" si="33"/>
        <v>0</v>
      </c>
      <c r="BE15" s="976">
        <f t="shared" ca="1" si="33"/>
        <v>0</v>
      </c>
      <c r="BF15" s="976">
        <f t="shared" ca="1" si="6"/>
        <v>0</v>
      </c>
      <c r="BH15" s="990">
        <f ca="1">BH14+BH11</f>
        <v>0</v>
      </c>
      <c r="BI15" s="990">
        <f ca="1">BI14+BI11</f>
        <v>0</v>
      </c>
      <c r="BJ15" s="990">
        <f t="shared" ca="1" si="8"/>
        <v>0</v>
      </c>
      <c r="BL15" s="515">
        <f t="shared" ca="1" si="9"/>
        <v>0</v>
      </c>
      <c r="BM15" s="515"/>
      <c r="BN15" s="840"/>
      <c r="BO15" s="1482">
        <f t="shared" ref="BO15:DF15" ca="1" si="34">BO14+BO11</f>
        <v>96.967834689206001</v>
      </c>
      <c r="BP15" s="1482">
        <f t="shared" ca="1" si="34"/>
        <v>0.19392192411311182</v>
      </c>
      <c r="BQ15" s="1482">
        <f t="shared" ca="1" si="34"/>
        <v>0.29070807690946132</v>
      </c>
      <c r="BR15" s="1482">
        <f t="shared" ca="1" si="34"/>
        <v>0</v>
      </c>
      <c r="BS15" s="1482">
        <f t="shared" ca="1" si="34"/>
        <v>0</v>
      </c>
      <c r="BT15" s="1482">
        <f t="shared" ca="1" si="34"/>
        <v>0</v>
      </c>
      <c r="BU15" s="1482">
        <f t="shared" ca="1" si="34"/>
        <v>0</v>
      </c>
      <c r="BV15" s="1482">
        <f t="shared" ca="1" si="34"/>
        <v>0</v>
      </c>
      <c r="BW15" s="1482">
        <f t="shared" ca="1" si="34"/>
        <v>0</v>
      </c>
      <c r="BX15" s="1482">
        <f t="shared" ca="1" si="34"/>
        <v>0</v>
      </c>
      <c r="BY15" s="1482">
        <f t="shared" ca="1" si="34"/>
        <v>0</v>
      </c>
      <c r="BZ15" s="1482">
        <f t="shared" ca="1" si="34"/>
        <v>0</v>
      </c>
      <c r="CA15" s="1482">
        <f t="shared" ca="1" si="34"/>
        <v>0</v>
      </c>
      <c r="CB15" s="1482">
        <f t="shared" ca="1" si="34"/>
        <v>0</v>
      </c>
      <c r="CC15" s="1482">
        <f t="shared" ca="1" si="34"/>
        <v>0</v>
      </c>
      <c r="CD15" s="1482">
        <f t="shared" ca="1" si="34"/>
        <v>0</v>
      </c>
      <c r="CE15" s="1482">
        <f t="shared" ca="1" si="34"/>
        <v>0</v>
      </c>
      <c r="CF15" s="1482">
        <f t="shared" ca="1" si="34"/>
        <v>0</v>
      </c>
      <c r="CG15" s="1482">
        <f t="shared" ca="1" si="34"/>
        <v>0</v>
      </c>
      <c r="CH15" s="1482">
        <f t="shared" ca="1" si="34"/>
        <v>0</v>
      </c>
      <c r="CI15" s="1482">
        <f t="shared" ca="1" si="34"/>
        <v>0</v>
      </c>
      <c r="CJ15" s="1482">
        <f t="shared" ca="1" si="34"/>
        <v>0</v>
      </c>
      <c r="CK15" s="1482">
        <f t="shared" ca="1" si="34"/>
        <v>0</v>
      </c>
      <c r="CL15" s="1482">
        <f t="shared" ca="1" si="34"/>
        <v>0</v>
      </c>
      <c r="CM15" s="1482">
        <f t="shared" ca="1" si="34"/>
        <v>0</v>
      </c>
      <c r="CN15" s="1482">
        <f t="shared" ca="1" si="34"/>
        <v>0</v>
      </c>
      <c r="CO15" s="1482">
        <f t="shared" ca="1" si="34"/>
        <v>0</v>
      </c>
      <c r="CP15" s="1482">
        <f t="shared" ca="1" si="34"/>
        <v>0</v>
      </c>
      <c r="CQ15" s="1482">
        <f t="shared" ca="1" si="34"/>
        <v>0</v>
      </c>
      <c r="CR15" s="1482">
        <f t="shared" ca="1" si="34"/>
        <v>0</v>
      </c>
      <c r="CS15" s="1482">
        <f t="shared" ca="1" si="34"/>
        <v>0</v>
      </c>
      <c r="CT15" s="1482">
        <f t="shared" ca="1" si="34"/>
        <v>0</v>
      </c>
      <c r="CU15" s="1482">
        <f t="shared" ca="1" si="34"/>
        <v>0</v>
      </c>
      <c r="CV15" s="1482">
        <f t="shared" ca="1" si="34"/>
        <v>0</v>
      </c>
      <c r="CW15" s="1482">
        <f t="shared" ca="1" si="34"/>
        <v>0</v>
      </c>
      <c r="CX15" s="1482">
        <f t="shared" ca="1" si="34"/>
        <v>0</v>
      </c>
      <c r="CY15" s="1482">
        <f t="shared" ca="1" si="34"/>
        <v>0</v>
      </c>
      <c r="CZ15" s="1482">
        <f t="shared" ca="1" si="34"/>
        <v>0</v>
      </c>
      <c r="DA15" s="1482">
        <f t="shared" ca="1" si="34"/>
        <v>0</v>
      </c>
      <c r="DB15" s="1482">
        <f t="shared" ca="1" si="34"/>
        <v>0</v>
      </c>
      <c r="DC15" s="1482">
        <f t="shared" ca="1" si="34"/>
        <v>0</v>
      </c>
      <c r="DD15" s="1482">
        <f t="shared" ca="1" si="34"/>
        <v>0</v>
      </c>
      <c r="DE15" s="1482">
        <f t="shared" ca="1" si="34"/>
        <v>0</v>
      </c>
      <c r="DF15" s="1482">
        <f t="shared" ca="1" si="34"/>
        <v>0</v>
      </c>
      <c r="DH15" s="838">
        <f t="shared" ref="DH15:DH38" ca="1" si="35">SUM(BO15:DF15)</f>
        <v>97.452464690228581</v>
      </c>
    </row>
    <row r="16" spans="1:112" s="743" customFormat="1" hidden="1" outlineLevel="1">
      <c r="A16" s="1484"/>
      <c r="B16" s="1484"/>
      <c r="C16" s="746"/>
      <c r="D16" s="521"/>
      <c r="E16" s="521"/>
      <c r="G16" s="1019"/>
      <c r="H16" s="1019"/>
      <c r="I16" s="1019"/>
      <c r="J16" s="1019"/>
      <c r="K16" s="1019"/>
      <c r="L16" s="1019"/>
      <c r="M16" s="1019"/>
      <c r="N16" s="1019"/>
      <c r="O16" s="1019"/>
      <c r="P16" s="1019"/>
      <c r="Q16" s="1019"/>
      <c r="S16" s="1027"/>
      <c r="T16" s="1027"/>
      <c r="U16" s="1027"/>
      <c r="V16" s="1027"/>
      <c r="W16" s="1027"/>
      <c r="X16" s="1027"/>
      <c r="Y16" s="1027"/>
      <c r="Z16" s="1027"/>
      <c r="AA16" s="1027"/>
      <c r="AB16" s="1027"/>
      <c r="AC16" s="1027"/>
      <c r="AD16" s="1027"/>
      <c r="AE16" s="1027"/>
      <c r="AF16" s="1027"/>
      <c r="AG16" s="1027"/>
      <c r="AH16" s="1027"/>
      <c r="AI16" s="1027"/>
      <c r="AJ16" s="1027"/>
      <c r="AK16" s="1027"/>
      <c r="AM16" s="1040"/>
      <c r="AN16" s="1040"/>
      <c r="AO16" s="1040"/>
      <c r="AP16" s="1040"/>
      <c r="AQ16" s="1040"/>
      <c r="AR16" s="1040"/>
      <c r="AS16" s="1040"/>
      <c r="AT16" s="1040"/>
      <c r="AU16" s="1040"/>
      <c r="AV16" s="1040"/>
      <c r="AW16" s="1040"/>
      <c r="AX16" s="1040"/>
      <c r="AY16" s="1040"/>
      <c r="AZ16" s="1040"/>
      <c r="BA16" s="1040"/>
      <c r="BB16" s="1040"/>
      <c r="BC16" s="1040"/>
      <c r="BD16" s="1040"/>
      <c r="BE16" s="1040"/>
      <c r="BF16" s="979"/>
      <c r="BH16" s="1034"/>
      <c r="BI16" s="1034"/>
      <c r="BJ16" s="1034"/>
      <c r="BL16" s="814">
        <f t="shared" si="9"/>
        <v>0</v>
      </c>
      <c r="BM16" s="814"/>
      <c r="BN16" s="1484"/>
      <c r="BO16" s="1481"/>
      <c r="BP16" s="1482"/>
      <c r="BQ16" s="1482"/>
      <c r="BR16" s="1482"/>
      <c r="BS16" s="1482"/>
      <c r="BT16" s="1482"/>
      <c r="BU16" s="1482"/>
      <c r="BV16" s="1482"/>
      <c r="BW16" s="1482"/>
      <c r="BX16" s="1482"/>
      <c r="BY16" s="1482"/>
      <c r="BZ16" s="1482"/>
      <c r="CA16" s="1482"/>
      <c r="CB16" s="1482"/>
      <c r="CC16" s="1482"/>
      <c r="CD16" s="1482"/>
      <c r="CE16" s="1482"/>
      <c r="CF16" s="1482"/>
      <c r="CG16" s="1482"/>
      <c r="CH16" s="1482"/>
      <c r="CI16" s="1482"/>
      <c r="CJ16" s="1482"/>
      <c r="CK16" s="1482"/>
      <c r="CL16" s="1482"/>
      <c r="CM16" s="1482"/>
      <c r="CN16" s="1482"/>
      <c r="CO16" s="1482"/>
      <c r="CP16" s="1482"/>
      <c r="CQ16" s="1482"/>
      <c r="CR16" s="1482"/>
      <c r="CS16" s="1482"/>
      <c r="CT16" s="1482"/>
      <c r="CU16" s="1482"/>
      <c r="CV16" s="1482"/>
      <c r="CW16" s="1482"/>
      <c r="CX16" s="1482"/>
      <c r="CY16" s="1482"/>
      <c r="CZ16" s="1482"/>
      <c r="DA16" s="1482"/>
      <c r="DB16" s="1482"/>
      <c r="DC16" s="1482"/>
      <c r="DD16" s="1482"/>
      <c r="DE16" s="1482"/>
      <c r="DF16" s="1482"/>
      <c r="DH16" s="838">
        <f t="shared" si="35"/>
        <v>0</v>
      </c>
    </row>
    <row r="17" spans="1:112" s="743" customFormat="1" ht="12.75" hidden="1" customHeight="1" outlineLevel="1">
      <c r="A17" s="1484"/>
      <c r="B17" s="1484"/>
      <c r="C17" s="746" t="s">
        <v>950</v>
      </c>
      <c r="D17" s="1480" t="str">
        <f>INDEX(Modules[Module], MATCH($C17, Modules[Code], 0))</f>
        <v>Domestic lighting, appliances, and cooking</v>
      </c>
      <c r="E17" s="1006"/>
      <c r="G17" s="1017">
        <f t="shared" ref="G17:P18" ca="1" si="36">IFERROR(INDEX(INDIRECT($C17&amp;".Outputs["&amp;this.Year&amp;"]"), MATCH(G$5, INDIRECT($C17&amp;".Outputs[Vector]"), 0)), 0)</f>
        <v>0</v>
      </c>
      <c r="H17" s="1017">
        <f t="shared" ca="1" si="36"/>
        <v>99.479574068407231</v>
      </c>
      <c r="I17" s="1017">
        <f t="shared" ca="1" si="36"/>
        <v>0</v>
      </c>
      <c r="J17" s="1017">
        <f t="shared" ca="1" si="36"/>
        <v>0</v>
      </c>
      <c r="K17" s="1017">
        <f t="shared" ca="1" si="36"/>
        <v>0</v>
      </c>
      <c r="L17" s="1017">
        <f t="shared" ca="1" si="36"/>
        <v>0</v>
      </c>
      <c r="M17" s="1017">
        <f t="shared" ca="1" si="36"/>
        <v>0</v>
      </c>
      <c r="N17" s="1017">
        <f t="shared" ca="1" si="36"/>
        <v>0</v>
      </c>
      <c r="O17" s="1017">
        <f t="shared" ca="1" si="36"/>
        <v>0</v>
      </c>
      <c r="P17" s="1017">
        <f t="shared" ca="1" si="36"/>
        <v>0</v>
      </c>
      <c r="Q17" s="1019">
        <f ca="1">SUM(G17:P17)</f>
        <v>99.479574068407231</v>
      </c>
      <c r="S17" s="1026">
        <f t="shared" ref="S17:BE18" ca="1" si="37">IFERROR(INDEX(INDIRECT($C17&amp;".Outputs["&amp;this.Year&amp;"]"), MATCH(S$5, INDIRECT($C17&amp;".Outputs[Vector]"), 0)), 0)</f>
        <v>-91.464341045528727</v>
      </c>
      <c r="T17" s="1026">
        <f t="shared" ca="1" si="37"/>
        <v>0</v>
      </c>
      <c r="U17" s="1026">
        <f t="shared" ca="1" si="37"/>
        <v>0</v>
      </c>
      <c r="V17" s="1026">
        <f t="shared" ca="1" si="37"/>
        <v>0</v>
      </c>
      <c r="W17" s="1026">
        <f t="shared" ca="1" si="37"/>
        <v>-8.01523302287851</v>
      </c>
      <c r="X17" s="1026">
        <f t="shared" ref="X17:Z18" ca="1" si="38">IFERROR(INDEX(INDIRECT($C17&amp;".Outputs["&amp;this.Year&amp;"]"), MATCH(X$5, INDIRECT($C17&amp;".Outputs[Vector]"), 0)), 0)</f>
        <v>0</v>
      </c>
      <c r="Y17" s="1026">
        <f t="shared" ca="1" si="38"/>
        <v>0</v>
      </c>
      <c r="Z17" s="1026">
        <f t="shared" ca="1" si="38"/>
        <v>0</v>
      </c>
      <c r="AA17" s="1026">
        <f t="shared" ca="1" si="37"/>
        <v>0</v>
      </c>
      <c r="AB17" s="1026">
        <f t="shared" ca="1" si="37"/>
        <v>0</v>
      </c>
      <c r="AC17" s="1026">
        <f t="shared" ca="1" si="37"/>
        <v>0</v>
      </c>
      <c r="AD17" s="1026">
        <f t="shared" ca="1" si="37"/>
        <v>0</v>
      </c>
      <c r="AE17" s="1026">
        <f t="shared" ca="1" si="37"/>
        <v>0</v>
      </c>
      <c r="AF17" s="1026">
        <f t="shared" ca="1" si="37"/>
        <v>0</v>
      </c>
      <c r="AG17" s="1026">
        <f t="shared" ca="1" si="37"/>
        <v>0</v>
      </c>
      <c r="AH17" s="1026">
        <f t="shared" ca="1" si="37"/>
        <v>0</v>
      </c>
      <c r="AI17" s="1026">
        <f t="shared" ca="1" si="37"/>
        <v>0</v>
      </c>
      <c r="AJ17" s="1026">
        <f t="shared" ca="1" si="37"/>
        <v>0</v>
      </c>
      <c r="AK17" s="1027">
        <f ca="1">SUM(S17:AJ17)</f>
        <v>-99.479574068407231</v>
      </c>
      <c r="AM17" s="1038">
        <f t="shared" ref="AM17:AU18" ca="1" si="39">IFERROR(INDEX(INDIRECT($C17&amp;".Outputs["&amp;this.Year&amp;"]"), MATCH(AM$5, INDIRECT($C17&amp;".Outputs[Vector]"), 0)), 0)</f>
        <v>0</v>
      </c>
      <c r="AN17" s="1038">
        <f t="shared" ca="1" si="39"/>
        <v>0</v>
      </c>
      <c r="AO17" s="1038">
        <f t="shared" ca="1" si="39"/>
        <v>0</v>
      </c>
      <c r="AP17" s="1038">
        <f t="shared" ca="1" si="39"/>
        <v>0</v>
      </c>
      <c r="AQ17" s="1038">
        <f t="shared" ca="1" si="39"/>
        <v>0</v>
      </c>
      <c r="AR17" s="1038">
        <f t="shared" ca="1" si="39"/>
        <v>0</v>
      </c>
      <c r="AS17" s="1038">
        <f t="shared" ca="1" si="39"/>
        <v>0</v>
      </c>
      <c r="AT17" s="1038">
        <f t="shared" ca="1" si="39"/>
        <v>0</v>
      </c>
      <c r="AU17" s="1038">
        <f t="shared" ca="1" si="39"/>
        <v>0</v>
      </c>
      <c r="AV17" s="1038">
        <f t="shared" ca="1" si="37"/>
        <v>0</v>
      </c>
      <c r="AW17" s="1038">
        <f t="shared" ca="1" si="37"/>
        <v>0</v>
      </c>
      <c r="AX17" s="1038">
        <f t="shared" ca="1" si="37"/>
        <v>0</v>
      </c>
      <c r="AY17" s="1038">
        <f t="shared" ca="1" si="37"/>
        <v>0</v>
      </c>
      <c r="AZ17" s="1038">
        <f t="shared" ca="1" si="37"/>
        <v>0</v>
      </c>
      <c r="BA17" s="1038">
        <f t="shared" ca="1" si="37"/>
        <v>0</v>
      </c>
      <c r="BB17" s="1038">
        <f t="shared" ca="1" si="37"/>
        <v>0</v>
      </c>
      <c r="BC17" s="1038">
        <f t="shared" ca="1" si="37"/>
        <v>0</v>
      </c>
      <c r="BD17" s="1038">
        <f t="shared" ca="1" si="37"/>
        <v>0</v>
      </c>
      <c r="BE17" s="1038">
        <f t="shared" ca="1" si="37"/>
        <v>0</v>
      </c>
      <c r="BF17" s="979">
        <f ca="1">SUM(AM17:BE17)</f>
        <v>0</v>
      </c>
      <c r="BH17" s="1032">
        <f ca="1">IFERROR(INDEX(INDIRECT($C17&amp;".Outputs["&amp;this.Year&amp;"]"), MATCH(BH$5, INDIRECT($C17&amp;".Outputs[Vector]"), 0)), 0)</f>
        <v>0</v>
      </c>
      <c r="BI17" s="1032">
        <f ca="1">IFERROR(INDEX(INDIRECT($C17&amp;".Outputs["&amp;this.Year&amp;"]"), MATCH(BI$5, INDIRECT($C17&amp;".Outputs[Vector]"), 0)), 0)</f>
        <v>0</v>
      </c>
      <c r="BJ17" s="1034">
        <f ca="1">SUM(BH17:BI17)</f>
        <v>0</v>
      </c>
      <c r="BL17" s="814">
        <f t="shared" ca="1" si="9"/>
        <v>0</v>
      </c>
      <c r="BM17" s="814"/>
      <c r="BN17" s="840"/>
      <c r="BO17" s="1481">
        <f t="shared" ref="BO17:BX18" ca="1" si="40">IFERROR(SUMIFS(INDIRECT($C17&amp;".Emissions["&amp;this.Year&amp;"]"), INDIRECT($C17&amp;".Emissions[GHG]"), BO$6, INDIRECT($C17&amp;".Emissions[IPCC Sector]"), BO$5),0)</f>
        <v>1.4748028762096457</v>
      </c>
      <c r="BP17" s="1482">
        <f t="shared" ca="1" si="40"/>
        <v>2.956221287958308E-3</v>
      </c>
      <c r="BQ17" s="1482">
        <f t="shared" ca="1" si="40"/>
        <v>3.1795597164266656E-3</v>
      </c>
      <c r="BR17" s="1482">
        <f t="shared" ca="1" si="40"/>
        <v>0</v>
      </c>
      <c r="BS17" s="1482">
        <f t="shared" ca="1" si="40"/>
        <v>0</v>
      </c>
      <c r="BT17" s="1482">
        <f t="shared" ca="1" si="40"/>
        <v>0</v>
      </c>
      <c r="BU17" s="1482">
        <f t="shared" ca="1" si="40"/>
        <v>0</v>
      </c>
      <c r="BV17" s="1482">
        <f t="shared" ca="1" si="40"/>
        <v>0</v>
      </c>
      <c r="BW17" s="1482">
        <f t="shared" ca="1" si="40"/>
        <v>0</v>
      </c>
      <c r="BX17" s="1482">
        <f t="shared" ca="1" si="40"/>
        <v>0</v>
      </c>
      <c r="BY17" s="1482">
        <f t="shared" ref="BY17:CH18" ca="1" si="41">IFERROR(SUMIFS(INDIRECT($C17&amp;".Emissions["&amp;this.Year&amp;"]"), INDIRECT($C17&amp;".Emissions[GHG]"), BY$6, INDIRECT($C17&amp;".Emissions[IPCC Sector]"), BY$5),0)</f>
        <v>0</v>
      </c>
      <c r="BZ17" s="1482">
        <f t="shared" ca="1" si="41"/>
        <v>0</v>
      </c>
      <c r="CA17" s="1482">
        <f t="shared" ca="1" si="41"/>
        <v>0</v>
      </c>
      <c r="CB17" s="1482">
        <f t="shared" ca="1" si="41"/>
        <v>0</v>
      </c>
      <c r="CC17" s="1482">
        <f t="shared" ca="1" si="41"/>
        <v>0</v>
      </c>
      <c r="CD17" s="1482">
        <f t="shared" ca="1" si="41"/>
        <v>0</v>
      </c>
      <c r="CE17" s="1482">
        <f t="shared" ca="1" si="41"/>
        <v>0</v>
      </c>
      <c r="CF17" s="1482">
        <f t="shared" ca="1" si="41"/>
        <v>0</v>
      </c>
      <c r="CG17" s="1482">
        <f t="shared" ca="1" si="41"/>
        <v>0</v>
      </c>
      <c r="CH17" s="1482">
        <f t="shared" ca="1" si="41"/>
        <v>0</v>
      </c>
      <c r="CI17" s="1482">
        <f t="shared" ref="CI17:CR18" ca="1" si="42">IFERROR(SUMIFS(INDIRECT($C17&amp;".Emissions["&amp;this.Year&amp;"]"), INDIRECT($C17&amp;".Emissions[GHG]"), CI$6, INDIRECT($C17&amp;".Emissions[IPCC Sector]"), CI$5),0)</f>
        <v>0</v>
      </c>
      <c r="CJ17" s="1482">
        <f t="shared" ca="1" si="42"/>
        <v>0</v>
      </c>
      <c r="CK17" s="1482">
        <f t="shared" ca="1" si="42"/>
        <v>0</v>
      </c>
      <c r="CL17" s="1482">
        <f t="shared" ca="1" si="42"/>
        <v>0</v>
      </c>
      <c r="CM17" s="1482">
        <f t="shared" ca="1" si="42"/>
        <v>0</v>
      </c>
      <c r="CN17" s="1482">
        <f t="shared" ca="1" si="42"/>
        <v>0</v>
      </c>
      <c r="CO17" s="1482">
        <f t="shared" ca="1" si="42"/>
        <v>0</v>
      </c>
      <c r="CP17" s="1482">
        <f t="shared" ca="1" si="42"/>
        <v>0</v>
      </c>
      <c r="CQ17" s="1482">
        <f t="shared" ca="1" si="42"/>
        <v>0</v>
      </c>
      <c r="CR17" s="1482">
        <f t="shared" ca="1" si="42"/>
        <v>0</v>
      </c>
      <c r="CS17" s="1482">
        <f t="shared" ref="CS17:DF18" ca="1" si="43">IFERROR(SUMIFS(INDIRECT($C17&amp;".Emissions["&amp;this.Year&amp;"]"), INDIRECT($C17&amp;".Emissions[GHG]"), CS$6, INDIRECT($C17&amp;".Emissions[IPCC Sector]"), CS$5),0)</f>
        <v>0</v>
      </c>
      <c r="CT17" s="1482">
        <f t="shared" ca="1" si="43"/>
        <v>0</v>
      </c>
      <c r="CU17" s="1482">
        <f t="shared" ca="1" si="43"/>
        <v>0</v>
      </c>
      <c r="CV17" s="1482">
        <f t="shared" ca="1" si="43"/>
        <v>0</v>
      </c>
      <c r="CW17" s="1482">
        <f t="shared" ca="1" si="43"/>
        <v>0</v>
      </c>
      <c r="CX17" s="1482">
        <f t="shared" ca="1" si="43"/>
        <v>0</v>
      </c>
      <c r="CY17" s="1482">
        <f t="shared" ca="1" si="43"/>
        <v>0</v>
      </c>
      <c r="CZ17" s="1482">
        <f t="shared" ca="1" si="43"/>
        <v>0</v>
      </c>
      <c r="DA17" s="1482">
        <f t="shared" ca="1" si="43"/>
        <v>0</v>
      </c>
      <c r="DB17" s="1482">
        <f t="shared" ca="1" si="43"/>
        <v>0</v>
      </c>
      <c r="DC17" s="1482">
        <f t="shared" ca="1" si="43"/>
        <v>0</v>
      </c>
      <c r="DD17" s="1482">
        <f t="shared" ca="1" si="43"/>
        <v>0</v>
      </c>
      <c r="DE17" s="1482">
        <f t="shared" ca="1" si="43"/>
        <v>0</v>
      </c>
      <c r="DF17" s="1482">
        <f t="shared" ca="1" si="43"/>
        <v>0</v>
      </c>
      <c r="DH17" s="838">
        <f t="shared" ca="1" si="35"/>
        <v>1.4809386572140306</v>
      </c>
    </row>
    <row r="18" spans="1:112" s="743" customFormat="1" ht="12.75" hidden="1" customHeight="1" outlineLevel="1">
      <c r="A18" s="1484"/>
      <c r="B18" s="1484"/>
      <c r="C18" s="746" t="s">
        <v>951</v>
      </c>
      <c r="D18" s="1010" t="str">
        <f>INDEX(Modules[Module], MATCH($C18, Modules[Code], 0))</f>
        <v>Commercial lighting, appliances, and catering</v>
      </c>
      <c r="E18" s="1010"/>
      <c r="G18" s="1022">
        <f t="shared" ca="1" si="36"/>
        <v>0</v>
      </c>
      <c r="H18" s="1022">
        <f t="shared" ca="1" si="36"/>
        <v>86.351285329415219</v>
      </c>
      <c r="I18" s="1022">
        <f t="shared" ca="1" si="36"/>
        <v>0</v>
      </c>
      <c r="J18" s="1022">
        <f t="shared" ca="1" si="36"/>
        <v>0</v>
      </c>
      <c r="K18" s="1022">
        <f t="shared" ca="1" si="36"/>
        <v>0</v>
      </c>
      <c r="L18" s="1022">
        <f t="shared" ca="1" si="36"/>
        <v>0</v>
      </c>
      <c r="M18" s="1022">
        <f t="shared" ca="1" si="36"/>
        <v>0</v>
      </c>
      <c r="N18" s="1022">
        <f t="shared" ca="1" si="36"/>
        <v>0</v>
      </c>
      <c r="O18" s="1022">
        <f t="shared" ca="1" si="36"/>
        <v>0</v>
      </c>
      <c r="P18" s="1022">
        <f t="shared" ca="1" si="36"/>
        <v>0</v>
      </c>
      <c r="Q18" s="1020">
        <f ca="1">SUM(G18:P18)</f>
        <v>86.351285329415219</v>
      </c>
      <c r="S18" s="1031">
        <f t="shared" ca="1" si="37"/>
        <v>-77.347803732511025</v>
      </c>
      <c r="T18" s="1031">
        <f t="shared" ca="1" si="37"/>
        <v>0</v>
      </c>
      <c r="U18" s="1031">
        <f t="shared" ca="1" si="37"/>
        <v>0</v>
      </c>
      <c r="V18" s="1031">
        <f t="shared" ca="1" si="37"/>
        <v>0</v>
      </c>
      <c r="W18" s="1031">
        <f t="shared" ca="1" si="37"/>
        <v>-9.0034815969042015</v>
      </c>
      <c r="X18" s="1031">
        <f t="shared" ca="1" si="38"/>
        <v>0</v>
      </c>
      <c r="Y18" s="1031">
        <f t="shared" ca="1" si="38"/>
        <v>0</v>
      </c>
      <c r="Z18" s="1031">
        <f t="shared" ca="1" si="38"/>
        <v>0</v>
      </c>
      <c r="AA18" s="1031">
        <f t="shared" ca="1" si="37"/>
        <v>0</v>
      </c>
      <c r="AB18" s="1031">
        <f t="shared" ca="1" si="37"/>
        <v>0</v>
      </c>
      <c r="AC18" s="1031">
        <f t="shared" ca="1" si="37"/>
        <v>0</v>
      </c>
      <c r="AD18" s="1031">
        <f t="shared" ca="1" si="37"/>
        <v>0</v>
      </c>
      <c r="AE18" s="1031">
        <f t="shared" ca="1" si="37"/>
        <v>0</v>
      </c>
      <c r="AF18" s="1031">
        <f t="shared" ca="1" si="37"/>
        <v>0</v>
      </c>
      <c r="AG18" s="1031">
        <f t="shared" ca="1" si="37"/>
        <v>0</v>
      </c>
      <c r="AH18" s="1031">
        <f t="shared" ca="1" si="37"/>
        <v>0</v>
      </c>
      <c r="AI18" s="1031">
        <f t="shared" ca="1" si="37"/>
        <v>0</v>
      </c>
      <c r="AJ18" s="1031">
        <f t="shared" ca="1" si="37"/>
        <v>0</v>
      </c>
      <c r="AK18" s="1030">
        <f ca="1">SUM(S18:AJ18)</f>
        <v>-86.351285329415219</v>
      </c>
      <c r="AM18" s="1042">
        <f t="shared" ca="1" si="39"/>
        <v>0</v>
      </c>
      <c r="AN18" s="1042">
        <f t="shared" ca="1" si="39"/>
        <v>0</v>
      </c>
      <c r="AO18" s="1042">
        <f t="shared" ca="1" si="39"/>
        <v>0</v>
      </c>
      <c r="AP18" s="1042">
        <f t="shared" ca="1" si="39"/>
        <v>0</v>
      </c>
      <c r="AQ18" s="1042">
        <f t="shared" ca="1" si="39"/>
        <v>0</v>
      </c>
      <c r="AR18" s="1042">
        <f t="shared" ca="1" si="39"/>
        <v>0</v>
      </c>
      <c r="AS18" s="1042">
        <f t="shared" ca="1" si="39"/>
        <v>0</v>
      </c>
      <c r="AT18" s="1042">
        <f t="shared" ca="1" si="39"/>
        <v>0</v>
      </c>
      <c r="AU18" s="1042">
        <f t="shared" ca="1" si="39"/>
        <v>0</v>
      </c>
      <c r="AV18" s="1042">
        <f t="shared" ca="1" si="37"/>
        <v>0</v>
      </c>
      <c r="AW18" s="1042">
        <f t="shared" ca="1" si="37"/>
        <v>0</v>
      </c>
      <c r="AX18" s="1042">
        <f t="shared" ca="1" si="37"/>
        <v>0</v>
      </c>
      <c r="AY18" s="1042">
        <f t="shared" ca="1" si="37"/>
        <v>0</v>
      </c>
      <c r="AZ18" s="1042">
        <f t="shared" ca="1" si="37"/>
        <v>0</v>
      </c>
      <c r="BA18" s="1042">
        <f t="shared" ca="1" si="37"/>
        <v>0</v>
      </c>
      <c r="BB18" s="1042">
        <f t="shared" ca="1" si="37"/>
        <v>0</v>
      </c>
      <c r="BC18" s="1042">
        <f t="shared" ca="1" si="37"/>
        <v>0</v>
      </c>
      <c r="BD18" s="1042">
        <f t="shared" ca="1" si="37"/>
        <v>0</v>
      </c>
      <c r="BE18" s="1042">
        <f t="shared" ca="1" si="37"/>
        <v>0</v>
      </c>
      <c r="BF18" s="1012">
        <f ca="1">SUM(AM18:BE18)</f>
        <v>0</v>
      </c>
      <c r="BH18" s="1036">
        <f ca="1">IFERROR(INDEX(INDIRECT($C18&amp;".Outputs["&amp;this.Year&amp;"]"), MATCH(BH$5, INDIRECT($C18&amp;".Outputs[Vector]"), 0)), 0)</f>
        <v>0</v>
      </c>
      <c r="BI18" s="1036">
        <f ca="1">IFERROR(INDEX(INDIRECT($C18&amp;".Outputs["&amp;this.Year&amp;"]"), MATCH(BI$5, INDIRECT($C18&amp;".Outputs[Vector]"), 0)), 0)</f>
        <v>0</v>
      </c>
      <c r="BJ18" s="1035">
        <f ca="1">SUM(BH18:BI18)</f>
        <v>0</v>
      </c>
      <c r="BL18" s="814">
        <f t="shared" ca="1" si="9"/>
        <v>0</v>
      </c>
      <c r="BM18" s="814"/>
      <c r="BN18" s="840"/>
      <c r="BO18" s="1485">
        <f t="shared" ca="1" si="40"/>
        <v>1.6566406138303729</v>
      </c>
      <c r="BP18" s="1486">
        <f t="shared" ca="1" si="40"/>
        <v>3.3207124342531417E-3</v>
      </c>
      <c r="BQ18" s="1486">
        <f t="shared" ca="1" si="40"/>
        <v>3.5715876645623177E-3</v>
      </c>
      <c r="BR18" s="1486">
        <f t="shared" ca="1" si="40"/>
        <v>0</v>
      </c>
      <c r="BS18" s="1486">
        <f t="shared" ca="1" si="40"/>
        <v>0</v>
      </c>
      <c r="BT18" s="1486">
        <f t="shared" ca="1" si="40"/>
        <v>0</v>
      </c>
      <c r="BU18" s="1486">
        <f t="shared" ca="1" si="40"/>
        <v>0</v>
      </c>
      <c r="BV18" s="1486">
        <f t="shared" ca="1" si="40"/>
        <v>0</v>
      </c>
      <c r="BW18" s="1486">
        <f t="shared" ca="1" si="40"/>
        <v>0</v>
      </c>
      <c r="BX18" s="1486">
        <f t="shared" ca="1" si="40"/>
        <v>0</v>
      </c>
      <c r="BY18" s="1486">
        <f t="shared" ca="1" si="41"/>
        <v>0</v>
      </c>
      <c r="BZ18" s="1486">
        <f t="shared" ca="1" si="41"/>
        <v>0</v>
      </c>
      <c r="CA18" s="1486">
        <f t="shared" ca="1" si="41"/>
        <v>0</v>
      </c>
      <c r="CB18" s="1486">
        <f t="shared" ca="1" si="41"/>
        <v>0</v>
      </c>
      <c r="CC18" s="1486">
        <f t="shared" ca="1" si="41"/>
        <v>0</v>
      </c>
      <c r="CD18" s="1486">
        <f t="shared" ca="1" si="41"/>
        <v>0</v>
      </c>
      <c r="CE18" s="1486">
        <f t="shared" ca="1" si="41"/>
        <v>0</v>
      </c>
      <c r="CF18" s="1486">
        <f t="shared" ca="1" si="41"/>
        <v>0</v>
      </c>
      <c r="CG18" s="1486">
        <f t="shared" ca="1" si="41"/>
        <v>0</v>
      </c>
      <c r="CH18" s="1486">
        <f t="shared" ca="1" si="41"/>
        <v>0</v>
      </c>
      <c r="CI18" s="1486">
        <f t="shared" ca="1" si="42"/>
        <v>0</v>
      </c>
      <c r="CJ18" s="1486">
        <f t="shared" ca="1" si="42"/>
        <v>0</v>
      </c>
      <c r="CK18" s="1486">
        <f t="shared" ca="1" si="42"/>
        <v>0</v>
      </c>
      <c r="CL18" s="1486">
        <f t="shared" ca="1" si="42"/>
        <v>0</v>
      </c>
      <c r="CM18" s="1486">
        <f t="shared" ca="1" si="42"/>
        <v>0</v>
      </c>
      <c r="CN18" s="1486">
        <f t="shared" ca="1" si="42"/>
        <v>0</v>
      </c>
      <c r="CO18" s="1486">
        <f t="shared" ca="1" si="42"/>
        <v>0</v>
      </c>
      <c r="CP18" s="1486">
        <f t="shared" ca="1" si="42"/>
        <v>0</v>
      </c>
      <c r="CQ18" s="1486">
        <f t="shared" ca="1" si="42"/>
        <v>0</v>
      </c>
      <c r="CR18" s="1486">
        <f t="shared" ca="1" si="42"/>
        <v>0</v>
      </c>
      <c r="CS18" s="1486">
        <f t="shared" ca="1" si="43"/>
        <v>0</v>
      </c>
      <c r="CT18" s="1486">
        <f t="shared" ca="1" si="43"/>
        <v>0</v>
      </c>
      <c r="CU18" s="1486">
        <f t="shared" ca="1" si="43"/>
        <v>0</v>
      </c>
      <c r="CV18" s="1486">
        <f t="shared" ca="1" si="43"/>
        <v>0</v>
      </c>
      <c r="CW18" s="1486">
        <f t="shared" ca="1" si="43"/>
        <v>0</v>
      </c>
      <c r="CX18" s="1486">
        <f t="shared" ca="1" si="43"/>
        <v>0</v>
      </c>
      <c r="CY18" s="1486">
        <f t="shared" ca="1" si="43"/>
        <v>0</v>
      </c>
      <c r="CZ18" s="1486">
        <f t="shared" ca="1" si="43"/>
        <v>0</v>
      </c>
      <c r="DA18" s="1486">
        <f t="shared" ca="1" si="43"/>
        <v>0</v>
      </c>
      <c r="DB18" s="1486">
        <f t="shared" ca="1" si="43"/>
        <v>0</v>
      </c>
      <c r="DC18" s="1486">
        <f t="shared" ca="1" si="43"/>
        <v>0</v>
      </c>
      <c r="DD18" s="1486">
        <f t="shared" ca="1" si="43"/>
        <v>0</v>
      </c>
      <c r="DE18" s="1486">
        <f t="shared" ca="1" si="43"/>
        <v>0</v>
      </c>
      <c r="DF18" s="1486">
        <f t="shared" ca="1" si="43"/>
        <v>0</v>
      </c>
      <c r="DH18" s="838">
        <f t="shared" ca="1" si="35"/>
        <v>1.6635329139291883</v>
      </c>
    </row>
    <row r="19" spans="1:112" s="743" customFormat="1" ht="15.75" collapsed="1">
      <c r="A19" s="22"/>
      <c r="B19" s="753"/>
      <c r="C19" s="744" t="s">
        <v>677</v>
      </c>
      <c r="D19" s="517" t="str">
        <f>INDEX(Workstreams[Workstream], MATCH($C19, Workstreams[Code], 0))</f>
        <v>Lighting and appliances</v>
      </c>
      <c r="E19" s="512"/>
      <c r="G19" s="1021">
        <f ca="1">G17+G18</f>
        <v>0</v>
      </c>
      <c r="H19" s="1021">
        <f t="shared" ref="H19:P19" ca="1" si="44">H17+H18</f>
        <v>185.83085939782245</v>
      </c>
      <c r="I19" s="1021">
        <f t="shared" ca="1" si="44"/>
        <v>0</v>
      </c>
      <c r="J19" s="1021">
        <f t="shared" ca="1" si="44"/>
        <v>0</v>
      </c>
      <c r="K19" s="1021">
        <f t="shared" ca="1" si="44"/>
        <v>0</v>
      </c>
      <c r="L19" s="1021">
        <f t="shared" ca="1" si="44"/>
        <v>0</v>
      </c>
      <c r="M19" s="1021">
        <f t="shared" ca="1" si="44"/>
        <v>0</v>
      </c>
      <c r="N19" s="1021">
        <f t="shared" ca="1" si="44"/>
        <v>0</v>
      </c>
      <c r="O19" s="1021">
        <f t="shared" ca="1" si="44"/>
        <v>0</v>
      </c>
      <c r="P19" s="1021">
        <f t="shared" ca="1" si="44"/>
        <v>0</v>
      </c>
      <c r="Q19" s="1021">
        <f ca="1">SUM(G19:P19)</f>
        <v>185.83085939782245</v>
      </c>
      <c r="S19" s="970">
        <f ca="1">S17+S18</f>
        <v>-168.81214477803974</v>
      </c>
      <c r="T19" s="970">
        <f t="shared" ref="T19:AJ19" ca="1" si="45">T17+T18</f>
        <v>0</v>
      </c>
      <c r="U19" s="970">
        <f t="shared" ca="1" si="45"/>
        <v>0</v>
      </c>
      <c r="V19" s="970">
        <f t="shared" ca="1" si="45"/>
        <v>0</v>
      </c>
      <c r="W19" s="970">
        <f t="shared" ca="1" si="45"/>
        <v>-17.018714619782713</v>
      </c>
      <c r="X19" s="970">
        <f ca="1">X17+X18</f>
        <v>0</v>
      </c>
      <c r="Y19" s="970">
        <f ca="1">Y17+Y18</f>
        <v>0</v>
      </c>
      <c r="Z19" s="970">
        <f ca="1">Z17+Z18</f>
        <v>0</v>
      </c>
      <c r="AA19" s="970">
        <f t="shared" ca="1" si="45"/>
        <v>0</v>
      </c>
      <c r="AB19" s="970">
        <f t="shared" ca="1" si="45"/>
        <v>0</v>
      </c>
      <c r="AC19" s="970">
        <f t="shared" ca="1" si="45"/>
        <v>0</v>
      </c>
      <c r="AD19" s="970">
        <f ca="1">AD17+AD18</f>
        <v>0</v>
      </c>
      <c r="AE19" s="970">
        <f ca="1">AE17+AE18</f>
        <v>0</v>
      </c>
      <c r="AF19" s="970">
        <f t="shared" ca="1" si="45"/>
        <v>0</v>
      </c>
      <c r="AG19" s="970">
        <f ca="1">AG17+AG18</f>
        <v>0</v>
      </c>
      <c r="AH19" s="970">
        <f ca="1">AH17+AH18</f>
        <v>0</v>
      </c>
      <c r="AI19" s="970">
        <f ca="1">AI17+AI18</f>
        <v>0</v>
      </c>
      <c r="AJ19" s="970">
        <f t="shared" ca="1" si="45"/>
        <v>0</v>
      </c>
      <c r="AK19" s="970">
        <f ca="1">SUM(S19:AJ19)</f>
        <v>-185.83085939782245</v>
      </c>
      <c r="AM19" s="976">
        <f t="shared" ref="AM19:BE19" ca="1" si="46">AM17+AM18</f>
        <v>0</v>
      </c>
      <c r="AN19" s="976">
        <f t="shared" ca="1" si="46"/>
        <v>0</v>
      </c>
      <c r="AO19" s="976">
        <f t="shared" ca="1" si="46"/>
        <v>0</v>
      </c>
      <c r="AP19" s="976">
        <f t="shared" ca="1" si="46"/>
        <v>0</v>
      </c>
      <c r="AQ19" s="976">
        <f t="shared" ca="1" si="46"/>
        <v>0</v>
      </c>
      <c r="AR19" s="976">
        <f t="shared" ca="1" si="46"/>
        <v>0</v>
      </c>
      <c r="AS19" s="976">
        <f t="shared" ca="1" si="46"/>
        <v>0</v>
      </c>
      <c r="AT19" s="976">
        <f t="shared" ca="1" si="46"/>
        <v>0</v>
      </c>
      <c r="AU19" s="976">
        <f t="shared" ca="1" si="46"/>
        <v>0</v>
      </c>
      <c r="AV19" s="976">
        <f t="shared" ca="1" si="46"/>
        <v>0</v>
      </c>
      <c r="AW19" s="976">
        <f t="shared" ca="1" si="46"/>
        <v>0</v>
      </c>
      <c r="AX19" s="976">
        <f t="shared" ca="1" si="46"/>
        <v>0</v>
      </c>
      <c r="AY19" s="976">
        <f t="shared" ca="1" si="46"/>
        <v>0</v>
      </c>
      <c r="AZ19" s="976">
        <f t="shared" ca="1" si="46"/>
        <v>0</v>
      </c>
      <c r="BA19" s="976">
        <f t="shared" ca="1" si="46"/>
        <v>0</v>
      </c>
      <c r="BB19" s="976">
        <f t="shared" ca="1" si="46"/>
        <v>0</v>
      </c>
      <c r="BC19" s="976">
        <f t="shared" ca="1" si="46"/>
        <v>0</v>
      </c>
      <c r="BD19" s="976">
        <f t="shared" ca="1" si="46"/>
        <v>0</v>
      </c>
      <c r="BE19" s="976">
        <f t="shared" ca="1" si="46"/>
        <v>0</v>
      </c>
      <c r="BF19" s="976">
        <f ca="1">SUM(AM19:BE19)</f>
        <v>0</v>
      </c>
      <c r="BH19" s="990">
        <f ca="1">BH17+BH18</f>
        <v>0</v>
      </c>
      <c r="BI19" s="990">
        <f ca="1">BI17+BI18</f>
        <v>0</v>
      </c>
      <c r="BJ19" s="990">
        <f ca="1">SUM(BH19:BI19)</f>
        <v>0</v>
      </c>
      <c r="BL19" s="515">
        <f t="shared" ca="1" si="9"/>
        <v>0</v>
      </c>
      <c r="BM19" s="515"/>
      <c r="BN19" s="840"/>
      <c r="BO19" s="1482">
        <f t="shared" ref="BO19:DF19" ca="1" si="47">BO17+BO18</f>
        <v>3.1314434900400183</v>
      </c>
      <c r="BP19" s="1482">
        <f t="shared" ca="1" si="47"/>
        <v>6.2769337222114497E-3</v>
      </c>
      <c r="BQ19" s="1482">
        <f t="shared" ca="1" si="47"/>
        <v>6.7511473809889833E-3</v>
      </c>
      <c r="BR19" s="1482">
        <f t="shared" ca="1" si="47"/>
        <v>0</v>
      </c>
      <c r="BS19" s="1482">
        <f t="shared" ca="1" si="47"/>
        <v>0</v>
      </c>
      <c r="BT19" s="1482">
        <f t="shared" ca="1" si="47"/>
        <v>0</v>
      </c>
      <c r="BU19" s="1482">
        <f t="shared" ca="1" si="47"/>
        <v>0</v>
      </c>
      <c r="BV19" s="1482">
        <f t="shared" ca="1" si="47"/>
        <v>0</v>
      </c>
      <c r="BW19" s="1482">
        <f t="shared" ca="1" si="47"/>
        <v>0</v>
      </c>
      <c r="BX19" s="1482">
        <f t="shared" ca="1" si="47"/>
        <v>0</v>
      </c>
      <c r="BY19" s="1482">
        <f t="shared" ca="1" si="47"/>
        <v>0</v>
      </c>
      <c r="BZ19" s="1482">
        <f t="shared" ca="1" si="47"/>
        <v>0</v>
      </c>
      <c r="CA19" s="1482">
        <f t="shared" ca="1" si="47"/>
        <v>0</v>
      </c>
      <c r="CB19" s="1482">
        <f t="shared" ca="1" si="47"/>
        <v>0</v>
      </c>
      <c r="CC19" s="1482">
        <f t="shared" ca="1" si="47"/>
        <v>0</v>
      </c>
      <c r="CD19" s="1482">
        <f t="shared" ca="1" si="47"/>
        <v>0</v>
      </c>
      <c r="CE19" s="1482">
        <f t="shared" ca="1" si="47"/>
        <v>0</v>
      </c>
      <c r="CF19" s="1482">
        <f t="shared" ca="1" si="47"/>
        <v>0</v>
      </c>
      <c r="CG19" s="1482">
        <f t="shared" ca="1" si="47"/>
        <v>0</v>
      </c>
      <c r="CH19" s="1482">
        <f t="shared" ca="1" si="47"/>
        <v>0</v>
      </c>
      <c r="CI19" s="1482">
        <f t="shared" ca="1" si="47"/>
        <v>0</v>
      </c>
      <c r="CJ19" s="1482">
        <f t="shared" ca="1" si="47"/>
        <v>0</v>
      </c>
      <c r="CK19" s="1482">
        <f t="shared" ca="1" si="47"/>
        <v>0</v>
      </c>
      <c r="CL19" s="1482">
        <f t="shared" ca="1" si="47"/>
        <v>0</v>
      </c>
      <c r="CM19" s="1482">
        <f t="shared" ca="1" si="47"/>
        <v>0</v>
      </c>
      <c r="CN19" s="1482">
        <f t="shared" ca="1" si="47"/>
        <v>0</v>
      </c>
      <c r="CO19" s="1482">
        <f t="shared" ca="1" si="47"/>
        <v>0</v>
      </c>
      <c r="CP19" s="1482">
        <f t="shared" ca="1" si="47"/>
        <v>0</v>
      </c>
      <c r="CQ19" s="1482">
        <f t="shared" ca="1" si="47"/>
        <v>0</v>
      </c>
      <c r="CR19" s="1482">
        <f t="shared" ca="1" si="47"/>
        <v>0</v>
      </c>
      <c r="CS19" s="1482">
        <f t="shared" ca="1" si="47"/>
        <v>0</v>
      </c>
      <c r="CT19" s="1482">
        <f t="shared" ca="1" si="47"/>
        <v>0</v>
      </c>
      <c r="CU19" s="1482">
        <f t="shared" ca="1" si="47"/>
        <v>0</v>
      </c>
      <c r="CV19" s="1482">
        <f t="shared" ca="1" si="47"/>
        <v>0</v>
      </c>
      <c r="CW19" s="1482">
        <f t="shared" ca="1" si="47"/>
        <v>0</v>
      </c>
      <c r="CX19" s="1482">
        <f t="shared" ca="1" si="47"/>
        <v>0</v>
      </c>
      <c r="CY19" s="1482">
        <f t="shared" ca="1" si="47"/>
        <v>0</v>
      </c>
      <c r="CZ19" s="1482">
        <f t="shared" ca="1" si="47"/>
        <v>0</v>
      </c>
      <c r="DA19" s="1482">
        <f t="shared" ca="1" si="47"/>
        <v>0</v>
      </c>
      <c r="DB19" s="1482">
        <f t="shared" ca="1" si="47"/>
        <v>0</v>
      </c>
      <c r="DC19" s="1482">
        <f t="shared" ca="1" si="47"/>
        <v>0</v>
      </c>
      <c r="DD19" s="1482">
        <f t="shared" ca="1" si="47"/>
        <v>0</v>
      </c>
      <c r="DE19" s="1482">
        <f t="shared" ca="1" si="47"/>
        <v>0</v>
      </c>
      <c r="DF19" s="1482">
        <f t="shared" ca="1" si="47"/>
        <v>0</v>
      </c>
      <c r="DH19" s="838">
        <f t="shared" ca="1" si="35"/>
        <v>3.1444715711432187</v>
      </c>
    </row>
    <row r="20" spans="1:112" s="743" customFormat="1" ht="12.75" hidden="1" customHeight="1" outlineLevel="1">
      <c r="A20" s="1484"/>
      <c r="B20" s="1484"/>
      <c r="C20" s="746"/>
      <c r="D20" s="521"/>
      <c r="E20" s="521"/>
      <c r="G20" s="1019"/>
      <c r="H20" s="1019"/>
      <c r="I20" s="1019"/>
      <c r="J20" s="1019"/>
      <c r="K20" s="1019"/>
      <c r="L20" s="1019"/>
      <c r="M20" s="1019"/>
      <c r="N20" s="1019"/>
      <c r="O20" s="1019"/>
      <c r="P20" s="1019"/>
      <c r="Q20" s="1019"/>
      <c r="S20" s="1027"/>
      <c r="T20" s="1027"/>
      <c r="U20" s="1027"/>
      <c r="V20" s="1027"/>
      <c r="W20" s="1027"/>
      <c r="X20" s="1027"/>
      <c r="Y20" s="1027"/>
      <c r="Z20" s="1027"/>
      <c r="AA20" s="1027"/>
      <c r="AB20" s="1027"/>
      <c r="AC20" s="1027"/>
      <c r="AD20" s="1027"/>
      <c r="AE20" s="1027"/>
      <c r="AF20" s="1027"/>
      <c r="AG20" s="1027"/>
      <c r="AH20" s="1027"/>
      <c r="AI20" s="1027"/>
      <c r="AJ20" s="1027"/>
      <c r="AK20" s="1027"/>
      <c r="AM20" s="1040"/>
      <c r="AN20" s="1040"/>
      <c r="AO20" s="1040"/>
      <c r="AP20" s="1040"/>
      <c r="AQ20" s="1040"/>
      <c r="AR20" s="1040"/>
      <c r="AS20" s="1040"/>
      <c r="AT20" s="1040"/>
      <c r="AU20" s="1040"/>
      <c r="AV20" s="1040"/>
      <c r="AW20" s="1040"/>
      <c r="AX20" s="1040"/>
      <c r="AY20" s="1040"/>
      <c r="AZ20" s="1040"/>
      <c r="BA20" s="1040"/>
      <c r="BB20" s="1040"/>
      <c r="BC20" s="1040"/>
      <c r="BD20" s="1040"/>
      <c r="BE20" s="1040"/>
      <c r="BF20" s="979"/>
      <c r="BH20" s="1034"/>
      <c r="BI20" s="1034"/>
      <c r="BJ20" s="1034"/>
      <c r="BL20" s="814">
        <f t="shared" si="9"/>
        <v>0</v>
      </c>
      <c r="BM20" s="814"/>
      <c r="BN20" s="1484"/>
      <c r="BO20" s="1481"/>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H20" s="838">
        <f t="shared" si="35"/>
        <v>0</v>
      </c>
    </row>
    <row r="21" spans="1:112" s="743" customFormat="1" ht="12.75" hidden="1" customHeight="1" outlineLevel="1">
      <c r="A21" s="1484"/>
      <c r="B21" s="1484"/>
      <c r="C21" s="746" t="s">
        <v>900</v>
      </c>
      <c r="D21" s="1010" t="str">
        <f>INDEX(Modules[Module], MATCH($C21, Modules[Code], 0))</f>
        <v>Industrial processes</v>
      </c>
      <c r="E21" s="1010"/>
      <c r="G21" s="1022">
        <f t="shared" ref="G21:P21" ca="1" si="48">IFERROR(INDEX(INDIRECT($C21&amp;".Outputs["&amp;this.Year&amp;"]"), MATCH(G$5, INDIRECT($C21&amp;".Outputs[Vector]"), 0)), 0)</f>
        <v>0</v>
      </c>
      <c r="H21" s="1022">
        <f t="shared" ca="1" si="48"/>
        <v>0</v>
      </c>
      <c r="I21" s="1022">
        <f t="shared" ca="1" si="48"/>
        <v>421.06497130140758</v>
      </c>
      <c r="J21" s="1022">
        <f t="shared" ca="1" si="48"/>
        <v>0</v>
      </c>
      <c r="K21" s="1022">
        <f t="shared" ca="1" si="48"/>
        <v>0</v>
      </c>
      <c r="L21" s="1022">
        <f t="shared" ca="1" si="48"/>
        <v>0</v>
      </c>
      <c r="M21" s="1022">
        <f t="shared" ca="1" si="48"/>
        <v>0</v>
      </c>
      <c r="N21" s="1022">
        <f t="shared" ca="1" si="48"/>
        <v>0</v>
      </c>
      <c r="O21" s="1022">
        <f t="shared" ca="1" si="48"/>
        <v>0</v>
      </c>
      <c r="P21" s="1022">
        <f t="shared" ca="1" si="48"/>
        <v>0</v>
      </c>
      <c r="Q21" s="1020">
        <f ca="1">SUM(G21:P21)</f>
        <v>421.06497130140758</v>
      </c>
      <c r="S21" s="1031">
        <f t="shared" ref="S21:BE21" ca="1" si="49">IFERROR(INDEX(INDIRECT($C21&amp;".Outputs["&amp;this.Year&amp;"]"), MATCH(S$5, INDIRECT($C21&amp;".Outputs[Vector]"), 0)), 0)</f>
        <v>-117.85894016911062</v>
      </c>
      <c r="T21" s="1031">
        <f t="shared" ca="1" si="49"/>
        <v>0</v>
      </c>
      <c r="U21" s="1031">
        <f t="shared" ca="1" si="49"/>
        <v>-56.21630837672091</v>
      </c>
      <c r="V21" s="1031">
        <f t="shared" ca="1" si="49"/>
        <v>-84.111287449157274</v>
      </c>
      <c r="W21" s="1031">
        <f t="shared" ca="1" si="49"/>
        <v>-154.62729166769097</v>
      </c>
      <c r="X21" s="1031">
        <f ca="1">IFERROR(INDEX(INDIRECT($C21&amp;".Outputs["&amp;this.Year&amp;"]"), MATCH(X$5, INDIRECT($C21&amp;".Outputs[Vector]"), 0)), 0)</f>
        <v>0</v>
      </c>
      <c r="Y21" s="1031">
        <f ca="1">IFERROR(INDEX(INDIRECT($C21&amp;".Outputs["&amp;this.Year&amp;"]"), MATCH(Y$5, INDIRECT($C21&amp;".Outputs[Vector]"), 0)), 0)</f>
        <v>0</v>
      </c>
      <c r="Z21" s="1031">
        <f ca="1">IFERROR(INDEX(INDIRECT($C21&amp;".Outputs["&amp;this.Year&amp;"]"), MATCH(Z$5, INDIRECT($C21&amp;".Outputs[Vector]"), 0)), 0)</f>
        <v>0</v>
      </c>
      <c r="AA21" s="1031">
        <f t="shared" ca="1" si="49"/>
        <v>0</v>
      </c>
      <c r="AB21" s="1031">
        <f t="shared" ca="1" si="49"/>
        <v>-8.2511436387277772</v>
      </c>
      <c r="AC21" s="1031">
        <f t="shared" ca="1" si="49"/>
        <v>0</v>
      </c>
      <c r="AD21" s="1031">
        <f t="shared" ca="1" si="49"/>
        <v>0</v>
      </c>
      <c r="AE21" s="1031">
        <f t="shared" ca="1" si="49"/>
        <v>0</v>
      </c>
      <c r="AF21" s="1031">
        <f t="shared" ca="1" si="49"/>
        <v>0</v>
      </c>
      <c r="AG21" s="1031">
        <f t="shared" ca="1" si="49"/>
        <v>0</v>
      </c>
      <c r="AH21" s="1031">
        <f t="shared" ca="1" si="49"/>
        <v>0</v>
      </c>
      <c r="AI21" s="1031">
        <f t="shared" ca="1" si="49"/>
        <v>0</v>
      </c>
      <c r="AJ21" s="1031">
        <f t="shared" ca="1" si="49"/>
        <v>0</v>
      </c>
      <c r="AK21" s="1030">
        <f ca="1">SUM(S21:AJ21)</f>
        <v>-421.06497130140752</v>
      </c>
      <c r="AM21" s="1042">
        <f t="shared" ref="AM21:AU21" ca="1" si="50">IFERROR(INDEX(INDIRECT($C21&amp;".Outputs["&amp;this.Year&amp;"]"), MATCH(AM$5, INDIRECT($C21&amp;".Outputs[Vector]"), 0)), 0)</f>
        <v>0</v>
      </c>
      <c r="AN21" s="1042">
        <f t="shared" ca="1" si="50"/>
        <v>0</v>
      </c>
      <c r="AO21" s="1042">
        <f t="shared" ca="1" si="50"/>
        <v>0</v>
      </c>
      <c r="AP21" s="1042">
        <f t="shared" ca="1" si="50"/>
        <v>0</v>
      </c>
      <c r="AQ21" s="1042">
        <f t="shared" ca="1" si="50"/>
        <v>0</v>
      </c>
      <c r="AR21" s="1042">
        <f t="shared" ca="1" si="50"/>
        <v>0</v>
      </c>
      <c r="AS21" s="1042">
        <f t="shared" ca="1" si="50"/>
        <v>0</v>
      </c>
      <c r="AT21" s="1042">
        <f t="shared" ca="1" si="50"/>
        <v>0</v>
      </c>
      <c r="AU21" s="1042">
        <f t="shared" ca="1" si="50"/>
        <v>0</v>
      </c>
      <c r="AV21" s="1042">
        <f t="shared" ca="1" si="49"/>
        <v>0</v>
      </c>
      <c r="AW21" s="1042">
        <f t="shared" ca="1" si="49"/>
        <v>0</v>
      </c>
      <c r="AX21" s="1042">
        <f t="shared" ca="1" si="49"/>
        <v>0</v>
      </c>
      <c r="AY21" s="1042">
        <f t="shared" ca="1" si="49"/>
        <v>0</v>
      </c>
      <c r="AZ21" s="1042">
        <f t="shared" ca="1" si="49"/>
        <v>0</v>
      </c>
      <c r="BA21" s="1042">
        <f t="shared" ca="1" si="49"/>
        <v>0</v>
      </c>
      <c r="BB21" s="1042">
        <f t="shared" ca="1" si="49"/>
        <v>0</v>
      </c>
      <c r="BC21" s="1042">
        <f t="shared" ca="1" si="49"/>
        <v>0</v>
      </c>
      <c r="BD21" s="1042">
        <f t="shared" ca="1" si="49"/>
        <v>0</v>
      </c>
      <c r="BE21" s="1042">
        <f t="shared" ca="1" si="49"/>
        <v>0</v>
      </c>
      <c r="BF21" s="1012">
        <f ca="1">SUM(AM21:BE21)</f>
        <v>0</v>
      </c>
      <c r="BH21" s="1036">
        <f ca="1">IFERROR(INDEX(INDIRECT($C21&amp;".Outputs["&amp;this.Year&amp;"]"), MATCH(BH$5, INDIRECT($C21&amp;".Outputs[Vector]"), 0)), 0)</f>
        <v>0</v>
      </c>
      <c r="BI21" s="1036">
        <f ca="1">IFERROR(INDEX(INDIRECT($C21&amp;".Outputs["&amp;this.Year&amp;"]"), MATCH(BI$5, INDIRECT($C21&amp;".Outputs[Vector]"), 0)), 0)</f>
        <v>0</v>
      </c>
      <c r="BJ21" s="1035">
        <f ca="1">SUM(BH21:BI21)</f>
        <v>0</v>
      </c>
      <c r="BL21" s="814">
        <f t="shared" ca="1" si="9"/>
        <v>5.6843418860808015E-14</v>
      </c>
      <c r="BM21" s="814"/>
      <c r="BN21" s="840"/>
      <c r="BO21" s="1485">
        <f t="shared" ref="BO21:DF21" ca="1" si="51">IFERROR(SUMIFS(INDIRECT($C21&amp;".Emissions["&amp;this.Year&amp;"]"), INDIRECT($C21&amp;".Emissions[GHG]"), BO$6, INDIRECT($C21&amp;".Emissions[IPCC Sector]"), BO$5),0)</f>
        <v>66.793866509174478</v>
      </c>
      <c r="BP21" s="1486">
        <f t="shared" ca="1" si="51"/>
        <v>0.1340741285416901</v>
      </c>
      <c r="BQ21" s="1486">
        <f t="shared" ca="1" si="51"/>
        <v>0.59305446461660583</v>
      </c>
      <c r="BR21" s="1486">
        <f t="shared" ca="1" si="51"/>
        <v>0</v>
      </c>
      <c r="BS21" s="1486">
        <f t="shared" ca="1" si="51"/>
        <v>0</v>
      </c>
      <c r="BT21" s="1486">
        <f t="shared" ca="1" si="51"/>
        <v>0</v>
      </c>
      <c r="BU21" s="1486">
        <f t="shared" ca="1" si="51"/>
        <v>0</v>
      </c>
      <c r="BV21" s="1486">
        <f t="shared" ca="1" si="51"/>
        <v>0</v>
      </c>
      <c r="BW21" s="1486">
        <f t="shared" ca="1" si="51"/>
        <v>14.415809031014421</v>
      </c>
      <c r="BX21" s="1486">
        <f t="shared" ca="1" si="51"/>
        <v>0.11168408042808131</v>
      </c>
      <c r="BY21" s="1486">
        <f t="shared" ca="1" si="51"/>
        <v>2.761536333825779</v>
      </c>
      <c r="BZ21" s="1486">
        <f t="shared" ca="1" si="51"/>
        <v>8.5208110687468022</v>
      </c>
      <c r="CA21" s="1486">
        <f t="shared" ca="1" si="51"/>
        <v>0</v>
      </c>
      <c r="CB21" s="1486">
        <f t="shared" ca="1" si="51"/>
        <v>0</v>
      </c>
      <c r="CC21" s="1486">
        <f t="shared" ca="1" si="51"/>
        <v>0</v>
      </c>
      <c r="CD21" s="1486">
        <f t="shared" ca="1" si="51"/>
        <v>0</v>
      </c>
      <c r="CE21" s="1486">
        <f t="shared" ca="1" si="51"/>
        <v>0</v>
      </c>
      <c r="CF21" s="1486">
        <f t="shared" ca="1" si="51"/>
        <v>0</v>
      </c>
      <c r="CG21" s="1486">
        <f t="shared" ca="1" si="51"/>
        <v>0</v>
      </c>
      <c r="CH21" s="1486">
        <f t="shared" ca="1" si="51"/>
        <v>0</v>
      </c>
      <c r="CI21" s="1486">
        <f t="shared" ca="1" si="51"/>
        <v>0</v>
      </c>
      <c r="CJ21" s="1486">
        <f t="shared" ca="1" si="51"/>
        <v>0</v>
      </c>
      <c r="CK21" s="1486">
        <f t="shared" ca="1" si="51"/>
        <v>0</v>
      </c>
      <c r="CL21" s="1486">
        <f t="shared" ca="1" si="51"/>
        <v>0</v>
      </c>
      <c r="CM21" s="1486">
        <f t="shared" ca="1" si="51"/>
        <v>0</v>
      </c>
      <c r="CN21" s="1486">
        <f t="shared" ca="1" si="51"/>
        <v>0</v>
      </c>
      <c r="CO21" s="1486">
        <f t="shared" ca="1" si="51"/>
        <v>0</v>
      </c>
      <c r="CP21" s="1486">
        <f t="shared" ca="1" si="51"/>
        <v>0</v>
      </c>
      <c r="CQ21" s="1486">
        <f t="shared" ca="1" si="51"/>
        <v>0</v>
      </c>
      <c r="CR21" s="1486">
        <f t="shared" ca="1" si="51"/>
        <v>0</v>
      </c>
      <c r="CS21" s="1486">
        <f t="shared" ca="1" si="51"/>
        <v>0</v>
      </c>
      <c r="CT21" s="1486">
        <f t="shared" ca="1" si="51"/>
        <v>0</v>
      </c>
      <c r="CU21" s="1486">
        <f t="shared" ca="1" si="51"/>
        <v>0</v>
      </c>
      <c r="CV21" s="1486">
        <f t="shared" ca="1" si="51"/>
        <v>0</v>
      </c>
      <c r="CW21" s="1486">
        <f t="shared" ca="1" si="51"/>
        <v>0</v>
      </c>
      <c r="CX21" s="1486">
        <f t="shared" ca="1" si="51"/>
        <v>0</v>
      </c>
      <c r="CY21" s="1486">
        <f t="shared" ca="1" si="51"/>
        <v>0</v>
      </c>
      <c r="CZ21" s="1486">
        <f t="shared" ca="1" si="51"/>
        <v>0</v>
      </c>
      <c r="DA21" s="1486">
        <f t="shared" ca="1" si="51"/>
        <v>0</v>
      </c>
      <c r="DB21" s="1486">
        <f t="shared" ca="1" si="51"/>
        <v>0</v>
      </c>
      <c r="DC21" s="1486">
        <f t="shared" ca="1" si="51"/>
        <v>0</v>
      </c>
      <c r="DD21" s="1486">
        <f t="shared" ca="1" si="51"/>
        <v>0</v>
      </c>
      <c r="DE21" s="1486">
        <f t="shared" ca="1" si="51"/>
        <v>0</v>
      </c>
      <c r="DF21" s="1486">
        <f t="shared" ca="1" si="51"/>
        <v>0</v>
      </c>
      <c r="DH21" s="838">
        <f t="shared" ca="1" si="35"/>
        <v>93.330835616347827</v>
      </c>
    </row>
    <row r="22" spans="1:112" s="743" customFormat="1" ht="15.75" collapsed="1">
      <c r="A22" s="22"/>
      <c r="B22" s="753"/>
      <c r="C22" s="744" t="s">
        <v>678</v>
      </c>
      <c r="D22" s="517" t="str">
        <f>INDEX(Workstreams[Workstream], MATCH($C22, Workstreams[Code], 0))</f>
        <v>Industry</v>
      </c>
      <c r="E22" s="512"/>
      <c r="G22" s="1021">
        <f ca="1">G21</f>
        <v>0</v>
      </c>
      <c r="H22" s="1021">
        <f t="shared" ref="H22:P22" ca="1" si="52">H21</f>
        <v>0</v>
      </c>
      <c r="I22" s="1021">
        <f t="shared" ca="1" si="52"/>
        <v>421.06497130140758</v>
      </c>
      <c r="J22" s="1021">
        <f t="shared" ca="1" si="52"/>
        <v>0</v>
      </c>
      <c r="K22" s="1021">
        <f t="shared" ca="1" si="52"/>
        <v>0</v>
      </c>
      <c r="L22" s="1021">
        <f t="shared" ca="1" si="52"/>
        <v>0</v>
      </c>
      <c r="M22" s="1021">
        <f t="shared" ca="1" si="52"/>
        <v>0</v>
      </c>
      <c r="N22" s="1021">
        <f t="shared" ca="1" si="52"/>
        <v>0</v>
      </c>
      <c r="O22" s="1021">
        <f t="shared" ca="1" si="52"/>
        <v>0</v>
      </c>
      <c r="P22" s="1021">
        <f t="shared" ca="1" si="52"/>
        <v>0</v>
      </c>
      <c r="Q22" s="1021">
        <f ca="1">SUM(G22:P22)</f>
        <v>421.06497130140758</v>
      </c>
      <c r="S22" s="970">
        <f t="shared" ref="S22:Z22" ca="1" si="53">S21</f>
        <v>-117.85894016911062</v>
      </c>
      <c r="T22" s="970">
        <f t="shared" ca="1" si="53"/>
        <v>0</v>
      </c>
      <c r="U22" s="970">
        <f t="shared" ca="1" si="53"/>
        <v>-56.21630837672091</v>
      </c>
      <c r="V22" s="970">
        <f t="shared" ca="1" si="53"/>
        <v>-84.111287449157274</v>
      </c>
      <c r="W22" s="970">
        <f t="shared" ca="1" si="53"/>
        <v>-154.62729166769097</v>
      </c>
      <c r="X22" s="970">
        <f t="shared" ca="1" si="53"/>
        <v>0</v>
      </c>
      <c r="Y22" s="970">
        <f t="shared" ca="1" si="53"/>
        <v>0</v>
      </c>
      <c r="Z22" s="970">
        <f t="shared" ca="1" si="53"/>
        <v>0</v>
      </c>
      <c r="AA22" s="970">
        <f t="shared" ref="AA22:AJ22" ca="1" si="54">AA21</f>
        <v>0</v>
      </c>
      <c r="AB22" s="970">
        <f t="shared" ca="1" si="54"/>
        <v>-8.2511436387277772</v>
      </c>
      <c r="AC22" s="970">
        <f t="shared" ca="1" si="54"/>
        <v>0</v>
      </c>
      <c r="AD22" s="970">
        <f ca="1">AD21</f>
        <v>0</v>
      </c>
      <c r="AE22" s="970">
        <f ca="1">AE21</f>
        <v>0</v>
      </c>
      <c r="AF22" s="970">
        <f t="shared" ca="1" si="54"/>
        <v>0</v>
      </c>
      <c r="AG22" s="970">
        <f ca="1">AG21</f>
        <v>0</v>
      </c>
      <c r="AH22" s="970">
        <f ca="1">AH21</f>
        <v>0</v>
      </c>
      <c r="AI22" s="970">
        <f ca="1">AI21</f>
        <v>0</v>
      </c>
      <c r="AJ22" s="970">
        <f t="shared" ca="1" si="54"/>
        <v>0</v>
      </c>
      <c r="AK22" s="970">
        <f ca="1">SUM(S22:AJ22)</f>
        <v>-421.06497130140752</v>
      </c>
      <c r="AM22" s="976">
        <f t="shared" ref="AM22:BE22" ca="1" si="55">AM21</f>
        <v>0</v>
      </c>
      <c r="AN22" s="976">
        <f t="shared" ca="1" si="55"/>
        <v>0</v>
      </c>
      <c r="AO22" s="976">
        <f t="shared" ca="1" si="55"/>
        <v>0</v>
      </c>
      <c r="AP22" s="976">
        <f t="shared" ca="1" si="55"/>
        <v>0</v>
      </c>
      <c r="AQ22" s="976">
        <f t="shared" ca="1" si="55"/>
        <v>0</v>
      </c>
      <c r="AR22" s="976">
        <f t="shared" ca="1" si="55"/>
        <v>0</v>
      </c>
      <c r="AS22" s="976">
        <f t="shared" ca="1" si="55"/>
        <v>0</v>
      </c>
      <c r="AT22" s="976">
        <f t="shared" ca="1" si="55"/>
        <v>0</v>
      </c>
      <c r="AU22" s="976">
        <f t="shared" ca="1" si="55"/>
        <v>0</v>
      </c>
      <c r="AV22" s="976">
        <f t="shared" ca="1" si="55"/>
        <v>0</v>
      </c>
      <c r="AW22" s="976">
        <f t="shared" ca="1" si="55"/>
        <v>0</v>
      </c>
      <c r="AX22" s="976">
        <f t="shared" ca="1" si="55"/>
        <v>0</v>
      </c>
      <c r="AY22" s="976">
        <f t="shared" ca="1" si="55"/>
        <v>0</v>
      </c>
      <c r="AZ22" s="976">
        <f t="shared" ca="1" si="55"/>
        <v>0</v>
      </c>
      <c r="BA22" s="976">
        <f t="shared" ca="1" si="55"/>
        <v>0</v>
      </c>
      <c r="BB22" s="976">
        <f t="shared" ca="1" si="55"/>
        <v>0</v>
      </c>
      <c r="BC22" s="976">
        <f t="shared" ca="1" si="55"/>
        <v>0</v>
      </c>
      <c r="BD22" s="976">
        <f t="shared" ca="1" si="55"/>
        <v>0</v>
      </c>
      <c r="BE22" s="976">
        <f t="shared" ca="1" si="55"/>
        <v>0</v>
      </c>
      <c r="BF22" s="976">
        <f ca="1">SUM(AM22:BE22)</f>
        <v>0</v>
      </c>
      <c r="BH22" s="990">
        <f ca="1">BH21</f>
        <v>0</v>
      </c>
      <c r="BI22" s="990">
        <f ca="1">BI21</f>
        <v>0</v>
      </c>
      <c r="BJ22" s="990">
        <f ca="1">SUM(BH22:BI22)</f>
        <v>0</v>
      </c>
      <c r="BL22" s="515">
        <f t="shared" ca="1" si="9"/>
        <v>5.6843418860808015E-14</v>
      </c>
      <c r="BM22" s="515"/>
      <c r="BN22" s="840"/>
      <c r="BO22" s="1482">
        <f t="shared" ref="BO22:DF22" ca="1" si="56">BO21</f>
        <v>66.793866509174478</v>
      </c>
      <c r="BP22" s="1482">
        <f t="shared" ca="1" si="56"/>
        <v>0.1340741285416901</v>
      </c>
      <c r="BQ22" s="1482">
        <f t="shared" ca="1" si="56"/>
        <v>0.59305446461660583</v>
      </c>
      <c r="BR22" s="1482">
        <f t="shared" ca="1" si="56"/>
        <v>0</v>
      </c>
      <c r="BS22" s="1482">
        <f t="shared" ca="1" si="56"/>
        <v>0</v>
      </c>
      <c r="BT22" s="1482">
        <f t="shared" ca="1" si="56"/>
        <v>0</v>
      </c>
      <c r="BU22" s="1482">
        <f t="shared" ca="1" si="56"/>
        <v>0</v>
      </c>
      <c r="BV22" s="1482">
        <f t="shared" ca="1" si="56"/>
        <v>0</v>
      </c>
      <c r="BW22" s="1482">
        <f t="shared" ca="1" si="56"/>
        <v>14.415809031014421</v>
      </c>
      <c r="BX22" s="1482">
        <f t="shared" ca="1" si="56"/>
        <v>0.11168408042808131</v>
      </c>
      <c r="BY22" s="1482">
        <f t="shared" ca="1" si="56"/>
        <v>2.761536333825779</v>
      </c>
      <c r="BZ22" s="1482">
        <f t="shared" ca="1" si="56"/>
        <v>8.5208110687468022</v>
      </c>
      <c r="CA22" s="1482">
        <f t="shared" ca="1" si="56"/>
        <v>0</v>
      </c>
      <c r="CB22" s="1482">
        <f t="shared" ca="1" si="56"/>
        <v>0</v>
      </c>
      <c r="CC22" s="1482">
        <f t="shared" ca="1" si="56"/>
        <v>0</v>
      </c>
      <c r="CD22" s="1482">
        <f t="shared" ca="1" si="56"/>
        <v>0</v>
      </c>
      <c r="CE22" s="1482">
        <f t="shared" ca="1" si="56"/>
        <v>0</v>
      </c>
      <c r="CF22" s="1482">
        <f t="shared" ca="1" si="56"/>
        <v>0</v>
      </c>
      <c r="CG22" s="1482">
        <f t="shared" ca="1" si="56"/>
        <v>0</v>
      </c>
      <c r="CH22" s="1482">
        <f t="shared" ca="1" si="56"/>
        <v>0</v>
      </c>
      <c r="CI22" s="1482">
        <f t="shared" ca="1" si="56"/>
        <v>0</v>
      </c>
      <c r="CJ22" s="1482">
        <f t="shared" ca="1" si="56"/>
        <v>0</v>
      </c>
      <c r="CK22" s="1482">
        <f t="shared" ca="1" si="56"/>
        <v>0</v>
      </c>
      <c r="CL22" s="1482">
        <f t="shared" ca="1" si="56"/>
        <v>0</v>
      </c>
      <c r="CM22" s="1482">
        <f t="shared" ca="1" si="56"/>
        <v>0</v>
      </c>
      <c r="CN22" s="1482">
        <f t="shared" ca="1" si="56"/>
        <v>0</v>
      </c>
      <c r="CO22" s="1482">
        <f t="shared" ca="1" si="56"/>
        <v>0</v>
      </c>
      <c r="CP22" s="1482">
        <f t="shared" ca="1" si="56"/>
        <v>0</v>
      </c>
      <c r="CQ22" s="1482">
        <f t="shared" ca="1" si="56"/>
        <v>0</v>
      </c>
      <c r="CR22" s="1482">
        <f t="shared" ca="1" si="56"/>
        <v>0</v>
      </c>
      <c r="CS22" s="1482">
        <f t="shared" ca="1" si="56"/>
        <v>0</v>
      </c>
      <c r="CT22" s="1482">
        <f t="shared" ca="1" si="56"/>
        <v>0</v>
      </c>
      <c r="CU22" s="1482">
        <f t="shared" ca="1" si="56"/>
        <v>0</v>
      </c>
      <c r="CV22" s="1482">
        <f t="shared" ca="1" si="56"/>
        <v>0</v>
      </c>
      <c r="CW22" s="1482">
        <f t="shared" ca="1" si="56"/>
        <v>0</v>
      </c>
      <c r="CX22" s="1482">
        <f t="shared" ca="1" si="56"/>
        <v>0</v>
      </c>
      <c r="CY22" s="1482">
        <f t="shared" ca="1" si="56"/>
        <v>0</v>
      </c>
      <c r="CZ22" s="1482">
        <f t="shared" ca="1" si="56"/>
        <v>0</v>
      </c>
      <c r="DA22" s="1482">
        <f t="shared" ca="1" si="56"/>
        <v>0</v>
      </c>
      <c r="DB22" s="1482">
        <f t="shared" ca="1" si="56"/>
        <v>0</v>
      </c>
      <c r="DC22" s="1482">
        <f t="shared" ca="1" si="56"/>
        <v>0</v>
      </c>
      <c r="DD22" s="1482">
        <f t="shared" ca="1" si="56"/>
        <v>0</v>
      </c>
      <c r="DE22" s="1482">
        <f t="shared" ca="1" si="56"/>
        <v>0</v>
      </c>
      <c r="DF22" s="1482">
        <f t="shared" ca="1" si="56"/>
        <v>0</v>
      </c>
      <c r="DH22" s="838">
        <f t="shared" ca="1" si="35"/>
        <v>93.330835616347827</v>
      </c>
    </row>
    <row r="23" spans="1:112" s="743" customFormat="1" ht="12.75" hidden="1" customHeight="1" outlineLevel="1">
      <c r="A23" s="22"/>
      <c r="B23" s="22"/>
      <c r="C23" s="751"/>
      <c r="D23" s="512"/>
      <c r="E23" s="512"/>
      <c r="G23" s="1021"/>
      <c r="H23" s="1021"/>
      <c r="I23" s="1021"/>
      <c r="J23" s="1021"/>
      <c r="K23" s="1021"/>
      <c r="L23" s="1021"/>
      <c r="M23" s="1021"/>
      <c r="N23" s="1021"/>
      <c r="O23" s="1021"/>
      <c r="P23" s="1021"/>
      <c r="Q23" s="1021"/>
      <c r="S23" s="970"/>
      <c r="T23" s="970"/>
      <c r="U23" s="970"/>
      <c r="V23" s="970"/>
      <c r="W23" s="970"/>
      <c r="X23" s="970"/>
      <c r="Y23" s="970"/>
      <c r="Z23" s="970"/>
      <c r="AA23" s="970"/>
      <c r="AB23" s="970"/>
      <c r="AC23" s="970"/>
      <c r="AD23" s="970"/>
      <c r="AE23" s="970"/>
      <c r="AF23" s="970"/>
      <c r="AG23" s="970"/>
      <c r="AH23" s="970"/>
      <c r="AI23" s="970"/>
      <c r="AJ23" s="970"/>
      <c r="AK23" s="970"/>
      <c r="AM23" s="976"/>
      <c r="AN23" s="976"/>
      <c r="AO23" s="976"/>
      <c r="AP23" s="976"/>
      <c r="AQ23" s="976"/>
      <c r="AR23" s="976"/>
      <c r="AS23" s="976"/>
      <c r="AT23" s="976"/>
      <c r="AU23" s="976"/>
      <c r="AV23" s="976"/>
      <c r="AW23" s="976"/>
      <c r="AX23" s="976"/>
      <c r="AY23" s="976"/>
      <c r="AZ23" s="976"/>
      <c r="BA23" s="976"/>
      <c r="BB23" s="976"/>
      <c r="BC23" s="976"/>
      <c r="BD23" s="976"/>
      <c r="BE23" s="976"/>
      <c r="BF23" s="976"/>
      <c r="BH23" s="990"/>
      <c r="BI23" s="990"/>
      <c r="BJ23" s="990"/>
      <c r="BL23" s="515">
        <f t="shared" si="9"/>
        <v>0</v>
      </c>
      <c r="BM23" s="515"/>
      <c r="BN23" s="22"/>
      <c r="BO23" s="1482"/>
      <c r="BP23" s="1482"/>
      <c r="BQ23" s="1482"/>
      <c r="BR23" s="1482"/>
      <c r="BS23" s="1482"/>
      <c r="BT23" s="1482"/>
      <c r="BU23" s="1482"/>
      <c r="BV23" s="1482"/>
      <c r="BW23" s="1482"/>
      <c r="BX23" s="1482"/>
      <c r="BY23" s="1482"/>
      <c r="BZ23" s="1482"/>
      <c r="CA23" s="1482"/>
      <c r="CB23" s="1482"/>
      <c r="CC23" s="1482"/>
      <c r="CD23" s="1482"/>
      <c r="CE23" s="1482"/>
      <c r="CF23" s="1482"/>
      <c r="CG23" s="1482"/>
      <c r="CH23" s="1482"/>
      <c r="CI23" s="1482"/>
      <c r="CJ23" s="1482"/>
      <c r="CK23" s="1482"/>
      <c r="CL23" s="1482"/>
      <c r="CM23" s="1482"/>
      <c r="CN23" s="1482"/>
      <c r="CO23" s="1482"/>
      <c r="CP23" s="1482"/>
      <c r="CQ23" s="1482"/>
      <c r="CR23" s="1482"/>
      <c r="CS23" s="1482"/>
      <c r="CT23" s="1482"/>
      <c r="CU23" s="1482"/>
      <c r="CV23" s="1482"/>
      <c r="CW23" s="1482"/>
      <c r="CX23" s="1482"/>
      <c r="CY23" s="1482"/>
      <c r="CZ23" s="1482"/>
      <c r="DA23" s="1482"/>
      <c r="DB23" s="1482"/>
      <c r="DC23" s="1482"/>
      <c r="DD23" s="1482"/>
      <c r="DE23" s="1482"/>
      <c r="DF23" s="1482"/>
      <c r="DH23" s="838">
        <f t="shared" si="35"/>
        <v>0</v>
      </c>
    </row>
    <row r="24" spans="1:112" s="743" customFormat="1" ht="12.75" hidden="1" customHeight="1" outlineLevel="1">
      <c r="A24" s="1484"/>
      <c r="B24" s="1484"/>
      <c r="C24" s="746" t="s">
        <v>903</v>
      </c>
      <c r="D24" s="523" t="str">
        <f>INDEX(Modules[Module], MATCH($C24, Modules[Code], 0))</f>
        <v>Domestic passenger transport</v>
      </c>
      <c r="E24" s="1006"/>
      <c r="G24" s="1017">
        <f t="shared" ref="G24:P27" ca="1" si="57">IFERROR(INDEX(INDIRECT($C24&amp;".Outputs["&amp;this.Year&amp;"]"), MATCH(G$5, INDIRECT($C24&amp;".Outputs[Vector]"), 0)), 0)</f>
        <v>0</v>
      </c>
      <c r="H24" s="1017">
        <f t="shared" ca="1" si="57"/>
        <v>0</v>
      </c>
      <c r="I24" s="1017">
        <f t="shared" ca="1" si="57"/>
        <v>0</v>
      </c>
      <c r="J24" s="1017">
        <f t="shared" ca="1" si="57"/>
        <v>320.52482900203483</v>
      </c>
      <c r="K24" s="1017">
        <f t="shared" ca="1" si="57"/>
        <v>14.241113379268901</v>
      </c>
      <c r="L24" s="1017">
        <f t="shared" ca="1" si="57"/>
        <v>11.078742052970153</v>
      </c>
      <c r="M24" s="1017">
        <f t="shared" ca="1" si="57"/>
        <v>0</v>
      </c>
      <c r="N24" s="1017">
        <f t="shared" ca="1" si="57"/>
        <v>0</v>
      </c>
      <c r="O24" s="1017">
        <f t="shared" ca="1" si="57"/>
        <v>0</v>
      </c>
      <c r="P24" s="1017">
        <f t="shared" ca="1" si="57"/>
        <v>0</v>
      </c>
      <c r="Q24" s="1019">
        <f ca="1">SUM(G24:P24)</f>
        <v>345.84468443427386</v>
      </c>
      <c r="S24" s="1026">
        <f t="shared" ref="S24:BE30" ca="1" si="58">IFERROR(INDEX(INDIRECT($C24&amp;".Outputs["&amp;this.Year&amp;"]"), MATCH(S$5, INDIRECT($C24&amp;".Outputs[Vector]"), 0)), 0)</f>
        <v>-8.3123537574116977</v>
      </c>
      <c r="T24" s="1026">
        <f t="shared" ca="1" si="58"/>
        <v>0</v>
      </c>
      <c r="U24" s="1026">
        <f t="shared" ca="1" si="58"/>
        <v>0</v>
      </c>
      <c r="V24" s="1026">
        <f t="shared" ca="1" si="58"/>
        <v>-337.53233067686216</v>
      </c>
      <c r="W24" s="1026">
        <f t="shared" ca="1" si="58"/>
        <v>0</v>
      </c>
      <c r="X24" s="1026">
        <f t="shared" ref="X24:Z27" ca="1" si="59">IFERROR(INDEX(INDIRECT($C24&amp;".Outputs["&amp;this.Year&amp;"]"), MATCH(X$5, INDIRECT($C24&amp;".Outputs[Vector]"), 0)), 0)</f>
        <v>0</v>
      </c>
      <c r="Y24" s="1026">
        <f t="shared" ca="1" si="59"/>
        <v>0</v>
      </c>
      <c r="Z24" s="1026">
        <f t="shared" ca="1" si="59"/>
        <v>0</v>
      </c>
      <c r="AA24" s="1026">
        <f t="shared" ca="1" si="58"/>
        <v>0</v>
      </c>
      <c r="AB24" s="1026">
        <f t="shared" ca="1" si="58"/>
        <v>0</v>
      </c>
      <c r="AC24" s="1026">
        <f t="shared" ca="1" si="58"/>
        <v>0</v>
      </c>
      <c r="AD24" s="1026">
        <f t="shared" ca="1" si="58"/>
        <v>0</v>
      </c>
      <c r="AE24" s="1026">
        <f t="shared" ca="1" si="58"/>
        <v>0</v>
      </c>
      <c r="AF24" s="1026">
        <f t="shared" ca="1" si="58"/>
        <v>0</v>
      </c>
      <c r="AG24" s="1026">
        <f t="shared" ca="1" si="58"/>
        <v>0</v>
      </c>
      <c r="AH24" s="1026">
        <f t="shared" ca="1" si="58"/>
        <v>0</v>
      </c>
      <c r="AI24" s="1026">
        <f t="shared" ca="1" si="58"/>
        <v>0</v>
      </c>
      <c r="AJ24" s="1026">
        <f t="shared" ca="1" si="58"/>
        <v>0</v>
      </c>
      <c r="AK24" s="1027">
        <f t="shared" ref="AK24:AK32" ca="1" si="60">SUM(S24:AJ24)</f>
        <v>-345.84468443427386</v>
      </c>
      <c r="AM24" s="1038">
        <f t="shared" ref="AM24:AU27" ca="1" si="61">IFERROR(INDEX(INDIRECT($C24&amp;".Outputs["&amp;this.Year&amp;"]"), MATCH(AM$5, INDIRECT($C24&amp;".Outputs[Vector]"), 0)), 0)</f>
        <v>0</v>
      </c>
      <c r="AN24" s="1038">
        <f t="shared" ca="1" si="61"/>
        <v>0</v>
      </c>
      <c r="AO24" s="1038">
        <f t="shared" ca="1" si="61"/>
        <v>0</v>
      </c>
      <c r="AP24" s="1038">
        <f t="shared" ca="1" si="61"/>
        <v>0</v>
      </c>
      <c r="AQ24" s="1038">
        <f t="shared" ca="1" si="61"/>
        <v>0</v>
      </c>
      <c r="AR24" s="1038">
        <f t="shared" ca="1" si="61"/>
        <v>0</v>
      </c>
      <c r="AS24" s="1038">
        <f t="shared" ca="1" si="61"/>
        <v>0</v>
      </c>
      <c r="AT24" s="1038">
        <f t="shared" ca="1" si="61"/>
        <v>0</v>
      </c>
      <c r="AU24" s="1038">
        <f t="shared" ca="1" si="61"/>
        <v>0</v>
      </c>
      <c r="AV24" s="1038">
        <f t="shared" ca="1" si="58"/>
        <v>0</v>
      </c>
      <c r="AW24" s="1038">
        <f t="shared" ca="1" si="58"/>
        <v>0</v>
      </c>
      <c r="AX24" s="1038">
        <f t="shared" ca="1" si="58"/>
        <v>0</v>
      </c>
      <c r="AY24" s="1038">
        <f t="shared" ca="1" si="58"/>
        <v>0</v>
      </c>
      <c r="AZ24" s="1038">
        <f t="shared" ca="1" si="58"/>
        <v>0</v>
      </c>
      <c r="BA24" s="1038">
        <f t="shared" ca="1" si="58"/>
        <v>0</v>
      </c>
      <c r="BB24" s="1038">
        <f t="shared" ca="1" si="58"/>
        <v>0</v>
      </c>
      <c r="BC24" s="1038">
        <f t="shared" ca="1" si="58"/>
        <v>0</v>
      </c>
      <c r="BD24" s="1038">
        <f t="shared" ca="1" si="58"/>
        <v>0</v>
      </c>
      <c r="BE24" s="1038">
        <f t="shared" ca="1" si="58"/>
        <v>0</v>
      </c>
      <c r="BF24" s="979">
        <f t="shared" ref="BF24:BF32" ca="1" si="62">SUM(AM24:BE24)</f>
        <v>0</v>
      </c>
      <c r="BH24" s="1032">
        <f t="shared" ref="BH24:BI30" ca="1" si="63">IFERROR(INDEX(INDIRECT($C24&amp;".Outputs["&amp;this.Year&amp;"]"), MATCH(BH$5, INDIRECT($C24&amp;".Outputs[Vector]"), 0)), 0)</f>
        <v>0</v>
      </c>
      <c r="BI24" s="1032">
        <f t="shared" ca="1" si="63"/>
        <v>0</v>
      </c>
      <c r="BJ24" s="1034">
        <f t="shared" ref="BJ24:BJ32" ca="1" si="64">SUM(BH24:BI24)</f>
        <v>0</v>
      </c>
      <c r="BL24" s="814">
        <f t="shared" ca="1" si="9"/>
        <v>0</v>
      </c>
      <c r="BM24" s="814"/>
      <c r="BN24" s="840"/>
      <c r="BO24" s="1481">
        <f t="shared" ref="BO24:BX27" ca="1" si="65">IFERROR(SUMIFS(INDIRECT($C24&amp;".Emissions["&amp;this.Year&amp;"]"), INDIRECT($C24&amp;".Emissions[GHG]"), BO$6, INDIRECT($C24&amp;".Emissions[IPCC Sector]"), BO$5),0)</f>
        <v>84.38308266921554</v>
      </c>
      <c r="BP24" s="1482">
        <f t="shared" ca="1" si="65"/>
        <v>0.10505660479976027</v>
      </c>
      <c r="BQ24" s="1482">
        <f t="shared" ca="1" si="65"/>
        <v>1.518224565803389</v>
      </c>
      <c r="BR24" s="1482">
        <f t="shared" ca="1" si="65"/>
        <v>0</v>
      </c>
      <c r="BS24" s="1482">
        <f t="shared" ca="1" si="65"/>
        <v>0</v>
      </c>
      <c r="BT24" s="1482">
        <f t="shared" ca="1" si="65"/>
        <v>0</v>
      </c>
      <c r="BU24" s="1482">
        <f t="shared" ca="1" si="65"/>
        <v>0</v>
      </c>
      <c r="BV24" s="1482">
        <f t="shared" ca="1" si="65"/>
        <v>0</v>
      </c>
      <c r="BW24" s="1482">
        <f t="shared" ca="1" si="65"/>
        <v>0</v>
      </c>
      <c r="BX24" s="1482">
        <f t="shared" ca="1" si="65"/>
        <v>0</v>
      </c>
      <c r="BY24" s="1482">
        <f t="shared" ref="BY24:CH27" ca="1" si="66">IFERROR(SUMIFS(INDIRECT($C24&amp;".Emissions["&amp;this.Year&amp;"]"), INDIRECT($C24&amp;".Emissions[GHG]"), BY$6, INDIRECT($C24&amp;".Emissions[IPCC Sector]"), BY$5),0)</f>
        <v>0</v>
      </c>
      <c r="BZ24" s="1482">
        <f t="shared" ca="1" si="66"/>
        <v>0</v>
      </c>
      <c r="CA24" s="1482">
        <f t="shared" ca="1" si="66"/>
        <v>0</v>
      </c>
      <c r="CB24" s="1482">
        <f t="shared" ca="1" si="66"/>
        <v>0</v>
      </c>
      <c r="CC24" s="1482">
        <f t="shared" ca="1" si="66"/>
        <v>0</v>
      </c>
      <c r="CD24" s="1482">
        <f t="shared" ca="1" si="66"/>
        <v>0</v>
      </c>
      <c r="CE24" s="1482">
        <f t="shared" ca="1" si="66"/>
        <v>0</v>
      </c>
      <c r="CF24" s="1482">
        <f t="shared" ca="1" si="66"/>
        <v>0</v>
      </c>
      <c r="CG24" s="1482">
        <f t="shared" ca="1" si="66"/>
        <v>0</v>
      </c>
      <c r="CH24" s="1482">
        <f t="shared" ca="1" si="66"/>
        <v>0</v>
      </c>
      <c r="CI24" s="1482">
        <f t="shared" ref="CI24:CR27" ca="1" si="67">IFERROR(SUMIFS(INDIRECT($C24&amp;".Emissions["&amp;this.Year&amp;"]"), INDIRECT($C24&amp;".Emissions[GHG]"), CI$6, INDIRECT($C24&amp;".Emissions[IPCC Sector]"), CI$5),0)</f>
        <v>0</v>
      </c>
      <c r="CJ24" s="1482">
        <f t="shared" ca="1" si="67"/>
        <v>0</v>
      </c>
      <c r="CK24" s="1482">
        <f t="shared" ca="1" si="67"/>
        <v>0</v>
      </c>
      <c r="CL24" s="1482">
        <f t="shared" ca="1" si="67"/>
        <v>0</v>
      </c>
      <c r="CM24" s="1482">
        <f t="shared" ca="1" si="67"/>
        <v>0</v>
      </c>
      <c r="CN24" s="1482">
        <f t="shared" ca="1" si="67"/>
        <v>0</v>
      </c>
      <c r="CO24" s="1482">
        <f t="shared" ca="1" si="67"/>
        <v>0</v>
      </c>
      <c r="CP24" s="1482">
        <f t="shared" ca="1" si="67"/>
        <v>0</v>
      </c>
      <c r="CQ24" s="1482">
        <f t="shared" ca="1" si="67"/>
        <v>0</v>
      </c>
      <c r="CR24" s="1482">
        <f t="shared" ca="1" si="67"/>
        <v>0</v>
      </c>
      <c r="CS24" s="1482">
        <f t="shared" ref="CS24:DF27" ca="1" si="68">IFERROR(SUMIFS(INDIRECT($C24&amp;".Emissions["&amp;this.Year&amp;"]"), INDIRECT($C24&amp;".Emissions[GHG]"), CS$6, INDIRECT($C24&amp;".Emissions[IPCC Sector]"), CS$5),0)</f>
        <v>0</v>
      </c>
      <c r="CT24" s="1482">
        <f t="shared" ca="1" si="68"/>
        <v>0</v>
      </c>
      <c r="CU24" s="1482">
        <f t="shared" ca="1" si="68"/>
        <v>0</v>
      </c>
      <c r="CV24" s="1482">
        <f t="shared" ca="1" si="68"/>
        <v>0</v>
      </c>
      <c r="CW24" s="1482">
        <f t="shared" ca="1" si="68"/>
        <v>0</v>
      </c>
      <c r="CX24" s="1482">
        <f t="shared" ca="1" si="68"/>
        <v>0</v>
      </c>
      <c r="CY24" s="1482">
        <f t="shared" ca="1" si="68"/>
        <v>0</v>
      </c>
      <c r="CZ24" s="1482">
        <f t="shared" ca="1" si="68"/>
        <v>0</v>
      </c>
      <c r="DA24" s="1482">
        <f t="shared" ca="1" si="68"/>
        <v>0</v>
      </c>
      <c r="DB24" s="1482">
        <f t="shared" ca="1" si="68"/>
        <v>0</v>
      </c>
      <c r="DC24" s="1482">
        <f t="shared" ca="1" si="68"/>
        <v>0</v>
      </c>
      <c r="DD24" s="1482">
        <f t="shared" ca="1" si="68"/>
        <v>0</v>
      </c>
      <c r="DE24" s="1482">
        <f t="shared" ca="1" si="68"/>
        <v>0</v>
      </c>
      <c r="DF24" s="1482">
        <f t="shared" ca="1" si="68"/>
        <v>0</v>
      </c>
      <c r="DH24" s="838">
        <f t="shared" ca="1" si="35"/>
        <v>86.00636383981869</v>
      </c>
    </row>
    <row r="25" spans="1:112" s="743" customFormat="1" ht="12.75" hidden="1" customHeight="1" outlineLevel="1">
      <c r="A25" s="1484"/>
      <c r="B25" s="1484"/>
      <c r="C25" s="746" t="s">
        <v>916</v>
      </c>
      <c r="D25" s="523" t="str">
        <f>INDEX(Modules[Module], MATCH($C25, Modules[Code], 0))</f>
        <v>Domestic freight</v>
      </c>
      <c r="E25" s="1006"/>
      <c r="G25" s="1017">
        <f t="shared" ca="1" si="57"/>
        <v>0</v>
      </c>
      <c r="H25" s="1017">
        <f t="shared" ca="1" si="57"/>
        <v>0</v>
      </c>
      <c r="I25" s="1017">
        <f t="shared" ca="1" si="57"/>
        <v>0</v>
      </c>
      <c r="J25" s="1017">
        <f t="shared" ca="1" si="57"/>
        <v>103.8705964128112</v>
      </c>
      <c r="K25" s="1017">
        <f t="shared" ca="1" si="57"/>
        <v>2.7228319597239619</v>
      </c>
      <c r="L25" s="1017">
        <f t="shared" ca="1" si="57"/>
        <v>0</v>
      </c>
      <c r="M25" s="1017">
        <f t="shared" ca="1" si="57"/>
        <v>24.589843788926849</v>
      </c>
      <c r="N25" s="1017">
        <f t="shared" ca="1" si="57"/>
        <v>0</v>
      </c>
      <c r="O25" s="1017">
        <f t="shared" ca="1" si="57"/>
        <v>0</v>
      </c>
      <c r="P25" s="1017">
        <f t="shared" ca="1" si="57"/>
        <v>0</v>
      </c>
      <c r="Q25" s="1019">
        <f ca="1">SUM(G25:P25)</f>
        <v>131.18327216146201</v>
      </c>
      <c r="S25" s="1026">
        <f t="shared" ca="1" si="58"/>
        <v>-0.11432892751447502</v>
      </c>
      <c r="T25" s="1026">
        <f t="shared" ca="1" si="58"/>
        <v>0</v>
      </c>
      <c r="U25" s="1026">
        <f t="shared" ca="1" si="58"/>
        <v>0</v>
      </c>
      <c r="V25" s="1026">
        <f t="shared" ca="1" si="58"/>
        <v>-131.06894323394752</v>
      </c>
      <c r="W25" s="1026">
        <f t="shared" ca="1" si="58"/>
        <v>0</v>
      </c>
      <c r="X25" s="1026">
        <f t="shared" ca="1" si="59"/>
        <v>0</v>
      </c>
      <c r="Y25" s="1026">
        <f t="shared" ca="1" si="59"/>
        <v>0</v>
      </c>
      <c r="Z25" s="1026">
        <f t="shared" ca="1" si="59"/>
        <v>0</v>
      </c>
      <c r="AA25" s="1026">
        <f t="shared" ca="1" si="58"/>
        <v>0</v>
      </c>
      <c r="AB25" s="1026">
        <f t="shared" ca="1" si="58"/>
        <v>0</v>
      </c>
      <c r="AC25" s="1026">
        <f t="shared" ca="1" si="58"/>
        <v>0</v>
      </c>
      <c r="AD25" s="1026">
        <f t="shared" ca="1" si="58"/>
        <v>0</v>
      </c>
      <c r="AE25" s="1026">
        <f t="shared" ca="1" si="58"/>
        <v>0</v>
      </c>
      <c r="AF25" s="1026">
        <f t="shared" ca="1" si="58"/>
        <v>0</v>
      </c>
      <c r="AG25" s="1026">
        <f t="shared" ca="1" si="58"/>
        <v>0</v>
      </c>
      <c r="AH25" s="1026">
        <f t="shared" ca="1" si="58"/>
        <v>0</v>
      </c>
      <c r="AI25" s="1026">
        <f t="shared" ca="1" si="58"/>
        <v>0</v>
      </c>
      <c r="AJ25" s="1026">
        <f t="shared" ca="1" si="58"/>
        <v>0</v>
      </c>
      <c r="AK25" s="1027">
        <f t="shared" ca="1" si="60"/>
        <v>-131.18327216146199</v>
      </c>
      <c r="AM25" s="1038">
        <f t="shared" ca="1" si="61"/>
        <v>0</v>
      </c>
      <c r="AN25" s="1038">
        <f t="shared" ca="1" si="61"/>
        <v>0</v>
      </c>
      <c r="AO25" s="1038">
        <f t="shared" ca="1" si="61"/>
        <v>0</v>
      </c>
      <c r="AP25" s="1038">
        <f t="shared" ca="1" si="61"/>
        <v>0</v>
      </c>
      <c r="AQ25" s="1038">
        <f t="shared" ca="1" si="61"/>
        <v>0</v>
      </c>
      <c r="AR25" s="1038">
        <f t="shared" ca="1" si="61"/>
        <v>0</v>
      </c>
      <c r="AS25" s="1038">
        <f t="shared" ca="1" si="61"/>
        <v>0</v>
      </c>
      <c r="AT25" s="1038">
        <f t="shared" ca="1" si="61"/>
        <v>0</v>
      </c>
      <c r="AU25" s="1038">
        <f t="shared" ca="1" si="61"/>
        <v>0</v>
      </c>
      <c r="AV25" s="1038">
        <f t="shared" ca="1" si="58"/>
        <v>0</v>
      </c>
      <c r="AW25" s="1038">
        <f t="shared" ca="1" si="58"/>
        <v>0</v>
      </c>
      <c r="AX25" s="1038">
        <f t="shared" ca="1" si="58"/>
        <v>0</v>
      </c>
      <c r="AY25" s="1038">
        <f t="shared" ca="1" si="58"/>
        <v>0</v>
      </c>
      <c r="AZ25" s="1038">
        <f t="shared" ca="1" si="58"/>
        <v>0</v>
      </c>
      <c r="BA25" s="1038">
        <f t="shared" ca="1" si="58"/>
        <v>0</v>
      </c>
      <c r="BB25" s="1038">
        <f t="shared" ca="1" si="58"/>
        <v>0</v>
      </c>
      <c r="BC25" s="1038">
        <f t="shared" ca="1" si="58"/>
        <v>0</v>
      </c>
      <c r="BD25" s="1038">
        <f t="shared" ca="1" si="58"/>
        <v>0</v>
      </c>
      <c r="BE25" s="1038">
        <f t="shared" ca="1" si="58"/>
        <v>0</v>
      </c>
      <c r="BF25" s="979">
        <f t="shared" ca="1" si="62"/>
        <v>0</v>
      </c>
      <c r="BH25" s="1032">
        <f t="shared" ca="1" si="63"/>
        <v>0</v>
      </c>
      <c r="BI25" s="1032">
        <f t="shared" ca="1" si="63"/>
        <v>0</v>
      </c>
      <c r="BJ25" s="1034">
        <f t="shared" ca="1" si="64"/>
        <v>0</v>
      </c>
      <c r="BL25" s="814">
        <f t="shared" ca="1" si="9"/>
        <v>2.8421709430404007E-14</v>
      </c>
      <c r="BM25" s="814"/>
      <c r="BN25" s="840"/>
      <c r="BO25" s="1481">
        <f t="shared" ca="1" si="65"/>
        <v>32.76723580848688</v>
      </c>
      <c r="BP25" s="1482">
        <f t="shared" ca="1" si="65"/>
        <v>4.0795079224672764E-2</v>
      </c>
      <c r="BQ25" s="1482">
        <f t="shared" ca="1" si="65"/>
        <v>0.5895497152306125</v>
      </c>
      <c r="BR25" s="1482">
        <f t="shared" ca="1" si="65"/>
        <v>0</v>
      </c>
      <c r="BS25" s="1482">
        <f t="shared" ca="1" si="65"/>
        <v>0</v>
      </c>
      <c r="BT25" s="1482">
        <f t="shared" ca="1" si="65"/>
        <v>0</v>
      </c>
      <c r="BU25" s="1482">
        <f t="shared" ca="1" si="65"/>
        <v>0</v>
      </c>
      <c r="BV25" s="1482">
        <f t="shared" ca="1" si="65"/>
        <v>0</v>
      </c>
      <c r="BW25" s="1482">
        <f t="shared" ca="1" si="65"/>
        <v>0</v>
      </c>
      <c r="BX25" s="1482">
        <f t="shared" ca="1" si="65"/>
        <v>0</v>
      </c>
      <c r="BY25" s="1482">
        <f t="shared" ca="1" si="66"/>
        <v>0</v>
      </c>
      <c r="BZ25" s="1482">
        <f t="shared" ca="1" si="66"/>
        <v>0</v>
      </c>
      <c r="CA25" s="1482">
        <f t="shared" ca="1" si="66"/>
        <v>0</v>
      </c>
      <c r="CB25" s="1482">
        <f t="shared" ca="1" si="66"/>
        <v>0</v>
      </c>
      <c r="CC25" s="1482">
        <f t="shared" ca="1" si="66"/>
        <v>0</v>
      </c>
      <c r="CD25" s="1482">
        <f t="shared" ca="1" si="66"/>
        <v>0</v>
      </c>
      <c r="CE25" s="1482">
        <f t="shared" ca="1" si="66"/>
        <v>0</v>
      </c>
      <c r="CF25" s="1482">
        <f t="shared" ca="1" si="66"/>
        <v>0</v>
      </c>
      <c r="CG25" s="1482">
        <f t="shared" ca="1" si="66"/>
        <v>0</v>
      </c>
      <c r="CH25" s="1482">
        <f t="shared" ca="1" si="66"/>
        <v>0</v>
      </c>
      <c r="CI25" s="1482">
        <f t="shared" ca="1" si="67"/>
        <v>0</v>
      </c>
      <c r="CJ25" s="1482">
        <f t="shared" ca="1" si="67"/>
        <v>0</v>
      </c>
      <c r="CK25" s="1482">
        <f t="shared" ca="1" si="67"/>
        <v>0</v>
      </c>
      <c r="CL25" s="1482">
        <f t="shared" ca="1" si="67"/>
        <v>0</v>
      </c>
      <c r="CM25" s="1482">
        <f t="shared" ca="1" si="67"/>
        <v>0</v>
      </c>
      <c r="CN25" s="1482">
        <f t="shared" ca="1" si="67"/>
        <v>0</v>
      </c>
      <c r="CO25" s="1482">
        <f t="shared" ca="1" si="67"/>
        <v>0</v>
      </c>
      <c r="CP25" s="1482">
        <f t="shared" ca="1" si="67"/>
        <v>0</v>
      </c>
      <c r="CQ25" s="1482">
        <f t="shared" ca="1" si="67"/>
        <v>0</v>
      </c>
      <c r="CR25" s="1482">
        <f t="shared" ca="1" si="67"/>
        <v>0</v>
      </c>
      <c r="CS25" s="1482">
        <f t="shared" ca="1" si="68"/>
        <v>0</v>
      </c>
      <c r="CT25" s="1482">
        <f t="shared" ca="1" si="68"/>
        <v>0</v>
      </c>
      <c r="CU25" s="1482">
        <f t="shared" ca="1" si="68"/>
        <v>0</v>
      </c>
      <c r="CV25" s="1482">
        <f t="shared" ca="1" si="68"/>
        <v>0</v>
      </c>
      <c r="CW25" s="1482">
        <f t="shared" ca="1" si="68"/>
        <v>0</v>
      </c>
      <c r="CX25" s="1482">
        <f t="shared" ca="1" si="68"/>
        <v>0</v>
      </c>
      <c r="CY25" s="1482">
        <f t="shared" ca="1" si="68"/>
        <v>0</v>
      </c>
      <c r="CZ25" s="1482">
        <f t="shared" ca="1" si="68"/>
        <v>0</v>
      </c>
      <c r="DA25" s="1482">
        <f t="shared" ca="1" si="68"/>
        <v>0</v>
      </c>
      <c r="DB25" s="1482">
        <f t="shared" ca="1" si="68"/>
        <v>0</v>
      </c>
      <c r="DC25" s="1482">
        <f t="shared" ca="1" si="68"/>
        <v>0</v>
      </c>
      <c r="DD25" s="1482">
        <f t="shared" ca="1" si="68"/>
        <v>0</v>
      </c>
      <c r="DE25" s="1482">
        <f t="shared" ca="1" si="68"/>
        <v>0</v>
      </c>
      <c r="DF25" s="1482">
        <f t="shared" ca="1" si="68"/>
        <v>0</v>
      </c>
      <c r="DH25" s="838">
        <f t="shared" ca="1" si="35"/>
        <v>33.397580602942163</v>
      </c>
    </row>
    <row r="26" spans="1:112" s="743" customFormat="1" ht="10.5" hidden="1" customHeight="1" outlineLevel="2">
      <c r="A26" s="1480"/>
      <c r="B26" s="1480"/>
      <c r="C26" s="746" t="s">
        <v>919</v>
      </c>
      <c r="D26" s="523" t="str">
        <f>INDEX(Modules[Module], MATCH($C26, Modules[Code], 0))</f>
        <v>International aviation</v>
      </c>
      <c r="E26" s="1006"/>
      <c r="G26" s="1017">
        <f t="shared" ca="1" si="57"/>
        <v>0</v>
      </c>
      <c r="H26" s="1017">
        <f t="shared" ca="1" si="57"/>
        <v>0</v>
      </c>
      <c r="I26" s="1017">
        <f t="shared" ca="1" si="57"/>
        <v>0</v>
      </c>
      <c r="J26" s="1017">
        <f t="shared" ca="1" si="57"/>
        <v>0</v>
      </c>
      <c r="K26" s="1017">
        <f t="shared" ca="1" si="57"/>
        <v>0</v>
      </c>
      <c r="L26" s="1017">
        <f t="shared" ca="1" si="57"/>
        <v>0</v>
      </c>
      <c r="M26" s="1017">
        <f t="shared" ca="1" si="57"/>
        <v>0</v>
      </c>
      <c r="N26" s="1017">
        <f t="shared" ca="1" si="57"/>
        <v>194.2224288429754</v>
      </c>
      <c r="O26" s="1017">
        <f t="shared" ca="1" si="57"/>
        <v>0</v>
      </c>
      <c r="P26" s="1017">
        <f t="shared" ca="1" si="57"/>
        <v>0</v>
      </c>
      <c r="Q26" s="1019">
        <f t="shared" ref="Q26:Q32" ca="1" si="69">SUM(G26:P26)</f>
        <v>194.2224288429754</v>
      </c>
      <c r="S26" s="1026">
        <f t="shared" ca="1" si="58"/>
        <v>0</v>
      </c>
      <c r="T26" s="1026">
        <f t="shared" ca="1" si="58"/>
        <v>0</v>
      </c>
      <c r="U26" s="1026">
        <f t="shared" ca="1" si="58"/>
        <v>0</v>
      </c>
      <c r="V26" s="1026">
        <f t="shared" ca="1" si="58"/>
        <v>-194.2224288429754</v>
      </c>
      <c r="W26" s="1026">
        <f t="shared" ca="1" si="58"/>
        <v>0</v>
      </c>
      <c r="X26" s="1026">
        <f t="shared" ca="1" si="59"/>
        <v>0</v>
      </c>
      <c r="Y26" s="1026">
        <f t="shared" ca="1" si="59"/>
        <v>0</v>
      </c>
      <c r="Z26" s="1026">
        <f t="shared" ca="1" si="59"/>
        <v>0</v>
      </c>
      <c r="AA26" s="1026">
        <f t="shared" ca="1" si="58"/>
        <v>0</v>
      </c>
      <c r="AB26" s="1026">
        <f t="shared" ca="1" si="58"/>
        <v>0</v>
      </c>
      <c r="AC26" s="1026">
        <f t="shared" ca="1" si="58"/>
        <v>0</v>
      </c>
      <c r="AD26" s="1026">
        <f t="shared" ca="1" si="58"/>
        <v>0</v>
      </c>
      <c r="AE26" s="1026">
        <f t="shared" ca="1" si="58"/>
        <v>0</v>
      </c>
      <c r="AF26" s="1026">
        <f t="shared" ca="1" si="58"/>
        <v>0</v>
      </c>
      <c r="AG26" s="1026">
        <f t="shared" ca="1" si="58"/>
        <v>0</v>
      </c>
      <c r="AH26" s="1026">
        <f t="shared" ca="1" si="58"/>
        <v>0</v>
      </c>
      <c r="AI26" s="1026">
        <f t="shared" ca="1" si="58"/>
        <v>0</v>
      </c>
      <c r="AJ26" s="1026">
        <f t="shared" ca="1" si="58"/>
        <v>0</v>
      </c>
      <c r="AK26" s="1027">
        <f t="shared" ca="1" si="60"/>
        <v>-194.2224288429754</v>
      </c>
      <c r="AM26" s="1038">
        <f t="shared" ca="1" si="61"/>
        <v>0</v>
      </c>
      <c r="AN26" s="1038">
        <f t="shared" ca="1" si="61"/>
        <v>0</v>
      </c>
      <c r="AO26" s="1038">
        <f t="shared" ca="1" si="61"/>
        <v>0</v>
      </c>
      <c r="AP26" s="1038">
        <f t="shared" ca="1" si="61"/>
        <v>0</v>
      </c>
      <c r="AQ26" s="1038">
        <f t="shared" ca="1" si="61"/>
        <v>0</v>
      </c>
      <c r="AR26" s="1038">
        <f t="shared" ca="1" si="61"/>
        <v>0</v>
      </c>
      <c r="AS26" s="1038">
        <f t="shared" ca="1" si="61"/>
        <v>0</v>
      </c>
      <c r="AT26" s="1038">
        <f t="shared" ca="1" si="61"/>
        <v>0</v>
      </c>
      <c r="AU26" s="1038">
        <f t="shared" ca="1" si="61"/>
        <v>0</v>
      </c>
      <c r="AV26" s="1038">
        <f t="shared" ca="1" si="58"/>
        <v>0</v>
      </c>
      <c r="AW26" s="1038">
        <f t="shared" ca="1" si="58"/>
        <v>0</v>
      </c>
      <c r="AX26" s="1038">
        <f t="shared" ca="1" si="58"/>
        <v>0</v>
      </c>
      <c r="AY26" s="1038">
        <f t="shared" ca="1" si="58"/>
        <v>0</v>
      </c>
      <c r="AZ26" s="1038">
        <f t="shared" ca="1" si="58"/>
        <v>0</v>
      </c>
      <c r="BA26" s="1038">
        <f t="shared" ca="1" si="58"/>
        <v>0</v>
      </c>
      <c r="BB26" s="1038">
        <f t="shared" ca="1" si="58"/>
        <v>0</v>
      </c>
      <c r="BC26" s="1038">
        <f t="shared" ca="1" si="58"/>
        <v>0</v>
      </c>
      <c r="BD26" s="1038">
        <f t="shared" ca="1" si="58"/>
        <v>0</v>
      </c>
      <c r="BE26" s="1038">
        <f t="shared" ca="1" si="58"/>
        <v>0</v>
      </c>
      <c r="BF26" s="977">
        <f t="shared" ca="1" si="62"/>
        <v>0</v>
      </c>
      <c r="BH26" s="1032">
        <f t="shared" ca="1" si="63"/>
        <v>0</v>
      </c>
      <c r="BI26" s="1032">
        <f t="shared" ca="1" si="63"/>
        <v>0</v>
      </c>
      <c r="BJ26" s="1034">
        <f t="shared" ca="1" si="64"/>
        <v>0</v>
      </c>
      <c r="BL26" s="524">
        <f t="shared" ca="1" si="9"/>
        <v>0</v>
      </c>
      <c r="BM26" s="524"/>
      <c r="BN26" s="840"/>
      <c r="BO26" s="1481">
        <f t="shared" ca="1" si="65"/>
        <v>0</v>
      </c>
      <c r="BP26" s="1482">
        <f t="shared" ca="1" si="65"/>
        <v>0</v>
      </c>
      <c r="BQ26" s="1482">
        <f t="shared" ca="1" si="65"/>
        <v>0</v>
      </c>
      <c r="BR26" s="1482">
        <f t="shared" ca="1" si="65"/>
        <v>0</v>
      </c>
      <c r="BS26" s="1482">
        <f t="shared" ca="1" si="65"/>
        <v>0</v>
      </c>
      <c r="BT26" s="1482">
        <f t="shared" ca="1" si="65"/>
        <v>0</v>
      </c>
      <c r="BU26" s="1482">
        <f t="shared" ca="1" si="65"/>
        <v>0</v>
      </c>
      <c r="BV26" s="1482">
        <f t="shared" ca="1" si="65"/>
        <v>0</v>
      </c>
      <c r="BW26" s="1482">
        <f t="shared" ca="1" si="65"/>
        <v>0</v>
      </c>
      <c r="BX26" s="1482">
        <f t="shared" ca="1" si="65"/>
        <v>0</v>
      </c>
      <c r="BY26" s="1482">
        <f t="shared" ca="1" si="66"/>
        <v>0</v>
      </c>
      <c r="BZ26" s="1482">
        <f t="shared" ca="1" si="66"/>
        <v>0</v>
      </c>
      <c r="CA26" s="1482">
        <f t="shared" ca="1" si="66"/>
        <v>0</v>
      </c>
      <c r="CB26" s="1482">
        <f t="shared" ca="1" si="66"/>
        <v>0</v>
      </c>
      <c r="CC26" s="1482">
        <f t="shared" ca="1" si="66"/>
        <v>0</v>
      </c>
      <c r="CD26" s="1482">
        <f t="shared" ca="1" si="66"/>
        <v>0</v>
      </c>
      <c r="CE26" s="1482">
        <f t="shared" ca="1" si="66"/>
        <v>0</v>
      </c>
      <c r="CF26" s="1482">
        <f t="shared" ca="1" si="66"/>
        <v>0</v>
      </c>
      <c r="CG26" s="1482">
        <f t="shared" ca="1" si="66"/>
        <v>0</v>
      </c>
      <c r="CH26" s="1482">
        <f t="shared" ca="1" si="66"/>
        <v>0</v>
      </c>
      <c r="CI26" s="1482">
        <f t="shared" ca="1" si="67"/>
        <v>0</v>
      </c>
      <c r="CJ26" s="1482">
        <f t="shared" ca="1" si="67"/>
        <v>0</v>
      </c>
      <c r="CK26" s="1482">
        <f t="shared" ca="1" si="67"/>
        <v>0</v>
      </c>
      <c r="CL26" s="1482">
        <f t="shared" ca="1" si="67"/>
        <v>0</v>
      </c>
      <c r="CM26" s="1482">
        <f t="shared" ca="1" si="67"/>
        <v>0</v>
      </c>
      <c r="CN26" s="1482">
        <f t="shared" ca="1" si="67"/>
        <v>0</v>
      </c>
      <c r="CO26" s="1482">
        <f t="shared" ca="1" si="67"/>
        <v>0</v>
      </c>
      <c r="CP26" s="1482">
        <f t="shared" ca="1" si="67"/>
        <v>0</v>
      </c>
      <c r="CQ26" s="1482">
        <f t="shared" ca="1" si="67"/>
        <v>0</v>
      </c>
      <c r="CR26" s="1482">
        <f t="shared" ca="1" si="67"/>
        <v>0</v>
      </c>
      <c r="CS26" s="1482">
        <f t="shared" ca="1" si="68"/>
        <v>0</v>
      </c>
      <c r="CT26" s="1482">
        <f t="shared" ca="1" si="68"/>
        <v>0</v>
      </c>
      <c r="CU26" s="1482">
        <f t="shared" ca="1" si="68"/>
        <v>48.555607210743851</v>
      </c>
      <c r="CV26" s="1482">
        <f t="shared" ca="1" si="68"/>
        <v>6.0451539291921062E-2</v>
      </c>
      <c r="CW26" s="1482">
        <f t="shared" ca="1" si="68"/>
        <v>0.87361486856115123</v>
      </c>
      <c r="CX26" s="1482">
        <f t="shared" ca="1" si="68"/>
        <v>0</v>
      </c>
      <c r="CY26" s="1482">
        <f t="shared" ca="1" si="68"/>
        <v>0</v>
      </c>
      <c r="CZ26" s="1482">
        <f t="shared" ca="1" si="68"/>
        <v>0</v>
      </c>
      <c r="DA26" s="1482">
        <f t="shared" ca="1" si="68"/>
        <v>0</v>
      </c>
      <c r="DB26" s="1482">
        <f t="shared" ca="1" si="68"/>
        <v>0</v>
      </c>
      <c r="DC26" s="1482">
        <f t="shared" ca="1" si="68"/>
        <v>0</v>
      </c>
      <c r="DD26" s="1482">
        <f t="shared" ca="1" si="68"/>
        <v>0</v>
      </c>
      <c r="DE26" s="1482">
        <f t="shared" ca="1" si="68"/>
        <v>0</v>
      </c>
      <c r="DF26" s="1482">
        <f t="shared" ca="1" si="68"/>
        <v>0</v>
      </c>
      <c r="DH26" s="838">
        <f t="shared" ca="1" si="35"/>
        <v>49.489673618596917</v>
      </c>
    </row>
    <row r="27" spans="1:112" s="743" customFormat="1" ht="10.5" hidden="1" customHeight="1" outlineLevel="2">
      <c r="A27" s="1483"/>
      <c r="B27" s="1483"/>
      <c r="C27" s="1009" t="s">
        <v>954</v>
      </c>
      <c r="D27" s="1005" t="str">
        <f>INDEX(Modules[Module], MATCH($C27, Modules[Code], 0))</f>
        <v>Domestic aviation [UNUSED - see XII.a]</v>
      </c>
      <c r="E27" s="1006"/>
      <c r="G27" s="1018">
        <f t="shared" ca="1" si="57"/>
        <v>0</v>
      </c>
      <c r="H27" s="1018">
        <f t="shared" ca="1" si="57"/>
        <v>0</v>
      </c>
      <c r="I27" s="1018">
        <f t="shared" ca="1" si="57"/>
        <v>0</v>
      </c>
      <c r="J27" s="1018">
        <f t="shared" ca="1" si="57"/>
        <v>0</v>
      </c>
      <c r="K27" s="1018">
        <f t="shared" ca="1" si="57"/>
        <v>0</v>
      </c>
      <c r="L27" s="1018">
        <f t="shared" ca="1" si="57"/>
        <v>0</v>
      </c>
      <c r="M27" s="1018">
        <f t="shared" ca="1" si="57"/>
        <v>0</v>
      </c>
      <c r="N27" s="1018">
        <f t="shared" ca="1" si="57"/>
        <v>0</v>
      </c>
      <c r="O27" s="1018">
        <f t="shared" ca="1" si="57"/>
        <v>0</v>
      </c>
      <c r="P27" s="1018">
        <f t="shared" ca="1" si="57"/>
        <v>0</v>
      </c>
      <c r="Q27" s="1024">
        <f t="shared" ca="1" si="69"/>
        <v>0</v>
      </c>
      <c r="S27" s="1028">
        <f t="shared" ca="1" si="58"/>
        <v>0</v>
      </c>
      <c r="T27" s="1028">
        <f t="shared" ca="1" si="58"/>
        <v>0</v>
      </c>
      <c r="U27" s="1028">
        <f t="shared" ca="1" si="58"/>
        <v>0</v>
      </c>
      <c r="V27" s="1028">
        <f t="shared" ca="1" si="58"/>
        <v>0</v>
      </c>
      <c r="W27" s="1028">
        <f t="shared" ca="1" si="58"/>
        <v>0</v>
      </c>
      <c r="X27" s="1028">
        <f t="shared" ca="1" si="59"/>
        <v>0</v>
      </c>
      <c r="Y27" s="1028">
        <f t="shared" ca="1" si="59"/>
        <v>0</v>
      </c>
      <c r="Z27" s="1028">
        <f t="shared" ca="1" si="59"/>
        <v>0</v>
      </c>
      <c r="AA27" s="1028">
        <f t="shared" ca="1" si="58"/>
        <v>0</v>
      </c>
      <c r="AB27" s="1028">
        <f t="shared" ca="1" si="58"/>
        <v>0</v>
      </c>
      <c r="AC27" s="1028">
        <f t="shared" ca="1" si="58"/>
        <v>0</v>
      </c>
      <c r="AD27" s="1028">
        <f t="shared" ca="1" si="58"/>
        <v>0</v>
      </c>
      <c r="AE27" s="1028">
        <f t="shared" ca="1" si="58"/>
        <v>0</v>
      </c>
      <c r="AF27" s="1028">
        <f t="shared" ca="1" si="58"/>
        <v>0</v>
      </c>
      <c r="AG27" s="1028">
        <f t="shared" ca="1" si="58"/>
        <v>0</v>
      </c>
      <c r="AH27" s="1028">
        <f t="shared" ca="1" si="58"/>
        <v>0</v>
      </c>
      <c r="AI27" s="1028">
        <f t="shared" ca="1" si="58"/>
        <v>0</v>
      </c>
      <c r="AJ27" s="1028">
        <f t="shared" ca="1" si="58"/>
        <v>0</v>
      </c>
      <c r="AK27" s="1029">
        <f t="shared" ca="1" si="60"/>
        <v>0</v>
      </c>
      <c r="AM27" s="1039">
        <f t="shared" ca="1" si="61"/>
        <v>0</v>
      </c>
      <c r="AN27" s="1039">
        <f t="shared" ca="1" si="61"/>
        <v>0</v>
      </c>
      <c r="AO27" s="1039">
        <f t="shared" ca="1" si="61"/>
        <v>0</v>
      </c>
      <c r="AP27" s="1039">
        <f t="shared" ca="1" si="61"/>
        <v>0</v>
      </c>
      <c r="AQ27" s="1039">
        <f t="shared" ca="1" si="61"/>
        <v>0</v>
      </c>
      <c r="AR27" s="1039">
        <f t="shared" ca="1" si="61"/>
        <v>0</v>
      </c>
      <c r="AS27" s="1039">
        <f t="shared" ca="1" si="61"/>
        <v>0</v>
      </c>
      <c r="AT27" s="1039">
        <f t="shared" ca="1" si="61"/>
        <v>0</v>
      </c>
      <c r="AU27" s="1039">
        <f t="shared" ca="1" si="61"/>
        <v>0</v>
      </c>
      <c r="AV27" s="1039">
        <f t="shared" ca="1" si="58"/>
        <v>0</v>
      </c>
      <c r="AW27" s="1039">
        <f t="shared" ca="1" si="58"/>
        <v>0</v>
      </c>
      <c r="AX27" s="1039">
        <f t="shared" ca="1" si="58"/>
        <v>0</v>
      </c>
      <c r="AY27" s="1039">
        <f t="shared" ca="1" si="58"/>
        <v>0</v>
      </c>
      <c r="AZ27" s="1039">
        <f t="shared" ca="1" si="58"/>
        <v>0</v>
      </c>
      <c r="BA27" s="1039">
        <f t="shared" ca="1" si="58"/>
        <v>0</v>
      </c>
      <c r="BB27" s="1039">
        <f t="shared" ca="1" si="58"/>
        <v>0</v>
      </c>
      <c r="BC27" s="1039">
        <f t="shared" ca="1" si="58"/>
        <v>0</v>
      </c>
      <c r="BD27" s="1039">
        <f t="shared" ca="1" si="58"/>
        <v>0</v>
      </c>
      <c r="BE27" s="1039">
        <f t="shared" ca="1" si="58"/>
        <v>0</v>
      </c>
      <c r="BF27" s="1008">
        <f t="shared" ca="1" si="62"/>
        <v>0</v>
      </c>
      <c r="BH27" s="1033">
        <f t="shared" ca="1" si="63"/>
        <v>0</v>
      </c>
      <c r="BI27" s="1033">
        <f t="shared" ca="1" si="63"/>
        <v>0</v>
      </c>
      <c r="BJ27" s="1044">
        <f t="shared" ca="1" si="64"/>
        <v>0</v>
      </c>
      <c r="BL27" s="1007">
        <f t="shared" ca="1" si="9"/>
        <v>0</v>
      </c>
      <c r="BM27" s="1007"/>
      <c r="BN27" s="840"/>
      <c r="BO27" s="1481">
        <f t="shared" ca="1" si="65"/>
        <v>0</v>
      </c>
      <c r="BP27" s="1482">
        <f t="shared" ca="1" si="65"/>
        <v>0</v>
      </c>
      <c r="BQ27" s="1482">
        <f t="shared" ca="1" si="65"/>
        <v>0</v>
      </c>
      <c r="BR27" s="1482">
        <f t="shared" ca="1" si="65"/>
        <v>0</v>
      </c>
      <c r="BS27" s="1482">
        <f t="shared" ca="1" si="65"/>
        <v>0</v>
      </c>
      <c r="BT27" s="1482">
        <f t="shared" ca="1" si="65"/>
        <v>0</v>
      </c>
      <c r="BU27" s="1482">
        <f t="shared" ca="1" si="65"/>
        <v>0</v>
      </c>
      <c r="BV27" s="1482">
        <f t="shared" ca="1" si="65"/>
        <v>0</v>
      </c>
      <c r="BW27" s="1482">
        <f t="shared" ca="1" si="65"/>
        <v>0</v>
      </c>
      <c r="BX27" s="1482">
        <f t="shared" ca="1" si="65"/>
        <v>0</v>
      </c>
      <c r="BY27" s="1482">
        <f t="shared" ca="1" si="66"/>
        <v>0</v>
      </c>
      <c r="BZ27" s="1482">
        <f t="shared" ca="1" si="66"/>
        <v>0</v>
      </c>
      <c r="CA27" s="1482">
        <f t="shared" ca="1" si="66"/>
        <v>0</v>
      </c>
      <c r="CB27" s="1482">
        <f t="shared" ca="1" si="66"/>
        <v>0</v>
      </c>
      <c r="CC27" s="1482">
        <f t="shared" ca="1" si="66"/>
        <v>0</v>
      </c>
      <c r="CD27" s="1482">
        <f t="shared" ca="1" si="66"/>
        <v>0</v>
      </c>
      <c r="CE27" s="1482">
        <f t="shared" ca="1" si="66"/>
        <v>0</v>
      </c>
      <c r="CF27" s="1482">
        <f t="shared" ca="1" si="66"/>
        <v>0</v>
      </c>
      <c r="CG27" s="1482">
        <f t="shared" ca="1" si="66"/>
        <v>0</v>
      </c>
      <c r="CH27" s="1482">
        <f t="shared" ca="1" si="66"/>
        <v>0</v>
      </c>
      <c r="CI27" s="1482">
        <f t="shared" ca="1" si="67"/>
        <v>0</v>
      </c>
      <c r="CJ27" s="1482">
        <f t="shared" ca="1" si="67"/>
        <v>0</v>
      </c>
      <c r="CK27" s="1482">
        <f t="shared" ca="1" si="67"/>
        <v>0</v>
      </c>
      <c r="CL27" s="1482">
        <f t="shared" ca="1" si="67"/>
        <v>0</v>
      </c>
      <c r="CM27" s="1482">
        <f t="shared" ca="1" si="67"/>
        <v>0</v>
      </c>
      <c r="CN27" s="1482">
        <f t="shared" ca="1" si="67"/>
        <v>0</v>
      </c>
      <c r="CO27" s="1482">
        <f t="shared" ca="1" si="67"/>
        <v>0</v>
      </c>
      <c r="CP27" s="1482">
        <f t="shared" ca="1" si="67"/>
        <v>0</v>
      </c>
      <c r="CQ27" s="1482">
        <f t="shared" ca="1" si="67"/>
        <v>0</v>
      </c>
      <c r="CR27" s="1482">
        <f t="shared" ca="1" si="67"/>
        <v>0</v>
      </c>
      <c r="CS27" s="1482">
        <f t="shared" ca="1" si="68"/>
        <v>0</v>
      </c>
      <c r="CT27" s="1482">
        <f t="shared" ca="1" si="68"/>
        <v>0</v>
      </c>
      <c r="CU27" s="1482">
        <f t="shared" ca="1" si="68"/>
        <v>0</v>
      </c>
      <c r="CV27" s="1482">
        <f t="shared" ca="1" si="68"/>
        <v>0</v>
      </c>
      <c r="CW27" s="1482">
        <f t="shared" ca="1" si="68"/>
        <v>0</v>
      </c>
      <c r="CX27" s="1482">
        <f t="shared" ca="1" si="68"/>
        <v>0</v>
      </c>
      <c r="CY27" s="1482">
        <f t="shared" ca="1" si="68"/>
        <v>0</v>
      </c>
      <c r="CZ27" s="1482">
        <f t="shared" ca="1" si="68"/>
        <v>0</v>
      </c>
      <c r="DA27" s="1482">
        <f t="shared" ca="1" si="68"/>
        <v>0</v>
      </c>
      <c r="DB27" s="1482">
        <f t="shared" ca="1" si="68"/>
        <v>0</v>
      </c>
      <c r="DC27" s="1482">
        <f t="shared" ca="1" si="68"/>
        <v>0</v>
      </c>
      <c r="DD27" s="1482">
        <f t="shared" ca="1" si="68"/>
        <v>0</v>
      </c>
      <c r="DE27" s="1482">
        <f t="shared" ca="1" si="68"/>
        <v>0</v>
      </c>
      <c r="DF27" s="1482">
        <f t="shared" ca="1" si="68"/>
        <v>0</v>
      </c>
      <c r="DH27" s="838">
        <f t="shared" ca="1" si="35"/>
        <v>0</v>
      </c>
    </row>
    <row r="28" spans="1:112" s="743" customFormat="1" ht="10.5" hidden="1" customHeight="1" outlineLevel="1">
      <c r="A28" s="1484"/>
      <c r="B28" s="1484"/>
      <c r="C28" s="746"/>
      <c r="D28" s="523" t="s">
        <v>960</v>
      </c>
      <c r="E28" s="1006"/>
      <c r="G28" s="1019">
        <f ca="1">SUM(G26:G27)</f>
        <v>0</v>
      </c>
      <c r="H28" s="1019">
        <f t="shared" ref="H28:P28" ca="1" si="70">SUM(H26:H27)</f>
        <v>0</v>
      </c>
      <c r="I28" s="1019">
        <f t="shared" ca="1" si="70"/>
        <v>0</v>
      </c>
      <c r="J28" s="1019">
        <f t="shared" ca="1" si="70"/>
        <v>0</v>
      </c>
      <c r="K28" s="1019">
        <f t="shared" ca="1" si="70"/>
        <v>0</v>
      </c>
      <c r="L28" s="1019">
        <f t="shared" ca="1" si="70"/>
        <v>0</v>
      </c>
      <c r="M28" s="1019">
        <f t="shared" ca="1" si="70"/>
        <v>0</v>
      </c>
      <c r="N28" s="1019">
        <f t="shared" ca="1" si="70"/>
        <v>194.2224288429754</v>
      </c>
      <c r="O28" s="1019">
        <f t="shared" ca="1" si="70"/>
        <v>0</v>
      </c>
      <c r="P28" s="1019">
        <f t="shared" ca="1" si="70"/>
        <v>0</v>
      </c>
      <c r="Q28" s="1019">
        <f t="shared" ca="1" si="69"/>
        <v>194.2224288429754</v>
      </c>
      <c r="S28" s="1027">
        <f t="shared" ref="S28:Z28" ca="1" si="71">SUM(S26:S27)</f>
        <v>0</v>
      </c>
      <c r="T28" s="1027">
        <f t="shared" ca="1" si="71"/>
        <v>0</v>
      </c>
      <c r="U28" s="1027">
        <f t="shared" ca="1" si="71"/>
        <v>0</v>
      </c>
      <c r="V28" s="1027">
        <f t="shared" ca="1" si="71"/>
        <v>-194.2224288429754</v>
      </c>
      <c r="W28" s="1027">
        <f t="shared" ca="1" si="71"/>
        <v>0</v>
      </c>
      <c r="X28" s="1027">
        <f t="shared" ca="1" si="71"/>
        <v>0</v>
      </c>
      <c r="Y28" s="1027">
        <f t="shared" ca="1" si="71"/>
        <v>0</v>
      </c>
      <c r="Z28" s="1027">
        <f t="shared" ca="1" si="71"/>
        <v>0</v>
      </c>
      <c r="AA28" s="1027">
        <f t="shared" ref="AA28:AJ28" ca="1" si="72">SUM(AA26:AA27)</f>
        <v>0</v>
      </c>
      <c r="AB28" s="1027">
        <f t="shared" ca="1" si="72"/>
        <v>0</v>
      </c>
      <c r="AC28" s="1027">
        <f t="shared" ca="1" si="72"/>
        <v>0</v>
      </c>
      <c r="AD28" s="1027">
        <f ca="1">SUM(AD26:AD27)</f>
        <v>0</v>
      </c>
      <c r="AE28" s="1027">
        <f ca="1">SUM(AE26:AE27)</f>
        <v>0</v>
      </c>
      <c r="AF28" s="1027">
        <f t="shared" ca="1" si="72"/>
        <v>0</v>
      </c>
      <c r="AG28" s="1027">
        <f ca="1">SUM(AG26:AG27)</f>
        <v>0</v>
      </c>
      <c r="AH28" s="1027">
        <f ca="1">SUM(AH26:AH27)</f>
        <v>0</v>
      </c>
      <c r="AI28" s="1027">
        <f ca="1">SUM(AI26:AI27)</f>
        <v>0</v>
      </c>
      <c r="AJ28" s="1027">
        <f t="shared" ca="1" si="72"/>
        <v>0</v>
      </c>
      <c r="AK28" s="1027">
        <f t="shared" ca="1" si="60"/>
        <v>-194.2224288429754</v>
      </c>
      <c r="AM28" s="1040">
        <f t="shared" ref="AM28:BE28" ca="1" si="73">SUM(AM26:AM27)</f>
        <v>0</v>
      </c>
      <c r="AN28" s="1040">
        <f t="shared" ca="1" si="73"/>
        <v>0</v>
      </c>
      <c r="AO28" s="1040">
        <f t="shared" ca="1" si="73"/>
        <v>0</v>
      </c>
      <c r="AP28" s="1040">
        <f t="shared" ca="1" si="73"/>
        <v>0</v>
      </c>
      <c r="AQ28" s="1040">
        <f t="shared" ca="1" si="73"/>
        <v>0</v>
      </c>
      <c r="AR28" s="1040">
        <f t="shared" ca="1" si="73"/>
        <v>0</v>
      </c>
      <c r="AS28" s="1040">
        <f t="shared" ca="1" si="73"/>
        <v>0</v>
      </c>
      <c r="AT28" s="1040">
        <f t="shared" ca="1" si="73"/>
        <v>0</v>
      </c>
      <c r="AU28" s="1040">
        <f t="shared" ca="1" si="73"/>
        <v>0</v>
      </c>
      <c r="AV28" s="1040">
        <f t="shared" ca="1" si="73"/>
        <v>0</v>
      </c>
      <c r="AW28" s="1040">
        <f t="shared" ca="1" si="73"/>
        <v>0</v>
      </c>
      <c r="AX28" s="1040">
        <f t="shared" ca="1" si="73"/>
        <v>0</v>
      </c>
      <c r="AY28" s="1040">
        <f t="shared" ca="1" si="73"/>
        <v>0</v>
      </c>
      <c r="AZ28" s="1040">
        <f t="shared" ca="1" si="73"/>
        <v>0</v>
      </c>
      <c r="BA28" s="1040">
        <f t="shared" ca="1" si="73"/>
        <v>0</v>
      </c>
      <c r="BB28" s="1040">
        <f t="shared" ca="1" si="73"/>
        <v>0</v>
      </c>
      <c r="BC28" s="1040">
        <f t="shared" ca="1" si="73"/>
        <v>0</v>
      </c>
      <c r="BD28" s="1040">
        <f t="shared" ca="1" si="73"/>
        <v>0</v>
      </c>
      <c r="BE28" s="1040">
        <f t="shared" ca="1" si="73"/>
        <v>0</v>
      </c>
      <c r="BF28" s="977">
        <f t="shared" ca="1" si="62"/>
        <v>0</v>
      </c>
      <c r="BH28" s="1034">
        <f ca="1">SUM(BH26:BH27)</f>
        <v>0</v>
      </c>
      <c r="BI28" s="1034">
        <f ca="1">SUM(BI26:BI27)</f>
        <v>0</v>
      </c>
      <c r="BJ28" s="1034">
        <f t="shared" ca="1" si="64"/>
        <v>0</v>
      </c>
      <c r="BL28" s="524">
        <f t="shared" ca="1" si="9"/>
        <v>0</v>
      </c>
      <c r="BM28" s="524"/>
      <c r="BN28" s="840"/>
      <c r="BO28" s="1481">
        <f t="shared" ref="BO28:DF28" ca="1" si="74">SUM(BO26:BO27)</f>
        <v>0</v>
      </c>
      <c r="BP28" s="1482">
        <f t="shared" ca="1" si="74"/>
        <v>0</v>
      </c>
      <c r="BQ28" s="1482">
        <f t="shared" ca="1" si="74"/>
        <v>0</v>
      </c>
      <c r="BR28" s="1482">
        <f t="shared" ca="1" si="74"/>
        <v>0</v>
      </c>
      <c r="BS28" s="1482">
        <f t="shared" ca="1" si="74"/>
        <v>0</v>
      </c>
      <c r="BT28" s="1482">
        <f t="shared" ca="1" si="74"/>
        <v>0</v>
      </c>
      <c r="BU28" s="1482">
        <f t="shared" ca="1" si="74"/>
        <v>0</v>
      </c>
      <c r="BV28" s="1482">
        <f t="shared" ca="1" si="74"/>
        <v>0</v>
      </c>
      <c r="BW28" s="1482">
        <f t="shared" ca="1" si="74"/>
        <v>0</v>
      </c>
      <c r="BX28" s="1482">
        <f t="shared" ca="1" si="74"/>
        <v>0</v>
      </c>
      <c r="BY28" s="1482">
        <f t="shared" ca="1" si="74"/>
        <v>0</v>
      </c>
      <c r="BZ28" s="1482">
        <f t="shared" ca="1" si="74"/>
        <v>0</v>
      </c>
      <c r="CA28" s="1482">
        <f t="shared" ca="1" si="74"/>
        <v>0</v>
      </c>
      <c r="CB28" s="1482">
        <f t="shared" ca="1" si="74"/>
        <v>0</v>
      </c>
      <c r="CC28" s="1482">
        <f t="shared" ca="1" si="74"/>
        <v>0</v>
      </c>
      <c r="CD28" s="1482">
        <f t="shared" ca="1" si="74"/>
        <v>0</v>
      </c>
      <c r="CE28" s="1482">
        <f t="shared" ca="1" si="74"/>
        <v>0</v>
      </c>
      <c r="CF28" s="1482">
        <f t="shared" ca="1" si="74"/>
        <v>0</v>
      </c>
      <c r="CG28" s="1482">
        <f t="shared" ca="1" si="74"/>
        <v>0</v>
      </c>
      <c r="CH28" s="1482">
        <f t="shared" ca="1" si="74"/>
        <v>0</v>
      </c>
      <c r="CI28" s="1482">
        <f t="shared" ca="1" si="74"/>
        <v>0</v>
      </c>
      <c r="CJ28" s="1482">
        <f t="shared" ca="1" si="74"/>
        <v>0</v>
      </c>
      <c r="CK28" s="1482">
        <f t="shared" ca="1" si="74"/>
        <v>0</v>
      </c>
      <c r="CL28" s="1482">
        <f t="shared" ca="1" si="74"/>
        <v>0</v>
      </c>
      <c r="CM28" s="1482">
        <f t="shared" ca="1" si="74"/>
        <v>0</v>
      </c>
      <c r="CN28" s="1482">
        <f t="shared" ca="1" si="74"/>
        <v>0</v>
      </c>
      <c r="CO28" s="1482">
        <f t="shared" ca="1" si="74"/>
        <v>0</v>
      </c>
      <c r="CP28" s="1482">
        <f t="shared" ca="1" si="74"/>
        <v>0</v>
      </c>
      <c r="CQ28" s="1482">
        <f t="shared" ca="1" si="74"/>
        <v>0</v>
      </c>
      <c r="CR28" s="1482">
        <f t="shared" ca="1" si="74"/>
        <v>0</v>
      </c>
      <c r="CS28" s="1482">
        <f t="shared" ca="1" si="74"/>
        <v>0</v>
      </c>
      <c r="CT28" s="1482">
        <f t="shared" ca="1" si="74"/>
        <v>0</v>
      </c>
      <c r="CU28" s="1482">
        <f t="shared" ca="1" si="74"/>
        <v>48.555607210743851</v>
      </c>
      <c r="CV28" s="1482">
        <f t="shared" ca="1" si="74"/>
        <v>6.0451539291921062E-2</v>
      </c>
      <c r="CW28" s="1482">
        <f t="shared" ca="1" si="74"/>
        <v>0.87361486856115123</v>
      </c>
      <c r="CX28" s="1482">
        <f t="shared" ca="1" si="74"/>
        <v>0</v>
      </c>
      <c r="CY28" s="1482">
        <f t="shared" ca="1" si="74"/>
        <v>0</v>
      </c>
      <c r="CZ28" s="1482">
        <f t="shared" ca="1" si="74"/>
        <v>0</v>
      </c>
      <c r="DA28" s="1482">
        <f t="shared" ca="1" si="74"/>
        <v>0</v>
      </c>
      <c r="DB28" s="1482">
        <f t="shared" ca="1" si="74"/>
        <v>0</v>
      </c>
      <c r="DC28" s="1482">
        <f t="shared" ca="1" si="74"/>
        <v>0</v>
      </c>
      <c r="DD28" s="1482">
        <f t="shared" ca="1" si="74"/>
        <v>0</v>
      </c>
      <c r="DE28" s="1482">
        <f t="shared" ca="1" si="74"/>
        <v>0</v>
      </c>
      <c r="DF28" s="1482">
        <f t="shared" ca="1" si="74"/>
        <v>0</v>
      </c>
      <c r="DH28" s="838">
        <f t="shared" ca="1" si="35"/>
        <v>49.489673618596917</v>
      </c>
    </row>
    <row r="29" spans="1:112" s="743" customFormat="1" ht="12.75" hidden="1" customHeight="1" outlineLevel="2">
      <c r="A29" s="1480"/>
      <c r="B29" s="1480"/>
      <c r="C29" s="746" t="s">
        <v>957</v>
      </c>
      <c r="D29" s="523" t="str">
        <f>INDEX(Modules[Module], MATCH($C29, Modules[Code], 0))</f>
        <v>International shipping (maritime bunkers)</v>
      </c>
      <c r="E29" s="1006"/>
      <c r="G29" s="1017">
        <f t="shared" ref="G29:P30" ca="1" si="75">IFERROR(INDEX(INDIRECT($C29&amp;".Outputs["&amp;this.Year&amp;"]"), MATCH(G$5, INDIRECT($C29&amp;".Outputs[Vector]"), 0)), 0)</f>
        <v>0</v>
      </c>
      <c r="H29" s="1017">
        <f t="shared" ca="1" si="75"/>
        <v>0</v>
      </c>
      <c r="I29" s="1017">
        <f t="shared" ca="1" si="75"/>
        <v>0</v>
      </c>
      <c r="J29" s="1017">
        <f t="shared" ca="1" si="75"/>
        <v>0</v>
      </c>
      <c r="K29" s="1017">
        <f t="shared" ca="1" si="75"/>
        <v>0</v>
      </c>
      <c r="L29" s="1017">
        <f t="shared" ca="1" si="75"/>
        <v>0</v>
      </c>
      <c r="M29" s="1017">
        <f t="shared" ca="1" si="75"/>
        <v>0</v>
      </c>
      <c r="N29" s="1017">
        <f t="shared" ca="1" si="75"/>
        <v>0</v>
      </c>
      <c r="O29" s="1017">
        <f t="shared" ca="1" si="75"/>
        <v>50.306061067539972</v>
      </c>
      <c r="P29" s="1017">
        <f t="shared" ca="1" si="75"/>
        <v>0</v>
      </c>
      <c r="Q29" s="1019">
        <f t="shared" ca="1" si="69"/>
        <v>50.306061067539972</v>
      </c>
      <c r="S29" s="1026">
        <f t="shared" ca="1" si="58"/>
        <v>0</v>
      </c>
      <c r="T29" s="1026">
        <f t="shared" ca="1" si="58"/>
        <v>0</v>
      </c>
      <c r="U29" s="1026">
        <f t="shared" ca="1" si="58"/>
        <v>0</v>
      </c>
      <c r="V29" s="1026">
        <f t="shared" ca="1" si="58"/>
        <v>-50.306061067539972</v>
      </c>
      <c r="W29" s="1026">
        <f t="shared" ca="1" si="58"/>
        <v>0</v>
      </c>
      <c r="X29" s="1026">
        <f t="shared" ref="X29:Z30" ca="1" si="76">IFERROR(INDEX(INDIRECT($C29&amp;".Outputs["&amp;this.Year&amp;"]"), MATCH(X$5, INDIRECT($C29&amp;".Outputs[Vector]"), 0)), 0)</f>
        <v>0</v>
      </c>
      <c r="Y29" s="1026">
        <f t="shared" ca="1" si="76"/>
        <v>0</v>
      </c>
      <c r="Z29" s="1026">
        <f t="shared" ca="1" si="76"/>
        <v>0</v>
      </c>
      <c r="AA29" s="1026">
        <f t="shared" ca="1" si="58"/>
        <v>0</v>
      </c>
      <c r="AB29" s="1026">
        <f t="shared" ca="1" si="58"/>
        <v>0</v>
      </c>
      <c r="AC29" s="1026">
        <f t="shared" ca="1" si="58"/>
        <v>0</v>
      </c>
      <c r="AD29" s="1026">
        <f t="shared" ca="1" si="58"/>
        <v>0</v>
      </c>
      <c r="AE29" s="1026">
        <f t="shared" ca="1" si="58"/>
        <v>0</v>
      </c>
      <c r="AF29" s="1026">
        <f t="shared" ca="1" si="58"/>
        <v>0</v>
      </c>
      <c r="AG29" s="1026">
        <f t="shared" ca="1" si="58"/>
        <v>0</v>
      </c>
      <c r="AH29" s="1026">
        <f t="shared" ca="1" si="58"/>
        <v>0</v>
      </c>
      <c r="AI29" s="1026">
        <f t="shared" ca="1" si="58"/>
        <v>0</v>
      </c>
      <c r="AJ29" s="1026">
        <f t="shared" ca="1" si="58"/>
        <v>0</v>
      </c>
      <c r="AK29" s="1027">
        <f t="shared" ca="1" si="60"/>
        <v>-50.306061067539972</v>
      </c>
      <c r="AM29" s="1038">
        <f t="shared" ref="AM29:AU30" ca="1" si="77">IFERROR(INDEX(INDIRECT($C29&amp;".Outputs["&amp;this.Year&amp;"]"), MATCH(AM$5, INDIRECT($C29&amp;".Outputs[Vector]"), 0)), 0)</f>
        <v>0</v>
      </c>
      <c r="AN29" s="1038">
        <f t="shared" ca="1" si="77"/>
        <v>0</v>
      </c>
      <c r="AO29" s="1038">
        <f t="shared" ca="1" si="77"/>
        <v>0</v>
      </c>
      <c r="AP29" s="1038">
        <f t="shared" ca="1" si="77"/>
        <v>0</v>
      </c>
      <c r="AQ29" s="1038">
        <f t="shared" ca="1" si="77"/>
        <v>0</v>
      </c>
      <c r="AR29" s="1038">
        <f t="shared" ca="1" si="77"/>
        <v>0</v>
      </c>
      <c r="AS29" s="1038">
        <f t="shared" ca="1" si="77"/>
        <v>0</v>
      </c>
      <c r="AT29" s="1038">
        <f t="shared" ca="1" si="77"/>
        <v>0</v>
      </c>
      <c r="AU29" s="1038">
        <f t="shared" ca="1" si="77"/>
        <v>0</v>
      </c>
      <c r="AV29" s="1038">
        <f t="shared" ca="1" si="58"/>
        <v>0</v>
      </c>
      <c r="AW29" s="1038">
        <f t="shared" ca="1" si="58"/>
        <v>0</v>
      </c>
      <c r="AX29" s="1038">
        <f t="shared" ca="1" si="58"/>
        <v>0</v>
      </c>
      <c r="AY29" s="1038">
        <f t="shared" ca="1" si="58"/>
        <v>0</v>
      </c>
      <c r="AZ29" s="1038">
        <f t="shared" ca="1" si="58"/>
        <v>0</v>
      </c>
      <c r="BA29" s="1038">
        <f t="shared" ca="1" si="58"/>
        <v>0</v>
      </c>
      <c r="BB29" s="1038">
        <f t="shared" ca="1" si="58"/>
        <v>0</v>
      </c>
      <c r="BC29" s="1038">
        <f t="shared" ca="1" si="58"/>
        <v>0</v>
      </c>
      <c r="BD29" s="1038">
        <f t="shared" ca="1" si="58"/>
        <v>0</v>
      </c>
      <c r="BE29" s="1038">
        <f t="shared" ca="1" si="58"/>
        <v>0</v>
      </c>
      <c r="BF29" s="979">
        <f t="shared" ca="1" si="62"/>
        <v>0</v>
      </c>
      <c r="BH29" s="1032">
        <f t="shared" ca="1" si="63"/>
        <v>0</v>
      </c>
      <c r="BI29" s="1032">
        <f t="shared" ca="1" si="63"/>
        <v>0</v>
      </c>
      <c r="BJ29" s="1034">
        <f t="shared" ca="1" si="64"/>
        <v>0</v>
      </c>
      <c r="BL29" s="814">
        <f t="shared" ca="1" si="9"/>
        <v>0</v>
      </c>
      <c r="BM29" s="814"/>
      <c r="BN29" s="840"/>
      <c r="BO29" s="1481">
        <f t="shared" ref="BO29:BX30" ca="1" si="78">IFERROR(SUMIFS(INDIRECT($C29&amp;".Emissions["&amp;this.Year&amp;"]"), INDIRECT($C29&amp;".Emissions[GHG]"), BO$6, INDIRECT($C29&amp;".Emissions[IPCC Sector]"), BO$5),0)</f>
        <v>0</v>
      </c>
      <c r="BP29" s="1482">
        <f t="shared" ca="1" si="78"/>
        <v>0</v>
      </c>
      <c r="BQ29" s="1482">
        <f t="shared" ca="1" si="78"/>
        <v>0</v>
      </c>
      <c r="BR29" s="1482">
        <f t="shared" ca="1" si="78"/>
        <v>0</v>
      </c>
      <c r="BS29" s="1482">
        <f t="shared" ca="1" si="78"/>
        <v>0</v>
      </c>
      <c r="BT29" s="1482">
        <f t="shared" ca="1" si="78"/>
        <v>0</v>
      </c>
      <c r="BU29" s="1482">
        <f t="shared" ca="1" si="78"/>
        <v>0</v>
      </c>
      <c r="BV29" s="1482">
        <f t="shared" ca="1" si="78"/>
        <v>0</v>
      </c>
      <c r="BW29" s="1482">
        <f t="shared" ca="1" si="78"/>
        <v>0</v>
      </c>
      <c r="BX29" s="1482">
        <f t="shared" ca="1" si="78"/>
        <v>0</v>
      </c>
      <c r="BY29" s="1482">
        <f t="shared" ref="BY29:CH30" ca="1" si="79">IFERROR(SUMIFS(INDIRECT($C29&amp;".Emissions["&amp;this.Year&amp;"]"), INDIRECT($C29&amp;".Emissions[GHG]"), BY$6, INDIRECT($C29&amp;".Emissions[IPCC Sector]"), BY$5),0)</f>
        <v>0</v>
      </c>
      <c r="BZ29" s="1482">
        <f t="shared" ca="1" si="79"/>
        <v>0</v>
      </c>
      <c r="CA29" s="1482">
        <f t="shared" ca="1" si="79"/>
        <v>0</v>
      </c>
      <c r="CB29" s="1482">
        <f t="shared" ca="1" si="79"/>
        <v>0</v>
      </c>
      <c r="CC29" s="1482">
        <f t="shared" ca="1" si="79"/>
        <v>0</v>
      </c>
      <c r="CD29" s="1482">
        <f t="shared" ca="1" si="79"/>
        <v>0</v>
      </c>
      <c r="CE29" s="1482">
        <f t="shared" ca="1" si="79"/>
        <v>0</v>
      </c>
      <c r="CF29" s="1482">
        <f t="shared" ca="1" si="79"/>
        <v>0</v>
      </c>
      <c r="CG29" s="1482">
        <f t="shared" ca="1" si="79"/>
        <v>0</v>
      </c>
      <c r="CH29" s="1482">
        <f t="shared" ca="1" si="79"/>
        <v>0</v>
      </c>
      <c r="CI29" s="1482">
        <f t="shared" ref="CI29:CR30" ca="1" si="80">IFERROR(SUMIFS(INDIRECT($C29&amp;".Emissions["&amp;this.Year&amp;"]"), INDIRECT($C29&amp;".Emissions[GHG]"), CI$6, INDIRECT($C29&amp;".Emissions[IPCC Sector]"), CI$5),0)</f>
        <v>0</v>
      </c>
      <c r="CJ29" s="1482">
        <f t="shared" ca="1" si="80"/>
        <v>0</v>
      </c>
      <c r="CK29" s="1482">
        <f t="shared" ca="1" si="80"/>
        <v>0</v>
      </c>
      <c r="CL29" s="1482">
        <f t="shared" ca="1" si="80"/>
        <v>0</v>
      </c>
      <c r="CM29" s="1482">
        <f t="shared" ca="1" si="80"/>
        <v>0</v>
      </c>
      <c r="CN29" s="1482">
        <f t="shared" ca="1" si="80"/>
        <v>0</v>
      </c>
      <c r="CO29" s="1482">
        <f t="shared" ca="1" si="80"/>
        <v>0</v>
      </c>
      <c r="CP29" s="1482">
        <f t="shared" ca="1" si="80"/>
        <v>0</v>
      </c>
      <c r="CQ29" s="1482">
        <f t="shared" ca="1" si="80"/>
        <v>0</v>
      </c>
      <c r="CR29" s="1482">
        <f t="shared" ca="1" si="80"/>
        <v>0</v>
      </c>
      <c r="CS29" s="1482">
        <f t="shared" ref="CS29:DF30" ca="1" si="81">IFERROR(SUMIFS(INDIRECT($C29&amp;".Emissions["&amp;this.Year&amp;"]"), INDIRECT($C29&amp;".Emissions[GHG]"), CS$6, INDIRECT($C29&amp;".Emissions[IPCC Sector]"), CS$5),0)</f>
        <v>0</v>
      </c>
      <c r="CT29" s="1482">
        <f t="shared" ca="1" si="81"/>
        <v>0</v>
      </c>
      <c r="CU29" s="1482">
        <f t="shared" ca="1" si="81"/>
        <v>12.576515266884993</v>
      </c>
      <c r="CV29" s="1482">
        <f t="shared" ca="1" si="81"/>
        <v>1.5657711858318994E-2</v>
      </c>
      <c r="CW29" s="1482">
        <f t="shared" ca="1" si="81"/>
        <v>0.22627728007087833</v>
      </c>
      <c r="CX29" s="1482">
        <f t="shared" ca="1" si="81"/>
        <v>0</v>
      </c>
      <c r="CY29" s="1482">
        <f t="shared" ca="1" si="81"/>
        <v>0</v>
      </c>
      <c r="CZ29" s="1482">
        <f t="shared" ca="1" si="81"/>
        <v>0</v>
      </c>
      <c r="DA29" s="1482">
        <f t="shared" ca="1" si="81"/>
        <v>0</v>
      </c>
      <c r="DB29" s="1482">
        <f t="shared" ca="1" si="81"/>
        <v>0</v>
      </c>
      <c r="DC29" s="1482">
        <f t="shared" ca="1" si="81"/>
        <v>0</v>
      </c>
      <c r="DD29" s="1482">
        <f t="shared" ca="1" si="81"/>
        <v>0</v>
      </c>
      <c r="DE29" s="1482">
        <f t="shared" ca="1" si="81"/>
        <v>0</v>
      </c>
      <c r="DF29" s="1482">
        <f t="shared" ca="1" si="81"/>
        <v>0</v>
      </c>
      <c r="DH29" s="838">
        <f t="shared" ca="1" si="35"/>
        <v>12.81845025881419</v>
      </c>
    </row>
    <row r="30" spans="1:112" s="743" customFormat="1" ht="10.5" hidden="1" customHeight="1" outlineLevel="2">
      <c r="A30" s="1483"/>
      <c r="B30" s="1483"/>
      <c r="C30" s="1009" t="s">
        <v>959</v>
      </c>
      <c r="D30" s="1005" t="str">
        <f>INDEX(Modules[Module], MATCH($C30, Modules[Code], 0))</f>
        <v>National navigation [UNUSED - see XII.a]</v>
      </c>
      <c r="E30" s="1006"/>
      <c r="G30" s="1018">
        <f t="shared" ca="1" si="75"/>
        <v>0</v>
      </c>
      <c r="H30" s="1018">
        <f t="shared" ca="1" si="75"/>
        <v>0</v>
      </c>
      <c r="I30" s="1018">
        <f t="shared" ca="1" si="75"/>
        <v>0</v>
      </c>
      <c r="J30" s="1018">
        <f t="shared" ca="1" si="75"/>
        <v>0</v>
      </c>
      <c r="K30" s="1018">
        <f t="shared" ca="1" si="75"/>
        <v>0</v>
      </c>
      <c r="L30" s="1018">
        <f t="shared" ca="1" si="75"/>
        <v>0</v>
      </c>
      <c r="M30" s="1018">
        <f t="shared" ca="1" si="75"/>
        <v>0</v>
      </c>
      <c r="N30" s="1018">
        <f t="shared" ca="1" si="75"/>
        <v>0</v>
      </c>
      <c r="O30" s="1018">
        <f t="shared" ca="1" si="75"/>
        <v>0</v>
      </c>
      <c r="P30" s="1018">
        <f t="shared" ca="1" si="75"/>
        <v>0</v>
      </c>
      <c r="Q30" s="1024">
        <f t="shared" ca="1" si="69"/>
        <v>0</v>
      </c>
      <c r="S30" s="1028">
        <f t="shared" ca="1" si="58"/>
        <v>0</v>
      </c>
      <c r="T30" s="1028">
        <f t="shared" ca="1" si="58"/>
        <v>0</v>
      </c>
      <c r="U30" s="1028">
        <f t="shared" ca="1" si="58"/>
        <v>0</v>
      </c>
      <c r="V30" s="1028">
        <f t="shared" ca="1" si="58"/>
        <v>0</v>
      </c>
      <c r="W30" s="1028">
        <f t="shared" ca="1" si="58"/>
        <v>0</v>
      </c>
      <c r="X30" s="1028">
        <f t="shared" ca="1" si="76"/>
        <v>0</v>
      </c>
      <c r="Y30" s="1028">
        <f t="shared" ca="1" si="76"/>
        <v>0</v>
      </c>
      <c r="Z30" s="1028">
        <f t="shared" ca="1" si="76"/>
        <v>0</v>
      </c>
      <c r="AA30" s="1028">
        <f t="shared" ca="1" si="58"/>
        <v>0</v>
      </c>
      <c r="AB30" s="1028">
        <f t="shared" ca="1" si="58"/>
        <v>0</v>
      </c>
      <c r="AC30" s="1028">
        <f t="shared" ca="1" si="58"/>
        <v>0</v>
      </c>
      <c r="AD30" s="1028">
        <f t="shared" ca="1" si="58"/>
        <v>0</v>
      </c>
      <c r="AE30" s="1028">
        <f t="shared" ca="1" si="58"/>
        <v>0</v>
      </c>
      <c r="AF30" s="1028">
        <f t="shared" ca="1" si="58"/>
        <v>0</v>
      </c>
      <c r="AG30" s="1028">
        <f t="shared" ca="1" si="58"/>
        <v>0</v>
      </c>
      <c r="AH30" s="1028">
        <f t="shared" ca="1" si="58"/>
        <v>0</v>
      </c>
      <c r="AI30" s="1028">
        <f t="shared" ca="1" si="58"/>
        <v>0</v>
      </c>
      <c r="AJ30" s="1028">
        <f t="shared" ca="1" si="58"/>
        <v>0</v>
      </c>
      <c r="AK30" s="1029">
        <f t="shared" ca="1" si="60"/>
        <v>0</v>
      </c>
      <c r="AM30" s="1039">
        <f t="shared" ca="1" si="77"/>
        <v>0</v>
      </c>
      <c r="AN30" s="1039">
        <f t="shared" ca="1" si="77"/>
        <v>0</v>
      </c>
      <c r="AO30" s="1039">
        <f t="shared" ca="1" si="77"/>
        <v>0</v>
      </c>
      <c r="AP30" s="1039">
        <f t="shared" ca="1" si="77"/>
        <v>0</v>
      </c>
      <c r="AQ30" s="1039">
        <f t="shared" ca="1" si="77"/>
        <v>0</v>
      </c>
      <c r="AR30" s="1039">
        <f t="shared" ca="1" si="77"/>
        <v>0</v>
      </c>
      <c r="AS30" s="1039">
        <f t="shared" ca="1" si="77"/>
        <v>0</v>
      </c>
      <c r="AT30" s="1039">
        <f t="shared" ca="1" si="77"/>
        <v>0</v>
      </c>
      <c r="AU30" s="1039">
        <f t="shared" ca="1" si="77"/>
        <v>0</v>
      </c>
      <c r="AV30" s="1039">
        <f t="shared" ca="1" si="58"/>
        <v>0</v>
      </c>
      <c r="AW30" s="1039">
        <f t="shared" ca="1" si="58"/>
        <v>0</v>
      </c>
      <c r="AX30" s="1039">
        <f t="shared" ca="1" si="58"/>
        <v>0</v>
      </c>
      <c r="AY30" s="1039">
        <f t="shared" ca="1" si="58"/>
        <v>0</v>
      </c>
      <c r="AZ30" s="1039">
        <f t="shared" ca="1" si="58"/>
        <v>0</v>
      </c>
      <c r="BA30" s="1039">
        <f t="shared" ca="1" si="58"/>
        <v>0</v>
      </c>
      <c r="BB30" s="1039">
        <f t="shared" ca="1" si="58"/>
        <v>0</v>
      </c>
      <c r="BC30" s="1039">
        <f t="shared" ca="1" si="58"/>
        <v>0</v>
      </c>
      <c r="BD30" s="1039">
        <f t="shared" ca="1" si="58"/>
        <v>0</v>
      </c>
      <c r="BE30" s="1039">
        <f t="shared" ca="1" si="58"/>
        <v>0</v>
      </c>
      <c r="BF30" s="1008">
        <f t="shared" ca="1" si="62"/>
        <v>0</v>
      </c>
      <c r="BH30" s="1033">
        <f t="shared" ca="1" si="63"/>
        <v>0</v>
      </c>
      <c r="BI30" s="1033">
        <f t="shared" ca="1" si="63"/>
        <v>0</v>
      </c>
      <c r="BJ30" s="1044">
        <f t="shared" ca="1" si="64"/>
        <v>0</v>
      </c>
      <c r="BL30" s="1007">
        <f t="shared" ca="1" si="9"/>
        <v>0</v>
      </c>
      <c r="BM30" s="1007"/>
      <c r="BN30" s="840"/>
      <c r="BO30" s="1481">
        <f t="shared" ca="1" si="78"/>
        <v>0</v>
      </c>
      <c r="BP30" s="1482">
        <f t="shared" ca="1" si="78"/>
        <v>0</v>
      </c>
      <c r="BQ30" s="1482">
        <f t="shared" ca="1" si="78"/>
        <v>0</v>
      </c>
      <c r="BR30" s="1482">
        <f t="shared" ca="1" si="78"/>
        <v>0</v>
      </c>
      <c r="BS30" s="1482">
        <f t="shared" ca="1" si="78"/>
        <v>0</v>
      </c>
      <c r="BT30" s="1482">
        <f t="shared" ca="1" si="78"/>
        <v>0</v>
      </c>
      <c r="BU30" s="1482">
        <f t="shared" ca="1" si="78"/>
        <v>0</v>
      </c>
      <c r="BV30" s="1482">
        <f t="shared" ca="1" si="78"/>
        <v>0</v>
      </c>
      <c r="BW30" s="1482">
        <f t="shared" ca="1" si="78"/>
        <v>0</v>
      </c>
      <c r="BX30" s="1482">
        <f t="shared" ca="1" si="78"/>
        <v>0</v>
      </c>
      <c r="BY30" s="1482">
        <f t="shared" ca="1" si="79"/>
        <v>0</v>
      </c>
      <c r="BZ30" s="1482">
        <f t="shared" ca="1" si="79"/>
        <v>0</v>
      </c>
      <c r="CA30" s="1482">
        <f t="shared" ca="1" si="79"/>
        <v>0</v>
      </c>
      <c r="CB30" s="1482">
        <f t="shared" ca="1" si="79"/>
        <v>0</v>
      </c>
      <c r="CC30" s="1482">
        <f t="shared" ca="1" si="79"/>
        <v>0</v>
      </c>
      <c r="CD30" s="1482">
        <f t="shared" ca="1" si="79"/>
        <v>0</v>
      </c>
      <c r="CE30" s="1482">
        <f t="shared" ca="1" si="79"/>
        <v>0</v>
      </c>
      <c r="CF30" s="1482">
        <f t="shared" ca="1" si="79"/>
        <v>0</v>
      </c>
      <c r="CG30" s="1482">
        <f t="shared" ca="1" si="79"/>
        <v>0</v>
      </c>
      <c r="CH30" s="1482">
        <f t="shared" ca="1" si="79"/>
        <v>0</v>
      </c>
      <c r="CI30" s="1482">
        <f t="shared" ca="1" si="80"/>
        <v>0</v>
      </c>
      <c r="CJ30" s="1482">
        <f t="shared" ca="1" si="80"/>
        <v>0</v>
      </c>
      <c r="CK30" s="1482">
        <f t="shared" ca="1" si="80"/>
        <v>0</v>
      </c>
      <c r="CL30" s="1482">
        <f t="shared" ca="1" si="80"/>
        <v>0</v>
      </c>
      <c r="CM30" s="1482">
        <f t="shared" ca="1" si="80"/>
        <v>0</v>
      </c>
      <c r="CN30" s="1482">
        <f t="shared" ca="1" si="80"/>
        <v>0</v>
      </c>
      <c r="CO30" s="1482">
        <f t="shared" ca="1" si="80"/>
        <v>0</v>
      </c>
      <c r="CP30" s="1482">
        <f t="shared" ca="1" si="80"/>
        <v>0</v>
      </c>
      <c r="CQ30" s="1482">
        <f t="shared" ca="1" si="80"/>
        <v>0</v>
      </c>
      <c r="CR30" s="1482">
        <f t="shared" ca="1" si="80"/>
        <v>0</v>
      </c>
      <c r="CS30" s="1482">
        <f t="shared" ca="1" si="81"/>
        <v>0</v>
      </c>
      <c r="CT30" s="1482">
        <f t="shared" ca="1" si="81"/>
        <v>0</v>
      </c>
      <c r="CU30" s="1482">
        <f t="shared" ca="1" si="81"/>
        <v>0</v>
      </c>
      <c r="CV30" s="1482">
        <f t="shared" ca="1" si="81"/>
        <v>0</v>
      </c>
      <c r="CW30" s="1482">
        <f t="shared" ca="1" si="81"/>
        <v>0</v>
      </c>
      <c r="CX30" s="1482">
        <f t="shared" ca="1" si="81"/>
        <v>0</v>
      </c>
      <c r="CY30" s="1482">
        <f t="shared" ca="1" si="81"/>
        <v>0</v>
      </c>
      <c r="CZ30" s="1482">
        <f t="shared" ca="1" si="81"/>
        <v>0</v>
      </c>
      <c r="DA30" s="1482">
        <f t="shared" ca="1" si="81"/>
        <v>0</v>
      </c>
      <c r="DB30" s="1482">
        <f t="shared" ca="1" si="81"/>
        <v>0</v>
      </c>
      <c r="DC30" s="1482">
        <f t="shared" ca="1" si="81"/>
        <v>0</v>
      </c>
      <c r="DD30" s="1482">
        <f t="shared" ca="1" si="81"/>
        <v>0</v>
      </c>
      <c r="DE30" s="1482">
        <f t="shared" ca="1" si="81"/>
        <v>0</v>
      </c>
      <c r="DF30" s="1482">
        <f t="shared" ca="1" si="81"/>
        <v>0</v>
      </c>
      <c r="DH30" s="838">
        <f t="shared" ca="1" si="35"/>
        <v>0</v>
      </c>
    </row>
    <row r="31" spans="1:112" s="743" customFormat="1" ht="11.25" hidden="1" customHeight="1" outlineLevel="1">
      <c r="A31" s="1484"/>
      <c r="B31" s="1484"/>
      <c r="C31" s="746"/>
      <c r="D31" s="1011" t="s">
        <v>961</v>
      </c>
      <c r="E31" s="1010"/>
      <c r="G31" s="1020">
        <f ca="1">SUM(G29:G30)</f>
        <v>0</v>
      </c>
      <c r="H31" s="1020">
        <f t="shared" ref="H31:P31" ca="1" si="82">SUM(H29:H30)</f>
        <v>0</v>
      </c>
      <c r="I31" s="1020">
        <f t="shared" ca="1" si="82"/>
        <v>0</v>
      </c>
      <c r="J31" s="1020">
        <f t="shared" ca="1" si="82"/>
        <v>0</v>
      </c>
      <c r="K31" s="1020">
        <f t="shared" ca="1" si="82"/>
        <v>0</v>
      </c>
      <c r="L31" s="1020">
        <f t="shared" ca="1" si="82"/>
        <v>0</v>
      </c>
      <c r="M31" s="1020">
        <f t="shared" ca="1" si="82"/>
        <v>0</v>
      </c>
      <c r="N31" s="1020">
        <f t="shared" ca="1" si="82"/>
        <v>0</v>
      </c>
      <c r="O31" s="1020">
        <f t="shared" ca="1" si="82"/>
        <v>50.306061067539972</v>
      </c>
      <c r="P31" s="1020">
        <f t="shared" ca="1" si="82"/>
        <v>0</v>
      </c>
      <c r="Q31" s="1020">
        <f t="shared" ca="1" si="69"/>
        <v>50.306061067539972</v>
      </c>
      <c r="S31" s="1030">
        <f t="shared" ref="S31:Z31" ca="1" si="83">SUM(S29:S30)</f>
        <v>0</v>
      </c>
      <c r="T31" s="1030">
        <f t="shared" ca="1" si="83"/>
        <v>0</v>
      </c>
      <c r="U31" s="1030">
        <f t="shared" ca="1" si="83"/>
        <v>0</v>
      </c>
      <c r="V31" s="1030">
        <f t="shared" ca="1" si="83"/>
        <v>-50.306061067539972</v>
      </c>
      <c r="W31" s="1030">
        <f t="shared" ca="1" si="83"/>
        <v>0</v>
      </c>
      <c r="X31" s="1132">
        <f t="shared" ca="1" si="83"/>
        <v>0</v>
      </c>
      <c r="Y31" s="1132">
        <f t="shared" ca="1" si="83"/>
        <v>0</v>
      </c>
      <c r="Z31" s="1132">
        <f t="shared" ca="1" si="83"/>
        <v>0</v>
      </c>
      <c r="AA31" s="1030">
        <f t="shared" ref="AA31:AJ31" ca="1" si="84">SUM(AA29:AA30)</f>
        <v>0</v>
      </c>
      <c r="AB31" s="1030">
        <f t="shared" ca="1" si="84"/>
        <v>0</v>
      </c>
      <c r="AC31" s="1030">
        <f t="shared" ca="1" si="84"/>
        <v>0</v>
      </c>
      <c r="AD31" s="1030">
        <f ca="1">SUM(AD29:AD30)</f>
        <v>0</v>
      </c>
      <c r="AE31" s="1030">
        <f ca="1">SUM(AE29:AE30)</f>
        <v>0</v>
      </c>
      <c r="AF31" s="1030">
        <f t="shared" ca="1" si="84"/>
        <v>0</v>
      </c>
      <c r="AG31" s="1030">
        <f ca="1">SUM(AG29:AG30)</f>
        <v>0</v>
      </c>
      <c r="AH31" s="1030">
        <f ca="1">SUM(AH29:AH30)</f>
        <v>0</v>
      </c>
      <c r="AI31" s="1030">
        <f ca="1">SUM(AI29:AI30)</f>
        <v>0</v>
      </c>
      <c r="AJ31" s="1030">
        <f t="shared" ca="1" si="84"/>
        <v>0</v>
      </c>
      <c r="AK31" s="1030">
        <f t="shared" ca="1" si="60"/>
        <v>-50.306061067539972</v>
      </c>
      <c r="AM31" s="1043">
        <f t="shared" ref="AM31:BE31" ca="1" si="85">SUM(AM29:AM30)</f>
        <v>0</v>
      </c>
      <c r="AN31" s="1043">
        <f t="shared" ca="1" si="85"/>
        <v>0</v>
      </c>
      <c r="AO31" s="1043">
        <f t="shared" ca="1" si="85"/>
        <v>0</v>
      </c>
      <c r="AP31" s="1043">
        <f t="shared" ca="1" si="85"/>
        <v>0</v>
      </c>
      <c r="AQ31" s="1043">
        <f t="shared" ca="1" si="85"/>
        <v>0</v>
      </c>
      <c r="AR31" s="1043">
        <f t="shared" ca="1" si="85"/>
        <v>0</v>
      </c>
      <c r="AS31" s="1043">
        <f t="shared" ca="1" si="85"/>
        <v>0</v>
      </c>
      <c r="AT31" s="1043">
        <f t="shared" ca="1" si="85"/>
        <v>0</v>
      </c>
      <c r="AU31" s="1043">
        <f t="shared" ca="1" si="85"/>
        <v>0</v>
      </c>
      <c r="AV31" s="1043">
        <f t="shared" ca="1" si="85"/>
        <v>0</v>
      </c>
      <c r="AW31" s="1043">
        <f t="shared" ca="1" si="85"/>
        <v>0</v>
      </c>
      <c r="AX31" s="1043">
        <f t="shared" ca="1" si="85"/>
        <v>0</v>
      </c>
      <c r="AY31" s="1043">
        <f t="shared" ca="1" si="85"/>
        <v>0</v>
      </c>
      <c r="AZ31" s="1043">
        <f t="shared" ca="1" si="85"/>
        <v>0</v>
      </c>
      <c r="BA31" s="1043">
        <f t="shared" ca="1" si="85"/>
        <v>0</v>
      </c>
      <c r="BB31" s="1043">
        <f t="shared" ca="1" si="85"/>
        <v>0</v>
      </c>
      <c r="BC31" s="1043">
        <f t="shared" ca="1" si="85"/>
        <v>0</v>
      </c>
      <c r="BD31" s="1043">
        <f t="shared" ca="1" si="85"/>
        <v>0</v>
      </c>
      <c r="BE31" s="1043">
        <f t="shared" ca="1" si="85"/>
        <v>0</v>
      </c>
      <c r="BF31" s="1013">
        <f t="shared" ca="1" si="62"/>
        <v>0</v>
      </c>
      <c r="BH31" s="1037">
        <f ca="1">SUM(BH29:BH30)</f>
        <v>0</v>
      </c>
      <c r="BI31" s="1037">
        <f ca="1">SUM(BI29:BI30)</f>
        <v>0</v>
      </c>
      <c r="BJ31" s="1035">
        <f t="shared" ca="1" si="64"/>
        <v>0</v>
      </c>
      <c r="BL31" s="524">
        <f t="shared" ca="1" si="9"/>
        <v>0</v>
      </c>
      <c r="BM31" s="524"/>
      <c r="BN31" s="1484"/>
      <c r="BO31" s="1485">
        <f t="shared" ref="BO31:DF31" ca="1" si="86">SUM(BO29:BO30)</f>
        <v>0</v>
      </c>
      <c r="BP31" s="1486">
        <f t="shared" ca="1" si="86"/>
        <v>0</v>
      </c>
      <c r="BQ31" s="1486">
        <f t="shared" ca="1" si="86"/>
        <v>0</v>
      </c>
      <c r="BR31" s="1486">
        <f t="shared" ca="1" si="86"/>
        <v>0</v>
      </c>
      <c r="BS31" s="1486">
        <f t="shared" ca="1" si="86"/>
        <v>0</v>
      </c>
      <c r="BT31" s="1486">
        <f t="shared" ca="1" si="86"/>
        <v>0</v>
      </c>
      <c r="BU31" s="1486">
        <f t="shared" ca="1" si="86"/>
        <v>0</v>
      </c>
      <c r="BV31" s="1486">
        <f t="shared" ca="1" si="86"/>
        <v>0</v>
      </c>
      <c r="BW31" s="1486">
        <f t="shared" ca="1" si="86"/>
        <v>0</v>
      </c>
      <c r="BX31" s="1486">
        <f t="shared" ca="1" si="86"/>
        <v>0</v>
      </c>
      <c r="BY31" s="1486">
        <f t="shared" ca="1" si="86"/>
        <v>0</v>
      </c>
      <c r="BZ31" s="1486">
        <f t="shared" ca="1" si="86"/>
        <v>0</v>
      </c>
      <c r="CA31" s="1486">
        <f t="shared" ca="1" si="86"/>
        <v>0</v>
      </c>
      <c r="CB31" s="1486">
        <f t="shared" ca="1" si="86"/>
        <v>0</v>
      </c>
      <c r="CC31" s="1486">
        <f t="shared" ca="1" si="86"/>
        <v>0</v>
      </c>
      <c r="CD31" s="1486">
        <f t="shared" ca="1" si="86"/>
        <v>0</v>
      </c>
      <c r="CE31" s="1486">
        <f t="shared" ca="1" si="86"/>
        <v>0</v>
      </c>
      <c r="CF31" s="1486">
        <f t="shared" ca="1" si="86"/>
        <v>0</v>
      </c>
      <c r="CG31" s="1486">
        <f t="shared" ca="1" si="86"/>
        <v>0</v>
      </c>
      <c r="CH31" s="1486">
        <f t="shared" ca="1" si="86"/>
        <v>0</v>
      </c>
      <c r="CI31" s="1486">
        <f t="shared" ca="1" si="86"/>
        <v>0</v>
      </c>
      <c r="CJ31" s="1486">
        <f t="shared" ca="1" si="86"/>
        <v>0</v>
      </c>
      <c r="CK31" s="1486">
        <f t="shared" ca="1" si="86"/>
        <v>0</v>
      </c>
      <c r="CL31" s="1486">
        <f t="shared" ca="1" si="86"/>
        <v>0</v>
      </c>
      <c r="CM31" s="1486">
        <f t="shared" ca="1" si="86"/>
        <v>0</v>
      </c>
      <c r="CN31" s="1486">
        <f t="shared" ca="1" si="86"/>
        <v>0</v>
      </c>
      <c r="CO31" s="1486">
        <f t="shared" ca="1" si="86"/>
        <v>0</v>
      </c>
      <c r="CP31" s="1486">
        <f t="shared" ca="1" si="86"/>
        <v>0</v>
      </c>
      <c r="CQ31" s="1486">
        <f t="shared" ca="1" si="86"/>
        <v>0</v>
      </c>
      <c r="CR31" s="1486">
        <f t="shared" ca="1" si="86"/>
        <v>0</v>
      </c>
      <c r="CS31" s="1486">
        <f t="shared" ca="1" si="86"/>
        <v>0</v>
      </c>
      <c r="CT31" s="1486">
        <f t="shared" ca="1" si="86"/>
        <v>0</v>
      </c>
      <c r="CU31" s="1486">
        <f t="shared" ca="1" si="86"/>
        <v>12.576515266884993</v>
      </c>
      <c r="CV31" s="1486">
        <f t="shared" ca="1" si="86"/>
        <v>1.5657711858318994E-2</v>
      </c>
      <c r="CW31" s="1486">
        <f t="shared" ca="1" si="86"/>
        <v>0.22627728007087833</v>
      </c>
      <c r="CX31" s="1486">
        <f t="shared" ca="1" si="86"/>
        <v>0</v>
      </c>
      <c r="CY31" s="1486">
        <f t="shared" ca="1" si="86"/>
        <v>0</v>
      </c>
      <c r="CZ31" s="1486">
        <f t="shared" ca="1" si="86"/>
        <v>0</v>
      </c>
      <c r="DA31" s="1486">
        <f t="shared" ca="1" si="86"/>
        <v>0</v>
      </c>
      <c r="DB31" s="1486">
        <f t="shared" ca="1" si="86"/>
        <v>0</v>
      </c>
      <c r="DC31" s="1486">
        <f t="shared" ca="1" si="86"/>
        <v>0</v>
      </c>
      <c r="DD31" s="1486">
        <f t="shared" ca="1" si="86"/>
        <v>0</v>
      </c>
      <c r="DE31" s="1486">
        <f t="shared" ca="1" si="86"/>
        <v>0</v>
      </c>
      <c r="DF31" s="1486">
        <f t="shared" ca="1" si="86"/>
        <v>0</v>
      </c>
      <c r="DH31" s="838">
        <f t="shared" ca="1" si="35"/>
        <v>12.81845025881419</v>
      </c>
    </row>
    <row r="32" spans="1:112" s="743" customFormat="1" ht="15.75" collapsed="1">
      <c r="A32" s="22"/>
      <c r="B32" s="753"/>
      <c r="C32" s="744" t="s">
        <v>679</v>
      </c>
      <c r="D32" s="517" t="str">
        <f>INDEX(Workstreams[Workstream], MATCH($C32, Workstreams[Code], 0))</f>
        <v>Transport</v>
      </c>
      <c r="E32" s="512"/>
      <c r="G32" s="1021">
        <f t="shared" ref="G32:P32" ca="1" si="87">G24+G25+G28+G31</f>
        <v>0</v>
      </c>
      <c r="H32" s="1021">
        <f t="shared" ca="1" si="87"/>
        <v>0</v>
      </c>
      <c r="I32" s="1021">
        <f t="shared" ca="1" si="87"/>
        <v>0</v>
      </c>
      <c r="J32" s="1021">
        <f t="shared" ca="1" si="87"/>
        <v>424.39542541484604</v>
      </c>
      <c r="K32" s="1021">
        <f t="shared" ca="1" si="87"/>
        <v>16.963945338992865</v>
      </c>
      <c r="L32" s="1021">
        <f t="shared" ca="1" si="87"/>
        <v>11.078742052970153</v>
      </c>
      <c r="M32" s="1021">
        <f t="shared" ca="1" si="87"/>
        <v>24.589843788926849</v>
      </c>
      <c r="N32" s="1021">
        <f t="shared" ca="1" si="87"/>
        <v>194.2224288429754</v>
      </c>
      <c r="O32" s="1021">
        <f t="shared" ca="1" si="87"/>
        <v>50.306061067539972</v>
      </c>
      <c r="P32" s="1021">
        <f t="shared" ca="1" si="87"/>
        <v>0</v>
      </c>
      <c r="Q32" s="1021">
        <f t="shared" ca="1" si="69"/>
        <v>721.55644650625129</v>
      </c>
      <c r="S32" s="970">
        <f t="shared" ref="S32:Z32" ca="1" si="88">S24+S25+S28+S31</f>
        <v>-8.4266826849261722</v>
      </c>
      <c r="T32" s="970">
        <f t="shared" ca="1" si="88"/>
        <v>0</v>
      </c>
      <c r="U32" s="970">
        <f t="shared" ca="1" si="88"/>
        <v>0</v>
      </c>
      <c r="V32" s="970">
        <f t="shared" ca="1" si="88"/>
        <v>-713.12976382132513</v>
      </c>
      <c r="W32" s="970">
        <f t="shared" ca="1" si="88"/>
        <v>0</v>
      </c>
      <c r="X32" s="970">
        <f t="shared" ca="1" si="88"/>
        <v>0</v>
      </c>
      <c r="Y32" s="970">
        <f t="shared" ca="1" si="88"/>
        <v>0</v>
      </c>
      <c r="Z32" s="970">
        <f t="shared" ca="1" si="88"/>
        <v>0</v>
      </c>
      <c r="AA32" s="970">
        <f t="shared" ref="AA32:AJ32" ca="1" si="89">AA24+AA25+AA28+AA31</f>
        <v>0</v>
      </c>
      <c r="AB32" s="970">
        <f t="shared" ca="1" si="89"/>
        <v>0</v>
      </c>
      <c r="AC32" s="970">
        <f t="shared" ca="1" si="89"/>
        <v>0</v>
      </c>
      <c r="AD32" s="970">
        <f ca="1">AD24+AD25+AD28+AD31</f>
        <v>0</v>
      </c>
      <c r="AE32" s="970">
        <f ca="1">AE24+AE25+AE28+AE31</f>
        <v>0</v>
      </c>
      <c r="AF32" s="970">
        <f t="shared" ca="1" si="89"/>
        <v>0</v>
      </c>
      <c r="AG32" s="970">
        <f ca="1">AG24+AG25+AG28+AG31</f>
        <v>0</v>
      </c>
      <c r="AH32" s="970">
        <f ca="1">AH24+AH25+AH28+AH31</f>
        <v>0</v>
      </c>
      <c r="AI32" s="970">
        <f ca="1">AI24+AI25+AI28+AI31</f>
        <v>0</v>
      </c>
      <c r="AJ32" s="970">
        <f t="shared" ca="1" si="89"/>
        <v>0</v>
      </c>
      <c r="AK32" s="970">
        <f t="shared" ca="1" si="60"/>
        <v>-721.55644650625129</v>
      </c>
      <c r="AM32" s="976">
        <f t="shared" ref="AM32:AS32" ca="1" si="90">AM24+AM25+AM28+AM31</f>
        <v>0</v>
      </c>
      <c r="AN32" s="976">
        <f t="shared" ca="1" si="90"/>
        <v>0</v>
      </c>
      <c r="AO32" s="976">
        <f t="shared" ca="1" si="90"/>
        <v>0</v>
      </c>
      <c r="AP32" s="976">
        <f t="shared" ca="1" si="90"/>
        <v>0</v>
      </c>
      <c r="AQ32" s="976">
        <f t="shared" ca="1" si="90"/>
        <v>0</v>
      </c>
      <c r="AR32" s="976">
        <f t="shared" ca="1" si="90"/>
        <v>0</v>
      </c>
      <c r="AS32" s="976">
        <f t="shared" ca="1" si="90"/>
        <v>0</v>
      </c>
      <c r="AT32" s="976">
        <f t="shared" ref="AT32:BE32" ca="1" si="91">AT24+AT25+AT28+AT31</f>
        <v>0</v>
      </c>
      <c r="AU32" s="976">
        <f t="shared" ca="1" si="91"/>
        <v>0</v>
      </c>
      <c r="AV32" s="976">
        <f t="shared" ca="1" si="91"/>
        <v>0</v>
      </c>
      <c r="AW32" s="976">
        <f t="shared" ca="1" si="91"/>
        <v>0</v>
      </c>
      <c r="AX32" s="976">
        <f t="shared" ca="1" si="91"/>
        <v>0</v>
      </c>
      <c r="AY32" s="976">
        <f t="shared" ca="1" si="91"/>
        <v>0</v>
      </c>
      <c r="AZ32" s="976">
        <f t="shared" ca="1" si="91"/>
        <v>0</v>
      </c>
      <c r="BA32" s="976">
        <f t="shared" ca="1" si="91"/>
        <v>0</v>
      </c>
      <c r="BB32" s="976">
        <f t="shared" ca="1" si="91"/>
        <v>0</v>
      </c>
      <c r="BC32" s="976">
        <f t="shared" ca="1" si="91"/>
        <v>0</v>
      </c>
      <c r="BD32" s="976">
        <f t="shared" ca="1" si="91"/>
        <v>0</v>
      </c>
      <c r="BE32" s="976">
        <f t="shared" ca="1" si="91"/>
        <v>0</v>
      </c>
      <c r="BF32" s="976">
        <f t="shared" ca="1" si="62"/>
        <v>0</v>
      </c>
      <c r="BH32" s="990">
        <f ca="1">BH24+BH25+BH28+BH31</f>
        <v>0</v>
      </c>
      <c r="BI32" s="990">
        <f ca="1">BI24+BI25+BI28+BI31</f>
        <v>0</v>
      </c>
      <c r="BJ32" s="990">
        <f t="shared" ca="1" si="64"/>
        <v>0</v>
      </c>
      <c r="BL32" s="515">
        <f t="shared" ca="1" si="9"/>
        <v>0</v>
      </c>
      <c r="BM32" s="515"/>
      <c r="BN32" s="840"/>
      <c r="BO32" s="1482">
        <f t="shared" ref="BO32:DF32" ca="1" si="92">BO24+BO25+BO28+BO31</f>
        <v>117.15031847770243</v>
      </c>
      <c r="BP32" s="1482">
        <f t="shared" ca="1" si="92"/>
        <v>0.14585168402443305</v>
      </c>
      <c r="BQ32" s="1482">
        <f t="shared" ca="1" si="92"/>
        <v>2.1077742810340014</v>
      </c>
      <c r="BR32" s="1482">
        <f t="shared" ca="1" si="92"/>
        <v>0</v>
      </c>
      <c r="BS32" s="1482">
        <f t="shared" ca="1" si="92"/>
        <v>0</v>
      </c>
      <c r="BT32" s="1482">
        <f t="shared" ca="1" si="92"/>
        <v>0</v>
      </c>
      <c r="BU32" s="1482">
        <f t="shared" ca="1" si="92"/>
        <v>0</v>
      </c>
      <c r="BV32" s="1482">
        <f t="shared" ca="1" si="92"/>
        <v>0</v>
      </c>
      <c r="BW32" s="1482">
        <f t="shared" ca="1" si="92"/>
        <v>0</v>
      </c>
      <c r="BX32" s="1482">
        <f t="shared" ca="1" si="92"/>
        <v>0</v>
      </c>
      <c r="BY32" s="1482">
        <f t="shared" ca="1" si="92"/>
        <v>0</v>
      </c>
      <c r="BZ32" s="1482">
        <f t="shared" ca="1" si="92"/>
        <v>0</v>
      </c>
      <c r="CA32" s="1482">
        <f t="shared" ca="1" si="92"/>
        <v>0</v>
      </c>
      <c r="CB32" s="1482">
        <f t="shared" ca="1" si="92"/>
        <v>0</v>
      </c>
      <c r="CC32" s="1482">
        <f t="shared" ca="1" si="92"/>
        <v>0</v>
      </c>
      <c r="CD32" s="1482">
        <f t="shared" ca="1" si="92"/>
        <v>0</v>
      </c>
      <c r="CE32" s="1482">
        <f t="shared" ca="1" si="92"/>
        <v>0</v>
      </c>
      <c r="CF32" s="1482">
        <f t="shared" ca="1" si="92"/>
        <v>0</v>
      </c>
      <c r="CG32" s="1482">
        <f t="shared" ca="1" si="92"/>
        <v>0</v>
      </c>
      <c r="CH32" s="1482">
        <f t="shared" ca="1" si="92"/>
        <v>0</v>
      </c>
      <c r="CI32" s="1482">
        <f t="shared" ca="1" si="92"/>
        <v>0</v>
      </c>
      <c r="CJ32" s="1482">
        <f t="shared" ca="1" si="92"/>
        <v>0</v>
      </c>
      <c r="CK32" s="1482">
        <f t="shared" ca="1" si="92"/>
        <v>0</v>
      </c>
      <c r="CL32" s="1482">
        <f t="shared" ca="1" si="92"/>
        <v>0</v>
      </c>
      <c r="CM32" s="1482">
        <f t="shared" ca="1" si="92"/>
        <v>0</v>
      </c>
      <c r="CN32" s="1482">
        <f t="shared" ca="1" si="92"/>
        <v>0</v>
      </c>
      <c r="CO32" s="1482">
        <f t="shared" ca="1" si="92"/>
        <v>0</v>
      </c>
      <c r="CP32" s="1482">
        <f t="shared" ca="1" si="92"/>
        <v>0</v>
      </c>
      <c r="CQ32" s="1482">
        <f t="shared" ca="1" si="92"/>
        <v>0</v>
      </c>
      <c r="CR32" s="1482">
        <f t="shared" ca="1" si="92"/>
        <v>0</v>
      </c>
      <c r="CS32" s="1482">
        <f t="shared" ca="1" si="92"/>
        <v>0</v>
      </c>
      <c r="CT32" s="1482">
        <f t="shared" ca="1" si="92"/>
        <v>0</v>
      </c>
      <c r="CU32" s="1482">
        <f t="shared" ca="1" si="92"/>
        <v>61.13212247762884</v>
      </c>
      <c r="CV32" s="1482">
        <f t="shared" ca="1" si="92"/>
        <v>7.6109251150240059E-2</v>
      </c>
      <c r="CW32" s="1482">
        <f t="shared" ca="1" si="92"/>
        <v>1.0998921486320294</v>
      </c>
      <c r="CX32" s="1482">
        <f t="shared" ca="1" si="92"/>
        <v>0</v>
      </c>
      <c r="CY32" s="1482">
        <f t="shared" ca="1" si="92"/>
        <v>0</v>
      </c>
      <c r="CZ32" s="1482">
        <f t="shared" ca="1" si="92"/>
        <v>0</v>
      </c>
      <c r="DA32" s="1482">
        <f t="shared" ca="1" si="92"/>
        <v>0</v>
      </c>
      <c r="DB32" s="1482">
        <f t="shared" ca="1" si="92"/>
        <v>0</v>
      </c>
      <c r="DC32" s="1482">
        <f t="shared" ca="1" si="92"/>
        <v>0</v>
      </c>
      <c r="DD32" s="1482">
        <f t="shared" ca="1" si="92"/>
        <v>0</v>
      </c>
      <c r="DE32" s="1482">
        <f t="shared" ca="1" si="92"/>
        <v>0</v>
      </c>
      <c r="DF32" s="1482">
        <f t="shared" ca="1" si="92"/>
        <v>0</v>
      </c>
      <c r="DH32" s="838">
        <f t="shared" ca="1" si="35"/>
        <v>181.71206832017197</v>
      </c>
    </row>
    <row r="33" spans="1:112" s="743" customFormat="1" ht="12.75" hidden="1" customHeight="1" outlineLevel="1">
      <c r="A33" s="22"/>
      <c r="B33" s="22"/>
      <c r="C33" s="751"/>
      <c r="D33" s="512"/>
      <c r="E33" s="512"/>
      <c r="G33" s="1021"/>
      <c r="H33" s="1021"/>
      <c r="I33" s="1021"/>
      <c r="J33" s="1021"/>
      <c r="K33" s="1021"/>
      <c r="L33" s="1021"/>
      <c r="M33" s="1021"/>
      <c r="N33" s="1021"/>
      <c r="O33" s="1021"/>
      <c r="P33" s="1021"/>
      <c r="Q33" s="1021"/>
      <c r="S33" s="970"/>
      <c r="T33" s="970"/>
      <c r="U33" s="970"/>
      <c r="V33" s="970"/>
      <c r="W33" s="970"/>
      <c r="X33" s="970"/>
      <c r="Y33" s="970"/>
      <c r="Z33" s="970"/>
      <c r="AA33" s="970"/>
      <c r="AB33" s="970"/>
      <c r="AC33" s="970"/>
      <c r="AD33" s="970"/>
      <c r="AE33" s="970"/>
      <c r="AF33" s="970"/>
      <c r="AG33" s="970"/>
      <c r="AH33" s="970"/>
      <c r="AI33" s="970"/>
      <c r="AJ33" s="970"/>
      <c r="AK33" s="970"/>
      <c r="AM33" s="976"/>
      <c r="AN33" s="976"/>
      <c r="AO33" s="976"/>
      <c r="AP33" s="976"/>
      <c r="AQ33" s="976"/>
      <c r="AR33" s="976"/>
      <c r="AS33" s="976"/>
      <c r="AT33" s="976"/>
      <c r="AU33" s="976"/>
      <c r="AV33" s="976"/>
      <c r="AW33" s="976"/>
      <c r="AX33" s="976"/>
      <c r="AY33" s="976"/>
      <c r="AZ33" s="976"/>
      <c r="BA33" s="976"/>
      <c r="BB33" s="976"/>
      <c r="BC33" s="976"/>
      <c r="BD33" s="976"/>
      <c r="BE33" s="976"/>
      <c r="BF33" s="976"/>
      <c r="BH33" s="990"/>
      <c r="BI33" s="990"/>
      <c r="BJ33" s="990"/>
      <c r="BL33" s="515">
        <f t="shared" si="9"/>
        <v>0</v>
      </c>
      <c r="BM33" s="515"/>
      <c r="BN33" s="22"/>
      <c r="BO33" s="1482"/>
      <c r="BP33" s="1482"/>
      <c r="BQ33" s="1482"/>
      <c r="BR33" s="1482"/>
      <c r="BS33" s="1482"/>
      <c r="BT33" s="1482"/>
      <c r="BU33" s="1482"/>
      <c r="BV33" s="1482"/>
      <c r="BW33" s="1482"/>
      <c r="BX33" s="1482"/>
      <c r="BY33" s="1482"/>
      <c r="BZ33" s="1482"/>
      <c r="CA33" s="1482"/>
      <c r="CB33" s="1482"/>
      <c r="CC33" s="1482"/>
      <c r="CD33" s="1482"/>
      <c r="CE33" s="1482"/>
      <c r="CF33" s="1482"/>
      <c r="CG33" s="1482"/>
      <c r="CH33" s="1482"/>
      <c r="CI33" s="1482"/>
      <c r="CJ33" s="1482"/>
      <c r="CK33" s="1482"/>
      <c r="CL33" s="1482"/>
      <c r="CM33" s="1482"/>
      <c r="CN33" s="1482"/>
      <c r="CO33" s="1482"/>
      <c r="CP33" s="1482"/>
      <c r="CQ33" s="1482"/>
      <c r="CR33" s="1482"/>
      <c r="CS33" s="1482"/>
      <c r="CT33" s="1482"/>
      <c r="CU33" s="1482"/>
      <c r="CV33" s="1482"/>
      <c r="CW33" s="1482"/>
      <c r="CX33" s="1482"/>
      <c r="CY33" s="1482"/>
      <c r="CZ33" s="1482"/>
      <c r="DA33" s="1482"/>
      <c r="DB33" s="1482"/>
      <c r="DC33" s="1482"/>
      <c r="DD33" s="1482"/>
      <c r="DE33" s="1482"/>
      <c r="DF33" s="1482"/>
      <c r="DH33" s="838">
        <f t="shared" si="35"/>
        <v>0</v>
      </c>
    </row>
    <row r="34" spans="1:112" s="743" customFormat="1" ht="12.75" hidden="1" customHeight="1" outlineLevel="1">
      <c r="A34" s="1484"/>
      <c r="B34" s="1484"/>
      <c r="C34" s="746" t="s">
        <v>930</v>
      </c>
      <c r="D34" s="1010" t="str">
        <f>INDEX(Modules[Module], MATCH($C34, Modules[Code], 0))</f>
        <v>Food consumption [UNUSED]</v>
      </c>
      <c r="E34" s="1010"/>
      <c r="G34" s="1022">
        <f t="shared" ref="G34:P34" ca="1" si="93">IFERROR(INDEX(INDIRECT($C34&amp;".Outputs["&amp;this.Year&amp;"]"), MATCH(G$5, INDIRECT($C34&amp;".Outputs[Vector]"), 0)), 0)</f>
        <v>0</v>
      </c>
      <c r="H34" s="1022">
        <f t="shared" ca="1" si="93"/>
        <v>0</v>
      </c>
      <c r="I34" s="1022">
        <f t="shared" ca="1" si="93"/>
        <v>0</v>
      </c>
      <c r="J34" s="1022">
        <f t="shared" ca="1" si="93"/>
        <v>0</v>
      </c>
      <c r="K34" s="1022">
        <f t="shared" ca="1" si="93"/>
        <v>0</v>
      </c>
      <c r="L34" s="1022">
        <f t="shared" ca="1" si="93"/>
        <v>0</v>
      </c>
      <c r="M34" s="1022">
        <f t="shared" ca="1" si="93"/>
        <v>0</v>
      </c>
      <c r="N34" s="1022">
        <f t="shared" ca="1" si="93"/>
        <v>0</v>
      </c>
      <c r="O34" s="1022">
        <f t="shared" ca="1" si="93"/>
        <v>0</v>
      </c>
      <c r="P34" s="1022">
        <f t="shared" ca="1" si="93"/>
        <v>0</v>
      </c>
      <c r="Q34" s="1020">
        <f ca="1">SUM(G34:P34)</f>
        <v>0</v>
      </c>
      <c r="S34" s="1031">
        <f t="shared" ref="S34:BE34" ca="1" si="94">IFERROR(INDEX(INDIRECT($C34&amp;".Outputs["&amp;this.Year&amp;"]"), MATCH(S$5, INDIRECT($C34&amp;".Outputs[Vector]"), 0)), 0)</f>
        <v>0</v>
      </c>
      <c r="T34" s="1031">
        <f t="shared" ca="1" si="94"/>
        <v>0</v>
      </c>
      <c r="U34" s="1031">
        <f t="shared" ca="1" si="94"/>
        <v>0</v>
      </c>
      <c r="V34" s="1031">
        <f t="shared" ca="1" si="94"/>
        <v>0</v>
      </c>
      <c r="W34" s="1031">
        <f t="shared" ca="1" si="94"/>
        <v>0</v>
      </c>
      <c r="X34" s="1031">
        <f ca="1">IFERROR(INDEX(INDIRECT($C34&amp;".Outputs["&amp;this.Year&amp;"]"), MATCH(X$5, INDIRECT($C34&amp;".Outputs[Vector]"), 0)), 0)</f>
        <v>0</v>
      </c>
      <c r="Y34" s="1031">
        <f ca="1">IFERROR(INDEX(INDIRECT($C34&amp;".Outputs["&amp;this.Year&amp;"]"), MATCH(Y$5, INDIRECT($C34&amp;".Outputs[Vector]"), 0)), 0)</f>
        <v>0</v>
      </c>
      <c r="Z34" s="1031">
        <f ca="1">IFERROR(INDEX(INDIRECT($C34&amp;".Outputs["&amp;this.Year&amp;"]"), MATCH(Z$5, INDIRECT($C34&amp;".Outputs[Vector]"), 0)), 0)</f>
        <v>0</v>
      </c>
      <c r="AA34" s="1031">
        <f t="shared" ca="1" si="94"/>
        <v>0</v>
      </c>
      <c r="AB34" s="1031">
        <f t="shared" ca="1" si="94"/>
        <v>0</v>
      </c>
      <c r="AC34" s="1031">
        <f t="shared" ca="1" si="94"/>
        <v>0</v>
      </c>
      <c r="AD34" s="1031">
        <f t="shared" ca="1" si="94"/>
        <v>0</v>
      </c>
      <c r="AE34" s="1031">
        <f t="shared" ca="1" si="94"/>
        <v>0</v>
      </c>
      <c r="AF34" s="1031">
        <f t="shared" ca="1" si="94"/>
        <v>0</v>
      </c>
      <c r="AG34" s="1031">
        <f t="shared" ca="1" si="94"/>
        <v>0</v>
      </c>
      <c r="AH34" s="1031">
        <f t="shared" ca="1" si="94"/>
        <v>0</v>
      </c>
      <c r="AI34" s="1031">
        <f t="shared" ca="1" si="94"/>
        <v>0</v>
      </c>
      <c r="AJ34" s="1031">
        <f t="shared" ca="1" si="94"/>
        <v>0</v>
      </c>
      <c r="AK34" s="1030">
        <f ca="1">SUM(S34:AJ34)</f>
        <v>0</v>
      </c>
      <c r="AM34" s="1042">
        <f t="shared" ref="AM34:AU34" ca="1" si="95">IFERROR(INDEX(INDIRECT($C34&amp;".Outputs["&amp;this.Year&amp;"]"), MATCH(AM$5, INDIRECT($C34&amp;".Outputs[Vector]"), 0)), 0)</f>
        <v>0</v>
      </c>
      <c r="AN34" s="1042">
        <f t="shared" ca="1" si="95"/>
        <v>0</v>
      </c>
      <c r="AO34" s="1042">
        <f t="shared" ca="1" si="95"/>
        <v>0</v>
      </c>
      <c r="AP34" s="1042">
        <f t="shared" ca="1" si="95"/>
        <v>0</v>
      </c>
      <c r="AQ34" s="1042">
        <f t="shared" ca="1" si="95"/>
        <v>0</v>
      </c>
      <c r="AR34" s="1042">
        <f t="shared" ca="1" si="95"/>
        <v>0</v>
      </c>
      <c r="AS34" s="1042">
        <f t="shared" ca="1" si="95"/>
        <v>0</v>
      </c>
      <c r="AT34" s="1042">
        <f t="shared" ca="1" si="95"/>
        <v>0</v>
      </c>
      <c r="AU34" s="1042">
        <f t="shared" ca="1" si="95"/>
        <v>0</v>
      </c>
      <c r="AV34" s="1042">
        <f t="shared" ca="1" si="94"/>
        <v>0</v>
      </c>
      <c r="AW34" s="1042">
        <f t="shared" ca="1" si="94"/>
        <v>0</v>
      </c>
      <c r="AX34" s="1042">
        <f t="shared" ca="1" si="94"/>
        <v>0</v>
      </c>
      <c r="AY34" s="1042">
        <f t="shared" ca="1" si="94"/>
        <v>0</v>
      </c>
      <c r="AZ34" s="1042">
        <f t="shared" ca="1" si="94"/>
        <v>0</v>
      </c>
      <c r="BA34" s="1042">
        <f t="shared" ca="1" si="94"/>
        <v>0</v>
      </c>
      <c r="BB34" s="1042">
        <f t="shared" ca="1" si="94"/>
        <v>0</v>
      </c>
      <c r="BC34" s="1042">
        <f t="shared" ca="1" si="94"/>
        <v>0</v>
      </c>
      <c r="BD34" s="1042">
        <f t="shared" ca="1" si="94"/>
        <v>0</v>
      </c>
      <c r="BE34" s="1042">
        <f t="shared" ca="1" si="94"/>
        <v>0</v>
      </c>
      <c r="BF34" s="1012">
        <f ca="1">SUM(AM34:BE34)</f>
        <v>0</v>
      </c>
      <c r="BH34" s="1036">
        <f ca="1">IFERROR(INDEX(INDIRECT($C34&amp;".Outputs["&amp;this.Year&amp;"]"), MATCH(BH$5, INDIRECT($C34&amp;".Outputs[Vector]"), 0)), 0)</f>
        <v>0</v>
      </c>
      <c r="BI34" s="1036">
        <f ca="1">IFERROR(INDEX(INDIRECT($C34&amp;".Outputs["&amp;this.Year&amp;"]"), MATCH(BI$5, INDIRECT($C34&amp;".Outputs[Vector]"), 0)), 0)</f>
        <v>0</v>
      </c>
      <c r="BJ34" s="1035">
        <f ca="1">SUM(BH34:BI34)</f>
        <v>0</v>
      </c>
      <c r="BL34" s="814">
        <f t="shared" ca="1" si="9"/>
        <v>0</v>
      </c>
      <c r="BM34" s="814"/>
      <c r="BN34" s="840"/>
      <c r="BO34" s="1485">
        <f t="shared" ref="BO34:DF34" ca="1" si="96">IFERROR(SUMIFS(INDIRECT($C34&amp;".Emissions["&amp;this.Year&amp;"]"), INDIRECT($C34&amp;".Emissions[GHG]"), BO$6, INDIRECT($C34&amp;".Emissions[IPCC Sector]"), BO$5),0)</f>
        <v>0</v>
      </c>
      <c r="BP34" s="1486">
        <f t="shared" ca="1" si="96"/>
        <v>0</v>
      </c>
      <c r="BQ34" s="1486">
        <f t="shared" ca="1" si="96"/>
        <v>0</v>
      </c>
      <c r="BR34" s="1486">
        <f t="shared" ca="1" si="96"/>
        <v>0</v>
      </c>
      <c r="BS34" s="1486">
        <f t="shared" ca="1" si="96"/>
        <v>0</v>
      </c>
      <c r="BT34" s="1486">
        <f t="shared" ca="1" si="96"/>
        <v>0</v>
      </c>
      <c r="BU34" s="1486">
        <f t="shared" ca="1" si="96"/>
        <v>0</v>
      </c>
      <c r="BV34" s="1486">
        <f t="shared" ca="1" si="96"/>
        <v>0</v>
      </c>
      <c r="BW34" s="1486">
        <f t="shared" ca="1" si="96"/>
        <v>0</v>
      </c>
      <c r="BX34" s="1486">
        <f t="shared" ca="1" si="96"/>
        <v>0</v>
      </c>
      <c r="BY34" s="1486">
        <f t="shared" ca="1" si="96"/>
        <v>0</v>
      </c>
      <c r="BZ34" s="1486">
        <f t="shared" ca="1" si="96"/>
        <v>0</v>
      </c>
      <c r="CA34" s="1486">
        <f t="shared" ca="1" si="96"/>
        <v>0</v>
      </c>
      <c r="CB34" s="1486">
        <f t="shared" ca="1" si="96"/>
        <v>0</v>
      </c>
      <c r="CC34" s="1486">
        <f t="shared" ca="1" si="96"/>
        <v>0</v>
      </c>
      <c r="CD34" s="1486">
        <f t="shared" ca="1" si="96"/>
        <v>0</v>
      </c>
      <c r="CE34" s="1486">
        <f t="shared" ca="1" si="96"/>
        <v>0</v>
      </c>
      <c r="CF34" s="1486">
        <f t="shared" ca="1" si="96"/>
        <v>0</v>
      </c>
      <c r="CG34" s="1486">
        <f t="shared" ca="1" si="96"/>
        <v>0</v>
      </c>
      <c r="CH34" s="1486">
        <f t="shared" ca="1" si="96"/>
        <v>0</v>
      </c>
      <c r="CI34" s="1486">
        <f t="shared" ca="1" si="96"/>
        <v>0</v>
      </c>
      <c r="CJ34" s="1486">
        <f t="shared" ca="1" si="96"/>
        <v>0</v>
      </c>
      <c r="CK34" s="1486">
        <f t="shared" ca="1" si="96"/>
        <v>0</v>
      </c>
      <c r="CL34" s="1486">
        <f t="shared" ca="1" si="96"/>
        <v>0</v>
      </c>
      <c r="CM34" s="1486">
        <f t="shared" ca="1" si="96"/>
        <v>0</v>
      </c>
      <c r="CN34" s="1486">
        <f t="shared" ca="1" si="96"/>
        <v>0</v>
      </c>
      <c r="CO34" s="1486">
        <f t="shared" ca="1" si="96"/>
        <v>0</v>
      </c>
      <c r="CP34" s="1486">
        <f t="shared" ca="1" si="96"/>
        <v>0</v>
      </c>
      <c r="CQ34" s="1486">
        <f t="shared" ca="1" si="96"/>
        <v>0</v>
      </c>
      <c r="CR34" s="1486">
        <f t="shared" ca="1" si="96"/>
        <v>0</v>
      </c>
      <c r="CS34" s="1486">
        <f t="shared" ca="1" si="96"/>
        <v>0</v>
      </c>
      <c r="CT34" s="1486">
        <f t="shared" ca="1" si="96"/>
        <v>0</v>
      </c>
      <c r="CU34" s="1486">
        <f t="shared" ca="1" si="96"/>
        <v>0</v>
      </c>
      <c r="CV34" s="1486">
        <f t="shared" ca="1" si="96"/>
        <v>0</v>
      </c>
      <c r="CW34" s="1486">
        <f t="shared" ca="1" si="96"/>
        <v>0</v>
      </c>
      <c r="CX34" s="1486">
        <f t="shared" ca="1" si="96"/>
        <v>0</v>
      </c>
      <c r="CY34" s="1486">
        <f t="shared" ca="1" si="96"/>
        <v>0</v>
      </c>
      <c r="CZ34" s="1486">
        <f t="shared" ca="1" si="96"/>
        <v>0</v>
      </c>
      <c r="DA34" s="1486">
        <f t="shared" ca="1" si="96"/>
        <v>0</v>
      </c>
      <c r="DB34" s="1486">
        <f t="shared" ca="1" si="96"/>
        <v>0</v>
      </c>
      <c r="DC34" s="1486">
        <f t="shared" ca="1" si="96"/>
        <v>0</v>
      </c>
      <c r="DD34" s="1486">
        <f t="shared" ca="1" si="96"/>
        <v>0</v>
      </c>
      <c r="DE34" s="1486">
        <f t="shared" ca="1" si="96"/>
        <v>0</v>
      </c>
      <c r="DF34" s="1486">
        <f t="shared" ca="1" si="96"/>
        <v>0</v>
      </c>
      <c r="DH34" s="838">
        <f t="shared" ca="1" si="35"/>
        <v>0</v>
      </c>
    </row>
    <row r="35" spans="1:112" s="743" customFormat="1" ht="15.75" collapsed="1">
      <c r="A35" s="22"/>
      <c r="B35" s="753"/>
      <c r="C35" s="744" t="s">
        <v>680</v>
      </c>
      <c r="D35" s="517" t="str">
        <f>INDEX(Workstreams[Workstream], MATCH($C35, Workstreams[Code], 0))</f>
        <v>Food consumption [UNUSED]</v>
      </c>
      <c r="E35" s="512"/>
      <c r="G35" s="1021">
        <f ca="1">G34</f>
        <v>0</v>
      </c>
      <c r="H35" s="1021">
        <f t="shared" ref="H35:P35" ca="1" si="97">H34</f>
        <v>0</v>
      </c>
      <c r="I35" s="1021">
        <f t="shared" ca="1" si="97"/>
        <v>0</v>
      </c>
      <c r="J35" s="1021">
        <f t="shared" ca="1" si="97"/>
        <v>0</v>
      </c>
      <c r="K35" s="1021">
        <f t="shared" ca="1" si="97"/>
        <v>0</v>
      </c>
      <c r="L35" s="1021">
        <f t="shared" ca="1" si="97"/>
        <v>0</v>
      </c>
      <c r="M35" s="1021">
        <f t="shared" ca="1" si="97"/>
        <v>0</v>
      </c>
      <c r="N35" s="1021">
        <f t="shared" ca="1" si="97"/>
        <v>0</v>
      </c>
      <c r="O35" s="1021">
        <f t="shared" ca="1" si="97"/>
        <v>0</v>
      </c>
      <c r="P35" s="1021">
        <f t="shared" ca="1" si="97"/>
        <v>0</v>
      </c>
      <c r="Q35" s="1021">
        <f ca="1">SUM(G35:P35)</f>
        <v>0</v>
      </c>
      <c r="S35" s="970">
        <f ca="1">S34</f>
        <v>0</v>
      </c>
      <c r="T35" s="970">
        <f t="shared" ref="T35:AJ35" ca="1" si="98">T34</f>
        <v>0</v>
      </c>
      <c r="U35" s="970">
        <f t="shared" ca="1" si="98"/>
        <v>0</v>
      </c>
      <c r="V35" s="970">
        <f t="shared" ca="1" si="98"/>
        <v>0</v>
      </c>
      <c r="W35" s="970">
        <f t="shared" ca="1" si="98"/>
        <v>0</v>
      </c>
      <c r="X35" s="970">
        <f ca="1">X34</f>
        <v>0</v>
      </c>
      <c r="Y35" s="970">
        <f ca="1">Y34</f>
        <v>0</v>
      </c>
      <c r="Z35" s="970">
        <f ca="1">Z34</f>
        <v>0</v>
      </c>
      <c r="AA35" s="970">
        <f t="shared" ca="1" si="98"/>
        <v>0</v>
      </c>
      <c r="AB35" s="970">
        <f t="shared" ca="1" si="98"/>
        <v>0</v>
      </c>
      <c r="AC35" s="970">
        <f t="shared" ca="1" si="98"/>
        <v>0</v>
      </c>
      <c r="AD35" s="970">
        <f ca="1">AD34</f>
        <v>0</v>
      </c>
      <c r="AE35" s="970">
        <f ca="1">AE34</f>
        <v>0</v>
      </c>
      <c r="AF35" s="970">
        <f t="shared" ca="1" si="98"/>
        <v>0</v>
      </c>
      <c r="AG35" s="970">
        <f ca="1">AG34</f>
        <v>0</v>
      </c>
      <c r="AH35" s="970">
        <f ca="1">AH34</f>
        <v>0</v>
      </c>
      <c r="AI35" s="970">
        <f ca="1">AI34</f>
        <v>0</v>
      </c>
      <c r="AJ35" s="970">
        <f t="shared" ca="1" si="98"/>
        <v>0</v>
      </c>
      <c r="AK35" s="970">
        <f ca="1">SUM(S35:AJ35)</f>
        <v>0</v>
      </c>
      <c r="AM35" s="976">
        <f t="shared" ref="AM35:BE35" ca="1" si="99">AM34</f>
        <v>0</v>
      </c>
      <c r="AN35" s="976">
        <f t="shared" ca="1" si="99"/>
        <v>0</v>
      </c>
      <c r="AO35" s="976">
        <f t="shared" ca="1" si="99"/>
        <v>0</v>
      </c>
      <c r="AP35" s="976">
        <f t="shared" ca="1" si="99"/>
        <v>0</v>
      </c>
      <c r="AQ35" s="976">
        <f t="shared" ca="1" si="99"/>
        <v>0</v>
      </c>
      <c r="AR35" s="976">
        <f t="shared" ca="1" si="99"/>
        <v>0</v>
      </c>
      <c r="AS35" s="976">
        <f t="shared" ca="1" si="99"/>
        <v>0</v>
      </c>
      <c r="AT35" s="976">
        <f t="shared" ca="1" si="99"/>
        <v>0</v>
      </c>
      <c r="AU35" s="976">
        <f t="shared" ca="1" si="99"/>
        <v>0</v>
      </c>
      <c r="AV35" s="976">
        <f t="shared" ca="1" si="99"/>
        <v>0</v>
      </c>
      <c r="AW35" s="976">
        <f t="shared" ca="1" si="99"/>
        <v>0</v>
      </c>
      <c r="AX35" s="976">
        <f t="shared" ca="1" si="99"/>
        <v>0</v>
      </c>
      <c r="AY35" s="976">
        <f t="shared" ca="1" si="99"/>
        <v>0</v>
      </c>
      <c r="AZ35" s="976">
        <f t="shared" ca="1" si="99"/>
        <v>0</v>
      </c>
      <c r="BA35" s="976">
        <f t="shared" ca="1" si="99"/>
        <v>0</v>
      </c>
      <c r="BB35" s="976">
        <f t="shared" ca="1" si="99"/>
        <v>0</v>
      </c>
      <c r="BC35" s="976">
        <f t="shared" ca="1" si="99"/>
        <v>0</v>
      </c>
      <c r="BD35" s="976">
        <f t="shared" ca="1" si="99"/>
        <v>0</v>
      </c>
      <c r="BE35" s="976">
        <f t="shared" ca="1" si="99"/>
        <v>0</v>
      </c>
      <c r="BF35" s="976">
        <f ca="1">SUM(AM35:BE35)</f>
        <v>0</v>
      </c>
      <c r="BH35" s="990">
        <f ca="1">BH34</f>
        <v>0</v>
      </c>
      <c r="BI35" s="990">
        <f ca="1">BI34</f>
        <v>0</v>
      </c>
      <c r="BJ35" s="990">
        <f ca="1">SUM(BH35:BI35)</f>
        <v>0</v>
      </c>
      <c r="BL35" s="515">
        <f t="shared" ca="1" si="9"/>
        <v>0</v>
      </c>
      <c r="BM35" s="515"/>
      <c r="BN35" s="840"/>
      <c r="BO35" s="1482">
        <f t="shared" ref="BO35:DF35" ca="1" si="100">BO34</f>
        <v>0</v>
      </c>
      <c r="BP35" s="1482">
        <f t="shared" ca="1" si="100"/>
        <v>0</v>
      </c>
      <c r="BQ35" s="1482">
        <f t="shared" ca="1" si="100"/>
        <v>0</v>
      </c>
      <c r="BR35" s="1482">
        <f t="shared" ca="1" si="100"/>
        <v>0</v>
      </c>
      <c r="BS35" s="1482">
        <f t="shared" ca="1" si="100"/>
        <v>0</v>
      </c>
      <c r="BT35" s="1482">
        <f t="shared" ca="1" si="100"/>
        <v>0</v>
      </c>
      <c r="BU35" s="1482">
        <f t="shared" ca="1" si="100"/>
        <v>0</v>
      </c>
      <c r="BV35" s="1482">
        <f t="shared" ca="1" si="100"/>
        <v>0</v>
      </c>
      <c r="BW35" s="1482">
        <f t="shared" ca="1" si="100"/>
        <v>0</v>
      </c>
      <c r="BX35" s="1482">
        <f t="shared" ca="1" si="100"/>
        <v>0</v>
      </c>
      <c r="BY35" s="1482">
        <f t="shared" ca="1" si="100"/>
        <v>0</v>
      </c>
      <c r="BZ35" s="1482">
        <f t="shared" ca="1" si="100"/>
        <v>0</v>
      </c>
      <c r="CA35" s="1482">
        <f t="shared" ca="1" si="100"/>
        <v>0</v>
      </c>
      <c r="CB35" s="1482">
        <f t="shared" ca="1" si="100"/>
        <v>0</v>
      </c>
      <c r="CC35" s="1482">
        <f t="shared" ca="1" si="100"/>
        <v>0</v>
      </c>
      <c r="CD35" s="1482">
        <f t="shared" ca="1" si="100"/>
        <v>0</v>
      </c>
      <c r="CE35" s="1482">
        <f t="shared" ca="1" si="100"/>
        <v>0</v>
      </c>
      <c r="CF35" s="1482">
        <f t="shared" ca="1" si="100"/>
        <v>0</v>
      </c>
      <c r="CG35" s="1482">
        <f t="shared" ca="1" si="100"/>
        <v>0</v>
      </c>
      <c r="CH35" s="1482">
        <f t="shared" ca="1" si="100"/>
        <v>0</v>
      </c>
      <c r="CI35" s="1482">
        <f t="shared" ca="1" si="100"/>
        <v>0</v>
      </c>
      <c r="CJ35" s="1482">
        <f t="shared" ca="1" si="100"/>
        <v>0</v>
      </c>
      <c r="CK35" s="1482">
        <f t="shared" ca="1" si="100"/>
        <v>0</v>
      </c>
      <c r="CL35" s="1482">
        <f t="shared" ca="1" si="100"/>
        <v>0</v>
      </c>
      <c r="CM35" s="1482">
        <f t="shared" ca="1" si="100"/>
        <v>0</v>
      </c>
      <c r="CN35" s="1482">
        <f t="shared" ca="1" si="100"/>
        <v>0</v>
      </c>
      <c r="CO35" s="1482">
        <f t="shared" ca="1" si="100"/>
        <v>0</v>
      </c>
      <c r="CP35" s="1482">
        <f t="shared" ca="1" si="100"/>
        <v>0</v>
      </c>
      <c r="CQ35" s="1482">
        <f t="shared" ca="1" si="100"/>
        <v>0</v>
      </c>
      <c r="CR35" s="1482">
        <f t="shared" ca="1" si="100"/>
        <v>0</v>
      </c>
      <c r="CS35" s="1482">
        <f t="shared" ca="1" si="100"/>
        <v>0</v>
      </c>
      <c r="CT35" s="1482">
        <f t="shared" ca="1" si="100"/>
        <v>0</v>
      </c>
      <c r="CU35" s="1482">
        <f t="shared" ca="1" si="100"/>
        <v>0</v>
      </c>
      <c r="CV35" s="1482">
        <f t="shared" ca="1" si="100"/>
        <v>0</v>
      </c>
      <c r="CW35" s="1482">
        <f t="shared" ca="1" si="100"/>
        <v>0</v>
      </c>
      <c r="CX35" s="1482">
        <f t="shared" ca="1" si="100"/>
        <v>0</v>
      </c>
      <c r="CY35" s="1482">
        <f t="shared" ca="1" si="100"/>
        <v>0</v>
      </c>
      <c r="CZ35" s="1482">
        <f t="shared" ca="1" si="100"/>
        <v>0</v>
      </c>
      <c r="DA35" s="1482">
        <f t="shared" ca="1" si="100"/>
        <v>0</v>
      </c>
      <c r="DB35" s="1482">
        <f t="shared" ca="1" si="100"/>
        <v>0</v>
      </c>
      <c r="DC35" s="1482">
        <f t="shared" ca="1" si="100"/>
        <v>0</v>
      </c>
      <c r="DD35" s="1482">
        <f t="shared" ca="1" si="100"/>
        <v>0</v>
      </c>
      <c r="DE35" s="1482">
        <f t="shared" ca="1" si="100"/>
        <v>0</v>
      </c>
      <c r="DF35" s="1482">
        <f t="shared" ca="1" si="100"/>
        <v>0</v>
      </c>
      <c r="DH35" s="838">
        <f t="shared" ca="1" si="35"/>
        <v>0</v>
      </c>
    </row>
    <row r="36" spans="1:112" s="743" customFormat="1" ht="12.75" hidden="1" customHeight="1" outlineLevel="1">
      <c r="A36" s="22"/>
      <c r="B36" s="22"/>
      <c r="C36" s="751"/>
      <c r="D36" s="512"/>
      <c r="E36" s="512"/>
      <c r="G36" s="1021"/>
      <c r="H36" s="1021"/>
      <c r="I36" s="1021"/>
      <c r="J36" s="1021"/>
      <c r="K36" s="1021"/>
      <c r="L36" s="1021"/>
      <c r="M36" s="1021"/>
      <c r="N36" s="1021"/>
      <c r="O36" s="1021"/>
      <c r="P36" s="1021"/>
      <c r="Q36" s="1021"/>
      <c r="S36" s="970"/>
      <c r="T36" s="970"/>
      <c r="U36" s="970"/>
      <c r="V36" s="970"/>
      <c r="W36" s="970"/>
      <c r="X36" s="970"/>
      <c r="Y36" s="970"/>
      <c r="Z36" s="970"/>
      <c r="AA36" s="970"/>
      <c r="AB36" s="970"/>
      <c r="AC36" s="970"/>
      <c r="AD36" s="970"/>
      <c r="AE36" s="970"/>
      <c r="AF36" s="970"/>
      <c r="AG36" s="970"/>
      <c r="AH36" s="970"/>
      <c r="AI36" s="970"/>
      <c r="AJ36" s="970"/>
      <c r="AK36" s="970"/>
      <c r="AM36" s="976"/>
      <c r="AN36" s="976"/>
      <c r="AO36" s="976"/>
      <c r="AP36" s="976"/>
      <c r="AQ36" s="976"/>
      <c r="AR36" s="976"/>
      <c r="AS36" s="976"/>
      <c r="AT36" s="976"/>
      <c r="AU36" s="976"/>
      <c r="AV36" s="976"/>
      <c r="AW36" s="976"/>
      <c r="AX36" s="976"/>
      <c r="AY36" s="976"/>
      <c r="AZ36" s="976"/>
      <c r="BA36" s="976"/>
      <c r="BB36" s="976"/>
      <c r="BC36" s="976"/>
      <c r="BD36" s="976"/>
      <c r="BE36" s="976"/>
      <c r="BF36" s="976"/>
      <c r="BH36" s="990"/>
      <c r="BI36" s="990"/>
      <c r="BJ36" s="990"/>
      <c r="BL36" s="515">
        <f t="shared" si="9"/>
        <v>0</v>
      </c>
      <c r="BM36" s="515"/>
      <c r="BN36" s="22"/>
      <c r="BO36" s="1481"/>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H36" s="838">
        <f t="shared" si="35"/>
        <v>0</v>
      </c>
    </row>
    <row r="37" spans="1:112" s="743" customFormat="1" ht="12.75" hidden="1" customHeight="1" outlineLevel="1">
      <c r="A37" s="1484"/>
      <c r="B37" s="1484"/>
      <c r="C37" s="746" t="s">
        <v>962</v>
      </c>
      <c r="D37" s="1010" t="str">
        <f>INDEX(Modules[Module], MATCH($C37, Modules[Code], 0))</f>
        <v>Geosequestration</v>
      </c>
      <c r="E37" s="1010"/>
      <c r="G37" s="1022">
        <f t="shared" ref="G37:P37" ca="1" si="101">IFERROR(INDEX(INDIRECT($C37&amp;".Outputs["&amp;this.Year&amp;"]"), MATCH(G$5, INDIRECT($C37&amp;".Outputs[Vector]"), 0)), 0)</f>
        <v>0</v>
      </c>
      <c r="H37" s="1022">
        <f t="shared" ca="1" si="101"/>
        <v>0</v>
      </c>
      <c r="I37" s="1022">
        <f t="shared" ca="1" si="101"/>
        <v>0</v>
      </c>
      <c r="J37" s="1022">
        <f t="shared" ca="1" si="101"/>
        <v>0</v>
      </c>
      <c r="K37" s="1022">
        <f t="shared" ca="1" si="101"/>
        <v>0</v>
      </c>
      <c r="L37" s="1022">
        <f t="shared" ca="1" si="101"/>
        <v>0</v>
      </c>
      <c r="M37" s="1022">
        <f t="shared" ca="1" si="101"/>
        <v>0</v>
      </c>
      <c r="N37" s="1022">
        <f t="shared" ca="1" si="101"/>
        <v>0</v>
      </c>
      <c r="O37" s="1022">
        <f t="shared" ca="1" si="101"/>
        <v>0</v>
      </c>
      <c r="P37" s="1022">
        <f t="shared" ca="1" si="101"/>
        <v>0</v>
      </c>
      <c r="Q37" s="1020">
        <f ca="1">SUM(G37:P37)</f>
        <v>0</v>
      </c>
      <c r="S37" s="1031">
        <f t="shared" ref="S37:BE37" ca="1" si="102">IFERROR(INDEX(INDIRECT($C37&amp;".Outputs["&amp;this.Year&amp;"]"), MATCH(S$5, INDIRECT($C37&amp;".Outputs[Vector]"), 0)), 0)</f>
        <v>0</v>
      </c>
      <c r="T37" s="1031">
        <f t="shared" ca="1" si="102"/>
        <v>0</v>
      </c>
      <c r="U37" s="1031">
        <f t="shared" ca="1" si="102"/>
        <v>0</v>
      </c>
      <c r="V37" s="1031">
        <f t="shared" ca="1" si="102"/>
        <v>0</v>
      </c>
      <c r="W37" s="1031">
        <f t="shared" ca="1" si="102"/>
        <v>0</v>
      </c>
      <c r="X37" s="1031">
        <f ca="1">IFERROR(INDEX(INDIRECT($C37&amp;".Outputs["&amp;this.Year&amp;"]"), MATCH(X$5, INDIRECT($C37&amp;".Outputs[Vector]"), 0)), 0)</f>
        <v>0</v>
      </c>
      <c r="Y37" s="1031">
        <f ca="1">IFERROR(INDEX(INDIRECT($C37&amp;".Outputs["&amp;this.Year&amp;"]"), MATCH(Y$5, INDIRECT($C37&amp;".Outputs[Vector]"), 0)), 0)</f>
        <v>0</v>
      </c>
      <c r="Z37" s="1031">
        <f ca="1">IFERROR(INDEX(INDIRECT($C37&amp;".Outputs["&amp;this.Year&amp;"]"), MATCH(Z$5, INDIRECT($C37&amp;".Outputs[Vector]"), 0)), 0)</f>
        <v>0</v>
      </c>
      <c r="AA37" s="1031">
        <f t="shared" ca="1" si="102"/>
        <v>0</v>
      </c>
      <c r="AB37" s="1031">
        <f t="shared" ca="1" si="102"/>
        <v>0</v>
      </c>
      <c r="AC37" s="1031">
        <f t="shared" ca="1" si="102"/>
        <v>0</v>
      </c>
      <c r="AD37" s="1031">
        <f t="shared" ca="1" si="102"/>
        <v>0</v>
      </c>
      <c r="AE37" s="1031">
        <f t="shared" ca="1" si="102"/>
        <v>0</v>
      </c>
      <c r="AF37" s="1031">
        <f t="shared" ca="1" si="102"/>
        <v>0</v>
      </c>
      <c r="AG37" s="1031">
        <f t="shared" ca="1" si="102"/>
        <v>0</v>
      </c>
      <c r="AH37" s="1031">
        <f t="shared" ca="1" si="102"/>
        <v>0</v>
      </c>
      <c r="AI37" s="1031">
        <f t="shared" ca="1" si="102"/>
        <v>0</v>
      </c>
      <c r="AJ37" s="1031">
        <f t="shared" ca="1" si="102"/>
        <v>0</v>
      </c>
      <c r="AK37" s="1030">
        <f ca="1">SUM(S37:AJ37)</f>
        <v>0</v>
      </c>
      <c r="AM37" s="1042">
        <f t="shared" ref="AM37:AU37" ca="1" si="103">IFERROR(INDEX(INDIRECT($C37&amp;".Outputs["&amp;this.Year&amp;"]"), MATCH(AM$5, INDIRECT($C37&amp;".Outputs[Vector]"), 0)), 0)</f>
        <v>0</v>
      </c>
      <c r="AN37" s="1042">
        <f t="shared" ca="1" si="103"/>
        <v>0</v>
      </c>
      <c r="AO37" s="1042">
        <f t="shared" ca="1" si="103"/>
        <v>0</v>
      </c>
      <c r="AP37" s="1042">
        <f t="shared" ca="1" si="103"/>
        <v>0</v>
      </c>
      <c r="AQ37" s="1042">
        <f t="shared" ca="1" si="103"/>
        <v>0</v>
      </c>
      <c r="AR37" s="1042">
        <f t="shared" ca="1" si="103"/>
        <v>0</v>
      </c>
      <c r="AS37" s="1042">
        <f t="shared" ca="1" si="103"/>
        <v>0</v>
      </c>
      <c r="AT37" s="1042">
        <f t="shared" ca="1" si="103"/>
        <v>0</v>
      </c>
      <c r="AU37" s="1042">
        <f t="shared" ca="1" si="103"/>
        <v>0</v>
      </c>
      <c r="AV37" s="1042">
        <f t="shared" ca="1" si="102"/>
        <v>0</v>
      </c>
      <c r="AW37" s="1042">
        <f t="shared" ca="1" si="102"/>
        <v>0</v>
      </c>
      <c r="AX37" s="1042">
        <f t="shared" ca="1" si="102"/>
        <v>0</v>
      </c>
      <c r="AY37" s="1042">
        <f t="shared" ca="1" si="102"/>
        <v>0</v>
      </c>
      <c r="AZ37" s="1042">
        <f t="shared" ca="1" si="102"/>
        <v>0</v>
      </c>
      <c r="BA37" s="1042">
        <f t="shared" ca="1" si="102"/>
        <v>0</v>
      </c>
      <c r="BB37" s="1042">
        <f t="shared" ca="1" si="102"/>
        <v>0</v>
      </c>
      <c r="BC37" s="1042">
        <f t="shared" ca="1" si="102"/>
        <v>0</v>
      </c>
      <c r="BD37" s="1042">
        <f t="shared" ca="1" si="102"/>
        <v>0</v>
      </c>
      <c r="BE37" s="1042">
        <f t="shared" ca="1" si="102"/>
        <v>0</v>
      </c>
      <c r="BF37" s="1012">
        <f ca="1">SUM(AM37:BE37)</f>
        <v>0</v>
      </c>
      <c r="BH37" s="1036">
        <f ca="1">IFERROR(INDEX(INDIRECT($C37&amp;".Outputs["&amp;this.Year&amp;"]"), MATCH(BH$5, INDIRECT($C37&amp;".Outputs[Vector]"), 0)), 0)</f>
        <v>0</v>
      </c>
      <c r="BI37" s="1036">
        <f ca="1">IFERROR(INDEX(INDIRECT($C37&amp;".Outputs["&amp;this.Year&amp;"]"), MATCH(BI$5, INDIRECT($C37&amp;".Outputs[Vector]"), 0)), 0)</f>
        <v>0</v>
      </c>
      <c r="BJ37" s="1035">
        <f ca="1">SUM(BH37:BI37)</f>
        <v>0</v>
      </c>
      <c r="BL37" s="814">
        <f t="shared" ca="1" si="9"/>
        <v>0</v>
      </c>
      <c r="BM37" s="814"/>
      <c r="BN37" s="840"/>
      <c r="BO37" s="1485">
        <f t="shared" ref="BO37:DF37" ca="1" si="104">IFERROR(SUMIFS(INDIRECT($C37&amp;".Emissions["&amp;this.Year&amp;"]"), INDIRECT($C37&amp;".Emissions[GHG]"), BO$6, INDIRECT($C37&amp;".Emissions[IPCC Sector]"), BO$5),0)</f>
        <v>0</v>
      </c>
      <c r="BP37" s="1486">
        <f t="shared" ca="1" si="104"/>
        <v>0</v>
      </c>
      <c r="BQ37" s="1486">
        <f t="shared" ca="1" si="104"/>
        <v>0</v>
      </c>
      <c r="BR37" s="1486">
        <f t="shared" ca="1" si="104"/>
        <v>0</v>
      </c>
      <c r="BS37" s="1486">
        <f t="shared" ca="1" si="104"/>
        <v>0</v>
      </c>
      <c r="BT37" s="1486">
        <f t="shared" ca="1" si="104"/>
        <v>0</v>
      </c>
      <c r="BU37" s="1486">
        <f t="shared" ca="1" si="104"/>
        <v>0</v>
      </c>
      <c r="BV37" s="1486">
        <f t="shared" ca="1" si="104"/>
        <v>0</v>
      </c>
      <c r="BW37" s="1486">
        <f t="shared" ca="1" si="104"/>
        <v>0</v>
      </c>
      <c r="BX37" s="1486">
        <f t="shared" ca="1" si="104"/>
        <v>0</v>
      </c>
      <c r="BY37" s="1486">
        <f t="shared" ca="1" si="104"/>
        <v>0</v>
      </c>
      <c r="BZ37" s="1486">
        <f t="shared" ca="1" si="104"/>
        <v>0</v>
      </c>
      <c r="CA37" s="1486">
        <f t="shared" ca="1" si="104"/>
        <v>0</v>
      </c>
      <c r="CB37" s="1486">
        <f t="shared" ca="1" si="104"/>
        <v>0</v>
      </c>
      <c r="CC37" s="1486">
        <f t="shared" ca="1" si="104"/>
        <v>0</v>
      </c>
      <c r="CD37" s="1486">
        <f t="shared" ca="1" si="104"/>
        <v>0</v>
      </c>
      <c r="CE37" s="1486">
        <f t="shared" ca="1" si="104"/>
        <v>0</v>
      </c>
      <c r="CF37" s="1486">
        <f t="shared" ca="1" si="104"/>
        <v>0</v>
      </c>
      <c r="CG37" s="1486">
        <f t="shared" ca="1" si="104"/>
        <v>0</v>
      </c>
      <c r="CH37" s="1486">
        <f t="shared" ca="1" si="104"/>
        <v>0</v>
      </c>
      <c r="CI37" s="1486">
        <f t="shared" ca="1" si="104"/>
        <v>0</v>
      </c>
      <c r="CJ37" s="1486">
        <f t="shared" ca="1" si="104"/>
        <v>0</v>
      </c>
      <c r="CK37" s="1486">
        <f t="shared" ca="1" si="104"/>
        <v>0</v>
      </c>
      <c r="CL37" s="1486">
        <f t="shared" ca="1" si="104"/>
        <v>0</v>
      </c>
      <c r="CM37" s="1486">
        <f t="shared" ca="1" si="104"/>
        <v>0</v>
      </c>
      <c r="CN37" s="1486">
        <f t="shared" ca="1" si="104"/>
        <v>0</v>
      </c>
      <c r="CO37" s="1486">
        <f t="shared" ca="1" si="104"/>
        <v>0</v>
      </c>
      <c r="CP37" s="1486">
        <f t="shared" ca="1" si="104"/>
        <v>0</v>
      </c>
      <c r="CQ37" s="1486">
        <f t="shared" ca="1" si="104"/>
        <v>0</v>
      </c>
      <c r="CR37" s="1486">
        <f t="shared" ca="1" si="104"/>
        <v>0</v>
      </c>
      <c r="CS37" s="1486">
        <f t="shared" ca="1" si="104"/>
        <v>0</v>
      </c>
      <c r="CT37" s="1486">
        <f t="shared" ca="1" si="104"/>
        <v>0</v>
      </c>
      <c r="CU37" s="1486">
        <f t="shared" ca="1" si="104"/>
        <v>0</v>
      </c>
      <c r="CV37" s="1486">
        <f t="shared" ca="1" si="104"/>
        <v>0</v>
      </c>
      <c r="CW37" s="1486">
        <f t="shared" ca="1" si="104"/>
        <v>0</v>
      </c>
      <c r="CX37" s="1486">
        <f t="shared" ca="1" si="104"/>
        <v>0</v>
      </c>
      <c r="CY37" s="1486">
        <f t="shared" ca="1" si="104"/>
        <v>0</v>
      </c>
      <c r="CZ37" s="1486">
        <f t="shared" ca="1" si="104"/>
        <v>0</v>
      </c>
      <c r="DA37" s="1486">
        <f t="shared" ca="1" si="104"/>
        <v>0</v>
      </c>
      <c r="DB37" s="1486">
        <f t="shared" ca="1" si="104"/>
        <v>0</v>
      </c>
      <c r="DC37" s="1486">
        <f t="shared" ca="1" si="104"/>
        <v>0</v>
      </c>
      <c r="DD37" s="1486">
        <f t="shared" ca="1" si="104"/>
        <v>0</v>
      </c>
      <c r="DE37" s="1486">
        <f t="shared" ca="1" si="104"/>
        <v>0</v>
      </c>
      <c r="DF37" s="1486">
        <f t="shared" ca="1" si="104"/>
        <v>0</v>
      </c>
      <c r="DH37" s="838">
        <f t="shared" ca="1" si="35"/>
        <v>0</v>
      </c>
    </row>
    <row r="38" spans="1:112" s="743" customFormat="1" ht="15.75" collapsed="1">
      <c r="A38" s="22"/>
      <c r="B38" s="753"/>
      <c r="C38" s="744" t="s">
        <v>675</v>
      </c>
      <c r="D38" s="517" t="str">
        <f>INDEX(Workstreams[Workstream], MATCH($C38, Workstreams[Code], 0))</f>
        <v>Geosequestration</v>
      </c>
      <c r="E38" s="512"/>
      <c r="G38" s="1021">
        <f ca="1">G37</f>
        <v>0</v>
      </c>
      <c r="H38" s="1021">
        <f t="shared" ref="H38:P38" ca="1" si="105">H37</f>
        <v>0</v>
      </c>
      <c r="I38" s="1021">
        <f t="shared" ca="1" si="105"/>
        <v>0</v>
      </c>
      <c r="J38" s="1021">
        <f t="shared" ca="1" si="105"/>
        <v>0</v>
      </c>
      <c r="K38" s="1021">
        <f t="shared" ca="1" si="105"/>
        <v>0</v>
      </c>
      <c r="L38" s="1021">
        <f t="shared" ca="1" si="105"/>
        <v>0</v>
      </c>
      <c r="M38" s="1021">
        <f t="shared" ca="1" si="105"/>
        <v>0</v>
      </c>
      <c r="N38" s="1021">
        <f t="shared" ca="1" si="105"/>
        <v>0</v>
      </c>
      <c r="O38" s="1021">
        <f t="shared" ca="1" si="105"/>
        <v>0</v>
      </c>
      <c r="P38" s="1021">
        <f t="shared" ca="1" si="105"/>
        <v>0</v>
      </c>
      <c r="Q38" s="1021">
        <f ca="1">SUM(G38:P38)</f>
        <v>0</v>
      </c>
      <c r="S38" s="970">
        <f t="shared" ref="S38:AJ38" ca="1" si="106">S37</f>
        <v>0</v>
      </c>
      <c r="T38" s="970">
        <f t="shared" ca="1" si="106"/>
        <v>0</v>
      </c>
      <c r="U38" s="970">
        <f t="shared" ca="1" si="106"/>
        <v>0</v>
      </c>
      <c r="V38" s="970">
        <f t="shared" ca="1" si="106"/>
        <v>0</v>
      </c>
      <c r="W38" s="970">
        <f t="shared" ca="1" si="106"/>
        <v>0</v>
      </c>
      <c r="X38" s="970">
        <f ca="1">X37</f>
        <v>0</v>
      </c>
      <c r="Y38" s="970">
        <f ca="1">Y37</f>
        <v>0</v>
      </c>
      <c r="Z38" s="970">
        <f ca="1">Z37</f>
        <v>0</v>
      </c>
      <c r="AA38" s="970">
        <f t="shared" ca="1" si="106"/>
        <v>0</v>
      </c>
      <c r="AB38" s="970">
        <f t="shared" ca="1" si="106"/>
        <v>0</v>
      </c>
      <c r="AC38" s="970">
        <f t="shared" ca="1" si="106"/>
        <v>0</v>
      </c>
      <c r="AD38" s="970">
        <f ca="1">AD37</f>
        <v>0</v>
      </c>
      <c r="AE38" s="970">
        <f ca="1">AE37</f>
        <v>0</v>
      </c>
      <c r="AF38" s="970">
        <f t="shared" ca="1" si="106"/>
        <v>0</v>
      </c>
      <c r="AG38" s="970">
        <f ca="1">AG37</f>
        <v>0</v>
      </c>
      <c r="AH38" s="970">
        <f ca="1">AH37</f>
        <v>0</v>
      </c>
      <c r="AI38" s="970">
        <f ca="1">AI37</f>
        <v>0</v>
      </c>
      <c r="AJ38" s="970">
        <f t="shared" ca="1" si="106"/>
        <v>0</v>
      </c>
      <c r="AK38" s="970">
        <f ca="1">SUM(S38:AJ38)</f>
        <v>0</v>
      </c>
      <c r="AM38" s="976">
        <f t="shared" ref="AM38:AS38" ca="1" si="107">AM37</f>
        <v>0</v>
      </c>
      <c r="AN38" s="976">
        <f t="shared" ca="1" si="107"/>
        <v>0</v>
      </c>
      <c r="AO38" s="976">
        <f t="shared" ca="1" si="107"/>
        <v>0</v>
      </c>
      <c r="AP38" s="976">
        <f t="shared" ca="1" si="107"/>
        <v>0</v>
      </c>
      <c r="AQ38" s="976">
        <f t="shared" ca="1" si="107"/>
        <v>0</v>
      </c>
      <c r="AR38" s="976">
        <f t="shared" ca="1" si="107"/>
        <v>0</v>
      </c>
      <c r="AS38" s="976">
        <f t="shared" ca="1" si="107"/>
        <v>0</v>
      </c>
      <c r="AT38" s="976">
        <f t="shared" ref="AT38:BE38" ca="1" si="108">AT37</f>
        <v>0</v>
      </c>
      <c r="AU38" s="976">
        <f t="shared" ca="1" si="108"/>
        <v>0</v>
      </c>
      <c r="AV38" s="976">
        <f t="shared" ca="1" si="108"/>
        <v>0</v>
      </c>
      <c r="AW38" s="976">
        <f t="shared" ca="1" si="108"/>
        <v>0</v>
      </c>
      <c r="AX38" s="976">
        <f t="shared" ca="1" si="108"/>
        <v>0</v>
      </c>
      <c r="AY38" s="976">
        <f t="shared" ca="1" si="108"/>
        <v>0</v>
      </c>
      <c r="AZ38" s="976">
        <f t="shared" ca="1" si="108"/>
        <v>0</v>
      </c>
      <c r="BA38" s="976">
        <f t="shared" ca="1" si="108"/>
        <v>0</v>
      </c>
      <c r="BB38" s="976">
        <f t="shared" ca="1" si="108"/>
        <v>0</v>
      </c>
      <c r="BC38" s="976">
        <f t="shared" ca="1" si="108"/>
        <v>0</v>
      </c>
      <c r="BD38" s="976">
        <f t="shared" ca="1" si="108"/>
        <v>0</v>
      </c>
      <c r="BE38" s="976">
        <f t="shared" ca="1" si="108"/>
        <v>0</v>
      </c>
      <c r="BF38" s="976">
        <f ca="1">SUM(AM38:BE38)</f>
        <v>0</v>
      </c>
      <c r="BH38" s="990">
        <f ca="1">BH37</f>
        <v>0</v>
      </c>
      <c r="BI38" s="990">
        <f ca="1">BI37</f>
        <v>0</v>
      </c>
      <c r="BJ38" s="990">
        <f ca="1">SUM(BH38:BI38)</f>
        <v>0</v>
      </c>
      <c r="BL38" s="515">
        <f t="shared" ca="1" si="9"/>
        <v>0</v>
      </c>
      <c r="BM38" s="515"/>
      <c r="BN38" s="840"/>
      <c r="BO38" s="1482">
        <f t="shared" ref="BO38:DF38" ca="1" si="109">BO37</f>
        <v>0</v>
      </c>
      <c r="BP38" s="1482">
        <f t="shared" ca="1" si="109"/>
        <v>0</v>
      </c>
      <c r="BQ38" s="1482">
        <f t="shared" ca="1" si="109"/>
        <v>0</v>
      </c>
      <c r="BR38" s="1482">
        <f t="shared" ca="1" si="109"/>
        <v>0</v>
      </c>
      <c r="BS38" s="1482">
        <f t="shared" ca="1" si="109"/>
        <v>0</v>
      </c>
      <c r="BT38" s="1482">
        <f t="shared" ca="1" si="109"/>
        <v>0</v>
      </c>
      <c r="BU38" s="1482">
        <f t="shared" ca="1" si="109"/>
        <v>0</v>
      </c>
      <c r="BV38" s="1482">
        <f t="shared" ca="1" si="109"/>
        <v>0</v>
      </c>
      <c r="BW38" s="1482">
        <f t="shared" ca="1" si="109"/>
        <v>0</v>
      </c>
      <c r="BX38" s="1482">
        <f t="shared" ca="1" si="109"/>
        <v>0</v>
      </c>
      <c r="BY38" s="1482">
        <f t="shared" ca="1" si="109"/>
        <v>0</v>
      </c>
      <c r="BZ38" s="1482">
        <f t="shared" ca="1" si="109"/>
        <v>0</v>
      </c>
      <c r="CA38" s="1482">
        <f t="shared" ca="1" si="109"/>
        <v>0</v>
      </c>
      <c r="CB38" s="1482">
        <f t="shared" ca="1" si="109"/>
        <v>0</v>
      </c>
      <c r="CC38" s="1482">
        <f t="shared" ca="1" si="109"/>
        <v>0</v>
      </c>
      <c r="CD38" s="1482">
        <f t="shared" ca="1" si="109"/>
        <v>0</v>
      </c>
      <c r="CE38" s="1482">
        <f t="shared" ca="1" si="109"/>
        <v>0</v>
      </c>
      <c r="CF38" s="1482">
        <f t="shared" ca="1" si="109"/>
        <v>0</v>
      </c>
      <c r="CG38" s="1482">
        <f t="shared" ca="1" si="109"/>
        <v>0</v>
      </c>
      <c r="CH38" s="1482">
        <f t="shared" ca="1" si="109"/>
        <v>0</v>
      </c>
      <c r="CI38" s="1482">
        <f t="shared" ca="1" si="109"/>
        <v>0</v>
      </c>
      <c r="CJ38" s="1482">
        <f t="shared" ca="1" si="109"/>
        <v>0</v>
      </c>
      <c r="CK38" s="1482">
        <f t="shared" ca="1" si="109"/>
        <v>0</v>
      </c>
      <c r="CL38" s="1482">
        <f t="shared" ca="1" si="109"/>
        <v>0</v>
      </c>
      <c r="CM38" s="1482">
        <f t="shared" ca="1" si="109"/>
        <v>0</v>
      </c>
      <c r="CN38" s="1482">
        <f t="shared" ca="1" si="109"/>
        <v>0</v>
      </c>
      <c r="CO38" s="1482">
        <f t="shared" ca="1" si="109"/>
        <v>0</v>
      </c>
      <c r="CP38" s="1482">
        <f t="shared" ca="1" si="109"/>
        <v>0</v>
      </c>
      <c r="CQ38" s="1482">
        <f t="shared" ca="1" si="109"/>
        <v>0</v>
      </c>
      <c r="CR38" s="1482">
        <f t="shared" ca="1" si="109"/>
        <v>0</v>
      </c>
      <c r="CS38" s="1482">
        <f t="shared" ca="1" si="109"/>
        <v>0</v>
      </c>
      <c r="CT38" s="1482">
        <f t="shared" ca="1" si="109"/>
        <v>0</v>
      </c>
      <c r="CU38" s="1482">
        <f t="shared" ca="1" si="109"/>
        <v>0</v>
      </c>
      <c r="CV38" s="1482">
        <f t="shared" ca="1" si="109"/>
        <v>0</v>
      </c>
      <c r="CW38" s="1482">
        <f t="shared" ca="1" si="109"/>
        <v>0</v>
      </c>
      <c r="CX38" s="1482">
        <f t="shared" ca="1" si="109"/>
        <v>0</v>
      </c>
      <c r="CY38" s="1482">
        <f t="shared" ca="1" si="109"/>
        <v>0</v>
      </c>
      <c r="CZ38" s="1482">
        <f t="shared" ca="1" si="109"/>
        <v>0</v>
      </c>
      <c r="DA38" s="1482">
        <f t="shared" ca="1" si="109"/>
        <v>0</v>
      </c>
      <c r="DB38" s="1482">
        <f t="shared" ca="1" si="109"/>
        <v>0</v>
      </c>
      <c r="DC38" s="1482">
        <f t="shared" ca="1" si="109"/>
        <v>0</v>
      </c>
      <c r="DD38" s="1482">
        <f t="shared" ca="1" si="109"/>
        <v>0</v>
      </c>
      <c r="DE38" s="1482">
        <f t="shared" ca="1" si="109"/>
        <v>0</v>
      </c>
      <c r="DF38" s="1482">
        <f t="shared" ca="1" si="109"/>
        <v>0</v>
      </c>
      <c r="DH38" s="838">
        <f t="shared" ca="1" si="35"/>
        <v>0</v>
      </c>
    </row>
    <row r="39" spans="1:112" s="743" customFormat="1" ht="6" customHeight="1">
      <c r="C39" s="516"/>
      <c r="D39" s="517"/>
      <c r="E39" s="509"/>
      <c r="G39" s="1021"/>
      <c r="H39" s="1021"/>
      <c r="I39" s="1021"/>
      <c r="J39" s="1021"/>
      <c r="K39" s="1021"/>
      <c r="L39" s="1021"/>
      <c r="M39" s="1021"/>
      <c r="N39" s="1021"/>
      <c r="O39" s="1021"/>
      <c r="P39" s="1021"/>
      <c r="Q39" s="1021"/>
      <c r="S39" s="970"/>
      <c r="T39" s="970"/>
      <c r="U39" s="970"/>
      <c r="V39" s="970"/>
      <c r="W39" s="970"/>
      <c r="X39" s="970"/>
      <c r="Y39" s="970"/>
      <c r="Z39" s="970"/>
      <c r="AA39" s="970"/>
      <c r="AB39" s="970"/>
      <c r="AC39" s="970"/>
      <c r="AD39" s="970"/>
      <c r="AE39" s="970"/>
      <c r="AF39" s="970"/>
      <c r="AG39" s="970"/>
      <c r="AH39" s="970"/>
      <c r="AI39" s="970"/>
      <c r="AJ39" s="970"/>
      <c r="AK39" s="970"/>
      <c r="AM39" s="976"/>
      <c r="AN39" s="976"/>
      <c r="AO39" s="976"/>
      <c r="AP39" s="976"/>
      <c r="AQ39" s="976"/>
      <c r="AR39" s="976"/>
      <c r="AS39" s="976"/>
      <c r="AT39" s="976"/>
      <c r="AU39" s="976"/>
      <c r="AV39" s="976"/>
      <c r="AW39" s="976"/>
      <c r="AX39" s="976"/>
      <c r="AY39" s="976"/>
      <c r="AZ39" s="976"/>
      <c r="BA39" s="976"/>
      <c r="BB39" s="976"/>
      <c r="BC39" s="976"/>
      <c r="BD39" s="976"/>
      <c r="BE39" s="976"/>
      <c r="BF39" s="976">
        <f>SUM(AM39:BE39)</f>
        <v>0</v>
      </c>
      <c r="BH39" s="990"/>
      <c r="BI39" s="990"/>
      <c r="BJ39" s="990"/>
      <c r="BL39" s="515">
        <f t="shared" si="9"/>
        <v>0</v>
      </c>
      <c r="BM39" s="515"/>
      <c r="BO39" s="1482"/>
      <c r="BP39" s="1482"/>
      <c r="BQ39" s="1482"/>
      <c r="BR39" s="1482"/>
      <c r="BS39" s="1482"/>
      <c r="BT39" s="1482"/>
      <c r="BU39" s="1482"/>
      <c r="BV39" s="1482"/>
      <c r="BW39" s="1482"/>
      <c r="BX39" s="1482"/>
      <c r="BY39" s="1482"/>
      <c r="BZ39" s="1482"/>
      <c r="CA39" s="1482"/>
      <c r="CB39" s="1482"/>
      <c r="CC39" s="1482"/>
      <c r="CD39" s="1482"/>
      <c r="CE39" s="1482"/>
      <c r="CF39" s="1482"/>
      <c r="CG39" s="1482"/>
      <c r="CH39" s="1482"/>
      <c r="CI39" s="1482"/>
      <c r="CJ39" s="1482"/>
      <c r="CK39" s="1482"/>
      <c r="CL39" s="1482"/>
      <c r="CM39" s="1482"/>
      <c r="CN39" s="1482"/>
      <c r="CO39" s="1482"/>
      <c r="CP39" s="1482"/>
      <c r="CQ39" s="1482"/>
      <c r="CR39" s="1482"/>
      <c r="CS39" s="1482"/>
      <c r="CT39" s="1482"/>
      <c r="CU39" s="1482"/>
      <c r="CV39" s="1482"/>
      <c r="CW39" s="1482"/>
      <c r="CX39" s="1482"/>
      <c r="CY39" s="1482"/>
      <c r="CZ39" s="1482"/>
      <c r="DA39" s="1482"/>
      <c r="DB39" s="1482"/>
      <c r="DC39" s="1482"/>
      <c r="DD39" s="1482"/>
      <c r="DE39" s="1482"/>
      <c r="DF39" s="1482"/>
      <c r="DH39" s="838"/>
    </row>
    <row r="40" spans="1:112" s="743" customFormat="1" ht="15.75">
      <c r="B40" s="753"/>
      <c r="C40" s="2051" t="s">
        <v>1815</v>
      </c>
      <c r="D40" s="643" t="s">
        <v>619</v>
      </c>
      <c r="E40" s="644"/>
      <c r="G40" s="1023">
        <f t="shared" ref="G40:Q40" ca="1" si="110">G$15+G$19+G$22+G$32+G$35+G$38</f>
        <v>590.98249950821378</v>
      </c>
      <c r="H40" s="1023">
        <f t="shared" ca="1" si="110"/>
        <v>185.83085939782245</v>
      </c>
      <c r="I40" s="1023">
        <f t="shared" ca="1" si="110"/>
        <v>421.06497130140758</v>
      </c>
      <c r="J40" s="1023">
        <f t="shared" ca="1" si="110"/>
        <v>424.39542541484604</v>
      </c>
      <c r="K40" s="1023">
        <f t="shared" ca="1" si="110"/>
        <v>16.963945338992865</v>
      </c>
      <c r="L40" s="1023">
        <f t="shared" ca="1" si="110"/>
        <v>11.078742052970153</v>
      </c>
      <c r="M40" s="1023">
        <f t="shared" ca="1" si="110"/>
        <v>24.589843788926849</v>
      </c>
      <c r="N40" s="1023">
        <f t="shared" ca="1" si="110"/>
        <v>194.2224288429754</v>
      </c>
      <c r="O40" s="1023">
        <f t="shared" ca="1" si="110"/>
        <v>50.306061067539972</v>
      </c>
      <c r="P40" s="1023">
        <f t="shared" ca="1" si="110"/>
        <v>0</v>
      </c>
      <c r="Q40" s="1023">
        <f t="shared" ca="1" si="110"/>
        <v>1919.4347767136951</v>
      </c>
      <c r="S40" s="1014">
        <f t="shared" ref="S40:AJ40" ca="1" si="111">S$15+S$19+S$22+S$32+S$35+S$38</f>
        <v>-370.8477766956529</v>
      </c>
      <c r="T40" s="1014">
        <f t="shared" ca="1" si="111"/>
        <v>0</v>
      </c>
      <c r="U40" s="1014">
        <f t="shared" ca="1" si="111"/>
        <v>-65.189246699211296</v>
      </c>
      <c r="V40" s="1014">
        <f t="shared" ca="1" si="111"/>
        <v>-813.18668907963263</v>
      </c>
      <c r="W40" s="1014">
        <f t="shared" ca="1" si="111"/>
        <v>-661.95992060047047</v>
      </c>
      <c r="X40" s="1014">
        <f ca="1">X$15+X$19+X$22+X$32+X$35+X$38</f>
        <v>0</v>
      </c>
      <c r="Y40" s="1014">
        <f ca="1">Y$15+Y$19+Y$22+Y$32+Y$35+Y$38</f>
        <v>0</v>
      </c>
      <c r="Z40" s="1014">
        <f ca="1">Z$15+Z$19+Z$22+Z$32+Z$35+Z$38</f>
        <v>0</v>
      </c>
      <c r="AA40" s="1014">
        <f t="shared" ca="1" si="111"/>
        <v>0</v>
      </c>
      <c r="AB40" s="1014">
        <f t="shared" ca="1" si="111"/>
        <v>-8.2511436387277772</v>
      </c>
      <c r="AC40" s="1014">
        <f t="shared" ca="1" si="111"/>
        <v>0</v>
      </c>
      <c r="AD40" s="1014">
        <f t="shared" ca="1" si="111"/>
        <v>0</v>
      </c>
      <c r="AE40" s="1014">
        <f t="shared" ca="1" si="111"/>
        <v>0</v>
      </c>
      <c r="AF40" s="1014">
        <f t="shared" ca="1" si="111"/>
        <v>0</v>
      </c>
      <c r="AG40" s="1014">
        <f t="shared" ca="1" si="111"/>
        <v>0</v>
      </c>
      <c r="AH40" s="1014">
        <f t="shared" ca="1" si="111"/>
        <v>0</v>
      </c>
      <c r="AI40" s="1014">
        <f t="shared" ca="1" si="111"/>
        <v>0</v>
      </c>
      <c r="AJ40" s="1014">
        <f t="shared" ca="1" si="111"/>
        <v>0</v>
      </c>
      <c r="AK40" s="1014">
        <f ca="1">SUM(S40:AJ40)</f>
        <v>-1919.4347767136951</v>
      </c>
      <c r="AM40" s="1015">
        <f t="shared" ref="AM40:BE40" ca="1" si="112">AM$15+AM$19+AM$22+AM$32+AM$35+AM$38</f>
        <v>0</v>
      </c>
      <c r="AN40" s="1015">
        <f t="shared" ca="1" si="112"/>
        <v>0</v>
      </c>
      <c r="AO40" s="1015">
        <f t="shared" ca="1" si="112"/>
        <v>0</v>
      </c>
      <c r="AP40" s="1015">
        <f t="shared" ca="1" si="112"/>
        <v>0</v>
      </c>
      <c r="AQ40" s="1015">
        <f t="shared" ca="1" si="112"/>
        <v>0</v>
      </c>
      <c r="AR40" s="1015">
        <f t="shared" ca="1" si="112"/>
        <v>0</v>
      </c>
      <c r="AS40" s="1015">
        <f t="shared" ca="1" si="112"/>
        <v>0</v>
      </c>
      <c r="AT40" s="1015">
        <f t="shared" ca="1" si="112"/>
        <v>0</v>
      </c>
      <c r="AU40" s="1015">
        <f t="shared" ca="1" si="112"/>
        <v>0</v>
      </c>
      <c r="AV40" s="1015">
        <f t="shared" ca="1" si="112"/>
        <v>0</v>
      </c>
      <c r="AW40" s="1015">
        <f t="shared" ca="1" si="112"/>
        <v>0</v>
      </c>
      <c r="AX40" s="1015">
        <f t="shared" ca="1" si="112"/>
        <v>0</v>
      </c>
      <c r="AY40" s="1015">
        <f t="shared" ca="1" si="112"/>
        <v>0</v>
      </c>
      <c r="AZ40" s="1015">
        <f t="shared" ca="1" si="112"/>
        <v>0</v>
      </c>
      <c r="BA40" s="1015">
        <f t="shared" ca="1" si="112"/>
        <v>0</v>
      </c>
      <c r="BB40" s="1015">
        <f t="shared" ca="1" si="112"/>
        <v>0</v>
      </c>
      <c r="BC40" s="1015">
        <f t="shared" ca="1" si="112"/>
        <v>0</v>
      </c>
      <c r="BD40" s="1015">
        <f t="shared" ca="1" si="112"/>
        <v>0</v>
      </c>
      <c r="BE40" s="1015">
        <f t="shared" ca="1" si="112"/>
        <v>0</v>
      </c>
      <c r="BF40" s="1015">
        <f ca="1">SUM(AM40:BE40)</f>
        <v>0</v>
      </c>
      <c r="BH40" s="1016">
        <f ca="1">BH$15+BH$19+BH$22+BH$32+BH$35+BH$38</f>
        <v>0</v>
      </c>
      <c r="BI40" s="1016">
        <f ca="1">BI$15+BI$19+BI$22+BI$32+BI$35+BI$38</f>
        <v>0</v>
      </c>
      <c r="BJ40" s="1016">
        <f ca="1">SUM(BH40:BI40)</f>
        <v>0</v>
      </c>
      <c r="BL40" s="518">
        <f t="shared" ca="1" si="9"/>
        <v>0</v>
      </c>
      <c r="BM40" s="518"/>
      <c r="BO40" s="1487">
        <f t="shared" ref="BO40:DF40" ca="1" si="113">BO$15+BO$19+BO$22+BO$32+BO$35+BO$38</f>
        <v>284.04346316612293</v>
      </c>
      <c r="BP40" s="1487">
        <f t="shared" ca="1" si="113"/>
        <v>0.48012467040144641</v>
      </c>
      <c r="BQ40" s="1487">
        <f t="shared" ca="1" si="113"/>
        <v>2.9982879699410576</v>
      </c>
      <c r="BR40" s="1487">
        <f t="shared" ca="1" si="113"/>
        <v>0</v>
      </c>
      <c r="BS40" s="1487">
        <f t="shared" ca="1" si="113"/>
        <v>0</v>
      </c>
      <c r="BT40" s="1487">
        <f t="shared" ca="1" si="113"/>
        <v>0</v>
      </c>
      <c r="BU40" s="1487">
        <f t="shared" ca="1" si="113"/>
        <v>0</v>
      </c>
      <c r="BV40" s="1487">
        <f t="shared" ca="1" si="113"/>
        <v>0</v>
      </c>
      <c r="BW40" s="1487">
        <f t="shared" ca="1" si="113"/>
        <v>14.415809031014421</v>
      </c>
      <c r="BX40" s="1487">
        <f t="shared" ca="1" si="113"/>
        <v>0.11168408042808131</v>
      </c>
      <c r="BY40" s="1487">
        <f t="shared" ca="1" si="113"/>
        <v>2.761536333825779</v>
      </c>
      <c r="BZ40" s="1487">
        <f t="shared" ca="1" si="113"/>
        <v>8.5208110687468022</v>
      </c>
      <c r="CA40" s="1487">
        <f t="shared" ca="1" si="113"/>
        <v>0</v>
      </c>
      <c r="CB40" s="1487">
        <f t="shared" ca="1" si="113"/>
        <v>0</v>
      </c>
      <c r="CC40" s="1487">
        <f t="shared" ca="1" si="113"/>
        <v>0</v>
      </c>
      <c r="CD40" s="1487">
        <f t="shared" ca="1" si="113"/>
        <v>0</v>
      </c>
      <c r="CE40" s="1487">
        <f t="shared" ca="1" si="113"/>
        <v>0</v>
      </c>
      <c r="CF40" s="1487">
        <f t="shared" ca="1" si="113"/>
        <v>0</v>
      </c>
      <c r="CG40" s="1487">
        <f t="shared" ca="1" si="113"/>
        <v>0</v>
      </c>
      <c r="CH40" s="1487">
        <f t="shared" ca="1" si="113"/>
        <v>0</v>
      </c>
      <c r="CI40" s="1487">
        <f t="shared" ca="1" si="113"/>
        <v>0</v>
      </c>
      <c r="CJ40" s="1487">
        <f t="shared" ca="1" si="113"/>
        <v>0</v>
      </c>
      <c r="CK40" s="1487">
        <f t="shared" ca="1" si="113"/>
        <v>0</v>
      </c>
      <c r="CL40" s="1487">
        <f t="shared" ca="1" si="113"/>
        <v>0</v>
      </c>
      <c r="CM40" s="1487">
        <f t="shared" ca="1" si="113"/>
        <v>0</v>
      </c>
      <c r="CN40" s="1487">
        <f t="shared" ca="1" si="113"/>
        <v>0</v>
      </c>
      <c r="CO40" s="1487">
        <f t="shared" ca="1" si="113"/>
        <v>0</v>
      </c>
      <c r="CP40" s="1487">
        <f t="shared" ca="1" si="113"/>
        <v>0</v>
      </c>
      <c r="CQ40" s="1487">
        <f t="shared" ca="1" si="113"/>
        <v>0</v>
      </c>
      <c r="CR40" s="1487">
        <f t="shared" ca="1" si="113"/>
        <v>0</v>
      </c>
      <c r="CS40" s="1487">
        <f t="shared" ca="1" si="113"/>
        <v>0</v>
      </c>
      <c r="CT40" s="1487">
        <f t="shared" ca="1" si="113"/>
        <v>0</v>
      </c>
      <c r="CU40" s="1487">
        <f t="shared" ca="1" si="113"/>
        <v>61.13212247762884</v>
      </c>
      <c r="CV40" s="1487">
        <f t="shared" ca="1" si="113"/>
        <v>7.6109251150240059E-2</v>
      </c>
      <c r="CW40" s="1487">
        <f t="shared" ca="1" si="113"/>
        <v>1.0998921486320294</v>
      </c>
      <c r="CX40" s="1487">
        <f t="shared" ca="1" si="113"/>
        <v>0</v>
      </c>
      <c r="CY40" s="1487">
        <f t="shared" ca="1" si="113"/>
        <v>0</v>
      </c>
      <c r="CZ40" s="1487">
        <f t="shared" ca="1" si="113"/>
        <v>0</v>
      </c>
      <c r="DA40" s="1487">
        <f t="shared" ca="1" si="113"/>
        <v>0</v>
      </c>
      <c r="DB40" s="1487">
        <f t="shared" ca="1" si="113"/>
        <v>0</v>
      </c>
      <c r="DC40" s="1487">
        <f t="shared" ca="1" si="113"/>
        <v>0</v>
      </c>
      <c r="DD40" s="1487">
        <f t="shared" ca="1" si="113"/>
        <v>0</v>
      </c>
      <c r="DE40" s="1487">
        <f t="shared" ca="1" si="113"/>
        <v>0</v>
      </c>
      <c r="DF40" s="1487">
        <f t="shared" ca="1" si="113"/>
        <v>0</v>
      </c>
      <c r="DH40" s="835">
        <f ca="1">SUM(BO40:DF40)</f>
        <v>375.6398401978916</v>
      </c>
    </row>
    <row r="41" spans="1:112" s="743" customFormat="1" ht="6" customHeight="1">
      <c r="C41" s="509"/>
      <c r="D41" s="509"/>
      <c r="E41" s="509"/>
      <c r="G41" s="958"/>
      <c r="H41" s="958"/>
      <c r="I41" s="958"/>
      <c r="J41" s="958"/>
      <c r="K41" s="960"/>
      <c r="L41" s="958"/>
      <c r="M41" s="958"/>
      <c r="N41" s="958"/>
      <c r="O41" s="958"/>
      <c r="P41" s="958"/>
      <c r="Q41" s="958"/>
      <c r="S41" s="970"/>
      <c r="T41" s="970"/>
      <c r="U41" s="970"/>
      <c r="V41" s="970"/>
      <c r="W41" s="970"/>
      <c r="X41" s="970"/>
      <c r="Y41" s="970"/>
      <c r="Z41" s="970"/>
      <c r="AA41" s="970"/>
      <c r="AB41" s="970"/>
      <c r="AC41" s="970"/>
      <c r="AD41" s="970"/>
      <c r="AE41" s="970"/>
      <c r="AF41" s="970"/>
      <c r="AG41" s="970"/>
      <c r="AH41" s="970"/>
      <c r="AI41" s="970"/>
      <c r="AJ41" s="970"/>
      <c r="AK41" s="970"/>
      <c r="AM41" s="976"/>
      <c r="AN41" s="976"/>
      <c r="AO41" s="976"/>
      <c r="AP41" s="976"/>
      <c r="AQ41" s="976"/>
      <c r="AR41" s="976"/>
      <c r="AS41" s="976"/>
      <c r="AT41" s="976"/>
      <c r="AU41" s="976"/>
      <c r="AV41" s="976"/>
      <c r="AW41" s="976"/>
      <c r="AX41" s="976"/>
      <c r="AY41" s="976"/>
      <c r="AZ41" s="976"/>
      <c r="BA41" s="976"/>
      <c r="BB41" s="976"/>
      <c r="BC41" s="976"/>
      <c r="BD41" s="976"/>
      <c r="BE41" s="976"/>
      <c r="BF41" s="976"/>
      <c r="BH41" s="990"/>
      <c r="BI41" s="990"/>
      <c r="BJ41" s="990"/>
      <c r="BL41" s="515">
        <f t="shared" si="9"/>
        <v>0</v>
      </c>
      <c r="BM41" s="515"/>
      <c r="BO41" s="1482"/>
      <c r="BP41" s="1482"/>
      <c r="BQ41" s="1482"/>
      <c r="BR41" s="1482"/>
      <c r="BS41" s="1482"/>
      <c r="BT41" s="1482"/>
      <c r="BU41" s="1482"/>
      <c r="BV41" s="1482"/>
      <c r="BW41" s="1482"/>
      <c r="BX41" s="1482"/>
      <c r="BY41" s="1482"/>
      <c r="BZ41" s="1482"/>
      <c r="CA41" s="1482"/>
      <c r="CB41" s="1482"/>
      <c r="CC41" s="1482"/>
      <c r="CD41" s="1482"/>
      <c r="CE41" s="1482"/>
      <c r="CF41" s="1482"/>
      <c r="CG41" s="1482"/>
      <c r="CH41" s="1482"/>
      <c r="CI41" s="1482"/>
      <c r="CJ41" s="1482"/>
      <c r="CK41" s="1482"/>
      <c r="CL41" s="1482"/>
      <c r="CM41" s="1482"/>
      <c r="CN41" s="1482"/>
      <c r="CO41" s="1482"/>
      <c r="CP41" s="1482"/>
      <c r="CQ41" s="1482"/>
      <c r="CR41" s="1482"/>
      <c r="CS41" s="1482"/>
      <c r="CT41" s="1482"/>
      <c r="CU41" s="1482"/>
      <c r="CV41" s="1482"/>
      <c r="CW41" s="1482"/>
      <c r="CX41" s="1482"/>
      <c r="CY41" s="1482"/>
      <c r="CZ41" s="1482"/>
      <c r="DA41" s="1482"/>
      <c r="DB41" s="1482"/>
      <c r="DC41" s="1482"/>
      <c r="DD41" s="1482"/>
      <c r="DE41" s="1482"/>
      <c r="DF41" s="1482"/>
      <c r="DH41" s="838"/>
    </row>
    <row r="42" spans="1:112" s="743" customFormat="1" ht="24" customHeight="1">
      <c r="C42" s="501" t="s">
        <v>72</v>
      </c>
      <c r="D42" s="501"/>
      <c r="E42" s="639"/>
      <c r="G42" s="957"/>
      <c r="H42" s="957"/>
      <c r="I42" s="957"/>
      <c r="J42" s="957"/>
      <c r="K42" s="957"/>
      <c r="L42" s="957"/>
      <c r="M42" s="957"/>
      <c r="N42" s="957"/>
      <c r="O42" s="957"/>
      <c r="P42" s="957"/>
      <c r="Q42" s="957"/>
      <c r="S42" s="969"/>
      <c r="T42" s="969"/>
      <c r="U42" s="969"/>
      <c r="V42" s="969"/>
      <c r="W42" s="969"/>
      <c r="X42" s="969"/>
      <c r="Y42" s="969"/>
      <c r="Z42" s="969"/>
      <c r="AA42" s="969"/>
      <c r="AB42" s="969"/>
      <c r="AC42" s="969"/>
      <c r="AD42" s="969"/>
      <c r="AE42" s="969"/>
      <c r="AF42" s="969"/>
      <c r="AG42" s="969"/>
      <c r="AH42" s="969"/>
      <c r="AI42" s="969"/>
      <c r="AJ42" s="969"/>
      <c r="AK42" s="969"/>
      <c r="AM42" s="975"/>
      <c r="AN42" s="975"/>
      <c r="AO42" s="975"/>
      <c r="AP42" s="975"/>
      <c r="AQ42" s="975"/>
      <c r="AR42" s="975"/>
      <c r="AS42" s="975"/>
      <c r="AT42" s="975"/>
      <c r="AU42" s="975"/>
      <c r="AV42" s="975"/>
      <c r="AW42" s="975"/>
      <c r="AX42" s="975"/>
      <c r="AY42" s="975"/>
      <c r="AZ42" s="975"/>
      <c r="BA42" s="975"/>
      <c r="BB42" s="975"/>
      <c r="BC42" s="975"/>
      <c r="BD42" s="975"/>
      <c r="BE42" s="975"/>
      <c r="BF42" s="975"/>
      <c r="BH42" s="989"/>
      <c r="BI42" s="989"/>
      <c r="BJ42" s="989"/>
      <c r="BL42" s="514">
        <f t="shared" si="9"/>
        <v>0</v>
      </c>
      <c r="BM42" s="514"/>
      <c r="BO42" s="1482"/>
      <c r="BP42" s="1482"/>
      <c r="BQ42" s="1482"/>
      <c r="BR42" s="1482"/>
      <c r="BS42" s="1482"/>
      <c r="BT42" s="1482"/>
      <c r="BU42" s="1482"/>
      <c r="BV42" s="1482"/>
      <c r="BW42" s="1482"/>
      <c r="BX42" s="1482"/>
      <c r="BY42" s="1482"/>
      <c r="BZ42" s="1482"/>
      <c r="CA42" s="1482"/>
      <c r="CB42" s="1482"/>
      <c r="CC42" s="1482"/>
      <c r="CD42" s="1482"/>
      <c r="CE42" s="1482"/>
      <c r="CF42" s="1482"/>
      <c r="CG42" s="1482"/>
      <c r="CH42" s="1482"/>
      <c r="CI42" s="1482"/>
      <c r="CJ42" s="1482"/>
      <c r="CK42" s="1482"/>
      <c r="CL42" s="1482"/>
      <c r="CM42" s="1482"/>
      <c r="CN42" s="1482"/>
      <c r="CO42" s="1482"/>
      <c r="CP42" s="1482"/>
      <c r="CQ42" s="1482"/>
      <c r="CR42" s="1482"/>
      <c r="CS42" s="1482"/>
      <c r="CT42" s="1482"/>
      <c r="CU42" s="1482"/>
      <c r="CV42" s="1482"/>
      <c r="CW42" s="1482"/>
      <c r="CX42" s="1482"/>
      <c r="CY42" s="1482"/>
      <c r="CZ42" s="1482"/>
      <c r="DA42" s="1482"/>
      <c r="DB42" s="1482"/>
      <c r="DC42" s="1482"/>
      <c r="DD42" s="1482"/>
      <c r="DE42" s="1482"/>
      <c r="DF42" s="1482"/>
      <c r="DH42" s="838"/>
    </row>
    <row r="43" spans="1:112" s="743" customFormat="1" ht="12.75" hidden="1" customHeight="1" outlineLevel="1">
      <c r="A43" s="22"/>
      <c r="B43" s="22"/>
      <c r="C43" s="751"/>
      <c r="D43" s="512"/>
      <c r="E43" s="512"/>
      <c r="G43" s="958"/>
      <c r="H43" s="958"/>
      <c r="I43" s="958"/>
      <c r="J43" s="958"/>
      <c r="K43" s="960"/>
      <c r="L43" s="958"/>
      <c r="M43" s="958"/>
      <c r="N43" s="958"/>
      <c r="O43" s="958"/>
      <c r="P43" s="958"/>
      <c r="Q43" s="958"/>
      <c r="S43" s="970"/>
      <c r="T43" s="970"/>
      <c r="U43" s="970"/>
      <c r="V43" s="970"/>
      <c r="W43" s="970"/>
      <c r="X43" s="970"/>
      <c r="Y43" s="970"/>
      <c r="Z43" s="970"/>
      <c r="AA43" s="970"/>
      <c r="AB43" s="970"/>
      <c r="AC43" s="970"/>
      <c r="AD43" s="970"/>
      <c r="AE43" s="970"/>
      <c r="AF43" s="970"/>
      <c r="AG43" s="970"/>
      <c r="AH43" s="970"/>
      <c r="AI43" s="970"/>
      <c r="AJ43" s="970"/>
      <c r="AK43" s="970"/>
      <c r="AM43" s="976"/>
      <c r="AN43" s="976"/>
      <c r="AO43" s="976"/>
      <c r="AP43" s="976"/>
      <c r="AQ43" s="976"/>
      <c r="AR43" s="976"/>
      <c r="AS43" s="976"/>
      <c r="AT43" s="976"/>
      <c r="AU43" s="976"/>
      <c r="AV43" s="976"/>
      <c r="AW43" s="976"/>
      <c r="AX43" s="976"/>
      <c r="AY43" s="976"/>
      <c r="AZ43" s="976"/>
      <c r="BA43" s="976"/>
      <c r="BB43" s="976"/>
      <c r="BC43" s="976"/>
      <c r="BD43" s="976"/>
      <c r="BE43" s="976"/>
      <c r="BF43" s="976"/>
      <c r="BH43" s="990"/>
      <c r="BI43" s="990"/>
      <c r="BJ43" s="990"/>
      <c r="BL43" s="515">
        <f t="shared" si="9"/>
        <v>0</v>
      </c>
      <c r="BM43" s="515"/>
      <c r="BN43" s="22"/>
      <c r="BO43" s="1482"/>
      <c r="BP43" s="1482"/>
      <c r="BQ43" s="1482"/>
      <c r="BR43" s="1482"/>
      <c r="BS43" s="1482"/>
      <c r="BT43" s="1482"/>
      <c r="BU43" s="1482"/>
      <c r="BV43" s="1482"/>
      <c r="BW43" s="1482"/>
      <c r="BX43" s="1482"/>
      <c r="BY43" s="1482"/>
      <c r="BZ43" s="1482"/>
      <c r="CA43" s="1482"/>
      <c r="CB43" s="1482"/>
      <c r="CC43" s="1482"/>
      <c r="CD43" s="1482"/>
      <c r="CE43" s="1482"/>
      <c r="CF43" s="1482"/>
      <c r="CG43" s="1482"/>
      <c r="CH43" s="1482"/>
      <c r="CI43" s="1482"/>
      <c r="CJ43" s="1482"/>
      <c r="CK43" s="1482"/>
      <c r="CL43" s="1482"/>
      <c r="CM43" s="1482"/>
      <c r="CN43" s="1482"/>
      <c r="CO43" s="1482"/>
      <c r="CP43" s="1482"/>
      <c r="CQ43" s="1482"/>
      <c r="CR43" s="1482"/>
      <c r="CS43" s="1482"/>
      <c r="CT43" s="1482"/>
      <c r="CU43" s="1482"/>
      <c r="CV43" s="1482"/>
      <c r="CW43" s="1482"/>
      <c r="CX43" s="1482"/>
      <c r="CY43" s="1482"/>
      <c r="CZ43" s="1482"/>
      <c r="DA43" s="1482"/>
      <c r="DB43" s="1482"/>
      <c r="DC43" s="1482"/>
      <c r="DD43" s="1482"/>
      <c r="DE43" s="1482"/>
      <c r="DF43" s="1482"/>
      <c r="DH43" s="838"/>
    </row>
    <row r="44" spans="1:112" s="1491" customFormat="1" ht="12.75" hidden="1" customHeight="1" outlineLevel="1">
      <c r="C44" s="1534" t="s">
        <v>1925</v>
      </c>
      <c r="D44" s="1535" t="s">
        <v>1926</v>
      </c>
      <c r="E44" s="1535"/>
      <c r="F44" s="1957"/>
      <c r="G44" s="1070"/>
      <c r="H44" s="1070"/>
      <c r="I44" s="1070"/>
      <c r="J44" s="1070"/>
      <c r="K44" s="1071"/>
      <c r="L44" s="1070"/>
      <c r="M44" s="1070"/>
      <c r="N44" s="1070"/>
      <c r="O44" s="1070"/>
      <c r="P44" s="1070"/>
      <c r="Q44" s="1070"/>
      <c r="R44" s="1957"/>
      <c r="S44" s="1072"/>
      <c r="T44" s="1072"/>
      <c r="U44" s="1072"/>
      <c r="V44" s="1072"/>
      <c r="W44" s="1072"/>
      <c r="X44" s="1072"/>
      <c r="Y44" s="1072"/>
      <c r="Z44" s="1072"/>
      <c r="AA44" s="1072"/>
      <c r="AB44" s="1072"/>
      <c r="AC44" s="1072"/>
      <c r="AD44" s="1072"/>
      <c r="AE44" s="1072"/>
      <c r="AF44" s="1072"/>
      <c r="AG44" s="1072"/>
      <c r="AH44" s="1072"/>
      <c r="AI44" s="1072"/>
      <c r="AJ44" s="1072">
        <f ca="1">AJ$40</f>
        <v>0</v>
      </c>
      <c r="AK44" s="1072"/>
      <c r="AL44" s="1957"/>
      <c r="AM44" s="1073"/>
      <c r="AN44" s="1073"/>
      <c r="AO44" s="1073"/>
      <c r="AP44" s="1073"/>
      <c r="AQ44" s="1073"/>
      <c r="AR44" s="1073"/>
      <c r="AS44" s="1073"/>
      <c r="AT44" s="1073"/>
      <c r="AU44" s="1073"/>
      <c r="AV44" s="1073"/>
      <c r="AW44" s="1073"/>
      <c r="AX44" s="1073"/>
      <c r="AY44" s="1073"/>
      <c r="AZ44" s="1073"/>
      <c r="BA44" s="1073"/>
      <c r="BB44" s="1073"/>
      <c r="BC44" s="1073"/>
      <c r="BD44" s="1073"/>
      <c r="BE44" s="1073"/>
      <c r="BF44" s="1073"/>
      <c r="BG44" s="1957"/>
      <c r="BH44" s="1074"/>
      <c r="BI44" s="1074"/>
      <c r="BJ44" s="1074"/>
      <c r="BK44" s="1957"/>
      <c r="BL44" s="1536">
        <f t="shared" si="9"/>
        <v>0</v>
      </c>
      <c r="BM44" s="1536"/>
      <c r="BO44" s="1963"/>
      <c r="BP44" s="1963"/>
      <c r="BQ44" s="1963"/>
      <c r="BR44" s="1963"/>
      <c r="BS44" s="1963"/>
      <c r="BT44" s="1963"/>
      <c r="BU44" s="1963"/>
      <c r="BV44" s="1963"/>
      <c r="BW44" s="1963"/>
      <c r="BX44" s="1963"/>
      <c r="BY44" s="1963"/>
      <c r="BZ44" s="1963"/>
      <c r="CA44" s="1963"/>
      <c r="CB44" s="1963"/>
      <c r="CC44" s="1963"/>
      <c r="CD44" s="1963"/>
      <c r="CE44" s="1963"/>
      <c r="CF44" s="1963"/>
      <c r="CG44" s="1963"/>
      <c r="CH44" s="1963"/>
      <c r="CI44" s="1963"/>
      <c r="CJ44" s="1963"/>
      <c r="CK44" s="1963"/>
      <c r="CL44" s="1963"/>
      <c r="CM44" s="1963"/>
      <c r="CN44" s="1963"/>
      <c r="CO44" s="1963"/>
      <c r="CP44" s="1963"/>
      <c r="CQ44" s="1963"/>
      <c r="CR44" s="1963"/>
      <c r="CS44" s="1963"/>
      <c r="CT44" s="1963"/>
      <c r="CU44" s="1963"/>
      <c r="CV44" s="1963"/>
      <c r="CW44" s="1963"/>
      <c r="CX44" s="1963"/>
      <c r="CY44" s="1963"/>
      <c r="CZ44" s="1963"/>
      <c r="DA44" s="1963"/>
      <c r="DB44" s="1963"/>
      <c r="DC44" s="1963"/>
      <c r="DD44" s="1963"/>
      <c r="DE44" s="1963"/>
      <c r="DF44" s="1963"/>
      <c r="DH44" s="1962">
        <f>SUM(BO44:DF44)</f>
        <v>0</v>
      </c>
    </row>
    <row r="45" spans="1:112" s="743" customFormat="1" ht="12.75" hidden="1" customHeight="1" outlineLevel="1">
      <c r="A45" s="22"/>
      <c r="B45" s="22"/>
      <c r="C45" s="746" t="s">
        <v>981</v>
      </c>
      <c r="D45" s="1010" t="str">
        <f>INDEX(Modules[Module], MATCH($C45, Modules[Code], 0))</f>
        <v>H2 Production</v>
      </c>
      <c r="E45" s="1069"/>
      <c r="G45" s="1022">
        <f t="shared" ref="G45:P45" ca="1" si="114">IFERROR(INDEX(INDIRECT($C45&amp;".Outputs["&amp;this.Year&amp;"]"), MATCH(G$5, INDIRECT($C45&amp;".Outputs[Vector]"), 0)), 0)</f>
        <v>0</v>
      </c>
      <c r="H45" s="1022">
        <f t="shared" ca="1" si="114"/>
        <v>0</v>
      </c>
      <c r="I45" s="1022">
        <f t="shared" ca="1" si="114"/>
        <v>0</v>
      </c>
      <c r="J45" s="1022">
        <f t="shared" ca="1" si="114"/>
        <v>0</v>
      </c>
      <c r="K45" s="1022">
        <f t="shared" ca="1" si="114"/>
        <v>0</v>
      </c>
      <c r="L45" s="1022">
        <f t="shared" ca="1" si="114"/>
        <v>0</v>
      </c>
      <c r="M45" s="1022">
        <f t="shared" ca="1" si="114"/>
        <v>0</v>
      </c>
      <c r="N45" s="1022">
        <f t="shared" ca="1" si="114"/>
        <v>0</v>
      </c>
      <c r="O45" s="1022">
        <f t="shared" ca="1" si="114"/>
        <v>0</v>
      </c>
      <c r="P45" s="1022">
        <f t="shared" ca="1" si="114"/>
        <v>0</v>
      </c>
      <c r="Q45" s="1020">
        <f ca="1">SUM(G45:P45)</f>
        <v>0</v>
      </c>
      <c r="S45" s="1031">
        <f t="shared" ref="S45:AJ45" ca="1" si="115">IFERROR(INDEX(INDIRECT($C45&amp;".Outputs["&amp;this.Year&amp;"]"), MATCH(S$5, INDIRECT($C45&amp;".Outputs[Vector]"), 0)), 0)</f>
        <v>0</v>
      </c>
      <c r="T45" s="1031">
        <f t="shared" ca="1" si="115"/>
        <v>0</v>
      </c>
      <c r="U45" s="1031">
        <f t="shared" ca="1" si="115"/>
        <v>0</v>
      </c>
      <c r="V45" s="1031">
        <f t="shared" ca="1" si="115"/>
        <v>0</v>
      </c>
      <c r="W45" s="1031">
        <f t="shared" ca="1" si="115"/>
        <v>0</v>
      </c>
      <c r="X45" s="1031">
        <f ca="1">IFERROR(INDEX(INDIRECT($C45&amp;".Outputs["&amp;this.Year&amp;"]"), MATCH(X$5, INDIRECT($C45&amp;".Outputs[Vector]"), 0)), 0)</f>
        <v>0</v>
      </c>
      <c r="Y45" s="1031">
        <f ca="1">IFERROR(INDEX(INDIRECT($C45&amp;".Outputs["&amp;this.Year&amp;"]"), MATCH(Y$5, INDIRECT($C45&amp;".Outputs[Vector]"), 0)), 0)</f>
        <v>0</v>
      </c>
      <c r="Z45" s="1031">
        <f ca="1">IFERROR(INDEX(INDIRECT($C45&amp;".Outputs["&amp;this.Year&amp;"]"), MATCH(Z$5, INDIRECT($C45&amp;".Outputs[Vector]"), 0)), 0)</f>
        <v>0</v>
      </c>
      <c r="AA45" s="1031">
        <f t="shared" ca="1" si="115"/>
        <v>0</v>
      </c>
      <c r="AB45" s="1031">
        <f t="shared" ca="1" si="115"/>
        <v>0</v>
      </c>
      <c r="AC45" s="1031">
        <f t="shared" ca="1" si="115"/>
        <v>0</v>
      </c>
      <c r="AD45" s="1031">
        <f t="shared" ca="1" si="115"/>
        <v>0</v>
      </c>
      <c r="AE45" s="1031">
        <f t="shared" ca="1" si="115"/>
        <v>0</v>
      </c>
      <c r="AF45" s="1031">
        <f t="shared" ca="1" si="115"/>
        <v>0</v>
      </c>
      <c r="AG45" s="1031">
        <f t="shared" ca="1" si="115"/>
        <v>0</v>
      </c>
      <c r="AH45" s="1031">
        <f t="shared" ca="1" si="115"/>
        <v>0</v>
      </c>
      <c r="AI45" s="1031">
        <f t="shared" ca="1" si="115"/>
        <v>0</v>
      </c>
      <c r="AJ45" s="1031">
        <f t="shared" ca="1" si="115"/>
        <v>0</v>
      </c>
      <c r="AK45" s="1030">
        <f ca="1">SUM(S45:AJ45)</f>
        <v>0</v>
      </c>
      <c r="AM45" s="1042">
        <f t="shared" ref="AM45:AU45" ca="1" si="116">IFERROR(INDEX(INDIRECT($C45&amp;".Outputs["&amp;this.Year&amp;"]"), MATCH(AM$5, INDIRECT($C45&amp;".Outputs[Vector]"), 0)), 0)</f>
        <v>0</v>
      </c>
      <c r="AN45" s="1042">
        <f t="shared" ca="1" si="116"/>
        <v>0</v>
      </c>
      <c r="AO45" s="1042">
        <f t="shared" ca="1" si="116"/>
        <v>0</v>
      </c>
      <c r="AP45" s="1042">
        <f t="shared" ca="1" si="116"/>
        <v>0</v>
      </c>
      <c r="AQ45" s="1042">
        <f t="shared" ca="1" si="116"/>
        <v>0</v>
      </c>
      <c r="AR45" s="1042">
        <f t="shared" ca="1" si="116"/>
        <v>0</v>
      </c>
      <c r="AS45" s="1042">
        <f t="shared" ca="1" si="116"/>
        <v>0</v>
      </c>
      <c r="AT45" s="1042">
        <f t="shared" ca="1" si="116"/>
        <v>0</v>
      </c>
      <c r="AU45" s="1042">
        <f t="shared" ca="1" si="116"/>
        <v>0</v>
      </c>
      <c r="AV45" s="1042">
        <f t="shared" ref="AV45:BE45" ca="1" si="117">IFERROR(INDEX(INDIRECT($C45&amp;".Outputs["&amp;this.Year&amp;"]"), MATCH(AV$5, INDIRECT($C45&amp;".Outputs[Vector]"), 0)), 0)</f>
        <v>0</v>
      </c>
      <c r="AW45" s="1042">
        <f t="shared" ca="1" si="117"/>
        <v>0</v>
      </c>
      <c r="AX45" s="1042">
        <f t="shared" ca="1" si="117"/>
        <v>0</v>
      </c>
      <c r="AY45" s="1042">
        <f t="shared" ca="1" si="117"/>
        <v>0</v>
      </c>
      <c r="AZ45" s="1042">
        <f t="shared" ca="1" si="117"/>
        <v>0</v>
      </c>
      <c r="BA45" s="1042">
        <f t="shared" ca="1" si="117"/>
        <v>0</v>
      </c>
      <c r="BB45" s="1042">
        <f t="shared" ca="1" si="117"/>
        <v>0</v>
      </c>
      <c r="BC45" s="1042">
        <f t="shared" ca="1" si="117"/>
        <v>0</v>
      </c>
      <c r="BD45" s="1042">
        <f t="shared" ca="1" si="117"/>
        <v>0</v>
      </c>
      <c r="BE45" s="1042">
        <f t="shared" ca="1" si="117"/>
        <v>0</v>
      </c>
      <c r="BF45" s="1012">
        <f ca="1">SUM(AM45:BE45)</f>
        <v>0</v>
      </c>
      <c r="BH45" s="1036">
        <f ca="1">IFERROR(INDEX(INDIRECT($C45&amp;".Outputs["&amp;this.Year&amp;"]"), MATCH(BH$5, INDIRECT($C45&amp;".Outputs[Vector]"), 0)), 0)</f>
        <v>0</v>
      </c>
      <c r="BI45" s="1036">
        <f ca="1">IFERROR(INDEX(INDIRECT($C45&amp;".Outputs["&amp;this.Year&amp;"]"), MATCH(BI$5, INDIRECT($C45&amp;".Outputs[Vector]"), 0)), 0)</f>
        <v>0</v>
      </c>
      <c r="BJ45" s="1035">
        <f ca="1">SUM(BH45:BI45)</f>
        <v>0</v>
      </c>
      <c r="BL45" s="515"/>
      <c r="BM45" s="515"/>
      <c r="BN45" s="840"/>
      <c r="BO45" s="1485">
        <f t="shared" ref="BO45:DF45" ca="1" si="118">IFERROR(SUMIFS(INDIRECT($C45&amp;".Emissions["&amp;this.Year&amp;"]"), INDIRECT($C45&amp;".Emissions[GHG]"), BO$6, INDIRECT($C45&amp;".Emissions[IPCC Sector]"), BO$5),0)</f>
        <v>0</v>
      </c>
      <c r="BP45" s="1486">
        <f t="shared" ca="1" si="118"/>
        <v>0</v>
      </c>
      <c r="BQ45" s="1486">
        <f t="shared" ca="1" si="118"/>
        <v>0</v>
      </c>
      <c r="BR45" s="1486">
        <f t="shared" ca="1" si="118"/>
        <v>0</v>
      </c>
      <c r="BS45" s="1486">
        <f t="shared" ca="1" si="118"/>
        <v>0</v>
      </c>
      <c r="BT45" s="1486">
        <f t="shared" ca="1" si="118"/>
        <v>0</v>
      </c>
      <c r="BU45" s="1486">
        <f t="shared" ca="1" si="118"/>
        <v>0</v>
      </c>
      <c r="BV45" s="1486">
        <f t="shared" ca="1" si="118"/>
        <v>0</v>
      </c>
      <c r="BW45" s="1486">
        <f t="shared" ca="1" si="118"/>
        <v>0</v>
      </c>
      <c r="BX45" s="1486">
        <f t="shared" ca="1" si="118"/>
        <v>0</v>
      </c>
      <c r="BY45" s="1486">
        <f t="shared" ca="1" si="118"/>
        <v>0</v>
      </c>
      <c r="BZ45" s="1486">
        <f t="shared" ca="1" si="118"/>
        <v>0</v>
      </c>
      <c r="CA45" s="1486">
        <f t="shared" ca="1" si="118"/>
        <v>0</v>
      </c>
      <c r="CB45" s="1486">
        <f t="shared" ca="1" si="118"/>
        <v>0</v>
      </c>
      <c r="CC45" s="1486">
        <f t="shared" ca="1" si="118"/>
        <v>0</v>
      </c>
      <c r="CD45" s="1486">
        <f t="shared" ca="1" si="118"/>
        <v>0</v>
      </c>
      <c r="CE45" s="1486">
        <f t="shared" ca="1" si="118"/>
        <v>0</v>
      </c>
      <c r="CF45" s="1486">
        <f t="shared" ca="1" si="118"/>
        <v>0</v>
      </c>
      <c r="CG45" s="1486">
        <f t="shared" ca="1" si="118"/>
        <v>0</v>
      </c>
      <c r="CH45" s="1486">
        <f t="shared" ca="1" si="118"/>
        <v>0</v>
      </c>
      <c r="CI45" s="1486">
        <f t="shared" ca="1" si="118"/>
        <v>0</v>
      </c>
      <c r="CJ45" s="1486">
        <f t="shared" ca="1" si="118"/>
        <v>0</v>
      </c>
      <c r="CK45" s="1486">
        <f t="shared" ca="1" si="118"/>
        <v>0</v>
      </c>
      <c r="CL45" s="1486">
        <f t="shared" ca="1" si="118"/>
        <v>0</v>
      </c>
      <c r="CM45" s="1486">
        <f t="shared" ca="1" si="118"/>
        <v>0</v>
      </c>
      <c r="CN45" s="1486">
        <f t="shared" ca="1" si="118"/>
        <v>0</v>
      </c>
      <c r="CO45" s="1486">
        <f t="shared" ca="1" si="118"/>
        <v>0</v>
      </c>
      <c r="CP45" s="1486">
        <f t="shared" ca="1" si="118"/>
        <v>0</v>
      </c>
      <c r="CQ45" s="1486">
        <f t="shared" ca="1" si="118"/>
        <v>0</v>
      </c>
      <c r="CR45" s="1486">
        <f t="shared" ca="1" si="118"/>
        <v>0</v>
      </c>
      <c r="CS45" s="1486">
        <f t="shared" ca="1" si="118"/>
        <v>0</v>
      </c>
      <c r="CT45" s="1486">
        <f t="shared" ca="1" si="118"/>
        <v>0</v>
      </c>
      <c r="CU45" s="1486">
        <f t="shared" ca="1" si="118"/>
        <v>0</v>
      </c>
      <c r="CV45" s="1486">
        <f t="shared" ca="1" si="118"/>
        <v>0</v>
      </c>
      <c r="CW45" s="1486">
        <f t="shared" ca="1" si="118"/>
        <v>0</v>
      </c>
      <c r="CX45" s="1486">
        <f t="shared" ca="1" si="118"/>
        <v>0</v>
      </c>
      <c r="CY45" s="1486">
        <f t="shared" ca="1" si="118"/>
        <v>0</v>
      </c>
      <c r="CZ45" s="1486">
        <f t="shared" ca="1" si="118"/>
        <v>0</v>
      </c>
      <c r="DA45" s="1486">
        <f t="shared" ca="1" si="118"/>
        <v>0</v>
      </c>
      <c r="DB45" s="1486">
        <f t="shared" ca="1" si="118"/>
        <v>0</v>
      </c>
      <c r="DC45" s="1486">
        <f t="shared" ca="1" si="118"/>
        <v>0</v>
      </c>
      <c r="DD45" s="1486">
        <f t="shared" ca="1" si="118"/>
        <v>0</v>
      </c>
      <c r="DE45" s="1486">
        <f t="shared" ca="1" si="118"/>
        <v>0</v>
      </c>
      <c r="DF45" s="1486">
        <f t="shared" ca="1" si="118"/>
        <v>0</v>
      </c>
      <c r="DH45" s="838"/>
    </row>
    <row r="46" spans="1:112" s="743" customFormat="1" ht="15.75" collapsed="1">
      <c r="A46" s="22"/>
      <c r="B46" s="753"/>
      <c r="C46" s="744" t="s">
        <v>674</v>
      </c>
      <c r="D46" s="517" t="str">
        <f>INDEX(Workstreams[Workstream], MATCH($C46, Workstreams[Code], 0))</f>
        <v>H2 Production</v>
      </c>
      <c r="E46" s="512"/>
      <c r="G46" s="1021">
        <f ca="1">G45</f>
        <v>0</v>
      </c>
      <c r="H46" s="1021">
        <f t="shared" ref="H46:P46" ca="1" si="119">H45</f>
        <v>0</v>
      </c>
      <c r="I46" s="1021">
        <f t="shared" ca="1" si="119"/>
        <v>0</v>
      </c>
      <c r="J46" s="1021">
        <f t="shared" ca="1" si="119"/>
        <v>0</v>
      </c>
      <c r="K46" s="1021">
        <f t="shared" ca="1" si="119"/>
        <v>0</v>
      </c>
      <c r="L46" s="1021">
        <f t="shared" ca="1" si="119"/>
        <v>0</v>
      </c>
      <c r="M46" s="1021">
        <f t="shared" ca="1" si="119"/>
        <v>0</v>
      </c>
      <c r="N46" s="1021">
        <f t="shared" ca="1" si="119"/>
        <v>0</v>
      </c>
      <c r="O46" s="1021">
        <f t="shared" ca="1" si="119"/>
        <v>0</v>
      </c>
      <c r="P46" s="1021">
        <f t="shared" ca="1" si="119"/>
        <v>0</v>
      </c>
      <c r="Q46" s="1021">
        <f ca="1">SUM(G46:P46)</f>
        <v>0</v>
      </c>
      <c r="S46" s="970">
        <f t="shared" ref="S46:AJ46" ca="1" si="120">S45</f>
        <v>0</v>
      </c>
      <c r="T46" s="970">
        <f t="shared" ca="1" si="120"/>
        <v>0</v>
      </c>
      <c r="U46" s="970">
        <f t="shared" ca="1" si="120"/>
        <v>0</v>
      </c>
      <c r="V46" s="970">
        <f t="shared" ca="1" si="120"/>
        <v>0</v>
      </c>
      <c r="W46" s="970">
        <f t="shared" ca="1" si="120"/>
        <v>0</v>
      </c>
      <c r="X46" s="970">
        <f t="shared" ca="1" si="120"/>
        <v>0</v>
      </c>
      <c r="Y46" s="970">
        <f t="shared" ca="1" si="120"/>
        <v>0</v>
      </c>
      <c r="Z46" s="970">
        <f t="shared" ca="1" si="120"/>
        <v>0</v>
      </c>
      <c r="AA46" s="970">
        <f t="shared" ca="1" si="120"/>
        <v>0</v>
      </c>
      <c r="AB46" s="970">
        <f t="shared" ca="1" si="120"/>
        <v>0</v>
      </c>
      <c r="AC46" s="970">
        <f t="shared" ca="1" si="120"/>
        <v>0</v>
      </c>
      <c r="AD46" s="970">
        <f ca="1">AD45</f>
        <v>0</v>
      </c>
      <c r="AE46" s="970">
        <f ca="1">AE45</f>
        <v>0</v>
      </c>
      <c r="AF46" s="970">
        <f t="shared" ca="1" si="120"/>
        <v>0</v>
      </c>
      <c r="AG46" s="970">
        <f ca="1">AG45</f>
        <v>0</v>
      </c>
      <c r="AH46" s="970">
        <f ca="1">AH45</f>
        <v>0</v>
      </c>
      <c r="AI46" s="970">
        <f ca="1">AI45</f>
        <v>0</v>
      </c>
      <c r="AJ46" s="970">
        <f t="shared" ca="1" si="120"/>
        <v>0</v>
      </c>
      <c r="AK46" s="970">
        <f ca="1">SUM(S46:AJ46)</f>
        <v>0</v>
      </c>
      <c r="AM46" s="976">
        <f ca="1">AM45</f>
        <v>0</v>
      </c>
      <c r="AN46" s="976">
        <f t="shared" ref="AN46:BE46" ca="1" si="121">AN45</f>
        <v>0</v>
      </c>
      <c r="AO46" s="976">
        <f t="shared" ca="1" si="121"/>
        <v>0</v>
      </c>
      <c r="AP46" s="976">
        <f t="shared" ca="1" si="121"/>
        <v>0</v>
      </c>
      <c r="AQ46" s="976">
        <f t="shared" ca="1" si="121"/>
        <v>0</v>
      </c>
      <c r="AR46" s="976">
        <f t="shared" ca="1" si="121"/>
        <v>0</v>
      </c>
      <c r="AS46" s="976">
        <f t="shared" ca="1" si="121"/>
        <v>0</v>
      </c>
      <c r="AT46" s="976">
        <f t="shared" ca="1" si="121"/>
        <v>0</v>
      </c>
      <c r="AU46" s="976">
        <f t="shared" ca="1" si="121"/>
        <v>0</v>
      </c>
      <c r="AV46" s="976">
        <f t="shared" ca="1" si="121"/>
        <v>0</v>
      </c>
      <c r="AW46" s="976">
        <f t="shared" ca="1" si="121"/>
        <v>0</v>
      </c>
      <c r="AX46" s="976">
        <f t="shared" ca="1" si="121"/>
        <v>0</v>
      </c>
      <c r="AY46" s="976">
        <f t="shared" ca="1" si="121"/>
        <v>0</v>
      </c>
      <c r="AZ46" s="976">
        <f t="shared" ca="1" si="121"/>
        <v>0</v>
      </c>
      <c r="BA46" s="976">
        <f t="shared" ca="1" si="121"/>
        <v>0</v>
      </c>
      <c r="BB46" s="976">
        <f t="shared" ca="1" si="121"/>
        <v>0</v>
      </c>
      <c r="BC46" s="976">
        <f t="shared" ca="1" si="121"/>
        <v>0</v>
      </c>
      <c r="BD46" s="976">
        <f t="shared" ca="1" si="121"/>
        <v>0</v>
      </c>
      <c r="BE46" s="976">
        <f t="shared" ca="1" si="121"/>
        <v>0</v>
      </c>
      <c r="BF46" s="976">
        <f ca="1">SUM(AM46:BE46)</f>
        <v>0</v>
      </c>
      <c r="BH46" s="990">
        <f ca="1">BH45</f>
        <v>0</v>
      </c>
      <c r="BI46" s="990">
        <f ca="1">BI45</f>
        <v>0</v>
      </c>
      <c r="BJ46" s="990">
        <f ca="1">SUM(BH46:BI46)</f>
        <v>0</v>
      </c>
      <c r="BL46" s="515">
        <f ca="1">Q46+AK46+BF46+BJ46</f>
        <v>0</v>
      </c>
      <c r="BM46" s="515"/>
      <c r="BN46" s="840"/>
      <c r="BO46" s="1482">
        <f t="shared" ref="BO46:DF46" ca="1" si="122">BO45</f>
        <v>0</v>
      </c>
      <c r="BP46" s="1482">
        <f t="shared" ca="1" si="122"/>
        <v>0</v>
      </c>
      <c r="BQ46" s="1482">
        <f t="shared" ca="1" si="122"/>
        <v>0</v>
      </c>
      <c r="BR46" s="1482">
        <f t="shared" ca="1" si="122"/>
        <v>0</v>
      </c>
      <c r="BS46" s="1482">
        <f t="shared" ca="1" si="122"/>
        <v>0</v>
      </c>
      <c r="BT46" s="1482">
        <f t="shared" ca="1" si="122"/>
        <v>0</v>
      </c>
      <c r="BU46" s="1482">
        <f t="shared" ca="1" si="122"/>
        <v>0</v>
      </c>
      <c r="BV46" s="1482">
        <f t="shared" ca="1" si="122"/>
        <v>0</v>
      </c>
      <c r="BW46" s="1482">
        <f t="shared" ca="1" si="122"/>
        <v>0</v>
      </c>
      <c r="BX46" s="1482">
        <f t="shared" ca="1" si="122"/>
        <v>0</v>
      </c>
      <c r="BY46" s="1482">
        <f t="shared" ca="1" si="122"/>
        <v>0</v>
      </c>
      <c r="BZ46" s="1482">
        <f t="shared" ca="1" si="122"/>
        <v>0</v>
      </c>
      <c r="CA46" s="1482">
        <f t="shared" ca="1" si="122"/>
        <v>0</v>
      </c>
      <c r="CB46" s="1482">
        <f t="shared" ca="1" si="122"/>
        <v>0</v>
      </c>
      <c r="CC46" s="1482">
        <f t="shared" ca="1" si="122"/>
        <v>0</v>
      </c>
      <c r="CD46" s="1482">
        <f t="shared" ca="1" si="122"/>
        <v>0</v>
      </c>
      <c r="CE46" s="1482">
        <f t="shared" ca="1" si="122"/>
        <v>0</v>
      </c>
      <c r="CF46" s="1482">
        <f t="shared" ca="1" si="122"/>
        <v>0</v>
      </c>
      <c r="CG46" s="1482">
        <f t="shared" ca="1" si="122"/>
        <v>0</v>
      </c>
      <c r="CH46" s="1482">
        <f t="shared" ca="1" si="122"/>
        <v>0</v>
      </c>
      <c r="CI46" s="1482">
        <f t="shared" ca="1" si="122"/>
        <v>0</v>
      </c>
      <c r="CJ46" s="1482">
        <f t="shared" ca="1" si="122"/>
        <v>0</v>
      </c>
      <c r="CK46" s="1482">
        <f t="shared" ca="1" si="122"/>
        <v>0</v>
      </c>
      <c r="CL46" s="1482">
        <f t="shared" ca="1" si="122"/>
        <v>0</v>
      </c>
      <c r="CM46" s="1482">
        <f t="shared" ca="1" si="122"/>
        <v>0</v>
      </c>
      <c r="CN46" s="1482">
        <f t="shared" ca="1" si="122"/>
        <v>0</v>
      </c>
      <c r="CO46" s="1482">
        <f t="shared" ca="1" si="122"/>
        <v>0</v>
      </c>
      <c r="CP46" s="1482">
        <f t="shared" ca="1" si="122"/>
        <v>0</v>
      </c>
      <c r="CQ46" s="1482">
        <f t="shared" ca="1" si="122"/>
        <v>0</v>
      </c>
      <c r="CR46" s="1482">
        <f t="shared" ca="1" si="122"/>
        <v>0</v>
      </c>
      <c r="CS46" s="1482">
        <f t="shared" ca="1" si="122"/>
        <v>0</v>
      </c>
      <c r="CT46" s="1482">
        <f t="shared" ca="1" si="122"/>
        <v>0</v>
      </c>
      <c r="CU46" s="1482">
        <f t="shared" ca="1" si="122"/>
        <v>0</v>
      </c>
      <c r="CV46" s="1482">
        <f t="shared" ca="1" si="122"/>
        <v>0</v>
      </c>
      <c r="CW46" s="1482">
        <f t="shared" ca="1" si="122"/>
        <v>0</v>
      </c>
      <c r="CX46" s="1482">
        <f t="shared" ca="1" si="122"/>
        <v>0</v>
      </c>
      <c r="CY46" s="1482">
        <f t="shared" ca="1" si="122"/>
        <v>0</v>
      </c>
      <c r="CZ46" s="1482">
        <f t="shared" ca="1" si="122"/>
        <v>0</v>
      </c>
      <c r="DA46" s="1482">
        <f t="shared" ca="1" si="122"/>
        <v>0</v>
      </c>
      <c r="DB46" s="1482">
        <f t="shared" ca="1" si="122"/>
        <v>0</v>
      </c>
      <c r="DC46" s="1482">
        <f t="shared" ca="1" si="122"/>
        <v>0</v>
      </c>
      <c r="DD46" s="1482">
        <f t="shared" ca="1" si="122"/>
        <v>0</v>
      </c>
      <c r="DE46" s="1482">
        <f t="shared" ca="1" si="122"/>
        <v>0</v>
      </c>
      <c r="DF46" s="1482">
        <f t="shared" ca="1" si="122"/>
        <v>0</v>
      </c>
      <c r="DH46" s="838">
        <f t="shared" ref="DH46:DH82" ca="1" si="123">SUM(BO46:DF46)</f>
        <v>0</v>
      </c>
    </row>
    <row r="47" spans="1:112" s="743" customFormat="1" hidden="1" outlineLevel="1">
      <c r="C47" s="508"/>
      <c r="D47" s="509"/>
      <c r="E47" s="509"/>
      <c r="G47" s="958"/>
      <c r="H47" s="958"/>
      <c r="I47" s="958"/>
      <c r="J47" s="958"/>
      <c r="K47" s="960"/>
      <c r="L47" s="958"/>
      <c r="M47" s="958"/>
      <c r="N47" s="958"/>
      <c r="O47" s="958"/>
      <c r="P47" s="958"/>
      <c r="Q47" s="958"/>
      <c r="S47" s="970"/>
      <c r="T47" s="970"/>
      <c r="U47" s="970"/>
      <c r="V47" s="970"/>
      <c r="W47" s="970"/>
      <c r="X47" s="970"/>
      <c r="Y47" s="970"/>
      <c r="Z47" s="970"/>
      <c r="AA47" s="970"/>
      <c r="AB47" s="970"/>
      <c r="AC47" s="970"/>
      <c r="AD47" s="970"/>
      <c r="AE47" s="970"/>
      <c r="AF47" s="970"/>
      <c r="AG47" s="970"/>
      <c r="AH47" s="970"/>
      <c r="AI47" s="970"/>
      <c r="AJ47" s="970"/>
      <c r="AK47" s="970"/>
      <c r="AM47" s="976"/>
      <c r="AN47" s="976"/>
      <c r="AO47" s="976"/>
      <c r="AP47" s="976"/>
      <c r="AQ47" s="976"/>
      <c r="AR47" s="976"/>
      <c r="AS47" s="976"/>
      <c r="AT47" s="976"/>
      <c r="AU47" s="976"/>
      <c r="AV47" s="976"/>
      <c r="AW47" s="976"/>
      <c r="AX47" s="976"/>
      <c r="AY47" s="976"/>
      <c r="AZ47" s="976"/>
      <c r="BA47" s="976"/>
      <c r="BB47" s="976"/>
      <c r="BC47" s="976"/>
      <c r="BD47" s="976"/>
      <c r="BE47" s="976"/>
      <c r="BF47" s="976"/>
      <c r="BH47" s="990"/>
      <c r="BI47" s="990"/>
      <c r="BJ47" s="990"/>
      <c r="BL47" s="515">
        <f>Q47+AK47+BF47+BJ47</f>
        <v>0</v>
      </c>
      <c r="BM47" s="515"/>
      <c r="BO47" s="1482"/>
      <c r="BP47" s="1482"/>
      <c r="BQ47" s="1482"/>
      <c r="BR47" s="1482"/>
      <c r="BS47" s="1482"/>
      <c r="BT47" s="1482"/>
      <c r="BU47" s="1482"/>
      <c r="BV47" s="1482"/>
      <c r="BW47" s="1482"/>
      <c r="BX47" s="1482"/>
      <c r="BY47" s="1482"/>
      <c r="BZ47" s="1482"/>
      <c r="CA47" s="1482"/>
      <c r="CB47" s="1482"/>
      <c r="CC47" s="1482"/>
      <c r="CD47" s="1482"/>
      <c r="CE47" s="1482"/>
      <c r="CF47" s="1482"/>
      <c r="CG47" s="1482"/>
      <c r="CH47" s="1482"/>
      <c r="CI47" s="1482"/>
      <c r="CJ47" s="1482"/>
      <c r="CK47" s="1482"/>
      <c r="CL47" s="1482"/>
      <c r="CM47" s="1482"/>
      <c r="CN47" s="1482"/>
      <c r="CO47" s="1482"/>
      <c r="CP47" s="1482"/>
      <c r="CQ47" s="1482"/>
      <c r="CR47" s="1482"/>
      <c r="CS47" s="1482"/>
      <c r="CT47" s="1482"/>
      <c r="CU47" s="1482"/>
      <c r="CV47" s="1482"/>
      <c r="CW47" s="1482"/>
      <c r="CX47" s="1482"/>
      <c r="CY47" s="1482"/>
      <c r="CZ47" s="1482"/>
      <c r="DA47" s="1482"/>
      <c r="DB47" s="1482"/>
      <c r="DC47" s="1482"/>
      <c r="DD47" s="1482"/>
      <c r="DE47" s="1482"/>
      <c r="DF47" s="1482"/>
      <c r="DH47" s="838">
        <f t="shared" si="123"/>
        <v>0</v>
      </c>
    </row>
    <row r="48" spans="1:112" s="743" customFormat="1" hidden="1" outlineLevel="1">
      <c r="A48" s="1484"/>
      <c r="B48" s="1484"/>
      <c r="C48" s="746" t="s">
        <v>2280</v>
      </c>
      <c r="D48" s="521" t="str">
        <f>INDEX(Modules[Module], MATCH($C48, Modules[Code], 0))</f>
        <v>Marine algae</v>
      </c>
      <c r="E48" s="521"/>
      <c r="G48" s="1017">
        <f t="shared" ref="G48:P49" ca="1" si="124">IFERROR(INDEX(INDIRECT($C48&amp;".Outputs["&amp;this.Year&amp;"]"), MATCH(G$5, INDIRECT($C48&amp;".Outputs[Vector]"), 0)), 0)</f>
        <v>0</v>
      </c>
      <c r="H48" s="1017">
        <f t="shared" ca="1" si="124"/>
        <v>0</v>
      </c>
      <c r="I48" s="1017">
        <f t="shared" ca="1" si="124"/>
        <v>0</v>
      </c>
      <c r="J48" s="1017">
        <f t="shared" ca="1" si="124"/>
        <v>0</v>
      </c>
      <c r="K48" s="1017">
        <f t="shared" ca="1" si="124"/>
        <v>0</v>
      </c>
      <c r="L48" s="1017">
        <f t="shared" ca="1" si="124"/>
        <v>0</v>
      </c>
      <c r="M48" s="1017">
        <f t="shared" ca="1" si="124"/>
        <v>0</v>
      </c>
      <c r="N48" s="1017">
        <f t="shared" ca="1" si="124"/>
        <v>0</v>
      </c>
      <c r="O48" s="1017">
        <f t="shared" ca="1" si="124"/>
        <v>0</v>
      </c>
      <c r="P48" s="1017">
        <f t="shared" ca="1" si="124"/>
        <v>0</v>
      </c>
      <c r="Q48" s="1019">
        <f ca="1">SUM(G48:P48)</f>
        <v>0</v>
      </c>
      <c r="S48" s="1026">
        <f t="shared" ref="S48:BE49" ca="1" si="125">IFERROR(INDEX(INDIRECT($C48&amp;".Outputs["&amp;this.Year&amp;"]"), MATCH(S$5, INDIRECT($C48&amp;".Outputs[Vector]"), 0)), 0)</f>
        <v>0</v>
      </c>
      <c r="T48" s="1026">
        <f t="shared" ca="1" si="125"/>
        <v>0</v>
      </c>
      <c r="U48" s="1026">
        <f t="shared" ca="1" si="125"/>
        <v>0</v>
      </c>
      <c r="V48" s="1026">
        <f t="shared" ca="1" si="125"/>
        <v>0</v>
      </c>
      <c r="W48" s="1026">
        <f t="shared" ca="1" si="125"/>
        <v>0</v>
      </c>
      <c r="X48" s="1026">
        <f t="shared" ref="X48:Z50" ca="1" si="126">IFERROR(INDEX(INDIRECT($C48&amp;".Outputs["&amp;this.Year&amp;"]"), MATCH(X$5, INDIRECT($C48&amp;".Outputs[Vector]"), 0)), 0)</f>
        <v>0</v>
      </c>
      <c r="Y48" s="1026">
        <f t="shared" ca="1" si="126"/>
        <v>0</v>
      </c>
      <c r="Z48" s="1026">
        <f t="shared" ca="1" si="126"/>
        <v>0</v>
      </c>
      <c r="AA48" s="1026">
        <f t="shared" ca="1" si="125"/>
        <v>0</v>
      </c>
      <c r="AB48" s="1026">
        <f t="shared" ca="1" si="125"/>
        <v>0</v>
      </c>
      <c r="AC48" s="1026">
        <f t="shared" ca="1" si="125"/>
        <v>0</v>
      </c>
      <c r="AD48" s="1026">
        <f t="shared" ca="1" si="125"/>
        <v>0</v>
      </c>
      <c r="AE48" s="1026">
        <f t="shared" ca="1" si="125"/>
        <v>0</v>
      </c>
      <c r="AF48" s="1026">
        <f t="shared" ca="1" si="125"/>
        <v>0</v>
      </c>
      <c r="AG48" s="1026">
        <f t="shared" ca="1" si="125"/>
        <v>0</v>
      </c>
      <c r="AH48" s="1026">
        <f t="shared" ca="1" si="125"/>
        <v>0</v>
      </c>
      <c r="AI48" s="1026">
        <f t="shared" ca="1" si="125"/>
        <v>0</v>
      </c>
      <c r="AJ48" s="1026">
        <f t="shared" ca="1" si="125"/>
        <v>0</v>
      </c>
      <c r="AK48" s="1027">
        <f ca="1">SUM(S48:AJ48)</f>
        <v>0</v>
      </c>
      <c r="AM48" s="1038">
        <f t="shared" ref="AM48:AU50" ca="1" si="127">IFERROR(INDEX(INDIRECT($C48&amp;".Outputs["&amp;this.Year&amp;"]"), MATCH(AM$5, INDIRECT($C48&amp;".Outputs[Vector]"), 0)), 0)</f>
        <v>0</v>
      </c>
      <c r="AN48" s="1038">
        <f t="shared" ca="1" si="127"/>
        <v>0</v>
      </c>
      <c r="AO48" s="1038">
        <f t="shared" ca="1" si="127"/>
        <v>0</v>
      </c>
      <c r="AP48" s="1038">
        <f t="shared" ca="1" si="127"/>
        <v>0</v>
      </c>
      <c r="AQ48" s="1038">
        <f t="shared" ca="1" si="127"/>
        <v>0</v>
      </c>
      <c r="AR48" s="1038">
        <f t="shared" ca="1" si="127"/>
        <v>0</v>
      </c>
      <c r="AS48" s="1038">
        <f t="shared" ca="1" si="127"/>
        <v>0</v>
      </c>
      <c r="AT48" s="1038">
        <f t="shared" ca="1" si="127"/>
        <v>0</v>
      </c>
      <c r="AU48" s="1038">
        <f t="shared" ca="1" si="127"/>
        <v>0</v>
      </c>
      <c r="AV48" s="1038">
        <f t="shared" ca="1" si="125"/>
        <v>0</v>
      </c>
      <c r="AW48" s="1038">
        <f t="shared" ca="1" si="125"/>
        <v>0</v>
      </c>
      <c r="AX48" s="1038">
        <f t="shared" ca="1" si="125"/>
        <v>0</v>
      </c>
      <c r="AY48" s="1038">
        <f t="shared" ca="1" si="125"/>
        <v>0</v>
      </c>
      <c r="AZ48" s="1038">
        <f t="shared" ca="1" si="125"/>
        <v>0</v>
      </c>
      <c r="BA48" s="1038">
        <f t="shared" ca="1" si="125"/>
        <v>0</v>
      </c>
      <c r="BB48" s="1038">
        <f t="shared" ca="1" si="125"/>
        <v>0</v>
      </c>
      <c r="BC48" s="1038">
        <f t="shared" ca="1" si="125"/>
        <v>0</v>
      </c>
      <c r="BD48" s="1038">
        <f t="shared" ca="1" si="125"/>
        <v>0</v>
      </c>
      <c r="BE48" s="1038">
        <f t="shared" ca="1" si="125"/>
        <v>0</v>
      </c>
      <c r="BF48" s="979">
        <f ca="1">SUM(AM48:BE48)</f>
        <v>0</v>
      </c>
      <c r="BH48" s="1032">
        <f t="shared" ref="BH48:BI50" ca="1" si="128">IFERROR(INDEX(INDIRECT($C48&amp;".Outputs["&amp;this.Year&amp;"]"), MATCH(BH$5, INDIRECT($C48&amp;".Outputs[Vector]"), 0)), 0)</f>
        <v>0</v>
      </c>
      <c r="BI48" s="1032">
        <f t="shared" ca="1" si="128"/>
        <v>0</v>
      </c>
      <c r="BJ48" s="1034">
        <f ca="1">SUM(BH48:BI48)</f>
        <v>0</v>
      </c>
      <c r="BL48" s="814"/>
      <c r="BM48" s="814"/>
      <c r="BN48" s="840"/>
      <c r="BO48" s="1481">
        <f t="shared" ref="BO48:BX50" ca="1" si="129">IFERROR(SUMIFS(INDIRECT($C48&amp;".Emissions["&amp;this.Year&amp;"]"), INDIRECT($C48&amp;".Emissions[GHG]"), BO$6, INDIRECT($C48&amp;".Emissions[IPCC Sector]"), BO$5),0)</f>
        <v>0</v>
      </c>
      <c r="BP48" s="1482">
        <f t="shared" ca="1" si="129"/>
        <v>0</v>
      </c>
      <c r="BQ48" s="1482">
        <f t="shared" ca="1" si="129"/>
        <v>0</v>
      </c>
      <c r="BR48" s="1482">
        <f t="shared" ca="1" si="129"/>
        <v>0</v>
      </c>
      <c r="BS48" s="1482">
        <f t="shared" ca="1" si="129"/>
        <v>0</v>
      </c>
      <c r="BT48" s="1482">
        <f t="shared" ca="1" si="129"/>
        <v>0</v>
      </c>
      <c r="BU48" s="1482">
        <f t="shared" ca="1" si="129"/>
        <v>0</v>
      </c>
      <c r="BV48" s="1482">
        <f t="shared" ca="1" si="129"/>
        <v>0</v>
      </c>
      <c r="BW48" s="1482">
        <f t="shared" ca="1" si="129"/>
        <v>0</v>
      </c>
      <c r="BX48" s="1482">
        <f t="shared" ca="1" si="129"/>
        <v>0</v>
      </c>
      <c r="BY48" s="1482">
        <f t="shared" ref="BY48:CH50" ca="1" si="130">IFERROR(SUMIFS(INDIRECT($C48&amp;".Emissions["&amp;this.Year&amp;"]"), INDIRECT($C48&amp;".Emissions[GHG]"), BY$6, INDIRECT($C48&amp;".Emissions[IPCC Sector]"), BY$5),0)</f>
        <v>0</v>
      </c>
      <c r="BZ48" s="1482">
        <f t="shared" ca="1" si="130"/>
        <v>0</v>
      </c>
      <c r="CA48" s="1482">
        <f t="shared" ca="1" si="130"/>
        <v>0</v>
      </c>
      <c r="CB48" s="1482">
        <f t="shared" ca="1" si="130"/>
        <v>0</v>
      </c>
      <c r="CC48" s="1482">
        <f t="shared" ca="1" si="130"/>
        <v>0</v>
      </c>
      <c r="CD48" s="1482">
        <f t="shared" ca="1" si="130"/>
        <v>0</v>
      </c>
      <c r="CE48" s="1482">
        <f t="shared" ca="1" si="130"/>
        <v>0</v>
      </c>
      <c r="CF48" s="1482">
        <f t="shared" ca="1" si="130"/>
        <v>0</v>
      </c>
      <c r="CG48" s="1482">
        <f t="shared" ca="1" si="130"/>
        <v>0</v>
      </c>
      <c r="CH48" s="1482">
        <f t="shared" ca="1" si="130"/>
        <v>0</v>
      </c>
      <c r="CI48" s="1482">
        <f t="shared" ref="CI48:CR50" ca="1" si="131">IFERROR(SUMIFS(INDIRECT($C48&amp;".Emissions["&amp;this.Year&amp;"]"), INDIRECT($C48&amp;".Emissions[GHG]"), CI$6, INDIRECT($C48&amp;".Emissions[IPCC Sector]"), CI$5),0)</f>
        <v>0</v>
      </c>
      <c r="CJ48" s="1482">
        <f t="shared" ca="1" si="131"/>
        <v>0</v>
      </c>
      <c r="CK48" s="1482">
        <f t="shared" ca="1" si="131"/>
        <v>0</v>
      </c>
      <c r="CL48" s="1482">
        <f t="shared" ca="1" si="131"/>
        <v>0</v>
      </c>
      <c r="CM48" s="1482">
        <f t="shared" ca="1" si="131"/>
        <v>0</v>
      </c>
      <c r="CN48" s="1482">
        <f t="shared" ca="1" si="131"/>
        <v>0</v>
      </c>
      <c r="CO48" s="1482">
        <f t="shared" ca="1" si="131"/>
        <v>0</v>
      </c>
      <c r="CP48" s="1482">
        <f t="shared" ca="1" si="131"/>
        <v>0</v>
      </c>
      <c r="CQ48" s="1482">
        <f t="shared" ca="1" si="131"/>
        <v>0</v>
      </c>
      <c r="CR48" s="1482">
        <f t="shared" ca="1" si="131"/>
        <v>0</v>
      </c>
      <c r="CS48" s="1482">
        <f t="shared" ref="CS48:DF50" ca="1" si="132">IFERROR(SUMIFS(INDIRECT($C48&amp;".Emissions["&amp;this.Year&amp;"]"), INDIRECT($C48&amp;".Emissions[GHG]"), CS$6, INDIRECT($C48&amp;".Emissions[IPCC Sector]"), CS$5),0)</f>
        <v>0</v>
      </c>
      <c r="CT48" s="1482">
        <f t="shared" ca="1" si="132"/>
        <v>0</v>
      </c>
      <c r="CU48" s="1482">
        <f t="shared" ca="1" si="132"/>
        <v>0</v>
      </c>
      <c r="CV48" s="1482">
        <f t="shared" ca="1" si="132"/>
        <v>0</v>
      </c>
      <c r="CW48" s="1482">
        <f t="shared" ca="1" si="132"/>
        <v>0</v>
      </c>
      <c r="CX48" s="1482">
        <f t="shared" ca="1" si="132"/>
        <v>0</v>
      </c>
      <c r="CY48" s="1482">
        <f t="shared" ca="1" si="132"/>
        <v>0</v>
      </c>
      <c r="CZ48" s="1482">
        <f t="shared" ca="1" si="132"/>
        <v>0</v>
      </c>
      <c r="DA48" s="1482">
        <f t="shared" ca="1" si="132"/>
        <v>0</v>
      </c>
      <c r="DB48" s="1482">
        <f t="shared" ca="1" si="132"/>
        <v>0</v>
      </c>
      <c r="DC48" s="1482">
        <f t="shared" ca="1" si="132"/>
        <v>0</v>
      </c>
      <c r="DD48" s="1482">
        <f t="shared" ca="1" si="132"/>
        <v>0</v>
      </c>
      <c r="DE48" s="1482">
        <f t="shared" ca="1" si="132"/>
        <v>0</v>
      </c>
      <c r="DF48" s="1482">
        <f t="shared" ca="1" si="132"/>
        <v>0</v>
      </c>
      <c r="DH48" s="838">
        <f ca="1">SUM(BO48:DF48)</f>
        <v>0</v>
      </c>
    </row>
    <row r="49" spans="1:112" s="743" customFormat="1" hidden="1" outlineLevel="1">
      <c r="A49" s="1484"/>
      <c r="B49" s="1484"/>
      <c r="C49" s="746" t="s">
        <v>965</v>
      </c>
      <c r="D49" s="521" t="str">
        <f>INDEX(Modules[Module], MATCH($C49, Modules[Code], 0))</f>
        <v>Waste arising</v>
      </c>
      <c r="E49" s="521"/>
      <c r="G49" s="1017">
        <f t="shared" ca="1" si="124"/>
        <v>0</v>
      </c>
      <c r="H49" s="1017">
        <f t="shared" ca="1" si="124"/>
        <v>0</v>
      </c>
      <c r="I49" s="1017">
        <f t="shared" ca="1" si="124"/>
        <v>0</v>
      </c>
      <c r="J49" s="1017">
        <f t="shared" ca="1" si="124"/>
        <v>0</v>
      </c>
      <c r="K49" s="1017">
        <f t="shared" ca="1" si="124"/>
        <v>0</v>
      </c>
      <c r="L49" s="1017">
        <f t="shared" ca="1" si="124"/>
        <v>0</v>
      </c>
      <c r="M49" s="1017">
        <f t="shared" ca="1" si="124"/>
        <v>0</v>
      </c>
      <c r="N49" s="1017">
        <f t="shared" ca="1" si="124"/>
        <v>0</v>
      </c>
      <c r="O49" s="1017">
        <f t="shared" ca="1" si="124"/>
        <v>0</v>
      </c>
      <c r="P49" s="1017">
        <f t="shared" ca="1" si="124"/>
        <v>0</v>
      </c>
      <c r="Q49" s="1019">
        <f ca="1">SUM(G49:P49)</f>
        <v>0</v>
      </c>
      <c r="S49" s="1026">
        <f t="shared" ca="1" si="125"/>
        <v>0</v>
      </c>
      <c r="T49" s="1026">
        <f t="shared" ca="1" si="125"/>
        <v>0</v>
      </c>
      <c r="U49" s="1026">
        <f t="shared" ca="1" si="125"/>
        <v>0</v>
      </c>
      <c r="V49" s="1026">
        <f t="shared" ca="1" si="125"/>
        <v>0</v>
      </c>
      <c r="W49" s="1026">
        <f t="shared" ca="1" si="125"/>
        <v>0</v>
      </c>
      <c r="X49" s="1026">
        <f t="shared" ca="1" si="126"/>
        <v>67.164006122605386</v>
      </c>
      <c r="Y49" s="1026">
        <f t="shared" ca="1" si="126"/>
        <v>0</v>
      </c>
      <c r="Z49" s="1026">
        <f t="shared" ca="1" si="126"/>
        <v>0</v>
      </c>
      <c r="AA49" s="1026">
        <f t="shared" ca="1" si="125"/>
        <v>0</v>
      </c>
      <c r="AB49" s="1026">
        <f t="shared" ca="1" si="125"/>
        <v>0</v>
      </c>
      <c r="AC49" s="1026">
        <f t="shared" ca="1" si="125"/>
        <v>0</v>
      </c>
      <c r="AD49" s="1026">
        <f t="shared" ca="1" si="125"/>
        <v>0</v>
      </c>
      <c r="AE49" s="1026">
        <f t="shared" ca="1" si="125"/>
        <v>0</v>
      </c>
      <c r="AF49" s="1026">
        <f t="shared" ca="1" si="125"/>
        <v>29.574727373194271</v>
      </c>
      <c r="AG49" s="1026">
        <f t="shared" ca="1" si="125"/>
        <v>8.3849159141420095</v>
      </c>
      <c r="AH49" s="1026">
        <f t="shared" ca="1" si="125"/>
        <v>17.426885093820637</v>
      </c>
      <c r="AI49" s="1026">
        <f t="shared" ca="1" si="125"/>
        <v>0</v>
      </c>
      <c r="AJ49" s="1026">
        <f t="shared" ca="1" si="125"/>
        <v>0</v>
      </c>
      <c r="AK49" s="1027">
        <f ca="1">SUM(S49:AJ49)</f>
        <v>122.55053450376232</v>
      </c>
      <c r="AM49" s="1038">
        <f t="shared" ca="1" si="127"/>
        <v>0</v>
      </c>
      <c r="AN49" s="1038">
        <f t="shared" ca="1" si="127"/>
        <v>0</v>
      </c>
      <c r="AO49" s="1038">
        <f t="shared" ca="1" si="127"/>
        <v>0</v>
      </c>
      <c r="AP49" s="1038">
        <f t="shared" ca="1" si="127"/>
        <v>0</v>
      </c>
      <c r="AQ49" s="1038">
        <f t="shared" ca="1" si="127"/>
        <v>0</v>
      </c>
      <c r="AR49" s="1038">
        <f t="shared" ca="1" si="127"/>
        <v>0</v>
      </c>
      <c r="AS49" s="1038">
        <f t="shared" ca="1" si="127"/>
        <v>0</v>
      </c>
      <c r="AT49" s="1038">
        <f t="shared" ca="1" si="127"/>
        <v>0</v>
      </c>
      <c r="AU49" s="1038">
        <f t="shared" ca="1" si="127"/>
        <v>0</v>
      </c>
      <c r="AV49" s="1038">
        <f t="shared" ca="1" si="125"/>
        <v>0</v>
      </c>
      <c r="AW49" s="1038">
        <f t="shared" ca="1" si="125"/>
        <v>0</v>
      </c>
      <c r="AX49" s="1038">
        <f t="shared" ca="1" si="125"/>
        <v>0</v>
      </c>
      <c r="AY49" s="1038">
        <f t="shared" ca="1" si="125"/>
        <v>0</v>
      </c>
      <c r="AZ49" s="1038">
        <f t="shared" ca="1" si="125"/>
        <v>0</v>
      </c>
      <c r="BA49" s="1038">
        <f t="shared" ca="1" si="125"/>
        <v>0</v>
      </c>
      <c r="BB49" s="1038">
        <f t="shared" ca="1" si="125"/>
        <v>0</v>
      </c>
      <c r="BC49" s="1038">
        <f t="shared" ca="1" si="125"/>
        <v>0</v>
      </c>
      <c r="BD49" s="1038">
        <f t="shared" ca="1" si="125"/>
        <v>0</v>
      </c>
      <c r="BE49" s="1038">
        <f t="shared" ca="1" si="125"/>
        <v>-122.55053450376231</v>
      </c>
      <c r="BF49" s="979">
        <f ca="1">SUM(AM49:BE49)</f>
        <v>-122.55053450376231</v>
      </c>
      <c r="BH49" s="1032">
        <f t="shared" ca="1" si="128"/>
        <v>0</v>
      </c>
      <c r="BI49" s="1032">
        <f t="shared" ca="1" si="128"/>
        <v>0</v>
      </c>
      <c r="BJ49" s="1034">
        <f ca="1">SUM(BH49:BI49)</f>
        <v>0</v>
      </c>
      <c r="BL49" s="814"/>
      <c r="BM49" s="814"/>
      <c r="BN49" s="840"/>
      <c r="BO49" s="1481">
        <f t="shared" ca="1" si="129"/>
        <v>0</v>
      </c>
      <c r="BP49" s="1482">
        <f t="shared" ca="1" si="129"/>
        <v>0</v>
      </c>
      <c r="BQ49" s="1482">
        <f t="shared" ca="1" si="129"/>
        <v>0</v>
      </c>
      <c r="BR49" s="1482">
        <f t="shared" ca="1" si="129"/>
        <v>0</v>
      </c>
      <c r="BS49" s="1482">
        <f t="shared" ca="1" si="129"/>
        <v>0</v>
      </c>
      <c r="BT49" s="1482">
        <f t="shared" ca="1" si="129"/>
        <v>0</v>
      </c>
      <c r="BU49" s="1482">
        <f t="shared" ca="1" si="129"/>
        <v>0</v>
      </c>
      <c r="BV49" s="1482">
        <f t="shared" ca="1" si="129"/>
        <v>0</v>
      </c>
      <c r="BW49" s="1482">
        <f t="shared" ca="1" si="129"/>
        <v>0</v>
      </c>
      <c r="BX49" s="1482">
        <f t="shared" ca="1" si="129"/>
        <v>0</v>
      </c>
      <c r="BY49" s="1482">
        <f t="shared" ca="1" si="130"/>
        <v>0</v>
      </c>
      <c r="BZ49" s="1482">
        <f t="shared" ca="1" si="130"/>
        <v>0</v>
      </c>
      <c r="CA49" s="1482">
        <f t="shared" ca="1" si="130"/>
        <v>0</v>
      </c>
      <c r="CB49" s="1482">
        <f t="shared" ca="1" si="130"/>
        <v>0</v>
      </c>
      <c r="CC49" s="1482">
        <f t="shared" ca="1" si="130"/>
        <v>0</v>
      </c>
      <c r="CD49" s="1482">
        <f t="shared" ca="1" si="130"/>
        <v>0</v>
      </c>
      <c r="CE49" s="1482">
        <f t="shared" ca="1" si="130"/>
        <v>0</v>
      </c>
      <c r="CF49" s="1482">
        <f t="shared" ca="1" si="130"/>
        <v>0</v>
      </c>
      <c r="CG49" s="1482">
        <f t="shared" ca="1" si="130"/>
        <v>0</v>
      </c>
      <c r="CH49" s="1482">
        <f t="shared" ca="1" si="130"/>
        <v>0</v>
      </c>
      <c r="CI49" s="1482">
        <f t="shared" ca="1" si="131"/>
        <v>0</v>
      </c>
      <c r="CJ49" s="1482">
        <f t="shared" ca="1" si="131"/>
        <v>0</v>
      </c>
      <c r="CK49" s="1482">
        <f t="shared" ca="1" si="131"/>
        <v>0</v>
      </c>
      <c r="CL49" s="1482">
        <f t="shared" ca="1" si="131"/>
        <v>0</v>
      </c>
      <c r="CM49" s="1482">
        <f t="shared" ca="1" si="131"/>
        <v>0</v>
      </c>
      <c r="CN49" s="1482">
        <f t="shared" ca="1" si="131"/>
        <v>20.77382567529882</v>
      </c>
      <c r="CO49" s="1482">
        <f t="shared" ca="1" si="131"/>
        <v>1.3629948850573201</v>
      </c>
      <c r="CP49" s="1482">
        <f t="shared" ca="1" si="131"/>
        <v>0</v>
      </c>
      <c r="CQ49" s="1482">
        <f t="shared" ca="1" si="131"/>
        <v>0</v>
      </c>
      <c r="CR49" s="1482">
        <f t="shared" ca="1" si="131"/>
        <v>0</v>
      </c>
      <c r="CS49" s="1482">
        <f t="shared" ca="1" si="132"/>
        <v>0</v>
      </c>
      <c r="CT49" s="1482">
        <f t="shared" ca="1" si="132"/>
        <v>0</v>
      </c>
      <c r="CU49" s="1482">
        <f t="shared" ca="1" si="132"/>
        <v>0</v>
      </c>
      <c r="CV49" s="1482">
        <f t="shared" ca="1" si="132"/>
        <v>0</v>
      </c>
      <c r="CW49" s="1482">
        <f t="shared" ca="1" si="132"/>
        <v>0</v>
      </c>
      <c r="CX49" s="1482">
        <f t="shared" ca="1" si="132"/>
        <v>0</v>
      </c>
      <c r="CY49" s="1482">
        <f t="shared" ca="1" si="132"/>
        <v>0</v>
      </c>
      <c r="CZ49" s="1482">
        <f t="shared" ca="1" si="132"/>
        <v>0</v>
      </c>
      <c r="DA49" s="1482">
        <f t="shared" ca="1" si="132"/>
        <v>0</v>
      </c>
      <c r="DB49" s="1482">
        <f t="shared" ca="1" si="132"/>
        <v>0</v>
      </c>
      <c r="DC49" s="1482">
        <f t="shared" ca="1" si="132"/>
        <v>0</v>
      </c>
      <c r="DD49" s="1482">
        <f t="shared" ca="1" si="132"/>
        <v>0</v>
      </c>
      <c r="DE49" s="1482">
        <f t="shared" ca="1" si="132"/>
        <v>0</v>
      </c>
      <c r="DF49" s="1482">
        <f t="shared" ca="1" si="132"/>
        <v>0</v>
      </c>
      <c r="DH49" s="838">
        <f t="shared" ca="1" si="123"/>
        <v>22.136820560356139</v>
      </c>
    </row>
    <row r="50" spans="1:112" s="743" customFormat="1" ht="12.75" hidden="1" customHeight="1" outlineLevel="1">
      <c r="A50" s="1484"/>
      <c r="B50" s="1484"/>
      <c r="C50" s="746" t="s">
        <v>924</v>
      </c>
      <c r="D50" s="1010" t="str">
        <f>INDEX(Modules[Module], MATCH($C50, Modules[Code], 0))</f>
        <v>Agriculture and land use</v>
      </c>
      <c r="E50" s="1010"/>
      <c r="G50" s="1022">
        <f t="shared" ref="G50:P50" ca="1" si="133">IFERROR(INDEX(INDIRECT($C50&amp;".Outputs["&amp;this.Year&amp;"]"), MATCH(G$5, INDIRECT($C50&amp;".Outputs[Vector]"), 0)), 0)</f>
        <v>0</v>
      </c>
      <c r="H50" s="1022">
        <f t="shared" ca="1" si="133"/>
        <v>0</v>
      </c>
      <c r="I50" s="1022">
        <f t="shared" ca="1" si="133"/>
        <v>10.704748994571533</v>
      </c>
      <c r="J50" s="1022">
        <f t="shared" ca="1" si="133"/>
        <v>0</v>
      </c>
      <c r="K50" s="1022">
        <f t="shared" ca="1" si="133"/>
        <v>0</v>
      </c>
      <c r="L50" s="1022">
        <f t="shared" ca="1" si="133"/>
        <v>0</v>
      </c>
      <c r="M50" s="1022">
        <f t="shared" ca="1" si="133"/>
        <v>0</v>
      </c>
      <c r="N50" s="1022">
        <f t="shared" ca="1" si="133"/>
        <v>0</v>
      </c>
      <c r="O50" s="1022">
        <f t="shared" ca="1" si="133"/>
        <v>0</v>
      </c>
      <c r="P50" s="1022">
        <f t="shared" ca="1" si="133"/>
        <v>0</v>
      </c>
      <c r="Q50" s="1020">
        <f ca="1">SUM(G50:P50)</f>
        <v>10.704748994571533</v>
      </c>
      <c r="S50" s="1031">
        <f t="shared" ref="S50:AJ50" ca="1" si="134">IFERROR(INDEX(INDIRECT($C50&amp;".Outputs["&amp;this.Year&amp;"]"), MATCH(S$5, INDIRECT($C50&amp;".Outputs[Vector]"), 0)), 0)</f>
        <v>-4.2818995978286134</v>
      </c>
      <c r="T50" s="1031">
        <f t="shared" ca="1" si="134"/>
        <v>0</v>
      </c>
      <c r="U50" s="1031">
        <f t="shared" ca="1" si="134"/>
        <v>-0.85637991956572268</v>
      </c>
      <c r="V50" s="1031">
        <f t="shared" ca="1" si="134"/>
        <v>-3.5325671682086059</v>
      </c>
      <c r="W50" s="1031">
        <f t="shared" ca="1" si="134"/>
        <v>-2.0339023089685915</v>
      </c>
      <c r="X50" s="1031">
        <f t="shared" ca="1" si="126"/>
        <v>0</v>
      </c>
      <c r="Y50" s="1031">
        <f t="shared" ca="1" si="126"/>
        <v>0</v>
      </c>
      <c r="Z50" s="1031">
        <f t="shared" ca="1" si="126"/>
        <v>0</v>
      </c>
      <c r="AA50" s="1031">
        <f t="shared" ca="1" si="134"/>
        <v>0</v>
      </c>
      <c r="AB50" s="1031">
        <f t="shared" ca="1" si="134"/>
        <v>0</v>
      </c>
      <c r="AC50" s="1031">
        <f t="shared" ca="1" si="134"/>
        <v>0</v>
      </c>
      <c r="AD50" s="1031">
        <f t="shared" ca="1" si="134"/>
        <v>14.367659141861198</v>
      </c>
      <c r="AE50" s="1031">
        <f t="shared" ca="1" si="134"/>
        <v>1.3088625103410589</v>
      </c>
      <c r="AF50" s="1031">
        <f t="shared" ca="1" si="134"/>
        <v>4.473005871885702</v>
      </c>
      <c r="AG50" s="1031">
        <f t="shared" ca="1" si="134"/>
        <v>24.942243591742606</v>
      </c>
      <c r="AH50" s="1031">
        <f t="shared" ca="1" si="134"/>
        <v>0</v>
      </c>
      <c r="AI50" s="1031">
        <f t="shared" ca="1" si="134"/>
        <v>0</v>
      </c>
      <c r="AJ50" s="1031">
        <f t="shared" ca="1" si="134"/>
        <v>0</v>
      </c>
      <c r="AK50" s="1030">
        <f ca="1">SUM(S50:AJ50)</f>
        <v>34.387022121259029</v>
      </c>
      <c r="AM50" s="1042">
        <f t="shared" ca="1" si="127"/>
        <v>0</v>
      </c>
      <c r="AN50" s="1042">
        <f t="shared" ca="1" si="127"/>
        <v>0</v>
      </c>
      <c r="AO50" s="1042">
        <f t="shared" ca="1" si="127"/>
        <v>0</v>
      </c>
      <c r="AP50" s="1042">
        <f t="shared" ca="1" si="127"/>
        <v>0</v>
      </c>
      <c r="AQ50" s="1042">
        <f t="shared" ca="1" si="127"/>
        <v>0</v>
      </c>
      <c r="AR50" s="1042">
        <f t="shared" ca="1" si="127"/>
        <v>0</v>
      </c>
      <c r="AS50" s="1042">
        <f t="shared" ca="1" si="127"/>
        <v>0</v>
      </c>
      <c r="AT50" s="1042">
        <f t="shared" ca="1" si="127"/>
        <v>0</v>
      </c>
      <c r="AU50" s="1042">
        <f t="shared" ca="1" si="127"/>
        <v>0</v>
      </c>
      <c r="AV50" s="1042">
        <f t="shared" ref="AV50:BE50" ca="1" si="135">IFERROR(INDEX(INDIRECT($C50&amp;".Outputs["&amp;this.Year&amp;"]"), MATCH(AV$5, INDIRECT($C50&amp;".Outputs[Vector]"), 0)), 0)</f>
        <v>0</v>
      </c>
      <c r="AW50" s="1042">
        <f t="shared" ca="1" si="135"/>
        <v>0</v>
      </c>
      <c r="AX50" s="1042">
        <f t="shared" ca="1" si="135"/>
        <v>0</v>
      </c>
      <c r="AY50" s="1042">
        <f t="shared" ca="1" si="135"/>
        <v>0</v>
      </c>
      <c r="AZ50" s="1042">
        <f t="shared" ca="1" si="135"/>
        <v>0</v>
      </c>
      <c r="BA50" s="1042">
        <f t="shared" ca="1" si="135"/>
        <v>0</v>
      </c>
      <c r="BB50" s="1042">
        <f t="shared" ca="1" si="135"/>
        <v>0</v>
      </c>
      <c r="BC50" s="1042">
        <f t="shared" ca="1" si="135"/>
        <v>0</v>
      </c>
      <c r="BD50" s="1042">
        <f t="shared" ca="1" si="135"/>
        <v>-15.676521652202258</v>
      </c>
      <c r="BE50" s="1042">
        <f t="shared" ca="1" si="135"/>
        <v>-29.415249463628307</v>
      </c>
      <c r="BF50" s="1012">
        <f ca="1">SUM(AM50:BE50)</f>
        <v>-45.091771115830568</v>
      </c>
      <c r="BH50" s="1036">
        <f t="shared" ca="1" si="128"/>
        <v>0</v>
      </c>
      <c r="BI50" s="1036">
        <f t="shared" ca="1" si="128"/>
        <v>0</v>
      </c>
      <c r="BJ50" s="1035">
        <f ca="1">SUM(BH50:BI50)</f>
        <v>0</v>
      </c>
      <c r="BL50" s="814">
        <f ca="1">Q50+AK50+BF50+BJ50</f>
        <v>-7.1054273576010019E-15</v>
      </c>
      <c r="BM50" s="814"/>
      <c r="BN50" s="840"/>
      <c r="BO50" s="1485">
        <f t="shared" ca="1" si="129"/>
        <v>1.5211448321286147</v>
      </c>
      <c r="BP50" s="1486">
        <f t="shared" ca="1" si="129"/>
        <v>2.6245091133459005E-3</v>
      </c>
      <c r="BQ50" s="1486">
        <f t="shared" ca="1" si="129"/>
        <v>1.903292433569885E-2</v>
      </c>
      <c r="BR50" s="1486">
        <f t="shared" ca="1" si="129"/>
        <v>0</v>
      </c>
      <c r="BS50" s="1486">
        <f t="shared" ca="1" si="129"/>
        <v>0</v>
      </c>
      <c r="BT50" s="1486">
        <f t="shared" ca="1" si="129"/>
        <v>0</v>
      </c>
      <c r="BU50" s="1486">
        <f t="shared" ca="1" si="129"/>
        <v>0</v>
      </c>
      <c r="BV50" s="1486">
        <f t="shared" ca="1" si="129"/>
        <v>0</v>
      </c>
      <c r="BW50" s="1486">
        <f t="shared" ca="1" si="129"/>
        <v>0</v>
      </c>
      <c r="BX50" s="1486">
        <f t="shared" ca="1" si="129"/>
        <v>0</v>
      </c>
      <c r="BY50" s="1486">
        <f t="shared" ca="1" si="130"/>
        <v>0</v>
      </c>
      <c r="BZ50" s="1486">
        <f t="shared" ca="1" si="130"/>
        <v>0</v>
      </c>
      <c r="CA50" s="1486">
        <f t="shared" ca="1" si="130"/>
        <v>0</v>
      </c>
      <c r="CB50" s="1486">
        <f t="shared" ca="1" si="130"/>
        <v>0</v>
      </c>
      <c r="CC50" s="1486">
        <f t="shared" ca="1" si="130"/>
        <v>0</v>
      </c>
      <c r="CD50" s="1486">
        <f t="shared" ca="1" si="130"/>
        <v>0</v>
      </c>
      <c r="CE50" s="1486">
        <f t="shared" ca="1" si="130"/>
        <v>0</v>
      </c>
      <c r="CF50" s="1486">
        <f t="shared" ca="1" si="130"/>
        <v>17.381413669677077</v>
      </c>
      <c r="CG50" s="1486">
        <f t="shared" ca="1" si="130"/>
        <v>21.417599999999993</v>
      </c>
      <c r="CH50" s="1486">
        <f t="shared" ca="1" si="130"/>
        <v>0</v>
      </c>
      <c r="CI50" s="1486">
        <f t="shared" ca="1" si="131"/>
        <v>8.7632357212518119</v>
      </c>
      <c r="CJ50" s="1486">
        <f t="shared" ca="1" si="131"/>
        <v>0</v>
      </c>
      <c r="CK50" s="1486">
        <f t="shared" ca="1" si="131"/>
        <v>0</v>
      </c>
      <c r="CL50" s="1486">
        <f t="shared" ca="1" si="131"/>
        <v>0</v>
      </c>
      <c r="CM50" s="1486">
        <f t="shared" ca="1" si="131"/>
        <v>0</v>
      </c>
      <c r="CN50" s="1486">
        <f t="shared" ca="1" si="131"/>
        <v>0</v>
      </c>
      <c r="CO50" s="1486">
        <f t="shared" ca="1" si="131"/>
        <v>0</v>
      </c>
      <c r="CP50" s="1486">
        <f t="shared" ca="1" si="131"/>
        <v>0</v>
      </c>
      <c r="CQ50" s="1486">
        <f t="shared" ca="1" si="131"/>
        <v>0</v>
      </c>
      <c r="CR50" s="1486">
        <f t="shared" ca="1" si="131"/>
        <v>0</v>
      </c>
      <c r="CS50" s="1486">
        <f t="shared" ca="1" si="132"/>
        <v>0</v>
      </c>
      <c r="CT50" s="1486">
        <f t="shared" ca="1" si="132"/>
        <v>0</v>
      </c>
      <c r="CU50" s="1486">
        <f t="shared" ca="1" si="132"/>
        <v>0</v>
      </c>
      <c r="CV50" s="1486">
        <f t="shared" ca="1" si="132"/>
        <v>0</v>
      </c>
      <c r="CW50" s="1486">
        <f t="shared" ca="1" si="132"/>
        <v>0</v>
      </c>
      <c r="CX50" s="1486">
        <f t="shared" ca="1" si="132"/>
        <v>0</v>
      </c>
      <c r="CY50" s="1486">
        <f t="shared" ca="1" si="132"/>
        <v>0</v>
      </c>
      <c r="CZ50" s="1486">
        <f t="shared" ca="1" si="132"/>
        <v>0</v>
      </c>
      <c r="DA50" s="1486">
        <f t="shared" ca="1" si="132"/>
        <v>0</v>
      </c>
      <c r="DB50" s="1486">
        <f t="shared" ca="1" si="132"/>
        <v>0</v>
      </c>
      <c r="DC50" s="1486">
        <f t="shared" ca="1" si="132"/>
        <v>0</v>
      </c>
      <c r="DD50" s="1486">
        <f t="shared" ca="1" si="132"/>
        <v>0</v>
      </c>
      <c r="DE50" s="1486">
        <f t="shared" ca="1" si="132"/>
        <v>0</v>
      </c>
      <c r="DF50" s="1486">
        <f t="shared" ca="1" si="132"/>
        <v>0</v>
      </c>
      <c r="DH50" s="838">
        <f t="shared" ca="1" si="123"/>
        <v>49.105051656506539</v>
      </c>
    </row>
    <row r="51" spans="1:112" s="743" customFormat="1" ht="15.75" collapsed="1">
      <c r="A51" s="22"/>
      <c r="B51" s="753"/>
      <c r="C51" s="744" t="s">
        <v>672</v>
      </c>
      <c r="D51" s="517" t="str">
        <f>INDEX(Workstreams[Workstream], MATCH($C51, Workstreams[Code], 0))</f>
        <v>Agriculture and waste</v>
      </c>
      <c r="E51" s="512"/>
      <c r="G51" s="1021">
        <f ca="1">SUM(G48:G50)</f>
        <v>0</v>
      </c>
      <c r="H51" s="1021">
        <f t="shared" ref="H51:P51" ca="1" si="136">SUM(H48:H50)</f>
        <v>0</v>
      </c>
      <c r="I51" s="1021">
        <f t="shared" ca="1" si="136"/>
        <v>10.704748994571533</v>
      </c>
      <c r="J51" s="1021">
        <f t="shared" ca="1" si="136"/>
        <v>0</v>
      </c>
      <c r="K51" s="1021">
        <f t="shared" ca="1" si="136"/>
        <v>0</v>
      </c>
      <c r="L51" s="1021">
        <f t="shared" ca="1" si="136"/>
        <v>0</v>
      </c>
      <c r="M51" s="1021">
        <f t="shared" ca="1" si="136"/>
        <v>0</v>
      </c>
      <c r="N51" s="1021">
        <f t="shared" ca="1" si="136"/>
        <v>0</v>
      </c>
      <c r="O51" s="1021">
        <f t="shared" ca="1" si="136"/>
        <v>0</v>
      </c>
      <c r="P51" s="1021">
        <f t="shared" ca="1" si="136"/>
        <v>0</v>
      </c>
      <c r="Q51" s="1021">
        <f ca="1">SUM(G51:P51)</f>
        <v>10.704748994571533</v>
      </c>
      <c r="S51" s="970">
        <f t="shared" ref="S51:AJ51" ca="1" si="137">SUM(S48:S50)</f>
        <v>-4.2818995978286134</v>
      </c>
      <c r="T51" s="970">
        <f t="shared" ca="1" si="137"/>
        <v>0</v>
      </c>
      <c r="U51" s="970">
        <f t="shared" ca="1" si="137"/>
        <v>-0.85637991956572268</v>
      </c>
      <c r="V51" s="970">
        <f t="shared" ca="1" si="137"/>
        <v>-3.5325671682086059</v>
      </c>
      <c r="W51" s="970">
        <f t="shared" ca="1" si="137"/>
        <v>-2.0339023089685915</v>
      </c>
      <c r="X51" s="970">
        <f t="shared" ca="1" si="137"/>
        <v>67.164006122605386</v>
      </c>
      <c r="Y51" s="970">
        <f t="shared" ca="1" si="137"/>
        <v>0</v>
      </c>
      <c r="Z51" s="970">
        <f t="shared" ca="1" si="137"/>
        <v>0</v>
      </c>
      <c r="AA51" s="970">
        <f t="shared" ca="1" si="137"/>
        <v>0</v>
      </c>
      <c r="AB51" s="970">
        <f t="shared" ca="1" si="137"/>
        <v>0</v>
      </c>
      <c r="AC51" s="970">
        <f t="shared" ca="1" si="137"/>
        <v>0</v>
      </c>
      <c r="AD51" s="970">
        <f t="shared" ca="1" si="137"/>
        <v>14.367659141861198</v>
      </c>
      <c r="AE51" s="970">
        <f ca="1">SUM(AE48:AE50)</f>
        <v>1.3088625103410589</v>
      </c>
      <c r="AF51" s="970">
        <f t="shared" ca="1" si="137"/>
        <v>34.047733245079975</v>
      </c>
      <c r="AG51" s="970">
        <f t="shared" ca="1" si="137"/>
        <v>33.327159505884616</v>
      </c>
      <c r="AH51" s="970">
        <f ca="1">SUM(AH48:AH50)</f>
        <v>17.426885093820637</v>
      </c>
      <c r="AI51" s="970">
        <f t="shared" ca="1" si="137"/>
        <v>0</v>
      </c>
      <c r="AJ51" s="970">
        <f t="shared" ca="1" si="137"/>
        <v>0</v>
      </c>
      <c r="AK51" s="970">
        <f ca="1">SUM(S51:AJ51)</f>
        <v>156.93755662502133</v>
      </c>
      <c r="AM51" s="976">
        <f t="shared" ref="AM51:BE51" ca="1" si="138">SUM(AM48:AM50)</f>
        <v>0</v>
      </c>
      <c r="AN51" s="976">
        <f t="shared" ca="1" si="138"/>
        <v>0</v>
      </c>
      <c r="AO51" s="976">
        <f t="shared" ca="1" si="138"/>
        <v>0</v>
      </c>
      <c r="AP51" s="976">
        <f t="shared" ca="1" si="138"/>
        <v>0</v>
      </c>
      <c r="AQ51" s="976">
        <f t="shared" ca="1" si="138"/>
        <v>0</v>
      </c>
      <c r="AR51" s="976">
        <f t="shared" ca="1" si="138"/>
        <v>0</v>
      </c>
      <c r="AS51" s="976">
        <f t="shared" ca="1" si="138"/>
        <v>0</v>
      </c>
      <c r="AT51" s="976">
        <f t="shared" ca="1" si="138"/>
        <v>0</v>
      </c>
      <c r="AU51" s="976">
        <f t="shared" ca="1" si="138"/>
        <v>0</v>
      </c>
      <c r="AV51" s="976">
        <f t="shared" ca="1" si="138"/>
        <v>0</v>
      </c>
      <c r="AW51" s="976">
        <f t="shared" ca="1" si="138"/>
        <v>0</v>
      </c>
      <c r="AX51" s="976">
        <f t="shared" ca="1" si="138"/>
        <v>0</v>
      </c>
      <c r="AY51" s="976">
        <f t="shared" ca="1" si="138"/>
        <v>0</v>
      </c>
      <c r="AZ51" s="976">
        <f t="shared" ca="1" si="138"/>
        <v>0</v>
      </c>
      <c r="BA51" s="976">
        <f t="shared" ca="1" si="138"/>
        <v>0</v>
      </c>
      <c r="BB51" s="976">
        <f t="shared" ca="1" si="138"/>
        <v>0</v>
      </c>
      <c r="BC51" s="976">
        <f t="shared" ca="1" si="138"/>
        <v>0</v>
      </c>
      <c r="BD51" s="976">
        <f t="shared" ca="1" si="138"/>
        <v>-15.676521652202258</v>
      </c>
      <c r="BE51" s="976">
        <f t="shared" ca="1" si="138"/>
        <v>-151.96578396739062</v>
      </c>
      <c r="BF51" s="976">
        <f ca="1">SUM(AM51:BE51)</f>
        <v>-167.64230561959289</v>
      </c>
      <c r="BH51" s="990">
        <f ca="1">SUM(BH48:BH50)</f>
        <v>0</v>
      </c>
      <c r="BI51" s="990">
        <f ca="1">SUM(BI48:BI50)</f>
        <v>0</v>
      </c>
      <c r="BJ51" s="990">
        <f ca="1">SUM(BH51:BI51)</f>
        <v>0</v>
      </c>
      <c r="BL51" s="515">
        <f ca="1">Q51+AK51+BF51+BJ51</f>
        <v>-2.8421709430404007E-14</v>
      </c>
      <c r="BM51" s="515"/>
      <c r="BN51" s="840"/>
      <c r="BO51" s="1482">
        <f t="shared" ref="BO51:DF51" ca="1" si="139">SUM(BO48:BO50)</f>
        <v>1.5211448321286147</v>
      </c>
      <c r="BP51" s="1482">
        <f t="shared" ca="1" si="139"/>
        <v>2.6245091133459005E-3</v>
      </c>
      <c r="BQ51" s="1482">
        <f t="shared" ca="1" si="139"/>
        <v>1.903292433569885E-2</v>
      </c>
      <c r="BR51" s="1482">
        <f t="shared" ca="1" si="139"/>
        <v>0</v>
      </c>
      <c r="BS51" s="1482">
        <f t="shared" ca="1" si="139"/>
        <v>0</v>
      </c>
      <c r="BT51" s="1482">
        <f t="shared" ca="1" si="139"/>
        <v>0</v>
      </c>
      <c r="BU51" s="1482">
        <f t="shared" ca="1" si="139"/>
        <v>0</v>
      </c>
      <c r="BV51" s="1482">
        <f t="shared" ca="1" si="139"/>
        <v>0</v>
      </c>
      <c r="BW51" s="1482">
        <f t="shared" ca="1" si="139"/>
        <v>0</v>
      </c>
      <c r="BX51" s="1482">
        <f t="shared" ca="1" si="139"/>
        <v>0</v>
      </c>
      <c r="BY51" s="1482">
        <f t="shared" ca="1" si="139"/>
        <v>0</v>
      </c>
      <c r="BZ51" s="1482">
        <f t="shared" ca="1" si="139"/>
        <v>0</v>
      </c>
      <c r="CA51" s="1482">
        <f t="shared" ca="1" si="139"/>
        <v>0</v>
      </c>
      <c r="CB51" s="1482">
        <f t="shared" ca="1" si="139"/>
        <v>0</v>
      </c>
      <c r="CC51" s="1482">
        <f t="shared" ca="1" si="139"/>
        <v>0</v>
      </c>
      <c r="CD51" s="1482">
        <f t="shared" ca="1" si="139"/>
        <v>0</v>
      </c>
      <c r="CE51" s="1482">
        <f t="shared" ca="1" si="139"/>
        <v>0</v>
      </c>
      <c r="CF51" s="1482">
        <f t="shared" ca="1" si="139"/>
        <v>17.381413669677077</v>
      </c>
      <c r="CG51" s="1482">
        <f t="shared" ca="1" si="139"/>
        <v>21.417599999999993</v>
      </c>
      <c r="CH51" s="1482">
        <f t="shared" ca="1" si="139"/>
        <v>0</v>
      </c>
      <c r="CI51" s="1482">
        <f t="shared" ca="1" si="139"/>
        <v>8.7632357212518119</v>
      </c>
      <c r="CJ51" s="1482">
        <f t="shared" ca="1" si="139"/>
        <v>0</v>
      </c>
      <c r="CK51" s="1482">
        <f t="shared" ca="1" si="139"/>
        <v>0</v>
      </c>
      <c r="CL51" s="1482">
        <f t="shared" ca="1" si="139"/>
        <v>0</v>
      </c>
      <c r="CM51" s="1482">
        <f t="shared" ca="1" si="139"/>
        <v>0</v>
      </c>
      <c r="CN51" s="1482">
        <f t="shared" ca="1" si="139"/>
        <v>20.77382567529882</v>
      </c>
      <c r="CO51" s="1482">
        <f t="shared" ca="1" si="139"/>
        <v>1.3629948850573201</v>
      </c>
      <c r="CP51" s="1482">
        <f t="shared" ca="1" si="139"/>
        <v>0</v>
      </c>
      <c r="CQ51" s="1482">
        <f t="shared" ca="1" si="139"/>
        <v>0</v>
      </c>
      <c r="CR51" s="1482">
        <f t="shared" ca="1" si="139"/>
        <v>0</v>
      </c>
      <c r="CS51" s="1482">
        <f t="shared" ca="1" si="139"/>
        <v>0</v>
      </c>
      <c r="CT51" s="1482">
        <f t="shared" ca="1" si="139"/>
        <v>0</v>
      </c>
      <c r="CU51" s="1482">
        <f t="shared" ca="1" si="139"/>
        <v>0</v>
      </c>
      <c r="CV51" s="1482">
        <f t="shared" ca="1" si="139"/>
        <v>0</v>
      </c>
      <c r="CW51" s="1482">
        <f t="shared" ca="1" si="139"/>
        <v>0</v>
      </c>
      <c r="CX51" s="1482">
        <f t="shared" ca="1" si="139"/>
        <v>0</v>
      </c>
      <c r="CY51" s="1482">
        <f t="shared" ca="1" si="139"/>
        <v>0</v>
      </c>
      <c r="CZ51" s="1482">
        <f t="shared" ca="1" si="139"/>
        <v>0</v>
      </c>
      <c r="DA51" s="1482">
        <f t="shared" ca="1" si="139"/>
        <v>0</v>
      </c>
      <c r="DB51" s="1482">
        <f t="shared" ca="1" si="139"/>
        <v>0</v>
      </c>
      <c r="DC51" s="1482">
        <f t="shared" ca="1" si="139"/>
        <v>0</v>
      </c>
      <c r="DD51" s="1482">
        <f t="shared" ca="1" si="139"/>
        <v>0</v>
      </c>
      <c r="DE51" s="1482">
        <f t="shared" ca="1" si="139"/>
        <v>0</v>
      </c>
      <c r="DF51" s="1482">
        <f t="shared" ca="1" si="139"/>
        <v>0</v>
      </c>
      <c r="DH51" s="838">
        <f t="shared" ca="1" si="123"/>
        <v>71.241872216862674</v>
      </c>
    </row>
    <row r="52" spans="1:112" s="743" customFormat="1" ht="12.75" hidden="1" customHeight="1" outlineLevel="1">
      <c r="A52" s="22"/>
      <c r="B52" s="22"/>
      <c r="C52" s="751"/>
      <c r="D52" s="512"/>
      <c r="E52" s="512"/>
      <c r="G52" s="958"/>
      <c r="H52" s="958"/>
      <c r="I52" s="958"/>
      <c r="J52" s="958"/>
      <c r="K52" s="960"/>
      <c r="L52" s="958"/>
      <c r="M52" s="958"/>
      <c r="N52" s="958"/>
      <c r="O52" s="958"/>
      <c r="P52" s="958"/>
      <c r="Q52" s="958"/>
      <c r="S52" s="970"/>
      <c r="T52" s="970"/>
      <c r="U52" s="970"/>
      <c r="V52" s="970"/>
      <c r="W52" s="970"/>
      <c r="X52" s="970"/>
      <c r="Y52" s="970"/>
      <c r="Z52" s="970"/>
      <c r="AA52" s="970"/>
      <c r="AB52" s="970"/>
      <c r="AC52" s="970"/>
      <c r="AD52" s="970"/>
      <c r="AE52" s="970"/>
      <c r="AF52" s="970"/>
      <c r="AG52" s="970"/>
      <c r="AH52" s="970"/>
      <c r="AI52" s="970"/>
      <c r="AJ52" s="970"/>
      <c r="AK52" s="970"/>
      <c r="AM52" s="976"/>
      <c r="AN52" s="976"/>
      <c r="AO52" s="976"/>
      <c r="AP52" s="976"/>
      <c r="AQ52" s="976"/>
      <c r="AR52" s="976"/>
      <c r="AS52" s="976"/>
      <c r="AT52" s="976"/>
      <c r="AU52" s="976"/>
      <c r="AV52" s="976"/>
      <c r="AW52" s="976"/>
      <c r="AX52" s="976"/>
      <c r="AY52" s="976"/>
      <c r="AZ52" s="976"/>
      <c r="BA52" s="976"/>
      <c r="BB52" s="976"/>
      <c r="BC52" s="976"/>
      <c r="BD52" s="976"/>
      <c r="BE52" s="976"/>
      <c r="BF52" s="976"/>
      <c r="BH52" s="990"/>
      <c r="BI52" s="990"/>
      <c r="BJ52" s="990"/>
      <c r="BL52" s="515">
        <f>Q52+AK52+BF52+BJ52</f>
        <v>0</v>
      </c>
      <c r="BM52" s="515"/>
      <c r="BN52" s="22"/>
      <c r="BO52" s="1482"/>
      <c r="BP52" s="1482"/>
      <c r="BQ52" s="1482"/>
      <c r="BR52" s="1482"/>
      <c r="BS52" s="1482"/>
      <c r="BT52" s="1482"/>
      <c r="BU52" s="1482"/>
      <c r="BV52" s="1482"/>
      <c r="BW52" s="1482"/>
      <c r="BX52" s="1482"/>
      <c r="BY52" s="1482"/>
      <c r="BZ52" s="1482"/>
      <c r="CA52" s="1482"/>
      <c r="CB52" s="1482"/>
      <c r="CC52" s="1482"/>
      <c r="CD52" s="1482"/>
      <c r="CE52" s="1482"/>
      <c r="CF52" s="1482"/>
      <c r="CG52" s="1482"/>
      <c r="CH52" s="1482"/>
      <c r="CI52" s="1482"/>
      <c r="CJ52" s="1482"/>
      <c r="CK52" s="1482"/>
      <c r="CL52" s="1482"/>
      <c r="CM52" s="1482"/>
      <c r="CN52" s="1482"/>
      <c r="CO52" s="1482"/>
      <c r="CP52" s="1482"/>
      <c r="CQ52" s="1482"/>
      <c r="CR52" s="1482"/>
      <c r="CS52" s="1482"/>
      <c r="CT52" s="1482"/>
      <c r="CU52" s="1482"/>
      <c r="CV52" s="1482"/>
      <c r="CW52" s="1482"/>
      <c r="CX52" s="1482"/>
      <c r="CY52" s="1482"/>
      <c r="CZ52" s="1482"/>
      <c r="DA52" s="1482"/>
      <c r="DB52" s="1482"/>
      <c r="DC52" s="1482"/>
      <c r="DD52" s="1482"/>
      <c r="DE52" s="1482"/>
      <c r="DF52" s="1482"/>
      <c r="DH52" s="838">
        <f t="shared" si="123"/>
        <v>0</v>
      </c>
    </row>
    <row r="53" spans="1:112" s="743" customFormat="1" hidden="1" outlineLevel="1">
      <c r="A53" s="1484"/>
      <c r="B53" s="1484"/>
      <c r="C53" s="522" t="s">
        <v>971</v>
      </c>
      <c r="D53" s="521" t="str">
        <f>INDEX(Modules[Module], MATCH($C53, Modules[Code], 0))</f>
        <v>Petroleum refineries</v>
      </c>
      <c r="E53" s="521"/>
      <c r="G53" s="1017">
        <f t="shared" ref="G53:P54" ca="1" si="140">IFERROR(INDEX(INDIRECT($C53&amp;".Outputs["&amp;this.Year&amp;"]"), MATCH(G$5, INDIRECT($C53&amp;".Outputs[Vector]"), 0)), 0)</f>
        <v>0</v>
      </c>
      <c r="H53" s="1017">
        <f t="shared" ca="1" si="140"/>
        <v>0</v>
      </c>
      <c r="I53" s="1017">
        <f t="shared" ca="1" si="140"/>
        <v>0</v>
      </c>
      <c r="J53" s="1017">
        <f t="shared" ca="1" si="140"/>
        <v>0</v>
      </c>
      <c r="K53" s="1017">
        <f t="shared" ca="1" si="140"/>
        <v>0</v>
      </c>
      <c r="L53" s="1017">
        <f t="shared" ca="1" si="140"/>
        <v>0</v>
      </c>
      <c r="M53" s="1017">
        <f t="shared" ca="1" si="140"/>
        <v>0</v>
      </c>
      <c r="N53" s="1017">
        <f t="shared" ca="1" si="140"/>
        <v>0</v>
      </c>
      <c r="O53" s="1017">
        <f t="shared" ca="1" si="140"/>
        <v>0</v>
      </c>
      <c r="P53" s="1017">
        <f t="shared" ca="1" si="140"/>
        <v>0</v>
      </c>
      <c r="Q53" s="1019">
        <f ca="1">SUM(G53:P53)</f>
        <v>0</v>
      </c>
      <c r="S53" s="1026">
        <f t="shared" ref="S53:BE54" ca="1" si="141">IFERROR(INDEX(INDIRECT($C53&amp;".Outputs["&amp;this.Year&amp;"]"), MATCH(S$5, INDIRECT($C53&amp;".Outputs[Vector]"), 0)), 0)</f>
        <v>-5.8686763151714159</v>
      </c>
      <c r="T53" s="1026">
        <f t="shared" ca="1" si="141"/>
        <v>0</v>
      </c>
      <c r="U53" s="1026">
        <f t="shared" ca="1" si="141"/>
        <v>0</v>
      </c>
      <c r="V53" s="1026">
        <f t="shared" ca="1" si="141"/>
        <v>-48.10193833706969</v>
      </c>
      <c r="W53" s="1026">
        <f t="shared" ca="1" si="141"/>
        <v>-2.1398931228347813</v>
      </c>
      <c r="X53" s="1026">
        <f t="shared" ref="X53:Z54" ca="1" si="142">IFERROR(INDEX(INDIRECT($C53&amp;".Outputs["&amp;this.Year&amp;"]"), MATCH(X$5, INDIRECT($C53&amp;".Outputs[Vector]"), 0)), 0)</f>
        <v>0</v>
      </c>
      <c r="Y53" s="1026">
        <f t="shared" ca="1" si="142"/>
        <v>0</v>
      </c>
      <c r="Z53" s="1026">
        <f t="shared" ca="1" si="142"/>
        <v>0</v>
      </c>
      <c r="AA53" s="1026">
        <f t="shared" ca="1" si="141"/>
        <v>0</v>
      </c>
      <c r="AB53" s="1026">
        <f t="shared" ca="1" si="141"/>
        <v>-0.68916428391786522</v>
      </c>
      <c r="AC53" s="1026">
        <f t="shared" ca="1" si="141"/>
        <v>0</v>
      </c>
      <c r="AD53" s="1026">
        <f t="shared" ca="1" si="141"/>
        <v>0</v>
      </c>
      <c r="AE53" s="1026">
        <f t="shared" ca="1" si="141"/>
        <v>0</v>
      </c>
      <c r="AF53" s="1026">
        <f t="shared" ca="1" si="141"/>
        <v>0</v>
      </c>
      <c r="AG53" s="1026">
        <f t="shared" ca="1" si="141"/>
        <v>0</v>
      </c>
      <c r="AH53" s="1026">
        <f t="shared" ca="1" si="141"/>
        <v>0</v>
      </c>
      <c r="AI53" s="1026">
        <f t="shared" ca="1" si="141"/>
        <v>0</v>
      </c>
      <c r="AJ53" s="1026">
        <f t="shared" ca="1" si="141"/>
        <v>0</v>
      </c>
      <c r="AK53" s="1027">
        <f ca="1">SUM(S53:AJ53)</f>
        <v>-56.799672058993757</v>
      </c>
      <c r="AM53" s="1038">
        <f t="shared" ref="AM53:AU54" ca="1" si="143">IFERROR(INDEX(INDIRECT($C53&amp;".Outputs["&amp;this.Year&amp;"]"), MATCH(AM$5, INDIRECT($C53&amp;".Outputs[Vector]"), 0)), 0)</f>
        <v>0</v>
      </c>
      <c r="AN53" s="1038">
        <f t="shared" ca="1" si="143"/>
        <v>0</v>
      </c>
      <c r="AO53" s="1038">
        <f t="shared" ca="1" si="143"/>
        <v>0</v>
      </c>
      <c r="AP53" s="1038">
        <f t="shared" ca="1" si="143"/>
        <v>0</v>
      </c>
      <c r="AQ53" s="1038">
        <f t="shared" ca="1" si="143"/>
        <v>0</v>
      </c>
      <c r="AR53" s="1038">
        <f t="shared" ca="1" si="143"/>
        <v>0</v>
      </c>
      <c r="AS53" s="1038">
        <f t="shared" ca="1" si="143"/>
        <v>0</v>
      </c>
      <c r="AT53" s="1038">
        <f t="shared" ca="1" si="143"/>
        <v>0</v>
      </c>
      <c r="AU53" s="1038">
        <f t="shared" ca="1" si="143"/>
        <v>0</v>
      </c>
      <c r="AV53" s="1038">
        <f t="shared" ca="1" si="141"/>
        <v>0</v>
      </c>
      <c r="AW53" s="1038">
        <f t="shared" ca="1" si="141"/>
        <v>0</v>
      </c>
      <c r="AX53" s="1038">
        <f t="shared" ca="1" si="141"/>
        <v>0</v>
      </c>
      <c r="AY53" s="1038">
        <f t="shared" ca="1" si="141"/>
        <v>0</v>
      </c>
      <c r="AZ53" s="1038">
        <f t="shared" ca="1" si="141"/>
        <v>0</v>
      </c>
      <c r="BA53" s="1038">
        <f t="shared" ca="1" si="141"/>
        <v>0</v>
      </c>
      <c r="BB53" s="1038">
        <f t="shared" ca="1" si="141"/>
        <v>0</v>
      </c>
      <c r="BC53" s="1038">
        <f t="shared" ca="1" si="141"/>
        <v>0</v>
      </c>
      <c r="BD53" s="1038">
        <f t="shared" ca="1" si="141"/>
        <v>0</v>
      </c>
      <c r="BE53" s="1038">
        <f t="shared" ca="1" si="141"/>
        <v>0</v>
      </c>
      <c r="BF53" s="979">
        <f ca="1">SUM(AM53:BE53)</f>
        <v>0</v>
      </c>
      <c r="BH53" s="1032">
        <f ca="1">IFERROR(INDEX(INDIRECT($C53&amp;".Outputs["&amp;this.Year&amp;"]"), MATCH(BH$5, INDIRECT($C53&amp;".Outputs[Vector]"), 0)), 0)</f>
        <v>0</v>
      </c>
      <c r="BI53" s="1032">
        <f ca="1">IFERROR(INDEX(INDIRECT($C53&amp;".Outputs["&amp;this.Year&amp;"]"), MATCH(BI$5, INDIRECT($C53&amp;".Outputs[Vector]"), 0)), 0)</f>
        <v>56.799672058993757</v>
      </c>
      <c r="BJ53" s="1034">
        <f ca="1">SUM(BH53:BI53)</f>
        <v>56.799672058993757</v>
      </c>
      <c r="BL53" s="814">
        <f ca="1">Q53+AK53+BF53+BJ53</f>
        <v>0</v>
      </c>
      <c r="BM53" s="814"/>
      <c r="BN53" s="840"/>
      <c r="BO53" s="1481">
        <f t="shared" ref="BO53:BX54" ca="1" si="144">IFERROR(SUMIFS(INDIRECT($C53&amp;".Emissions["&amp;this.Year&amp;"]"), INDIRECT($C53&amp;".Emissions[GHG]"), BO$6, INDIRECT($C53&amp;".Emissions[IPCC Sector]"), BO$5),0)</f>
        <v>12.419224918869022</v>
      </c>
      <c r="BP53" s="1482">
        <f t="shared" ca="1" si="144"/>
        <v>1.5760927707292011E-2</v>
      </c>
      <c r="BQ53" s="1482">
        <f t="shared" ca="1" si="144"/>
        <v>0.21721198236167366</v>
      </c>
      <c r="BR53" s="1482">
        <f t="shared" ca="1" si="144"/>
        <v>0</v>
      </c>
      <c r="BS53" s="1482">
        <f t="shared" ca="1" si="144"/>
        <v>0</v>
      </c>
      <c r="BT53" s="1482">
        <f t="shared" ca="1" si="144"/>
        <v>0</v>
      </c>
      <c r="BU53" s="1482">
        <f t="shared" ca="1" si="144"/>
        <v>0</v>
      </c>
      <c r="BV53" s="1482">
        <f t="shared" ca="1" si="144"/>
        <v>0</v>
      </c>
      <c r="BW53" s="1482">
        <f t="shared" ca="1" si="144"/>
        <v>0</v>
      </c>
      <c r="BX53" s="1482">
        <f t="shared" ca="1" si="144"/>
        <v>0</v>
      </c>
      <c r="BY53" s="1482">
        <f t="shared" ref="BY53:CH54" ca="1" si="145">IFERROR(SUMIFS(INDIRECT($C53&amp;".Emissions["&amp;this.Year&amp;"]"), INDIRECT($C53&amp;".Emissions[GHG]"), BY$6, INDIRECT($C53&amp;".Emissions[IPCC Sector]"), BY$5),0)</f>
        <v>0</v>
      </c>
      <c r="BZ53" s="1482">
        <f t="shared" ca="1" si="145"/>
        <v>0</v>
      </c>
      <c r="CA53" s="1482">
        <f t="shared" ca="1" si="145"/>
        <v>0</v>
      </c>
      <c r="CB53" s="1482">
        <f t="shared" ca="1" si="145"/>
        <v>0</v>
      </c>
      <c r="CC53" s="1482">
        <f t="shared" ca="1" si="145"/>
        <v>0</v>
      </c>
      <c r="CD53" s="1482">
        <f t="shared" ca="1" si="145"/>
        <v>0</v>
      </c>
      <c r="CE53" s="1482">
        <f t="shared" ca="1" si="145"/>
        <v>0</v>
      </c>
      <c r="CF53" s="1482">
        <f t="shared" ca="1" si="145"/>
        <v>0</v>
      </c>
      <c r="CG53" s="1482">
        <f t="shared" ca="1" si="145"/>
        <v>0</v>
      </c>
      <c r="CH53" s="1482">
        <f t="shared" ca="1" si="145"/>
        <v>0</v>
      </c>
      <c r="CI53" s="1482">
        <f t="shared" ref="CI53:CR54" ca="1" si="146">IFERROR(SUMIFS(INDIRECT($C53&amp;".Emissions["&amp;this.Year&amp;"]"), INDIRECT($C53&amp;".Emissions[GHG]"), CI$6, INDIRECT($C53&amp;".Emissions[IPCC Sector]"), CI$5),0)</f>
        <v>0</v>
      </c>
      <c r="CJ53" s="1482">
        <f t="shared" ca="1" si="146"/>
        <v>0</v>
      </c>
      <c r="CK53" s="1482">
        <f t="shared" ca="1" si="146"/>
        <v>0</v>
      </c>
      <c r="CL53" s="1482">
        <f t="shared" ca="1" si="146"/>
        <v>0</v>
      </c>
      <c r="CM53" s="1482">
        <f t="shared" ca="1" si="146"/>
        <v>0</v>
      </c>
      <c r="CN53" s="1482">
        <f t="shared" ca="1" si="146"/>
        <v>0</v>
      </c>
      <c r="CO53" s="1482">
        <f t="shared" ca="1" si="146"/>
        <v>0</v>
      </c>
      <c r="CP53" s="1482">
        <f t="shared" ca="1" si="146"/>
        <v>0</v>
      </c>
      <c r="CQ53" s="1482">
        <f t="shared" ca="1" si="146"/>
        <v>0</v>
      </c>
      <c r="CR53" s="1482">
        <f t="shared" ca="1" si="146"/>
        <v>0</v>
      </c>
      <c r="CS53" s="1482">
        <f t="shared" ref="CS53:DF54" ca="1" si="147">IFERROR(SUMIFS(INDIRECT($C53&amp;".Emissions["&amp;this.Year&amp;"]"), INDIRECT($C53&amp;".Emissions[GHG]"), CS$6, INDIRECT($C53&amp;".Emissions[IPCC Sector]"), CS$5),0)</f>
        <v>0</v>
      </c>
      <c r="CT53" s="1482">
        <f t="shared" ca="1" si="147"/>
        <v>0</v>
      </c>
      <c r="CU53" s="1482">
        <f t="shared" ca="1" si="147"/>
        <v>0</v>
      </c>
      <c r="CV53" s="1482">
        <f t="shared" ca="1" si="147"/>
        <v>0</v>
      </c>
      <c r="CW53" s="1482">
        <f t="shared" ca="1" si="147"/>
        <v>0</v>
      </c>
      <c r="CX53" s="1482">
        <f t="shared" ca="1" si="147"/>
        <v>0</v>
      </c>
      <c r="CY53" s="1482">
        <f t="shared" ca="1" si="147"/>
        <v>0</v>
      </c>
      <c r="CZ53" s="1482">
        <f t="shared" ca="1" si="147"/>
        <v>0</v>
      </c>
      <c r="DA53" s="1482">
        <f t="shared" ca="1" si="147"/>
        <v>0</v>
      </c>
      <c r="DB53" s="1482">
        <f t="shared" ca="1" si="147"/>
        <v>0</v>
      </c>
      <c r="DC53" s="1482">
        <f t="shared" ca="1" si="147"/>
        <v>0</v>
      </c>
      <c r="DD53" s="1482">
        <f t="shared" ca="1" si="147"/>
        <v>0</v>
      </c>
      <c r="DE53" s="1482">
        <f t="shared" ca="1" si="147"/>
        <v>0</v>
      </c>
      <c r="DF53" s="1482">
        <f t="shared" ca="1" si="147"/>
        <v>0</v>
      </c>
      <c r="DH53" s="838">
        <f t="shared" ca="1" si="123"/>
        <v>12.652197828937988</v>
      </c>
    </row>
    <row r="54" spans="1:112" s="743" customFormat="1" hidden="1" outlineLevel="1">
      <c r="A54" s="1484"/>
      <c r="B54" s="1484"/>
      <c r="C54" s="522" t="s">
        <v>989</v>
      </c>
      <c r="D54" s="1010" t="str">
        <f>INDEX(Modules[Module], MATCH($C54, Modules[Code], 0))</f>
        <v>Indigenous fossil-fuel production</v>
      </c>
      <c r="E54" s="1010"/>
      <c r="G54" s="1022">
        <f t="shared" ca="1" si="140"/>
        <v>0</v>
      </c>
      <c r="H54" s="1022">
        <f t="shared" ca="1" si="140"/>
        <v>0</v>
      </c>
      <c r="I54" s="1022">
        <f t="shared" ca="1" si="140"/>
        <v>36.164271361271297</v>
      </c>
      <c r="J54" s="1022">
        <f t="shared" ca="1" si="140"/>
        <v>0</v>
      </c>
      <c r="K54" s="1022">
        <f t="shared" ca="1" si="140"/>
        <v>0</v>
      </c>
      <c r="L54" s="1022">
        <f t="shared" ca="1" si="140"/>
        <v>0</v>
      </c>
      <c r="M54" s="1022">
        <f t="shared" ca="1" si="140"/>
        <v>0</v>
      </c>
      <c r="N54" s="1022">
        <f t="shared" ca="1" si="140"/>
        <v>0</v>
      </c>
      <c r="O54" s="1022">
        <f t="shared" ca="1" si="140"/>
        <v>0</v>
      </c>
      <c r="P54" s="1022">
        <f t="shared" ca="1" si="140"/>
        <v>0</v>
      </c>
      <c r="Q54" s="1020">
        <f ca="1">SUM(G54:P54)</f>
        <v>36.164271361271297</v>
      </c>
      <c r="S54" s="1031">
        <f t="shared" ca="1" si="141"/>
        <v>-1.2861445576030515</v>
      </c>
      <c r="T54" s="1031">
        <f t="shared" ca="1" si="141"/>
        <v>0</v>
      </c>
      <c r="U54" s="1031">
        <f t="shared" ca="1" si="141"/>
        <v>-4.4692473051785787E-2</v>
      </c>
      <c r="V54" s="1031">
        <f t="shared" ca="1" si="141"/>
        <v>0</v>
      </c>
      <c r="W54" s="1031">
        <f t="shared" ca="1" si="141"/>
        <v>-34.833434330616463</v>
      </c>
      <c r="X54" s="1031">
        <f t="shared" ca="1" si="142"/>
        <v>124.39544583847987</v>
      </c>
      <c r="Y54" s="1031">
        <f t="shared" ca="1" si="142"/>
        <v>527.86775447758896</v>
      </c>
      <c r="Z54" s="1031">
        <f t="shared" ca="1" si="142"/>
        <v>404.31570071063896</v>
      </c>
      <c r="AA54" s="1031">
        <f t="shared" ca="1" si="141"/>
        <v>0</v>
      </c>
      <c r="AB54" s="1031">
        <f t="shared" ca="1" si="141"/>
        <v>0</v>
      </c>
      <c r="AC54" s="1031">
        <f t="shared" ca="1" si="141"/>
        <v>0</v>
      </c>
      <c r="AD54" s="1031">
        <f t="shared" ca="1" si="141"/>
        <v>0</v>
      </c>
      <c r="AE54" s="1031">
        <f t="shared" ca="1" si="141"/>
        <v>0</v>
      </c>
      <c r="AF54" s="1031">
        <f t="shared" ca="1" si="141"/>
        <v>0</v>
      </c>
      <c r="AG54" s="1031">
        <f t="shared" ca="1" si="141"/>
        <v>0</v>
      </c>
      <c r="AH54" s="1031">
        <f t="shared" ca="1" si="141"/>
        <v>0</v>
      </c>
      <c r="AI54" s="1031">
        <f t="shared" ca="1" si="141"/>
        <v>0</v>
      </c>
      <c r="AJ54" s="1031">
        <f t="shared" ca="1" si="141"/>
        <v>0</v>
      </c>
      <c r="AK54" s="1030">
        <f ca="1">SUM(S54:AJ54)</f>
        <v>1020.4146296654365</v>
      </c>
      <c r="AM54" s="1042">
        <f t="shared" ca="1" si="143"/>
        <v>-124.39544583847987</v>
      </c>
      <c r="AN54" s="1042">
        <f t="shared" ca="1" si="143"/>
        <v>-527.86775447758896</v>
      </c>
      <c r="AO54" s="1042">
        <f t="shared" ca="1" si="143"/>
        <v>-404.31570071063896</v>
      </c>
      <c r="AP54" s="1042">
        <f t="shared" ca="1" si="143"/>
        <v>0</v>
      </c>
      <c r="AQ54" s="1042">
        <f t="shared" ca="1" si="143"/>
        <v>0</v>
      </c>
      <c r="AR54" s="1042">
        <f t="shared" ca="1" si="143"/>
        <v>0</v>
      </c>
      <c r="AS54" s="1042">
        <f t="shared" ca="1" si="143"/>
        <v>0</v>
      </c>
      <c r="AT54" s="1042">
        <f t="shared" ca="1" si="143"/>
        <v>0</v>
      </c>
      <c r="AU54" s="1042">
        <f t="shared" ca="1" si="143"/>
        <v>0</v>
      </c>
      <c r="AV54" s="1042">
        <f t="shared" ca="1" si="141"/>
        <v>0</v>
      </c>
      <c r="AW54" s="1042">
        <f t="shared" ca="1" si="141"/>
        <v>0</v>
      </c>
      <c r="AX54" s="1042">
        <f t="shared" ca="1" si="141"/>
        <v>0</v>
      </c>
      <c r="AY54" s="1042">
        <f t="shared" ca="1" si="141"/>
        <v>0</v>
      </c>
      <c r="AZ54" s="1042">
        <f t="shared" ca="1" si="141"/>
        <v>0</v>
      </c>
      <c r="BA54" s="1042">
        <f t="shared" ca="1" si="141"/>
        <v>0</v>
      </c>
      <c r="BB54" s="1042">
        <f t="shared" ca="1" si="141"/>
        <v>0</v>
      </c>
      <c r="BC54" s="1042">
        <f t="shared" ca="1" si="141"/>
        <v>0</v>
      </c>
      <c r="BD54" s="1042">
        <f t="shared" ca="1" si="141"/>
        <v>0</v>
      </c>
      <c r="BE54" s="1042">
        <f t="shared" ca="1" si="141"/>
        <v>0</v>
      </c>
      <c r="BF54" s="1012">
        <f ca="1">SUM(AM54:BE54)</f>
        <v>-1056.5789010267079</v>
      </c>
      <c r="BH54" s="1036">
        <f ca="1">IFERROR(INDEX(INDIRECT($C54&amp;".Outputs["&amp;this.Year&amp;"]"), MATCH(BH$5, INDIRECT($C54&amp;".Outputs[Vector]"), 0)), 0)</f>
        <v>0</v>
      </c>
      <c r="BI54" s="1036">
        <f ca="1">IFERROR(INDEX(INDIRECT($C54&amp;".Outputs["&amp;this.Year&amp;"]"), MATCH(BI$5, INDIRECT($C54&amp;".Outputs[Vector]"), 0)), 0)</f>
        <v>0</v>
      </c>
      <c r="BJ54" s="1035">
        <f ca="1">SUM(BH54:BI54)</f>
        <v>0</v>
      </c>
      <c r="BL54" s="814"/>
      <c r="BM54" s="814"/>
      <c r="BN54" s="840"/>
      <c r="BO54" s="1485">
        <f t="shared" ca="1" si="144"/>
        <v>6.3926079168334278</v>
      </c>
      <c r="BP54" s="1486">
        <f t="shared" ca="1" si="144"/>
        <v>1.2813891208215557E-2</v>
      </c>
      <c r="BQ54" s="1486">
        <f t="shared" ca="1" si="144"/>
        <v>1.378196296139066E-2</v>
      </c>
      <c r="BR54" s="1486">
        <f t="shared" ca="1" si="144"/>
        <v>0</v>
      </c>
      <c r="BS54" s="1486">
        <f t="shared" ca="1" si="144"/>
        <v>2.7541335688647668</v>
      </c>
      <c r="BT54" s="1486">
        <f t="shared" ca="1" si="144"/>
        <v>2.6403129612517775</v>
      </c>
      <c r="BU54" s="1486">
        <f t="shared" ca="1" si="144"/>
        <v>0</v>
      </c>
      <c r="BV54" s="1486">
        <f t="shared" ca="1" si="144"/>
        <v>0</v>
      </c>
      <c r="BW54" s="1486">
        <f t="shared" ca="1" si="144"/>
        <v>0</v>
      </c>
      <c r="BX54" s="1486">
        <f t="shared" ca="1" si="144"/>
        <v>0</v>
      </c>
      <c r="BY54" s="1486">
        <f t="shared" ca="1" si="145"/>
        <v>0</v>
      </c>
      <c r="BZ54" s="1486">
        <f t="shared" ca="1" si="145"/>
        <v>0</v>
      </c>
      <c r="CA54" s="1486">
        <f t="shared" ca="1" si="145"/>
        <v>0</v>
      </c>
      <c r="CB54" s="1486">
        <f t="shared" ca="1" si="145"/>
        <v>0</v>
      </c>
      <c r="CC54" s="1486">
        <f t="shared" ca="1" si="145"/>
        <v>0</v>
      </c>
      <c r="CD54" s="1486">
        <f t="shared" ca="1" si="145"/>
        <v>0</v>
      </c>
      <c r="CE54" s="1486">
        <f t="shared" ca="1" si="145"/>
        <v>0</v>
      </c>
      <c r="CF54" s="1486">
        <f t="shared" ca="1" si="145"/>
        <v>0</v>
      </c>
      <c r="CG54" s="1486">
        <f t="shared" ca="1" si="145"/>
        <v>0</v>
      </c>
      <c r="CH54" s="1486">
        <f t="shared" ca="1" si="145"/>
        <v>0</v>
      </c>
      <c r="CI54" s="1486">
        <f t="shared" ca="1" si="146"/>
        <v>0</v>
      </c>
      <c r="CJ54" s="1486">
        <f t="shared" ca="1" si="146"/>
        <v>0</v>
      </c>
      <c r="CK54" s="1486">
        <f t="shared" ca="1" si="146"/>
        <v>0</v>
      </c>
      <c r="CL54" s="1486">
        <f t="shared" ca="1" si="146"/>
        <v>0</v>
      </c>
      <c r="CM54" s="1486">
        <f t="shared" ca="1" si="146"/>
        <v>0</v>
      </c>
      <c r="CN54" s="1486">
        <f t="shared" ca="1" si="146"/>
        <v>0</v>
      </c>
      <c r="CO54" s="1486">
        <f t="shared" ca="1" si="146"/>
        <v>0</v>
      </c>
      <c r="CP54" s="1486">
        <f t="shared" ca="1" si="146"/>
        <v>0</v>
      </c>
      <c r="CQ54" s="1486">
        <f t="shared" ca="1" si="146"/>
        <v>0</v>
      </c>
      <c r="CR54" s="1486">
        <f t="shared" ca="1" si="146"/>
        <v>0</v>
      </c>
      <c r="CS54" s="1486">
        <f t="shared" ca="1" si="147"/>
        <v>0</v>
      </c>
      <c r="CT54" s="1486">
        <f t="shared" ca="1" si="147"/>
        <v>0</v>
      </c>
      <c r="CU54" s="1486">
        <f t="shared" ca="1" si="147"/>
        <v>0</v>
      </c>
      <c r="CV54" s="1486">
        <f t="shared" ca="1" si="147"/>
        <v>0</v>
      </c>
      <c r="CW54" s="1486">
        <f t="shared" ca="1" si="147"/>
        <v>0</v>
      </c>
      <c r="CX54" s="1486">
        <f t="shared" ca="1" si="147"/>
        <v>0</v>
      </c>
      <c r="CY54" s="1486">
        <f t="shared" ca="1" si="147"/>
        <v>0</v>
      </c>
      <c r="CZ54" s="1486">
        <f t="shared" ca="1" si="147"/>
        <v>0</v>
      </c>
      <c r="DA54" s="1486">
        <f t="shared" ca="1" si="147"/>
        <v>0</v>
      </c>
      <c r="DB54" s="1486">
        <f t="shared" ca="1" si="147"/>
        <v>0</v>
      </c>
      <c r="DC54" s="1486">
        <f t="shared" ca="1" si="147"/>
        <v>0</v>
      </c>
      <c r="DD54" s="1486">
        <f t="shared" ca="1" si="147"/>
        <v>0</v>
      </c>
      <c r="DE54" s="1486">
        <f t="shared" ca="1" si="147"/>
        <v>0</v>
      </c>
      <c r="DF54" s="1486">
        <f t="shared" ca="1" si="147"/>
        <v>0</v>
      </c>
      <c r="DH54" s="838">
        <f t="shared" ca="1" si="123"/>
        <v>11.813650301119576</v>
      </c>
    </row>
    <row r="55" spans="1:112" s="743" customFormat="1" ht="15.75" collapsed="1">
      <c r="A55" s="1488"/>
      <c r="B55" s="1489"/>
      <c r="C55" s="744" t="s">
        <v>969</v>
      </c>
      <c r="D55" s="517" t="str">
        <f>INDEX(Workstreams[Workstream], MATCH($C55, Workstreams[Code], 0))</f>
        <v>Fossil fuel production</v>
      </c>
      <c r="E55" s="512"/>
      <c r="G55" s="1021">
        <f ca="1">SUM(G53:G54)</f>
        <v>0</v>
      </c>
      <c r="H55" s="1021">
        <f t="shared" ref="H55:P55" ca="1" si="148">SUM(H53:H54)</f>
        <v>0</v>
      </c>
      <c r="I55" s="1021">
        <f t="shared" ca="1" si="148"/>
        <v>36.164271361271297</v>
      </c>
      <c r="J55" s="1021">
        <f t="shared" ca="1" si="148"/>
        <v>0</v>
      </c>
      <c r="K55" s="1021">
        <f t="shared" ca="1" si="148"/>
        <v>0</v>
      </c>
      <c r="L55" s="1021">
        <f t="shared" ca="1" si="148"/>
        <v>0</v>
      </c>
      <c r="M55" s="1021">
        <f t="shared" ca="1" si="148"/>
        <v>0</v>
      </c>
      <c r="N55" s="1021">
        <f t="shared" ca="1" si="148"/>
        <v>0</v>
      </c>
      <c r="O55" s="1021">
        <f t="shared" ca="1" si="148"/>
        <v>0</v>
      </c>
      <c r="P55" s="1021">
        <f t="shared" ca="1" si="148"/>
        <v>0</v>
      </c>
      <c r="Q55" s="1021">
        <f ca="1">SUM(G55:P55)</f>
        <v>36.164271361271297</v>
      </c>
      <c r="S55" s="970">
        <f t="shared" ref="S55:AJ55" ca="1" si="149">SUM(S53:S54)</f>
        <v>-7.1548208727744669</v>
      </c>
      <c r="T55" s="970">
        <f t="shared" ca="1" si="149"/>
        <v>0</v>
      </c>
      <c r="U55" s="970">
        <f t="shared" ca="1" si="149"/>
        <v>-4.4692473051785787E-2</v>
      </c>
      <c r="V55" s="970">
        <f t="shared" ca="1" si="149"/>
        <v>-48.10193833706969</v>
      </c>
      <c r="W55" s="970">
        <f t="shared" ca="1" si="149"/>
        <v>-36.973327453451247</v>
      </c>
      <c r="X55" s="970">
        <f ca="1">SUM(X53:X54)</f>
        <v>124.39544583847987</v>
      </c>
      <c r="Y55" s="970">
        <f ca="1">SUM(Y53:Y54)</f>
        <v>527.86775447758896</v>
      </c>
      <c r="Z55" s="970">
        <f ca="1">SUM(Z53:Z54)</f>
        <v>404.31570071063896</v>
      </c>
      <c r="AA55" s="970">
        <f t="shared" ca="1" si="149"/>
        <v>0</v>
      </c>
      <c r="AB55" s="970">
        <f t="shared" ca="1" si="149"/>
        <v>-0.68916428391786522</v>
      </c>
      <c r="AC55" s="970">
        <f t="shared" ca="1" si="149"/>
        <v>0</v>
      </c>
      <c r="AD55" s="970">
        <f ca="1">SUM(AD53:AD54)</f>
        <v>0</v>
      </c>
      <c r="AE55" s="970">
        <f ca="1">SUM(AE53:AE54)</f>
        <v>0</v>
      </c>
      <c r="AF55" s="970">
        <f t="shared" ca="1" si="149"/>
        <v>0</v>
      </c>
      <c r="AG55" s="970">
        <f ca="1">SUM(AG53:AG54)</f>
        <v>0</v>
      </c>
      <c r="AH55" s="970">
        <f ca="1">SUM(AH53:AH54)</f>
        <v>0</v>
      </c>
      <c r="AI55" s="970">
        <f ca="1">SUM(AI53:AI54)</f>
        <v>0</v>
      </c>
      <c r="AJ55" s="970">
        <f t="shared" ca="1" si="149"/>
        <v>0</v>
      </c>
      <c r="AK55" s="970">
        <f ca="1">SUM(S55:AJ55)</f>
        <v>963.61495760644277</v>
      </c>
      <c r="AM55" s="976">
        <f t="shared" ref="AM55:BE55" ca="1" si="150">SUM(AM53:AM54)</f>
        <v>-124.39544583847987</v>
      </c>
      <c r="AN55" s="976">
        <f t="shared" ca="1" si="150"/>
        <v>-527.86775447758896</v>
      </c>
      <c r="AO55" s="976">
        <f t="shared" ca="1" si="150"/>
        <v>-404.31570071063896</v>
      </c>
      <c r="AP55" s="976">
        <f t="shared" ca="1" si="150"/>
        <v>0</v>
      </c>
      <c r="AQ55" s="976">
        <f t="shared" ca="1" si="150"/>
        <v>0</v>
      </c>
      <c r="AR55" s="976">
        <f t="shared" ca="1" si="150"/>
        <v>0</v>
      </c>
      <c r="AS55" s="976">
        <f t="shared" ca="1" si="150"/>
        <v>0</v>
      </c>
      <c r="AT55" s="976">
        <f t="shared" ca="1" si="150"/>
        <v>0</v>
      </c>
      <c r="AU55" s="976">
        <f t="shared" ca="1" si="150"/>
        <v>0</v>
      </c>
      <c r="AV55" s="976">
        <f t="shared" ca="1" si="150"/>
        <v>0</v>
      </c>
      <c r="AW55" s="976">
        <f t="shared" ca="1" si="150"/>
        <v>0</v>
      </c>
      <c r="AX55" s="976">
        <f t="shared" ca="1" si="150"/>
        <v>0</v>
      </c>
      <c r="AY55" s="976">
        <f t="shared" ca="1" si="150"/>
        <v>0</v>
      </c>
      <c r="AZ55" s="976">
        <f t="shared" ca="1" si="150"/>
        <v>0</v>
      </c>
      <c r="BA55" s="976">
        <f t="shared" ca="1" si="150"/>
        <v>0</v>
      </c>
      <c r="BB55" s="976">
        <f t="shared" ca="1" si="150"/>
        <v>0</v>
      </c>
      <c r="BC55" s="976">
        <f t="shared" ca="1" si="150"/>
        <v>0</v>
      </c>
      <c r="BD55" s="976">
        <f t="shared" ca="1" si="150"/>
        <v>0</v>
      </c>
      <c r="BE55" s="976">
        <f t="shared" ca="1" si="150"/>
        <v>0</v>
      </c>
      <c r="BF55" s="976">
        <f ca="1">SUM(AM55:BE55)</f>
        <v>-1056.5789010267079</v>
      </c>
      <c r="BH55" s="990">
        <f ca="1">SUM(BH53:BH54)</f>
        <v>0</v>
      </c>
      <c r="BI55" s="990">
        <f ca="1">SUM(BI53:BI54)</f>
        <v>56.799672058993757</v>
      </c>
      <c r="BJ55" s="990">
        <f ca="1">SUM(BH55:BI55)</f>
        <v>56.799672058993757</v>
      </c>
      <c r="BL55" s="515">
        <f ca="1">Q55+AK55+BF55+BJ55</f>
        <v>0</v>
      </c>
      <c r="BM55" s="852"/>
      <c r="BN55" s="840"/>
      <c r="BO55" s="1481">
        <f t="shared" ref="BO55:DF55" ca="1" si="151">SUM(BO53:BO54)</f>
        <v>18.81183283570245</v>
      </c>
      <c r="BP55" s="1482">
        <f t="shared" ca="1" si="151"/>
        <v>2.8574818915507567E-2</v>
      </c>
      <c r="BQ55" s="1482">
        <f t="shared" ca="1" si="151"/>
        <v>0.23099394532306433</v>
      </c>
      <c r="BR55" s="1482">
        <f t="shared" ca="1" si="151"/>
        <v>0</v>
      </c>
      <c r="BS55" s="1482">
        <f t="shared" ca="1" si="151"/>
        <v>2.7541335688647668</v>
      </c>
      <c r="BT55" s="1482">
        <f t="shared" ca="1" si="151"/>
        <v>2.6403129612517775</v>
      </c>
      <c r="BU55" s="1482">
        <f t="shared" ca="1" si="151"/>
        <v>0</v>
      </c>
      <c r="BV55" s="1482">
        <f t="shared" ca="1" si="151"/>
        <v>0</v>
      </c>
      <c r="BW55" s="1482">
        <f t="shared" ca="1" si="151"/>
        <v>0</v>
      </c>
      <c r="BX55" s="1482">
        <f t="shared" ca="1" si="151"/>
        <v>0</v>
      </c>
      <c r="BY55" s="1482">
        <f t="shared" ca="1" si="151"/>
        <v>0</v>
      </c>
      <c r="BZ55" s="1482">
        <f t="shared" ca="1" si="151"/>
        <v>0</v>
      </c>
      <c r="CA55" s="1482">
        <f t="shared" ca="1" si="151"/>
        <v>0</v>
      </c>
      <c r="CB55" s="1482">
        <f t="shared" ca="1" si="151"/>
        <v>0</v>
      </c>
      <c r="CC55" s="1482">
        <f t="shared" ca="1" si="151"/>
        <v>0</v>
      </c>
      <c r="CD55" s="1482">
        <f t="shared" ca="1" si="151"/>
        <v>0</v>
      </c>
      <c r="CE55" s="1482">
        <f t="shared" ca="1" si="151"/>
        <v>0</v>
      </c>
      <c r="CF55" s="1482">
        <f t="shared" ca="1" si="151"/>
        <v>0</v>
      </c>
      <c r="CG55" s="1482">
        <f t="shared" ca="1" si="151"/>
        <v>0</v>
      </c>
      <c r="CH55" s="1482">
        <f t="shared" ca="1" si="151"/>
        <v>0</v>
      </c>
      <c r="CI55" s="1482">
        <f t="shared" ca="1" si="151"/>
        <v>0</v>
      </c>
      <c r="CJ55" s="1482">
        <f t="shared" ca="1" si="151"/>
        <v>0</v>
      </c>
      <c r="CK55" s="1482">
        <f t="shared" ca="1" si="151"/>
        <v>0</v>
      </c>
      <c r="CL55" s="1482">
        <f t="shared" ca="1" si="151"/>
        <v>0</v>
      </c>
      <c r="CM55" s="1482">
        <f t="shared" ca="1" si="151"/>
        <v>0</v>
      </c>
      <c r="CN55" s="1482">
        <f t="shared" ca="1" si="151"/>
        <v>0</v>
      </c>
      <c r="CO55" s="1482">
        <f t="shared" ca="1" si="151"/>
        <v>0</v>
      </c>
      <c r="CP55" s="1482">
        <f t="shared" ca="1" si="151"/>
        <v>0</v>
      </c>
      <c r="CQ55" s="1482">
        <f t="shared" ca="1" si="151"/>
        <v>0</v>
      </c>
      <c r="CR55" s="1482">
        <f t="shared" ca="1" si="151"/>
        <v>0</v>
      </c>
      <c r="CS55" s="1482">
        <f t="shared" ca="1" si="151"/>
        <v>0</v>
      </c>
      <c r="CT55" s="1482">
        <f t="shared" ca="1" si="151"/>
        <v>0</v>
      </c>
      <c r="CU55" s="1482">
        <f t="shared" ca="1" si="151"/>
        <v>0</v>
      </c>
      <c r="CV55" s="1482">
        <f t="shared" ca="1" si="151"/>
        <v>0</v>
      </c>
      <c r="CW55" s="1482">
        <f t="shared" ca="1" si="151"/>
        <v>0</v>
      </c>
      <c r="CX55" s="1482">
        <f t="shared" ca="1" si="151"/>
        <v>0</v>
      </c>
      <c r="CY55" s="1482">
        <f t="shared" ca="1" si="151"/>
        <v>0</v>
      </c>
      <c r="CZ55" s="1482">
        <f t="shared" ca="1" si="151"/>
        <v>0</v>
      </c>
      <c r="DA55" s="1482">
        <f t="shared" ca="1" si="151"/>
        <v>0</v>
      </c>
      <c r="DB55" s="1482">
        <f t="shared" ca="1" si="151"/>
        <v>0</v>
      </c>
      <c r="DC55" s="1482">
        <f t="shared" ca="1" si="151"/>
        <v>0</v>
      </c>
      <c r="DD55" s="1482">
        <f t="shared" ca="1" si="151"/>
        <v>0</v>
      </c>
      <c r="DE55" s="1482">
        <f t="shared" ca="1" si="151"/>
        <v>0</v>
      </c>
      <c r="DF55" s="1482">
        <f t="shared" ca="1" si="151"/>
        <v>0</v>
      </c>
      <c r="DH55" s="838">
        <f t="shared" ca="1" si="123"/>
        <v>24.465848130057566</v>
      </c>
    </row>
    <row r="56" spans="1:112" s="743" customFormat="1" hidden="1" outlineLevel="1">
      <c r="C56" s="520"/>
      <c r="D56" s="38"/>
      <c r="E56" s="509"/>
      <c r="G56" s="958"/>
      <c r="H56" s="958"/>
      <c r="I56" s="958"/>
      <c r="J56" s="958"/>
      <c r="K56" s="960"/>
      <c r="L56" s="958"/>
      <c r="M56" s="958"/>
      <c r="N56" s="958"/>
      <c r="O56" s="958"/>
      <c r="P56" s="958"/>
      <c r="Q56" s="958"/>
      <c r="S56" s="970"/>
      <c r="T56" s="970"/>
      <c r="U56" s="970"/>
      <c r="V56" s="970"/>
      <c r="W56" s="970"/>
      <c r="X56" s="970"/>
      <c r="Y56" s="970"/>
      <c r="Z56" s="970"/>
      <c r="AA56" s="970"/>
      <c r="AB56" s="970"/>
      <c r="AC56" s="970"/>
      <c r="AD56" s="970"/>
      <c r="AE56" s="970"/>
      <c r="AF56" s="970"/>
      <c r="AG56" s="970"/>
      <c r="AH56" s="970"/>
      <c r="AI56" s="970"/>
      <c r="AJ56" s="970"/>
      <c r="AK56" s="970"/>
      <c r="AM56" s="976"/>
      <c r="AN56" s="976"/>
      <c r="AO56" s="976"/>
      <c r="AP56" s="976"/>
      <c r="AQ56" s="976"/>
      <c r="AR56" s="976"/>
      <c r="AS56" s="976"/>
      <c r="AT56" s="976"/>
      <c r="AU56" s="976"/>
      <c r="AV56" s="976"/>
      <c r="AW56" s="976"/>
      <c r="AX56" s="976"/>
      <c r="AY56" s="976"/>
      <c r="AZ56" s="976"/>
      <c r="BA56" s="976"/>
      <c r="BB56" s="976"/>
      <c r="BC56" s="976"/>
      <c r="BD56" s="976"/>
      <c r="BE56" s="976"/>
      <c r="BF56" s="976"/>
      <c r="BH56" s="990"/>
      <c r="BI56" s="990"/>
      <c r="BJ56" s="990"/>
      <c r="BL56" s="515">
        <f t="shared" ref="BL56:BL63" si="152">Q56+AK56+BF56+BJ56</f>
        <v>0</v>
      </c>
      <c r="BM56" s="515"/>
      <c r="BO56" s="1482"/>
      <c r="BP56" s="1482"/>
      <c r="BQ56" s="1482"/>
      <c r="BR56" s="1482"/>
      <c r="BS56" s="1482"/>
      <c r="BT56" s="1482"/>
      <c r="BU56" s="1482"/>
      <c r="BV56" s="1482"/>
      <c r="BW56" s="1482"/>
      <c r="BX56" s="1482"/>
      <c r="BY56" s="1482"/>
      <c r="BZ56" s="1482"/>
      <c r="CA56" s="1482"/>
      <c r="CB56" s="1482"/>
      <c r="CC56" s="1482"/>
      <c r="CD56" s="1482"/>
      <c r="CE56" s="1482"/>
      <c r="CF56" s="1482"/>
      <c r="CG56" s="1482"/>
      <c r="CH56" s="1482"/>
      <c r="CI56" s="1482"/>
      <c r="CJ56" s="1482"/>
      <c r="CK56" s="1482"/>
      <c r="CL56" s="1482"/>
      <c r="CM56" s="1482"/>
      <c r="CN56" s="1482"/>
      <c r="CO56" s="1482"/>
      <c r="CP56" s="1482"/>
      <c r="CQ56" s="1482"/>
      <c r="CR56" s="1482"/>
      <c r="CS56" s="1482"/>
      <c r="CT56" s="1482"/>
      <c r="CU56" s="1482"/>
      <c r="CV56" s="1482"/>
      <c r="CW56" s="1482"/>
      <c r="CX56" s="1482"/>
      <c r="CY56" s="1482"/>
      <c r="CZ56" s="1482"/>
      <c r="DA56" s="1482"/>
      <c r="DB56" s="1482"/>
      <c r="DC56" s="1482"/>
      <c r="DD56" s="1482"/>
      <c r="DE56" s="1482"/>
      <c r="DF56" s="1482"/>
      <c r="DH56" s="838">
        <f t="shared" si="123"/>
        <v>0</v>
      </c>
    </row>
    <row r="57" spans="1:112" s="1484" customFormat="1" ht="12.75" hidden="1" customHeight="1" outlineLevel="1">
      <c r="C57" s="746" t="s">
        <v>1730</v>
      </c>
      <c r="D57" s="521" t="str">
        <f>INDEX(Modules[Module], MATCH($C57, Modules[Code], 0))</f>
        <v>Onshore wind</v>
      </c>
      <c r="E57" s="521"/>
      <c r="F57" s="743"/>
      <c r="G57" s="1017">
        <f t="shared" ref="G57:P62" ca="1" si="153">IFERROR(INDEX(INDIRECT($C57&amp;".Outputs["&amp;this.Year&amp;"]"), MATCH(G$5, INDIRECT($C57&amp;".Outputs[Vector]"), 0)), 0)</f>
        <v>0</v>
      </c>
      <c r="H57" s="1017">
        <f t="shared" ca="1" si="153"/>
        <v>0</v>
      </c>
      <c r="I57" s="1017">
        <f t="shared" ca="1" si="153"/>
        <v>0</v>
      </c>
      <c r="J57" s="1017">
        <f t="shared" ca="1" si="153"/>
        <v>0</v>
      </c>
      <c r="K57" s="1017">
        <f t="shared" ca="1" si="153"/>
        <v>0</v>
      </c>
      <c r="L57" s="1017">
        <f t="shared" ca="1" si="153"/>
        <v>0</v>
      </c>
      <c r="M57" s="1017">
        <f t="shared" ca="1" si="153"/>
        <v>0</v>
      </c>
      <c r="N57" s="1017">
        <f t="shared" ca="1" si="153"/>
        <v>0</v>
      </c>
      <c r="O57" s="1017">
        <f t="shared" ca="1" si="153"/>
        <v>0</v>
      </c>
      <c r="P57" s="1017">
        <f t="shared" ca="1" si="153"/>
        <v>0</v>
      </c>
      <c r="Q57" s="1019">
        <f t="shared" ref="Q57:Q63" ca="1" si="154">SUM(G57:P57)</f>
        <v>0</v>
      </c>
      <c r="R57" s="743"/>
      <c r="S57" s="1026">
        <f t="shared" ref="S57:BE62" ca="1" si="155">IFERROR(INDEX(INDIRECT($C57&amp;".Outputs["&amp;this.Year&amp;"]"), MATCH(S$5, INDIRECT($C57&amp;".Outputs[Vector]"), 0)), 0)</f>
        <v>0</v>
      </c>
      <c r="T57" s="1026">
        <f t="shared" ca="1" si="155"/>
        <v>24.781657320000001</v>
      </c>
      <c r="U57" s="1026">
        <f t="shared" ca="1" si="155"/>
        <v>0</v>
      </c>
      <c r="V57" s="1026">
        <f t="shared" ca="1" si="155"/>
        <v>0</v>
      </c>
      <c r="W57" s="1026">
        <f t="shared" ca="1" si="155"/>
        <v>0</v>
      </c>
      <c r="X57" s="1026">
        <f t="shared" ref="X57:Z62" ca="1" si="156">IFERROR(INDEX(INDIRECT($C57&amp;".Outputs["&amp;this.Year&amp;"]"), MATCH(X$5, INDIRECT($C57&amp;".Outputs[Vector]"), 0)), 0)</f>
        <v>0</v>
      </c>
      <c r="Y57" s="1026">
        <f t="shared" ca="1" si="156"/>
        <v>0</v>
      </c>
      <c r="Z57" s="1026">
        <f t="shared" ca="1" si="156"/>
        <v>0</v>
      </c>
      <c r="AA57" s="1026">
        <f t="shared" ca="1" si="155"/>
        <v>0</v>
      </c>
      <c r="AB57" s="1026">
        <f t="shared" ca="1" si="155"/>
        <v>0</v>
      </c>
      <c r="AC57" s="1026">
        <f t="shared" ca="1" si="155"/>
        <v>0</v>
      </c>
      <c r="AD57" s="1026">
        <f t="shared" ca="1" si="155"/>
        <v>0</v>
      </c>
      <c r="AE57" s="1026">
        <f t="shared" ca="1" si="155"/>
        <v>0</v>
      </c>
      <c r="AF57" s="1026">
        <f t="shared" ca="1" si="155"/>
        <v>0</v>
      </c>
      <c r="AG57" s="1026">
        <f t="shared" ca="1" si="155"/>
        <v>0</v>
      </c>
      <c r="AH57" s="1026">
        <f t="shared" ca="1" si="155"/>
        <v>0</v>
      </c>
      <c r="AI57" s="1026">
        <f t="shared" ca="1" si="155"/>
        <v>0</v>
      </c>
      <c r="AJ57" s="1026">
        <f t="shared" ca="1" si="155"/>
        <v>0</v>
      </c>
      <c r="AK57" s="1027">
        <f t="shared" ref="AK57:AK63" ca="1" si="157">SUM(S57:AJ57)</f>
        <v>24.781657320000001</v>
      </c>
      <c r="AL57" s="743"/>
      <c r="AM57" s="1038">
        <f t="shared" ref="AM57:AU62" ca="1" si="158">IFERROR(INDEX(INDIRECT($C57&amp;".Outputs["&amp;this.Year&amp;"]"), MATCH(AM$5, INDIRECT($C57&amp;".Outputs[Vector]"), 0)), 0)</f>
        <v>0</v>
      </c>
      <c r="AN57" s="1038">
        <f t="shared" ca="1" si="158"/>
        <v>0</v>
      </c>
      <c r="AO57" s="1038">
        <f t="shared" ca="1" si="158"/>
        <v>0</v>
      </c>
      <c r="AP57" s="1038">
        <f t="shared" ca="1" si="158"/>
        <v>0</v>
      </c>
      <c r="AQ57" s="1038">
        <f t="shared" ca="1" si="158"/>
        <v>0</v>
      </c>
      <c r="AR57" s="1038">
        <f t="shared" ca="1" si="158"/>
        <v>0</v>
      </c>
      <c r="AS57" s="1038">
        <f t="shared" ca="1" si="158"/>
        <v>0</v>
      </c>
      <c r="AT57" s="1038">
        <f t="shared" ca="1" si="158"/>
        <v>0</v>
      </c>
      <c r="AU57" s="1038">
        <f t="shared" ca="1" si="158"/>
        <v>0</v>
      </c>
      <c r="AV57" s="1038">
        <f t="shared" ca="1" si="155"/>
        <v>0</v>
      </c>
      <c r="AW57" s="1038">
        <f t="shared" ca="1" si="155"/>
        <v>0</v>
      </c>
      <c r="AX57" s="1038">
        <f t="shared" ca="1" si="155"/>
        <v>-24.781657320000001</v>
      </c>
      <c r="AY57" s="1038">
        <f t="shared" ca="1" si="155"/>
        <v>0</v>
      </c>
      <c r="AZ57" s="1038">
        <f t="shared" ca="1" si="155"/>
        <v>0</v>
      </c>
      <c r="BA57" s="1038">
        <f t="shared" ca="1" si="155"/>
        <v>0</v>
      </c>
      <c r="BB57" s="1038">
        <f t="shared" ca="1" si="155"/>
        <v>0</v>
      </c>
      <c r="BC57" s="1038">
        <f t="shared" ca="1" si="155"/>
        <v>0</v>
      </c>
      <c r="BD57" s="1038">
        <f t="shared" ca="1" si="155"/>
        <v>0</v>
      </c>
      <c r="BE57" s="1038">
        <f t="shared" ca="1" si="155"/>
        <v>0</v>
      </c>
      <c r="BF57" s="979">
        <f t="shared" ref="BF57:BF63" ca="1" si="159">SUM(AM57:BE57)</f>
        <v>-24.781657320000001</v>
      </c>
      <c r="BG57" s="743"/>
      <c r="BH57" s="1032">
        <f t="shared" ref="BH57:BI62" ca="1" si="160">IFERROR(INDEX(INDIRECT($C57&amp;".Outputs["&amp;this.Year&amp;"]"), MATCH(BH$5, INDIRECT($C57&amp;".Outputs[Vector]"), 0)), 0)</f>
        <v>0</v>
      </c>
      <c r="BI57" s="1032">
        <f t="shared" ca="1" si="160"/>
        <v>0</v>
      </c>
      <c r="BJ57" s="1034">
        <f t="shared" ref="BJ57:BJ63" ca="1" si="161">SUM(BH57:BI57)</f>
        <v>0</v>
      </c>
      <c r="BK57" s="743"/>
      <c r="BL57" s="814">
        <f t="shared" ca="1" si="152"/>
        <v>0</v>
      </c>
      <c r="BM57" s="814"/>
      <c r="BN57" s="840"/>
      <c r="BO57" s="1481">
        <f t="shared" ref="BO57:BX62" ca="1" si="162">IFERROR(SUMIFS(INDIRECT($C57&amp;".Emissions["&amp;this.Year&amp;"]"), INDIRECT($C57&amp;".Emissions[GHG]"), BO$6, INDIRECT($C57&amp;".Emissions[IPCC Sector]"), BO$5),0)</f>
        <v>0</v>
      </c>
      <c r="BP57" s="1482">
        <f t="shared" ca="1" si="162"/>
        <v>0</v>
      </c>
      <c r="BQ57" s="1482">
        <f t="shared" ca="1" si="162"/>
        <v>0</v>
      </c>
      <c r="BR57" s="1482">
        <f t="shared" ca="1" si="162"/>
        <v>0</v>
      </c>
      <c r="BS57" s="1482">
        <f t="shared" ca="1" si="162"/>
        <v>0</v>
      </c>
      <c r="BT57" s="1482">
        <f t="shared" ca="1" si="162"/>
        <v>0</v>
      </c>
      <c r="BU57" s="1482">
        <f t="shared" ca="1" si="162"/>
        <v>0</v>
      </c>
      <c r="BV57" s="1482">
        <f t="shared" ca="1" si="162"/>
        <v>0</v>
      </c>
      <c r="BW57" s="1482">
        <f t="shared" ca="1" si="162"/>
        <v>0</v>
      </c>
      <c r="BX57" s="1482">
        <f t="shared" ca="1" si="162"/>
        <v>0</v>
      </c>
      <c r="BY57" s="1482">
        <f t="shared" ref="BY57:CH62" ca="1" si="163">IFERROR(SUMIFS(INDIRECT($C57&amp;".Emissions["&amp;this.Year&amp;"]"), INDIRECT($C57&amp;".Emissions[GHG]"), BY$6, INDIRECT($C57&amp;".Emissions[IPCC Sector]"), BY$5),0)</f>
        <v>0</v>
      </c>
      <c r="BZ57" s="1482">
        <f t="shared" ca="1" si="163"/>
        <v>0</v>
      </c>
      <c r="CA57" s="1482">
        <f t="shared" ca="1" si="163"/>
        <v>0</v>
      </c>
      <c r="CB57" s="1482">
        <f t="shared" ca="1" si="163"/>
        <v>0</v>
      </c>
      <c r="CC57" s="1482">
        <f t="shared" ca="1" si="163"/>
        <v>0</v>
      </c>
      <c r="CD57" s="1482">
        <f t="shared" ca="1" si="163"/>
        <v>0</v>
      </c>
      <c r="CE57" s="1482">
        <f t="shared" ca="1" si="163"/>
        <v>0</v>
      </c>
      <c r="CF57" s="1482">
        <f t="shared" ca="1" si="163"/>
        <v>0</v>
      </c>
      <c r="CG57" s="1482">
        <f t="shared" ca="1" si="163"/>
        <v>0</v>
      </c>
      <c r="CH57" s="1482">
        <f t="shared" ca="1" si="163"/>
        <v>0</v>
      </c>
      <c r="CI57" s="1482">
        <f t="shared" ref="CI57:CR62" ca="1" si="164">IFERROR(SUMIFS(INDIRECT($C57&amp;".Emissions["&amp;this.Year&amp;"]"), INDIRECT($C57&amp;".Emissions[GHG]"), CI$6, INDIRECT($C57&amp;".Emissions[IPCC Sector]"), CI$5),0)</f>
        <v>0</v>
      </c>
      <c r="CJ57" s="1482">
        <f t="shared" ca="1" si="164"/>
        <v>0</v>
      </c>
      <c r="CK57" s="1482">
        <f t="shared" ca="1" si="164"/>
        <v>0</v>
      </c>
      <c r="CL57" s="1482">
        <f t="shared" ca="1" si="164"/>
        <v>0</v>
      </c>
      <c r="CM57" s="1482">
        <f t="shared" ca="1" si="164"/>
        <v>0</v>
      </c>
      <c r="CN57" s="1482">
        <f t="shared" ca="1" si="164"/>
        <v>0</v>
      </c>
      <c r="CO57" s="1482">
        <f t="shared" ca="1" si="164"/>
        <v>0</v>
      </c>
      <c r="CP57" s="1482">
        <f t="shared" ca="1" si="164"/>
        <v>0</v>
      </c>
      <c r="CQ57" s="1482">
        <f t="shared" ca="1" si="164"/>
        <v>0</v>
      </c>
      <c r="CR57" s="1482">
        <f t="shared" ca="1" si="164"/>
        <v>0</v>
      </c>
      <c r="CS57" s="1482">
        <f t="shared" ref="CS57:DF62" ca="1" si="165">IFERROR(SUMIFS(INDIRECT($C57&amp;".Emissions["&amp;this.Year&amp;"]"), INDIRECT($C57&amp;".Emissions[GHG]"), CS$6, INDIRECT($C57&amp;".Emissions[IPCC Sector]"), CS$5),0)</f>
        <v>0</v>
      </c>
      <c r="CT57" s="1482">
        <f t="shared" ca="1" si="165"/>
        <v>0</v>
      </c>
      <c r="CU57" s="1482">
        <f t="shared" ca="1" si="165"/>
        <v>0</v>
      </c>
      <c r="CV57" s="1482">
        <f t="shared" ca="1" si="165"/>
        <v>0</v>
      </c>
      <c r="CW57" s="1482">
        <f t="shared" ca="1" si="165"/>
        <v>0</v>
      </c>
      <c r="CX57" s="1482">
        <f t="shared" ca="1" si="165"/>
        <v>0</v>
      </c>
      <c r="CY57" s="1482">
        <f t="shared" ca="1" si="165"/>
        <v>0</v>
      </c>
      <c r="CZ57" s="1482">
        <f t="shared" ca="1" si="165"/>
        <v>0</v>
      </c>
      <c r="DA57" s="1482">
        <f t="shared" ca="1" si="165"/>
        <v>0</v>
      </c>
      <c r="DB57" s="1482">
        <f t="shared" ca="1" si="165"/>
        <v>0</v>
      </c>
      <c r="DC57" s="1482">
        <f t="shared" ca="1" si="165"/>
        <v>0</v>
      </c>
      <c r="DD57" s="1482">
        <f t="shared" ca="1" si="165"/>
        <v>0</v>
      </c>
      <c r="DE57" s="1482">
        <f t="shared" ca="1" si="165"/>
        <v>0</v>
      </c>
      <c r="DF57" s="1482">
        <f t="shared" ca="1" si="165"/>
        <v>0</v>
      </c>
      <c r="DH57" s="838">
        <f t="shared" ca="1" si="123"/>
        <v>0</v>
      </c>
    </row>
    <row r="58" spans="1:112" s="1484" customFormat="1" ht="12.75" hidden="1" customHeight="1" outlineLevel="1">
      <c r="C58" s="746" t="s">
        <v>1731</v>
      </c>
      <c r="D58" s="521" t="str">
        <f>INDEX(Modules[Module], MATCH($C58, Modules[Code], 0))</f>
        <v>Offshore wind</v>
      </c>
      <c r="E58" s="521"/>
      <c r="F58" s="743"/>
      <c r="G58" s="1017">
        <f t="shared" ca="1" si="153"/>
        <v>0</v>
      </c>
      <c r="H58" s="1017">
        <f t="shared" ca="1" si="153"/>
        <v>0</v>
      </c>
      <c r="I58" s="1017">
        <f t="shared" ca="1" si="153"/>
        <v>0</v>
      </c>
      <c r="J58" s="1017">
        <f t="shared" ca="1" si="153"/>
        <v>0</v>
      </c>
      <c r="K58" s="1017">
        <f t="shared" ca="1" si="153"/>
        <v>0</v>
      </c>
      <c r="L58" s="1017">
        <f t="shared" ca="1" si="153"/>
        <v>0</v>
      </c>
      <c r="M58" s="1017">
        <f t="shared" ca="1" si="153"/>
        <v>0</v>
      </c>
      <c r="N58" s="1017">
        <f t="shared" ca="1" si="153"/>
        <v>0</v>
      </c>
      <c r="O58" s="1017">
        <f t="shared" ca="1" si="153"/>
        <v>0</v>
      </c>
      <c r="P58" s="1017">
        <f t="shared" ca="1" si="153"/>
        <v>0</v>
      </c>
      <c r="Q58" s="1019">
        <f ca="1">SUM(G58:P58)</f>
        <v>0</v>
      </c>
      <c r="R58" s="743"/>
      <c r="S58" s="1026">
        <f t="shared" ca="1" si="155"/>
        <v>0</v>
      </c>
      <c r="T58" s="1026">
        <f t="shared" ca="1" si="155"/>
        <v>19.463412780000002</v>
      </c>
      <c r="U58" s="1026">
        <f t="shared" ca="1" si="155"/>
        <v>0</v>
      </c>
      <c r="V58" s="1026">
        <f t="shared" ca="1" si="155"/>
        <v>0</v>
      </c>
      <c r="W58" s="1026">
        <f t="shared" ca="1" si="155"/>
        <v>0</v>
      </c>
      <c r="X58" s="1026">
        <f t="shared" ca="1" si="156"/>
        <v>0</v>
      </c>
      <c r="Y58" s="1026">
        <f t="shared" ca="1" si="156"/>
        <v>0</v>
      </c>
      <c r="Z58" s="1026">
        <f t="shared" ca="1" si="156"/>
        <v>0</v>
      </c>
      <c r="AA58" s="1026">
        <f t="shared" ca="1" si="155"/>
        <v>0</v>
      </c>
      <c r="AB58" s="1026">
        <f t="shared" ca="1" si="155"/>
        <v>0</v>
      </c>
      <c r="AC58" s="1026">
        <f t="shared" ca="1" si="155"/>
        <v>0</v>
      </c>
      <c r="AD58" s="1026">
        <f t="shared" ca="1" si="155"/>
        <v>0</v>
      </c>
      <c r="AE58" s="1026">
        <f t="shared" ca="1" si="155"/>
        <v>0</v>
      </c>
      <c r="AF58" s="1026">
        <f t="shared" ca="1" si="155"/>
        <v>0</v>
      </c>
      <c r="AG58" s="1026">
        <f t="shared" ca="1" si="155"/>
        <v>0</v>
      </c>
      <c r="AH58" s="1026">
        <f t="shared" ca="1" si="155"/>
        <v>0</v>
      </c>
      <c r="AI58" s="1026">
        <f t="shared" ca="1" si="155"/>
        <v>0</v>
      </c>
      <c r="AJ58" s="1026">
        <f t="shared" ca="1" si="155"/>
        <v>0</v>
      </c>
      <c r="AK58" s="1027">
        <f ca="1">SUM(S58:AJ58)</f>
        <v>19.463412780000002</v>
      </c>
      <c r="AL58" s="743"/>
      <c r="AM58" s="1038">
        <f t="shared" ca="1" si="158"/>
        <v>0</v>
      </c>
      <c r="AN58" s="1038">
        <f t="shared" ca="1" si="158"/>
        <v>0</v>
      </c>
      <c r="AO58" s="1038">
        <f t="shared" ca="1" si="158"/>
        <v>0</v>
      </c>
      <c r="AP58" s="1038">
        <f t="shared" ca="1" si="158"/>
        <v>0</v>
      </c>
      <c r="AQ58" s="1038">
        <f t="shared" ca="1" si="158"/>
        <v>0</v>
      </c>
      <c r="AR58" s="1038">
        <f t="shared" ca="1" si="158"/>
        <v>0</v>
      </c>
      <c r="AS58" s="1038">
        <f t="shared" ca="1" si="158"/>
        <v>0</v>
      </c>
      <c r="AT58" s="1038">
        <f t="shared" ca="1" si="158"/>
        <v>0</v>
      </c>
      <c r="AU58" s="1038">
        <f t="shared" ca="1" si="158"/>
        <v>0</v>
      </c>
      <c r="AV58" s="1038">
        <f t="shared" ca="1" si="155"/>
        <v>0</v>
      </c>
      <c r="AW58" s="1038">
        <f t="shared" ca="1" si="155"/>
        <v>0</v>
      </c>
      <c r="AX58" s="1038">
        <f t="shared" ca="1" si="155"/>
        <v>-19.463412780000002</v>
      </c>
      <c r="AY58" s="1038">
        <f t="shared" ca="1" si="155"/>
        <v>0</v>
      </c>
      <c r="AZ58" s="1038">
        <f t="shared" ca="1" si="155"/>
        <v>0</v>
      </c>
      <c r="BA58" s="1038">
        <f t="shared" ca="1" si="155"/>
        <v>0</v>
      </c>
      <c r="BB58" s="1038">
        <f t="shared" ca="1" si="155"/>
        <v>0</v>
      </c>
      <c r="BC58" s="1038">
        <f t="shared" ca="1" si="155"/>
        <v>0</v>
      </c>
      <c r="BD58" s="1038">
        <f t="shared" ca="1" si="155"/>
        <v>0</v>
      </c>
      <c r="BE58" s="1038">
        <f t="shared" ca="1" si="155"/>
        <v>0</v>
      </c>
      <c r="BF58" s="979">
        <f ca="1">SUM(AM58:BE58)</f>
        <v>-19.463412780000002</v>
      </c>
      <c r="BG58" s="743"/>
      <c r="BH58" s="1032">
        <f t="shared" ca="1" si="160"/>
        <v>0</v>
      </c>
      <c r="BI58" s="1032">
        <f t="shared" ca="1" si="160"/>
        <v>0</v>
      </c>
      <c r="BJ58" s="1034">
        <f ca="1">SUM(BH58:BI58)</f>
        <v>0</v>
      </c>
      <c r="BK58" s="743"/>
      <c r="BL58" s="814">
        <f ca="1">Q58+AK58+BF58+BJ58</f>
        <v>0</v>
      </c>
      <c r="BM58" s="814"/>
      <c r="BN58" s="840"/>
      <c r="BO58" s="1481">
        <f t="shared" ca="1" si="162"/>
        <v>0</v>
      </c>
      <c r="BP58" s="1482">
        <f t="shared" ca="1" si="162"/>
        <v>0</v>
      </c>
      <c r="BQ58" s="1482">
        <f t="shared" ca="1" si="162"/>
        <v>0</v>
      </c>
      <c r="BR58" s="1482">
        <f t="shared" ca="1" si="162"/>
        <v>0</v>
      </c>
      <c r="BS58" s="1482">
        <f t="shared" ca="1" si="162"/>
        <v>0</v>
      </c>
      <c r="BT58" s="1482">
        <f t="shared" ca="1" si="162"/>
        <v>0</v>
      </c>
      <c r="BU58" s="1482">
        <f t="shared" ca="1" si="162"/>
        <v>0</v>
      </c>
      <c r="BV58" s="1482">
        <f t="shared" ca="1" si="162"/>
        <v>0</v>
      </c>
      <c r="BW58" s="1482">
        <f t="shared" ca="1" si="162"/>
        <v>0</v>
      </c>
      <c r="BX58" s="1482">
        <f t="shared" ca="1" si="162"/>
        <v>0</v>
      </c>
      <c r="BY58" s="1482">
        <f t="shared" ca="1" si="163"/>
        <v>0</v>
      </c>
      <c r="BZ58" s="1482">
        <f t="shared" ca="1" si="163"/>
        <v>0</v>
      </c>
      <c r="CA58" s="1482">
        <f t="shared" ca="1" si="163"/>
        <v>0</v>
      </c>
      <c r="CB58" s="1482">
        <f t="shared" ca="1" si="163"/>
        <v>0</v>
      </c>
      <c r="CC58" s="1482">
        <f t="shared" ca="1" si="163"/>
        <v>0</v>
      </c>
      <c r="CD58" s="1482">
        <f t="shared" ca="1" si="163"/>
        <v>0</v>
      </c>
      <c r="CE58" s="1482">
        <f t="shared" ca="1" si="163"/>
        <v>0</v>
      </c>
      <c r="CF58" s="1482">
        <f t="shared" ca="1" si="163"/>
        <v>0</v>
      </c>
      <c r="CG58" s="1482">
        <f t="shared" ca="1" si="163"/>
        <v>0</v>
      </c>
      <c r="CH58" s="1482">
        <f t="shared" ca="1" si="163"/>
        <v>0</v>
      </c>
      <c r="CI58" s="1482">
        <f t="shared" ca="1" si="164"/>
        <v>0</v>
      </c>
      <c r="CJ58" s="1482">
        <f t="shared" ca="1" si="164"/>
        <v>0</v>
      </c>
      <c r="CK58" s="1482">
        <f t="shared" ca="1" si="164"/>
        <v>0</v>
      </c>
      <c r="CL58" s="1482">
        <f t="shared" ca="1" si="164"/>
        <v>0</v>
      </c>
      <c r="CM58" s="1482">
        <f t="shared" ca="1" si="164"/>
        <v>0</v>
      </c>
      <c r="CN58" s="1482">
        <f t="shared" ca="1" si="164"/>
        <v>0</v>
      </c>
      <c r="CO58" s="1482">
        <f t="shared" ca="1" si="164"/>
        <v>0</v>
      </c>
      <c r="CP58" s="1482">
        <f t="shared" ca="1" si="164"/>
        <v>0</v>
      </c>
      <c r="CQ58" s="1482">
        <f t="shared" ca="1" si="164"/>
        <v>0</v>
      </c>
      <c r="CR58" s="1482">
        <f t="shared" ca="1" si="164"/>
        <v>0</v>
      </c>
      <c r="CS58" s="1482">
        <f t="shared" ca="1" si="165"/>
        <v>0</v>
      </c>
      <c r="CT58" s="1482">
        <f t="shared" ca="1" si="165"/>
        <v>0</v>
      </c>
      <c r="CU58" s="1482">
        <f t="shared" ca="1" si="165"/>
        <v>0</v>
      </c>
      <c r="CV58" s="1482">
        <f t="shared" ca="1" si="165"/>
        <v>0</v>
      </c>
      <c r="CW58" s="1482">
        <f t="shared" ca="1" si="165"/>
        <v>0</v>
      </c>
      <c r="CX58" s="1482">
        <f t="shared" ca="1" si="165"/>
        <v>0</v>
      </c>
      <c r="CY58" s="1482">
        <f t="shared" ca="1" si="165"/>
        <v>0</v>
      </c>
      <c r="CZ58" s="1482">
        <f t="shared" ca="1" si="165"/>
        <v>0</v>
      </c>
      <c r="DA58" s="1482">
        <f t="shared" ca="1" si="165"/>
        <v>0</v>
      </c>
      <c r="DB58" s="1482">
        <f t="shared" ca="1" si="165"/>
        <v>0</v>
      </c>
      <c r="DC58" s="1482">
        <f t="shared" ca="1" si="165"/>
        <v>0</v>
      </c>
      <c r="DD58" s="1482">
        <f t="shared" ca="1" si="165"/>
        <v>0</v>
      </c>
      <c r="DE58" s="1482">
        <f t="shared" ca="1" si="165"/>
        <v>0</v>
      </c>
      <c r="DF58" s="1482">
        <f t="shared" ca="1" si="165"/>
        <v>0</v>
      </c>
      <c r="DH58" s="838">
        <f ca="1">SUM(BO58:DF58)</f>
        <v>0</v>
      </c>
    </row>
    <row r="59" spans="1:112" s="1484" customFormat="1" ht="12.75" hidden="1" customHeight="1" outlineLevel="1">
      <c r="C59" s="746" t="s">
        <v>803</v>
      </c>
      <c r="D59" s="521" t="str">
        <f>INDEX(Modules[Module], MATCH($C59, Modules[Code], 0))</f>
        <v>Hydroelectric</v>
      </c>
      <c r="E59" s="521"/>
      <c r="F59" s="743"/>
      <c r="G59" s="1017">
        <f t="shared" ca="1" si="153"/>
        <v>0</v>
      </c>
      <c r="H59" s="1017">
        <f t="shared" ca="1" si="153"/>
        <v>0</v>
      </c>
      <c r="I59" s="1017">
        <f t="shared" ca="1" si="153"/>
        <v>0</v>
      </c>
      <c r="J59" s="1017">
        <f t="shared" ca="1" si="153"/>
        <v>0</v>
      </c>
      <c r="K59" s="1017">
        <f t="shared" ca="1" si="153"/>
        <v>0</v>
      </c>
      <c r="L59" s="1017">
        <f t="shared" ca="1" si="153"/>
        <v>0</v>
      </c>
      <c r="M59" s="1017">
        <f t="shared" ca="1" si="153"/>
        <v>0</v>
      </c>
      <c r="N59" s="1017">
        <f t="shared" ca="1" si="153"/>
        <v>0</v>
      </c>
      <c r="O59" s="1017">
        <f t="shared" ca="1" si="153"/>
        <v>0</v>
      </c>
      <c r="P59" s="1017">
        <f t="shared" ca="1" si="153"/>
        <v>0</v>
      </c>
      <c r="Q59" s="1019">
        <f t="shared" ca="1" si="154"/>
        <v>0</v>
      </c>
      <c r="R59" s="743"/>
      <c r="S59" s="1026">
        <f t="shared" ca="1" si="155"/>
        <v>0</v>
      </c>
      <c r="T59" s="1026">
        <f t="shared" ca="1" si="155"/>
        <v>5.3297280000000011</v>
      </c>
      <c r="U59" s="1026">
        <f t="shared" ca="1" si="155"/>
        <v>0</v>
      </c>
      <c r="V59" s="1026">
        <f t="shared" ca="1" si="155"/>
        <v>0</v>
      </c>
      <c r="W59" s="1026">
        <f t="shared" ca="1" si="155"/>
        <v>0</v>
      </c>
      <c r="X59" s="1026">
        <f t="shared" ca="1" si="156"/>
        <v>0</v>
      </c>
      <c r="Y59" s="1026">
        <f t="shared" ca="1" si="156"/>
        <v>0</v>
      </c>
      <c r="Z59" s="1026">
        <f t="shared" ca="1" si="156"/>
        <v>0</v>
      </c>
      <c r="AA59" s="1026">
        <f t="shared" ca="1" si="155"/>
        <v>0</v>
      </c>
      <c r="AB59" s="1026">
        <f t="shared" ca="1" si="155"/>
        <v>0</v>
      </c>
      <c r="AC59" s="1026">
        <f t="shared" ca="1" si="155"/>
        <v>0</v>
      </c>
      <c r="AD59" s="1026">
        <f t="shared" ca="1" si="155"/>
        <v>0</v>
      </c>
      <c r="AE59" s="1026">
        <f t="shared" ca="1" si="155"/>
        <v>0</v>
      </c>
      <c r="AF59" s="1026">
        <f t="shared" ca="1" si="155"/>
        <v>0</v>
      </c>
      <c r="AG59" s="1026">
        <f t="shared" ca="1" si="155"/>
        <v>0</v>
      </c>
      <c r="AH59" s="1026">
        <f t="shared" ca="1" si="155"/>
        <v>0</v>
      </c>
      <c r="AI59" s="1026">
        <f t="shared" ca="1" si="155"/>
        <v>0</v>
      </c>
      <c r="AJ59" s="1026">
        <f t="shared" ca="1" si="155"/>
        <v>0</v>
      </c>
      <c r="AK59" s="1027">
        <f t="shared" ca="1" si="157"/>
        <v>5.3297280000000011</v>
      </c>
      <c r="AL59" s="743"/>
      <c r="AM59" s="1038">
        <f t="shared" ca="1" si="158"/>
        <v>0</v>
      </c>
      <c r="AN59" s="1038">
        <f t="shared" ca="1" si="158"/>
        <v>0</v>
      </c>
      <c r="AO59" s="1038">
        <f t="shared" ca="1" si="158"/>
        <v>0</v>
      </c>
      <c r="AP59" s="1038">
        <f t="shared" ca="1" si="158"/>
        <v>0</v>
      </c>
      <c r="AQ59" s="1038">
        <f t="shared" ca="1" si="158"/>
        <v>0</v>
      </c>
      <c r="AR59" s="1038">
        <f t="shared" ca="1" si="158"/>
        <v>0</v>
      </c>
      <c r="AS59" s="1038">
        <f t="shared" ca="1" si="158"/>
        <v>0</v>
      </c>
      <c r="AT59" s="1038">
        <f t="shared" ca="1" si="158"/>
        <v>0</v>
      </c>
      <c r="AU59" s="1038">
        <f t="shared" ca="1" si="158"/>
        <v>0</v>
      </c>
      <c r="AV59" s="1038">
        <f t="shared" ca="1" si="155"/>
        <v>0</v>
      </c>
      <c r="AW59" s="1038">
        <f t="shared" ca="1" si="155"/>
        <v>0</v>
      </c>
      <c r="AX59" s="1038">
        <f t="shared" ca="1" si="155"/>
        <v>0</v>
      </c>
      <c r="AY59" s="1038">
        <f t="shared" ca="1" si="155"/>
        <v>0</v>
      </c>
      <c r="AZ59" s="1038">
        <f t="shared" ca="1" si="155"/>
        <v>0</v>
      </c>
      <c r="BA59" s="1038">
        <f t="shared" ca="1" si="155"/>
        <v>0</v>
      </c>
      <c r="BB59" s="1038">
        <f t="shared" ca="1" si="155"/>
        <v>-5.3297280000000011</v>
      </c>
      <c r="BC59" s="1038">
        <f t="shared" ca="1" si="155"/>
        <v>0</v>
      </c>
      <c r="BD59" s="1038">
        <f t="shared" ca="1" si="155"/>
        <v>0</v>
      </c>
      <c r="BE59" s="1038">
        <f t="shared" ca="1" si="155"/>
        <v>0</v>
      </c>
      <c r="BF59" s="979">
        <f t="shared" ca="1" si="159"/>
        <v>-5.3297280000000011</v>
      </c>
      <c r="BG59" s="743"/>
      <c r="BH59" s="1032">
        <f t="shared" ca="1" si="160"/>
        <v>0</v>
      </c>
      <c r="BI59" s="1032">
        <f t="shared" ca="1" si="160"/>
        <v>0</v>
      </c>
      <c r="BJ59" s="1034">
        <f t="shared" ca="1" si="161"/>
        <v>0</v>
      </c>
      <c r="BK59" s="743"/>
      <c r="BL59" s="814">
        <f t="shared" ca="1" si="152"/>
        <v>0</v>
      </c>
      <c r="BM59" s="814"/>
      <c r="BN59" s="840"/>
      <c r="BO59" s="1481">
        <f t="shared" ca="1" si="162"/>
        <v>0</v>
      </c>
      <c r="BP59" s="1482">
        <f t="shared" ca="1" si="162"/>
        <v>0</v>
      </c>
      <c r="BQ59" s="1482">
        <f t="shared" ca="1" si="162"/>
        <v>0</v>
      </c>
      <c r="BR59" s="1482">
        <f t="shared" ca="1" si="162"/>
        <v>0</v>
      </c>
      <c r="BS59" s="1482">
        <f t="shared" ca="1" si="162"/>
        <v>0</v>
      </c>
      <c r="BT59" s="1482">
        <f t="shared" ca="1" si="162"/>
        <v>0</v>
      </c>
      <c r="BU59" s="1482">
        <f t="shared" ca="1" si="162"/>
        <v>0</v>
      </c>
      <c r="BV59" s="1482">
        <f t="shared" ca="1" si="162"/>
        <v>0</v>
      </c>
      <c r="BW59" s="1482">
        <f t="shared" ca="1" si="162"/>
        <v>0</v>
      </c>
      <c r="BX59" s="1482">
        <f t="shared" ca="1" si="162"/>
        <v>0</v>
      </c>
      <c r="BY59" s="1482">
        <f t="shared" ca="1" si="163"/>
        <v>0</v>
      </c>
      <c r="BZ59" s="1482">
        <f t="shared" ca="1" si="163"/>
        <v>0</v>
      </c>
      <c r="CA59" s="1482">
        <f t="shared" ca="1" si="163"/>
        <v>0</v>
      </c>
      <c r="CB59" s="1482">
        <f t="shared" ca="1" si="163"/>
        <v>0</v>
      </c>
      <c r="CC59" s="1482">
        <f t="shared" ca="1" si="163"/>
        <v>0</v>
      </c>
      <c r="CD59" s="1482">
        <f t="shared" ca="1" si="163"/>
        <v>0</v>
      </c>
      <c r="CE59" s="1482">
        <f t="shared" ca="1" si="163"/>
        <v>0</v>
      </c>
      <c r="CF59" s="1482">
        <f t="shared" ca="1" si="163"/>
        <v>0</v>
      </c>
      <c r="CG59" s="1482">
        <f t="shared" ca="1" si="163"/>
        <v>0</v>
      </c>
      <c r="CH59" s="1482">
        <f t="shared" ca="1" si="163"/>
        <v>0</v>
      </c>
      <c r="CI59" s="1482">
        <f t="shared" ca="1" si="164"/>
        <v>0</v>
      </c>
      <c r="CJ59" s="1482">
        <f t="shared" ca="1" si="164"/>
        <v>0</v>
      </c>
      <c r="CK59" s="1482">
        <f t="shared" ca="1" si="164"/>
        <v>0</v>
      </c>
      <c r="CL59" s="1482">
        <f t="shared" ca="1" si="164"/>
        <v>0</v>
      </c>
      <c r="CM59" s="1482">
        <f t="shared" ca="1" si="164"/>
        <v>0</v>
      </c>
      <c r="CN59" s="1482">
        <f t="shared" ca="1" si="164"/>
        <v>0</v>
      </c>
      <c r="CO59" s="1482">
        <f t="shared" ca="1" si="164"/>
        <v>0</v>
      </c>
      <c r="CP59" s="1482">
        <f t="shared" ca="1" si="164"/>
        <v>0</v>
      </c>
      <c r="CQ59" s="1482">
        <f t="shared" ca="1" si="164"/>
        <v>0</v>
      </c>
      <c r="CR59" s="1482">
        <f t="shared" ca="1" si="164"/>
        <v>0</v>
      </c>
      <c r="CS59" s="1482">
        <f t="shared" ca="1" si="165"/>
        <v>0</v>
      </c>
      <c r="CT59" s="1482">
        <f t="shared" ca="1" si="165"/>
        <v>0</v>
      </c>
      <c r="CU59" s="1482">
        <f t="shared" ca="1" si="165"/>
        <v>0</v>
      </c>
      <c r="CV59" s="1482">
        <f t="shared" ca="1" si="165"/>
        <v>0</v>
      </c>
      <c r="CW59" s="1482">
        <f t="shared" ca="1" si="165"/>
        <v>0</v>
      </c>
      <c r="CX59" s="1482">
        <f t="shared" ca="1" si="165"/>
        <v>0</v>
      </c>
      <c r="CY59" s="1482">
        <f t="shared" ca="1" si="165"/>
        <v>0</v>
      </c>
      <c r="CZ59" s="1482">
        <f t="shared" ca="1" si="165"/>
        <v>0</v>
      </c>
      <c r="DA59" s="1482">
        <f t="shared" ca="1" si="165"/>
        <v>0</v>
      </c>
      <c r="DB59" s="1482">
        <f t="shared" ca="1" si="165"/>
        <v>0</v>
      </c>
      <c r="DC59" s="1482">
        <f t="shared" ca="1" si="165"/>
        <v>0</v>
      </c>
      <c r="DD59" s="1482">
        <f t="shared" ca="1" si="165"/>
        <v>0</v>
      </c>
      <c r="DE59" s="1482">
        <f t="shared" ca="1" si="165"/>
        <v>0</v>
      </c>
      <c r="DF59" s="1482">
        <f t="shared" ca="1" si="165"/>
        <v>0</v>
      </c>
      <c r="DH59" s="838">
        <f t="shared" ca="1" si="123"/>
        <v>0</v>
      </c>
    </row>
    <row r="60" spans="1:112" s="1484" customFormat="1" ht="12.75" hidden="1" customHeight="1" outlineLevel="1">
      <c r="C60" s="746" t="s">
        <v>808</v>
      </c>
      <c r="D60" s="521" t="str">
        <f>INDEX(Modules[Module], MATCH($C60, Modules[Code], 0))</f>
        <v>Wave and Tidal</v>
      </c>
      <c r="E60" s="521"/>
      <c r="F60" s="743"/>
      <c r="G60" s="1017">
        <f t="shared" ca="1" si="153"/>
        <v>0</v>
      </c>
      <c r="H60" s="1017">
        <f t="shared" ca="1" si="153"/>
        <v>0</v>
      </c>
      <c r="I60" s="1017">
        <f t="shared" ca="1" si="153"/>
        <v>0</v>
      </c>
      <c r="J60" s="1017">
        <f t="shared" ca="1" si="153"/>
        <v>0</v>
      </c>
      <c r="K60" s="1017">
        <f t="shared" ca="1" si="153"/>
        <v>0</v>
      </c>
      <c r="L60" s="1017">
        <f t="shared" ca="1" si="153"/>
        <v>0</v>
      </c>
      <c r="M60" s="1017">
        <f t="shared" ca="1" si="153"/>
        <v>0</v>
      </c>
      <c r="N60" s="1017">
        <f t="shared" ca="1" si="153"/>
        <v>0</v>
      </c>
      <c r="O60" s="1017">
        <f t="shared" ca="1" si="153"/>
        <v>0</v>
      </c>
      <c r="P60" s="1017">
        <f t="shared" ca="1" si="153"/>
        <v>0</v>
      </c>
      <c r="Q60" s="1019">
        <f t="shared" ca="1" si="154"/>
        <v>0</v>
      </c>
      <c r="R60" s="743"/>
      <c r="S60" s="1026">
        <f t="shared" ca="1" si="155"/>
        <v>0</v>
      </c>
      <c r="T60" s="1026">
        <f t="shared" ca="1" si="155"/>
        <v>0.20847602739726018</v>
      </c>
      <c r="U60" s="1026">
        <f t="shared" ca="1" si="155"/>
        <v>0</v>
      </c>
      <c r="V60" s="1026">
        <f t="shared" ca="1" si="155"/>
        <v>0</v>
      </c>
      <c r="W60" s="1026">
        <f t="shared" ca="1" si="155"/>
        <v>0</v>
      </c>
      <c r="X60" s="1026">
        <f t="shared" ca="1" si="156"/>
        <v>0</v>
      </c>
      <c r="Y60" s="1026">
        <f t="shared" ca="1" si="156"/>
        <v>0</v>
      </c>
      <c r="Z60" s="1026">
        <f t="shared" ca="1" si="156"/>
        <v>0</v>
      </c>
      <c r="AA60" s="1026">
        <f t="shared" ca="1" si="155"/>
        <v>0</v>
      </c>
      <c r="AB60" s="1026">
        <f t="shared" ca="1" si="155"/>
        <v>0</v>
      </c>
      <c r="AC60" s="1026">
        <f t="shared" ca="1" si="155"/>
        <v>0</v>
      </c>
      <c r="AD60" s="1026">
        <f t="shared" ca="1" si="155"/>
        <v>0</v>
      </c>
      <c r="AE60" s="1026">
        <f t="shared" ca="1" si="155"/>
        <v>0</v>
      </c>
      <c r="AF60" s="1026">
        <f t="shared" ca="1" si="155"/>
        <v>0</v>
      </c>
      <c r="AG60" s="1026">
        <f t="shared" ca="1" si="155"/>
        <v>0</v>
      </c>
      <c r="AH60" s="1026">
        <f t="shared" ca="1" si="155"/>
        <v>0</v>
      </c>
      <c r="AI60" s="1026">
        <f t="shared" ca="1" si="155"/>
        <v>0</v>
      </c>
      <c r="AJ60" s="1026">
        <f t="shared" ca="1" si="155"/>
        <v>0</v>
      </c>
      <c r="AK60" s="1027">
        <f t="shared" ca="1" si="157"/>
        <v>0.20847602739726018</v>
      </c>
      <c r="AL60" s="743"/>
      <c r="AM60" s="1038">
        <f t="shared" ca="1" si="158"/>
        <v>0</v>
      </c>
      <c r="AN60" s="1038">
        <f t="shared" ca="1" si="158"/>
        <v>0</v>
      </c>
      <c r="AO60" s="1038">
        <f t="shared" ca="1" si="158"/>
        <v>0</v>
      </c>
      <c r="AP60" s="1038">
        <f t="shared" ca="1" si="158"/>
        <v>0</v>
      </c>
      <c r="AQ60" s="1038">
        <f t="shared" ca="1" si="158"/>
        <v>0</v>
      </c>
      <c r="AR60" s="1038">
        <f t="shared" ca="1" si="158"/>
        <v>0</v>
      </c>
      <c r="AS60" s="1038">
        <f t="shared" ca="1" si="158"/>
        <v>0</v>
      </c>
      <c r="AT60" s="1038">
        <f t="shared" ca="1" si="158"/>
        <v>0</v>
      </c>
      <c r="AU60" s="1038">
        <f t="shared" ca="1" si="158"/>
        <v>0</v>
      </c>
      <c r="AV60" s="1038">
        <f t="shared" ca="1" si="155"/>
        <v>0</v>
      </c>
      <c r="AW60" s="1038">
        <f t="shared" ca="1" si="155"/>
        <v>0</v>
      </c>
      <c r="AX60" s="1038">
        <f t="shared" ca="1" si="155"/>
        <v>0</v>
      </c>
      <c r="AY60" s="1038">
        <f t="shared" ca="1" si="155"/>
        <v>-5.0034246575342486E-2</v>
      </c>
      <c r="AZ60" s="1038">
        <f t="shared" ca="1" si="155"/>
        <v>-0.1584417808219177</v>
      </c>
      <c r="BA60" s="1038">
        <f t="shared" ca="1" si="155"/>
        <v>0</v>
      </c>
      <c r="BB60" s="1038">
        <f t="shared" ca="1" si="155"/>
        <v>0</v>
      </c>
      <c r="BC60" s="1038">
        <f t="shared" ca="1" si="155"/>
        <v>0</v>
      </c>
      <c r="BD60" s="1038">
        <f t="shared" ca="1" si="155"/>
        <v>0</v>
      </c>
      <c r="BE60" s="1038">
        <f t="shared" ca="1" si="155"/>
        <v>0</v>
      </c>
      <c r="BF60" s="979">
        <f t="shared" ca="1" si="159"/>
        <v>-0.20847602739726018</v>
      </c>
      <c r="BG60" s="743"/>
      <c r="BH60" s="1032">
        <f t="shared" ca="1" si="160"/>
        <v>0</v>
      </c>
      <c r="BI60" s="1032">
        <f t="shared" ca="1" si="160"/>
        <v>0</v>
      </c>
      <c r="BJ60" s="1034">
        <f t="shared" ca="1" si="161"/>
        <v>0</v>
      </c>
      <c r="BK60" s="743"/>
      <c r="BL60" s="814">
        <f t="shared" ca="1" si="152"/>
        <v>0</v>
      </c>
      <c r="BM60" s="814"/>
      <c r="BN60" s="840"/>
      <c r="BO60" s="1481">
        <f t="shared" ca="1" si="162"/>
        <v>0</v>
      </c>
      <c r="BP60" s="1482">
        <f t="shared" ca="1" si="162"/>
        <v>0</v>
      </c>
      <c r="BQ60" s="1482">
        <f t="shared" ca="1" si="162"/>
        <v>0</v>
      </c>
      <c r="BR60" s="1482">
        <f t="shared" ca="1" si="162"/>
        <v>0</v>
      </c>
      <c r="BS60" s="1482">
        <f t="shared" ca="1" si="162"/>
        <v>0</v>
      </c>
      <c r="BT60" s="1482">
        <f t="shared" ca="1" si="162"/>
        <v>0</v>
      </c>
      <c r="BU60" s="1482">
        <f t="shared" ca="1" si="162"/>
        <v>0</v>
      </c>
      <c r="BV60" s="1482">
        <f t="shared" ca="1" si="162"/>
        <v>0</v>
      </c>
      <c r="BW60" s="1482">
        <f t="shared" ca="1" si="162"/>
        <v>0</v>
      </c>
      <c r="BX60" s="1482">
        <f t="shared" ca="1" si="162"/>
        <v>0</v>
      </c>
      <c r="BY60" s="1482">
        <f t="shared" ca="1" si="163"/>
        <v>0</v>
      </c>
      <c r="BZ60" s="1482">
        <f t="shared" ca="1" si="163"/>
        <v>0</v>
      </c>
      <c r="CA60" s="1482">
        <f t="shared" ca="1" si="163"/>
        <v>0</v>
      </c>
      <c r="CB60" s="1482">
        <f t="shared" ca="1" si="163"/>
        <v>0</v>
      </c>
      <c r="CC60" s="1482">
        <f t="shared" ca="1" si="163"/>
        <v>0</v>
      </c>
      <c r="CD60" s="1482">
        <f t="shared" ca="1" si="163"/>
        <v>0</v>
      </c>
      <c r="CE60" s="1482">
        <f t="shared" ca="1" si="163"/>
        <v>0</v>
      </c>
      <c r="CF60" s="1482">
        <f t="shared" ca="1" si="163"/>
        <v>0</v>
      </c>
      <c r="CG60" s="1482">
        <f t="shared" ca="1" si="163"/>
        <v>0</v>
      </c>
      <c r="CH60" s="1482">
        <f t="shared" ca="1" si="163"/>
        <v>0</v>
      </c>
      <c r="CI60" s="1482">
        <f t="shared" ca="1" si="164"/>
        <v>0</v>
      </c>
      <c r="CJ60" s="1482">
        <f t="shared" ca="1" si="164"/>
        <v>0</v>
      </c>
      <c r="CK60" s="1482">
        <f t="shared" ca="1" si="164"/>
        <v>0</v>
      </c>
      <c r="CL60" s="1482">
        <f t="shared" ca="1" si="164"/>
        <v>0</v>
      </c>
      <c r="CM60" s="1482">
        <f t="shared" ca="1" si="164"/>
        <v>0</v>
      </c>
      <c r="CN60" s="1482">
        <f t="shared" ca="1" si="164"/>
        <v>0</v>
      </c>
      <c r="CO60" s="1482">
        <f t="shared" ca="1" si="164"/>
        <v>0</v>
      </c>
      <c r="CP60" s="1482">
        <f t="shared" ca="1" si="164"/>
        <v>0</v>
      </c>
      <c r="CQ60" s="1482">
        <f t="shared" ca="1" si="164"/>
        <v>0</v>
      </c>
      <c r="CR60" s="1482">
        <f t="shared" ca="1" si="164"/>
        <v>0</v>
      </c>
      <c r="CS60" s="1482">
        <f t="shared" ca="1" si="165"/>
        <v>0</v>
      </c>
      <c r="CT60" s="1482">
        <f t="shared" ca="1" si="165"/>
        <v>0</v>
      </c>
      <c r="CU60" s="1482">
        <f t="shared" ca="1" si="165"/>
        <v>0</v>
      </c>
      <c r="CV60" s="1482">
        <f t="shared" ca="1" si="165"/>
        <v>0</v>
      </c>
      <c r="CW60" s="1482">
        <f t="shared" ca="1" si="165"/>
        <v>0</v>
      </c>
      <c r="CX60" s="1482">
        <f t="shared" ca="1" si="165"/>
        <v>0</v>
      </c>
      <c r="CY60" s="1482">
        <f t="shared" ca="1" si="165"/>
        <v>0</v>
      </c>
      <c r="CZ60" s="1482">
        <f t="shared" ca="1" si="165"/>
        <v>0</v>
      </c>
      <c r="DA60" s="1482">
        <f t="shared" ca="1" si="165"/>
        <v>0</v>
      </c>
      <c r="DB60" s="1482">
        <f t="shared" ca="1" si="165"/>
        <v>0</v>
      </c>
      <c r="DC60" s="1482">
        <f t="shared" ca="1" si="165"/>
        <v>0</v>
      </c>
      <c r="DD60" s="1482">
        <f t="shared" ca="1" si="165"/>
        <v>0</v>
      </c>
      <c r="DE60" s="1482">
        <f t="shared" ca="1" si="165"/>
        <v>0</v>
      </c>
      <c r="DF60" s="1482">
        <f t="shared" ca="1" si="165"/>
        <v>0</v>
      </c>
      <c r="DH60" s="838">
        <f t="shared" ca="1" si="123"/>
        <v>0</v>
      </c>
    </row>
    <row r="61" spans="1:112" s="1484" customFormat="1" ht="12.75" hidden="1" customHeight="1" outlineLevel="1">
      <c r="C61" s="746" t="s">
        <v>809</v>
      </c>
      <c r="D61" s="521" t="str">
        <f>INDEX(Modules[Module], MATCH($C61, Modules[Code], 0))</f>
        <v>Geothermal</v>
      </c>
      <c r="E61" s="521"/>
      <c r="F61" s="743"/>
      <c r="G61" s="1017">
        <f t="shared" ca="1" si="153"/>
        <v>0</v>
      </c>
      <c r="H61" s="1017">
        <f t="shared" ca="1" si="153"/>
        <v>0</v>
      </c>
      <c r="I61" s="1017">
        <f t="shared" ca="1" si="153"/>
        <v>0</v>
      </c>
      <c r="J61" s="1017">
        <f t="shared" ca="1" si="153"/>
        <v>0</v>
      </c>
      <c r="K61" s="1017">
        <f t="shared" ca="1" si="153"/>
        <v>0</v>
      </c>
      <c r="L61" s="1017">
        <f t="shared" ca="1" si="153"/>
        <v>0</v>
      </c>
      <c r="M61" s="1017">
        <f t="shared" ca="1" si="153"/>
        <v>0</v>
      </c>
      <c r="N61" s="1017">
        <f t="shared" ca="1" si="153"/>
        <v>0</v>
      </c>
      <c r="O61" s="1017">
        <f t="shared" ca="1" si="153"/>
        <v>0</v>
      </c>
      <c r="P61" s="1017">
        <f t="shared" ca="1" si="153"/>
        <v>0</v>
      </c>
      <c r="Q61" s="1019">
        <f t="shared" ca="1" si="154"/>
        <v>0</v>
      </c>
      <c r="R61" s="743"/>
      <c r="S61" s="1026">
        <f t="shared" ca="1" si="155"/>
        <v>0</v>
      </c>
      <c r="T61" s="1026">
        <f t="shared" ca="1" si="155"/>
        <v>0</v>
      </c>
      <c r="U61" s="1026">
        <f t="shared" ca="1" si="155"/>
        <v>0</v>
      </c>
      <c r="V61" s="1026">
        <f t="shared" ca="1" si="155"/>
        <v>0</v>
      </c>
      <c r="W61" s="1026">
        <f t="shared" ca="1" si="155"/>
        <v>0</v>
      </c>
      <c r="X61" s="1026">
        <f t="shared" ca="1" si="156"/>
        <v>0</v>
      </c>
      <c r="Y61" s="1026">
        <f t="shared" ca="1" si="156"/>
        <v>0</v>
      </c>
      <c r="Z61" s="1026">
        <f t="shared" ca="1" si="156"/>
        <v>0</v>
      </c>
      <c r="AA61" s="1026">
        <f t="shared" ca="1" si="155"/>
        <v>0</v>
      </c>
      <c r="AB61" s="1026">
        <f t="shared" ca="1" si="155"/>
        <v>0</v>
      </c>
      <c r="AC61" s="1026">
        <f t="shared" ca="1" si="155"/>
        <v>0</v>
      </c>
      <c r="AD61" s="1026">
        <f t="shared" ca="1" si="155"/>
        <v>0</v>
      </c>
      <c r="AE61" s="1026">
        <f t="shared" ca="1" si="155"/>
        <v>0</v>
      </c>
      <c r="AF61" s="1026">
        <f t="shared" ca="1" si="155"/>
        <v>0</v>
      </c>
      <c r="AG61" s="1026">
        <f t="shared" ca="1" si="155"/>
        <v>0</v>
      </c>
      <c r="AH61" s="1026">
        <f t="shared" ca="1" si="155"/>
        <v>0</v>
      </c>
      <c r="AI61" s="1026">
        <f t="shared" ca="1" si="155"/>
        <v>0</v>
      </c>
      <c r="AJ61" s="1026">
        <f t="shared" ca="1" si="155"/>
        <v>0</v>
      </c>
      <c r="AK61" s="1027">
        <f t="shared" ca="1" si="157"/>
        <v>0</v>
      </c>
      <c r="AL61" s="743"/>
      <c r="AM61" s="1038">
        <f t="shared" ca="1" si="158"/>
        <v>0</v>
      </c>
      <c r="AN61" s="1038">
        <f t="shared" ca="1" si="158"/>
        <v>0</v>
      </c>
      <c r="AO61" s="1038">
        <f t="shared" ca="1" si="158"/>
        <v>0</v>
      </c>
      <c r="AP61" s="1038">
        <f t="shared" ca="1" si="158"/>
        <v>0</v>
      </c>
      <c r="AQ61" s="1038">
        <f t="shared" ca="1" si="158"/>
        <v>0</v>
      </c>
      <c r="AR61" s="1038">
        <f t="shared" ca="1" si="158"/>
        <v>0</v>
      </c>
      <c r="AS61" s="1038">
        <f t="shared" ca="1" si="158"/>
        <v>0</v>
      </c>
      <c r="AT61" s="1038">
        <f t="shared" ca="1" si="158"/>
        <v>0</v>
      </c>
      <c r="AU61" s="1038">
        <f t="shared" ca="1" si="158"/>
        <v>0</v>
      </c>
      <c r="AV61" s="1038">
        <f t="shared" ca="1" si="155"/>
        <v>0</v>
      </c>
      <c r="AW61" s="1038">
        <f t="shared" ca="1" si="155"/>
        <v>0</v>
      </c>
      <c r="AX61" s="1038">
        <f t="shared" ca="1" si="155"/>
        <v>0</v>
      </c>
      <c r="AY61" s="1038">
        <f t="shared" ca="1" si="155"/>
        <v>0</v>
      </c>
      <c r="AZ61" s="1038">
        <f t="shared" ca="1" si="155"/>
        <v>0</v>
      </c>
      <c r="BA61" s="1038">
        <f t="shared" ca="1" si="155"/>
        <v>0</v>
      </c>
      <c r="BB61" s="1038">
        <f t="shared" ca="1" si="155"/>
        <v>0</v>
      </c>
      <c r="BC61" s="1038">
        <f t="shared" ca="1" si="155"/>
        <v>0</v>
      </c>
      <c r="BD61" s="1038">
        <f t="shared" ca="1" si="155"/>
        <v>0</v>
      </c>
      <c r="BE61" s="1038">
        <f t="shared" ca="1" si="155"/>
        <v>0</v>
      </c>
      <c r="BF61" s="979">
        <f t="shared" ca="1" si="159"/>
        <v>0</v>
      </c>
      <c r="BG61" s="743"/>
      <c r="BH61" s="1032">
        <f t="shared" ca="1" si="160"/>
        <v>0</v>
      </c>
      <c r="BI61" s="1032">
        <f t="shared" ca="1" si="160"/>
        <v>0</v>
      </c>
      <c r="BJ61" s="1034">
        <f t="shared" ca="1" si="161"/>
        <v>0</v>
      </c>
      <c r="BK61" s="743"/>
      <c r="BL61" s="814">
        <f t="shared" ca="1" si="152"/>
        <v>0</v>
      </c>
      <c r="BM61" s="814"/>
      <c r="BN61" s="840"/>
      <c r="BO61" s="1481">
        <f t="shared" ca="1" si="162"/>
        <v>0</v>
      </c>
      <c r="BP61" s="1482">
        <f t="shared" ca="1" si="162"/>
        <v>0</v>
      </c>
      <c r="BQ61" s="1482">
        <f t="shared" ca="1" si="162"/>
        <v>0</v>
      </c>
      <c r="BR61" s="1482">
        <f t="shared" ca="1" si="162"/>
        <v>0</v>
      </c>
      <c r="BS61" s="1482">
        <f t="shared" ca="1" si="162"/>
        <v>0</v>
      </c>
      <c r="BT61" s="1482">
        <f t="shared" ca="1" si="162"/>
        <v>0</v>
      </c>
      <c r="BU61" s="1482">
        <f t="shared" ca="1" si="162"/>
        <v>0</v>
      </c>
      <c r="BV61" s="1482">
        <f t="shared" ca="1" si="162"/>
        <v>0</v>
      </c>
      <c r="BW61" s="1482">
        <f t="shared" ca="1" si="162"/>
        <v>0</v>
      </c>
      <c r="BX61" s="1482">
        <f t="shared" ca="1" si="162"/>
        <v>0</v>
      </c>
      <c r="BY61" s="1482">
        <f t="shared" ca="1" si="163"/>
        <v>0</v>
      </c>
      <c r="BZ61" s="1482">
        <f t="shared" ca="1" si="163"/>
        <v>0</v>
      </c>
      <c r="CA61" s="1482">
        <f t="shared" ca="1" si="163"/>
        <v>0</v>
      </c>
      <c r="CB61" s="1482">
        <f t="shared" ca="1" si="163"/>
        <v>0</v>
      </c>
      <c r="CC61" s="1482">
        <f t="shared" ca="1" si="163"/>
        <v>0</v>
      </c>
      <c r="CD61" s="1482">
        <f t="shared" ca="1" si="163"/>
        <v>0</v>
      </c>
      <c r="CE61" s="1482">
        <f t="shared" ca="1" si="163"/>
        <v>0</v>
      </c>
      <c r="CF61" s="1482">
        <f t="shared" ca="1" si="163"/>
        <v>0</v>
      </c>
      <c r="CG61" s="1482">
        <f t="shared" ca="1" si="163"/>
        <v>0</v>
      </c>
      <c r="CH61" s="1482">
        <f t="shared" ca="1" si="163"/>
        <v>0</v>
      </c>
      <c r="CI61" s="1482">
        <f t="shared" ca="1" si="164"/>
        <v>0</v>
      </c>
      <c r="CJ61" s="1482">
        <f t="shared" ca="1" si="164"/>
        <v>0</v>
      </c>
      <c r="CK61" s="1482">
        <f t="shared" ca="1" si="164"/>
        <v>0</v>
      </c>
      <c r="CL61" s="1482">
        <f t="shared" ca="1" si="164"/>
        <v>0</v>
      </c>
      <c r="CM61" s="1482">
        <f t="shared" ca="1" si="164"/>
        <v>0</v>
      </c>
      <c r="CN61" s="1482">
        <f t="shared" ca="1" si="164"/>
        <v>0</v>
      </c>
      <c r="CO61" s="1482">
        <f t="shared" ca="1" si="164"/>
        <v>0</v>
      </c>
      <c r="CP61" s="1482">
        <f t="shared" ca="1" si="164"/>
        <v>0</v>
      </c>
      <c r="CQ61" s="1482">
        <f t="shared" ca="1" si="164"/>
        <v>0</v>
      </c>
      <c r="CR61" s="1482">
        <f t="shared" ca="1" si="164"/>
        <v>0</v>
      </c>
      <c r="CS61" s="1482">
        <f t="shared" ca="1" si="165"/>
        <v>0</v>
      </c>
      <c r="CT61" s="1482">
        <f t="shared" ca="1" si="165"/>
        <v>0</v>
      </c>
      <c r="CU61" s="1482">
        <f t="shared" ca="1" si="165"/>
        <v>0</v>
      </c>
      <c r="CV61" s="1482">
        <f t="shared" ca="1" si="165"/>
        <v>0</v>
      </c>
      <c r="CW61" s="1482">
        <f t="shared" ca="1" si="165"/>
        <v>0</v>
      </c>
      <c r="CX61" s="1482">
        <f t="shared" ca="1" si="165"/>
        <v>0</v>
      </c>
      <c r="CY61" s="1482">
        <f t="shared" ca="1" si="165"/>
        <v>0</v>
      </c>
      <c r="CZ61" s="1482">
        <f t="shared" ca="1" si="165"/>
        <v>0</v>
      </c>
      <c r="DA61" s="1482">
        <f t="shared" ca="1" si="165"/>
        <v>0</v>
      </c>
      <c r="DB61" s="1482">
        <f t="shared" ca="1" si="165"/>
        <v>0</v>
      </c>
      <c r="DC61" s="1482">
        <f t="shared" ca="1" si="165"/>
        <v>0</v>
      </c>
      <c r="DD61" s="1482">
        <f t="shared" ca="1" si="165"/>
        <v>0</v>
      </c>
      <c r="DE61" s="1482">
        <f t="shared" ca="1" si="165"/>
        <v>0</v>
      </c>
      <c r="DF61" s="1482">
        <f t="shared" ca="1" si="165"/>
        <v>0</v>
      </c>
      <c r="DH61" s="838">
        <f t="shared" ca="1" si="123"/>
        <v>0</v>
      </c>
    </row>
    <row r="62" spans="1:112" s="743" customFormat="1" ht="12.75" hidden="1" customHeight="1" outlineLevel="1">
      <c r="A62" s="1484"/>
      <c r="B62" s="1484"/>
      <c r="C62" s="746" t="s">
        <v>810</v>
      </c>
      <c r="D62" s="1010" t="str">
        <f>INDEX(Modules[Module], MATCH($C62, Modules[Code], 0))</f>
        <v>Tidal [UNUSED - See III.c]</v>
      </c>
      <c r="E62" s="1010"/>
      <c r="G62" s="1022">
        <f t="shared" ca="1" si="153"/>
        <v>0</v>
      </c>
      <c r="H62" s="1022">
        <f t="shared" ca="1" si="153"/>
        <v>0</v>
      </c>
      <c r="I62" s="1022">
        <f t="shared" ca="1" si="153"/>
        <v>0</v>
      </c>
      <c r="J62" s="1022">
        <f t="shared" ca="1" si="153"/>
        <v>0</v>
      </c>
      <c r="K62" s="1022">
        <f t="shared" ca="1" si="153"/>
        <v>0</v>
      </c>
      <c r="L62" s="1022">
        <f t="shared" ca="1" si="153"/>
        <v>0</v>
      </c>
      <c r="M62" s="1022">
        <f t="shared" ca="1" si="153"/>
        <v>0</v>
      </c>
      <c r="N62" s="1022">
        <f t="shared" ca="1" si="153"/>
        <v>0</v>
      </c>
      <c r="O62" s="1022">
        <f t="shared" ca="1" si="153"/>
        <v>0</v>
      </c>
      <c r="P62" s="1022">
        <f t="shared" ca="1" si="153"/>
        <v>0</v>
      </c>
      <c r="Q62" s="1020">
        <f t="shared" ca="1" si="154"/>
        <v>0</v>
      </c>
      <c r="S62" s="1031">
        <f t="shared" ca="1" si="155"/>
        <v>0</v>
      </c>
      <c r="T62" s="1031">
        <f t="shared" ca="1" si="155"/>
        <v>0</v>
      </c>
      <c r="U62" s="1031">
        <f t="shared" ca="1" si="155"/>
        <v>0</v>
      </c>
      <c r="V62" s="1031">
        <f t="shared" ca="1" si="155"/>
        <v>0</v>
      </c>
      <c r="W62" s="1031">
        <f t="shared" ca="1" si="155"/>
        <v>0</v>
      </c>
      <c r="X62" s="1031">
        <f t="shared" ca="1" si="156"/>
        <v>0</v>
      </c>
      <c r="Y62" s="1031">
        <f t="shared" ca="1" si="156"/>
        <v>0</v>
      </c>
      <c r="Z62" s="1031">
        <f t="shared" ca="1" si="156"/>
        <v>0</v>
      </c>
      <c r="AA62" s="1031">
        <f t="shared" ca="1" si="155"/>
        <v>0</v>
      </c>
      <c r="AB62" s="1031">
        <f t="shared" ca="1" si="155"/>
        <v>0</v>
      </c>
      <c r="AC62" s="1031">
        <f t="shared" ca="1" si="155"/>
        <v>0</v>
      </c>
      <c r="AD62" s="1031">
        <f t="shared" ca="1" si="155"/>
        <v>0</v>
      </c>
      <c r="AE62" s="1031">
        <f t="shared" ca="1" si="155"/>
        <v>0</v>
      </c>
      <c r="AF62" s="1031">
        <f t="shared" ca="1" si="155"/>
        <v>0</v>
      </c>
      <c r="AG62" s="1031">
        <f t="shared" ca="1" si="155"/>
        <v>0</v>
      </c>
      <c r="AH62" s="1031">
        <f t="shared" ca="1" si="155"/>
        <v>0</v>
      </c>
      <c r="AI62" s="1031">
        <f t="shared" ca="1" si="155"/>
        <v>0</v>
      </c>
      <c r="AJ62" s="1031">
        <f t="shared" ca="1" si="155"/>
        <v>0</v>
      </c>
      <c r="AK62" s="1030">
        <f t="shared" ca="1" si="157"/>
        <v>0</v>
      </c>
      <c r="AM62" s="1042">
        <f t="shared" ca="1" si="158"/>
        <v>0</v>
      </c>
      <c r="AN62" s="1042">
        <f t="shared" ca="1" si="158"/>
        <v>0</v>
      </c>
      <c r="AO62" s="1042">
        <f t="shared" ca="1" si="158"/>
        <v>0</v>
      </c>
      <c r="AP62" s="1042">
        <f t="shared" ca="1" si="158"/>
        <v>0</v>
      </c>
      <c r="AQ62" s="1042">
        <f t="shared" ca="1" si="158"/>
        <v>0</v>
      </c>
      <c r="AR62" s="1042">
        <f t="shared" ca="1" si="158"/>
        <v>0</v>
      </c>
      <c r="AS62" s="1042">
        <f t="shared" ca="1" si="158"/>
        <v>0</v>
      </c>
      <c r="AT62" s="1042">
        <f t="shared" ca="1" si="158"/>
        <v>0</v>
      </c>
      <c r="AU62" s="1042">
        <f t="shared" ca="1" si="158"/>
        <v>0</v>
      </c>
      <c r="AV62" s="1042">
        <f t="shared" ca="1" si="155"/>
        <v>0</v>
      </c>
      <c r="AW62" s="1042">
        <f t="shared" ca="1" si="155"/>
        <v>0</v>
      </c>
      <c r="AX62" s="1042">
        <f t="shared" ca="1" si="155"/>
        <v>0</v>
      </c>
      <c r="AY62" s="1042">
        <f t="shared" ca="1" si="155"/>
        <v>0</v>
      </c>
      <c r="AZ62" s="1042">
        <f t="shared" ca="1" si="155"/>
        <v>0</v>
      </c>
      <c r="BA62" s="1042">
        <f t="shared" ca="1" si="155"/>
        <v>0</v>
      </c>
      <c r="BB62" s="1042">
        <f t="shared" ca="1" si="155"/>
        <v>0</v>
      </c>
      <c r="BC62" s="1042">
        <f t="shared" ca="1" si="155"/>
        <v>0</v>
      </c>
      <c r="BD62" s="1042">
        <f t="shared" ca="1" si="155"/>
        <v>0</v>
      </c>
      <c r="BE62" s="1042">
        <f t="shared" ca="1" si="155"/>
        <v>0</v>
      </c>
      <c r="BF62" s="1012">
        <f t="shared" ca="1" si="159"/>
        <v>0</v>
      </c>
      <c r="BH62" s="1036">
        <f t="shared" ca="1" si="160"/>
        <v>0</v>
      </c>
      <c r="BI62" s="1036">
        <f t="shared" ca="1" si="160"/>
        <v>0</v>
      </c>
      <c r="BJ62" s="1035">
        <f t="shared" ca="1" si="161"/>
        <v>0</v>
      </c>
      <c r="BL62" s="814">
        <f t="shared" ca="1" si="152"/>
        <v>0</v>
      </c>
      <c r="BM62" s="814"/>
      <c r="BN62" s="840"/>
      <c r="BO62" s="1485">
        <f t="shared" ca="1" si="162"/>
        <v>0</v>
      </c>
      <c r="BP62" s="1486">
        <f t="shared" ca="1" si="162"/>
        <v>0</v>
      </c>
      <c r="BQ62" s="1486">
        <f t="shared" ca="1" si="162"/>
        <v>0</v>
      </c>
      <c r="BR62" s="1486">
        <f t="shared" ca="1" si="162"/>
        <v>0</v>
      </c>
      <c r="BS62" s="1486">
        <f t="shared" ca="1" si="162"/>
        <v>0</v>
      </c>
      <c r="BT62" s="1486">
        <f t="shared" ca="1" si="162"/>
        <v>0</v>
      </c>
      <c r="BU62" s="1486">
        <f t="shared" ca="1" si="162"/>
        <v>0</v>
      </c>
      <c r="BV62" s="1486">
        <f t="shared" ca="1" si="162"/>
        <v>0</v>
      </c>
      <c r="BW62" s="1486">
        <f t="shared" ca="1" si="162"/>
        <v>0</v>
      </c>
      <c r="BX62" s="1486">
        <f t="shared" ca="1" si="162"/>
        <v>0</v>
      </c>
      <c r="BY62" s="1486">
        <f t="shared" ca="1" si="163"/>
        <v>0</v>
      </c>
      <c r="BZ62" s="1486">
        <f t="shared" ca="1" si="163"/>
        <v>0</v>
      </c>
      <c r="CA62" s="1486">
        <f t="shared" ca="1" si="163"/>
        <v>0</v>
      </c>
      <c r="CB62" s="1486">
        <f t="shared" ca="1" si="163"/>
        <v>0</v>
      </c>
      <c r="CC62" s="1486">
        <f t="shared" ca="1" si="163"/>
        <v>0</v>
      </c>
      <c r="CD62" s="1486">
        <f t="shared" ca="1" si="163"/>
        <v>0</v>
      </c>
      <c r="CE62" s="1486">
        <f t="shared" ca="1" si="163"/>
        <v>0</v>
      </c>
      <c r="CF62" s="1486">
        <f t="shared" ca="1" si="163"/>
        <v>0</v>
      </c>
      <c r="CG62" s="1486">
        <f t="shared" ca="1" si="163"/>
        <v>0</v>
      </c>
      <c r="CH62" s="1486">
        <f t="shared" ca="1" si="163"/>
        <v>0</v>
      </c>
      <c r="CI62" s="1486">
        <f t="shared" ca="1" si="164"/>
        <v>0</v>
      </c>
      <c r="CJ62" s="1486">
        <f t="shared" ca="1" si="164"/>
        <v>0</v>
      </c>
      <c r="CK62" s="1486">
        <f t="shared" ca="1" si="164"/>
        <v>0</v>
      </c>
      <c r="CL62" s="1486">
        <f t="shared" ca="1" si="164"/>
        <v>0</v>
      </c>
      <c r="CM62" s="1486">
        <f t="shared" ca="1" si="164"/>
        <v>0</v>
      </c>
      <c r="CN62" s="1486">
        <f t="shared" ca="1" si="164"/>
        <v>0</v>
      </c>
      <c r="CO62" s="1486">
        <f t="shared" ca="1" si="164"/>
        <v>0</v>
      </c>
      <c r="CP62" s="1486">
        <f t="shared" ca="1" si="164"/>
        <v>0</v>
      </c>
      <c r="CQ62" s="1486">
        <f t="shared" ca="1" si="164"/>
        <v>0</v>
      </c>
      <c r="CR62" s="1486">
        <f t="shared" ca="1" si="164"/>
        <v>0</v>
      </c>
      <c r="CS62" s="1486">
        <f t="shared" ca="1" si="165"/>
        <v>0</v>
      </c>
      <c r="CT62" s="1486">
        <f t="shared" ca="1" si="165"/>
        <v>0</v>
      </c>
      <c r="CU62" s="1486">
        <f t="shared" ca="1" si="165"/>
        <v>0</v>
      </c>
      <c r="CV62" s="1486">
        <f t="shared" ca="1" si="165"/>
        <v>0</v>
      </c>
      <c r="CW62" s="1486">
        <f t="shared" ca="1" si="165"/>
        <v>0</v>
      </c>
      <c r="CX62" s="1486">
        <f t="shared" ca="1" si="165"/>
        <v>0</v>
      </c>
      <c r="CY62" s="1486">
        <f t="shared" ca="1" si="165"/>
        <v>0</v>
      </c>
      <c r="CZ62" s="1486">
        <f t="shared" ca="1" si="165"/>
        <v>0</v>
      </c>
      <c r="DA62" s="1486">
        <f t="shared" ca="1" si="165"/>
        <v>0</v>
      </c>
      <c r="DB62" s="1486">
        <f t="shared" ca="1" si="165"/>
        <v>0</v>
      </c>
      <c r="DC62" s="1486">
        <f t="shared" ca="1" si="165"/>
        <v>0</v>
      </c>
      <c r="DD62" s="1486">
        <f t="shared" ca="1" si="165"/>
        <v>0</v>
      </c>
      <c r="DE62" s="1486">
        <f t="shared" ca="1" si="165"/>
        <v>0</v>
      </c>
      <c r="DF62" s="1486">
        <f t="shared" ca="1" si="165"/>
        <v>0</v>
      </c>
      <c r="DH62" s="838">
        <f t="shared" ca="1" si="123"/>
        <v>0</v>
      </c>
    </row>
    <row r="63" spans="1:112" s="743" customFormat="1" ht="15.75" collapsed="1">
      <c r="A63" s="22"/>
      <c r="B63" s="753"/>
      <c r="C63" s="744" t="s">
        <v>76</v>
      </c>
      <c r="D63" s="517" t="str">
        <f>INDEX(Workstreams[Workstream], MATCH($C63, Workstreams[Code], 0))</f>
        <v>National renewable power generation</v>
      </c>
      <c r="E63" s="512"/>
      <c r="G63" s="958">
        <f t="shared" ref="G63:P63" ca="1" si="166">SUM(G57:G62)</f>
        <v>0</v>
      </c>
      <c r="H63" s="958">
        <f t="shared" ca="1" si="166"/>
        <v>0</v>
      </c>
      <c r="I63" s="958">
        <f t="shared" ca="1" si="166"/>
        <v>0</v>
      </c>
      <c r="J63" s="958">
        <f t="shared" ca="1" si="166"/>
        <v>0</v>
      </c>
      <c r="K63" s="958">
        <f t="shared" ca="1" si="166"/>
        <v>0</v>
      </c>
      <c r="L63" s="958">
        <f t="shared" ca="1" si="166"/>
        <v>0</v>
      </c>
      <c r="M63" s="958">
        <f t="shared" ca="1" si="166"/>
        <v>0</v>
      </c>
      <c r="N63" s="958">
        <f t="shared" ca="1" si="166"/>
        <v>0</v>
      </c>
      <c r="O63" s="958">
        <f t="shared" ca="1" si="166"/>
        <v>0</v>
      </c>
      <c r="P63" s="958">
        <f t="shared" ca="1" si="166"/>
        <v>0</v>
      </c>
      <c r="Q63" s="1021">
        <f t="shared" ca="1" si="154"/>
        <v>0</v>
      </c>
      <c r="S63" s="970">
        <f t="shared" ref="S63:AJ63" ca="1" si="167">SUM(S57:S62)</f>
        <v>0</v>
      </c>
      <c r="T63" s="970">
        <f t="shared" ca="1" si="167"/>
        <v>49.78327412739727</v>
      </c>
      <c r="U63" s="970">
        <f t="shared" ca="1" si="167"/>
        <v>0</v>
      </c>
      <c r="V63" s="970">
        <f t="shared" ca="1" si="167"/>
        <v>0</v>
      </c>
      <c r="W63" s="970">
        <f t="shared" ca="1" si="167"/>
        <v>0</v>
      </c>
      <c r="X63" s="970">
        <f t="shared" ca="1" si="167"/>
        <v>0</v>
      </c>
      <c r="Y63" s="970">
        <f t="shared" ca="1" si="167"/>
        <v>0</v>
      </c>
      <c r="Z63" s="970">
        <f t="shared" ca="1" si="167"/>
        <v>0</v>
      </c>
      <c r="AA63" s="970">
        <f t="shared" ca="1" si="167"/>
        <v>0</v>
      </c>
      <c r="AB63" s="970">
        <f t="shared" ca="1" si="167"/>
        <v>0</v>
      </c>
      <c r="AC63" s="970">
        <f t="shared" ca="1" si="167"/>
        <v>0</v>
      </c>
      <c r="AD63" s="970">
        <f t="shared" ca="1" si="167"/>
        <v>0</v>
      </c>
      <c r="AE63" s="970">
        <f ca="1">SUM(AE57:AE62)</f>
        <v>0</v>
      </c>
      <c r="AF63" s="970">
        <f t="shared" ca="1" si="167"/>
        <v>0</v>
      </c>
      <c r="AG63" s="970">
        <f t="shared" ca="1" si="167"/>
        <v>0</v>
      </c>
      <c r="AH63" s="970">
        <f ca="1">SUM(AH57:AH62)</f>
        <v>0</v>
      </c>
      <c r="AI63" s="970">
        <f t="shared" ca="1" si="167"/>
        <v>0</v>
      </c>
      <c r="AJ63" s="970">
        <f t="shared" ca="1" si="167"/>
        <v>0</v>
      </c>
      <c r="AK63" s="970">
        <f t="shared" ca="1" si="157"/>
        <v>49.78327412739727</v>
      </c>
      <c r="AM63" s="976">
        <f t="shared" ref="AM63:BE63" ca="1" si="168">SUM(AM57:AM62)</f>
        <v>0</v>
      </c>
      <c r="AN63" s="976">
        <f t="shared" ca="1" si="168"/>
        <v>0</v>
      </c>
      <c r="AO63" s="976">
        <f t="shared" ca="1" si="168"/>
        <v>0</v>
      </c>
      <c r="AP63" s="976">
        <f t="shared" ca="1" si="168"/>
        <v>0</v>
      </c>
      <c r="AQ63" s="976">
        <f t="shared" ca="1" si="168"/>
        <v>0</v>
      </c>
      <c r="AR63" s="976">
        <f t="shared" ca="1" si="168"/>
        <v>0</v>
      </c>
      <c r="AS63" s="976">
        <f t="shared" ca="1" si="168"/>
        <v>0</v>
      </c>
      <c r="AT63" s="976">
        <f t="shared" ca="1" si="168"/>
        <v>0</v>
      </c>
      <c r="AU63" s="976">
        <f t="shared" ca="1" si="168"/>
        <v>0</v>
      </c>
      <c r="AV63" s="976">
        <f t="shared" ca="1" si="168"/>
        <v>0</v>
      </c>
      <c r="AW63" s="976">
        <f t="shared" ca="1" si="168"/>
        <v>0</v>
      </c>
      <c r="AX63" s="976">
        <f t="shared" ca="1" si="168"/>
        <v>-44.245070100000007</v>
      </c>
      <c r="AY63" s="976">
        <f t="shared" ca="1" si="168"/>
        <v>-5.0034246575342486E-2</v>
      </c>
      <c r="AZ63" s="976">
        <f t="shared" ca="1" si="168"/>
        <v>-0.1584417808219177</v>
      </c>
      <c r="BA63" s="976">
        <f t="shared" ca="1" si="168"/>
        <v>0</v>
      </c>
      <c r="BB63" s="976">
        <f t="shared" ca="1" si="168"/>
        <v>-5.3297280000000011</v>
      </c>
      <c r="BC63" s="976">
        <f t="shared" ca="1" si="168"/>
        <v>0</v>
      </c>
      <c r="BD63" s="976">
        <f t="shared" ca="1" si="168"/>
        <v>0</v>
      </c>
      <c r="BE63" s="976">
        <f t="shared" ca="1" si="168"/>
        <v>0</v>
      </c>
      <c r="BF63" s="976">
        <f t="shared" ca="1" si="159"/>
        <v>-49.78327412739727</v>
      </c>
      <c r="BH63" s="990">
        <f ca="1">SUM(BH57:BH62)</f>
        <v>0</v>
      </c>
      <c r="BI63" s="990">
        <f ca="1">SUM(BI57:BI62)</f>
        <v>0</v>
      </c>
      <c r="BJ63" s="990">
        <f t="shared" ca="1" si="161"/>
        <v>0</v>
      </c>
      <c r="BL63" s="515">
        <f t="shared" ca="1" si="152"/>
        <v>0</v>
      </c>
      <c r="BM63" s="515"/>
      <c r="BN63" s="840"/>
      <c r="BO63" s="1482">
        <f t="shared" ref="BO63:DF63" ca="1" si="169">SUM(BO57:BO62)</f>
        <v>0</v>
      </c>
      <c r="BP63" s="1482">
        <f t="shared" ca="1" si="169"/>
        <v>0</v>
      </c>
      <c r="BQ63" s="1482">
        <f t="shared" ca="1" si="169"/>
        <v>0</v>
      </c>
      <c r="BR63" s="1482">
        <f t="shared" ca="1" si="169"/>
        <v>0</v>
      </c>
      <c r="BS63" s="1482">
        <f t="shared" ca="1" si="169"/>
        <v>0</v>
      </c>
      <c r="BT63" s="1482">
        <f t="shared" ca="1" si="169"/>
        <v>0</v>
      </c>
      <c r="BU63" s="1482">
        <f t="shared" ca="1" si="169"/>
        <v>0</v>
      </c>
      <c r="BV63" s="1482">
        <f t="shared" ca="1" si="169"/>
        <v>0</v>
      </c>
      <c r="BW63" s="1482">
        <f t="shared" ca="1" si="169"/>
        <v>0</v>
      </c>
      <c r="BX63" s="1482">
        <f t="shared" ca="1" si="169"/>
        <v>0</v>
      </c>
      <c r="BY63" s="1482">
        <f t="shared" ca="1" si="169"/>
        <v>0</v>
      </c>
      <c r="BZ63" s="1482">
        <f t="shared" ca="1" si="169"/>
        <v>0</v>
      </c>
      <c r="CA63" s="1482">
        <f t="shared" ca="1" si="169"/>
        <v>0</v>
      </c>
      <c r="CB63" s="1482">
        <f t="shared" ca="1" si="169"/>
        <v>0</v>
      </c>
      <c r="CC63" s="1482">
        <f t="shared" ca="1" si="169"/>
        <v>0</v>
      </c>
      <c r="CD63" s="1482">
        <f t="shared" ca="1" si="169"/>
        <v>0</v>
      </c>
      <c r="CE63" s="1482">
        <f t="shared" ca="1" si="169"/>
        <v>0</v>
      </c>
      <c r="CF63" s="1482">
        <f t="shared" ca="1" si="169"/>
        <v>0</v>
      </c>
      <c r="CG63" s="1482">
        <f t="shared" ca="1" si="169"/>
        <v>0</v>
      </c>
      <c r="CH63" s="1482">
        <f t="shared" ca="1" si="169"/>
        <v>0</v>
      </c>
      <c r="CI63" s="1482">
        <f t="shared" ca="1" si="169"/>
        <v>0</v>
      </c>
      <c r="CJ63" s="1482">
        <f t="shared" ca="1" si="169"/>
        <v>0</v>
      </c>
      <c r="CK63" s="1482">
        <f t="shared" ca="1" si="169"/>
        <v>0</v>
      </c>
      <c r="CL63" s="1482">
        <f t="shared" ca="1" si="169"/>
        <v>0</v>
      </c>
      <c r="CM63" s="1482">
        <f t="shared" ca="1" si="169"/>
        <v>0</v>
      </c>
      <c r="CN63" s="1482">
        <f t="shared" ca="1" si="169"/>
        <v>0</v>
      </c>
      <c r="CO63" s="1482">
        <f t="shared" ca="1" si="169"/>
        <v>0</v>
      </c>
      <c r="CP63" s="1482">
        <f t="shared" ca="1" si="169"/>
        <v>0</v>
      </c>
      <c r="CQ63" s="1482">
        <f t="shared" ca="1" si="169"/>
        <v>0</v>
      </c>
      <c r="CR63" s="1482">
        <f t="shared" ca="1" si="169"/>
        <v>0</v>
      </c>
      <c r="CS63" s="1482">
        <f t="shared" ca="1" si="169"/>
        <v>0</v>
      </c>
      <c r="CT63" s="1482">
        <f t="shared" ca="1" si="169"/>
        <v>0</v>
      </c>
      <c r="CU63" s="1482">
        <f t="shared" ca="1" si="169"/>
        <v>0</v>
      </c>
      <c r="CV63" s="1482">
        <f t="shared" ca="1" si="169"/>
        <v>0</v>
      </c>
      <c r="CW63" s="1482">
        <f t="shared" ca="1" si="169"/>
        <v>0</v>
      </c>
      <c r="CX63" s="1482">
        <f t="shared" ca="1" si="169"/>
        <v>0</v>
      </c>
      <c r="CY63" s="1482">
        <f t="shared" ca="1" si="169"/>
        <v>0</v>
      </c>
      <c r="CZ63" s="1482">
        <f t="shared" ca="1" si="169"/>
        <v>0</v>
      </c>
      <c r="DA63" s="1482">
        <f t="shared" ca="1" si="169"/>
        <v>0</v>
      </c>
      <c r="DB63" s="1482">
        <f t="shared" ca="1" si="169"/>
        <v>0</v>
      </c>
      <c r="DC63" s="1482">
        <f t="shared" ca="1" si="169"/>
        <v>0</v>
      </c>
      <c r="DD63" s="1482">
        <f t="shared" ca="1" si="169"/>
        <v>0</v>
      </c>
      <c r="DE63" s="1482">
        <f t="shared" ca="1" si="169"/>
        <v>0</v>
      </c>
      <c r="DF63" s="1482">
        <f t="shared" ca="1" si="169"/>
        <v>0</v>
      </c>
      <c r="DH63" s="838">
        <f t="shared" ca="1" si="123"/>
        <v>0</v>
      </c>
    </row>
    <row r="64" spans="1:112" s="743" customFormat="1" ht="12.75" hidden="1" customHeight="1" outlineLevel="1">
      <c r="A64" s="22"/>
      <c r="B64" s="22"/>
      <c r="C64" s="751"/>
      <c r="D64" s="512"/>
      <c r="E64" s="512"/>
      <c r="G64" s="958"/>
      <c r="H64" s="958"/>
      <c r="I64" s="958"/>
      <c r="J64" s="958"/>
      <c r="K64" s="960"/>
      <c r="L64" s="958"/>
      <c r="M64" s="958"/>
      <c r="N64" s="958"/>
      <c r="O64" s="958"/>
      <c r="P64" s="958"/>
      <c r="Q64" s="958"/>
      <c r="S64" s="970"/>
      <c r="T64" s="970"/>
      <c r="U64" s="970"/>
      <c r="V64" s="970"/>
      <c r="W64" s="970"/>
      <c r="X64" s="970"/>
      <c r="Y64" s="970"/>
      <c r="Z64" s="970"/>
      <c r="AA64" s="970"/>
      <c r="AB64" s="970"/>
      <c r="AC64" s="970"/>
      <c r="AD64" s="970"/>
      <c r="AE64" s="970"/>
      <c r="AF64" s="970"/>
      <c r="AG64" s="970"/>
      <c r="AH64" s="970"/>
      <c r="AI64" s="970"/>
      <c r="AJ64" s="970"/>
      <c r="AK64" s="970"/>
      <c r="AM64" s="976"/>
      <c r="AN64" s="976"/>
      <c r="AO64" s="976"/>
      <c r="AP64" s="976"/>
      <c r="AQ64" s="976"/>
      <c r="AR64" s="976"/>
      <c r="AS64" s="976"/>
      <c r="AT64" s="976"/>
      <c r="AU64" s="976"/>
      <c r="AV64" s="976"/>
      <c r="AW64" s="976"/>
      <c r="AX64" s="976"/>
      <c r="AY64" s="976"/>
      <c r="AZ64" s="976"/>
      <c r="BA64" s="976"/>
      <c r="BB64" s="976"/>
      <c r="BC64" s="976"/>
      <c r="BD64" s="976"/>
      <c r="BE64" s="976"/>
      <c r="BF64" s="976"/>
      <c r="BH64" s="990"/>
      <c r="BI64" s="990"/>
      <c r="BJ64" s="990"/>
      <c r="BL64" s="515"/>
      <c r="BM64" s="515"/>
      <c r="BN64" s="22"/>
      <c r="BO64" s="1482"/>
      <c r="BP64" s="1482"/>
      <c r="BQ64" s="1482"/>
      <c r="BR64" s="1482"/>
      <c r="BS64" s="1482"/>
      <c r="BT64" s="1482"/>
      <c r="BU64" s="1482"/>
      <c r="BV64" s="1482"/>
      <c r="BW64" s="1482"/>
      <c r="BX64" s="1482"/>
      <c r="BY64" s="1482"/>
      <c r="BZ64" s="1482"/>
      <c r="CA64" s="1482"/>
      <c r="CB64" s="1482"/>
      <c r="CC64" s="1482"/>
      <c r="CD64" s="1482"/>
      <c r="CE64" s="1482"/>
      <c r="CF64" s="1482"/>
      <c r="CG64" s="1482"/>
      <c r="CH64" s="1482"/>
      <c r="CI64" s="1482"/>
      <c r="CJ64" s="1482"/>
      <c r="CK64" s="1482"/>
      <c r="CL64" s="1482"/>
      <c r="CM64" s="1482"/>
      <c r="CN64" s="1482"/>
      <c r="CO64" s="1482"/>
      <c r="CP64" s="1482"/>
      <c r="CQ64" s="1482"/>
      <c r="CR64" s="1482"/>
      <c r="CS64" s="1482"/>
      <c r="CT64" s="1482"/>
      <c r="CU64" s="1482"/>
      <c r="CV64" s="1482"/>
      <c r="CW64" s="1482"/>
      <c r="CX64" s="1482"/>
      <c r="CY64" s="1482"/>
      <c r="CZ64" s="1482"/>
      <c r="DA64" s="1482"/>
      <c r="DB64" s="1482"/>
      <c r="DC64" s="1482"/>
      <c r="DD64" s="1482"/>
      <c r="DE64" s="1482"/>
      <c r="DF64" s="1482"/>
      <c r="DH64" s="838">
        <f t="shared" si="123"/>
        <v>0</v>
      </c>
    </row>
    <row r="65" spans="1:112" s="1484" customFormat="1" ht="12.75" hidden="1" customHeight="1" outlineLevel="1">
      <c r="C65" s="746" t="s">
        <v>976</v>
      </c>
      <c r="D65" s="521" t="str">
        <f>INDEX(Modules[Module], MATCH($C65, Modules[Code], 0))</f>
        <v>Distributed solar PV</v>
      </c>
      <c r="E65" s="521"/>
      <c r="G65" s="1604">
        <f t="shared" ref="G65:P67" ca="1" si="170">IFERROR(INDEX(INDIRECT($C65&amp;".Outputs["&amp;this.Year&amp;"]"), MATCH(G$5, INDIRECT($C65&amp;".Outputs[Vector]"), 0)), 0)</f>
        <v>0</v>
      </c>
      <c r="H65" s="1604">
        <f t="shared" ca="1" si="170"/>
        <v>0</v>
      </c>
      <c r="I65" s="1604">
        <f t="shared" ca="1" si="170"/>
        <v>0</v>
      </c>
      <c r="J65" s="1604">
        <f t="shared" ca="1" si="170"/>
        <v>0</v>
      </c>
      <c r="K65" s="1605">
        <f t="shared" ca="1" si="170"/>
        <v>0</v>
      </c>
      <c r="L65" s="1604">
        <f t="shared" ca="1" si="170"/>
        <v>0</v>
      </c>
      <c r="M65" s="1604">
        <f t="shared" ca="1" si="170"/>
        <v>0</v>
      </c>
      <c r="N65" s="1604">
        <f t="shared" ca="1" si="170"/>
        <v>0</v>
      </c>
      <c r="O65" s="1604">
        <f t="shared" ca="1" si="170"/>
        <v>0</v>
      </c>
      <c r="P65" s="1604">
        <f t="shared" ca="1" si="170"/>
        <v>0</v>
      </c>
      <c r="Q65" s="963">
        <f ca="1">SUM(G65:P65)</f>
        <v>0</v>
      </c>
      <c r="S65" s="1606">
        <f t="shared" ref="S65:BE67" ca="1" si="171">IFERROR(INDEX(INDIRECT($C65&amp;".Outputs["&amp;this.Year&amp;"]"), MATCH(S$5, INDIRECT($C65&amp;".Outputs[Vector]"), 0)), 0)</f>
        <v>0</v>
      </c>
      <c r="T65" s="1606">
        <f t="shared" ca="1" si="171"/>
        <v>0</v>
      </c>
      <c r="U65" s="1606">
        <f t="shared" ca="1" si="171"/>
        <v>0</v>
      </c>
      <c r="V65" s="1606">
        <f t="shared" ca="1" si="171"/>
        <v>0</v>
      </c>
      <c r="W65" s="1606">
        <f t="shared" ca="1" si="171"/>
        <v>0</v>
      </c>
      <c r="X65" s="1606">
        <f t="shared" ref="X65:Z67" ca="1" si="172">IFERROR(INDEX(INDIRECT($C65&amp;".Outputs["&amp;this.Year&amp;"]"), MATCH(X$5, INDIRECT($C65&amp;".Outputs[Vector]"), 0)), 0)</f>
        <v>0</v>
      </c>
      <c r="Y65" s="1606">
        <f t="shared" ca="1" si="172"/>
        <v>0</v>
      </c>
      <c r="Z65" s="1606">
        <f t="shared" ca="1" si="172"/>
        <v>0</v>
      </c>
      <c r="AA65" s="1606">
        <f t="shared" ca="1" si="171"/>
        <v>0</v>
      </c>
      <c r="AB65" s="1606">
        <f t="shared" ca="1" si="171"/>
        <v>0</v>
      </c>
      <c r="AC65" s="1606">
        <f t="shared" ca="1" si="171"/>
        <v>0</v>
      </c>
      <c r="AD65" s="1606">
        <f t="shared" ca="1" si="171"/>
        <v>0</v>
      </c>
      <c r="AE65" s="1606">
        <f t="shared" ca="1" si="171"/>
        <v>0</v>
      </c>
      <c r="AF65" s="1606">
        <f t="shared" ca="1" si="171"/>
        <v>0</v>
      </c>
      <c r="AG65" s="1606">
        <f t="shared" ca="1" si="171"/>
        <v>0</v>
      </c>
      <c r="AH65" s="1606">
        <f t="shared" ca="1" si="171"/>
        <v>0</v>
      </c>
      <c r="AI65" s="1606">
        <f t="shared" ca="1" si="171"/>
        <v>0</v>
      </c>
      <c r="AJ65" s="1606">
        <f t="shared" ca="1" si="171"/>
        <v>0</v>
      </c>
      <c r="AK65" s="972">
        <f ca="1">SUM(S65:AJ65)</f>
        <v>0</v>
      </c>
      <c r="AM65" s="1607">
        <f t="shared" ref="AM65:AU67" ca="1" si="173">IFERROR(INDEX(INDIRECT($C65&amp;".Outputs["&amp;this.Year&amp;"]"), MATCH(AM$5, INDIRECT($C65&amp;".Outputs[Vector]"), 0)), 0)</f>
        <v>0</v>
      </c>
      <c r="AN65" s="1607">
        <f t="shared" ca="1" si="173"/>
        <v>0</v>
      </c>
      <c r="AO65" s="1607">
        <f t="shared" ca="1" si="173"/>
        <v>0</v>
      </c>
      <c r="AP65" s="1607">
        <f t="shared" ca="1" si="173"/>
        <v>0</v>
      </c>
      <c r="AQ65" s="1607">
        <f t="shared" ca="1" si="173"/>
        <v>0</v>
      </c>
      <c r="AR65" s="1607">
        <f t="shared" ca="1" si="173"/>
        <v>0</v>
      </c>
      <c r="AS65" s="1607">
        <f t="shared" ca="1" si="173"/>
        <v>0</v>
      </c>
      <c r="AT65" s="1607">
        <f t="shared" ca="1" si="173"/>
        <v>0</v>
      </c>
      <c r="AU65" s="1607">
        <f t="shared" ca="1" si="173"/>
        <v>0</v>
      </c>
      <c r="AV65" s="1607">
        <f t="shared" ca="1" si="171"/>
        <v>0</v>
      </c>
      <c r="AW65" s="1607">
        <f t="shared" ca="1" si="171"/>
        <v>0</v>
      </c>
      <c r="AX65" s="1607">
        <f t="shared" ca="1" si="171"/>
        <v>0</v>
      </c>
      <c r="AY65" s="1607">
        <f t="shared" ca="1" si="171"/>
        <v>0</v>
      </c>
      <c r="AZ65" s="1607">
        <f t="shared" ca="1" si="171"/>
        <v>0</v>
      </c>
      <c r="BA65" s="1607">
        <f t="shared" ca="1" si="171"/>
        <v>0</v>
      </c>
      <c r="BB65" s="1607">
        <f t="shared" ca="1" si="171"/>
        <v>0</v>
      </c>
      <c r="BC65" s="1607">
        <f t="shared" ca="1" si="171"/>
        <v>0</v>
      </c>
      <c r="BD65" s="1607">
        <f t="shared" ca="1" si="171"/>
        <v>0</v>
      </c>
      <c r="BE65" s="1607">
        <f t="shared" ca="1" si="171"/>
        <v>0</v>
      </c>
      <c r="BF65" s="979">
        <f ca="1">SUM(AM65:BE65)</f>
        <v>0</v>
      </c>
      <c r="BH65" s="1608">
        <f t="shared" ref="BH65:BI67" ca="1" si="174">IFERROR(INDEX(INDIRECT($C65&amp;".Outputs["&amp;this.Year&amp;"]"), MATCH(BH$5, INDIRECT($C65&amp;".Outputs[Vector]"), 0)), 0)</f>
        <v>0</v>
      </c>
      <c r="BI65" s="1608">
        <f t="shared" ca="1" si="174"/>
        <v>0</v>
      </c>
      <c r="BJ65" s="992">
        <f ca="1">SUM(BH65:BI65)</f>
        <v>0</v>
      </c>
      <c r="BL65" s="814">
        <f t="shared" ref="BL65:BL70" ca="1" si="175">Q65+AK65+BF65+BJ65</f>
        <v>0</v>
      </c>
      <c r="BM65" s="814"/>
      <c r="BO65" s="1602">
        <f t="shared" ref="BO65:DF67" ca="1" si="176">IFERROR(SUMIFS(INDIRECT($C65&amp;".Emissions["&amp;this.Year&amp;"]"), INDIRECT($C65&amp;".Emissions[GHG]"), BO$6, INDIRECT($C65&amp;".Emissions[IPCC Sector]"), BO$5),0)</f>
        <v>0</v>
      </c>
      <c r="BP65" s="1602">
        <f t="shared" ca="1" si="176"/>
        <v>0</v>
      </c>
      <c r="BQ65" s="1602">
        <f t="shared" ca="1" si="176"/>
        <v>0</v>
      </c>
      <c r="BR65" s="1602">
        <f t="shared" ca="1" si="176"/>
        <v>0</v>
      </c>
      <c r="BS65" s="1602">
        <f t="shared" ca="1" si="176"/>
        <v>0</v>
      </c>
      <c r="BT65" s="1602">
        <f t="shared" ca="1" si="176"/>
        <v>0</v>
      </c>
      <c r="BU65" s="1602">
        <f t="shared" ca="1" si="176"/>
        <v>0</v>
      </c>
      <c r="BV65" s="1602">
        <f t="shared" ca="1" si="176"/>
        <v>0</v>
      </c>
      <c r="BW65" s="1602">
        <f t="shared" ca="1" si="176"/>
        <v>0</v>
      </c>
      <c r="BX65" s="1602">
        <f t="shared" ca="1" si="176"/>
        <v>0</v>
      </c>
      <c r="BY65" s="1602">
        <f t="shared" ca="1" si="176"/>
        <v>0</v>
      </c>
      <c r="BZ65" s="1602">
        <f t="shared" ca="1" si="176"/>
        <v>0</v>
      </c>
      <c r="CA65" s="1602">
        <f t="shared" ca="1" si="176"/>
        <v>0</v>
      </c>
      <c r="CB65" s="1602">
        <f t="shared" ca="1" si="176"/>
        <v>0</v>
      </c>
      <c r="CC65" s="1602">
        <f t="shared" ca="1" si="176"/>
        <v>0</v>
      </c>
      <c r="CD65" s="1602">
        <f t="shared" ca="1" si="176"/>
        <v>0</v>
      </c>
      <c r="CE65" s="1602">
        <f t="shared" ca="1" si="176"/>
        <v>0</v>
      </c>
      <c r="CF65" s="1602">
        <f t="shared" ca="1" si="176"/>
        <v>0</v>
      </c>
      <c r="CG65" s="1602">
        <f t="shared" ca="1" si="176"/>
        <v>0</v>
      </c>
      <c r="CH65" s="1602">
        <f t="shared" ca="1" si="176"/>
        <v>0</v>
      </c>
      <c r="CI65" s="1602">
        <f t="shared" ca="1" si="176"/>
        <v>0</v>
      </c>
      <c r="CJ65" s="1602">
        <f t="shared" ca="1" si="176"/>
        <v>0</v>
      </c>
      <c r="CK65" s="1602">
        <f t="shared" ca="1" si="176"/>
        <v>0</v>
      </c>
      <c r="CL65" s="1602">
        <f t="shared" ca="1" si="176"/>
        <v>0</v>
      </c>
      <c r="CM65" s="1602">
        <f t="shared" ca="1" si="176"/>
        <v>0</v>
      </c>
      <c r="CN65" s="1602">
        <f t="shared" ca="1" si="176"/>
        <v>0</v>
      </c>
      <c r="CO65" s="1602">
        <f t="shared" ca="1" si="176"/>
        <v>0</v>
      </c>
      <c r="CP65" s="1602">
        <f t="shared" ca="1" si="176"/>
        <v>0</v>
      </c>
      <c r="CQ65" s="1602">
        <f t="shared" ca="1" si="176"/>
        <v>0</v>
      </c>
      <c r="CR65" s="1602">
        <f t="shared" ca="1" si="176"/>
        <v>0</v>
      </c>
      <c r="CS65" s="1602">
        <f t="shared" ca="1" si="176"/>
        <v>0</v>
      </c>
      <c r="CT65" s="1602">
        <f t="shared" ca="1" si="176"/>
        <v>0</v>
      </c>
      <c r="CU65" s="1602">
        <f t="shared" ca="1" si="176"/>
        <v>0</v>
      </c>
      <c r="CV65" s="1602">
        <f t="shared" ca="1" si="176"/>
        <v>0</v>
      </c>
      <c r="CW65" s="1602">
        <f t="shared" ca="1" si="176"/>
        <v>0</v>
      </c>
      <c r="CX65" s="1602">
        <f t="shared" ca="1" si="176"/>
        <v>0</v>
      </c>
      <c r="CY65" s="1602">
        <f t="shared" ca="1" si="176"/>
        <v>0</v>
      </c>
      <c r="CZ65" s="1602">
        <f t="shared" ca="1" si="176"/>
        <v>0</v>
      </c>
      <c r="DA65" s="1602">
        <f t="shared" ca="1" si="176"/>
        <v>0</v>
      </c>
      <c r="DB65" s="1602">
        <f t="shared" ca="1" si="176"/>
        <v>0</v>
      </c>
      <c r="DC65" s="1602">
        <f t="shared" ca="1" si="176"/>
        <v>0</v>
      </c>
      <c r="DD65" s="1602">
        <f t="shared" ca="1" si="176"/>
        <v>0</v>
      </c>
      <c r="DE65" s="1602">
        <f t="shared" ca="1" si="176"/>
        <v>0</v>
      </c>
      <c r="DF65" s="1602">
        <f t="shared" ca="1" si="176"/>
        <v>0</v>
      </c>
      <c r="DH65" s="1603">
        <f t="shared" ca="1" si="123"/>
        <v>0</v>
      </c>
    </row>
    <row r="66" spans="1:112" s="1484" customFormat="1" ht="12.75" hidden="1" customHeight="1" outlineLevel="1">
      <c r="C66" s="746" t="s">
        <v>1329</v>
      </c>
      <c r="D66" s="521" t="str">
        <f>INDEX(Modules[Module], MATCH($C66, Modules[Code], 0))</f>
        <v>Distributed solar thermal</v>
      </c>
      <c r="E66" s="521"/>
      <c r="G66" s="1604">
        <f t="shared" ca="1" si="170"/>
        <v>0</v>
      </c>
      <c r="H66" s="1604">
        <f t="shared" ca="1" si="170"/>
        <v>0</v>
      </c>
      <c r="I66" s="1604">
        <f t="shared" ca="1" si="170"/>
        <v>0</v>
      </c>
      <c r="J66" s="1604">
        <f t="shared" ca="1" si="170"/>
        <v>0</v>
      </c>
      <c r="K66" s="1605">
        <f t="shared" ca="1" si="170"/>
        <v>0</v>
      </c>
      <c r="L66" s="1604">
        <f t="shared" ca="1" si="170"/>
        <v>0</v>
      </c>
      <c r="M66" s="1604">
        <f t="shared" ca="1" si="170"/>
        <v>0</v>
      </c>
      <c r="N66" s="1604">
        <f t="shared" ca="1" si="170"/>
        <v>0</v>
      </c>
      <c r="O66" s="1604">
        <f t="shared" ca="1" si="170"/>
        <v>0</v>
      </c>
      <c r="P66" s="1604">
        <f t="shared" ca="1" si="170"/>
        <v>0</v>
      </c>
      <c r="Q66" s="963">
        <f ca="1">SUM(G66:P66)</f>
        <v>0</v>
      </c>
      <c r="S66" s="1606">
        <f t="shared" ca="1" si="171"/>
        <v>0</v>
      </c>
      <c r="T66" s="1606">
        <f t="shared" ca="1" si="171"/>
        <v>0</v>
      </c>
      <c r="U66" s="1606">
        <f t="shared" ca="1" si="171"/>
        <v>0</v>
      </c>
      <c r="V66" s="1606">
        <f t="shared" ca="1" si="171"/>
        <v>0</v>
      </c>
      <c r="W66" s="1606">
        <f t="shared" ca="1" si="171"/>
        <v>0</v>
      </c>
      <c r="X66" s="1606">
        <f t="shared" ca="1" si="172"/>
        <v>0</v>
      </c>
      <c r="Y66" s="1606">
        <f t="shared" ca="1" si="172"/>
        <v>0</v>
      </c>
      <c r="Z66" s="1606">
        <f t="shared" ca="1" si="172"/>
        <v>0</v>
      </c>
      <c r="AA66" s="1606">
        <f t="shared" ca="1" si="171"/>
        <v>0</v>
      </c>
      <c r="AB66" s="1606">
        <f t="shared" ca="1" si="171"/>
        <v>0</v>
      </c>
      <c r="AC66" s="1606">
        <f t="shared" ca="1" si="171"/>
        <v>0</v>
      </c>
      <c r="AD66" s="1606">
        <f t="shared" ca="1" si="171"/>
        <v>0</v>
      </c>
      <c r="AE66" s="1606">
        <f t="shared" ca="1" si="171"/>
        <v>0</v>
      </c>
      <c r="AF66" s="1606">
        <f t="shared" ca="1" si="171"/>
        <v>0</v>
      </c>
      <c r="AG66" s="1606">
        <f t="shared" ca="1" si="171"/>
        <v>0</v>
      </c>
      <c r="AH66" s="1606">
        <f t="shared" ca="1" si="171"/>
        <v>0</v>
      </c>
      <c r="AI66" s="1606">
        <f t="shared" ca="1" si="171"/>
        <v>0</v>
      </c>
      <c r="AJ66" s="1606">
        <f t="shared" ca="1" si="171"/>
        <v>0</v>
      </c>
      <c r="AK66" s="972">
        <f ca="1">SUM(S66:AJ66)</f>
        <v>0</v>
      </c>
      <c r="AM66" s="1607">
        <f t="shared" ca="1" si="173"/>
        <v>0</v>
      </c>
      <c r="AN66" s="1607">
        <f t="shared" ca="1" si="173"/>
        <v>0</v>
      </c>
      <c r="AO66" s="1607">
        <f t="shared" ca="1" si="173"/>
        <v>0</v>
      </c>
      <c r="AP66" s="1607">
        <f t="shared" ca="1" si="173"/>
        <v>0</v>
      </c>
      <c r="AQ66" s="1607">
        <f t="shared" ca="1" si="173"/>
        <v>0</v>
      </c>
      <c r="AR66" s="1607">
        <f t="shared" ca="1" si="173"/>
        <v>0</v>
      </c>
      <c r="AS66" s="1607">
        <f t="shared" ca="1" si="173"/>
        <v>0</v>
      </c>
      <c r="AT66" s="1607">
        <f t="shared" ca="1" si="173"/>
        <v>0</v>
      </c>
      <c r="AU66" s="1607">
        <f t="shared" ca="1" si="173"/>
        <v>0</v>
      </c>
      <c r="AV66" s="1607">
        <f t="shared" ca="1" si="171"/>
        <v>0</v>
      </c>
      <c r="AW66" s="1607">
        <f t="shared" ca="1" si="171"/>
        <v>0</v>
      </c>
      <c r="AX66" s="1607">
        <f t="shared" ca="1" si="171"/>
        <v>0</v>
      </c>
      <c r="AY66" s="1607">
        <f t="shared" ca="1" si="171"/>
        <v>0</v>
      </c>
      <c r="AZ66" s="1607">
        <f t="shared" ca="1" si="171"/>
        <v>0</v>
      </c>
      <c r="BA66" s="1607">
        <f t="shared" ca="1" si="171"/>
        <v>0</v>
      </c>
      <c r="BB66" s="1607">
        <f t="shared" ca="1" si="171"/>
        <v>0</v>
      </c>
      <c r="BC66" s="1607">
        <f t="shared" ca="1" si="171"/>
        <v>0</v>
      </c>
      <c r="BD66" s="1607">
        <f t="shared" ca="1" si="171"/>
        <v>0</v>
      </c>
      <c r="BE66" s="1607">
        <f t="shared" ca="1" si="171"/>
        <v>0</v>
      </c>
      <c r="BF66" s="979">
        <f ca="1">SUM(AM66:BE66)</f>
        <v>0</v>
      </c>
      <c r="BH66" s="1608">
        <f t="shared" ca="1" si="174"/>
        <v>0</v>
      </c>
      <c r="BI66" s="1608">
        <f t="shared" ca="1" si="174"/>
        <v>0</v>
      </c>
      <c r="BJ66" s="992">
        <f ca="1">SUM(BH66:BI66)</f>
        <v>0</v>
      </c>
      <c r="BL66" s="814">
        <f t="shared" ca="1" si="175"/>
        <v>0</v>
      </c>
      <c r="BM66" s="814"/>
      <c r="BO66" s="1602">
        <f t="shared" ca="1" si="176"/>
        <v>0</v>
      </c>
      <c r="BP66" s="1602">
        <f t="shared" ca="1" si="176"/>
        <v>0</v>
      </c>
      <c r="BQ66" s="1602">
        <f t="shared" ca="1" si="176"/>
        <v>0</v>
      </c>
      <c r="BR66" s="1602">
        <f t="shared" ca="1" si="176"/>
        <v>0</v>
      </c>
      <c r="BS66" s="1602">
        <f t="shared" ca="1" si="176"/>
        <v>0</v>
      </c>
      <c r="BT66" s="1602">
        <f t="shared" ca="1" si="176"/>
        <v>0</v>
      </c>
      <c r="BU66" s="1602">
        <f t="shared" ca="1" si="176"/>
        <v>0</v>
      </c>
      <c r="BV66" s="1602">
        <f t="shared" ca="1" si="176"/>
        <v>0</v>
      </c>
      <c r="BW66" s="1602">
        <f t="shared" ca="1" si="176"/>
        <v>0</v>
      </c>
      <c r="BX66" s="1602">
        <f t="shared" ca="1" si="176"/>
        <v>0</v>
      </c>
      <c r="BY66" s="1602">
        <f t="shared" ca="1" si="176"/>
        <v>0</v>
      </c>
      <c r="BZ66" s="1602">
        <f t="shared" ca="1" si="176"/>
        <v>0</v>
      </c>
      <c r="CA66" s="1602">
        <f t="shared" ca="1" si="176"/>
        <v>0</v>
      </c>
      <c r="CB66" s="1602">
        <f t="shared" ca="1" si="176"/>
        <v>0</v>
      </c>
      <c r="CC66" s="1602">
        <f t="shared" ca="1" si="176"/>
        <v>0</v>
      </c>
      <c r="CD66" s="1602">
        <f t="shared" ca="1" si="176"/>
        <v>0</v>
      </c>
      <c r="CE66" s="1602">
        <f t="shared" ca="1" si="176"/>
        <v>0</v>
      </c>
      <c r="CF66" s="1602">
        <f t="shared" ca="1" si="176"/>
        <v>0</v>
      </c>
      <c r="CG66" s="1602">
        <f t="shared" ca="1" si="176"/>
        <v>0</v>
      </c>
      <c r="CH66" s="1602">
        <f t="shared" ca="1" si="176"/>
        <v>0</v>
      </c>
      <c r="CI66" s="1602">
        <f t="shared" ca="1" si="176"/>
        <v>0</v>
      </c>
      <c r="CJ66" s="1602">
        <f t="shared" ca="1" si="176"/>
        <v>0</v>
      </c>
      <c r="CK66" s="1602">
        <f t="shared" ca="1" si="176"/>
        <v>0</v>
      </c>
      <c r="CL66" s="1602">
        <f t="shared" ca="1" si="176"/>
        <v>0</v>
      </c>
      <c r="CM66" s="1602">
        <f t="shared" ca="1" si="176"/>
        <v>0</v>
      </c>
      <c r="CN66" s="1602">
        <f t="shared" ca="1" si="176"/>
        <v>0</v>
      </c>
      <c r="CO66" s="1602">
        <f t="shared" ca="1" si="176"/>
        <v>0</v>
      </c>
      <c r="CP66" s="1602">
        <f t="shared" ca="1" si="176"/>
        <v>0</v>
      </c>
      <c r="CQ66" s="1602">
        <f t="shared" ca="1" si="176"/>
        <v>0</v>
      </c>
      <c r="CR66" s="1602">
        <f t="shared" ca="1" si="176"/>
        <v>0</v>
      </c>
      <c r="CS66" s="1602">
        <f t="shared" ca="1" si="176"/>
        <v>0</v>
      </c>
      <c r="CT66" s="1602">
        <f t="shared" ca="1" si="176"/>
        <v>0</v>
      </c>
      <c r="CU66" s="1602">
        <f t="shared" ca="1" si="176"/>
        <v>0</v>
      </c>
      <c r="CV66" s="1602">
        <f t="shared" ca="1" si="176"/>
        <v>0</v>
      </c>
      <c r="CW66" s="1602">
        <f t="shared" ca="1" si="176"/>
        <v>0</v>
      </c>
      <c r="CX66" s="1602">
        <f t="shared" ca="1" si="176"/>
        <v>0</v>
      </c>
      <c r="CY66" s="1602">
        <f t="shared" ca="1" si="176"/>
        <v>0</v>
      </c>
      <c r="CZ66" s="1602">
        <f t="shared" ca="1" si="176"/>
        <v>0</v>
      </c>
      <c r="DA66" s="1602">
        <f t="shared" ca="1" si="176"/>
        <v>0</v>
      </c>
      <c r="DB66" s="1602">
        <f t="shared" ca="1" si="176"/>
        <v>0</v>
      </c>
      <c r="DC66" s="1602">
        <f t="shared" ca="1" si="176"/>
        <v>0</v>
      </c>
      <c r="DD66" s="1602">
        <f t="shared" ca="1" si="176"/>
        <v>0</v>
      </c>
      <c r="DE66" s="1602">
        <f t="shared" ca="1" si="176"/>
        <v>0</v>
      </c>
      <c r="DF66" s="1602">
        <f t="shared" ca="1" si="176"/>
        <v>0</v>
      </c>
      <c r="DH66" s="1603">
        <f t="shared" ca="1" si="123"/>
        <v>0</v>
      </c>
    </row>
    <row r="67" spans="1:112" s="1484" customFormat="1" ht="12.75" hidden="1" customHeight="1" outlineLevel="1">
      <c r="C67" s="746" t="s">
        <v>1597</v>
      </c>
      <c r="D67" s="1010" t="str">
        <f>INDEX(Modules[Module], MATCH($C67, Modules[Code], 0))</f>
        <v>Micro wind</v>
      </c>
      <c r="E67" s="1010"/>
      <c r="F67" s="743"/>
      <c r="G67" s="1022">
        <f t="shared" ca="1" si="170"/>
        <v>0</v>
      </c>
      <c r="H67" s="1022">
        <f t="shared" ca="1" si="170"/>
        <v>0</v>
      </c>
      <c r="I67" s="1022">
        <f t="shared" ca="1" si="170"/>
        <v>0</v>
      </c>
      <c r="J67" s="1022">
        <f t="shared" ca="1" si="170"/>
        <v>0</v>
      </c>
      <c r="K67" s="1022">
        <f t="shared" ca="1" si="170"/>
        <v>0</v>
      </c>
      <c r="L67" s="1022">
        <f t="shared" ca="1" si="170"/>
        <v>0</v>
      </c>
      <c r="M67" s="1022">
        <f t="shared" ca="1" si="170"/>
        <v>0</v>
      </c>
      <c r="N67" s="1022">
        <f t="shared" ca="1" si="170"/>
        <v>0</v>
      </c>
      <c r="O67" s="1022">
        <f t="shared" ca="1" si="170"/>
        <v>0</v>
      </c>
      <c r="P67" s="1022">
        <f t="shared" ca="1" si="170"/>
        <v>0</v>
      </c>
      <c r="Q67" s="1020">
        <f ca="1">SUM(G67:P67)</f>
        <v>0</v>
      </c>
      <c r="R67" s="743"/>
      <c r="S67" s="1031">
        <f t="shared" ca="1" si="171"/>
        <v>0</v>
      </c>
      <c r="T67" s="1031">
        <f t="shared" ca="1" si="171"/>
        <v>0</v>
      </c>
      <c r="U67" s="1031">
        <f t="shared" ca="1" si="171"/>
        <v>0</v>
      </c>
      <c r="V67" s="1031">
        <f t="shared" ca="1" si="171"/>
        <v>0</v>
      </c>
      <c r="W67" s="1031">
        <f t="shared" ca="1" si="171"/>
        <v>0</v>
      </c>
      <c r="X67" s="1031">
        <f t="shared" ca="1" si="172"/>
        <v>0</v>
      </c>
      <c r="Y67" s="1031">
        <f t="shared" ca="1" si="172"/>
        <v>0</v>
      </c>
      <c r="Z67" s="1031">
        <f t="shared" ca="1" si="172"/>
        <v>0</v>
      </c>
      <c r="AA67" s="1031">
        <f t="shared" ca="1" si="171"/>
        <v>0</v>
      </c>
      <c r="AB67" s="1031">
        <f t="shared" ca="1" si="171"/>
        <v>0</v>
      </c>
      <c r="AC67" s="1031">
        <f t="shared" ca="1" si="171"/>
        <v>0</v>
      </c>
      <c r="AD67" s="1031">
        <f t="shared" ca="1" si="171"/>
        <v>0</v>
      </c>
      <c r="AE67" s="1031">
        <f t="shared" ca="1" si="171"/>
        <v>0</v>
      </c>
      <c r="AF67" s="1031">
        <f t="shared" ca="1" si="171"/>
        <v>0</v>
      </c>
      <c r="AG67" s="1031">
        <f t="shared" ca="1" si="171"/>
        <v>0</v>
      </c>
      <c r="AH67" s="1031">
        <f t="shared" ca="1" si="171"/>
        <v>0</v>
      </c>
      <c r="AI67" s="1031">
        <f t="shared" ca="1" si="171"/>
        <v>0</v>
      </c>
      <c r="AJ67" s="1031">
        <f t="shared" ca="1" si="171"/>
        <v>0</v>
      </c>
      <c r="AK67" s="1030">
        <f ca="1">SUM(S67:AJ67)</f>
        <v>0</v>
      </c>
      <c r="AL67" s="743"/>
      <c r="AM67" s="1042">
        <f t="shared" ca="1" si="173"/>
        <v>0</v>
      </c>
      <c r="AN67" s="1042">
        <f t="shared" ca="1" si="173"/>
        <v>0</v>
      </c>
      <c r="AO67" s="1042">
        <f t="shared" ca="1" si="173"/>
        <v>0</v>
      </c>
      <c r="AP67" s="1042">
        <f t="shared" ca="1" si="173"/>
        <v>0</v>
      </c>
      <c r="AQ67" s="1042">
        <f t="shared" ca="1" si="173"/>
        <v>0</v>
      </c>
      <c r="AR67" s="1042">
        <f t="shared" ca="1" si="173"/>
        <v>0</v>
      </c>
      <c r="AS67" s="1042">
        <f t="shared" ca="1" si="173"/>
        <v>0</v>
      </c>
      <c r="AT67" s="1042">
        <f t="shared" ca="1" si="173"/>
        <v>0</v>
      </c>
      <c r="AU67" s="1042">
        <f t="shared" ca="1" si="173"/>
        <v>0</v>
      </c>
      <c r="AV67" s="1042">
        <f t="shared" ca="1" si="171"/>
        <v>0</v>
      </c>
      <c r="AW67" s="1042">
        <f t="shared" ca="1" si="171"/>
        <v>0</v>
      </c>
      <c r="AX67" s="1042">
        <f t="shared" ca="1" si="171"/>
        <v>0</v>
      </c>
      <c r="AY67" s="1042">
        <f t="shared" ca="1" si="171"/>
        <v>0</v>
      </c>
      <c r="AZ67" s="1042">
        <f t="shared" ca="1" si="171"/>
        <v>0</v>
      </c>
      <c r="BA67" s="1042">
        <f t="shared" ca="1" si="171"/>
        <v>0</v>
      </c>
      <c r="BB67" s="1042">
        <f t="shared" ca="1" si="171"/>
        <v>0</v>
      </c>
      <c r="BC67" s="1042">
        <f t="shared" ca="1" si="171"/>
        <v>0</v>
      </c>
      <c r="BD67" s="1042">
        <f t="shared" ca="1" si="171"/>
        <v>0</v>
      </c>
      <c r="BE67" s="1042">
        <f t="shared" ca="1" si="171"/>
        <v>0</v>
      </c>
      <c r="BF67" s="1012">
        <f ca="1">SUM(AM67:BE67)</f>
        <v>0</v>
      </c>
      <c r="BG67" s="743"/>
      <c r="BH67" s="1036">
        <f t="shared" ca="1" si="174"/>
        <v>0</v>
      </c>
      <c r="BI67" s="1036">
        <f t="shared" ca="1" si="174"/>
        <v>0</v>
      </c>
      <c r="BJ67" s="1035">
        <f ca="1">SUM(BH67:BI67)</f>
        <v>0</v>
      </c>
      <c r="BK67" s="743"/>
      <c r="BL67" s="814">
        <f t="shared" ca="1" si="175"/>
        <v>0</v>
      </c>
      <c r="BM67" s="814"/>
      <c r="BN67" s="840"/>
      <c r="BO67" s="1485">
        <f t="shared" ca="1" si="176"/>
        <v>0</v>
      </c>
      <c r="BP67" s="1486">
        <f t="shared" ca="1" si="176"/>
        <v>0</v>
      </c>
      <c r="BQ67" s="1486">
        <f t="shared" ca="1" si="176"/>
        <v>0</v>
      </c>
      <c r="BR67" s="1486">
        <f t="shared" ca="1" si="176"/>
        <v>0</v>
      </c>
      <c r="BS67" s="1486">
        <f t="shared" ca="1" si="176"/>
        <v>0</v>
      </c>
      <c r="BT67" s="1486">
        <f t="shared" ca="1" si="176"/>
        <v>0</v>
      </c>
      <c r="BU67" s="1486">
        <f t="shared" ca="1" si="176"/>
        <v>0</v>
      </c>
      <c r="BV67" s="1486">
        <f t="shared" ca="1" si="176"/>
        <v>0</v>
      </c>
      <c r="BW67" s="1486">
        <f t="shared" ca="1" si="176"/>
        <v>0</v>
      </c>
      <c r="BX67" s="1486">
        <f t="shared" ca="1" si="176"/>
        <v>0</v>
      </c>
      <c r="BY67" s="1486">
        <f t="shared" ca="1" si="176"/>
        <v>0</v>
      </c>
      <c r="BZ67" s="1486">
        <f t="shared" ca="1" si="176"/>
        <v>0</v>
      </c>
      <c r="CA67" s="1486">
        <f t="shared" ca="1" si="176"/>
        <v>0</v>
      </c>
      <c r="CB67" s="1486">
        <f t="shared" ca="1" si="176"/>
        <v>0</v>
      </c>
      <c r="CC67" s="1486">
        <f t="shared" ca="1" si="176"/>
        <v>0</v>
      </c>
      <c r="CD67" s="1486">
        <f t="shared" ca="1" si="176"/>
        <v>0</v>
      </c>
      <c r="CE67" s="1486">
        <f t="shared" ca="1" si="176"/>
        <v>0</v>
      </c>
      <c r="CF67" s="1486">
        <f t="shared" ca="1" si="176"/>
        <v>0</v>
      </c>
      <c r="CG67" s="1486">
        <f t="shared" ca="1" si="176"/>
        <v>0</v>
      </c>
      <c r="CH67" s="1486">
        <f t="shared" ca="1" si="176"/>
        <v>0</v>
      </c>
      <c r="CI67" s="1486">
        <f t="shared" ca="1" si="176"/>
        <v>0</v>
      </c>
      <c r="CJ67" s="1486">
        <f t="shared" ca="1" si="176"/>
        <v>0</v>
      </c>
      <c r="CK67" s="1486">
        <f t="shared" ca="1" si="176"/>
        <v>0</v>
      </c>
      <c r="CL67" s="1486">
        <f t="shared" ca="1" si="176"/>
        <v>0</v>
      </c>
      <c r="CM67" s="1486">
        <f t="shared" ca="1" si="176"/>
        <v>0</v>
      </c>
      <c r="CN67" s="1486">
        <f t="shared" ca="1" si="176"/>
        <v>0</v>
      </c>
      <c r="CO67" s="1486">
        <f t="shared" ca="1" si="176"/>
        <v>0</v>
      </c>
      <c r="CP67" s="1486">
        <f t="shared" ca="1" si="176"/>
        <v>0</v>
      </c>
      <c r="CQ67" s="1486">
        <f t="shared" ca="1" si="176"/>
        <v>0</v>
      </c>
      <c r="CR67" s="1486">
        <f t="shared" ca="1" si="176"/>
        <v>0</v>
      </c>
      <c r="CS67" s="1486">
        <f t="shared" ca="1" si="176"/>
        <v>0</v>
      </c>
      <c r="CT67" s="1486">
        <f t="shared" ca="1" si="176"/>
        <v>0</v>
      </c>
      <c r="CU67" s="1486">
        <f t="shared" ca="1" si="176"/>
        <v>0</v>
      </c>
      <c r="CV67" s="1486">
        <f t="shared" ca="1" si="176"/>
        <v>0</v>
      </c>
      <c r="CW67" s="1486">
        <f t="shared" ca="1" si="176"/>
        <v>0</v>
      </c>
      <c r="CX67" s="1486">
        <f t="shared" ca="1" si="176"/>
        <v>0</v>
      </c>
      <c r="CY67" s="1486">
        <f t="shared" ca="1" si="176"/>
        <v>0</v>
      </c>
      <c r="CZ67" s="1486">
        <f t="shared" ca="1" si="176"/>
        <v>0</v>
      </c>
      <c r="DA67" s="1486">
        <f t="shared" ca="1" si="176"/>
        <v>0</v>
      </c>
      <c r="DB67" s="1486">
        <f t="shared" ca="1" si="176"/>
        <v>0</v>
      </c>
      <c r="DC67" s="1486">
        <f t="shared" ca="1" si="176"/>
        <v>0</v>
      </c>
      <c r="DD67" s="1486">
        <f t="shared" ca="1" si="176"/>
        <v>0</v>
      </c>
      <c r="DE67" s="1486">
        <f t="shared" ca="1" si="176"/>
        <v>0</v>
      </c>
      <c r="DF67" s="1486">
        <f t="shared" ca="1" si="176"/>
        <v>0</v>
      </c>
      <c r="DH67" s="838">
        <f t="shared" ca="1" si="123"/>
        <v>0</v>
      </c>
    </row>
    <row r="68" spans="1:112" s="743" customFormat="1" ht="15.75" collapsed="1">
      <c r="A68" s="22"/>
      <c r="B68" s="753"/>
      <c r="C68" s="744" t="s">
        <v>77</v>
      </c>
      <c r="D68" s="517" t="str">
        <f>INDEX(Workstreams[Workstream], MATCH($C68, Workstreams[Code], 0))</f>
        <v>Distributed renewable power generation</v>
      </c>
      <c r="E68" s="512"/>
      <c r="G68" s="1021">
        <f ca="1">SUM(G65:G67)</f>
        <v>0</v>
      </c>
      <c r="H68" s="1021">
        <f t="shared" ref="H68:P68" ca="1" si="177">SUM(H65:H67)</f>
        <v>0</v>
      </c>
      <c r="I68" s="1021">
        <f t="shared" ca="1" si="177"/>
        <v>0</v>
      </c>
      <c r="J68" s="1021">
        <f t="shared" ca="1" si="177"/>
        <v>0</v>
      </c>
      <c r="K68" s="1021">
        <f t="shared" ca="1" si="177"/>
        <v>0</v>
      </c>
      <c r="L68" s="1021">
        <f t="shared" ca="1" si="177"/>
        <v>0</v>
      </c>
      <c r="M68" s="1021">
        <f t="shared" ca="1" si="177"/>
        <v>0</v>
      </c>
      <c r="N68" s="1021">
        <f t="shared" ca="1" si="177"/>
        <v>0</v>
      </c>
      <c r="O68" s="1021">
        <f t="shared" ca="1" si="177"/>
        <v>0</v>
      </c>
      <c r="P68" s="1021">
        <f t="shared" ca="1" si="177"/>
        <v>0</v>
      </c>
      <c r="Q68" s="1021">
        <f ca="1">SUM(G68:P68)</f>
        <v>0</v>
      </c>
      <c r="S68" s="970">
        <f t="shared" ref="S68:AJ68" ca="1" si="178">SUM(S65:S67)</f>
        <v>0</v>
      </c>
      <c r="T68" s="970">
        <f t="shared" ca="1" si="178"/>
        <v>0</v>
      </c>
      <c r="U68" s="970">
        <f t="shared" ca="1" si="178"/>
        <v>0</v>
      </c>
      <c r="V68" s="970">
        <f t="shared" ca="1" si="178"/>
        <v>0</v>
      </c>
      <c r="W68" s="970">
        <f t="shared" ca="1" si="178"/>
        <v>0</v>
      </c>
      <c r="X68" s="970">
        <f t="shared" ca="1" si="178"/>
        <v>0</v>
      </c>
      <c r="Y68" s="970">
        <f t="shared" ca="1" si="178"/>
        <v>0</v>
      </c>
      <c r="Z68" s="970">
        <f t="shared" ca="1" si="178"/>
        <v>0</v>
      </c>
      <c r="AA68" s="970">
        <f t="shared" ca="1" si="178"/>
        <v>0</v>
      </c>
      <c r="AB68" s="970">
        <f t="shared" ca="1" si="178"/>
        <v>0</v>
      </c>
      <c r="AC68" s="970">
        <f t="shared" ca="1" si="178"/>
        <v>0</v>
      </c>
      <c r="AD68" s="970">
        <f t="shared" ca="1" si="178"/>
        <v>0</v>
      </c>
      <c r="AE68" s="970">
        <f ca="1">SUM(AE65:AE67)</f>
        <v>0</v>
      </c>
      <c r="AF68" s="970">
        <f t="shared" ca="1" si="178"/>
        <v>0</v>
      </c>
      <c r="AG68" s="970">
        <f t="shared" ca="1" si="178"/>
        <v>0</v>
      </c>
      <c r="AH68" s="970">
        <f ca="1">SUM(AH65:AH67)</f>
        <v>0</v>
      </c>
      <c r="AI68" s="970">
        <f t="shared" ca="1" si="178"/>
        <v>0</v>
      </c>
      <c r="AJ68" s="970">
        <f t="shared" ca="1" si="178"/>
        <v>0</v>
      </c>
      <c r="AK68" s="970">
        <f ca="1">SUM(S68:AJ68)</f>
        <v>0</v>
      </c>
      <c r="AM68" s="976">
        <f t="shared" ref="AM68:BE68" ca="1" si="179">SUM(AM65:AM67)</f>
        <v>0</v>
      </c>
      <c r="AN68" s="976">
        <f t="shared" ca="1" si="179"/>
        <v>0</v>
      </c>
      <c r="AO68" s="976">
        <f t="shared" ca="1" si="179"/>
        <v>0</v>
      </c>
      <c r="AP68" s="976">
        <f t="shared" ca="1" si="179"/>
        <v>0</v>
      </c>
      <c r="AQ68" s="976">
        <f t="shared" ca="1" si="179"/>
        <v>0</v>
      </c>
      <c r="AR68" s="976">
        <f t="shared" ca="1" si="179"/>
        <v>0</v>
      </c>
      <c r="AS68" s="976">
        <f t="shared" ca="1" si="179"/>
        <v>0</v>
      </c>
      <c r="AT68" s="976">
        <f t="shared" ca="1" si="179"/>
        <v>0</v>
      </c>
      <c r="AU68" s="976">
        <f t="shared" ca="1" si="179"/>
        <v>0</v>
      </c>
      <c r="AV68" s="976">
        <f t="shared" ca="1" si="179"/>
        <v>0</v>
      </c>
      <c r="AW68" s="976">
        <f t="shared" ca="1" si="179"/>
        <v>0</v>
      </c>
      <c r="AX68" s="976">
        <f t="shared" ca="1" si="179"/>
        <v>0</v>
      </c>
      <c r="AY68" s="976">
        <f t="shared" ca="1" si="179"/>
        <v>0</v>
      </c>
      <c r="AZ68" s="976">
        <f t="shared" ca="1" si="179"/>
        <v>0</v>
      </c>
      <c r="BA68" s="976">
        <f t="shared" ca="1" si="179"/>
        <v>0</v>
      </c>
      <c r="BB68" s="976">
        <f t="shared" ca="1" si="179"/>
        <v>0</v>
      </c>
      <c r="BC68" s="976">
        <f t="shared" ca="1" si="179"/>
        <v>0</v>
      </c>
      <c r="BD68" s="976">
        <f t="shared" ca="1" si="179"/>
        <v>0</v>
      </c>
      <c r="BE68" s="976">
        <f t="shared" ca="1" si="179"/>
        <v>0</v>
      </c>
      <c r="BF68" s="976">
        <f ca="1">SUM(AM68:BE68)</f>
        <v>0</v>
      </c>
      <c r="BH68" s="990">
        <f ca="1">SUM(BH65:BH67)</f>
        <v>0</v>
      </c>
      <c r="BI68" s="990">
        <f ca="1">SUM(BI65:BI67)</f>
        <v>0</v>
      </c>
      <c r="BJ68" s="990">
        <f ca="1">SUM(BH68:BI68)</f>
        <v>0</v>
      </c>
      <c r="BL68" s="515">
        <f t="shared" ca="1" si="175"/>
        <v>0</v>
      </c>
      <c r="BM68" s="515"/>
      <c r="BN68" s="840"/>
      <c r="BO68" s="1482">
        <f ca="1">SUM(BO65:BO67)</f>
        <v>0</v>
      </c>
      <c r="BP68" s="1482">
        <f t="shared" ref="BP68:DF68" ca="1" si="180">SUM(BP65:BP67)</f>
        <v>0</v>
      </c>
      <c r="BQ68" s="1482">
        <f t="shared" ca="1" si="180"/>
        <v>0</v>
      </c>
      <c r="BR68" s="1482">
        <f t="shared" ca="1" si="180"/>
        <v>0</v>
      </c>
      <c r="BS68" s="1482">
        <f t="shared" ca="1" si="180"/>
        <v>0</v>
      </c>
      <c r="BT68" s="1482">
        <f t="shared" ca="1" si="180"/>
        <v>0</v>
      </c>
      <c r="BU68" s="1482">
        <f t="shared" ca="1" si="180"/>
        <v>0</v>
      </c>
      <c r="BV68" s="1482">
        <f t="shared" ca="1" si="180"/>
        <v>0</v>
      </c>
      <c r="BW68" s="1482">
        <f t="shared" ca="1" si="180"/>
        <v>0</v>
      </c>
      <c r="BX68" s="1482">
        <f t="shared" ca="1" si="180"/>
        <v>0</v>
      </c>
      <c r="BY68" s="1482">
        <f t="shared" ca="1" si="180"/>
        <v>0</v>
      </c>
      <c r="BZ68" s="1482">
        <f t="shared" ca="1" si="180"/>
        <v>0</v>
      </c>
      <c r="CA68" s="1482">
        <f t="shared" ca="1" si="180"/>
        <v>0</v>
      </c>
      <c r="CB68" s="1482">
        <f t="shared" ca="1" si="180"/>
        <v>0</v>
      </c>
      <c r="CC68" s="1482">
        <f t="shared" ca="1" si="180"/>
        <v>0</v>
      </c>
      <c r="CD68" s="1482">
        <f t="shared" ca="1" si="180"/>
        <v>0</v>
      </c>
      <c r="CE68" s="1482">
        <f t="shared" ca="1" si="180"/>
        <v>0</v>
      </c>
      <c r="CF68" s="1482">
        <f t="shared" ca="1" si="180"/>
        <v>0</v>
      </c>
      <c r="CG68" s="1482">
        <f t="shared" ca="1" si="180"/>
        <v>0</v>
      </c>
      <c r="CH68" s="1482">
        <f t="shared" ca="1" si="180"/>
        <v>0</v>
      </c>
      <c r="CI68" s="1482">
        <f t="shared" ca="1" si="180"/>
        <v>0</v>
      </c>
      <c r="CJ68" s="1482">
        <f t="shared" ca="1" si="180"/>
        <v>0</v>
      </c>
      <c r="CK68" s="1482">
        <f t="shared" ca="1" si="180"/>
        <v>0</v>
      </c>
      <c r="CL68" s="1482">
        <f t="shared" ca="1" si="180"/>
        <v>0</v>
      </c>
      <c r="CM68" s="1482">
        <f t="shared" ca="1" si="180"/>
        <v>0</v>
      </c>
      <c r="CN68" s="1482">
        <f t="shared" ca="1" si="180"/>
        <v>0</v>
      </c>
      <c r="CO68" s="1482">
        <f t="shared" ca="1" si="180"/>
        <v>0</v>
      </c>
      <c r="CP68" s="1482">
        <f t="shared" ca="1" si="180"/>
        <v>0</v>
      </c>
      <c r="CQ68" s="1482">
        <f t="shared" ca="1" si="180"/>
        <v>0</v>
      </c>
      <c r="CR68" s="1482">
        <f t="shared" ca="1" si="180"/>
        <v>0</v>
      </c>
      <c r="CS68" s="1482">
        <f t="shared" ca="1" si="180"/>
        <v>0</v>
      </c>
      <c r="CT68" s="1482">
        <f t="shared" ca="1" si="180"/>
        <v>0</v>
      </c>
      <c r="CU68" s="1482">
        <f t="shared" ca="1" si="180"/>
        <v>0</v>
      </c>
      <c r="CV68" s="1482">
        <f t="shared" ca="1" si="180"/>
        <v>0</v>
      </c>
      <c r="CW68" s="1482">
        <f t="shared" ca="1" si="180"/>
        <v>0</v>
      </c>
      <c r="CX68" s="1482">
        <f t="shared" ca="1" si="180"/>
        <v>0</v>
      </c>
      <c r="CY68" s="1482">
        <f t="shared" ca="1" si="180"/>
        <v>0</v>
      </c>
      <c r="CZ68" s="1482">
        <f t="shared" ca="1" si="180"/>
        <v>0</v>
      </c>
      <c r="DA68" s="1482">
        <f t="shared" ca="1" si="180"/>
        <v>0</v>
      </c>
      <c r="DB68" s="1482">
        <f t="shared" ca="1" si="180"/>
        <v>0</v>
      </c>
      <c r="DC68" s="1482">
        <f t="shared" ca="1" si="180"/>
        <v>0</v>
      </c>
      <c r="DD68" s="1482">
        <f t="shared" ca="1" si="180"/>
        <v>0</v>
      </c>
      <c r="DE68" s="1482">
        <f t="shared" ca="1" si="180"/>
        <v>0</v>
      </c>
      <c r="DF68" s="1482">
        <f t="shared" ca="1" si="180"/>
        <v>0</v>
      </c>
      <c r="DH68" s="838">
        <f t="shared" ca="1" si="123"/>
        <v>0</v>
      </c>
    </row>
    <row r="69" spans="1:112" s="743" customFormat="1" ht="12.75" hidden="1" customHeight="1" outlineLevel="1">
      <c r="A69" s="22"/>
      <c r="B69" s="22"/>
      <c r="C69" s="751"/>
      <c r="D69" s="512"/>
      <c r="E69" s="512"/>
      <c r="G69" s="958"/>
      <c r="H69" s="958"/>
      <c r="I69" s="958"/>
      <c r="J69" s="958"/>
      <c r="K69" s="960"/>
      <c r="L69" s="958"/>
      <c r="M69" s="958"/>
      <c r="N69" s="958"/>
      <c r="O69" s="958"/>
      <c r="P69" s="958"/>
      <c r="Q69" s="958"/>
      <c r="S69" s="970"/>
      <c r="T69" s="970"/>
      <c r="U69" s="970"/>
      <c r="V69" s="970"/>
      <c r="W69" s="970"/>
      <c r="X69" s="970"/>
      <c r="Y69" s="970"/>
      <c r="Z69" s="970"/>
      <c r="AA69" s="970"/>
      <c r="AB69" s="970"/>
      <c r="AC69" s="970"/>
      <c r="AD69" s="970"/>
      <c r="AE69" s="970"/>
      <c r="AF69" s="970"/>
      <c r="AG69" s="970"/>
      <c r="AH69" s="970"/>
      <c r="AI69" s="970"/>
      <c r="AJ69" s="970"/>
      <c r="AK69" s="970"/>
      <c r="AM69" s="976"/>
      <c r="AN69" s="976"/>
      <c r="AO69" s="976"/>
      <c r="AP69" s="976"/>
      <c r="AQ69" s="976"/>
      <c r="AR69" s="976"/>
      <c r="AS69" s="976"/>
      <c r="AT69" s="976"/>
      <c r="AU69" s="976"/>
      <c r="AV69" s="976"/>
      <c r="AW69" s="976"/>
      <c r="AX69" s="976"/>
      <c r="AY69" s="976"/>
      <c r="AZ69" s="976"/>
      <c r="BA69" s="976"/>
      <c r="BB69" s="976"/>
      <c r="BC69" s="976"/>
      <c r="BD69" s="976"/>
      <c r="BE69" s="976"/>
      <c r="BF69" s="976"/>
      <c r="BH69" s="990"/>
      <c r="BI69" s="990"/>
      <c r="BJ69" s="990"/>
      <c r="BL69" s="515">
        <f t="shared" si="175"/>
        <v>0</v>
      </c>
      <c r="BM69" s="515"/>
      <c r="BN69" s="22"/>
      <c r="BO69" s="1482"/>
      <c r="BP69" s="1482"/>
      <c r="BQ69" s="1482"/>
      <c r="BR69" s="1482"/>
      <c r="BS69" s="1482"/>
      <c r="BT69" s="1482"/>
      <c r="BU69" s="1482"/>
      <c r="BV69" s="1482"/>
      <c r="BW69" s="1482"/>
      <c r="BX69" s="1482"/>
      <c r="BY69" s="1482"/>
      <c r="BZ69" s="1482"/>
      <c r="CA69" s="1482"/>
      <c r="CB69" s="1482"/>
      <c r="CC69" s="1482"/>
      <c r="CD69" s="1482"/>
      <c r="CE69" s="1482"/>
      <c r="CF69" s="1482"/>
      <c r="CG69" s="1482"/>
      <c r="CH69" s="1482"/>
      <c r="CI69" s="1482"/>
      <c r="CJ69" s="1482"/>
      <c r="CK69" s="1482"/>
      <c r="CL69" s="1482"/>
      <c r="CM69" s="1482"/>
      <c r="CN69" s="1482"/>
      <c r="CO69" s="1482"/>
      <c r="CP69" s="1482"/>
      <c r="CQ69" s="1482"/>
      <c r="CR69" s="1482"/>
      <c r="CS69" s="1482"/>
      <c r="CT69" s="1482"/>
      <c r="CU69" s="1482"/>
      <c r="CV69" s="1482"/>
      <c r="CW69" s="1482"/>
      <c r="CX69" s="1482"/>
      <c r="CY69" s="1482"/>
      <c r="CZ69" s="1482"/>
      <c r="DA69" s="1482"/>
      <c r="DB69" s="1482"/>
      <c r="DC69" s="1482"/>
      <c r="DD69" s="1482"/>
      <c r="DE69" s="1482"/>
      <c r="DF69" s="1482"/>
      <c r="DH69" s="838">
        <f t="shared" si="123"/>
        <v>0</v>
      </c>
    </row>
    <row r="70" spans="1:112" s="1491" customFormat="1" ht="12.75" hidden="1" customHeight="1" outlineLevel="1">
      <c r="C70" s="1534" t="s">
        <v>1718</v>
      </c>
      <c r="D70" s="1535" t="s">
        <v>1340</v>
      </c>
      <c r="E70" s="1535"/>
      <c r="F70" s="1957"/>
      <c r="G70" s="1070"/>
      <c r="H70" s="1070"/>
      <c r="I70" s="1070"/>
      <c r="J70" s="1070"/>
      <c r="K70" s="1071"/>
      <c r="L70" s="1070"/>
      <c r="M70" s="1070"/>
      <c r="N70" s="1070"/>
      <c r="O70" s="1070"/>
      <c r="P70" s="1070"/>
      <c r="Q70" s="1070"/>
      <c r="R70" s="1957"/>
      <c r="S70" s="1072"/>
      <c r="T70" s="1072"/>
      <c r="U70" s="1072"/>
      <c r="V70" s="1072"/>
      <c r="W70" s="1072"/>
      <c r="X70" s="1072"/>
      <c r="Y70" s="1072"/>
      <c r="Z70" s="1072"/>
      <c r="AA70" s="1072"/>
      <c r="AB70" s="1072">
        <f ca="1">AB$40+AB$46+AB$51+AB$99+AB$55+AB$63+AB$68</f>
        <v>-8.9403079226456423</v>
      </c>
      <c r="AC70" s="1072"/>
      <c r="AD70" s="1072"/>
      <c r="AE70" s="1072"/>
      <c r="AF70" s="1072"/>
      <c r="AG70" s="1072"/>
      <c r="AH70" s="1072"/>
      <c r="AI70" s="1072"/>
      <c r="AJ70" s="1072"/>
      <c r="AK70" s="1072"/>
      <c r="AL70" s="1957"/>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957"/>
      <c r="BH70" s="1074"/>
      <c r="BI70" s="1074"/>
      <c r="BJ70" s="1074">
        <f>SUM(BH70:BI70)</f>
        <v>0</v>
      </c>
      <c r="BK70" s="1957"/>
      <c r="BL70" s="1536">
        <f t="shared" si="175"/>
        <v>0</v>
      </c>
      <c r="BM70" s="1536"/>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1963"/>
      <c r="CO70" s="1963"/>
      <c r="CP70" s="1963"/>
      <c r="CQ70" s="1963"/>
      <c r="CR70" s="1963"/>
      <c r="CS70" s="1963"/>
      <c r="CT70" s="1963"/>
      <c r="CU70" s="1963"/>
      <c r="CV70" s="1963"/>
      <c r="CW70" s="1963"/>
      <c r="CX70" s="1963"/>
      <c r="CY70" s="1963"/>
      <c r="CZ70" s="1963"/>
      <c r="DA70" s="1963"/>
      <c r="DB70" s="1963"/>
      <c r="DC70" s="1963"/>
      <c r="DD70" s="1963"/>
      <c r="DE70" s="1963"/>
      <c r="DF70" s="1963"/>
      <c r="DH70" s="1962">
        <f t="shared" si="123"/>
        <v>0</v>
      </c>
    </row>
    <row r="71" spans="1:112" s="1484" customFormat="1" ht="12.75" hidden="1" customHeight="1" outlineLevel="1">
      <c r="C71" s="746" t="s">
        <v>1338</v>
      </c>
      <c r="D71" s="1010" t="str">
        <f>INDEX(Modules[Module], MATCH($C71, Modules[Code], 0))</f>
        <v>District heating effective demand</v>
      </c>
      <c r="E71" s="1010"/>
      <c r="F71" s="743"/>
      <c r="G71" s="1022">
        <f t="shared" ref="G71:P71" ca="1" si="181">IFERROR(INDEX(INDIRECT($C71&amp;".Outputs["&amp;this.Year&amp;"]"), MATCH(G$5, INDIRECT($C71&amp;".Outputs[Vector]"), 0)), 0)</f>
        <v>0</v>
      </c>
      <c r="H71" s="1022">
        <f t="shared" ca="1" si="181"/>
        <v>0</v>
      </c>
      <c r="I71" s="1022">
        <f t="shared" ca="1" si="181"/>
        <v>0</v>
      </c>
      <c r="J71" s="1022">
        <f t="shared" ca="1" si="181"/>
        <v>0</v>
      </c>
      <c r="K71" s="1022">
        <f t="shared" ca="1" si="181"/>
        <v>0</v>
      </c>
      <c r="L71" s="1022">
        <f t="shared" ca="1" si="181"/>
        <v>0</v>
      </c>
      <c r="M71" s="1022">
        <f t="shared" ca="1" si="181"/>
        <v>0</v>
      </c>
      <c r="N71" s="1022">
        <f t="shared" ca="1" si="181"/>
        <v>0</v>
      </c>
      <c r="O71" s="1022">
        <f t="shared" ca="1" si="181"/>
        <v>0</v>
      </c>
      <c r="P71" s="1022">
        <f t="shared" ca="1" si="181"/>
        <v>0</v>
      </c>
      <c r="Q71" s="1020">
        <f ca="1">SUM(G71:P71)</f>
        <v>0</v>
      </c>
      <c r="R71" s="743"/>
      <c r="S71" s="1031">
        <f t="shared" ref="S71:BE71" ca="1" si="182">IFERROR(INDEX(INDIRECT($C71&amp;".Outputs["&amp;this.Year&amp;"]"), MATCH(S$5, INDIRECT($C71&amp;".Outputs[Vector]"), 0)), 0)</f>
        <v>0</v>
      </c>
      <c r="T71" s="1031">
        <f t="shared" ca="1" si="182"/>
        <v>-1.2771868460922347</v>
      </c>
      <c r="U71" s="1031">
        <f t="shared" ca="1" si="182"/>
        <v>0</v>
      </c>
      <c r="V71" s="1031">
        <f t="shared" ca="1" si="182"/>
        <v>0</v>
      </c>
      <c r="W71" s="1031">
        <f t="shared" ca="1" si="182"/>
        <v>0</v>
      </c>
      <c r="X71" s="1031">
        <f ca="1">IFERROR(INDEX(INDIRECT($C71&amp;".Outputs["&amp;this.Year&amp;"]"), MATCH(X$5, INDIRECT($C71&amp;".Outputs[Vector]"), 0)), 0)</f>
        <v>0</v>
      </c>
      <c r="Y71" s="1031">
        <f ca="1">IFERROR(INDEX(INDIRECT($C71&amp;".Outputs["&amp;this.Year&amp;"]"), MATCH(Y$5, INDIRECT($C71&amp;".Outputs[Vector]"), 0)), 0)</f>
        <v>0</v>
      </c>
      <c r="Z71" s="1031">
        <f ca="1">IFERROR(INDEX(INDIRECT($C71&amp;".Outputs["&amp;this.Year&amp;"]"), MATCH(Z$5, INDIRECT($C71&amp;".Outputs[Vector]"), 0)), 0)</f>
        <v>0</v>
      </c>
      <c r="AA71" s="1031">
        <f t="shared" ca="1" si="182"/>
        <v>0</v>
      </c>
      <c r="AB71" s="1031">
        <f t="shared" ca="1" si="182"/>
        <v>8.9403079226456423</v>
      </c>
      <c r="AC71" s="1031">
        <f t="shared" ca="1" si="182"/>
        <v>0</v>
      </c>
      <c r="AD71" s="1031">
        <f t="shared" ca="1" si="182"/>
        <v>0</v>
      </c>
      <c r="AE71" s="1031">
        <f t="shared" ca="1" si="182"/>
        <v>0</v>
      </c>
      <c r="AF71" s="1031">
        <f t="shared" ca="1" si="182"/>
        <v>0</v>
      </c>
      <c r="AG71" s="1031">
        <f t="shared" ca="1" si="182"/>
        <v>0</v>
      </c>
      <c r="AH71" s="1031">
        <f t="shared" ca="1" si="182"/>
        <v>0</v>
      </c>
      <c r="AI71" s="1031">
        <f t="shared" ca="1" si="182"/>
        <v>0</v>
      </c>
      <c r="AJ71" s="1031">
        <f t="shared" ca="1" si="182"/>
        <v>0</v>
      </c>
      <c r="AK71" s="1030">
        <f ca="1">SUM(S71:AJ71)</f>
        <v>7.6631210765534075</v>
      </c>
      <c r="AL71" s="743"/>
      <c r="AM71" s="1042">
        <f t="shared" ref="AM71:AU71" ca="1" si="183">IFERROR(INDEX(INDIRECT($C71&amp;".Outputs["&amp;this.Year&amp;"]"), MATCH(AM$5, INDIRECT($C71&amp;".Outputs[Vector]"), 0)), 0)</f>
        <v>0</v>
      </c>
      <c r="AN71" s="1042">
        <f t="shared" ca="1" si="183"/>
        <v>0</v>
      </c>
      <c r="AO71" s="1042">
        <f t="shared" ca="1" si="183"/>
        <v>0</v>
      </c>
      <c r="AP71" s="1042">
        <f t="shared" ca="1" si="183"/>
        <v>0</v>
      </c>
      <c r="AQ71" s="1042">
        <f t="shared" ca="1" si="183"/>
        <v>0</v>
      </c>
      <c r="AR71" s="1042">
        <f t="shared" ca="1" si="183"/>
        <v>0</v>
      </c>
      <c r="AS71" s="1042">
        <f t="shared" ca="1" si="183"/>
        <v>0</v>
      </c>
      <c r="AT71" s="1042">
        <f t="shared" ca="1" si="183"/>
        <v>0</v>
      </c>
      <c r="AU71" s="1042">
        <f t="shared" ca="1" si="183"/>
        <v>0</v>
      </c>
      <c r="AV71" s="1042">
        <f t="shared" ca="1" si="182"/>
        <v>0</v>
      </c>
      <c r="AW71" s="1042">
        <f t="shared" ca="1" si="182"/>
        <v>0</v>
      </c>
      <c r="AX71" s="1042">
        <f t="shared" ca="1" si="182"/>
        <v>0</v>
      </c>
      <c r="AY71" s="1042">
        <f t="shared" ca="1" si="182"/>
        <v>0</v>
      </c>
      <c r="AZ71" s="1042">
        <f t="shared" ca="1" si="182"/>
        <v>0</v>
      </c>
      <c r="BA71" s="1042">
        <f t="shared" ca="1" si="182"/>
        <v>0</v>
      </c>
      <c r="BB71" s="1042">
        <f t="shared" ca="1" si="182"/>
        <v>0</v>
      </c>
      <c r="BC71" s="1042">
        <f t="shared" ca="1" si="182"/>
        <v>0</v>
      </c>
      <c r="BD71" s="1042">
        <f t="shared" ca="1" si="182"/>
        <v>0</v>
      </c>
      <c r="BE71" s="1042">
        <f t="shared" ca="1" si="182"/>
        <v>0</v>
      </c>
      <c r="BF71" s="1012">
        <f ca="1">SUM(AM71:BE71)</f>
        <v>0</v>
      </c>
      <c r="BG71" s="743"/>
      <c r="BH71" s="1036">
        <f ca="1">IFERROR(INDEX(INDIRECT($C71&amp;".Outputs["&amp;this.Year&amp;"]"), MATCH(BH$5, INDIRECT($C71&amp;".Outputs[Vector]"), 0)), 0)</f>
        <v>-7.6631210765534075</v>
      </c>
      <c r="BI71" s="1036">
        <f ca="1">IFERROR(INDEX(INDIRECT($C71&amp;".Outputs["&amp;this.Year&amp;"]"), MATCH(BI$5, INDIRECT($C71&amp;".Outputs[Vector]"), 0)), 0)</f>
        <v>0</v>
      </c>
      <c r="BJ71" s="1035">
        <f ca="1">SUM(BH71:BI71)</f>
        <v>-7.6631210765534075</v>
      </c>
      <c r="BK71" s="743"/>
      <c r="BL71" s="814">
        <f ca="1">Q71+AK71+BF71+BJ71</f>
        <v>0</v>
      </c>
      <c r="BM71" s="814"/>
      <c r="BN71" s="840"/>
      <c r="BO71" s="1485">
        <f t="shared" ref="BO71:DF71" ca="1" si="184">IFERROR(SUMIFS(INDIRECT($C71&amp;".Emissions["&amp;this.Year&amp;"]"), INDIRECT($C71&amp;".Emissions[GHG]"), BO$6, INDIRECT($C71&amp;".Emissions[IPCC Sector]"), BO$5),0)</f>
        <v>0</v>
      </c>
      <c r="BP71" s="1486">
        <f t="shared" ca="1" si="184"/>
        <v>0</v>
      </c>
      <c r="BQ71" s="1486">
        <f t="shared" ca="1" si="184"/>
        <v>0</v>
      </c>
      <c r="BR71" s="1486">
        <f t="shared" ca="1" si="184"/>
        <v>0</v>
      </c>
      <c r="BS71" s="1486">
        <f t="shared" ca="1" si="184"/>
        <v>0</v>
      </c>
      <c r="BT71" s="1486">
        <f t="shared" ca="1" si="184"/>
        <v>0</v>
      </c>
      <c r="BU71" s="1486">
        <f t="shared" ca="1" si="184"/>
        <v>0</v>
      </c>
      <c r="BV71" s="1486">
        <f t="shared" ca="1" si="184"/>
        <v>0</v>
      </c>
      <c r="BW71" s="1486">
        <f t="shared" ca="1" si="184"/>
        <v>0</v>
      </c>
      <c r="BX71" s="1486">
        <f t="shared" ca="1" si="184"/>
        <v>0</v>
      </c>
      <c r="BY71" s="1486">
        <f t="shared" ca="1" si="184"/>
        <v>0</v>
      </c>
      <c r="BZ71" s="1486">
        <f t="shared" ca="1" si="184"/>
        <v>0</v>
      </c>
      <c r="CA71" s="1486">
        <f t="shared" ca="1" si="184"/>
        <v>0</v>
      </c>
      <c r="CB71" s="1486">
        <f t="shared" ca="1" si="184"/>
        <v>0</v>
      </c>
      <c r="CC71" s="1486">
        <f t="shared" ca="1" si="184"/>
        <v>0</v>
      </c>
      <c r="CD71" s="1486">
        <f t="shared" ca="1" si="184"/>
        <v>0</v>
      </c>
      <c r="CE71" s="1486">
        <f t="shared" ca="1" si="184"/>
        <v>0</v>
      </c>
      <c r="CF71" s="1486">
        <f t="shared" ca="1" si="184"/>
        <v>0</v>
      </c>
      <c r="CG71" s="1486">
        <f t="shared" ca="1" si="184"/>
        <v>0</v>
      </c>
      <c r="CH71" s="1486">
        <f t="shared" ca="1" si="184"/>
        <v>0</v>
      </c>
      <c r="CI71" s="1486">
        <f t="shared" ca="1" si="184"/>
        <v>0</v>
      </c>
      <c r="CJ71" s="1486">
        <f t="shared" ca="1" si="184"/>
        <v>0</v>
      </c>
      <c r="CK71" s="1486">
        <f t="shared" ca="1" si="184"/>
        <v>0</v>
      </c>
      <c r="CL71" s="1486">
        <f t="shared" ca="1" si="184"/>
        <v>0</v>
      </c>
      <c r="CM71" s="1486">
        <f t="shared" ca="1" si="184"/>
        <v>0</v>
      </c>
      <c r="CN71" s="1486">
        <f t="shared" ca="1" si="184"/>
        <v>0</v>
      </c>
      <c r="CO71" s="1486">
        <f t="shared" ca="1" si="184"/>
        <v>0</v>
      </c>
      <c r="CP71" s="1486">
        <f t="shared" ca="1" si="184"/>
        <v>0</v>
      </c>
      <c r="CQ71" s="1486">
        <f t="shared" ca="1" si="184"/>
        <v>0</v>
      </c>
      <c r="CR71" s="1486">
        <f t="shared" ca="1" si="184"/>
        <v>0</v>
      </c>
      <c r="CS71" s="1486">
        <f t="shared" ca="1" si="184"/>
        <v>0</v>
      </c>
      <c r="CT71" s="1486">
        <f t="shared" ca="1" si="184"/>
        <v>0</v>
      </c>
      <c r="CU71" s="1486">
        <f t="shared" ca="1" si="184"/>
        <v>0</v>
      </c>
      <c r="CV71" s="1486">
        <f t="shared" ca="1" si="184"/>
        <v>0</v>
      </c>
      <c r="CW71" s="1486">
        <f t="shared" ca="1" si="184"/>
        <v>0</v>
      </c>
      <c r="CX71" s="1486">
        <f t="shared" ca="1" si="184"/>
        <v>0</v>
      </c>
      <c r="CY71" s="1486">
        <f t="shared" ca="1" si="184"/>
        <v>0</v>
      </c>
      <c r="CZ71" s="1486">
        <f t="shared" ca="1" si="184"/>
        <v>0</v>
      </c>
      <c r="DA71" s="1486">
        <f t="shared" ca="1" si="184"/>
        <v>0</v>
      </c>
      <c r="DB71" s="1486">
        <f t="shared" ca="1" si="184"/>
        <v>0</v>
      </c>
      <c r="DC71" s="1486">
        <f t="shared" ca="1" si="184"/>
        <v>0</v>
      </c>
      <c r="DD71" s="1486">
        <f t="shared" ca="1" si="184"/>
        <v>0</v>
      </c>
      <c r="DE71" s="1486">
        <f t="shared" ca="1" si="184"/>
        <v>0</v>
      </c>
      <c r="DF71" s="1486">
        <f t="shared" ca="1" si="184"/>
        <v>0</v>
      </c>
      <c r="DH71" s="838">
        <f t="shared" ca="1" si="123"/>
        <v>0</v>
      </c>
    </row>
    <row r="72" spans="1:112" s="743" customFormat="1" ht="15.75" collapsed="1">
      <c r="A72" s="22"/>
      <c r="B72" s="753"/>
      <c r="C72" s="744" t="s">
        <v>1336</v>
      </c>
      <c r="D72" s="517" t="str">
        <f>INDEX(Workstreams[Workstream], MATCH($C72, Workstreams[Code], 0))</f>
        <v>District heating</v>
      </c>
      <c r="E72" s="512"/>
      <c r="G72" s="1021">
        <f ca="1">G71</f>
        <v>0</v>
      </c>
      <c r="H72" s="1021">
        <f t="shared" ref="H72:P72" ca="1" si="185">H71</f>
        <v>0</v>
      </c>
      <c r="I72" s="1021">
        <f t="shared" ca="1" si="185"/>
        <v>0</v>
      </c>
      <c r="J72" s="1021">
        <f t="shared" ca="1" si="185"/>
        <v>0</v>
      </c>
      <c r="K72" s="1021">
        <f t="shared" ca="1" si="185"/>
        <v>0</v>
      </c>
      <c r="L72" s="1021">
        <f t="shared" ca="1" si="185"/>
        <v>0</v>
      </c>
      <c r="M72" s="1021">
        <f t="shared" ca="1" si="185"/>
        <v>0</v>
      </c>
      <c r="N72" s="1021">
        <f t="shared" ca="1" si="185"/>
        <v>0</v>
      </c>
      <c r="O72" s="1021">
        <f t="shared" ca="1" si="185"/>
        <v>0</v>
      </c>
      <c r="P72" s="1021">
        <f t="shared" ca="1" si="185"/>
        <v>0</v>
      </c>
      <c r="Q72" s="1021">
        <f ca="1">SUM(G72:P72)</f>
        <v>0</v>
      </c>
      <c r="S72" s="970">
        <f t="shared" ref="S72:AJ72" ca="1" si="186">S71</f>
        <v>0</v>
      </c>
      <c r="T72" s="970">
        <f t="shared" ca="1" si="186"/>
        <v>-1.2771868460922347</v>
      </c>
      <c r="U72" s="970">
        <f t="shared" ca="1" si="186"/>
        <v>0</v>
      </c>
      <c r="V72" s="970">
        <f t="shared" ca="1" si="186"/>
        <v>0</v>
      </c>
      <c r="W72" s="970">
        <f t="shared" ca="1" si="186"/>
        <v>0</v>
      </c>
      <c r="X72" s="970">
        <f t="shared" ca="1" si="186"/>
        <v>0</v>
      </c>
      <c r="Y72" s="970">
        <f t="shared" ca="1" si="186"/>
        <v>0</v>
      </c>
      <c r="Z72" s="970">
        <f t="shared" ca="1" si="186"/>
        <v>0</v>
      </c>
      <c r="AA72" s="970">
        <f t="shared" ca="1" si="186"/>
        <v>0</v>
      </c>
      <c r="AB72" s="970">
        <f t="shared" ca="1" si="186"/>
        <v>8.9403079226456423</v>
      </c>
      <c r="AC72" s="970">
        <f t="shared" ca="1" si="186"/>
        <v>0</v>
      </c>
      <c r="AD72" s="970">
        <f ca="1">AD71</f>
        <v>0</v>
      </c>
      <c r="AE72" s="970">
        <f ca="1">AE71</f>
        <v>0</v>
      </c>
      <c r="AF72" s="970">
        <f t="shared" ca="1" si="186"/>
        <v>0</v>
      </c>
      <c r="AG72" s="970">
        <f t="shared" ca="1" si="186"/>
        <v>0</v>
      </c>
      <c r="AH72" s="970">
        <f ca="1">AH71</f>
        <v>0</v>
      </c>
      <c r="AI72" s="970">
        <f ca="1">AI71</f>
        <v>0</v>
      </c>
      <c r="AJ72" s="970">
        <f t="shared" ca="1" si="186"/>
        <v>0</v>
      </c>
      <c r="AK72" s="970">
        <f ca="1">SUM(S72:AJ72)</f>
        <v>7.6631210765534075</v>
      </c>
      <c r="AM72" s="976">
        <f ca="1">AM71</f>
        <v>0</v>
      </c>
      <c r="AN72" s="976">
        <f t="shared" ref="AN72:BE72" ca="1" si="187">AN71</f>
        <v>0</v>
      </c>
      <c r="AO72" s="976">
        <f t="shared" ca="1" si="187"/>
        <v>0</v>
      </c>
      <c r="AP72" s="976">
        <f t="shared" ca="1" si="187"/>
        <v>0</v>
      </c>
      <c r="AQ72" s="976">
        <f t="shared" ca="1" si="187"/>
        <v>0</v>
      </c>
      <c r="AR72" s="976">
        <f t="shared" ca="1" si="187"/>
        <v>0</v>
      </c>
      <c r="AS72" s="976">
        <f t="shared" ca="1" si="187"/>
        <v>0</v>
      </c>
      <c r="AT72" s="976">
        <f t="shared" ca="1" si="187"/>
        <v>0</v>
      </c>
      <c r="AU72" s="976">
        <f t="shared" ca="1" si="187"/>
        <v>0</v>
      </c>
      <c r="AV72" s="976">
        <f t="shared" ca="1" si="187"/>
        <v>0</v>
      </c>
      <c r="AW72" s="976">
        <f t="shared" ca="1" si="187"/>
        <v>0</v>
      </c>
      <c r="AX72" s="976">
        <f t="shared" ca="1" si="187"/>
        <v>0</v>
      </c>
      <c r="AY72" s="976">
        <f t="shared" ca="1" si="187"/>
        <v>0</v>
      </c>
      <c r="AZ72" s="976">
        <f t="shared" ca="1" si="187"/>
        <v>0</v>
      </c>
      <c r="BA72" s="976">
        <f t="shared" ca="1" si="187"/>
        <v>0</v>
      </c>
      <c r="BB72" s="976">
        <f t="shared" ca="1" si="187"/>
        <v>0</v>
      </c>
      <c r="BC72" s="976">
        <f t="shared" ca="1" si="187"/>
        <v>0</v>
      </c>
      <c r="BD72" s="976">
        <f t="shared" ca="1" si="187"/>
        <v>0</v>
      </c>
      <c r="BE72" s="976">
        <f t="shared" ca="1" si="187"/>
        <v>0</v>
      </c>
      <c r="BF72" s="976">
        <f ca="1">SUM(AM72:BE72)</f>
        <v>0</v>
      </c>
      <c r="BH72" s="990">
        <f ca="1">BH71</f>
        <v>-7.6631210765534075</v>
      </c>
      <c r="BI72" s="990">
        <f ca="1">BI71</f>
        <v>0</v>
      </c>
      <c r="BJ72" s="990">
        <f ca="1">SUM(BH72:BI72)</f>
        <v>-7.6631210765534075</v>
      </c>
      <c r="BL72" s="515">
        <f ca="1">Q72+AK72+BF72+BJ72</f>
        <v>0</v>
      </c>
      <c r="BM72" s="515"/>
      <c r="BN72" s="840"/>
      <c r="BO72" s="1482">
        <f t="shared" ref="BO72:DF72" ca="1" si="188">BO71</f>
        <v>0</v>
      </c>
      <c r="BP72" s="1482">
        <f t="shared" ca="1" si="188"/>
        <v>0</v>
      </c>
      <c r="BQ72" s="1482">
        <f t="shared" ca="1" si="188"/>
        <v>0</v>
      </c>
      <c r="BR72" s="1482">
        <f t="shared" ca="1" si="188"/>
        <v>0</v>
      </c>
      <c r="BS72" s="1482">
        <f t="shared" ca="1" si="188"/>
        <v>0</v>
      </c>
      <c r="BT72" s="1482">
        <f t="shared" ca="1" si="188"/>
        <v>0</v>
      </c>
      <c r="BU72" s="1482">
        <f t="shared" ca="1" si="188"/>
        <v>0</v>
      </c>
      <c r="BV72" s="1482">
        <f t="shared" ca="1" si="188"/>
        <v>0</v>
      </c>
      <c r="BW72" s="1482">
        <f t="shared" ca="1" si="188"/>
        <v>0</v>
      </c>
      <c r="BX72" s="1482">
        <f t="shared" ca="1" si="188"/>
        <v>0</v>
      </c>
      <c r="BY72" s="1482">
        <f t="shared" ca="1" si="188"/>
        <v>0</v>
      </c>
      <c r="BZ72" s="1482">
        <f t="shared" ca="1" si="188"/>
        <v>0</v>
      </c>
      <c r="CA72" s="1482">
        <f t="shared" ca="1" si="188"/>
        <v>0</v>
      </c>
      <c r="CB72" s="1482">
        <f t="shared" ca="1" si="188"/>
        <v>0</v>
      </c>
      <c r="CC72" s="1482">
        <f t="shared" ca="1" si="188"/>
        <v>0</v>
      </c>
      <c r="CD72" s="1482">
        <f t="shared" ca="1" si="188"/>
        <v>0</v>
      </c>
      <c r="CE72" s="1482">
        <f t="shared" ca="1" si="188"/>
        <v>0</v>
      </c>
      <c r="CF72" s="1482">
        <f t="shared" ca="1" si="188"/>
        <v>0</v>
      </c>
      <c r="CG72" s="1482">
        <f t="shared" ca="1" si="188"/>
        <v>0</v>
      </c>
      <c r="CH72" s="1482">
        <f t="shared" ca="1" si="188"/>
        <v>0</v>
      </c>
      <c r="CI72" s="1482">
        <f t="shared" ca="1" si="188"/>
        <v>0</v>
      </c>
      <c r="CJ72" s="1482">
        <f t="shared" ca="1" si="188"/>
        <v>0</v>
      </c>
      <c r="CK72" s="1482">
        <f t="shared" ca="1" si="188"/>
        <v>0</v>
      </c>
      <c r="CL72" s="1482">
        <f t="shared" ca="1" si="188"/>
        <v>0</v>
      </c>
      <c r="CM72" s="1482">
        <f t="shared" ca="1" si="188"/>
        <v>0</v>
      </c>
      <c r="CN72" s="1482">
        <f t="shared" ca="1" si="188"/>
        <v>0</v>
      </c>
      <c r="CO72" s="1482">
        <f t="shared" ca="1" si="188"/>
        <v>0</v>
      </c>
      <c r="CP72" s="1482">
        <f t="shared" ca="1" si="188"/>
        <v>0</v>
      </c>
      <c r="CQ72" s="1482">
        <f t="shared" ca="1" si="188"/>
        <v>0</v>
      </c>
      <c r="CR72" s="1482">
        <f t="shared" ca="1" si="188"/>
        <v>0</v>
      </c>
      <c r="CS72" s="1482">
        <f t="shared" ca="1" si="188"/>
        <v>0</v>
      </c>
      <c r="CT72" s="1482">
        <f t="shared" ca="1" si="188"/>
        <v>0</v>
      </c>
      <c r="CU72" s="1482">
        <f t="shared" ca="1" si="188"/>
        <v>0</v>
      </c>
      <c r="CV72" s="1482">
        <f t="shared" ca="1" si="188"/>
        <v>0</v>
      </c>
      <c r="CW72" s="1482">
        <f t="shared" ca="1" si="188"/>
        <v>0</v>
      </c>
      <c r="CX72" s="1482">
        <f t="shared" ca="1" si="188"/>
        <v>0</v>
      </c>
      <c r="CY72" s="1482">
        <f t="shared" ca="1" si="188"/>
        <v>0</v>
      </c>
      <c r="CZ72" s="1482">
        <f t="shared" ca="1" si="188"/>
        <v>0</v>
      </c>
      <c r="DA72" s="1482">
        <f t="shared" ca="1" si="188"/>
        <v>0</v>
      </c>
      <c r="DB72" s="1482">
        <f t="shared" ca="1" si="188"/>
        <v>0</v>
      </c>
      <c r="DC72" s="1482">
        <f t="shared" ca="1" si="188"/>
        <v>0</v>
      </c>
      <c r="DD72" s="1482">
        <f t="shared" ca="1" si="188"/>
        <v>0</v>
      </c>
      <c r="DE72" s="1482">
        <f t="shared" ca="1" si="188"/>
        <v>0</v>
      </c>
      <c r="DF72" s="1482">
        <f t="shared" ca="1" si="188"/>
        <v>0</v>
      </c>
      <c r="DH72" s="838">
        <f t="shared" ca="1" si="123"/>
        <v>0</v>
      </c>
    </row>
    <row r="73" spans="1:112" s="743" customFormat="1" ht="12.75" hidden="1" customHeight="1" outlineLevel="1">
      <c r="A73" s="22"/>
      <c r="B73" s="22"/>
      <c r="C73" s="751"/>
      <c r="D73" s="512"/>
      <c r="E73" s="512"/>
      <c r="G73" s="958"/>
      <c r="H73" s="958"/>
      <c r="I73" s="958"/>
      <c r="J73" s="958"/>
      <c r="K73" s="960"/>
      <c r="L73" s="958"/>
      <c r="M73" s="958"/>
      <c r="N73" s="958"/>
      <c r="O73" s="958"/>
      <c r="P73" s="958"/>
      <c r="Q73" s="958"/>
      <c r="S73" s="970"/>
      <c r="T73" s="970"/>
      <c r="U73" s="970"/>
      <c r="V73" s="970"/>
      <c r="W73" s="970"/>
      <c r="X73" s="970"/>
      <c r="Y73" s="970"/>
      <c r="Z73" s="970"/>
      <c r="AA73" s="970"/>
      <c r="AB73" s="970"/>
      <c r="AC73" s="970"/>
      <c r="AD73" s="970"/>
      <c r="AE73" s="970"/>
      <c r="AF73" s="970"/>
      <c r="AG73" s="970"/>
      <c r="AH73" s="970"/>
      <c r="AI73" s="970"/>
      <c r="AJ73" s="970"/>
      <c r="AK73" s="970"/>
      <c r="AM73" s="976"/>
      <c r="AN73" s="976"/>
      <c r="AO73" s="976"/>
      <c r="AP73" s="976"/>
      <c r="AQ73" s="976"/>
      <c r="AR73" s="976"/>
      <c r="AS73" s="976"/>
      <c r="AT73" s="976"/>
      <c r="AU73" s="976"/>
      <c r="AV73" s="976"/>
      <c r="AW73" s="976"/>
      <c r="AX73" s="976"/>
      <c r="AY73" s="976"/>
      <c r="AZ73" s="976"/>
      <c r="BA73" s="976"/>
      <c r="BB73" s="976"/>
      <c r="BC73" s="976"/>
      <c r="BD73" s="976"/>
      <c r="BE73" s="976"/>
      <c r="BF73" s="976"/>
      <c r="BH73" s="990"/>
      <c r="BI73" s="990"/>
      <c r="BJ73" s="990"/>
      <c r="BL73" s="515"/>
      <c r="BM73" s="515"/>
      <c r="BN73" s="22"/>
      <c r="BO73" s="1482"/>
      <c r="BP73" s="1482"/>
      <c r="BQ73" s="1482"/>
      <c r="BR73" s="1482"/>
      <c r="BS73" s="1482"/>
      <c r="BT73" s="1482"/>
      <c r="BU73" s="1482"/>
      <c r="BV73" s="1482"/>
      <c r="BW73" s="1482"/>
      <c r="BX73" s="1482"/>
      <c r="BY73" s="1482"/>
      <c r="BZ73" s="1482"/>
      <c r="CA73" s="1482"/>
      <c r="CB73" s="1482"/>
      <c r="CC73" s="1482"/>
      <c r="CD73" s="1482"/>
      <c r="CE73" s="1482"/>
      <c r="CF73" s="1482"/>
      <c r="CG73" s="1482"/>
      <c r="CH73" s="1482"/>
      <c r="CI73" s="1482"/>
      <c r="CJ73" s="1482"/>
      <c r="CK73" s="1482"/>
      <c r="CL73" s="1482"/>
      <c r="CM73" s="1482"/>
      <c r="CN73" s="1482"/>
      <c r="CO73" s="1482"/>
      <c r="CP73" s="1482"/>
      <c r="CQ73" s="1482"/>
      <c r="CR73" s="1482"/>
      <c r="CS73" s="1482"/>
      <c r="CT73" s="1482"/>
      <c r="CU73" s="1482"/>
      <c r="CV73" s="1482"/>
      <c r="CW73" s="1482"/>
      <c r="CX73" s="1482"/>
      <c r="CY73" s="1482"/>
      <c r="CZ73" s="1482"/>
      <c r="DA73" s="1482"/>
      <c r="DB73" s="1482"/>
      <c r="DC73" s="1482"/>
      <c r="DD73" s="1482"/>
      <c r="DE73" s="1482"/>
      <c r="DF73" s="1482"/>
      <c r="DH73" s="838">
        <f t="shared" si="123"/>
        <v>0</v>
      </c>
    </row>
    <row r="74" spans="1:112" s="1488" customFormat="1" ht="12.75" hidden="1" customHeight="1" outlineLevel="1">
      <c r="C74" s="1048" t="s">
        <v>1719</v>
      </c>
      <c r="D74" s="1049" t="s">
        <v>1334</v>
      </c>
      <c r="E74" s="1049"/>
      <c r="F74" s="743"/>
      <c r="G74" s="1050"/>
      <c r="H74" s="1050"/>
      <c r="I74" s="1050"/>
      <c r="J74" s="1050"/>
      <c r="K74" s="1051"/>
      <c r="L74" s="1050"/>
      <c r="M74" s="1050"/>
      <c r="N74" s="1050"/>
      <c r="O74" s="1050"/>
      <c r="P74" s="1050"/>
      <c r="Q74" s="1050"/>
      <c r="R74" s="743"/>
      <c r="S74" s="1052">
        <f ca="1">S$40+S$46+S$51+S$99+S$55+S$93+S$63+S$68+S$72</f>
        <v>-382.28449716625596</v>
      </c>
      <c r="T74" s="1052">
        <f ca="1">T$40+T$46+T$51+T$99+T$55+T$93+T$63+T$68+T$72</f>
        <v>19.842462056890149</v>
      </c>
      <c r="U74" s="1052"/>
      <c r="V74" s="1052"/>
      <c r="W74" s="1052"/>
      <c r="X74" s="1052"/>
      <c r="Y74" s="1052"/>
      <c r="Z74" s="1052"/>
      <c r="AA74" s="1052"/>
      <c r="AB74" s="1052"/>
      <c r="AC74" s="1052"/>
      <c r="AD74" s="1052"/>
      <c r="AE74" s="1052"/>
      <c r="AF74" s="1052"/>
      <c r="AG74" s="1052"/>
      <c r="AH74" s="1052"/>
      <c r="AI74" s="1052"/>
      <c r="AJ74" s="1052"/>
      <c r="AK74" s="1052"/>
      <c r="AL74" s="743"/>
      <c r="AM74" s="1053"/>
      <c r="AN74" s="1053"/>
      <c r="AO74" s="1053"/>
      <c r="AP74" s="1053"/>
      <c r="AQ74" s="1053"/>
      <c r="AR74" s="1053"/>
      <c r="AS74" s="1053"/>
      <c r="AT74" s="1053"/>
      <c r="AU74" s="1053"/>
      <c r="AV74" s="1053"/>
      <c r="AW74" s="1053"/>
      <c r="AX74" s="1053"/>
      <c r="AY74" s="1053"/>
      <c r="AZ74" s="1053"/>
      <c r="BA74" s="1053"/>
      <c r="BB74" s="1053"/>
      <c r="BC74" s="1053"/>
      <c r="BD74" s="1053"/>
      <c r="BE74" s="1053"/>
      <c r="BF74" s="1053"/>
      <c r="BG74" s="743"/>
      <c r="BH74" s="1054"/>
      <c r="BI74" s="1054"/>
      <c r="BJ74" s="1054">
        <f>SUM(BH74:BI74)</f>
        <v>0</v>
      </c>
      <c r="BK74" s="743"/>
      <c r="BL74" s="852">
        <f t="shared" ref="BL74:BL80" si="189">Q74+AK74+BF74+BJ74</f>
        <v>0</v>
      </c>
      <c r="BM74" s="852"/>
      <c r="BO74" s="1490"/>
      <c r="BP74" s="1490"/>
      <c r="BQ74" s="1490"/>
      <c r="BR74" s="1490"/>
      <c r="BS74" s="1490"/>
      <c r="BT74" s="1490"/>
      <c r="BU74" s="1490"/>
      <c r="BV74" s="1490"/>
      <c r="BW74" s="1490"/>
      <c r="BX74" s="1490"/>
      <c r="BY74" s="1490"/>
      <c r="BZ74" s="1490"/>
      <c r="CA74" s="1490"/>
      <c r="CB74" s="1490"/>
      <c r="CC74" s="1490"/>
      <c r="CD74" s="1490"/>
      <c r="CE74" s="1490"/>
      <c r="CF74" s="1490"/>
      <c r="CG74" s="1490"/>
      <c r="CH74" s="1490"/>
      <c r="CI74" s="1490"/>
      <c r="CJ74" s="1490"/>
      <c r="CK74" s="1490"/>
      <c r="CL74" s="1490"/>
      <c r="CM74" s="1490"/>
      <c r="CN74" s="1490"/>
      <c r="CO74" s="1490"/>
      <c r="CP74" s="1490"/>
      <c r="CQ74" s="1490"/>
      <c r="CR74" s="1490"/>
      <c r="CS74" s="1490"/>
      <c r="CT74" s="1490"/>
      <c r="CU74" s="1490"/>
      <c r="CV74" s="1490"/>
      <c r="CW74" s="1490"/>
      <c r="CX74" s="1490"/>
      <c r="CY74" s="1490"/>
      <c r="CZ74" s="1490"/>
      <c r="DA74" s="1490"/>
      <c r="DB74" s="1490"/>
      <c r="DC74" s="1490"/>
      <c r="DD74" s="1490"/>
      <c r="DE74" s="1490"/>
      <c r="DF74" s="1490"/>
      <c r="DH74" s="838">
        <f t="shared" si="123"/>
        <v>0</v>
      </c>
    </row>
    <row r="75" spans="1:112" s="1484" customFormat="1" ht="12.75" hidden="1" customHeight="1" outlineLevel="1">
      <c r="C75" s="746" t="s">
        <v>756</v>
      </c>
      <c r="D75" s="1010" t="str">
        <f>INDEX(Modules[Module], MATCH($C75, Modules[Code], 0))</f>
        <v>Nuclear power</v>
      </c>
      <c r="E75" s="1010"/>
      <c r="F75" s="743"/>
      <c r="G75" s="1022">
        <f t="shared" ref="G75:P75" ca="1" si="190">IFERROR(INDEX(INDIRECT($C75&amp;".Outputs["&amp;this.Year&amp;"]"), MATCH(G$5, INDIRECT($C75&amp;".Outputs[Vector]"), 0)), 0)</f>
        <v>0</v>
      </c>
      <c r="H75" s="1022">
        <f t="shared" ca="1" si="190"/>
        <v>0</v>
      </c>
      <c r="I75" s="1022">
        <f t="shared" ca="1" si="190"/>
        <v>0</v>
      </c>
      <c r="J75" s="1022">
        <f t="shared" ca="1" si="190"/>
        <v>0</v>
      </c>
      <c r="K75" s="1022">
        <f t="shared" ca="1" si="190"/>
        <v>0</v>
      </c>
      <c r="L75" s="1022">
        <f t="shared" ca="1" si="190"/>
        <v>0</v>
      </c>
      <c r="M75" s="1022">
        <f t="shared" ca="1" si="190"/>
        <v>0</v>
      </c>
      <c r="N75" s="1022">
        <f t="shared" ca="1" si="190"/>
        <v>0</v>
      </c>
      <c r="O75" s="1022">
        <f t="shared" ca="1" si="190"/>
        <v>0</v>
      </c>
      <c r="P75" s="1022">
        <f t="shared" ca="1" si="190"/>
        <v>0</v>
      </c>
      <c r="Q75" s="1020">
        <f ca="1">SUM(G75:P75)</f>
        <v>0</v>
      </c>
      <c r="R75" s="743"/>
      <c r="S75" s="1031">
        <f t="shared" ref="S75:BE75" ca="1" si="191">IFERROR(INDEX(INDIRECT($C75&amp;".Outputs["&amp;this.Year&amp;"]"), MATCH(S$5, INDIRECT($C75&amp;".Outputs[Vector]"), 0)), 0)</f>
        <v>0</v>
      </c>
      <c r="T75" s="1031">
        <f t="shared" ca="1" si="191"/>
        <v>25.246080000000006</v>
      </c>
      <c r="U75" s="1031">
        <f t="shared" ca="1" si="191"/>
        <v>0</v>
      </c>
      <c r="V75" s="1031">
        <f t="shared" ca="1" si="191"/>
        <v>0</v>
      </c>
      <c r="W75" s="1031">
        <f t="shared" ca="1" si="191"/>
        <v>0</v>
      </c>
      <c r="X75" s="1031">
        <f ca="1">IFERROR(INDEX(INDIRECT($C75&amp;".Outputs["&amp;this.Year&amp;"]"), MATCH(X$5, INDIRECT($C75&amp;".Outputs[Vector]"), 0)), 0)</f>
        <v>0</v>
      </c>
      <c r="Y75" s="1031">
        <f ca="1">IFERROR(INDEX(INDIRECT($C75&amp;".Outputs["&amp;this.Year&amp;"]"), MATCH(Y$5, INDIRECT($C75&amp;".Outputs[Vector]"), 0)), 0)</f>
        <v>0</v>
      </c>
      <c r="Z75" s="1031">
        <f ca="1">IFERROR(INDEX(INDIRECT($C75&amp;".Outputs["&amp;this.Year&amp;"]"), MATCH(Z$5, INDIRECT($C75&amp;".Outputs[Vector]"), 0)), 0)</f>
        <v>0</v>
      </c>
      <c r="AA75" s="1031">
        <f t="shared" ca="1" si="191"/>
        <v>0</v>
      </c>
      <c r="AB75" s="1031">
        <f t="shared" ca="1" si="191"/>
        <v>0</v>
      </c>
      <c r="AC75" s="1031">
        <f t="shared" ca="1" si="191"/>
        <v>0</v>
      </c>
      <c r="AD75" s="1031">
        <f t="shared" ca="1" si="191"/>
        <v>0</v>
      </c>
      <c r="AE75" s="1031">
        <f t="shared" ca="1" si="191"/>
        <v>0</v>
      </c>
      <c r="AF75" s="1031">
        <f t="shared" ca="1" si="191"/>
        <v>0</v>
      </c>
      <c r="AG75" s="1031">
        <f t="shared" ca="1" si="191"/>
        <v>0</v>
      </c>
      <c r="AH75" s="1031">
        <f t="shared" ca="1" si="191"/>
        <v>0</v>
      </c>
      <c r="AI75" s="1031">
        <f t="shared" ca="1" si="191"/>
        <v>0</v>
      </c>
      <c r="AJ75" s="1031">
        <f t="shared" ca="1" si="191"/>
        <v>0</v>
      </c>
      <c r="AK75" s="1030">
        <f ca="1">SUM(S75:AJ75)</f>
        <v>25.246080000000006</v>
      </c>
      <c r="AL75" s="743"/>
      <c r="AM75" s="1042">
        <f t="shared" ref="AM75:AU75" ca="1" si="192">IFERROR(INDEX(INDIRECT($C75&amp;".Outputs["&amp;this.Year&amp;"]"), MATCH(AM$5, INDIRECT($C75&amp;".Outputs[Vector]"), 0)), 0)</f>
        <v>0</v>
      </c>
      <c r="AN75" s="1042">
        <f t="shared" ca="1" si="192"/>
        <v>0</v>
      </c>
      <c r="AO75" s="1042">
        <f t="shared" ca="1" si="192"/>
        <v>0</v>
      </c>
      <c r="AP75" s="1042">
        <f t="shared" ca="1" si="192"/>
        <v>0</v>
      </c>
      <c r="AQ75" s="1042">
        <f t="shared" ca="1" si="192"/>
        <v>0</v>
      </c>
      <c r="AR75" s="1042">
        <f t="shared" ca="1" si="192"/>
        <v>0</v>
      </c>
      <c r="AS75" s="1042">
        <f t="shared" ca="1" si="192"/>
        <v>0</v>
      </c>
      <c r="AT75" s="1042">
        <f t="shared" ca="1" si="192"/>
        <v>0</v>
      </c>
      <c r="AU75" s="1042">
        <f t="shared" ca="1" si="192"/>
        <v>0</v>
      </c>
      <c r="AV75" s="1042">
        <f t="shared" ca="1" si="191"/>
        <v>-77.140800000000027</v>
      </c>
      <c r="AW75" s="1042">
        <f t="shared" ca="1" si="191"/>
        <v>0</v>
      </c>
      <c r="AX75" s="1042">
        <f t="shared" ca="1" si="191"/>
        <v>0</v>
      </c>
      <c r="AY75" s="1042">
        <f t="shared" ca="1" si="191"/>
        <v>0</v>
      </c>
      <c r="AZ75" s="1042">
        <f t="shared" ca="1" si="191"/>
        <v>0</v>
      </c>
      <c r="BA75" s="1042">
        <f t="shared" ca="1" si="191"/>
        <v>0</v>
      </c>
      <c r="BB75" s="1042">
        <f t="shared" ca="1" si="191"/>
        <v>0</v>
      </c>
      <c r="BC75" s="1042">
        <f t="shared" ca="1" si="191"/>
        <v>0</v>
      </c>
      <c r="BD75" s="1042">
        <f t="shared" ca="1" si="191"/>
        <v>0</v>
      </c>
      <c r="BE75" s="1042">
        <f t="shared" ca="1" si="191"/>
        <v>0</v>
      </c>
      <c r="BF75" s="1012">
        <f ca="1">SUM(AM75:BE75)</f>
        <v>-77.140800000000027</v>
      </c>
      <c r="BG75" s="743"/>
      <c r="BH75" s="1036">
        <f ca="1">IFERROR(INDEX(INDIRECT($C75&amp;".Outputs["&amp;this.Year&amp;"]"), MATCH(BH$5, INDIRECT($C75&amp;".Outputs[Vector]"), 0)), 0)</f>
        <v>49.37011200000002</v>
      </c>
      <c r="BI75" s="1036">
        <f ca="1">IFERROR(INDEX(INDIRECT($C75&amp;".Outputs["&amp;this.Year&amp;"]"), MATCH(BI$5, INDIRECT($C75&amp;".Outputs[Vector]"), 0)), 0)</f>
        <v>2.5246080000000006</v>
      </c>
      <c r="BJ75" s="1035">
        <f ca="1">SUM(BH75:BI75)</f>
        <v>51.894720000000021</v>
      </c>
      <c r="BK75" s="743"/>
      <c r="BL75" s="814">
        <f t="shared" ca="1" si="189"/>
        <v>0</v>
      </c>
      <c r="BM75" s="814"/>
      <c r="BN75" s="840"/>
      <c r="BO75" s="1485">
        <f t="shared" ref="BO75:DF75" ca="1" si="193">IFERROR(SUMIFS(INDIRECT($C75&amp;".Emissions["&amp;this.Year&amp;"]"), INDIRECT($C75&amp;".Emissions[GHG]"), BO$6, INDIRECT($C75&amp;".Emissions[IPCC Sector]"), BO$5),0)</f>
        <v>0</v>
      </c>
      <c r="BP75" s="1486">
        <f t="shared" ca="1" si="193"/>
        <v>0</v>
      </c>
      <c r="BQ75" s="1486">
        <f t="shared" ca="1" si="193"/>
        <v>0</v>
      </c>
      <c r="BR75" s="1486">
        <f t="shared" ca="1" si="193"/>
        <v>0</v>
      </c>
      <c r="BS75" s="1486">
        <f t="shared" ca="1" si="193"/>
        <v>0</v>
      </c>
      <c r="BT75" s="1486">
        <f t="shared" ca="1" si="193"/>
        <v>0</v>
      </c>
      <c r="BU75" s="1486">
        <f t="shared" ca="1" si="193"/>
        <v>0</v>
      </c>
      <c r="BV75" s="1486">
        <f t="shared" ca="1" si="193"/>
        <v>0</v>
      </c>
      <c r="BW75" s="1486">
        <f t="shared" ca="1" si="193"/>
        <v>0</v>
      </c>
      <c r="BX75" s="1486">
        <f t="shared" ca="1" si="193"/>
        <v>0</v>
      </c>
      <c r="BY75" s="1486">
        <f t="shared" ca="1" si="193"/>
        <v>0</v>
      </c>
      <c r="BZ75" s="1486">
        <f t="shared" ca="1" si="193"/>
        <v>0</v>
      </c>
      <c r="CA75" s="1486">
        <f t="shared" ca="1" si="193"/>
        <v>0</v>
      </c>
      <c r="CB75" s="1486">
        <f t="shared" ca="1" si="193"/>
        <v>0</v>
      </c>
      <c r="CC75" s="1486">
        <f t="shared" ca="1" si="193"/>
        <v>0</v>
      </c>
      <c r="CD75" s="1486">
        <f t="shared" ca="1" si="193"/>
        <v>0</v>
      </c>
      <c r="CE75" s="1486">
        <f t="shared" ca="1" si="193"/>
        <v>0</v>
      </c>
      <c r="CF75" s="1486">
        <f t="shared" ca="1" si="193"/>
        <v>0</v>
      </c>
      <c r="CG75" s="1486">
        <f t="shared" ca="1" si="193"/>
        <v>0</v>
      </c>
      <c r="CH75" s="1486">
        <f t="shared" ca="1" si="193"/>
        <v>0</v>
      </c>
      <c r="CI75" s="1486">
        <f t="shared" ca="1" si="193"/>
        <v>0</v>
      </c>
      <c r="CJ75" s="1486">
        <f t="shared" ca="1" si="193"/>
        <v>0</v>
      </c>
      <c r="CK75" s="1486">
        <f t="shared" ca="1" si="193"/>
        <v>0</v>
      </c>
      <c r="CL75" s="1486">
        <f t="shared" ca="1" si="193"/>
        <v>0</v>
      </c>
      <c r="CM75" s="1486">
        <f t="shared" ca="1" si="193"/>
        <v>0</v>
      </c>
      <c r="CN75" s="1486">
        <f t="shared" ca="1" si="193"/>
        <v>0</v>
      </c>
      <c r="CO75" s="1486">
        <f t="shared" ca="1" si="193"/>
        <v>0</v>
      </c>
      <c r="CP75" s="1486">
        <f t="shared" ca="1" si="193"/>
        <v>0</v>
      </c>
      <c r="CQ75" s="1486">
        <f t="shared" ca="1" si="193"/>
        <v>0</v>
      </c>
      <c r="CR75" s="1486">
        <f t="shared" ca="1" si="193"/>
        <v>0</v>
      </c>
      <c r="CS75" s="1486">
        <f t="shared" ca="1" si="193"/>
        <v>0</v>
      </c>
      <c r="CT75" s="1486">
        <f t="shared" ca="1" si="193"/>
        <v>0</v>
      </c>
      <c r="CU75" s="1486">
        <f t="shared" ca="1" si="193"/>
        <v>0</v>
      </c>
      <c r="CV75" s="1486">
        <f t="shared" ca="1" si="193"/>
        <v>0</v>
      </c>
      <c r="CW75" s="1486">
        <f t="shared" ca="1" si="193"/>
        <v>0</v>
      </c>
      <c r="CX75" s="1486">
        <f t="shared" ca="1" si="193"/>
        <v>0</v>
      </c>
      <c r="CY75" s="1486">
        <f t="shared" ca="1" si="193"/>
        <v>0</v>
      </c>
      <c r="CZ75" s="1486">
        <f t="shared" ca="1" si="193"/>
        <v>0</v>
      </c>
      <c r="DA75" s="1486">
        <f t="shared" ca="1" si="193"/>
        <v>0</v>
      </c>
      <c r="DB75" s="1486">
        <f t="shared" ca="1" si="193"/>
        <v>0</v>
      </c>
      <c r="DC75" s="1486">
        <f t="shared" ca="1" si="193"/>
        <v>0</v>
      </c>
      <c r="DD75" s="1486">
        <f t="shared" ca="1" si="193"/>
        <v>0</v>
      </c>
      <c r="DE75" s="1486">
        <f t="shared" ca="1" si="193"/>
        <v>0</v>
      </c>
      <c r="DF75" s="1486">
        <f t="shared" ca="1" si="193"/>
        <v>0</v>
      </c>
      <c r="DH75" s="838">
        <f t="shared" ca="1" si="123"/>
        <v>0</v>
      </c>
    </row>
    <row r="76" spans="1:112" s="743" customFormat="1" ht="15.75" collapsed="1">
      <c r="A76" s="22"/>
      <c r="B76" s="753"/>
      <c r="C76" s="744" t="s">
        <v>75</v>
      </c>
      <c r="D76" s="517" t="str">
        <f>INDEX(Workstreams[Workstream], MATCH($C76, Workstreams[Code], 0))</f>
        <v>Nuclear power generation</v>
      </c>
      <c r="E76" s="512"/>
      <c r="G76" s="1021">
        <f ca="1">G75</f>
        <v>0</v>
      </c>
      <c r="H76" s="1021">
        <f t="shared" ref="H76:P76" ca="1" si="194">H75</f>
        <v>0</v>
      </c>
      <c r="I76" s="1021">
        <f t="shared" ca="1" si="194"/>
        <v>0</v>
      </c>
      <c r="J76" s="1021">
        <f t="shared" ca="1" si="194"/>
        <v>0</v>
      </c>
      <c r="K76" s="1021">
        <f t="shared" ca="1" si="194"/>
        <v>0</v>
      </c>
      <c r="L76" s="1021">
        <f t="shared" ca="1" si="194"/>
        <v>0</v>
      </c>
      <c r="M76" s="1021">
        <f t="shared" ca="1" si="194"/>
        <v>0</v>
      </c>
      <c r="N76" s="1021">
        <f t="shared" ca="1" si="194"/>
        <v>0</v>
      </c>
      <c r="O76" s="1021">
        <f t="shared" ca="1" si="194"/>
        <v>0</v>
      </c>
      <c r="P76" s="1021">
        <f t="shared" ca="1" si="194"/>
        <v>0</v>
      </c>
      <c r="Q76" s="1021">
        <f ca="1">SUM(G76:P76)</f>
        <v>0</v>
      </c>
      <c r="S76" s="970">
        <f t="shared" ref="S76:AJ76" ca="1" si="195">S75</f>
        <v>0</v>
      </c>
      <c r="T76" s="970">
        <f t="shared" ca="1" si="195"/>
        <v>25.246080000000006</v>
      </c>
      <c r="U76" s="970">
        <f t="shared" ca="1" si="195"/>
        <v>0</v>
      </c>
      <c r="V76" s="970">
        <f t="shared" ca="1" si="195"/>
        <v>0</v>
      </c>
      <c r="W76" s="970">
        <f t="shared" ca="1" si="195"/>
        <v>0</v>
      </c>
      <c r="X76" s="970">
        <f t="shared" ca="1" si="195"/>
        <v>0</v>
      </c>
      <c r="Y76" s="970">
        <f t="shared" ca="1" si="195"/>
        <v>0</v>
      </c>
      <c r="Z76" s="970">
        <f t="shared" ca="1" si="195"/>
        <v>0</v>
      </c>
      <c r="AA76" s="970">
        <f t="shared" ca="1" si="195"/>
        <v>0</v>
      </c>
      <c r="AB76" s="970">
        <f t="shared" ca="1" si="195"/>
        <v>0</v>
      </c>
      <c r="AC76" s="970">
        <f t="shared" ca="1" si="195"/>
        <v>0</v>
      </c>
      <c r="AD76" s="970">
        <f ca="1">AD75</f>
        <v>0</v>
      </c>
      <c r="AE76" s="970">
        <f ca="1">AE75</f>
        <v>0</v>
      </c>
      <c r="AF76" s="970">
        <f t="shared" ca="1" si="195"/>
        <v>0</v>
      </c>
      <c r="AG76" s="970">
        <f ca="1">AG75</f>
        <v>0</v>
      </c>
      <c r="AH76" s="970">
        <f ca="1">AH75</f>
        <v>0</v>
      </c>
      <c r="AI76" s="970">
        <f ca="1">AI75</f>
        <v>0</v>
      </c>
      <c r="AJ76" s="970">
        <f t="shared" ca="1" si="195"/>
        <v>0</v>
      </c>
      <c r="AK76" s="970">
        <f ca="1">SUM(S76:AJ76)</f>
        <v>25.246080000000006</v>
      </c>
      <c r="AM76" s="976">
        <f ca="1">AM75</f>
        <v>0</v>
      </c>
      <c r="AN76" s="976">
        <f t="shared" ref="AN76:BE76" ca="1" si="196">AN75</f>
        <v>0</v>
      </c>
      <c r="AO76" s="976">
        <f t="shared" ca="1" si="196"/>
        <v>0</v>
      </c>
      <c r="AP76" s="976">
        <f t="shared" ca="1" si="196"/>
        <v>0</v>
      </c>
      <c r="AQ76" s="976">
        <f t="shared" ca="1" si="196"/>
        <v>0</v>
      </c>
      <c r="AR76" s="976">
        <f t="shared" ca="1" si="196"/>
        <v>0</v>
      </c>
      <c r="AS76" s="976">
        <f t="shared" ca="1" si="196"/>
        <v>0</v>
      </c>
      <c r="AT76" s="976">
        <f t="shared" ca="1" si="196"/>
        <v>0</v>
      </c>
      <c r="AU76" s="976">
        <f t="shared" ca="1" si="196"/>
        <v>0</v>
      </c>
      <c r="AV76" s="976">
        <f t="shared" ca="1" si="196"/>
        <v>-77.140800000000027</v>
      </c>
      <c r="AW76" s="976">
        <f t="shared" ca="1" si="196"/>
        <v>0</v>
      </c>
      <c r="AX76" s="976">
        <f t="shared" ca="1" si="196"/>
        <v>0</v>
      </c>
      <c r="AY76" s="976">
        <f t="shared" ca="1" si="196"/>
        <v>0</v>
      </c>
      <c r="AZ76" s="976">
        <f t="shared" ca="1" si="196"/>
        <v>0</v>
      </c>
      <c r="BA76" s="976">
        <f t="shared" ca="1" si="196"/>
        <v>0</v>
      </c>
      <c r="BB76" s="976">
        <f t="shared" ca="1" si="196"/>
        <v>0</v>
      </c>
      <c r="BC76" s="976">
        <f t="shared" ca="1" si="196"/>
        <v>0</v>
      </c>
      <c r="BD76" s="976">
        <f t="shared" ca="1" si="196"/>
        <v>0</v>
      </c>
      <c r="BE76" s="976">
        <f t="shared" ca="1" si="196"/>
        <v>0</v>
      </c>
      <c r="BF76" s="976">
        <f ca="1">SUM(AM76:BE76)</f>
        <v>-77.140800000000027</v>
      </c>
      <c r="BH76" s="990">
        <f ca="1">BH75</f>
        <v>49.37011200000002</v>
      </c>
      <c r="BI76" s="990">
        <f ca="1">BI75</f>
        <v>2.5246080000000006</v>
      </c>
      <c r="BJ76" s="990">
        <f ca="1">SUM(BH76:BI76)</f>
        <v>51.894720000000021</v>
      </c>
      <c r="BL76" s="515">
        <f t="shared" ca="1" si="189"/>
        <v>0</v>
      </c>
      <c r="BM76" s="515"/>
      <c r="BN76" s="840"/>
      <c r="BO76" s="1482">
        <f t="shared" ref="BO76:DF76" ca="1" si="197">BO75</f>
        <v>0</v>
      </c>
      <c r="BP76" s="1482">
        <f t="shared" ca="1" si="197"/>
        <v>0</v>
      </c>
      <c r="BQ76" s="1482">
        <f t="shared" ca="1" si="197"/>
        <v>0</v>
      </c>
      <c r="BR76" s="1482">
        <f t="shared" ca="1" si="197"/>
        <v>0</v>
      </c>
      <c r="BS76" s="1482">
        <f t="shared" ca="1" si="197"/>
        <v>0</v>
      </c>
      <c r="BT76" s="1482">
        <f t="shared" ca="1" si="197"/>
        <v>0</v>
      </c>
      <c r="BU76" s="1482">
        <f t="shared" ca="1" si="197"/>
        <v>0</v>
      </c>
      <c r="BV76" s="1482">
        <f t="shared" ca="1" si="197"/>
        <v>0</v>
      </c>
      <c r="BW76" s="1482">
        <f t="shared" ca="1" si="197"/>
        <v>0</v>
      </c>
      <c r="BX76" s="1482">
        <f t="shared" ca="1" si="197"/>
        <v>0</v>
      </c>
      <c r="BY76" s="1482">
        <f t="shared" ca="1" si="197"/>
        <v>0</v>
      </c>
      <c r="BZ76" s="1482">
        <f t="shared" ca="1" si="197"/>
        <v>0</v>
      </c>
      <c r="CA76" s="1482">
        <f t="shared" ca="1" si="197"/>
        <v>0</v>
      </c>
      <c r="CB76" s="1482">
        <f t="shared" ca="1" si="197"/>
        <v>0</v>
      </c>
      <c r="CC76" s="1482">
        <f t="shared" ca="1" si="197"/>
        <v>0</v>
      </c>
      <c r="CD76" s="1482">
        <f t="shared" ca="1" si="197"/>
        <v>0</v>
      </c>
      <c r="CE76" s="1482">
        <f t="shared" ca="1" si="197"/>
        <v>0</v>
      </c>
      <c r="CF76" s="1482">
        <f t="shared" ca="1" si="197"/>
        <v>0</v>
      </c>
      <c r="CG76" s="1482">
        <f t="shared" ca="1" si="197"/>
        <v>0</v>
      </c>
      <c r="CH76" s="1482">
        <f t="shared" ca="1" si="197"/>
        <v>0</v>
      </c>
      <c r="CI76" s="1482">
        <f t="shared" ca="1" si="197"/>
        <v>0</v>
      </c>
      <c r="CJ76" s="1482">
        <f t="shared" ca="1" si="197"/>
        <v>0</v>
      </c>
      <c r="CK76" s="1482">
        <f t="shared" ca="1" si="197"/>
        <v>0</v>
      </c>
      <c r="CL76" s="1482">
        <f t="shared" ca="1" si="197"/>
        <v>0</v>
      </c>
      <c r="CM76" s="1482">
        <f t="shared" ca="1" si="197"/>
        <v>0</v>
      </c>
      <c r="CN76" s="1482">
        <f t="shared" ca="1" si="197"/>
        <v>0</v>
      </c>
      <c r="CO76" s="1482">
        <f t="shared" ca="1" si="197"/>
        <v>0</v>
      </c>
      <c r="CP76" s="1482">
        <f t="shared" ca="1" si="197"/>
        <v>0</v>
      </c>
      <c r="CQ76" s="1482">
        <f t="shared" ca="1" si="197"/>
        <v>0</v>
      </c>
      <c r="CR76" s="1482">
        <f t="shared" ca="1" si="197"/>
        <v>0</v>
      </c>
      <c r="CS76" s="1482">
        <f t="shared" ca="1" si="197"/>
        <v>0</v>
      </c>
      <c r="CT76" s="1482">
        <f t="shared" ca="1" si="197"/>
        <v>0</v>
      </c>
      <c r="CU76" s="1482">
        <f t="shared" ca="1" si="197"/>
        <v>0</v>
      </c>
      <c r="CV76" s="1482">
        <f t="shared" ca="1" si="197"/>
        <v>0</v>
      </c>
      <c r="CW76" s="1482">
        <f t="shared" ca="1" si="197"/>
        <v>0</v>
      </c>
      <c r="CX76" s="1482">
        <f t="shared" ca="1" si="197"/>
        <v>0</v>
      </c>
      <c r="CY76" s="1482">
        <f t="shared" ca="1" si="197"/>
        <v>0</v>
      </c>
      <c r="CZ76" s="1482">
        <f t="shared" ca="1" si="197"/>
        <v>0</v>
      </c>
      <c r="DA76" s="1482">
        <f t="shared" ca="1" si="197"/>
        <v>0</v>
      </c>
      <c r="DB76" s="1482">
        <f t="shared" ca="1" si="197"/>
        <v>0</v>
      </c>
      <c r="DC76" s="1482">
        <f t="shared" ca="1" si="197"/>
        <v>0</v>
      </c>
      <c r="DD76" s="1482">
        <f t="shared" ca="1" si="197"/>
        <v>0</v>
      </c>
      <c r="DE76" s="1482">
        <f t="shared" ca="1" si="197"/>
        <v>0</v>
      </c>
      <c r="DF76" s="1482">
        <f t="shared" ca="1" si="197"/>
        <v>0</v>
      </c>
      <c r="DH76" s="838">
        <f t="shared" ca="1" si="123"/>
        <v>0</v>
      </c>
    </row>
    <row r="77" spans="1:112" s="743" customFormat="1" ht="12.75" hidden="1" customHeight="1" outlineLevel="1">
      <c r="A77" s="22"/>
      <c r="B77" s="22"/>
      <c r="C77" s="751"/>
      <c r="D77" s="512"/>
      <c r="E77" s="512"/>
      <c r="G77" s="958"/>
      <c r="H77" s="958"/>
      <c r="I77" s="958"/>
      <c r="J77" s="958"/>
      <c r="K77" s="960"/>
      <c r="L77" s="958"/>
      <c r="M77" s="958"/>
      <c r="N77" s="958"/>
      <c r="O77" s="958"/>
      <c r="P77" s="958"/>
      <c r="Q77" s="958"/>
      <c r="S77" s="970"/>
      <c r="T77" s="970"/>
      <c r="U77" s="970"/>
      <c r="V77" s="970"/>
      <c r="W77" s="970"/>
      <c r="X77" s="970"/>
      <c r="Y77" s="970"/>
      <c r="Z77" s="970"/>
      <c r="AA77" s="970"/>
      <c r="AB77" s="970"/>
      <c r="AC77" s="970"/>
      <c r="AD77" s="970"/>
      <c r="AE77" s="970"/>
      <c r="AF77" s="970"/>
      <c r="AG77" s="970"/>
      <c r="AH77" s="970"/>
      <c r="AI77" s="970"/>
      <c r="AJ77" s="970"/>
      <c r="AK77" s="970"/>
      <c r="AM77" s="976"/>
      <c r="AN77" s="976"/>
      <c r="AO77" s="976"/>
      <c r="AP77" s="976"/>
      <c r="AQ77" s="976"/>
      <c r="AR77" s="976"/>
      <c r="AS77" s="976"/>
      <c r="AT77" s="976"/>
      <c r="AU77" s="976"/>
      <c r="AV77" s="976"/>
      <c r="AW77" s="976"/>
      <c r="AX77" s="976"/>
      <c r="AY77" s="976"/>
      <c r="AZ77" s="976"/>
      <c r="BA77" s="976"/>
      <c r="BB77" s="976"/>
      <c r="BC77" s="976"/>
      <c r="BD77" s="976"/>
      <c r="BE77" s="976"/>
      <c r="BF77" s="976"/>
      <c r="BH77" s="990"/>
      <c r="BI77" s="990"/>
      <c r="BJ77" s="990"/>
      <c r="BL77" s="515">
        <f t="shared" si="189"/>
        <v>0</v>
      </c>
      <c r="BM77" s="515"/>
      <c r="BN77" s="22"/>
      <c r="BO77" s="1482"/>
      <c r="BP77" s="1482"/>
      <c r="BQ77" s="1482"/>
      <c r="BR77" s="1482"/>
      <c r="BS77" s="1482"/>
      <c r="BT77" s="1482"/>
      <c r="BU77" s="1482"/>
      <c r="BV77" s="1482"/>
      <c r="BW77" s="1482"/>
      <c r="BX77" s="1482"/>
      <c r="BY77" s="1482"/>
      <c r="BZ77" s="1482"/>
      <c r="CA77" s="1482"/>
      <c r="CB77" s="1482"/>
      <c r="CC77" s="1482"/>
      <c r="CD77" s="1482"/>
      <c r="CE77" s="1482"/>
      <c r="CF77" s="1482"/>
      <c r="CG77" s="1482"/>
      <c r="CH77" s="1482"/>
      <c r="CI77" s="1482"/>
      <c r="CJ77" s="1482"/>
      <c r="CK77" s="1482"/>
      <c r="CL77" s="1482"/>
      <c r="CM77" s="1482"/>
      <c r="CN77" s="1482"/>
      <c r="CO77" s="1482"/>
      <c r="CP77" s="1482"/>
      <c r="CQ77" s="1482"/>
      <c r="CR77" s="1482"/>
      <c r="CS77" s="1482"/>
      <c r="CT77" s="1482"/>
      <c r="CU77" s="1482"/>
      <c r="CV77" s="1482"/>
      <c r="CW77" s="1482"/>
      <c r="CX77" s="1482"/>
      <c r="CY77" s="1482"/>
      <c r="CZ77" s="1482"/>
      <c r="DA77" s="1482"/>
      <c r="DB77" s="1482"/>
      <c r="DC77" s="1482"/>
      <c r="DD77" s="1482"/>
      <c r="DE77" s="1482"/>
      <c r="DF77" s="1482"/>
      <c r="DH77" s="838">
        <f t="shared" si="123"/>
        <v>0</v>
      </c>
    </row>
    <row r="78" spans="1:112" s="1488" customFormat="1" ht="12.75" hidden="1" customHeight="1" outlineLevel="1">
      <c r="C78" s="1048" t="s">
        <v>1720</v>
      </c>
      <c r="D78" s="1049" t="s">
        <v>1334</v>
      </c>
      <c r="E78" s="1049"/>
      <c r="F78" s="743"/>
      <c r="G78" s="1050"/>
      <c r="H78" s="1050"/>
      <c r="I78" s="1050"/>
      <c r="J78" s="1050"/>
      <c r="K78" s="1051"/>
      <c r="L78" s="1050"/>
      <c r="M78" s="1050"/>
      <c r="N78" s="1050"/>
      <c r="O78" s="1050"/>
      <c r="P78" s="1050"/>
      <c r="Q78" s="1050"/>
      <c r="R78" s="743"/>
      <c r="S78" s="1052">
        <f ca="1">S$74+S$76</f>
        <v>-382.28449716625596</v>
      </c>
      <c r="T78" s="1052">
        <f ca="1">T$74+T$76</f>
        <v>45.088542056890155</v>
      </c>
      <c r="U78" s="1052"/>
      <c r="V78" s="1052"/>
      <c r="W78" s="1052"/>
      <c r="X78" s="1052"/>
      <c r="Y78" s="1052"/>
      <c r="Z78" s="1052"/>
      <c r="AA78" s="1052"/>
      <c r="AB78" s="1052"/>
      <c r="AC78" s="1052"/>
      <c r="AD78" s="1052"/>
      <c r="AE78" s="1052"/>
      <c r="AF78" s="1052"/>
      <c r="AG78" s="1052"/>
      <c r="AH78" s="1052"/>
      <c r="AI78" s="1052"/>
      <c r="AJ78" s="1052"/>
      <c r="AK78" s="1052"/>
      <c r="AL78" s="743"/>
      <c r="AM78" s="1053"/>
      <c r="AN78" s="1053"/>
      <c r="AO78" s="1053"/>
      <c r="AP78" s="1053"/>
      <c r="AQ78" s="1053"/>
      <c r="AR78" s="1053"/>
      <c r="AS78" s="1053"/>
      <c r="AT78" s="1053"/>
      <c r="AU78" s="1053"/>
      <c r="AV78" s="1053"/>
      <c r="AW78" s="1053"/>
      <c r="AX78" s="1053"/>
      <c r="AY78" s="1053"/>
      <c r="AZ78" s="1053"/>
      <c r="BA78" s="1053"/>
      <c r="BB78" s="1053"/>
      <c r="BC78" s="1053"/>
      <c r="BD78" s="1053"/>
      <c r="BE78" s="1053"/>
      <c r="BF78" s="1053"/>
      <c r="BG78" s="743"/>
      <c r="BH78" s="1054"/>
      <c r="BI78" s="1054"/>
      <c r="BJ78" s="1054"/>
      <c r="BK78" s="743"/>
      <c r="BL78" s="852">
        <f t="shared" si="189"/>
        <v>0</v>
      </c>
      <c r="BM78" s="852"/>
      <c r="BO78" s="1490"/>
      <c r="BP78" s="1490"/>
      <c r="BQ78" s="1490"/>
      <c r="BR78" s="1490"/>
      <c r="BS78" s="1490"/>
      <c r="BT78" s="1490"/>
      <c r="BU78" s="1490"/>
      <c r="BV78" s="1490"/>
      <c r="BW78" s="1490"/>
      <c r="BX78" s="1490"/>
      <c r="BY78" s="1490"/>
      <c r="BZ78" s="1490"/>
      <c r="CA78" s="1490"/>
      <c r="CB78" s="1490"/>
      <c r="CC78" s="1490"/>
      <c r="CD78" s="1490"/>
      <c r="CE78" s="1490"/>
      <c r="CF78" s="1490"/>
      <c r="CG78" s="1490"/>
      <c r="CH78" s="1490"/>
      <c r="CI78" s="1490"/>
      <c r="CJ78" s="1490"/>
      <c r="CK78" s="1490"/>
      <c r="CL78" s="1490"/>
      <c r="CM78" s="1490"/>
      <c r="CN78" s="1490"/>
      <c r="CO78" s="1490"/>
      <c r="CP78" s="1490"/>
      <c r="CQ78" s="1490"/>
      <c r="CR78" s="1490"/>
      <c r="CS78" s="1490"/>
      <c r="CT78" s="1490"/>
      <c r="CU78" s="1490"/>
      <c r="CV78" s="1490"/>
      <c r="CW78" s="1490"/>
      <c r="CX78" s="1490"/>
      <c r="CY78" s="1490"/>
      <c r="CZ78" s="1490"/>
      <c r="DA78" s="1490"/>
      <c r="DB78" s="1490"/>
      <c r="DC78" s="1490"/>
      <c r="DD78" s="1490"/>
      <c r="DE78" s="1490"/>
      <c r="DF78" s="1490"/>
      <c r="DH78" s="838">
        <f t="shared" si="123"/>
        <v>0</v>
      </c>
    </row>
    <row r="79" spans="1:112" s="1484" customFormat="1" ht="12.75" hidden="1" customHeight="1" outlineLevel="1">
      <c r="C79" s="746" t="s">
        <v>878</v>
      </c>
      <c r="D79" s="521" t="str">
        <f>INDEX(Modules[Module], MATCH($C79, Modules[Code], 0))</f>
        <v>Combustion + CCS</v>
      </c>
      <c r="E79" s="521"/>
      <c r="F79" s="743"/>
      <c r="G79" s="2013">
        <f t="shared" ref="G79:P79" ca="1" si="198">IFERROR(INDEX(INDIRECT($C79&amp;".Outputs["&amp;this.Year&amp;"]"), MATCH(G$5, INDIRECT($C79&amp;".Outputs[Vector]"), 0)), 0)</f>
        <v>0</v>
      </c>
      <c r="H79" s="2013">
        <f t="shared" ca="1" si="198"/>
        <v>0</v>
      </c>
      <c r="I79" s="2013">
        <f t="shared" ca="1" si="198"/>
        <v>0</v>
      </c>
      <c r="J79" s="2013">
        <f t="shared" ca="1" si="198"/>
        <v>0</v>
      </c>
      <c r="K79" s="2013">
        <f t="shared" ca="1" si="198"/>
        <v>0</v>
      </c>
      <c r="L79" s="2013">
        <f t="shared" ca="1" si="198"/>
        <v>0</v>
      </c>
      <c r="M79" s="2013">
        <f t="shared" ca="1" si="198"/>
        <v>0</v>
      </c>
      <c r="N79" s="2013">
        <f t="shared" ca="1" si="198"/>
        <v>0</v>
      </c>
      <c r="O79" s="2013">
        <f t="shared" ca="1" si="198"/>
        <v>0</v>
      </c>
      <c r="P79" s="2013">
        <f t="shared" ca="1" si="198"/>
        <v>0</v>
      </c>
      <c r="Q79" s="2014">
        <f ca="1">SUM(G79:P79)</f>
        <v>0</v>
      </c>
      <c r="R79" s="743"/>
      <c r="S79" s="2015">
        <f t="shared" ref="S79:BE79" ca="1" si="199">IFERROR(INDEX(INDIRECT($C79&amp;".Outputs["&amp;this.Year&amp;"]"), MATCH(S$5, INDIRECT($C79&amp;".Outputs[Vector]"), 0)), 0)</f>
        <v>0</v>
      </c>
      <c r="T79" s="2015">
        <f t="shared" ca="1" si="199"/>
        <v>9.3147516000000028</v>
      </c>
      <c r="U79" s="2015">
        <f t="shared" ca="1" si="199"/>
        <v>-27.847737074910828</v>
      </c>
      <c r="V79" s="2015">
        <f t="shared" ca="1" si="199"/>
        <v>0</v>
      </c>
      <c r="W79" s="2015">
        <f t="shared" ca="1" si="199"/>
        <v>0</v>
      </c>
      <c r="X79" s="2015">
        <f ca="1">IFERROR(INDEX(INDIRECT($C79&amp;".Outputs["&amp;this.Year&amp;"]"), MATCH(X$5, INDIRECT($C79&amp;".Outputs[Vector]"), 0)), 0)</f>
        <v>0</v>
      </c>
      <c r="Y79" s="2015">
        <f ca="1">IFERROR(INDEX(INDIRECT($C79&amp;".Outputs["&amp;this.Year&amp;"]"), MATCH(Y$5, INDIRECT($C79&amp;".Outputs[Vector]"), 0)), 0)</f>
        <v>0</v>
      </c>
      <c r="Z79" s="2015">
        <f ca="1">IFERROR(INDEX(INDIRECT($C79&amp;".Outputs["&amp;this.Year&amp;"]"), MATCH(Z$5, INDIRECT($C79&amp;".Outputs[Vector]"), 0)), 0)</f>
        <v>0</v>
      </c>
      <c r="AA79" s="2015">
        <f t="shared" ca="1" si="199"/>
        <v>0</v>
      </c>
      <c r="AB79" s="2015">
        <f t="shared" ca="1" si="199"/>
        <v>0</v>
      </c>
      <c r="AC79" s="2015">
        <f t="shared" ca="1" si="199"/>
        <v>0</v>
      </c>
      <c r="AD79" s="2015">
        <f t="shared" ca="1" si="199"/>
        <v>0</v>
      </c>
      <c r="AE79" s="2015">
        <f t="shared" ca="1" si="199"/>
        <v>0</v>
      </c>
      <c r="AF79" s="2015">
        <f t="shared" ca="1" si="199"/>
        <v>0</v>
      </c>
      <c r="AG79" s="2015">
        <f t="shared" ca="1" si="199"/>
        <v>0</v>
      </c>
      <c r="AH79" s="2015">
        <f t="shared" ca="1" si="199"/>
        <v>0</v>
      </c>
      <c r="AI79" s="2015">
        <f t="shared" ca="1" si="199"/>
        <v>0</v>
      </c>
      <c r="AJ79" s="2015">
        <f t="shared" ca="1" si="199"/>
        <v>0</v>
      </c>
      <c r="AK79" s="2016">
        <f ca="1">SUM(S79:AJ79)</f>
        <v>-18.532985474910824</v>
      </c>
      <c r="AL79" s="743"/>
      <c r="AM79" s="2017">
        <f t="shared" ref="AM79:AU79" ca="1" si="200">IFERROR(INDEX(INDIRECT($C79&amp;".Outputs["&amp;this.Year&amp;"]"), MATCH(AM$5, INDIRECT($C79&amp;".Outputs[Vector]"), 0)), 0)</f>
        <v>0</v>
      </c>
      <c r="AN79" s="2017">
        <f t="shared" ca="1" si="200"/>
        <v>0</v>
      </c>
      <c r="AO79" s="2017">
        <f t="shared" ca="1" si="200"/>
        <v>0</v>
      </c>
      <c r="AP79" s="2017">
        <f t="shared" ca="1" si="200"/>
        <v>0</v>
      </c>
      <c r="AQ79" s="2017">
        <f t="shared" ca="1" si="200"/>
        <v>0</v>
      </c>
      <c r="AR79" s="2017">
        <f t="shared" ca="1" si="200"/>
        <v>0</v>
      </c>
      <c r="AS79" s="2017">
        <f t="shared" ca="1" si="200"/>
        <v>0</v>
      </c>
      <c r="AT79" s="2017">
        <f t="shared" ca="1" si="200"/>
        <v>0</v>
      </c>
      <c r="AU79" s="2017">
        <f t="shared" ca="1" si="200"/>
        <v>0</v>
      </c>
      <c r="AV79" s="2017">
        <f t="shared" ca="1" si="199"/>
        <v>0</v>
      </c>
      <c r="AW79" s="2017">
        <f t="shared" ca="1" si="199"/>
        <v>0</v>
      </c>
      <c r="AX79" s="2017">
        <f t="shared" ca="1" si="199"/>
        <v>0</v>
      </c>
      <c r="AY79" s="2017">
        <f t="shared" ca="1" si="199"/>
        <v>0</v>
      </c>
      <c r="AZ79" s="2017">
        <f t="shared" ca="1" si="199"/>
        <v>0</v>
      </c>
      <c r="BA79" s="2017">
        <f t="shared" ca="1" si="199"/>
        <v>0</v>
      </c>
      <c r="BB79" s="2017">
        <f t="shared" ca="1" si="199"/>
        <v>0</v>
      </c>
      <c r="BC79" s="2017">
        <f t="shared" ca="1" si="199"/>
        <v>0</v>
      </c>
      <c r="BD79" s="2017">
        <f t="shared" ca="1" si="199"/>
        <v>0</v>
      </c>
      <c r="BE79" s="2017">
        <f t="shared" ca="1" si="199"/>
        <v>0</v>
      </c>
      <c r="BF79" s="2018">
        <f ca="1">SUM(AM79:BE79)</f>
        <v>0</v>
      </c>
      <c r="BG79" s="743"/>
      <c r="BH79" s="2019">
        <f ca="1">IFERROR(INDEX(INDIRECT($C79&amp;".Outputs["&amp;this.Year&amp;"]"), MATCH(BH$5, INDIRECT($C79&amp;".Outputs[Vector]"), 0)), 0)</f>
        <v>14.999803833531514</v>
      </c>
      <c r="BI79" s="2019">
        <f ca="1">IFERROR(INDEX(INDIRECT($C79&amp;".Outputs["&amp;this.Year&amp;"]"), MATCH(BI$5, INDIRECT($C79&amp;".Outputs[Vector]"), 0)), 0)</f>
        <v>3.5331816413793113</v>
      </c>
      <c r="BJ79" s="2020">
        <f ca="1">SUM(BH79:BI79)</f>
        <v>18.532985474910824</v>
      </c>
      <c r="BK79" s="743"/>
      <c r="BL79" s="814">
        <f t="shared" ca="1" si="189"/>
        <v>0</v>
      </c>
      <c r="BM79" s="814"/>
      <c r="BN79" s="840"/>
      <c r="BO79" s="1481">
        <f t="shared" ref="BO79:DF79" ca="1" si="201">IFERROR(SUMIFS(INDIRECT($C79&amp;".Emissions["&amp;this.Year&amp;"]"), INDIRECT($C79&amp;".Emissions[GHG]"), BO$6, INDIRECT($C79&amp;".Emissions[IPCC Sector]"), BO$5),0)</f>
        <v>8.577103019072533</v>
      </c>
      <c r="BP79" s="1482">
        <f t="shared" ca="1" si="201"/>
        <v>2.5196429109311341E-2</v>
      </c>
      <c r="BQ79" s="1482">
        <f t="shared" ca="1" si="201"/>
        <v>7.5980382343607406E-2</v>
      </c>
      <c r="BR79" s="1482">
        <f t="shared" ca="1" si="201"/>
        <v>0</v>
      </c>
      <c r="BS79" s="1482">
        <f t="shared" ca="1" si="201"/>
        <v>0</v>
      </c>
      <c r="BT79" s="1482">
        <f t="shared" ca="1" si="201"/>
        <v>0</v>
      </c>
      <c r="BU79" s="1482">
        <f t="shared" ca="1" si="201"/>
        <v>0</v>
      </c>
      <c r="BV79" s="1482">
        <f t="shared" ca="1" si="201"/>
        <v>0</v>
      </c>
      <c r="BW79" s="1482">
        <f t="shared" ca="1" si="201"/>
        <v>0</v>
      </c>
      <c r="BX79" s="1482">
        <f t="shared" ca="1" si="201"/>
        <v>0</v>
      </c>
      <c r="BY79" s="1482">
        <f t="shared" ca="1" si="201"/>
        <v>0</v>
      </c>
      <c r="BZ79" s="1482">
        <f t="shared" ca="1" si="201"/>
        <v>0</v>
      </c>
      <c r="CA79" s="1482">
        <f t="shared" ca="1" si="201"/>
        <v>0</v>
      </c>
      <c r="CB79" s="1482">
        <f t="shared" ca="1" si="201"/>
        <v>0</v>
      </c>
      <c r="CC79" s="1482">
        <f t="shared" ca="1" si="201"/>
        <v>0</v>
      </c>
      <c r="CD79" s="1482">
        <f t="shared" ca="1" si="201"/>
        <v>0</v>
      </c>
      <c r="CE79" s="1482">
        <f t="shared" ca="1" si="201"/>
        <v>0</v>
      </c>
      <c r="CF79" s="1482">
        <f t="shared" ca="1" si="201"/>
        <v>0</v>
      </c>
      <c r="CG79" s="1482">
        <f t="shared" ca="1" si="201"/>
        <v>0</v>
      </c>
      <c r="CH79" s="1482">
        <f t="shared" ca="1" si="201"/>
        <v>0</v>
      </c>
      <c r="CI79" s="1482">
        <f t="shared" ca="1" si="201"/>
        <v>0</v>
      </c>
      <c r="CJ79" s="1482">
        <f t="shared" ca="1" si="201"/>
        <v>0</v>
      </c>
      <c r="CK79" s="1482">
        <f t="shared" ca="1" si="201"/>
        <v>0</v>
      </c>
      <c r="CL79" s="1482">
        <f t="shared" ca="1" si="201"/>
        <v>0</v>
      </c>
      <c r="CM79" s="1482">
        <f t="shared" ca="1" si="201"/>
        <v>0</v>
      </c>
      <c r="CN79" s="1482">
        <f t="shared" ca="1" si="201"/>
        <v>0</v>
      </c>
      <c r="CO79" s="1482">
        <f t="shared" ca="1" si="201"/>
        <v>0</v>
      </c>
      <c r="CP79" s="1482">
        <f t="shared" ca="1" si="201"/>
        <v>0</v>
      </c>
      <c r="CQ79" s="1482">
        <f t="shared" ca="1" si="201"/>
        <v>0</v>
      </c>
      <c r="CR79" s="1482">
        <f t="shared" ca="1" si="201"/>
        <v>0</v>
      </c>
      <c r="CS79" s="1482">
        <f t="shared" ca="1" si="201"/>
        <v>0</v>
      </c>
      <c r="CT79" s="1482">
        <f t="shared" ca="1" si="201"/>
        <v>0</v>
      </c>
      <c r="CU79" s="1482">
        <f t="shared" ca="1" si="201"/>
        <v>0</v>
      </c>
      <c r="CV79" s="1482">
        <f t="shared" ca="1" si="201"/>
        <v>0</v>
      </c>
      <c r="CW79" s="1482">
        <f t="shared" ca="1" si="201"/>
        <v>0</v>
      </c>
      <c r="CX79" s="1482">
        <f t="shared" ca="1" si="201"/>
        <v>0</v>
      </c>
      <c r="CY79" s="1482">
        <f t="shared" ca="1" si="201"/>
        <v>0</v>
      </c>
      <c r="CZ79" s="1482">
        <f t="shared" ca="1" si="201"/>
        <v>0</v>
      </c>
      <c r="DA79" s="1482">
        <f t="shared" ca="1" si="201"/>
        <v>0</v>
      </c>
      <c r="DB79" s="1482">
        <f t="shared" ca="1" si="201"/>
        <v>0</v>
      </c>
      <c r="DC79" s="1482">
        <f t="shared" ca="1" si="201"/>
        <v>-7.7193927171652801</v>
      </c>
      <c r="DD79" s="1482">
        <f t="shared" ca="1" si="201"/>
        <v>0</v>
      </c>
      <c r="DE79" s="1482">
        <f t="shared" ca="1" si="201"/>
        <v>0</v>
      </c>
      <c r="DF79" s="1482">
        <f t="shared" ca="1" si="201"/>
        <v>0</v>
      </c>
      <c r="DH79" s="838">
        <f t="shared" ca="1" si="123"/>
        <v>0.95888711336017085</v>
      </c>
    </row>
    <row r="80" spans="1:112" s="1491" customFormat="1" ht="12.75" hidden="1" customHeight="1" outlineLevel="1">
      <c r="C80" s="1534" t="s">
        <v>1721</v>
      </c>
      <c r="D80" s="1049" t="s">
        <v>1334</v>
      </c>
      <c r="E80" s="1535"/>
      <c r="F80" s="1957"/>
      <c r="G80" s="1070"/>
      <c r="H80" s="1070"/>
      <c r="I80" s="1070"/>
      <c r="J80" s="1070"/>
      <c r="K80" s="1071"/>
      <c r="L80" s="1070"/>
      <c r="M80" s="1070"/>
      <c r="N80" s="1070"/>
      <c r="O80" s="1070"/>
      <c r="P80" s="1070"/>
      <c r="Q80" s="1070"/>
      <c r="R80" s="1957"/>
      <c r="S80" s="1072">
        <f ca="1">S78+S79</f>
        <v>-382.28449716625596</v>
      </c>
      <c r="T80" s="1072">
        <f ca="1">T78+T79</f>
        <v>54.403293656890156</v>
      </c>
      <c r="U80" s="1072"/>
      <c r="V80" s="1072"/>
      <c r="W80" s="1072"/>
      <c r="X80" s="1072"/>
      <c r="Y80" s="1072"/>
      <c r="Z80" s="1072"/>
      <c r="AA80" s="1072"/>
      <c r="AB80" s="1072"/>
      <c r="AC80" s="1072"/>
      <c r="AD80" s="1072"/>
      <c r="AE80" s="1072"/>
      <c r="AF80" s="1072"/>
      <c r="AG80" s="1072"/>
      <c r="AH80" s="1072"/>
      <c r="AI80" s="1072"/>
      <c r="AJ80" s="1072"/>
      <c r="AK80" s="1072"/>
      <c r="AL80" s="1957"/>
      <c r="AM80" s="1073"/>
      <c r="AN80" s="1073"/>
      <c r="AO80" s="1073"/>
      <c r="AP80" s="1073"/>
      <c r="AQ80" s="1073"/>
      <c r="AR80" s="1073"/>
      <c r="AS80" s="1073"/>
      <c r="AT80" s="1073"/>
      <c r="AU80" s="1073"/>
      <c r="AV80" s="1073"/>
      <c r="AW80" s="1073"/>
      <c r="AX80" s="1073"/>
      <c r="AY80" s="1073"/>
      <c r="AZ80" s="1073"/>
      <c r="BA80" s="1073"/>
      <c r="BB80" s="1073"/>
      <c r="BC80" s="1073"/>
      <c r="BD80" s="1073"/>
      <c r="BE80" s="1073"/>
      <c r="BF80" s="1073"/>
      <c r="BG80" s="1957"/>
      <c r="BH80" s="1074"/>
      <c r="BI80" s="1074"/>
      <c r="BJ80" s="1074"/>
      <c r="BK80" s="1957"/>
      <c r="BL80" s="1536">
        <f t="shared" si="189"/>
        <v>0</v>
      </c>
      <c r="BM80" s="1536"/>
      <c r="BO80" s="1963"/>
      <c r="BP80" s="1963"/>
      <c r="BQ80" s="1963"/>
      <c r="BR80" s="1963"/>
      <c r="BS80" s="1963"/>
      <c r="BT80" s="1963"/>
      <c r="BU80" s="1963"/>
      <c r="BV80" s="1963"/>
      <c r="BW80" s="1963"/>
      <c r="BX80" s="1963"/>
      <c r="BY80" s="1963"/>
      <c r="BZ80" s="1963"/>
      <c r="CA80" s="1963"/>
      <c r="CB80" s="1963"/>
      <c r="CC80" s="1963"/>
      <c r="CD80" s="1963"/>
      <c r="CE80" s="1963"/>
      <c r="CF80" s="1963"/>
      <c r="CG80" s="1963"/>
      <c r="CH80" s="1963"/>
      <c r="CI80" s="1963"/>
      <c r="CJ80" s="1963"/>
      <c r="CK80" s="1963"/>
      <c r="CL80" s="1963"/>
      <c r="CM80" s="1963"/>
      <c r="CN80" s="1963"/>
      <c r="CO80" s="1963"/>
      <c r="CP80" s="1963"/>
      <c r="CQ80" s="1963"/>
      <c r="CR80" s="1963"/>
      <c r="CS80" s="1963"/>
      <c r="CT80" s="1963"/>
      <c r="CU80" s="1963"/>
      <c r="CV80" s="1963"/>
      <c r="CW80" s="1963"/>
      <c r="CX80" s="1963"/>
      <c r="CY80" s="1963"/>
      <c r="CZ80" s="1963"/>
      <c r="DA80" s="1963"/>
      <c r="DB80" s="1963"/>
      <c r="DC80" s="1963"/>
      <c r="DD80" s="1963"/>
      <c r="DE80" s="1963"/>
      <c r="DF80" s="1963"/>
      <c r="DH80" s="1962">
        <f t="shared" si="123"/>
        <v>0</v>
      </c>
    </row>
    <row r="81" spans="1:112" s="1484" customFormat="1" ht="12.75" hidden="1" customHeight="1" outlineLevel="1">
      <c r="C81" s="746" t="s">
        <v>742</v>
      </c>
      <c r="D81" s="521" t="str">
        <f>INDEX(Modules[Module], MATCH($C81, Modules[Code], 0))</f>
        <v>Conventional thermal plant</v>
      </c>
      <c r="E81" s="521"/>
      <c r="F81" s="743"/>
      <c r="G81" s="1022">
        <f t="shared" ref="G81:P81" ca="1" si="202">IFERROR(INDEX(INDIRECT($C81&amp;".Outputs["&amp;this.Year&amp;"]"), MATCH(G$5, INDIRECT($C81&amp;".Outputs[Vector]"), 0)), 0)</f>
        <v>0</v>
      </c>
      <c r="H81" s="1022">
        <f t="shared" ca="1" si="202"/>
        <v>0</v>
      </c>
      <c r="I81" s="1022">
        <f t="shared" ca="1" si="202"/>
        <v>0</v>
      </c>
      <c r="J81" s="1022">
        <f t="shared" ca="1" si="202"/>
        <v>0</v>
      </c>
      <c r="K81" s="1022">
        <f t="shared" ca="1" si="202"/>
        <v>0</v>
      </c>
      <c r="L81" s="1022">
        <f t="shared" ca="1" si="202"/>
        <v>0</v>
      </c>
      <c r="M81" s="1022">
        <f t="shared" ca="1" si="202"/>
        <v>0</v>
      </c>
      <c r="N81" s="1022">
        <f t="shared" ca="1" si="202"/>
        <v>0</v>
      </c>
      <c r="O81" s="1022">
        <f t="shared" ca="1" si="202"/>
        <v>0</v>
      </c>
      <c r="P81" s="1022">
        <f t="shared" ca="1" si="202"/>
        <v>0</v>
      </c>
      <c r="Q81" s="1020">
        <f ca="1">SUM(G81:P81)</f>
        <v>0</v>
      </c>
      <c r="R81" s="743"/>
      <c r="S81" s="1031">
        <f t="shared" ref="S81:BE81" ca="1" si="203">IFERROR(INDEX(INDIRECT($C81&amp;".Outputs["&amp;this.Year&amp;"]"), MATCH(S$5, INDIRECT($C81&amp;".Outputs[Vector]"), 0)), 0)</f>
        <v>0</v>
      </c>
      <c r="T81" s="1031">
        <f t="shared" ca="1" si="203"/>
        <v>327.88120350936583</v>
      </c>
      <c r="U81" s="1031">
        <f t="shared" ca="1" si="203"/>
        <v>-135.03497039999999</v>
      </c>
      <c r="V81" s="1031">
        <f t="shared" ca="1" si="203"/>
        <v>0</v>
      </c>
      <c r="W81" s="1031">
        <f t="shared" ca="1" si="203"/>
        <v>-577.05387528710639</v>
      </c>
      <c r="X81" s="1031">
        <f ca="1">IFERROR(INDEX(INDIRECT($C81&amp;".Outputs["&amp;this.Year&amp;"]"), MATCH(X$5, INDIRECT($C81&amp;".Outputs[Vector]"), 0)), 0)</f>
        <v>0</v>
      </c>
      <c r="Y81" s="1031">
        <f ca="1">IFERROR(INDEX(INDIRECT($C81&amp;".Outputs["&amp;this.Year&amp;"]"), MATCH(Y$5, INDIRECT($C81&amp;".Outputs[Vector]"), 0)), 0)</f>
        <v>0</v>
      </c>
      <c r="Z81" s="1031">
        <f ca="1">IFERROR(INDEX(INDIRECT($C81&amp;".Outputs["&amp;this.Year&amp;"]"), MATCH(Z$5, INDIRECT($C81&amp;".Outputs[Vector]"), 0)), 0)</f>
        <v>0</v>
      </c>
      <c r="AA81" s="1031">
        <f t="shared" ca="1" si="203"/>
        <v>0</v>
      </c>
      <c r="AB81" s="1031">
        <f t="shared" ca="1" si="203"/>
        <v>0</v>
      </c>
      <c r="AC81" s="1031">
        <f t="shared" ca="1" si="203"/>
        <v>0</v>
      </c>
      <c r="AD81" s="1031">
        <f t="shared" ca="1" si="203"/>
        <v>0</v>
      </c>
      <c r="AE81" s="1031">
        <f t="shared" ca="1" si="203"/>
        <v>0</v>
      </c>
      <c r="AF81" s="1031">
        <f t="shared" ca="1" si="203"/>
        <v>0</v>
      </c>
      <c r="AG81" s="1031">
        <f t="shared" ca="1" si="203"/>
        <v>0</v>
      </c>
      <c r="AH81" s="1031">
        <f t="shared" ca="1" si="203"/>
        <v>0</v>
      </c>
      <c r="AI81" s="1031">
        <f t="shared" ca="1" si="203"/>
        <v>0</v>
      </c>
      <c r="AJ81" s="1031">
        <f t="shared" ca="1" si="203"/>
        <v>0</v>
      </c>
      <c r="AK81" s="1030">
        <f ca="1">SUM(S81:AJ81)</f>
        <v>-384.20764217774058</v>
      </c>
      <c r="AL81" s="743"/>
      <c r="AM81" s="1042">
        <f t="shared" ref="AM81:AU81" ca="1" si="204">IFERROR(INDEX(INDIRECT($C81&amp;".Outputs["&amp;this.Year&amp;"]"), MATCH(AM$5, INDIRECT($C81&amp;".Outputs[Vector]"), 0)), 0)</f>
        <v>0</v>
      </c>
      <c r="AN81" s="1042">
        <f t="shared" ca="1" si="204"/>
        <v>0</v>
      </c>
      <c r="AO81" s="1042">
        <f t="shared" ca="1" si="204"/>
        <v>0</v>
      </c>
      <c r="AP81" s="1042">
        <f t="shared" ca="1" si="204"/>
        <v>0</v>
      </c>
      <c r="AQ81" s="1042">
        <f t="shared" ca="1" si="204"/>
        <v>0</v>
      </c>
      <c r="AR81" s="1042">
        <f t="shared" ca="1" si="204"/>
        <v>0</v>
      </c>
      <c r="AS81" s="1042">
        <f t="shared" ca="1" si="204"/>
        <v>0</v>
      </c>
      <c r="AT81" s="1042">
        <f t="shared" ca="1" si="204"/>
        <v>0</v>
      </c>
      <c r="AU81" s="1042">
        <f t="shared" ca="1" si="204"/>
        <v>0</v>
      </c>
      <c r="AV81" s="1042">
        <f t="shared" ca="1" si="203"/>
        <v>0</v>
      </c>
      <c r="AW81" s="1042">
        <f t="shared" ca="1" si="203"/>
        <v>0</v>
      </c>
      <c r="AX81" s="1042">
        <f t="shared" ca="1" si="203"/>
        <v>0</v>
      </c>
      <c r="AY81" s="1042">
        <f t="shared" ca="1" si="203"/>
        <v>0</v>
      </c>
      <c r="AZ81" s="1042">
        <f t="shared" ca="1" si="203"/>
        <v>0</v>
      </c>
      <c r="BA81" s="1042">
        <f t="shared" ca="1" si="203"/>
        <v>0</v>
      </c>
      <c r="BB81" s="1042">
        <f t="shared" ca="1" si="203"/>
        <v>0</v>
      </c>
      <c r="BC81" s="1042">
        <f t="shared" ca="1" si="203"/>
        <v>0</v>
      </c>
      <c r="BD81" s="1042">
        <f t="shared" ca="1" si="203"/>
        <v>0</v>
      </c>
      <c r="BE81" s="1042">
        <f t="shared" ca="1" si="203"/>
        <v>0</v>
      </c>
      <c r="BF81" s="1012">
        <f ca="1">SUM(AM81:BE81)</f>
        <v>0</v>
      </c>
      <c r="BG81" s="743"/>
      <c r="BH81" s="1036">
        <f ca="1">IFERROR(INDEX(INDIRECT($C81&amp;".Outputs["&amp;this.Year&amp;"]"), MATCH(BH$5, INDIRECT($C81&amp;".Outputs[Vector]"), 0)), 0)</f>
        <v>376.2996684035532</v>
      </c>
      <c r="BI81" s="1036">
        <f ca="1">IFERROR(INDEX(INDIRECT($C81&amp;".Outputs["&amp;this.Year&amp;"]"), MATCH(BI$5, INDIRECT($C81&amp;".Outputs[Vector]"), 0)), 0)</f>
        <v>7.9079737741873171</v>
      </c>
      <c r="BJ81" s="1035">
        <f ca="1">SUM(BH81:BI81)</f>
        <v>384.20764217774052</v>
      </c>
      <c r="BK81" s="743"/>
      <c r="BL81" s="814">
        <f t="shared" ref="BL81:BL87" ca="1" si="205">Q81+AK81+BF81+BJ81</f>
        <v>0</v>
      </c>
      <c r="BM81" s="814"/>
      <c r="BN81" s="840"/>
      <c r="BO81" s="1485">
        <f t="shared" ref="BO81:DF81" ca="1" si="206">IFERROR(SUMIFS(INDIRECT($C81&amp;".Emissions["&amp;this.Year&amp;"]"), INDIRECT($C81&amp;".Emissions[GHG]"), BO$6, INDIRECT($C81&amp;".Emissions[IPCC Sector]"), BO$5),0)</f>
        <v>147.76868393602754</v>
      </c>
      <c r="BP81" s="1486">
        <f t="shared" ca="1" si="206"/>
        <v>0.3350107641950692</v>
      </c>
      <c r="BQ81" s="1486">
        <f t="shared" ca="1" si="206"/>
        <v>0.59734368337923782</v>
      </c>
      <c r="BR81" s="1486">
        <f t="shared" ca="1" si="206"/>
        <v>0</v>
      </c>
      <c r="BS81" s="1486">
        <f t="shared" ca="1" si="206"/>
        <v>0</v>
      </c>
      <c r="BT81" s="1486">
        <f t="shared" ca="1" si="206"/>
        <v>0</v>
      </c>
      <c r="BU81" s="1486">
        <f t="shared" ca="1" si="206"/>
        <v>0</v>
      </c>
      <c r="BV81" s="1486">
        <f t="shared" ca="1" si="206"/>
        <v>0</v>
      </c>
      <c r="BW81" s="1486">
        <f t="shared" ca="1" si="206"/>
        <v>0</v>
      </c>
      <c r="BX81" s="1486">
        <f t="shared" ca="1" si="206"/>
        <v>0</v>
      </c>
      <c r="BY81" s="1486">
        <f t="shared" ca="1" si="206"/>
        <v>0</v>
      </c>
      <c r="BZ81" s="1486">
        <f t="shared" ca="1" si="206"/>
        <v>0</v>
      </c>
      <c r="CA81" s="1486">
        <f t="shared" ca="1" si="206"/>
        <v>0</v>
      </c>
      <c r="CB81" s="1486">
        <f t="shared" ca="1" si="206"/>
        <v>0</v>
      </c>
      <c r="CC81" s="1486">
        <f t="shared" ca="1" si="206"/>
        <v>0</v>
      </c>
      <c r="CD81" s="1486">
        <f t="shared" ca="1" si="206"/>
        <v>0</v>
      </c>
      <c r="CE81" s="1486">
        <f t="shared" ca="1" si="206"/>
        <v>0</v>
      </c>
      <c r="CF81" s="1486">
        <f t="shared" ca="1" si="206"/>
        <v>0</v>
      </c>
      <c r="CG81" s="1486">
        <f t="shared" ca="1" si="206"/>
        <v>0</v>
      </c>
      <c r="CH81" s="1486">
        <f t="shared" ca="1" si="206"/>
        <v>0</v>
      </c>
      <c r="CI81" s="1486">
        <f t="shared" ca="1" si="206"/>
        <v>0</v>
      </c>
      <c r="CJ81" s="1486">
        <f t="shared" ca="1" si="206"/>
        <v>0</v>
      </c>
      <c r="CK81" s="1486">
        <f t="shared" ca="1" si="206"/>
        <v>0</v>
      </c>
      <c r="CL81" s="1486">
        <f t="shared" ca="1" si="206"/>
        <v>0</v>
      </c>
      <c r="CM81" s="1486">
        <f t="shared" ca="1" si="206"/>
        <v>0</v>
      </c>
      <c r="CN81" s="1486">
        <f t="shared" ca="1" si="206"/>
        <v>0</v>
      </c>
      <c r="CO81" s="1486">
        <f t="shared" ca="1" si="206"/>
        <v>0</v>
      </c>
      <c r="CP81" s="1486">
        <f t="shared" ca="1" si="206"/>
        <v>0</v>
      </c>
      <c r="CQ81" s="1486">
        <f t="shared" ca="1" si="206"/>
        <v>0</v>
      </c>
      <c r="CR81" s="1486">
        <f t="shared" ca="1" si="206"/>
        <v>0</v>
      </c>
      <c r="CS81" s="1486">
        <f t="shared" ca="1" si="206"/>
        <v>0</v>
      </c>
      <c r="CT81" s="1486">
        <f t="shared" ca="1" si="206"/>
        <v>0</v>
      </c>
      <c r="CU81" s="1486">
        <f t="shared" ca="1" si="206"/>
        <v>0</v>
      </c>
      <c r="CV81" s="1486">
        <f t="shared" ca="1" si="206"/>
        <v>0</v>
      </c>
      <c r="CW81" s="1486">
        <f t="shared" ca="1" si="206"/>
        <v>0</v>
      </c>
      <c r="CX81" s="1486">
        <f t="shared" ca="1" si="206"/>
        <v>0</v>
      </c>
      <c r="CY81" s="1486">
        <f t="shared" ca="1" si="206"/>
        <v>0</v>
      </c>
      <c r="CZ81" s="1486">
        <f t="shared" ca="1" si="206"/>
        <v>0</v>
      </c>
      <c r="DA81" s="1486">
        <f t="shared" ca="1" si="206"/>
        <v>0</v>
      </c>
      <c r="DB81" s="1486">
        <f t="shared" ca="1" si="206"/>
        <v>0</v>
      </c>
      <c r="DC81" s="1486">
        <f t="shared" ca="1" si="206"/>
        <v>0</v>
      </c>
      <c r="DD81" s="1486">
        <f t="shared" ca="1" si="206"/>
        <v>0</v>
      </c>
      <c r="DE81" s="1486">
        <f t="shared" ca="1" si="206"/>
        <v>0</v>
      </c>
      <c r="DF81" s="1486">
        <f t="shared" ca="1" si="206"/>
        <v>0</v>
      </c>
      <c r="DH81" s="838">
        <f t="shared" ca="1" si="123"/>
        <v>148.70103838360185</v>
      </c>
    </row>
    <row r="82" spans="1:112" s="743" customFormat="1" ht="15.75" collapsed="1">
      <c r="A82" s="22"/>
      <c r="B82" s="753"/>
      <c r="C82" s="744" t="s">
        <v>74</v>
      </c>
      <c r="D82" s="517" t="str">
        <f>INDEX(Workstreams[Workstream], MATCH($C82, Workstreams[Code], 0))</f>
        <v>Hydrocarbon fuel power generation</v>
      </c>
      <c r="E82" s="512"/>
      <c r="G82" s="1021">
        <f t="shared" ref="G82:P82" ca="1" si="207">G79+G81</f>
        <v>0</v>
      </c>
      <c r="H82" s="1021">
        <f t="shared" ca="1" si="207"/>
        <v>0</v>
      </c>
      <c r="I82" s="1021">
        <f t="shared" ca="1" si="207"/>
        <v>0</v>
      </c>
      <c r="J82" s="1021">
        <f t="shared" ca="1" si="207"/>
        <v>0</v>
      </c>
      <c r="K82" s="1021">
        <f t="shared" ca="1" si="207"/>
        <v>0</v>
      </c>
      <c r="L82" s="1021">
        <f t="shared" ca="1" si="207"/>
        <v>0</v>
      </c>
      <c r="M82" s="1021">
        <f t="shared" ca="1" si="207"/>
        <v>0</v>
      </c>
      <c r="N82" s="1021">
        <f t="shared" ca="1" si="207"/>
        <v>0</v>
      </c>
      <c r="O82" s="1021">
        <f t="shared" ca="1" si="207"/>
        <v>0</v>
      </c>
      <c r="P82" s="1021">
        <f t="shared" ca="1" si="207"/>
        <v>0</v>
      </c>
      <c r="Q82" s="1021">
        <f ca="1">SUM(G82:P82)</f>
        <v>0</v>
      </c>
      <c r="S82" s="970">
        <f t="shared" ref="S82:AJ82" ca="1" si="208">S79+S81</f>
        <v>0</v>
      </c>
      <c r="T82" s="970">
        <f t="shared" ca="1" si="208"/>
        <v>337.19595510936585</v>
      </c>
      <c r="U82" s="970">
        <f t="shared" ca="1" si="208"/>
        <v>-162.88270747491083</v>
      </c>
      <c r="V82" s="970">
        <f t="shared" ca="1" si="208"/>
        <v>0</v>
      </c>
      <c r="W82" s="970">
        <f t="shared" ca="1" si="208"/>
        <v>-577.05387528710639</v>
      </c>
      <c r="X82" s="970">
        <f t="shared" ca="1" si="208"/>
        <v>0</v>
      </c>
      <c r="Y82" s="970">
        <f t="shared" ca="1" si="208"/>
        <v>0</v>
      </c>
      <c r="Z82" s="970">
        <f t="shared" ca="1" si="208"/>
        <v>0</v>
      </c>
      <c r="AA82" s="970">
        <f t="shared" ca="1" si="208"/>
        <v>0</v>
      </c>
      <c r="AB82" s="970">
        <f t="shared" ca="1" si="208"/>
        <v>0</v>
      </c>
      <c r="AC82" s="970">
        <f t="shared" ca="1" si="208"/>
        <v>0</v>
      </c>
      <c r="AD82" s="970">
        <f ca="1">AD79+AD81</f>
        <v>0</v>
      </c>
      <c r="AE82" s="970">
        <f ca="1">AE79+AE81</f>
        <v>0</v>
      </c>
      <c r="AF82" s="970">
        <f t="shared" ca="1" si="208"/>
        <v>0</v>
      </c>
      <c r="AG82" s="970">
        <f t="shared" ca="1" si="208"/>
        <v>0</v>
      </c>
      <c r="AH82" s="970">
        <f ca="1">AH79+AH81</f>
        <v>0</v>
      </c>
      <c r="AI82" s="970">
        <f t="shared" ca="1" si="208"/>
        <v>0</v>
      </c>
      <c r="AJ82" s="970">
        <f t="shared" ca="1" si="208"/>
        <v>0</v>
      </c>
      <c r="AK82" s="970">
        <f ca="1">SUM(S82:AJ82)</f>
        <v>-402.74062765265137</v>
      </c>
      <c r="AM82" s="976">
        <f t="shared" ref="AM82:BE82" ca="1" si="209">AM79+AM81</f>
        <v>0</v>
      </c>
      <c r="AN82" s="976">
        <f t="shared" ca="1" si="209"/>
        <v>0</v>
      </c>
      <c r="AO82" s="976">
        <f t="shared" ca="1" si="209"/>
        <v>0</v>
      </c>
      <c r="AP82" s="976">
        <f t="shared" ca="1" si="209"/>
        <v>0</v>
      </c>
      <c r="AQ82" s="976">
        <f t="shared" ca="1" si="209"/>
        <v>0</v>
      </c>
      <c r="AR82" s="976">
        <f t="shared" ca="1" si="209"/>
        <v>0</v>
      </c>
      <c r="AS82" s="976">
        <f t="shared" ca="1" si="209"/>
        <v>0</v>
      </c>
      <c r="AT82" s="976">
        <f t="shared" ca="1" si="209"/>
        <v>0</v>
      </c>
      <c r="AU82" s="976">
        <f t="shared" ca="1" si="209"/>
        <v>0</v>
      </c>
      <c r="AV82" s="976">
        <f t="shared" ca="1" si="209"/>
        <v>0</v>
      </c>
      <c r="AW82" s="976">
        <f t="shared" ca="1" si="209"/>
        <v>0</v>
      </c>
      <c r="AX82" s="976">
        <f t="shared" ca="1" si="209"/>
        <v>0</v>
      </c>
      <c r="AY82" s="976">
        <f t="shared" ca="1" si="209"/>
        <v>0</v>
      </c>
      <c r="AZ82" s="976">
        <f t="shared" ca="1" si="209"/>
        <v>0</v>
      </c>
      <c r="BA82" s="976">
        <f t="shared" ca="1" si="209"/>
        <v>0</v>
      </c>
      <c r="BB82" s="976">
        <f t="shared" ca="1" si="209"/>
        <v>0</v>
      </c>
      <c r="BC82" s="976">
        <f t="shared" ca="1" si="209"/>
        <v>0</v>
      </c>
      <c r="BD82" s="976">
        <f t="shared" ca="1" si="209"/>
        <v>0</v>
      </c>
      <c r="BE82" s="976">
        <f t="shared" ca="1" si="209"/>
        <v>0</v>
      </c>
      <c r="BF82" s="976">
        <f ca="1">SUM(AM82:BE82)</f>
        <v>0</v>
      </c>
      <c r="BH82" s="990">
        <f ca="1">BH79+BH81</f>
        <v>391.29947223708473</v>
      </c>
      <c r="BI82" s="990">
        <f ca="1">BI79+BI81</f>
        <v>11.441155415566628</v>
      </c>
      <c r="BJ82" s="990">
        <f ca="1">SUM(BH82:BI82)</f>
        <v>402.74062765265137</v>
      </c>
      <c r="BL82" s="515">
        <f t="shared" ca="1" si="205"/>
        <v>0</v>
      </c>
      <c r="BM82" s="515"/>
      <c r="BN82" s="840"/>
      <c r="BO82" s="1482">
        <f t="shared" ref="BO82:DF82" ca="1" si="210">BO79+BO81</f>
        <v>156.34578695510007</v>
      </c>
      <c r="BP82" s="1482">
        <f t="shared" ca="1" si="210"/>
        <v>0.36020719330438056</v>
      </c>
      <c r="BQ82" s="1482">
        <f t="shared" ca="1" si="210"/>
        <v>0.6733240657228452</v>
      </c>
      <c r="BR82" s="1482">
        <f t="shared" ca="1" si="210"/>
        <v>0</v>
      </c>
      <c r="BS82" s="1482">
        <f t="shared" ca="1" si="210"/>
        <v>0</v>
      </c>
      <c r="BT82" s="1482">
        <f t="shared" ca="1" si="210"/>
        <v>0</v>
      </c>
      <c r="BU82" s="1482">
        <f t="shared" ca="1" si="210"/>
        <v>0</v>
      </c>
      <c r="BV82" s="1482">
        <f t="shared" ca="1" si="210"/>
        <v>0</v>
      </c>
      <c r="BW82" s="1482">
        <f t="shared" ca="1" si="210"/>
        <v>0</v>
      </c>
      <c r="BX82" s="1482">
        <f t="shared" ca="1" si="210"/>
        <v>0</v>
      </c>
      <c r="BY82" s="1482">
        <f t="shared" ca="1" si="210"/>
        <v>0</v>
      </c>
      <c r="BZ82" s="1482">
        <f t="shared" ca="1" si="210"/>
        <v>0</v>
      </c>
      <c r="CA82" s="1482">
        <f t="shared" ca="1" si="210"/>
        <v>0</v>
      </c>
      <c r="CB82" s="1482">
        <f t="shared" ca="1" si="210"/>
        <v>0</v>
      </c>
      <c r="CC82" s="1482">
        <f t="shared" ca="1" si="210"/>
        <v>0</v>
      </c>
      <c r="CD82" s="1482">
        <f t="shared" ca="1" si="210"/>
        <v>0</v>
      </c>
      <c r="CE82" s="1482">
        <f t="shared" ca="1" si="210"/>
        <v>0</v>
      </c>
      <c r="CF82" s="1482">
        <f t="shared" ca="1" si="210"/>
        <v>0</v>
      </c>
      <c r="CG82" s="1482">
        <f t="shared" ca="1" si="210"/>
        <v>0</v>
      </c>
      <c r="CH82" s="1482">
        <f t="shared" ca="1" si="210"/>
        <v>0</v>
      </c>
      <c r="CI82" s="1482">
        <f t="shared" ca="1" si="210"/>
        <v>0</v>
      </c>
      <c r="CJ82" s="1482">
        <f t="shared" ca="1" si="210"/>
        <v>0</v>
      </c>
      <c r="CK82" s="1482">
        <f t="shared" ca="1" si="210"/>
        <v>0</v>
      </c>
      <c r="CL82" s="1482">
        <f t="shared" ca="1" si="210"/>
        <v>0</v>
      </c>
      <c r="CM82" s="1482">
        <f t="shared" ca="1" si="210"/>
        <v>0</v>
      </c>
      <c r="CN82" s="1482">
        <f t="shared" ca="1" si="210"/>
        <v>0</v>
      </c>
      <c r="CO82" s="1482">
        <f t="shared" ca="1" si="210"/>
        <v>0</v>
      </c>
      <c r="CP82" s="1482">
        <f t="shared" ca="1" si="210"/>
        <v>0</v>
      </c>
      <c r="CQ82" s="1482">
        <f t="shared" ca="1" si="210"/>
        <v>0</v>
      </c>
      <c r="CR82" s="1482">
        <f t="shared" ca="1" si="210"/>
        <v>0</v>
      </c>
      <c r="CS82" s="1482">
        <f t="shared" ca="1" si="210"/>
        <v>0</v>
      </c>
      <c r="CT82" s="1482">
        <f t="shared" ca="1" si="210"/>
        <v>0</v>
      </c>
      <c r="CU82" s="1482">
        <f t="shared" ca="1" si="210"/>
        <v>0</v>
      </c>
      <c r="CV82" s="1482">
        <f t="shared" ca="1" si="210"/>
        <v>0</v>
      </c>
      <c r="CW82" s="1482">
        <f t="shared" ca="1" si="210"/>
        <v>0</v>
      </c>
      <c r="CX82" s="1482">
        <f t="shared" ca="1" si="210"/>
        <v>0</v>
      </c>
      <c r="CY82" s="1482">
        <f t="shared" ca="1" si="210"/>
        <v>0</v>
      </c>
      <c r="CZ82" s="1482">
        <f t="shared" ca="1" si="210"/>
        <v>0</v>
      </c>
      <c r="DA82" s="1482">
        <f t="shared" ca="1" si="210"/>
        <v>0</v>
      </c>
      <c r="DB82" s="1482">
        <f t="shared" ca="1" si="210"/>
        <v>0</v>
      </c>
      <c r="DC82" s="1482">
        <f t="shared" ca="1" si="210"/>
        <v>-7.7193927171652801</v>
      </c>
      <c r="DD82" s="1482">
        <f t="shared" ca="1" si="210"/>
        <v>0</v>
      </c>
      <c r="DE82" s="1482">
        <f t="shared" ca="1" si="210"/>
        <v>0</v>
      </c>
      <c r="DF82" s="1482">
        <f t="shared" ca="1" si="210"/>
        <v>0</v>
      </c>
      <c r="DH82" s="838">
        <f t="shared" ca="1" si="123"/>
        <v>149.65992549696202</v>
      </c>
    </row>
    <row r="83" spans="1:112" s="743" customFormat="1" ht="6" customHeight="1">
      <c r="C83" s="516"/>
      <c r="D83" s="517"/>
      <c r="E83" s="509"/>
      <c r="G83" s="958"/>
      <c r="H83" s="958"/>
      <c r="I83" s="958"/>
      <c r="J83" s="958"/>
      <c r="K83" s="960"/>
      <c r="L83" s="958"/>
      <c r="M83" s="958"/>
      <c r="N83" s="958"/>
      <c r="O83" s="958"/>
      <c r="P83" s="958"/>
      <c r="Q83" s="958"/>
      <c r="S83" s="970"/>
      <c r="T83" s="970"/>
      <c r="U83" s="970"/>
      <c r="V83" s="970"/>
      <c r="W83" s="970"/>
      <c r="X83" s="970"/>
      <c r="Y83" s="970"/>
      <c r="Z83" s="970"/>
      <c r="AA83" s="970"/>
      <c r="AB83" s="970"/>
      <c r="AC83" s="970"/>
      <c r="AD83" s="970"/>
      <c r="AE83" s="970"/>
      <c r="AF83" s="970"/>
      <c r="AG83" s="970"/>
      <c r="AH83" s="970"/>
      <c r="AI83" s="970"/>
      <c r="AJ83" s="970"/>
      <c r="AK83" s="970"/>
      <c r="AM83" s="976"/>
      <c r="AN83" s="976"/>
      <c r="AO83" s="976"/>
      <c r="AP83" s="976"/>
      <c r="AQ83" s="976"/>
      <c r="AR83" s="976"/>
      <c r="AS83" s="976"/>
      <c r="AT83" s="976"/>
      <c r="AU83" s="976"/>
      <c r="AV83" s="976"/>
      <c r="AW83" s="976"/>
      <c r="AX83" s="976"/>
      <c r="AY83" s="976"/>
      <c r="AZ83" s="976"/>
      <c r="BA83" s="976"/>
      <c r="BB83" s="976"/>
      <c r="BC83" s="976"/>
      <c r="BD83" s="976"/>
      <c r="BE83" s="976"/>
      <c r="BF83" s="976">
        <f>SUM(AM83:BE83)</f>
        <v>0</v>
      </c>
      <c r="BH83" s="990"/>
      <c r="BI83" s="990"/>
      <c r="BJ83" s="990"/>
      <c r="BL83" s="515">
        <f t="shared" si="205"/>
        <v>0</v>
      </c>
      <c r="BM83" s="515"/>
      <c r="BO83" s="1482"/>
      <c r="BP83" s="1482"/>
      <c r="BQ83" s="1482"/>
      <c r="BR83" s="1482"/>
      <c r="BS83" s="1482"/>
      <c r="BT83" s="1482"/>
      <c r="BU83" s="1482"/>
      <c r="BV83" s="1482"/>
      <c r="BW83" s="1482"/>
      <c r="BX83" s="1482"/>
      <c r="BY83" s="1482"/>
      <c r="BZ83" s="1482"/>
      <c r="CA83" s="1482"/>
      <c r="CB83" s="1482"/>
      <c r="CC83" s="1482"/>
      <c r="CD83" s="1482"/>
      <c r="CE83" s="1482"/>
      <c r="CF83" s="1482"/>
      <c r="CG83" s="1482"/>
      <c r="CH83" s="1482"/>
      <c r="CI83" s="1482"/>
      <c r="CJ83" s="1482"/>
      <c r="CK83" s="1482"/>
      <c r="CL83" s="1482"/>
      <c r="CM83" s="1482"/>
      <c r="CN83" s="1482"/>
      <c r="CO83" s="1482"/>
      <c r="CP83" s="1482"/>
      <c r="CQ83" s="1482"/>
      <c r="CR83" s="1482"/>
      <c r="CS83" s="1482"/>
      <c r="CT83" s="1482"/>
      <c r="CU83" s="1482"/>
      <c r="CV83" s="1482"/>
      <c r="CW83" s="1482"/>
      <c r="CX83" s="1482"/>
      <c r="CY83" s="1482"/>
      <c r="CZ83" s="1482"/>
      <c r="DA83" s="1482"/>
      <c r="DB83" s="1482"/>
      <c r="DC83" s="1482"/>
      <c r="DD83" s="1482"/>
      <c r="DE83" s="1482"/>
      <c r="DF83" s="1482"/>
      <c r="DH83" s="838"/>
    </row>
    <row r="84" spans="1:112" s="743" customFormat="1" ht="15.75">
      <c r="B84" s="753"/>
      <c r="C84" s="2051" t="s">
        <v>1816</v>
      </c>
      <c r="D84" s="643" t="s">
        <v>249</v>
      </c>
      <c r="E84" s="644"/>
      <c r="G84" s="1075">
        <f t="shared" ref="G84:P84" ca="1" si="211">G$51+G$55+G$63+G$68+G$72+G$76+G$82+G$46</f>
        <v>0</v>
      </c>
      <c r="H84" s="1075">
        <f t="shared" ca="1" si="211"/>
        <v>0</v>
      </c>
      <c r="I84" s="1075">
        <f t="shared" ca="1" si="211"/>
        <v>46.869020355842828</v>
      </c>
      <c r="J84" s="1075">
        <f t="shared" ca="1" si="211"/>
        <v>0</v>
      </c>
      <c r="K84" s="1076">
        <f t="shared" ca="1" si="211"/>
        <v>0</v>
      </c>
      <c r="L84" s="1075">
        <f t="shared" ca="1" si="211"/>
        <v>0</v>
      </c>
      <c r="M84" s="1075">
        <f t="shared" ca="1" si="211"/>
        <v>0</v>
      </c>
      <c r="N84" s="1075">
        <f t="shared" ca="1" si="211"/>
        <v>0</v>
      </c>
      <c r="O84" s="1075">
        <f t="shared" ca="1" si="211"/>
        <v>0</v>
      </c>
      <c r="P84" s="1075">
        <f t="shared" ca="1" si="211"/>
        <v>0</v>
      </c>
      <c r="Q84" s="1023">
        <f ca="1">SUM(G84:P84)</f>
        <v>46.869020355842828</v>
      </c>
      <c r="S84" s="1014">
        <f t="shared" ref="S84:AJ84" ca="1" si="212">S$51+S$55+S$63+S$68+S$72+S$76+S$82+S$46</f>
        <v>-11.436720470603081</v>
      </c>
      <c r="T84" s="1014">
        <f t="shared" ca="1" si="212"/>
        <v>410.9481223906709</v>
      </c>
      <c r="U84" s="1014">
        <f t="shared" ca="1" si="212"/>
        <v>-163.78377986752835</v>
      </c>
      <c r="V84" s="1014">
        <f t="shared" ca="1" si="212"/>
        <v>-51.634505505278298</v>
      </c>
      <c r="W84" s="1014">
        <f t="shared" ca="1" si="212"/>
        <v>-616.06110504952619</v>
      </c>
      <c r="X84" s="1014">
        <f t="shared" ca="1" si="212"/>
        <v>191.55945196108524</v>
      </c>
      <c r="Y84" s="1014">
        <f t="shared" ca="1" si="212"/>
        <v>527.86775447758896</v>
      </c>
      <c r="Z84" s="1014">
        <f t="shared" ca="1" si="212"/>
        <v>404.31570071063896</v>
      </c>
      <c r="AA84" s="1014">
        <f t="shared" ca="1" si="212"/>
        <v>0</v>
      </c>
      <c r="AB84" s="1014">
        <f t="shared" ca="1" si="212"/>
        <v>8.2511436387277772</v>
      </c>
      <c r="AC84" s="1014">
        <f t="shared" ca="1" si="212"/>
        <v>0</v>
      </c>
      <c r="AD84" s="1014">
        <f t="shared" ca="1" si="212"/>
        <v>14.367659141861198</v>
      </c>
      <c r="AE84" s="1014">
        <f t="shared" ca="1" si="212"/>
        <v>1.3088625103410589</v>
      </c>
      <c r="AF84" s="1014">
        <f t="shared" ca="1" si="212"/>
        <v>34.047733245079975</v>
      </c>
      <c r="AG84" s="1014">
        <f t="shared" ca="1" si="212"/>
        <v>33.327159505884616</v>
      </c>
      <c r="AH84" s="1014">
        <f t="shared" ca="1" si="212"/>
        <v>17.426885093820637</v>
      </c>
      <c r="AI84" s="1014">
        <f t="shared" ca="1" si="212"/>
        <v>0</v>
      </c>
      <c r="AJ84" s="1014">
        <f t="shared" ca="1" si="212"/>
        <v>0</v>
      </c>
      <c r="AK84" s="1014">
        <f ca="1">SUM(S84:AJ84)</f>
        <v>800.50436178276334</v>
      </c>
      <c r="AM84" s="1015">
        <f t="shared" ref="AM84:BE84" ca="1" si="213">AM$51+AM$55+AM$63+AM$68+AM$72+AM$76+AM$82+AM$46</f>
        <v>-124.39544583847987</v>
      </c>
      <c r="AN84" s="1015">
        <f t="shared" ca="1" si="213"/>
        <v>-527.86775447758896</v>
      </c>
      <c r="AO84" s="1015">
        <f t="shared" ca="1" si="213"/>
        <v>-404.31570071063896</v>
      </c>
      <c r="AP84" s="1015">
        <f t="shared" ca="1" si="213"/>
        <v>0</v>
      </c>
      <c r="AQ84" s="1015">
        <f t="shared" ca="1" si="213"/>
        <v>0</v>
      </c>
      <c r="AR84" s="1015">
        <f t="shared" ca="1" si="213"/>
        <v>0</v>
      </c>
      <c r="AS84" s="1015">
        <f t="shared" ca="1" si="213"/>
        <v>0</v>
      </c>
      <c r="AT84" s="1015">
        <f t="shared" ca="1" si="213"/>
        <v>0</v>
      </c>
      <c r="AU84" s="1015">
        <f t="shared" ca="1" si="213"/>
        <v>0</v>
      </c>
      <c r="AV84" s="1015">
        <f t="shared" ca="1" si="213"/>
        <v>-77.140800000000027</v>
      </c>
      <c r="AW84" s="1015">
        <f t="shared" ca="1" si="213"/>
        <v>0</v>
      </c>
      <c r="AX84" s="1015">
        <f t="shared" ca="1" si="213"/>
        <v>-44.245070100000007</v>
      </c>
      <c r="AY84" s="1015">
        <f t="shared" ca="1" si="213"/>
        <v>-5.0034246575342486E-2</v>
      </c>
      <c r="AZ84" s="1015">
        <f t="shared" ca="1" si="213"/>
        <v>-0.1584417808219177</v>
      </c>
      <c r="BA84" s="1015">
        <f t="shared" ca="1" si="213"/>
        <v>0</v>
      </c>
      <c r="BB84" s="1015">
        <f t="shared" ca="1" si="213"/>
        <v>-5.3297280000000011</v>
      </c>
      <c r="BC84" s="1015">
        <f t="shared" ca="1" si="213"/>
        <v>0</v>
      </c>
      <c r="BD84" s="1015">
        <f t="shared" ca="1" si="213"/>
        <v>-15.676521652202258</v>
      </c>
      <c r="BE84" s="1015">
        <f t="shared" ca="1" si="213"/>
        <v>-151.96578396739062</v>
      </c>
      <c r="BF84" s="1015">
        <f ca="1">SUM(AM84:BE84)</f>
        <v>-1351.1452807736978</v>
      </c>
      <c r="BH84" s="1016">
        <f ca="1">BH$51+BH$55+BH$63+BH$68+BH$72+BH$76+BH$82+BH$46</f>
        <v>433.00646316053133</v>
      </c>
      <c r="BI84" s="1016">
        <f ca="1">BI$51+BI$55+BI$63+BI$68+BI$72+BI$76+BI$82+BI$46</f>
        <v>70.765435474560391</v>
      </c>
      <c r="BJ84" s="1016">
        <f ca="1">SUM(BH84:BI84)</f>
        <v>503.7718986350917</v>
      </c>
      <c r="BL84" s="518">
        <f t="shared" ca="1" si="205"/>
        <v>0</v>
      </c>
      <c r="BM84" s="518"/>
      <c r="BO84" s="1487">
        <f t="shared" ref="BO84:DE84" ca="1" si="214">BO$51+BO$55+BO$63+BO$68+BO$72+BO$76+BO$82+BO$46</f>
        <v>176.67876462293114</v>
      </c>
      <c r="BP84" s="1487">
        <f t="shared" ca="1" si="214"/>
        <v>0.391406521333234</v>
      </c>
      <c r="BQ84" s="1487">
        <f t="shared" ca="1" si="214"/>
        <v>0.9233509353816084</v>
      </c>
      <c r="BR84" s="1487">
        <f t="shared" ca="1" si="214"/>
        <v>0</v>
      </c>
      <c r="BS84" s="1487">
        <f t="shared" ca="1" si="214"/>
        <v>2.7541335688647668</v>
      </c>
      <c r="BT84" s="1487">
        <f t="shared" ca="1" si="214"/>
        <v>2.6403129612517775</v>
      </c>
      <c r="BU84" s="1487">
        <f t="shared" ca="1" si="214"/>
        <v>0</v>
      </c>
      <c r="BV84" s="1487">
        <f t="shared" ca="1" si="214"/>
        <v>0</v>
      </c>
      <c r="BW84" s="1487">
        <f t="shared" ca="1" si="214"/>
        <v>0</v>
      </c>
      <c r="BX84" s="1487">
        <f t="shared" ca="1" si="214"/>
        <v>0</v>
      </c>
      <c r="BY84" s="1487">
        <f t="shared" ca="1" si="214"/>
        <v>0</v>
      </c>
      <c r="BZ84" s="1487">
        <f t="shared" ca="1" si="214"/>
        <v>0</v>
      </c>
      <c r="CA84" s="1487">
        <f t="shared" ca="1" si="214"/>
        <v>0</v>
      </c>
      <c r="CB84" s="1487">
        <f t="shared" ca="1" si="214"/>
        <v>0</v>
      </c>
      <c r="CC84" s="1487">
        <f t="shared" ca="1" si="214"/>
        <v>0</v>
      </c>
      <c r="CD84" s="1487">
        <f t="shared" ca="1" si="214"/>
        <v>0</v>
      </c>
      <c r="CE84" s="1487">
        <f t="shared" ca="1" si="214"/>
        <v>0</v>
      </c>
      <c r="CF84" s="1487">
        <f t="shared" ca="1" si="214"/>
        <v>17.381413669677077</v>
      </c>
      <c r="CG84" s="1487">
        <f t="shared" ca="1" si="214"/>
        <v>21.417599999999993</v>
      </c>
      <c r="CH84" s="1487">
        <f t="shared" ca="1" si="214"/>
        <v>0</v>
      </c>
      <c r="CI84" s="1487">
        <f t="shared" ca="1" si="214"/>
        <v>8.7632357212518119</v>
      </c>
      <c r="CJ84" s="1487">
        <f t="shared" ca="1" si="214"/>
        <v>0</v>
      </c>
      <c r="CK84" s="1487">
        <f t="shared" ca="1" si="214"/>
        <v>0</v>
      </c>
      <c r="CL84" s="1487">
        <f t="shared" ca="1" si="214"/>
        <v>0</v>
      </c>
      <c r="CM84" s="1487">
        <f t="shared" ca="1" si="214"/>
        <v>0</v>
      </c>
      <c r="CN84" s="1487">
        <f t="shared" ca="1" si="214"/>
        <v>20.77382567529882</v>
      </c>
      <c r="CO84" s="1487">
        <f t="shared" ca="1" si="214"/>
        <v>1.3629948850573201</v>
      </c>
      <c r="CP84" s="1487">
        <f t="shared" ca="1" si="214"/>
        <v>0</v>
      </c>
      <c r="CQ84" s="1487">
        <f t="shared" ca="1" si="214"/>
        <v>0</v>
      </c>
      <c r="CR84" s="1487">
        <f t="shared" ca="1" si="214"/>
        <v>0</v>
      </c>
      <c r="CS84" s="1487">
        <f t="shared" ca="1" si="214"/>
        <v>0</v>
      </c>
      <c r="CT84" s="1487">
        <f t="shared" ca="1" si="214"/>
        <v>0</v>
      </c>
      <c r="CU84" s="1487">
        <f t="shared" ca="1" si="214"/>
        <v>0</v>
      </c>
      <c r="CV84" s="1487">
        <f t="shared" ca="1" si="214"/>
        <v>0</v>
      </c>
      <c r="CW84" s="1487">
        <f t="shared" ca="1" si="214"/>
        <v>0</v>
      </c>
      <c r="CX84" s="1487">
        <f t="shared" ca="1" si="214"/>
        <v>0</v>
      </c>
      <c r="CY84" s="1487">
        <f t="shared" ca="1" si="214"/>
        <v>0</v>
      </c>
      <c r="CZ84" s="1487">
        <f t="shared" ca="1" si="214"/>
        <v>0</v>
      </c>
      <c r="DA84" s="1487">
        <f t="shared" ca="1" si="214"/>
        <v>0</v>
      </c>
      <c r="DB84" s="1487">
        <f t="shared" ca="1" si="214"/>
        <v>0</v>
      </c>
      <c r="DC84" s="1487">
        <f t="shared" ca="1" si="214"/>
        <v>-7.7193927171652801</v>
      </c>
      <c r="DD84" s="1487">
        <f t="shared" ca="1" si="214"/>
        <v>0</v>
      </c>
      <c r="DE84" s="1487">
        <f t="shared" ca="1" si="214"/>
        <v>0</v>
      </c>
      <c r="DF84" s="1487">
        <f ca="1">DF$51+DF$99+DF$55+DF$63+DF$68+DF$76+DF$82+DF$46</f>
        <v>0</v>
      </c>
      <c r="DH84" s="835">
        <f ca="1">SUM(BO84:DF84)</f>
        <v>245.36764584388229</v>
      </c>
    </row>
    <row r="85" spans="1:112" s="743" customFormat="1" ht="6" customHeight="1">
      <c r="C85" s="516"/>
      <c r="D85" s="517"/>
      <c r="E85" s="509"/>
      <c r="G85" s="958"/>
      <c r="H85" s="958"/>
      <c r="I85" s="958"/>
      <c r="J85" s="958"/>
      <c r="K85" s="960"/>
      <c r="L85" s="958"/>
      <c r="M85" s="958"/>
      <c r="N85" s="958"/>
      <c r="O85" s="958"/>
      <c r="P85" s="958"/>
      <c r="Q85" s="958"/>
      <c r="S85" s="970"/>
      <c r="T85" s="970"/>
      <c r="U85" s="970"/>
      <c r="V85" s="970"/>
      <c r="W85" s="970"/>
      <c r="X85" s="970"/>
      <c r="Y85" s="970"/>
      <c r="Z85" s="970"/>
      <c r="AA85" s="970"/>
      <c r="AB85" s="970"/>
      <c r="AC85" s="970"/>
      <c r="AD85" s="970"/>
      <c r="AE85" s="970"/>
      <c r="AF85" s="970"/>
      <c r="AG85" s="970"/>
      <c r="AH85" s="970"/>
      <c r="AI85" s="970"/>
      <c r="AJ85" s="970"/>
      <c r="AK85" s="970"/>
      <c r="AM85" s="976"/>
      <c r="AN85" s="976"/>
      <c r="AO85" s="976"/>
      <c r="AP85" s="976"/>
      <c r="AQ85" s="976"/>
      <c r="AR85" s="976"/>
      <c r="AS85" s="976"/>
      <c r="AT85" s="976"/>
      <c r="AU85" s="976"/>
      <c r="AV85" s="976"/>
      <c r="AW85" s="976"/>
      <c r="AX85" s="976"/>
      <c r="AY85" s="976"/>
      <c r="AZ85" s="976"/>
      <c r="BA85" s="976"/>
      <c r="BB85" s="976"/>
      <c r="BC85" s="976"/>
      <c r="BD85" s="976"/>
      <c r="BE85" s="976"/>
      <c r="BF85" s="976"/>
      <c r="BH85" s="990"/>
      <c r="BI85" s="990"/>
      <c r="BJ85" s="990"/>
      <c r="BL85" s="515">
        <f t="shared" si="205"/>
        <v>0</v>
      </c>
      <c r="BM85" s="515"/>
      <c r="BO85" s="1482"/>
      <c r="BP85" s="1482"/>
      <c r="BQ85" s="1482"/>
      <c r="BR85" s="1482"/>
      <c r="BS85" s="1482"/>
      <c r="BT85" s="1482"/>
      <c r="BU85" s="1482"/>
      <c r="BV85" s="1482"/>
      <c r="BW85" s="1482"/>
      <c r="BX85" s="1482"/>
      <c r="BY85" s="1482"/>
      <c r="BZ85" s="1482"/>
      <c r="CA85" s="1482"/>
      <c r="CB85" s="1482"/>
      <c r="CC85" s="1482"/>
      <c r="CD85" s="1482"/>
      <c r="CE85" s="1482"/>
      <c r="CF85" s="1482"/>
      <c r="CG85" s="1482"/>
      <c r="CH85" s="1482"/>
      <c r="CI85" s="1482"/>
      <c r="CJ85" s="1482"/>
      <c r="CK85" s="1482"/>
      <c r="CL85" s="1482"/>
      <c r="CM85" s="1482"/>
      <c r="CN85" s="1482"/>
      <c r="CO85" s="1482"/>
      <c r="CP85" s="1482"/>
      <c r="CQ85" s="1482"/>
      <c r="CR85" s="1482"/>
      <c r="CS85" s="1482"/>
      <c r="CT85" s="1482"/>
      <c r="CU85" s="1482"/>
      <c r="CV85" s="1482"/>
      <c r="CW85" s="1482"/>
      <c r="CX85" s="1482"/>
      <c r="CY85" s="1482"/>
      <c r="CZ85" s="1482"/>
      <c r="DA85" s="1482"/>
      <c r="DB85" s="1482"/>
      <c r="DC85" s="1482"/>
      <c r="DD85" s="1482"/>
      <c r="DE85" s="1482"/>
      <c r="DF85" s="1482"/>
      <c r="DH85" s="838"/>
    </row>
    <row r="86" spans="1:112" s="743" customFormat="1" ht="24" customHeight="1">
      <c r="C86" s="501" t="s">
        <v>987</v>
      </c>
      <c r="D86" s="501"/>
      <c r="E86" s="639"/>
      <c r="G86" s="957"/>
      <c r="H86" s="957"/>
      <c r="I86" s="957"/>
      <c r="J86" s="957"/>
      <c r="K86" s="957"/>
      <c r="L86" s="957"/>
      <c r="M86" s="957"/>
      <c r="N86" s="957"/>
      <c r="O86" s="957"/>
      <c r="P86" s="957"/>
      <c r="Q86" s="957"/>
      <c r="S86" s="973"/>
      <c r="T86" s="973"/>
      <c r="U86" s="973"/>
      <c r="V86" s="973"/>
      <c r="W86" s="973"/>
      <c r="X86" s="969"/>
      <c r="Y86" s="969"/>
      <c r="Z86" s="969"/>
      <c r="AA86" s="973"/>
      <c r="AB86" s="973"/>
      <c r="AC86" s="973"/>
      <c r="AD86" s="973"/>
      <c r="AE86" s="973"/>
      <c r="AF86" s="973"/>
      <c r="AG86" s="973"/>
      <c r="AH86" s="973"/>
      <c r="AI86" s="973"/>
      <c r="AJ86" s="973"/>
      <c r="AK86" s="973"/>
      <c r="AM86" s="980"/>
      <c r="AN86" s="980"/>
      <c r="AO86" s="980"/>
      <c r="AP86" s="980"/>
      <c r="AQ86" s="980"/>
      <c r="AR86" s="980"/>
      <c r="AS86" s="980"/>
      <c r="AT86" s="980"/>
      <c r="AU86" s="980"/>
      <c r="AV86" s="980"/>
      <c r="AW86" s="975"/>
      <c r="AX86" s="975"/>
      <c r="AY86" s="975"/>
      <c r="AZ86" s="975"/>
      <c r="BA86" s="975"/>
      <c r="BB86" s="975"/>
      <c r="BC86" s="975"/>
      <c r="BD86" s="975"/>
      <c r="BE86" s="975"/>
      <c r="BF86" s="980"/>
      <c r="BH86" s="993"/>
      <c r="BI86" s="993"/>
      <c r="BJ86" s="993"/>
      <c r="BL86" s="514">
        <f t="shared" si="205"/>
        <v>0</v>
      </c>
      <c r="BM86" s="514"/>
      <c r="BO86" s="1482"/>
      <c r="BP86" s="1482"/>
      <c r="BQ86" s="1482"/>
      <c r="BR86" s="1482"/>
      <c r="BS86" s="1482"/>
      <c r="BT86" s="1482"/>
      <c r="BU86" s="1482"/>
      <c r="BV86" s="1482"/>
      <c r="BW86" s="1482"/>
      <c r="BX86" s="1482"/>
      <c r="BY86" s="1482"/>
      <c r="BZ86" s="1482"/>
      <c r="CA86" s="1482"/>
      <c r="CB86" s="1482"/>
      <c r="CC86" s="1482"/>
      <c r="CD86" s="1482"/>
      <c r="CE86" s="1482"/>
      <c r="CF86" s="1482"/>
      <c r="CG86" s="1482"/>
      <c r="CH86" s="1482"/>
      <c r="CI86" s="1482"/>
      <c r="CJ86" s="1482"/>
      <c r="CK86" s="1482"/>
      <c r="CL86" s="1482"/>
      <c r="CM86" s="1482"/>
      <c r="CN86" s="1482"/>
      <c r="CO86" s="1482"/>
      <c r="CP86" s="1482"/>
      <c r="CQ86" s="1482"/>
      <c r="CR86" s="1482"/>
      <c r="CS86" s="1482"/>
      <c r="CT86" s="1482"/>
      <c r="CU86" s="1482"/>
      <c r="CV86" s="1482"/>
      <c r="CW86" s="1482"/>
      <c r="CX86" s="1482"/>
      <c r="CY86" s="1482"/>
      <c r="CZ86" s="1482"/>
      <c r="DA86" s="1482"/>
      <c r="DB86" s="1482"/>
      <c r="DC86" s="1482"/>
      <c r="DD86" s="1482"/>
      <c r="DE86" s="1482"/>
      <c r="DF86" s="1482"/>
      <c r="DH86" s="838"/>
    </row>
    <row r="87" spans="1:112" s="743" customFormat="1" ht="6" customHeight="1">
      <c r="C87" s="520"/>
      <c r="D87" s="38"/>
      <c r="E87" s="509"/>
      <c r="G87" s="958"/>
      <c r="H87" s="958"/>
      <c r="I87" s="958"/>
      <c r="J87" s="958"/>
      <c r="K87" s="960"/>
      <c r="L87" s="958"/>
      <c r="M87" s="958"/>
      <c r="N87" s="958"/>
      <c r="O87" s="958"/>
      <c r="P87" s="958"/>
      <c r="Q87" s="958"/>
      <c r="S87" s="970"/>
      <c r="T87" s="970"/>
      <c r="U87" s="970"/>
      <c r="V87" s="970"/>
      <c r="W87" s="970"/>
      <c r="X87" s="970"/>
      <c r="Y87" s="970"/>
      <c r="Z87" s="970"/>
      <c r="AA87" s="970"/>
      <c r="AB87" s="970"/>
      <c r="AC87" s="970"/>
      <c r="AD87" s="970"/>
      <c r="AE87" s="970"/>
      <c r="AF87" s="970"/>
      <c r="AG87" s="970"/>
      <c r="AH87" s="970"/>
      <c r="AI87" s="970"/>
      <c r="AJ87" s="970"/>
      <c r="AK87" s="970"/>
      <c r="AM87" s="976"/>
      <c r="AN87" s="976"/>
      <c r="AO87" s="976"/>
      <c r="AP87" s="976"/>
      <c r="AQ87" s="976"/>
      <c r="AR87" s="976"/>
      <c r="AS87" s="976"/>
      <c r="AT87" s="976"/>
      <c r="AU87" s="976"/>
      <c r="AV87" s="976"/>
      <c r="AW87" s="976"/>
      <c r="AX87" s="976"/>
      <c r="AY87" s="976"/>
      <c r="AZ87" s="976"/>
      <c r="BA87" s="976"/>
      <c r="BB87" s="976"/>
      <c r="BC87" s="976"/>
      <c r="BD87" s="976"/>
      <c r="BE87" s="976"/>
      <c r="BF87" s="976"/>
      <c r="BH87" s="990"/>
      <c r="BI87" s="990"/>
      <c r="BJ87" s="990"/>
      <c r="BL87" s="515">
        <f t="shared" si="205"/>
        <v>0</v>
      </c>
      <c r="BM87" s="515"/>
      <c r="BO87" s="1482"/>
      <c r="BP87" s="1482"/>
      <c r="BQ87" s="1482"/>
      <c r="BR87" s="1482"/>
      <c r="BS87" s="1482"/>
      <c r="BT87" s="1482"/>
      <c r="BU87" s="1482"/>
      <c r="BV87" s="1482"/>
      <c r="BW87" s="1482"/>
      <c r="BX87" s="1482"/>
      <c r="BY87" s="1482"/>
      <c r="BZ87" s="1482"/>
      <c r="CA87" s="1482"/>
      <c r="CB87" s="1482"/>
      <c r="CC87" s="1482"/>
      <c r="CD87" s="1482"/>
      <c r="CE87" s="1482"/>
      <c r="CF87" s="1482"/>
      <c r="CG87" s="1482"/>
      <c r="CH87" s="1482"/>
      <c r="CI87" s="1482"/>
      <c r="CJ87" s="1482"/>
      <c r="CK87" s="1482"/>
      <c r="CL87" s="1482"/>
      <c r="CM87" s="1482"/>
      <c r="CN87" s="1482"/>
      <c r="CO87" s="1482"/>
      <c r="CP87" s="1482"/>
      <c r="CQ87" s="1482"/>
      <c r="CR87" s="1482"/>
      <c r="CS87" s="1482"/>
      <c r="CT87" s="1482"/>
      <c r="CU87" s="1482"/>
      <c r="CV87" s="1482"/>
      <c r="CW87" s="1482"/>
      <c r="CX87" s="1482"/>
      <c r="CY87" s="1482"/>
      <c r="CZ87" s="1482"/>
      <c r="DA87" s="1482"/>
      <c r="DB87" s="1482"/>
      <c r="DC87" s="1482"/>
      <c r="DD87" s="1482"/>
      <c r="DE87" s="1482"/>
      <c r="DF87" s="1482"/>
      <c r="DH87" s="838"/>
    </row>
    <row r="88" spans="1:112" s="743" customFormat="1" hidden="1" outlineLevel="1">
      <c r="A88" s="1488"/>
      <c r="B88" s="1488"/>
      <c r="C88" s="850"/>
      <c r="D88" s="851"/>
      <c r="E88" s="851"/>
      <c r="G88" s="961"/>
      <c r="H88" s="961"/>
      <c r="I88" s="961"/>
      <c r="J88" s="961"/>
      <c r="K88" s="962"/>
      <c r="L88" s="961"/>
      <c r="M88" s="961"/>
      <c r="N88" s="961"/>
      <c r="O88" s="961"/>
      <c r="P88" s="961"/>
      <c r="Q88" s="961"/>
      <c r="S88" s="971"/>
      <c r="T88" s="971"/>
      <c r="U88" s="971"/>
      <c r="V88" s="971"/>
      <c r="W88" s="971"/>
      <c r="X88" s="971"/>
      <c r="Y88" s="971"/>
      <c r="Z88" s="971"/>
      <c r="AA88" s="971"/>
      <c r="AB88" s="971"/>
      <c r="AC88" s="971"/>
      <c r="AD88" s="971"/>
      <c r="AE88" s="971"/>
      <c r="AF88" s="971"/>
      <c r="AG88" s="971"/>
      <c r="AH88" s="971"/>
      <c r="AI88" s="971"/>
      <c r="AJ88" s="971"/>
      <c r="AK88" s="971"/>
      <c r="AM88" s="978"/>
      <c r="AN88" s="978"/>
      <c r="AO88" s="978"/>
      <c r="AP88" s="978"/>
      <c r="AQ88" s="978"/>
      <c r="AR88" s="978"/>
      <c r="AS88" s="978"/>
      <c r="AT88" s="978"/>
      <c r="AU88" s="978"/>
      <c r="AV88" s="978"/>
      <c r="AW88" s="978"/>
      <c r="AX88" s="978"/>
      <c r="AY88" s="978"/>
      <c r="AZ88" s="978"/>
      <c r="BA88" s="978"/>
      <c r="BB88" s="978"/>
      <c r="BC88" s="978"/>
      <c r="BD88" s="978"/>
      <c r="BE88" s="978"/>
      <c r="BF88" s="978"/>
      <c r="BH88" s="991"/>
      <c r="BI88" s="991"/>
      <c r="BJ88" s="991"/>
      <c r="BL88" s="852"/>
      <c r="BM88" s="852"/>
      <c r="BN88" s="1488"/>
      <c r="BO88" s="1490"/>
      <c r="BP88" s="1482"/>
      <c r="BQ88" s="1482"/>
      <c r="BR88" s="1482"/>
      <c r="BS88" s="1482"/>
      <c r="BT88" s="1482"/>
      <c r="BU88" s="1482"/>
      <c r="BV88" s="1482"/>
      <c r="BW88" s="1482"/>
      <c r="BX88" s="1482"/>
      <c r="BY88" s="1482"/>
      <c r="BZ88" s="1482"/>
      <c r="CA88" s="1482"/>
      <c r="CB88" s="1482"/>
      <c r="CC88" s="1482"/>
      <c r="CD88" s="1482"/>
      <c r="CE88" s="1482"/>
      <c r="CF88" s="1482"/>
      <c r="CG88" s="1482"/>
      <c r="CH88" s="1482"/>
      <c r="CI88" s="1482"/>
      <c r="CJ88" s="1482"/>
      <c r="CK88" s="1482"/>
      <c r="CL88" s="1482"/>
      <c r="CM88" s="1482"/>
      <c r="CN88" s="1482"/>
      <c r="CO88" s="1482"/>
      <c r="CP88" s="1482"/>
      <c r="CQ88" s="1482"/>
      <c r="CR88" s="1482"/>
      <c r="CS88" s="1482"/>
      <c r="CT88" s="1482"/>
      <c r="CU88" s="1482"/>
      <c r="CV88" s="1482"/>
      <c r="CW88" s="1482"/>
      <c r="CX88" s="1482"/>
      <c r="CY88" s="1482"/>
      <c r="CZ88" s="1482"/>
      <c r="DA88" s="1482"/>
      <c r="DB88" s="1482"/>
      <c r="DC88" s="1482"/>
      <c r="DD88" s="1482"/>
      <c r="DE88" s="1482"/>
      <c r="DF88" s="1482"/>
      <c r="DH88" s="838"/>
    </row>
    <row r="89" spans="1:112" s="1484" customFormat="1" hidden="1" outlineLevel="1">
      <c r="C89" s="522" t="s">
        <v>774</v>
      </c>
      <c r="D89" s="521" t="str">
        <f>INDEX(Modules[Module], MATCH($C89, Modules[Code], 0))</f>
        <v>Electricity imports / exports</v>
      </c>
      <c r="E89" s="521"/>
      <c r="F89" s="743"/>
      <c r="G89" s="1017">
        <f t="shared" ref="G89:P89" ca="1" si="215">IFERROR(INDEX(INDIRECT($C89&amp;".Outputs["&amp;this.Year&amp;"]"), MATCH(G$5, INDIRECT($C89&amp;".Outputs[Vector]"), 0)), 0)</f>
        <v>0</v>
      </c>
      <c r="H89" s="1017">
        <f t="shared" ca="1" si="215"/>
        <v>0</v>
      </c>
      <c r="I89" s="1017">
        <f t="shared" ca="1" si="215"/>
        <v>0</v>
      </c>
      <c r="J89" s="1017">
        <f t="shared" ca="1" si="215"/>
        <v>0</v>
      </c>
      <c r="K89" s="1017">
        <f t="shared" ca="1" si="215"/>
        <v>0</v>
      </c>
      <c r="L89" s="1017">
        <f t="shared" ca="1" si="215"/>
        <v>0</v>
      </c>
      <c r="M89" s="1017">
        <f t="shared" ca="1" si="215"/>
        <v>0</v>
      </c>
      <c r="N89" s="1017">
        <f t="shared" ca="1" si="215"/>
        <v>0</v>
      </c>
      <c r="O89" s="1017">
        <f t="shared" ca="1" si="215"/>
        <v>0</v>
      </c>
      <c r="P89" s="1017">
        <f t="shared" ca="1" si="215"/>
        <v>0</v>
      </c>
      <c r="Q89" s="1019">
        <f ca="1">SUM(G89:P89)</f>
        <v>0</v>
      </c>
      <c r="R89" s="743"/>
      <c r="S89" s="1026">
        <f t="shared" ref="S89:AJ89" ca="1" si="216">IFERROR(INDEX(INDIRECT($C89&amp;".Outputs["&amp;this.Year&amp;"]"), MATCH(S$5, INDIRECT($C89&amp;".Outputs[Vector]"), 0)), 0)</f>
        <v>0</v>
      </c>
      <c r="T89" s="1026">
        <f t="shared" ca="1" si="216"/>
        <v>0</v>
      </c>
      <c r="U89" s="1026">
        <f t="shared" ca="1" si="216"/>
        <v>0</v>
      </c>
      <c r="V89" s="1026">
        <f t="shared" ca="1" si="216"/>
        <v>0</v>
      </c>
      <c r="W89" s="1026">
        <f t="shared" ca="1" si="216"/>
        <v>0</v>
      </c>
      <c r="X89" s="1026">
        <f ca="1">IFERROR(INDEX(INDIRECT($C89&amp;".Outputs["&amp;this.Year&amp;"]"), MATCH(X$5, INDIRECT($C89&amp;".Outputs[Vector]"), 0)), 0)</f>
        <v>0</v>
      </c>
      <c r="Y89" s="1026">
        <f ca="1">IFERROR(INDEX(INDIRECT($C89&amp;".Outputs["&amp;this.Year&amp;"]"), MATCH(Y$5, INDIRECT($C89&amp;".Outputs[Vector]"), 0)), 0)</f>
        <v>0</v>
      </c>
      <c r="Z89" s="1026">
        <f ca="1">IFERROR(INDEX(INDIRECT($C89&amp;".Outputs["&amp;this.Year&amp;"]"), MATCH(Z$5, INDIRECT($C89&amp;".Outputs[Vector]"), 0)), 0)</f>
        <v>0</v>
      </c>
      <c r="AA89" s="1026">
        <f t="shared" ca="1" si="216"/>
        <v>0</v>
      </c>
      <c r="AB89" s="1026">
        <f t="shared" ca="1" si="216"/>
        <v>0</v>
      </c>
      <c r="AC89" s="1026">
        <f t="shared" ca="1" si="216"/>
        <v>0</v>
      </c>
      <c r="AD89" s="1026">
        <f t="shared" ca="1" si="216"/>
        <v>0</v>
      </c>
      <c r="AE89" s="1026">
        <f t="shared" ca="1" si="216"/>
        <v>0</v>
      </c>
      <c r="AF89" s="1026">
        <f t="shared" ca="1" si="216"/>
        <v>0</v>
      </c>
      <c r="AG89" s="1026">
        <f t="shared" ca="1" si="216"/>
        <v>0</v>
      </c>
      <c r="AH89" s="1026">
        <f t="shared" ca="1" si="216"/>
        <v>0</v>
      </c>
      <c r="AI89" s="1026">
        <f t="shared" ca="1" si="216"/>
        <v>0</v>
      </c>
      <c r="AJ89" s="1026">
        <f t="shared" ca="1" si="216"/>
        <v>0</v>
      </c>
      <c r="AK89" s="1027">
        <f ca="1">SUM(S89:AJ89)</f>
        <v>0</v>
      </c>
      <c r="AL89" s="743"/>
      <c r="AM89" s="1038">
        <f t="shared" ref="AM89:AU89" ca="1" si="217">IFERROR(INDEX(INDIRECT($C89&amp;".Outputs["&amp;this.Year&amp;"]"), MATCH(AM$5, INDIRECT($C89&amp;".Outputs[Vector]"), 0)), 0)</f>
        <v>0</v>
      </c>
      <c r="AN89" s="1038">
        <f t="shared" ca="1" si="217"/>
        <v>0</v>
      </c>
      <c r="AO89" s="1038">
        <f t="shared" ca="1" si="217"/>
        <v>0</v>
      </c>
      <c r="AP89" s="1038">
        <f t="shared" ca="1" si="217"/>
        <v>0</v>
      </c>
      <c r="AQ89" s="1038">
        <f t="shared" ca="1" si="217"/>
        <v>0</v>
      </c>
      <c r="AR89" s="1038">
        <f t="shared" ca="1" si="217"/>
        <v>0</v>
      </c>
      <c r="AS89" s="1038">
        <f t="shared" ca="1" si="217"/>
        <v>0</v>
      </c>
      <c r="AT89" s="1038">
        <f t="shared" ca="1" si="217"/>
        <v>0</v>
      </c>
      <c r="AU89" s="1038">
        <f t="shared" ca="1" si="217"/>
        <v>0</v>
      </c>
      <c r="AV89" s="1038">
        <f t="shared" ref="AV89:BE89" ca="1" si="218">IFERROR(INDEX(INDIRECT($C89&amp;".Outputs["&amp;this.Year&amp;"]"), MATCH(AV$5, INDIRECT($C89&amp;".Outputs[Vector]"), 0)), 0)</f>
        <v>0</v>
      </c>
      <c r="AW89" s="1038">
        <f t="shared" ca="1" si="218"/>
        <v>0</v>
      </c>
      <c r="AX89" s="1038">
        <f t="shared" ca="1" si="218"/>
        <v>0</v>
      </c>
      <c r="AY89" s="1038">
        <f t="shared" ca="1" si="218"/>
        <v>0</v>
      </c>
      <c r="AZ89" s="1038">
        <f t="shared" ca="1" si="218"/>
        <v>0</v>
      </c>
      <c r="BA89" s="1038">
        <f t="shared" ca="1" si="218"/>
        <v>0</v>
      </c>
      <c r="BB89" s="1038">
        <f t="shared" ca="1" si="218"/>
        <v>0</v>
      </c>
      <c r="BC89" s="1038">
        <f t="shared" ca="1" si="218"/>
        <v>0</v>
      </c>
      <c r="BD89" s="1038">
        <f t="shared" ca="1" si="218"/>
        <v>0</v>
      </c>
      <c r="BE89" s="1038">
        <f t="shared" ca="1" si="218"/>
        <v>0</v>
      </c>
      <c r="BF89" s="979">
        <f ca="1">SUM(AM89:BE89)</f>
        <v>0</v>
      </c>
      <c r="BG89" s="743"/>
      <c r="BH89" s="1032">
        <f ca="1">IFERROR(INDEX(INDIRECT($C89&amp;".Outputs["&amp;this.Year&amp;"]"), MATCH(BH$5, INDIRECT($C89&amp;".Outputs[Vector]"), 0)), 0)</f>
        <v>0</v>
      </c>
      <c r="BI89" s="1032">
        <f ca="1">IFERROR(INDEX(INDIRECT($C89&amp;".Outputs["&amp;this.Year&amp;"]"), MATCH(BI$5, INDIRECT($C89&amp;".Outputs[Vector]"), 0)), 0)</f>
        <v>0</v>
      </c>
      <c r="BJ89" s="1034">
        <f ca="1">SUM(BH89:BI89)</f>
        <v>0</v>
      </c>
      <c r="BK89" s="743"/>
      <c r="BL89" s="814">
        <f t="shared" ref="BL89:BL94" ca="1" si="219">Q89+AK89+BF89+BJ89</f>
        <v>0</v>
      </c>
      <c r="BM89" s="814"/>
      <c r="BO89" s="1481">
        <f t="shared" ref="BO89:DF89" ca="1" si="220">IFERROR(SUMIFS(INDIRECT($C89&amp;".Emissions["&amp;this.Year&amp;"]"), INDIRECT($C89&amp;".Emissions[GHG]"), BO$6, INDIRECT($C89&amp;".Emissions[IPCC Sector]"), BO$5),0)</f>
        <v>0</v>
      </c>
      <c r="BP89" s="1482">
        <f t="shared" ca="1" si="220"/>
        <v>0</v>
      </c>
      <c r="BQ89" s="1482">
        <f t="shared" ca="1" si="220"/>
        <v>0</v>
      </c>
      <c r="BR89" s="1482">
        <f t="shared" ca="1" si="220"/>
        <v>0</v>
      </c>
      <c r="BS89" s="1482">
        <f t="shared" ca="1" si="220"/>
        <v>0</v>
      </c>
      <c r="BT89" s="1482">
        <f t="shared" ca="1" si="220"/>
        <v>0</v>
      </c>
      <c r="BU89" s="1482">
        <f t="shared" ca="1" si="220"/>
        <v>0</v>
      </c>
      <c r="BV89" s="1482">
        <f t="shared" ca="1" si="220"/>
        <v>0</v>
      </c>
      <c r="BW89" s="1482">
        <f t="shared" ca="1" si="220"/>
        <v>0</v>
      </c>
      <c r="BX89" s="1482">
        <f t="shared" ca="1" si="220"/>
        <v>0</v>
      </c>
      <c r="BY89" s="1482">
        <f t="shared" ca="1" si="220"/>
        <v>0</v>
      </c>
      <c r="BZ89" s="1482">
        <f t="shared" ca="1" si="220"/>
        <v>0</v>
      </c>
      <c r="CA89" s="1482">
        <f t="shared" ca="1" si="220"/>
        <v>0</v>
      </c>
      <c r="CB89" s="1482">
        <f t="shared" ca="1" si="220"/>
        <v>0</v>
      </c>
      <c r="CC89" s="1482">
        <f t="shared" ca="1" si="220"/>
        <v>0</v>
      </c>
      <c r="CD89" s="1482">
        <f t="shared" ca="1" si="220"/>
        <v>0</v>
      </c>
      <c r="CE89" s="1482">
        <f t="shared" ca="1" si="220"/>
        <v>0</v>
      </c>
      <c r="CF89" s="1482">
        <f t="shared" ca="1" si="220"/>
        <v>0</v>
      </c>
      <c r="CG89" s="1482">
        <f t="shared" ca="1" si="220"/>
        <v>0</v>
      </c>
      <c r="CH89" s="1482">
        <f t="shared" ca="1" si="220"/>
        <v>0</v>
      </c>
      <c r="CI89" s="1482">
        <f t="shared" ca="1" si="220"/>
        <v>0</v>
      </c>
      <c r="CJ89" s="1482">
        <f t="shared" ca="1" si="220"/>
        <v>0</v>
      </c>
      <c r="CK89" s="1482">
        <f t="shared" ca="1" si="220"/>
        <v>0</v>
      </c>
      <c r="CL89" s="1482">
        <f t="shared" ca="1" si="220"/>
        <v>0</v>
      </c>
      <c r="CM89" s="1482">
        <f t="shared" ca="1" si="220"/>
        <v>0</v>
      </c>
      <c r="CN89" s="1482">
        <f t="shared" ca="1" si="220"/>
        <v>0</v>
      </c>
      <c r="CO89" s="1482">
        <f t="shared" ca="1" si="220"/>
        <v>0</v>
      </c>
      <c r="CP89" s="1482">
        <f t="shared" ca="1" si="220"/>
        <v>0</v>
      </c>
      <c r="CQ89" s="1482">
        <f t="shared" ca="1" si="220"/>
        <v>0</v>
      </c>
      <c r="CR89" s="1482">
        <f t="shared" ca="1" si="220"/>
        <v>0</v>
      </c>
      <c r="CS89" s="1482">
        <f t="shared" ca="1" si="220"/>
        <v>0</v>
      </c>
      <c r="CT89" s="1482">
        <f t="shared" ca="1" si="220"/>
        <v>0</v>
      </c>
      <c r="CU89" s="1482">
        <f t="shared" ca="1" si="220"/>
        <v>0</v>
      </c>
      <c r="CV89" s="1482">
        <f t="shared" ca="1" si="220"/>
        <v>0</v>
      </c>
      <c r="CW89" s="1482">
        <f t="shared" ca="1" si="220"/>
        <v>0</v>
      </c>
      <c r="CX89" s="1482">
        <f t="shared" ca="1" si="220"/>
        <v>0</v>
      </c>
      <c r="CY89" s="1482">
        <f t="shared" ca="1" si="220"/>
        <v>0</v>
      </c>
      <c r="CZ89" s="1482">
        <f t="shared" ca="1" si="220"/>
        <v>0</v>
      </c>
      <c r="DA89" s="1482">
        <f t="shared" ca="1" si="220"/>
        <v>0</v>
      </c>
      <c r="DB89" s="1482">
        <f t="shared" ca="1" si="220"/>
        <v>0</v>
      </c>
      <c r="DC89" s="1482">
        <f t="shared" ca="1" si="220"/>
        <v>0</v>
      </c>
      <c r="DD89" s="1482">
        <f t="shared" ca="1" si="220"/>
        <v>0</v>
      </c>
      <c r="DE89" s="1482">
        <f t="shared" ca="1" si="220"/>
        <v>0</v>
      </c>
      <c r="DF89" s="1482">
        <f t="shared" ca="1" si="220"/>
        <v>0</v>
      </c>
      <c r="DH89" s="838"/>
    </row>
    <row r="90" spans="1:112" s="1488" customFormat="1" ht="12.75" hidden="1" customHeight="1" outlineLevel="1">
      <c r="C90" s="1048" t="s">
        <v>1722</v>
      </c>
      <c r="D90" s="1049" t="s">
        <v>1335</v>
      </c>
      <c r="E90" s="1049"/>
      <c r="F90" s="743"/>
      <c r="G90" s="1070"/>
      <c r="H90" s="1070"/>
      <c r="I90" s="1070"/>
      <c r="J90" s="1070"/>
      <c r="K90" s="1071"/>
      <c r="L90" s="1070"/>
      <c r="M90" s="1070"/>
      <c r="N90" s="1070"/>
      <c r="O90" s="1070"/>
      <c r="P90" s="1070"/>
      <c r="Q90" s="1070"/>
      <c r="R90" s="743"/>
      <c r="S90" s="1072">
        <f ca="1">S$40+$S46+S$51+S$99+S$55+S$89</f>
        <v>-382.28449716625596</v>
      </c>
      <c r="T90" s="1072">
        <f ca="1">T$40+$S46+T$51+T$99+T$55+T$89</f>
        <v>0</v>
      </c>
      <c r="U90" s="1072"/>
      <c r="V90" s="1072"/>
      <c r="W90" s="1072"/>
      <c r="X90" s="1072"/>
      <c r="Y90" s="1072"/>
      <c r="Z90" s="1072"/>
      <c r="AA90" s="1072"/>
      <c r="AB90" s="1072"/>
      <c r="AC90" s="1072"/>
      <c r="AD90" s="1072"/>
      <c r="AE90" s="1072"/>
      <c r="AF90" s="1072"/>
      <c r="AG90" s="1072"/>
      <c r="AH90" s="1072"/>
      <c r="AI90" s="1072"/>
      <c r="AJ90" s="1072"/>
      <c r="AK90" s="1072"/>
      <c r="AL90" s="74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743"/>
      <c r="BH90" s="1074"/>
      <c r="BI90" s="1074"/>
      <c r="BJ90" s="1074"/>
      <c r="BK90" s="743"/>
      <c r="BL90" s="852">
        <f t="shared" si="219"/>
        <v>0</v>
      </c>
      <c r="BM90" s="852"/>
      <c r="BO90" s="1490"/>
      <c r="BP90" s="1490"/>
      <c r="BQ90" s="1490"/>
      <c r="BR90" s="1490"/>
      <c r="BS90" s="1490"/>
      <c r="BT90" s="1490"/>
      <c r="BU90" s="1490"/>
      <c r="BV90" s="1490"/>
      <c r="BW90" s="1490"/>
      <c r="BX90" s="1490"/>
      <c r="BY90" s="1490"/>
      <c r="BZ90" s="1490"/>
      <c r="CA90" s="1490"/>
      <c r="CB90" s="1490"/>
      <c r="CC90" s="1490"/>
      <c r="CD90" s="1490"/>
      <c r="CE90" s="1490"/>
      <c r="CF90" s="1490"/>
      <c r="CG90" s="1490"/>
      <c r="CH90" s="1490"/>
      <c r="CI90" s="1490"/>
      <c r="CJ90" s="1490"/>
      <c r="CK90" s="1490"/>
      <c r="CL90" s="1490"/>
      <c r="CM90" s="1490"/>
      <c r="CN90" s="1490"/>
      <c r="CO90" s="1490"/>
      <c r="CP90" s="1490"/>
      <c r="CQ90" s="1490"/>
      <c r="CR90" s="1490"/>
      <c r="CS90" s="1490"/>
      <c r="CT90" s="1490"/>
      <c r="CU90" s="1490"/>
      <c r="CV90" s="1490"/>
      <c r="CW90" s="1490"/>
      <c r="CX90" s="1490"/>
      <c r="CY90" s="1490"/>
      <c r="CZ90" s="1490"/>
      <c r="DA90" s="1490"/>
      <c r="DB90" s="1490"/>
      <c r="DC90" s="1490"/>
      <c r="DD90" s="1490"/>
      <c r="DE90" s="1490"/>
      <c r="DF90" s="1490"/>
      <c r="DH90" s="838"/>
    </row>
    <row r="91" spans="1:112" s="1484" customFormat="1" hidden="1" outlineLevel="1">
      <c r="C91" s="522" t="s">
        <v>784</v>
      </c>
      <c r="D91" s="521" t="str">
        <f>INDEX(Modules[Module], MATCH($C91, Modules[Code], 0))</f>
        <v>Electricity grid distribution</v>
      </c>
      <c r="E91" s="521"/>
      <c r="F91" s="743"/>
      <c r="G91" s="1017">
        <f t="shared" ref="G91:P92" ca="1" si="221">IFERROR(INDEX(INDIRECT($C91&amp;".Outputs["&amp;this.Year&amp;"]"), MATCH(G$5, INDIRECT($C91&amp;".Outputs[Vector]"), 0)), 0)</f>
        <v>0</v>
      </c>
      <c r="H91" s="1017">
        <f t="shared" ca="1" si="221"/>
        <v>0</v>
      </c>
      <c r="I91" s="1017">
        <f t="shared" ca="1" si="221"/>
        <v>0</v>
      </c>
      <c r="J91" s="1017">
        <f t="shared" ca="1" si="221"/>
        <v>0</v>
      </c>
      <c r="K91" s="1017">
        <f t="shared" ca="1" si="221"/>
        <v>0</v>
      </c>
      <c r="L91" s="1017">
        <f t="shared" ca="1" si="221"/>
        <v>0</v>
      </c>
      <c r="M91" s="1017">
        <f t="shared" ca="1" si="221"/>
        <v>0</v>
      </c>
      <c r="N91" s="1017">
        <f t="shared" ca="1" si="221"/>
        <v>0</v>
      </c>
      <c r="O91" s="1017">
        <f t="shared" ca="1" si="221"/>
        <v>0</v>
      </c>
      <c r="P91" s="1017">
        <f t="shared" ca="1" si="221"/>
        <v>0</v>
      </c>
      <c r="Q91" s="1019">
        <f ca="1">SUM(G91:P91)</f>
        <v>0</v>
      </c>
      <c r="R91" s="743"/>
      <c r="S91" s="1026">
        <f t="shared" ref="S91:AJ92" ca="1" si="222">IFERROR(INDEX(INDIRECT($C91&amp;".Outputs["&amp;this.Year&amp;"]"), MATCH(S$5, INDIRECT($C91&amp;".Outputs[Vector]"), 0)), 0)</f>
        <v>0</v>
      </c>
      <c r="T91" s="1026">
        <f t="shared" ca="1" si="222"/>
        <v>-28.663625224414886</v>
      </c>
      <c r="U91" s="1026">
        <f t="shared" ca="1" si="222"/>
        <v>0</v>
      </c>
      <c r="V91" s="1026">
        <f t="shared" ca="1" si="222"/>
        <v>0</v>
      </c>
      <c r="W91" s="1026">
        <f t="shared" ca="1" si="222"/>
        <v>0</v>
      </c>
      <c r="X91" s="1026">
        <f t="shared" ref="X91:Z92" ca="1" si="223">IFERROR(INDEX(INDIRECT($C91&amp;".Outputs["&amp;this.Year&amp;"]"), MATCH(X$5, INDIRECT($C91&amp;".Outputs[Vector]"), 0)), 0)</f>
        <v>0</v>
      </c>
      <c r="Y91" s="1026">
        <f t="shared" ca="1" si="223"/>
        <v>0</v>
      </c>
      <c r="Z91" s="1026">
        <f t="shared" ca="1" si="223"/>
        <v>0</v>
      </c>
      <c r="AA91" s="1026">
        <f t="shared" ca="1" si="222"/>
        <v>0</v>
      </c>
      <c r="AB91" s="1026">
        <f t="shared" ca="1" si="222"/>
        <v>0</v>
      </c>
      <c r="AC91" s="1026">
        <f t="shared" ca="1" si="222"/>
        <v>0</v>
      </c>
      <c r="AD91" s="1026">
        <f t="shared" ca="1" si="222"/>
        <v>0</v>
      </c>
      <c r="AE91" s="1026">
        <f t="shared" ca="1" si="222"/>
        <v>0</v>
      </c>
      <c r="AF91" s="1026">
        <f t="shared" ca="1" si="222"/>
        <v>0</v>
      </c>
      <c r="AG91" s="1026">
        <f t="shared" ca="1" si="222"/>
        <v>0</v>
      </c>
      <c r="AH91" s="1026">
        <f t="shared" ca="1" si="222"/>
        <v>0</v>
      </c>
      <c r="AI91" s="1026">
        <f t="shared" ca="1" si="222"/>
        <v>0</v>
      </c>
      <c r="AJ91" s="1026">
        <f t="shared" ca="1" si="222"/>
        <v>0</v>
      </c>
      <c r="AK91" s="1027">
        <f ca="1">SUM(S91:AJ91)</f>
        <v>-28.663625224414886</v>
      </c>
      <c r="AL91" s="743"/>
      <c r="AM91" s="1038">
        <f t="shared" ref="AM91:AU92" ca="1" si="224">IFERROR(INDEX(INDIRECT($C91&amp;".Outputs["&amp;this.Year&amp;"]"), MATCH(AM$5, INDIRECT($C91&amp;".Outputs[Vector]"), 0)), 0)</f>
        <v>0</v>
      </c>
      <c r="AN91" s="1038">
        <f t="shared" ca="1" si="224"/>
        <v>0</v>
      </c>
      <c r="AO91" s="1038">
        <f t="shared" ca="1" si="224"/>
        <v>0</v>
      </c>
      <c r="AP91" s="1038">
        <f t="shared" ca="1" si="224"/>
        <v>0</v>
      </c>
      <c r="AQ91" s="1038">
        <f t="shared" ca="1" si="224"/>
        <v>0</v>
      </c>
      <c r="AR91" s="1038">
        <f t="shared" ca="1" si="224"/>
        <v>0</v>
      </c>
      <c r="AS91" s="1038">
        <f t="shared" ca="1" si="224"/>
        <v>0</v>
      </c>
      <c r="AT91" s="1038">
        <f t="shared" ca="1" si="224"/>
        <v>0</v>
      </c>
      <c r="AU91" s="1038">
        <f t="shared" ca="1" si="224"/>
        <v>0</v>
      </c>
      <c r="AV91" s="1038">
        <f t="shared" ref="AV91:BE92" ca="1" si="225">IFERROR(INDEX(INDIRECT($C91&amp;".Outputs["&amp;this.Year&amp;"]"), MATCH(AV$5, INDIRECT($C91&amp;".Outputs[Vector]"), 0)), 0)</f>
        <v>0</v>
      </c>
      <c r="AW91" s="1038">
        <f t="shared" ca="1" si="225"/>
        <v>0</v>
      </c>
      <c r="AX91" s="1038">
        <f t="shared" ca="1" si="225"/>
        <v>0</v>
      </c>
      <c r="AY91" s="1038">
        <f t="shared" ca="1" si="225"/>
        <v>0</v>
      </c>
      <c r="AZ91" s="1038">
        <f t="shared" ca="1" si="225"/>
        <v>0</v>
      </c>
      <c r="BA91" s="1038">
        <f t="shared" ca="1" si="225"/>
        <v>0</v>
      </c>
      <c r="BB91" s="1038">
        <f t="shared" ca="1" si="225"/>
        <v>0</v>
      </c>
      <c r="BC91" s="1038">
        <f t="shared" ca="1" si="225"/>
        <v>0</v>
      </c>
      <c r="BD91" s="1038">
        <f t="shared" ca="1" si="225"/>
        <v>0</v>
      </c>
      <c r="BE91" s="1038">
        <f t="shared" ca="1" si="225"/>
        <v>0</v>
      </c>
      <c r="BF91" s="979">
        <f ca="1">SUM(AM91:BE91)</f>
        <v>0</v>
      </c>
      <c r="BG91" s="743"/>
      <c r="BH91" s="1032">
        <f ca="1">IFERROR(INDEX(INDIRECT($C91&amp;".Outputs["&amp;this.Year&amp;"]"), MATCH(BH$5, INDIRECT($C91&amp;".Outputs[Vector]"), 0)), 0)</f>
        <v>0</v>
      </c>
      <c r="BI91" s="1032">
        <f ca="1">IFERROR(INDEX(INDIRECT($C91&amp;".Outputs["&amp;this.Year&amp;"]"), MATCH(BI$5, INDIRECT($C91&amp;".Outputs[Vector]"), 0)), 0)</f>
        <v>28.663625224414861</v>
      </c>
      <c r="BJ91" s="1034">
        <f ca="1">SUM(BH91:BI91)</f>
        <v>28.663625224414861</v>
      </c>
      <c r="BK91" s="743"/>
      <c r="BL91" s="852">
        <f t="shared" ca="1" si="219"/>
        <v>0</v>
      </c>
      <c r="BM91" s="814"/>
      <c r="BO91" s="1481">
        <f t="shared" ref="BO91:BX92" ca="1" si="226">IFERROR(SUMIFS(INDIRECT($C91&amp;".Emissions["&amp;this.Year&amp;"]"), INDIRECT($C91&amp;".Emissions[GHG]"), BO$6, INDIRECT($C91&amp;".Emissions[IPCC Sector]"), BO$5),0)</f>
        <v>0</v>
      </c>
      <c r="BP91" s="1482">
        <f t="shared" ca="1" si="226"/>
        <v>0</v>
      </c>
      <c r="BQ91" s="1482">
        <f t="shared" ca="1" si="226"/>
        <v>0</v>
      </c>
      <c r="BR91" s="1482">
        <f t="shared" ca="1" si="226"/>
        <v>0</v>
      </c>
      <c r="BS91" s="1482">
        <f t="shared" ca="1" si="226"/>
        <v>0</v>
      </c>
      <c r="BT91" s="1482">
        <f t="shared" ca="1" si="226"/>
        <v>0</v>
      </c>
      <c r="BU91" s="1482">
        <f t="shared" ca="1" si="226"/>
        <v>0</v>
      </c>
      <c r="BV91" s="1482">
        <f t="shared" ca="1" si="226"/>
        <v>0</v>
      </c>
      <c r="BW91" s="1482">
        <f t="shared" ca="1" si="226"/>
        <v>0</v>
      </c>
      <c r="BX91" s="1482">
        <f t="shared" ca="1" si="226"/>
        <v>0</v>
      </c>
      <c r="BY91" s="1482">
        <f t="shared" ref="BY91:CH92" ca="1" si="227">IFERROR(SUMIFS(INDIRECT($C91&amp;".Emissions["&amp;this.Year&amp;"]"), INDIRECT($C91&amp;".Emissions[GHG]"), BY$6, INDIRECT($C91&amp;".Emissions[IPCC Sector]"), BY$5),0)</f>
        <v>0</v>
      </c>
      <c r="BZ91" s="1482">
        <f t="shared" ca="1" si="227"/>
        <v>0</v>
      </c>
      <c r="CA91" s="1482">
        <f t="shared" ca="1" si="227"/>
        <v>0</v>
      </c>
      <c r="CB91" s="1482">
        <f t="shared" ca="1" si="227"/>
        <v>0</v>
      </c>
      <c r="CC91" s="1482">
        <f t="shared" ca="1" si="227"/>
        <v>0</v>
      </c>
      <c r="CD91" s="1482">
        <f t="shared" ca="1" si="227"/>
        <v>0</v>
      </c>
      <c r="CE91" s="1482">
        <f t="shared" ca="1" si="227"/>
        <v>0</v>
      </c>
      <c r="CF91" s="1482">
        <f t="shared" ca="1" si="227"/>
        <v>0</v>
      </c>
      <c r="CG91" s="1482">
        <f t="shared" ca="1" si="227"/>
        <v>0</v>
      </c>
      <c r="CH91" s="1482">
        <f t="shared" ca="1" si="227"/>
        <v>0</v>
      </c>
      <c r="CI91" s="1482">
        <f t="shared" ref="CI91:CR92" ca="1" si="228">IFERROR(SUMIFS(INDIRECT($C91&amp;".Emissions["&amp;this.Year&amp;"]"), INDIRECT($C91&amp;".Emissions[GHG]"), CI$6, INDIRECT($C91&amp;".Emissions[IPCC Sector]"), CI$5),0)</f>
        <v>0</v>
      </c>
      <c r="CJ91" s="1482">
        <f t="shared" ca="1" si="228"/>
        <v>0</v>
      </c>
      <c r="CK91" s="1482">
        <f t="shared" ca="1" si="228"/>
        <v>0</v>
      </c>
      <c r="CL91" s="1482">
        <f t="shared" ca="1" si="228"/>
        <v>0</v>
      </c>
      <c r="CM91" s="1482">
        <f t="shared" ca="1" si="228"/>
        <v>0</v>
      </c>
      <c r="CN91" s="1482">
        <f t="shared" ca="1" si="228"/>
        <v>0</v>
      </c>
      <c r="CO91" s="1482">
        <f t="shared" ca="1" si="228"/>
        <v>0</v>
      </c>
      <c r="CP91" s="1482">
        <f t="shared" ca="1" si="228"/>
        <v>0</v>
      </c>
      <c r="CQ91" s="1482">
        <f t="shared" ca="1" si="228"/>
        <v>0</v>
      </c>
      <c r="CR91" s="1482">
        <f t="shared" ca="1" si="228"/>
        <v>0</v>
      </c>
      <c r="CS91" s="1482">
        <f t="shared" ref="CS91:DF92" ca="1" si="229">IFERROR(SUMIFS(INDIRECT($C91&amp;".Emissions["&amp;this.Year&amp;"]"), INDIRECT($C91&amp;".Emissions[GHG]"), CS$6, INDIRECT($C91&amp;".Emissions[IPCC Sector]"), CS$5),0)</f>
        <v>0</v>
      </c>
      <c r="CT91" s="1482">
        <f t="shared" ca="1" si="229"/>
        <v>0</v>
      </c>
      <c r="CU91" s="1482">
        <f t="shared" ca="1" si="229"/>
        <v>0</v>
      </c>
      <c r="CV91" s="1482">
        <f t="shared" ca="1" si="229"/>
        <v>0</v>
      </c>
      <c r="CW91" s="1482">
        <f t="shared" ca="1" si="229"/>
        <v>0</v>
      </c>
      <c r="CX91" s="1482">
        <f t="shared" ca="1" si="229"/>
        <v>0</v>
      </c>
      <c r="CY91" s="1482">
        <f t="shared" ca="1" si="229"/>
        <v>0</v>
      </c>
      <c r="CZ91" s="1482">
        <f t="shared" ca="1" si="229"/>
        <v>0</v>
      </c>
      <c r="DA91" s="1482">
        <f t="shared" ca="1" si="229"/>
        <v>0</v>
      </c>
      <c r="DB91" s="1482">
        <f t="shared" ca="1" si="229"/>
        <v>0</v>
      </c>
      <c r="DC91" s="1482">
        <f t="shared" ca="1" si="229"/>
        <v>0</v>
      </c>
      <c r="DD91" s="1482">
        <f t="shared" ca="1" si="229"/>
        <v>0</v>
      </c>
      <c r="DE91" s="1482">
        <f t="shared" ca="1" si="229"/>
        <v>0</v>
      </c>
      <c r="DF91" s="1482">
        <f t="shared" ca="1" si="229"/>
        <v>0</v>
      </c>
      <c r="DH91" s="838"/>
    </row>
    <row r="92" spans="1:112" s="1484" customFormat="1" hidden="1" outlineLevel="1">
      <c r="C92" s="522" t="s">
        <v>796</v>
      </c>
      <c r="D92" s="1010" t="str">
        <f>INDEX(Modules[Module], MATCH($C92, Modules[Code], 0))</f>
        <v>Storage, demand shifting, backup</v>
      </c>
      <c r="E92" s="1010"/>
      <c r="F92" s="743"/>
      <c r="G92" s="1022">
        <f t="shared" ca="1" si="221"/>
        <v>0</v>
      </c>
      <c r="H92" s="1022">
        <f t="shared" ca="1" si="221"/>
        <v>0</v>
      </c>
      <c r="I92" s="1022">
        <f t="shared" ca="1" si="221"/>
        <v>0</v>
      </c>
      <c r="J92" s="1022">
        <f t="shared" ca="1" si="221"/>
        <v>0</v>
      </c>
      <c r="K92" s="1022">
        <f t="shared" ca="1" si="221"/>
        <v>0</v>
      </c>
      <c r="L92" s="1022">
        <f t="shared" ca="1" si="221"/>
        <v>0</v>
      </c>
      <c r="M92" s="1022">
        <f t="shared" ca="1" si="221"/>
        <v>0</v>
      </c>
      <c r="N92" s="1022">
        <f t="shared" ca="1" si="221"/>
        <v>0</v>
      </c>
      <c r="O92" s="1022">
        <f t="shared" ca="1" si="221"/>
        <v>0</v>
      </c>
      <c r="P92" s="1022">
        <f t="shared" ca="1" si="221"/>
        <v>0</v>
      </c>
      <c r="Q92" s="1020">
        <f ca="1">SUM(G92:P92)</f>
        <v>0</v>
      </c>
      <c r="R92" s="743"/>
      <c r="S92" s="1031">
        <f t="shared" ca="1" si="222"/>
        <v>0</v>
      </c>
      <c r="T92" s="1031">
        <f t="shared" ca="1" si="222"/>
        <v>0</v>
      </c>
      <c r="U92" s="1031">
        <f t="shared" ca="1" si="222"/>
        <v>0</v>
      </c>
      <c r="V92" s="1031">
        <f t="shared" ca="1" si="222"/>
        <v>0</v>
      </c>
      <c r="W92" s="1031">
        <f t="shared" ca="1" si="222"/>
        <v>0</v>
      </c>
      <c r="X92" s="1031">
        <f t="shared" ca="1" si="223"/>
        <v>0</v>
      </c>
      <c r="Y92" s="1031">
        <f t="shared" ca="1" si="223"/>
        <v>0</v>
      </c>
      <c r="Z92" s="1031">
        <f t="shared" ca="1" si="223"/>
        <v>0</v>
      </c>
      <c r="AA92" s="1031">
        <f t="shared" ca="1" si="222"/>
        <v>0</v>
      </c>
      <c r="AB92" s="1031">
        <f t="shared" ca="1" si="222"/>
        <v>0</v>
      </c>
      <c r="AC92" s="1031">
        <f t="shared" ca="1" si="222"/>
        <v>0</v>
      </c>
      <c r="AD92" s="1031">
        <f t="shared" ca="1" si="222"/>
        <v>0</v>
      </c>
      <c r="AE92" s="1031">
        <f t="shared" ca="1" si="222"/>
        <v>0</v>
      </c>
      <c r="AF92" s="1031">
        <f t="shared" ca="1" si="222"/>
        <v>0</v>
      </c>
      <c r="AG92" s="1031">
        <f t="shared" ca="1" si="222"/>
        <v>0</v>
      </c>
      <c r="AH92" s="1031">
        <f t="shared" ca="1" si="222"/>
        <v>0</v>
      </c>
      <c r="AI92" s="1031">
        <f t="shared" ca="1" si="222"/>
        <v>0</v>
      </c>
      <c r="AJ92" s="1031">
        <f t="shared" ca="1" si="222"/>
        <v>0</v>
      </c>
      <c r="AK92" s="1030">
        <f ca="1">SUM(S92:AJ92)</f>
        <v>0</v>
      </c>
      <c r="AL92" s="743"/>
      <c r="AM92" s="1042">
        <f t="shared" ca="1" si="224"/>
        <v>0</v>
      </c>
      <c r="AN92" s="1042">
        <f t="shared" ca="1" si="224"/>
        <v>0</v>
      </c>
      <c r="AO92" s="1042">
        <f t="shared" ca="1" si="224"/>
        <v>0</v>
      </c>
      <c r="AP92" s="1042">
        <f t="shared" ca="1" si="224"/>
        <v>0</v>
      </c>
      <c r="AQ92" s="1042">
        <f t="shared" ca="1" si="224"/>
        <v>0</v>
      </c>
      <c r="AR92" s="1042">
        <f t="shared" ca="1" si="224"/>
        <v>0</v>
      </c>
      <c r="AS92" s="1042">
        <f t="shared" ca="1" si="224"/>
        <v>0</v>
      </c>
      <c r="AT92" s="1042">
        <f t="shared" ca="1" si="224"/>
        <v>0</v>
      </c>
      <c r="AU92" s="1042">
        <f t="shared" ca="1" si="224"/>
        <v>0</v>
      </c>
      <c r="AV92" s="1042">
        <f t="shared" ca="1" si="225"/>
        <v>0</v>
      </c>
      <c r="AW92" s="1042">
        <f t="shared" ca="1" si="225"/>
        <v>0</v>
      </c>
      <c r="AX92" s="1042">
        <f t="shared" ca="1" si="225"/>
        <v>0</v>
      </c>
      <c r="AY92" s="1042">
        <f t="shared" ca="1" si="225"/>
        <v>0</v>
      </c>
      <c r="AZ92" s="1042">
        <f t="shared" ca="1" si="225"/>
        <v>0</v>
      </c>
      <c r="BA92" s="1042">
        <f t="shared" ca="1" si="225"/>
        <v>0</v>
      </c>
      <c r="BB92" s="1042">
        <f t="shared" ca="1" si="225"/>
        <v>0</v>
      </c>
      <c r="BC92" s="1042">
        <f t="shared" ca="1" si="225"/>
        <v>0</v>
      </c>
      <c r="BD92" s="1042">
        <f t="shared" ca="1" si="225"/>
        <v>0</v>
      </c>
      <c r="BE92" s="1042">
        <f t="shared" ca="1" si="225"/>
        <v>0</v>
      </c>
      <c r="BF92" s="1012">
        <f ca="1">SUM(AM92:BE92)</f>
        <v>0</v>
      </c>
      <c r="BG92" s="743"/>
      <c r="BH92" s="1036">
        <f ca="1">IFERROR(INDEX(INDIRECT($C92&amp;".Outputs["&amp;this.Year&amp;"]"), MATCH(BH$5, INDIRECT($C92&amp;".Outputs[Vector]"), 0)), 0)</f>
        <v>0</v>
      </c>
      <c r="BI92" s="1036">
        <f ca="1">IFERROR(INDEX(INDIRECT($C92&amp;".Outputs["&amp;this.Year&amp;"]"), MATCH(BI$5, INDIRECT($C92&amp;".Outputs[Vector]"), 0)), 0)</f>
        <v>0</v>
      </c>
      <c r="BJ92" s="1035">
        <f ca="1">SUM(BH92:BI92)</f>
        <v>0</v>
      </c>
      <c r="BK92" s="743"/>
      <c r="BL92" s="852">
        <f t="shared" ca="1" si="219"/>
        <v>0</v>
      </c>
      <c r="BM92" s="814"/>
      <c r="BO92" s="1485">
        <f t="shared" ca="1" si="226"/>
        <v>0</v>
      </c>
      <c r="BP92" s="1486">
        <f t="shared" ca="1" si="226"/>
        <v>0</v>
      </c>
      <c r="BQ92" s="1486">
        <f t="shared" ca="1" si="226"/>
        <v>0</v>
      </c>
      <c r="BR92" s="1486">
        <f t="shared" ca="1" si="226"/>
        <v>0</v>
      </c>
      <c r="BS92" s="1486">
        <f t="shared" ca="1" si="226"/>
        <v>0</v>
      </c>
      <c r="BT92" s="1486">
        <f t="shared" ca="1" si="226"/>
        <v>0</v>
      </c>
      <c r="BU92" s="1486">
        <f t="shared" ca="1" si="226"/>
        <v>0</v>
      </c>
      <c r="BV92" s="1486">
        <f t="shared" ca="1" si="226"/>
        <v>0</v>
      </c>
      <c r="BW92" s="1486">
        <f t="shared" ca="1" si="226"/>
        <v>0</v>
      </c>
      <c r="BX92" s="1486">
        <f t="shared" ca="1" si="226"/>
        <v>0</v>
      </c>
      <c r="BY92" s="1486">
        <f t="shared" ca="1" si="227"/>
        <v>0</v>
      </c>
      <c r="BZ92" s="1486">
        <f t="shared" ca="1" si="227"/>
        <v>0</v>
      </c>
      <c r="CA92" s="1486">
        <f t="shared" ca="1" si="227"/>
        <v>0</v>
      </c>
      <c r="CB92" s="1486">
        <f t="shared" ca="1" si="227"/>
        <v>0</v>
      </c>
      <c r="CC92" s="1486">
        <f t="shared" ca="1" si="227"/>
        <v>0</v>
      </c>
      <c r="CD92" s="1486">
        <f t="shared" ca="1" si="227"/>
        <v>0</v>
      </c>
      <c r="CE92" s="1486">
        <f t="shared" ca="1" si="227"/>
        <v>0</v>
      </c>
      <c r="CF92" s="1486">
        <f t="shared" ca="1" si="227"/>
        <v>0</v>
      </c>
      <c r="CG92" s="1486">
        <f t="shared" ca="1" si="227"/>
        <v>0</v>
      </c>
      <c r="CH92" s="1486">
        <f t="shared" ca="1" si="227"/>
        <v>0</v>
      </c>
      <c r="CI92" s="1486">
        <f t="shared" ca="1" si="228"/>
        <v>0</v>
      </c>
      <c r="CJ92" s="1486">
        <f t="shared" ca="1" si="228"/>
        <v>0</v>
      </c>
      <c r="CK92" s="1486">
        <f t="shared" ca="1" si="228"/>
        <v>0</v>
      </c>
      <c r="CL92" s="1486">
        <f t="shared" ca="1" si="228"/>
        <v>0</v>
      </c>
      <c r="CM92" s="1486">
        <f t="shared" ca="1" si="228"/>
        <v>0</v>
      </c>
      <c r="CN92" s="1486">
        <f t="shared" ca="1" si="228"/>
        <v>0</v>
      </c>
      <c r="CO92" s="1486">
        <f t="shared" ca="1" si="228"/>
        <v>0</v>
      </c>
      <c r="CP92" s="1486">
        <f t="shared" ca="1" si="228"/>
        <v>0</v>
      </c>
      <c r="CQ92" s="1486">
        <f t="shared" ca="1" si="228"/>
        <v>0</v>
      </c>
      <c r="CR92" s="1486">
        <f t="shared" ca="1" si="228"/>
        <v>0</v>
      </c>
      <c r="CS92" s="1486">
        <f t="shared" ca="1" si="229"/>
        <v>0</v>
      </c>
      <c r="CT92" s="1486">
        <f t="shared" ca="1" si="229"/>
        <v>0</v>
      </c>
      <c r="CU92" s="1486">
        <f t="shared" ca="1" si="229"/>
        <v>0</v>
      </c>
      <c r="CV92" s="1486">
        <f t="shared" ca="1" si="229"/>
        <v>0</v>
      </c>
      <c r="CW92" s="1486">
        <f t="shared" ca="1" si="229"/>
        <v>0</v>
      </c>
      <c r="CX92" s="1486">
        <f t="shared" ca="1" si="229"/>
        <v>0</v>
      </c>
      <c r="CY92" s="1486">
        <f t="shared" ca="1" si="229"/>
        <v>0</v>
      </c>
      <c r="CZ92" s="1486">
        <f t="shared" ca="1" si="229"/>
        <v>0</v>
      </c>
      <c r="DA92" s="1486">
        <f t="shared" ca="1" si="229"/>
        <v>0</v>
      </c>
      <c r="DB92" s="1486">
        <f t="shared" ca="1" si="229"/>
        <v>0</v>
      </c>
      <c r="DC92" s="1486">
        <f t="shared" ca="1" si="229"/>
        <v>0</v>
      </c>
      <c r="DD92" s="1486">
        <f t="shared" ca="1" si="229"/>
        <v>0</v>
      </c>
      <c r="DE92" s="1486">
        <f t="shared" ca="1" si="229"/>
        <v>0</v>
      </c>
      <c r="DF92" s="1486">
        <f t="shared" ca="1" si="229"/>
        <v>0</v>
      </c>
      <c r="DH92" s="838"/>
    </row>
    <row r="93" spans="1:112" s="22" customFormat="1" ht="12.75" customHeight="1" collapsed="1">
      <c r="B93" s="753"/>
      <c r="C93" s="744" t="s">
        <v>673</v>
      </c>
      <c r="D93" s="517" t="str">
        <f>INDEX(Workstreams[Workstream], MATCH($C93, Workstreams[Code], 0))</f>
        <v>Electricity distribution, storage, and balancing</v>
      </c>
      <c r="E93" s="512"/>
      <c r="F93" s="743"/>
      <c r="G93" s="958">
        <f t="shared" ref="G93:P93" ca="1" si="230">G$89+G$91+G$92</f>
        <v>0</v>
      </c>
      <c r="H93" s="958">
        <f t="shared" ca="1" si="230"/>
        <v>0</v>
      </c>
      <c r="I93" s="958">
        <f t="shared" ca="1" si="230"/>
        <v>0</v>
      </c>
      <c r="J93" s="958">
        <f t="shared" ca="1" si="230"/>
        <v>0</v>
      </c>
      <c r="K93" s="960">
        <f t="shared" ca="1" si="230"/>
        <v>0</v>
      </c>
      <c r="L93" s="958">
        <f t="shared" ca="1" si="230"/>
        <v>0</v>
      </c>
      <c r="M93" s="958">
        <f t="shared" ca="1" si="230"/>
        <v>0</v>
      </c>
      <c r="N93" s="958">
        <f t="shared" ca="1" si="230"/>
        <v>0</v>
      </c>
      <c r="O93" s="958">
        <f t="shared" ca="1" si="230"/>
        <v>0</v>
      </c>
      <c r="P93" s="958">
        <f t="shared" ca="1" si="230"/>
        <v>0</v>
      </c>
      <c r="Q93" s="1021">
        <f ca="1">SUM(G93:P93)</f>
        <v>0</v>
      </c>
      <c r="R93" s="743"/>
      <c r="S93" s="970">
        <f t="shared" ref="S93:AJ93" ca="1" si="231">S$89+S$91+S$92</f>
        <v>0</v>
      </c>
      <c r="T93" s="970">
        <f t="shared" ca="1" si="231"/>
        <v>-28.663625224414886</v>
      </c>
      <c r="U93" s="970">
        <f t="shared" ca="1" si="231"/>
        <v>0</v>
      </c>
      <c r="V93" s="970">
        <f t="shared" ca="1" si="231"/>
        <v>0</v>
      </c>
      <c r="W93" s="970">
        <f t="shared" ca="1" si="231"/>
        <v>0</v>
      </c>
      <c r="X93" s="970">
        <f ca="1">X$89+X$91+X$92</f>
        <v>0</v>
      </c>
      <c r="Y93" s="970">
        <f ca="1">Y$89+Y$91+Y$92</f>
        <v>0</v>
      </c>
      <c r="Z93" s="970">
        <f ca="1">Z$89+Z$91+Z$92</f>
        <v>0</v>
      </c>
      <c r="AA93" s="970">
        <f t="shared" ca="1" si="231"/>
        <v>0</v>
      </c>
      <c r="AB93" s="970">
        <f t="shared" ca="1" si="231"/>
        <v>0</v>
      </c>
      <c r="AC93" s="970">
        <f t="shared" ca="1" si="231"/>
        <v>0</v>
      </c>
      <c r="AD93" s="970">
        <f t="shared" ca="1" si="231"/>
        <v>0</v>
      </c>
      <c r="AE93" s="970">
        <f t="shared" ca="1" si="231"/>
        <v>0</v>
      </c>
      <c r="AF93" s="970">
        <f t="shared" ca="1" si="231"/>
        <v>0</v>
      </c>
      <c r="AG93" s="970">
        <f t="shared" ca="1" si="231"/>
        <v>0</v>
      </c>
      <c r="AH93" s="970">
        <f t="shared" ca="1" si="231"/>
        <v>0</v>
      </c>
      <c r="AI93" s="970">
        <f t="shared" ca="1" si="231"/>
        <v>0</v>
      </c>
      <c r="AJ93" s="970">
        <f t="shared" ca="1" si="231"/>
        <v>0</v>
      </c>
      <c r="AK93" s="970">
        <f ca="1">SUM(S93:AJ93)</f>
        <v>-28.663625224414886</v>
      </c>
      <c r="AL93" s="743"/>
      <c r="AM93" s="976">
        <f t="shared" ref="AM93:BE93" ca="1" si="232">AM$89+AM$91+AM$92</f>
        <v>0</v>
      </c>
      <c r="AN93" s="976">
        <f t="shared" ca="1" si="232"/>
        <v>0</v>
      </c>
      <c r="AO93" s="976">
        <f t="shared" ca="1" si="232"/>
        <v>0</v>
      </c>
      <c r="AP93" s="976">
        <f t="shared" ca="1" si="232"/>
        <v>0</v>
      </c>
      <c r="AQ93" s="976">
        <f t="shared" ca="1" si="232"/>
        <v>0</v>
      </c>
      <c r="AR93" s="976">
        <f t="shared" ca="1" si="232"/>
        <v>0</v>
      </c>
      <c r="AS93" s="976">
        <f t="shared" ca="1" si="232"/>
        <v>0</v>
      </c>
      <c r="AT93" s="976">
        <f t="shared" ca="1" si="232"/>
        <v>0</v>
      </c>
      <c r="AU93" s="976">
        <f t="shared" ca="1" si="232"/>
        <v>0</v>
      </c>
      <c r="AV93" s="976">
        <f t="shared" ca="1" si="232"/>
        <v>0</v>
      </c>
      <c r="AW93" s="976">
        <f t="shared" ca="1" si="232"/>
        <v>0</v>
      </c>
      <c r="AX93" s="976">
        <f t="shared" ca="1" si="232"/>
        <v>0</v>
      </c>
      <c r="AY93" s="976">
        <f t="shared" ca="1" si="232"/>
        <v>0</v>
      </c>
      <c r="AZ93" s="976">
        <f t="shared" ca="1" si="232"/>
        <v>0</v>
      </c>
      <c r="BA93" s="976">
        <f t="shared" ca="1" si="232"/>
        <v>0</v>
      </c>
      <c r="BB93" s="976">
        <f t="shared" ca="1" si="232"/>
        <v>0</v>
      </c>
      <c r="BC93" s="976">
        <f t="shared" ca="1" si="232"/>
        <v>0</v>
      </c>
      <c r="BD93" s="976">
        <f t="shared" ca="1" si="232"/>
        <v>0</v>
      </c>
      <c r="BE93" s="976">
        <f t="shared" ca="1" si="232"/>
        <v>0</v>
      </c>
      <c r="BF93" s="976">
        <f ca="1">SUM(AM93:BE93)</f>
        <v>0</v>
      </c>
      <c r="BG93" s="743"/>
      <c r="BH93" s="990">
        <f ca="1">BH$89+BH$91+BH$92</f>
        <v>0</v>
      </c>
      <c r="BI93" s="990">
        <f ca="1">BI$89+BI$91+BI$92</f>
        <v>28.663625224414861</v>
      </c>
      <c r="BJ93" s="990">
        <f ca="1">SUM(BH93:BI93)</f>
        <v>28.663625224414861</v>
      </c>
      <c r="BK93" s="743"/>
      <c r="BL93" s="515">
        <f t="shared" ca="1" si="219"/>
        <v>0</v>
      </c>
      <c r="BM93" s="515"/>
      <c r="BN93" s="840"/>
      <c r="BO93" s="1482">
        <f t="shared" ref="BO93:DF93" ca="1" si="233">BO$89+BO$91+BO$92</f>
        <v>0</v>
      </c>
      <c r="BP93" s="1482">
        <f t="shared" ca="1" si="233"/>
        <v>0</v>
      </c>
      <c r="BQ93" s="1482">
        <f t="shared" ca="1" si="233"/>
        <v>0</v>
      </c>
      <c r="BR93" s="1482">
        <f t="shared" ca="1" si="233"/>
        <v>0</v>
      </c>
      <c r="BS93" s="1482">
        <f t="shared" ca="1" si="233"/>
        <v>0</v>
      </c>
      <c r="BT93" s="1482">
        <f t="shared" ca="1" si="233"/>
        <v>0</v>
      </c>
      <c r="BU93" s="1482">
        <f t="shared" ca="1" si="233"/>
        <v>0</v>
      </c>
      <c r="BV93" s="1482">
        <f t="shared" ca="1" si="233"/>
        <v>0</v>
      </c>
      <c r="BW93" s="1482">
        <f t="shared" ca="1" si="233"/>
        <v>0</v>
      </c>
      <c r="BX93" s="1482">
        <f t="shared" ca="1" si="233"/>
        <v>0</v>
      </c>
      <c r="BY93" s="1482">
        <f t="shared" ca="1" si="233"/>
        <v>0</v>
      </c>
      <c r="BZ93" s="1482">
        <f t="shared" ca="1" si="233"/>
        <v>0</v>
      </c>
      <c r="CA93" s="1482">
        <f t="shared" ca="1" si="233"/>
        <v>0</v>
      </c>
      <c r="CB93" s="1482">
        <f t="shared" ca="1" si="233"/>
        <v>0</v>
      </c>
      <c r="CC93" s="1482">
        <f t="shared" ca="1" si="233"/>
        <v>0</v>
      </c>
      <c r="CD93" s="1482">
        <f t="shared" ca="1" si="233"/>
        <v>0</v>
      </c>
      <c r="CE93" s="1482">
        <f t="shared" ca="1" si="233"/>
        <v>0</v>
      </c>
      <c r="CF93" s="1482">
        <f t="shared" ca="1" si="233"/>
        <v>0</v>
      </c>
      <c r="CG93" s="1482">
        <f t="shared" ca="1" si="233"/>
        <v>0</v>
      </c>
      <c r="CH93" s="1482">
        <f t="shared" ca="1" si="233"/>
        <v>0</v>
      </c>
      <c r="CI93" s="1482">
        <f t="shared" ca="1" si="233"/>
        <v>0</v>
      </c>
      <c r="CJ93" s="1482">
        <f t="shared" ca="1" si="233"/>
        <v>0</v>
      </c>
      <c r="CK93" s="1482">
        <f t="shared" ca="1" si="233"/>
        <v>0</v>
      </c>
      <c r="CL93" s="1482">
        <f t="shared" ca="1" si="233"/>
        <v>0</v>
      </c>
      <c r="CM93" s="1482">
        <f t="shared" ca="1" si="233"/>
        <v>0</v>
      </c>
      <c r="CN93" s="1482">
        <f t="shared" ca="1" si="233"/>
        <v>0</v>
      </c>
      <c r="CO93" s="1482">
        <f t="shared" ca="1" si="233"/>
        <v>0</v>
      </c>
      <c r="CP93" s="1482">
        <f t="shared" ca="1" si="233"/>
        <v>0</v>
      </c>
      <c r="CQ93" s="1482">
        <f t="shared" ca="1" si="233"/>
        <v>0</v>
      </c>
      <c r="CR93" s="1482">
        <f t="shared" ca="1" si="233"/>
        <v>0</v>
      </c>
      <c r="CS93" s="1482">
        <f t="shared" ca="1" si="233"/>
        <v>0</v>
      </c>
      <c r="CT93" s="1482">
        <f t="shared" ca="1" si="233"/>
        <v>0</v>
      </c>
      <c r="CU93" s="1482">
        <f t="shared" ca="1" si="233"/>
        <v>0</v>
      </c>
      <c r="CV93" s="1482">
        <f t="shared" ca="1" si="233"/>
        <v>0</v>
      </c>
      <c r="CW93" s="1482">
        <f t="shared" ca="1" si="233"/>
        <v>0</v>
      </c>
      <c r="CX93" s="1482">
        <f t="shared" ca="1" si="233"/>
        <v>0</v>
      </c>
      <c r="CY93" s="1482">
        <f t="shared" ca="1" si="233"/>
        <v>0</v>
      </c>
      <c r="CZ93" s="1482">
        <f t="shared" ca="1" si="233"/>
        <v>0</v>
      </c>
      <c r="DA93" s="1482">
        <f t="shared" ca="1" si="233"/>
        <v>0</v>
      </c>
      <c r="DB93" s="1482">
        <f t="shared" ca="1" si="233"/>
        <v>0</v>
      </c>
      <c r="DC93" s="1482">
        <f t="shared" ca="1" si="233"/>
        <v>0</v>
      </c>
      <c r="DD93" s="1482">
        <f t="shared" ca="1" si="233"/>
        <v>0</v>
      </c>
      <c r="DE93" s="1482">
        <f t="shared" ca="1" si="233"/>
        <v>0</v>
      </c>
      <c r="DF93" s="1482">
        <f t="shared" ca="1" si="233"/>
        <v>0</v>
      </c>
      <c r="DH93" s="838">
        <f t="shared" ref="DH93:DH104" ca="1" si="234">SUM(BO93:DF93)</f>
        <v>0</v>
      </c>
    </row>
    <row r="94" spans="1:112" s="743" customFormat="1" ht="12.75" hidden="1" customHeight="1" outlineLevel="1">
      <c r="A94" s="22"/>
      <c r="B94" s="22"/>
      <c r="C94" s="751"/>
      <c r="D94" s="512"/>
      <c r="E94" s="512"/>
      <c r="G94" s="958"/>
      <c r="H94" s="958"/>
      <c r="I94" s="958"/>
      <c r="J94" s="958"/>
      <c r="K94" s="960"/>
      <c r="L94" s="958"/>
      <c r="M94" s="958"/>
      <c r="N94" s="958"/>
      <c r="O94" s="958"/>
      <c r="P94" s="958"/>
      <c r="Q94" s="958"/>
      <c r="S94" s="970"/>
      <c r="T94" s="970"/>
      <c r="U94" s="970"/>
      <c r="V94" s="970"/>
      <c r="W94" s="970"/>
      <c r="X94" s="970"/>
      <c r="Y94" s="970"/>
      <c r="Z94" s="970"/>
      <c r="AA94" s="970"/>
      <c r="AB94" s="970"/>
      <c r="AC94" s="970"/>
      <c r="AD94" s="970"/>
      <c r="AE94" s="970"/>
      <c r="AF94" s="970"/>
      <c r="AG94" s="970"/>
      <c r="AH94" s="970"/>
      <c r="AI94" s="970"/>
      <c r="AJ94" s="970"/>
      <c r="AK94" s="970"/>
      <c r="AM94" s="976"/>
      <c r="AN94" s="976"/>
      <c r="AO94" s="976"/>
      <c r="AP94" s="976"/>
      <c r="AQ94" s="976"/>
      <c r="AR94" s="976"/>
      <c r="AS94" s="976"/>
      <c r="AT94" s="976"/>
      <c r="AU94" s="976"/>
      <c r="AV94" s="976"/>
      <c r="AW94" s="976"/>
      <c r="AX94" s="976"/>
      <c r="AY94" s="976"/>
      <c r="AZ94" s="976"/>
      <c r="BA94" s="976"/>
      <c r="BB94" s="976"/>
      <c r="BC94" s="976"/>
      <c r="BD94" s="976"/>
      <c r="BE94" s="976"/>
      <c r="BF94" s="976"/>
      <c r="BH94" s="990"/>
      <c r="BI94" s="990"/>
      <c r="BJ94" s="990"/>
      <c r="BL94" s="515">
        <f t="shared" si="219"/>
        <v>0</v>
      </c>
      <c r="BM94" s="515"/>
      <c r="BN94" s="840"/>
      <c r="BO94" s="1482"/>
      <c r="BP94" s="1482"/>
      <c r="BQ94" s="1482"/>
      <c r="BR94" s="1482"/>
      <c r="BS94" s="1482"/>
      <c r="BT94" s="1482"/>
      <c r="BU94" s="1482"/>
      <c r="BV94" s="1482"/>
      <c r="BW94" s="1482"/>
      <c r="BX94" s="1482"/>
      <c r="BY94" s="1482"/>
      <c r="BZ94" s="1482"/>
      <c r="CA94" s="1482"/>
      <c r="CB94" s="1482"/>
      <c r="CC94" s="1482"/>
      <c r="CD94" s="1482"/>
      <c r="CE94" s="1482"/>
      <c r="CF94" s="1482"/>
      <c r="CG94" s="1482"/>
      <c r="CH94" s="1482"/>
      <c r="CI94" s="1482"/>
      <c r="CJ94" s="1482"/>
      <c r="CK94" s="1482"/>
      <c r="CL94" s="1482"/>
      <c r="CM94" s="1482"/>
      <c r="CN94" s="1482"/>
      <c r="CO94" s="1482"/>
      <c r="CP94" s="1482"/>
      <c r="CQ94" s="1482"/>
      <c r="CR94" s="1482"/>
      <c r="CS94" s="1482"/>
      <c r="CT94" s="1482"/>
      <c r="CU94" s="1482"/>
      <c r="CV94" s="1482"/>
      <c r="CW94" s="1482"/>
      <c r="CX94" s="1482"/>
      <c r="CY94" s="1482"/>
      <c r="CZ94" s="1482"/>
      <c r="DA94" s="1482"/>
      <c r="DB94" s="1482"/>
      <c r="DC94" s="1482"/>
      <c r="DD94" s="1482"/>
      <c r="DE94" s="1482"/>
      <c r="DF94" s="1482"/>
      <c r="DH94" s="838">
        <f t="shared" si="234"/>
        <v>0</v>
      </c>
    </row>
    <row r="95" spans="1:112" s="1491" customFormat="1" ht="12.75" hidden="1" customHeight="1" outlineLevel="1">
      <c r="C95" s="1534" t="s">
        <v>1723</v>
      </c>
      <c r="D95" s="1535" t="s">
        <v>1665</v>
      </c>
      <c r="E95" s="1535"/>
      <c r="G95" s="1070"/>
      <c r="H95" s="1070"/>
      <c r="I95" s="1070"/>
      <c r="J95" s="1070"/>
      <c r="K95" s="1071"/>
      <c r="L95" s="1070"/>
      <c r="M95" s="1070"/>
      <c r="N95" s="1070"/>
      <c r="O95" s="1070"/>
      <c r="P95" s="1070"/>
      <c r="Q95" s="1070"/>
      <c r="S95" s="1072"/>
      <c r="T95" s="1072"/>
      <c r="U95" s="1072">
        <f ca="1">(U$40+U$84+U$93)</f>
        <v>-228.97302656673963</v>
      </c>
      <c r="V95" s="1072">
        <f ca="1">(V$40+V$84+V$93)</f>
        <v>-864.82119458491093</v>
      </c>
      <c r="W95" s="1072">
        <f ca="1">(W$40+W$84+W$93)</f>
        <v>-1278.0210256499968</v>
      </c>
      <c r="X95" s="1072"/>
      <c r="Y95" s="1072"/>
      <c r="Z95" s="1072"/>
      <c r="AA95" s="1072"/>
      <c r="AB95" s="1072"/>
      <c r="AC95" s="1072">
        <f t="shared" ref="AC95:AH95" ca="1" si="235">(AC$40+AC$84+AC$93)</f>
        <v>0</v>
      </c>
      <c r="AD95" s="1072">
        <f t="shared" ca="1" si="235"/>
        <v>14.367659141861198</v>
      </c>
      <c r="AE95" s="1072">
        <f t="shared" ca="1" si="235"/>
        <v>1.3088625103410589</v>
      </c>
      <c r="AF95" s="1072">
        <f t="shared" ca="1" si="235"/>
        <v>34.047733245079975</v>
      </c>
      <c r="AG95" s="1072">
        <f t="shared" ca="1" si="235"/>
        <v>33.327159505884616</v>
      </c>
      <c r="AH95" s="1072">
        <f t="shared" ca="1" si="235"/>
        <v>17.426885093820637</v>
      </c>
      <c r="AI95" s="1072"/>
      <c r="AJ95" s="1072"/>
      <c r="AK95" s="1072"/>
      <c r="AM95" s="1073"/>
      <c r="AN95" s="1073"/>
      <c r="AO95" s="1073"/>
      <c r="AP95" s="1073"/>
      <c r="AQ95" s="1073"/>
      <c r="AR95" s="1073"/>
      <c r="AS95" s="1073"/>
      <c r="AT95" s="1073"/>
      <c r="AU95" s="1073"/>
      <c r="AV95" s="1073"/>
      <c r="AW95" s="1073"/>
      <c r="AX95" s="1073"/>
      <c r="AY95" s="1073"/>
      <c r="AZ95" s="1073"/>
      <c r="BA95" s="1073"/>
      <c r="BB95" s="1073"/>
      <c r="BC95" s="1073"/>
      <c r="BD95" s="1073"/>
      <c r="BE95" s="1073">
        <f ca="1">BE40+BE46+BE51</f>
        <v>-151.96578396739062</v>
      </c>
      <c r="BF95" s="1073">
        <f ca="1">SUM(AM95:BE95)</f>
        <v>-151.96578396739062</v>
      </c>
      <c r="BH95" s="1074"/>
      <c r="BI95" s="1074"/>
      <c r="BJ95" s="1074"/>
      <c r="BL95" s="1536"/>
      <c r="BM95" s="1536"/>
      <c r="BN95" s="1537"/>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8"/>
      <c r="CP95" s="1538"/>
      <c r="CQ95" s="1538"/>
      <c r="CR95" s="1538"/>
      <c r="CS95" s="1538"/>
      <c r="CT95" s="1538"/>
      <c r="CU95" s="1538"/>
      <c r="CV95" s="1538"/>
      <c r="CW95" s="1538"/>
      <c r="CX95" s="1538"/>
      <c r="CY95" s="1538"/>
      <c r="CZ95" s="1538"/>
      <c r="DA95" s="1538"/>
      <c r="DB95" s="1538"/>
      <c r="DC95" s="1538"/>
      <c r="DD95" s="1538"/>
      <c r="DE95" s="1538"/>
      <c r="DF95" s="1538"/>
      <c r="DH95" s="1537">
        <f t="shared" si="234"/>
        <v>0</v>
      </c>
    </row>
    <row r="96" spans="1:112" s="1957" customFormat="1" ht="12.75" hidden="1" customHeight="1" outlineLevel="1">
      <c r="A96" s="1954"/>
      <c r="B96" s="1954"/>
      <c r="C96" s="1955" t="s">
        <v>963</v>
      </c>
      <c r="D96" s="1956" t="str">
        <f>INDEX(Modules[Module], MATCH($C96, Modules[Code], 0))</f>
        <v>Biomatter to fuel conversion</v>
      </c>
      <c r="E96" s="1956"/>
      <c r="G96" s="1061">
        <f t="shared" ref="G96:P96" ca="1" si="236">IFERROR(INDEX(INDIRECT($C96&amp;".Outputs["&amp;this.Year&amp;"]"), MATCH(G$5, INDIRECT($C96&amp;".Outputs[Vector]"), 0)), 0)</f>
        <v>0</v>
      </c>
      <c r="H96" s="1061">
        <f t="shared" ca="1" si="236"/>
        <v>0</v>
      </c>
      <c r="I96" s="1061">
        <f t="shared" ca="1" si="236"/>
        <v>0</v>
      </c>
      <c r="J96" s="1061">
        <f t="shared" ca="1" si="236"/>
        <v>0</v>
      </c>
      <c r="K96" s="1061">
        <f t="shared" ca="1" si="236"/>
        <v>0</v>
      </c>
      <c r="L96" s="1061">
        <f t="shared" ca="1" si="236"/>
        <v>0</v>
      </c>
      <c r="M96" s="1061">
        <f t="shared" ca="1" si="236"/>
        <v>0</v>
      </c>
      <c r="N96" s="1061">
        <f t="shared" ca="1" si="236"/>
        <v>0</v>
      </c>
      <c r="O96" s="1061">
        <f t="shared" ca="1" si="236"/>
        <v>0</v>
      </c>
      <c r="P96" s="1061">
        <f t="shared" ca="1" si="236"/>
        <v>0</v>
      </c>
      <c r="Q96" s="1062">
        <f ca="1">SUM(G96:P96)</f>
        <v>0</v>
      </c>
      <c r="S96" s="1063">
        <f t="shared" ref="S96:AJ96" ca="1" si="237">IFERROR(INDEX(INDIRECT($C96&amp;".Outputs["&amp;this.Year&amp;"]"), MATCH(S$5, INDIRECT($C96&amp;".Outputs[Vector]"), 0)), 0)</f>
        <v>0</v>
      </c>
      <c r="T96" s="1063">
        <f t="shared" ca="1" si="237"/>
        <v>0</v>
      </c>
      <c r="U96" s="1063">
        <f t="shared" ca="1" si="237"/>
        <v>30.642959920571979</v>
      </c>
      <c r="V96" s="1063">
        <f t="shared" ca="1" si="237"/>
        <v>9.6010492289968941</v>
      </c>
      <c r="W96" s="1063">
        <f t="shared" ca="1" si="237"/>
        <v>44.08861269852833</v>
      </c>
      <c r="X96" s="1063">
        <f t="shared" ca="1" si="237"/>
        <v>0</v>
      </c>
      <c r="Y96" s="1063">
        <f t="shared" ca="1" si="237"/>
        <v>0</v>
      </c>
      <c r="Z96" s="1063">
        <f t="shared" ca="1" si="237"/>
        <v>0</v>
      </c>
      <c r="AA96" s="1063">
        <f t="shared" ca="1" si="237"/>
        <v>0</v>
      </c>
      <c r="AB96" s="1063">
        <f t="shared" ca="1" si="237"/>
        <v>0</v>
      </c>
      <c r="AC96" s="1063">
        <f t="shared" ca="1" si="237"/>
        <v>0</v>
      </c>
      <c r="AD96" s="1063">
        <f t="shared" ca="1" si="237"/>
        <v>-14.367659141861198</v>
      </c>
      <c r="AE96" s="1063">
        <f t="shared" ca="1" si="237"/>
        <v>-1.3088625103410589</v>
      </c>
      <c r="AF96" s="1063">
        <f t="shared" ca="1" si="237"/>
        <v>-34.047733245079975</v>
      </c>
      <c r="AG96" s="1063">
        <f t="shared" ca="1" si="237"/>
        <v>-33.327159505884616</v>
      </c>
      <c r="AH96" s="1063">
        <f t="shared" ca="1" si="237"/>
        <v>-17.426885093820637</v>
      </c>
      <c r="AI96" s="1063">
        <f t="shared" ca="1" si="237"/>
        <v>0</v>
      </c>
      <c r="AJ96" s="1063">
        <f t="shared" ca="1" si="237"/>
        <v>0</v>
      </c>
      <c r="AK96" s="1064">
        <f ca="1">SUM(S96:AJ96)</f>
        <v>-16.145677648890278</v>
      </c>
      <c r="AM96" s="1065">
        <f t="shared" ref="AM96:BE96" ca="1" si="238">IFERROR(INDEX(INDIRECT($C96&amp;".Outputs["&amp;this.Year&amp;"]"), MATCH(AM$5, INDIRECT($C96&amp;".Outputs[Vector]"), 0)), 0)</f>
        <v>0</v>
      </c>
      <c r="AN96" s="1065">
        <f t="shared" ca="1" si="238"/>
        <v>0</v>
      </c>
      <c r="AO96" s="1065">
        <f t="shared" ca="1" si="238"/>
        <v>0</v>
      </c>
      <c r="AP96" s="1065">
        <f t="shared" ca="1" si="238"/>
        <v>0</v>
      </c>
      <c r="AQ96" s="1065">
        <f t="shared" ca="1" si="238"/>
        <v>0</v>
      </c>
      <c r="AR96" s="1065">
        <f t="shared" ca="1" si="238"/>
        <v>0</v>
      </c>
      <c r="AS96" s="1065">
        <f t="shared" ca="1" si="238"/>
        <v>0</v>
      </c>
      <c r="AT96" s="1065">
        <f t="shared" ca="1" si="238"/>
        <v>0</v>
      </c>
      <c r="AU96" s="1065">
        <f t="shared" ca="1" si="238"/>
        <v>0</v>
      </c>
      <c r="AV96" s="1065">
        <f t="shared" ca="1" si="238"/>
        <v>0</v>
      </c>
      <c r="AW96" s="1065">
        <f t="shared" ca="1" si="238"/>
        <v>0</v>
      </c>
      <c r="AX96" s="1065">
        <f t="shared" ca="1" si="238"/>
        <v>0</v>
      </c>
      <c r="AY96" s="1065">
        <f t="shared" ca="1" si="238"/>
        <v>0</v>
      </c>
      <c r="AZ96" s="1065">
        <f t="shared" ca="1" si="238"/>
        <v>0</v>
      </c>
      <c r="BA96" s="1065">
        <f t="shared" ca="1" si="238"/>
        <v>0</v>
      </c>
      <c r="BB96" s="1065">
        <f t="shared" ca="1" si="238"/>
        <v>0</v>
      </c>
      <c r="BC96" s="1065">
        <f t="shared" ca="1" si="238"/>
        <v>0</v>
      </c>
      <c r="BD96" s="1065">
        <f t="shared" ca="1" si="238"/>
        <v>0</v>
      </c>
      <c r="BE96" s="1065">
        <f t="shared" ca="1" si="238"/>
        <v>0</v>
      </c>
      <c r="BF96" s="1066">
        <f ca="1">SUM(AM96:BE96)</f>
        <v>0</v>
      </c>
      <c r="BH96" s="1067">
        <f ca="1">IFERROR(INDEX(INDIRECT($C96&amp;".Outputs["&amp;this.Year&amp;"]"), MATCH(BH$5, INDIRECT($C96&amp;".Outputs[Vector]"), 0)), 0)</f>
        <v>16.14567764889027</v>
      </c>
      <c r="BI96" s="1067">
        <f ca="1">IFERROR(INDEX(INDIRECT($C96&amp;".Outputs["&amp;this.Year&amp;"]"), MATCH(BI$5, INDIRECT($C96&amp;".Outputs[Vector]"), 0)), 0)</f>
        <v>0</v>
      </c>
      <c r="BJ96" s="1068">
        <f ca="1">SUM(BH96:BI96)</f>
        <v>16.14567764889027</v>
      </c>
      <c r="BL96" s="1958">
        <f ca="1">Q96+AK96+BF96+BJ96</f>
        <v>0</v>
      </c>
      <c r="BM96" s="1958"/>
      <c r="BN96" s="1959"/>
      <c r="BO96" s="1960">
        <f t="shared" ref="BO96:DF96" ca="1" si="239">IFERROR(SUMIFS(INDIRECT($C96&amp;".Emissions["&amp;this.Year&amp;"]"), INDIRECT($C96&amp;".Emissions[GHG]"), BO$6, INDIRECT($C96&amp;".Emissions[IPCC Sector]"), BO$5),0)</f>
        <v>0</v>
      </c>
      <c r="BP96" s="1961">
        <f t="shared" ca="1" si="239"/>
        <v>0</v>
      </c>
      <c r="BQ96" s="1961">
        <f t="shared" ca="1" si="239"/>
        <v>0</v>
      </c>
      <c r="BR96" s="1961">
        <f t="shared" ca="1" si="239"/>
        <v>0</v>
      </c>
      <c r="BS96" s="1961">
        <f t="shared" ca="1" si="239"/>
        <v>0</v>
      </c>
      <c r="BT96" s="1961">
        <f t="shared" ca="1" si="239"/>
        <v>0</v>
      </c>
      <c r="BU96" s="1961">
        <f t="shared" ca="1" si="239"/>
        <v>0</v>
      </c>
      <c r="BV96" s="1961">
        <f t="shared" ca="1" si="239"/>
        <v>0</v>
      </c>
      <c r="BW96" s="1961">
        <f t="shared" ca="1" si="239"/>
        <v>0</v>
      </c>
      <c r="BX96" s="1961">
        <f t="shared" ca="1" si="239"/>
        <v>0</v>
      </c>
      <c r="BY96" s="1961">
        <f t="shared" ca="1" si="239"/>
        <v>0</v>
      </c>
      <c r="BZ96" s="1961">
        <f t="shared" ca="1" si="239"/>
        <v>0</v>
      </c>
      <c r="CA96" s="1961">
        <f t="shared" ca="1" si="239"/>
        <v>0</v>
      </c>
      <c r="CB96" s="1961">
        <f t="shared" ca="1" si="239"/>
        <v>0</v>
      </c>
      <c r="CC96" s="1961">
        <f t="shared" ca="1" si="239"/>
        <v>0</v>
      </c>
      <c r="CD96" s="1961">
        <f t="shared" ca="1" si="239"/>
        <v>0</v>
      </c>
      <c r="CE96" s="1961">
        <f t="shared" ca="1" si="239"/>
        <v>0</v>
      </c>
      <c r="CF96" s="1961">
        <f t="shared" ca="1" si="239"/>
        <v>0</v>
      </c>
      <c r="CG96" s="1961">
        <f t="shared" ca="1" si="239"/>
        <v>0</v>
      </c>
      <c r="CH96" s="1961">
        <f t="shared" ca="1" si="239"/>
        <v>0</v>
      </c>
      <c r="CI96" s="1961">
        <f t="shared" ca="1" si="239"/>
        <v>0</v>
      </c>
      <c r="CJ96" s="1961">
        <f t="shared" ca="1" si="239"/>
        <v>0</v>
      </c>
      <c r="CK96" s="1961">
        <f t="shared" ca="1" si="239"/>
        <v>0</v>
      </c>
      <c r="CL96" s="1961">
        <f t="shared" ca="1" si="239"/>
        <v>0</v>
      </c>
      <c r="CM96" s="1961">
        <f t="shared" ca="1" si="239"/>
        <v>0</v>
      </c>
      <c r="CN96" s="1961">
        <f t="shared" ca="1" si="239"/>
        <v>0</v>
      </c>
      <c r="CO96" s="1961">
        <f t="shared" ca="1" si="239"/>
        <v>0</v>
      </c>
      <c r="CP96" s="1961">
        <f t="shared" ca="1" si="239"/>
        <v>0</v>
      </c>
      <c r="CQ96" s="1961">
        <f t="shared" ca="1" si="239"/>
        <v>0</v>
      </c>
      <c r="CR96" s="1961">
        <f t="shared" ca="1" si="239"/>
        <v>0</v>
      </c>
      <c r="CS96" s="1961">
        <f t="shared" ca="1" si="239"/>
        <v>0</v>
      </c>
      <c r="CT96" s="1961">
        <f t="shared" ca="1" si="239"/>
        <v>0</v>
      </c>
      <c r="CU96" s="1961">
        <f t="shared" ca="1" si="239"/>
        <v>0</v>
      </c>
      <c r="CV96" s="1961">
        <f t="shared" ca="1" si="239"/>
        <v>0</v>
      </c>
      <c r="CW96" s="1961">
        <f t="shared" ca="1" si="239"/>
        <v>0</v>
      </c>
      <c r="CX96" s="1961">
        <f t="shared" ca="1" si="239"/>
        <v>0</v>
      </c>
      <c r="CY96" s="1961">
        <f t="shared" ca="1" si="239"/>
        <v>-19.950598699314604</v>
      </c>
      <c r="CZ96" s="1961">
        <f t="shared" ca="1" si="239"/>
        <v>0</v>
      </c>
      <c r="DA96" s="1961">
        <f t="shared" ca="1" si="239"/>
        <v>0</v>
      </c>
      <c r="DB96" s="1961">
        <f t="shared" ca="1" si="239"/>
        <v>0</v>
      </c>
      <c r="DC96" s="1961">
        <f t="shared" ca="1" si="239"/>
        <v>0</v>
      </c>
      <c r="DD96" s="1961">
        <f t="shared" ca="1" si="239"/>
        <v>0</v>
      </c>
      <c r="DE96" s="1961">
        <f t="shared" ca="1" si="239"/>
        <v>0</v>
      </c>
      <c r="DF96" s="1961">
        <f t="shared" ca="1" si="239"/>
        <v>0</v>
      </c>
      <c r="DH96" s="1962">
        <f t="shared" ca="1" si="234"/>
        <v>-19.950598699314604</v>
      </c>
    </row>
    <row r="97" spans="1:112" s="1491" customFormat="1" ht="12.75" hidden="1" customHeight="1" outlineLevel="1">
      <c r="C97" s="1534" t="s">
        <v>1724</v>
      </c>
      <c r="D97" s="1535" t="s">
        <v>1665</v>
      </c>
      <c r="E97" s="1535"/>
      <c r="G97" s="1070"/>
      <c r="H97" s="1070"/>
      <c r="I97" s="1070"/>
      <c r="J97" s="1070"/>
      <c r="K97" s="1071"/>
      <c r="L97" s="1070"/>
      <c r="M97" s="1070"/>
      <c r="N97" s="1070"/>
      <c r="O97" s="1070"/>
      <c r="P97" s="1070"/>
      <c r="Q97" s="1070"/>
      <c r="S97" s="1072"/>
      <c r="T97" s="1072"/>
      <c r="U97" s="1072">
        <f ca="1">U$95+U$96</f>
        <v>-198.33006664616767</v>
      </c>
      <c r="V97" s="1072">
        <f ca="1">V$95+V$96</f>
        <v>-855.22014535591404</v>
      </c>
      <c r="W97" s="1072">
        <f ca="1">W$95+W$96</f>
        <v>-1233.9324129514685</v>
      </c>
      <c r="X97" s="1072"/>
      <c r="Y97" s="1072"/>
      <c r="Z97" s="1072"/>
      <c r="AA97" s="1072"/>
      <c r="AB97" s="1072"/>
      <c r="AC97" s="1072">
        <f t="shared" ref="AC97:AH97" ca="1" si="240">AC$95+AC$96</f>
        <v>0</v>
      </c>
      <c r="AD97" s="1072">
        <f t="shared" ca="1" si="240"/>
        <v>0</v>
      </c>
      <c r="AE97" s="1072">
        <f t="shared" ca="1" si="240"/>
        <v>0</v>
      </c>
      <c r="AF97" s="1072">
        <f t="shared" ca="1" si="240"/>
        <v>0</v>
      </c>
      <c r="AG97" s="1072">
        <f t="shared" ca="1" si="240"/>
        <v>0</v>
      </c>
      <c r="AH97" s="1072">
        <f t="shared" ca="1" si="240"/>
        <v>0</v>
      </c>
      <c r="AI97" s="1072"/>
      <c r="AJ97" s="1072"/>
      <c r="AK97" s="1072"/>
      <c r="AM97" s="1073"/>
      <c r="AN97" s="1073"/>
      <c r="AO97" s="1073"/>
      <c r="AP97" s="1073"/>
      <c r="AQ97" s="1073"/>
      <c r="AR97" s="1073"/>
      <c r="AS97" s="1073"/>
      <c r="AT97" s="1073"/>
      <c r="AU97" s="1073"/>
      <c r="AV97" s="1073"/>
      <c r="AW97" s="1073"/>
      <c r="AX97" s="1073"/>
      <c r="AY97" s="1073"/>
      <c r="AZ97" s="1073"/>
      <c r="BA97" s="1073"/>
      <c r="BB97" s="1073"/>
      <c r="BC97" s="1073"/>
      <c r="BD97" s="1073"/>
      <c r="BE97" s="1073">
        <f ca="1">BE42+BE49+BE53</f>
        <v>-122.55053450376231</v>
      </c>
      <c r="BF97" s="1073">
        <f ca="1">SUM(AM97:BE97)</f>
        <v>-122.55053450376231</v>
      </c>
      <c r="BH97" s="1074"/>
      <c r="BI97" s="1074"/>
      <c r="BJ97" s="1074"/>
      <c r="BL97" s="1536"/>
      <c r="BM97" s="1536"/>
      <c r="BN97" s="1537"/>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8"/>
      <c r="CP97" s="1538"/>
      <c r="CQ97" s="1538"/>
      <c r="CR97" s="1538"/>
      <c r="CS97" s="1538"/>
      <c r="CT97" s="1538"/>
      <c r="CU97" s="1538"/>
      <c r="CV97" s="1538"/>
      <c r="CW97" s="1538"/>
      <c r="CX97" s="1538"/>
      <c r="CY97" s="1538"/>
      <c r="CZ97" s="1538"/>
      <c r="DA97" s="1538"/>
      <c r="DB97" s="1538"/>
      <c r="DC97" s="1538"/>
      <c r="DD97" s="1538"/>
      <c r="DE97" s="1538"/>
      <c r="DF97" s="1538"/>
      <c r="DH97" s="1537">
        <f>SUM(BO97:DF97)</f>
        <v>0</v>
      </c>
    </row>
    <row r="98" spans="1:112" s="743" customFormat="1" ht="12.75" hidden="1" customHeight="1" outlineLevel="1">
      <c r="A98" s="1484"/>
      <c r="B98" s="1484"/>
      <c r="C98" s="746" t="s">
        <v>1695</v>
      </c>
      <c r="D98" s="1010" t="str">
        <f>INDEX(Modules[Module], MATCH($C98, Modules[Code], 0))</f>
        <v>Bioenergy imports</v>
      </c>
      <c r="E98" s="1010"/>
      <c r="G98" s="1022">
        <f t="shared" ref="G98:P98" ca="1" si="241">IFERROR(INDEX(INDIRECT($C98&amp;".Outputs["&amp;this.Year&amp;"]"), MATCH(G$5, INDIRECT($C98&amp;".Outputs[Vector]"), 0)), 0)</f>
        <v>0</v>
      </c>
      <c r="H98" s="1022">
        <f t="shared" ca="1" si="241"/>
        <v>0</v>
      </c>
      <c r="I98" s="1022">
        <f t="shared" ca="1" si="241"/>
        <v>0</v>
      </c>
      <c r="J98" s="1022">
        <f t="shared" ca="1" si="241"/>
        <v>0</v>
      </c>
      <c r="K98" s="1022">
        <f t="shared" ca="1" si="241"/>
        <v>0</v>
      </c>
      <c r="L98" s="1022">
        <f t="shared" ca="1" si="241"/>
        <v>0</v>
      </c>
      <c r="M98" s="1022">
        <f t="shared" ca="1" si="241"/>
        <v>0</v>
      </c>
      <c r="N98" s="1022">
        <f t="shared" ca="1" si="241"/>
        <v>0</v>
      </c>
      <c r="O98" s="1022">
        <f t="shared" ca="1" si="241"/>
        <v>0</v>
      </c>
      <c r="P98" s="1022">
        <f t="shared" ca="1" si="241"/>
        <v>0</v>
      </c>
      <c r="Q98" s="1020">
        <f ca="1">SUM(G98:P98)</f>
        <v>0</v>
      </c>
      <c r="S98" s="1031">
        <f t="shared" ref="S98:AJ98" ca="1" si="242">IFERROR(INDEX(INDIRECT($C98&amp;".Outputs["&amp;this.Year&amp;"]"), MATCH(S$5, INDIRECT($C98&amp;".Outputs[Vector]"), 0)), 0)</f>
        <v>0</v>
      </c>
      <c r="T98" s="1031">
        <f t="shared" ca="1" si="242"/>
        <v>0</v>
      </c>
      <c r="U98" s="1031">
        <f t="shared" ca="1" si="242"/>
        <v>3.0670744186046512</v>
      </c>
      <c r="V98" s="1031">
        <f t="shared" ca="1" si="242"/>
        <v>-0.27587441860465117</v>
      </c>
      <c r="W98" s="1031">
        <f t="shared" ca="1" si="242"/>
        <v>0</v>
      </c>
      <c r="X98" s="1031">
        <f t="shared" ca="1" si="242"/>
        <v>0</v>
      </c>
      <c r="Y98" s="1031">
        <f t="shared" ca="1" si="242"/>
        <v>0</v>
      </c>
      <c r="Z98" s="1031">
        <f t="shared" ca="1" si="242"/>
        <v>0</v>
      </c>
      <c r="AA98" s="1031">
        <f t="shared" ca="1" si="242"/>
        <v>0</v>
      </c>
      <c r="AB98" s="1031">
        <f t="shared" ca="1" si="242"/>
        <v>0</v>
      </c>
      <c r="AC98" s="1031">
        <f t="shared" ca="1" si="242"/>
        <v>0</v>
      </c>
      <c r="AD98" s="1031">
        <f t="shared" ca="1" si="242"/>
        <v>0</v>
      </c>
      <c r="AE98" s="1031">
        <f t="shared" ca="1" si="242"/>
        <v>0</v>
      </c>
      <c r="AF98" s="1031">
        <f t="shared" ca="1" si="242"/>
        <v>0</v>
      </c>
      <c r="AG98" s="1031">
        <f t="shared" ca="1" si="242"/>
        <v>0</v>
      </c>
      <c r="AH98" s="1031">
        <f t="shared" ca="1" si="242"/>
        <v>0</v>
      </c>
      <c r="AI98" s="1031">
        <f t="shared" ca="1" si="242"/>
        <v>0</v>
      </c>
      <c r="AJ98" s="1031">
        <f t="shared" ca="1" si="242"/>
        <v>0</v>
      </c>
      <c r="AK98" s="1030">
        <f ca="1">SUM(S98:AJ98)</f>
        <v>2.7911999999999999</v>
      </c>
      <c r="AM98" s="1042">
        <f t="shared" ref="AM98:BE98" ca="1" si="243">IFERROR(INDEX(INDIRECT($C98&amp;".Outputs["&amp;this.Year&amp;"]"), MATCH(AM$5, INDIRECT($C98&amp;".Outputs[Vector]"), 0)), 0)</f>
        <v>0</v>
      </c>
      <c r="AN98" s="1042">
        <f t="shared" ca="1" si="243"/>
        <v>0</v>
      </c>
      <c r="AO98" s="1042">
        <f t="shared" ca="1" si="243"/>
        <v>0</v>
      </c>
      <c r="AP98" s="1042">
        <f t="shared" ca="1" si="243"/>
        <v>-2.7911999999999999</v>
      </c>
      <c r="AQ98" s="1042">
        <f t="shared" ca="1" si="243"/>
        <v>0</v>
      </c>
      <c r="AR98" s="1042">
        <f t="shared" ca="1" si="243"/>
        <v>0</v>
      </c>
      <c r="AS98" s="1042">
        <f t="shared" ca="1" si="243"/>
        <v>0</v>
      </c>
      <c r="AT98" s="1042">
        <f t="shared" ca="1" si="243"/>
        <v>0</v>
      </c>
      <c r="AU98" s="1042">
        <f t="shared" ca="1" si="243"/>
        <v>0</v>
      </c>
      <c r="AV98" s="1042">
        <f t="shared" ca="1" si="243"/>
        <v>0</v>
      </c>
      <c r="AW98" s="1042">
        <f t="shared" ca="1" si="243"/>
        <v>0</v>
      </c>
      <c r="AX98" s="1042">
        <f t="shared" ca="1" si="243"/>
        <v>0</v>
      </c>
      <c r="AY98" s="1042">
        <f t="shared" ca="1" si="243"/>
        <v>0</v>
      </c>
      <c r="AZ98" s="1042">
        <f t="shared" ca="1" si="243"/>
        <v>0</v>
      </c>
      <c r="BA98" s="1042">
        <f t="shared" ca="1" si="243"/>
        <v>0</v>
      </c>
      <c r="BB98" s="1042">
        <f t="shared" ca="1" si="243"/>
        <v>0</v>
      </c>
      <c r="BC98" s="1042">
        <f t="shared" ca="1" si="243"/>
        <v>0</v>
      </c>
      <c r="BD98" s="1042">
        <f t="shared" ca="1" si="243"/>
        <v>0</v>
      </c>
      <c r="BE98" s="1042">
        <f t="shared" ca="1" si="243"/>
        <v>0</v>
      </c>
      <c r="BF98" s="1012">
        <f ca="1">SUM(AM98:BE98)</f>
        <v>-2.7911999999999999</v>
      </c>
      <c r="BH98" s="1036">
        <f ca="1">IFERROR(INDEX(INDIRECT($C98&amp;".Outputs["&amp;this.Year&amp;"]"), MATCH(BH$5, INDIRECT($C98&amp;".Outputs[Vector]"), 0)), 0)</f>
        <v>0</v>
      </c>
      <c r="BI98" s="1036">
        <f ca="1">IFERROR(INDEX(INDIRECT($C98&amp;".Outputs["&amp;this.Year&amp;"]"), MATCH(BI$5, INDIRECT($C98&amp;".Outputs[Vector]"), 0)), 0)</f>
        <v>0</v>
      </c>
      <c r="BJ98" s="1035">
        <f ca="1">SUM(BH98:BI98)</f>
        <v>0</v>
      </c>
      <c r="BL98" s="814">
        <f ca="1">Q98+AK98+BF98+BJ98</f>
        <v>0</v>
      </c>
      <c r="BM98" s="814"/>
      <c r="BN98" s="840"/>
      <c r="BO98" s="1485">
        <f t="shared" ref="BO98:DF98" ca="1" si="244">IFERROR(SUMIFS(INDIRECT($C98&amp;".Emissions["&amp;this.Year&amp;"]"), INDIRECT($C98&amp;".Emissions[GHG]"), BO$6, INDIRECT($C98&amp;".Emissions[IPCC Sector]"), BO$5),0)</f>
        <v>0</v>
      </c>
      <c r="BP98" s="1486">
        <f t="shared" ca="1" si="244"/>
        <v>0</v>
      </c>
      <c r="BQ98" s="1486">
        <f t="shared" ca="1" si="244"/>
        <v>0</v>
      </c>
      <c r="BR98" s="1486">
        <f t="shared" ca="1" si="244"/>
        <v>0</v>
      </c>
      <c r="BS98" s="1486">
        <f t="shared" ca="1" si="244"/>
        <v>0</v>
      </c>
      <c r="BT98" s="1486">
        <f t="shared" ca="1" si="244"/>
        <v>0</v>
      </c>
      <c r="BU98" s="1486">
        <f t="shared" ca="1" si="244"/>
        <v>0</v>
      </c>
      <c r="BV98" s="1486">
        <f t="shared" ca="1" si="244"/>
        <v>0</v>
      </c>
      <c r="BW98" s="1486">
        <f t="shared" ca="1" si="244"/>
        <v>0</v>
      </c>
      <c r="BX98" s="1486">
        <f t="shared" ca="1" si="244"/>
        <v>0</v>
      </c>
      <c r="BY98" s="1486">
        <f t="shared" ca="1" si="244"/>
        <v>0</v>
      </c>
      <c r="BZ98" s="1486">
        <f t="shared" ca="1" si="244"/>
        <v>0</v>
      </c>
      <c r="CA98" s="1486">
        <f t="shared" ca="1" si="244"/>
        <v>0</v>
      </c>
      <c r="CB98" s="1486">
        <f t="shared" ca="1" si="244"/>
        <v>0</v>
      </c>
      <c r="CC98" s="1486">
        <f t="shared" ca="1" si="244"/>
        <v>0</v>
      </c>
      <c r="CD98" s="1486">
        <f t="shared" ca="1" si="244"/>
        <v>0</v>
      </c>
      <c r="CE98" s="1486">
        <f t="shared" ca="1" si="244"/>
        <v>0</v>
      </c>
      <c r="CF98" s="1486">
        <f t="shared" ca="1" si="244"/>
        <v>0</v>
      </c>
      <c r="CG98" s="1486">
        <f t="shared" ca="1" si="244"/>
        <v>0</v>
      </c>
      <c r="CH98" s="1486">
        <f t="shared" ca="1" si="244"/>
        <v>0</v>
      </c>
      <c r="CI98" s="1486">
        <f t="shared" ca="1" si="244"/>
        <v>0</v>
      </c>
      <c r="CJ98" s="1486">
        <f t="shared" ca="1" si="244"/>
        <v>0</v>
      </c>
      <c r="CK98" s="1486">
        <f t="shared" ca="1" si="244"/>
        <v>0</v>
      </c>
      <c r="CL98" s="1486">
        <f t="shared" ca="1" si="244"/>
        <v>0</v>
      </c>
      <c r="CM98" s="1486">
        <f t="shared" ca="1" si="244"/>
        <v>0</v>
      </c>
      <c r="CN98" s="1486">
        <f t="shared" ca="1" si="244"/>
        <v>0</v>
      </c>
      <c r="CO98" s="1486">
        <f t="shared" ca="1" si="244"/>
        <v>0</v>
      </c>
      <c r="CP98" s="1486">
        <f t="shared" ca="1" si="244"/>
        <v>0</v>
      </c>
      <c r="CQ98" s="1486">
        <f t="shared" ca="1" si="244"/>
        <v>0</v>
      </c>
      <c r="CR98" s="1486">
        <f t="shared" ca="1" si="244"/>
        <v>0</v>
      </c>
      <c r="CS98" s="1486">
        <f t="shared" ca="1" si="244"/>
        <v>0</v>
      </c>
      <c r="CT98" s="1486">
        <f t="shared" ca="1" si="244"/>
        <v>0</v>
      </c>
      <c r="CU98" s="1486">
        <f t="shared" ca="1" si="244"/>
        <v>0</v>
      </c>
      <c r="CV98" s="1486">
        <f t="shared" ca="1" si="244"/>
        <v>0</v>
      </c>
      <c r="CW98" s="1486">
        <f t="shared" ca="1" si="244"/>
        <v>0</v>
      </c>
      <c r="CX98" s="1486">
        <f t="shared" ca="1" si="244"/>
        <v>0</v>
      </c>
      <c r="CY98" s="1486">
        <f t="shared" ca="1" si="244"/>
        <v>-0.87569031627906957</v>
      </c>
      <c r="CZ98" s="1486">
        <f t="shared" ca="1" si="244"/>
        <v>0</v>
      </c>
      <c r="DA98" s="1486">
        <f t="shared" ca="1" si="244"/>
        <v>0</v>
      </c>
      <c r="DB98" s="1486">
        <f t="shared" ca="1" si="244"/>
        <v>0</v>
      </c>
      <c r="DC98" s="1486">
        <f t="shared" ca="1" si="244"/>
        <v>0</v>
      </c>
      <c r="DD98" s="1486">
        <f t="shared" ca="1" si="244"/>
        <v>0</v>
      </c>
      <c r="DE98" s="1486">
        <f t="shared" ca="1" si="244"/>
        <v>0</v>
      </c>
      <c r="DF98" s="1486">
        <f t="shared" ca="1" si="244"/>
        <v>0</v>
      </c>
      <c r="DH98" s="838">
        <f ca="1">SUM(BO98:DF98)</f>
        <v>-0.87569031627906957</v>
      </c>
    </row>
    <row r="99" spans="1:112" s="743" customFormat="1" ht="15.75" collapsed="1">
      <c r="A99" s="22"/>
      <c r="B99" s="753"/>
      <c r="C99" s="744" t="s">
        <v>671</v>
      </c>
      <c r="D99" s="517" t="str">
        <f>INDEX(Workstreams[Workstream], MATCH($C99, Workstreams[Code], 0))</f>
        <v>Bioenergy</v>
      </c>
      <c r="E99" s="512"/>
      <c r="G99" s="1021">
        <f ca="1">G$96+G98</f>
        <v>0</v>
      </c>
      <c r="H99" s="1021">
        <f t="shared" ref="H99:P99" ca="1" si="245">H$96+H98</f>
        <v>0</v>
      </c>
      <c r="I99" s="1021">
        <f t="shared" ca="1" si="245"/>
        <v>0</v>
      </c>
      <c r="J99" s="1021">
        <f t="shared" ca="1" si="245"/>
        <v>0</v>
      </c>
      <c r="K99" s="1021">
        <f t="shared" ca="1" si="245"/>
        <v>0</v>
      </c>
      <c r="L99" s="1021">
        <f t="shared" ca="1" si="245"/>
        <v>0</v>
      </c>
      <c r="M99" s="1021">
        <f t="shared" ca="1" si="245"/>
        <v>0</v>
      </c>
      <c r="N99" s="1021">
        <f t="shared" ca="1" si="245"/>
        <v>0</v>
      </c>
      <c r="O99" s="1021">
        <f t="shared" ca="1" si="245"/>
        <v>0</v>
      </c>
      <c r="P99" s="1021">
        <f t="shared" ca="1" si="245"/>
        <v>0</v>
      </c>
      <c r="Q99" s="1021">
        <f ca="1">SUM(G99:P99)</f>
        <v>0</v>
      </c>
      <c r="S99" s="970">
        <f t="shared" ref="S99:AJ99" ca="1" si="246">S$96+S98</f>
        <v>0</v>
      </c>
      <c r="T99" s="970">
        <f t="shared" ca="1" si="246"/>
        <v>0</v>
      </c>
      <c r="U99" s="970">
        <f t="shared" ca="1" si="246"/>
        <v>33.71003433917663</v>
      </c>
      <c r="V99" s="970">
        <f t="shared" ca="1" si="246"/>
        <v>9.3251748103922427</v>
      </c>
      <c r="W99" s="970">
        <f t="shared" ca="1" si="246"/>
        <v>44.08861269852833</v>
      </c>
      <c r="X99" s="970">
        <f t="shared" ca="1" si="246"/>
        <v>0</v>
      </c>
      <c r="Y99" s="970">
        <f t="shared" ca="1" si="246"/>
        <v>0</v>
      </c>
      <c r="Z99" s="970">
        <f t="shared" ca="1" si="246"/>
        <v>0</v>
      </c>
      <c r="AA99" s="970">
        <f t="shared" ca="1" si="246"/>
        <v>0</v>
      </c>
      <c r="AB99" s="970">
        <f t="shared" ca="1" si="246"/>
        <v>0</v>
      </c>
      <c r="AC99" s="970">
        <f t="shared" ca="1" si="246"/>
        <v>0</v>
      </c>
      <c r="AD99" s="970">
        <f ca="1">AD$96+AD98</f>
        <v>-14.367659141861198</v>
      </c>
      <c r="AE99" s="970">
        <f ca="1">AE$96+AE98</f>
        <v>-1.3088625103410589</v>
      </c>
      <c r="AF99" s="970">
        <f t="shared" ca="1" si="246"/>
        <v>-34.047733245079975</v>
      </c>
      <c r="AG99" s="970">
        <f t="shared" ca="1" si="246"/>
        <v>-33.327159505884616</v>
      </c>
      <c r="AH99" s="970">
        <f ca="1">AH$96+AH98</f>
        <v>-17.426885093820637</v>
      </c>
      <c r="AI99" s="970">
        <f t="shared" ca="1" si="246"/>
        <v>0</v>
      </c>
      <c r="AJ99" s="970">
        <f t="shared" ca="1" si="246"/>
        <v>0</v>
      </c>
      <c r="AK99" s="970">
        <f ca="1">SUM(S99:AJ99)</f>
        <v>-13.354477648890274</v>
      </c>
      <c r="AM99" s="976">
        <f t="shared" ref="AM99:BE99" ca="1" si="247">AM$96+AM98</f>
        <v>0</v>
      </c>
      <c r="AN99" s="976">
        <f t="shared" ca="1" si="247"/>
        <v>0</v>
      </c>
      <c r="AO99" s="976">
        <f t="shared" ca="1" si="247"/>
        <v>0</v>
      </c>
      <c r="AP99" s="976">
        <f t="shared" ca="1" si="247"/>
        <v>-2.7911999999999999</v>
      </c>
      <c r="AQ99" s="976">
        <f t="shared" ca="1" si="247"/>
        <v>0</v>
      </c>
      <c r="AR99" s="976">
        <f t="shared" ca="1" si="247"/>
        <v>0</v>
      </c>
      <c r="AS99" s="976">
        <f t="shared" ca="1" si="247"/>
        <v>0</v>
      </c>
      <c r="AT99" s="976">
        <f t="shared" ca="1" si="247"/>
        <v>0</v>
      </c>
      <c r="AU99" s="976">
        <f t="shared" ca="1" si="247"/>
        <v>0</v>
      </c>
      <c r="AV99" s="976">
        <f t="shared" ca="1" si="247"/>
        <v>0</v>
      </c>
      <c r="AW99" s="976">
        <f t="shared" ca="1" si="247"/>
        <v>0</v>
      </c>
      <c r="AX99" s="976">
        <f t="shared" ca="1" si="247"/>
        <v>0</v>
      </c>
      <c r="AY99" s="976">
        <f t="shared" ca="1" si="247"/>
        <v>0</v>
      </c>
      <c r="AZ99" s="976">
        <f t="shared" ca="1" si="247"/>
        <v>0</v>
      </c>
      <c r="BA99" s="976">
        <f t="shared" ca="1" si="247"/>
        <v>0</v>
      </c>
      <c r="BB99" s="976">
        <f t="shared" ca="1" si="247"/>
        <v>0</v>
      </c>
      <c r="BC99" s="976">
        <f t="shared" ca="1" si="247"/>
        <v>0</v>
      </c>
      <c r="BD99" s="976">
        <f t="shared" ca="1" si="247"/>
        <v>0</v>
      </c>
      <c r="BE99" s="976">
        <f t="shared" ca="1" si="247"/>
        <v>0</v>
      </c>
      <c r="BF99" s="976">
        <f ca="1">SUM(AM99:BE99)</f>
        <v>-2.7911999999999999</v>
      </c>
      <c r="BH99" s="990">
        <f ca="1">BH$96+BH98</f>
        <v>16.14567764889027</v>
      </c>
      <c r="BI99" s="990">
        <f ca="1">BI$96+BI98</f>
        <v>0</v>
      </c>
      <c r="BJ99" s="990">
        <f ca="1">SUM(BH99:BI99)</f>
        <v>16.14567764889027</v>
      </c>
      <c r="BL99" s="515">
        <f ca="1">Q99+AK99+BF99+BJ99</f>
        <v>0</v>
      </c>
      <c r="BM99" s="515"/>
      <c r="BN99" s="840"/>
      <c r="BO99" s="1482">
        <f t="shared" ref="BO99:DF99" ca="1" si="248">BO$96+BO98</f>
        <v>0</v>
      </c>
      <c r="BP99" s="1482">
        <f t="shared" ca="1" si="248"/>
        <v>0</v>
      </c>
      <c r="BQ99" s="1482">
        <f t="shared" ca="1" si="248"/>
        <v>0</v>
      </c>
      <c r="BR99" s="1482">
        <f t="shared" ca="1" si="248"/>
        <v>0</v>
      </c>
      <c r="BS99" s="1482">
        <f t="shared" ca="1" si="248"/>
        <v>0</v>
      </c>
      <c r="BT99" s="1482">
        <f t="shared" ca="1" si="248"/>
        <v>0</v>
      </c>
      <c r="BU99" s="1482">
        <f t="shared" ca="1" si="248"/>
        <v>0</v>
      </c>
      <c r="BV99" s="1482">
        <f t="shared" ca="1" si="248"/>
        <v>0</v>
      </c>
      <c r="BW99" s="1482">
        <f t="shared" ca="1" si="248"/>
        <v>0</v>
      </c>
      <c r="BX99" s="1482">
        <f t="shared" ca="1" si="248"/>
        <v>0</v>
      </c>
      <c r="BY99" s="1482">
        <f t="shared" ca="1" si="248"/>
        <v>0</v>
      </c>
      <c r="BZ99" s="1482">
        <f t="shared" ca="1" si="248"/>
        <v>0</v>
      </c>
      <c r="CA99" s="1482">
        <f t="shared" ca="1" si="248"/>
        <v>0</v>
      </c>
      <c r="CB99" s="1482">
        <f t="shared" ca="1" si="248"/>
        <v>0</v>
      </c>
      <c r="CC99" s="1482">
        <f t="shared" ca="1" si="248"/>
        <v>0</v>
      </c>
      <c r="CD99" s="1482">
        <f t="shared" ca="1" si="248"/>
        <v>0</v>
      </c>
      <c r="CE99" s="1482">
        <f t="shared" ca="1" si="248"/>
        <v>0</v>
      </c>
      <c r="CF99" s="1482">
        <f t="shared" ca="1" si="248"/>
        <v>0</v>
      </c>
      <c r="CG99" s="1482">
        <f t="shared" ca="1" si="248"/>
        <v>0</v>
      </c>
      <c r="CH99" s="1482">
        <f t="shared" ca="1" si="248"/>
        <v>0</v>
      </c>
      <c r="CI99" s="1482">
        <f t="shared" ca="1" si="248"/>
        <v>0</v>
      </c>
      <c r="CJ99" s="1482">
        <f t="shared" ca="1" si="248"/>
        <v>0</v>
      </c>
      <c r="CK99" s="1482">
        <f t="shared" ca="1" si="248"/>
        <v>0</v>
      </c>
      <c r="CL99" s="1482">
        <f t="shared" ca="1" si="248"/>
        <v>0</v>
      </c>
      <c r="CM99" s="1482">
        <f t="shared" ca="1" si="248"/>
        <v>0</v>
      </c>
      <c r="CN99" s="1482">
        <f t="shared" ca="1" si="248"/>
        <v>0</v>
      </c>
      <c r="CO99" s="1482">
        <f t="shared" ca="1" si="248"/>
        <v>0</v>
      </c>
      <c r="CP99" s="1482">
        <f t="shared" ca="1" si="248"/>
        <v>0</v>
      </c>
      <c r="CQ99" s="1482">
        <f t="shared" ca="1" si="248"/>
        <v>0</v>
      </c>
      <c r="CR99" s="1482">
        <f t="shared" ca="1" si="248"/>
        <v>0</v>
      </c>
      <c r="CS99" s="1482">
        <f t="shared" ca="1" si="248"/>
        <v>0</v>
      </c>
      <c r="CT99" s="1482">
        <f t="shared" ca="1" si="248"/>
        <v>0</v>
      </c>
      <c r="CU99" s="1482">
        <f t="shared" ca="1" si="248"/>
        <v>0</v>
      </c>
      <c r="CV99" s="1482">
        <f t="shared" ca="1" si="248"/>
        <v>0</v>
      </c>
      <c r="CW99" s="1482">
        <f t="shared" ca="1" si="248"/>
        <v>0</v>
      </c>
      <c r="CX99" s="1482">
        <f t="shared" ca="1" si="248"/>
        <v>0</v>
      </c>
      <c r="CY99" s="1482">
        <f t="shared" ca="1" si="248"/>
        <v>-20.826289015593673</v>
      </c>
      <c r="CZ99" s="1482">
        <f t="shared" ca="1" si="248"/>
        <v>0</v>
      </c>
      <c r="DA99" s="1482">
        <f t="shared" ca="1" si="248"/>
        <v>0</v>
      </c>
      <c r="DB99" s="1482">
        <f t="shared" ca="1" si="248"/>
        <v>0</v>
      </c>
      <c r="DC99" s="1482">
        <f t="shared" ca="1" si="248"/>
        <v>0</v>
      </c>
      <c r="DD99" s="1482">
        <f t="shared" ca="1" si="248"/>
        <v>0</v>
      </c>
      <c r="DE99" s="1482">
        <f t="shared" ca="1" si="248"/>
        <v>0</v>
      </c>
      <c r="DF99" s="1482">
        <f t="shared" ca="1" si="248"/>
        <v>0</v>
      </c>
      <c r="DH99" s="838">
        <f t="shared" ca="1" si="234"/>
        <v>-20.826289015593673</v>
      </c>
    </row>
    <row r="100" spans="1:112" s="22" customFormat="1" ht="12.75" hidden="1" customHeight="1" outlineLevel="1">
      <c r="B100" s="753"/>
      <c r="C100" s="744"/>
      <c r="D100" s="517"/>
      <c r="E100" s="512"/>
      <c r="F100" s="743"/>
      <c r="G100" s="958"/>
      <c r="H100" s="958"/>
      <c r="I100" s="958"/>
      <c r="J100" s="958"/>
      <c r="K100" s="960"/>
      <c r="L100" s="958"/>
      <c r="M100" s="958"/>
      <c r="N100" s="958"/>
      <c r="O100" s="958"/>
      <c r="P100" s="958"/>
      <c r="Q100" s="1021"/>
      <c r="R100" s="743"/>
      <c r="S100" s="970"/>
      <c r="T100" s="970"/>
      <c r="U100" s="970"/>
      <c r="V100" s="970"/>
      <c r="W100" s="970"/>
      <c r="X100" s="970"/>
      <c r="Y100" s="970"/>
      <c r="Z100" s="970"/>
      <c r="AA100" s="970"/>
      <c r="AB100" s="970"/>
      <c r="AC100" s="970"/>
      <c r="AD100" s="970"/>
      <c r="AE100" s="970"/>
      <c r="AF100" s="970"/>
      <c r="AG100" s="970"/>
      <c r="AH100" s="970"/>
      <c r="AI100" s="970"/>
      <c r="AJ100" s="970"/>
      <c r="AK100" s="970"/>
      <c r="AL100" s="743"/>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743"/>
      <c r="BH100" s="990"/>
      <c r="BI100" s="990"/>
      <c r="BJ100" s="990"/>
      <c r="BK100" s="743"/>
      <c r="BL100" s="515"/>
      <c r="BM100" s="515"/>
      <c r="BO100" s="1482"/>
      <c r="BP100" s="1482"/>
      <c r="BQ100" s="1482"/>
      <c r="BR100" s="1482"/>
      <c r="BS100" s="1482"/>
      <c r="BT100" s="1482"/>
      <c r="BU100" s="1482"/>
      <c r="BV100" s="1482"/>
      <c r="BW100" s="1482"/>
      <c r="BX100" s="1482"/>
      <c r="BY100" s="1482"/>
      <c r="BZ100" s="1482"/>
      <c r="CA100" s="1482"/>
      <c r="CB100" s="1482"/>
      <c r="CC100" s="1482"/>
      <c r="CD100" s="1482"/>
      <c r="CE100" s="1482"/>
      <c r="CF100" s="1482"/>
      <c r="CG100" s="1482"/>
      <c r="CH100" s="1482"/>
      <c r="CI100" s="1482"/>
      <c r="CJ100" s="1482"/>
      <c r="CK100" s="1482"/>
      <c r="CL100" s="1482"/>
      <c r="CM100" s="1482"/>
      <c r="CN100" s="1482"/>
      <c r="CO100" s="1482"/>
      <c r="CP100" s="1482"/>
      <c r="CQ100" s="1482"/>
      <c r="CR100" s="1482"/>
      <c r="CS100" s="1482"/>
      <c r="CT100" s="1482"/>
      <c r="CU100" s="1482"/>
      <c r="CV100" s="1482"/>
      <c r="CW100" s="1482"/>
      <c r="CX100" s="1482"/>
      <c r="CY100" s="1482"/>
      <c r="CZ100" s="1482"/>
      <c r="DA100" s="1482"/>
      <c r="DB100" s="1482"/>
      <c r="DC100" s="1482"/>
      <c r="DD100" s="1482"/>
      <c r="DE100" s="1482"/>
      <c r="DF100" s="1482"/>
      <c r="DH100" s="838">
        <f t="shared" si="234"/>
        <v>0</v>
      </c>
    </row>
    <row r="101" spans="1:112" s="1488" customFormat="1" ht="12.75" hidden="1" customHeight="1" outlineLevel="1">
      <c r="C101" s="1048" t="s">
        <v>1725</v>
      </c>
      <c r="D101" s="851" t="s">
        <v>1224</v>
      </c>
      <c r="E101" s="851"/>
      <c r="G101" s="1070"/>
      <c r="H101" s="1070"/>
      <c r="I101" s="1070"/>
      <c r="J101" s="1070"/>
      <c r="K101" s="1071"/>
      <c r="L101" s="1070"/>
      <c r="M101" s="1070"/>
      <c r="N101" s="1070"/>
      <c r="O101" s="1070"/>
      <c r="P101" s="1070"/>
      <c r="Q101" s="1478"/>
      <c r="R101" s="1491"/>
      <c r="S101" s="1072">
        <f ca="1">(S$40+S$84+S$93+S$99)</f>
        <v>-382.28449716625596</v>
      </c>
      <c r="T101" s="1072">
        <f ca="1">(T$40+T$84+T$93+T$99)</f>
        <v>382.28449716625602</v>
      </c>
      <c r="U101" s="1072">
        <f ca="1">(U$40+U$84+U$93+U$99)</f>
        <v>-195.26299222756302</v>
      </c>
      <c r="V101" s="1072">
        <f ca="1">(V$40+V$84+V$93+V$99)</f>
        <v>-855.49601977451869</v>
      </c>
      <c r="W101" s="1072">
        <f ca="1">(W$40+W$84+W$93+W$99)</f>
        <v>-1233.9324129514685</v>
      </c>
      <c r="X101" s="1072"/>
      <c r="Y101" s="1072"/>
      <c r="Z101" s="1072"/>
      <c r="AA101" s="1072"/>
      <c r="AB101" s="1072"/>
      <c r="AC101" s="1072"/>
      <c r="AD101" s="1072"/>
      <c r="AE101" s="1072"/>
      <c r="AF101" s="1072"/>
      <c r="AG101" s="1072"/>
      <c r="AH101" s="1072"/>
      <c r="AI101" s="1072"/>
      <c r="AJ101" s="1072"/>
      <c r="AK101" s="1072"/>
      <c r="AL101" s="1491"/>
      <c r="AM101" s="1073"/>
      <c r="AN101" s="1073"/>
      <c r="AO101" s="1073"/>
      <c r="AP101" s="1073"/>
      <c r="AQ101" s="1073"/>
      <c r="AR101" s="1073"/>
      <c r="AS101" s="1073"/>
      <c r="AT101" s="1073"/>
      <c r="AU101" s="1073"/>
      <c r="AV101" s="1073"/>
      <c r="AW101" s="1073"/>
      <c r="AX101" s="1073"/>
      <c r="AY101" s="1073"/>
      <c r="AZ101" s="1073"/>
      <c r="BA101" s="1073"/>
      <c r="BB101" s="1073"/>
      <c r="BC101" s="1073"/>
      <c r="BD101" s="1073"/>
      <c r="BE101" s="1073"/>
      <c r="BF101" s="1073"/>
      <c r="BG101" s="1491"/>
      <c r="BH101" s="1074"/>
      <c r="BI101" s="1074"/>
      <c r="BJ101" s="1074"/>
      <c r="BL101" s="852"/>
      <c r="BM101" s="852"/>
      <c r="BO101" s="1490"/>
      <c r="BP101" s="1490"/>
      <c r="BQ101" s="1490"/>
      <c r="BR101" s="1490"/>
      <c r="BS101" s="1490"/>
      <c r="BT101" s="1490"/>
      <c r="BU101" s="1490"/>
      <c r="BV101" s="1490"/>
      <c r="BW101" s="1490"/>
      <c r="BX101" s="1490"/>
      <c r="BY101" s="1490"/>
      <c r="BZ101" s="1490"/>
      <c r="CA101" s="1490"/>
      <c r="CB101" s="1490"/>
      <c r="CC101" s="1490"/>
      <c r="CD101" s="1490"/>
      <c r="CE101" s="1490"/>
      <c r="CF101" s="1490"/>
      <c r="CG101" s="1490"/>
      <c r="CH101" s="1490"/>
      <c r="CI101" s="1490"/>
      <c r="CJ101" s="1490"/>
      <c r="CK101" s="1490"/>
      <c r="CL101" s="1490"/>
      <c r="CM101" s="1490"/>
      <c r="CN101" s="1490"/>
      <c r="CO101" s="1490"/>
      <c r="CP101" s="1490"/>
      <c r="CQ101" s="1490"/>
      <c r="CR101" s="1490"/>
      <c r="CS101" s="1490"/>
      <c r="CT101" s="1490"/>
      <c r="CU101" s="1490"/>
      <c r="CV101" s="1490"/>
      <c r="CW101" s="1490"/>
      <c r="CX101" s="1490"/>
      <c r="CY101" s="1490"/>
      <c r="CZ101" s="1490"/>
      <c r="DA101" s="1490"/>
      <c r="DB101" s="1490"/>
      <c r="DC101" s="1490"/>
      <c r="DD101" s="1490"/>
      <c r="DE101" s="1490"/>
      <c r="DF101" s="1490"/>
      <c r="DH101" s="838">
        <f t="shared" si="234"/>
        <v>0</v>
      </c>
    </row>
    <row r="102" spans="1:112" s="1484" customFormat="1" ht="12.75" hidden="1" customHeight="1" outlineLevel="1">
      <c r="B102" s="1492"/>
      <c r="C102" s="522" t="s">
        <v>1013</v>
      </c>
      <c r="D102" s="521" t="str">
        <f>INDEX(Modules[Module], MATCH($C102, Modules[Code], 0))</f>
        <v>Fossil fuel transfers</v>
      </c>
      <c r="E102" s="521"/>
      <c r="F102" s="743"/>
      <c r="G102" s="963">
        <f t="shared" ref="G102:P102" ca="1" si="249">IFERROR(INDEX(INDIRECT($C102&amp;".Outputs["&amp;this.Year&amp;"]"), MATCH(G$5, INDIRECT($C102&amp;".Outputs[Vector]"), 0)), 0)</f>
        <v>0</v>
      </c>
      <c r="H102" s="963">
        <f t="shared" ca="1" si="249"/>
        <v>0</v>
      </c>
      <c r="I102" s="963">
        <f t="shared" ca="1" si="249"/>
        <v>0</v>
      </c>
      <c r="J102" s="963">
        <f t="shared" ca="1" si="249"/>
        <v>0</v>
      </c>
      <c r="K102" s="964">
        <f t="shared" ca="1" si="249"/>
        <v>0</v>
      </c>
      <c r="L102" s="963">
        <f t="shared" ca="1" si="249"/>
        <v>0</v>
      </c>
      <c r="M102" s="963">
        <f t="shared" ca="1" si="249"/>
        <v>0</v>
      </c>
      <c r="N102" s="963">
        <f t="shared" ca="1" si="249"/>
        <v>0</v>
      </c>
      <c r="O102" s="963">
        <f t="shared" ca="1" si="249"/>
        <v>0</v>
      </c>
      <c r="P102" s="963">
        <f t="shared" ca="1" si="249"/>
        <v>0</v>
      </c>
      <c r="Q102" s="1096">
        <f ca="1">SUM(G102:P102)</f>
        <v>0</v>
      </c>
      <c r="R102" s="743"/>
      <c r="S102" s="972">
        <f t="shared" ref="S102:AJ102" ca="1" si="250">IFERROR(INDEX(INDIRECT($C102&amp;".Outputs["&amp;this.Year&amp;"]"), MATCH(S$5, INDIRECT($C102&amp;".Outputs[Vector]"), 0)), 0)</f>
        <v>0</v>
      </c>
      <c r="T102" s="972">
        <f t="shared" ca="1" si="250"/>
        <v>0</v>
      </c>
      <c r="U102" s="972">
        <f t="shared" ca="1" si="250"/>
        <v>195.26299222756302</v>
      </c>
      <c r="V102" s="972">
        <f t="shared" ca="1" si="250"/>
        <v>855.49601977451869</v>
      </c>
      <c r="W102" s="972">
        <f t="shared" ca="1" si="250"/>
        <v>1233.9324129514685</v>
      </c>
      <c r="X102" s="972">
        <f t="shared" ca="1" si="250"/>
        <v>-195.26299222756302</v>
      </c>
      <c r="Y102" s="972">
        <f t="shared" ca="1" si="250"/>
        <v>-855.49601977451869</v>
      </c>
      <c r="Z102" s="972">
        <f t="shared" ca="1" si="250"/>
        <v>-1248.1539285827585</v>
      </c>
      <c r="AA102" s="972">
        <f t="shared" ca="1" si="250"/>
        <v>0</v>
      </c>
      <c r="AB102" s="972">
        <f t="shared" ca="1" si="250"/>
        <v>0</v>
      </c>
      <c r="AC102" s="972">
        <f t="shared" ca="1" si="250"/>
        <v>0</v>
      </c>
      <c r="AD102" s="972">
        <f t="shared" ca="1" si="250"/>
        <v>0</v>
      </c>
      <c r="AE102" s="972">
        <f t="shared" ca="1" si="250"/>
        <v>0</v>
      </c>
      <c r="AF102" s="972">
        <f t="shared" ca="1" si="250"/>
        <v>0</v>
      </c>
      <c r="AG102" s="972">
        <f t="shared" ca="1" si="250"/>
        <v>0</v>
      </c>
      <c r="AH102" s="972">
        <f t="shared" ca="1" si="250"/>
        <v>0</v>
      </c>
      <c r="AI102" s="972">
        <f t="shared" ca="1" si="250"/>
        <v>0</v>
      </c>
      <c r="AJ102" s="972">
        <f t="shared" ca="1" si="250"/>
        <v>0</v>
      </c>
      <c r="AK102" s="972">
        <f ca="1">SUM(S102:AJ102)</f>
        <v>-14.221515631289549</v>
      </c>
      <c r="AL102" s="743"/>
      <c r="AM102" s="979">
        <f t="shared" ref="AM102:BE102" ca="1" si="251">IFERROR(INDEX(INDIRECT($C102&amp;".Outputs["&amp;this.Year&amp;"]"), MATCH(AM$5, INDIRECT($C102&amp;".Outputs[Vector]"), 0)), 0)</f>
        <v>0</v>
      </c>
      <c r="AN102" s="979">
        <f t="shared" ca="1" si="251"/>
        <v>0</v>
      </c>
      <c r="AO102" s="979">
        <f t="shared" ca="1" si="251"/>
        <v>0</v>
      </c>
      <c r="AP102" s="979">
        <f t="shared" ca="1" si="251"/>
        <v>0</v>
      </c>
      <c r="AQ102" s="979">
        <f t="shared" ca="1" si="251"/>
        <v>0</v>
      </c>
      <c r="AR102" s="979">
        <f t="shared" ca="1" si="251"/>
        <v>0</v>
      </c>
      <c r="AS102" s="979">
        <f t="shared" ca="1" si="251"/>
        <v>0</v>
      </c>
      <c r="AT102" s="979">
        <f t="shared" ca="1" si="251"/>
        <v>0</v>
      </c>
      <c r="AU102" s="979">
        <f t="shared" ca="1" si="251"/>
        <v>0</v>
      </c>
      <c r="AV102" s="979">
        <f t="shared" ca="1" si="251"/>
        <v>0</v>
      </c>
      <c r="AW102" s="979">
        <f t="shared" ca="1" si="251"/>
        <v>0</v>
      </c>
      <c r="AX102" s="979">
        <f t="shared" ca="1" si="251"/>
        <v>0</v>
      </c>
      <c r="AY102" s="979">
        <f t="shared" ca="1" si="251"/>
        <v>0</v>
      </c>
      <c r="AZ102" s="979">
        <f t="shared" ca="1" si="251"/>
        <v>0</v>
      </c>
      <c r="BA102" s="979">
        <f t="shared" ca="1" si="251"/>
        <v>0</v>
      </c>
      <c r="BB102" s="979">
        <f t="shared" ca="1" si="251"/>
        <v>0</v>
      </c>
      <c r="BC102" s="979">
        <f t="shared" ca="1" si="251"/>
        <v>0</v>
      </c>
      <c r="BD102" s="979">
        <f t="shared" ca="1" si="251"/>
        <v>0</v>
      </c>
      <c r="BE102" s="979">
        <f t="shared" ca="1" si="251"/>
        <v>0</v>
      </c>
      <c r="BF102" s="979">
        <f ca="1">SUM(AM102:BE102)</f>
        <v>0</v>
      </c>
      <c r="BG102" s="743"/>
      <c r="BH102" s="992">
        <f ca="1">IFERROR(INDEX(INDIRECT($C102&amp;".Outputs["&amp;this.Year&amp;"]"), MATCH(BH$5, INDIRECT($C102&amp;".Outputs[Vector]"), 0)), 0)</f>
        <v>0</v>
      </c>
      <c r="BI102" s="992">
        <f ca="1">IFERROR(INDEX(INDIRECT($C102&amp;".Outputs["&amp;this.Year&amp;"]"), MATCH(BI$5, INDIRECT($C102&amp;".Outputs[Vector]"), 0)), 0)</f>
        <v>14.221515631289973</v>
      </c>
      <c r="BJ102" s="992">
        <f ca="1">SUM(BH102:BI102)</f>
        <v>14.221515631289973</v>
      </c>
      <c r="BK102" s="743"/>
      <c r="BL102" s="515">
        <f t="shared" ref="BL102:BL109" ca="1" si="252">Q102+AK102+BF102+BJ102</f>
        <v>4.2454928461665986E-13</v>
      </c>
      <c r="BM102" s="814"/>
      <c r="BO102" s="1481">
        <f t="shared" ref="BO102:BX103" ca="1" si="253">IFERROR(SUMIFS(INDIRECT($C102&amp;".Emissions["&amp;this.Year&amp;"]"), INDIRECT($C102&amp;".Emissions[GHG]"), BO$6, INDIRECT($C102&amp;".Emissions[IPCC Sector]"), BO$5),0)</f>
        <v>0</v>
      </c>
      <c r="BP102" s="1482">
        <f t="shared" ca="1" si="253"/>
        <v>0</v>
      </c>
      <c r="BQ102" s="1482">
        <f t="shared" ca="1" si="253"/>
        <v>0</v>
      </c>
      <c r="BR102" s="1482">
        <f t="shared" ca="1" si="253"/>
        <v>0</v>
      </c>
      <c r="BS102" s="1482">
        <f t="shared" ca="1" si="253"/>
        <v>0</v>
      </c>
      <c r="BT102" s="1482">
        <f t="shared" ca="1" si="253"/>
        <v>5.4109198394395408</v>
      </c>
      <c r="BU102" s="1482">
        <f t="shared" ca="1" si="253"/>
        <v>0</v>
      </c>
      <c r="BV102" s="1482">
        <f t="shared" ca="1" si="253"/>
        <v>0</v>
      </c>
      <c r="BW102" s="1482">
        <f t="shared" ca="1" si="253"/>
        <v>0</v>
      </c>
      <c r="BX102" s="1482">
        <f t="shared" ca="1" si="253"/>
        <v>0</v>
      </c>
      <c r="BY102" s="1482">
        <f t="shared" ref="BY102:CH103" ca="1" si="254">IFERROR(SUMIFS(INDIRECT($C102&amp;".Emissions["&amp;this.Year&amp;"]"), INDIRECT($C102&amp;".Emissions[GHG]"), BY$6, INDIRECT($C102&amp;".Emissions[IPCC Sector]"), BY$5),0)</f>
        <v>0</v>
      </c>
      <c r="BZ102" s="1482">
        <f t="shared" ca="1" si="254"/>
        <v>0</v>
      </c>
      <c r="CA102" s="1482">
        <f t="shared" ca="1" si="254"/>
        <v>0</v>
      </c>
      <c r="CB102" s="1482">
        <f t="shared" ca="1" si="254"/>
        <v>0</v>
      </c>
      <c r="CC102" s="1482">
        <f t="shared" ca="1" si="254"/>
        <v>0</v>
      </c>
      <c r="CD102" s="1482">
        <f t="shared" ca="1" si="254"/>
        <v>0</v>
      </c>
      <c r="CE102" s="1482">
        <f t="shared" ca="1" si="254"/>
        <v>0</v>
      </c>
      <c r="CF102" s="1482">
        <f t="shared" ca="1" si="254"/>
        <v>0</v>
      </c>
      <c r="CG102" s="1482">
        <f t="shared" ca="1" si="254"/>
        <v>0</v>
      </c>
      <c r="CH102" s="1482">
        <f t="shared" ca="1" si="254"/>
        <v>0</v>
      </c>
      <c r="CI102" s="1482">
        <f t="shared" ref="CI102:CR103" ca="1" si="255">IFERROR(SUMIFS(INDIRECT($C102&amp;".Emissions["&amp;this.Year&amp;"]"), INDIRECT($C102&amp;".Emissions[GHG]"), CI$6, INDIRECT($C102&amp;".Emissions[IPCC Sector]"), CI$5),0)</f>
        <v>0</v>
      </c>
      <c r="CJ102" s="1482">
        <f t="shared" ca="1" si="255"/>
        <v>0</v>
      </c>
      <c r="CK102" s="1482">
        <f t="shared" ca="1" si="255"/>
        <v>0</v>
      </c>
      <c r="CL102" s="1482">
        <f t="shared" ca="1" si="255"/>
        <v>0</v>
      </c>
      <c r="CM102" s="1482">
        <f t="shared" ca="1" si="255"/>
        <v>0</v>
      </c>
      <c r="CN102" s="1482">
        <f t="shared" ca="1" si="255"/>
        <v>0</v>
      </c>
      <c r="CO102" s="1482">
        <f t="shared" ca="1" si="255"/>
        <v>0</v>
      </c>
      <c r="CP102" s="1482">
        <f t="shared" ca="1" si="255"/>
        <v>0</v>
      </c>
      <c r="CQ102" s="1482">
        <f t="shared" ca="1" si="255"/>
        <v>0</v>
      </c>
      <c r="CR102" s="1482">
        <f t="shared" ca="1" si="255"/>
        <v>0</v>
      </c>
      <c r="CS102" s="1482">
        <f t="shared" ref="CS102:DF103" ca="1" si="256">IFERROR(SUMIFS(INDIRECT($C102&amp;".Emissions["&amp;this.Year&amp;"]"), INDIRECT($C102&amp;".Emissions[GHG]"), CS$6, INDIRECT($C102&amp;".Emissions[IPCC Sector]"), CS$5),0)</f>
        <v>0</v>
      </c>
      <c r="CT102" s="1482">
        <f t="shared" ca="1" si="256"/>
        <v>0</v>
      </c>
      <c r="CU102" s="1482">
        <f t="shared" ca="1" si="256"/>
        <v>0</v>
      </c>
      <c r="CV102" s="1482">
        <f t="shared" ca="1" si="256"/>
        <v>0</v>
      </c>
      <c r="CW102" s="1482">
        <f t="shared" ca="1" si="256"/>
        <v>0</v>
      </c>
      <c r="CX102" s="1482">
        <f t="shared" ca="1" si="256"/>
        <v>0</v>
      </c>
      <c r="CY102" s="1482">
        <f t="shared" ca="1" si="256"/>
        <v>0</v>
      </c>
      <c r="CZ102" s="1482">
        <f t="shared" ca="1" si="256"/>
        <v>0</v>
      </c>
      <c r="DA102" s="1482">
        <f t="shared" ca="1" si="256"/>
        <v>0</v>
      </c>
      <c r="DB102" s="1482">
        <f t="shared" ca="1" si="256"/>
        <v>0</v>
      </c>
      <c r="DC102" s="1482">
        <f t="shared" ca="1" si="256"/>
        <v>0</v>
      </c>
      <c r="DD102" s="1482">
        <f t="shared" ca="1" si="256"/>
        <v>0</v>
      </c>
      <c r="DE102" s="1482">
        <f t="shared" ca="1" si="256"/>
        <v>0</v>
      </c>
      <c r="DF102" s="1482">
        <f t="shared" ca="1" si="256"/>
        <v>0</v>
      </c>
      <c r="DH102" s="838">
        <f t="shared" ca="1" si="234"/>
        <v>5.4109198394395408</v>
      </c>
    </row>
    <row r="103" spans="1:112" s="1484" customFormat="1" ht="12.75" hidden="1" customHeight="1" outlineLevel="1">
      <c r="B103" s="1492" t="s">
        <v>798</v>
      </c>
      <c r="C103" s="522" t="s">
        <v>1014</v>
      </c>
      <c r="D103" s="1010" t="str">
        <f>INDEX(Modules[Module], MATCH($C103, Modules[Code], 0))</f>
        <v>Balancing imports</v>
      </c>
      <c r="E103" s="1010"/>
      <c r="F103" s="743"/>
      <c r="G103" s="1102"/>
      <c r="H103" s="1102"/>
      <c r="I103" s="1102"/>
      <c r="J103" s="1102"/>
      <c r="K103" s="1103"/>
      <c r="L103" s="1102"/>
      <c r="M103" s="1102"/>
      <c r="N103" s="1102"/>
      <c r="O103" s="1102"/>
      <c r="P103" s="1102"/>
      <c r="Q103" s="1104">
        <f>SUM(G103:P103)</f>
        <v>0</v>
      </c>
      <c r="R103" s="743"/>
      <c r="S103" s="1105"/>
      <c r="T103" s="1105">
        <f ca="1">-(T$101+S$101)</f>
        <v>-5.6843418860808015E-14</v>
      </c>
      <c r="U103" s="1105"/>
      <c r="V103" s="1105"/>
      <c r="W103" s="1105"/>
      <c r="X103" s="1105">
        <f ca="1">-(X$40+X$84+X$93+X$99+X$102)</f>
        <v>3.7035402664777735</v>
      </c>
      <c r="Y103" s="1105">
        <f ca="1">-(Y$40+Y$84+Y$93+Y$99+Y$102)</f>
        <v>327.62826529692973</v>
      </c>
      <c r="Z103" s="1105">
        <f ca="1">-(Z$40+Z$84+Z$93+Z$99+Z$102)</f>
        <v>843.83822787211943</v>
      </c>
      <c r="AA103" s="1105"/>
      <c r="AB103" s="1105"/>
      <c r="AC103" s="1105"/>
      <c r="AD103" s="1105"/>
      <c r="AE103" s="1105"/>
      <c r="AF103" s="1105"/>
      <c r="AG103" s="1105"/>
      <c r="AH103" s="1105"/>
      <c r="AI103" s="1105"/>
      <c r="AJ103" s="1105"/>
      <c r="AK103" s="1105">
        <f ca="1">SUM(S103:AJ103)</f>
        <v>1175.1700334355269</v>
      </c>
      <c r="AL103" s="743"/>
      <c r="AM103" s="1012"/>
      <c r="AN103" s="1012"/>
      <c r="AO103" s="1012"/>
      <c r="AP103" s="1012"/>
      <c r="AQ103" s="1012">
        <f ca="1">-T103</f>
        <v>5.6843418860808015E-14</v>
      </c>
      <c r="AR103" s="1012">
        <f>-V103</f>
        <v>0</v>
      </c>
      <c r="AS103" s="1012">
        <f ca="1">-X103</f>
        <v>-3.7035402664777735</v>
      </c>
      <c r="AT103" s="1012">
        <f ca="1">-Y103</f>
        <v>-327.62826529692973</v>
      </c>
      <c r="AU103" s="1012">
        <f ca="1">-Z103</f>
        <v>-843.83822787211943</v>
      </c>
      <c r="AV103" s="1012"/>
      <c r="AW103" s="1012"/>
      <c r="AX103" s="1012"/>
      <c r="AY103" s="1012"/>
      <c r="AZ103" s="1012"/>
      <c r="BA103" s="1012"/>
      <c r="BB103" s="1012"/>
      <c r="BC103" s="1012"/>
      <c r="BD103" s="1012"/>
      <c r="BE103" s="1012"/>
      <c r="BF103" s="1012">
        <f ca="1">SUM(AM103:BE103)</f>
        <v>-1175.1700334355269</v>
      </c>
      <c r="BG103" s="743"/>
      <c r="BH103" s="1106"/>
      <c r="BI103" s="1106"/>
      <c r="BJ103" s="1106">
        <f>SUM(BH103:BI103)</f>
        <v>0</v>
      </c>
      <c r="BK103" s="743"/>
      <c r="BL103" s="515">
        <f t="shared" ca="1" si="252"/>
        <v>0</v>
      </c>
      <c r="BM103" s="814"/>
      <c r="BO103" s="1485">
        <f t="shared" ca="1" si="253"/>
        <v>0</v>
      </c>
      <c r="BP103" s="1486">
        <f t="shared" ca="1" si="253"/>
        <v>0</v>
      </c>
      <c r="BQ103" s="1486">
        <f t="shared" ca="1" si="253"/>
        <v>0</v>
      </c>
      <c r="BR103" s="1486">
        <f t="shared" ca="1" si="253"/>
        <v>0</v>
      </c>
      <c r="BS103" s="1486">
        <f t="shared" ca="1" si="253"/>
        <v>0</v>
      </c>
      <c r="BT103" s="1486">
        <f t="shared" ca="1" si="253"/>
        <v>0</v>
      </c>
      <c r="BU103" s="1486">
        <f t="shared" ca="1" si="253"/>
        <v>0</v>
      </c>
      <c r="BV103" s="1486">
        <f t="shared" ca="1" si="253"/>
        <v>0</v>
      </c>
      <c r="BW103" s="1486">
        <f t="shared" ca="1" si="253"/>
        <v>0</v>
      </c>
      <c r="BX103" s="1486">
        <f t="shared" ca="1" si="253"/>
        <v>0</v>
      </c>
      <c r="BY103" s="1486">
        <f t="shared" ca="1" si="254"/>
        <v>0</v>
      </c>
      <c r="BZ103" s="1486">
        <f t="shared" ca="1" si="254"/>
        <v>0</v>
      </c>
      <c r="CA103" s="1486">
        <f t="shared" ca="1" si="254"/>
        <v>0</v>
      </c>
      <c r="CB103" s="1486">
        <f t="shared" ca="1" si="254"/>
        <v>0</v>
      </c>
      <c r="CC103" s="1486">
        <f t="shared" ca="1" si="254"/>
        <v>0</v>
      </c>
      <c r="CD103" s="1486">
        <f t="shared" ca="1" si="254"/>
        <v>0</v>
      </c>
      <c r="CE103" s="1486">
        <f t="shared" ca="1" si="254"/>
        <v>0</v>
      </c>
      <c r="CF103" s="1486">
        <f t="shared" ca="1" si="254"/>
        <v>0</v>
      </c>
      <c r="CG103" s="1486">
        <f t="shared" ca="1" si="254"/>
        <v>0</v>
      </c>
      <c r="CH103" s="1486">
        <f t="shared" ca="1" si="254"/>
        <v>0</v>
      </c>
      <c r="CI103" s="1486">
        <f t="shared" ca="1" si="255"/>
        <v>0</v>
      </c>
      <c r="CJ103" s="1486">
        <f t="shared" ca="1" si="255"/>
        <v>0</v>
      </c>
      <c r="CK103" s="1486">
        <f t="shared" ca="1" si="255"/>
        <v>0</v>
      </c>
      <c r="CL103" s="1486">
        <f t="shared" ca="1" si="255"/>
        <v>0</v>
      </c>
      <c r="CM103" s="1486">
        <f t="shared" ca="1" si="255"/>
        <v>0</v>
      </c>
      <c r="CN103" s="1486">
        <f t="shared" ca="1" si="255"/>
        <v>0</v>
      </c>
      <c r="CO103" s="1486">
        <f t="shared" ca="1" si="255"/>
        <v>0</v>
      </c>
      <c r="CP103" s="1486">
        <f t="shared" ca="1" si="255"/>
        <v>0</v>
      </c>
      <c r="CQ103" s="1486">
        <f t="shared" ca="1" si="255"/>
        <v>0</v>
      </c>
      <c r="CR103" s="1486">
        <f t="shared" ca="1" si="255"/>
        <v>0</v>
      </c>
      <c r="CS103" s="1486">
        <f t="shared" ca="1" si="256"/>
        <v>0</v>
      </c>
      <c r="CT103" s="1486">
        <f t="shared" ca="1" si="256"/>
        <v>0</v>
      </c>
      <c r="CU103" s="1486">
        <f t="shared" ca="1" si="256"/>
        <v>0</v>
      </c>
      <c r="CV103" s="1486">
        <f t="shared" ca="1" si="256"/>
        <v>0</v>
      </c>
      <c r="CW103" s="1486">
        <f t="shared" ca="1" si="256"/>
        <v>0</v>
      </c>
      <c r="CX103" s="1486">
        <f t="shared" ca="1" si="256"/>
        <v>0</v>
      </c>
      <c r="CY103" s="1486">
        <f t="shared" ca="1" si="256"/>
        <v>0</v>
      </c>
      <c r="CZ103" s="1486">
        <f t="shared" ca="1" si="256"/>
        <v>0</v>
      </c>
      <c r="DA103" s="1486">
        <f t="shared" ca="1" si="256"/>
        <v>0</v>
      </c>
      <c r="DB103" s="1486">
        <f t="shared" ca="1" si="256"/>
        <v>0</v>
      </c>
      <c r="DC103" s="1486">
        <f t="shared" ca="1" si="256"/>
        <v>0</v>
      </c>
      <c r="DD103" s="1486">
        <f t="shared" ca="1" si="256"/>
        <v>0</v>
      </c>
      <c r="DE103" s="1486">
        <f t="shared" ca="1" si="256"/>
        <v>0</v>
      </c>
      <c r="DF103" s="1486">
        <f t="shared" ca="1" si="256"/>
        <v>0</v>
      </c>
      <c r="DH103" s="838">
        <f t="shared" ca="1" si="234"/>
        <v>0</v>
      </c>
    </row>
    <row r="104" spans="1:112" s="743" customFormat="1" ht="15.75" collapsed="1">
      <c r="B104" s="753" t="s">
        <v>798</v>
      </c>
      <c r="C104" s="516" t="s">
        <v>1012</v>
      </c>
      <c r="D104" s="517" t="str">
        <f>INDEX(Workstreams[Workstream], MATCH($C104, Workstreams[Code], 0))</f>
        <v>Transfers</v>
      </c>
      <c r="E104" s="509"/>
      <c r="G104" s="1021">
        <f ca="1">SUM(G102:G103)</f>
        <v>0</v>
      </c>
      <c r="H104" s="1021">
        <f t="shared" ref="H104:P104" ca="1" si="257">SUM(H102:H103)</f>
        <v>0</v>
      </c>
      <c r="I104" s="1021">
        <f t="shared" ca="1" si="257"/>
        <v>0</v>
      </c>
      <c r="J104" s="1021">
        <f t="shared" ca="1" si="257"/>
        <v>0</v>
      </c>
      <c r="K104" s="1021">
        <f t="shared" ca="1" si="257"/>
        <v>0</v>
      </c>
      <c r="L104" s="1021">
        <f t="shared" ca="1" si="257"/>
        <v>0</v>
      </c>
      <c r="M104" s="1021">
        <f t="shared" ca="1" si="257"/>
        <v>0</v>
      </c>
      <c r="N104" s="1021">
        <f t="shared" ca="1" si="257"/>
        <v>0</v>
      </c>
      <c r="O104" s="1021">
        <f t="shared" ca="1" si="257"/>
        <v>0</v>
      </c>
      <c r="P104" s="1021">
        <f t="shared" ca="1" si="257"/>
        <v>0</v>
      </c>
      <c r="Q104" s="1021">
        <f ca="1">SUM(G104:P104)</f>
        <v>0</v>
      </c>
      <c r="S104" s="970">
        <f t="shared" ref="S104:AJ104" ca="1" si="258">SUM(S102:S103)</f>
        <v>0</v>
      </c>
      <c r="T104" s="970">
        <f t="shared" ca="1" si="258"/>
        <v>-5.6843418860808015E-14</v>
      </c>
      <c r="U104" s="970">
        <f t="shared" ca="1" si="258"/>
        <v>195.26299222756302</v>
      </c>
      <c r="V104" s="970">
        <f t="shared" ca="1" si="258"/>
        <v>855.49601977451869</v>
      </c>
      <c r="W104" s="970">
        <f t="shared" ca="1" si="258"/>
        <v>1233.9324129514685</v>
      </c>
      <c r="X104" s="970">
        <f t="shared" ca="1" si="258"/>
        <v>-191.55945196108524</v>
      </c>
      <c r="Y104" s="970">
        <f t="shared" ca="1" si="258"/>
        <v>-527.86775447758896</v>
      </c>
      <c r="Z104" s="970">
        <f t="shared" ca="1" si="258"/>
        <v>-404.31570071063902</v>
      </c>
      <c r="AA104" s="970">
        <f t="shared" ca="1" si="258"/>
        <v>0</v>
      </c>
      <c r="AB104" s="970">
        <f t="shared" ca="1" si="258"/>
        <v>0</v>
      </c>
      <c r="AC104" s="970">
        <f t="shared" ca="1" si="258"/>
        <v>0</v>
      </c>
      <c r="AD104" s="970">
        <f ca="1">SUM(AD102:AD103)</f>
        <v>0</v>
      </c>
      <c r="AE104" s="970">
        <f ca="1">SUM(AE102:AE103)</f>
        <v>0</v>
      </c>
      <c r="AF104" s="970">
        <f t="shared" ca="1" si="258"/>
        <v>0</v>
      </c>
      <c r="AG104" s="970">
        <f ca="1">SUM(AG102:AG103)</f>
        <v>0</v>
      </c>
      <c r="AH104" s="970">
        <f ca="1">SUM(AH102:AH103)</f>
        <v>0</v>
      </c>
      <c r="AI104" s="970">
        <f ca="1">SUM(AI102:AI103)</f>
        <v>0</v>
      </c>
      <c r="AJ104" s="970">
        <f t="shared" ca="1" si="258"/>
        <v>0</v>
      </c>
      <c r="AK104" s="970">
        <f ca="1">SUM(S104:AJ104)</f>
        <v>1160.9485178042369</v>
      </c>
      <c r="AM104" s="976">
        <f t="shared" ref="AM104:BE104" ca="1" si="259">SUM(AM102:AM103)</f>
        <v>0</v>
      </c>
      <c r="AN104" s="976">
        <f t="shared" ca="1" si="259"/>
        <v>0</v>
      </c>
      <c r="AO104" s="976">
        <f t="shared" ca="1" si="259"/>
        <v>0</v>
      </c>
      <c r="AP104" s="976">
        <f t="shared" ca="1" si="259"/>
        <v>0</v>
      </c>
      <c r="AQ104" s="976">
        <f t="shared" ca="1" si="259"/>
        <v>5.6843418860808015E-14</v>
      </c>
      <c r="AR104" s="976">
        <f t="shared" ca="1" si="259"/>
        <v>0</v>
      </c>
      <c r="AS104" s="976">
        <f t="shared" ca="1" si="259"/>
        <v>-3.7035402664777735</v>
      </c>
      <c r="AT104" s="976">
        <f t="shared" ca="1" si="259"/>
        <v>-327.62826529692973</v>
      </c>
      <c r="AU104" s="976">
        <f t="shared" ca="1" si="259"/>
        <v>-843.83822787211943</v>
      </c>
      <c r="AV104" s="976">
        <f t="shared" ca="1" si="259"/>
        <v>0</v>
      </c>
      <c r="AW104" s="976">
        <f t="shared" ca="1" si="259"/>
        <v>0</v>
      </c>
      <c r="AX104" s="976">
        <f t="shared" ca="1" si="259"/>
        <v>0</v>
      </c>
      <c r="AY104" s="976">
        <f t="shared" ca="1" si="259"/>
        <v>0</v>
      </c>
      <c r="AZ104" s="976">
        <f t="shared" ca="1" si="259"/>
        <v>0</v>
      </c>
      <c r="BA104" s="976">
        <f t="shared" ca="1" si="259"/>
        <v>0</v>
      </c>
      <c r="BB104" s="976">
        <f t="shared" ca="1" si="259"/>
        <v>0</v>
      </c>
      <c r="BC104" s="976">
        <f t="shared" ca="1" si="259"/>
        <v>0</v>
      </c>
      <c r="BD104" s="976">
        <f t="shared" ca="1" si="259"/>
        <v>0</v>
      </c>
      <c r="BE104" s="976">
        <f t="shared" ca="1" si="259"/>
        <v>0</v>
      </c>
      <c r="BF104" s="976">
        <f ca="1">SUM(AM104:BE104)</f>
        <v>-1175.1700334355269</v>
      </c>
      <c r="BH104" s="990">
        <f ca="1">SUM(BH102:BH103)</f>
        <v>0</v>
      </c>
      <c r="BI104" s="990">
        <f ca="1">SUM(BI102:BI103)</f>
        <v>14.221515631289973</v>
      </c>
      <c r="BJ104" s="990">
        <f ca="1">SUM(BH104:BI104)</f>
        <v>14.221515631289973</v>
      </c>
      <c r="BL104" s="515">
        <f t="shared" ca="1" si="252"/>
        <v>-3.0198066269804258E-14</v>
      </c>
      <c r="BM104" s="515"/>
      <c r="BN104" s="840"/>
      <c r="BO104" s="1482">
        <f t="shared" ref="BO104:DF104" ca="1" si="260">SUM(BO102:BO103)</f>
        <v>0</v>
      </c>
      <c r="BP104" s="1482">
        <f t="shared" ca="1" si="260"/>
        <v>0</v>
      </c>
      <c r="BQ104" s="1482">
        <f t="shared" ca="1" si="260"/>
        <v>0</v>
      </c>
      <c r="BR104" s="1482">
        <f t="shared" ca="1" si="260"/>
        <v>0</v>
      </c>
      <c r="BS104" s="1482">
        <f t="shared" ca="1" si="260"/>
        <v>0</v>
      </c>
      <c r="BT104" s="1482">
        <f t="shared" ca="1" si="260"/>
        <v>5.4109198394395408</v>
      </c>
      <c r="BU104" s="1482">
        <f t="shared" ca="1" si="260"/>
        <v>0</v>
      </c>
      <c r="BV104" s="1482">
        <f t="shared" ca="1" si="260"/>
        <v>0</v>
      </c>
      <c r="BW104" s="1482">
        <f t="shared" ca="1" si="260"/>
        <v>0</v>
      </c>
      <c r="BX104" s="1482">
        <f t="shared" ca="1" si="260"/>
        <v>0</v>
      </c>
      <c r="BY104" s="1482">
        <f t="shared" ca="1" si="260"/>
        <v>0</v>
      </c>
      <c r="BZ104" s="1482">
        <f t="shared" ca="1" si="260"/>
        <v>0</v>
      </c>
      <c r="CA104" s="1482">
        <f t="shared" ca="1" si="260"/>
        <v>0</v>
      </c>
      <c r="CB104" s="1482">
        <f t="shared" ca="1" si="260"/>
        <v>0</v>
      </c>
      <c r="CC104" s="1482">
        <f t="shared" ca="1" si="260"/>
        <v>0</v>
      </c>
      <c r="CD104" s="1482">
        <f t="shared" ca="1" si="260"/>
        <v>0</v>
      </c>
      <c r="CE104" s="1482">
        <f t="shared" ca="1" si="260"/>
        <v>0</v>
      </c>
      <c r="CF104" s="1482">
        <f t="shared" ca="1" si="260"/>
        <v>0</v>
      </c>
      <c r="CG104" s="1482">
        <f t="shared" ca="1" si="260"/>
        <v>0</v>
      </c>
      <c r="CH104" s="1482">
        <f t="shared" ca="1" si="260"/>
        <v>0</v>
      </c>
      <c r="CI104" s="1482">
        <f t="shared" ca="1" si="260"/>
        <v>0</v>
      </c>
      <c r="CJ104" s="1482">
        <f t="shared" ca="1" si="260"/>
        <v>0</v>
      </c>
      <c r="CK104" s="1482">
        <f t="shared" ca="1" si="260"/>
        <v>0</v>
      </c>
      <c r="CL104" s="1482">
        <f t="shared" ca="1" si="260"/>
        <v>0</v>
      </c>
      <c r="CM104" s="1482">
        <f t="shared" ca="1" si="260"/>
        <v>0</v>
      </c>
      <c r="CN104" s="1482">
        <f t="shared" ca="1" si="260"/>
        <v>0</v>
      </c>
      <c r="CO104" s="1482">
        <f t="shared" ca="1" si="260"/>
        <v>0</v>
      </c>
      <c r="CP104" s="1482">
        <f t="shared" ca="1" si="260"/>
        <v>0</v>
      </c>
      <c r="CQ104" s="1482">
        <f t="shared" ca="1" si="260"/>
        <v>0</v>
      </c>
      <c r="CR104" s="1482">
        <f t="shared" ca="1" si="260"/>
        <v>0</v>
      </c>
      <c r="CS104" s="1482">
        <f t="shared" ca="1" si="260"/>
        <v>0</v>
      </c>
      <c r="CT104" s="1482">
        <f t="shared" ca="1" si="260"/>
        <v>0</v>
      </c>
      <c r="CU104" s="1482">
        <f t="shared" ca="1" si="260"/>
        <v>0</v>
      </c>
      <c r="CV104" s="1482">
        <f t="shared" ca="1" si="260"/>
        <v>0</v>
      </c>
      <c r="CW104" s="1482">
        <f t="shared" ca="1" si="260"/>
        <v>0</v>
      </c>
      <c r="CX104" s="1482">
        <f t="shared" ca="1" si="260"/>
        <v>0</v>
      </c>
      <c r="CY104" s="1482">
        <f t="shared" ca="1" si="260"/>
        <v>0</v>
      </c>
      <c r="CZ104" s="1482">
        <f t="shared" ca="1" si="260"/>
        <v>0</v>
      </c>
      <c r="DA104" s="1482">
        <f t="shared" ca="1" si="260"/>
        <v>0</v>
      </c>
      <c r="DB104" s="1482">
        <f t="shared" ca="1" si="260"/>
        <v>0</v>
      </c>
      <c r="DC104" s="1482">
        <f t="shared" ca="1" si="260"/>
        <v>0</v>
      </c>
      <c r="DD104" s="1482">
        <f t="shared" ca="1" si="260"/>
        <v>0</v>
      </c>
      <c r="DE104" s="1482">
        <f t="shared" ca="1" si="260"/>
        <v>0</v>
      </c>
      <c r="DF104" s="1482">
        <f t="shared" ca="1" si="260"/>
        <v>0</v>
      </c>
      <c r="DH104" s="838">
        <f t="shared" ca="1" si="234"/>
        <v>5.4109198394395408</v>
      </c>
    </row>
    <row r="105" spans="1:112" s="743" customFormat="1" ht="6" customHeight="1">
      <c r="C105" s="508"/>
      <c r="D105" s="509"/>
      <c r="E105" s="509"/>
      <c r="G105" s="958"/>
      <c r="H105" s="958"/>
      <c r="I105" s="958"/>
      <c r="J105" s="958"/>
      <c r="K105" s="960"/>
      <c r="L105" s="958"/>
      <c r="M105" s="958"/>
      <c r="N105" s="958"/>
      <c r="O105" s="958"/>
      <c r="P105" s="958"/>
      <c r="Q105" s="958"/>
      <c r="S105" s="970"/>
      <c r="T105" s="970"/>
      <c r="U105" s="970"/>
      <c r="V105" s="970"/>
      <c r="W105" s="970"/>
      <c r="X105" s="970"/>
      <c r="Y105" s="970"/>
      <c r="Z105" s="970"/>
      <c r="AA105" s="970"/>
      <c r="AB105" s="970"/>
      <c r="AC105" s="970"/>
      <c r="AD105" s="970"/>
      <c r="AE105" s="970"/>
      <c r="AF105" s="970"/>
      <c r="AG105" s="970"/>
      <c r="AH105" s="970"/>
      <c r="AI105" s="970"/>
      <c r="AJ105" s="970"/>
      <c r="AK105" s="970"/>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H105" s="990"/>
      <c r="BI105" s="990"/>
      <c r="BJ105" s="990"/>
      <c r="BL105" s="515">
        <f t="shared" si="252"/>
        <v>0</v>
      </c>
      <c r="BM105" s="515"/>
      <c r="BO105" s="1482"/>
      <c r="BP105" s="1482"/>
      <c r="BQ105" s="1482"/>
      <c r="BR105" s="1482"/>
      <c r="BS105" s="1482"/>
      <c r="BT105" s="1482"/>
      <c r="BU105" s="1482"/>
      <c r="BV105" s="1482"/>
      <c r="BW105" s="1482"/>
      <c r="BX105" s="1482"/>
      <c r="BY105" s="1482"/>
      <c r="BZ105" s="1482"/>
      <c r="CA105" s="1482"/>
      <c r="CB105" s="1482"/>
      <c r="CC105" s="1482"/>
      <c r="CD105" s="1482"/>
      <c r="CE105" s="1482"/>
      <c r="CF105" s="1482"/>
      <c r="CG105" s="1482"/>
      <c r="CH105" s="1482"/>
      <c r="CI105" s="1482"/>
      <c r="CJ105" s="1482"/>
      <c r="CK105" s="1482"/>
      <c r="CL105" s="1482"/>
      <c r="CM105" s="1482"/>
      <c r="CN105" s="1482"/>
      <c r="CO105" s="1482"/>
      <c r="CP105" s="1482"/>
      <c r="CQ105" s="1482"/>
      <c r="CR105" s="1482"/>
      <c r="CS105" s="1482"/>
      <c r="CT105" s="1482"/>
      <c r="CU105" s="1482"/>
      <c r="CV105" s="1482"/>
      <c r="CW105" s="1482"/>
      <c r="CX105" s="1482"/>
      <c r="CY105" s="1482"/>
      <c r="CZ105" s="1482"/>
      <c r="DA105" s="1482"/>
      <c r="DB105" s="1482"/>
      <c r="DC105" s="1482"/>
      <c r="DD105" s="1482"/>
      <c r="DE105" s="1482"/>
      <c r="DF105" s="1482"/>
      <c r="DH105" s="838"/>
    </row>
    <row r="106" spans="1:112" s="743" customFormat="1" ht="15.75">
      <c r="B106" s="753"/>
      <c r="C106" s="2051" t="s">
        <v>1817</v>
      </c>
      <c r="D106" s="643" t="s">
        <v>1016</v>
      </c>
      <c r="E106" s="644"/>
      <c r="G106" s="1075">
        <f t="shared" ref="G106:P106" ca="1" si="261">G$93+G$99+G$104</f>
        <v>0</v>
      </c>
      <c r="H106" s="1075">
        <f t="shared" ca="1" si="261"/>
        <v>0</v>
      </c>
      <c r="I106" s="1075">
        <f t="shared" ca="1" si="261"/>
        <v>0</v>
      </c>
      <c r="J106" s="1075">
        <f t="shared" ca="1" si="261"/>
        <v>0</v>
      </c>
      <c r="K106" s="1076">
        <f t="shared" ca="1" si="261"/>
        <v>0</v>
      </c>
      <c r="L106" s="1075">
        <f t="shared" ca="1" si="261"/>
        <v>0</v>
      </c>
      <c r="M106" s="1075">
        <f t="shared" ca="1" si="261"/>
        <v>0</v>
      </c>
      <c r="N106" s="1075">
        <f t="shared" ca="1" si="261"/>
        <v>0</v>
      </c>
      <c r="O106" s="1075">
        <f t="shared" ca="1" si="261"/>
        <v>0</v>
      </c>
      <c r="P106" s="1075">
        <f t="shared" ca="1" si="261"/>
        <v>0</v>
      </c>
      <c r="Q106" s="1023">
        <f ca="1">SUM(G106:P106)</f>
        <v>0</v>
      </c>
      <c r="S106" s="1014">
        <f t="shared" ref="S106:AJ106" ca="1" si="262">S$93+S$99+S$104</f>
        <v>0</v>
      </c>
      <c r="T106" s="1014">
        <f t="shared" ca="1" si="262"/>
        <v>-28.663625224414943</v>
      </c>
      <c r="U106" s="1014">
        <f t="shared" ca="1" si="262"/>
        <v>228.97302656673963</v>
      </c>
      <c r="V106" s="1014">
        <f t="shared" ca="1" si="262"/>
        <v>864.82119458491093</v>
      </c>
      <c r="W106" s="1014">
        <f t="shared" ca="1" si="262"/>
        <v>1278.0210256499968</v>
      </c>
      <c r="X106" s="1014">
        <f t="shared" ca="1" si="262"/>
        <v>-191.55945196108524</v>
      </c>
      <c r="Y106" s="1014">
        <f t="shared" ca="1" si="262"/>
        <v>-527.86775447758896</v>
      </c>
      <c r="Z106" s="1014">
        <f t="shared" ca="1" si="262"/>
        <v>-404.31570071063902</v>
      </c>
      <c r="AA106" s="1014">
        <f t="shared" ca="1" si="262"/>
        <v>0</v>
      </c>
      <c r="AB106" s="1014">
        <f t="shared" ca="1" si="262"/>
        <v>0</v>
      </c>
      <c r="AC106" s="1014">
        <f t="shared" ca="1" si="262"/>
        <v>0</v>
      </c>
      <c r="AD106" s="1014">
        <f t="shared" ca="1" si="262"/>
        <v>-14.367659141861198</v>
      </c>
      <c r="AE106" s="1014">
        <f t="shared" ca="1" si="262"/>
        <v>-1.3088625103410589</v>
      </c>
      <c r="AF106" s="1014">
        <f t="shared" ca="1" si="262"/>
        <v>-34.047733245079975</v>
      </c>
      <c r="AG106" s="1014">
        <f t="shared" ca="1" si="262"/>
        <v>-33.327159505884616</v>
      </c>
      <c r="AH106" s="1014">
        <f t="shared" ca="1" si="262"/>
        <v>-17.426885093820637</v>
      </c>
      <c r="AI106" s="1014">
        <f t="shared" ca="1" si="262"/>
        <v>0</v>
      </c>
      <c r="AJ106" s="1014">
        <f t="shared" ca="1" si="262"/>
        <v>0</v>
      </c>
      <c r="AK106" s="1014">
        <f ca="1">SUM(S106:AJ106)</f>
        <v>1118.9304149309319</v>
      </c>
      <c r="AM106" s="1015">
        <f t="shared" ref="AM106:BE106" ca="1" si="263">AM$93+AM$99+AM$104</f>
        <v>0</v>
      </c>
      <c r="AN106" s="1015">
        <f t="shared" ca="1" si="263"/>
        <v>0</v>
      </c>
      <c r="AO106" s="1015">
        <f t="shared" ca="1" si="263"/>
        <v>0</v>
      </c>
      <c r="AP106" s="1015">
        <f t="shared" ca="1" si="263"/>
        <v>-2.7911999999999999</v>
      </c>
      <c r="AQ106" s="1015">
        <f t="shared" ca="1" si="263"/>
        <v>5.6843418860808015E-14</v>
      </c>
      <c r="AR106" s="1015">
        <f t="shared" ca="1" si="263"/>
        <v>0</v>
      </c>
      <c r="AS106" s="1015">
        <f t="shared" ca="1" si="263"/>
        <v>-3.7035402664777735</v>
      </c>
      <c r="AT106" s="1015">
        <f t="shared" ca="1" si="263"/>
        <v>-327.62826529692973</v>
      </c>
      <c r="AU106" s="1015">
        <f t="shared" ca="1" si="263"/>
        <v>-843.83822787211943</v>
      </c>
      <c r="AV106" s="1015">
        <f t="shared" ca="1" si="263"/>
        <v>0</v>
      </c>
      <c r="AW106" s="1015">
        <f t="shared" ca="1" si="263"/>
        <v>0</v>
      </c>
      <c r="AX106" s="1015">
        <f t="shared" ca="1" si="263"/>
        <v>0</v>
      </c>
      <c r="AY106" s="1015">
        <f t="shared" ca="1" si="263"/>
        <v>0</v>
      </c>
      <c r="AZ106" s="1015">
        <f t="shared" ca="1" si="263"/>
        <v>0</v>
      </c>
      <c r="BA106" s="1015">
        <f t="shared" ca="1" si="263"/>
        <v>0</v>
      </c>
      <c r="BB106" s="1015">
        <f t="shared" ca="1" si="263"/>
        <v>0</v>
      </c>
      <c r="BC106" s="1015">
        <f t="shared" ca="1" si="263"/>
        <v>0</v>
      </c>
      <c r="BD106" s="1015">
        <f t="shared" ca="1" si="263"/>
        <v>0</v>
      </c>
      <c r="BE106" s="1015">
        <f t="shared" ca="1" si="263"/>
        <v>0</v>
      </c>
      <c r="BF106" s="1015">
        <f ca="1">SUM(AM106:BE106)</f>
        <v>-1177.961233435527</v>
      </c>
      <c r="BH106" s="1016">
        <f ca="1">BH$93+BH$99+BH$104</f>
        <v>16.14567764889027</v>
      </c>
      <c r="BI106" s="1016">
        <f ca="1">BI$93+BI$99+BI$104</f>
        <v>42.885140855704833</v>
      </c>
      <c r="BJ106" s="1016">
        <f ca="1">SUM(BH106:BI106)</f>
        <v>59.030818504595103</v>
      </c>
      <c r="BL106" s="518">
        <f t="shared" ca="1" si="252"/>
        <v>0</v>
      </c>
      <c r="BM106" s="518"/>
      <c r="BO106" s="1487">
        <f t="shared" ref="BO106:DE106" ca="1" si="264">BO$93+BO$99+BO$104</f>
        <v>0</v>
      </c>
      <c r="BP106" s="1487">
        <f t="shared" ca="1" si="264"/>
        <v>0</v>
      </c>
      <c r="BQ106" s="1487">
        <f t="shared" ca="1" si="264"/>
        <v>0</v>
      </c>
      <c r="BR106" s="1487">
        <f t="shared" ca="1" si="264"/>
        <v>0</v>
      </c>
      <c r="BS106" s="1487">
        <f t="shared" ca="1" si="264"/>
        <v>0</v>
      </c>
      <c r="BT106" s="1487">
        <f t="shared" ca="1" si="264"/>
        <v>5.4109198394395408</v>
      </c>
      <c r="BU106" s="1487">
        <f t="shared" ca="1" si="264"/>
        <v>0</v>
      </c>
      <c r="BV106" s="1487">
        <f t="shared" ca="1" si="264"/>
        <v>0</v>
      </c>
      <c r="BW106" s="1487">
        <f t="shared" ca="1" si="264"/>
        <v>0</v>
      </c>
      <c r="BX106" s="1487">
        <f t="shared" ca="1" si="264"/>
        <v>0</v>
      </c>
      <c r="BY106" s="1487">
        <f t="shared" ca="1" si="264"/>
        <v>0</v>
      </c>
      <c r="BZ106" s="1487">
        <f t="shared" ca="1" si="264"/>
        <v>0</v>
      </c>
      <c r="CA106" s="1487">
        <f t="shared" ca="1" si="264"/>
        <v>0</v>
      </c>
      <c r="CB106" s="1487">
        <f t="shared" ca="1" si="264"/>
        <v>0</v>
      </c>
      <c r="CC106" s="1487">
        <f t="shared" ca="1" si="264"/>
        <v>0</v>
      </c>
      <c r="CD106" s="1487">
        <f t="shared" ca="1" si="264"/>
        <v>0</v>
      </c>
      <c r="CE106" s="1487">
        <f t="shared" ca="1" si="264"/>
        <v>0</v>
      </c>
      <c r="CF106" s="1487">
        <f t="shared" ca="1" si="264"/>
        <v>0</v>
      </c>
      <c r="CG106" s="1487">
        <f t="shared" ca="1" si="264"/>
        <v>0</v>
      </c>
      <c r="CH106" s="1487">
        <f t="shared" ca="1" si="264"/>
        <v>0</v>
      </c>
      <c r="CI106" s="1487">
        <f t="shared" ca="1" si="264"/>
        <v>0</v>
      </c>
      <c r="CJ106" s="1487">
        <f t="shared" ca="1" si="264"/>
        <v>0</v>
      </c>
      <c r="CK106" s="1487">
        <f t="shared" ca="1" si="264"/>
        <v>0</v>
      </c>
      <c r="CL106" s="1487">
        <f t="shared" ca="1" si="264"/>
        <v>0</v>
      </c>
      <c r="CM106" s="1487">
        <f t="shared" ca="1" si="264"/>
        <v>0</v>
      </c>
      <c r="CN106" s="1487">
        <f t="shared" ca="1" si="264"/>
        <v>0</v>
      </c>
      <c r="CO106" s="1487">
        <f t="shared" ca="1" si="264"/>
        <v>0</v>
      </c>
      <c r="CP106" s="1487">
        <f t="shared" ca="1" si="264"/>
        <v>0</v>
      </c>
      <c r="CQ106" s="1487">
        <f t="shared" ca="1" si="264"/>
        <v>0</v>
      </c>
      <c r="CR106" s="1487">
        <f t="shared" ca="1" si="264"/>
        <v>0</v>
      </c>
      <c r="CS106" s="1487">
        <f t="shared" ca="1" si="264"/>
        <v>0</v>
      </c>
      <c r="CT106" s="1487">
        <f t="shared" ca="1" si="264"/>
        <v>0</v>
      </c>
      <c r="CU106" s="1487">
        <f t="shared" ca="1" si="264"/>
        <v>0</v>
      </c>
      <c r="CV106" s="1487">
        <f t="shared" ca="1" si="264"/>
        <v>0</v>
      </c>
      <c r="CW106" s="1487">
        <f t="shared" ca="1" si="264"/>
        <v>0</v>
      </c>
      <c r="CX106" s="1487">
        <f t="shared" ca="1" si="264"/>
        <v>0</v>
      </c>
      <c r="CY106" s="1487">
        <f t="shared" ca="1" si="264"/>
        <v>-20.826289015593673</v>
      </c>
      <c r="CZ106" s="1487">
        <f t="shared" ca="1" si="264"/>
        <v>0</v>
      </c>
      <c r="DA106" s="1487">
        <f t="shared" ca="1" si="264"/>
        <v>0</v>
      </c>
      <c r="DB106" s="1487">
        <f t="shared" ca="1" si="264"/>
        <v>0</v>
      </c>
      <c r="DC106" s="1487">
        <f t="shared" ca="1" si="264"/>
        <v>0</v>
      </c>
      <c r="DD106" s="1487">
        <f t="shared" ca="1" si="264"/>
        <v>0</v>
      </c>
      <c r="DE106" s="1487">
        <f t="shared" ca="1" si="264"/>
        <v>0</v>
      </c>
      <c r="DF106" s="1487">
        <f ca="1">DF$93+DF$104</f>
        <v>0</v>
      </c>
      <c r="DH106" s="835">
        <f ca="1">SUM(BO106:DF106)</f>
        <v>-15.415369176154133</v>
      </c>
    </row>
    <row r="107" spans="1:112" s="743" customFormat="1">
      <c r="C107" s="508"/>
      <c r="D107" s="509"/>
      <c r="E107" s="509"/>
      <c r="G107" s="958"/>
      <c r="H107" s="958"/>
      <c r="I107" s="958"/>
      <c r="J107" s="958"/>
      <c r="K107" s="960"/>
      <c r="L107" s="958"/>
      <c r="M107" s="958"/>
      <c r="N107" s="958"/>
      <c r="O107" s="958"/>
      <c r="P107" s="958"/>
      <c r="Q107" s="958"/>
      <c r="S107" s="970"/>
      <c r="T107" s="970"/>
      <c r="U107" s="970"/>
      <c r="V107" s="970"/>
      <c r="W107" s="970"/>
      <c r="X107" s="970"/>
      <c r="Y107" s="970"/>
      <c r="Z107" s="970"/>
      <c r="AA107" s="970"/>
      <c r="AB107" s="970"/>
      <c r="AC107" s="970"/>
      <c r="AD107" s="970"/>
      <c r="AE107" s="970"/>
      <c r="AF107" s="970"/>
      <c r="AG107" s="970"/>
      <c r="AH107" s="970"/>
      <c r="AI107" s="970"/>
      <c r="AJ107" s="970"/>
      <c r="AK107" s="970"/>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H107" s="990"/>
      <c r="BI107" s="990"/>
      <c r="BJ107" s="990"/>
      <c r="BL107" s="515">
        <f t="shared" si="252"/>
        <v>0</v>
      </c>
      <c r="BM107" s="515"/>
      <c r="BO107" s="1482"/>
      <c r="BP107" s="1482"/>
      <c r="BQ107" s="1482"/>
      <c r="BR107" s="1482"/>
      <c r="BS107" s="1482"/>
      <c r="BT107" s="1482"/>
      <c r="BU107" s="1482"/>
      <c r="BV107" s="1482"/>
      <c r="BW107" s="1482"/>
      <c r="BX107" s="1482"/>
      <c r="BY107" s="1482"/>
      <c r="BZ107" s="1482"/>
      <c r="CA107" s="1482"/>
      <c r="CB107" s="1482"/>
      <c r="CC107" s="1482"/>
      <c r="CD107" s="1482"/>
      <c r="CE107" s="1482"/>
      <c r="CF107" s="1482"/>
      <c r="CG107" s="1482"/>
      <c r="CH107" s="1482"/>
      <c r="CI107" s="1482"/>
      <c r="CJ107" s="1482"/>
      <c r="CK107" s="1482"/>
      <c r="CL107" s="1482"/>
      <c r="CM107" s="1482"/>
      <c r="CN107" s="1482"/>
      <c r="CO107" s="1482"/>
      <c r="CP107" s="1482"/>
      <c r="CQ107" s="1482"/>
      <c r="CR107" s="1482"/>
      <c r="CS107" s="1482"/>
      <c r="CT107" s="1482"/>
      <c r="CU107" s="1482"/>
      <c r="CV107" s="1482"/>
      <c r="CW107" s="1482"/>
      <c r="CX107" s="1482"/>
      <c r="CY107" s="1482"/>
      <c r="CZ107" s="1482"/>
      <c r="DA107" s="1482"/>
      <c r="DB107" s="1482"/>
      <c r="DC107" s="1482"/>
      <c r="DD107" s="1482"/>
      <c r="DE107" s="1482"/>
      <c r="DF107" s="1482"/>
      <c r="DH107" s="838"/>
    </row>
    <row r="108" spans="1:112" s="743" customFormat="1" ht="13.5" thickBot="1">
      <c r="C108" s="508"/>
      <c r="D108" s="509"/>
      <c r="E108" s="509"/>
      <c r="G108" s="958"/>
      <c r="H108" s="958"/>
      <c r="I108" s="958"/>
      <c r="J108" s="958"/>
      <c r="K108" s="960"/>
      <c r="L108" s="958"/>
      <c r="M108" s="958"/>
      <c r="N108" s="958"/>
      <c r="O108" s="958"/>
      <c r="P108" s="958"/>
      <c r="Q108" s="958"/>
      <c r="S108" s="970"/>
      <c r="T108" s="970"/>
      <c r="U108" s="970"/>
      <c r="V108" s="970"/>
      <c r="W108" s="970"/>
      <c r="X108" s="970"/>
      <c r="Y108" s="970"/>
      <c r="Z108" s="970"/>
      <c r="AA108" s="970"/>
      <c r="AB108" s="970"/>
      <c r="AC108" s="970"/>
      <c r="AD108" s="970"/>
      <c r="AE108" s="970"/>
      <c r="AF108" s="970"/>
      <c r="AG108" s="970"/>
      <c r="AH108" s="970"/>
      <c r="AI108" s="970"/>
      <c r="AJ108" s="970"/>
      <c r="AK108" s="970"/>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H108" s="990"/>
      <c r="BI108" s="990"/>
      <c r="BJ108" s="990"/>
      <c r="BL108" s="515">
        <f t="shared" si="252"/>
        <v>0</v>
      </c>
      <c r="BM108" s="515"/>
      <c r="BO108" s="1482"/>
      <c r="BP108" s="1482"/>
      <c r="BQ108" s="1482"/>
      <c r="BR108" s="1482"/>
      <c r="BS108" s="1482"/>
      <c r="BT108" s="1482"/>
      <c r="BU108" s="1482"/>
      <c r="BV108" s="1482"/>
      <c r="BW108" s="1482"/>
      <c r="BX108" s="1482"/>
      <c r="BY108" s="1482"/>
      <c r="BZ108" s="1482"/>
      <c r="CA108" s="1482"/>
      <c r="CB108" s="1482"/>
      <c r="CC108" s="1482"/>
      <c r="CD108" s="1482"/>
      <c r="CE108" s="1482"/>
      <c r="CF108" s="1482"/>
      <c r="CG108" s="1482"/>
      <c r="CH108" s="1482"/>
      <c r="CI108" s="1482"/>
      <c r="CJ108" s="1482"/>
      <c r="CK108" s="1482"/>
      <c r="CL108" s="1482"/>
      <c r="CM108" s="1482"/>
      <c r="CN108" s="1482"/>
      <c r="CO108" s="1482"/>
      <c r="CP108" s="1482"/>
      <c r="CQ108" s="1482"/>
      <c r="CR108" s="1482"/>
      <c r="CS108" s="1482"/>
      <c r="CT108" s="1482"/>
      <c r="CU108" s="1482"/>
      <c r="CV108" s="1482"/>
      <c r="CW108" s="1482"/>
      <c r="CX108" s="1482"/>
      <c r="CY108" s="1482"/>
      <c r="CZ108" s="1482"/>
      <c r="DA108" s="1482"/>
      <c r="DB108" s="1482"/>
      <c r="DC108" s="1482"/>
      <c r="DD108" s="1482"/>
      <c r="DE108" s="1482"/>
      <c r="DF108" s="1482"/>
      <c r="DH108" s="838"/>
    </row>
    <row r="109" spans="1:112" s="743" customFormat="1" ht="24" customHeight="1" thickBot="1">
      <c r="C109" s="608" t="s">
        <v>593</v>
      </c>
      <c r="D109" s="608"/>
      <c r="E109" s="608"/>
      <c r="G109" s="1098">
        <f t="shared" ref="G109:P109" ca="1" si="265">G$40+G$84+G$106</f>
        <v>590.98249950821378</v>
      </c>
      <c r="H109" s="1098">
        <f t="shared" ca="1" si="265"/>
        <v>185.83085939782245</v>
      </c>
      <c r="I109" s="1098">
        <f t="shared" ca="1" si="265"/>
        <v>467.93399165725043</v>
      </c>
      <c r="J109" s="1098">
        <f t="shared" ca="1" si="265"/>
        <v>424.39542541484604</v>
      </c>
      <c r="K109" s="1098">
        <f t="shared" ca="1" si="265"/>
        <v>16.963945338992865</v>
      </c>
      <c r="L109" s="1098">
        <f t="shared" ca="1" si="265"/>
        <v>11.078742052970153</v>
      </c>
      <c r="M109" s="1098">
        <f t="shared" ca="1" si="265"/>
        <v>24.589843788926849</v>
      </c>
      <c r="N109" s="1098">
        <f t="shared" ca="1" si="265"/>
        <v>194.2224288429754</v>
      </c>
      <c r="O109" s="1098">
        <f t="shared" ca="1" si="265"/>
        <v>50.306061067539972</v>
      </c>
      <c r="P109" s="1098">
        <f t="shared" ca="1" si="265"/>
        <v>0</v>
      </c>
      <c r="Q109" s="1098">
        <f ca="1">SUM(G109:P109)</f>
        <v>1966.3037970695382</v>
      </c>
      <c r="S109" s="1099">
        <f t="shared" ref="S109:AJ109" ca="1" si="266">S$40+S$84+S$106</f>
        <v>-382.28449716625596</v>
      </c>
      <c r="T109" s="1099">
        <f t="shared" ca="1" si="266"/>
        <v>382.28449716625596</v>
      </c>
      <c r="U109" s="1099">
        <f t="shared" ca="1" si="266"/>
        <v>0</v>
      </c>
      <c r="V109" s="1099">
        <f t="shared" ca="1" si="266"/>
        <v>0</v>
      </c>
      <c r="W109" s="1099">
        <f t="shared" ca="1" si="266"/>
        <v>0</v>
      </c>
      <c r="X109" s="1099">
        <f t="shared" ca="1" si="266"/>
        <v>0</v>
      </c>
      <c r="Y109" s="1099">
        <f t="shared" ca="1" si="266"/>
        <v>0</v>
      </c>
      <c r="Z109" s="1099">
        <f t="shared" ca="1" si="266"/>
        <v>0</v>
      </c>
      <c r="AA109" s="1099">
        <f t="shared" ca="1" si="266"/>
        <v>0</v>
      </c>
      <c r="AB109" s="1099">
        <f t="shared" ca="1" si="266"/>
        <v>0</v>
      </c>
      <c r="AC109" s="1099">
        <f t="shared" ca="1" si="266"/>
        <v>0</v>
      </c>
      <c r="AD109" s="1099">
        <f t="shared" ca="1" si="266"/>
        <v>0</v>
      </c>
      <c r="AE109" s="1099">
        <f t="shared" ca="1" si="266"/>
        <v>0</v>
      </c>
      <c r="AF109" s="1099">
        <f t="shared" ca="1" si="266"/>
        <v>0</v>
      </c>
      <c r="AG109" s="1099">
        <f t="shared" ca="1" si="266"/>
        <v>0</v>
      </c>
      <c r="AH109" s="1099">
        <f t="shared" ca="1" si="266"/>
        <v>0</v>
      </c>
      <c r="AI109" s="1099">
        <f t="shared" ca="1" si="266"/>
        <v>0</v>
      </c>
      <c r="AJ109" s="1099">
        <f t="shared" ca="1" si="266"/>
        <v>0</v>
      </c>
      <c r="AK109" s="1099">
        <f ca="1">SUM(S109:AJ109)</f>
        <v>0</v>
      </c>
      <c r="AM109" s="1100">
        <f t="shared" ref="AM109:BE109" ca="1" si="267">AM$40+AM$84+AM$106</f>
        <v>-124.39544583847987</v>
      </c>
      <c r="AN109" s="1100">
        <f t="shared" ca="1" si="267"/>
        <v>-527.86775447758896</v>
      </c>
      <c r="AO109" s="1100">
        <f t="shared" ca="1" si="267"/>
        <v>-404.31570071063896</v>
      </c>
      <c r="AP109" s="1100">
        <f t="shared" ca="1" si="267"/>
        <v>-2.7911999999999999</v>
      </c>
      <c r="AQ109" s="1100">
        <f t="shared" ca="1" si="267"/>
        <v>5.6843418860808015E-14</v>
      </c>
      <c r="AR109" s="1100">
        <f t="shared" ca="1" si="267"/>
        <v>0</v>
      </c>
      <c r="AS109" s="1100">
        <f t="shared" ca="1" si="267"/>
        <v>-3.7035402664777735</v>
      </c>
      <c r="AT109" s="1100">
        <f t="shared" ca="1" si="267"/>
        <v>-327.62826529692973</v>
      </c>
      <c r="AU109" s="1100">
        <f t="shared" ca="1" si="267"/>
        <v>-843.83822787211943</v>
      </c>
      <c r="AV109" s="1100">
        <f t="shared" ca="1" si="267"/>
        <v>-77.140800000000027</v>
      </c>
      <c r="AW109" s="1100">
        <f t="shared" ca="1" si="267"/>
        <v>0</v>
      </c>
      <c r="AX109" s="1100">
        <f t="shared" ca="1" si="267"/>
        <v>-44.245070100000007</v>
      </c>
      <c r="AY109" s="1100">
        <f t="shared" ca="1" si="267"/>
        <v>-5.0034246575342486E-2</v>
      </c>
      <c r="AZ109" s="1100">
        <f t="shared" ca="1" si="267"/>
        <v>-0.1584417808219177</v>
      </c>
      <c r="BA109" s="1100">
        <f t="shared" ca="1" si="267"/>
        <v>0</v>
      </c>
      <c r="BB109" s="1100">
        <f t="shared" ca="1" si="267"/>
        <v>-5.3297280000000011</v>
      </c>
      <c r="BC109" s="1100">
        <f t="shared" ca="1" si="267"/>
        <v>0</v>
      </c>
      <c r="BD109" s="1100">
        <f t="shared" ca="1" si="267"/>
        <v>-15.676521652202258</v>
      </c>
      <c r="BE109" s="1100">
        <f t="shared" ca="1" si="267"/>
        <v>-151.96578396739062</v>
      </c>
      <c r="BF109" s="1100">
        <f ca="1">SUM(AM109:BE109)</f>
        <v>-2529.1065142092248</v>
      </c>
      <c r="BH109" s="1101">
        <f ca="1">BH$40+BH$84+BH$106</f>
        <v>449.15214080942161</v>
      </c>
      <c r="BI109" s="1101">
        <f ca="1">BI$40+BI$84+BI$106</f>
        <v>113.65057633026522</v>
      </c>
      <c r="BJ109" s="1101">
        <f ca="1">SUM(BH109:BI109)</f>
        <v>562.80271713968682</v>
      </c>
      <c r="BL109" s="514">
        <f t="shared" ca="1" si="252"/>
        <v>0</v>
      </c>
      <c r="BM109" s="514"/>
      <c r="BO109" s="1493">
        <f t="shared" ref="BO109:DF109" ca="1" si="268">BO$40+BO$84+BO$106</f>
        <v>460.72222778905405</v>
      </c>
      <c r="BP109" s="1493">
        <f t="shared" ca="1" si="268"/>
        <v>0.87153119173468041</v>
      </c>
      <c r="BQ109" s="1493">
        <f t="shared" ca="1" si="268"/>
        <v>3.9216389053226659</v>
      </c>
      <c r="BR109" s="1493">
        <f t="shared" ca="1" si="268"/>
        <v>0</v>
      </c>
      <c r="BS109" s="1493">
        <f t="shared" ca="1" si="268"/>
        <v>2.7541335688647668</v>
      </c>
      <c r="BT109" s="1493">
        <f t="shared" ca="1" si="268"/>
        <v>8.0512328006913183</v>
      </c>
      <c r="BU109" s="1493">
        <f t="shared" ca="1" si="268"/>
        <v>0</v>
      </c>
      <c r="BV109" s="1493">
        <f t="shared" ca="1" si="268"/>
        <v>0</v>
      </c>
      <c r="BW109" s="1493">
        <f t="shared" ca="1" si="268"/>
        <v>14.415809031014421</v>
      </c>
      <c r="BX109" s="1493">
        <f t="shared" ca="1" si="268"/>
        <v>0.11168408042808131</v>
      </c>
      <c r="BY109" s="1493">
        <f t="shared" ca="1" si="268"/>
        <v>2.761536333825779</v>
      </c>
      <c r="BZ109" s="1493">
        <f t="shared" ca="1" si="268"/>
        <v>8.5208110687468022</v>
      </c>
      <c r="CA109" s="1493">
        <f t="shared" ca="1" si="268"/>
        <v>0</v>
      </c>
      <c r="CB109" s="1493">
        <f t="shared" ca="1" si="268"/>
        <v>0</v>
      </c>
      <c r="CC109" s="1493">
        <f t="shared" ca="1" si="268"/>
        <v>0</v>
      </c>
      <c r="CD109" s="1493">
        <f t="shared" ca="1" si="268"/>
        <v>0</v>
      </c>
      <c r="CE109" s="1493">
        <f t="shared" ca="1" si="268"/>
        <v>0</v>
      </c>
      <c r="CF109" s="1493">
        <f t="shared" ca="1" si="268"/>
        <v>17.381413669677077</v>
      </c>
      <c r="CG109" s="1493">
        <f t="shared" ca="1" si="268"/>
        <v>21.417599999999993</v>
      </c>
      <c r="CH109" s="1493">
        <f t="shared" ca="1" si="268"/>
        <v>0</v>
      </c>
      <c r="CI109" s="1493">
        <f t="shared" ca="1" si="268"/>
        <v>8.7632357212518119</v>
      </c>
      <c r="CJ109" s="1493">
        <f t="shared" ca="1" si="268"/>
        <v>0</v>
      </c>
      <c r="CK109" s="1493">
        <f t="shared" ca="1" si="268"/>
        <v>0</v>
      </c>
      <c r="CL109" s="1493">
        <f t="shared" ca="1" si="268"/>
        <v>0</v>
      </c>
      <c r="CM109" s="1493">
        <f t="shared" ca="1" si="268"/>
        <v>0</v>
      </c>
      <c r="CN109" s="1493">
        <f t="shared" ca="1" si="268"/>
        <v>20.77382567529882</v>
      </c>
      <c r="CO109" s="1493">
        <f t="shared" ca="1" si="268"/>
        <v>1.3629948850573201</v>
      </c>
      <c r="CP109" s="1493">
        <f t="shared" ca="1" si="268"/>
        <v>0</v>
      </c>
      <c r="CQ109" s="1493">
        <f t="shared" ca="1" si="268"/>
        <v>0</v>
      </c>
      <c r="CR109" s="1493">
        <f t="shared" ca="1" si="268"/>
        <v>0</v>
      </c>
      <c r="CS109" s="1493">
        <f t="shared" ca="1" si="268"/>
        <v>0</v>
      </c>
      <c r="CT109" s="1493">
        <f t="shared" ca="1" si="268"/>
        <v>0</v>
      </c>
      <c r="CU109" s="1493">
        <f t="shared" ca="1" si="268"/>
        <v>61.13212247762884</v>
      </c>
      <c r="CV109" s="1493">
        <f t="shared" ca="1" si="268"/>
        <v>7.6109251150240059E-2</v>
      </c>
      <c r="CW109" s="1493">
        <f t="shared" ca="1" si="268"/>
        <v>1.0998921486320294</v>
      </c>
      <c r="CX109" s="1493">
        <f t="shared" ca="1" si="268"/>
        <v>0</v>
      </c>
      <c r="CY109" s="1493">
        <f t="shared" ca="1" si="268"/>
        <v>-20.826289015593673</v>
      </c>
      <c r="CZ109" s="1493">
        <f t="shared" ca="1" si="268"/>
        <v>0</v>
      </c>
      <c r="DA109" s="1493">
        <f t="shared" ca="1" si="268"/>
        <v>0</v>
      </c>
      <c r="DB109" s="1493">
        <f t="shared" ca="1" si="268"/>
        <v>0</v>
      </c>
      <c r="DC109" s="1493">
        <f t="shared" ca="1" si="268"/>
        <v>-7.7193927171652801</v>
      </c>
      <c r="DD109" s="1493">
        <f t="shared" ca="1" si="268"/>
        <v>0</v>
      </c>
      <c r="DE109" s="1493">
        <f t="shared" ca="1" si="268"/>
        <v>0</v>
      </c>
      <c r="DF109" s="1493">
        <f t="shared" ca="1" si="268"/>
        <v>0</v>
      </c>
      <c r="DH109" s="835">
        <f ca="1">SUM(BO109:DF109)</f>
        <v>605.59211686561969</v>
      </c>
    </row>
    <row r="110" spans="1:112" s="743" customFormat="1">
      <c r="C110" s="508"/>
      <c r="D110" s="509"/>
      <c r="E110" s="509"/>
      <c r="G110" s="995"/>
      <c r="H110" s="995"/>
      <c r="I110" s="995"/>
      <c r="J110" s="995"/>
      <c r="K110" s="996"/>
      <c r="L110" s="995"/>
      <c r="M110" s="995"/>
      <c r="N110" s="995"/>
      <c r="O110" s="995"/>
      <c r="P110" s="995"/>
      <c r="Q110" s="995"/>
      <c r="S110" s="998"/>
      <c r="T110" s="998"/>
      <c r="U110" s="998"/>
      <c r="V110" s="998"/>
      <c r="W110" s="998"/>
      <c r="X110" s="998"/>
      <c r="Y110" s="998"/>
      <c r="Z110" s="998"/>
      <c r="AA110" s="998"/>
      <c r="AB110" s="998"/>
      <c r="AC110" s="998"/>
      <c r="AD110" s="998"/>
      <c r="AE110" s="998"/>
      <c r="AF110" s="998"/>
      <c r="AG110" s="998"/>
      <c r="AH110" s="998"/>
      <c r="AI110" s="998"/>
      <c r="AJ110" s="998"/>
      <c r="AK110" s="998"/>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H110" s="1002"/>
      <c r="BI110" s="1002"/>
      <c r="BJ110" s="1002"/>
      <c r="BL110" s="515"/>
      <c r="BM110" s="515"/>
      <c r="BO110" s="1494"/>
      <c r="BP110" s="1494"/>
      <c r="BQ110" s="1494"/>
      <c r="BR110" s="1494"/>
      <c r="BS110" s="1494"/>
      <c r="BT110" s="1494"/>
      <c r="BU110" s="1494"/>
      <c r="BV110" s="1494"/>
      <c r="BW110" s="1494"/>
      <c r="BX110" s="1494"/>
      <c r="BY110" s="1494"/>
      <c r="BZ110" s="1494"/>
      <c r="CA110" s="1494"/>
      <c r="CB110" s="1494"/>
      <c r="CC110" s="1494"/>
      <c r="CD110" s="1494"/>
      <c r="CE110" s="1494"/>
      <c r="CF110" s="1494"/>
      <c r="CG110" s="1494"/>
      <c r="CH110" s="1494"/>
      <c r="CI110" s="1494"/>
      <c r="CJ110" s="1494"/>
      <c r="CK110" s="1494"/>
      <c r="CL110" s="1494"/>
      <c r="CM110" s="1494"/>
      <c r="CN110" s="1494"/>
      <c r="CO110" s="1494"/>
      <c r="CP110" s="1494"/>
      <c r="CQ110" s="1494"/>
      <c r="CR110" s="1494"/>
      <c r="CS110" s="1494"/>
      <c r="CT110" s="1494"/>
      <c r="CU110" s="1494"/>
      <c r="CV110" s="1494"/>
      <c r="CW110" s="1494"/>
      <c r="CX110" s="1494"/>
      <c r="CY110" s="1494"/>
      <c r="CZ110" s="1494"/>
      <c r="DA110" s="1494"/>
      <c r="DB110" s="1494"/>
      <c r="DC110" s="1494"/>
      <c r="DD110" s="1494"/>
      <c r="DE110" s="1494"/>
      <c r="DF110" s="1494"/>
    </row>
    <row r="111" spans="1:112">
      <c r="G111" s="515"/>
      <c r="H111" s="515"/>
      <c r="I111" s="515"/>
      <c r="J111" s="515"/>
      <c r="K111" s="519"/>
      <c r="L111" s="515"/>
      <c r="M111" s="515"/>
      <c r="N111" s="515"/>
      <c r="O111" s="515"/>
      <c r="P111" s="515"/>
      <c r="Q111" s="515"/>
      <c r="S111" s="515"/>
      <c r="T111" s="515"/>
      <c r="U111" s="515"/>
      <c r="V111" s="515"/>
      <c r="W111" s="515"/>
      <c r="X111" s="515"/>
      <c r="Y111" s="515"/>
      <c r="Z111" s="515"/>
      <c r="AA111" s="515"/>
      <c r="AB111" s="515"/>
      <c r="AC111" s="515"/>
      <c r="AD111" s="515"/>
      <c r="AE111" s="515"/>
      <c r="AF111" s="515"/>
      <c r="AG111" s="515"/>
      <c r="AH111" s="515"/>
      <c r="AI111" s="515"/>
      <c r="AJ111" s="515"/>
      <c r="AK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H111" s="515"/>
      <c r="BI111" s="515"/>
      <c r="BJ111" s="515"/>
      <c r="BL111" s="515"/>
      <c r="BM111" s="515"/>
    </row>
    <row r="112" spans="1:112">
      <c r="G112" s="515"/>
      <c r="H112" s="515"/>
      <c r="I112" s="515"/>
      <c r="J112" s="515"/>
      <c r="K112" s="519"/>
      <c r="L112" s="515"/>
      <c r="M112" s="515"/>
      <c r="N112" s="515"/>
      <c r="O112" s="515"/>
      <c r="P112" s="515"/>
      <c r="Q112" s="515"/>
      <c r="S112" s="515"/>
      <c r="T112" s="515"/>
      <c r="U112" s="515"/>
      <c r="V112" s="515"/>
      <c r="W112" s="515"/>
      <c r="X112" s="515"/>
      <c r="Y112" s="515"/>
      <c r="Z112" s="515"/>
      <c r="AA112" s="515"/>
      <c r="AB112" s="515"/>
      <c r="AC112" s="515"/>
      <c r="AD112" s="515"/>
      <c r="AE112" s="515"/>
      <c r="AF112" s="515"/>
      <c r="AG112" s="515"/>
      <c r="AH112" s="515"/>
      <c r="AI112" s="515"/>
      <c r="AJ112" s="515"/>
      <c r="AK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H112" s="515"/>
      <c r="BI112" s="515"/>
      <c r="BJ112" s="515"/>
      <c r="BL112" s="515"/>
      <c r="BM112" s="515"/>
      <c r="DF112" s="20" t="s">
        <v>2428</v>
      </c>
      <c r="DH112" s="2293">
        <f ca="1">SUM(DH63,DH68,DH76,DH82)</f>
        <v>149.65992549696202</v>
      </c>
    </row>
    <row r="113" spans="2:112">
      <c r="B113" s="121" t="s">
        <v>798</v>
      </c>
      <c r="C113" s="1095" t="s">
        <v>1017</v>
      </c>
      <c r="G113" s="515"/>
      <c r="H113" s="515"/>
      <c r="I113" s="515"/>
      <c r="J113" s="515"/>
      <c r="K113" s="519"/>
      <c r="L113" s="515"/>
      <c r="M113" s="515"/>
      <c r="N113" s="515"/>
      <c r="O113" s="515"/>
      <c r="P113" s="515"/>
      <c r="Q113" s="515"/>
      <c r="S113" s="515"/>
      <c r="T113" s="515"/>
      <c r="U113" s="515"/>
      <c r="V113" s="515"/>
      <c r="W113" s="515"/>
      <c r="X113" s="515"/>
      <c r="Y113" s="515"/>
      <c r="Z113" s="515"/>
      <c r="AA113" s="515"/>
      <c r="AB113" s="515"/>
      <c r="AC113" s="515"/>
      <c r="AD113" s="515"/>
      <c r="AE113" s="515"/>
      <c r="AF113" s="515"/>
      <c r="AG113" s="515"/>
      <c r="AH113" s="515"/>
      <c r="AI113" s="515"/>
      <c r="AJ113" s="515"/>
      <c r="AK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H113" s="515"/>
      <c r="BI113" s="515"/>
      <c r="BJ113" s="515"/>
      <c r="BL113" s="515"/>
      <c r="BM113" s="515"/>
      <c r="DF113" s="20" t="s">
        <v>2429</v>
      </c>
      <c r="DH113" s="2293">
        <f ca="1">T109-MIN(T103,0)-T72</f>
        <v>383.56168401234822</v>
      </c>
    </row>
    <row r="114" spans="2:112" ht="15.75">
      <c r="B114" s="3"/>
      <c r="G114" s="515"/>
      <c r="H114" s="515"/>
      <c r="I114" s="515"/>
      <c r="J114" s="515"/>
      <c r="K114" s="519"/>
      <c r="L114" s="515"/>
      <c r="M114" s="515"/>
      <c r="N114" s="515"/>
      <c r="O114" s="515"/>
      <c r="P114" s="515"/>
      <c r="Q114" s="515"/>
      <c r="S114" s="515"/>
      <c r="T114" s="515"/>
      <c r="U114" s="515"/>
      <c r="V114" s="515"/>
      <c r="W114" s="515"/>
      <c r="X114" s="515"/>
      <c r="Y114" s="515"/>
      <c r="Z114" s="515"/>
      <c r="AA114" s="515"/>
      <c r="AB114" s="515"/>
      <c r="AC114" s="515"/>
      <c r="AD114" s="515"/>
      <c r="AE114" s="515"/>
      <c r="AF114" s="515"/>
      <c r="AG114" s="515"/>
      <c r="AH114" s="515"/>
      <c r="AI114" s="515"/>
      <c r="AJ114" s="515"/>
      <c r="AK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H114" s="515"/>
      <c r="BI114" s="515"/>
      <c r="BJ114" s="515"/>
      <c r="BL114" s="515"/>
      <c r="BM114" s="515"/>
      <c r="DF114" s="20" t="s">
        <v>2430</v>
      </c>
      <c r="DH114" s="121">
        <f ca="1">DH112/DH113</f>
        <v>0.3901847648894563</v>
      </c>
    </row>
    <row r="115" spans="2:112">
      <c r="G115" s="515"/>
      <c r="H115" s="515"/>
      <c r="I115" s="515"/>
      <c r="J115" s="515"/>
      <c r="K115" s="519"/>
      <c r="L115" s="515"/>
      <c r="M115" s="515"/>
      <c r="N115" s="515"/>
      <c r="O115" s="515"/>
      <c r="P115" s="515"/>
      <c r="Q115" s="515"/>
      <c r="S115" s="515"/>
      <c r="T115" s="515"/>
      <c r="U115" s="515"/>
      <c r="V115" s="515"/>
      <c r="W115" s="515"/>
      <c r="X115" s="515"/>
      <c r="Y115" s="515"/>
      <c r="Z115" s="515"/>
      <c r="AA115" s="515"/>
      <c r="AB115" s="515"/>
      <c r="AC115" s="515"/>
      <c r="AD115" s="515"/>
      <c r="AE115" s="515"/>
      <c r="AF115" s="515"/>
      <c r="AG115" s="515"/>
      <c r="AH115" s="515"/>
      <c r="AI115" s="515"/>
      <c r="AJ115" s="515"/>
      <c r="AK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H115" s="515"/>
      <c r="BI115" s="515"/>
      <c r="BJ115" s="515"/>
      <c r="BL115" s="515"/>
      <c r="BM115" s="515"/>
    </row>
    <row r="116" spans="2:112" ht="15.75">
      <c r="B116" s="3"/>
      <c r="G116" s="515"/>
      <c r="H116" s="515"/>
      <c r="I116" s="515"/>
      <c r="J116" s="515"/>
      <c r="K116" s="519"/>
      <c r="L116" s="515"/>
      <c r="M116" s="515"/>
      <c r="N116" s="515"/>
      <c r="O116" s="515"/>
      <c r="P116" s="515"/>
      <c r="Q116" s="515"/>
      <c r="S116" s="515"/>
      <c r="T116" s="515"/>
      <c r="U116" s="515"/>
      <c r="V116" s="515"/>
      <c r="W116" s="515"/>
      <c r="X116" s="515"/>
      <c r="Y116" s="515"/>
      <c r="Z116" s="515"/>
      <c r="AA116" s="515"/>
      <c r="AB116" s="515"/>
      <c r="AC116" s="515"/>
      <c r="AD116" s="515"/>
      <c r="AE116" s="515"/>
      <c r="AF116" s="515"/>
      <c r="AG116" s="515"/>
      <c r="AH116" s="515"/>
      <c r="AI116" s="515"/>
      <c r="AJ116" s="515"/>
      <c r="AK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H116" s="515"/>
      <c r="BI116" s="515"/>
      <c r="BJ116" s="515"/>
      <c r="BL116" s="515"/>
      <c r="BM116" s="515"/>
    </row>
    <row r="117" spans="2:112" ht="15.75">
      <c r="B117" s="3"/>
      <c r="G117" s="515"/>
      <c r="H117" s="515"/>
      <c r="I117" s="515"/>
      <c r="J117" s="515"/>
      <c r="K117" s="519"/>
      <c r="L117" s="515"/>
      <c r="M117" s="515"/>
      <c r="N117" s="515"/>
      <c r="O117" s="515"/>
      <c r="P117" s="515"/>
      <c r="Q117" s="515"/>
      <c r="S117" s="515"/>
      <c r="T117" s="515"/>
      <c r="U117" s="515"/>
      <c r="V117" s="515"/>
      <c r="W117" s="515"/>
      <c r="X117" s="515"/>
      <c r="Y117" s="515"/>
      <c r="Z117" s="515"/>
      <c r="AA117" s="515"/>
      <c r="AB117" s="515"/>
      <c r="AC117" s="515"/>
      <c r="AD117" s="515"/>
      <c r="AE117" s="515"/>
      <c r="AF117" s="515"/>
      <c r="AG117" s="515"/>
      <c r="AH117" s="515"/>
      <c r="AI117" s="515"/>
      <c r="AJ117" s="515"/>
      <c r="AK117" s="515"/>
      <c r="AM117" s="515"/>
      <c r="AN117" s="515"/>
      <c r="AO117" s="515"/>
      <c r="AP117" s="515"/>
      <c r="AQ117" s="515"/>
      <c r="AR117" s="515"/>
      <c r="AS117" s="515"/>
      <c r="AT117" s="515"/>
      <c r="AU117" s="515"/>
      <c r="AV117" s="515"/>
      <c r="AW117" s="515"/>
      <c r="AX117" s="515"/>
      <c r="AY117" s="515"/>
      <c r="AZ117" s="515"/>
      <c r="BA117" s="515"/>
      <c r="BB117" s="515"/>
      <c r="BC117" s="515"/>
      <c r="BD117" s="515"/>
      <c r="BE117" s="515"/>
      <c r="BF117" s="515"/>
      <c r="BH117" s="515"/>
      <c r="BI117" s="515"/>
      <c r="BJ117" s="515"/>
      <c r="BL117" s="515"/>
      <c r="BM117" s="515"/>
    </row>
    <row r="118" spans="2:112" ht="15.75">
      <c r="B118" s="3"/>
      <c r="G118" s="515"/>
      <c r="H118" s="515"/>
      <c r="I118" s="515"/>
      <c r="J118" s="515"/>
      <c r="K118" s="519"/>
      <c r="L118" s="515"/>
      <c r="M118" s="515"/>
      <c r="N118" s="515"/>
      <c r="O118" s="515"/>
      <c r="P118" s="515"/>
      <c r="Q118" s="515"/>
      <c r="S118" s="515"/>
      <c r="T118" s="515"/>
      <c r="U118" s="515"/>
      <c r="V118" s="515"/>
      <c r="W118" s="515"/>
      <c r="X118" s="515"/>
      <c r="Y118" s="515"/>
      <c r="Z118" s="515"/>
      <c r="AA118" s="515"/>
      <c r="AB118" s="515"/>
      <c r="AC118" s="515"/>
      <c r="AD118" s="515"/>
      <c r="AE118" s="515"/>
      <c r="AF118" s="515"/>
      <c r="AG118" s="515"/>
      <c r="AH118" s="515"/>
      <c r="AI118" s="515"/>
      <c r="AJ118" s="515"/>
      <c r="AK118" s="515"/>
      <c r="AM118" s="515"/>
      <c r="AN118" s="515"/>
      <c r="AO118" s="515"/>
      <c r="AP118" s="515"/>
      <c r="AQ118" s="515"/>
      <c r="AR118" s="515"/>
      <c r="AS118" s="515"/>
      <c r="AT118" s="515"/>
      <c r="AU118" s="515"/>
      <c r="AV118" s="515"/>
      <c r="AW118" s="515"/>
      <c r="AX118" s="515"/>
      <c r="AY118" s="515"/>
      <c r="AZ118" s="515"/>
      <c r="BA118" s="515"/>
      <c r="BB118" s="515"/>
      <c r="BC118" s="515"/>
      <c r="BD118" s="515"/>
      <c r="BE118" s="515"/>
      <c r="BF118" s="515"/>
      <c r="BH118" s="515"/>
      <c r="BI118" s="515"/>
      <c r="BJ118" s="515"/>
      <c r="BL118" s="515"/>
      <c r="BM118" s="515"/>
    </row>
    <row r="119" spans="2:112" ht="15.75">
      <c r="B119" s="3"/>
      <c r="G119" s="515"/>
      <c r="H119" s="515"/>
      <c r="I119" s="515"/>
      <c r="J119" s="515"/>
      <c r="K119" s="519"/>
      <c r="L119" s="515"/>
      <c r="M119" s="515"/>
      <c r="N119" s="515"/>
      <c r="O119" s="515"/>
      <c r="P119" s="515"/>
      <c r="Q119" s="515"/>
      <c r="S119" s="515"/>
      <c r="T119" s="515"/>
      <c r="U119" s="515"/>
      <c r="V119" s="515"/>
      <c r="W119" s="515"/>
      <c r="X119" s="515"/>
      <c r="Y119" s="515"/>
      <c r="Z119" s="515"/>
      <c r="AA119" s="515"/>
      <c r="AB119" s="515"/>
      <c r="AC119" s="515"/>
      <c r="AD119" s="515"/>
      <c r="AE119" s="515"/>
      <c r="AF119" s="515"/>
      <c r="AG119" s="515"/>
      <c r="AH119" s="515"/>
      <c r="AI119" s="515"/>
      <c r="AJ119" s="515"/>
      <c r="AK119" s="515"/>
      <c r="AM119" s="515"/>
      <c r="AN119" s="515"/>
      <c r="AO119" s="515"/>
      <c r="AP119" s="515"/>
      <c r="AQ119" s="515"/>
      <c r="AR119" s="515"/>
      <c r="AS119" s="515"/>
      <c r="AT119" s="515"/>
      <c r="AU119" s="515"/>
      <c r="AV119" s="515"/>
      <c r="AW119" s="515"/>
      <c r="AX119" s="515"/>
      <c r="AY119" s="515"/>
      <c r="AZ119" s="515"/>
      <c r="BA119" s="515"/>
      <c r="BB119" s="515"/>
      <c r="BC119" s="515"/>
      <c r="BD119" s="515"/>
      <c r="BE119" s="515"/>
      <c r="BF119" s="515"/>
      <c r="BH119" s="515"/>
      <c r="BI119" s="515"/>
      <c r="BJ119" s="515"/>
      <c r="BL119" s="515"/>
      <c r="BM119" s="515"/>
    </row>
    <row r="120" spans="2:112" ht="15.75">
      <c r="B120" s="3"/>
      <c r="G120" s="515"/>
      <c r="H120" s="515"/>
      <c r="I120" s="515"/>
      <c r="J120" s="515"/>
      <c r="K120" s="519"/>
      <c r="L120" s="515"/>
      <c r="M120" s="515"/>
      <c r="N120" s="515"/>
      <c r="O120" s="515"/>
      <c r="P120" s="515"/>
      <c r="Q120" s="515"/>
      <c r="S120" s="515"/>
      <c r="T120" s="515"/>
      <c r="U120" s="515"/>
      <c r="V120" s="515"/>
      <c r="W120" s="515"/>
      <c r="X120" s="515"/>
      <c r="Y120" s="515"/>
      <c r="Z120" s="515"/>
      <c r="AA120" s="515"/>
      <c r="AB120" s="515"/>
      <c r="AC120" s="515"/>
      <c r="AD120" s="515"/>
      <c r="AE120" s="515"/>
      <c r="AF120" s="515"/>
      <c r="AG120" s="515"/>
      <c r="AH120" s="515"/>
      <c r="AI120" s="515"/>
      <c r="AJ120" s="515"/>
      <c r="AK120" s="515"/>
      <c r="AM120" s="515"/>
      <c r="AN120" s="515"/>
      <c r="AO120" s="515"/>
      <c r="AP120" s="515"/>
      <c r="AQ120" s="515"/>
      <c r="AR120" s="515"/>
      <c r="AS120" s="515"/>
      <c r="AT120" s="515"/>
      <c r="AU120" s="515"/>
      <c r="AV120" s="515"/>
      <c r="AW120" s="515"/>
      <c r="AX120" s="515"/>
      <c r="AY120" s="515"/>
      <c r="AZ120" s="515"/>
      <c r="BA120" s="515"/>
      <c r="BB120" s="515"/>
      <c r="BC120" s="515"/>
      <c r="BD120" s="515"/>
      <c r="BE120" s="515"/>
      <c r="BF120" s="515"/>
      <c r="BH120" s="515"/>
      <c r="BI120" s="515"/>
      <c r="BJ120" s="515"/>
      <c r="BL120" s="515"/>
      <c r="BM120" s="515"/>
    </row>
    <row r="121" spans="2:112" ht="15.75">
      <c r="B121" s="3"/>
      <c r="G121" s="515"/>
      <c r="H121" s="515"/>
      <c r="I121" s="515"/>
      <c r="J121" s="515"/>
      <c r="K121" s="519"/>
      <c r="L121" s="515"/>
      <c r="M121" s="515"/>
      <c r="N121" s="515"/>
      <c r="O121" s="515"/>
      <c r="P121" s="515"/>
      <c r="Q121" s="515"/>
      <c r="S121" s="515"/>
      <c r="T121" s="515"/>
      <c r="U121" s="515"/>
      <c r="V121" s="515"/>
      <c r="W121" s="515"/>
      <c r="X121" s="515"/>
      <c r="Y121" s="515"/>
      <c r="Z121" s="515"/>
      <c r="AA121" s="515"/>
      <c r="AB121" s="515"/>
      <c r="AC121" s="515"/>
      <c r="AD121" s="515"/>
      <c r="AE121" s="515"/>
      <c r="AF121" s="515"/>
      <c r="AG121" s="515"/>
      <c r="AH121" s="515"/>
      <c r="AI121" s="515"/>
      <c r="AJ121" s="515"/>
      <c r="AK121" s="515"/>
      <c r="AM121" s="515"/>
      <c r="AN121" s="515"/>
      <c r="AO121" s="515"/>
      <c r="AP121" s="515"/>
      <c r="AQ121" s="515"/>
      <c r="AR121" s="515"/>
      <c r="AS121" s="515"/>
      <c r="AT121" s="515"/>
      <c r="AU121" s="515"/>
      <c r="AV121" s="515"/>
      <c r="AW121" s="515"/>
      <c r="AX121" s="515"/>
      <c r="AY121" s="515"/>
      <c r="AZ121" s="515"/>
      <c r="BA121" s="515"/>
      <c r="BB121" s="515"/>
      <c r="BC121" s="515"/>
      <c r="BD121" s="515"/>
      <c r="BE121" s="515"/>
      <c r="BF121" s="515"/>
      <c r="BH121" s="515"/>
      <c r="BI121" s="515"/>
      <c r="BJ121" s="515"/>
      <c r="BL121" s="515"/>
      <c r="BM121" s="515"/>
    </row>
    <row r="122" spans="2:112">
      <c r="G122" s="515"/>
      <c r="H122" s="515"/>
      <c r="I122" s="515"/>
      <c r="J122" s="515"/>
      <c r="K122" s="519"/>
      <c r="L122" s="515"/>
      <c r="M122" s="515"/>
      <c r="N122" s="515"/>
      <c r="O122" s="515"/>
      <c r="P122" s="515"/>
      <c r="Q122" s="515"/>
      <c r="S122" s="515"/>
      <c r="T122" s="515"/>
      <c r="U122" s="515"/>
      <c r="V122" s="515"/>
      <c r="W122" s="515"/>
      <c r="X122" s="515"/>
      <c r="Y122" s="515"/>
      <c r="Z122" s="515"/>
      <c r="AA122" s="515"/>
      <c r="AB122" s="515"/>
      <c r="AC122" s="515"/>
      <c r="AD122" s="515"/>
      <c r="AE122" s="515"/>
      <c r="AF122" s="515"/>
      <c r="AG122" s="515"/>
      <c r="AH122" s="515"/>
      <c r="AI122" s="515"/>
      <c r="AJ122" s="515"/>
      <c r="AK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H122" s="515"/>
      <c r="BI122" s="515"/>
      <c r="BJ122" s="515"/>
      <c r="BL122" s="515"/>
      <c r="BM122" s="515"/>
    </row>
    <row r="123" spans="2:112" ht="24" customHeight="1">
      <c r="G123" s="515"/>
      <c r="H123" s="515"/>
      <c r="I123" s="515"/>
      <c r="J123" s="515"/>
      <c r="K123" s="519"/>
      <c r="L123" s="515"/>
      <c r="M123" s="515"/>
      <c r="N123" s="515"/>
      <c r="O123" s="515"/>
      <c r="P123" s="515"/>
      <c r="Q123" s="515"/>
      <c r="S123" s="515"/>
      <c r="T123" s="515"/>
      <c r="U123" s="515"/>
      <c r="V123" s="515"/>
      <c r="W123" s="515"/>
      <c r="X123" s="515"/>
      <c r="Y123" s="515"/>
      <c r="Z123" s="515"/>
      <c r="AA123" s="515"/>
      <c r="AB123" s="515"/>
      <c r="AC123" s="515"/>
      <c r="AD123" s="515"/>
      <c r="AE123" s="515"/>
      <c r="AF123" s="515"/>
      <c r="AG123" s="515"/>
      <c r="AH123" s="515"/>
      <c r="AI123" s="515"/>
      <c r="AJ123" s="515"/>
      <c r="AK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H123" s="515"/>
      <c r="BI123" s="515"/>
      <c r="BJ123" s="515"/>
      <c r="BL123" s="515"/>
      <c r="BM123" s="515"/>
    </row>
    <row r="124" spans="2:112">
      <c r="G124" s="515"/>
      <c r="H124" s="515"/>
      <c r="I124" s="515"/>
      <c r="J124" s="515"/>
      <c r="K124" s="519"/>
      <c r="L124" s="515"/>
      <c r="M124" s="515"/>
      <c r="N124" s="515"/>
      <c r="O124" s="515"/>
      <c r="P124" s="515"/>
      <c r="Q124" s="515"/>
      <c r="S124" s="515"/>
      <c r="T124" s="515"/>
      <c r="U124" s="515"/>
      <c r="V124" s="515"/>
      <c r="W124" s="515"/>
      <c r="X124" s="515"/>
      <c r="Y124" s="515"/>
      <c r="Z124" s="515"/>
      <c r="AA124" s="515"/>
      <c r="AB124" s="515"/>
      <c r="AC124" s="515"/>
      <c r="AD124" s="515"/>
      <c r="AE124" s="515"/>
      <c r="AF124" s="515"/>
      <c r="AG124" s="515"/>
      <c r="AH124" s="515"/>
      <c r="AI124" s="515"/>
      <c r="AJ124" s="515"/>
      <c r="AK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H124" s="515"/>
      <c r="BI124" s="515"/>
      <c r="BJ124" s="515"/>
      <c r="BL124" s="515"/>
      <c r="BM124" s="515"/>
    </row>
    <row r="125" spans="2:112">
      <c r="C125" s="520"/>
      <c r="D125" s="38"/>
      <c r="G125" s="515"/>
      <c r="H125" s="515"/>
      <c r="I125" s="515"/>
      <c r="J125" s="515"/>
      <c r="K125" s="519"/>
      <c r="L125" s="515"/>
      <c r="M125" s="515"/>
      <c r="N125" s="515"/>
      <c r="O125" s="515"/>
      <c r="P125" s="515"/>
      <c r="Q125" s="515"/>
      <c r="S125" s="515"/>
      <c r="T125" s="515"/>
      <c r="U125" s="515"/>
      <c r="V125" s="515"/>
      <c r="W125" s="515"/>
      <c r="X125" s="515"/>
      <c r="Y125" s="515"/>
      <c r="Z125" s="515"/>
      <c r="AA125" s="515"/>
      <c r="AB125" s="515"/>
      <c r="AC125" s="515"/>
      <c r="AD125" s="515"/>
      <c r="AE125" s="515"/>
      <c r="AF125" s="515"/>
      <c r="AG125" s="515"/>
      <c r="AH125" s="515"/>
      <c r="AI125" s="515"/>
      <c r="AJ125" s="515"/>
      <c r="AK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H125" s="515"/>
      <c r="BI125" s="515"/>
      <c r="BJ125" s="515"/>
      <c r="BL125" s="515"/>
      <c r="BM125" s="515"/>
    </row>
    <row r="126" spans="2:112">
      <c r="G126" s="515"/>
      <c r="H126" s="515"/>
      <c r="I126" s="515"/>
      <c r="J126" s="515"/>
      <c r="K126" s="519"/>
      <c r="L126" s="515"/>
      <c r="M126" s="515"/>
      <c r="N126" s="515"/>
      <c r="O126" s="515"/>
      <c r="P126" s="515"/>
      <c r="Q126" s="515"/>
      <c r="S126" s="515"/>
      <c r="T126" s="515"/>
      <c r="U126" s="515"/>
      <c r="V126" s="515"/>
      <c r="W126" s="515"/>
      <c r="X126" s="515"/>
      <c r="Y126" s="515"/>
      <c r="Z126" s="515"/>
      <c r="AA126" s="515"/>
      <c r="AB126" s="515"/>
      <c r="AC126" s="515"/>
      <c r="AD126" s="515"/>
      <c r="AE126" s="515"/>
      <c r="AF126" s="515"/>
      <c r="AG126" s="515"/>
      <c r="AH126" s="515"/>
      <c r="AI126" s="515"/>
      <c r="AJ126" s="515"/>
      <c r="AK126" s="515"/>
      <c r="AM126" s="515"/>
      <c r="AN126" s="515"/>
      <c r="AO126" s="515"/>
      <c r="AP126" s="515"/>
      <c r="AQ126" s="515"/>
      <c r="AR126" s="515"/>
      <c r="AS126" s="515"/>
      <c r="AT126" s="515"/>
      <c r="AU126" s="515"/>
      <c r="AV126" s="515"/>
      <c r="AW126" s="515"/>
      <c r="AX126" s="515"/>
      <c r="AY126" s="515"/>
      <c r="AZ126" s="515"/>
      <c r="BA126" s="515"/>
      <c r="BB126" s="515"/>
      <c r="BC126" s="515"/>
      <c r="BD126" s="515"/>
      <c r="BE126" s="515"/>
      <c r="BF126" s="515"/>
      <c r="BH126" s="515"/>
      <c r="BI126" s="515"/>
      <c r="BJ126" s="515"/>
      <c r="BL126" s="515"/>
      <c r="BM126" s="515"/>
    </row>
    <row r="127" spans="2:112">
      <c r="G127" s="515"/>
      <c r="H127" s="515"/>
      <c r="I127" s="515"/>
      <c r="J127" s="515"/>
      <c r="K127" s="519"/>
      <c r="L127" s="515"/>
      <c r="M127" s="515"/>
      <c r="N127" s="515"/>
      <c r="O127" s="515"/>
      <c r="P127" s="515"/>
      <c r="Q127" s="515"/>
      <c r="S127" s="515"/>
      <c r="T127" s="515"/>
      <c r="U127" s="515"/>
      <c r="V127" s="515"/>
      <c r="W127" s="515"/>
      <c r="X127" s="515"/>
      <c r="Y127" s="515"/>
      <c r="Z127" s="515"/>
      <c r="AA127" s="515"/>
      <c r="AB127" s="515"/>
      <c r="AC127" s="515"/>
      <c r="AD127" s="515"/>
      <c r="AE127" s="515"/>
      <c r="AF127" s="515"/>
      <c r="AG127" s="515"/>
      <c r="AH127" s="515"/>
      <c r="AI127" s="515"/>
      <c r="AJ127" s="515"/>
      <c r="AK127" s="515"/>
      <c r="AM127" s="515"/>
      <c r="AN127" s="515"/>
      <c r="AO127" s="515"/>
      <c r="AP127" s="515"/>
      <c r="AQ127" s="515"/>
      <c r="AR127" s="515"/>
      <c r="AS127" s="515"/>
      <c r="AT127" s="515"/>
      <c r="AU127" s="515"/>
      <c r="AV127" s="515"/>
      <c r="AW127" s="515"/>
      <c r="AX127" s="515"/>
      <c r="AY127" s="515"/>
      <c r="AZ127" s="515"/>
      <c r="BA127" s="515"/>
      <c r="BB127" s="515"/>
      <c r="BC127" s="515"/>
      <c r="BD127" s="515"/>
      <c r="BE127" s="515"/>
      <c r="BF127" s="515"/>
      <c r="BH127" s="515"/>
      <c r="BI127" s="515"/>
      <c r="BJ127" s="515"/>
      <c r="BL127" s="515"/>
      <c r="BM127" s="515"/>
    </row>
    <row r="128" spans="2:112">
      <c r="G128" s="515"/>
      <c r="H128" s="515"/>
      <c r="I128" s="515"/>
      <c r="J128" s="515"/>
      <c r="K128" s="519"/>
      <c r="L128" s="515"/>
      <c r="M128" s="515"/>
      <c r="N128" s="515"/>
      <c r="O128" s="515"/>
      <c r="P128" s="515"/>
      <c r="Q128" s="515"/>
      <c r="S128" s="515"/>
      <c r="T128" s="515"/>
      <c r="U128" s="515"/>
      <c r="V128" s="515"/>
      <c r="W128" s="515"/>
      <c r="X128" s="515"/>
      <c r="Y128" s="515"/>
      <c r="Z128" s="515"/>
      <c r="AA128" s="515"/>
      <c r="AB128" s="515"/>
      <c r="AC128" s="515"/>
      <c r="AD128" s="515"/>
      <c r="AE128" s="515"/>
      <c r="AF128" s="515"/>
      <c r="AG128" s="515"/>
      <c r="AH128" s="515"/>
      <c r="AI128" s="515"/>
      <c r="AJ128" s="515"/>
      <c r="AK128" s="515"/>
      <c r="AM128" s="515"/>
      <c r="AN128" s="515"/>
      <c r="AO128" s="515"/>
      <c r="AP128" s="515"/>
      <c r="AQ128" s="515"/>
      <c r="AR128" s="515"/>
      <c r="AS128" s="515"/>
      <c r="AT128" s="515"/>
      <c r="AU128" s="515"/>
      <c r="AV128" s="515"/>
      <c r="AW128" s="515"/>
      <c r="AX128" s="515"/>
      <c r="AY128" s="515"/>
      <c r="AZ128" s="515"/>
      <c r="BA128" s="515"/>
      <c r="BB128" s="515"/>
      <c r="BC128" s="515"/>
      <c r="BD128" s="515"/>
      <c r="BE128" s="515"/>
      <c r="BF128" s="515"/>
      <c r="BH128" s="515"/>
      <c r="BI128" s="515"/>
      <c r="BJ128" s="515"/>
      <c r="BL128" s="515"/>
      <c r="BM128" s="515"/>
    </row>
    <row r="129" spans="7:65">
      <c r="G129" s="515"/>
      <c r="H129" s="515"/>
      <c r="I129" s="515"/>
      <c r="J129" s="515"/>
      <c r="K129" s="519"/>
      <c r="L129" s="515"/>
      <c r="M129" s="515"/>
      <c r="N129" s="515"/>
      <c r="O129" s="515"/>
      <c r="P129" s="515"/>
      <c r="Q129" s="515"/>
      <c r="S129" s="515"/>
      <c r="T129" s="515"/>
      <c r="U129" s="515"/>
      <c r="V129" s="515"/>
      <c r="W129" s="515"/>
      <c r="X129" s="515"/>
      <c r="Y129" s="515"/>
      <c r="Z129" s="515"/>
      <c r="AA129" s="515"/>
      <c r="AB129" s="515"/>
      <c r="AC129" s="515"/>
      <c r="AD129" s="515"/>
      <c r="AE129" s="515"/>
      <c r="AF129" s="515"/>
      <c r="AG129" s="515"/>
      <c r="AH129" s="515"/>
      <c r="AI129" s="515"/>
      <c r="AJ129" s="515"/>
      <c r="AK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H129" s="515"/>
      <c r="BI129" s="515"/>
      <c r="BJ129" s="515"/>
      <c r="BL129" s="515"/>
      <c r="BM129" s="515"/>
    </row>
    <row r="130" spans="7:65">
      <c r="G130" s="515"/>
      <c r="H130" s="515"/>
      <c r="I130" s="515"/>
      <c r="J130" s="515"/>
      <c r="K130" s="519"/>
      <c r="L130" s="515"/>
      <c r="M130" s="515"/>
      <c r="N130" s="515"/>
      <c r="O130" s="515"/>
      <c r="P130" s="515"/>
      <c r="Q130" s="515"/>
      <c r="S130" s="515"/>
      <c r="T130" s="515"/>
      <c r="U130" s="515"/>
      <c r="V130" s="515"/>
      <c r="W130" s="515"/>
      <c r="X130" s="515"/>
      <c r="Y130" s="515"/>
      <c r="Z130" s="515"/>
      <c r="AA130" s="515"/>
      <c r="AB130" s="515"/>
      <c r="AC130" s="515"/>
      <c r="AD130" s="515"/>
      <c r="AE130" s="515"/>
      <c r="AF130" s="515"/>
      <c r="AG130" s="515"/>
      <c r="AH130" s="515"/>
      <c r="AI130" s="515"/>
      <c r="AJ130" s="515"/>
      <c r="AK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H130" s="515"/>
      <c r="BI130" s="515"/>
      <c r="BJ130" s="515"/>
      <c r="BL130" s="515"/>
      <c r="BM130" s="515"/>
    </row>
    <row r="131" spans="7:65">
      <c r="G131" s="515"/>
      <c r="H131" s="515"/>
      <c r="I131" s="515"/>
      <c r="J131" s="515"/>
      <c r="K131" s="519"/>
      <c r="L131" s="515"/>
      <c r="M131" s="515"/>
      <c r="N131" s="515"/>
      <c r="O131" s="515"/>
      <c r="P131" s="515"/>
      <c r="Q131" s="515"/>
      <c r="S131" s="515"/>
      <c r="T131" s="515"/>
      <c r="U131" s="515"/>
      <c r="V131" s="515"/>
      <c r="W131" s="515"/>
      <c r="X131" s="515"/>
      <c r="Y131" s="515"/>
      <c r="Z131" s="515"/>
      <c r="AA131" s="515"/>
      <c r="AB131" s="515"/>
      <c r="AC131" s="515"/>
      <c r="AD131" s="515"/>
      <c r="AE131" s="515"/>
      <c r="AF131" s="515"/>
      <c r="AG131" s="515"/>
      <c r="AH131" s="515"/>
      <c r="AI131" s="515"/>
      <c r="AJ131" s="515"/>
      <c r="AK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H131" s="515"/>
      <c r="BI131" s="515"/>
      <c r="BJ131" s="515"/>
      <c r="BL131" s="515"/>
      <c r="BM131" s="515"/>
    </row>
    <row r="132" spans="7:65">
      <c r="G132" s="515"/>
      <c r="H132" s="515"/>
      <c r="I132" s="515"/>
      <c r="J132" s="515"/>
      <c r="K132" s="519"/>
      <c r="L132" s="515"/>
      <c r="M132" s="515"/>
      <c r="N132" s="515"/>
      <c r="O132" s="515"/>
      <c r="P132" s="515"/>
      <c r="Q132" s="515"/>
      <c r="S132" s="515"/>
      <c r="T132" s="515"/>
      <c r="U132" s="515"/>
      <c r="V132" s="515"/>
      <c r="W132" s="515"/>
      <c r="X132" s="515"/>
      <c r="Y132" s="515"/>
      <c r="Z132" s="515"/>
      <c r="AA132" s="515"/>
      <c r="AB132" s="515"/>
      <c r="AC132" s="515"/>
      <c r="AD132" s="515"/>
      <c r="AE132" s="515"/>
      <c r="AF132" s="515"/>
      <c r="AG132" s="515"/>
      <c r="AH132" s="515"/>
      <c r="AI132" s="515"/>
      <c r="AJ132" s="515"/>
      <c r="AK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H132" s="515"/>
      <c r="BI132" s="515"/>
      <c r="BJ132" s="515"/>
      <c r="BL132" s="515"/>
      <c r="BM132" s="515"/>
    </row>
    <row r="133" spans="7:65">
      <c r="G133" s="515"/>
      <c r="H133" s="515"/>
      <c r="I133" s="515"/>
      <c r="J133" s="515"/>
      <c r="K133" s="519"/>
      <c r="L133" s="515"/>
      <c r="M133" s="515"/>
      <c r="N133" s="515"/>
      <c r="O133" s="515"/>
      <c r="P133" s="515"/>
      <c r="Q133" s="515"/>
      <c r="S133" s="515"/>
      <c r="T133" s="515"/>
      <c r="U133" s="515"/>
      <c r="V133" s="515"/>
      <c r="W133" s="515"/>
      <c r="X133" s="515"/>
      <c r="Y133" s="515"/>
      <c r="Z133" s="515"/>
      <c r="AA133" s="515"/>
      <c r="AB133" s="515"/>
      <c r="AC133" s="515"/>
      <c r="AD133" s="515"/>
      <c r="AE133" s="515"/>
      <c r="AF133" s="515"/>
      <c r="AG133" s="515"/>
      <c r="AH133" s="515"/>
      <c r="AI133" s="515"/>
      <c r="AJ133" s="515"/>
      <c r="AK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H133" s="515"/>
      <c r="BI133" s="515"/>
      <c r="BJ133" s="515"/>
      <c r="BL133" s="515"/>
      <c r="BM133" s="515"/>
    </row>
    <row r="134" spans="7:65">
      <c r="G134" s="515"/>
      <c r="H134" s="515"/>
      <c r="I134" s="515"/>
      <c r="J134" s="515"/>
      <c r="K134" s="519"/>
      <c r="L134" s="515"/>
      <c r="M134" s="515"/>
      <c r="N134" s="515"/>
      <c r="O134" s="515"/>
      <c r="P134" s="515"/>
      <c r="Q134" s="515"/>
      <c r="S134" s="515"/>
      <c r="T134" s="515"/>
      <c r="U134" s="515"/>
      <c r="V134" s="515"/>
      <c r="W134" s="515"/>
      <c r="X134" s="515"/>
      <c r="Y134" s="515"/>
      <c r="Z134" s="515"/>
      <c r="AA134" s="515"/>
      <c r="AB134" s="515"/>
      <c r="AC134" s="515"/>
      <c r="AD134" s="515"/>
      <c r="AE134" s="515"/>
      <c r="AF134" s="515"/>
      <c r="AG134" s="515"/>
      <c r="AH134" s="515"/>
      <c r="AI134" s="515"/>
      <c r="AJ134" s="515"/>
      <c r="AK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H134" s="515"/>
      <c r="BI134" s="515"/>
      <c r="BJ134" s="515"/>
      <c r="BL134" s="515"/>
      <c r="BM134" s="515"/>
    </row>
    <row r="135" spans="7:65">
      <c r="G135" s="515"/>
      <c r="H135" s="515"/>
      <c r="I135" s="515"/>
      <c r="J135" s="515"/>
      <c r="K135" s="519"/>
      <c r="L135" s="515"/>
      <c r="M135" s="515"/>
      <c r="N135" s="515"/>
      <c r="O135" s="515"/>
      <c r="P135" s="515"/>
      <c r="Q135" s="515"/>
      <c r="S135" s="515"/>
      <c r="T135" s="515"/>
      <c r="U135" s="515"/>
      <c r="V135" s="515"/>
      <c r="W135" s="515"/>
      <c r="X135" s="515"/>
      <c r="Y135" s="515"/>
      <c r="Z135" s="515"/>
      <c r="AA135" s="515"/>
      <c r="AB135" s="515"/>
      <c r="AC135" s="515"/>
      <c r="AD135" s="515"/>
      <c r="AE135" s="515"/>
      <c r="AF135" s="515"/>
      <c r="AG135" s="515"/>
      <c r="AH135" s="515"/>
      <c r="AI135" s="515"/>
      <c r="AJ135" s="515"/>
      <c r="AK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H135" s="515"/>
      <c r="BI135" s="515"/>
      <c r="BJ135" s="515"/>
      <c r="BL135" s="515"/>
      <c r="BM135" s="515"/>
    </row>
    <row r="136" spans="7:65">
      <c r="G136" s="515"/>
      <c r="H136" s="515"/>
      <c r="I136" s="515"/>
      <c r="J136" s="515"/>
      <c r="K136" s="519"/>
      <c r="L136" s="515"/>
      <c r="M136" s="515"/>
      <c r="N136" s="515"/>
      <c r="O136" s="515"/>
      <c r="P136" s="515"/>
      <c r="Q136" s="515"/>
      <c r="S136" s="515"/>
      <c r="T136" s="515"/>
      <c r="U136" s="515"/>
      <c r="V136" s="515"/>
      <c r="W136" s="515"/>
      <c r="X136" s="515"/>
      <c r="Y136" s="515"/>
      <c r="Z136" s="515"/>
      <c r="AA136" s="515"/>
      <c r="AB136" s="515"/>
      <c r="AC136" s="515"/>
      <c r="AD136" s="515"/>
      <c r="AE136" s="515"/>
      <c r="AF136" s="515"/>
      <c r="AG136" s="515"/>
      <c r="AH136" s="515"/>
      <c r="AI136" s="515"/>
      <c r="AJ136" s="515"/>
      <c r="AK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H136" s="515"/>
      <c r="BI136" s="515"/>
      <c r="BJ136" s="515"/>
      <c r="BL136" s="515"/>
      <c r="BM136" s="515"/>
    </row>
    <row r="137" spans="7:65">
      <c r="G137" s="515"/>
      <c r="H137" s="515"/>
      <c r="I137" s="515"/>
      <c r="J137" s="515"/>
      <c r="K137" s="519"/>
      <c r="L137" s="515"/>
      <c r="M137" s="515"/>
      <c r="N137" s="515"/>
      <c r="O137" s="515"/>
      <c r="P137" s="515"/>
      <c r="Q137" s="515"/>
      <c r="S137" s="515"/>
      <c r="T137" s="515"/>
      <c r="U137" s="515"/>
      <c r="V137" s="515"/>
      <c r="W137" s="515"/>
      <c r="X137" s="515"/>
      <c r="Y137" s="515"/>
      <c r="Z137" s="515"/>
      <c r="AA137" s="515"/>
      <c r="AB137" s="515"/>
      <c r="AC137" s="515"/>
      <c r="AD137" s="515"/>
      <c r="AE137" s="515"/>
      <c r="AF137" s="515"/>
      <c r="AG137" s="515"/>
      <c r="AH137" s="515"/>
      <c r="AI137" s="515"/>
      <c r="AJ137" s="515"/>
      <c r="AK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H137" s="515"/>
      <c r="BI137" s="515"/>
      <c r="BJ137" s="515"/>
      <c r="BL137" s="515"/>
      <c r="BM137" s="515"/>
    </row>
    <row r="138" spans="7:65">
      <c r="G138" s="515"/>
      <c r="H138" s="515"/>
      <c r="I138" s="515"/>
      <c r="J138" s="515"/>
      <c r="K138" s="519"/>
      <c r="L138" s="515"/>
      <c r="M138" s="515"/>
      <c r="N138" s="515"/>
      <c r="O138" s="515"/>
      <c r="P138" s="515"/>
      <c r="Q138" s="515"/>
      <c r="S138" s="515"/>
      <c r="T138" s="515"/>
      <c r="U138" s="515"/>
      <c r="V138" s="515"/>
      <c r="W138" s="515"/>
      <c r="X138" s="515"/>
      <c r="Y138" s="515"/>
      <c r="Z138" s="515"/>
      <c r="AA138" s="515"/>
      <c r="AB138" s="515"/>
      <c r="AC138" s="515"/>
      <c r="AD138" s="515"/>
      <c r="AE138" s="515"/>
      <c r="AF138" s="515"/>
      <c r="AG138" s="515"/>
      <c r="AH138" s="515"/>
      <c r="AI138" s="515"/>
      <c r="AJ138" s="515"/>
      <c r="AK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H138" s="515"/>
      <c r="BI138" s="515"/>
      <c r="BJ138" s="515"/>
      <c r="BL138" s="515"/>
      <c r="BM138" s="515"/>
    </row>
    <row r="139" spans="7:65">
      <c r="G139" s="515"/>
      <c r="H139" s="515"/>
      <c r="I139" s="515"/>
      <c r="J139" s="515"/>
      <c r="K139" s="519"/>
      <c r="L139" s="515"/>
      <c r="M139" s="515"/>
      <c r="N139" s="515"/>
      <c r="O139" s="515"/>
      <c r="P139" s="515"/>
      <c r="Q139" s="515"/>
      <c r="S139" s="515"/>
      <c r="T139" s="515"/>
      <c r="U139" s="515"/>
      <c r="V139" s="515"/>
      <c r="W139" s="515"/>
      <c r="X139" s="515"/>
      <c r="Y139" s="515"/>
      <c r="Z139" s="515"/>
      <c r="AA139" s="515"/>
      <c r="AB139" s="515"/>
      <c r="AC139" s="515"/>
      <c r="AD139" s="515"/>
      <c r="AE139" s="515"/>
      <c r="AF139" s="515"/>
      <c r="AG139" s="515"/>
      <c r="AH139" s="515"/>
      <c r="AI139" s="515"/>
      <c r="AJ139" s="515"/>
      <c r="AK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H139" s="515"/>
      <c r="BI139" s="515"/>
      <c r="BJ139" s="515"/>
      <c r="BL139" s="515"/>
      <c r="BM139" s="515"/>
    </row>
    <row r="140" spans="7:65">
      <c r="G140" s="515"/>
      <c r="H140" s="515"/>
      <c r="I140" s="515"/>
      <c r="J140" s="515"/>
      <c r="K140" s="519"/>
      <c r="L140" s="515"/>
      <c r="M140" s="515"/>
      <c r="N140" s="515"/>
      <c r="O140" s="515"/>
      <c r="P140" s="515"/>
      <c r="Q140" s="515"/>
      <c r="S140" s="515"/>
      <c r="T140" s="515"/>
      <c r="U140" s="515"/>
      <c r="V140" s="515"/>
      <c r="W140" s="515"/>
      <c r="X140" s="515"/>
      <c r="Y140" s="515"/>
      <c r="Z140" s="515"/>
      <c r="AA140" s="515"/>
      <c r="AB140" s="515"/>
      <c r="AC140" s="515"/>
      <c r="AD140" s="515"/>
      <c r="AE140" s="515"/>
      <c r="AF140" s="515"/>
      <c r="AG140" s="515"/>
      <c r="AH140" s="515"/>
      <c r="AI140" s="515"/>
      <c r="AJ140" s="515"/>
      <c r="AK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H140" s="515"/>
      <c r="BI140" s="515"/>
      <c r="BJ140" s="515"/>
      <c r="BL140" s="515"/>
      <c r="BM140" s="515"/>
    </row>
    <row r="141" spans="7:65">
      <c r="G141" s="515"/>
      <c r="H141" s="515"/>
      <c r="I141" s="515"/>
      <c r="J141" s="515"/>
      <c r="K141" s="519"/>
      <c r="L141" s="515"/>
      <c r="M141" s="515"/>
      <c r="N141" s="515"/>
      <c r="O141" s="515"/>
      <c r="P141" s="515"/>
      <c r="Q141" s="515"/>
      <c r="S141" s="515"/>
      <c r="T141" s="515"/>
      <c r="U141" s="515"/>
      <c r="V141" s="515"/>
      <c r="W141" s="515"/>
      <c r="X141" s="515"/>
      <c r="Y141" s="515"/>
      <c r="Z141" s="515"/>
      <c r="AA141" s="515"/>
      <c r="AB141" s="515"/>
      <c r="AC141" s="515"/>
      <c r="AD141" s="515"/>
      <c r="AE141" s="515"/>
      <c r="AF141" s="515"/>
      <c r="AG141" s="515"/>
      <c r="AH141" s="515"/>
      <c r="AI141" s="515"/>
      <c r="AJ141" s="515"/>
      <c r="AK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H141" s="515"/>
      <c r="BI141" s="515"/>
      <c r="BJ141" s="515"/>
      <c r="BL141" s="515"/>
      <c r="BM141" s="515"/>
    </row>
    <row r="142" spans="7:65">
      <c r="G142" s="515"/>
      <c r="H142" s="515"/>
      <c r="I142" s="515"/>
      <c r="J142" s="515"/>
      <c r="K142" s="519"/>
      <c r="L142" s="515"/>
      <c r="M142" s="515"/>
      <c r="N142" s="515"/>
      <c r="O142" s="515"/>
      <c r="P142" s="515"/>
      <c r="Q142" s="515"/>
      <c r="S142" s="515"/>
      <c r="T142" s="515"/>
      <c r="U142" s="515"/>
      <c r="V142" s="515"/>
      <c r="W142" s="515"/>
      <c r="X142" s="515"/>
      <c r="Y142" s="515"/>
      <c r="Z142" s="515"/>
      <c r="AA142" s="515"/>
      <c r="AB142" s="515"/>
      <c r="AC142" s="515"/>
      <c r="AD142" s="515"/>
      <c r="AE142" s="515"/>
      <c r="AF142" s="515"/>
      <c r="AG142" s="515"/>
      <c r="AH142" s="515"/>
      <c r="AI142" s="515"/>
      <c r="AJ142" s="515"/>
      <c r="AK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H142" s="515"/>
      <c r="BI142" s="515"/>
      <c r="BJ142" s="515"/>
      <c r="BL142" s="515"/>
      <c r="BM142" s="515"/>
    </row>
    <row r="143" spans="7:65">
      <c r="G143" s="515"/>
      <c r="H143" s="515"/>
      <c r="I143" s="515"/>
      <c r="J143" s="515"/>
      <c r="K143" s="519"/>
      <c r="L143" s="515"/>
      <c r="M143" s="515"/>
      <c r="N143" s="515"/>
      <c r="O143" s="515"/>
      <c r="P143" s="515"/>
      <c r="Q143" s="515"/>
      <c r="S143" s="515"/>
      <c r="T143" s="515"/>
      <c r="U143" s="515"/>
      <c r="V143" s="515"/>
      <c r="W143" s="515"/>
      <c r="X143" s="515"/>
      <c r="Y143" s="515"/>
      <c r="Z143" s="515"/>
      <c r="AA143" s="515"/>
      <c r="AB143" s="515"/>
      <c r="AC143" s="515"/>
      <c r="AD143" s="515"/>
      <c r="AE143" s="515"/>
      <c r="AF143" s="515"/>
      <c r="AG143" s="515"/>
      <c r="AH143" s="515"/>
      <c r="AI143" s="515"/>
      <c r="AJ143" s="515"/>
      <c r="AK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H143" s="515"/>
      <c r="BI143" s="515"/>
      <c r="BJ143" s="515"/>
      <c r="BL143" s="515"/>
      <c r="BM143" s="515"/>
    </row>
    <row r="144" spans="7:65">
      <c r="G144" s="515"/>
      <c r="H144" s="515"/>
      <c r="I144" s="515"/>
      <c r="J144" s="515"/>
      <c r="K144" s="519"/>
      <c r="L144" s="515"/>
      <c r="M144" s="515"/>
      <c r="N144" s="515"/>
      <c r="O144" s="515"/>
      <c r="P144" s="515"/>
      <c r="Q144" s="515"/>
      <c r="S144" s="515"/>
      <c r="T144" s="515"/>
      <c r="U144" s="515"/>
      <c r="V144" s="515"/>
      <c r="W144" s="515"/>
      <c r="X144" s="515"/>
      <c r="Y144" s="515"/>
      <c r="Z144" s="515"/>
      <c r="AA144" s="515"/>
      <c r="AB144" s="515"/>
      <c r="AC144" s="515"/>
      <c r="AD144" s="515"/>
      <c r="AE144" s="515"/>
      <c r="AF144" s="515"/>
      <c r="AG144" s="515"/>
      <c r="AH144" s="515"/>
      <c r="AI144" s="515"/>
      <c r="AJ144" s="515"/>
      <c r="AK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H144" s="515"/>
      <c r="BI144" s="515"/>
      <c r="BJ144" s="515"/>
      <c r="BL144" s="515"/>
      <c r="BM144" s="515"/>
    </row>
    <row r="145" spans="7:65">
      <c r="G145" s="515"/>
      <c r="H145" s="515"/>
      <c r="I145" s="515"/>
      <c r="J145" s="515"/>
      <c r="K145" s="519"/>
      <c r="L145" s="515"/>
      <c r="M145" s="515"/>
      <c r="N145" s="515"/>
      <c r="O145" s="515"/>
      <c r="P145" s="515"/>
      <c r="Q145" s="515"/>
      <c r="S145" s="515"/>
      <c r="T145" s="515"/>
      <c r="U145" s="515"/>
      <c r="V145" s="515"/>
      <c r="W145" s="515"/>
      <c r="X145" s="515"/>
      <c r="Y145" s="515"/>
      <c r="Z145" s="515"/>
      <c r="AA145" s="515"/>
      <c r="AB145" s="515"/>
      <c r="AC145" s="515"/>
      <c r="AD145" s="515"/>
      <c r="AE145" s="515"/>
      <c r="AF145" s="515"/>
      <c r="AG145" s="515"/>
      <c r="AH145" s="515"/>
      <c r="AI145" s="515"/>
      <c r="AJ145" s="515"/>
      <c r="AK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H145" s="515"/>
      <c r="BI145" s="515"/>
      <c r="BJ145" s="515"/>
      <c r="BL145" s="515"/>
      <c r="BM145" s="515"/>
    </row>
    <row r="146" spans="7:65">
      <c r="G146" s="515"/>
      <c r="H146" s="515"/>
      <c r="I146" s="515"/>
      <c r="J146" s="515"/>
      <c r="K146" s="519"/>
      <c r="L146" s="515"/>
      <c r="M146" s="515"/>
      <c r="N146" s="515"/>
      <c r="O146" s="515"/>
      <c r="P146" s="515"/>
      <c r="Q146" s="515"/>
      <c r="S146" s="515"/>
      <c r="T146" s="515"/>
      <c r="U146" s="515"/>
      <c r="V146" s="515"/>
      <c r="W146" s="515"/>
      <c r="X146" s="515"/>
      <c r="Y146" s="515"/>
      <c r="Z146" s="515"/>
      <c r="AA146" s="515"/>
      <c r="AB146" s="515"/>
      <c r="AC146" s="515"/>
      <c r="AD146" s="515"/>
      <c r="AE146" s="515"/>
      <c r="AF146" s="515"/>
      <c r="AG146" s="515"/>
      <c r="AH146" s="515"/>
      <c r="AI146" s="515"/>
      <c r="AJ146" s="515"/>
      <c r="AK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H146" s="515"/>
      <c r="BI146" s="515"/>
      <c r="BJ146" s="515"/>
      <c r="BL146" s="515"/>
      <c r="BM146" s="515"/>
    </row>
    <row r="147" spans="7:65">
      <c r="G147" s="515"/>
      <c r="H147" s="515"/>
      <c r="I147" s="515"/>
      <c r="J147" s="515"/>
      <c r="K147" s="519"/>
      <c r="L147" s="515"/>
      <c r="M147" s="515"/>
      <c r="N147" s="515"/>
      <c r="O147" s="515"/>
      <c r="P147" s="515"/>
      <c r="Q147" s="515"/>
      <c r="S147" s="515"/>
      <c r="T147" s="515"/>
      <c r="U147" s="515"/>
      <c r="V147" s="515"/>
      <c r="W147" s="515"/>
      <c r="X147" s="515"/>
      <c r="Y147" s="515"/>
      <c r="Z147" s="515"/>
      <c r="AA147" s="515"/>
      <c r="AB147" s="515"/>
      <c r="AC147" s="515"/>
      <c r="AD147" s="515"/>
      <c r="AE147" s="515"/>
      <c r="AF147" s="515"/>
      <c r="AG147" s="515"/>
      <c r="AH147" s="515"/>
      <c r="AI147" s="515"/>
      <c r="AJ147" s="515"/>
      <c r="AK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H147" s="515"/>
      <c r="BI147" s="515"/>
      <c r="BJ147" s="515"/>
      <c r="BL147" s="515"/>
      <c r="BM147" s="515"/>
    </row>
    <row r="148" spans="7:65">
      <c r="G148" s="515"/>
      <c r="H148" s="515"/>
      <c r="I148" s="515"/>
      <c r="J148" s="515"/>
      <c r="K148" s="519"/>
      <c r="L148" s="515"/>
      <c r="M148" s="515"/>
      <c r="N148" s="515"/>
      <c r="O148" s="515"/>
      <c r="P148" s="515"/>
      <c r="Q148" s="515"/>
      <c r="S148" s="515"/>
      <c r="T148" s="515"/>
      <c r="U148" s="515"/>
      <c r="V148" s="515"/>
      <c r="W148" s="515"/>
      <c r="X148" s="515"/>
      <c r="Y148" s="515"/>
      <c r="Z148" s="515"/>
      <c r="AA148" s="515"/>
      <c r="AB148" s="515"/>
      <c r="AC148" s="515"/>
      <c r="AD148" s="515"/>
      <c r="AE148" s="515"/>
      <c r="AF148" s="515"/>
      <c r="AG148" s="515"/>
      <c r="AH148" s="515"/>
      <c r="AI148" s="515"/>
      <c r="AJ148" s="515"/>
      <c r="AK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H148" s="515"/>
      <c r="BI148" s="515"/>
      <c r="BJ148" s="515"/>
      <c r="BL148" s="515"/>
      <c r="BM148" s="515"/>
    </row>
  </sheetData>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worksheet>
</file>

<file path=xl/worksheets/sheet57.xml><?xml version="1.0" encoding="utf-8"?>
<worksheet xmlns="http://schemas.openxmlformats.org/spreadsheetml/2006/main" xmlns:r="http://schemas.openxmlformats.org/officeDocument/2006/relationships">
  <sheetPr codeName="Sheet9">
    <tabColor theme="6" tint="0.39997558519241921"/>
    <pageSetUpPr autoPageBreaks="0"/>
  </sheetPr>
  <dimension ref="A1:DH148"/>
  <sheetViews>
    <sheetView showGridLines="0" zoomScale="80" zoomScaleNormal="80" workbookViewId="0">
      <pane xSplit="5" ySplit="5" topLeftCell="F6" activePane="bottomRight" state="frozen"/>
      <selection pane="topRight"/>
      <selection pane="bottomLeft"/>
      <selection pane="bottomRight"/>
    </sheetView>
  </sheetViews>
  <sheetFormatPr defaultRowHeight="12.75" outlineLevelRow="2" outlineLevelCol="2"/>
  <cols>
    <col min="1" max="1" width="1.7109375" style="121" customWidth="1"/>
    <col min="2" max="2" width="1.5703125" style="121" customWidth="1"/>
    <col min="3" max="3" width="4.42578125" style="508" customWidth="1"/>
    <col min="4" max="4" width="3.85546875" style="509" customWidth="1"/>
    <col min="5" max="5" width="41.7109375" style="509" customWidth="1"/>
    <col min="6" max="6" width="1.140625" style="121" customWidth="1" outlineLevel="1"/>
    <col min="7" max="10" width="10" style="509" customWidth="1" outlineLevel="2"/>
    <col min="11" max="11" width="10" style="530" customWidth="1" outlineLevel="2"/>
    <col min="12" max="16" width="10" style="509" customWidth="1" outlineLevel="2"/>
    <col min="17" max="17" width="10" style="509" customWidth="1" outlineLevel="1"/>
    <col min="18" max="18" width="1.140625" style="121" customWidth="1" outlineLevel="1"/>
    <col min="19" max="36" width="10" style="509" customWidth="1" outlineLevel="2"/>
    <col min="37" max="37" width="10" style="509" customWidth="1" outlineLevel="1"/>
    <col min="38" max="38" width="1.140625" style="121" customWidth="1" outlineLevel="1"/>
    <col min="39" max="57" width="10" style="509" customWidth="1" outlineLevel="2"/>
    <col min="58" max="58" width="10" style="509" customWidth="1" outlineLevel="1"/>
    <col min="59" max="59" width="1.140625" style="121" customWidth="1" outlineLevel="1"/>
    <col min="60" max="61" width="10" style="509" customWidth="1" outlineLevel="2"/>
    <col min="62" max="62" width="10" style="509" customWidth="1" outlineLevel="1"/>
    <col min="63" max="63" width="1.140625" style="121" customWidth="1" outlineLevel="1"/>
    <col min="64" max="64" width="11" style="509" customWidth="1" outlineLevel="1"/>
    <col min="65" max="65" width="5.28515625" style="509" customWidth="1"/>
    <col min="66" max="66" width="9.140625" style="121"/>
    <col min="67" max="110" width="7.5703125" style="121" customWidth="1"/>
    <col min="111" max="111" width="2.5703125" style="121" customWidth="1"/>
    <col min="112" max="16384" width="9.140625" style="121"/>
  </cols>
  <sheetData>
    <row r="1" spans="1:112" ht="6" customHeight="1"/>
    <row r="2" spans="1:112" ht="21" customHeight="1">
      <c r="D2" s="495"/>
      <c r="E2" s="965">
        <v>2025</v>
      </c>
      <c r="G2" s="121"/>
      <c r="H2" s="121"/>
      <c r="I2" s="121"/>
      <c r="J2" s="121"/>
      <c r="K2" s="121"/>
      <c r="L2" s="121"/>
      <c r="M2" s="121"/>
      <c r="N2" s="121"/>
      <c r="O2" s="121"/>
      <c r="P2" s="121"/>
      <c r="Q2" s="121"/>
      <c r="S2" s="121"/>
      <c r="T2" s="121"/>
      <c r="U2" s="121"/>
      <c r="V2" s="121"/>
      <c r="W2" s="121"/>
      <c r="X2" s="121"/>
      <c r="Y2" s="121"/>
      <c r="Z2" s="121"/>
      <c r="AA2" s="121"/>
      <c r="AB2" s="121"/>
      <c r="AC2" s="121"/>
      <c r="AD2" s="121"/>
      <c r="AE2" s="121"/>
      <c r="AF2" s="121"/>
      <c r="AG2" s="121"/>
      <c r="AH2" s="121"/>
      <c r="AI2" s="121"/>
      <c r="AJ2" s="121"/>
      <c r="AK2" s="121"/>
      <c r="AM2" s="121"/>
      <c r="AN2" s="121"/>
      <c r="AO2" s="121"/>
      <c r="AP2" s="121"/>
      <c r="AQ2" s="121"/>
      <c r="AR2" s="121"/>
      <c r="AS2" s="121"/>
      <c r="AT2" s="121"/>
      <c r="AU2" s="121"/>
      <c r="AV2" s="121"/>
      <c r="AW2" s="121"/>
      <c r="AX2" s="121"/>
      <c r="AY2" s="121"/>
      <c r="AZ2" s="121"/>
      <c r="BA2" s="121"/>
      <c r="BB2" s="121"/>
      <c r="BC2" s="121"/>
      <c r="BD2" s="121"/>
      <c r="BE2" s="121"/>
      <c r="BF2" s="121"/>
      <c r="BH2" s="121"/>
      <c r="BI2" s="121"/>
      <c r="BJ2" s="121"/>
      <c r="BL2" s="121"/>
      <c r="BM2" s="681"/>
    </row>
    <row r="3" spans="1:112" ht="39" customHeight="1">
      <c r="A3" s="754"/>
      <c r="B3" s="754"/>
      <c r="C3" s="754"/>
      <c r="D3" s="500"/>
      <c r="E3" s="808" t="str">
        <f>Preferences.EnergyUnits</f>
        <v>TWh</v>
      </c>
      <c r="G3" s="994" t="s">
        <v>751</v>
      </c>
      <c r="H3" s="994"/>
      <c r="I3" s="994"/>
      <c r="J3" s="994"/>
      <c r="K3" s="994"/>
      <c r="L3" s="994"/>
      <c r="M3" s="994"/>
      <c r="N3" s="994"/>
      <c r="O3" s="994"/>
      <c r="P3" s="994"/>
      <c r="Q3" s="994"/>
      <c r="S3" s="1133" t="s">
        <v>689</v>
      </c>
      <c r="T3" s="1134"/>
      <c r="U3" s="1134"/>
      <c r="V3" s="1134"/>
      <c r="W3" s="1134"/>
      <c r="X3" s="1138"/>
      <c r="Y3" s="1134"/>
      <c r="Z3" s="1134"/>
      <c r="AA3" s="1134"/>
      <c r="AB3" s="1134"/>
      <c r="AC3" s="1134"/>
      <c r="AD3" s="1134"/>
      <c r="AE3" s="1134"/>
      <c r="AF3" s="1134"/>
      <c r="AG3" s="1134"/>
      <c r="AH3" s="1134"/>
      <c r="AI3" s="1134"/>
      <c r="AJ3" s="1134"/>
      <c r="AK3" s="1137"/>
      <c r="AM3" s="1135" t="s">
        <v>1063</v>
      </c>
      <c r="AN3" s="1136"/>
      <c r="AO3" s="1136"/>
      <c r="AP3" s="1139"/>
      <c r="AQ3" s="1136"/>
      <c r="AR3" s="1136"/>
      <c r="AS3" s="1136"/>
      <c r="AT3" s="1136"/>
      <c r="AU3" s="1136"/>
      <c r="AV3" s="1136"/>
      <c r="AW3" s="1136"/>
      <c r="AX3" s="1136"/>
      <c r="AY3" s="1136"/>
      <c r="AZ3" s="1136"/>
      <c r="BA3" s="1136"/>
      <c r="BB3" s="1136"/>
      <c r="BC3" s="1136"/>
      <c r="BD3" s="1136"/>
      <c r="BE3" s="1136"/>
      <c r="BF3" s="1140"/>
      <c r="BH3" s="1025" t="s">
        <v>944</v>
      </c>
      <c r="BI3" s="1003"/>
      <c r="BJ3" s="1003"/>
      <c r="BL3" s="504"/>
      <c r="BM3" s="504"/>
      <c r="BN3" s="754"/>
      <c r="BO3" s="1142" t="s">
        <v>1067</v>
      </c>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3"/>
      <c r="CM3" s="1143"/>
      <c r="CN3" s="1143"/>
      <c r="CO3" s="1143"/>
      <c r="CP3" s="1143"/>
      <c r="CQ3" s="1143"/>
      <c r="CR3" s="1143"/>
      <c r="CS3" s="1143"/>
      <c r="CT3" s="1143"/>
      <c r="CU3" s="1143"/>
      <c r="CV3" s="1143"/>
      <c r="CW3" s="1143"/>
      <c r="CX3" s="1143"/>
      <c r="CY3" s="1143"/>
      <c r="CZ3" s="1143"/>
      <c r="DA3" s="1143"/>
      <c r="DB3" s="1143"/>
      <c r="DC3" s="1280"/>
      <c r="DD3" s="1280"/>
      <c r="DE3" s="1280"/>
      <c r="DF3" s="1280"/>
    </row>
    <row r="4" spans="1:112" ht="36.75" customHeight="1">
      <c r="B4" s="121">
        <v>202</v>
      </c>
      <c r="C4" s="505"/>
      <c r="D4" s="505"/>
      <c r="G4" s="966" t="str">
        <f>INDEX(Vectors[Description], MATCH(G$5,Vectors[Code],FALSE))</f>
        <v>Heating and cooling</v>
      </c>
      <c r="H4" s="966" t="str">
        <f>INDEX(Vectors[Description], MATCH(H$5,Vectors[Code],FALSE))</f>
        <v>Lighting &amp; appliances</v>
      </c>
      <c r="I4" s="966" t="str">
        <f>INDEX(Vectors[Description], MATCH(I$5,Vectors[Code],FALSE))</f>
        <v>Industry</v>
      </c>
      <c r="J4" s="966" t="str">
        <f>INDEX(Vectors[Description], MATCH(J$5,Vectors[Code],FALSE))</f>
        <v>Road transport</v>
      </c>
      <c r="K4" s="966" t="str">
        <f>INDEX(Vectors[Description], MATCH(K$5,Vectors[Code],FALSE))</f>
        <v>Rail transport</v>
      </c>
      <c r="L4" s="966" t="str">
        <f>INDEX(Vectors[Description], MATCH(L$5,Vectors[Code],FALSE))</f>
        <v>Domestic aviation</v>
      </c>
      <c r="M4" s="966" t="str">
        <f>INDEX(Vectors[Description], MATCH(M$5,Vectors[Code],FALSE))</f>
        <v>National navigation</v>
      </c>
      <c r="N4" s="966" t="str">
        <f>INDEX(Vectors[Description], MATCH(N$5,Vectors[Code],FALSE))</f>
        <v>International aviation</v>
      </c>
      <c r="O4" s="966" t="str">
        <f>INDEX(Vectors[Description], MATCH(O$5,Vectors[Code],FALSE))</f>
        <v>International shipping</v>
      </c>
      <c r="P4" s="966" t="str">
        <f>INDEX(Vectors[Description], MATCH(P$5,Vectors[Code],FALSE))</f>
        <v>Food consumption [UNUSED]</v>
      </c>
      <c r="Q4" s="983" t="s">
        <v>949</v>
      </c>
      <c r="S4" s="967" t="str">
        <f>INDEX(Vectors[Description], MATCH(S$5,Vectors[Code],FALSE))</f>
        <v>Electricity (delivered to end user)</v>
      </c>
      <c r="T4" s="967" t="str">
        <f>INDEX(Vectors[Description], MATCH(T$5,Vectors[Code],FALSE))</f>
        <v>Electricity (supplied to grid)</v>
      </c>
      <c r="U4" s="967" t="str">
        <f>INDEX(Vectors[Description], MATCH(U$5,Vectors[Code],FALSE))</f>
        <v>Solid hydrocarbons</v>
      </c>
      <c r="V4" s="967" t="str">
        <f>INDEX(Vectors[Description], MATCH(V$5,Vectors[Code],FALSE))</f>
        <v>Liquid hydrocarbons</v>
      </c>
      <c r="W4" s="967" t="str">
        <f>INDEX(Vectors[Description], MATCH(W$5,Vectors[Code],FALSE))</f>
        <v>Gaseous hydrocarbons</v>
      </c>
      <c r="X4" s="967" t="str">
        <f>INDEX(Vectors[Description], MATCH(X$5,Vectors[Code],FALSE))</f>
        <v>Coal and fossil waste</v>
      </c>
      <c r="Y4" s="967" t="str">
        <f>INDEX(Vectors[Description], MATCH(Y$5,Vectors[Code],FALSE))</f>
        <v>Oil and petroleum products</v>
      </c>
      <c r="Z4" s="967" t="str">
        <f>INDEX(Vectors[Description], MATCH(Z$5,Vectors[Code],FALSE))</f>
        <v>Natural gas</v>
      </c>
      <c r="AA4" s="967" t="str">
        <f>INDEX(Vectors[Description], MATCH(AA$5,Vectors[Code],FALSE))</f>
        <v>Blast furnace gas</v>
      </c>
      <c r="AB4" s="967" t="str">
        <f>INDEX(Vectors[Description], MATCH(AB$5,Vectors[Code],FALSE))</f>
        <v>Heat transport</v>
      </c>
      <c r="AC4" s="967" t="str">
        <f>INDEX(Vectors[Description], MATCH(AC$5,Vectors[Code],FALSE))</f>
        <v>Edible biomatter</v>
      </c>
      <c r="AD4" s="967" t="str">
        <f>INDEX(Vectors[Description], MATCH(AD$5,Vectors[Code],FALSE))</f>
        <v>Energy crops (second generation)</v>
      </c>
      <c r="AE4" s="967" t="str">
        <f>INDEX(Vectors[Description], MATCH(AE$5,Vectors[Code],FALSE))</f>
        <v>Energy crops (first generation)</v>
      </c>
      <c r="AF4" s="967" t="str">
        <f>INDEX(Vectors[Description], MATCH(AF$5,Vectors[Code],FALSE))</f>
        <v>Dry biomatter and waste</v>
      </c>
      <c r="AG4" s="967" t="str">
        <f>INDEX(Vectors[Description], MATCH(AG$5,Vectors[Code],FALSE))</f>
        <v>Wet biomatter and waste</v>
      </c>
      <c r="AH4" s="967" t="str">
        <f>INDEX(Vectors[Description], MATCH(AH$5,Vectors[Code],FALSE))</f>
        <v>Gaseous waste</v>
      </c>
      <c r="AI4" s="967" t="str">
        <f>INDEX(Vectors[Description], MATCH(AI$5,Vectors[Code],FALSE))</f>
        <v>Domestic solar thermal</v>
      </c>
      <c r="AJ4" s="967" t="str">
        <f>INDEX(Vectors[Description], MATCH(AJ$5,Vectors[Code],FALSE))</f>
        <v>H2</v>
      </c>
      <c r="AK4" s="997" t="s">
        <v>685</v>
      </c>
      <c r="AM4" s="981" t="str">
        <f>INDEX(Vectors[Description], MATCH(AM$5,Vectors[Code],FALSE))</f>
        <v>Coal reserves</v>
      </c>
      <c r="AN4" s="981" t="str">
        <f>INDEX(Vectors[Description], MATCH(AN$5,Vectors[Code],FALSE))</f>
        <v>Oil reserves</v>
      </c>
      <c r="AO4" s="981" t="str">
        <f>INDEX(Vectors[Description], MATCH(AO$5,Vectors[Code],FALSE))</f>
        <v>Gas reserves</v>
      </c>
      <c r="AP4" s="981" t="str">
        <f>INDEX(Vectors[Description], MATCH(AP$5,Vectors[Code],FALSE))</f>
        <v>Biomatter exports (imports)</v>
      </c>
      <c r="AQ4" s="981" t="str">
        <f>INDEX(Vectors[Description], MATCH(AQ$5,Vectors[Code],FALSE))</f>
        <v>Electricity exports (imports)</v>
      </c>
      <c r="AR4" s="981" t="str">
        <f>INDEX(Vectors[Description], MATCH(AR$5,Vectors[Code],FALSE))</f>
        <v>Petroleum products exports</v>
      </c>
      <c r="AS4" s="981" t="str">
        <f>INDEX(Vectors[Description], MATCH(AS$5,Vectors[Code],FALSE))</f>
        <v>Coal exports (imports)</v>
      </c>
      <c r="AT4" s="981" t="str">
        <f>INDEX(Vectors[Description], MATCH(AT$5,Vectors[Code],FALSE))</f>
        <v>Oil and petroleum products exports (imports)</v>
      </c>
      <c r="AU4" s="981" t="str">
        <f>INDEX(Vectors[Description], MATCH(AU$5,Vectors[Code],FALSE))</f>
        <v>Gas exports (imports)</v>
      </c>
      <c r="AV4" s="981" t="str">
        <f>INDEX(Vectors[Description], MATCH(AV$5,Vectors[Code],FALSE))</f>
        <v>Nuclear fission</v>
      </c>
      <c r="AW4" s="981" t="str">
        <f>INDEX(Vectors[Description], MATCH(AW$5,Vectors[Code],FALSE))</f>
        <v>Solar</v>
      </c>
      <c r="AX4" s="981" t="str">
        <f>INDEX(Vectors[Description], MATCH(AX$5,Vectors[Code],FALSE))</f>
        <v>Wind</v>
      </c>
      <c r="AY4" s="981" t="str">
        <f>INDEX(Vectors[Description], MATCH(AY$5,Vectors[Code],FALSE))</f>
        <v>Tidal</v>
      </c>
      <c r="AZ4" s="981" t="str">
        <f>INDEX(Vectors[Description], MATCH(AZ$5,Vectors[Code],FALSE))</f>
        <v>Wave</v>
      </c>
      <c r="BA4" s="981" t="str">
        <f>INDEX(Vectors[Description], MATCH(BA$5,Vectors[Code],FALSE))</f>
        <v>Geothermal</v>
      </c>
      <c r="BB4" s="981" t="str">
        <f>INDEX(Vectors[Description], MATCH(BB$5,Vectors[Code],FALSE))</f>
        <v>Hydro</v>
      </c>
      <c r="BC4" s="981" t="str">
        <f>INDEX(Vectors[Description], MATCH(BC$5,Vectors[Code],FALSE))</f>
        <v>Environmental heat</v>
      </c>
      <c r="BD4" s="981" t="str">
        <f>INDEX(Vectors[Description], MATCH(BD$5,Vectors[Code],FALSE))</f>
        <v>Agriculture</v>
      </c>
      <c r="BE4" s="981" t="str">
        <f>INDEX(Vectors[Description], MATCH(BE$5,Vectors[Code],FALSE))</f>
        <v>Waste</v>
      </c>
      <c r="BF4" s="999" t="s">
        <v>686</v>
      </c>
      <c r="BH4" s="986" t="str">
        <f>INDEX(Vectors[Description], MATCH(BH$5,Vectors[Code],FALSE))</f>
        <v>Conversion losses</v>
      </c>
      <c r="BI4" s="986" t="str">
        <f>INDEX(Vectors[Description], MATCH(BI$5,Vectors[Code],FALSE))</f>
        <v>Distribution losses and own use</v>
      </c>
      <c r="BJ4" s="1001" t="s">
        <v>943</v>
      </c>
      <c r="BL4" s="507" t="str">
        <f>INDEX(Vectors[Description], MATCH(BL$5,Vectors[Code],FALSE))</f>
        <v>Unallocated</v>
      </c>
      <c r="BM4" s="507"/>
      <c r="BO4" s="1151" t="str">
        <f>INDEX(IPCC[Sector_description], MATCH(BO$5, IPCC[Sector_code], 0))</f>
        <v>Fuel Combustion</v>
      </c>
      <c r="BP4" s="1152"/>
      <c r="BQ4" s="1152"/>
      <c r="BR4" s="1153"/>
      <c r="BS4" s="1151" t="str">
        <f>INDEX(IPCC[Sector_description], MATCH(BS$5, IPCC[Sector_code], 0))</f>
        <v>Fugitive Emissions from Fuels</v>
      </c>
      <c r="BT4" s="1152"/>
      <c r="BU4" s="1152"/>
      <c r="BV4" s="1153"/>
      <c r="BW4" s="1151" t="str">
        <f>INDEX(IPCC[Sector_description], MATCH(BW$5, IPCC[Sector_code], 0))</f>
        <v>Industrial Processes</v>
      </c>
      <c r="BX4" s="1152"/>
      <c r="BY4" s="1152"/>
      <c r="BZ4" s="1153"/>
      <c r="CA4" s="1151" t="str">
        <f>INDEX(IPCC[Sector_description], MATCH(CA$5, IPCC[Sector_code], 0))</f>
        <v>Solvent and Other Product Use</v>
      </c>
      <c r="CB4" s="1152"/>
      <c r="CC4" s="1152"/>
      <c r="CD4" s="1153"/>
      <c r="CE4" s="1151" t="str">
        <f>INDEX(IPCC[Sector_description], MATCH(CE$5, IPCC[Sector_code], 0))</f>
        <v>Agriculture</v>
      </c>
      <c r="CF4" s="1152"/>
      <c r="CG4" s="1152"/>
      <c r="CH4" s="1153"/>
      <c r="CI4" s="1151" t="str">
        <f>INDEX(IPCC[Sector_description], MATCH(CI$5, IPCC[Sector_code], 0))</f>
        <v>Land Use, Land-Use Change and Forestry</v>
      </c>
      <c r="CJ4" s="1152"/>
      <c r="CK4" s="1152"/>
      <c r="CL4" s="1153"/>
      <c r="CM4" s="1151" t="str">
        <f>INDEX(IPCC[Sector_description], MATCH(CM$5, IPCC[Sector_code], 0))</f>
        <v>Waste</v>
      </c>
      <c r="CN4" s="1152"/>
      <c r="CO4" s="1152"/>
      <c r="CP4" s="1153"/>
      <c r="CQ4" s="1151" t="str">
        <f>INDEX(IPCC[Sector_description], MATCH(CQ$5, IPCC[Sector_code], 0))</f>
        <v>Other</v>
      </c>
      <c r="CR4" s="1152"/>
      <c r="CS4" s="1152"/>
      <c r="CT4" s="1153"/>
      <c r="CU4" s="1151" t="str">
        <f>INDEX(IPCC[Sector_description], MATCH(CU$5, IPCC[Sector_code], 0))</f>
        <v>International Aviation and Shipping</v>
      </c>
      <c r="CV4" s="1152"/>
      <c r="CW4" s="1152"/>
      <c r="CX4" s="1153"/>
      <c r="CY4" s="1151" t="str">
        <f>INDEX(IPCC[Sector_description], MATCH(CY$5, IPCC[Sector_code], 0))</f>
        <v>Bioenergy credit</v>
      </c>
      <c r="CZ4" s="1152"/>
      <c r="DA4" s="1152"/>
      <c r="DB4" s="1153"/>
      <c r="DC4" s="1151" t="str">
        <f>INDEX(IPCC[Sector_description], MATCH(DC$5, IPCC[Sector_code], 0))</f>
        <v>Carbon capture</v>
      </c>
      <c r="DD4" s="1152"/>
      <c r="DE4" s="1152"/>
      <c r="DF4" s="1153"/>
      <c r="DH4" s="1479" t="s">
        <v>148</v>
      </c>
    </row>
    <row r="5" spans="1:112">
      <c r="D5" s="951" t="s">
        <v>200</v>
      </c>
      <c r="G5" s="984" t="s">
        <v>6</v>
      </c>
      <c r="H5" s="984" t="s">
        <v>57</v>
      </c>
      <c r="I5" s="984" t="s">
        <v>13</v>
      </c>
      <c r="J5" s="984" t="s">
        <v>36</v>
      </c>
      <c r="K5" s="984" t="s">
        <v>37</v>
      </c>
      <c r="L5" s="984" t="s">
        <v>38</v>
      </c>
      <c r="M5" s="984" t="s">
        <v>39</v>
      </c>
      <c r="N5" s="984" t="s">
        <v>966</v>
      </c>
      <c r="O5" s="984" t="s">
        <v>967</v>
      </c>
      <c r="P5" s="984" t="s">
        <v>40</v>
      </c>
      <c r="Q5" s="984"/>
      <c r="S5" s="985" t="s">
        <v>45</v>
      </c>
      <c r="T5" s="985" t="s">
        <v>46</v>
      </c>
      <c r="U5" s="985" t="s">
        <v>47</v>
      </c>
      <c r="V5" s="985" t="s">
        <v>49</v>
      </c>
      <c r="W5" s="985" t="s">
        <v>50</v>
      </c>
      <c r="X5" s="985" t="s">
        <v>64</v>
      </c>
      <c r="Y5" s="985" t="s">
        <v>65</v>
      </c>
      <c r="Z5" s="985" t="s">
        <v>66</v>
      </c>
      <c r="AA5" s="985" t="s">
        <v>108</v>
      </c>
      <c r="AB5" s="985" t="s">
        <v>753</v>
      </c>
      <c r="AC5" s="985" t="s">
        <v>754</v>
      </c>
      <c r="AD5" s="985" t="s">
        <v>1801</v>
      </c>
      <c r="AE5" s="985" t="s">
        <v>2291</v>
      </c>
      <c r="AF5" s="985" t="s">
        <v>755</v>
      </c>
      <c r="AG5" s="985" t="s">
        <v>929</v>
      </c>
      <c r="AH5" s="985" t="s">
        <v>2294</v>
      </c>
      <c r="AI5" s="985" t="s">
        <v>1331</v>
      </c>
      <c r="AJ5" s="985" t="s">
        <v>1476</v>
      </c>
      <c r="AK5" s="985"/>
      <c r="AM5" s="982" t="s">
        <v>999</v>
      </c>
      <c r="AN5" s="982" t="s">
        <v>1000</v>
      </c>
      <c r="AO5" s="982" t="s">
        <v>1001</v>
      </c>
      <c r="AP5" s="982" t="s">
        <v>59</v>
      </c>
      <c r="AQ5" s="982" t="s">
        <v>60</v>
      </c>
      <c r="AR5" s="982" t="s">
        <v>799</v>
      </c>
      <c r="AS5" s="982" t="s">
        <v>991</v>
      </c>
      <c r="AT5" s="982" t="s">
        <v>992</v>
      </c>
      <c r="AU5" s="982" t="s">
        <v>993</v>
      </c>
      <c r="AV5" s="982" t="s">
        <v>7</v>
      </c>
      <c r="AW5" s="982" t="s">
        <v>33</v>
      </c>
      <c r="AX5" s="982" t="s">
        <v>8</v>
      </c>
      <c r="AY5" s="982" t="s">
        <v>9</v>
      </c>
      <c r="AZ5" s="982" t="s">
        <v>10</v>
      </c>
      <c r="BA5" s="982" t="s">
        <v>11</v>
      </c>
      <c r="BB5" s="982" t="s">
        <v>12</v>
      </c>
      <c r="BC5" s="982" t="s">
        <v>104</v>
      </c>
      <c r="BD5" s="982" t="s">
        <v>1027</v>
      </c>
      <c r="BE5" s="982" t="s">
        <v>54</v>
      </c>
      <c r="BF5" s="982"/>
      <c r="BH5" s="987" t="s">
        <v>34</v>
      </c>
      <c r="BI5" s="987" t="s">
        <v>35</v>
      </c>
      <c r="BJ5" s="987"/>
      <c r="BL5" s="502" t="s">
        <v>61</v>
      </c>
      <c r="BM5" s="502"/>
      <c r="BO5" s="1154" t="s">
        <v>1065</v>
      </c>
      <c r="BP5" s="1155" t="s">
        <v>1065</v>
      </c>
      <c r="BQ5" s="1155" t="s">
        <v>1065</v>
      </c>
      <c r="BR5" s="1156" t="s">
        <v>1065</v>
      </c>
      <c r="BS5" s="1154" t="s">
        <v>1064</v>
      </c>
      <c r="BT5" s="1155" t="s">
        <v>1064</v>
      </c>
      <c r="BU5" s="1155" t="s">
        <v>1064</v>
      </c>
      <c r="BV5" s="1156" t="s">
        <v>1064</v>
      </c>
      <c r="BW5" s="1154">
        <v>2</v>
      </c>
      <c r="BX5" s="1155">
        <v>2</v>
      </c>
      <c r="BY5" s="1155">
        <v>2</v>
      </c>
      <c r="BZ5" s="1156">
        <v>2</v>
      </c>
      <c r="CA5" s="1154">
        <v>3</v>
      </c>
      <c r="CB5" s="1155">
        <v>3</v>
      </c>
      <c r="CC5" s="1155">
        <v>3</v>
      </c>
      <c r="CD5" s="1156">
        <v>3</v>
      </c>
      <c r="CE5" s="1154">
        <v>4</v>
      </c>
      <c r="CF5" s="1155">
        <v>4</v>
      </c>
      <c r="CG5" s="1155">
        <v>4</v>
      </c>
      <c r="CH5" s="1156">
        <v>4</v>
      </c>
      <c r="CI5" s="1154">
        <v>5</v>
      </c>
      <c r="CJ5" s="1155">
        <v>5</v>
      </c>
      <c r="CK5" s="1155">
        <v>5</v>
      </c>
      <c r="CL5" s="1156">
        <v>5</v>
      </c>
      <c r="CM5" s="1154">
        <v>6</v>
      </c>
      <c r="CN5" s="1155">
        <v>6</v>
      </c>
      <c r="CO5" s="1155">
        <v>6</v>
      </c>
      <c r="CP5" s="1156">
        <v>6</v>
      </c>
      <c r="CQ5" s="1154">
        <v>7</v>
      </c>
      <c r="CR5" s="1155">
        <v>7</v>
      </c>
      <c r="CS5" s="1155">
        <v>7</v>
      </c>
      <c r="CT5" s="1156">
        <v>7</v>
      </c>
      <c r="CU5" s="1154" t="s">
        <v>1050</v>
      </c>
      <c r="CV5" s="1155" t="s">
        <v>1050</v>
      </c>
      <c r="CW5" s="1155" t="s">
        <v>1050</v>
      </c>
      <c r="CX5" s="1156" t="s">
        <v>1050</v>
      </c>
      <c r="CY5" s="1154" t="s">
        <v>1051</v>
      </c>
      <c r="CZ5" s="1155" t="s">
        <v>1051</v>
      </c>
      <c r="DA5" s="1155" t="s">
        <v>1051</v>
      </c>
      <c r="DB5" s="1156" t="s">
        <v>1051</v>
      </c>
      <c r="DC5" s="1154" t="s">
        <v>1078</v>
      </c>
      <c r="DD5" s="1155" t="s">
        <v>1078</v>
      </c>
      <c r="DE5" s="1155" t="s">
        <v>1078</v>
      </c>
      <c r="DF5" s="1156" t="s">
        <v>1078</v>
      </c>
    </row>
    <row r="6" spans="1:112" ht="15.75" customHeight="1">
      <c r="G6" s="955"/>
      <c r="H6" s="955"/>
      <c r="I6" s="955"/>
      <c r="J6" s="955"/>
      <c r="K6" s="956"/>
      <c r="L6" s="955"/>
      <c r="M6" s="955"/>
      <c r="N6" s="955"/>
      <c r="O6" s="955"/>
      <c r="P6" s="955"/>
      <c r="Q6" s="955"/>
      <c r="S6" s="968"/>
      <c r="T6" s="968"/>
      <c r="U6" s="968"/>
      <c r="V6" s="968"/>
      <c r="W6" s="968"/>
      <c r="X6" s="968"/>
      <c r="Y6" s="968"/>
      <c r="Z6" s="968"/>
      <c r="AA6" s="968"/>
      <c r="AB6" s="968"/>
      <c r="AC6" s="968"/>
      <c r="AD6" s="968"/>
      <c r="AE6" s="968"/>
      <c r="AF6" s="968"/>
      <c r="AG6" s="968"/>
      <c r="AH6" s="968"/>
      <c r="AI6" s="968"/>
      <c r="AJ6" s="968"/>
      <c r="AK6" s="968"/>
      <c r="AM6" s="974"/>
      <c r="AN6" s="974"/>
      <c r="AO6" s="974"/>
      <c r="AP6" s="974"/>
      <c r="AQ6" s="974"/>
      <c r="AR6" s="974"/>
      <c r="AS6" s="974"/>
      <c r="AT6" s="974"/>
      <c r="AU6" s="974"/>
      <c r="AV6" s="974"/>
      <c r="AW6" s="974"/>
      <c r="AX6" s="974"/>
      <c r="AY6" s="974"/>
      <c r="AZ6" s="974"/>
      <c r="BA6" s="974"/>
      <c r="BB6" s="974"/>
      <c r="BC6" s="974"/>
      <c r="BD6" s="974"/>
      <c r="BE6" s="974"/>
      <c r="BF6" s="974"/>
      <c r="BH6" s="988"/>
      <c r="BI6" s="988"/>
      <c r="BJ6" s="988"/>
      <c r="BL6" s="511"/>
      <c r="BM6" s="511"/>
      <c r="BO6" s="1144" t="s">
        <v>1055</v>
      </c>
      <c r="BP6" s="1144" t="s">
        <v>1056</v>
      </c>
      <c r="BQ6" s="1144" t="s">
        <v>1057</v>
      </c>
      <c r="BR6" s="1144" t="s">
        <v>1058</v>
      </c>
      <c r="BS6" s="1144" t="s">
        <v>1055</v>
      </c>
      <c r="BT6" s="1144" t="s">
        <v>1056</v>
      </c>
      <c r="BU6" s="1144" t="s">
        <v>1057</v>
      </c>
      <c r="BV6" s="1144" t="s">
        <v>1058</v>
      </c>
      <c r="BW6" s="1144" t="s">
        <v>1055</v>
      </c>
      <c r="BX6" s="1144" t="s">
        <v>1056</v>
      </c>
      <c r="BY6" s="1144" t="s">
        <v>1057</v>
      </c>
      <c r="BZ6" s="1144" t="s">
        <v>1058</v>
      </c>
      <c r="CA6" s="1144" t="s">
        <v>1055</v>
      </c>
      <c r="CB6" s="1144" t="s">
        <v>1056</v>
      </c>
      <c r="CC6" s="1144" t="s">
        <v>1057</v>
      </c>
      <c r="CD6" s="1144" t="s">
        <v>1058</v>
      </c>
      <c r="CE6" s="1144" t="s">
        <v>1055</v>
      </c>
      <c r="CF6" s="1144" t="s">
        <v>1056</v>
      </c>
      <c r="CG6" s="1144" t="s">
        <v>1057</v>
      </c>
      <c r="CH6" s="1144" t="s">
        <v>1058</v>
      </c>
      <c r="CI6" s="1144" t="s">
        <v>1055</v>
      </c>
      <c r="CJ6" s="1144" t="s">
        <v>1056</v>
      </c>
      <c r="CK6" s="1144" t="s">
        <v>1057</v>
      </c>
      <c r="CL6" s="1144" t="s">
        <v>1058</v>
      </c>
      <c r="CM6" s="1144" t="s">
        <v>1055</v>
      </c>
      <c r="CN6" s="1144" t="s">
        <v>1056</v>
      </c>
      <c r="CO6" s="1144" t="s">
        <v>1057</v>
      </c>
      <c r="CP6" s="1144" t="s">
        <v>1058</v>
      </c>
      <c r="CQ6" s="1144" t="s">
        <v>1055</v>
      </c>
      <c r="CR6" s="1144" t="s">
        <v>1056</v>
      </c>
      <c r="CS6" s="1144" t="s">
        <v>1057</v>
      </c>
      <c r="CT6" s="1144" t="s">
        <v>1058</v>
      </c>
      <c r="CU6" s="1144" t="s">
        <v>1055</v>
      </c>
      <c r="CV6" s="1144" t="s">
        <v>1056</v>
      </c>
      <c r="CW6" s="1144" t="s">
        <v>1057</v>
      </c>
      <c r="CX6" s="1144" t="s">
        <v>1058</v>
      </c>
      <c r="CY6" s="1144" t="s">
        <v>1055</v>
      </c>
      <c r="CZ6" s="1144" t="s">
        <v>1056</v>
      </c>
      <c r="DA6" s="1144" t="s">
        <v>1057</v>
      </c>
      <c r="DB6" s="1144" t="s">
        <v>1058</v>
      </c>
      <c r="DC6" s="1144" t="s">
        <v>1055</v>
      </c>
      <c r="DD6" s="1144" t="s">
        <v>1056</v>
      </c>
      <c r="DE6" s="1144" t="s">
        <v>1057</v>
      </c>
      <c r="DF6" s="1144" t="s">
        <v>1058</v>
      </c>
    </row>
    <row r="7" spans="1:112" ht="18" customHeight="1">
      <c r="C7" s="501" t="s">
        <v>592</v>
      </c>
      <c r="D7" s="501"/>
      <c r="E7" s="639"/>
      <c r="G7" s="957"/>
      <c r="H7" s="957"/>
      <c r="I7" s="957"/>
      <c r="J7" s="957"/>
      <c r="K7" s="957"/>
      <c r="L7" s="957"/>
      <c r="M7" s="957"/>
      <c r="N7" s="957"/>
      <c r="O7" s="957"/>
      <c r="P7" s="957"/>
      <c r="Q7" s="957"/>
      <c r="S7" s="969"/>
      <c r="T7" s="969"/>
      <c r="U7" s="969"/>
      <c r="V7" s="969"/>
      <c r="W7" s="969"/>
      <c r="X7" s="969"/>
      <c r="Y7" s="969"/>
      <c r="Z7" s="969"/>
      <c r="AA7" s="969"/>
      <c r="AB7" s="969"/>
      <c r="AC7" s="969"/>
      <c r="AD7" s="969"/>
      <c r="AE7" s="969"/>
      <c r="AF7" s="969"/>
      <c r="AG7" s="969"/>
      <c r="AH7" s="969"/>
      <c r="AI7" s="969"/>
      <c r="AJ7" s="969"/>
      <c r="AK7" s="969"/>
      <c r="AM7" s="975"/>
      <c r="AN7" s="975"/>
      <c r="AO7" s="975"/>
      <c r="AP7" s="975"/>
      <c r="AQ7" s="975"/>
      <c r="AR7" s="975"/>
      <c r="AS7" s="975"/>
      <c r="AT7" s="975"/>
      <c r="AU7" s="975"/>
      <c r="AV7" s="975"/>
      <c r="AW7" s="975"/>
      <c r="AX7" s="975"/>
      <c r="AY7" s="975"/>
      <c r="AZ7" s="975"/>
      <c r="BA7" s="975"/>
      <c r="BB7" s="975"/>
      <c r="BC7" s="975"/>
      <c r="BD7" s="975"/>
      <c r="BE7" s="975"/>
      <c r="BF7" s="975"/>
      <c r="BH7" s="989"/>
      <c r="BI7" s="989"/>
      <c r="BJ7" s="989"/>
      <c r="BL7" s="514"/>
      <c r="BM7" s="514"/>
      <c r="BO7" s="1145"/>
      <c r="BP7" s="1145"/>
      <c r="BQ7" s="1145"/>
      <c r="BR7" s="1145"/>
      <c r="BS7" s="1145"/>
      <c r="BT7" s="1145"/>
      <c r="BU7" s="1145"/>
      <c r="BV7" s="1145"/>
      <c r="BW7" s="1145"/>
      <c r="BX7" s="1145"/>
      <c r="BY7" s="1145"/>
      <c r="BZ7" s="1145"/>
      <c r="CA7" s="1145"/>
      <c r="CB7" s="1145"/>
      <c r="CC7" s="1145"/>
      <c r="CD7" s="1145"/>
      <c r="CE7" s="1145"/>
      <c r="CF7" s="1145"/>
      <c r="CG7" s="1145"/>
      <c r="CH7" s="1145"/>
      <c r="CI7" s="1145"/>
      <c r="CJ7" s="1145"/>
      <c r="CK7" s="1145"/>
      <c r="CL7" s="1145"/>
      <c r="CM7" s="1145"/>
      <c r="CN7" s="1145"/>
      <c r="CO7" s="1145"/>
      <c r="CP7" s="1145"/>
      <c r="CQ7" s="1145"/>
      <c r="CR7" s="1145"/>
      <c r="CS7" s="1145"/>
      <c r="CT7" s="1145"/>
      <c r="CU7" s="1145"/>
      <c r="CV7" s="1145"/>
      <c r="CW7" s="1145"/>
      <c r="CX7" s="1145"/>
      <c r="CY7" s="1145"/>
      <c r="CZ7" s="1145"/>
      <c r="DA7" s="1145"/>
      <c r="DB7" s="1145"/>
      <c r="DC7" s="1145"/>
      <c r="DD7" s="1145"/>
      <c r="DE7" s="1145"/>
      <c r="DF7" s="1145"/>
    </row>
    <row r="8" spans="1:112" ht="6" hidden="1" customHeight="1" outlineLevel="1">
      <c r="G8" s="958"/>
      <c r="H8" s="958"/>
      <c r="I8" s="958"/>
      <c r="J8" s="958"/>
      <c r="K8" s="959"/>
      <c r="L8" s="958"/>
      <c r="M8" s="958"/>
      <c r="N8" s="958"/>
      <c r="O8" s="958"/>
      <c r="P8" s="958"/>
      <c r="Q8" s="958"/>
      <c r="S8" s="970"/>
      <c r="T8" s="970"/>
      <c r="U8" s="970"/>
      <c r="V8" s="970"/>
      <c r="W8" s="970"/>
      <c r="X8" s="970"/>
      <c r="Y8" s="970"/>
      <c r="Z8" s="970"/>
      <c r="AA8" s="970"/>
      <c r="AB8" s="970"/>
      <c r="AC8" s="970"/>
      <c r="AD8" s="970"/>
      <c r="AE8" s="970"/>
      <c r="AF8" s="970"/>
      <c r="AG8" s="970"/>
      <c r="AH8" s="970"/>
      <c r="AI8" s="970"/>
      <c r="AJ8" s="970"/>
      <c r="AK8" s="970"/>
      <c r="AM8" s="976"/>
      <c r="AN8" s="976"/>
      <c r="AO8" s="976"/>
      <c r="AP8" s="976"/>
      <c r="AQ8" s="976"/>
      <c r="AR8" s="976"/>
      <c r="AS8" s="976"/>
      <c r="AT8" s="976"/>
      <c r="AU8" s="976"/>
      <c r="AV8" s="976"/>
      <c r="AW8" s="976"/>
      <c r="AX8" s="976"/>
      <c r="AY8" s="976"/>
      <c r="AZ8" s="976"/>
      <c r="BA8" s="976"/>
      <c r="BB8" s="976"/>
      <c r="BC8" s="976"/>
      <c r="BD8" s="976"/>
      <c r="BE8" s="976"/>
      <c r="BF8" s="976"/>
      <c r="BH8" s="990"/>
      <c r="BI8" s="990"/>
      <c r="BJ8" s="990"/>
      <c r="BL8" s="515"/>
      <c r="BM8" s="515"/>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1146"/>
      <c r="DA8" s="1146"/>
      <c r="DB8" s="1146"/>
      <c r="DC8" s="1146"/>
      <c r="DD8" s="1146"/>
      <c r="DE8" s="1146"/>
      <c r="DF8" s="1146"/>
    </row>
    <row r="9" spans="1:112" s="743" customFormat="1" ht="10.5" hidden="1" customHeight="1" outlineLevel="2">
      <c r="A9" s="1480"/>
      <c r="B9" s="1480"/>
      <c r="C9" s="746" t="s">
        <v>829</v>
      </c>
      <c r="D9" s="1480" t="str">
        <f>INDEX(Modules[Module], MATCH($C9, Modules[Code], 0))</f>
        <v>Domestic space heating and hot water</v>
      </c>
      <c r="E9" s="521"/>
      <c r="G9" s="1017">
        <f ca="1">IFERROR(INDEX(INDIRECT($C9&amp;".Outputs["&amp;this.Year&amp;"]"), MATCH(G$5, INDIRECT($C9&amp;".Outputs[Vector]"), 0)), 0)</f>
        <v>481.81049165454237</v>
      </c>
      <c r="H9" s="1017">
        <f t="shared" ref="G9:P13" ca="1" si="0">IFERROR(INDEX(INDIRECT($C9&amp;".Outputs["&amp;this.Year&amp;"]"), MATCH(H$5, INDIRECT($C9&amp;".Outputs[Vector]"), 0)), 0)</f>
        <v>0</v>
      </c>
      <c r="I9" s="1017">
        <f t="shared" ca="1" si="0"/>
        <v>0</v>
      </c>
      <c r="J9" s="1017">
        <f t="shared" ca="1" si="0"/>
        <v>0</v>
      </c>
      <c r="K9" s="1017">
        <f t="shared" ca="1" si="0"/>
        <v>0</v>
      </c>
      <c r="L9" s="1017">
        <f t="shared" ca="1" si="0"/>
        <v>0</v>
      </c>
      <c r="M9" s="1017">
        <f t="shared" ca="1" si="0"/>
        <v>0</v>
      </c>
      <c r="N9" s="1017">
        <f t="shared" ca="1" si="0"/>
        <v>0</v>
      </c>
      <c r="O9" s="1017">
        <f t="shared" ca="1" si="0"/>
        <v>0</v>
      </c>
      <c r="P9" s="1017">
        <f t="shared" ca="1" si="0"/>
        <v>0</v>
      </c>
      <c r="Q9" s="1019">
        <f t="shared" ref="Q9:Q15" ca="1" si="1">SUM(G9:P9)</f>
        <v>481.81049165454237</v>
      </c>
      <c r="S9" s="1026">
        <f t="shared" ref="S9:BE13" ca="1" si="2">IFERROR(INDEX(INDIRECT($C9&amp;".Outputs["&amp;this.Year&amp;"]"), MATCH(S$5, INDIRECT($C9&amp;".Outputs[Vector]"), 0)), 0)</f>
        <v>-43.677548135982896</v>
      </c>
      <c r="T9" s="1026">
        <f t="shared" ca="1" si="2"/>
        <v>0</v>
      </c>
      <c r="U9" s="1026">
        <f t="shared" ca="1" si="2"/>
        <v>-7.3289924411425558</v>
      </c>
      <c r="V9" s="1026">
        <f t="shared" ca="1" si="2"/>
        <v>-6.5734262100969314</v>
      </c>
      <c r="W9" s="1026">
        <f t="shared" ca="1" si="2"/>
        <v>-424.23052486732001</v>
      </c>
      <c r="X9" s="1026">
        <f t="shared" ref="X9:Z10" ca="1" si="3">IFERROR(INDEX(INDIRECT($C9&amp;".Outputs["&amp;this.Year&amp;"]"), MATCH(X$5, INDIRECT($C9&amp;".Outputs[Vector]"), 0)), 0)</f>
        <v>0</v>
      </c>
      <c r="Y9" s="1026">
        <f t="shared" ca="1" si="3"/>
        <v>0</v>
      </c>
      <c r="Z9" s="1026">
        <f t="shared" ca="1" si="3"/>
        <v>0</v>
      </c>
      <c r="AA9" s="1026">
        <f t="shared" ca="1" si="2"/>
        <v>0</v>
      </c>
      <c r="AB9" s="1026">
        <f t="shared" ca="1" si="2"/>
        <v>0</v>
      </c>
      <c r="AC9" s="1026">
        <f t="shared" ca="1" si="2"/>
        <v>0</v>
      </c>
      <c r="AD9" s="1026">
        <f t="shared" ca="1" si="2"/>
        <v>0</v>
      </c>
      <c r="AE9" s="1026">
        <f t="shared" ca="1" si="2"/>
        <v>0</v>
      </c>
      <c r="AF9" s="1026">
        <f t="shared" ca="1" si="2"/>
        <v>0</v>
      </c>
      <c r="AG9" s="1026">
        <f t="shared" ca="1" si="2"/>
        <v>0</v>
      </c>
      <c r="AH9" s="1026">
        <f t="shared" ca="1" si="2"/>
        <v>0</v>
      </c>
      <c r="AI9" s="1026">
        <f t="shared" ca="1" si="2"/>
        <v>0</v>
      </c>
      <c r="AJ9" s="1026">
        <f t="shared" ca="1" si="2"/>
        <v>0</v>
      </c>
      <c r="AK9" s="1027">
        <f t="shared" ref="AK9:AK15" ca="1" si="4">SUM(S9:AJ9)</f>
        <v>-481.81049165454237</v>
      </c>
      <c r="AM9" s="1038">
        <f t="shared" ref="AM9:AU10" ca="1" si="5">IFERROR(INDEX(INDIRECT($C9&amp;".Outputs["&amp;this.Year&amp;"]"), MATCH(AM$5, INDIRECT($C9&amp;".Outputs[Vector]"), 0)), 0)</f>
        <v>0</v>
      </c>
      <c r="AN9" s="1038">
        <f t="shared" ca="1" si="5"/>
        <v>0</v>
      </c>
      <c r="AO9" s="1038">
        <f t="shared" ca="1" si="5"/>
        <v>0</v>
      </c>
      <c r="AP9" s="1038">
        <f t="shared" ca="1" si="5"/>
        <v>0</v>
      </c>
      <c r="AQ9" s="1038">
        <f t="shared" ca="1" si="5"/>
        <v>0</v>
      </c>
      <c r="AR9" s="1038">
        <f t="shared" ca="1" si="5"/>
        <v>0</v>
      </c>
      <c r="AS9" s="1038">
        <f t="shared" ca="1" si="5"/>
        <v>0</v>
      </c>
      <c r="AT9" s="1038">
        <f t="shared" ca="1" si="5"/>
        <v>0</v>
      </c>
      <c r="AU9" s="1038">
        <f t="shared" ca="1" si="5"/>
        <v>0</v>
      </c>
      <c r="AV9" s="1038">
        <f t="shared" ca="1" si="2"/>
        <v>0</v>
      </c>
      <c r="AW9" s="1038">
        <f t="shared" ca="1" si="2"/>
        <v>0</v>
      </c>
      <c r="AX9" s="1038">
        <f t="shared" ca="1" si="2"/>
        <v>0</v>
      </c>
      <c r="AY9" s="1038">
        <f t="shared" ca="1" si="2"/>
        <v>0</v>
      </c>
      <c r="AZ9" s="1038">
        <f t="shared" ca="1" si="2"/>
        <v>0</v>
      </c>
      <c r="BA9" s="1038">
        <f t="shared" ca="1" si="2"/>
        <v>0</v>
      </c>
      <c r="BB9" s="1038">
        <f t="shared" ca="1" si="2"/>
        <v>0</v>
      </c>
      <c r="BC9" s="1038">
        <f t="shared" ca="1" si="2"/>
        <v>0</v>
      </c>
      <c r="BD9" s="1038">
        <f t="shared" ca="1" si="2"/>
        <v>0</v>
      </c>
      <c r="BE9" s="1038">
        <f t="shared" ca="1" si="2"/>
        <v>0</v>
      </c>
      <c r="BF9" s="977">
        <f t="shared" ref="BF9:BF15" ca="1" si="6">SUM(AM9:BE9)</f>
        <v>0</v>
      </c>
      <c r="BH9" s="1032">
        <f t="shared" ref="BH9:BI13" ca="1" si="7">IFERROR(INDEX(INDIRECT($C9&amp;".Outputs["&amp;this.Year&amp;"]"), MATCH(BH$5, INDIRECT($C9&amp;".Outputs[Vector]"), 0)), 0)</f>
        <v>0</v>
      </c>
      <c r="BI9" s="1032">
        <f t="shared" ca="1" si="7"/>
        <v>0</v>
      </c>
      <c r="BJ9" s="1034">
        <f t="shared" ref="BJ9:BJ15" ca="1" si="8">SUM(BH9:BI9)</f>
        <v>0</v>
      </c>
      <c r="BL9" s="524">
        <f t="shared" ref="BL9:BL44" ca="1" si="9">Q9+AK9+BF9+BJ9</f>
        <v>0</v>
      </c>
      <c r="BM9" s="524"/>
      <c r="BN9" s="840"/>
      <c r="BO9" s="1481">
        <f t="shared" ref="BO9:BX10" ca="1" si="10">IFERROR(SUMIFS(INDIRECT($C9&amp;".Emissions["&amp;this.Year&amp;"]"), INDIRECT($C9&amp;".Emissions[GHG]"), BO$6, INDIRECT($C9&amp;".Emissions[IPCC Sector]"), BO$5),0)</f>
        <v>81.959102799983015</v>
      </c>
      <c r="BP9" s="1482">
        <f t="shared" ca="1" si="10"/>
        <v>0.16514417169133105</v>
      </c>
      <c r="BQ9" s="1482">
        <f t="shared" ca="1" si="10"/>
        <v>0.21785178134152855</v>
      </c>
      <c r="BR9" s="1482">
        <f t="shared" ca="1" si="10"/>
        <v>0</v>
      </c>
      <c r="BS9" s="1482">
        <f t="shared" ca="1" si="10"/>
        <v>0</v>
      </c>
      <c r="BT9" s="1482">
        <f t="shared" ca="1" si="10"/>
        <v>0</v>
      </c>
      <c r="BU9" s="1482">
        <f t="shared" ca="1" si="10"/>
        <v>0</v>
      </c>
      <c r="BV9" s="1482">
        <f t="shared" ca="1" si="10"/>
        <v>0</v>
      </c>
      <c r="BW9" s="1482">
        <f t="shared" ca="1" si="10"/>
        <v>0</v>
      </c>
      <c r="BX9" s="1482">
        <f t="shared" ca="1" si="10"/>
        <v>0</v>
      </c>
      <c r="BY9" s="1482">
        <f t="shared" ref="BY9:CH10" ca="1" si="11">IFERROR(SUMIFS(INDIRECT($C9&amp;".Emissions["&amp;this.Year&amp;"]"), INDIRECT($C9&amp;".Emissions[GHG]"), BY$6, INDIRECT($C9&amp;".Emissions[IPCC Sector]"), BY$5),0)</f>
        <v>0</v>
      </c>
      <c r="BZ9" s="1482">
        <f t="shared" ca="1" si="11"/>
        <v>0</v>
      </c>
      <c r="CA9" s="1482">
        <f t="shared" ca="1" si="11"/>
        <v>0</v>
      </c>
      <c r="CB9" s="1482">
        <f t="shared" ca="1" si="11"/>
        <v>0</v>
      </c>
      <c r="CC9" s="1482">
        <f t="shared" ca="1" si="11"/>
        <v>0</v>
      </c>
      <c r="CD9" s="1482">
        <f t="shared" ca="1" si="11"/>
        <v>0</v>
      </c>
      <c r="CE9" s="1482">
        <f t="shared" ca="1" si="11"/>
        <v>0</v>
      </c>
      <c r="CF9" s="1482">
        <f t="shared" ca="1" si="11"/>
        <v>0</v>
      </c>
      <c r="CG9" s="1482">
        <f t="shared" ca="1" si="11"/>
        <v>0</v>
      </c>
      <c r="CH9" s="1482">
        <f t="shared" ca="1" si="11"/>
        <v>0</v>
      </c>
      <c r="CI9" s="1482">
        <f t="shared" ref="CI9:CR10" ca="1" si="12">IFERROR(SUMIFS(INDIRECT($C9&amp;".Emissions["&amp;this.Year&amp;"]"), INDIRECT($C9&amp;".Emissions[GHG]"), CI$6, INDIRECT($C9&amp;".Emissions[IPCC Sector]"), CI$5),0)</f>
        <v>0</v>
      </c>
      <c r="CJ9" s="1482">
        <f t="shared" ca="1" si="12"/>
        <v>0</v>
      </c>
      <c r="CK9" s="1482">
        <f t="shared" ca="1" si="12"/>
        <v>0</v>
      </c>
      <c r="CL9" s="1482">
        <f t="shared" ca="1" si="12"/>
        <v>0</v>
      </c>
      <c r="CM9" s="1482">
        <f t="shared" ca="1" si="12"/>
        <v>0</v>
      </c>
      <c r="CN9" s="1482">
        <f t="shared" ca="1" si="12"/>
        <v>0</v>
      </c>
      <c r="CO9" s="1482">
        <f t="shared" ca="1" si="12"/>
        <v>0</v>
      </c>
      <c r="CP9" s="1482">
        <f t="shared" ca="1" si="12"/>
        <v>0</v>
      </c>
      <c r="CQ9" s="1482">
        <f t="shared" ca="1" si="12"/>
        <v>0</v>
      </c>
      <c r="CR9" s="1482">
        <f t="shared" ca="1" si="12"/>
        <v>0</v>
      </c>
      <c r="CS9" s="1482">
        <f t="shared" ref="CS9:DF10" ca="1" si="13">IFERROR(SUMIFS(INDIRECT($C9&amp;".Emissions["&amp;this.Year&amp;"]"), INDIRECT($C9&amp;".Emissions[GHG]"), CS$6, INDIRECT($C9&amp;".Emissions[IPCC Sector]"), CS$5),0)</f>
        <v>0</v>
      </c>
      <c r="CT9" s="1482">
        <f t="shared" ca="1" si="13"/>
        <v>0</v>
      </c>
      <c r="CU9" s="1482">
        <f t="shared" ca="1" si="13"/>
        <v>0</v>
      </c>
      <c r="CV9" s="1482">
        <f t="shared" ca="1" si="13"/>
        <v>0</v>
      </c>
      <c r="CW9" s="1482">
        <f t="shared" ca="1" si="13"/>
        <v>0</v>
      </c>
      <c r="CX9" s="1482">
        <f t="shared" ca="1" si="13"/>
        <v>0</v>
      </c>
      <c r="CY9" s="1482">
        <f t="shared" ca="1" si="13"/>
        <v>0</v>
      </c>
      <c r="CZ9" s="1482">
        <f t="shared" ca="1" si="13"/>
        <v>0</v>
      </c>
      <c r="DA9" s="1482">
        <f t="shared" ca="1" si="13"/>
        <v>0</v>
      </c>
      <c r="DB9" s="1482">
        <f t="shared" ca="1" si="13"/>
        <v>0</v>
      </c>
      <c r="DC9" s="1482">
        <f t="shared" ca="1" si="13"/>
        <v>0</v>
      </c>
      <c r="DD9" s="1482">
        <f t="shared" ca="1" si="13"/>
        <v>0</v>
      </c>
      <c r="DE9" s="1482">
        <f t="shared" ca="1" si="13"/>
        <v>0</v>
      </c>
      <c r="DF9" s="1482">
        <f t="shared" ca="1" si="13"/>
        <v>0</v>
      </c>
      <c r="DH9" s="838"/>
    </row>
    <row r="10" spans="1:112" s="743" customFormat="1" ht="10.5" hidden="1" customHeight="1" outlineLevel="2">
      <c r="A10" s="1483"/>
      <c r="B10" s="1483"/>
      <c r="C10" s="1009" t="s">
        <v>898</v>
      </c>
      <c r="D10" s="1483" t="str">
        <f>INDEX(Modules[Module], MATCH($C10, Modules[Code], 0))</f>
        <v>Domestic hot water [UNUSED - See IX.a]</v>
      </c>
      <c r="E10" s="1006"/>
      <c r="G10" s="1018">
        <f t="shared" ca="1" si="0"/>
        <v>0</v>
      </c>
      <c r="H10" s="1018">
        <f t="shared" ca="1" si="0"/>
        <v>0</v>
      </c>
      <c r="I10" s="1018">
        <f t="shared" ca="1" si="0"/>
        <v>0</v>
      </c>
      <c r="J10" s="1018">
        <f t="shared" ca="1" si="0"/>
        <v>0</v>
      </c>
      <c r="K10" s="1018">
        <f t="shared" ca="1" si="0"/>
        <v>0</v>
      </c>
      <c r="L10" s="1018">
        <f t="shared" ca="1" si="0"/>
        <v>0</v>
      </c>
      <c r="M10" s="1018">
        <f t="shared" ca="1" si="0"/>
        <v>0</v>
      </c>
      <c r="N10" s="1018">
        <f t="shared" ca="1" si="0"/>
        <v>0</v>
      </c>
      <c r="O10" s="1018">
        <f t="shared" ca="1" si="0"/>
        <v>0</v>
      </c>
      <c r="P10" s="1018">
        <f t="shared" ca="1" si="0"/>
        <v>0</v>
      </c>
      <c r="Q10" s="1024">
        <f t="shared" ca="1" si="1"/>
        <v>0</v>
      </c>
      <c r="S10" s="1028">
        <f t="shared" ca="1" si="2"/>
        <v>0</v>
      </c>
      <c r="T10" s="1028">
        <f t="shared" ca="1" si="2"/>
        <v>0</v>
      </c>
      <c r="U10" s="1028">
        <f t="shared" ca="1" si="2"/>
        <v>0</v>
      </c>
      <c r="V10" s="1028">
        <f t="shared" ca="1" si="2"/>
        <v>0</v>
      </c>
      <c r="W10" s="1028">
        <f t="shared" ca="1" si="2"/>
        <v>0</v>
      </c>
      <c r="X10" s="1028">
        <f t="shared" ca="1" si="3"/>
        <v>0</v>
      </c>
      <c r="Y10" s="1028">
        <f t="shared" ca="1" si="3"/>
        <v>0</v>
      </c>
      <c r="Z10" s="1028">
        <f t="shared" ca="1" si="3"/>
        <v>0</v>
      </c>
      <c r="AA10" s="1028">
        <f t="shared" ca="1" si="2"/>
        <v>0</v>
      </c>
      <c r="AB10" s="1028">
        <f t="shared" ca="1" si="2"/>
        <v>0</v>
      </c>
      <c r="AC10" s="1028">
        <f t="shared" ca="1" si="2"/>
        <v>0</v>
      </c>
      <c r="AD10" s="1028">
        <f t="shared" ca="1" si="2"/>
        <v>0</v>
      </c>
      <c r="AE10" s="1028">
        <f t="shared" ca="1" si="2"/>
        <v>0</v>
      </c>
      <c r="AF10" s="1028">
        <f t="shared" ca="1" si="2"/>
        <v>0</v>
      </c>
      <c r="AG10" s="1028">
        <f t="shared" ca="1" si="2"/>
        <v>0</v>
      </c>
      <c r="AH10" s="1028">
        <f t="shared" ca="1" si="2"/>
        <v>0</v>
      </c>
      <c r="AI10" s="1028">
        <f t="shared" ca="1" si="2"/>
        <v>0</v>
      </c>
      <c r="AJ10" s="1028">
        <f t="shared" ca="1" si="2"/>
        <v>0</v>
      </c>
      <c r="AK10" s="1029">
        <f t="shared" ca="1" si="4"/>
        <v>0</v>
      </c>
      <c r="AM10" s="1039">
        <f t="shared" ca="1" si="5"/>
        <v>0</v>
      </c>
      <c r="AN10" s="1039">
        <f t="shared" ca="1" si="5"/>
        <v>0</v>
      </c>
      <c r="AO10" s="1039">
        <f t="shared" ca="1" si="5"/>
        <v>0</v>
      </c>
      <c r="AP10" s="1039">
        <f t="shared" ca="1" si="5"/>
        <v>0</v>
      </c>
      <c r="AQ10" s="1039">
        <f t="shared" ca="1" si="5"/>
        <v>0</v>
      </c>
      <c r="AR10" s="1039">
        <f t="shared" ca="1" si="5"/>
        <v>0</v>
      </c>
      <c r="AS10" s="1039">
        <f t="shared" ca="1" si="5"/>
        <v>0</v>
      </c>
      <c r="AT10" s="1039">
        <f t="shared" ca="1" si="5"/>
        <v>0</v>
      </c>
      <c r="AU10" s="1039">
        <f t="shared" ca="1" si="5"/>
        <v>0</v>
      </c>
      <c r="AV10" s="1039">
        <f t="shared" ca="1" si="2"/>
        <v>0</v>
      </c>
      <c r="AW10" s="1039">
        <f t="shared" ca="1" si="2"/>
        <v>0</v>
      </c>
      <c r="AX10" s="1039">
        <f t="shared" ca="1" si="2"/>
        <v>0</v>
      </c>
      <c r="AY10" s="1039">
        <f t="shared" ca="1" si="2"/>
        <v>0</v>
      </c>
      <c r="AZ10" s="1039">
        <f t="shared" ca="1" si="2"/>
        <v>0</v>
      </c>
      <c r="BA10" s="1039">
        <f t="shared" ca="1" si="2"/>
        <v>0</v>
      </c>
      <c r="BB10" s="1039">
        <f t="shared" ca="1" si="2"/>
        <v>0</v>
      </c>
      <c r="BC10" s="1039">
        <f t="shared" ca="1" si="2"/>
        <v>0</v>
      </c>
      <c r="BD10" s="1039">
        <f t="shared" ca="1" si="2"/>
        <v>0</v>
      </c>
      <c r="BE10" s="1039">
        <f t="shared" ca="1" si="2"/>
        <v>0</v>
      </c>
      <c r="BF10" s="1008">
        <f t="shared" ca="1" si="6"/>
        <v>0</v>
      </c>
      <c r="BH10" s="1033">
        <f t="shared" ca="1" si="7"/>
        <v>0</v>
      </c>
      <c r="BI10" s="1033">
        <f t="shared" ca="1" si="7"/>
        <v>0</v>
      </c>
      <c r="BJ10" s="1044">
        <f t="shared" ca="1" si="8"/>
        <v>0</v>
      </c>
      <c r="BL10" s="1007">
        <f t="shared" ca="1" si="9"/>
        <v>0</v>
      </c>
      <c r="BM10" s="1007"/>
      <c r="BN10" s="840"/>
      <c r="BO10" s="1481">
        <f t="shared" ca="1" si="10"/>
        <v>0</v>
      </c>
      <c r="BP10" s="1482">
        <f t="shared" ca="1" si="10"/>
        <v>0</v>
      </c>
      <c r="BQ10" s="1482">
        <f t="shared" ca="1" si="10"/>
        <v>0</v>
      </c>
      <c r="BR10" s="1482">
        <f t="shared" ca="1" si="10"/>
        <v>0</v>
      </c>
      <c r="BS10" s="1482">
        <f t="shared" ca="1" si="10"/>
        <v>0</v>
      </c>
      <c r="BT10" s="1482">
        <f t="shared" ca="1" si="10"/>
        <v>0</v>
      </c>
      <c r="BU10" s="1482">
        <f t="shared" ca="1" si="10"/>
        <v>0</v>
      </c>
      <c r="BV10" s="1482">
        <f t="shared" ca="1" si="10"/>
        <v>0</v>
      </c>
      <c r="BW10" s="1482">
        <f t="shared" ca="1" si="10"/>
        <v>0</v>
      </c>
      <c r="BX10" s="1482">
        <f t="shared" ca="1" si="10"/>
        <v>0</v>
      </c>
      <c r="BY10" s="1482">
        <f t="shared" ca="1" si="11"/>
        <v>0</v>
      </c>
      <c r="BZ10" s="1482">
        <f t="shared" ca="1" si="11"/>
        <v>0</v>
      </c>
      <c r="CA10" s="1482">
        <f t="shared" ca="1" si="11"/>
        <v>0</v>
      </c>
      <c r="CB10" s="1482">
        <f t="shared" ca="1" si="11"/>
        <v>0</v>
      </c>
      <c r="CC10" s="1482">
        <f t="shared" ca="1" si="11"/>
        <v>0</v>
      </c>
      <c r="CD10" s="1482">
        <f t="shared" ca="1" si="11"/>
        <v>0</v>
      </c>
      <c r="CE10" s="1482">
        <f t="shared" ca="1" si="11"/>
        <v>0</v>
      </c>
      <c r="CF10" s="1482">
        <f t="shared" ca="1" si="11"/>
        <v>0</v>
      </c>
      <c r="CG10" s="1482">
        <f t="shared" ca="1" si="11"/>
        <v>0</v>
      </c>
      <c r="CH10" s="1482">
        <f t="shared" ca="1" si="11"/>
        <v>0</v>
      </c>
      <c r="CI10" s="1482">
        <f t="shared" ca="1" si="12"/>
        <v>0</v>
      </c>
      <c r="CJ10" s="1482">
        <f t="shared" ca="1" si="12"/>
        <v>0</v>
      </c>
      <c r="CK10" s="1482">
        <f t="shared" ca="1" si="12"/>
        <v>0</v>
      </c>
      <c r="CL10" s="1482">
        <f t="shared" ca="1" si="12"/>
        <v>0</v>
      </c>
      <c r="CM10" s="1482">
        <f t="shared" ca="1" si="12"/>
        <v>0</v>
      </c>
      <c r="CN10" s="1482">
        <f t="shared" ca="1" si="12"/>
        <v>0</v>
      </c>
      <c r="CO10" s="1482">
        <f t="shared" ca="1" si="12"/>
        <v>0</v>
      </c>
      <c r="CP10" s="1482">
        <f t="shared" ca="1" si="12"/>
        <v>0</v>
      </c>
      <c r="CQ10" s="1482">
        <f t="shared" ca="1" si="12"/>
        <v>0</v>
      </c>
      <c r="CR10" s="1482">
        <f t="shared" ca="1" si="12"/>
        <v>0</v>
      </c>
      <c r="CS10" s="1482">
        <f t="shared" ca="1" si="13"/>
        <v>0</v>
      </c>
      <c r="CT10" s="1482">
        <f t="shared" ca="1" si="13"/>
        <v>0</v>
      </c>
      <c r="CU10" s="1482">
        <f t="shared" ca="1" si="13"/>
        <v>0</v>
      </c>
      <c r="CV10" s="1482">
        <f t="shared" ca="1" si="13"/>
        <v>0</v>
      </c>
      <c r="CW10" s="1482">
        <f t="shared" ca="1" si="13"/>
        <v>0</v>
      </c>
      <c r="CX10" s="1482">
        <f t="shared" ca="1" si="13"/>
        <v>0</v>
      </c>
      <c r="CY10" s="1482">
        <f t="shared" ca="1" si="13"/>
        <v>0</v>
      </c>
      <c r="CZ10" s="1482">
        <f t="shared" ca="1" si="13"/>
        <v>0</v>
      </c>
      <c r="DA10" s="1482">
        <f t="shared" ca="1" si="13"/>
        <v>0</v>
      </c>
      <c r="DB10" s="1482">
        <f t="shared" ca="1" si="13"/>
        <v>0</v>
      </c>
      <c r="DC10" s="1482">
        <f t="shared" ca="1" si="13"/>
        <v>0</v>
      </c>
      <c r="DD10" s="1482">
        <f t="shared" ca="1" si="13"/>
        <v>0</v>
      </c>
      <c r="DE10" s="1482">
        <f t="shared" ca="1" si="13"/>
        <v>0</v>
      </c>
      <c r="DF10" s="1482">
        <f t="shared" ca="1" si="13"/>
        <v>0</v>
      </c>
      <c r="DH10" s="838"/>
    </row>
    <row r="11" spans="1:112" s="743" customFormat="1" ht="12.75" hidden="1" customHeight="1" outlineLevel="1">
      <c r="A11" s="1484"/>
      <c r="B11" s="1484"/>
      <c r="C11" s="746"/>
      <c r="D11" s="1484" t="s">
        <v>947</v>
      </c>
      <c r="E11" s="521"/>
      <c r="G11" s="1019">
        <f ca="1">SUM(G9:G10)</f>
        <v>481.81049165454237</v>
      </c>
      <c r="H11" s="1019">
        <f t="shared" ref="H11:P11" ca="1" si="14">SUM(H9:H10)</f>
        <v>0</v>
      </c>
      <c r="I11" s="1019">
        <f t="shared" ca="1" si="14"/>
        <v>0</v>
      </c>
      <c r="J11" s="1019">
        <f t="shared" ca="1" si="14"/>
        <v>0</v>
      </c>
      <c r="K11" s="1019">
        <f t="shared" ca="1" si="14"/>
        <v>0</v>
      </c>
      <c r="L11" s="1019">
        <f t="shared" ca="1" si="14"/>
        <v>0</v>
      </c>
      <c r="M11" s="1019">
        <f t="shared" ca="1" si="14"/>
        <v>0</v>
      </c>
      <c r="N11" s="1019">
        <f t="shared" ca="1" si="14"/>
        <v>0</v>
      </c>
      <c r="O11" s="1019">
        <f t="shared" ca="1" si="14"/>
        <v>0</v>
      </c>
      <c r="P11" s="1019">
        <f t="shared" ca="1" si="14"/>
        <v>0</v>
      </c>
      <c r="Q11" s="1019">
        <f t="shared" ca="1" si="1"/>
        <v>481.81049165454237</v>
      </c>
      <c r="S11" s="1027">
        <f ca="1">SUM(S9:S10)</f>
        <v>-43.677548135982896</v>
      </c>
      <c r="T11" s="1027">
        <f t="shared" ref="T11:AJ11" ca="1" si="15">SUM(T9:T10)</f>
        <v>0</v>
      </c>
      <c r="U11" s="1027">
        <f t="shared" ca="1" si="15"/>
        <v>-7.3289924411425558</v>
      </c>
      <c r="V11" s="1027">
        <f t="shared" ca="1" si="15"/>
        <v>-6.5734262100969314</v>
      </c>
      <c r="W11" s="1027">
        <f t="shared" ca="1" si="15"/>
        <v>-424.23052486732001</v>
      </c>
      <c r="X11" s="1027">
        <f ca="1">SUM(X9:X10)</f>
        <v>0</v>
      </c>
      <c r="Y11" s="1027">
        <f ca="1">SUM(Y9:Y10)</f>
        <v>0</v>
      </c>
      <c r="Z11" s="1027">
        <f ca="1">SUM(Z9:Z10)</f>
        <v>0</v>
      </c>
      <c r="AA11" s="1027">
        <f t="shared" ca="1" si="15"/>
        <v>0</v>
      </c>
      <c r="AB11" s="1027">
        <f t="shared" ca="1" si="15"/>
        <v>0</v>
      </c>
      <c r="AC11" s="1027">
        <f t="shared" ca="1" si="15"/>
        <v>0</v>
      </c>
      <c r="AD11" s="1027">
        <f ca="1">SUM(AD9:AD10)</f>
        <v>0</v>
      </c>
      <c r="AE11" s="1027">
        <f ca="1">SUM(AE9:AE10)</f>
        <v>0</v>
      </c>
      <c r="AF11" s="1027">
        <f t="shared" ca="1" si="15"/>
        <v>0</v>
      </c>
      <c r="AG11" s="1027">
        <f ca="1">SUM(AG9:AG10)</f>
        <v>0</v>
      </c>
      <c r="AH11" s="1027">
        <f ca="1">SUM(AH9:AH10)</f>
        <v>0</v>
      </c>
      <c r="AI11" s="1027">
        <f ca="1">SUM(AI9:AI10)</f>
        <v>0</v>
      </c>
      <c r="AJ11" s="1027">
        <f t="shared" ca="1" si="15"/>
        <v>0</v>
      </c>
      <c r="AK11" s="1027">
        <f t="shared" ca="1" si="4"/>
        <v>-481.81049165454237</v>
      </c>
      <c r="AM11" s="1040">
        <f t="shared" ref="AM11:BE11" ca="1" si="16">SUM(AM9:AM10)</f>
        <v>0</v>
      </c>
      <c r="AN11" s="1040">
        <f t="shared" ca="1" si="16"/>
        <v>0</v>
      </c>
      <c r="AO11" s="1040">
        <f t="shared" ca="1" si="16"/>
        <v>0</v>
      </c>
      <c r="AP11" s="1040">
        <f t="shared" ca="1" si="16"/>
        <v>0</v>
      </c>
      <c r="AQ11" s="1040">
        <f t="shared" ca="1" si="16"/>
        <v>0</v>
      </c>
      <c r="AR11" s="1040">
        <f t="shared" ca="1" si="16"/>
        <v>0</v>
      </c>
      <c r="AS11" s="1040">
        <f t="shared" ca="1" si="16"/>
        <v>0</v>
      </c>
      <c r="AT11" s="1040">
        <f t="shared" ca="1" si="16"/>
        <v>0</v>
      </c>
      <c r="AU11" s="1040">
        <f t="shared" ca="1" si="16"/>
        <v>0</v>
      </c>
      <c r="AV11" s="1040">
        <f t="shared" ca="1" si="16"/>
        <v>0</v>
      </c>
      <c r="AW11" s="1040">
        <f t="shared" ca="1" si="16"/>
        <v>0</v>
      </c>
      <c r="AX11" s="1040">
        <f t="shared" ca="1" si="16"/>
        <v>0</v>
      </c>
      <c r="AY11" s="1040">
        <f t="shared" ca="1" si="16"/>
        <v>0</v>
      </c>
      <c r="AZ11" s="1040">
        <f t="shared" ca="1" si="16"/>
        <v>0</v>
      </c>
      <c r="BA11" s="1040">
        <f t="shared" ca="1" si="16"/>
        <v>0</v>
      </c>
      <c r="BB11" s="1040">
        <f t="shared" ca="1" si="16"/>
        <v>0</v>
      </c>
      <c r="BC11" s="1040">
        <f t="shared" ca="1" si="16"/>
        <v>0</v>
      </c>
      <c r="BD11" s="1040">
        <f t="shared" ca="1" si="16"/>
        <v>0</v>
      </c>
      <c r="BE11" s="1040">
        <f t="shared" ca="1" si="16"/>
        <v>0</v>
      </c>
      <c r="BF11" s="979">
        <f t="shared" ca="1" si="6"/>
        <v>0</v>
      </c>
      <c r="BH11" s="1034">
        <f ca="1">SUM(BH9:BH10)</f>
        <v>0</v>
      </c>
      <c r="BI11" s="1034">
        <f ca="1">SUM(BI9:BI10)</f>
        <v>0</v>
      </c>
      <c r="BJ11" s="1034">
        <f t="shared" ca="1" si="8"/>
        <v>0</v>
      </c>
      <c r="BL11" s="814">
        <f t="shared" ca="1" si="9"/>
        <v>0</v>
      </c>
      <c r="BM11" s="814"/>
      <c r="BN11" s="840"/>
      <c r="BO11" s="1481">
        <f t="shared" ref="BO11:DF11" ca="1" si="17">SUM(BO9:BO10)</f>
        <v>81.959102799983015</v>
      </c>
      <c r="BP11" s="1482">
        <f t="shared" ca="1" si="17"/>
        <v>0.16514417169133105</v>
      </c>
      <c r="BQ11" s="1482">
        <f t="shared" ca="1" si="17"/>
        <v>0.21785178134152855</v>
      </c>
      <c r="BR11" s="1482">
        <f t="shared" ca="1" si="17"/>
        <v>0</v>
      </c>
      <c r="BS11" s="1482">
        <f t="shared" ca="1" si="17"/>
        <v>0</v>
      </c>
      <c r="BT11" s="1482">
        <f t="shared" ca="1" si="17"/>
        <v>0</v>
      </c>
      <c r="BU11" s="1482">
        <f t="shared" ca="1" si="17"/>
        <v>0</v>
      </c>
      <c r="BV11" s="1482">
        <f t="shared" ca="1" si="17"/>
        <v>0</v>
      </c>
      <c r="BW11" s="1482">
        <f t="shared" ca="1" si="17"/>
        <v>0</v>
      </c>
      <c r="BX11" s="1482">
        <f t="shared" ca="1" si="17"/>
        <v>0</v>
      </c>
      <c r="BY11" s="1482">
        <f t="shared" ca="1" si="17"/>
        <v>0</v>
      </c>
      <c r="BZ11" s="1482">
        <f t="shared" ca="1" si="17"/>
        <v>0</v>
      </c>
      <c r="CA11" s="1482">
        <f t="shared" ca="1" si="17"/>
        <v>0</v>
      </c>
      <c r="CB11" s="1482">
        <f t="shared" ca="1" si="17"/>
        <v>0</v>
      </c>
      <c r="CC11" s="1482">
        <f t="shared" ca="1" si="17"/>
        <v>0</v>
      </c>
      <c r="CD11" s="1482">
        <f t="shared" ca="1" si="17"/>
        <v>0</v>
      </c>
      <c r="CE11" s="1482">
        <f t="shared" ca="1" si="17"/>
        <v>0</v>
      </c>
      <c r="CF11" s="1482">
        <f t="shared" ca="1" si="17"/>
        <v>0</v>
      </c>
      <c r="CG11" s="1482">
        <f t="shared" ca="1" si="17"/>
        <v>0</v>
      </c>
      <c r="CH11" s="1482">
        <f t="shared" ca="1" si="17"/>
        <v>0</v>
      </c>
      <c r="CI11" s="1482">
        <f t="shared" ca="1" si="17"/>
        <v>0</v>
      </c>
      <c r="CJ11" s="1482">
        <f t="shared" ca="1" si="17"/>
        <v>0</v>
      </c>
      <c r="CK11" s="1482">
        <f t="shared" ca="1" si="17"/>
        <v>0</v>
      </c>
      <c r="CL11" s="1482">
        <f t="shared" ca="1" si="17"/>
        <v>0</v>
      </c>
      <c r="CM11" s="1482">
        <f t="shared" ca="1" si="17"/>
        <v>0</v>
      </c>
      <c r="CN11" s="1482">
        <f t="shared" ca="1" si="17"/>
        <v>0</v>
      </c>
      <c r="CO11" s="1482">
        <f t="shared" ca="1" si="17"/>
        <v>0</v>
      </c>
      <c r="CP11" s="1482">
        <f t="shared" ca="1" si="17"/>
        <v>0</v>
      </c>
      <c r="CQ11" s="1482">
        <f t="shared" ca="1" si="17"/>
        <v>0</v>
      </c>
      <c r="CR11" s="1482">
        <f t="shared" ca="1" si="17"/>
        <v>0</v>
      </c>
      <c r="CS11" s="1482">
        <f t="shared" ca="1" si="17"/>
        <v>0</v>
      </c>
      <c r="CT11" s="1482">
        <f t="shared" ca="1" si="17"/>
        <v>0</v>
      </c>
      <c r="CU11" s="1482">
        <f t="shared" ca="1" si="17"/>
        <v>0</v>
      </c>
      <c r="CV11" s="1482">
        <f t="shared" ca="1" si="17"/>
        <v>0</v>
      </c>
      <c r="CW11" s="1482">
        <f t="shared" ca="1" si="17"/>
        <v>0</v>
      </c>
      <c r="CX11" s="1482">
        <f t="shared" ca="1" si="17"/>
        <v>0</v>
      </c>
      <c r="CY11" s="1482">
        <f t="shared" ca="1" si="17"/>
        <v>0</v>
      </c>
      <c r="CZ11" s="1482">
        <f t="shared" ca="1" si="17"/>
        <v>0</v>
      </c>
      <c r="DA11" s="1482">
        <f t="shared" ca="1" si="17"/>
        <v>0</v>
      </c>
      <c r="DB11" s="1482">
        <f t="shared" ca="1" si="17"/>
        <v>0</v>
      </c>
      <c r="DC11" s="1482">
        <f t="shared" ca="1" si="17"/>
        <v>0</v>
      </c>
      <c r="DD11" s="1482">
        <f t="shared" ca="1" si="17"/>
        <v>0</v>
      </c>
      <c r="DE11" s="1482">
        <f t="shared" ca="1" si="17"/>
        <v>0</v>
      </c>
      <c r="DF11" s="1482">
        <f t="shared" ca="1" si="17"/>
        <v>0</v>
      </c>
      <c r="DH11" s="838"/>
    </row>
    <row r="12" spans="1:112" s="743" customFormat="1" ht="10.5" hidden="1" customHeight="1" outlineLevel="2">
      <c r="A12" s="1480"/>
      <c r="B12" s="1480"/>
      <c r="C12" s="746" t="s">
        <v>945</v>
      </c>
      <c r="D12" s="1480" t="str">
        <f>INDEX(Modules[Module], MATCH($C12, Modules[Code], 0))</f>
        <v>Commercial heating and cooling</v>
      </c>
      <c r="E12" s="1006"/>
      <c r="G12" s="1017">
        <f t="shared" ca="1" si="0"/>
        <v>137.51504962853838</v>
      </c>
      <c r="H12" s="1017">
        <f t="shared" ca="1" si="0"/>
        <v>0</v>
      </c>
      <c r="I12" s="1017">
        <f t="shared" ca="1" si="0"/>
        <v>0</v>
      </c>
      <c r="J12" s="1017">
        <f t="shared" ca="1" si="0"/>
        <v>0</v>
      </c>
      <c r="K12" s="1017">
        <f t="shared" ca="1" si="0"/>
        <v>0</v>
      </c>
      <c r="L12" s="1017">
        <f t="shared" ca="1" si="0"/>
        <v>0</v>
      </c>
      <c r="M12" s="1017">
        <f t="shared" ca="1" si="0"/>
        <v>0</v>
      </c>
      <c r="N12" s="1017">
        <f t="shared" ca="1" si="0"/>
        <v>0</v>
      </c>
      <c r="O12" s="1017">
        <f t="shared" ca="1" si="0"/>
        <v>0</v>
      </c>
      <c r="P12" s="1017">
        <f t="shared" ca="1" si="0"/>
        <v>0</v>
      </c>
      <c r="Q12" s="1019">
        <f t="shared" ca="1" si="1"/>
        <v>137.51504962853838</v>
      </c>
      <c r="S12" s="1026">
        <f t="shared" ca="1" si="2"/>
        <v>-32.073626856533636</v>
      </c>
      <c r="T12" s="1026">
        <f t="shared" ca="1" si="2"/>
        <v>0</v>
      </c>
      <c r="U12" s="1026">
        <f t="shared" ca="1" si="2"/>
        <v>0</v>
      </c>
      <c r="V12" s="1026">
        <f t="shared" ca="1" si="2"/>
        <v>-5.0059061804995713</v>
      </c>
      <c r="W12" s="1026">
        <f t="shared" ca="1" si="2"/>
        <v>-100.43551659150518</v>
      </c>
      <c r="X12" s="1026">
        <f t="shared" ref="X12:Z13" ca="1" si="18">IFERROR(INDEX(INDIRECT($C12&amp;".Outputs["&amp;this.Year&amp;"]"), MATCH(X$5, INDIRECT($C12&amp;".Outputs[Vector]"), 0)), 0)</f>
        <v>0</v>
      </c>
      <c r="Y12" s="1026">
        <f t="shared" ca="1" si="18"/>
        <v>0</v>
      </c>
      <c r="Z12" s="1026">
        <f t="shared" ca="1" si="18"/>
        <v>0</v>
      </c>
      <c r="AA12" s="1026">
        <f t="shared" ca="1" si="2"/>
        <v>0</v>
      </c>
      <c r="AB12" s="1026">
        <f t="shared" ca="1" si="2"/>
        <v>0</v>
      </c>
      <c r="AC12" s="1026">
        <f t="shared" ca="1" si="2"/>
        <v>0</v>
      </c>
      <c r="AD12" s="1026">
        <f t="shared" ca="1" si="2"/>
        <v>0</v>
      </c>
      <c r="AE12" s="1026">
        <f t="shared" ca="1" si="2"/>
        <v>0</v>
      </c>
      <c r="AF12" s="1026">
        <f t="shared" ca="1" si="2"/>
        <v>0</v>
      </c>
      <c r="AG12" s="1026">
        <f t="shared" ca="1" si="2"/>
        <v>0</v>
      </c>
      <c r="AH12" s="1026">
        <f t="shared" ca="1" si="2"/>
        <v>0</v>
      </c>
      <c r="AI12" s="1026">
        <f t="shared" ca="1" si="2"/>
        <v>0</v>
      </c>
      <c r="AJ12" s="1026">
        <f t="shared" ca="1" si="2"/>
        <v>0</v>
      </c>
      <c r="AK12" s="1027">
        <f t="shared" ca="1" si="4"/>
        <v>-137.51504962853838</v>
      </c>
      <c r="AM12" s="1038">
        <f t="shared" ref="AM12:AU13" ca="1" si="19">IFERROR(INDEX(INDIRECT($C12&amp;".Outputs["&amp;this.Year&amp;"]"), MATCH(AM$5, INDIRECT($C12&amp;".Outputs[Vector]"), 0)), 0)</f>
        <v>0</v>
      </c>
      <c r="AN12" s="1038">
        <f t="shared" ca="1" si="19"/>
        <v>0</v>
      </c>
      <c r="AO12" s="1038">
        <f t="shared" ca="1" si="19"/>
        <v>0</v>
      </c>
      <c r="AP12" s="1038">
        <f t="shared" ca="1" si="19"/>
        <v>0</v>
      </c>
      <c r="AQ12" s="1038">
        <f t="shared" ca="1" si="19"/>
        <v>0</v>
      </c>
      <c r="AR12" s="1038">
        <f t="shared" ca="1" si="19"/>
        <v>0</v>
      </c>
      <c r="AS12" s="1038">
        <f t="shared" ca="1" si="19"/>
        <v>0</v>
      </c>
      <c r="AT12" s="1038">
        <f t="shared" ca="1" si="19"/>
        <v>0</v>
      </c>
      <c r="AU12" s="1038">
        <f t="shared" ca="1" si="19"/>
        <v>0</v>
      </c>
      <c r="AV12" s="1038">
        <f t="shared" ca="1" si="2"/>
        <v>0</v>
      </c>
      <c r="AW12" s="1038">
        <f t="shared" ca="1" si="2"/>
        <v>0</v>
      </c>
      <c r="AX12" s="1038">
        <f t="shared" ca="1" si="2"/>
        <v>0</v>
      </c>
      <c r="AY12" s="1038">
        <f t="shared" ca="1" si="2"/>
        <v>0</v>
      </c>
      <c r="AZ12" s="1038">
        <f t="shared" ca="1" si="2"/>
        <v>0</v>
      </c>
      <c r="BA12" s="1038">
        <f t="shared" ca="1" si="2"/>
        <v>0</v>
      </c>
      <c r="BB12" s="1038">
        <f t="shared" ca="1" si="2"/>
        <v>0</v>
      </c>
      <c r="BC12" s="1038">
        <f t="shared" ca="1" si="2"/>
        <v>0</v>
      </c>
      <c r="BD12" s="1038">
        <f t="shared" ca="1" si="2"/>
        <v>0</v>
      </c>
      <c r="BE12" s="1038">
        <f t="shared" ca="1" si="2"/>
        <v>0</v>
      </c>
      <c r="BF12" s="977">
        <f t="shared" ca="1" si="6"/>
        <v>0</v>
      </c>
      <c r="BH12" s="1032">
        <f t="shared" ca="1" si="7"/>
        <v>0</v>
      </c>
      <c r="BI12" s="1032">
        <f t="shared" ca="1" si="7"/>
        <v>0</v>
      </c>
      <c r="BJ12" s="1034">
        <f t="shared" ca="1" si="8"/>
        <v>0</v>
      </c>
      <c r="BL12" s="524">
        <f t="shared" ca="1" si="9"/>
        <v>0</v>
      </c>
      <c r="BM12" s="524"/>
      <c r="BN12" s="840"/>
      <c r="BO12" s="1481">
        <f t="shared" ref="BO12:BX13" ca="1" si="20">IFERROR(SUMIFS(INDIRECT($C12&amp;".Emissions["&amp;this.Year&amp;"]"), INDIRECT($C12&amp;".Emissions[GHG]"), BO$6, INDIRECT($C12&amp;".Emissions[IPCC Sector]"), BO$5),0)</f>
        <v>19.731611597961841</v>
      </c>
      <c r="BP12" s="1482">
        <f t="shared" ca="1" si="20"/>
        <v>3.8601249959483386E-2</v>
      </c>
      <c r="BQ12" s="1482">
        <f t="shared" ca="1" si="20"/>
        <v>6.2358354025685014E-2</v>
      </c>
      <c r="BR12" s="1482">
        <f t="shared" ca="1" si="20"/>
        <v>0</v>
      </c>
      <c r="BS12" s="1482">
        <f t="shared" ca="1" si="20"/>
        <v>0</v>
      </c>
      <c r="BT12" s="1482">
        <f t="shared" ca="1" si="20"/>
        <v>0</v>
      </c>
      <c r="BU12" s="1482">
        <f t="shared" ca="1" si="20"/>
        <v>0</v>
      </c>
      <c r="BV12" s="1482">
        <f t="shared" ca="1" si="20"/>
        <v>0</v>
      </c>
      <c r="BW12" s="1482">
        <f t="shared" ca="1" si="20"/>
        <v>0</v>
      </c>
      <c r="BX12" s="1482">
        <f t="shared" ca="1" si="20"/>
        <v>0</v>
      </c>
      <c r="BY12" s="1482">
        <f t="shared" ref="BY12:CH13" ca="1" si="21">IFERROR(SUMIFS(INDIRECT($C12&amp;".Emissions["&amp;this.Year&amp;"]"), INDIRECT($C12&amp;".Emissions[GHG]"), BY$6, INDIRECT($C12&amp;".Emissions[IPCC Sector]"), BY$5),0)</f>
        <v>0</v>
      </c>
      <c r="BZ12" s="1482">
        <f t="shared" ca="1" si="21"/>
        <v>0</v>
      </c>
      <c r="CA12" s="1482">
        <f t="shared" ca="1" si="21"/>
        <v>0</v>
      </c>
      <c r="CB12" s="1482">
        <f t="shared" ca="1" si="21"/>
        <v>0</v>
      </c>
      <c r="CC12" s="1482">
        <f t="shared" ca="1" si="21"/>
        <v>0</v>
      </c>
      <c r="CD12" s="1482">
        <f t="shared" ca="1" si="21"/>
        <v>0</v>
      </c>
      <c r="CE12" s="1482">
        <f t="shared" ca="1" si="21"/>
        <v>0</v>
      </c>
      <c r="CF12" s="1482">
        <f t="shared" ca="1" si="21"/>
        <v>0</v>
      </c>
      <c r="CG12" s="1482">
        <f t="shared" ca="1" si="21"/>
        <v>0</v>
      </c>
      <c r="CH12" s="1482">
        <f t="shared" ca="1" si="21"/>
        <v>0</v>
      </c>
      <c r="CI12" s="1482">
        <f t="shared" ref="CI12:CR13" ca="1" si="22">IFERROR(SUMIFS(INDIRECT($C12&amp;".Emissions["&amp;this.Year&amp;"]"), INDIRECT($C12&amp;".Emissions[GHG]"), CI$6, INDIRECT($C12&amp;".Emissions[IPCC Sector]"), CI$5),0)</f>
        <v>0</v>
      </c>
      <c r="CJ12" s="1482">
        <f t="shared" ca="1" si="22"/>
        <v>0</v>
      </c>
      <c r="CK12" s="1482">
        <f t="shared" ca="1" si="22"/>
        <v>0</v>
      </c>
      <c r="CL12" s="1482">
        <f t="shared" ca="1" si="22"/>
        <v>0</v>
      </c>
      <c r="CM12" s="1482">
        <f t="shared" ca="1" si="22"/>
        <v>0</v>
      </c>
      <c r="CN12" s="1482">
        <f t="shared" ca="1" si="22"/>
        <v>0</v>
      </c>
      <c r="CO12" s="1482">
        <f t="shared" ca="1" si="22"/>
        <v>0</v>
      </c>
      <c r="CP12" s="1482">
        <f t="shared" ca="1" si="22"/>
        <v>0</v>
      </c>
      <c r="CQ12" s="1482">
        <f t="shared" ca="1" si="22"/>
        <v>0</v>
      </c>
      <c r="CR12" s="1482">
        <f t="shared" ca="1" si="22"/>
        <v>0</v>
      </c>
      <c r="CS12" s="1482">
        <f t="shared" ref="CS12:DF13" ca="1" si="23">IFERROR(SUMIFS(INDIRECT($C12&amp;".Emissions["&amp;this.Year&amp;"]"), INDIRECT($C12&amp;".Emissions[GHG]"), CS$6, INDIRECT($C12&amp;".Emissions[IPCC Sector]"), CS$5),0)</f>
        <v>0</v>
      </c>
      <c r="CT12" s="1482">
        <f t="shared" ca="1" si="23"/>
        <v>0</v>
      </c>
      <c r="CU12" s="1482">
        <f t="shared" ca="1" si="23"/>
        <v>0</v>
      </c>
      <c r="CV12" s="1482">
        <f t="shared" ca="1" si="23"/>
        <v>0</v>
      </c>
      <c r="CW12" s="1482">
        <f t="shared" ca="1" si="23"/>
        <v>0</v>
      </c>
      <c r="CX12" s="1482">
        <f t="shared" ca="1" si="23"/>
        <v>0</v>
      </c>
      <c r="CY12" s="1482">
        <f t="shared" ca="1" si="23"/>
        <v>0</v>
      </c>
      <c r="CZ12" s="1482">
        <f t="shared" ca="1" si="23"/>
        <v>0</v>
      </c>
      <c r="DA12" s="1482">
        <f t="shared" ca="1" si="23"/>
        <v>0</v>
      </c>
      <c r="DB12" s="1482">
        <f t="shared" ca="1" si="23"/>
        <v>0</v>
      </c>
      <c r="DC12" s="1482">
        <f t="shared" ca="1" si="23"/>
        <v>0</v>
      </c>
      <c r="DD12" s="1482">
        <f t="shared" ca="1" si="23"/>
        <v>0</v>
      </c>
      <c r="DE12" s="1482">
        <f t="shared" ca="1" si="23"/>
        <v>0</v>
      </c>
      <c r="DF12" s="1482">
        <f t="shared" ca="1" si="23"/>
        <v>0</v>
      </c>
      <c r="DH12" s="838"/>
    </row>
    <row r="13" spans="1:112" s="743" customFormat="1" ht="10.5" hidden="1" customHeight="1" outlineLevel="2">
      <c r="A13" s="1483"/>
      <c r="B13" s="1483"/>
      <c r="C13" s="1009" t="s">
        <v>946</v>
      </c>
      <c r="D13" s="1483" t="str">
        <f>INDEX(Modules[Module], MATCH($C13, Modules[Code], 0))</f>
        <v>Commercial hot water [UNUSED - See IX.c]</v>
      </c>
      <c r="E13" s="1006"/>
      <c r="G13" s="1018">
        <f t="shared" ca="1" si="0"/>
        <v>0</v>
      </c>
      <c r="H13" s="1018">
        <f t="shared" ca="1" si="0"/>
        <v>0</v>
      </c>
      <c r="I13" s="1018">
        <f t="shared" ca="1" si="0"/>
        <v>0</v>
      </c>
      <c r="J13" s="1018">
        <f t="shared" ca="1" si="0"/>
        <v>0</v>
      </c>
      <c r="K13" s="1018">
        <f t="shared" ca="1" si="0"/>
        <v>0</v>
      </c>
      <c r="L13" s="1018">
        <f t="shared" ca="1" si="0"/>
        <v>0</v>
      </c>
      <c r="M13" s="1018">
        <f t="shared" ca="1" si="0"/>
        <v>0</v>
      </c>
      <c r="N13" s="1018">
        <f t="shared" ca="1" si="0"/>
        <v>0</v>
      </c>
      <c r="O13" s="1018">
        <f t="shared" ca="1" si="0"/>
        <v>0</v>
      </c>
      <c r="P13" s="1018">
        <f t="shared" ca="1" si="0"/>
        <v>0</v>
      </c>
      <c r="Q13" s="1024">
        <f t="shared" ca="1" si="1"/>
        <v>0</v>
      </c>
      <c r="S13" s="1028">
        <f t="shared" ca="1" si="2"/>
        <v>0</v>
      </c>
      <c r="T13" s="1028">
        <f t="shared" ca="1" si="2"/>
        <v>0</v>
      </c>
      <c r="U13" s="1028">
        <f t="shared" ca="1" si="2"/>
        <v>0</v>
      </c>
      <c r="V13" s="1028">
        <f t="shared" ca="1" si="2"/>
        <v>0</v>
      </c>
      <c r="W13" s="1028">
        <f t="shared" ca="1" si="2"/>
        <v>0</v>
      </c>
      <c r="X13" s="1028">
        <f t="shared" ca="1" si="18"/>
        <v>0</v>
      </c>
      <c r="Y13" s="1028">
        <f t="shared" ca="1" si="18"/>
        <v>0</v>
      </c>
      <c r="Z13" s="1028">
        <f t="shared" ca="1" si="18"/>
        <v>0</v>
      </c>
      <c r="AA13" s="1028">
        <f t="shared" ca="1" si="2"/>
        <v>0</v>
      </c>
      <c r="AB13" s="1028">
        <f t="shared" ca="1" si="2"/>
        <v>0</v>
      </c>
      <c r="AC13" s="1028">
        <f t="shared" ca="1" si="2"/>
        <v>0</v>
      </c>
      <c r="AD13" s="1028">
        <f t="shared" ca="1" si="2"/>
        <v>0</v>
      </c>
      <c r="AE13" s="1028">
        <f t="shared" ca="1" si="2"/>
        <v>0</v>
      </c>
      <c r="AF13" s="1028">
        <f t="shared" ca="1" si="2"/>
        <v>0</v>
      </c>
      <c r="AG13" s="1028">
        <f t="shared" ca="1" si="2"/>
        <v>0</v>
      </c>
      <c r="AH13" s="1028">
        <f t="shared" ca="1" si="2"/>
        <v>0</v>
      </c>
      <c r="AI13" s="1028">
        <f t="shared" ca="1" si="2"/>
        <v>0</v>
      </c>
      <c r="AJ13" s="1028">
        <f t="shared" ca="1" si="2"/>
        <v>0</v>
      </c>
      <c r="AK13" s="1029">
        <f t="shared" ca="1" si="4"/>
        <v>0</v>
      </c>
      <c r="AM13" s="1039">
        <f t="shared" ca="1" si="19"/>
        <v>0</v>
      </c>
      <c r="AN13" s="1039">
        <f t="shared" ca="1" si="19"/>
        <v>0</v>
      </c>
      <c r="AO13" s="1039">
        <f t="shared" ca="1" si="19"/>
        <v>0</v>
      </c>
      <c r="AP13" s="1039">
        <f t="shared" ca="1" si="19"/>
        <v>0</v>
      </c>
      <c r="AQ13" s="1039">
        <f t="shared" ca="1" si="19"/>
        <v>0</v>
      </c>
      <c r="AR13" s="1039">
        <f t="shared" ca="1" si="19"/>
        <v>0</v>
      </c>
      <c r="AS13" s="1039">
        <f t="shared" ca="1" si="19"/>
        <v>0</v>
      </c>
      <c r="AT13" s="1039">
        <f t="shared" ca="1" si="19"/>
        <v>0</v>
      </c>
      <c r="AU13" s="1039">
        <f t="shared" ca="1" si="19"/>
        <v>0</v>
      </c>
      <c r="AV13" s="1039">
        <f t="shared" ca="1" si="2"/>
        <v>0</v>
      </c>
      <c r="AW13" s="1039">
        <f t="shared" ca="1" si="2"/>
        <v>0</v>
      </c>
      <c r="AX13" s="1039">
        <f t="shared" ca="1" si="2"/>
        <v>0</v>
      </c>
      <c r="AY13" s="1039">
        <f t="shared" ca="1" si="2"/>
        <v>0</v>
      </c>
      <c r="AZ13" s="1039">
        <f t="shared" ca="1" si="2"/>
        <v>0</v>
      </c>
      <c r="BA13" s="1039">
        <f t="shared" ca="1" si="2"/>
        <v>0</v>
      </c>
      <c r="BB13" s="1039">
        <f t="shared" ca="1" si="2"/>
        <v>0</v>
      </c>
      <c r="BC13" s="1039">
        <f t="shared" ca="1" si="2"/>
        <v>0</v>
      </c>
      <c r="BD13" s="1039">
        <f t="shared" ca="1" si="2"/>
        <v>0</v>
      </c>
      <c r="BE13" s="1039">
        <f t="shared" ca="1" si="2"/>
        <v>0</v>
      </c>
      <c r="BF13" s="1008">
        <f t="shared" ca="1" si="6"/>
        <v>0</v>
      </c>
      <c r="BH13" s="1033">
        <f t="shared" ca="1" si="7"/>
        <v>0</v>
      </c>
      <c r="BI13" s="1033">
        <f t="shared" ca="1" si="7"/>
        <v>0</v>
      </c>
      <c r="BJ13" s="1044">
        <f t="shared" ca="1" si="8"/>
        <v>0</v>
      </c>
      <c r="BL13" s="1007">
        <f t="shared" ca="1" si="9"/>
        <v>0</v>
      </c>
      <c r="BM13" s="1007"/>
      <c r="BN13" s="840"/>
      <c r="BO13" s="1481">
        <f t="shared" ca="1" si="20"/>
        <v>0</v>
      </c>
      <c r="BP13" s="1482">
        <f t="shared" ca="1" si="20"/>
        <v>0</v>
      </c>
      <c r="BQ13" s="1482">
        <f t="shared" ca="1" si="20"/>
        <v>0</v>
      </c>
      <c r="BR13" s="1482">
        <f t="shared" ca="1" si="20"/>
        <v>0</v>
      </c>
      <c r="BS13" s="1482">
        <f t="shared" ca="1" si="20"/>
        <v>0</v>
      </c>
      <c r="BT13" s="1482">
        <f t="shared" ca="1" si="20"/>
        <v>0</v>
      </c>
      <c r="BU13" s="1482">
        <f t="shared" ca="1" si="20"/>
        <v>0</v>
      </c>
      <c r="BV13" s="1482">
        <f t="shared" ca="1" si="20"/>
        <v>0</v>
      </c>
      <c r="BW13" s="1482">
        <f t="shared" ca="1" si="20"/>
        <v>0</v>
      </c>
      <c r="BX13" s="1482">
        <f t="shared" ca="1" si="20"/>
        <v>0</v>
      </c>
      <c r="BY13" s="1482">
        <f t="shared" ca="1" si="21"/>
        <v>0</v>
      </c>
      <c r="BZ13" s="1482">
        <f t="shared" ca="1" si="21"/>
        <v>0</v>
      </c>
      <c r="CA13" s="1482">
        <f t="shared" ca="1" si="21"/>
        <v>0</v>
      </c>
      <c r="CB13" s="1482">
        <f t="shared" ca="1" si="21"/>
        <v>0</v>
      </c>
      <c r="CC13" s="1482">
        <f t="shared" ca="1" si="21"/>
        <v>0</v>
      </c>
      <c r="CD13" s="1482">
        <f t="shared" ca="1" si="21"/>
        <v>0</v>
      </c>
      <c r="CE13" s="1482">
        <f t="shared" ca="1" si="21"/>
        <v>0</v>
      </c>
      <c r="CF13" s="1482">
        <f t="shared" ca="1" si="21"/>
        <v>0</v>
      </c>
      <c r="CG13" s="1482">
        <f t="shared" ca="1" si="21"/>
        <v>0</v>
      </c>
      <c r="CH13" s="1482">
        <f t="shared" ca="1" si="21"/>
        <v>0</v>
      </c>
      <c r="CI13" s="1482">
        <f t="shared" ca="1" si="22"/>
        <v>0</v>
      </c>
      <c r="CJ13" s="1482">
        <f t="shared" ca="1" si="22"/>
        <v>0</v>
      </c>
      <c r="CK13" s="1482">
        <f t="shared" ca="1" si="22"/>
        <v>0</v>
      </c>
      <c r="CL13" s="1482">
        <f t="shared" ca="1" si="22"/>
        <v>0</v>
      </c>
      <c r="CM13" s="1482">
        <f t="shared" ca="1" si="22"/>
        <v>0</v>
      </c>
      <c r="CN13" s="1482">
        <f t="shared" ca="1" si="22"/>
        <v>0</v>
      </c>
      <c r="CO13" s="1482">
        <f t="shared" ca="1" si="22"/>
        <v>0</v>
      </c>
      <c r="CP13" s="1482">
        <f t="shared" ca="1" si="22"/>
        <v>0</v>
      </c>
      <c r="CQ13" s="1482">
        <f t="shared" ca="1" si="22"/>
        <v>0</v>
      </c>
      <c r="CR13" s="1482">
        <f t="shared" ca="1" si="22"/>
        <v>0</v>
      </c>
      <c r="CS13" s="1482">
        <f t="shared" ca="1" si="23"/>
        <v>0</v>
      </c>
      <c r="CT13" s="1482">
        <f t="shared" ca="1" si="23"/>
        <v>0</v>
      </c>
      <c r="CU13" s="1482">
        <f t="shared" ca="1" si="23"/>
        <v>0</v>
      </c>
      <c r="CV13" s="1482">
        <f t="shared" ca="1" si="23"/>
        <v>0</v>
      </c>
      <c r="CW13" s="1482">
        <f t="shared" ca="1" si="23"/>
        <v>0</v>
      </c>
      <c r="CX13" s="1482">
        <f t="shared" ca="1" si="23"/>
        <v>0</v>
      </c>
      <c r="CY13" s="1482">
        <f t="shared" ca="1" si="23"/>
        <v>0</v>
      </c>
      <c r="CZ13" s="1482">
        <f t="shared" ca="1" si="23"/>
        <v>0</v>
      </c>
      <c r="DA13" s="1482">
        <f t="shared" ca="1" si="23"/>
        <v>0</v>
      </c>
      <c r="DB13" s="1482">
        <f t="shared" ca="1" si="23"/>
        <v>0</v>
      </c>
      <c r="DC13" s="1482">
        <f t="shared" ca="1" si="23"/>
        <v>0</v>
      </c>
      <c r="DD13" s="1482">
        <f t="shared" ca="1" si="23"/>
        <v>0</v>
      </c>
      <c r="DE13" s="1482">
        <f t="shared" ca="1" si="23"/>
        <v>0</v>
      </c>
      <c r="DF13" s="1482">
        <f t="shared" ca="1" si="23"/>
        <v>0</v>
      </c>
      <c r="DH13" s="838"/>
    </row>
    <row r="14" spans="1:112" s="743" customFormat="1" ht="12.75" hidden="1" customHeight="1" outlineLevel="1">
      <c r="A14" s="1484"/>
      <c r="B14" s="1484"/>
      <c r="C14" s="746"/>
      <c r="D14" s="1010" t="s">
        <v>948</v>
      </c>
      <c r="E14" s="1010"/>
      <c r="G14" s="1020">
        <f ca="1">SUM(G12:G13)</f>
        <v>137.51504962853838</v>
      </c>
      <c r="H14" s="1020">
        <f t="shared" ref="H14:P14" ca="1" si="24">SUM(H12:H13)</f>
        <v>0</v>
      </c>
      <c r="I14" s="1020">
        <f t="shared" ca="1" si="24"/>
        <v>0</v>
      </c>
      <c r="J14" s="1020">
        <f t="shared" ca="1" si="24"/>
        <v>0</v>
      </c>
      <c r="K14" s="1020">
        <f t="shared" ca="1" si="24"/>
        <v>0</v>
      </c>
      <c r="L14" s="1020">
        <f t="shared" ca="1" si="24"/>
        <v>0</v>
      </c>
      <c r="M14" s="1020">
        <f t="shared" ca="1" si="24"/>
        <v>0</v>
      </c>
      <c r="N14" s="1020">
        <f t="shared" ca="1" si="24"/>
        <v>0</v>
      </c>
      <c r="O14" s="1020">
        <f t="shared" ca="1" si="24"/>
        <v>0</v>
      </c>
      <c r="P14" s="1020">
        <f t="shared" ca="1" si="24"/>
        <v>0</v>
      </c>
      <c r="Q14" s="1020">
        <f t="shared" ca="1" si="1"/>
        <v>137.51504962853838</v>
      </c>
      <c r="S14" s="1030">
        <f t="shared" ref="S14:AJ14" ca="1" si="25">SUM(S12:S13)</f>
        <v>-32.073626856533636</v>
      </c>
      <c r="T14" s="1030">
        <f t="shared" ca="1" si="25"/>
        <v>0</v>
      </c>
      <c r="U14" s="1030">
        <f t="shared" ca="1" si="25"/>
        <v>0</v>
      </c>
      <c r="V14" s="1030">
        <f t="shared" ca="1" si="25"/>
        <v>-5.0059061804995713</v>
      </c>
      <c r="W14" s="1030">
        <f t="shared" ca="1" si="25"/>
        <v>-100.43551659150518</v>
      </c>
      <c r="X14" s="1030">
        <f ca="1">SUM(X12:X13)</f>
        <v>0</v>
      </c>
      <c r="Y14" s="1030">
        <f ca="1">SUM(Y12:Y13)</f>
        <v>0</v>
      </c>
      <c r="Z14" s="1030">
        <f ca="1">SUM(Z12:Z13)</f>
        <v>0</v>
      </c>
      <c r="AA14" s="1030">
        <f t="shared" ca="1" si="25"/>
        <v>0</v>
      </c>
      <c r="AB14" s="1030">
        <f t="shared" ca="1" si="25"/>
        <v>0</v>
      </c>
      <c r="AC14" s="1030">
        <f t="shared" ca="1" si="25"/>
        <v>0</v>
      </c>
      <c r="AD14" s="1030">
        <f ca="1">SUM(AD12:AD13)</f>
        <v>0</v>
      </c>
      <c r="AE14" s="1030">
        <f ca="1">SUM(AE12:AE13)</f>
        <v>0</v>
      </c>
      <c r="AF14" s="1030">
        <f t="shared" ca="1" si="25"/>
        <v>0</v>
      </c>
      <c r="AG14" s="1030">
        <f ca="1">SUM(AG12:AG13)</f>
        <v>0</v>
      </c>
      <c r="AH14" s="1030">
        <f ca="1">SUM(AH12:AH13)</f>
        <v>0</v>
      </c>
      <c r="AI14" s="1030">
        <f ca="1">SUM(AI12:AI13)</f>
        <v>0</v>
      </c>
      <c r="AJ14" s="1030">
        <f t="shared" ca="1" si="25"/>
        <v>0</v>
      </c>
      <c r="AK14" s="1030">
        <f t="shared" ca="1" si="4"/>
        <v>-137.51504962853838</v>
      </c>
      <c r="AM14" s="1041">
        <f t="shared" ref="AM14:AS14" ca="1" si="26">SUM(AM12:AM13)</f>
        <v>0</v>
      </c>
      <c r="AN14" s="1041">
        <f t="shared" ca="1" si="26"/>
        <v>0</v>
      </c>
      <c r="AO14" s="1041">
        <f t="shared" ca="1" si="26"/>
        <v>0</v>
      </c>
      <c r="AP14" s="1041">
        <f t="shared" ca="1" si="26"/>
        <v>0</v>
      </c>
      <c r="AQ14" s="1041">
        <f t="shared" ca="1" si="26"/>
        <v>0</v>
      </c>
      <c r="AR14" s="1041">
        <f t="shared" ca="1" si="26"/>
        <v>0</v>
      </c>
      <c r="AS14" s="1041">
        <f t="shared" ca="1" si="26"/>
        <v>0</v>
      </c>
      <c r="AT14" s="1041">
        <f t="shared" ref="AT14:BE14" ca="1" si="27">SUM(AT12:AT13)</f>
        <v>0</v>
      </c>
      <c r="AU14" s="1041">
        <f t="shared" ca="1" si="27"/>
        <v>0</v>
      </c>
      <c r="AV14" s="1041">
        <f t="shared" ca="1" si="27"/>
        <v>0</v>
      </c>
      <c r="AW14" s="1041">
        <f t="shared" ca="1" si="27"/>
        <v>0</v>
      </c>
      <c r="AX14" s="1041">
        <f t="shared" ca="1" si="27"/>
        <v>0</v>
      </c>
      <c r="AY14" s="1041">
        <f t="shared" ca="1" si="27"/>
        <v>0</v>
      </c>
      <c r="AZ14" s="1041">
        <f t="shared" ca="1" si="27"/>
        <v>0</v>
      </c>
      <c r="BA14" s="1041">
        <f t="shared" ca="1" si="27"/>
        <v>0</v>
      </c>
      <c r="BB14" s="1041">
        <f t="shared" ca="1" si="27"/>
        <v>0</v>
      </c>
      <c r="BC14" s="1041">
        <f t="shared" ca="1" si="27"/>
        <v>0</v>
      </c>
      <c r="BD14" s="1041">
        <f t="shared" ca="1" si="27"/>
        <v>0</v>
      </c>
      <c r="BE14" s="1041">
        <f t="shared" ca="1" si="27"/>
        <v>0</v>
      </c>
      <c r="BF14" s="1012">
        <f t="shared" ca="1" si="6"/>
        <v>0</v>
      </c>
      <c r="BH14" s="1035">
        <f ca="1">SUM(BH12:BH13)</f>
        <v>0</v>
      </c>
      <c r="BI14" s="1035">
        <f ca="1">SUM(BI12:BI13)</f>
        <v>0</v>
      </c>
      <c r="BJ14" s="1035">
        <f t="shared" ca="1" si="8"/>
        <v>0</v>
      </c>
      <c r="BL14" s="814">
        <f t="shared" ca="1" si="9"/>
        <v>0</v>
      </c>
      <c r="BM14" s="814"/>
      <c r="BN14" s="840"/>
      <c r="BO14" s="1485">
        <f t="shared" ref="BO14:DF14" ca="1" si="28">SUM(BO12:BO13)</f>
        <v>19.731611597961841</v>
      </c>
      <c r="BP14" s="1486">
        <f t="shared" ca="1" si="28"/>
        <v>3.8601249959483386E-2</v>
      </c>
      <c r="BQ14" s="1486">
        <f t="shared" ca="1" si="28"/>
        <v>6.2358354025685014E-2</v>
      </c>
      <c r="BR14" s="1486">
        <f t="shared" ca="1" si="28"/>
        <v>0</v>
      </c>
      <c r="BS14" s="1486">
        <f t="shared" ca="1" si="28"/>
        <v>0</v>
      </c>
      <c r="BT14" s="1486">
        <f t="shared" ca="1" si="28"/>
        <v>0</v>
      </c>
      <c r="BU14" s="1486">
        <f t="shared" ca="1" si="28"/>
        <v>0</v>
      </c>
      <c r="BV14" s="1486">
        <f t="shared" ca="1" si="28"/>
        <v>0</v>
      </c>
      <c r="BW14" s="1486">
        <f t="shared" ca="1" si="28"/>
        <v>0</v>
      </c>
      <c r="BX14" s="1486">
        <f t="shared" ca="1" si="28"/>
        <v>0</v>
      </c>
      <c r="BY14" s="1486">
        <f t="shared" ca="1" si="28"/>
        <v>0</v>
      </c>
      <c r="BZ14" s="1486">
        <f t="shared" ca="1" si="28"/>
        <v>0</v>
      </c>
      <c r="CA14" s="1486">
        <f t="shared" ca="1" si="28"/>
        <v>0</v>
      </c>
      <c r="CB14" s="1486">
        <f t="shared" ca="1" si="28"/>
        <v>0</v>
      </c>
      <c r="CC14" s="1486">
        <f t="shared" ca="1" si="28"/>
        <v>0</v>
      </c>
      <c r="CD14" s="1486">
        <f t="shared" ca="1" si="28"/>
        <v>0</v>
      </c>
      <c r="CE14" s="1486">
        <f t="shared" ca="1" si="28"/>
        <v>0</v>
      </c>
      <c r="CF14" s="1486">
        <f t="shared" ca="1" si="28"/>
        <v>0</v>
      </c>
      <c r="CG14" s="1486">
        <f t="shared" ca="1" si="28"/>
        <v>0</v>
      </c>
      <c r="CH14" s="1486">
        <f t="shared" ca="1" si="28"/>
        <v>0</v>
      </c>
      <c r="CI14" s="1486">
        <f t="shared" ca="1" si="28"/>
        <v>0</v>
      </c>
      <c r="CJ14" s="1486">
        <f t="shared" ca="1" si="28"/>
        <v>0</v>
      </c>
      <c r="CK14" s="1486">
        <f t="shared" ca="1" si="28"/>
        <v>0</v>
      </c>
      <c r="CL14" s="1486">
        <f t="shared" ca="1" si="28"/>
        <v>0</v>
      </c>
      <c r="CM14" s="1486">
        <f t="shared" ca="1" si="28"/>
        <v>0</v>
      </c>
      <c r="CN14" s="1486">
        <f t="shared" ca="1" si="28"/>
        <v>0</v>
      </c>
      <c r="CO14" s="1486">
        <f t="shared" ca="1" si="28"/>
        <v>0</v>
      </c>
      <c r="CP14" s="1486">
        <f t="shared" ca="1" si="28"/>
        <v>0</v>
      </c>
      <c r="CQ14" s="1486">
        <f t="shared" ca="1" si="28"/>
        <v>0</v>
      </c>
      <c r="CR14" s="1486">
        <f t="shared" ca="1" si="28"/>
        <v>0</v>
      </c>
      <c r="CS14" s="1486">
        <f t="shared" ca="1" si="28"/>
        <v>0</v>
      </c>
      <c r="CT14" s="1486">
        <f t="shared" ca="1" si="28"/>
        <v>0</v>
      </c>
      <c r="CU14" s="1486">
        <f t="shared" ca="1" si="28"/>
        <v>0</v>
      </c>
      <c r="CV14" s="1486">
        <f t="shared" ca="1" si="28"/>
        <v>0</v>
      </c>
      <c r="CW14" s="1486">
        <f t="shared" ca="1" si="28"/>
        <v>0</v>
      </c>
      <c r="CX14" s="1486">
        <f t="shared" ca="1" si="28"/>
        <v>0</v>
      </c>
      <c r="CY14" s="1486">
        <f t="shared" ca="1" si="28"/>
        <v>0</v>
      </c>
      <c r="CZ14" s="1486">
        <f t="shared" ca="1" si="28"/>
        <v>0</v>
      </c>
      <c r="DA14" s="1486">
        <f t="shared" ca="1" si="28"/>
        <v>0</v>
      </c>
      <c r="DB14" s="1486">
        <f t="shared" ca="1" si="28"/>
        <v>0</v>
      </c>
      <c r="DC14" s="1486">
        <f t="shared" ca="1" si="28"/>
        <v>0</v>
      </c>
      <c r="DD14" s="1486">
        <f t="shared" ca="1" si="28"/>
        <v>0</v>
      </c>
      <c r="DE14" s="1486">
        <f t="shared" ca="1" si="28"/>
        <v>0</v>
      </c>
      <c r="DF14" s="1486">
        <f t="shared" ca="1" si="28"/>
        <v>0</v>
      </c>
      <c r="DH14" s="838"/>
    </row>
    <row r="15" spans="1:112" s="743" customFormat="1" ht="15.75" collapsed="1">
      <c r="A15" s="22"/>
      <c r="B15" s="753"/>
      <c r="C15" s="744" t="s">
        <v>676</v>
      </c>
      <c r="D15" s="517" t="str">
        <f>INDEX(Workstreams[Workstream], MATCH($C15, Workstreams[Code], 0))</f>
        <v>Heating</v>
      </c>
      <c r="E15" s="512"/>
      <c r="G15" s="1021">
        <f t="shared" ref="G15:P15" ca="1" si="29">G14+G11</f>
        <v>619.32554128308072</v>
      </c>
      <c r="H15" s="1021">
        <f t="shared" ca="1" si="29"/>
        <v>0</v>
      </c>
      <c r="I15" s="1021">
        <f t="shared" ca="1" si="29"/>
        <v>0</v>
      </c>
      <c r="J15" s="1021">
        <f t="shared" ca="1" si="29"/>
        <v>0</v>
      </c>
      <c r="K15" s="1021">
        <f t="shared" ca="1" si="29"/>
        <v>0</v>
      </c>
      <c r="L15" s="1021">
        <f t="shared" ca="1" si="29"/>
        <v>0</v>
      </c>
      <c r="M15" s="1021">
        <f t="shared" ca="1" si="29"/>
        <v>0</v>
      </c>
      <c r="N15" s="1021">
        <f t="shared" ca="1" si="29"/>
        <v>0</v>
      </c>
      <c r="O15" s="1021">
        <f t="shared" ca="1" si="29"/>
        <v>0</v>
      </c>
      <c r="P15" s="1021">
        <f t="shared" ca="1" si="29"/>
        <v>0</v>
      </c>
      <c r="Q15" s="1021">
        <f t="shared" ca="1" si="1"/>
        <v>619.32554128308072</v>
      </c>
      <c r="S15" s="970">
        <f t="shared" ref="S15:Z15" ca="1" si="30">S14+S11</f>
        <v>-75.751174992516525</v>
      </c>
      <c r="T15" s="970">
        <f t="shared" ca="1" si="30"/>
        <v>0</v>
      </c>
      <c r="U15" s="970">
        <f t="shared" ca="1" si="30"/>
        <v>-7.3289924411425558</v>
      </c>
      <c r="V15" s="970">
        <f t="shared" ca="1" si="30"/>
        <v>-11.579332390596502</v>
      </c>
      <c r="W15" s="970">
        <f t="shared" ca="1" si="30"/>
        <v>-524.66604145882525</v>
      </c>
      <c r="X15" s="970">
        <f t="shared" ca="1" si="30"/>
        <v>0</v>
      </c>
      <c r="Y15" s="970">
        <f t="shared" ca="1" si="30"/>
        <v>0</v>
      </c>
      <c r="Z15" s="970">
        <f t="shared" ca="1" si="30"/>
        <v>0</v>
      </c>
      <c r="AA15" s="970">
        <f t="shared" ref="AA15:AJ15" ca="1" si="31">AA14+AA11</f>
        <v>0</v>
      </c>
      <c r="AB15" s="970">
        <f t="shared" ca="1" si="31"/>
        <v>0</v>
      </c>
      <c r="AC15" s="970">
        <f t="shared" ca="1" si="31"/>
        <v>0</v>
      </c>
      <c r="AD15" s="970">
        <f ca="1">AD14+AD11</f>
        <v>0</v>
      </c>
      <c r="AE15" s="970">
        <f ca="1">AE14+AE11</f>
        <v>0</v>
      </c>
      <c r="AF15" s="970">
        <f t="shared" ca="1" si="31"/>
        <v>0</v>
      </c>
      <c r="AG15" s="970">
        <f ca="1">AG14+AG11</f>
        <v>0</v>
      </c>
      <c r="AH15" s="970">
        <f ca="1">AH14+AH11</f>
        <v>0</v>
      </c>
      <c r="AI15" s="970">
        <f ca="1">AI14+AI11</f>
        <v>0</v>
      </c>
      <c r="AJ15" s="970">
        <f t="shared" ca="1" si="31"/>
        <v>0</v>
      </c>
      <c r="AK15" s="970">
        <f t="shared" ca="1" si="4"/>
        <v>-619.32554128308084</v>
      </c>
      <c r="AM15" s="976">
        <f t="shared" ref="AM15:AS15" ca="1" si="32">AM14+AM11</f>
        <v>0</v>
      </c>
      <c r="AN15" s="976">
        <f t="shared" ca="1" si="32"/>
        <v>0</v>
      </c>
      <c r="AO15" s="976">
        <f t="shared" ca="1" si="32"/>
        <v>0</v>
      </c>
      <c r="AP15" s="976">
        <f t="shared" ca="1" si="32"/>
        <v>0</v>
      </c>
      <c r="AQ15" s="976">
        <f t="shared" ca="1" si="32"/>
        <v>0</v>
      </c>
      <c r="AR15" s="976">
        <f t="shared" ca="1" si="32"/>
        <v>0</v>
      </c>
      <c r="AS15" s="976">
        <f t="shared" ca="1" si="32"/>
        <v>0</v>
      </c>
      <c r="AT15" s="976">
        <f t="shared" ref="AT15:BE15" ca="1" si="33">AT14+AT11</f>
        <v>0</v>
      </c>
      <c r="AU15" s="976">
        <f t="shared" ca="1" si="33"/>
        <v>0</v>
      </c>
      <c r="AV15" s="976">
        <f t="shared" ca="1" si="33"/>
        <v>0</v>
      </c>
      <c r="AW15" s="976">
        <f t="shared" ca="1" si="33"/>
        <v>0</v>
      </c>
      <c r="AX15" s="976">
        <f t="shared" ca="1" si="33"/>
        <v>0</v>
      </c>
      <c r="AY15" s="976">
        <f t="shared" ca="1" si="33"/>
        <v>0</v>
      </c>
      <c r="AZ15" s="976">
        <f t="shared" ca="1" si="33"/>
        <v>0</v>
      </c>
      <c r="BA15" s="976">
        <f t="shared" ca="1" si="33"/>
        <v>0</v>
      </c>
      <c r="BB15" s="976">
        <f t="shared" ca="1" si="33"/>
        <v>0</v>
      </c>
      <c r="BC15" s="976">
        <f t="shared" ca="1" si="33"/>
        <v>0</v>
      </c>
      <c r="BD15" s="976">
        <f t="shared" ca="1" si="33"/>
        <v>0</v>
      </c>
      <c r="BE15" s="976">
        <f t="shared" ca="1" si="33"/>
        <v>0</v>
      </c>
      <c r="BF15" s="976">
        <f t="shared" ca="1" si="6"/>
        <v>0</v>
      </c>
      <c r="BH15" s="990">
        <f ca="1">BH14+BH11</f>
        <v>0</v>
      </c>
      <c r="BI15" s="990">
        <f ca="1">BI14+BI11</f>
        <v>0</v>
      </c>
      <c r="BJ15" s="990">
        <f t="shared" ca="1" si="8"/>
        <v>0</v>
      </c>
      <c r="BL15" s="515">
        <f t="shared" ca="1" si="9"/>
        <v>-1.1368683772161603E-13</v>
      </c>
      <c r="BM15" s="515"/>
      <c r="BN15" s="840"/>
      <c r="BO15" s="1482">
        <f t="shared" ref="BO15:DF15" ca="1" si="34">BO14+BO11</f>
        <v>101.69071439794486</v>
      </c>
      <c r="BP15" s="1482">
        <f t="shared" ca="1" si="34"/>
        <v>0.20374542165081444</v>
      </c>
      <c r="BQ15" s="1482">
        <f t="shared" ca="1" si="34"/>
        <v>0.28021013536721356</v>
      </c>
      <c r="BR15" s="1482">
        <f t="shared" ca="1" si="34"/>
        <v>0</v>
      </c>
      <c r="BS15" s="1482">
        <f t="shared" ca="1" si="34"/>
        <v>0</v>
      </c>
      <c r="BT15" s="1482">
        <f t="shared" ca="1" si="34"/>
        <v>0</v>
      </c>
      <c r="BU15" s="1482">
        <f t="shared" ca="1" si="34"/>
        <v>0</v>
      </c>
      <c r="BV15" s="1482">
        <f t="shared" ca="1" si="34"/>
        <v>0</v>
      </c>
      <c r="BW15" s="1482">
        <f t="shared" ca="1" si="34"/>
        <v>0</v>
      </c>
      <c r="BX15" s="1482">
        <f t="shared" ca="1" si="34"/>
        <v>0</v>
      </c>
      <c r="BY15" s="1482">
        <f t="shared" ca="1" si="34"/>
        <v>0</v>
      </c>
      <c r="BZ15" s="1482">
        <f t="shared" ca="1" si="34"/>
        <v>0</v>
      </c>
      <c r="CA15" s="1482">
        <f t="shared" ca="1" si="34"/>
        <v>0</v>
      </c>
      <c r="CB15" s="1482">
        <f t="shared" ca="1" si="34"/>
        <v>0</v>
      </c>
      <c r="CC15" s="1482">
        <f t="shared" ca="1" si="34"/>
        <v>0</v>
      </c>
      <c r="CD15" s="1482">
        <f t="shared" ca="1" si="34"/>
        <v>0</v>
      </c>
      <c r="CE15" s="1482">
        <f t="shared" ca="1" si="34"/>
        <v>0</v>
      </c>
      <c r="CF15" s="1482">
        <f t="shared" ca="1" si="34"/>
        <v>0</v>
      </c>
      <c r="CG15" s="1482">
        <f t="shared" ca="1" si="34"/>
        <v>0</v>
      </c>
      <c r="CH15" s="1482">
        <f t="shared" ca="1" si="34"/>
        <v>0</v>
      </c>
      <c r="CI15" s="1482">
        <f t="shared" ca="1" si="34"/>
        <v>0</v>
      </c>
      <c r="CJ15" s="1482">
        <f t="shared" ca="1" si="34"/>
        <v>0</v>
      </c>
      <c r="CK15" s="1482">
        <f t="shared" ca="1" si="34"/>
        <v>0</v>
      </c>
      <c r="CL15" s="1482">
        <f t="shared" ca="1" si="34"/>
        <v>0</v>
      </c>
      <c r="CM15" s="1482">
        <f t="shared" ca="1" si="34"/>
        <v>0</v>
      </c>
      <c r="CN15" s="1482">
        <f t="shared" ca="1" si="34"/>
        <v>0</v>
      </c>
      <c r="CO15" s="1482">
        <f t="shared" ca="1" si="34"/>
        <v>0</v>
      </c>
      <c r="CP15" s="1482">
        <f t="shared" ca="1" si="34"/>
        <v>0</v>
      </c>
      <c r="CQ15" s="1482">
        <f t="shared" ca="1" si="34"/>
        <v>0</v>
      </c>
      <c r="CR15" s="1482">
        <f t="shared" ca="1" si="34"/>
        <v>0</v>
      </c>
      <c r="CS15" s="1482">
        <f t="shared" ca="1" si="34"/>
        <v>0</v>
      </c>
      <c r="CT15" s="1482">
        <f t="shared" ca="1" si="34"/>
        <v>0</v>
      </c>
      <c r="CU15" s="1482">
        <f t="shared" ca="1" si="34"/>
        <v>0</v>
      </c>
      <c r="CV15" s="1482">
        <f t="shared" ca="1" si="34"/>
        <v>0</v>
      </c>
      <c r="CW15" s="1482">
        <f t="shared" ca="1" si="34"/>
        <v>0</v>
      </c>
      <c r="CX15" s="1482">
        <f t="shared" ca="1" si="34"/>
        <v>0</v>
      </c>
      <c r="CY15" s="1482">
        <f t="shared" ca="1" si="34"/>
        <v>0</v>
      </c>
      <c r="CZ15" s="1482">
        <f t="shared" ca="1" si="34"/>
        <v>0</v>
      </c>
      <c r="DA15" s="1482">
        <f t="shared" ca="1" si="34"/>
        <v>0</v>
      </c>
      <c r="DB15" s="1482">
        <f t="shared" ca="1" si="34"/>
        <v>0</v>
      </c>
      <c r="DC15" s="1482">
        <f t="shared" ca="1" si="34"/>
        <v>0</v>
      </c>
      <c r="DD15" s="1482">
        <f t="shared" ca="1" si="34"/>
        <v>0</v>
      </c>
      <c r="DE15" s="1482">
        <f t="shared" ca="1" si="34"/>
        <v>0</v>
      </c>
      <c r="DF15" s="1482">
        <f t="shared" ca="1" si="34"/>
        <v>0</v>
      </c>
      <c r="DH15" s="838">
        <f t="shared" ref="DH15:DH38" ca="1" si="35">SUM(BO15:DF15)</f>
        <v>102.17466995496288</v>
      </c>
    </row>
    <row r="16" spans="1:112" s="743" customFormat="1" hidden="1" outlineLevel="1">
      <c r="A16" s="1484"/>
      <c r="B16" s="1484"/>
      <c r="C16" s="746"/>
      <c r="D16" s="521"/>
      <c r="E16" s="521"/>
      <c r="G16" s="1019"/>
      <c r="H16" s="1019"/>
      <c r="I16" s="1019"/>
      <c r="J16" s="1019"/>
      <c r="K16" s="1019"/>
      <c r="L16" s="1019"/>
      <c r="M16" s="1019"/>
      <c r="N16" s="1019"/>
      <c r="O16" s="1019"/>
      <c r="P16" s="1019"/>
      <c r="Q16" s="1019"/>
      <c r="S16" s="1027"/>
      <c r="T16" s="1027"/>
      <c r="U16" s="1027"/>
      <c r="V16" s="1027"/>
      <c r="W16" s="1027"/>
      <c r="X16" s="1027"/>
      <c r="Y16" s="1027"/>
      <c r="Z16" s="1027"/>
      <c r="AA16" s="1027"/>
      <c r="AB16" s="1027"/>
      <c r="AC16" s="1027"/>
      <c r="AD16" s="1027"/>
      <c r="AE16" s="1027"/>
      <c r="AF16" s="1027"/>
      <c r="AG16" s="1027"/>
      <c r="AH16" s="1027"/>
      <c r="AI16" s="1027"/>
      <c r="AJ16" s="1027"/>
      <c r="AK16" s="1027"/>
      <c r="AM16" s="1040"/>
      <c r="AN16" s="1040"/>
      <c r="AO16" s="1040"/>
      <c r="AP16" s="1040"/>
      <c r="AQ16" s="1040"/>
      <c r="AR16" s="1040"/>
      <c r="AS16" s="1040"/>
      <c r="AT16" s="1040"/>
      <c r="AU16" s="1040"/>
      <c r="AV16" s="1040"/>
      <c r="AW16" s="1040"/>
      <c r="AX16" s="1040"/>
      <c r="AY16" s="1040"/>
      <c r="AZ16" s="1040"/>
      <c r="BA16" s="1040"/>
      <c r="BB16" s="1040"/>
      <c r="BC16" s="1040"/>
      <c r="BD16" s="1040"/>
      <c r="BE16" s="1040"/>
      <c r="BF16" s="979"/>
      <c r="BH16" s="1034"/>
      <c r="BI16" s="1034"/>
      <c r="BJ16" s="1034"/>
      <c r="BL16" s="814">
        <f t="shared" si="9"/>
        <v>0</v>
      </c>
      <c r="BM16" s="814"/>
      <c r="BN16" s="1484"/>
      <c r="BO16" s="1481"/>
      <c r="BP16" s="1482"/>
      <c r="BQ16" s="1482"/>
      <c r="BR16" s="1482"/>
      <c r="BS16" s="1482"/>
      <c r="BT16" s="1482"/>
      <c r="BU16" s="1482"/>
      <c r="BV16" s="1482"/>
      <c r="BW16" s="1482"/>
      <c r="BX16" s="1482"/>
      <c r="BY16" s="1482"/>
      <c r="BZ16" s="1482"/>
      <c r="CA16" s="1482"/>
      <c r="CB16" s="1482"/>
      <c r="CC16" s="1482"/>
      <c r="CD16" s="1482"/>
      <c r="CE16" s="1482"/>
      <c r="CF16" s="1482"/>
      <c r="CG16" s="1482"/>
      <c r="CH16" s="1482"/>
      <c r="CI16" s="1482"/>
      <c r="CJ16" s="1482"/>
      <c r="CK16" s="1482"/>
      <c r="CL16" s="1482"/>
      <c r="CM16" s="1482"/>
      <c r="CN16" s="1482"/>
      <c r="CO16" s="1482"/>
      <c r="CP16" s="1482"/>
      <c r="CQ16" s="1482"/>
      <c r="CR16" s="1482"/>
      <c r="CS16" s="1482"/>
      <c r="CT16" s="1482"/>
      <c r="CU16" s="1482"/>
      <c r="CV16" s="1482"/>
      <c r="CW16" s="1482"/>
      <c r="CX16" s="1482"/>
      <c r="CY16" s="1482"/>
      <c r="CZ16" s="1482"/>
      <c r="DA16" s="1482"/>
      <c r="DB16" s="1482"/>
      <c r="DC16" s="1482"/>
      <c r="DD16" s="1482"/>
      <c r="DE16" s="1482"/>
      <c r="DF16" s="1482"/>
      <c r="DH16" s="838">
        <f t="shared" si="35"/>
        <v>0</v>
      </c>
    </row>
    <row r="17" spans="1:112" s="743" customFormat="1" ht="12.75" hidden="1" customHeight="1" outlineLevel="1">
      <c r="A17" s="1484"/>
      <c r="B17" s="1484"/>
      <c r="C17" s="746" t="s">
        <v>950</v>
      </c>
      <c r="D17" s="1480" t="str">
        <f>INDEX(Modules[Module], MATCH($C17, Modules[Code], 0))</f>
        <v>Domestic lighting, appliances, and cooking</v>
      </c>
      <c r="E17" s="1006"/>
      <c r="G17" s="1017">
        <f t="shared" ref="G17:P18" ca="1" si="36">IFERROR(INDEX(INDIRECT($C17&amp;".Outputs["&amp;this.Year&amp;"]"), MATCH(G$5, INDIRECT($C17&amp;".Outputs[Vector]"), 0)), 0)</f>
        <v>0</v>
      </c>
      <c r="H17" s="1017">
        <f t="shared" ca="1" si="36"/>
        <v>101.17895858855188</v>
      </c>
      <c r="I17" s="1017">
        <f t="shared" ca="1" si="36"/>
        <v>0</v>
      </c>
      <c r="J17" s="1017">
        <f t="shared" ca="1" si="36"/>
        <v>0</v>
      </c>
      <c r="K17" s="1017">
        <f t="shared" ca="1" si="36"/>
        <v>0</v>
      </c>
      <c r="L17" s="1017">
        <f t="shared" ca="1" si="36"/>
        <v>0</v>
      </c>
      <c r="M17" s="1017">
        <f t="shared" ca="1" si="36"/>
        <v>0</v>
      </c>
      <c r="N17" s="1017">
        <f t="shared" ca="1" si="36"/>
        <v>0</v>
      </c>
      <c r="O17" s="1017">
        <f t="shared" ca="1" si="36"/>
        <v>0</v>
      </c>
      <c r="P17" s="1017">
        <f t="shared" ca="1" si="36"/>
        <v>0</v>
      </c>
      <c r="Q17" s="1019">
        <f ca="1">SUM(G17:P17)</f>
        <v>101.17895858855188</v>
      </c>
      <c r="S17" s="1026">
        <f t="shared" ref="S17:BE18" ca="1" si="37">IFERROR(INDEX(INDIRECT($C17&amp;".Outputs["&amp;this.Year&amp;"]"), MATCH(S$5, INDIRECT($C17&amp;".Outputs[Vector]"), 0)), 0)</f>
        <v>-93.164112592922507</v>
      </c>
      <c r="T17" s="1026">
        <f t="shared" ca="1" si="37"/>
        <v>0</v>
      </c>
      <c r="U17" s="1026">
        <f t="shared" ca="1" si="37"/>
        <v>0</v>
      </c>
      <c r="V17" s="1026">
        <f t="shared" ca="1" si="37"/>
        <v>0</v>
      </c>
      <c r="W17" s="1026">
        <f t="shared" ca="1" si="37"/>
        <v>-8.0148459956293667</v>
      </c>
      <c r="X17" s="1026">
        <f t="shared" ref="X17:Z18" ca="1" si="38">IFERROR(INDEX(INDIRECT($C17&amp;".Outputs["&amp;this.Year&amp;"]"), MATCH(X$5, INDIRECT($C17&amp;".Outputs[Vector]"), 0)), 0)</f>
        <v>0</v>
      </c>
      <c r="Y17" s="1026">
        <f t="shared" ca="1" si="38"/>
        <v>0</v>
      </c>
      <c r="Z17" s="1026">
        <f t="shared" ca="1" si="38"/>
        <v>0</v>
      </c>
      <c r="AA17" s="1026">
        <f t="shared" ca="1" si="37"/>
        <v>0</v>
      </c>
      <c r="AB17" s="1026">
        <f t="shared" ca="1" si="37"/>
        <v>0</v>
      </c>
      <c r="AC17" s="1026">
        <f t="shared" ca="1" si="37"/>
        <v>0</v>
      </c>
      <c r="AD17" s="1026">
        <f t="shared" ca="1" si="37"/>
        <v>0</v>
      </c>
      <c r="AE17" s="1026">
        <f t="shared" ca="1" si="37"/>
        <v>0</v>
      </c>
      <c r="AF17" s="1026">
        <f t="shared" ca="1" si="37"/>
        <v>0</v>
      </c>
      <c r="AG17" s="1026">
        <f t="shared" ca="1" si="37"/>
        <v>0</v>
      </c>
      <c r="AH17" s="1026">
        <f t="shared" ca="1" si="37"/>
        <v>0</v>
      </c>
      <c r="AI17" s="1026">
        <f t="shared" ca="1" si="37"/>
        <v>0</v>
      </c>
      <c r="AJ17" s="1026">
        <f t="shared" ca="1" si="37"/>
        <v>0</v>
      </c>
      <c r="AK17" s="1027">
        <f ca="1">SUM(S17:AJ17)</f>
        <v>-101.17895858855188</v>
      </c>
      <c r="AM17" s="1038">
        <f t="shared" ref="AM17:AU18" ca="1" si="39">IFERROR(INDEX(INDIRECT($C17&amp;".Outputs["&amp;this.Year&amp;"]"), MATCH(AM$5, INDIRECT($C17&amp;".Outputs[Vector]"), 0)), 0)</f>
        <v>0</v>
      </c>
      <c r="AN17" s="1038">
        <f t="shared" ca="1" si="39"/>
        <v>0</v>
      </c>
      <c r="AO17" s="1038">
        <f t="shared" ca="1" si="39"/>
        <v>0</v>
      </c>
      <c r="AP17" s="1038">
        <f t="shared" ca="1" si="39"/>
        <v>0</v>
      </c>
      <c r="AQ17" s="1038">
        <f t="shared" ca="1" si="39"/>
        <v>0</v>
      </c>
      <c r="AR17" s="1038">
        <f t="shared" ca="1" si="39"/>
        <v>0</v>
      </c>
      <c r="AS17" s="1038">
        <f t="shared" ca="1" si="39"/>
        <v>0</v>
      </c>
      <c r="AT17" s="1038">
        <f t="shared" ca="1" si="39"/>
        <v>0</v>
      </c>
      <c r="AU17" s="1038">
        <f t="shared" ca="1" si="39"/>
        <v>0</v>
      </c>
      <c r="AV17" s="1038">
        <f t="shared" ca="1" si="37"/>
        <v>0</v>
      </c>
      <c r="AW17" s="1038">
        <f t="shared" ca="1" si="37"/>
        <v>0</v>
      </c>
      <c r="AX17" s="1038">
        <f t="shared" ca="1" si="37"/>
        <v>0</v>
      </c>
      <c r="AY17" s="1038">
        <f t="shared" ca="1" si="37"/>
        <v>0</v>
      </c>
      <c r="AZ17" s="1038">
        <f t="shared" ca="1" si="37"/>
        <v>0</v>
      </c>
      <c r="BA17" s="1038">
        <f t="shared" ca="1" si="37"/>
        <v>0</v>
      </c>
      <c r="BB17" s="1038">
        <f t="shared" ca="1" si="37"/>
        <v>0</v>
      </c>
      <c r="BC17" s="1038">
        <f t="shared" ca="1" si="37"/>
        <v>0</v>
      </c>
      <c r="BD17" s="1038">
        <f t="shared" ca="1" si="37"/>
        <v>0</v>
      </c>
      <c r="BE17" s="1038">
        <f t="shared" ca="1" si="37"/>
        <v>0</v>
      </c>
      <c r="BF17" s="979">
        <f ca="1">SUM(AM17:BE17)</f>
        <v>0</v>
      </c>
      <c r="BH17" s="1032">
        <f ca="1">IFERROR(INDEX(INDIRECT($C17&amp;".Outputs["&amp;this.Year&amp;"]"), MATCH(BH$5, INDIRECT($C17&amp;".Outputs[Vector]"), 0)), 0)</f>
        <v>0</v>
      </c>
      <c r="BI17" s="1032">
        <f ca="1">IFERROR(INDEX(INDIRECT($C17&amp;".Outputs["&amp;this.Year&amp;"]"), MATCH(BI$5, INDIRECT($C17&amp;".Outputs[Vector]"), 0)), 0)</f>
        <v>0</v>
      </c>
      <c r="BJ17" s="1034">
        <f ca="1">SUM(BH17:BI17)</f>
        <v>0</v>
      </c>
      <c r="BL17" s="814">
        <f t="shared" ca="1" si="9"/>
        <v>0</v>
      </c>
      <c r="BM17" s="814"/>
      <c r="BN17" s="840"/>
      <c r="BO17" s="1481">
        <f t="shared" ref="BO17:BX18" ca="1" si="40">IFERROR(SUMIFS(INDIRECT($C17&amp;".Emissions["&amp;this.Year&amp;"]"), INDIRECT($C17&amp;".Emissions[GHG]"), BO$6, INDIRECT($C17&amp;".Emissions[IPCC Sector]"), BO$5),0)</f>
        <v>1.4747316631958032</v>
      </c>
      <c r="BP17" s="1482">
        <f t="shared" ca="1" si="40"/>
        <v>2.9560785424898144E-3</v>
      </c>
      <c r="BQ17" s="1482">
        <f t="shared" ca="1" si="40"/>
        <v>3.1794061867355108E-3</v>
      </c>
      <c r="BR17" s="1482">
        <f t="shared" ca="1" si="40"/>
        <v>0</v>
      </c>
      <c r="BS17" s="1482">
        <f t="shared" ca="1" si="40"/>
        <v>0</v>
      </c>
      <c r="BT17" s="1482">
        <f t="shared" ca="1" si="40"/>
        <v>0</v>
      </c>
      <c r="BU17" s="1482">
        <f t="shared" ca="1" si="40"/>
        <v>0</v>
      </c>
      <c r="BV17" s="1482">
        <f t="shared" ca="1" si="40"/>
        <v>0</v>
      </c>
      <c r="BW17" s="1482">
        <f t="shared" ca="1" si="40"/>
        <v>0</v>
      </c>
      <c r="BX17" s="1482">
        <f t="shared" ca="1" si="40"/>
        <v>0</v>
      </c>
      <c r="BY17" s="1482">
        <f t="shared" ref="BY17:CH18" ca="1" si="41">IFERROR(SUMIFS(INDIRECT($C17&amp;".Emissions["&amp;this.Year&amp;"]"), INDIRECT($C17&amp;".Emissions[GHG]"), BY$6, INDIRECT($C17&amp;".Emissions[IPCC Sector]"), BY$5),0)</f>
        <v>0</v>
      </c>
      <c r="BZ17" s="1482">
        <f t="shared" ca="1" si="41"/>
        <v>0</v>
      </c>
      <c r="CA17" s="1482">
        <f t="shared" ca="1" si="41"/>
        <v>0</v>
      </c>
      <c r="CB17" s="1482">
        <f t="shared" ca="1" si="41"/>
        <v>0</v>
      </c>
      <c r="CC17" s="1482">
        <f t="shared" ca="1" si="41"/>
        <v>0</v>
      </c>
      <c r="CD17" s="1482">
        <f t="shared" ca="1" si="41"/>
        <v>0</v>
      </c>
      <c r="CE17" s="1482">
        <f t="shared" ca="1" si="41"/>
        <v>0</v>
      </c>
      <c r="CF17" s="1482">
        <f t="shared" ca="1" si="41"/>
        <v>0</v>
      </c>
      <c r="CG17" s="1482">
        <f t="shared" ca="1" si="41"/>
        <v>0</v>
      </c>
      <c r="CH17" s="1482">
        <f t="shared" ca="1" si="41"/>
        <v>0</v>
      </c>
      <c r="CI17" s="1482">
        <f t="shared" ref="CI17:CR18" ca="1" si="42">IFERROR(SUMIFS(INDIRECT($C17&amp;".Emissions["&amp;this.Year&amp;"]"), INDIRECT($C17&amp;".Emissions[GHG]"), CI$6, INDIRECT($C17&amp;".Emissions[IPCC Sector]"), CI$5),0)</f>
        <v>0</v>
      </c>
      <c r="CJ17" s="1482">
        <f t="shared" ca="1" si="42"/>
        <v>0</v>
      </c>
      <c r="CK17" s="1482">
        <f t="shared" ca="1" si="42"/>
        <v>0</v>
      </c>
      <c r="CL17" s="1482">
        <f t="shared" ca="1" si="42"/>
        <v>0</v>
      </c>
      <c r="CM17" s="1482">
        <f t="shared" ca="1" si="42"/>
        <v>0</v>
      </c>
      <c r="CN17" s="1482">
        <f t="shared" ca="1" si="42"/>
        <v>0</v>
      </c>
      <c r="CO17" s="1482">
        <f t="shared" ca="1" si="42"/>
        <v>0</v>
      </c>
      <c r="CP17" s="1482">
        <f t="shared" ca="1" si="42"/>
        <v>0</v>
      </c>
      <c r="CQ17" s="1482">
        <f t="shared" ca="1" si="42"/>
        <v>0</v>
      </c>
      <c r="CR17" s="1482">
        <f t="shared" ca="1" si="42"/>
        <v>0</v>
      </c>
      <c r="CS17" s="1482">
        <f t="shared" ref="CS17:DF18" ca="1" si="43">IFERROR(SUMIFS(INDIRECT($C17&amp;".Emissions["&amp;this.Year&amp;"]"), INDIRECT($C17&amp;".Emissions[GHG]"), CS$6, INDIRECT($C17&amp;".Emissions[IPCC Sector]"), CS$5),0)</f>
        <v>0</v>
      </c>
      <c r="CT17" s="1482">
        <f t="shared" ca="1" si="43"/>
        <v>0</v>
      </c>
      <c r="CU17" s="1482">
        <f t="shared" ca="1" si="43"/>
        <v>0</v>
      </c>
      <c r="CV17" s="1482">
        <f t="shared" ca="1" si="43"/>
        <v>0</v>
      </c>
      <c r="CW17" s="1482">
        <f t="shared" ca="1" si="43"/>
        <v>0</v>
      </c>
      <c r="CX17" s="1482">
        <f t="shared" ca="1" si="43"/>
        <v>0</v>
      </c>
      <c r="CY17" s="1482">
        <f t="shared" ca="1" si="43"/>
        <v>0</v>
      </c>
      <c r="CZ17" s="1482">
        <f t="shared" ca="1" si="43"/>
        <v>0</v>
      </c>
      <c r="DA17" s="1482">
        <f t="shared" ca="1" si="43"/>
        <v>0</v>
      </c>
      <c r="DB17" s="1482">
        <f t="shared" ca="1" si="43"/>
        <v>0</v>
      </c>
      <c r="DC17" s="1482">
        <f t="shared" ca="1" si="43"/>
        <v>0</v>
      </c>
      <c r="DD17" s="1482">
        <f t="shared" ca="1" si="43"/>
        <v>0</v>
      </c>
      <c r="DE17" s="1482">
        <f t="shared" ca="1" si="43"/>
        <v>0</v>
      </c>
      <c r="DF17" s="1482">
        <f t="shared" ca="1" si="43"/>
        <v>0</v>
      </c>
      <c r="DH17" s="838">
        <f t="shared" ca="1" si="35"/>
        <v>1.4808671479250284</v>
      </c>
    </row>
    <row r="18" spans="1:112" s="743" customFormat="1" ht="12.75" hidden="1" customHeight="1" outlineLevel="1">
      <c r="A18" s="1484"/>
      <c r="B18" s="1484"/>
      <c r="C18" s="746" t="s">
        <v>951</v>
      </c>
      <c r="D18" s="1010" t="str">
        <f>INDEX(Modules[Module], MATCH($C18, Modules[Code], 0))</f>
        <v>Commercial lighting, appliances, and catering</v>
      </c>
      <c r="E18" s="1010"/>
      <c r="G18" s="1022">
        <f t="shared" ca="1" si="36"/>
        <v>0</v>
      </c>
      <c r="H18" s="1022">
        <f t="shared" ca="1" si="36"/>
        <v>88.631501524746312</v>
      </c>
      <c r="I18" s="1022">
        <f t="shared" ca="1" si="36"/>
        <v>0</v>
      </c>
      <c r="J18" s="1022">
        <f t="shared" ca="1" si="36"/>
        <v>0</v>
      </c>
      <c r="K18" s="1022">
        <f t="shared" ca="1" si="36"/>
        <v>0</v>
      </c>
      <c r="L18" s="1022">
        <f t="shared" ca="1" si="36"/>
        <v>0</v>
      </c>
      <c r="M18" s="1022">
        <f t="shared" ca="1" si="36"/>
        <v>0</v>
      </c>
      <c r="N18" s="1022">
        <f t="shared" ca="1" si="36"/>
        <v>0</v>
      </c>
      <c r="O18" s="1022">
        <f t="shared" ca="1" si="36"/>
        <v>0</v>
      </c>
      <c r="P18" s="1022">
        <f t="shared" ca="1" si="36"/>
        <v>0</v>
      </c>
      <c r="Q18" s="1020">
        <f ca="1">SUM(G18:P18)</f>
        <v>88.631501524746312</v>
      </c>
      <c r="S18" s="1031">
        <f t="shared" ca="1" si="37"/>
        <v>-79.619796656660682</v>
      </c>
      <c r="T18" s="1031">
        <f t="shared" ca="1" si="37"/>
        <v>0</v>
      </c>
      <c r="U18" s="1031">
        <f t="shared" ca="1" si="37"/>
        <v>0</v>
      </c>
      <c r="V18" s="1031">
        <f t="shared" ca="1" si="37"/>
        <v>0</v>
      </c>
      <c r="W18" s="1031">
        <f t="shared" ca="1" si="37"/>
        <v>-9.0117048680856353</v>
      </c>
      <c r="X18" s="1031">
        <f t="shared" ca="1" si="38"/>
        <v>0</v>
      </c>
      <c r="Y18" s="1031">
        <f t="shared" ca="1" si="38"/>
        <v>0</v>
      </c>
      <c r="Z18" s="1031">
        <f t="shared" ca="1" si="38"/>
        <v>0</v>
      </c>
      <c r="AA18" s="1031">
        <f t="shared" ca="1" si="37"/>
        <v>0</v>
      </c>
      <c r="AB18" s="1031">
        <f t="shared" ca="1" si="37"/>
        <v>0</v>
      </c>
      <c r="AC18" s="1031">
        <f t="shared" ca="1" si="37"/>
        <v>0</v>
      </c>
      <c r="AD18" s="1031">
        <f t="shared" ca="1" si="37"/>
        <v>0</v>
      </c>
      <c r="AE18" s="1031">
        <f t="shared" ca="1" si="37"/>
        <v>0</v>
      </c>
      <c r="AF18" s="1031">
        <f t="shared" ca="1" si="37"/>
        <v>0</v>
      </c>
      <c r="AG18" s="1031">
        <f t="shared" ca="1" si="37"/>
        <v>0</v>
      </c>
      <c r="AH18" s="1031">
        <f t="shared" ca="1" si="37"/>
        <v>0</v>
      </c>
      <c r="AI18" s="1031">
        <f t="shared" ca="1" si="37"/>
        <v>0</v>
      </c>
      <c r="AJ18" s="1031">
        <f t="shared" ca="1" si="37"/>
        <v>0</v>
      </c>
      <c r="AK18" s="1030">
        <f ca="1">SUM(S18:AJ18)</f>
        <v>-88.631501524746312</v>
      </c>
      <c r="AM18" s="1042">
        <f t="shared" ca="1" si="39"/>
        <v>0</v>
      </c>
      <c r="AN18" s="1042">
        <f t="shared" ca="1" si="39"/>
        <v>0</v>
      </c>
      <c r="AO18" s="1042">
        <f t="shared" ca="1" si="39"/>
        <v>0</v>
      </c>
      <c r="AP18" s="1042">
        <f t="shared" ca="1" si="39"/>
        <v>0</v>
      </c>
      <c r="AQ18" s="1042">
        <f t="shared" ca="1" si="39"/>
        <v>0</v>
      </c>
      <c r="AR18" s="1042">
        <f t="shared" ca="1" si="39"/>
        <v>0</v>
      </c>
      <c r="AS18" s="1042">
        <f t="shared" ca="1" si="39"/>
        <v>0</v>
      </c>
      <c r="AT18" s="1042">
        <f t="shared" ca="1" si="39"/>
        <v>0</v>
      </c>
      <c r="AU18" s="1042">
        <f t="shared" ca="1" si="39"/>
        <v>0</v>
      </c>
      <c r="AV18" s="1042">
        <f t="shared" ca="1" si="37"/>
        <v>0</v>
      </c>
      <c r="AW18" s="1042">
        <f t="shared" ca="1" si="37"/>
        <v>0</v>
      </c>
      <c r="AX18" s="1042">
        <f t="shared" ca="1" si="37"/>
        <v>0</v>
      </c>
      <c r="AY18" s="1042">
        <f t="shared" ca="1" si="37"/>
        <v>0</v>
      </c>
      <c r="AZ18" s="1042">
        <f t="shared" ca="1" si="37"/>
        <v>0</v>
      </c>
      <c r="BA18" s="1042">
        <f t="shared" ca="1" si="37"/>
        <v>0</v>
      </c>
      <c r="BB18" s="1042">
        <f t="shared" ca="1" si="37"/>
        <v>0</v>
      </c>
      <c r="BC18" s="1042">
        <f t="shared" ca="1" si="37"/>
        <v>0</v>
      </c>
      <c r="BD18" s="1042">
        <f t="shared" ca="1" si="37"/>
        <v>0</v>
      </c>
      <c r="BE18" s="1042">
        <f t="shared" ca="1" si="37"/>
        <v>0</v>
      </c>
      <c r="BF18" s="1012">
        <f ca="1">SUM(AM18:BE18)</f>
        <v>0</v>
      </c>
      <c r="BH18" s="1036">
        <f ca="1">IFERROR(INDEX(INDIRECT($C18&amp;".Outputs["&amp;this.Year&amp;"]"), MATCH(BH$5, INDIRECT($C18&amp;".Outputs[Vector]"), 0)), 0)</f>
        <v>0</v>
      </c>
      <c r="BI18" s="1036">
        <f ca="1">IFERROR(INDEX(INDIRECT($C18&amp;".Outputs["&amp;this.Year&amp;"]"), MATCH(BI$5, INDIRECT($C18&amp;".Outputs[Vector]"), 0)), 0)</f>
        <v>0</v>
      </c>
      <c r="BJ18" s="1035">
        <f ca="1">SUM(BH18:BI18)</f>
        <v>0</v>
      </c>
      <c r="BL18" s="814">
        <f t="shared" ca="1" si="9"/>
        <v>0</v>
      </c>
      <c r="BM18" s="814"/>
      <c r="BN18" s="840"/>
      <c r="BO18" s="1485">
        <f t="shared" ca="1" si="40"/>
        <v>1.6581536957277567</v>
      </c>
      <c r="BP18" s="1486">
        <f t="shared" ca="1" si="40"/>
        <v>3.3237453852919723E-3</v>
      </c>
      <c r="BQ18" s="1486">
        <f t="shared" ca="1" si="40"/>
        <v>3.5748497508561418E-3</v>
      </c>
      <c r="BR18" s="1486">
        <f t="shared" ca="1" si="40"/>
        <v>0</v>
      </c>
      <c r="BS18" s="1486">
        <f t="shared" ca="1" si="40"/>
        <v>0</v>
      </c>
      <c r="BT18" s="1486">
        <f t="shared" ca="1" si="40"/>
        <v>0</v>
      </c>
      <c r="BU18" s="1486">
        <f t="shared" ca="1" si="40"/>
        <v>0</v>
      </c>
      <c r="BV18" s="1486">
        <f t="shared" ca="1" si="40"/>
        <v>0</v>
      </c>
      <c r="BW18" s="1486">
        <f t="shared" ca="1" si="40"/>
        <v>0</v>
      </c>
      <c r="BX18" s="1486">
        <f t="shared" ca="1" si="40"/>
        <v>0</v>
      </c>
      <c r="BY18" s="1486">
        <f t="shared" ca="1" si="41"/>
        <v>0</v>
      </c>
      <c r="BZ18" s="1486">
        <f t="shared" ca="1" si="41"/>
        <v>0</v>
      </c>
      <c r="CA18" s="1486">
        <f t="shared" ca="1" si="41"/>
        <v>0</v>
      </c>
      <c r="CB18" s="1486">
        <f t="shared" ca="1" si="41"/>
        <v>0</v>
      </c>
      <c r="CC18" s="1486">
        <f t="shared" ca="1" si="41"/>
        <v>0</v>
      </c>
      <c r="CD18" s="1486">
        <f t="shared" ca="1" si="41"/>
        <v>0</v>
      </c>
      <c r="CE18" s="1486">
        <f t="shared" ca="1" si="41"/>
        <v>0</v>
      </c>
      <c r="CF18" s="1486">
        <f t="shared" ca="1" si="41"/>
        <v>0</v>
      </c>
      <c r="CG18" s="1486">
        <f t="shared" ca="1" si="41"/>
        <v>0</v>
      </c>
      <c r="CH18" s="1486">
        <f t="shared" ca="1" si="41"/>
        <v>0</v>
      </c>
      <c r="CI18" s="1486">
        <f t="shared" ca="1" si="42"/>
        <v>0</v>
      </c>
      <c r="CJ18" s="1486">
        <f t="shared" ca="1" si="42"/>
        <v>0</v>
      </c>
      <c r="CK18" s="1486">
        <f t="shared" ca="1" si="42"/>
        <v>0</v>
      </c>
      <c r="CL18" s="1486">
        <f t="shared" ca="1" si="42"/>
        <v>0</v>
      </c>
      <c r="CM18" s="1486">
        <f t="shared" ca="1" si="42"/>
        <v>0</v>
      </c>
      <c r="CN18" s="1486">
        <f t="shared" ca="1" si="42"/>
        <v>0</v>
      </c>
      <c r="CO18" s="1486">
        <f t="shared" ca="1" si="42"/>
        <v>0</v>
      </c>
      <c r="CP18" s="1486">
        <f t="shared" ca="1" si="42"/>
        <v>0</v>
      </c>
      <c r="CQ18" s="1486">
        <f t="shared" ca="1" si="42"/>
        <v>0</v>
      </c>
      <c r="CR18" s="1486">
        <f t="shared" ca="1" si="42"/>
        <v>0</v>
      </c>
      <c r="CS18" s="1486">
        <f t="shared" ca="1" si="43"/>
        <v>0</v>
      </c>
      <c r="CT18" s="1486">
        <f t="shared" ca="1" si="43"/>
        <v>0</v>
      </c>
      <c r="CU18" s="1486">
        <f t="shared" ca="1" si="43"/>
        <v>0</v>
      </c>
      <c r="CV18" s="1486">
        <f t="shared" ca="1" si="43"/>
        <v>0</v>
      </c>
      <c r="CW18" s="1486">
        <f t="shared" ca="1" si="43"/>
        <v>0</v>
      </c>
      <c r="CX18" s="1486">
        <f t="shared" ca="1" si="43"/>
        <v>0</v>
      </c>
      <c r="CY18" s="1486">
        <f t="shared" ca="1" si="43"/>
        <v>0</v>
      </c>
      <c r="CZ18" s="1486">
        <f t="shared" ca="1" si="43"/>
        <v>0</v>
      </c>
      <c r="DA18" s="1486">
        <f t="shared" ca="1" si="43"/>
        <v>0</v>
      </c>
      <c r="DB18" s="1486">
        <f t="shared" ca="1" si="43"/>
        <v>0</v>
      </c>
      <c r="DC18" s="1486">
        <f t="shared" ca="1" si="43"/>
        <v>0</v>
      </c>
      <c r="DD18" s="1486">
        <f t="shared" ca="1" si="43"/>
        <v>0</v>
      </c>
      <c r="DE18" s="1486">
        <f t="shared" ca="1" si="43"/>
        <v>0</v>
      </c>
      <c r="DF18" s="1486">
        <f t="shared" ca="1" si="43"/>
        <v>0</v>
      </c>
      <c r="DH18" s="838">
        <f t="shared" ca="1" si="35"/>
        <v>1.6650522908639047</v>
      </c>
    </row>
    <row r="19" spans="1:112" s="743" customFormat="1" ht="15.75" collapsed="1">
      <c r="A19" s="22"/>
      <c r="B19" s="753"/>
      <c r="C19" s="744" t="s">
        <v>677</v>
      </c>
      <c r="D19" s="517" t="str">
        <f>INDEX(Workstreams[Workstream], MATCH($C19, Workstreams[Code], 0))</f>
        <v>Lighting and appliances</v>
      </c>
      <c r="E19" s="512"/>
      <c r="G19" s="1021">
        <f ca="1">G17+G18</f>
        <v>0</v>
      </c>
      <c r="H19" s="1021">
        <f t="shared" ref="H19:P19" ca="1" si="44">H17+H18</f>
        <v>189.81046011329818</v>
      </c>
      <c r="I19" s="1021">
        <f t="shared" ca="1" si="44"/>
        <v>0</v>
      </c>
      <c r="J19" s="1021">
        <f t="shared" ca="1" si="44"/>
        <v>0</v>
      </c>
      <c r="K19" s="1021">
        <f t="shared" ca="1" si="44"/>
        <v>0</v>
      </c>
      <c r="L19" s="1021">
        <f t="shared" ca="1" si="44"/>
        <v>0</v>
      </c>
      <c r="M19" s="1021">
        <f t="shared" ca="1" si="44"/>
        <v>0</v>
      </c>
      <c r="N19" s="1021">
        <f t="shared" ca="1" si="44"/>
        <v>0</v>
      </c>
      <c r="O19" s="1021">
        <f t="shared" ca="1" si="44"/>
        <v>0</v>
      </c>
      <c r="P19" s="1021">
        <f t="shared" ca="1" si="44"/>
        <v>0</v>
      </c>
      <c r="Q19" s="1021">
        <f ca="1">SUM(G19:P19)</f>
        <v>189.81046011329818</v>
      </c>
      <c r="S19" s="970">
        <f ca="1">S17+S18</f>
        <v>-172.78390924958319</v>
      </c>
      <c r="T19" s="970">
        <f t="shared" ref="T19:AJ19" ca="1" si="45">T17+T18</f>
        <v>0</v>
      </c>
      <c r="U19" s="970">
        <f t="shared" ca="1" si="45"/>
        <v>0</v>
      </c>
      <c r="V19" s="970">
        <f t="shared" ca="1" si="45"/>
        <v>0</v>
      </c>
      <c r="W19" s="970">
        <f t="shared" ca="1" si="45"/>
        <v>-17.026550863715002</v>
      </c>
      <c r="X19" s="970">
        <f ca="1">X17+X18</f>
        <v>0</v>
      </c>
      <c r="Y19" s="970">
        <f ca="1">Y17+Y18</f>
        <v>0</v>
      </c>
      <c r="Z19" s="970">
        <f ca="1">Z17+Z18</f>
        <v>0</v>
      </c>
      <c r="AA19" s="970">
        <f t="shared" ca="1" si="45"/>
        <v>0</v>
      </c>
      <c r="AB19" s="970">
        <f t="shared" ca="1" si="45"/>
        <v>0</v>
      </c>
      <c r="AC19" s="970">
        <f t="shared" ca="1" si="45"/>
        <v>0</v>
      </c>
      <c r="AD19" s="970">
        <f ca="1">AD17+AD18</f>
        <v>0</v>
      </c>
      <c r="AE19" s="970">
        <f ca="1">AE17+AE18</f>
        <v>0</v>
      </c>
      <c r="AF19" s="970">
        <f t="shared" ca="1" si="45"/>
        <v>0</v>
      </c>
      <c r="AG19" s="970">
        <f ca="1">AG17+AG18</f>
        <v>0</v>
      </c>
      <c r="AH19" s="970">
        <f ca="1">AH17+AH18</f>
        <v>0</v>
      </c>
      <c r="AI19" s="970">
        <f ca="1">AI17+AI18</f>
        <v>0</v>
      </c>
      <c r="AJ19" s="970">
        <f t="shared" ca="1" si="45"/>
        <v>0</v>
      </c>
      <c r="AK19" s="970">
        <f ca="1">SUM(S19:AJ19)</f>
        <v>-189.81046011329818</v>
      </c>
      <c r="AM19" s="976">
        <f t="shared" ref="AM19:BE19" ca="1" si="46">AM17+AM18</f>
        <v>0</v>
      </c>
      <c r="AN19" s="976">
        <f t="shared" ca="1" si="46"/>
        <v>0</v>
      </c>
      <c r="AO19" s="976">
        <f t="shared" ca="1" si="46"/>
        <v>0</v>
      </c>
      <c r="AP19" s="976">
        <f t="shared" ca="1" si="46"/>
        <v>0</v>
      </c>
      <c r="AQ19" s="976">
        <f t="shared" ca="1" si="46"/>
        <v>0</v>
      </c>
      <c r="AR19" s="976">
        <f t="shared" ca="1" si="46"/>
        <v>0</v>
      </c>
      <c r="AS19" s="976">
        <f t="shared" ca="1" si="46"/>
        <v>0</v>
      </c>
      <c r="AT19" s="976">
        <f t="shared" ca="1" si="46"/>
        <v>0</v>
      </c>
      <c r="AU19" s="976">
        <f t="shared" ca="1" si="46"/>
        <v>0</v>
      </c>
      <c r="AV19" s="976">
        <f t="shared" ca="1" si="46"/>
        <v>0</v>
      </c>
      <c r="AW19" s="976">
        <f t="shared" ca="1" si="46"/>
        <v>0</v>
      </c>
      <c r="AX19" s="976">
        <f t="shared" ca="1" si="46"/>
        <v>0</v>
      </c>
      <c r="AY19" s="976">
        <f t="shared" ca="1" si="46"/>
        <v>0</v>
      </c>
      <c r="AZ19" s="976">
        <f t="shared" ca="1" si="46"/>
        <v>0</v>
      </c>
      <c r="BA19" s="976">
        <f t="shared" ca="1" si="46"/>
        <v>0</v>
      </c>
      <c r="BB19" s="976">
        <f t="shared" ca="1" si="46"/>
        <v>0</v>
      </c>
      <c r="BC19" s="976">
        <f t="shared" ca="1" si="46"/>
        <v>0</v>
      </c>
      <c r="BD19" s="976">
        <f t="shared" ca="1" si="46"/>
        <v>0</v>
      </c>
      <c r="BE19" s="976">
        <f t="shared" ca="1" si="46"/>
        <v>0</v>
      </c>
      <c r="BF19" s="976">
        <f ca="1">SUM(AM19:BE19)</f>
        <v>0</v>
      </c>
      <c r="BH19" s="990">
        <f ca="1">BH17+BH18</f>
        <v>0</v>
      </c>
      <c r="BI19" s="990">
        <f ca="1">BI17+BI18</f>
        <v>0</v>
      </c>
      <c r="BJ19" s="990">
        <f ca="1">SUM(BH19:BI19)</f>
        <v>0</v>
      </c>
      <c r="BL19" s="515">
        <f t="shared" ca="1" si="9"/>
        <v>0</v>
      </c>
      <c r="BM19" s="515"/>
      <c r="BN19" s="840"/>
      <c r="BO19" s="1482">
        <f t="shared" ref="BO19:DF19" ca="1" si="47">BO17+BO18</f>
        <v>3.1328853589235601</v>
      </c>
      <c r="BP19" s="1482">
        <f t="shared" ca="1" si="47"/>
        <v>6.2798239277817866E-3</v>
      </c>
      <c r="BQ19" s="1482">
        <f t="shared" ca="1" si="47"/>
        <v>6.7542559375916526E-3</v>
      </c>
      <c r="BR19" s="1482">
        <f t="shared" ca="1" si="47"/>
        <v>0</v>
      </c>
      <c r="BS19" s="1482">
        <f t="shared" ca="1" si="47"/>
        <v>0</v>
      </c>
      <c r="BT19" s="1482">
        <f t="shared" ca="1" si="47"/>
        <v>0</v>
      </c>
      <c r="BU19" s="1482">
        <f t="shared" ca="1" si="47"/>
        <v>0</v>
      </c>
      <c r="BV19" s="1482">
        <f t="shared" ca="1" si="47"/>
        <v>0</v>
      </c>
      <c r="BW19" s="1482">
        <f t="shared" ca="1" si="47"/>
        <v>0</v>
      </c>
      <c r="BX19" s="1482">
        <f t="shared" ca="1" si="47"/>
        <v>0</v>
      </c>
      <c r="BY19" s="1482">
        <f t="shared" ca="1" si="47"/>
        <v>0</v>
      </c>
      <c r="BZ19" s="1482">
        <f t="shared" ca="1" si="47"/>
        <v>0</v>
      </c>
      <c r="CA19" s="1482">
        <f t="shared" ca="1" si="47"/>
        <v>0</v>
      </c>
      <c r="CB19" s="1482">
        <f t="shared" ca="1" si="47"/>
        <v>0</v>
      </c>
      <c r="CC19" s="1482">
        <f t="shared" ca="1" si="47"/>
        <v>0</v>
      </c>
      <c r="CD19" s="1482">
        <f t="shared" ca="1" si="47"/>
        <v>0</v>
      </c>
      <c r="CE19" s="1482">
        <f t="shared" ca="1" si="47"/>
        <v>0</v>
      </c>
      <c r="CF19" s="1482">
        <f t="shared" ca="1" si="47"/>
        <v>0</v>
      </c>
      <c r="CG19" s="1482">
        <f t="shared" ca="1" si="47"/>
        <v>0</v>
      </c>
      <c r="CH19" s="1482">
        <f t="shared" ca="1" si="47"/>
        <v>0</v>
      </c>
      <c r="CI19" s="1482">
        <f t="shared" ca="1" si="47"/>
        <v>0</v>
      </c>
      <c r="CJ19" s="1482">
        <f t="shared" ca="1" si="47"/>
        <v>0</v>
      </c>
      <c r="CK19" s="1482">
        <f t="shared" ca="1" si="47"/>
        <v>0</v>
      </c>
      <c r="CL19" s="1482">
        <f t="shared" ca="1" si="47"/>
        <v>0</v>
      </c>
      <c r="CM19" s="1482">
        <f t="shared" ca="1" si="47"/>
        <v>0</v>
      </c>
      <c r="CN19" s="1482">
        <f t="shared" ca="1" si="47"/>
        <v>0</v>
      </c>
      <c r="CO19" s="1482">
        <f t="shared" ca="1" si="47"/>
        <v>0</v>
      </c>
      <c r="CP19" s="1482">
        <f t="shared" ca="1" si="47"/>
        <v>0</v>
      </c>
      <c r="CQ19" s="1482">
        <f t="shared" ca="1" si="47"/>
        <v>0</v>
      </c>
      <c r="CR19" s="1482">
        <f t="shared" ca="1" si="47"/>
        <v>0</v>
      </c>
      <c r="CS19" s="1482">
        <f t="shared" ca="1" si="47"/>
        <v>0</v>
      </c>
      <c r="CT19" s="1482">
        <f t="shared" ca="1" si="47"/>
        <v>0</v>
      </c>
      <c r="CU19" s="1482">
        <f t="shared" ca="1" si="47"/>
        <v>0</v>
      </c>
      <c r="CV19" s="1482">
        <f t="shared" ca="1" si="47"/>
        <v>0</v>
      </c>
      <c r="CW19" s="1482">
        <f t="shared" ca="1" si="47"/>
        <v>0</v>
      </c>
      <c r="CX19" s="1482">
        <f t="shared" ca="1" si="47"/>
        <v>0</v>
      </c>
      <c r="CY19" s="1482">
        <f t="shared" ca="1" si="47"/>
        <v>0</v>
      </c>
      <c r="CZ19" s="1482">
        <f t="shared" ca="1" si="47"/>
        <v>0</v>
      </c>
      <c r="DA19" s="1482">
        <f t="shared" ca="1" si="47"/>
        <v>0</v>
      </c>
      <c r="DB19" s="1482">
        <f t="shared" ca="1" si="47"/>
        <v>0</v>
      </c>
      <c r="DC19" s="1482">
        <f t="shared" ca="1" si="47"/>
        <v>0</v>
      </c>
      <c r="DD19" s="1482">
        <f t="shared" ca="1" si="47"/>
        <v>0</v>
      </c>
      <c r="DE19" s="1482">
        <f t="shared" ca="1" si="47"/>
        <v>0</v>
      </c>
      <c r="DF19" s="1482">
        <f t="shared" ca="1" si="47"/>
        <v>0</v>
      </c>
      <c r="DH19" s="838">
        <f t="shared" ca="1" si="35"/>
        <v>3.1459194387889333</v>
      </c>
    </row>
    <row r="20" spans="1:112" s="743" customFormat="1" ht="12.75" hidden="1" customHeight="1" outlineLevel="1">
      <c r="A20" s="1484"/>
      <c r="B20" s="1484"/>
      <c r="C20" s="746"/>
      <c r="D20" s="521"/>
      <c r="E20" s="521"/>
      <c r="G20" s="1019"/>
      <c r="H20" s="1019"/>
      <c r="I20" s="1019"/>
      <c r="J20" s="1019"/>
      <c r="K20" s="1019"/>
      <c r="L20" s="1019"/>
      <c r="M20" s="1019"/>
      <c r="N20" s="1019"/>
      <c r="O20" s="1019"/>
      <c r="P20" s="1019"/>
      <c r="Q20" s="1019"/>
      <c r="S20" s="1027"/>
      <c r="T20" s="1027"/>
      <c r="U20" s="1027"/>
      <c r="V20" s="1027"/>
      <c r="W20" s="1027"/>
      <c r="X20" s="1027"/>
      <c r="Y20" s="1027"/>
      <c r="Z20" s="1027"/>
      <c r="AA20" s="1027"/>
      <c r="AB20" s="1027"/>
      <c r="AC20" s="1027"/>
      <c r="AD20" s="1027"/>
      <c r="AE20" s="1027"/>
      <c r="AF20" s="1027"/>
      <c r="AG20" s="1027"/>
      <c r="AH20" s="1027"/>
      <c r="AI20" s="1027"/>
      <c r="AJ20" s="1027"/>
      <c r="AK20" s="1027"/>
      <c r="AM20" s="1040"/>
      <c r="AN20" s="1040"/>
      <c r="AO20" s="1040"/>
      <c r="AP20" s="1040"/>
      <c r="AQ20" s="1040"/>
      <c r="AR20" s="1040"/>
      <c r="AS20" s="1040"/>
      <c r="AT20" s="1040"/>
      <c r="AU20" s="1040"/>
      <c r="AV20" s="1040"/>
      <c r="AW20" s="1040"/>
      <c r="AX20" s="1040"/>
      <c r="AY20" s="1040"/>
      <c r="AZ20" s="1040"/>
      <c r="BA20" s="1040"/>
      <c r="BB20" s="1040"/>
      <c r="BC20" s="1040"/>
      <c r="BD20" s="1040"/>
      <c r="BE20" s="1040"/>
      <c r="BF20" s="979"/>
      <c r="BH20" s="1034"/>
      <c r="BI20" s="1034"/>
      <c r="BJ20" s="1034"/>
      <c r="BL20" s="814">
        <f t="shared" si="9"/>
        <v>0</v>
      </c>
      <c r="BM20" s="814"/>
      <c r="BN20" s="1484"/>
      <c r="BO20" s="1481"/>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H20" s="838">
        <f t="shared" si="35"/>
        <v>0</v>
      </c>
    </row>
    <row r="21" spans="1:112" s="743" customFormat="1" ht="12.75" hidden="1" customHeight="1" outlineLevel="1">
      <c r="A21" s="1484"/>
      <c r="B21" s="1484"/>
      <c r="C21" s="746" t="s">
        <v>900</v>
      </c>
      <c r="D21" s="1010" t="str">
        <f>INDEX(Modules[Module], MATCH($C21, Modules[Code], 0))</f>
        <v>Industrial processes</v>
      </c>
      <c r="E21" s="1010"/>
      <c r="G21" s="1022">
        <f t="shared" ref="G21:P21" ca="1" si="48">IFERROR(INDEX(INDIRECT($C21&amp;".Outputs["&amp;this.Year&amp;"]"), MATCH(G$5, INDIRECT($C21&amp;".Outputs[Vector]"), 0)), 0)</f>
        <v>0</v>
      </c>
      <c r="H21" s="1022">
        <f t="shared" ca="1" si="48"/>
        <v>0</v>
      </c>
      <c r="I21" s="1022">
        <f t="shared" ca="1" si="48"/>
        <v>426.82226933524851</v>
      </c>
      <c r="J21" s="1022">
        <f t="shared" ca="1" si="48"/>
        <v>0</v>
      </c>
      <c r="K21" s="1022">
        <f t="shared" ca="1" si="48"/>
        <v>0</v>
      </c>
      <c r="L21" s="1022">
        <f t="shared" ca="1" si="48"/>
        <v>0</v>
      </c>
      <c r="M21" s="1022">
        <f t="shared" ca="1" si="48"/>
        <v>0</v>
      </c>
      <c r="N21" s="1022">
        <f t="shared" ca="1" si="48"/>
        <v>0</v>
      </c>
      <c r="O21" s="1022">
        <f t="shared" ca="1" si="48"/>
        <v>0</v>
      </c>
      <c r="P21" s="1022">
        <f t="shared" ca="1" si="48"/>
        <v>0</v>
      </c>
      <c r="Q21" s="1020">
        <f ca="1">SUM(G21:P21)</f>
        <v>426.82226933524851</v>
      </c>
      <c r="S21" s="1031">
        <f t="shared" ref="S21:BE21" ca="1" si="49">IFERROR(INDEX(INDIRECT($C21&amp;".Outputs["&amp;this.Year&amp;"]"), MATCH(S$5, INDIRECT($C21&amp;".Outputs[Vector]"), 0)), 0)</f>
        <v>-119.47044692164093</v>
      </c>
      <c r="T21" s="1031">
        <f t="shared" ca="1" si="49"/>
        <v>0</v>
      </c>
      <c r="U21" s="1031">
        <f t="shared" ca="1" si="49"/>
        <v>-56.984964198853909</v>
      </c>
      <c r="V21" s="1031">
        <f t="shared" ca="1" si="49"/>
        <v>-85.261356400174876</v>
      </c>
      <c r="W21" s="1031">
        <f t="shared" ca="1" si="49"/>
        <v>-156.74153878624145</v>
      </c>
      <c r="X21" s="1031">
        <f ca="1">IFERROR(INDEX(INDIRECT($C21&amp;".Outputs["&amp;this.Year&amp;"]"), MATCH(X$5, INDIRECT($C21&amp;".Outputs[Vector]"), 0)), 0)</f>
        <v>0</v>
      </c>
      <c r="Y21" s="1031">
        <f ca="1">IFERROR(INDEX(INDIRECT($C21&amp;".Outputs["&amp;this.Year&amp;"]"), MATCH(Y$5, INDIRECT($C21&amp;".Outputs[Vector]"), 0)), 0)</f>
        <v>0</v>
      </c>
      <c r="Z21" s="1031">
        <f ca="1">IFERROR(INDEX(INDIRECT($C21&amp;".Outputs["&amp;this.Year&amp;"]"), MATCH(Z$5, INDIRECT($C21&amp;".Outputs[Vector]"), 0)), 0)</f>
        <v>0</v>
      </c>
      <c r="AA21" s="1031">
        <f t="shared" ca="1" si="49"/>
        <v>0</v>
      </c>
      <c r="AB21" s="1031">
        <f t="shared" ca="1" si="49"/>
        <v>-8.3639630283373272</v>
      </c>
      <c r="AC21" s="1031">
        <f t="shared" ca="1" si="49"/>
        <v>0</v>
      </c>
      <c r="AD21" s="1031">
        <f t="shared" ca="1" si="49"/>
        <v>0</v>
      </c>
      <c r="AE21" s="1031">
        <f t="shared" ca="1" si="49"/>
        <v>0</v>
      </c>
      <c r="AF21" s="1031">
        <f t="shared" ca="1" si="49"/>
        <v>0</v>
      </c>
      <c r="AG21" s="1031">
        <f t="shared" ca="1" si="49"/>
        <v>0</v>
      </c>
      <c r="AH21" s="1031">
        <f t="shared" ca="1" si="49"/>
        <v>0</v>
      </c>
      <c r="AI21" s="1031">
        <f t="shared" ca="1" si="49"/>
        <v>0</v>
      </c>
      <c r="AJ21" s="1031">
        <f t="shared" ca="1" si="49"/>
        <v>0</v>
      </c>
      <c r="AK21" s="1030">
        <f ca="1">SUM(S21:AJ21)</f>
        <v>-426.82226933524845</v>
      </c>
      <c r="AM21" s="1042">
        <f t="shared" ref="AM21:AU21" ca="1" si="50">IFERROR(INDEX(INDIRECT($C21&amp;".Outputs["&amp;this.Year&amp;"]"), MATCH(AM$5, INDIRECT($C21&amp;".Outputs[Vector]"), 0)), 0)</f>
        <v>0</v>
      </c>
      <c r="AN21" s="1042">
        <f t="shared" ca="1" si="50"/>
        <v>0</v>
      </c>
      <c r="AO21" s="1042">
        <f t="shared" ca="1" si="50"/>
        <v>0</v>
      </c>
      <c r="AP21" s="1042">
        <f t="shared" ca="1" si="50"/>
        <v>0</v>
      </c>
      <c r="AQ21" s="1042">
        <f t="shared" ca="1" si="50"/>
        <v>0</v>
      </c>
      <c r="AR21" s="1042">
        <f t="shared" ca="1" si="50"/>
        <v>0</v>
      </c>
      <c r="AS21" s="1042">
        <f t="shared" ca="1" si="50"/>
        <v>0</v>
      </c>
      <c r="AT21" s="1042">
        <f t="shared" ca="1" si="50"/>
        <v>0</v>
      </c>
      <c r="AU21" s="1042">
        <f t="shared" ca="1" si="50"/>
        <v>0</v>
      </c>
      <c r="AV21" s="1042">
        <f t="shared" ca="1" si="49"/>
        <v>0</v>
      </c>
      <c r="AW21" s="1042">
        <f t="shared" ca="1" si="49"/>
        <v>0</v>
      </c>
      <c r="AX21" s="1042">
        <f t="shared" ca="1" si="49"/>
        <v>0</v>
      </c>
      <c r="AY21" s="1042">
        <f t="shared" ca="1" si="49"/>
        <v>0</v>
      </c>
      <c r="AZ21" s="1042">
        <f t="shared" ca="1" si="49"/>
        <v>0</v>
      </c>
      <c r="BA21" s="1042">
        <f t="shared" ca="1" si="49"/>
        <v>0</v>
      </c>
      <c r="BB21" s="1042">
        <f t="shared" ca="1" si="49"/>
        <v>0</v>
      </c>
      <c r="BC21" s="1042">
        <f t="shared" ca="1" si="49"/>
        <v>0</v>
      </c>
      <c r="BD21" s="1042">
        <f t="shared" ca="1" si="49"/>
        <v>0</v>
      </c>
      <c r="BE21" s="1042">
        <f t="shared" ca="1" si="49"/>
        <v>0</v>
      </c>
      <c r="BF21" s="1012">
        <f ca="1">SUM(AM21:BE21)</f>
        <v>0</v>
      </c>
      <c r="BH21" s="1036">
        <f ca="1">IFERROR(INDEX(INDIRECT($C21&amp;".Outputs["&amp;this.Year&amp;"]"), MATCH(BH$5, INDIRECT($C21&amp;".Outputs[Vector]"), 0)), 0)</f>
        <v>0</v>
      </c>
      <c r="BI21" s="1036">
        <f ca="1">IFERROR(INDEX(INDIRECT($C21&amp;".Outputs["&amp;this.Year&amp;"]"), MATCH(BI$5, INDIRECT($C21&amp;".Outputs[Vector]"), 0)), 0)</f>
        <v>0</v>
      </c>
      <c r="BJ21" s="1035">
        <f ca="1">SUM(BH21:BI21)</f>
        <v>0</v>
      </c>
      <c r="BL21" s="814">
        <f t="shared" ca="1" si="9"/>
        <v>5.6843418860808015E-14</v>
      </c>
      <c r="BM21" s="814"/>
      <c r="BN21" s="840"/>
      <c r="BO21" s="1485">
        <f t="shared" ref="BO21:DF21" ca="1" si="51">IFERROR(SUMIFS(INDIRECT($C21&amp;".Emissions["&amp;this.Year&amp;"]"), INDIRECT($C21&amp;".Emissions[GHG]"), BO$6, INDIRECT($C21&amp;".Emissions[IPCC Sector]"), BO$5),0)</f>
        <v>67.70715120995915</v>
      </c>
      <c r="BP21" s="1486">
        <f t="shared" ca="1" si="51"/>
        <v>0.13590734851782882</v>
      </c>
      <c r="BQ21" s="1486">
        <f t="shared" ca="1" si="51"/>
        <v>0.60116340631399934</v>
      </c>
      <c r="BR21" s="1486">
        <f t="shared" ca="1" si="51"/>
        <v>0</v>
      </c>
      <c r="BS21" s="1486">
        <f t="shared" ca="1" si="51"/>
        <v>0</v>
      </c>
      <c r="BT21" s="1486">
        <f t="shared" ca="1" si="51"/>
        <v>0</v>
      </c>
      <c r="BU21" s="1486">
        <f t="shared" ca="1" si="51"/>
        <v>0</v>
      </c>
      <c r="BV21" s="1486">
        <f t="shared" ca="1" si="51"/>
        <v>0</v>
      </c>
      <c r="BW21" s="1486">
        <f t="shared" ca="1" si="51"/>
        <v>14.433220304947135</v>
      </c>
      <c r="BX21" s="1486">
        <f t="shared" ca="1" si="51"/>
        <v>0.11127565508364799</v>
      </c>
      <c r="BY21" s="1486">
        <f t="shared" ca="1" si="51"/>
        <v>2.7612028219218332</v>
      </c>
      <c r="BZ21" s="1486">
        <f t="shared" ca="1" si="51"/>
        <v>7.8287114330392287</v>
      </c>
      <c r="CA21" s="1486">
        <f t="shared" ca="1" si="51"/>
        <v>0</v>
      </c>
      <c r="CB21" s="1486">
        <f t="shared" ca="1" si="51"/>
        <v>0</v>
      </c>
      <c r="CC21" s="1486">
        <f t="shared" ca="1" si="51"/>
        <v>0</v>
      </c>
      <c r="CD21" s="1486">
        <f t="shared" ca="1" si="51"/>
        <v>0</v>
      </c>
      <c r="CE21" s="1486">
        <f t="shared" ca="1" si="51"/>
        <v>0</v>
      </c>
      <c r="CF21" s="1486">
        <f t="shared" ca="1" si="51"/>
        <v>0</v>
      </c>
      <c r="CG21" s="1486">
        <f t="shared" ca="1" si="51"/>
        <v>0</v>
      </c>
      <c r="CH21" s="1486">
        <f t="shared" ca="1" si="51"/>
        <v>0</v>
      </c>
      <c r="CI21" s="1486">
        <f t="shared" ca="1" si="51"/>
        <v>0</v>
      </c>
      <c r="CJ21" s="1486">
        <f t="shared" ca="1" si="51"/>
        <v>0</v>
      </c>
      <c r="CK21" s="1486">
        <f t="shared" ca="1" si="51"/>
        <v>0</v>
      </c>
      <c r="CL21" s="1486">
        <f t="shared" ca="1" si="51"/>
        <v>0</v>
      </c>
      <c r="CM21" s="1486">
        <f t="shared" ca="1" si="51"/>
        <v>0</v>
      </c>
      <c r="CN21" s="1486">
        <f t="shared" ca="1" si="51"/>
        <v>0</v>
      </c>
      <c r="CO21" s="1486">
        <f t="shared" ca="1" si="51"/>
        <v>0</v>
      </c>
      <c r="CP21" s="1486">
        <f t="shared" ca="1" si="51"/>
        <v>0</v>
      </c>
      <c r="CQ21" s="1486">
        <f t="shared" ca="1" si="51"/>
        <v>0</v>
      </c>
      <c r="CR21" s="1486">
        <f t="shared" ca="1" si="51"/>
        <v>0</v>
      </c>
      <c r="CS21" s="1486">
        <f t="shared" ca="1" si="51"/>
        <v>0</v>
      </c>
      <c r="CT21" s="1486">
        <f t="shared" ca="1" si="51"/>
        <v>0</v>
      </c>
      <c r="CU21" s="1486">
        <f t="shared" ca="1" si="51"/>
        <v>0</v>
      </c>
      <c r="CV21" s="1486">
        <f t="shared" ca="1" si="51"/>
        <v>0</v>
      </c>
      <c r="CW21" s="1486">
        <f t="shared" ca="1" si="51"/>
        <v>0</v>
      </c>
      <c r="CX21" s="1486">
        <f t="shared" ca="1" si="51"/>
        <v>0</v>
      </c>
      <c r="CY21" s="1486">
        <f t="shared" ca="1" si="51"/>
        <v>0</v>
      </c>
      <c r="CZ21" s="1486">
        <f t="shared" ca="1" si="51"/>
        <v>0</v>
      </c>
      <c r="DA21" s="1486">
        <f t="shared" ca="1" si="51"/>
        <v>0</v>
      </c>
      <c r="DB21" s="1486">
        <f t="shared" ca="1" si="51"/>
        <v>0</v>
      </c>
      <c r="DC21" s="1486">
        <f t="shared" ca="1" si="51"/>
        <v>0</v>
      </c>
      <c r="DD21" s="1486">
        <f t="shared" ca="1" si="51"/>
        <v>0</v>
      </c>
      <c r="DE21" s="1486">
        <f t="shared" ca="1" si="51"/>
        <v>0</v>
      </c>
      <c r="DF21" s="1486">
        <f t="shared" ca="1" si="51"/>
        <v>0</v>
      </c>
      <c r="DH21" s="838">
        <f t="shared" ca="1" si="35"/>
        <v>93.578632179782815</v>
      </c>
    </row>
    <row r="22" spans="1:112" s="743" customFormat="1" ht="15.75" collapsed="1">
      <c r="A22" s="22"/>
      <c r="B22" s="753"/>
      <c r="C22" s="744" t="s">
        <v>678</v>
      </c>
      <c r="D22" s="517" t="str">
        <f>INDEX(Workstreams[Workstream], MATCH($C22, Workstreams[Code], 0))</f>
        <v>Industry</v>
      </c>
      <c r="E22" s="512"/>
      <c r="G22" s="1021">
        <f ca="1">G21</f>
        <v>0</v>
      </c>
      <c r="H22" s="1021">
        <f t="shared" ref="H22:P22" ca="1" si="52">H21</f>
        <v>0</v>
      </c>
      <c r="I22" s="1021">
        <f t="shared" ca="1" si="52"/>
        <v>426.82226933524851</v>
      </c>
      <c r="J22" s="1021">
        <f t="shared" ca="1" si="52"/>
        <v>0</v>
      </c>
      <c r="K22" s="1021">
        <f t="shared" ca="1" si="52"/>
        <v>0</v>
      </c>
      <c r="L22" s="1021">
        <f t="shared" ca="1" si="52"/>
        <v>0</v>
      </c>
      <c r="M22" s="1021">
        <f t="shared" ca="1" si="52"/>
        <v>0</v>
      </c>
      <c r="N22" s="1021">
        <f t="shared" ca="1" si="52"/>
        <v>0</v>
      </c>
      <c r="O22" s="1021">
        <f t="shared" ca="1" si="52"/>
        <v>0</v>
      </c>
      <c r="P22" s="1021">
        <f t="shared" ca="1" si="52"/>
        <v>0</v>
      </c>
      <c r="Q22" s="1021">
        <f ca="1">SUM(G22:P22)</f>
        <v>426.82226933524851</v>
      </c>
      <c r="S22" s="970">
        <f t="shared" ref="S22:Z22" ca="1" si="53">S21</f>
        <v>-119.47044692164093</v>
      </c>
      <c r="T22" s="970">
        <f t="shared" ca="1" si="53"/>
        <v>0</v>
      </c>
      <c r="U22" s="970">
        <f t="shared" ca="1" si="53"/>
        <v>-56.984964198853909</v>
      </c>
      <c r="V22" s="970">
        <f t="shared" ca="1" si="53"/>
        <v>-85.261356400174876</v>
      </c>
      <c r="W22" s="970">
        <f t="shared" ca="1" si="53"/>
        <v>-156.74153878624145</v>
      </c>
      <c r="X22" s="970">
        <f t="shared" ca="1" si="53"/>
        <v>0</v>
      </c>
      <c r="Y22" s="970">
        <f t="shared" ca="1" si="53"/>
        <v>0</v>
      </c>
      <c r="Z22" s="970">
        <f t="shared" ca="1" si="53"/>
        <v>0</v>
      </c>
      <c r="AA22" s="970">
        <f t="shared" ref="AA22:AJ22" ca="1" si="54">AA21</f>
        <v>0</v>
      </c>
      <c r="AB22" s="970">
        <f t="shared" ca="1" si="54"/>
        <v>-8.3639630283373272</v>
      </c>
      <c r="AC22" s="970">
        <f t="shared" ca="1" si="54"/>
        <v>0</v>
      </c>
      <c r="AD22" s="970">
        <f ca="1">AD21</f>
        <v>0</v>
      </c>
      <c r="AE22" s="970">
        <f ca="1">AE21</f>
        <v>0</v>
      </c>
      <c r="AF22" s="970">
        <f t="shared" ca="1" si="54"/>
        <v>0</v>
      </c>
      <c r="AG22" s="970">
        <f ca="1">AG21</f>
        <v>0</v>
      </c>
      <c r="AH22" s="970">
        <f ca="1">AH21</f>
        <v>0</v>
      </c>
      <c r="AI22" s="970">
        <f ca="1">AI21</f>
        <v>0</v>
      </c>
      <c r="AJ22" s="970">
        <f t="shared" ca="1" si="54"/>
        <v>0</v>
      </c>
      <c r="AK22" s="970">
        <f ca="1">SUM(S22:AJ22)</f>
        <v>-426.82226933524845</v>
      </c>
      <c r="AM22" s="976">
        <f t="shared" ref="AM22:BE22" ca="1" si="55">AM21</f>
        <v>0</v>
      </c>
      <c r="AN22" s="976">
        <f t="shared" ca="1" si="55"/>
        <v>0</v>
      </c>
      <c r="AO22" s="976">
        <f t="shared" ca="1" si="55"/>
        <v>0</v>
      </c>
      <c r="AP22" s="976">
        <f t="shared" ca="1" si="55"/>
        <v>0</v>
      </c>
      <c r="AQ22" s="976">
        <f t="shared" ca="1" si="55"/>
        <v>0</v>
      </c>
      <c r="AR22" s="976">
        <f t="shared" ca="1" si="55"/>
        <v>0</v>
      </c>
      <c r="AS22" s="976">
        <f t="shared" ca="1" si="55"/>
        <v>0</v>
      </c>
      <c r="AT22" s="976">
        <f t="shared" ca="1" si="55"/>
        <v>0</v>
      </c>
      <c r="AU22" s="976">
        <f t="shared" ca="1" si="55"/>
        <v>0</v>
      </c>
      <c r="AV22" s="976">
        <f t="shared" ca="1" si="55"/>
        <v>0</v>
      </c>
      <c r="AW22" s="976">
        <f t="shared" ca="1" si="55"/>
        <v>0</v>
      </c>
      <c r="AX22" s="976">
        <f t="shared" ca="1" si="55"/>
        <v>0</v>
      </c>
      <c r="AY22" s="976">
        <f t="shared" ca="1" si="55"/>
        <v>0</v>
      </c>
      <c r="AZ22" s="976">
        <f t="shared" ca="1" si="55"/>
        <v>0</v>
      </c>
      <c r="BA22" s="976">
        <f t="shared" ca="1" si="55"/>
        <v>0</v>
      </c>
      <c r="BB22" s="976">
        <f t="shared" ca="1" si="55"/>
        <v>0</v>
      </c>
      <c r="BC22" s="976">
        <f t="shared" ca="1" si="55"/>
        <v>0</v>
      </c>
      <c r="BD22" s="976">
        <f t="shared" ca="1" si="55"/>
        <v>0</v>
      </c>
      <c r="BE22" s="976">
        <f t="shared" ca="1" si="55"/>
        <v>0</v>
      </c>
      <c r="BF22" s="976">
        <f ca="1">SUM(AM22:BE22)</f>
        <v>0</v>
      </c>
      <c r="BH22" s="990">
        <f ca="1">BH21</f>
        <v>0</v>
      </c>
      <c r="BI22" s="990">
        <f ca="1">BI21</f>
        <v>0</v>
      </c>
      <c r="BJ22" s="990">
        <f ca="1">SUM(BH22:BI22)</f>
        <v>0</v>
      </c>
      <c r="BL22" s="515">
        <f t="shared" ca="1" si="9"/>
        <v>5.6843418860808015E-14</v>
      </c>
      <c r="BM22" s="515"/>
      <c r="BN22" s="840"/>
      <c r="BO22" s="1482">
        <f t="shared" ref="BO22:DF22" ca="1" si="56">BO21</f>
        <v>67.70715120995915</v>
      </c>
      <c r="BP22" s="1482">
        <f t="shared" ca="1" si="56"/>
        <v>0.13590734851782882</v>
      </c>
      <c r="BQ22" s="1482">
        <f t="shared" ca="1" si="56"/>
        <v>0.60116340631399934</v>
      </c>
      <c r="BR22" s="1482">
        <f t="shared" ca="1" si="56"/>
        <v>0</v>
      </c>
      <c r="BS22" s="1482">
        <f t="shared" ca="1" si="56"/>
        <v>0</v>
      </c>
      <c r="BT22" s="1482">
        <f t="shared" ca="1" si="56"/>
        <v>0</v>
      </c>
      <c r="BU22" s="1482">
        <f t="shared" ca="1" si="56"/>
        <v>0</v>
      </c>
      <c r="BV22" s="1482">
        <f t="shared" ca="1" si="56"/>
        <v>0</v>
      </c>
      <c r="BW22" s="1482">
        <f t="shared" ca="1" si="56"/>
        <v>14.433220304947135</v>
      </c>
      <c r="BX22" s="1482">
        <f t="shared" ca="1" si="56"/>
        <v>0.11127565508364799</v>
      </c>
      <c r="BY22" s="1482">
        <f t="shared" ca="1" si="56"/>
        <v>2.7612028219218332</v>
      </c>
      <c r="BZ22" s="1482">
        <f t="shared" ca="1" si="56"/>
        <v>7.8287114330392287</v>
      </c>
      <c r="CA22" s="1482">
        <f t="shared" ca="1" si="56"/>
        <v>0</v>
      </c>
      <c r="CB22" s="1482">
        <f t="shared" ca="1" si="56"/>
        <v>0</v>
      </c>
      <c r="CC22" s="1482">
        <f t="shared" ca="1" si="56"/>
        <v>0</v>
      </c>
      <c r="CD22" s="1482">
        <f t="shared" ca="1" si="56"/>
        <v>0</v>
      </c>
      <c r="CE22" s="1482">
        <f t="shared" ca="1" si="56"/>
        <v>0</v>
      </c>
      <c r="CF22" s="1482">
        <f t="shared" ca="1" si="56"/>
        <v>0</v>
      </c>
      <c r="CG22" s="1482">
        <f t="shared" ca="1" si="56"/>
        <v>0</v>
      </c>
      <c r="CH22" s="1482">
        <f t="shared" ca="1" si="56"/>
        <v>0</v>
      </c>
      <c r="CI22" s="1482">
        <f t="shared" ca="1" si="56"/>
        <v>0</v>
      </c>
      <c r="CJ22" s="1482">
        <f t="shared" ca="1" si="56"/>
        <v>0</v>
      </c>
      <c r="CK22" s="1482">
        <f t="shared" ca="1" si="56"/>
        <v>0</v>
      </c>
      <c r="CL22" s="1482">
        <f t="shared" ca="1" si="56"/>
        <v>0</v>
      </c>
      <c r="CM22" s="1482">
        <f t="shared" ca="1" si="56"/>
        <v>0</v>
      </c>
      <c r="CN22" s="1482">
        <f t="shared" ca="1" si="56"/>
        <v>0</v>
      </c>
      <c r="CO22" s="1482">
        <f t="shared" ca="1" si="56"/>
        <v>0</v>
      </c>
      <c r="CP22" s="1482">
        <f t="shared" ca="1" si="56"/>
        <v>0</v>
      </c>
      <c r="CQ22" s="1482">
        <f t="shared" ca="1" si="56"/>
        <v>0</v>
      </c>
      <c r="CR22" s="1482">
        <f t="shared" ca="1" si="56"/>
        <v>0</v>
      </c>
      <c r="CS22" s="1482">
        <f t="shared" ca="1" si="56"/>
        <v>0</v>
      </c>
      <c r="CT22" s="1482">
        <f t="shared" ca="1" si="56"/>
        <v>0</v>
      </c>
      <c r="CU22" s="1482">
        <f t="shared" ca="1" si="56"/>
        <v>0</v>
      </c>
      <c r="CV22" s="1482">
        <f t="shared" ca="1" si="56"/>
        <v>0</v>
      </c>
      <c r="CW22" s="1482">
        <f t="shared" ca="1" si="56"/>
        <v>0</v>
      </c>
      <c r="CX22" s="1482">
        <f t="shared" ca="1" si="56"/>
        <v>0</v>
      </c>
      <c r="CY22" s="1482">
        <f t="shared" ca="1" si="56"/>
        <v>0</v>
      </c>
      <c r="CZ22" s="1482">
        <f t="shared" ca="1" si="56"/>
        <v>0</v>
      </c>
      <c r="DA22" s="1482">
        <f t="shared" ca="1" si="56"/>
        <v>0</v>
      </c>
      <c r="DB22" s="1482">
        <f t="shared" ca="1" si="56"/>
        <v>0</v>
      </c>
      <c r="DC22" s="1482">
        <f t="shared" ca="1" si="56"/>
        <v>0</v>
      </c>
      <c r="DD22" s="1482">
        <f t="shared" ca="1" si="56"/>
        <v>0</v>
      </c>
      <c r="DE22" s="1482">
        <f t="shared" ca="1" si="56"/>
        <v>0</v>
      </c>
      <c r="DF22" s="1482">
        <f t="shared" ca="1" si="56"/>
        <v>0</v>
      </c>
      <c r="DH22" s="838">
        <f t="shared" ca="1" si="35"/>
        <v>93.578632179782815</v>
      </c>
    </row>
    <row r="23" spans="1:112" s="743" customFormat="1" ht="12.75" hidden="1" customHeight="1" outlineLevel="1">
      <c r="A23" s="22"/>
      <c r="B23" s="22"/>
      <c r="C23" s="751"/>
      <c r="D23" s="512"/>
      <c r="E23" s="512"/>
      <c r="G23" s="1021"/>
      <c r="H23" s="1021"/>
      <c r="I23" s="1021"/>
      <c r="J23" s="1021"/>
      <c r="K23" s="1021"/>
      <c r="L23" s="1021"/>
      <c r="M23" s="1021"/>
      <c r="N23" s="1021"/>
      <c r="O23" s="1021"/>
      <c r="P23" s="1021"/>
      <c r="Q23" s="1021"/>
      <c r="S23" s="970"/>
      <c r="T23" s="970"/>
      <c r="U23" s="970"/>
      <c r="V23" s="970"/>
      <c r="W23" s="970"/>
      <c r="X23" s="970"/>
      <c r="Y23" s="970"/>
      <c r="Z23" s="970"/>
      <c r="AA23" s="970"/>
      <c r="AB23" s="970"/>
      <c r="AC23" s="970"/>
      <c r="AD23" s="970"/>
      <c r="AE23" s="970"/>
      <c r="AF23" s="970"/>
      <c r="AG23" s="970"/>
      <c r="AH23" s="970"/>
      <c r="AI23" s="970"/>
      <c r="AJ23" s="970"/>
      <c r="AK23" s="970"/>
      <c r="AM23" s="976"/>
      <c r="AN23" s="976"/>
      <c r="AO23" s="976"/>
      <c r="AP23" s="976"/>
      <c r="AQ23" s="976"/>
      <c r="AR23" s="976"/>
      <c r="AS23" s="976"/>
      <c r="AT23" s="976"/>
      <c r="AU23" s="976"/>
      <c r="AV23" s="976"/>
      <c r="AW23" s="976"/>
      <c r="AX23" s="976"/>
      <c r="AY23" s="976"/>
      <c r="AZ23" s="976"/>
      <c r="BA23" s="976"/>
      <c r="BB23" s="976"/>
      <c r="BC23" s="976"/>
      <c r="BD23" s="976"/>
      <c r="BE23" s="976"/>
      <c r="BF23" s="976"/>
      <c r="BH23" s="990"/>
      <c r="BI23" s="990"/>
      <c r="BJ23" s="990"/>
      <c r="BL23" s="515">
        <f t="shared" si="9"/>
        <v>0</v>
      </c>
      <c r="BM23" s="515"/>
      <c r="BN23" s="22"/>
      <c r="BO23" s="1482"/>
      <c r="BP23" s="1482"/>
      <c r="BQ23" s="1482"/>
      <c r="BR23" s="1482"/>
      <c r="BS23" s="1482"/>
      <c r="BT23" s="1482"/>
      <c r="BU23" s="1482"/>
      <c r="BV23" s="1482"/>
      <c r="BW23" s="1482"/>
      <c r="BX23" s="1482"/>
      <c r="BY23" s="1482"/>
      <c r="BZ23" s="1482"/>
      <c r="CA23" s="1482"/>
      <c r="CB23" s="1482"/>
      <c r="CC23" s="1482"/>
      <c r="CD23" s="1482"/>
      <c r="CE23" s="1482"/>
      <c r="CF23" s="1482"/>
      <c r="CG23" s="1482"/>
      <c r="CH23" s="1482"/>
      <c r="CI23" s="1482"/>
      <c r="CJ23" s="1482"/>
      <c r="CK23" s="1482"/>
      <c r="CL23" s="1482"/>
      <c r="CM23" s="1482"/>
      <c r="CN23" s="1482"/>
      <c r="CO23" s="1482"/>
      <c r="CP23" s="1482"/>
      <c r="CQ23" s="1482"/>
      <c r="CR23" s="1482"/>
      <c r="CS23" s="1482"/>
      <c r="CT23" s="1482"/>
      <c r="CU23" s="1482"/>
      <c r="CV23" s="1482"/>
      <c r="CW23" s="1482"/>
      <c r="CX23" s="1482"/>
      <c r="CY23" s="1482"/>
      <c r="CZ23" s="1482"/>
      <c r="DA23" s="1482"/>
      <c r="DB23" s="1482"/>
      <c r="DC23" s="1482"/>
      <c r="DD23" s="1482"/>
      <c r="DE23" s="1482"/>
      <c r="DF23" s="1482"/>
      <c r="DH23" s="838">
        <f t="shared" si="35"/>
        <v>0</v>
      </c>
    </row>
    <row r="24" spans="1:112" s="743" customFormat="1" ht="12.75" hidden="1" customHeight="1" outlineLevel="1">
      <c r="A24" s="1484"/>
      <c r="B24" s="1484"/>
      <c r="C24" s="746" t="s">
        <v>903</v>
      </c>
      <c r="D24" s="523" t="str">
        <f>INDEX(Modules[Module], MATCH($C24, Modules[Code], 0))</f>
        <v>Domestic passenger transport</v>
      </c>
      <c r="E24" s="1006"/>
      <c r="G24" s="1017">
        <f t="shared" ref="G24:P27" ca="1" si="57">IFERROR(INDEX(INDIRECT($C24&amp;".Outputs["&amp;this.Year&amp;"]"), MATCH(G$5, INDIRECT($C24&amp;".Outputs[Vector]"), 0)), 0)</f>
        <v>0</v>
      </c>
      <c r="H24" s="1017">
        <f t="shared" ca="1" si="57"/>
        <v>0</v>
      </c>
      <c r="I24" s="1017">
        <f t="shared" ca="1" si="57"/>
        <v>0</v>
      </c>
      <c r="J24" s="1017">
        <f t="shared" ca="1" si="57"/>
        <v>284.72654983330506</v>
      </c>
      <c r="K24" s="1017">
        <f t="shared" ca="1" si="57"/>
        <v>13.805775109996326</v>
      </c>
      <c r="L24" s="1017">
        <f t="shared" ca="1" si="57"/>
        <v>11.927979753386868</v>
      </c>
      <c r="M24" s="1017">
        <f t="shared" ca="1" si="57"/>
        <v>0</v>
      </c>
      <c r="N24" s="1017">
        <f t="shared" ca="1" si="57"/>
        <v>0</v>
      </c>
      <c r="O24" s="1017">
        <f t="shared" ca="1" si="57"/>
        <v>0</v>
      </c>
      <c r="P24" s="1017">
        <f t="shared" ca="1" si="57"/>
        <v>0</v>
      </c>
      <c r="Q24" s="1019">
        <f ca="1">SUM(G24:P24)</f>
        <v>310.46030469668824</v>
      </c>
      <c r="S24" s="1026">
        <f t="shared" ref="S24:BE30" ca="1" si="58">IFERROR(INDEX(INDIRECT($C24&amp;".Outputs["&amp;this.Year&amp;"]"), MATCH(S$5, INDIRECT($C24&amp;".Outputs[Vector]"), 0)), 0)</f>
        <v>-10.444885288156176</v>
      </c>
      <c r="T24" s="1026">
        <f t="shared" ca="1" si="58"/>
        <v>0</v>
      </c>
      <c r="U24" s="1026">
        <f t="shared" ca="1" si="58"/>
        <v>0</v>
      </c>
      <c r="V24" s="1026">
        <f t="shared" ca="1" si="58"/>
        <v>-300.01541940853207</v>
      </c>
      <c r="W24" s="1026">
        <f t="shared" ca="1" si="58"/>
        <v>0</v>
      </c>
      <c r="X24" s="1026">
        <f t="shared" ref="X24:Z27" ca="1" si="59">IFERROR(INDEX(INDIRECT($C24&amp;".Outputs["&amp;this.Year&amp;"]"), MATCH(X$5, INDIRECT($C24&amp;".Outputs[Vector]"), 0)), 0)</f>
        <v>0</v>
      </c>
      <c r="Y24" s="1026">
        <f t="shared" ca="1" si="59"/>
        <v>0</v>
      </c>
      <c r="Z24" s="1026">
        <f t="shared" ca="1" si="59"/>
        <v>0</v>
      </c>
      <c r="AA24" s="1026">
        <f t="shared" ca="1" si="58"/>
        <v>0</v>
      </c>
      <c r="AB24" s="1026">
        <f t="shared" ca="1" si="58"/>
        <v>0</v>
      </c>
      <c r="AC24" s="1026">
        <f t="shared" ca="1" si="58"/>
        <v>0</v>
      </c>
      <c r="AD24" s="1026">
        <f t="shared" ca="1" si="58"/>
        <v>0</v>
      </c>
      <c r="AE24" s="1026">
        <f t="shared" ca="1" si="58"/>
        <v>0</v>
      </c>
      <c r="AF24" s="1026">
        <f t="shared" ca="1" si="58"/>
        <v>0</v>
      </c>
      <c r="AG24" s="1026">
        <f t="shared" ca="1" si="58"/>
        <v>0</v>
      </c>
      <c r="AH24" s="1026">
        <f t="shared" ca="1" si="58"/>
        <v>0</v>
      </c>
      <c r="AI24" s="1026">
        <f t="shared" ca="1" si="58"/>
        <v>0</v>
      </c>
      <c r="AJ24" s="1026">
        <f t="shared" ca="1" si="58"/>
        <v>0</v>
      </c>
      <c r="AK24" s="1027">
        <f t="shared" ref="AK24:AK32" ca="1" si="60">SUM(S24:AJ24)</f>
        <v>-310.46030469668824</v>
      </c>
      <c r="AM24" s="1038">
        <f t="shared" ref="AM24:AU27" ca="1" si="61">IFERROR(INDEX(INDIRECT($C24&amp;".Outputs["&amp;this.Year&amp;"]"), MATCH(AM$5, INDIRECT($C24&amp;".Outputs[Vector]"), 0)), 0)</f>
        <v>0</v>
      </c>
      <c r="AN24" s="1038">
        <f t="shared" ca="1" si="61"/>
        <v>0</v>
      </c>
      <c r="AO24" s="1038">
        <f t="shared" ca="1" si="61"/>
        <v>0</v>
      </c>
      <c r="AP24" s="1038">
        <f t="shared" ca="1" si="61"/>
        <v>0</v>
      </c>
      <c r="AQ24" s="1038">
        <f t="shared" ca="1" si="61"/>
        <v>0</v>
      </c>
      <c r="AR24" s="1038">
        <f t="shared" ca="1" si="61"/>
        <v>0</v>
      </c>
      <c r="AS24" s="1038">
        <f t="shared" ca="1" si="61"/>
        <v>0</v>
      </c>
      <c r="AT24" s="1038">
        <f t="shared" ca="1" si="61"/>
        <v>0</v>
      </c>
      <c r="AU24" s="1038">
        <f t="shared" ca="1" si="61"/>
        <v>0</v>
      </c>
      <c r="AV24" s="1038">
        <f t="shared" ca="1" si="58"/>
        <v>0</v>
      </c>
      <c r="AW24" s="1038">
        <f t="shared" ca="1" si="58"/>
        <v>0</v>
      </c>
      <c r="AX24" s="1038">
        <f t="shared" ca="1" si="58"/>
        <v>0</v>
      </c>
      <c r="AY24" s="1038">
        <f t="shared" ca="1" si="58"/>
        <v>0</v>
      </c>
      <c r="AZ24" s="1038">
        <f t="shared" ca="1" si="58"/>
        <v>0</v>
      </c>
      <c r="BA24" s="1038">
        <f t="shared" ca="1" si="58"/>
        <v>0</v>
      </c>
      <c r="BB24" s="1038">
        <f t="shared" ca="1" si="58"/>
        <v>0</v>
      </c>
      <c r="BC24" s="1038">
        <f t="shared" ca="1" si="58"/>
        <v>0</v>
      </c>
      <c r="BD24" s="1038">
        <f t="shared" ca="1" si="58"/>
        <v>0</v>
      </c>
      <c r="BE24" s="1038">
        <f t="shared" ca="1" si="58"/>
        <v>0</v>
      </c>
      <c r="BF24" s="979">
        <f t="shared" ref="BF24:BF32" ca="1" si="62">SUM(AM24:BE24)</f>
        <v>0</v>
      </c>
      <c r="BH24" s="1032">
        <f t="shared" ref="BH24:BI30" ca="1" si="63">IFERROR(INDEX(INDIRECT($C24&amp;".Outputs["&amp;this.Year&amp;"]"), MATCH(BH$5, INDIRECT($C24&amp;".Outputs[Vector]"), 0)), 0)</f>
        <v>0</v>
      </c>
      <c r="BI24" s="1032">
        <f t="shared" ca="1" si="63"/>
        <v>0</v>
      </c>
      <c r="BJ24" s="1034">
        <f t="shared" ref="BJ24:BJ32" ca="1" si="64">SUM(BH24:BI24)</f>
        <v>0</v>
      </c>
      <c r="BL24" s="814">
        <f t="shared" ca="1" si="9"/>
        <v>0</v>
      </c>
      <c r="BM24" s="814"/>
      <c r="BN24" s="840"/>
      <c r="BO24" s="1481">
        <f t="shared" ref="BO24:BX27" ca="1" si="65">IFERROR(SUMIFS(INDIRECT($C24&amp;".Emissions["&amp;this.Year&amp;"]"), INDIRECT($C24&amp;".Emissions[GHG]"), BO$6, INDIRECT($C24&amp;".Emissions[IPCC Sector]"), BO$5),0)</f>
        <v>75.003854852133017</v>
      </c>
      <c r="BP24" s="1482">
        <f t="shared" ca="1" si="65"/>
        <v>9.337950319435008E-2</v>
      </c>
      <c r="BQ24" s="1482">
        <f t="shared" ca="1" si="65"/>
        <v>1.3494730384862186</v>
      </c>
      <c r="BR24" s="1482">
        <f t="shared" ca="1" si="65"/>
        <v>0</v>
      </c>
      <c r="BS24" s="1482">
        <f t="shared" ca="1" si="65"/>
        <v>0</v>
      </c>
      <c r="BT24" s="1482">
        <f t="shared" ca="1" si="65"/>
        <v>0</v>
      </c>
      <c r="BU24" s="1482">
        <f t="shared" ca="1" si="65"/>
        <v>0</v>
      </c>
      <c r="BV24" s="1482">
        <f t="shared" ca="1" si="65"/>
        <v>0</v>
      </c>
      <c r="BW24" s="1482">
        <f t="shared" ca="1" si="65"/>
        <v>0</v>
      </c>
      <c r="BX24" s="1482">
        <f t="shared" ca="1" si="65"/>
        <v>0</v>
      </c>
      <c r="BY24" s="1482">
        <f t="shared" ref="BY24:CH27" ca="1" si="66">IFERROR(SUMIFS(INDIRECT($C24&amp;".Emissions["&amp;this.Year&amp;"]"), INDIRECT($C24&amp;".Emissions[GHG]"), BY$6, INDIRECT($C24&amp;".Emissions[IPCC Sector]"), BY$5),0)</f>
        <v>0</v>
      </c>
      <c r="BZ24" s="1482">
        <f t="shared" ca="1" si="66"/>
        <v>0</v>
      </c>
      <c r="CA24" s="1482">
        <f t="shared" ca="1" si="66"/>
        <v>0</v>
      </c>
      <c r="CB24" s="1482">
        <f t="shared" ca="1" si="66"/>
        <v>0</v>
      </c>
      <c r="CC24" s="1482">
        <f t="shared" ca="1" si="66"/>
        <v>0</v>
      </c>
      <c r="CD24" s="1482">
        <f t="shared" ca="1" si="66"/>
        <v>0</v>
      </c>
      <c r="CE24" s="1482">
        <f t="shared" ca="1" si="66"/>
        <v>0</v>
      </c>
      <c r="CF24" s="1482">
        <f t="shared" ca="1" si="66"/>
        <v>0</v>
      </c>
      <c r="CG24" s="1482">
        <f t="shared" ca="1" si="66"/>
        <v>0</v>
      </c>
      <c r="CH24" s="1482">
        <f t="shared" ca="1" si="66"/>
        <v>0</v>
      </c>
      <c r="CI24" s="1482">
        <f t="shared" ref="CI24:CR27" ca="1" si="67">IFERROR(SUMIFS(INDIRECT($C24&amp;".Emissions["&amp;this.Year&amp;"]"), INDIRECT($C24&amp;".Emissions[GHG]"), CI$6, INDIRECT($C24&amp;".Emissions[IPCC Sector]"), CI$5),0)</f>
        <v>0</v>
      </c>
      <c r="CJ24" s="1482">
        <f t="shared" ca="1" si="67"/>
        <v>0</v>
      </c>
      <c r="CK24" s="1482">
        <f t="shared" ca="1" si="67"/>
        <v>0</v>
      </c>
      <c r="CL24" s="1482">
        <f t="shared" ca="1" si="67"/>
        <v>0</v>
      </c>
      <c r="CM24" s="1482">
        <f t="shared" ca="1" si="67"/>
        <v>0</v>
      </c>
      <c r="CN24" s="1482">
        <f t="shared" ca="1" si="67"/>
        <v>0</v>
      </c>
      <c r="CO24" s="1482">
        <f t="shared" ca="1" si="67"/>
        <v>0</v>
      </c>
      <c r="CP24" s="1482">
        <f t="shared" ca="1" si="67"/>
        <v>0</v>
      </c>
      <c r="CQ24" s="1482">
        <f t="shared" ca="1" si="67"/>
        <v>0</v>
      </c>
      <c r="CR24" s="1482">
        <f t="shared" ca="1" si="67"/>
        <v>0</v>
      </c>
      <c r="CS24" s="1482">
        <f t="shared" ref="CS24:DF27" ca="1" si="68">IFERROR(SUMIFS(INDIRECT($C24&amp;".Emissions["&amp;this.Year&amp;"]"), INDIRECT($C24&amp;".Emissions[GHG]"), CS$6, INDIRECT($C24&amp;".Emissions[IPCC Sector]"), CS$5),0)</f>
        <v>0</v>
      </c>
      <c r="CT24" s="1482">
        <f t="shared" ca="1" si="68"/>
        <v>0</v>
      </c>
      <c r="CU24" s="1482">
        <f t="shared" ca="1" si="68"/>
        <v>0</v>
      </c>
      <c r="CV24" s="1482">
        <f t="shared" ca="1" si="68"/>
        <v>0</v>
      </c>
      <c r="CW24" s="1482">
        <f t="shared" ca="1" si="68"/>
        <v>0</v>
      </c>
      <c r="CX24" s="1482">
        <f t="shared" ca="1" si="68"/>
        <v>0</v>
      </c>
      <c r="CY24" s="1482">
        <f t="shared" ca="1" si="68"/>
        <v>0</v>
      </c>
      <c r="CZ24" s="1482">
        <f t="shared" ca="1" si="68"/>
        <v>0</v>
      </c>
      <c r="DA24" s="1482">
        <f t="shared" ca="1" si="68"/>
        <v>0</v>
      </c>
      <c r="DB24" s="1482">
        <f t="shared" ca="1" si="68"/>
        <v>0</v>
      </c>
      <c r="DC24" s="1482">
        <f t="shared" ca="1" si="68"/>
        <v>0</v>
      </c>
      <c r="DD24" s="1482">
        <f t="shared" ca="1" si="68"/>
        <v>0</v>
      </c>
      <c r="DE24" s="1482">
        <f t="shared" ca="1" si="68"/>
        <v>0</v>
      </c>
      <c r="DF24" s="1482">
        <f t="shared" ca="1" si="68"/>
        <v>0</v>
      </c>
      <c r="DH24" s="838">
        <f t="shared" ca="1" si="35"/>
        <v>76.446707393813597</v>
      </c>
    </row>
    <row r="25" spans="1:112" s="743" customFormat="1" ht="12.75" hidden="1" customHeight="1" outlineLevel="1">
      <c r="A25" s="1484"/>
      <c r="B25" s="1484"/>
      <c r="C25" s="746" t="s">
        <v>916</v>
      </c>
      <c r="D25" s="523" t="str">
        <f>INDEX(Modules[Module], MATCH($C25, Modules[Code], 0))</f>
        <v>Domestic freight</v>
      </c>
      <c r="E25" s="1006"/>
      <c r="G25" s="1017">
        <f t="shared" ca="1" si="57"/>
        <v>0</v>
      </c>
      <c r="H25" s="1017">
        <f t="shared" ca="1" si="57"/>
        <v>0</v>
      </c>
      <c r="I25" s="1017">
        <f t="shared" ca="1" si="57"/>
        <v>0</v>
      </c>
      <c r="J25" s="1017">
        <f t="shared" ca="1" si="57"/>
        <v>107.6603062046963</v>
      </c>
      <c r="K25" s="1017">
        <f t="shared" ca="1" si="57"/>
        <v>2.8625464348827498</v>
      </c>
      <c r="L25" s="1017">
        <f t="shared" ca="1" si="57"/>
        <v>0</v>
      </c>
      <c r="M25" s="1017">
        <f t="shared" ca="1" si="57"/>
        <v>23.996704956708381</v>
      </c>
      <c r="N25" s="1017">
        <f t="shared" ca="1" si="57"/>
        <v>0</v>
      </c>
      <c r="O25" s="1017">
        <f t="shared" ca="1" si="57"/>
        <v>0</v>
      </c>
      <c r="P25" s="1017">
        <f t="shared" ca="1" si="57"/>
        <v>0</v>
      </c>
      <c r="Q25" s="1019">
        <f ca="1">SUM(G25:P25)</f>
        <v>134.51955759628743</v>
      </c>
      <c r="S25" s="1026">
        <f t="shared" ca="1" si="58"/>
        <v>-0.12019539534628801</v>
      </c>
      <c r="T25" s="1026">
        <f t="shared" ca="1" si="58"/>
        <v>0</v>
      </c>
      <c r="U25" s="1026">
        <f t="shared" ca="1" si="58"/>
        <v>0</v>
      </c>
      <c r="V25" s="1026">
        <f t="shared" ca="1" si="58"/>
        <v>-134.39936220094114</v>
      </c>
      <c r="W25" s="1026">
        <f t="shared" ca="1" si="58"/>
        <v>0</v>
      </c>
      <c r="X25" s="1026">
        <f t="shared" ca="1" si="59"/>
        <v>0</v>
      </c>
      <c r="Y25" s="1026">
        <f t="shared" ca="1" si="59"/>
        <v>0</v>
      </c>
      <c r="Z25" s="1026">
        <f t="shared" ca="1" si="59"/>
        <v>0</v>
      </c>
      <c r="AA25" s="1026">
        <f t="shared" ca="1" si="58"/>
        <v>0</v>
      </c>
      <c r="AB25" s="1026">
        <f t="shared" ca="1" si="58"/>
        <v>0</v>
      </c>
      <c r="AC25" s="1026">
        <f t="shared" ca="1" si="58"/>
        <v>0</v>
      </c>
      <c r="AD25" s="1026">
        <f t="shared" ca="1" si="58"/>
        <v>0</v>
      </c>
      <c r="AE25" s="1026">
        <f t="shared" ca="1" si="58"/>
        <v>0</v>
      </c>
      <c r="AF25" s="1026">
        <f t="shared" ca="1" si="58"/>
        <v>0</v>
      </c>
      <c r="AG25" s="1026">
        <f t="shared" ca="1" si="58"/>
        <v>0</v>
      </c>
      <c r="AH25" s="1026">
        <f t="shared" ca="1" si="58"/>
        <v>0</v>
      </c>
      <c r="AI25" s="1026">
        <f t="shared" ca="1" si="58"/>
        <v>0</v>
      </c>
      <c r="AJ25" s="1026">
        <f t="shared" ca="1" si="58"/>
        <v>0</v>
      </c>
      <c r="AK25" s="1027">
        <f t="shared" ca="1" si="60"/>
        <v>-134.51955759628743</v>
      </c>
      <c r="AM25" s="1038">
        <f t="shared" ca="1" si="61"/>
        <v>0</v>
      </c>
      <c r="AN25" s="1038">
        <f t="shared" ca="1" si="61"/>
        <v>0</v>
      </c>
      <c r="AO25" s="1038">
        <f t="shared" ca="1" si="61"/>
        <v>0</v>
      </c>
      <c r="AP25" s="1038">
        <f t="shared" ca="1" si="61"/>
        <v>0</v>
      </c>
      <c r="AQ25" s="1038">
        <f t="shared" ca="1" si="61"/>
        <v>0</v>
      </c>
      <c r="AR25" s="1038">
        <f t="shared" ca="1" si="61"/>
        <v>0</v>
      </c>
      <c r="AS25" s="1038">
        <f t="shared" ca="1" si="61"/>
        <v>0</v>
      </c>
      <c r="AT25" s="1038">
        <f t="shared" ca="1" si="61"/>
        <v>0</v>
      </c>
      <c r="AU25" s="1038">
        <f t="shared" ca="1" si="61"/>
        <v>0</v>
      </c>
      <c r="AV25" s="1038">
        <f t="shared" ca="1" si="58"/>
        <v>0</v>
      </c>
      <c r="AW25" s="1038">
        <f t="shared" ca="1" si="58"/>
        <v>0</v>
      </c>
      <c r="AX25" s="1038">
        <f t="shared" ca="1" si="58"/>
        <v>0</v>
      </c>
      <c r="AY25" s="1038">
        <f t="shared" ca="1" si="58"/>
        <v>0</v>
      </c>
      <c r="AZ25" s="1038">
        <f t="shared" ca="1" si="58"/>
        <v>0</v>
      </c>
      <c r="BA25" s="1038">
        <f t="shared" ca="1" si="58"/>
        <v>0</v>
      </c>
      <c r="BB25" s="1038">
        <f t="shared" ca="1" si="58"/>
        <v>0</v>
      </c>
      <c r="BC25" s="1038">
        <f t="shared" ca="1" si="58"/>
        <v>0</v>
      </c>
      <c r="BD25" s="1038">
        <f t="shared" ca="1" si="58"/>
        <v>0</v>
      </c>
      <c r="BE25" s="1038">
        <f t="shared" ca="1" si="58"/>
        <v>0</v>
      </c>
      <c r="BF25" s="979">
        <f t="shared" ca="1" si="62"/>
        <v>0</v>
      </c>
      <c r="BH25" s="1032">
        <f t="shared" ca="1" si="63"/>
        <v>0</v>
      </c>
      <c r="BI25" s="1032">
        <f t="shared" ca="1" si="63"/>
        <v>0</v>
      </c>
      <c r="BJ25" s="1034">
        <f t="shared" ca="1" si="64"/>
        <v>0</v>
      </c>
      <c r="BL25" s="814">
        <f t="shared" ca="1" si="9"/>
        <v>0</v>
      </c>
      <c r="BM25" s="814"/>
      <c r="BN25" s="840"/>
      <c r="BO25" s="1481">
        <f t="shared" ca="1" si="65"/>
        <v>33.599840550235285</v>
      </c>
      <c r="BP25" s="1482">
        <f t="shared" ca="1" si="65"/>
        <v>4.183166884123319E-2</v>
      </c>
      <c r="BQ25" s="1482">
        <f t="shared" ca="1" si="65"/>
        <v>0.60452998061724283</v>
      </c>
      <c r="BR25" s="1482">
        <f t="shared" ca="1" si="65"/>
        <v>0</v>
      </c>
      <c r="BS25" s="1482">
        <f t="shared" ca="1" si="65"/>
        <v>0</v>
      </c>
      <c r="BT25" s="1482">
        <f t="shared" ca="1" si="65"/>
        <v>0</v>
      </c>
      <c r="BU25" s="1482">
        <f t="shared" ca="1" si="65"/>
        <v>0</v>
      </c>
      <c r="BV25" s="1482">
        <f t="shared" ca="1" si="65"/>
        <v>0</v>
      </c>
      <c r="BW25" s="1482">
        <f t="shared" ca="1" si="65"/>
        <v>0</v>
      </c>
      <c r="BX25" s="1482">
        <f t="shared" ca="1" si="65"/>
        <v>0</v>
      </c>
      <c r="BY25" s="1482">
        <f t="shared" ca="1" si="66"/>
        <v>0</v>
      </c>
      <c r="BZ25" s="1482">
        <f t="shared" ca="1" si="66"/>
        <v>0</v>
      </c>
      <c r="CA25" s="1482">
        <f t="shared" ca="1" si="66"/>
        <v>0</v>
      </c>
      <c r="CB25" s="1482">
        <f t="shared" ca="1" si="66"/>
        <v>0</v>
      </c>
      <c r="CC25" s="1482">
        <f t="shared" ca="1" si="66"/>
        <v>0</v>
      </c>
      <c r="CD25" s="1482">
        <f t="shared" ca="1" si="66"/>
        <v>0</v>
      </c>
      <c r="CE25" s="1482">
        <f t="shared" ca="1" si="66"/>
        <v>0</v>
      </c>
      <c r="CF25" s="1482">
        <f t="shared" ca="1" si="66"/>
        <v>0</v>
      </c>
      <c r="CG25" s="1482">
        <f t="shared" ca="1" si="66"/>
        <v>0</v>
      </c>
      <c r="CH25" s="1482">
        <f t="shared" ca="1" si="66"/>
        <v>0</v>
      </c>
      <c r="CI25" s="1482">
        <f t="shared" ca="1" si="67"/>
        <v>0</v>
      </c>
      <c r="CJ25" s="1482">
        <f t="shared" ca="1" si="67"/>
        <v>0</v>
      </c>
      <c r="CK25" s="1482">
        <f t="shared" ca="1" si="67"/>
        <v>0</v>
      </c>
      <c r="CL25" s="1482">
        <f t="shared" ca="1" si="67"/>
        <v>0</v>
      </c>
      <c r="CM25" s="1482">
        <f t="shared" ca="1" si="67"/>
        <v>0</v>
      </c>
      <c r="CN25" s="1482">
        <f t="shared" ca="1" si="67"/>
        <v>0</v>
      </c>
      <c r="CO25" s="1482">
        <f t="shared" ca="1" si="67"/>
        <v>0</v>
      </c>
      <c r="CP25" s="1482">
        <f t="shared" ca="1" si="67"/>
        <v>0</v>
      </c>
      <c r="CQ25" s="1482">
        <f t="shared" ca="1" si="67"/>
        <v>0</v>
      </c>
      <c r="CR25" s="1482">
        <f t="shared" ca="1" si="67"/>
        <v>0</v>
      </c>
      <c r="CS25" s="1482">
        <f t="shared" ca="1" si="68"/>
        <v>0</v>
      </c>
      <c r="CT25" s="1482">
        <f t="shared" ca="1" si="68"/>
        <v>0</v>
      </c>
      <c r="CU25" s="1482">
        <f t="shared" ca="1" si="68"/>
        <v>0</v>
      </c>
      <c r="CV25" s="1482">
        <f t="shared" ca="1" si="68"/>
        <v>0</v>
      </c>
      <c r="CW25" s="1482">
        <f t="shared" ca="1" si="68"/>
        <v>0</v>
      </c>
      <c r="CX25" s="1482">
        <f t="shared" ca="1" si="68"/>
        <v>0</v>
      </c>
      <c r="CY25" s="1482">
        <f t="shared" ca="1" si="68"/>
        <v>0</v>
      </c>
      <c r="CZ25" s="1482">
        <f t="shared" ca="1" si="68"/>
        <v>0</v>
      </c>
      <c r="DA25" s="1482">
        <f t="shared" ca="1" si="68"/>
        <v>0</v>
      </c>
      <c r="DB25" s="1482">
        <f t="shared" ca="1" si="68"/>
        <v>0</v>
      </c>
      <c r="DC25" s="1482">
        <f t="shared" ca="1" si="68"/>
        <v>0</v>
      </c>
      <c r="DD25" s="1482">
        <f t="shared" ca="1" si="68"/>
        <v>0</v>
      </c>
      <c r="DE25" s="1482">
        <f t="shared" ca="1" si="68"/>
        <v>0</v>
      </c>
      <c r="DF25" s="1482">
        <f t="shared" ca="1" si="68"/>
        <v>0</v>
      </c>
      <c r="DH25" s="838">
        <f t="shared" ca="1" si="35"/>
        <v>34.246202199693762</v>
      </c>
    </row>
    <row r="26" spans="1:112" s="743" customFormat="1" ht="10.5" hidden="1" customHeight="1" outlineLevel="2">
      <c r="A26" s="1480"/>
      <c r="B26" s="1480"/>
      <c r="C26" s="746" t="s">
        <v>919</v>
      </c>
      <c r="D26" s="523" t="str">
        <f>INDEX(Modules[Module], MATCH($C26, Modules[Code], 0))</f>
        <v>International aviation</v>
      </c>
      <c r="E26" s="1006"/>
      <c r="G26" s="1017">
        <f t="shared" ca="1" si="57"/>
        <v>0</v>
      </c>
      <c r="H26" s="1017">
        <f t="shared" ca="1" si="57"/>
        <v>0</v>
      </c>
      <c r="I26" s="1017">
        <f t="shared" ca="1" si="57"/>
        <v>0</v>
      </c>
      <c r="J26" s="1017">
        <f t="shared" ca="1" si="57"/>
        <v>0</v>
      </c>
      <c r="K26" s="1017">
        <f t="shared" ca="1" si="57"/>
        <v>0</v>
      </c>
      <c r="L26" s="1017">
        <f t="shared" ca="1" si="57"/>
        <v>0</v>
      </c>
      <c r="M26" s="1017">
        <f t="shared" ca="1" si="57"/>
        <v>0</v>
      </c>
      <c r="N26" s="1017">
        <f t="shared" ca="1" si="57"/>
        <v>201.39443053847114</v>
      </c>
      <c r="O26" s="1017">
        <f t="shared" ca="1" si="57"/>
        <v>0</v>
      </c>
      <c r="P26" s="1017">
        <f t="shared" ca="1" si="57"/>
        <v>0</v>
      </c>
      <c r="Q26" s="1019">
        <f t="shared" ref="Q26:Q32" ca="1" si="69">SUM(G26:P26)</f>
        <v>201.39443053847114</v>
      </c>
      <c r="S26" s="1026">
        <f t="shared" ca="1" si="58"/>
        <v>0</v>
      </c>
      <c r="T26" s="1026">
        <f t="shared" ca="1" si="58"/>
        <v>0</v>
      </c>
      <c r="U26" s="1026">
        <f t="shared" ca="1" si="58"/>
        <v>0</v>
      </c>
      <c r="V26" s="1026">
        <f t="shared" ca="1" si="58"/>
        <v>-201.39443053847114</v>
      </c>
      <c r="W26" s="1026">
        <f t="shared" ca="1" si="58"/>
        <v>0</v>
      </c>
      <c r="X26" s="1026">
        <f t="shared" ca="1" si="59"/>
        <v>0</v>
      </c>
      <c r="Y26" s="1026">
        <f t="shared" ca="1" si="59"/>
        <v>0</v>
      </c>
      <c r="Z26" s="1026">
        <f t="shared" ca="1" si="59"/>
        <v>0</v>
      </c>
      <c r="AA26" s="1026">
        <f t="shared" ca="1" si="58"/>
        <v>0</v>
      </c>
      <c r="AB26" s="1026">
        <f t="shared" ca="1" si="58"/>
        <v>0</v>
      </c>
      <c r="AC26" s="1026">
        <f t="shared" ca="1" si="58"/>
        <v>0</v>
      </c>
      <c r="AD26" s="1026">
        <f t="shared" ca="1" si="58"/>
        <v>0</v>
      </c>
      <c r="AE26" s="1026">
        <f t="shared" ca="1" si="58"/>
        <v>0</v>
      </c>
      <c r="AF26" s="1026">
        <f t="shared" ca="1" si="58"/>
        <v>0</v>
      </c>
      <c r="AG26" s="1026">
        <f t="shared" ca="1" si="58"/>
        <v>0</v>
      </c>
      <c r="AH26" s="1026">
        <f t="shared" ca="1" si="58"/>
        <v>0</v>
      </c>
      <c r="AI26" s="1026">
        <f t="shared" ca="1" si="58"/>
        <v>0</v>
      </c>
      <c r="AJ26" s="1026">
        <f t="shared" ca="1" si="58"/>
        <v>0</v>
      </c>
      <c r="AK26" s="1027">
        <f t="shared" ca="1" si="60"/>
        <v>-201.39443053847114</v>
      </c>
      <c r="AM26" s="1038">
        <f t="shared" ca="1" si="61"/>
        <v>0</v>
      </c>
      <c r="AN26" s="1038">
        <f t="shared" ca="1" si="61"/>
        <v>0</v>
      </c>
      <c r="AO26" s="1038">
        <f t="shared" ca="1" si="61"/>
        <v>0</v>
      </c>
      <c r="AP26" s="1038">
        <f t="shared" ca="1" si="61"/>
        <v>0</v>
      </c>
      <c r="AQ26" s="1038">
        <f t="shared" ca="1" si="61"/>
        <v>0</v>
      </c>
      <c r="AR26" s="1038">
        <f t="shared" ca="1" si="61"/>
        <v>0</v>
      </c>
      <c r="AS26" s="1038">
        <f t="shared" ca="1" si="61"/>
        <v>0</v>
      </c>
      <c r="AT26" s="1038">
        <f t="shared" ca="1" si="61"/>
        <v>0</v>
      </c>
      <c r="AU26" s="1038">
        <f t="shared" ca="1" si="61"/>
        <v>0</v>
      </c>
      <c r="AV26" s="1038">
        <f t="shared" ca="1" si="58"/>
        <v>0</v>
      </c>
      <c r="AW26" s="1038">
        <f t="shared" ca="1" si="58"/>
        <v>0</v>
      </c>
      <c r="AX26" s="1038">
        <f t="shared" ca="1" si="58"/>
        <v>0</v>
      </c>
      <c r="AY26" s="1038">
        <f t="shared" ca="1" si="58"/>
        <v>0</v>
      </c>
      <c r="AZ26" s="1038">
        <f t="shared" ca="1" si="58"/>
        <v>0</v>
      </c>
      <c r="BA26" s="1038">
        <f t="shared" ca="1" si="58"/>
        <v>0</v>
      </c>
      <c r="BB26" s="1038">
        <f t="shared" ca="1" si="58"/>
        <v>0</v>
      </c>
      <c r="BC26" s="1038">
        <f t="shared" ca="1" si="58"/>
        <v>0</v>
      </c>
      <c r="BD26" s="1038">
        <f t="shared" ca="1" si="58"/>
        <v>0</v>
      </c>
      <c r="BE26" s="1038">
        <f t="shared" ca="1" si="58"/>
        <v>0</v>
      </c>
      <c r="BF26" s="977">
        <f t="shared" ca="1" si="62"/>
        <v>0</v>
      </c>
      <c r="BH26" s="1032">
        <f t="shared" ca="1" si="63"/>
        <v>0</v>
      </c>
      <c r="BI26" s="1032">
        <f t="shared" ca="1" si="63"/>
        <v>0</v>
      </c>
      <c r="BJ26" s="1034">
        <f t="shared" ca="1" si="64"/>
        <v>0</v>
      </c>
      <c r="BL26" s="524">
        <f t="shared" ca="1" si="9"/>
        <v>0</v>
      </c>
      <c r="BM26" s="524"/>
      <c r="BN26" s="840"/>
      <c r="BO26" s="1481">
        <f t="shared" ca="1" si="65"/>
        <v>0</v>
      </c>
      <c r="BP26" s="1482">
        <f t="shared" ca="1" si="65"/>
        <v>0</v>
      </c>
      <c r="BQ26" s="1482">
        <f t="shared" ca="1" si="65"/>
        <v>0</v>
      </c>
      <c r="BR26" s="1482">
        <f t="shared" ca="1" si="65"/>
        <v>0</v>
      </c>
      <c r="BS26" s="1482">
        <f t="shared" ca="1" si="65"/>
        <v>0</v>
      </c>
      <c r="BT26" s="1482">
        <f t="shared" ca="1" si="65"/>
        <v>0</v>
      </c>
      <c r="BU26" s="1482">
        <f t="shared" ca="1" si="65"/>
        <v>0</v>
      </c>
      <c r="BV26" s="1482">
        <f t="shared" ca="1" si="65"/>
        <v>0</v>
      </c>
      <c r="BW26" s="1482">
        <f t="shared" ca="1" si="65"/>
        <v>0</v>
      </c>
      <c r="BX26" s="1482">
        <f t="shared" ca="1" si="65"/>
        <v>0</v>
      </c>
      <c r="BY26" s="1482">
        <f t="shared" ca="1" si="66"/>
        <v>0</v>
      </c>
      <c r="BZ26" s="1482">
        <f t="shared" ca="1" si="66"/>
        <v>0</v>
      </c>
      <c r="CA26" s="1482">
        <f t="shared" ca="1" si="66"/>
        <v>0</v>
      </c>
      <c r="CB26" s="1482">
        <f t="shared" ca="1" si="66"/>
        <v>0</v>
      </c>
      <c r="CC26" s="1482">
        <f t="shared" ca="1" si="66"/>
        <v>0</v>
      </c>
      <c r="CD26" s="1482">
        <f t="shared" ca="1" si="66"/>
        <v>0</v>
      </c>
      <c r="CE26" s="1482">
        <f t="shared" ca="1" si="66"/>
        <v>0</v>
      </c>
      <c r="CF26" s="1482">
        <f t="shared" ca="1" si="66"/>
        <v>0</v>
      </c>
      <c r="CG26" s="1482">
        <f t="shared" ca="1" si="66"/>
        <v>0</v>
      </c>
      <c r="CH26" s="1482">
        <f t="shared" ca="1" si="66"/>
        <v>0</v>
      </c>
      <c r="CI26" s="1482">
        <f t="shared" ca="1" si="67"/>
        <v>0</v>
      </c>
      <c r="CJ26" s="1482">
        <f t="shared" ca="1" si="67"/>
        <v>0</v>
      </c>
      <c r="CK26" s="1482">
        <f t="shared" ca="1" si="67"/>
        <v>0</v>
      </c>
      <c r="CL26" s="1482">
        <f t="shared" ca="1" si="67"/>
        <v>0</v>
      </c>
      <c r="CM26" s="1482">
        <f t="shared" ca="1" si="67"/>
        <v>0</v>
      </c>
      <c r="CN26" s="1482">
        <f t="shared" ca="1" si="67"/>
        <v>0</v>
      </c>
      <c r="CO26" s="1482">
        <f t="shared" ca="1" si="67"/>
        <v>0</v>
      </c>
      <c r="CP26" s="1482">
        <f t="shared" ca="1" si="67"/>
        <v>0</v>
      </c>
      <c r="CQ26" s="1482">
        <f t="shared" ca="1" si="67"/>
        <v>0</v>
      </c>
      <c r="CR26" s="1482">
        <f t="shared" ca="1" si="67"/>
        <v>0</v>
      </c>
      <c r="CS26" s="1482">
        <f t="shared" ca="1" si="68"/>
        <v>0</v>
      </c>
      <c r="CT26" s="1482">
        <f t="shared" ca="1" si="68"/>
        <v>0</v>
      </c>
      <c r="CU26" s="1482">
        <f t="shared" ca="1" si="68"/>
        <v>50.348607634617785</v>
      </c>
      <c r="CV26" s="1482">
        <f t="shared" ca="1" si="68"/>
        <v>6.2683817741324602E-2</v>
      </c>
      <c r="CW26" s="1482">
        <f t="shared" ca="1" si="68"/>
        <v>0.90587462020701515</v>
      </c>
      <c r="CX26" s="1482">
        <f t="shared" ca="1" si="68"/>
        <v>0</v>
      </c>
      <c r="CY26" s="1482">
        <f t="shared" ca="1" si="68"/>
        <v>0</v>
      </c>
      <c r="CZ26" s="1482">
        <f t="shared" ca="1" si="68"/>
        <v>0</v>
      </c>
      <c r="DA26" s="1482">
        <f t="shared" ca="1" si="68"/>
        <v>0</v>
      </c>
      <c r="DB26" s="1482">
        <f t="shared" ca="1" si="68"/>
        <v>0</v>
      </c>
      <c r="DC26" s="1482">
        <f t="shared" ca="1" si="68"/>
        <v>0</v>
      </c>
      <c r="DD26" s="1482">
        <f t="shared" ca="1" si="68"/>
        <v>0</v>
      </c>
      <c r="DE26" s="1482">
        <f t="shared" ca="1" si="68"/>
        <v>0</v>
      </c>
      <c r="DF26" s="1482">
        <f t="shared" ca="1" si="68"/>
        <v>0</v>
      </c>
      <c r="DH26" s="838">
        <f t="shared" ca="1" si="35"/>
        <v>51.317166072566124</v>
      </c>
    </row>
    <row r="27" spans="1:112" s="743" customFormat="1" ht="10.5" hidden="1" customHeight="1" outlineLevel="2">
      <c r="A27" s="1483"/>
      <c r="B27" s="1483"/>
      <c r="C27" s="1009" t="s">
        <v>954</v>
      </c>
      <c r="D27" s="1005" t="str">
        <f>INDEX(Modules[Module], MATCH($C27, Modules[Code], 0))</f>
        <v>Domestic aviation [UNUSED - see XII.a]</v>
      </c>
      <c r="E27" s="1006"/>
      <c r="G27" s="1018">
        <f t="shared" ca="1" si="57"/>
        <v>0</v>
      </c>
      <c r="H27" s="1018">
        <f t="shared" ca="1" si="57"/>
        <v>0</v>
      </c>
      <c r="I27" s="1018">
        <f t="shared" ca="1" si="57"/>
        <v>0</v>
      </c>
      <c r="J27" s="1018">
        <f t="shared" ca="1" si="57"/>
        <v>0</v>
      </c>
      <c r="K27" s="1018">
        <f t="shared" ca="1" si="57"/>
        <v>0</v>
      </c>
      <c r="L27" s="1018">
        <f t="shared" ca="1" si="57"/>
        <v>0</v>
      </c>
      <c r="M27" s="1018">
        <f t="shared" ca="1" si="57"/>
        <v>0</v>
      </c>
      <c r="N27" s="1018">
        <f t="shared" ca="1" si="57"/>
        <v>0</v>
      </c>
      <c r="O27" s="1018">
        <f t="shared" ca="1" si="57"/>
        <v>0</v>
      </c>
      <c r="P27" s="1018">
        <f t="shared" ca="1" si="57"/>
        <v>0</v>
      </c>
      <c r="Q27" s="1024">
        <f t="shared" ca="1" si="69"/>
        <v>0</v>
      </c>
      <c r="S27" s="1028">
        <f t="shared" ca="1" si="58"/>
        <v>0</v>
      </c>
      <c r="T27" s="1028">
        <f t="shared" ca="1" si="58"/>
        <v>0</v>
      </c>
      <c r="U27" s="1028">
        <f t="shared" ca="1" si="58"/>
        <v>0</v>
      </c>
      <c r="V27" s="1028">
        <f t="shared" ca="1" si="58"/>
        <v>0</v>
      </c>
      <c r="W27" s="1028">
        <f t="shared" ca="1" si="58"/>
        <v>0</v>
      </c>
      <c r="X27" s="1028">
        <f t="shared" ca="1" si="59"/>
        <v>0</v>
      </c>
      <c r="Y27" s="1028">
        <f t="shared" ca="1" si="59"/>
        <v>0</v>
      </c>
      <c r="Z27" s="1028">
        <f t="shared" ca="1" si="59"/>
        <v>0</v>
      </c>
      <c r="AA27" s="1028">
        <f t="shared" ca="1" si="58"/>
        <v>0</v>
      </c>
      <c r="AB27" s="1028">
        <f t="shared" ca="1" si="58"/>
        <v>0</v>
      </c>
      <c r="AC27" s="1028">
        <f t="shared" ca="1" si="58"/>
        <v>0</v>
      </c>
      <c r="AD27" s="1028">
        <f t="shared" ca="1" si="58"/>
        <v>0</v>
      </c>
      <c r="AE27" s="1028">
        <f t="shared" ca="1" si="58"/>
        <v>0</v>
      </c>
      <c r="AF27" s="1028">
        <f t="shared" ca="1" si="58"/>
        <v>0</v>
      </c>
      <c r="AG27" s="1028">
        <f t="shared" ca="1" si="58"/>
        <v>0</v>
      </c>
      <c r="AH27" s="1028">
        <f t="shared" ca="1" si="58"/>
        <v>0</v>
      </c>
      <c r="AI27" s="1028">
        <f t="shared" ca="1" si="58"/>
        <v>0</v>
      </c>
      <c r="AJ27" s="1028">
        <f t="shared" ca="1" si="58"/>
        <v>0</v>
      </c>
      <c r="AK27" s="1029">
        <f t="shared" ca="1" si="60"/>
        <v>0</v>
      </c>
      <c r="AM27" s="1039">
        <f t="shared" ca="1" si="61"/>
        <v>0</v>
      </c>
      <c r="AN27" s="1039">
        <f t="shared" ca="1" si="61"/>
        <v>0</v>
      </c>
      <c r="AO27" s="1039">
        <f t="shared" ca="1" si="61"/>
        <v>0</v>
      </c>
      <c r="AP27" s="1039">
        <f t="shared" ca="1" si="61"/>
        <v>0</v>
      </c>
      <c r="AQ27" s="1039">
        <f t="shared" ca="1" si="61"/>
        <v>0</v>
      </c>
      <c r="AR27" s="1039">
        <f t="shared" ca="1" si="61"/>
        <v>0</v>
      </c>
      <c r="AS27" s="1039">
        <f t="shared" ca="1" si="61"/>
        <v>0</v>
      </c>
      <c r="AT27" s="1039">
        <f t="shared" ca="1" si="61"/>
        <v>0</v>
      </c>
      <c r="AU27" s="1039">
        <f t="shared" ca="1" si="61"/>
        <v>0</v>
      </c>
      <c r="AV27" s="1039">
        <f t="shared" ca="1" si="58"/>
        <v>0</v>
      </c>
      <c r="AW27" s="1039">
        <f t="shared" ca="1" si="58"/>
        <v>0</v>
      </c>
      <c r="AX27" s="1039">
        <f t="shared" ca="1" si="58"/>
        <v>0</v>
      </c>
      <c r="AY27" s="1039">
        <f t="shared" ca="1" si="58"/>
        <v>0</v>
      </c>
      <c r="AZ27" s="1039">
        <f t="shared" ca="1" si="58"/>
        <v>0</v>
      </c>
      <c r="BA27" s="1039">
        <f t="shared" ca="1" si="58"/>
        <v>0</v>
      </c>
      <c r="BB27" s="1039">
        <f t="shared" ca="1" si="58"/>
        <v>0</v>
      </c>
      <c r="BC27" s="1039">
        <f t="shared" ca="1" si="58"/>
        <v>0</v>
      </c>
      <c r="BD27" s="1039">
        <f t="shared" ca="1" si="58"/>
        <v>0</v>
      </c>
      <c r="BE27" s="1039">
        <f t="shared" ca="1" si="58"/>
        <v>0</v>
      </c>
      <c r="BF27" s="1008">
        <f t="shared" ca="1" si="62"/>
        <v>0</v>
      </c>
      <c r="BH27" s="1033">
        <f t="shared" ca="1" si="63"/>
        <v>0</v>
      </c>
      <c r="BI27" s="1033">
        <f t="shared" ca="1" si="63"/>
        <v>0</v>
      </c>
      <c r="BJ27" s="1044">
        <f t="shared" ca="1" si="64"/>
        <v>0</v>
      </c>
      <c r="BL27" s="1007">
        <f t="shared" ca="1" si="9"/>
        <v>0</v>
      </c>
      <c r="BM27" s="1007"/>
      <c r="BN27" s="840"/>
      <c r="BO27" s="1481">
        <f t="shared" ca="1" si="65"/>
        <v>0</v>
      </c>
      <c r="BP27" s="1482">
        <f t="shared" ca="1" si="65"/>
        <v>0</v>
      </c>
      <c r="BQ27" s="1482">
        <f t="shared" ca="1" si="65"/>
        <v>0</v>
      </c>
      <c r="BR27" s="1482">
        <f t="shared" ca="1" si="65"/>
        <v>0</v>
      </c>
      <c r="BS27" s="1482">
        <f t="shared" ca="1" si="65"/>
        <v>0</v>
      </c>
      <c r="BT27" s="1482">
        <f t="shared" ca="1" si="65"/>
        <v>0</v>
      </c>
      <c r="BU27" s="1482">
        <f t="shared" ca="1" si="65"/>
        <v>0</v>
      </c>
      <c r="BV27" s="1482">
        <f t="shared" ca="1" si="65"/>
        <v>0</v>
      </c>
      <c r="BW27" s="1482">
        <f t="shared" ca="1" si="65"/>
        <v>0</v>
      </c>
      <c r="BX27" s="1482">
        <f t="shared" ca="1" si="65"/>
        <v>0</v>
      </c>
      <c r="BY27" s="1482">
        <f t="shared" ca="1" si="66"/>
        <v>0</v>
      </c>
      <c r="BZ27" s="1482">
        <f t="shared" ca="1" si="66"/>
        <v>0</v>
      </c>
      <c r="CA27" s="1482">
        <f t="shared" ca="1" si="66"/>
        <v>0</v>
      </c>
      <c r="CB27" s="1482">
        <f t="shared" ca="1" si="66"/>
        <v>0</v>
      </c>
      <c r="CC27" s="1482">
        <f t="shared" ca="1" si="66"/>
        <v>0</v>
      </c>
      <c r="CD27" s="1482">
        <f t="shared" ca="1" si="66"/>
        <v>0</v>
      </c>
      <c r="CE27" s="1482">
        <f t="shared" ca="1" si="66"/>
        <v>0</v>
      </c>
      <c r="CF27" s="1482">
        <f t="shared" ca="1" si="66"/>
        <v>0</v>
      </c>
      <c r="CG27" s="1482">
        <f t="shared" ca="1" si="66"/>
        <v>0</v>
      </c>
      <c r="CH27" s="1482">
        <f t="shared" ca="1" si="66"/>
        <v>0</v>
      </c>
      <c r="CI27" s="1482">
        <f t="shared" ca="1" si="67"/>
        <v>0</v>
      </c>
      <c r="CJ27" s="1482">
        <f t="shared" ca="1" si="67"/>
        <v>0</v>
      </c>
      <c r="CK27" s="1482">
        <f t="shared" ca="1" si="67"/>
        <v>0</v>
      </c>
      <c r="CL27" s="1482">
        <f t="shared" ca="1" si="67"/>
        <v>0</v>
      </c>
      <c r="CM27" s="1482">
        <f t="shared" ca="1" si="67"/>
        <v>0</v>
      </c>
      <c r="CN27" s="1482">
        <f t="shared" ca="1" si="67"/>
        <v>0</v>
      </c>
      <c r="CO27" s="1482">
        <f t="shared" ca="1" si="67"/>
        <v>0</v>
      </c>
      <c r="CP27" s="1482">
        <f t="shared" ca="1" si="67"/>
        <v>0</v>
      </c>
      <c r="CQ27" s="1482">
        <f t="shared" ca="1" si="67"/>
        <v>0</v>
      </c>
      <c r="CR27" s="1482">
        <f t="shared" ca="1" si="67"/>
        <v>0</v>
      </c>
      <c r="CS27" s="1482">
        <f t="shared" ca="1" si="68"/>
        <v>0</v>
      </c>
      <c r="CT27" s="1482">
        <f t="shared" ca="1" si="68"/>
        <v>0</v>
      </c>
      <c r="CU27" s="1482">
        <f t="shared" ca="1" si="68"/>
        <v>0</v>
      </c>
      <c r="CV27" s="1482">
        <f t="shared" ca="1" si="68"/>
        <v>0</v>
      </c>
      <c r="CW27" s="1482">
        <f t="shared" ca="1" si="68"/>
        <v>0</v>
      </c>
      <c r="CX27" s="1482">
        <f t="shared" ca="1" si="68"/>
        <v>0</v>
      </c>
      <c r="CY27" s="1482">
        <f t="shared" ca="1" si="68"/>
        <v>0</v>
      </c>
      <c r="CZ27" s="1482">
        <f t="shared" ca="1" si="68"/>
        <v>0</v>
      </c>
      <c r="DA27" s="1482">
        <f t="shared" ca="1" si="68"/>
        <v>0</v>
      </c>
      <c r="DB27" s="1482">
        <f t="shared" ca="1" si="68"/>
        <v>0</v>
      </c>
      <c r="DC27" s="1482">
        <f t="shared" ca="1" si="68"/>
        <v>0</v>
      </c>
      <c r="DD27" s="1482">
        <f t="shared" ca="1" si="68"/>
        <v>0</v>
      </c>
      <c r="DE27" s="1482">
        <f t="shared" ca="1" si="68"/>
        <v>0</v>
      </c>
      <c r="DF27" s="1482">
        <f t="shared" ca="1" si="68"/>
        <v>0</v>
      </c>
      <c r="DH27" s="838">
        <f t="shared" ca="1" si="35"/>
        <v>0</v>
      </c>
    </row>
    <row r="28" spans="1:112" s="743" customFormat="1" ht="10.5" hidden="1" customHeight="1" outlineLevel="1">
      <c r="A28" s="1484"/>
      <c r="B28" s="1484"/>
      <c r="C28" s="746"/>
      <c r="D28" s="523" t="s">
        <v>960</v>
      </c>
      <c r="E28" s="1006"/>
      <c r="G28" s="1019">
        <f ca="1">SUM(G26:G27)</f>
        <v>0</v>
      </c>
      <c r="H28" s="1019">
        <f t="shared" ref="H28:P28" ca="1" si="70">SUM(H26:H27)</f>
        <v>0</v>
      </c>
      <c r="I28" s="1019">
        <f t="shared" ca="1" si="70"/>
        <v>0</v>
      </c>
      <c r="J28" s="1019">
        <f t="shared" ca="1" si="70"/>
        <v>0</v>
      </c>
      <c r="K28" s="1019">
        <f t="shared" ca="1" si="70"/>
        <v>0</v>
      </c>
      <c r="L28" s="1019">
        <f t="shared" ca="1" si="70"/>
        <v>0</v>
      </c>
      <c r="M28" s="1019">
        <f t="shared" ca="1" si="70"/>
        <v>0</v>
      </c>
      <c r="N28" s="1019">
        <f t="shared" ca="1" si="70"/>
        <v>201.39443053847114</v>
      </c>
      <c r="O28" s="1019">
        <f t="shared" ca="1" si="70"/>
        <v>0</v>
      </c>
      <c r="P28" s="1019">
        <f t="shared" ca="1" si="70"/>
        <v>0</v>
      </c>
      <c r="Q28" s="1019">
        <f t="shared" ca="1" si="69"/>
        <v>201.39443053847114</v>
      </c>
      <c r="S28" s="1027">
        <f t="shared" ref="S28:Z28" ca="1" si="71">SUM(S26:S27)</f>
        <v>0</v>
      </c>
      <c r="T28" s="1027">
        <f t="shared" ca="1" si="71"/>
        <v>0</v>
      </c>
      <c r="U28" s="1027">
        <f t="shared" ca="1" si="71"/>
        <v>0</v>
      </c>
      <c r="V28" s="1027">
        <f t="shared" ca="1" si="71"/>
        <v>-201.39443053847114</v>
      </c>
      <c r="W28" s="1027">
        <f t="shared" ca="1" si="71"/>
        <v>0</v>
      </c>
      <c r="X28" s="1027">
        <f t="shared" ca="1" si="71"/>
        <v>0</v>
      </c>
      <c r="Y28" s="1027">
        <f t="shared" ca="1" si="71"/>
        <v>0</v>
      </c>
      <c r="Z28" s="1027">
        <f t="shared" ca="1" si="71"/>
        <v>0</v>
      </c>
      <c r="AA28" s="1027">
        <f t="shared" ref="AA28:AJ28" ca="1" si="72">SUM(AA26:AA27)</f>
        <v>0</v>
      </c>
      <c r="AB28" s="1027">
        <f t="shared" ca="1" si="72"/>
        <v>0</v>
      </c>
      <c r="AC28" s="1027">
        <f t="shared" ca="1" si="72"/>
        <v>0</v>
      </c>
      <c r="AD28" s="1027">
        <f ca="1">SUM(AD26:AD27)</f>
        <v>0</v>
      </c>
      <c r="AE28" s="1027">
        <f ca="1">SUM(AE26:AE27)</f>
        <v>0</v>
      </c>
      <c r="AF28" s="1027">
        <f t="shared" ca="1" si="72"/>
        <v>0</v>
      </c>
      <c r="AG28" s="1027">
        <f ca="1">SUM(AG26:AG27)</f>
        <v>0</v>
      </c>
      <c r="AH28" s="1027">
        <f ca="1">SUM(AH26:AH27)</f>
        <v>0</v>
      </c>
      <c r="AI28" s="1027">
        <f ca="1">SUM(AI26:AI27)</f>
        <v>0</v>
      </c>
      <c r="AJ28" s="1027">
        <f t="shared" ca="1" si="72"/>
        <v>0</v>
      </c>
      <c r="AK28" s="1027">
        <f t="shared" ca="1" si="60"/>
        <v>-201.39443053847114</v>
      </c>
      <c r="AM28" s="1040">
        <f t="shared" ref="AM28:BE28" ca="1" si="73">SUM(AM26:AM27)</f>
        <v>0</v>
      </c>
      <c r="AN28" s="1040">
        <f t="shared" ca="1" si="73"/>
        <v>0</v>
      </c>
      <c r="AO28" s="1040">
        <f t="shared" ca="1" si="73"/>
        <v>0</v>
      </c>
      <c r="AP28" s="1040">
        <f t="shared" ca="1" si="73"/>
        <v>0</v>
      </c>
      <c r="AQ28" s="1040">
        <f t="shared" ca="1" si="73"/>
        <v>0</v>
      </c>
      <c r="AR28" s="1040">
        <f t="shared" ca="1" si="73"/>
        <v>0</v>
      </c>
      <c r="AS28" s="1040">
        <f t="shared" ca="1" si="73"/>
        <v>0</v>
      </c>
      <c r="AT28" s="1040">
        <f t="shared" ca="1" si="73"/>
        <v>0</v>
      </c>
      <c r="AU28" s="1040">
        <f t="shared" ca="1" si="73"/>
        <v>0</v>
      </c>
      <c r="AV28" s="1040">
        <f t="shared" ca="1" si="73"/>
        <v>0</v>
      </c>
      <c r="AW28" s="1040">
        <f t="shared" ca="1" si="73"/>
        <v>0</v>
      </c>
      <c r="AX28" s="1040">
        <f t="shared" ca="1" si="73"/>
        <v>0</v>
      </c>
      <c r="AY28" s="1040">
        <f t="shared" ca="1" si="73"/>
        <v>0</v>
      </c>
      <c r="AZ28" s="1040">
        <f t="shared" ca="1" si="73"/>
        <v>0</v>
      </c>
      <c r="BA28" s="1040">
        <f t="shared" ca="1" si="73"/>
        <v>0</v>
      </c>
      <c r="BB28" s="1040">
        <f t="shared" ca="1" si="73"/>
        <v>0</v>
      </c>
      <c r="BC28" s="1040">
        <f t="shared" ca="1" si="73"/>
        <v>0</v>
      </c>
      <c r="BD28" s="1040">
        <f t="shared" ca="1" si="73"/>
        <v>0</v>
      </c>
      <c r="BE28" s="1040">
        <f t="shared" ca="1" si="73"/>
        <v>0</v>
      </c>
      <c r="BF28" s="977">
        <f t="shared" ca="1" si="62"/>
        <v>0</v>
      </c>
      <c r="BH28" s="1034">
        <f ca="1">SUM(BH26:BH27)</f>
        <v>0</v>
      </c>
      <c r="BI28" s="1034">
        <f ca="1">SUM(BI26:BI27)</f>
        <v>0</v>
      </c>
      <c r="BJ28" s="1034">
        <f t="shared" ca="1" si="64"/>
        <v>0</v>
      </c>
      <c r="BL28" s="524">
        <f t="shared" ca="1" si="9"/>
        <v>0</v>
      </c>
      <c r="BM28" s="524"/>
      <c r="BN28" s="840"/>
      <c r="BO28" s="1481">
        <f t="shared" ref="BO28:DF28" ca="1" si="74">SUM(BO26:BO27)</f>
        <v>0</v>
      </c>
      <c r="BP28" s="1482">
        <f t="shared" ca="1" si="74"/>
        <v>0</v>
      </c>
      <c r="BQ28" s="1482">
        <f t="shared" ca="1" si="74"/>
        <v>0</v>
      </c>
      <c r="BR28" s="1482">
        <f t="shared" ca="1" si="74"/>
        <v>0</v>
      </c>
      <c r="BS28" s="1482">
        <f t="shared" ca="1" si="74"/>
        <v>0</v>
      </c>
      <c r="BT28" s="1482">
        <f t="shared" ca="1" si="74"/>
        <v>0</v>
      </c>
      <c r="BU28" s="1482">
        <f t="shared" ca="1" si="74"/>
        <v>0</v>
      </c>
      <c r="BV28" s="1482">
        <f t="shared" ca="1" si="74"/>
        <v>0</v>
      </c>
      <c r="BW28" s="1482">
        <f t="shared" ca="1" si="74"/>
        <v>0</v>
      </c>
      <c r="BX28" s="1482">
        <f t="shared" ca="1" si="74"/>
        <v>0</v>
      </c>
      <c r="BY28" s="1482">
        <f t="shared" ca="1" si="74"/>
        <v>0</v>
      </c>
      <c r="BZ28" s="1482">
        <f t="shared" ca="1" si="74"/>
        <v>0</v>
      </c>
      <c r="CA28" s="1482">
        <f t="shared" ca="1" si="74"/>
        <v>0</v>
      </c>
      <c r="CB28" s="1482">
        <f t="shared" ca="1" si="74"/>
        <v>0</v>
      </c>
      <c r="CC28" s="1482">
        <f t="shared" ca="1" si="74"/>
        <v>0</v>
      </c>
      <c r="CD28" s="1482">
        <f t="shared" ca="1" si="74"/>
        <v>0</v>
      </c>
      <c r="CE28" s="1482">
        <f t="shared" ca="1" si="74"/>
        <v>0</v>
      </c>
      <c r="CF28" s="1482">
        <f t="shared" ca="1" si="74"/>
        <v>0</v>
      </c>
      <c r="CG28" s="1482">
        <f t="shared" ca="1" si="74"/>
        <v>0</v>
      </c>
      <c r="CH28" s="1482">
        <f t="shared" ca="1" si="74"/>
        <v>0</v>
      </c>
      <c r="CI28" s="1482">
        <f t="shared" ca="1" si="74"/>
        <v>0</v>
      </c>
      <c r="CJ28" s="1482">
        <f t="shared" ca="1" si="74"/>
        <v>0</v>
      </c>
      <c r="CK28" s="1482">
        <f t="shared" ca="1" si="74"/>
        <v>0</v>
      </c>
      <c r="CL28" s="1482">
        <f t="shared" ca="1" si="74"/>
        <v>0</v>
      </c>
      <c r="CM28" s="1482">
        <f t="shared" ca="1" si="74"/>
        <v>0</v>
      </c>
      <c r="CN28" s="1482">
        <f t="shared" ca="1" si="74"/>
        <v>0</v>
      </c>
      <c r="CO28" s="1482">
        <f t="shared" ca="1" si="74"/>
        <v>0</v>
      </c>
      <c r="CP28" s="1482">
        <f t="shared" ca="1" si="74"/>
        <v>0</v>
      </c>
      <c r="CQ28" s="1482">
        <f t="shared" ca="1" si="74"/>
        <v>0</v>
      </c>
      <c r="CR28" s="1482">
        <f t="shared" ca="1" si="74"/>
        <v>0</v>
      </c>
      <c r="CS28" s="1482">
        <f t="shared" ca="1" si="74"/>
        <v>0</v>
      </c>
      <c r="CT28" s="1482">
        <f t="shared" ca="1" si="74"/>
        <v>0</v>
      </c>
      <c r="CU28" s="1482">
        <f t="shared" ca="1" si="74"/>
        <v>50.348607634617785</v>
      </c>
      <c r="CV28" s="1482">
        <f t="shared" ca="1" si="74"/>
        <v>6.2683817741324602E-2</v>
      </c>
      <c r="CW28" s="1482">
        <f t="shared" ca="1" si="74"/>
        <v>0.90587462020701515</v>
      </c>
      <c r="CX28" s="1482">
        <f t="shared" ca="1" si="74"/>
        <v>0</v>
      </c>
      <c r="CY28" s="1482">
        <f t="shared" ca="1" si="74"/>
        <v>0</v>
      </c>
      <c r="CZ28" s="1482">
        <f t="shared" ca="1" si="74"/>
        <v>0</v>
      </c>
      <c r="DA28" s="1482">
        <f t="shared" ca="1" si="74"/>
        <v>0</v>
      </c>
      <c r="DB28" s="1482">
        <f t="shared" ca="1" si="74"/>
        <v>0</v>
      </c>
      <c r="DC28" s="1482">
        <f t="shared" ca="1" si="74"/>
        <v>0</v>
      </c>
      <c r="DD28" s="1482">
        <f t="shared" ca="1" si="74"/>
        <v>0</v>
      </c>
      <c r="DE28" s="1482">
        <f t="shared" ca="1" si="74"/>
        <v>0</v>
      </c>
      <c r="DF28" s="1482">
        <f t="shared" ca="1" si="74"/>
        <v>0</v>
      </c>
      <c r="DH28" s="838">
        <f t="shared" ca="1" si="35"/>
        <v>51.317166072566124</v>
      </c>
    </row>
    <row r="29" spans="1:112" s="743" customFormat="1" ht="12.75" hidden="1" customHeight="1" outlineLevel="2">
      <c r="A29" s="1480"/>
      <c r="B29" s="1480"/>
      <c r="C29" s="746" t="s">
        <v>957</v>
      </c>
      <c r="D29" s="523" t="str">
        <f>INDEX(Modules[Module], MATCH($C29, Modules[Code], 0))</f>
        <v>International shipping (maritime bunkers)</v>
      </c>
      <c r="E29" s="1006"/>
      <c r="G29" s="1017">
        <f t="shared" ref="G29:P30" ca="1" si="75">IFERROR(INDEX(INDIRECT($C29&amp;".Outputs["&amp;this.Year&amp;"]"), MATCH(G$5, INDIRECT($C29&amp;".Outputs[Vector]"), 0)), 0)</f>
        <v>0</v>
      </c>
      <c r="H29" s="1017">
        <f t="shared" ca="1" si="75"/>
        <v>0</v>
      </c>
      <c r="I29" s="1017">
        <f t="shared" ca="1" si="75"/>
        <v>0</v>
      </c>
      <c r="J29" s="1017">
        <f t="shared" ca="1" si="75"/>
        <v>0</v>
      </c>
      <c r="K29" s="1017">
        <f t="shared" ca="1" si="75"/>
        <v>0</v>
      </c>
      <c r="L29" s="1017">
        <f t="shared" ca="1" si="75"/>
        <v>0</v>
      </c>
      <c r="M29" s="1017">
        <f t="shared" ca="1" si="75"/>
        <v>0</v>
      </c>
      <c r="N29" s="1017">
        <f t="shared" ca="1" si="75"/>
        <v>0</v>
      </c>
      <c r="O29" s="1017">
        <f t="shared" ca="1" si="75"/>
        <v>58.747666138590283</v>
      </c>
      <c r="P29" s="1017">
        <f t="shared" ca="1" si="75"/>
        <v>0</v>
      </c>
      <c r="Q29" s="1019">
        <f t="shared" ca="1" si="69"/>
        <v>58.747666138590283</v>
      </c>
      <c r="S29" s="1026">
        <f t="shared" ca="1" si="58"/>
        <v>0</v>
      </c>
      <c r="T29" s="1026">
        <f t="shared" ca="1" si="58"/>
        <v>0</v>
      </c>
      <c r="U29" s="1026">
        <f t="shared" ca="1" si="58"/>
        <v>0</v>
      </c>
      <c r="V29" s="1026">
        <f t="shared" ca="1" si="58"/>
        <v>-58.747666138590283</v>
      </c>
      <c r="W29" s="1026">
        <f t="shared" ca="1" si="58"/>
        <v>0</v>
      </c>
      <c r="X29" s="1026">
        <f t="shared" ref="X29:Z30" ca="1" si="76">IFERROR(INDEX(INDIRECT($C29&amp;".Outputs["&amp;this.Year&amp;"]"), MATCH(X$5, INDIRECT($C29&amp;".Outputs[Vector]"), 0)), 0)</f>
        <v>0</v>
      </c>
      <c r="Y29" s="1026">
        <f t="shared" ca="1" si="76"/>
        <v>0</v>
      </c>
      <c r="Z29" s="1026">
        <f t="shared" ca="1" si="76"/>
        <v>0</v>
      </c>
      <c r="AA29" s="1026">
        <f t="shared" ca="1" si="58"/>
        <v>0</v>
      </c>
      <c r="AB29" s="1026">
        <f t="shared" ca="1" si="58"/>
        <v>0</v>
      </c>
      <c r="AC29" s="1026">
        <f t="shared" ca="1" si="58"/>
        <v>0</v>
      </c>
      <c r="AD29" s="1026">
        <f t="shared" ca="1" si="58"/>
        <v>0</v>
      </c>
      <c r="AE29" s="1026">
        <f t="shared" ca="1" si="58"/>
        <v>0</v>
      </c>
      <c r="AF29" s="1026">
        <f t="shared" ca="1" si="58"/>
        <v>0</v>
      </c>
      <c r="AG29" s="1026">
        <f t="shared" ca="1" si="58"/>
        <v>0</v>
      </c>
      <c r="AH29" s="1026">
        <f t="shared" ca="1" si="58"/>
        <v>0</v>
      </c>
      <c r="AI29" s="1026">
        <f t="shared" ca="1" si="58"/>
        <v>0</v>
      </c>
      <c r="AJ29" s="1026">
        <f t="shared" ca="1" si="58"/>
        <v>0</v>
      </c>
      <c r="AK29" s="1027">
        <f t="shared" ca="1" si="60"/>
        <v>-58.747666138590283</v>
      </c>
      <c r="AM29" s="1038">
        <f t="shared" ref="AM29:AU30" ca="1" si="77">IFERROR(INDEX(INDIRECT($C29&amp;".Outputs["&amp;this.Year&amp;"]"), MATCH(AM$5, INDIRECT($C29&amp;".Outputs[Vector]"), 0)), 0)</f>
        <v>0</v>
      </c>
      <c r="AN29" s="1038">
        <f t="shared" ca="1" si="77"/>
        <v>0</v>
      </c>
      <c r="AO29" s="1038">
        <f t="shared" ca="1" si="77"/>
        <v>0</v>
      </c>
      <c r="AP29" s="1038">
        <f t="shared" ca="1" si="77"/>
        <v>0</v>
      </c>
      <c r="AQ29" s="1038">
        <f t="shared" ca="1" si="77"/>
        <v>0</v>
      </c>
      <c r="AR29" s="1038">
        <f t="shared" ca="1" si="77"/>
        <v>0</v>
      </c>
      <c r="AS29" s="1038">
        <f t="shared" ca="1" si="77"/>
        <v>0</v>
      </c>
      <c r="AT29" s="1038">
        <f t="shared" ca="1" si="77"/>
        <v>0</v>
      </c>
      <c r="AU29" s="1038">
        <f t="shared" ca="1" si="77"/>
        <v>0</v>
      </c>
      <c r="AV29" s="1038">
        <f t="shared" ca="1" si="58"/>
        <v>0</v>
      </c>
      <c r="AW29" s="1038">
        <f t="shared" ca="1" si="58"/>
        <v>0</v>
      </c>
      <c r="AX29" s="1038">
        <f t="shared" ca="1" si="58"/>
        <v>0</v>
      </c>
      <c r="AY29" s="1038">
        <f t="shared" ca="1" si="58"/>
        <v>0</v>
      </c>
      <c r="AZ29" s="1038">
        <f t="shared" ca="1" si="58"/>
        <v>0</v>
      </c>
      <c r="BA29" s="1038">
        <f t="shared" ca="1" si="58"/>
        <v>0</v>
      </c>
      <c r="BB29" s="1038">
        <f t="shared" ca="1" si="58"/>
        <v>0</v>
      </c>
      <c r="BC29" s="1038">
        <f t="shared" ca="1" si="58"/>
        <v>0</v>
      </c>
      <c r="BD29" s="1038">
        <f t="shared" ca="1" si="58"/>
        <v>0</v>
      </c>
      <c r="BE29" s="1038">
        <f t="shared" ca="1" si="58"/>
        <v>0</v>
      </c>
      <c r="BF29" s="979">
        <f t="shared" ca="1" si="62"/>
        <v>0</v>
      </c>
      <c r="BH29" s="1032">
        <f t="shared" ca="1" si="63"/>
        <v>0</v>
      </c>
      <c r="BI29" s="1032">
        <f t="shared" ca="1" si="63"/>
        <v>0</v>
      </c>
      <c r="BJ29" s="1034">
        <f t="shared" ca="1" si="64"/>
        <v>0</v>
      </c>
      <c r="BL29" s="814">
        <f t="shared" ca="1" si="9"/>
        <v>0</v>
      </c>
      <c r="BM29" s="814"/>
      <c r="BN29" s="840"/>
      <c r="BO29" s="1481">
        <f t="shared" ref="BO29:BX30" ca="1" si="78">IFERROR(SUMIFS(INDIRECT($C29&amp;".Emissions["&amp;this.Year&amp;"]"), INDIRECT($C29&amp;".Emissions[GHG]"), BO$6, INDIRECT($C29&amp;".Emissions[IPCC Sector]"), BO$5),0)</f>
        <v>0</v>
      </c>
      <c r="BP29" s="1482">
        <f t="shared" ca="1" si="78"/>
        <v>0</v>
      </c>
      <c r="BQ29" s="1482">
        <f t="shared" ca="1" si="78"/>
        <v>0</v>
      </c>
      <c r="BR29" s="1482">
        <f t="shared" ca="1" si="78"/>
        <v>0</v>
      </c>
      <c r="BS29" s="1482">
        <f t="shared" ca="1" si="78"/>
        <v>0</v>
      </c>
      <c r="BT29" s="1482">
        <f t="shared" ca="1" si="78"/>
        <v>0</v>
      </c>
      <c r="BU29" s="1482">
        <f t="shared" ca="1" si="78"/>
        <v>0</v>
      </c>
      <c r="BV29" s="1482">
        <f t="shared" ca="1" si="78"/>
        <v>0</v>
      </c>
      <c r="BW29" s="1482">
        <f t="shared" ca="1" si="78"/>
        <v>0</v>
      </c>
      <c r="BX29" s="1482">
        <f t="shared" ca="1" si="78"/>
        <v>0</v>
      </c>
      <c r="BY29" s="1482">
        <f t="shared" ref="BY29:CH30" ca="1" si="79">IFERROR(SUMIFS(INDIRECT($C29&amp;".Emissions["&amp;this.Year&amp;"]"), INDIRECT($C29&amp;".Emissions[GHG]"), BY$6, INDIRECT($C29&amp;".Emissions[IPCC Sector]"), BY$5),0)</f>
        <v>0</v>
      </c>
      <c r="BZ29" s="1482">
        <f t="shared" ca="1" si="79"/>
        <v>0</v>
      </c>
      <c r="CA29" s="1482">
        <f t="shared" ca="1" si="79"/>
        <v>0</v>
      </c>
      <c r="CB29" s="1482">
        <f t="shared" ca="1" si="79"/>
        <v>0</v>
      </c>
      <c r="CC29" s="1482">
        <f t="shared" ca="1" si="79"/>
        <v>0</v>
      </c>
      <c r="CD29" s="1482">
        <f t="shared" ca="1" si="79"/>
        <v>0</v>
      </c>
      <c r="CE29" s="1482">
        <f t="shared" ca="1" si="79"/>
        <v>0</v>
      </c>
      <c r="CF29" s="1482">
        <f t="shared" ca="1" si="79"/>
        <v>0</v>
      </c>
      <c r="CG29" s="1482">
        <f t="shared" ca="1" si="79"/>
        <v>0</v>
      </c>
      <c r="CH29" s="1482">
        <f t="shared" ca="1" si="79"/>
        <v>0</v>
      </c>
      <c r="CI29" s="1482">
        <f t="shared" ref="CI29:CR30" ca="1" si="80">IFERROR(SUMIFS(INDIRECT($C29&amp;".Emissions["&amp;this.Year&amp;"]"), INDIRECT($C29&amp;".Emissions[GHG]"), CI$6, INDIRECT($C29&amp;".Emissions[IPCC Sector]"), CI$5),0)</f>
        <v>0</v>
      </c>
      <c r="CJ29" s="1482">
        <f t="shared" ca="1" si="80"/>
        <v>0</v>
      </c>
      <c r="CK29" s="1482">
        <f t="shared" ca="1" si="80"/>
        <v>0</v>
      </c>
      <c r="CL29" s="1482">
        <f t="shared" ca="1" si="80"/>
        <v>0</v>
      </c>
      <c r="CM29" s="1482">
        <f t="shared" ca="1" si="80"/>
        <v>0</v>
      </c>
      <c r="CN29" s="1482">
        <f t="shared" ca="1" si="80"/>
        <v>0</v>
      </c>
      <c r="CO29" s="1482">
        <f t="shared" ca="1" si="80"/>
        <v>0</v>
      </c>
      <c r="CP29" s="1482">
        <f t="shared" ca="1" si="80"/>
        <v>0</v>
      </c>
      <c r="CQ29" s="1482">
        <f t="shared" ca="1" si="80"/>
        <v>0</v>
      </c>
      <c r="CR29" s="1482">
        <f t="shared" ca="1" si="80"/>
        <v>0</v>
      </c>
      <c r="CS29" s="1482">
        <f t="shared" ref="CS29:DF30" ca="1" si="81">IFERROR(SUMIFS(INDIRECT($C29&amp;".Emissions["&amp;this.Year&amp;"]"), INDIRECT($C29&amp;".Emissions[GHG]"), CS$6, INDIRECT($C29&amp;".Emissions[IPCC Sector]"), CS$5),0)</f>
        <v>0</v>
      </c>
      <c r="CT29" s="1482">
        <f t="shared" ca="1" si="81"/>
        <v>0</v>
      </c>
      <c r="CU29" s="1482">
        <f t="shared" ca="1" si="81"/>
        <v>14.686916534647571</v>
      </c>
      <c r="CV29" s="1482">
        <f t="shared" ca="1" si="81"/>
        <v>1.8285153105344336E-2</v>
      </c>
      <c r="CW29" s="1482">
        <f t="shared" ca="1" si="81"/>
        <v>0.26424772328139473</v>
      </c>
      <c r="CX29" s="1482">
        <f t="shared" ca="1" si="81"/>
        <v>0</v>
      </c>
      <c r="CY29" s="1482">
        <f t="shared" ca="1" si="81"/>
        <v>0</v>
      </c>
      <c r="CZ29" s="1482">
        <f t="shared" ca="1" si="81"/>
        <v>0</v>
      </c>
      <c r="DA29" s="1482">
        <f t="shared" ca="1" si="81"/>
        <v>0</v>
      </c>
      <c r="DB29" s="1482">
        <f t="shared" ca="1" si="81"/>
        <v>0</v>
      </c>
      <c r="DC29" s="1482">
        <f t="shared" ca="1" si="81"/>
        <v>0</v>
      </c>
      <c r="DD29" s="1482">
        <f t="shared" ca="1" si="81"/>
        <v>0</v>
      </c>
      <c r="DE29" s="1482">
        <f t="shared" ca="1" si="81"/>
        <v>0</v>
      </c>
      <c r="DF29" s="1482">
        <f t="shared" ca="1" si="81"/>
        <v>0</v>
      </c>
      <c r="DH29" s="838">
        <f t="shared" ca="1" si="35"/>
        <v>14.96944941103431</v>
      </c>
    </row>
    <row r="30" spans="1:112" s="743" customFormat="1" ht="10.5" hidden="1" customHeight="1" outlineLevel="2">
      <c r="A30" s="1483"/>
      <c r="B30" s="1483"/>
      <c r="C30" s="1009" t="s">
        <v>959</v>
      </c>
      <c r="D30" s="1005" t="str">
        <f>INDEX(Modules[Module], MATCH($C30, Modules[Code], 0))</f>
        <v>National navigation [UNUSED - see XII.a]</v>
      </c>
      <c r="E30" s="1006"/>
      <c r="G30" s="1018">
        <f t="shared" ca="1" si="75"/>
        <v>0</v>
      </c>
      <c r="H30" s="1018">
        <f t="shared" ca="1" si="75"/>
        <v>0</v>
      </c>
      <c r="I30" s="1018">
        <f t="shared" ca="1" si="75"/>
        <v>0</v>
      </c>
      <c r="J30" s="1018">
        <f t="shared" ca="1" si="75"/>
        <v>0</v>
      </c>
      <c r="K30" s="1018">
        <f t="shared" ca="1" si="75"/>
        <v>0</v>
      </c>
      <c r="L30" s="1018">
        <f t="shared" ca="1" si="75"/>
        <v>0</v>
      </c>
      <c r="M30" s="1018">
        <f t="shared" ca="1" si="75"/>
        <v>0</v>
      </c>
      <c r="N30" s="1018">
        <f t="shared" ca="1" si="75"/>
        <v>0</v>
      </c>
      <c r="O30" s="1018">
        <f t="shared" ca="1" si="75"/>
        <v>0</v>
      </c>
      <c r="P30" s="1018">
        <f t="shared" ca="1" si="75"/>
        <v>0</v>
      </c>
      <c r="Q30" s="1024">
        <f t="shared" ca="1" si="69"/>
        <v>0</v>
      </c>
      <c r="S30" s="1028">
        <f t="shared" ca="1" si="58"/>
        <v>0</v>
      </c>
      <c r="T30" s="1028">
        <f t="shared" ca="1" si="58"/>
        <v>0</v>
      </c>
      <c r="U30" s="1028">
        <f t="shared" ca="1" si="58"/>
        <v>0</v>
      </c>
      <c r="V30" s="1028">
        <f t="shared" ca="1" si="58"/>
        <v>0</v>
      </c>
      <c r="W30" s="1028">
        <f t="shared" ca="1" si="58"/>
        <v>0</v>
      </c>
      <c r="X30" s="1028">
        <f t="shared" ca="1" si="76"/>
        <v>0</v>
      </c>
      <c r="Y30" s="1028">
        <f t="shared" ca="1" si="76"/>
        <v>0</v>
      </c>
      <c r="Z30" s="1028">
        <f t="shared" ca="1" si="76"/>
        <v>0</v>
      </c>
      <c r="AA30" s="1028">
        <f t="shared" ca="1" si="58"/>
        <v>0</v>
      </c>
      <c r="AB30" s="1028">
        <f t="shared" ca="1" si="58"/>
        <v>0</v>
      </c>
      <c r="AC30" s="1028">
        <f t="shared" ca="1" si="58"/>
        <v>0</v>
      </c>
      <c r="AD30" s="1028">
        <f t="shared" ca="1" si="58"/>
        <v>0</v>
      </c>
      <c r="AE30" s="1028">
        <f t="shared" ca="1" si="58"/>
        <v>0</v>
      </c>
      <c r="AF30" s="1028">
        <f t="shared" ca="1" si="58"/>
        <v>0</v>
      </c>
      <c r="AG30" s="1028">
        <f t="shared" ca="1" si="58"/>
        <v>0</v>
      </c>
      <c r="AH30" s="1028">
        <f t="shared" ca="1" si="58"/>
        <v>0</v>
      </c>
      <c r="AI30" s="1028">
        <f t="shared" ca="1" si="58"/>
        <v>0</v>
      </c>
      <c r="AJ30" s="1028">
        <f t="shared" ca="1" si="58"/>
        <v>0</v>
      </c>
      <c r="AK30" s="1029">
        <f t="shared" ca="1" si="60"/>
        <v>0</v>
      </c>
      <c r="AM30" s="1039">
        <f t="shared" ca="1" si="77"/>
        <v>0</v>
      </c>
      <c r="AN30" s="1039">
        <f t="shared" ca="1" si="77"/>
        <v>0</v>
      </c>
      <c r="AO30" s="1039">
        <f t="shared" ca="1" si="77"/>
        <v>0</v>
      </c>
      <c r="AP30" s="1039">
        <f t="shared" ca="1" si="77"/>
        <v>0</v>
      </c>
      <c r="AQ30" s="1039">
        <f t="shared" ca="1" si="77"/>
        <v>0</v>
      </c>
      <c r="AR30" s="1039">
        <f t="shared" ca="1" si="77"/>
        <v>0</v>
      </c>
      <c r="AS30" s="1039">
        <f t="shared" ca="1" si="77"/>
        <v>0</v>
      </c>
      <c r="AT30" s="1039">
        <f t="shared" ca="1" si="77"/>
        <v>0</v>
      </c>
      <c r="AU30" s="1039">
        <f t="shared" ca="1" si="77"/>
        <v>0</v>
      </c>
      <c r="AV30" s="1039">
        <f t="shared" ca="1" si="58"/>
        <v>0</v>
      </c>
      <c r="AW30" s="1039">
        <f t="shared" ca="1" si="58"/>
        <v>0</v>
      </c>
      <c r="AX30" s="1039">
        <f t="shared" ca="1" si="58"/>
        <v>0</v>
      </c>
      <c r="AY30" s="1039">
        <f t="shared" ca="1" si="58"/>
        <v>0</v>
      </c>
      <c r="AZ30" s="1039">
        <f t="shared" ca="1" si="58"/>
        <v>0</v>
      </c>
      <c r="BA30" s="1039">
        <f t="shared" ca="1" si="58"/>
        <v>0</v>
      </c>
      <c r="BB30" s="1039">
        <f t="shared" ca="1" si="58"/>
        <v>0</v>
      </c>
      <c r="BC30" s="1039">
        <f t="shared" ca="1" si="58"/>
        <v>0</v>
      </c>
      <c r="BD30" s="1039">
        <f t="shared" ca="1" si="58"/>
        <v>0</v>
      </c>
      <c r="BE30" s="1039">
        <f t="shared" ca="1" si="58"/>
        <v>0</v>
      </c>
      <c r="BF30" s="1008">
        <f t="shared" ca="1" si="62"/>
        <v>0</v>
      </c>
      <c r="BH30" s="1033">
        <f t="shared" ca="1" si="63"/>
        <v>0</v>
      </c>
      <c r="BI30" s="1033">
        <f t="shared" ca="1" si="63"/>
        <v>0</v>
      </c>
      <c r="BJ30" s="1044">
        <f t="shared" ca="1" si="64"/>
        <v>0</v>
      </c>
      <c r="BL30" s="1007">
        <f t="shared" ca="1" si="9"/>
        <v>0</v>
      </c>
      <c r="BM30" s="1007"/>
      <c r="BN30" s="840"/>
      <c r="BO30" s="1481">
        <f t="shared" ca="1" si="78"/>
        <v>0</v>
      </c>
      <c r="BP30" s="1482">
        <f t="shared" ca="1" si="78"/>
        <v>0</v>
      </c>
      <c r="BQ30" s="1482">
        <f t="shared" ca="1" si="78"/>
        <v>0</v>
      </c>
      <c r="BR30" s="1482">
        <f t="shared" ca="1" si="78"/>
        <v>0</v>
      </c>
      <c r="BS30" s="1482">
        <f t="shared" ca="1" si="78"/>
        <v>0</v>
      </c>
      <c r="BT30" s="1482">
        <f t="shared" ca="1" si="78"/>
        <v>0</v>
      </c>
      <c r="BU30" s="1482">
        <f t="shared" ca="1" si="78"/>
        <v>0</v>
      </c>
      <c r="BV30" s="1482">
        <f t="shared" ca="1" si="78"/>
        <v>0</v>
      </c>
      <c r="BW30" s="1482">
        <f t="shared" ca="1" si="78"/>
        <v>0</v>
      </c>
      <c r="BX30" s="1482">
        <f t="shared" ca="1" si="78"/>
        <v>0</v>
      </c>
      <c r="BY30" s="1482">
        <f t="shared" ca="1" si="79"/>
        <v>0</v>
      </c>
      <c r="BZ30" s="1482">
        <f t="shared" ca="1" si="79"/>
        <v>0</v>
      </c>
      <c r="CA30" s="1482">
        <f t="shared" ca="1" si="79"/>
        <v>0</v>
      </c>
      <c r="CB30" s="1482">
        <f t="shared" ca="1" si="79"/>
        <v>0</v>
      </c>
      <c r="CC30" s="1482">
        <f t="shared" ca="1" si="79"/>
        <v>0</v>
      </c>
      <c r="CD30" s="1482">
        <f t="shared" ca="1" si="79"/>
        <v>0</v>
      </c>
      <c r="CE30" s="1482">
        <f t="shared" ca="1" si="79"/>
        <v>0</v>
      </c>
      <c r="CF30" s="1482">
        <f t="shared" ca="1" si="79"/>
        <v>0</v>
      </c>
      <c r="CG30" s="1482">
        <f t="shared" ca="1" si="79"/>
        <v>0</v>
      </c>
      <c r="CH30" s="1482">
        <f t="shared" ca="1" si="79"/>
        <v>0</v>
      </c>
      <c r="CI30" s="1482">
        <f t="shared" ca="1" si="80"/>
        <v>0</v>
      </c>
      <c r="CJ30" s="1482">
        <f t="shared" ca="1" si="80"/>
        <v>0</v>
      </c>
      <c r="CK30" s="1482">
        <f t="shared" ca="1" si="80"/>
        <v>0</v>
      </c>
      <c r="CL30" s="1482">
        <f t="shared" ca="1" si="80"/>
        <v>0</v>
      </c>
      <c r="CM30" s="1482">
        <f t="shared" ca="1" si="80"/>
        <v>0</v>
      </c>
      <c r="CN30" s="1482">
        <f t="shared" ca="1" si="80"/>
        <v>0</v>
      </c>
      <c r="CO30" s="1482">
        <f t="shared" ca="1" si="80"/>
        <v>0</v>
      </c>
      <c r="CP30" s="1482">
        <f t="shared" ca="1" si="80"/>
        <v>0</v>
      </c>
      <c r="CQ30" s="1482">
        <f t="shared" ca="1" si="80"/>
        <v>0</v>
      </c>
      <c r="CR30" s="1482">
        <f t="shared" ca="1" si="80"/>
        <v>0</v>
      </c>
      <c r="CS30" s="1482">
        <f t="shared" ca="1" si="81"/>
        <v>0</v>
      </c>
      <c r="CT30" s="1482">
        <f t="shared" ca="1" si="81"/>
        <v>0</v>
      </c>
      <c r="CU30" s="1482">
        <f t="shared" ca="1" si="81"/>
        <v>0</v>
      </c>
      <c r="CV30" s="1482">
        <f t="shared" ca="1" si="81"/>
        <v>0</v>
      </c>
      <c r="CW30" s="1482">
        <f t="shared" ca="1" si="81"/>
        <v>0</v>
      </c>
      <c r="CX30" s="1482">
        <f t="shared" ca="1" si="81"/>
        <v>0</v>
      </c>
      <c r="CY30" s="1482">
        <f t="shared" ca="1" si="81"/>
        <v>0</v>
      </c>
      <c r="CZ30" s="1482">
        <f t="shared" ca="1" si="81"/>
        <v>0</v>
      </c>
      <c r="DA30" s="1482">
        <f t="shared" ca="1" si="81"/>
        <v>0</v>
      </c>
      <c r="DB30" s="1482">
        <f t="shared" ca="1" si="81"/>
        <v>0</v>
      </c>
      <c r="DC30" s="1482">
        <f t="shared" ca="1" si="81"/>
        <v>0</v>
      </c>
      <c r="DD30" s="1482">
        <f t="shared" ca="1" si="81"/>
        <v>0</v>
      </c>
      <c r="DE30" s="1482">
        <f t="shared" ca="1" si="81"/>
        <v>0</v>
      </c>
      <c r="DF30" s="1482">
        <f t="shared" ca="1" si="81"/>
        <v>0</v>
      </c>
      <c r="DH30" s="838">
        <f t="shared" ca="1" si="35"/>
        <v>0</v>
      </c>
    </row>
    <row r="31" spans="1:112" s="743" customFormat="1" ht="11.25" hidden="1" customHeight="1" outlineLevel="1">
      <c r="A31" s="1484"/>
      <c r="B31" s="1484"/>
      <c r="C31" s="746"/>
      <c r="D31" s="1011" t="s">
        <v>961</v>
      </c>
      <c r="E31" s="1010"/>
      <c r="G31" s="1020">
        <f ca="1">SUM(G29:G30)</f>
        <v>0</v>
      </c>
      <c r="H31" s="1020">
        <f t="shared" ref="H31:P31" ca="1" si="82">SUM(H29:H30)</f>
        <v>0</v>
      </c>
      <c r="I31" s="1020">
        <f t="shared" ca="1" si="82"/>
        <v>0</v>
      </c>
      <c r="J31" s="1020">
        <f t="shared" ca="1" si="82"/>
        <v>0</v>
      </c>
      <c r="K31" s="1020">
        <f t="shared" ca="1" si="82"/>
        <v>0</v>
      </c>
      <c r="L31" s="1020">
        <f t="shared" ca="1" si="82"/>
        <v>0</v>
      </c>
      <c r="M31" s="1020">
        <f t="shared" ca="1" si="82"/>
        <v>0</v>
      </c>
      <c r="N31" s="1020">
        <f t="shared" ca="1" si="82"/>
        <v>0</v>
      </c>
      <c r="O31" s="1020">
        <f t="shared" ca="1" si="82"/>
        <v>58.747666138590283</v>
      </c>
      <c r="P31" s="1020">
        <f t="shared" ca="1" si="82"/>
        <v>0</v>
      </c>
      <c r="Q31" s="1020">
        <f t="shared" ca="1" si="69"/>
        <v>58.747666138590283</v>
      </c>
      <c r="S31" s="1030">
        <f t="shared" ref="S31:Z31" ca="1" si="83">SUM(S29:S30)</f>
        <v>0</v>
      </c>
      <c r="T31" s="1030">
        <f t="shared" ca="1" si="83"/>
        <v>0</v>
      </c>
      <c r="U31" s="1030">
        <f t="shared" ca="1" si="83"/>
        <v>0</v>
      </c>
      <c r="V31" s="1030">
        <f t="shared" ca="1" si="83"/>
        <v>-58.747666138590283</v>
      </c>
      <c r="W31" s="1030">
        <f t="shared" ca="1" si="83"/>
        <v>0</v>
      </c>
      <c r="X31" s="1132">
        <f t="shared" ca="1" si="83"/>
        <v>0</v>
      </c>
      <c r="Y31" s="1132">
        <f t="shared" ca="1" si="83"/>
        <v>0</v>
      </c>
      <c r="Z31" s="1132">
        <f t="shared" ca="1" si="83"/>
        <v>0</v>
      </c>
      <c r="AA31" s="1030">
        <f t="shared" ref="AA31:AJ31" ca="1" si="84">SUM(AA29:AA30)</f>
        <v>0</v>
      </c>
      <c r="AB31" s="1030">
        <f t="shared" ca="1" si="84"/>
        <v>0</v>
      </c>
      <c r="AC31" s="1030">
        <f t="shared" ca="1" si="84"/>
        <v>0</v>
      </c>
      <c r="AD31" s="1030">
        <f ca="1">SUM(AD29:AD30)</f>
        <v>0</v>
      </c>
      <c r="AE31" s="1030">
        <f ca="1">SUM(AE29:AE30)</f>
        <v>0</v>
      </c>
      <c r="AF31" s="1030">
        <f t="shared" ca="1" si="84"/>
        <v>0</v>
      </c>
      <c r="AG31" s="1030">
        <f ca="1">SUM(AG29:AG30)</f>
        <v>0</v>
      </c>
      <c r="AH31" s="1030">
        <f ca="1">SUM(AH29:AH30)</f>
        <v>0</v>
      </c>
      <c r="AI31" s="1030">
        <f ca="1">SUM(AI29:AI30)</f>
        <v>0</v>
      </c>
      <c r="AJ31" s="1030">
        <f t="shared" ca="1" si="84"/>
        <v>0</v>
      </c>
      <c r="AK31" s="1030">
        <f t="shared" ca="1" si="60"/>
        <v>-58.747666138590283</v>
      </c>
      <c r="AM31" s="1043">
        <f t="shared" ref="AM31:BE31" ca="1" si="85">SUM(AM29:AM30)</f>
        <v>0</v>
      </c>
      <c r="AN31" s="1043">
        <f t="shared" ca="1" si="85"/>
        <v>0</v>
      </c>
      <c r="AO31" s="1043">
        <f t="shared" ca="1" si="85"/>
        <v>0</v>
      </c>
      <c r="AP31" s="1043">
        <f t="shared" ca="1" si="85"/>
        <v>0</v>
      </c>
      <c r="AQ31" s="1043">
        <f t="shared" ca="1" si="85"/>
        <v>0</v>
      </c>
      <c r="AR31" s="1043">
        <f t="shared" ca="1" si="85"/>
        <v>0</v>
      </c>
      <c r="AS31" s="1043">
        <f t="shared" ca="1" si="85"/>
        <v>0</v>
      </c>
      <c r="AT31" s="1043">
        <f t="shared" ca="1" si="85"/>
        <v>0</v>
      </c>
      <c r="AU31" s="1043">
        <f t="shared" ca="1" si="85"/>
        <v>0</v>
      </c>
      <c r="AV31" s="1043">
        <f t="shared" ca="1" si="85"/>
        <v>0</v>
      </c>
      <c r="AW31" s="1043">
        <f t="shared" ca="1" si="85"/>
        <v>0</v>
      </c>
      <c r="AX31" s="1043">
        <f t="shared" ca="1" si="85"/>
        <v>0</v>
      </c>
      <c r="AY31" s="1043">
        <f t="shared" ca="1" si="85"/>
        <v>0</v>
      </c>
      <c r="AZ31" s="1043">
        <f t="shared" ca="1" si="85"/>
        <v>0</v>
      </c>
      <c r="BA31" s="1043">
        <f t="shared" ca="1" si="85"/>
        <v>0</v>
      </c>
      <c r="BB31" s="1043">
        <f t="shared" ca="1" si="85"/>
        <v>0</v>
      </c>
      <c r="BC31" s="1043">
        <f t="shared" ca="1" si="85"/>
        <v>0</v>
      </c>
      <c r="BD31" s="1043">
        <f t="shared" ca="1" si="85"/>
        <v>0</v>
      </c>
      <c r="BE31" s="1043">
        <f t="shared" ca="1" si="85"/>
        <v>0</v>
      </c>
      <c r="BF31" s="1013">
        <f t="shared" ca="1" si="62"/>
        <v>0</v>
      </c>
      <c r="BH31" s="1037">
        <f ca="1">SUM(BH29:BH30)</f>
        <v>0</v>
      </c>
      <c r="BI31" s="1037">
        <f ca="1">SUM(BI29:BI30)</f>
        <v>0</v>
      </c>
      <c r="BJ31" s="1035">
        <f t="shared" ca="1" si="64"/>
        <v>0</v>
      </c>
      <c r="BL31" s="524">
        <f t="shared" ca="1" si="9"/>
        <v>0</v>
      </c>
      <c r="BM31" s="524"/>
      <c r="BN31" s="1484"/>
      <c r="BO31" s="1485">
        <f t="shared" ref="BO31:DF31" ca="1" si="86">SUM(BO29:BO30)</f>
        <v>0</v>
      </c>
      <c r="BP31" s="1486">
        <f t="shared" ca="1" si="86"/>
        <v>0</v>
      </c>
      <c r="BQ31" s="1486">
        <f t="shared" ca="1" si="86"/>
        <v>0</v>
      </c>
      <c r="BR31" s="1486">
        <f t="shared" ca="1" si="86"/>
        <v>0</v>
      </c>
      <c r="BS31" s="1486">
        <f t="shared" ca="1" si="86"/>
        <v>0</v>
      </c>
      <c r="BT31" s="1486">
        <f t="shared" ca="1" si="86"/>
        <v>0</v>
      </c>
      <c r="BU31" s="1486">
        <f t="shared" ca="1" si="86"/>
        <v>0</v>
      </c>
      <c r="BV31" s="1486">
        <f t="shared" ca="1" si="86"/>
        <v>0</v>
      </c>
      <c r="BW31" s="1486">
        <f t="shared" ca="1" si="86"/>
        <v>0</v>
      </c>
      <c r="BX31" s="1486">
        <f t="shared" ca="1" si="86"/>
        <v>0</v>
      </c>
      <c r="BY31" s="1486">
        <f t="shared" ca="1" si="86"/>
        <v>0</v>
      </c>
      <c r="BZ31" s="1486">
        <f t="shared" ca="1" si="86"/>
        <v>0</v>
      </c>
      <c r="CA31" s="1486">
        <f t="shared" ca="1" si="86"/>
        <v>0</v>
      </c>
      <c r="CB31" s="1486">
        <f t="shared" ca="1" si="86"/>
        <v>0</v>
      </c>
      <c r="CC31" s="1486">
        <f t="shared" ca="1" si="86"/>
        <v>0</v>
      </c>
      <c r="CD31" s="1486">
        <f t="shared" ca="1" si="86"/>
        <v>0</v>
      </c>
      <c r="CE31" s="1486">
        <f t="shared" ca="1" si="86"/>
        <v>0</v>
      </c>
      <c r="CF31" s="1486">
        <f t="shared" ca="1" si="86"/>
        <v>0</v>
      </c>
      <c r="CG31" s="1486">
        <f t="shared" ca="1" si="86"/>
        <v>0</v>
      </c>
      <c r="CH31" s="1486">
        <f t="shared" ca="1" si="86"/>
        <v>0</v>
      </c>
      <c r="CI31" s="1486">
        <f t="shared" ca="1" si="86"/>
        <v>0</v>
      </c>
      <c r="CJ31" s="1486">
        <f t="shared" ca="1" si="86"/>
        <v>0</v>
      </c>
      <c r="CK31" s="1486">
        <f t="shared" ca="1" si="86"/>
        <v>0</v>
      </c>
      <c r="CL31" s="1486">
        <f t="shared" ca="1" si="86"/>
        <v>0</v>
      </c>
      <c r="CM31" s="1486">
        <f t="shared" ca="1" si="86"/>
        <v>0</v>
      </c>
      <c r="CN31" s="1486">
        <f t="shared" ca="1" si="86"/>
        <v>0</v>
      </c>
      <c r="CO31" s="1486">
        <f t="shared" ca="1" si="86"/>
        <v>0</v>
      </c>
      <c r="CP31" s="1486">
        <f t="shared" ca="1" si="86"/>
        <v>0</v>
      </c>
      <c r="CQ31" s="1486">
        <f t="shared" ca="1" si="86"/>
        <v>0</v>
      </c>
      <c r="CR31" s="1486">
        <f t="shared" ca="1" si="86"/>
        <v>0</v>
      </c>
      <c r="CS31" s="1486">
        <f t="shared" ca="1" si="86"/>
        <v>0</v>
      </c>
      <c r="CT31" s="1486">
        <f t="shared" ca="1" si="86"/>
        <v>0</v>
      </c>
      <c r="CU31" s="1486">
        <f t="shared" ca="1" si="86"/>
        <v>14.686916534647571</v>
      </c>
      <c r="CV31" s="1486">
        <f t="shared" ca="1" si="86"/>
        <v>1.8285153105344336E-2</v>
      </c>
      <c r="CW31" s="1486">
        <f t="shared" ca="1" si="86"/>
        <v>0.26424772328139473</v>
      </c>
      <c r="CX31" s="1486">
        <f t="shared" ca="1" si="86"/>
        <v>0</v>
      </c>
      <c r="CY31" s="1486">
        <f t="shared" ca="1" si="86"/>
        <v>0</v>
      </c>
      <c r="CZ31" s="1486">
        <f t="shared" ca="1" si="86"/>
        <v>0</v>
      </c>
      <c r="DA31" s="1486">
        <f t="shared" ca="1" si="86"/>
        <v>0</v>
      </c>
      <c r="DB31" s="1486">
        <f t="shared" ca="1" si="86"/>
        <v>0</v>
      </c>
      <c r="DC31" s="1486">
        <f t="shared" ca="1" si="86"/>
        <v>0</v>
      </c>
      <c r="DD31" s="1486">
        <f t="shared" ca="1" si="86"/>
        <v>0</v>
      </c>
      <c r="DE31" s="1486">
        <f t="shared" ca="1" si="86"/>
        <v>0</v>
      </c>
      <c r="DF31" s="1486">
        <f t="shared" ca="1" si="86"/>
        <v>0</v>
      </c>
      <c r="DH31" s="838">
        <f t="shared" ca="1" si="35"/>
        <v>14.96944941103431</v>
      </c>
    </row>
    <row r="32" spans="1:112" s="743" customFormat="1" ht="15.75" collapsed="1">
      <c r="A32" s="22"/>
      <c r="B32" s="753"/>
      <c r="C32" s="744" t="s">
        <v>679</v>
      </c>
      <c r="D32" s="517" t="str">
        <f>INDEX(Workstreams[Workstream], MATCH($C32, Workstreams[Code], 0))</f>
        <v>Transport</v>
      </c>
      <c r="E32" s="512"/>
      <c r="G32" s="1021">
        <f t="shared" ref="G32:P32" ca="1" si="87">G24+G25+G28+G31</f>
        <v>0</v>
      </c>
      <c r="H32" s="1021">
        <f t="shared" ca="1" si="87"/>
        <v>0</v>
      </c>
      <c r="I32" s="1021">
        <f t="shared" ca="1" si="87"/>
        <v>0</v>
      </c>
      <c r="J32" s="1021">
        <f t="shared" ca="1" si="87"/>
        <v>392.38685603800138</v>
      </c>
      <c r="K32" s="1021">
        <f t="shared" ca="1" si="87"/>
        <v>16.668321544879074</v>
      </c>
      <c r="L32" s="1021">
        <f t="shared" ca="1" si="87"/>
        <v>11.927979753386868</v>
      </c>
      <c r="M32" s="1021">
        <f t="shared" ca="1" si="87"/>
        <v>23.996704956708381</v>
      </c>
      <c r="N32" s="1021">
        <f t="shared" ca="1" si="87"/>
        <v>201.39443053847114</v>
      </c>
      <c r="O32" s="1021">
        <f t="shared" ca="1" si="87"/>
        <v>58.747666138590283</v>
      </c>
      <c r="P32" s="1021">
        <f t="shared" ca="1" si="87"/>
        <v>0</v>
      </c>
      <c r="Q32" s="1021">
        <f t="shared" ca="1" si="69"/>
        <v>705.1219589700371</v>
      </c>
      <c r="S32" s="970">
        <f t="shared" ref="S32:Z32" ca="1" si="88">S24+S25+S28+S31</f>
        <v>-10.565080683502464</v>
      </c>
      <c r="T32" s="970">
        <f t="shared" ca="1" si="88"/>
        <v>0</v>
      </c>
      <c r="U32" s="970">
        <f t="shared" ca="1" si="88"/>
        <v>0</v>
      </c>
      <c r="V32" s="970">
        <f t="shared" ca="1" si="88"/>
        <v>-694.55687828653458</v>
      </c>
      <c r="W32" s="970">
        <f t="shared" ca="1" si="88"/>
        <v>0</v>
      </c>
      <c r="X32" s="970">
        <f t="shared" ca="1" si="88"/>
        <v>0</v>
      </c>
      <c r="Y32" s="970">
        <f t="shared" ca="1" si="88"/>
        <v>0</v>
      </c>
      <c r="Z32" s="970">
        <f t="shared" ca="1" si="88"/>
        <v>0</v>
      </c>
      <c r="AA32" s="970">
        <f t="shared" ref="AA32:AJ32" ca="1" si="89">AA24+AA25+AA28+AA31</f>
        <v>0</v>
      </c>
      <c r="AB32" s="970">
        <f t="shared" ca="1" si="89"/>
        <v>0</v>
      </c>
      <c r="AC32" s="970">
        <f t="shared" ca="1" si="89"/>
        <v>0</v>
      </c>
      <c r="AD32" s="970">
        <f ca="1">AD24+AD25+AD28+AD31</f>
        <v>0</v>
      </c>
      <c r="AE32" s="970">
        <f ca="1">AE24+AE25+AE28+AE31</f>
        <v>0</v>
      </c>
      <c r="AF32" s="970">
        <f t="shared" ca="1" si="89"/>
        <v>0</v>
      </c>
      <c r="AG32" s="970">
        <f ca="1">AG24+AG25+AG28+AG31</f>
        <v>0</v>
      </c>
      <c r="AH32" s="970">
        <f ca="1">AH24+AH25+AH28+AH31</f>
        <v>0</v>
      </c>
      <c r="AI32" s="970">
        <f ca="1">AI24+AI25+AI28+AI31</f>
        <v>0</v>
      </c>
      <c r="AJ32" s="970">
        <f t="shared" ca="1" si="89"/>
        <v>0</v>
      </c>
      <c r="AK32" s="970">
        <f t="shared" ca="1" si="60"/>
        <v>-705.1219589700371</v>
      </c>
      <c r="AM32" s="976">
        <f t="shared" ref="AM32:AS32" ca="1" si="90">AM24+AM25+AM28+AM31</f>
        <v>0</v>
      </c>
      <c r="AN32" s="976">
        <f t="shared" ca="1" si="90"/>
        <v>0</v>
      </c>
      <c r="AO32" s="976">
        <f t="shared" ca="1" si="90"/>
        <v>0</v>
      </c>
      <c r="AP32" s="976">
        <f t="shared" ca="1" si="90"/>
        <v>0</v>
      </c>
      <c r="AQ32" s="976">
        <f t="shared" ca="1" si="90"/>
        <v>0</v>
      </c>
      <c r="AR32" s="976">
        <f t="shared" ca="1" si="90"/>
        <v>0</v>
      </c>
      <c r="AS32" s="976">
        <f t="shared" ca="1" si="90"/>
        <v>0</v>
      </c>
      <c r="AT32" s="976">
        <f t="shared" ref="AT32:BE32" ca="1" si="91">AT24+AT25+AT28+AT31</f>
        <v>0</v>
      </c>
      <c r="AU32" s="976">
        <f t="shared" ca="1" si="91"/>
        <v>0</v>
      </c>
      <c r="AV32" s="976">
        <f t="shared" ca="1" si="91"/>
        <v>0</v>
      </c>
      <c r="AW32" s="976">
        <f t="shared" ca="1" si="91"/>
        <v>0</v>
      </c>
      <c r="AX32" s="976">
        <f t="shared" ca="1" si="91"/>
        <v>0</v>
      </c>
      <c r="AY32" s="976">
        <f t="shared" ca="1" si="91"/>
        <v>0</v>
      </c>
      <c r="AZ32" s="976">
        <f t="shared" ca="1" si="91"/>
        <v>0</v>
      </c>
      <c r="BA32" s="976">
        <f t="shared" ca="1" si="91"/>
        <v>0</v>
      </c>
      <c r="BB32" s="976">
        <f t="shared" ca="1" si="91"/>
        <v>0</v>
      </c>
      <c r="BC32" s="976">
        <f t="shared" ca="1" si="91"/>
        <v>0</v>
      </c>
      <c r="BD32" s="976">
        <f t="shared" ca="1" si="91"/>
        <v>0</v>
      </c>
      <c r="BE32" s="976">
        <f t="shared" ca="1" si="91"/>
        <v>0</v>
      </c>
      <c r="BF32" s="976">
        <f t="shared" ca="1" si="62"/>
        <v>0</v>
      </c>
      <c r="BH32" s="990">
        <f ca="1">BH24+BH25+BH28+BH31</f>
        <v>0</v>
      </c>
      <c r="BI32" s="990">
        <f ca="1">BI24+BI25+BI28+BI31</f>
        <v>0</v>
      </c>
      <c r="BJ32" s="990">
        <f t="shared" ca="1" si="64"/>
        <v>0</v>
      </c>
      <c r="BL32" s="515">
        <f t="shared" ca="1" si="9"/>
        <v>0</v>
      </c>
      <c r="BM32" s="515"/>
      <c r="BN32" s="840"/>
      <c r="BO32" s="1482">
        <f t="shared" ref="BO32:DF32" ca="1" si="92">BO24+BO25+BO28+BO31</f>
        <v>108.6036954023683</v>
      </c>
      <c r="BP32" s="1482">
        <f t="shared" ca="1" si="92"/>
        <v>0.13521117203558328</v>
      </c>
      <c r="BQ32" s="1482">
        <f t="shared" ca="1" si="92"/>
        <v>1.9540030191034614</v>
      </c>
      <c r="BR32" s="1482">
        <f t="shared" ca="1" si="92"/>
        <v>0</v>
      </c>
      <c r="BS32" s="1482">
        <f t="shared" ca="1" si="92"/>
        <v>0</v>
      </c>
      <c r="BT32" s="1482">
        <f t="shared" ca="1" si="92"/>
        <v>0</v>
      </c>
      <c r="BU32" s="1482">
        <f t="shared" ca="1" si="92"/>
        <v>0</v>
      </c>
      <c r="BV32" s="1482">
        <f t="shared" ca="1" si="92"/>
        <v>0</v>
      </c>
      <c r="BW32" s="1482">
        <f t="shared" ca="1" si="92"/>
        <v>0</v>
      </c>
      <c r="BX32" s="1482">
        <f t="shared" ca="1" si="92"/>
        <v>0</v>
      </c>
      <c r="BY32" s="1482">
        <f t="shared" ca="1" si="92"/>
        <v>0</v>
      </c>
      <c r="BZ32" s="1482">
        <f t="shared" ca="1" si="92"/>
        <v>0</v>
      </c>
      <c r="CA32" s="1482">
        <f t="shared" ca="1" si="92"/>
        <v>0</v>
      </c>
      <c r="CB32" s="1482">
        <f t="shared" ca="1" si="92"/>
        <v>0</v>
      </c>
      <c r="CC32" s="1482">
        <f t="shared" ca="1" si="92"/>
        <v>0</v>
      </c>
      <c r="CD32" s="1482">
        <f t="shared" ca="1" si="92"/>
        <v>0</v>
      </c>
      <c r="CE32" s="1482">
        <f t="shared" ca="1" si="92"/>
        <v>0</v>
      </c>
      <c r="CF32" s="1482">
        <f t="shared" ca="1" si="92"/>
        <v>0</v>
      </c>
      <c r="CG32" s="1482">
        <f t="shared" ca="1" si="92"/>
        <v>0</v>
      </c>
      <c r="CH32" s="1482">
        <f t="shared" ca="1" si="92"/>
        <v>0</v>
      </c>
      <c r="CI32" s="1482">
        <f t="shared" ca="1" si="92"/>
        <v>0</v>
      </c>
      <c r="CJ32" s="1482">
        <f t="shared" ca="1" si="92"/>
        <v>0</v>
      </c>
      <c r="CK32" s="1482">
        <f t="shared" ca="1" si="92"/>
        <v>0</v>
      </c>
      <c r="CL32" s="1482">
        <f t="shared" ca="1" si="92"/>
        <v>0</v>
      </c>
      <c r="CM32" s="1482">
        <f t="shared" ca="1" si="92"/>
        <v>0</v>
      </c>
      <c r="CN32" s="1482">
        <f t="shared" ca="1" si="92"/>
        <v>0</v>
      </c>
      <c r="CO32" s="1482">
        <f t="shared" ca="1" si="92"/>
        <v>0</v>
      </c>
      <c r="CP32" s="1482">
        <f t="shared" ca="1" si="92"/>
        <v>0</v>
      </c>
      <c r="CQ32" s="1482">
        <f t="shared" ca="1" si="92"/>
        <v>0</v>
      </c>
      <c r="CR32" s="1482">
        <f t="shared" ca="1" si="92"/>
        <v>0</v>
      </c>
      <c r="CS32" s="1482">
        <f t="shared" ca="1" si="92"/>
        <v>0</v>
      </c>
      <c r="CT32" s="1482">
        <f t="shared" ca="1" si="92"/>
        <v>0</v>
      </c>
      <c r="CU32" s="1482">
        <f t="shared" ca="1" si="92"/>
        <v>65.035524169265358</v>
      </c>
      <c r="CV32" s="1482">
        <f t="shared" ca="1" si="92"/>
        <v>8.0968970846668931E-2</v>
      </c>
      <c r="CW32" s="1482">
        <f t="shared" ca="1" si="92"/>
        <v>1.1701223434884098</v>
      </c>
      <c r="CX32" s="1482">
        <f t="shared" ca="1" si="92"/>
        <v>0</v>
      </c>
      <c r="CY32" s="1482">
        <f t="shared" ca="1" si="92"/>
        <v>0</v>
      </c>
      <c r="CZ32" s="1482">
        <f t="shared" ca="1" si="92"/>
        <v>0</v>
      </c>
      <c r="DA32" s="1482">
        <f t="shared" ca="1" si="92"/>
        <v>0</v>
      </c>
      <c r="DB32" s="1482">
        <f t="shared" ca="1" si="92"/>
        <v>0</v>
      </c>
      <c r="DC32" s="1482">
        <f t="shared" ca="1" si="92"/>
        <v>0</v>
      </c>
      <c r="DD32" s="1482">
        <f t="shared" ca="1" si="92"/>
        <v>0</v>
      </c>
      <c r="DE32" s="1482">
        <f t="shared" ca="1" si="92"/>
        <v>0</v>
      </c>
      <c r="DF32" s="1482">
        <f t="shared" ca="1" si="92"/>
        <v>0</v>
      </c>
      <c r="DH32" s="838">
        <f t="shared" ca="1" si="35"/>
        <v>176.97952507710778</v>
      </c>
    </row>
    <row r="33" spans="1:112" s="743" customFormat="1" ht="12.75" hidden="1" customHeight="1" outlineLevel="1">
      <c r="A33" s="22"/>
      <c r="B33" s="22"/>
      <c r="C33" s="751"/>
      <c r="D33" s="512"/>
      <c r="E33" s="512"/>
      <c r="G33" s="1021"/>
      <c r="H33" s="1021"/>
      <c r="I33" s="1021"/>
      <c r="J33" s="1021"/>
      <c r="K33" s="1021"/>
      <c r="L33" s="1021"/>
      <c r="M33" s="1021"/>
      <c r="N33" s="1021"/>
      <c r="O33" s="1021"/>
      <c r="P33" s="1021"/>
      <c r="Q33" s="1021"/>
      <c r="S33" s="970"/>
      <c r="T33" s="970"/>
      <c r="U33" s="970"/>
      <c r="V33" s="970"/>
      <c r="W33" s="970"/>
      <c r="X33" s="970"/>
      <c r="Y33" s="970"/>
      <c r="Z33" s="970"/>
      <c r="AA33" s="970"/>
      <c r="AB33" s="970"/>
      <c r="AC33" s="970"/>
      <c r="AD33" s="970"/>
      <c r="AE33" s="970"/>
      <c r="AF33" s="970"/>
      <c r="AG33" s="970"/>
      <c r="AH33" s="970"/>
      <c r="AI33" s="970"/>
      <c r="AJ33" s="970"/>
      <c r="AK33" s="970"/>
      <c r="AM33" s="976"/>
      <c r="AN33" s="976"/>
      <c r="AO33" s="976"/>
      <c r="AP33" s="976"/>
      <c r="AQ33" s="976"/>
      <c r="AR33" s="976"/>
      <c r="AS33" s="976"/>
      <c r="AT33" s="976"/>
      <c r="AU33" s="976"/>
      <c r="AV33" s="976"/>
      <c r="AW33" s="976"/>
      <c r="AX33" s="976"/>
      <c r="AY33" s="976"/>
      <c r="AZ33" s="976"/>
      <c r="BA33" s="976"/>
      <c r="BB33" s="976"/>
      <c r="BC33" s="976"/>
      <c r="BD33" s="976"/>
      <c r="BE33" s="976"/>
      <c r="BF33" s="976"/>
      <c r="BH33" s="990"/>
      <c r="BI33" s="990"/>
      <c r="BJ33" s="990"/>
      <c r="BL33" s="515">
        <f t="shared" si="9"/>
        <v>0</v>
      </c>
      <c r="BM33" s="515"/>
      <c r="BN33" s="22"/>
      <c r="BO33" s="1482"/>
      <c r="BP33" s="1482"/>
      <c r="BQ33" s="1482"/>
      <c r="BR33" s="1482"/>
      <c r="BS33" s="1482"/>
      <c r="BT33" s="1482"/>
      <c r="BU33" s="1482"/>
      <c r="BV33" s="1482"/>
      <c r="BW33" s="1482"/>
      <c r="BX33" s="1482"/>
      <c r="BY33" s="1482"/>
      <c r="BZ33" s="1482"/>
      <c r="CA33" s="1482"/>
      <c r="CB33" s="1482"/>
      <c r="CC33" s="1482"/>
      <c r="CD33" s="1482"/>
      <c r="CE33" s="1482"/>
      <c r="CF33" s="1482"/>
      <c r="CG33" s="1482"/>
      <c r="CH33" s="1482"/>
      <c r="CI33" s="1482"/>
      <c r="CJ33" s="1482"/>
      <c r="CK33" s="1482"/>
      <c r="CL33" s="1482"/>
      <c r="CM33" s="1482"/>
      <c r="CN33" s="1482"/>
      <c r="CO33" s="1482"/>
      <c r="CP33" s="1482"/>
      <c r="CQ33" s="1482"/>
      <c r="CR33" s="1482"/>
      <c r="CS33" s="1482"/>
      <c r="CT33" s="1482"/>
      <c r="CU33" s="1482"/>
      <c r="CV33" s="1482"/>
      <c r="CW33" s="1482"/>
      <c r="CX33" s="1482"/>
      <c r="CY33" s="1482"/>
      <c r="CZ33" s="1482"/>
      <c r="DA33" s="1482"/>
      <c r="DB33" s="1482"/>
      <c r="DC33" s="1482"/>
      <c r="DD33" s="1482"/>
      <c r="DE33" s="1482"/>
      <c r="DF33" s="1482"/>
      <c r="DH33" s="838">
        <f t="shared" si="35"/>
        <v>0</v>
      </c>
    </row>
    <row r="34" spans="1:112" s="743" customFormat="1" ht="12.75" hidden="1" customHeight="1" outlineLevel="1">
      <c r="A34" s="1484"/>
      <c r="B34" s="1484"/>
      <c r="C34" s="746" t="s">
        <v>930</v>
      </c>
      <c r="D34" s="1010" t="str">
        <f>INDEX(Modules[Module], MATCH($C34, Modules[Code], 0))</f>
        <v>Food consumption [UNUSED]</v>
      </c>
      <c r="E34" s="1010"/>
      <c r="G34" s="1022">
        <f t="shared" ref="G34:P34" ca="1" si="93">IFERROR(INDEX(INDIRECT($C34&amp;".Outputs["&amp;this.Year&amp;"]"), MATCH(G$5, INDIRECT($C34&amp;".Outputs[Vector]"), 0)), 0)</f>
        <v>0</v>
      </c>
      <c r="H34" s="1022">
        <f t="shared" ca="1" si="93"/>
        <v>0</v>
      </c>
      <c r="I34" s="1022">
        <f t="shared" ca="1" si="93"/>
        <v>0</v>
      </c>
      <c r="J34" s="1022">
        <f t="shared" ca="1" si="93"/>
        <v>0</v>
      </c>
      <c r="K34" s="1022">
        <f t="shared" ca="1" si="93"/>
        <v>0</v>
      </c>
      <c r="L34" s="1022">
        <f t="shared" ca="1" si="93"/>
        <v>0</v>
      </c>
      <c r="M34" s="1022">
        <f t="shared" ca="1" si="93"/>
        <v>0</v>
      </c>
      <c r="N34" s="1022">
        <f t="shared" ca="1" si="93"/>
        <v>0</v>
      </c>
      <c r="O34" s="1022">
        <f t="shared" ca="1" si="93"/>
        <v>0</v>
      </c>
      <c r="P34" s="1022">
        <f t="shared" ca="1" si="93"/>
        <v>0</v>
      </c>
      <c r="Q34" s="1020">
        <f ca="1">SUM(G34:P34)</f>
        <v>0</v>
      </c>
      <c r="S34" s="1031">
        <f t="shared" ref="S34:BE34" ca="1" si="94">IFERROR(INDEX(INDIRECT($C34&amp;".Outputs["&amp;this.Year&amp;"]"), MATCH(S$5, INDIRECT($C34&amp;".Outputs[Vector]"), 0)), 0)</f>
        <v>0</v>
      </c>
      <c r="T34" s="1031">
        <f t="shared" ca="1" si="94"/>
        <v>0</v>
      </c>
      <c r="U34" s="1031">
        <f t="shared" ca="1" si="94"/>
        <v>0</v>
      </c>
      <c r="V34" s="1031">
        <f t="shared" ca="1" si="94"/>
        <v>0</v>
      </c>
      <c r="W34" s="1031">
        <f t="shared" ca="1" si="94"/>
        <v>0</v>
      </c>
      <c r="X34" s="1031">
        <f ca="1">IFERROR(INDEX(INDIRECT($C34&amp;".Outputs["&amp;this.Year&amp;"]"), MATCH(X$5, INDIRECT($C34&amp;".Outputs[Vector]"), 0)), 0)</f>
        <v>0</v>
      </c>
      <c r="Y34" s="1031">
        <f ca="1">IFERROR(INDEX(INDIRECT($C34&amp;".Outputs["&amp;this.Year&amp;"]"), MATCH(Y$5, INDIRECT($C34&amp;".Outputs[Vector]"), 0)), 0)</f>
        <v>0</v>
      </c>
      <c r="Z34" s="1031">
        <f ca="1">IFERROR(INDEX(INDIRECT($C34&amp;".Outputs["&amp;this.Year&amp;"]"), MATCH(Z$5, INDIRECT($C34&amp;".Outputs[Vector]"), 0)), 0)</f>
        <v>0</v>
      </c>
      <c r="AA34" s="1031">
        <f t="shared" ca="1" si="94"/>
        <v>0</v>
      </c>
      <c r="AB34" s="1031">
        <f t="shared" ca="1" si="94"/>
        <v>0</v>
      </c>
      <c r="AC34" s="1031">
        <f t="shared" ca="1" si="94"/>
        <v>0</v>
      </c>
      <c r="AD34" s="1031">
        <f t="shared" ca="1" si="94"/>
        <v>0</v>
      </c>
      <c r="AE34" s="1031">
        <f t="shared" ca="1" si="94"/>
        <v>0</v>
      </c>
      <c r="AF34" s="1031">
        <f t="shared" ca="1" si="94"/>
        <v>0</v>
      </c>
      <c r="AG34" s="1031">
        <f t="shared" ca="1" si="94"/>
        <v>0</v>
      </c>
      <c r="AH34" s="1031">
        <f t="shared" ca="1" si="94"/>
        <v>0</v>
      </c>
      <c r="AI34" s="1031">
        <f t="shared" ca="1" si="94"/>
        <v>0</v>
      </c>
      <c r="AJ34" s="1031">
        <f t="shared" ca="1" si="94"/>
        <v>0</v>
      </c>
      <c r="AK34" s="1030">
        <f ca="1">SUM(S34:AJ34)</f>
        <v>0</v>
      </c>
      <c r="AM34" s="1042">
        <f t="shared" ref="AM34:AU34" ca="1" si="95">IFERROR(INDEX(INDIRECT($C34&amp;".Outputs["&amp;this.Year&amp;"]"), MATCH(AM$5, INDIRECT($C34&amp;".Outputs[Vector]"), 0)), 0)</f>
        <v>0</v>
      </c>
      <c r="AN34" s="1042">
        <f t="shared" ca="1" si="95"/>
        <v>0</v>
      </c>
      <c r="AO34" s="1042">
        <f t="shared" ca="1" si="95"/>
        <v>0</v>
      </c>
      <c r="AP34" s="1042">
        <f t="shared" ca="1" si="95"/>
        <v>0</v>
      </c>
      <c r="AQ34" s="1042">
        <f t="shared" ca="1" si="95"/>
        <v>0</v>
      </c>
      <c r="AR34" s="1042">
        <f t="shared" ca="1" si="95"/>
        <v>0</v>
      </c>
      <c r="AS34" s="1042">
        <f t="shared" ca="1" si="95"/>
        <v>0</v>
      </c>
      <c r="AT34" s="1042">
        <f t="shared" ca="1" si="95"/>
        <v>0</v>
      </c>
      <c r="AU34" s="1042">
        <f t="shared" ca="1" si="95"/>
        <v>0</v>
      </c>
      <c r="AV34" s="1042">
        <f t="shared" ca="1" si="94"/>
        <v>0</v>
      </c>
      <c r="AW34" s="1042">
        <f t="shared" ca="1" si="94"/>
        <v>0</v>
      </c>
      <c r="AX34" s="1042">
        <f t="shared" ca="1" si="94"/>
        <v>0</v>
      </c>
      <c r="AY34" s="1042">
        <f t="shared" ca="1" si="94"/>
        <v>0</v>
      </c>
      <c r="AZ34" s="1042">
        <f t="shared" ca="1" si="94"/>
        <v>0</v>
      </c>
      <c r="BA34" s="1042">
        <f t="shared" ca="1" si="94"/>
        <v>0</v>
      </c>
      <c r="BB34" s="1042">
        <f t="shared" ca="1" si="94"/>
        <v>0</v>
      </c>
      <c r="BC34" s="1042">
        <f t="shared" ca="1" si="94"/>
        <v>0</v>
      </c>
      <c r="BD34" s="1042">
        <f t="shared" ca="1" si="94"/>
        <v>0</v>
      </c>
      <c r="BE34" s="1042">
        <f t="shared" ca="1" si="94"/>
        <v>0</v>
      </c>
      <c r="BF34" s="1012">
        <f ca="1">SUM(AM34:BE34)</f>
        <v>0</v>
      </c>
      <c r="BH34" s="1036">
        <f ca="1">IFERROR(INDEX(INDIRECT($C34&amp;".Outputs["&amp;this.Year&amp;"]"), MATCH(BH$5, INDIRECT($C34&amp;".Outputs[Vector]"), 0)), 0)</f>
        <v>0</v>
      </c>
      <c r="BI34" s="1036">
        <f ca="1">IFERROR(INDEX(INDIRECT($C34&amp;".Outputs["&amp;this.Year&amp;"]"), MATCH(BI$5, INDIRECT($C34&amp;".Outputs[Vector]"), 0)), 0)</f>
        <v>0</v>
      </c>
      <c r="BJ34" s="1035">
        <f ca="1">SUM(BH34:BI34)</f>
        <v>0</v>
      </c>
      <c r="BL34" s="814">
        <f t="shared" ca="1" si="9"/>
        <v>0</v>
      </c>
      <c r="BM34" s="814"/>
      <c r="BN34" s="840"/>
      <c r="BO34" s="1485">
        <f t="shared" ref="BO34:DF34" ca="1" si="96">IFERROR(SUMIFS(INDIRECT($C34&amp;".Emissions["&amp;this.Year&amp;"]"), INDIRECT($C34&amp;".Emissions[GHG]"), BO$6, INDIRECT($C34&amp;".Emissions[IPCC Sector]"), BO$5),0)</f>
        <v>0</v>
      </c>
      <c r="BP34" s="1486">
        <f t="shared" ca="1" si="96"/>
        <v>0</v>
      </c>
      <c r="BQ34" s="1486">
        <f t="shared" ca="1" si="96"/>
        <v>0</v>
      </c>
      <c r="BR34" s="1486">
        <f t="shared" ca="1" si="96"/>
        <v>0</v>
      </c>
      <c r="BS34" s="1486">
        <f t="shared" ca="1" si="96"/>
        <v>0</v>
      </c>
      <c r="BT34" s="1486">
        <f t="shared" ca="1" si="96"/>
        <v>0</v>
      </c>
      <c r="BU34" s="1486">
        <f t="shared" ca="1" si="96"/>
        <v>0</v>
      </c>
      <c r="BV34" s="1486">
        <f t="shared" ca="1" si="96"/>
        <v>0</v>
      </c>
      <c r="BW34" s="1486">
        <f t="shared" ca="1" si="96"/>
        <v>0</v>
      </c>
      <c r="BX34" s="1486">
        <f t="shared" ca="1" si="96"/>
        <v>0</v>
      </c>
      <c r="BY34" s="1486">
        <f t="shared" ca="1" si="96"/>
        <v>0</v>
      </c>
      <c r="BZ34" s="1486">
        <f t="shared" ca="1" si="96"/>
        <v>0</v>
      </c>
      <c r="CA34" s="1486">
        <f t="shared" ca="1" si="96"/>
        <v>0</v>
      </c>
      <c r="CB34" s="1486">
        <f t="shared" ca="1" si="96"/>
        <v>0</v>
      </c>
      <c r="CC34" s="1486">
        <f t="shared" ca="1" si="96"/>
        <v>0</v>
      </c>
      <c r="CD34" s="1486">
        <f t="shared" ca="1" si="96"/>
        <v>0</v>
      </c>
      <c r="CE34" s="1486">
        <f t="shared" ca="1" si="96"/>
        <v>0</v>
      </c>
      <c r="CF34" s="1486">
        <f t="shared" ca="1" si="96"/>
        <v>0</v>
      </c>
      <c r="CG34" s="1486">
        <f t="shared" ca="1" si="96"/>
        <v>0</v>
      </c>
      <c r="CH34" s="1486">
        <f t="shared" ca="1" si="96"/>
        <v>0</v>
      </c>
      <c r="CI34" s="1486">
        <f t="shared" ca="1" si="96"/>
        <v>0</v>
      </c>
      <c r="CJ34" s="1486">
        <f t="shared" ca="1" si="96"/>
        <v>0</v>
      </c>
      <c r="CK34" s="1486">
        <f t="shared" ca="1" si="96"/>
        <v>0</v>
      </c>
      <c r="CL34" s="1486">
        <f t="shared" ca="1" si="96"/>
        <v>0</v>
      </c>
      <c r="CM34" s="1486">
        <f t="shared" ca="1" si="96"/>
        <v>0</v>
      </c>
      <c r="CN34" s="1486">
        <f t="shared" ca="1" si="96"/>
        <v>0</v>
      </c>
      <c r="CO34" s="1486">
        <f t="shared" ca="1" si="96"/>
        <v>0</v>
      </c>
      <c r="CP34" s="1486">
        <f t="shared" ca="1" si="96"/>
        <v>0</v>
      </c>
      <c r="CQ34" s="1486">
        <f t="shared" ca="1" si="96"/>
        <v>0</v>
      </c>
      <c r="CR34" s="1486">
        <f t="shared" ca="1" si="96"/>
        <v>0</v>
      </c>
      <c r="CS34" s="1486">
        <f t="shared" ca="1" si="96"/>
        <v>0</v>
      </c>
      <c r="CT34" s="1486">
        <f t="shared" ca="1" si="96"/>
        <v>0</v>
      </c>
      <c r="CU34" s="1486">
        <f t="shared" ca="1" si="96"/>
        <v>0</v>
      </c>
      <c r="CV34" s="1486">
        <f t="shared" ca="1" si="96"/>
        <v>0</v>
      </c>
      <c r="CW34" s="1486">
        <f t="shared" ca="1" si="96"/>
        <v>0</v>
      </c>
      <c r="CX34" s="1486">
        <f t="shared" ca="1" si="96"/>
        <v>0</v>
      </c>
      <c r="CY34" s="1486">
        <f t="shared" ca="1" si="96"/>
        <v>0</v>
      </c>
      <c r="CZ34" s="1486">
        <f t="shared" ca="1" si="96"/>
        <v>0</v>
      </c>
      <c r="DA34" s="1486">
        <f t="shared" ca="1" si="96"/>
        <v>0</v>
      </c>
      <c r="DB34" s="1486">
        <f t="shared" ca="1" si="96"/>
        <v>0</v>
      </c>
      <c r="DC34" s="1486">
        <f t="shared" ca="1" si="96"/>
        <v>0</v>
      </c>
      <c r="DD34" s="1486">
        <f t="shared" ca="1" si="96"/>
        <v>0</v>
      </c>
      <c r="DE34" s="1486">
        <f t="shared" ca="1" si="96"/>
        <v>0</v>
      </c>
      <c r="DF34" s="1486">
        <f t="shared" ca="1" si="96"/>
        <v>0</v>
      </c>
      <c r="DH34" s="838">
        <f t="shared" ca="1" si="35"/>
        <v>0</v>
      </c>
    </row>
    <row r="35" spans="1:112" s="743" customFormat="1" ht="15.75" collapsed="1">
      <c r="A35" s="22"/>
      <c r="B35" s="753"/>
      <c r="C35" s="744" t="s">
        <v>680</v>
      </c>
      <c r="D35" s="517" t="str">
        <f>INDEX(Workstreams[Workstream], MATCH($C35, Workstreams[Code], 0))</f>
        <v>Food consumption [UNUSED]</v>
      </c>
      <c r="E35" s="512"/>
      <c r="G35" s="1021">
        <f ca="1">G34</f>
        <v>0</v>
      </c>
      <c r="H35" s="1021">
        <f t="shared" ref="H35:P35" ca="1" si="97">H34</f>
        <v>0</v>
      </c>
      <c r="I35" s="1021">
        <f t="shared" ca="1" si="97"/>
        <v>0</v>
      </c>
      <c r="J35" s="1021">
        <f t="shared" ca="1" si="97"/>
        <v>0</v>
      </c>
      <c r="K35" s="1021">
        <f t="shared" ca="1" si="97"/>
        <v>0</v>
      </c>
      <c r="L35" s="1021">
        <f t="shared" ca="1" si="97"/>
        <v>0</v>
      </c>
      <c r="M35" s="1021">
        <f t="shared" ca="1" si="97"/>
        <v>0</v>
      </c>
      <c r="N35" s="1021">
        <f t="shared" ca="1" si="97"/>
        <v>0</v>
      </c>
      <c r="O35" s="1021">
        <f t="shared" ca="1" si="97"/>
        <v>0</v>
      </c>
      <c r="P35" s="1021">
        <f t="shared" ca="1" si="97"/>
        <v>0</v>
      </c>
      <c r="Q35" s="1021">
        <f ca="1">SUM(G35:P35)</f>
        <v>0</v>
      </c>
      <c r="S35" s="970">
        <f ca="1">S34</f>
        <v>0</v>
      </c>
      <c r="T35" s="970">
        <f t="shared" ref="T35:AJ35" ca="1" si="98">T34</f>
        <v>0</v>
      </c>
      <c r="U35" s="970">
        <f t="shared" ca="1" si="98"/>
        <v>0</v>
      </c>
      <c r="V35" s="970">
        <f t="shared" ca="1" si="98"/>
        <v>0</v>
      </c>
      <c r="W35" s="970">
        <f t="shared" ca="1" si="98"/>
        <v>0</v>
      </c>
      <c r="X35" s="970">
        <f ca="1">X34</f>
        <v>0</v>
      </c>
      <c r="Y35" s="970">
        <f ca="1">Y34</f>
        <v>0</v>
      </c>
      <c r="Z35" s="970">
        <f ca="1">Z34</f>
        <v>0</v>
      </c>
      <c r="AA35" s="970">
        <f t="shared" ca="1" si="98"/>
        <v>0</v>
      </c>
      <c r="AB35" s="970">
        <f t="shared" ca="1" si="98"/>
        <v>0</v>
      </c>
      <c r="AC35" s="970">
        <f t="shared" ca="1" si="98"/>
        <v>0</v>
      </c>
      <c r="AD35" s="970">
        <f ca="1">AD34</f>
        <v>0</v>
      </c>
      <c r="AE35" s="970">
        <f ca="1">AE34</f>
        <v>0</v>
      </c>
      <c r="AF35" s="970">
        <f t="shared" ca="1" si="98"/>
        <v>0</v>
      </c>
      <c r="AG35" s="970">
        <f ca="1">AG34</f>
        <v>0</v>
      </c>
      <c r="AH35" s="970">
        <f ca="1">AH34</f>
        <v>0</v>
      </c>
      <c r="AI35" s="970">
        <f ca="1">AI34</f>
        <v>0</v>
      </c>
      <c r="AJ35" s="970">
        <f t="shared" ca="1" si="98"/>
        <v>0</v>
      </c>
      <c r="AK35" s="970">
        <f ca="1">SUM(S35:AJ35)</f>
        <v>0</v>
      </c>
      <c r="AM35" s="976">
        <f t="shared" ref="AM35:BE35" ca="1" si="99">AM34</f>
        <v>0</v>
      </c>
      <c r="AN35" s="976">
        <f t="shared" ca="1" si="99"/>
        <v>0</v>
      </c>
      <c r="AO35" s="976">
        <f t="shared" ca="1" si="99"/>
        <v>0</v>
      </c>
      <c r="AP35" s="976">
        <f t="shared" ca="1" si="99"/>
        <v>0</v>
      </c>
      <c r="AQ35" s="976">
        <f t="shared" ca="1" si="99"/>
        <v>0</v>
      </c>
      <c r="AR35" s="976">
        <f t="shared" ca="1" si="99"/>
        <v>0</v>
      </c>
      <c r="AS35" s="976">
        <f t="shared" ca="1" si="99"/>
        <v>0</v>
      </c>
      <c r="AT35" s="976">
        <f t="shared" ca="1" si="99"/>
        <v>0</v>
      </c>
      <c r="AU35" s="976">
        <f t="shared" ca="1" si="99"/>
        <v>0</v>
      </c>
      <c r="AV35" s="976">
        <f t="shared" ca="1" si="99"/>
        <v>0</v>
      </c>
      <c r="AW35" s="976">
        <f t="shared" ca="1" si="99"/>
        <v>0</v>
      </c>
      <c r="AX35" s="976">
        <f t="shared" ca="1" si="99"/>
        <v>0</v>
      </c>
      <c r="AY35" s="976">
        <f t="shared" ca="1" si="99"/>
        <v>0</v>
      </c>
      <c r="AZ35" s="976">
        <f t="shared" ca="1" si="99"/>
        <v>0</v>
      </c>
      <c r="BA35" s="976">
        <f t="shared" ca="1" si="99"/>
        <v>0</v>
      </c>
      <c r="BB35" s="976">
        <f t="shared" ca="1" si="99"/>
        <v>0</v>
      </c>
      <c r="BC35" s="976">
        <f t="shared" ca="1" si="99"/>
        <v>0</v>
      </c>
      <c r="BD35" s="976">
        <f t="shared" ca="1" si="99"/>
        <v>0</v>
      </c>
      <c r="BE35" s="976">
        <f t="shared" ca="1" si="99"/>
        <v>0</v>
      </c>
      <c r="BF35" s="976">
        <f ca="1">SUM(AM35:BE35)</f>
        <v>0</v>
      </c>
      <c r="BH35" s="990">
        <f ca="1">BH34</f>
        <v>0</v>
      </c>
      <c r="BI35" s="990">
        <f ca="1">BI34</f>
        <v>0</v>
      </c>
      <c r="BJ35" s="990">
        <f ca="1">SUM(BH35:BI35)</f>
        <v>0</v>
      </c>
      <c r="BL35" s="515">
        <f t="shared" ca="1" si="9"/>
        <v>0</v>
      </c>
      <c r="BM35" s="515"/>
      <c r="BN35" s="840"/>
      <c r="BO35" s="1482">
        <f t="shared" ref="BO35:DF35" ca="1" si="100">BO34</f>
        <v>0</v>
      </c>
      <c r="BP35" s="1482">
        <f t="shared" ca="1" si="100"/>
        <v>0</v>
      </c>
      <c r="BQ35" s="1482">
        <f t="shared" ca="1" si="100"/>
        <v>0</v>
      </c>
      <c r="BR35" s="1482">
        <f t="shared" ca="1" si="100"/>
        <v>0</v>
      </c>
      <c r="BS35" s="1482">
        <f t="shared" ca="1" si="100"/>
        <v>0</v>
      </c>
      <c r="BT35" s="1482">
        <f t="shared" ca="1" si="100"/>
        <v>0</v>
      </c>
      <c r="BU35" s="1482">
        <f t="shared" ca="1" si="100"/>
        <v>0</v>
      </c>
      <c r="BV35" s="1482">
        <f t="shared" ca="1" si="100"/>
        <v>0</v>
      </c>
      <c r="BW35" s="1482">
        <f t="shared" ca="1" si="100"/>
        <v>0</v>
      </c>
      <c r="BX35" s="1482">
        <f t="shared" ca="1" si="100"/>
        <v>0</v>
      </c>
      <c r="BY35" s="1482">
        <f t="shared" ca="1" si="100"/>
        <v>0</v>
      </c>
      <c r="BZ35" s="1482">
        <f t="shared" ca="1" si="100"/>
        <v>0</v>
      </c>
      <c r="CA35" s="1482">
        <f t="shared" ca="1" si="100"/>
        <v>0</v>
      </c>
      <c r="CB35" s="1482">
        <f t="shared" ca="1" si="100"/>
        <v>0</v>
      </c>
      <c r="CC35" s="1482">
        <f t="shared" ca="1" si="100"/>
        <v>0</v>
      </c>
      <c r="CD35" s="1482">
        <f t="shared" ca="1" si="100"/>
        <v>0</v>
      </c>
      <c r="CE35" s="1482">
        <f t="shared" ca="1" si="100"/>
        <v>0</v>
      </c>
      <c r="CF35" s="1482">
        <f t="shared" ca="1" si="100"/>
        <v>0</v>
      </c>
      <c r="CG35" s="1482">
        <f t="shared" ca="1" si="100"/>
        <v>0</v>
      </c>
      <c r="CH35" s="1482">
        <f t="shared" ca="1" si="100"/>
        <v>0</v>
      </c>
      <c r="CI35" s="1482">
        <f t="shared" ca="1" si="100"/>
        <v>0</v>
      </c>
      <c r="CJ35" s="1482">
        <f t="shared" ca="1" si="100"/>
        <v>0</v>
      </c>
      <c r="CK35" s="1482">
        <f t="shared" ca="1" si="100"/>
        <v>0</v>
      </c>
      <c r="CL35" s="1482">
        <f t="shared" ca="1" si="100"/>
        <v>0</v>
      </c>
      <c r="CM35" s="1482">
        <f t="shared" ca="1" si="100"/>
        <v>0</v>
      </c>
      <c r="CN35" s="1482">
        <f t="shared" ca="1" si="100"/>
        <v>0</v>
      </c>
      <c r="CO35" s="1482">
        <f t="shared" ca="1" si="100"/>
        <v>0</v>
      </c>
      <c r="CP35" s="1482">
        <f t="shared" ca="1" si="100"/>
        <v>0</v>
      </c>
      <c r="CQ35" s="1482">
        <f t="shared" ca="1" si="100"/>
        <v>0</v>
      </c>
      <c r="CR35" s="1482">
        <f t="shared" ca="1" si="100"/>
        <v>0</v>
      </c>
      <c r="CS35" s="1482">
        <f t="shared" ca="1" si="100"/>
        <v>0</v>
      </c>
      <c r="CT35" s="1482">
        <f t="shared" ca="1" si="100"/>
        <v>0</v>
      </c>
      <c r="CU35" s="1482">
        <f t="shared" ca="1" si="100"/>
        <v>0</v>
      </c>
      <c r="CV35" s="1482">
        <f t="shared" ca="1" si="100"/>
        <v>0</v>
      </c>
      <c r="CW35" s="1482">
        <f t="shared" ca="1" si="100"/>
        <v>0</v>
      </c>
      <c r="CX35" s="1482">
        <f t="shared" ca="1" si="100"/>
        <v>0</v>
      </c>
      <c r="CY35" s="1482">
        <f t="shared" ca="1" si="100"/>
        <v>0</v>
      </c>
      <c r="CZ35" s="1482">
        <f t="shared" ca="1" si="100"/>
        <v>0</v>
      </c>
      <c r="DA35" s="1482">
        <f t="shared" ca="1" si="100"/>
        <v>0</v>
      </c>
      <c r="DB35" s="1482">
        <f t="shared" ca="1" si="100"/>
        <v>0</v>
      </c>
      <c r="DC35" s="1482">
        <f t="shared" ca="1" si="100"/>
        <v>0</v>
      </c>
      <c r="DD35" s="1482">
        <f t="shared" ca="1" si="100"/>
        <v>0</v>
      </c>
      <c r="DE35" s="1482">
        <f t="shared" ca="1" si="100"/>
        <v>0</v>
      </c>
      <c r="DF35" s="1482">
        <f t="shared" ca="1" si="100"/>
        <v>0</v>
      </c>
      <c r="DH35" s="838">
        <f t="shared" ca="1" si="35"/>
        <v>0</v>
      </c>
    </row>
    <row r="36" spans="1:112" s="743" customFormat="1" ht="12.75" hidden="1" customHeight="1" outlineLevel="1">
      <c r="A36" s="22"/>
      <c r="B36" s="22"/>
      <c r="C36" s="751"/>
      <c r="D36" s="512"/>
      <c r="E36" s="512"/>
      <c r="G36" s="1021"/>
      <c r="H36" s="1021"/>
      <c r="I36" s="1021"/>
      <c r="J36" s="1021"/>
      <c r="K36" s="1021"/>
      <c r="L36" s="1021"/>
      <c r="M36" s="1021"/>
      <c r="N36" s="1021"/>
      <c r="O36" s="1021"/>
      <c r="P36" s="1021"/>
      <c r="Q36" s="1021"/>
      <c r="S36" s="970"/>
      <c r="T36" s="970"/>
      <c r="U36" s="970"/>
      <c r="V36" s="970"/>
      <c r="W36" s="970"/>
      <c r="X36" s="970"/>
      <c r="Y36" s="970"/>
      <c r="Z36" s="970"/>
      <c r="AA36" s="970"/>
      <c r="AB36" s="970"/>
      <c r="AC36" s="970"/>
      <c r="AD36" s="970"/>
      <c r="AE36" s="970"/>
      <c r="AF36" s="970"/>
      <c r="AG36" s="970"/>
      <c r="AH36" s="970"/>
      <c r="AI36" s="970"/>
      <c r="AJ36" s="970"/>
      <c r="AK36" s="970"/>
      <c r="AM36" s="976"/>
      <c r="AN36" s="976"/>
      <c r="AO36" s="976"/>
      <c r="AP36" s="976"/>
      <c r="AQ36" s="976"/>
      <c r="AR36" s="976"/>
      <c r="AS36" s="976"/>
      <c r="AT36" s="976"/>
      <c r="AU36" s="976"/>
      <c r="AV36" s="976"/>
      <c r="AW36" s="976"/>
      <c r="AX36" s="976"/>
      <c r="AY36" s="976"/>
      <c r="AZ36" s="976"/>
      <c r="BA36" s="976"/>
      <c r="BB36" s="976"/>
      <c r="BC36" s="976"/>
      <c r="BD36" s="976"/>
      <c r="BE36" s="976"/>
      <c r="BF36" s="976"/>
      <c r="BH36" s="990"/>
      <c r="BI36" s="990"/>
      <c r="BJ36" s="990"/>
      <c r="BL36" s="515">
        <f t="shared" si="9"/>
        <v>0</v>
      </c>
      <c r="BM36" s="515"/>
      <c r="BN36" s="22"/>
      <c r="BO36" s="1481"/>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H36" s="838">
        <f t="shared" si="35"/>
        <v>0</v>
      </c>
    </row>
    <row r="37" spans="1:112" s="743" customFormat="1" ht="12.75" hidden="1" customHeight="1" outlineLevel="1">
      <c r="A37" s="1484"/>
      <c r="B37" s="1484"/>
      <c r="C37" s="746" t="s">
        <v>962</v>
      </c>
      <c r="D37" s="1010" t="str">
        <f>INDEX(Modules[Module], MATCH($C37, Modules[Code], 0))</f>
        <v>Geosequestration</v>
      </c>
      <c r="E37" s="1010"/>
      <c r="G37" s="1022">
        <f t="shared" ref="G37:P37" ca="1" si="101">IFERROR(INDEX(INDIRECT($C37&amp;".Outputs["&amp;this.Year&amp;"]"), MATCH(G$5, INDIRECT($C37&amp;".Outputs[Vector]"), 0)), 0)</f>
        <v>0</v>
      </c>
      <c r="H37" s="1022">
        <f t="shared" ca="1" si="101"/>
        <v>0</v>
      </c>
      <c r="I37" s="1022">
        <f t="shared" ca="1" si="101"/>
        <v>0</v>
      </c>
      <c r="J37" s="1022">
        <f t="shared" ca="1" si="101"/>
        <v>0</v>
      </c>
      <c r="K37" s="1022">
        <f t="shared" ca="1" si="101"/>
        <v>0</v>
      </c>
      <c r="L37" s="1022">
        <f t="shared" ca="1" si="101"/>
        <v>0</v>
      </c>
      <c r="M37" s="1022">
        <f t="shared" ca="1" si="101"/>
        <v>0</v>
      </c>
      <c r="N37" s="1022">
        <f t="shared" ca="1" si="101"/>
        <v>0</v>
      </c>
      <c r="O37" s="1022">
        <f t="shared" ca="1" si="101"/>
        <v>0</v>
      </c>
      <c r="P37" s="1022">
        <f t="shared" ca="1" si="101"/>
        <v>0</v>
      </c>
      <c r="Q37" s="1020">
        <f ca="1">SUM(G37:P37)</f>
        <v>0</v>
      </c>
      <c r="S37" s="1031">
        <f t="shared" ref="S37:BE37" ca="1" si="102">IFERROR(INDEX(INDIRECT($C37&amp;".Outputs["&amp;this.Year&amp;"]"), MATCH(S$5, INDIRECT($C37&amp;".Outputs[Vector]"), 0)), 0)</f>
        <v>0</v>
      </c>
      <c r="T37" s="1031">
        <f t="shared" ca="1" si="102"/>
        <v>0</v>
      </c>
      <c r="U37" s="1031">
        <f t="shared" ca="1" si="102"/>
        <v>0</v>
      </c>
      <c r="V37" s="1031">
        <f t="shared" ca="1" si="102"/>
        <v>0</v>
      </c>
      <c r="W37" s="1031">
        <f t="shared" ca="1" si="102"/>
        <v>0</v>
      </c>
      <c r="X37" s="1031">
        <f ca="1">IFERROR(INDEX(INDIRECT($C37&amp;".Outputs["&amp;this.Year&amp;"]"), MATCH(X$5, INDIRECT($C37&amp;".Outputs[Vector]"), 0)), 0)</f>
        <v>0</v>
      </c>
      <c r="Y37" s="1031">
        <f ca="1">IFERROR(INDEX(INDIRECT($C37&amp;".Outputs["&amp;this.Year&amp;"]"), MATCH(Y$5, INDIRECT($C37&amp;".Outputs[Vector]"), 0)), 0)</f>
        <v>0</v>
      </c>
      <c r="Z37" s="1031">
        <f ca="1">IFERROR(INDEX(INDIRECT($C37&amp;".Outputs["&amp;this.Year&amp;"]"), MATCH(Z$5, INDIRECT($C37&amp;".Outputs[Vector]"), 0)), 0)</f>
        <v>0</v>
      </c>
      <c r="AA37" s="1031">
        <f t="shared" ca="1" si="102"/>
        <v>0</v>
      </c>
      <c r="AB37" s="1031">
        <f t="shared" ca="1" si="102"/>
        <v>0</v>
      </c>
      <c r="AC37" s="1031">
        <f t="shared" ca="1" si="102"/>
        <v>0</v>
      </c>
      <c r="AD37" s="1031">
        <f t="shared" ca="1" si="102"/>
        <v>0</v>
      </c>
      <c r="AE37" s="1031">
        <f t="shared" ca="1" si="102"/>
        <v>0</v>
      </c>
      <c r="AF37" s="1031">
        <f t="shared" ca="1" si="102"/>
        <v>0</v>
      </c>
      <c r="AG37" s="1031">
        <f t="shared" ca="1" si="102"/>
        <v>0</v>
      </c>
      <c r="AH37" s="1031">
        <f t="shared" ca="1" si="102"/>
        <v>0</v>
      </c>
      <c r="AI37" s="1031">
        <f t="shared" ca="1" si="102"/>
        <v>0</v>
      </c>
      <c r="AJ37" s="1031">
        <f t="shared" ca="1" si="102"/>
        <v>0</v>
      </c>
      <c r="AK37" s="1030">
        <f ca="1">SUM(S37:AJ37)</f>
        <v>0</v>
      </c>
      <c r="AM37" s="1042">
        <f t="shared" ref="AM37:AU37" ca="1" si="103">IFERROR(INDEX(INDIRECT($C37&amp;".Outputs["&amp;this.Year&amp;"]"), MATCH(AM$5, INDIRECT($C37&amp;".Outputs[Vector]"), 0)), 0)</f>
        <v>0</v>
      </c>
      <c r="AN37" s="1042">
        <f t="shared" ca="1" si="103"/>
        <v>0</v>
      </c>
      <c r="AO37" s="1042">
        <f t="shared" ca="1" si="103"/>
        <v>0</v>
      </c>
      <c r="AP37" s="1042">
        <f t="shared" ca="1" si="103"/>
        <v>0</v>
      </c>
      <c r="AQ37" s="1042">
        <f t="shared" ca="1" si="103"/>
        <v>0</v>
      </c>
      <c r="AR37" s="1042">
        <f t="shared" ca="1" si="103"/>
        <v>0</v>
      </c>
      <c r="AS37" s="1042">
        <f t="shared" ca="1" si="103"/>
        <v>0</v>
      </c>
      <c r="AT37" s="1042">
        <f t="shared" ca="1" si="103"/>
        <v>0</v>
      </c>
      <c r="AU37" s="1042">
        <f t="shared" ca="1" si="103"/>
        <v>0</v>
      </c>
      <c r="AV37" s="1042">
        <f t="shared" ca="1" si="102"/>
        <v>0</v>
      </c>
      <c r="AW37" s="1042">
        <f t="shared" ca="1" si="102"/>
        <v>0</v>
      </c>
      <c r="AX37" s="1042">
        <f t="shared" ca="1" si="102"/>
        <v>0</v>
      </c>
      <c r="AY37" s="1042">
        <f t="shared" ca="1" si="102"/>
        <v>0</v>
      </c>
      <c r="AZ37" s="1042">
        <f t="shared" ca="1" si="102"/>
        <v>0</v>
      </c>
      <c r="BA37" s="1042">
        <f t="shared" ca="1" si="102"/>
        <v>0</v>
      </c>
      <c r="BB37" s="1042">
        <f t="shared" ca="1" si="102"/>
        <v>0</v>
      </c>
      <c r="BC37" s="1042">
        <f t="shared" ca="1" si="102"/>
        <v>0</v>
      </c>
      <c r="BD37" s="1042">
        <f t="shared" ca="1" si="102"/>
        <v>0</v>
      </c>
      <c r="BE37" s="1042">
        <f t="shared" ca="1" si="102"/>
        <v>0</v>
      </c>
      <c r="BF37" s="1012">
        <f ca="1">SUM(AM37:BE37)</f>
        <v>0</v>
      </c>
      <c r="BH37" s="1036">
        <f ca="1">IFERROR(INDEX(INDIRECT($C37&amp;".Outputs["&amp;this.Year&amp;"]"), MATCH(BH$5, INDIRECT($C37&amp;".Outputs[Vector]"), 0)), 0)</f>
        <v>0</v>
      </c>
      <c r="BI37" s="1036">
        <f ca="1">IFERROR(INDEX(INDIRECT($C37&amp;".Outputs["&amp;this.Year&amp;"]"), MATCH(BI$5, INDIRECT($C37&amp;".Outputs[Vector]"), 0)), 0)</f>
        <v>0</v>
      </c>
      <c r="BJ37" s="1035">
        <f ca="1">SUM(BH37:BI37)</f>
        <v>0</v>
      </c>
      <c r="BL37" s="814">
        <f t="shared" ca="1" si="9"/>
        <v>0</v>
      </c>
      <c r="BM37" s="814"/>
      <c r="BN37" s="840"/>
      <c r="BO37" s="1485">
        <f t="shared" ref="BO37:DF37" ca="1" si="104">IFERROR(SUMIFS(INDIRECT($C37&amp;".Emissions["&amp;this.Year&amp;"]"), INDIRECT($C37&amp;".Emissions[GHG]"), BO$6, INDIRECT($C37&amp;".Emissions[IPCC Sector]"), BO$5),0)</f>
        <v>0</v>
      </c>
      <c r="BP37" s="1486">
        <f t="shared" ca="1" si="104"/>
        <v>0</v>
      </c>
      <c r="BQ37" s="1486">
        <f t="shared" ca="1" si="104"/>
        <v>0</v>
      </c>
      <c r="BR37" s="1486">
        <f t="shared" ca="1" si="104"/>
        <v>0</v>
      </c>
      <c r="BS37" s="1486">
        <f t="shared" ca="1" si="104"/>
        <v>0</v>
      </c>
      <c r="BT37" s="1486">
        <f t="shared" ca="1" si="104"/>
        <v>0</v>
      </c>
      <c r="BU37" s="1486">
        <f t="shared" ca="1" si="104"/>
        <v>0</v>
      </c>
      <c r="BV37" s="1486">
        <f t="shared" ca="1" si="104"/>
        <v>0</v>
      </c>
      <c r="BW37" s="1486">
        <f t="shared" ca="1" si="104"/>
        <v>0</v>
      </c>
      <c r="BX37" s="1486">
        <f t="shared" ca="1" si="104"/>
        <v>0</v>
      </c>
      <c r="BY37" s="1486">
        <f t="shared" ca="1" si="104"/>
        <v>0</v>
      </c>
      <c r="BZ37" s="1486">
        <f t="shared" ca="1" si="104"/>
        <v>0</v>
      </c>
      <c r="CA37" s="1486">
        <f t="shared" ca="1" si="104"/>
        <v>0</v>
      </c>
      <c r="CB37" s="1486">
        <f t="shared" ca="1" si="104"/>
        <v>0</v>
      </c>
      <c r="CC37" s="1486">
        <f t="shared" ca="1" si="104"/>
        <v>0</v>
      </c>
      <c r="CD37" s="1486">
        <f t="shared" ca="1" si="104"/>
        <v>0</v>
      </c>
      <c r="CE37" s="1486">
        <f t="shared" ca="1" si="104"/>
        <v>0</v>
      </c>
      <c r="CF37" s="1486">
        <f t="shared" ca="1" si="104"/>
        <v>0</v>
      </c>
      <c r="CG37" s="1486">
        <f t="shared" ca="1" si="104"/>
        <v>0</v>
      </c>
      <c r="CH37" s="1486">
        <f t="shared" ca="1" si="104"/>
        <v>0</v>
      </c>
      <c r="CI37" s="1486">
        <f t="shared" ca="1" si="104"/>
        <v>0</v>
      </c>
      <c r="CJ37" s="1486">
        <f t="shared" ca="1" si="104"/>
        <v>0</v>
      </c>
      <c r="CK37" s="1486">
        <f t="shared" ca="1" si="104"/>
        <v>0</v>
      </c>
      <c r="CL37" s="1486">
        <f t="shared" ca="1" si="104"/>
        <v>0</v>
      </c>
      <c r="CM37" s="1486">
        <f t="shared" ca="1" si="104"/>
        <v>0</v>
      </c>
      <c r="CN37" s="1486">
        <f t="shared" ca="1" si="104"/>
        <v>0</v>
      </c>
      <c r="CO37" s="1486">
        <f t="shared" ca="1" si="104"/>
        <v>0</v>
      </c>
      <c r="CP37" s="1486">
        <f t="shared" ca="1" si="104"/>
        <v>0</v>
      </c>
      <c r="CQ37" s="1486">
        <f t="shared" ca="1" si="104"/>
        <v>0</v>
      </c>
      <c r="CR37" s="1486">
        <f t="shared" ca="1" si="104"/>
        <v>0</v>
      </c>
      <c r="CS37" s="1486">
        <f t="shared" ca="1" si="104"/>
        <v>0</v>
      </c>
      <c r="CT37" s="1486">
        <f t="shared" ca="1" si="104"/>
        <v>0</v>
      </c>
      <c r="CU37" s="1486">
        <f t="shared" ca="1" si="104"/>
        <v>0</v>
      </c>
      <c r="CV37" s="1486">
        <f t="shared" ca="1" si="104"/>
        <v>0</v>
      </c>
      <c r="CW37" s="1486">
        <f t="shared" ca="1" si="104"/>
        <v>0</v>
      </c>
      <c r="CX37" s="1486">
        <f t="shared" ca="1" si="104"/>
        <v>0</v>
      </c>
      <c r="CY37" s="1486">
        <f t="shared" ca="1" si="104"/>
        <v>0</v>
      </c>
      <c r="CZ37" s="1486">
        <f t="shared" ca="1" si="104"/>
        <v>0</v>
      </c>
      <c r="DA37" s="1486">
        <f t="shared" ca="1" si="104"/>
        <v>0</v>
      </c>
      <c r="DB37" s="1486">
        <f t="shared" ca="1" si="104"/>
        <v>0</v>
      </c>
      <c r="DC37" s="1486">
        <f t="shared" ca="1" si="104"/>
        <v>0</v>
      </c>
      <c r="DD37" s="1486">
        <f t="shared" ca="1" si="104"/>
        <v>0</v>
      </c>
      <c r="DE37" s="1486">
        <f t="shared" ca="1" si="104"/>
        <v>0</v>
      </c>
      <c r="DF37" s="1486">
        <f t="shared" ca="1" si="104"/>
        <v>0</v>
      </c>
      <c r="DH37" s="838">
        <f t="shared" ca="1" si="35"/>
        <v>0</v>
      </c>
    </row>
    <row r="38" spans="1:112" s="743" customFormat="1" ht="15.75" collapsed="1">
      <c r="A38" s="22"/>
      <c r="B38" s="753"/>
      <c r="C38" s="744" t="s">
        <v>675</v>
      </c>
      <c r="D38" s="517" t="str">
        <f>INDEX(Workstreams[Workstream], MATCH($C38, Workstreams[Code], 0))</f>
        <v>Geosequestration</v>
      </c>
      <c r="E38" s="512"/>
      <c r="G38" s="1021">
        <f ca="1">G37</f>
        <v>0</v>
      </c>
      <c r="H38" s="1021">
        <f t="shared" ref="H38:P38" ca="1" si="105">H37</f>
        <v>0</v>
      </c>
      <c r="I38" s="1021">
        <f t="shared" ca="1" si="105"/>
        <v>0</v>
      </c>
      <c r="J38" s="1021">
        <f t="shared" ca="1" si="105"/>
        <v>0</v>
      </c>
      <c r="K38" s="1021">
        <f t="shared" ca="1" si="105"/>
        <v>0</v>
      </c>
      <c r="L38" s="1021">
        <f t="shared" ca="1" si="105"/>
        <v>0</v>
      </c>
      <c r="M38" s="1021">
        <f t="shared" ca="1" si="105"/>
        <v>0</v>
      </c>
      <c r="N38" s="1021">
        <f t="shared" ca="1" si="105"/>
        <v>0</v>
      </c>
      <c r="O38" s="1021">
        <f t="shared" ca="1" si="105"/>
        <v>0</v>
      </c>
      <c r="P38" s="1021">
        <f t="shared" ca="1" si="105"/>
        <v>0</v>
      </c>
      <c r="Q38" s="1021">
        <f ca="1">SUM(G38:P38)</f>
        <v>0</v>
      </c>
      <c r="S38" s="970">
        <f t="shared" ref="S38:AJ38" ca="1" si="106">S37</f>
        <v>0</v>
      </c>
      <c r="T38" s="970">
        <f t="shared" ca="1" si="106"/>
        <v>0</v>
      </c>
      <c r="U38" s="970">
        <f t="shared" ca="1" si="106"/>
        <v>0</v>
      </c>
      <c r="V38" s="970">
        <f t="shared" ca="1" si="106"/>
        <v>0</v>
      </c>
      <c r="W38" s="970">
        <f t="shared" ca="1" si="106"/>
        <v>0</v>
      </c>
      <c r="X38" s="970">
        <f ca="1">X37</f>
        <v>0</v>
      </c>
      <c r="Y38" s="970">
        <f ca="1">Y37</f>
        <v>0</v>
      </c>
      <c r="Z38" s="970">
        <f ca="1">Z37</f>
        <v>0</v>
      </c>
      <c r="AA38" s="970">
        <f t="shared" ca="1" si="106"/>
        <v>0</v>
      </c>
      <c r="AB38" s="970">
        <f t="shared" ca="1" si="106"/>
        <v>0</v>
      </c>
      <c r="AC38" s="970">
        <f t="shared" ca="1" si="106"/>
        <v>0</v>
      </c>
      <c r="AD38" s="970">
        <f ca="1">AD37</f>
        <v>0</v>
      </c>
      <c r="AE38" s="970">
        <f ca="1">AE37</f>
        <v>0</v>
      </c>
      <c r="AF38" s="970">
        <f t="shared" ca="1" si="106"/>
        <v>0</v>
      </c>
      <c r="AG38" s="970">
        <f ca="1">AG37</f>
        <v>0</v>
      </c>
      <c r="AH38" s="970">
        <f ca="1">AH37</f>
        <v>0</v>
      </c>
      <c r="AI38" s="970">
        <f ca="1">AI37</f>
        <v>0</v>
      </c>
      <c r="AJ38" s="970">
        <f t="shared" ca="1" si="106"/>
        <v>0</v>
      </c>
      <c r="AK38" s="970">
        <f ca="1">SUM(S38:AJ38)</f>
        <v>0</v>
      </c>
      <c r="AM38" s="976">
        <f t="shared" ref="AM38:AS38" ca="1" si="107">AM37</f>
        <v>0</v>
      </c>
      <c r="AN38" s="976">
        <f t="shared" ca="1" si="107"/>
        <v>0</v>
      </c>
      <c r="AO38" s="976">
        <f t="shared" ca="1" si="107"/>
        <v>0</v>
      </c>
      <c r="AP38" s="976">
        <f t="shared" ca="1" si="107"/>
        <v>0</v>
      </c>
      <c r="AQ38" s="976">
        <f t="shared" ca="1" si="107"/>
        <v>0</v>
      </c>
      <c r="AR38" s="976">
        <f t="shared" ca="1" si="107"/>
        <v>0</v>
      </c>
      <c r="AS38" s="976">
        <f t="shared" ca="1" si="107"/>
        <v>0</v>
      </c>
      <c r="AT38" s="976">
        <f t="shared" ref="AT38:BE38" ca="1" si="108">AT37</f>
        <v>0</v>
      </c>
      <c r="AU38" s="976">
        <f t="shared" ca="1" si="108"/>
        <v>0</v>
      </c>
      <c r="AV38" s="976">
        <f t="shared" ca="1" si="108"/>
        <v>0</v>
      </c>
      <c r="AW38" s="976">
        <f t="shared" ca="1" si="108"/>
        <v>0</v>
      </c>
      <c r="AX38" s="976">
        <f t="shared" ca="1" si="108"/>
        <v>0</v>
      </c>
      <c r="AY38" s="976">
        <f t="shared" ca="1" si="108"/>
        <v>0</v>
      </c>
      <c r="AZ38" s="976">
        <f t="shared" ca="1" si="108"/>
        <v>0</v>
      </c>
      <c r="BA38" s="976">
        <f t="shared" ca="1" si="108"/>
        <v>0</v>
      </c>
      <c r="BB38" s="976">
        <f t="shared" ca="1" si="108"/>
        <v>0</v>
      </c>
      <c r="BC38" s="976">
        <f t="shared" ca="1" si="108"/>
        <v>0</v>
      </c>
      <c r="BD38" s="976">
        <f t="shared" ca="1" si="108"/>
        <v>0</v>
      </c>
      <c r="BE38" s="976">
        <f t="shared" ca="1" si="108"/>
        <v>0</v>
      </c>
      <c r="BF38" s="976">
        <f ca="1">SUM(AM38:BE38)</f>
        <v>0</v>
      </c>
      <c r="BH38" s="990">
        <f ca="1">BH37</f>
        <v>0</v>
      </c>
      <c r="BI38" s="990">
        <f ca="1">BI37</f>
        <v>0</v>
      </c>
      <c r="BJ38" s="990">
        <f ca="1">SUM(BH38:BI38)</f>
        <v>0</v>
      </c>
      <c r="BL38" s="515">
        <f t="shared" ca="1" si="9"/>
        <v>0</v>
      </c>
      <c r="BM38" s="515"/>
      <c r="BN38" s="840"/>
      <c r="BO38" s="1482">
        <f t="shared" ref="BO38:DF38" ca="1" si="109">BO37</f>
        <v>0</v>
      </c>
      <c r="BP38" s="1482">
        <f t="shared" ca="1" si="109"/>
        <v>0</v>
      </c>
      <c r="BQ38" s="1482">
        <f t="shared" ca="1" si="109"/>
        <v>0</v>
      </c>
      <c r="BR38" s="1482">
        <f t="shared" ca="1" si="109"/>
        <v>0</v>
      </c>
      <c r="BS38" s="1482">
        <f t="shared" ca="1" si="109"/>
        <v>0</v>
      </c>
      <c r="BT38" s="1482">
        <f t="shared" ca="1" si="109"/>
        <v>0</v>
      </c>
      <c r="BU38" s="1482">
        <f t="shared" ca="1" si="109"/>
        <v>0</v>
      </c>
      <c r="BV38" s="1482">
        <f t="shared" ca="1" si="109"/>
        <v>0</v>
      </c>
      <c r="BW38" s="1482">
        <f t="shared" ca="1" si="109"/>
        <v>0</v>
      </c>
      <c r="BX38" s="1482">
        <f t="shared" ca="1" si="109"/>
        <v>0</v>
      </c>
      <c r="BY38" s="1482">
        <f t="shared" ca="1" si="109"/>
        <v>0</v>
      </c>
      <c r="BZ38" s="1482">
        <f t="shared" ca="1" si="109"/>
        <v>0</v>
      </c>
      <c r="CA38" s="1482">
        <f t="shared" ca="1" si="109"/>
        <v>0</v>
      </c>
      <c r="CB38" s="1482">
        <f t="shared" ca="1" si="109"/>
        <v>0</v>
      </c>
      <c r="CC38" s="1482">
        <f t="shared" ca="1" si="109"/>
        <v>0</v>
      </c>
      <c r="CD38" s="1482">
        <f t="shared" ca="1" si="109"/>
        <v>0</v>
      </c>
      <c r="CE38" s="1482">
        <f t="shared" ca="1" si="109"/>
        <v>0</v>
      </c>
      <c r="CF38" s="1482">
        <f t="shared" ca="1" si="109"/>
        <v>0</v>
      </c>
      <c r="CG38" s="1482">
        <f t="shared" ca="1" si="109"/>
        <v>0</v>
      </c>
      <c r="CH38" s="1482">
        <f t="shared" ca="1" si="109"/>
        <v>0</v>
      </c>
      <c r="CI38" s="1482">
        <f t="shared" ca="1" si="109"/>
        <v>0</v>
      </c>
      <c r="CJ38" s="1482">
        <f t="shared" ca="1" si="109"/>
        <v>0</v>
      </c>
      <c r="CK38" s="1482">
        <f t="shared" ca="1" si="109"/>
        <v>0</v>
      </c>
      <c r="CL38" s="1482">
        <f t="shared" ca="1" si="109"/>
        <v>0</v>
      </c>
      <c r="CM38" s="1482">
        <f t="shared" ca="1" si="109"/>
        <v>0</v>
      </c>
      <c r="CN38" s="1482">
        <f t="shared" ca="1" si="109"/>
        <v>0</v>
      </c>
      <c r="CO38" s="1482">
        <f t="shared" ca="1" si="109"/>
        <v>0</v>
      </c>
      <c r="CP38" s="1482">
        <f t="shared" ca="1" si="109"/>
        <v>0</v>
      </c>
      <c r="CQ38" s="1482">
        <f t="shared" ca="1" si="109"/>
        <v>0</v>
      </c>
      <c r="CR38" s="1482">
        <f t="shared" ca="1" si="109"/>
        <v>0</v>
      </c>
      <c r="CS38" s="1482">
        <f t="shared" ca="1" si="109"/>
        <v>0</v>
      </c>
      <c r="CT38" s="1482">
        <f t="shared" ca="1" si="109"/>
        <v>0</v>
      </c>
      <c r="CU38" s="1482">
        <f t="shared" ca="1" si="109"/>
        <v>0</v>
      </c>
      <c r="CV38" s="1482">
        <f t="shared" ca="1" si="109"/>
        <v>0</v>
      </c>
      <c r="CW38" s="1482">
        <f t="shared" ca="1" si="109"/>
        <v>0</v>
      </c>
      <c r="CX38" s="1482">
        <f t="shared" ca="1" si="109"/>
        <v>0</v>
      </c>
      <c r="CY38" s="1482">
        <f t="shared" ca="1" si="109"/>
        <v>0</v>
      </c>
      <c r="CZ38" s="1482">
        <f t="shared" ca="1" si="109"/>
        <v>0</v>
      </c>
      <c r="DA38" s="1482">
        <f t="shared" ca="1" si="109"/>
        <v>0</v>
      </c>
      <c r="DB38" s="1482">
        <f t="shared" ca="1" si="109"/>
        <v>0</v>
      </c>
      <c r="DC38" s="1482">
        <f t="shared" ca="1" si="109"/>
        <v>0</v>
      </c>
      <c r="DD38" s="1482">
        <f t="shared" ca="1" si="109"/>
        <v>0</v>
      </c>
      <c r="DE38" s="1482">
        <f t="shared" ca="1" si="109"/>
        <v>0</v>
      </c>
      <c r="DF38" s="1482">
        <f t="shared" ca="1" si="109"/>
        <v>0</v>
      </c>
      <c r="DH38" s="838">
        <f t="shared" ca="1" si="35"/>
        <v>0</v>
      </c>
    </row>
    <row r="39" spans="1:112" s="743" customFormat="1" ht="6" customHeight="1">
      <c r="C39" s="516"/>
      <c r="D39" s="517"/>
      <c r="E39" s="509"/>
      <c r="G39" s="1021"/>
      <c r="H39" s="1021"/>
      <c r="I39" s="1021"/>
      <c r="J39" s="1021"/>
      <c r="K39" s="1021"/>
      <c r="L39" s="1021"/>
      <c r="M39" s="1021"/>
      <c r="N39" s="1021"/>
      <c r="O39" s="1021"/>
      <c r="P39" s="1021"/>
      <c r="Q39" s="1021"/>
      <c r="S39" s="970"/>
      <c r="T39" s="970"/>
      <c r="U39" s="970"/>
      <c r="V39" s="970"/>
      <c r="W39" s="970"/>
      <c r="X39" s="970"/>
      <c r="Y39" s="970"/>
      <c r="Z39" s="970"/>
      <c r="AA39" s="970"/>
      <c r="AB39" s="970"/>
      <c r="AC39" s="970"/>
      <c r="AD39" s="970"/>
      <c r="AE39" s="970"/>
      <c r="AF39" s="970"/>
      <c r="AG39" s="970"/>
      <c r="AH39" s="970"/>
      <c r="AI39" s="970"/>
      <c r="AJ39" s="970"/>
      <c r="AK39" s="970"/>
      <c r="AM39" s="976"/>
      <c r="AN39" s="976"/>
      <c r="AO39" s="976"/>
      <c r="AP39" s="976"/>
      <c r="AQ39" s="976"/>
      <c r="AR39" s="976"/>
      <c r="AS39" s="976"/>
      <c r="AT39" s="976"/>
      <c r="AU39" s="976"/>
      <c r="AV39" s="976"/>
      <c r="AW39" s="976"/>
      <c r="AX39" s="976"/>
      <c r="AY39" s="976"/>
      <c r="AZ39" s="976"/>
      <c r="BA39" s="976"/>
      <c r="BB39" s="976"/>
      <c r="BC39" s="976"/>
      <c r="BD39" s="976"/>
      <c r="BE39" s="976"/>
      <c r="BF39" s="976">
        <f>SUM(AM39:BE39)</f>
        <v>0</v>
      </c>
      <c r="BH39" s="990"/>
      <c r="BI39" s="990"/>
      <c r="BJ39" s="990"/>
      <c r="BL39" s="515">
        <f t="shared" si="9"/>
        <v>0</v>
      </c>
      <c r="BM39" s="515"/>
      <c r="BO39" s="1482"/>
      <c r="BP39" s="1482"/>
      <c r="BQ39" s="1482"/>
      <c r="BR39" s="1482"/>
      <c r="BS39" s="1482"/>
      <c r="BT39" s="1482"/>
      <c r="BU39" s="1482"/>
      <c r="BV39" s="1482"/>
      <c r="BW39" s="1482"/>
      <c r="BX39" s="1482"/>
      <c r="BY39" s="1482"/>
      <c r="BZ39" s="1482"/>
      <c r="CA39" s="1482"/>
      <c r="CB39" s="1482"/>
      <c r="CC39" s="1482"/>
      <c r="CD39" s="1482"/>
      <c r="CE39" s="1482"/>
      <c r="CF39" s="1482"/>
      <c r="CG39" s="1482"/>
      <c r="CH39" s="1482"/>
      <c r="CI39" s="1482"/>
      <c r="CJ39" s="1482"/>
      <c r="CK39" s="1482"/>
      <c r="CL39" s="1482"/>
      <c r="CM39" s="1482"/>
      <c r="CN39" s="1482"/>
      <c r="CO39" s="1482"/>
      <c r="CP39" s="1482"/>
      <c r="CQ39" s="1482"/>
      <c r="CR39" s="1482"/>
      <c r="CS39" s="1482"/>
      <c r="CT39" s="1482"/>
      <c r="CU39" s="1482"/>
      <c r="CV39" s="1482"/>
      <c r="CW39" s="1482"/>
      <c r="CX39" s="1482"/>
      <c r="CY39" s="1482"/>
      <c r="CZ39" s="1482"/>
      <c r="DA39" s="1482"/>
      <c r="DB39" s="1482"/>
      <c r="DC39" s="1482"/>
      <c r="DD39" s="1482"/>
      <c r="DE39" s="1482"/>
      <c r="DF39" s="1482"/>
      <c r="DH39" s="838"/>
    </row>
    <row r="40" spans="1:112" s="743" customFormat="1" ht="15.75">
      <c r="B40" s="753"/>
      <c r="C40" s="2051" t="s">
        <v>1815</v>
      </c>
      <c r="D40" s="643" t="s">
        <v>619</v>
      </c>
      <c r="E40" s="644"/>
      <c r="G40" s="1023">
        <f t="shared" ref="G40:Q40" ca="1" si="110">G$15+G$19+G$22+G$32+G$35+G$38</f>
        <v>619.32554128308072</v>
      </c>
      <c r="H40" s="1023">
        <f t="shared" ca="1" si="110"/>
        <v>189.81046011329818</v>
      </c>
      <c r="I40" s="1023">
        <f t="shared" ca="1" si="110"/>
        <v>426.82226933524851</v>
      </c>
      <c r="J40" s="1023">
        <f t="shared" ca="1" si="110"/>
        <v>392.38685603800138</v>
      </c>
      <c r="K40" s="1023">
        <f t="shared" ca="1" si="110"/>
        <v>16.668321544879074</v>
      </c>
      <c r="L40" s="1023">
        <f t="shared" ca="1" si="110"/>
        <v>11.927979753386868</v>
      </c>
      <c r="M40" s="1023">
        <f t="shared" ca="1" si="110"/>
        <v>23.996704956708381</v>
      </c>
      <c r="N40" s="1023">
        <f t="shared" ca="1" si="110"/>
        <v>201.39443053847114</v>
      </c>
      <c r="O40" s="1023">
        <f t="shared" ca="1" si="110"/>
        <v>58.747666138590283</v>
      </c>
      <c r="P40" s="1023">
        <f t="shared" ca="1" si="110"/>
        <v>0</v>
      </c>
      <c r="Q40" s="1023">
        <f t="shared" ca="1" si="110"/>
        <v>1941.0802297016644</v>
      </c>
      <c r="S40" s="1014">
        <f t="shared" ref="S40:AJ40" ca="1" si="111">S$15+S$19+S$22+S$32+S$35+S$38</f>
        <v>-378.57061184724313</v>
      </c>
      <c r="T40" s="1014">
        <f t="shared" ca="1" si="111"/>
        <v>0</v>
      </c>
      <c r="U40" s="1014">
        <f t="shared" ca="1" si="111"/>
        <v>-64.313956639996462</v>
      </c>
      <c r="V40" s="1014">
        <f t="shared" ca="1" si="111"/>
        <v>-791.39756707730601</v>
      </c>
      <c r="W40" s="1014">
        <f t="shared" ca="1" si="111"/>
        <v>-698.43413110878168</v>
      </c>
      <c r="X40" s="1014">
        <f ca="1">X$15+X$19+X$22+X$32+X$35+X$38</f>
        <v>0</v>
      </c>
      <c r="Y40" s="1014">
        <f ca="1">Y$15+Y$19+Y$22+Y$32+Y$35+Y$38</f>
        <v>0</v>
      </c>
      <c r="Z40" s="1014">
        <f ca="1">Z$15+Z$19+Z$22+Z$32+Z$35+Z$38</f>
        <v>0</v>
      </c>
      <c r="AA40" s="1014">
        <f t="shared" ca="1" si="111"/>
        <v>0</v>
      </c>
      <c r="AB40" s="1014">
        <f t="shared" ca="1" si="111"/>
        <v>-8.3639630283373272</v>
      </c>
      <c r="AC40" s="1014">
        <f t="shared" ca="1" si="111"/>
        <v>0</v>
      </c>
      <c r="AD40" s="1014">
        <f t="shared" ca="1" si="111"/>
        <v>0</v>
      </c>
      <c r="AE40" s="1014">
        <f t="shared" ca="1" si="111"/>
        <v>0</v>
      </c>
      <c r="AF40" s="1014">
        <f t="shared" ca="1" si="111"/>
        <v>0</v>
      </c>
      <c r="AG40" s="1014">
        <f t="shared" ca="1" si="111"/>
        <v>0</v>
      </c>
      <c r="AH40" s="1014">
        <f t="shared" ca="1" si="111"/>
        <v>0</v>
      </c>
      <c r="AI40" s="1014">
        <f t="shared" ca="1" si="111"/>
        <v>0</v>
      </c>
      <c r="AJ40" s="1014">
        <f t="shared" ca="1" si="111"/>
        <v>0</v>
      </c>
      <c r="AK40" s="1014">
        <f ca="1">SUM(S40:AJ40)</f>
        <v>-1941.0802297016646</v>
      </c>
      <c r="AM40" s="1015">
        <f t="shared" ref="AM40:BE40" ca="1" si="112">AM$15+AM$19+AM$22+AM$32+AM$35+AM$38</f>
        <v>0</v>
      </c>
      <c r="AN40" s="1015">
        <f t="shared" ca="1" si="112"/>
        <v>0</v>
      </c>
      <c r="AO40" s="1015">
        <f t="shared" ca="1" si="112"/>
        <v>0</v>
      </c>
      <c r="AP40" s="1015">
        <f t="shared" ca="1" si="112"/>
        <v>0</v>
      </c>
      <c r="AQ40" s="1015">
        <f t="shared" ca="1" si="112"/>
        <v>0</v>
      </c>
      <c r="AR40" s="1015">
        <f t="shared" ca="1" si="112"/>
        <v>0</v>
      </c>
      <c r="AS40" s="1015">
        <f t="shared" ca="1" si="112"/>
        <v>0</v>
      </c>
      <c r="AT40" s="1015">
        <f t="shared" ca="1" si="112"/>
        <v>0</v>
      </c>
      <c r="AU40" s="1015">
        <f t="shared" ca="1" si="112"/>
        <v>0</v>
      </c>
      <c r="AV40" s="1015">
        <f t="shared" ca="1" si="112"/>
        <v>0</v>
      </c>
      <c r="AW40" s="1015">
        <f t="shared" ca="1" si="112"/>
        <v>0</v>
      </c>
      <c r="AX40" s="1015">
        <f t="shared" ca="1" si="112"/>
        <v>0</v>
      </c>
      <c r="AY40" s="1015">
        <f t="shared" ca="1" si="112"/>
        <v>0</v>
      </c>
      <c r="AZ40" s="1015">
        <f t="shared" ca="1" si="112"/>
        <v>0</v>
      </c>
      <c r="BA40" s="1015">
        <f t="shared" ca="1" si="112"/>
        <v>0</v>
      </c>
      <c r="BB40" s="1015">
        <f t="shared" ca="1" si="112"/>
        <v>0</v>
      </c>
      <c r="BC40" s="1015">
        <f t="shared" ca="1" si="112"/>
        <v>0</v>
      </c>
      <c r="BD40" s="1015">
        <f t="shared" ca="1" si="112"/>
        <v>0</v>
      </c>
      <c r="BE40" s="1015">
        <f t="shared" ca="1" si="112"/>
        <v>0</v>
      </c>
      <c r="BF40" s="1015">
        <f ca="1">SUM(AM40:BE40)</f>
        <v>0</v>
      </c>
      <c r="BH40" s="1016">
        <f ca="1">BH$15+BH$19+BH$22+BH$32+BH$35+BH$38</f>
        <v>0</v>
      </c>
      <c r="BI40" s="1016">
        <f ca="1">BI$15+BI$19+BI$22+BI$32+BI$35+BI$38</f>
        <v>0</v>
      </c>
      <c r="BJ40" s="1016">
        <f ca="1">SUM(BH40:BI40)</f>
        <v>0</v>
      </c>
      <c r="BL40" s="518">
        <f t="shared" ca="1" si="9"/>
        <v>-2.2737367544323206E-13</v>
      </c>
      <c r="BM40" s="518"/>
      <c r="BO40" s="1487">
        <f t="shared" ref="BO40:DF40" ca="1" si="113">BO$15+BO$19+BO$22+BO$32+BO$35+BO$38</f>
        <v>281.13444636919587</v>
      </c>
      <c r="BP40" s="1487">
        <f t="shared" ca="1" si="113"/>
        <v>0.48114376613200838</v>
      </c>
      <c r="BQ40" s="1487">
        <f t="shared" ca="1" si="113"/>
        <v>2.8421308167222659</v>
      </c>
      <c r="BR40" s="1487">
        <f t="shared" ca="1" si="113"/>
        <v>0</v>
      </c>
      <c r="BS40" s="1487">
        <f t="shared" ca="1" si="113"/>
        <v>0</v>
      </c>
      <c r="BT40" s="1487">
        <f t="shared" ca="1" si="113"/>
        <v>0</v>
      </c>
      <c r="BU40" s="1487">
        <f t="shared" ca="1" si="113"/>
        <v>0</v>
      </c>
      <c r="BV40" s="1487">
        <f t="shared" ca="1" si="113"/>
        <v>0</v>
      </c>
      <c r="BW40" s="1487">
        <f t="shared" ca="1" si="113"/>
        <v>14.433220304947135</v>
      </c>
      <c r="BX40" s="1487">
        <f t="shared" ca="1" si="113"/>
        <v>0.11127565508364799</v>
      </c>
      <c r="BY40" s="1487">
        <f t="shared" ca="1" si="113"/>
        <v>2.7612028219218332</v>
      </c>
      <c r="BZ40" s="1487">
        <f t="shared" ca="1" si="113"/>
        <v>7.8287114330392287</v>
      </c>
      <c r="CA40" s="1487">
        <f t="shared" ca="1" si="113"/>
        <v>0</v>
      </c>
      <c r="CB40" s="1487">
        <f t="shared" ca="1" si="113"/>
        <v>0</v>
      </c>
      <c r="CC40" s="1487">
        <f t="shared" ca="1" si="113"/>
        <v>0</v>
      </c>
      <c r="CD40" s="1487">
        <f t="shared" ca="1" si="113"/>
        <v>0</v>
      </c>
      <c r="CE40" s="1487">
        <f t="shared" ca="1" si="113"/>
        <v>0</v>
      </c>
      <c r="CF40" s="1487">
        <f t="shared" ca="1" si="113"/>
        <v>0</v>
      </c>
      <c r="CG40" s="1487">
        <f t="shared" ca="1" si="113"/>
        <v>0</v>
      </c>
      <c r="CH40" s="1487">
        <f t="shared" ca="1" si="113"/>
        <v>0</v>
      </c>
      <c r="CI40" s="1487">
        <f t="shared" ca="1" si="113"/>
        <v>0</v>
      </c>
      <c r="CJ40" s="1487">
        <f t="shared" ca="1" si="113"/>
        <v>0</v>
      </c>
      <c r="CK40" s="1487">
        <f t="shared" ca="1" si="113"/>
        <v>0</v>
      </c>
      <c r="CL40" s="1487">
        <f t="shared" ca="1" si="113"/>
        <v>0</v>
      </c>
      <c r="CM40" s="1487">
        <f t="shared" ca="1" si="113"/>
        <v>0</v>
      </c>
      <c r="CN40" s="1487">
        <f t="shared" ca="1" si="113"/>
        <v>0</v>
      </c>
      <c r="CO40" s="1487">
        <f t="shared" ca="1" si="113"/>
        <v>0</v>
      </c>
      <c r="CP40" s="1487">
        <f t="shared" ca="1" si="113"/>
        <v>0</v>
      </c>
      <c r="CQ40" s="1487">
        <f t="shared" ca="1" si="113"/>
        <v>0</v>
      </c>
      <c r="CR40" s="1487">
        <f t="shared" ca="1" si="113"/>
        <v>0</v>
      </c>
      <c r="CS40" s="1487">
        <f t="shared" ca="1" si="113"/>
        <v>0</v>
      </c>
      <c r="CT40" s="1487">
        <f t="shared" ca="1" si="113"/>
        <v>0</v>
      </c>
      <c r="CU40" s="1487">
        <f t="shared" ca="1" si="113"/>
        <v>65.035524169265358</v>
      </c>
      <c r="CV40" s="1487">
        <f t="shared" ca="1" si="113"/>
        <v>8.0968970846668931E-2</v>
      </c>
      <c r="CW40" s="1487">
        <f t="shared" ca="1" si="113"/>
        <v>1.1701223434884098</v>
      </c>
      <c r="CX40" s="1487">
        <f t="shared" ca="1" si="113"/>
        <v>0</v>
      </c>
      <c r="CY40" s="1487">
        <f t="shared" ca="1" si="113"/>
        <v>0</v>
      </c>
      <c r="CZ40" s="1487">
        <f t="shared" ca="1" si="113"/>
        <v>0</v>
      </c>
      <c r="DA40" s="1487">
        <f t="shared" ca="1" si="113"/>
        <v>0</v>
      </c>
      <c r="DB40" s="1487">
        <f t="shared" ca="1" si="113"/>
        <v>0</v>
      </c>
      <c r="DC40" s="1487">
        <f t="shared" ca="1" si="113"/>
        <v>0</v>
      </c>
      <c r="DD40" s="1487">
        <f t="shared" ca="1" si="113"/>
        <v>0</v>
      </c>
      <c r="DE40" s="1487">
        <f t="shared" ca="1" si="113"/>
        <v>0</v>
      </c>
      <c r="DF40" s="1487">
        <f t="shared" ca="1" si="113"/>
        <v>0</v>
      </c>
      <c r="DH40" s="835">
        <f ca="1">SUM(BO40:DF40)</f>
        <v>375.87874665064243</v>
      </c>
    </row>
    <row r="41" spans="1:112" s="743" customFormat="1" ht="6" customHeight="1">
      <c r="C41" s="509"/>
      <c r="D41" s="509"/>
      <c r="E41" s="509"/>
      <c r="G41" s="958"/>
      <c r="H41" s="958"/>
      <c r="I41" s="958"/>
      <c r="J41" s="958"/>
      <c r="K41" s="960"/>
      <c r="L41" s="958"/>
      <c r="M41" s="958"/>
      <c r="N41" s="958"/>
      <c r="O41" s="958"/>
      <c r="P41" s="958"/>
      <c r="Q41" s="958"/>
      <c r="S41" s="970"/>
      <c r="T41" s="970"/>
      <c r="U41" s="970"/>
      <c r="V41" s="970"/>
      <c r="W41" s="970"/>
      <c r="X41" s="970"/>
      <c r="Y41" s="970"/>
      <c r="Z41" s="970"/>
      <c r="AA41" s="970"/>
      <c r="AB41" s="970"/>
      <c r="AC41" s="970"/>
      <c r="AD41" s="970"/>
      <c r="AE41" s="970"/>
      <c r="AF41" s="970"/>
      <c r="AG41" s="970"/>
      <c r="AH41" s="970"/>
      <c r="AI41" s="970"/>
      <c r="AJ41" s="970"/>
      <c r="AK41" s="970"/>
      <c r="AM41" s="976"/>
      <c r="AN41" s="976"/>
      <c r="AO41" s="976"/>
      <c r="AP41" s="976"/>
      <c r="AQ41" s="976"/>
      <c r="AR41" s="976"/>
      <c r="AS41" s="976"/>
      <c r="AT41" s="976"/>
      <c r="AU41" s="976"/>
      <c r="AV41" s="976"/>
      <c r="AW41" s="976"/>
      <c r="AX41" s="976"/>
      <c r="AY41" s="976"/>
      <c r="AZ41" s="976"/>
      <c r="BA41" s="976"/>
      <c r="BB41" s="976"/>
      <c r="BC41" s="976"/>
      <c r="BD41" s="976"/>
      <c r="BE41" s="976"/>
      <c r="BF41" s="976"/>
      <c r="BH41" s="990"/>
      <c r="BI41" s="990"/>
      <c r="BJ41" s="990"/>
      <c r="BL41" s="515">
        <f t="shared" si="9"/>
        <v>0</v>
      </c>
      <c r="BM41" s="515"/>
      <c r="BO41" s="1482"/>
      <c r="BP41" s="1482"/>
      <c r="BQ41" s="1482"/>
      <c r="BR41" s="1482"/>
      <c r="BS41" s="1482"/>
      <c r="BT41" s="1482"/>
      <c r="BU41" s="1482"/>
      <c r="BV41" s="1482"/>
      <c r="BW41" s="1482"/>
      <c r="BX41" s="1482"/>
      <c r="BY41" s="1482"/>
      <c r="BZ41" s="1482"/>
      <c r="CA41" s="1482"/>
      <c r="CB41" s="1482"/>
      <c r="CC41" s="1482"/>
      <c r="CD41" s="1482"/>
      <c r="CE41" s="1482"/>
      <c r="CF41" s="1482"/>
      <c r="CG41" s="1482"/>
      <c r="CH41" s="1482"/>
      <c r="CI41" s="1482"/>
      <c r="CJ41" s="1482"/>
      <c r="CK41" s="1482"/>
      <c r="CL41" s="1482"/>
      <c r="CM41" s="1482"/>
      <c r="CN41" s="1482"/>
      <c r="CO41" s="1482"/>
      <c r="CP41" s="1482"/>
      <c r="CQ41" s="1482"/>
      <c r="CR41" s="1482"/>
      <c r="CS41" s="1482"/>
      <c r="CT41" s="1482"/>
      <c r="CU41" s="1482"/>
      <c r="CV41" s="1482"/>
      <c r="CW41" s="1482"/>
      <c r="CX41" s="1482"/>
      <c r="CY41" s="1482"/>
      <c r="CZ41" s="1482"/>
      <c r="DA41" s="1482"/>
      <c r="DB41" s="1482"/>
      <c r="DC41" s="1482"/>
      <c r="DD41" s="1482"/>
      <c r="DE41" s="1482"/>
      <c r="DF41" s="1482"/>
      <c r="DH41" s="838"/>
    </row>
    <row r="42" spans="1:112" s="743" customFormat="1" ht="24" customHeight="1">
      <c r="C42" s="501" t="s">
        <v>72</v>
      </c>
      <c r="D42" s="501"/>
      <c r="E42" s="639"/>
      <c r="G42" s="957"/>
      <c r="H42" s="957"/>
      <c r="I42" s="957"/>
      <c r="J42" s="957"/>
      <c r="K42" s="957"/>
      <c r="L42" s="957"/>
      <c r="M42" s="957"/>
      <c r="N42" s="957"/>
      <c r="O42" s="957"/>
      <c r="P42" s="957"/>
      <c r="Q42" s="957"/>
      <c r="S42" s="969"/>
      <c r="T42" s="969"/>
      <c r="U42" s="969"/>
      <c r="V42" s="969"/>
      <c r="W42" s="969"/>
      <c r="X42" s="969"/>
      <c r="Y42" s="969"/>
      <c r="Z42" s="969"/>
      <c r="AA42" s="969"/>
      <c r="AB42" s="969"/>
      <c r="AC42" s="969"/>
      <c r="AD42" s="969"/>
      <c r="AE42" s="969"/>
      <c r="AF42" s="969"/>
      <c r="AG42" s="969"/>
      <c r="AH42" s="969"/>
      <c r="AI42" s="969"/>
      <c r="AJ42" s="969"/>
      <c r="AK42" s="969"/>
      <c r="AM42" s="975"/>
      <c r="AN42" s="975"/>
      <c r="AO42" s="975"/>
      <c r="AP42" s="975"/>
      <c r="AQ42" s="975"/>
      <c r="AR42" s="975"/>
      <c r="AS42" s="975"/>
      <c r="AT42" s="975"/>
      <c r="AU42" s="975"/>
      <c r="AV42" s="975"/>
      <c r="AW42" s="975"/>
      <c r="AX42" s="975"/>
      <c r="AY42" s="975"/>
      <c r="AZ42" s="975"/>
      <c r="BA42" s="975"/>
      <c r="BB42" s="975"/>
      <c r="BC42" s="975"/>
      <c r="BD42" s="975"/>
      <c r="BE42" s="975"/>
      <c r="BF42" s="975"/>
      <c r="BH42" s="989"/>
      <c r="BI42" s="989"/>
      <c r="BJ42" s="989"/>
      <c r="BL42" s="514">
        <f t="shared" si="9"/>
        <v>0</v>
      </c>
      <c r="BM42" s="514"/>
      <c r="BO42" s="1482"/>
      <c r="BP42" s="1482"/>
      <c r="BQ42" s="1482"/>
      <c r="BR42" s="1482"/>
      <c r="BS42" s="1482"/>
      <c r="BT42" s="1482"/>
      <c r="BU42" s="1482"/>
      <c r="BV42" s="1482"/>
      <c r="BW42" s="1482"/>
      <c r="BX42" s="1482"/>
      <c r="BY42" s="1482"/>
      <c r="BZ42" s="1482"/>
      <c r="CA42" s="1482"/>
      <c r="CB42" s="1482"/>
      <c r="CC42" s="1482"/>
      <c r="CD42" s="1482"/>
      <c r="CE42" s="1482"/>
      <c r="CF42" s="1482"/>
      <c r="CG42" s="1482"/>
      <c r="CH42" s="1482"/>
      <c r="CI42" s="1482"/>
      <c r="CJ42" s="1482"/>
      <c r="CK42" s="1482"/>
      <c r="CL42" s="1482"/>
      <c r="CM42" s="1482"/>
      <c r="CN42" s="1482"/>
      <c r="CO42" s="1482"/>
      <c r="CP42" s="1482"/>
      <c r="CQ42" s="1482"/>
      <c r="CR42" s="1482"/>
      <c r="CS42" s="1482"/>
      <c r="CT42" s="1482"/>
      <c r="CU42" s="1482"/>
      <c r="CV42" s="1482"/>
      <c r="CW42" s="1482"/>
      <c r="CX42" s="1482"/>
      <c r="CY42" s="1482"/>
      <c r="CZ42" s="1482"/>
      <c r="DA42" s="1482"/>
      <c r="DB42" s="1482"/>
      <c r="DC42" s="1482"/>
      <c r="DD42" s="1482"/>
      <c r="DE42" s="1482"/>
      <c r="DF42" s="1482"/>
      <c r="DH42" s="838"/>
    </row>
    <row r="43" spans="1:112" s="743" customFormat="1" ht="12.75" hidden="1" customHeight="1" outlineLevel="1">
      <c r="A43" s="22"/>
      <c r="B43" s="22"/>
      <c r="C43" s="751"/>
      <c r="D43" s="512"/>
      <c r="E43" s="512"/>
      <c r="G43" s="958"/>
      <c r="H43" s="958"/>
      <c r="I43" s="958"/>
      <c r="J43" s="958"/>
      <c r="K43" s="960"/>
      <c r="L43" s="958"/>
      <c r="M43" s="958"/>
      <c r="N43" s="958"/>
      <c r="O43" s="958"/>
      <c r="P43" s="958"/>
      <c r="Q43" s="958"/>
      <c r="S43" s="970"/>
      <c r="T43" s="970"/>
      <c r="U43" s="970"/>
      <c r="V43" s="970"/>
      <c r="W43" s="970"/>
      <c r="X43" s="970"/>
      <c r="Y43" s="970"/>
      <c r="Z43" s="970"/>
      <c r="AA43" s="970"/>
      <c r="AB43" s="970"/>
      <c r="AC43" s="970"/>
      <c r="AD43" s="970"/>
      <c r="AE43" s="970"/>
      <c r="AF43" s="970"/>
      <c r="AG43" s="970"/>
      <c r="AH43" s="970"/>
      <c r="AI43" s="970"/>
      <c r="AJ43" s="970"/>
      <c r="AK43" s="970"/>
      <c r="AM43" s="976"/>
      <c r="AN43" s="976"/>
      <c r="AO43" s="976"/>
      <c r="AP43" s="976"/>
      <c r="AQ43" s="976"/>
      <c r="AR43" s="976"/>
      <c r="AS43" s="976"/>
      <c r="AT43" s="976"/>
      <c r="AU43" s="976"/>
      <c r="AV43" s="976"/>
      <c r="AW43" s="976"/>
      <c r="AX43" s="976"/>
      <c r="AY43" s="976"/>
      <c r="AZ43" s="976"/>
      <c r="BA43" s="976"/>
      <c r="BB43" s="976"/>
      <c r="BC43" s="976"/>
      <c r="BD43" s="976"/>
      <c r="BE43" s="976"/>
      <c r="BF43" s="976"/>
      <c r="BH43" s="990"/>
      <c r="BI43" s="990"/>
      <c r="BJ43" s="990"/>
      <c r="BL43" s="515">
        <f t="shared" si="9"/>
        <v>0</v>
      </c>
      <c r="BM43" s="515"/>
      <c r="BN43" s="22"/>
      <c r="BO43" s="1482"/>
      <c r="BP43" s="1482"/>
      <c r="BQ43" s="1482"/>
      <c r="BR43" s="1482"/>
      <c r="BS43" s="1482"/>
      <c r="BT43" s="1482"/>
      <c r="BU43" s="1482"/>
      <c r="BV43" s="1482"/>
      <c r="BW43" s="1482"/>
      <c r="BX43" s="1482"/>
      <c r="BY43" s="1482"/>
      <c r="BZ43" s="1482"/>
      <c r="CA43" s="1482"/>
      <c r="CB43" s="1482"/>
      <c r="CC43" s="1482"/>
      <c r="CD43" s="1482"/>
      <c r="CE43" s="1482"/>
      <c r="CF43" s="1482"/>
      <c r="CG43" s="1482"/>
      <c r="CH43" s="1482"/>
      <c r="CI43" s="1482"/>
      <c r="CJ43" s="1482"/>
      <c r="CK43" s="1482"/>
      <c r="CL43" s="1482"/>
      <c r="CM43" s="1482"/>
      <c r="CN43" s="1482"/>
      <c r="CO43" s="1482"/>
      <c r="CP43" s="1482"/>
      <c r="CQ43" s="1482"/>
      <c r="CR43" s="1482"/>
      <c r="CS43" s="1482"/>
      <c r="CT43" s="1482"/>
      <c r="CU43" s="1482"/>
      <c r="CV43" s="1482"/>
      <c r="CW43" s="1482"/>
      <c r="CX43" s="1482"/>
      <c r="CY43" s="1482"/>
      <c r="CZ43" s="1482"/>
      <c r="DA43" s="1482"/>
      <c r="DB43" s="1482"/>
      <c r="DC43" s="1482"/>
      <c r="DD43" s="1482"/>
      <c r="DE43" s="1482"/>
      <c r="DF43" s="1482"/>
      <c r="DH43" s="838"/>
    </row>
    <row r="44" spans="1:112" s="1491" customFormat="1" ht="12.75" hidden="1" customHeight="1" outlineLevel="1">
      <c r="C44" s="1534" t="s">
        <v>1925</v>
      </c>
      <c r="D44" s="1535" t="s">
        <v>1926</v>
      </c>
      <c r="E44" s="1535"/>
      <c r="F44" s="1957"/>
      <c r="G44" s="1070"/>
      <c r="H44" s="1070"/>
      <c r="I44" s="1070"/>
      <c r="J44" s="1070"/>
      <c r="K44" s="1071"/>
      <c r="L44" s="1070"/>
      <c r="M44" s="1070"/>
      <c r="N44" s="1070"/>
      <c r="O44" s="1070"/>
      <c r="P44" s="1070"/>
      <c r="Q44" s="1070"/>
      <c r="R44" s="1957"/>
      <c r="S44" s="1072"/>
      <c r="T44" s="1072"/>
      <c r="U44" s="1072"/>
      <c r="V44" s="1072"/>
      <c r="W44" s="1072"/>
      <c r="X44" s="1072"/>
      <c r="Y44" s="1072"/>
      <c r="Z44" s="1072"/>
      <c r="AA44" s="1072"/>
      <c r="AB44" s="1072"/>
      <c r="AC44" s="1072"/>
      <c r="AD44" s="1072"/>
      <c r="AE44" s="1072"/>
      <c r="AF44" s="1072"/>
      <c r="AG44" s="1072"/>
      <c r="AH44" s="1072"/>
      <c r="AI44" s="1072"/>
      <c r="AJ44" s="1072">
        <f ca="1">AJ$40</f>
        <v>0</v>
      </c>
      <c r="AK44" s="1072"/>
      <c r="AL44" s="1957"/>
      <c r="AM44" s="1073"/>
      <c r="AN44" s="1073"/>
      <c r="AO44" s="1073"/>
      <c r="AP44" s="1073"/>
      <c r="AQ44" s="1073"/>
      <c r="AR44" s="1073"/>
      <c r="AS44" s="1073"/>
      <c r="AT44" s="1073"/>
      <c r="AU44" s="1073"/>
      <c r="AV44" s="1073"/>
      <c r="AW44" s="1073"/>
      <c r="AX44" s="1073"/>
      <c r="AY44" s="1073"/>
      <c r="AZ44" s="1073"/>
      <c r="BA44" s="1073"/>
      <c r="BB44" s="1073"/>
      <c r="BC44" s="1073"/>
      <c r="BD44" s="1073"/>
      <c r="BE44" s="1073"/>
      <c r="BF44" s="1073"/>
      <c r="BG44" s="1957"/>
      <c r="BH44" s="1074"/>
      <c r="BI44" s="1074"/>
      <c r="BJ44" s="1074"/>
      <c r="BK44" s="1957"/>
      <c r="BL44" s="1536">
        <f t="shared" si="9"/>
        <v>0</v>
      </c>
      <c r="BM44" s="1536"/>
      <c r="BO44" s="1963"/>
      <c r="BP44" s="1963"/>
      <c r="BQ44" s="1963"/>
      <c r="BR44" s="1963"/>
      <c r="BS44" s="1963"/>
      <c r="BT44" s="1963"/>
      <c r="BU44" s="1963"/>
      <c r="BV44" s="1963"/>
      <c r="BW44" s="1963"/>
      <c r="BX44" s="1963"/>
      <c r="BY44" s="1963"/>
      <c r="BZ44" s="1963"/>
      <c r="CA44" s="1963"/>
      <c r="CB44" s="1963"/>
      <c r="CC44" s="1963"/>
      <c r="CD44" s="1963"/>
      <c r="CE44" s="1963"/>
      <c r="CF44" s="1963"/>
      <c r="CG44" s="1963"/>
      <c r="CH44" s="1963"/>
      <c r="CI44" s="1963"/>
      <c r="CJ44" s="1963"/>
      <c r="CK44" s="1963"/>
      <c r="CL44" s="1963"/>
      <c r="CM44" s="1963"/>
      <c r="CN44" s="1963"/>
      <c r="CO44" s="1963"/>
      <c r="CP44" s="1963"/>
      <c r="CQ44" s="1963"/>
      <c r="CR44" s="1963"/>
      <c r="CS44" s="1963"/>
      <c r="CT44" s="1963"/>
      <c r="CU44" s="1963"/>
      <c r="CV44" s="1963"/>
      <c r="CW44" s="1963"/>
      <c r="CX44" s="1963"/>
      <c r="CY44" s="1963"/>
      <c r="CZ44" s="1963"/>
      <c r="DA44" s="1963"/>
      <c r="DB44" s="1963"/>
      <c r="DC44" s="1963"/>
      <c r="DD44" s="1963"/>
      <c r="DE44" s="1963"/>
      <c r="DF44" s="1963"/>
      <c r="DH44" s="1962">
        <f>SUM(BO44:DF44)</f>
        <v>0</v>
      </c>
    </row>
    <row r="45" spans="1:112" s="743" customFormat="1" ht="12.75" hidden="1" customHeight="1" outlineLevel="1">
      <c r="A45" s="22"/>
      <c r="B45" s="22"/>
      <c r="C45" s="746" t="s">
        <v>981</v>
      </c>
      <c r="D45" s="1010" t="str">
        <f>INDEX(Modules[Module], MATCH($C45, Modules[Code], 0))</f>
        <v>H2 Production</v>
      </c>
      <c r="E45" s="1069"/>
      <c r="G45" s="1022">
        <f t="shared" ref="G45:P45" ca="1" si="114">IFERROR(INDEX(INDIRECT($C45&amp;".Outputs["&amp;this.Year&amp;"]"), MATCH(G$5, INDIRECT($C45&amp;".Outputs[Vector]"), 0)), 0)</f>
        <v>0</v>
      </c>
      <c r="H45" s="1022">
        <f t="shared" ca="1" si="114"/>
        <v>0</v>
      </c>
      <c r="I45" s="1022">
        <f t="shared" ca="1" si="114"/>
        <v>0</v>
      </c>
      <c r="J45" s="1022">
        <f t="shared" ca="1" si="114"/>
        <v>0</v>
      </c>
      <c r="K45" s="1022">
        <f t="shared" ca="1" si="114"/>
        <v>0</v>
      </c>
      <c r="L45" s="1022">
        <f t="shared" ca="1" si="114"/>
        <v>0</v>
      </c>
      <c r="M45" s="1022">
        <f t="shared" ca="1" si="114"/>
        <v>0</v>
      </c>
      <c r="N45" s="1022">
        <f t="shared" ca="1" si="114"/>
        <v>0</v>
      </c>
      <c r="O45" s="1022">
        <f t="shared" ca="1" si="114"/>
        <v>0</v>
      </c>
      <c r="P45" s="1022">
        <f t="shared" ca="1" si="114"/>
        <v>0</v>
      </c>
      <c r="Q45" s="1020">
        <f ca="1">SUM(G45:P45)</f>
        <v>0</v>
      </c>
      <c r="S45" s="1031">
        <f t="shared" ref="S45:AJ45" ca="1" si="115">IFERROR(INDEX(INDIRECT($C45&amp;".Outputs["&amp;this.Year&amp;"]"), MATCH(S$5, INDIRECT($C45&amp;".Outputs[Vector]"), 0)), 0)</f>
        <v>0</v>
      </c>
      <c r="T45" s="1031">
        <f t="shared" ca="1" si="115"/>
        <v>0</v>
      </c>
      <c r="U45" s="1031">
        <f t="shared" ca="1" si="115"/>
        <v>0</v>
      </c>
      <c r="V45" s="1031">
        <f t="shared" ca="1" si="115"/>
        <v>0</v>
      </c>
      <c r="W45" s="1031">
        <f t="shared" ca="1" si="115"/>
        <v>0</v>
      </c>
      <c r="X45" s="1031">
        <f ca="1">IFERROR(INDEX(INDIRECT($C45&amp;".Outputs["&amp;this.Year&amp;"]"), MATCH(X$5, INDIRECT($C45&amp;".Outputs[Vector]"), 0)), 0)</f>
        <v>0</v>
      </c>
      <c r="Y45" s="1031">
        <f ca="1">IFERROR(INDEX(INDIRECT($C45&amp;".Outputs["&amp;this.Year&amp;"]"), MATCH(Y$5, INDIRECT($C45&amp;".Outputs[Vector]"), 0)), 0)</f>
        <v>0</v>
      </c>
      <c r="Z45" s="1031">
        <f ca="1">IFERROR(INDEX(INDIRECT($C45&amp;".Outputs["&amp;this.Year&amp;"]"), MATCH(Z$5, INDIRECT($C45&amp;".Outputs[Vector]"), 0)), 0)</f>
        <v>0</v>
      </c>
      <c r="AA45" s="1031">
        <f t="shared" ca="1" si="115"/>
        <v>0</v>
      </c>
      <c r="AB45" s="1031">
        <f t="shared" ca="1" si="115"/>
        <v>0</v>
      </c>
      <c r="AC45" s="1031">
        <f t="shared" ca="1" si="115"/>
        <v>0</v>
      </c>
      <c r="AD45" s="1031">
        <f t="shared" ca="1" si="115"/>
        <v>0</v>
      </c>
      <c r="AE45" s="1031">
        <f t="shared" ca="1" si="115"/>
        <v>0</v>
      </c>
      <c r="AF45" s="1031">
        <f t="shared" ca="1" si="115"/>
        <v>0</v>
      </c>
      <c r="AG45" s="1031">
        <f t="shared" ca="1" si="115"/>
        <v>0</v>
      </c>
      <c r="AH45" s="1031">
        <f t="shared" ca="1" si="115"/>
        <v>0</v>
      </c>
      <c r="AI45" s="1031">
        <f t="shared" ca="1" si="115"/>
        <v>0</v>
      </c>
      <c r="AJ45" s="1031">
        <f t="shared" ca="1" si="115"/>
        <v>0</v>
      </c>
      <c r="AK45" s="1030">
        <f ca="1">SUM(S45:AJ45)</f>
        <v>0</v>
      </c>
      <c r="AM45" s="1042">
        <f t="shared" ref="AM45:AU45" ca="1" si="116">IFERROR(INDEX(INDIRECT($C45&amp;".Outputs["&amp;this.Year&amp;"]"), MATCH(AM$5, INDIRECT($C45&amp;".Outputs[Vector]"), 0)), 0)</f>
        <v>0</v>
      </c>
      <c r="AN45" s="1042">
        <f t="shared" ca="1" si="116"/>
        <v>0</v>
      </c>
      <c r="AO45" s="1042">
        <f t="shared" ca="1" si="116"/>
        <v>0</v>
      </c>
      <c r="AP45" s="1042">
        <f t="shared" ca="1" si="116"/>
        <v>0</v>
      </c>
      <c r="AQ45" s="1042">
        <f t="shared" ca="1" si="116"/>
        <v>0</v>
      </c>
      <c r="AR45" s="1042">
        <f t="shared" ca="1" si="116"/>
        <v>0</v>
      </c>
      <c r="AS45" s="1042">
        <f t="shared" ca="1" si="116"/>
        <v>0</v>
      </c>
      <c r="AT45" s="1042">
        <f t="shared" ca="1" si="116"/>
        <v>0</v>
      </c>
      <c r="AU45" s="1042">
        <f t="shared" ca="1" si="116"/>
        <v>0</v>
      </c>
      <c r="AV45" s="1042">
        <f t="shared" ref="AV45:BE45" ca="1" si="117">IFERROR(INDEX(INDIRECT($C45&amp;".Outputs["&amp;this.Year&amp;"]"), MATCH(AV$5, INDIRECT($C45&amp;".Outputs[Vector]"), 0)), 0)</f>
        <v>0</v>
      </c>
      <c r="AW45" s="1042">
        <f t="shared" ca="1" si="117"/>
        <v>0</v>
      </c>
      <c r="AX45" s="1042">
        <f t="shared" ca="1" si="117"/>
        <v>0</v>
      </c>
      <c r="AY45" s="1042">
        <f t="shared" ca="1" si="117"/>
        <v>0</v>
      </c>
      <c r="AZ45" s="1042">
        <f t="shared" ca="1" si="117"/>
        <v>0</v>
      </c>
      <c r="BA45" s="1042">
        <f t="shared" ca="1" si="117"/>
        <v>0</v>
      </c>
      <c r="BB45" s="1042">
        <f t="shared" ca="1" si="117"/>
        <v>0</v>
      </c>
      <c r="BC45" s="1042">
        <f t="shared" ca="1" si="117"/>
        <v>0</v>
      </c>
      <c r="BD45" s="1042">
        <f t="shared" ca="1" si="117"/>
        <v>0</v>
      </c>
      <c r="BE45" s="1042">
        <f t="shared" ca="1" si="117"/>
        <v>0</v>
      </c>
      <c r="BF45" s="1012">
        <f ca="1">SUM(AM45:BE45)</f>
        <v>0</v>
      </c>
      <c r="BH45" s="1036">
        <f ca="1">IFERROR(INDEX(INDIRECT($C45&amp;".Outputs["&amp;this.Year&amp;"]"), MATCH(BH$5, INDIRECT($C45&amp;".Outputs[Vector]"), 0)), 0)</f>
        <v>0</v>
      </c>
      <c r="BI45" s="1036">
        <f ca="1">IFERROR(INDEX(INDIRECT($C45&amp;".Outputs["&amp;this.Year&amp;"]"), MATCH(BI$5, INDIRECT($C45&amp;".Outputs[Vector]"), 0)), 0)</f>
        <v>0</v>
      </c>
      <c r="BJ45" s="1035">
        <f ca="1">SUM(BH45:BI45)</f>
        <v>0</v>
      </c>
      <c r="BL45" s="515"/>
      <c r="BM45" s="515"/>
      <c r="BN45" s="840"/>
      <c r="BO45" s="1485">
        <f t="shared" ref="BO45:DF45" ca="1" si="118">IFERROR(SUMIFS(INDIRECT($C45&amp;".Emissions["&amp;this.Year&amp;"]"), INDIRECT($C45&amp;".Emissions[GHG]"), BO$6, INDIRECT($C45&amp;".Emissions[IPCC Sector]"), BO$5),0)</f>
        <v>0</v>
      </c>
      <c r="BP45" s="1486">
        <f t="shared" ca="1" si="118"/>
        <v>0</v>
      </c>
      <c r="BQ45" s="1486">
        <f t="shared" ca="1" si="118"/>
        <v>0</v>
      </c>
      <c r="BR45" s="1486">
        <f t="shared" ca="1" si="118"/>
        <v>0</v>
      </c>
      <c r="BS45" s="1486">
        <f t="shared" ca="1" si="118"/>
        <v>0</v>
      </c>
      <c r="BT45" s="1486">
        <f t="shared" ca="1" si="118"/>
        <v>0</v>
      </c>
      <c r="BU45" s="1486">
        <f t="shared" ca="1" si="118"/>
        <v>0</v>
      </c>
      <c r="BV45" s="1486">
        <f t="shared" ca="1" si="118"/>
        <v>0</v>
      </c>
      <c r="BW45" s="1486">
        <f t="shared" ca="1" si="118"/>
        <v>0</v>
      </c>
      <c r="BX45" s="1486">
        <f t="shared" ca="1" si="118"/>
        <v>0</v>
      </c>
      <c r="BY45" s="1486">
        <f t="shared" ca="1" si="118"/>
        <v>0</v>
      </c>
      <c r="BZ45" s="1486">
        <f t="shared" ca="1" si="118"/>
        <v>0</v>
      </c>
      <c r="CA45" s="1486">
        <f t="shared" ca="1" si="118"/>
        <v>0</v>
      </c>
      <c r="CB45" s="1486">
        <f t="shared" ca="1" si="118"/>
        <v>0</v>
      </c>
      <c r="CC45" s="1486">
        <f t="shared" ca="1" si="118"/>
        <v>0</v>
      </c>
      <c r="CD45" s="1486">
        <f t="shared" ca="1" si="118"/>
        <v>0</v>
      </c>
      <c r="CE45" s="1486">
        <f t="shared" ca="1" si="118"/>
        <v>0</v>
      </c>
      <c r="CF45" s="1486">
        <f t="shared" ca="1" si="118"/>
        <v>0</v>
      </c>
      <c r="CG45" s="1486">
        <f t="shared" ca="1" si="118"/>
        <v>0</v>
      </c>
      <c r="CH45" s="1486">
        <f t="shared" ca="1" si="118"/>
        <v>0</v>
      </c>
      <c r="CI45" s="1486">
        <f t="shared" ca="1" si="118"/>
        <v>0</v>
      </c>
      <c r="CJ45" s="1486">
        <f t="shared" ca="1" si="118"/>
        <v>0</v>
      </c>
      <c r="CK45" s="1486">
        <f t="shared" ca="1" si="118"/>
        <v>0</v>
      </c>
      <c r="CL45" s="1486">
        <f t="shared" ca="1" si="118"/>
        <v>0</v>
      </c>
      <c r="CM45" s="1486">
        <f t="shared" ca="1" si="118"/>
        <v>0</v>
      </c>
      <c r="CN45" s="1486">
        <f t="shared" ca="1" si="118"/>
        <v>0</v>
      </c>
      <c r="CO45" s="1486">
        <f t="shared" ca="1" si="118"/>
        <v>0</v>
      </c>
      <c r="CP45" s="1486">
        <f t="shared" ca="1" si="118"/>
        <v>0</v>
      </c>
      <c r="CQ45" s="1486">
        <f t="shared" ca="1" si="118"/>
        <v>0</v>
      </c>
      <c r="CR45" s="1486">
        <f t="shared" ca="1" si="118"/>
        <v>0</v>
      </c>
      <c r="CS45" s="1486">
        <f t="shared" ca="1" si="118"/>
        <v>0</v>
      </c>
      <c r="CT45" s="1486">
        <f t="shared" ca="1" si="118"/>
        <v>0</v>
      </c>
      <c r="CU45" s="1486">
        <f t="shared" ca="1" si="118"/>
        <v>0</v>
      </c>
      <c r="CV45" s="1486">
        <f t="shared" ca="1" si="118"/>
        <v>0</v>
      </c>
      <c r="CW45" s="1486">
        <f t="shared" ca="1" si="118"/>
        <v>0</v>
      </c>
      <c r="CX45" s="1486">
        <f t="shared" ca="1" si="118"/>
        <v>0</v>
      </c>
      <c r="CY45" s="1486">
        <f t="shared" ca="1" si="118"/>
        <v>0</v>
      </c>
      <c r="CZ45" s="1486">
        <f t="shared" ca="1" si="118"/>
        <v>0</v>
      </c>
      <c r="DA45" s="1486">
        <f t="shared" ca="1" si="118"/>
        <v>0</v>
      </c>
      <c r="DB45" s="1486">
        <f t="shared" ca="1" si="118"/>
        <v>0</v>
      </c>
      <c r="DC45" s="1486">
        <f t="shared" ca="1" si="118"/>
        <v>0</v>
      </c>
      <c r="DD45" s="1486">
        <f t="shared" ca="1" si="118"/>
        <v>0</v>
      </c>
      <c r="DE45" s="1486">
        <f t="shared" ca="1" si="118"/>
        <v>0</v>
      </c>
      <c r="DF45" s="1486">
        <f t="shared" ca="1" si="118"/>
        <v>0</v>
      </c>
      <c r="DH45" s="838"/>
    </row>
    <row r="46" spans="1:112" s="743" customFormat="1" ht="15.75" collapsed="1">
      <c r="A46" s="22"/>
      <c r="B46" s="753"/>
      <c r="C46" s="744" t="s">
        <v>674</v>
      </c>
      <c r="D46" s="517" t="str">
        <f>INDEX(Workstreams[Workstream], MATCH($C46, Workstreams[Code], 0))</f>
        <v>H2 Production</v>
      </c>
      <c r="E46" s="512"/>
      <c r="G46" s="1021">
        <f ca="1">G45</f>
        <v>0</v>
      </c>
      <c r="H46" s="1021">
        <f t="shared" ref="H46:P46" ca="1" si="119">H45</f>
        <v>0</v>
      </c>
      <c r="I46" s="1021">
        <f t="shared" ca="1" si="119"/>
        <v>0</v>
      </c>
      <c r="J46" s="1021">
        <f t="shared" ca="1" si="119"/>
        <v>0</v>
      </c>
      <c r="K46" s="1021">
        <f t="shared" ca="1" si="119"/>
        <v>0</v>
      </c>
      <c r="L46" s="1021">
        <f t="shared" ca="1" si="119"/>
        <v>0</v>
      </c>
      <c r="M46" s="1021">
        <f t="shared" ca="1" si="119"/>
        <v>0</v>
      </c>
      <c r="N46" s="1021">
        <f t="shared" ca="1" si="119"/>
        <v>0</v>
      </c>
      <c r="O46" s="1021">
        <f t="shared" ca="1" si="119"/>
        <v>0</v>
      </c>
      <c r="P46" s="1021">
        <f t="shared" ca="1" si="119"/>
        <v>0</v>
      </c>
      <c r="Q46" s="1021">
        <f ca="1">SUM(G46:P46)</f>
        <v>0</v>
      </c>
      <c r="S46" s="970">
        <f t="shared" ref="S46:AJ46" ca="1" si="120">S45</f>
        <v>0</v>
      </c>
      <c r="T46" s="970">
        <f t="shared" ca="1" si="120"/>
        <v>0</v>
      </c>
      <c r="U46" s="970">
        <f t="shared" ca="1" si="120"/>
        <v>0</v>
      </c>
      <c r="V46" s="970">
        <f t="shared" ca="1" si="120"/>
        <v>0</v>
      </c>
      <c r="W46" s="970">
        <f t="shared" ca="1" si="120"/>
        <v>0</v>
      </c>
      <c r="X46" s="970">
        <f t="shared" ca="1" si="120"/>
        <v>0</v>
      </c>
      <c r="Y46" s="970">
        <f t="shared" ca="1" si="120"/>
        <v>0</v>
      </c>
      <c r="Z46" s="970">
        <f t="shared" ca="1" si="120"/>
        <v>0</v>
      </c>
      <c r="AA46" s="970">
        <f t="shared" ca="1" si="120"/>
        <v>0</v>
      </c>
      <c r="AB46" s="970">
        <f t="shared" ca="1" si="120"/>
        <v>0</v>
      </c>
      <c r="AC46" s="970">
        <f t="shared" ca="1" si="120"/>
        <v>0</v>
      </c>
      <c r="AD46" s="970">
        <f ca="1">AD45</f>
        <v>0</v>
      </c>
      <c r="AE46" s="970">
        <f ca="1">AE45</f>
        <v>0</v>
      </c>
      <c r="AF46" s="970">
        <f t="shared" ca="1" si="120"/>
        <v>0</v>
      </c>
      <c r="AG46" s="970">
        <f ca="1">AG45</f>
        <v>0</v>
      </c>
      <c r="AH46" s="970">
        <f ca="1">AH45</f>
        <v>0</v>
      </c>
      <c r="AI46" s="970">
        <f ca="1">AI45</f>
        <v>0</v>
      </c>
      <c r="AJ46" s="970">
        <f t="shared" ca="1" si="120"/>
        <v>0</v>
      </c>
      <c r="AK46" s="970">
        <f ca="1">SUM(S46:AJ46)</f>
        <v>0</v>
      </c>
      <c r="AM46" s="976">
        <f ca="1">AM45</f>
        <v>0</v>
      </c>
      <c r="AN46" s="976">
        <f t="shared" ref="AN46:BE46" ca="1" si="121">AN45</f>
        <v>0</v>
      </c>
      <c r="AO46" s="976">
        <f t="shared" ca="1" si="121"/>
        <v>0</v>
      </c>
      <c r="AP46" s="976">
        <f t="shared" ca="1" si="121"/>
        <v>0</v>
      </c>
      <c r="AQ46" s="976">
        <f t="shared" ca="1" si="121"/>
        <v>0</v>
      </c>
      <c r="AR46" s="976">
        <f t="shared" ca="1" si="121"/>
        <v>0</v>
      </c>
      <c r="AS46" s="976">
        <f t="shared" ca="1" si="121"/>
        <v>0</v>
      </c>
      <c r="AT46" s="976">
        <f t="shared" ca="1" si="121"/>
        <v>0</v>
      </c>
      <c r="AU46" s="976">
        <f t="shared" ca="1" si="121"/>
        <v>0</v>
      </c>
      <c r="AV46" s="976">
        <f t="shared" ca="1" si="121"/>
        <v>0</v>
      </c>
      <c r="AW46" s="976">
        <f t="shared" ca="1" si="121"/>
        <v>0</v>
      </c>
      <c r="AX46" s="976">
        <f t="shared" ca="1" si="121"/>
        <v>0</v>
      </c>
      <c r="AY46" s="976">
        <f t="shared" ca="1" si="121"/>
        <v>0</v>
      </c>
      <c r="AZ46" s="976">
        <f t="shared" ca="1" si="121"/>
        <v>0</v>
      </c>
      <c r="BA46" s="976">
        <f t="shared" ca="1" si="121"/>
        <v>0</v>
      </c>
      <c r="BB46" s="976">
        <f t="shared" ca="1" si="121"/>
        <v>0</v>
      </c>
      <c r="BC46" s="976">
        <f t="shared" ca="1" si="121"/>
        <v>0</v>
      </c>
      <c r="BD46" s="976">
        <f t="shared" ca="1" si="121"/>
        <v>0</v>
      </c>
      <c r="BE46" s="976">
        <f t="shared" ca="1" si="121"/>
        <v>0</v>
      </c>
      <c r="BF46" s="976">
        <f ca="1">SUM(AM46:BE46)</f>
        <v>0</v>
      </c>
      <c r="BH46" s="990">
        <f ca="1">BH45</f>
        <v>0</v>
      </c>
      <c r="BI46" s="990">
        <f ca="1">BI45</f>
        <v>0</v>
      </c>
      <c r="BJ46" s="990">
        <f ca="1">SUM(BH46:BI46)</f>
        <v>0</v>
      </c>
      <c r="BL46" s="515">
        <f ca="1">Q46+AK46+BF46+BJ46</f>
        <v>0</v>
      </c>
      <c r="BM46" s="515"/>
      <c r="BN46" s="840"/>
      <c r="BO46" s="1482">
        <f t="shared" ref="BO46:DF46" ca="1" si="122">BO45</f>
        <v>0</v>
      </c>
      <c r="BP46" s="1482">
        <f t="shared" ca="1" si="122"/>
        <v>0</v>
      </c>
      <c r="BQ46" s="1482">
        <f t="shared" ca="1" si="122"/>
        <v>0</v>
      </c>
      <c r="BR46" s="1482">
        <f t="shared" ca="1" si="122"/>
        <v>0</v>
      </c>
      <c r="BS46" s="1482">
        <f t="shared" ca="1" si="122"/>
        <v>0</v>
      </c>
      <c r="BT46" s="1482">
        <f t="shared" ca="1" si="122"/>
        <v>0</v>
      </c>
      <c r="BU46" s="1482">
        <f t="shared" ca="1" si="122"/>
        <v>0</v>
      </c>
      <c r="BV46" s="1482">
        <f t="shared" ca="1" si="122"/>
        <v>0</v>
      </c>
      <c r="BW46" s="1482">
        <f t="shared" ca="1" si="122"/>
        <v>0</v>
      </c>
      <c r="BX46" s="1482">
        <f t="shared" ca="1" si="122"/>
        <v>0</v>
      </c>
      <c r="BY46" s="1482">
        <f t="shared" ca="1" si="122"/>
        <v>0</v>
      </c>
      <c r="BZ46" s="1482">
        <f t="shared" ca="1" si="122"/>
        <v>0</v>
      </c>
      <c r="CA46" s="1482">
        <f t="shared" ca="1" si="122"/>
        <v>0</v>
      </c>
      <c r="CB46" s="1482">
        <f t="shared" ca="1" si="122"/>
        <v>0</v>
      </c>
      <c r="CC46" s="1482">
        <f t="shared" ca="1" si="122"/>
        <v>0</v>
      </c>
      <c r="CD46" s="1482">
        <f t="shared" ca="1" si="122"/>
        <v>0</v>
      </c>
      <c r="CE46" s="1482">
        <f t="shared" ca="1" si="122"/>
        <v>0</v>
      </c>
      <c r="CF46" s="1482">
        <f t="shared" ca="1" si="122"/>
        <v>0</v>
      </c>
      <c r="CG46" s="1482">
        <f t="shared" ca="1" si="122"/>
        <v>0</v>
      </c>
      <c r="CH46" s="1482">
        <f t="shared" ca="1" si="122"/>
        <v>0</v>
      </c>
      <c r="CI46" s="1482">
        <f t="shared" ca="1" si="122"/>
        <v>0</v>
      </c>
      <c r="CJ46" s="1482">
        <f t="shared" ca="1" si="122"/>
        <v>0</v>
      </c>
      <c r="CK46" s="1482">
        <f t="shared" ca="1" si="122"/>
        <v>0</v>
      </c>
      <c r="CL46" s="1482">
        <f t="shared" ca="1" si="122"/>
        <v>0</v>
      </c>
      <c r="CM46" s="1482">
        <f t="shared" ca="1" si="122"/>
        <v>0</v>
      </c>
      <c r="CN46" s="1482">
        <f t="shared" ca="1" si="122"/>
        <v>0</v>
      </c>
      <c r="CO46" s="1482">
        <f t="shared" ca="1" si="122"/>
        <v>0</v>
      </c>
      <c r="CP46" s="1482">
        <f t="shared" ca="1" si="122"/>
        <v>0</v>
      </c>
      <c r="CQ46" s="1482">
        <f t="shared" ca="1" si="122"/>
        <v>0</v>
      </c>
      <c r="CR46" s="1482">
        <f t="shared" ca="1" si="122"/>
        <v>0</v>
      </c>
      <c r="CS46" s="1482">
        <f t="shared" ca="1" si="122"/>
        <v>0</v>
      </c>
      <c r="CT46" s="1482">
        <f t="shared" ca="1" si="122"/>
        <v>0</v>
      </c>
      <c r="CU46" s="1482">
        <f t="shared" ca="1" si="122"/>
        <v>0</v>
      </c>
      <c r="CV46" s="1482">
        <f t="shared" ca="1" si="122"/>
        <v>0</v>
      </c>
      <c r="CW46" s="1482">
        <f t="shared" ca="1" si="122"/>
        <v>0</v>
      </c>
      <c r="CX46" s="1482">
        <f t="shared" ca="1" si="122"/>
        <v>0</v>
      </c>
      <c r="CY46" s="1482">
        <f t="shared" ca="1" si="122"/>
        <v>0</v>
      </c>
      <c r="CZ46" s="1482">
        <f t="shared" ca="1" si="122"/>
        <v>0</v>
      </c>
      <c r="DA46" s="1482">
        <f t="shared" ca="1" si="122"/>
        <v>0</v>
      </c>
      <c r="DB46" s="1482">
        <f t="shared" ca="1" si="122"/>
        <v>0</v>
      </c>
      <c r="DC46" s="1482">
        <f t="shared" ca="1" si="122"/>
        <v>0</v>
      </c>
      <c r="DD46" s="1482">
        <f t="shared" ca="1" si="122"/>
        <v>0</v>
      </c>
      <c r="DE46" s="1482">
        <f t="shared" ca="1" si="122"/>
        <v>0</v>
      </c>
      <c r="DF46" s="1482">
        <f t="shared" ca="1" si="122"/>
        <v>0</v>
      </c>
      <c r="DH46" s="838">
        <f t="shared" ref="DH46:DH82" ca="1" si="123">SUM(BO46:DF46)</f>
        <v>0</v>
      </c>
    </row>
    <row r="47" spans="1:112" s="743" customFormat="1" hidden="1" outlineLevel="1">
      <c r="C47" s="508"/>
      <c r="D47" s="509"/>
      <c r="E47" s="509"/>
      <c r="G47" s="958"/>
      <c r="H47" s="958"/>
      <c r="I47" s="958"/>
      <c r="J47" s="958"/>
      <c r="K47" s="960"/>
      <c r="L47" s="958"/>
      <c r="M47" s="958"/>
      <c r="N47" s="958"/>
      <c r="O47" s="958"/>
      <c r="P47" s="958"/>
      <c r="Q47" s="958"/>
      <c r="S47" s="970"/>
      <c r="T47" s="970"/>
      <c r="U47" s="970"/>
      <c r="V47" s="970"/>
      <c r="W47" s="970"/>
      <c r="X47" s="970"/>
      <c r="Y47" s="970"/>
      <c r="Z47" s="970"/>
      <c r="AA47" s="970"/>
      <c r="AB47" s="970"/>
      <c r="AC47" s="970"/>
      <c r="AD47" s="970"/>
      <c r="AE47" s="970"/>
      <c r="AF47" s="970"/>
      <c r="AG47" s="970"/>
      <c r="AH47" s="970"/>
      <c r="AI47" s="970"/>
      <c r="AJ47" s="970"/>
      <c r="AK47" s="970"/>
      <c r="AM47" s="976"/>
      <c r="AN47" s="976"/>
      <c r="AO47" s="976"/>
      <c r="AP47" s="976"/>
      <c r="AQ47" s="976"/>
      <c r="AR47" s="976"/>
      <c r="AS47" s="976"/>
      <c r="AT47" s="976"/>
      <c r="AU47" s="976"/>
      <c r="AV47" s="976"/>
      <c r="AW47" s="976"/>
      <c r="AX47" s="976"/>
      <c r="AY47" s="976"/>
      <c r="AZ47" s="976"/>
      <c r="BA47" s="976"/>
      <c r="BB47" s="976"/>
      <c r="BC47" s="976"/>
      <c r="BD47" s="976"/>
      <c r="BE47" s="976"/>
      <c r="BF47" s="976"/>
      <c r="BH47" s="990"/>
      <c r="BI47" s="990"/>
      <c r="BJ47" s="990"/>
      <c r="BL47" s="515">
        <f>Q47+AK47+BF47+BJ47</f>
        <v>0</v>
      </c>
      <c r="BM47" s="515"/>
      <c r="BO47" s="1482"/>
      <c r="BP47" s="1482"/>
      <c r="BQ47" s="1482"/>
      <c r="BR47" s="1482"/>
      <c r="BS47" s="1482"/>
      <c r="BT47" s="1482"/>
      <c r="BU47" s="1482"/>
      <c r="BV47" s="1482"/>
      <c r="BW47" s="1482"/>
      <c r="BX47" s="1482"/>
      <c r="BY47" s="1482"/>
      <c r="BZ47" s="1482"/>
      <c r="CA47" s="1482"/>
      <c r="CB47" s="1482"/>
      <c r="CC47" s="1482"/>
      <c r="CD47" s="1482"/>
      <c r="CE47" s="1482"/>
      <c r="CF47" s="1482"/>
      <c r="CG47" s="1482"/>
      <c r="CH47" s="1482"/>
      <c r="CI47" s="1482"/>
      <c r="CJ47" s="1482"/>
      <c r="CK47" s="1482"/>
      <c r="CL47" s="1482"/>
      <c r="CM47" s="1482"/>
      <c r="CN47" s="1482"/>
      <c r="CO47" s="1482"/>
      <c r="CP47" s="1482"/>
      <c r="CQ47" s="1482"/>
      <c r="CR47" s="1482"/>
      <c r="CS47" s="1482"/>
      <c r="CT47" s="1482"/>
      <c r="CU47" s="1482"/>
      <c r="CV47" s="1482"/>
      <c r="CW47" s="1482"/>
      <c r="CX47" s="1482"/>
      <c r="CY47" s="1482"/>
      <c r="CZ47" s="1482"/>
      <c r="DA47" s="1482"/>
      <c r="DB47" s="1482"/>
      <c r="DC47" s="1482"/>
      <c r="DD47" s="1482"/>
      <c r="DE47" s="1482"/>
      <c r="DF47" s="1482"/>
      <c r="DH47" s="838">
        <f t="shared" si="123"/>
        <v>0</v>
      </c>
    </row>
    <row r="48" spans="1:112" s="743" customFormat="1" hidden="1" outlineLevel="1">
      <c r="A48" s="1484"/>
      <c r="B48" s="1484"/>
      <c r="C48" s="746" t="s">
        <v>2280</v>
      </c>
      <c r="D48" s="521" t="str">
        <f>INDEX(Modules[Module], MATCH($C48, Modules[Code], 0))</f>
        <v>Marine algae</v>
      </c>
      <c r="E48" s="521"/>
      <c r="G48" s="1017">
        <f t="shared" ref="G48:P49" ca="1" si="124">IFERROR(INDEX(INDIRECT($C48&amp;".Outputs["&amp;this.Year&amp;"]"), MATCH(G$5, INDIRECT($C48&amp;".Outputs[Vector]"), 0)), 0)</f>
        <v>0</v>
      </c>
      <c r="H48" s="1017">
        <f t="shared" ca="1" si="124"/>
        <v>0</v>
      </c>
      <c r="I48" s="1017">
        <f t="shared" ca="1" si="124"/>
        <v>0</v>
      </c>
      <c r="J48" s="1017">
        <f t="shared" ca="1" si="124"/>
        <v>0</v>
      </c>
      <c r="K48" s="1017">
        <f t="shared" ca="1" si="124"/>
        <v>0</v>
      </c>
      <c r="L48" s="1017">
        <f t="shared" ca="1" si="124"/>
        <v>0</v>
      </c>
      <c r="M48" s="1017">
        <f t="shared" ca="1" si="124"/>
        <v>0</v>
      </c>
      <c r="N48" s="1017">
        <f t="shared" ca="1" si="124"/>
        <v>0</v>
      </c>
      <c r="O48" s="1017">
        <f t="shared" ca="1" si="124"/>
        <v>0</v>
      </c>
      <c r="P48" s="1017">
        <f t="shared" ca="1" si="124"/>
        <v>0</v>
      </c>
      <c r="Q48" s="1019">
        <f ca="1">SUM(G48:P48)</f>
        <v>0</v>
      </c>
      <c r="S48" s="1026">
        <f t="shared" ref="S48:BE49" ca="1" si="125">IFERROR(INDEX(INDIRECT($C48&amp;".Outputs["&amp;this.Year&amp;"]"), MATCH(S$5, INDIRECT($C48&amp;".Outputs[Vector]"), 0)), 0)</f>
        <v>0</v>
      </c>
      <c r="T48" s="1026">
        <f t="shared" ca="1" si="125"/>
        <v>0</v>
      </c>
      <c r="U48" s="1026">
        <f t="shared" ca="1" si="125"/>
        <v>0</v>
      </c>
      <c r="V48" s="1026">
        <f t="shared" ca="1" si="125"/>
        <v>0</v>
      </c>
      <c r="W48" s="1026">
        <f t="shared" ca="1" si="125"/>
        <v>0</v>
      </c>
      <c r="X48" s="1026">
        <f t="shared" ref="X48:Z50" ca="1" si="126">IFERROR(INDEX(INDIRECT($C48&amp;".Outputs["&amp;this.Year&amp;"]"), MATCH(X$5, INDIRECT($C48&amp;".Outputs[Vector]"), 0)), 0)</f>
        <v>0</v>
      </c>
      <c r="Y48" s="1026">
        <f t="shared" ca="1" si="126"/>
        <v>0</v>
      </c>
      <c r="Z48" s="1026">
        <f t="shared" ca="1" si="126"/>
        <v>0</v>
      </c>
      <c r="AA48" s="1026">
        <f t="shared" ca="1" si="125"/>
        <v>0</v>
      </c>
      <c r="AB48" s="1026">
        <f t="shared" ca="1" si="125"/>
        <v>0</v>
      </c>
      <c r="AC48" s="1026">
        <f t="shared" ca="1" si="125"/>
        <v>0</v>
      </c>
      <c r="AD48" s="1026">
        <f t="shared" ca="1" si="125"/>
        <v>0</v>
      </c>
      <c r="AE48" s="1026">
        <f t="shared" ca="1" si="125"/>
        <v>0</v>
      </c>
      <c r="AF48" s="1026">
        <f t="shared" ca="1" si="125"/>
        <v>0</v>
      </c>
      <c r="AG48" s="1026">
        <f t="shared" ca="1" si="125"/>
        <v>0</v>
      </c>
      <c r="AH48" s="1026">
        <f t="shared" ca="1" si="125"/>
        <v>0</v>
      </c>
      <c r="AI48" s="1026">
        <f t="shared" ca="1" si="125"/>
        <v>0</v>
      </c>
      <c r="AJ48" s="1026">
        <f t="shared" ca="1" si="125"/>
        <v>0</v>
      </c>
      <c r="AK48" s="1027">
        <f ca="1">SUM(S48:AJ48)</f>
        <v>0</v>
      </c>
      <c r="AM48" s="1038">
        <f t="shared" ref="AM48:AU50" ca="1" si="127">IFERROR(INDEX(INDIRECT($C48&amp;".Outputs["&amp;this.Year&amp;"]"), MATCH(AM$5, INDIRECT($C48&amp;".Outputs[Vector]"), 0)), 0)</f>
        <v>0</v>
      </c>
      <c r="AN48" s="1038">
        <f t="shared" ca="1" si="127"/>
        <v>0</v>
      </c>
      <c r="AO48" s="1038">
        <f t="shared" ca="1" si="127"/>
        <v>0</v>
      </c>
      <c r="AP48" s="1038">
        <f t="shared" ca="1" si="127"/>
        <v>0</v>
      </c>
      <c r="AQ48" s="1038">
        <f t="shared" ca="1" si="127"/>
        <v>0</v>
      </c>
      <c r="AR48" s="1038">
        <f t="shared" ca="1" si="127"/>
        <v>0</v>
      </c>
      <c r="AS48" s="1038">
        <f t="shared" ca="1" si="127"/>
        <v>0</v>
      </c>
      <c r="AT48" s="1038">
        <f t="shared" ca="1" si="127"/>
        <v>0</v>
      </c>
      <c r="AU48" s="1038">
        <f t="shared" ca="1" si="127"/>
        <v>0</v>
      </c>
      <c r="AV48" s="1038">
        <f t="shared" ca="1" si="125"/>
        <v>0</v>
      </c>
      <c r="AW48" s="1038">
        <f t="shared" ca="1" si="125"/>
        <v>0</v>
      </c>
      <c r="AX48" s="1038">
        <f t="shared" ca="1" si="125"/>
        <v>0</v>
      </c>
      <c r="AY48" s="1038">
        <f t="shared" ca="1" si="125"/>
        <v>0</v>
      </c>
      <c r="AZ48" s="1038">
        <f t="shared" ca="1" si="125"/>
        <v>0</v>
      </c>
      <c r="BA48" s="1038">
        <f t="shared" ca="1" si="125"/>
        <v>0</v>
      </c>
      <c r="BB48" s="1038">
        <f t="shared" ca="1" si="125"/>
        <v>0</v>
      </c>
      <c r="BC48" s="1038">
        <f t="shared" ca="1" si="125"/>
        <v>0</v>
      </c>
      <c r="BD48" s="1038">
        <f t="shared" ca="1" si="125"/>
        <v>0</v>
      </c>
      <c r="BE48" s="1038">
        <f t="shared" ca="1" si="125"/>
        <v>0</v>
      </c>
      <c r="BF48" s="979">
        <f ca="1">SUM(AM48:BE48)</f>
        <v>0</v>
      </c>
      <c r="BH48" s="1032">
        <f t="shared" ref="BH48:BI50" ca="1" si="128">IFERROR(INDEX(INDIRECT($C48&amp;".Outputs["&amp;this.Year&amp;"]"), MATCH(BH$5, INDIRECT($C48&amp;".Outputs[Vector]"), 0)), 0)</f>
        <v>0</v>
      </c>
      <c r="BI48" s="1032">
        <f t="shared" ca="1" si="128"/>
        <v>0</v>
      </c>
      <c r="BJ48" s="1034">
        <f ca="1">SUM(BH48:BI48)</f>
        <v>0</v>
      </c>
      <c r="BL48" s="814"/>
      <c r="BM48" s="814"/>
      <c r="BN48" s="840"/>
      <c r="BO48" s="1481">
        <f t="shared" ref="BO48:BX50" ca="1" si="129">IFERROR(SUMIFS(INDIRECT($C48&amp;".Emissions["&amp;this.Year&amp;"]"), INDIRECT($C48&amp;".Emissions[GHG]"), BO$6, INDIRECT($C48&amp;".Emissions[IPCC Sector]"), BO$5),0)</f>
        <v>0</v>
      </c>
      <c r="BP48" s="1482">
        <f t="shared" ca="1" si="129"/>
        <v>0</v>
      </c>
      <c r="BQ48" s="1482">
        <f t="shared" ca="1" si="129"/>
        <v>0</v>
      </c>
      <c r="BR48" s="1482">
        <f t="shared" ca="1" si="129"/>
        <v>0</v>
      </c>
      <c r="BS48" s="1482">
        <f t="shared" ca="1" si="129"/>
        <v>0</v>
      </c>
      <c r="BT48" s="1482">
        <f t="shared" ca="1" si="129"/>
        <v>0</v>
      </c>
      <c r="BU48" s="1482">
        <f t="shared" ca="1" si="129"/>
        <v>0</v>
      </c>
      <c r="BV48" s="1482">
        <f t="shared" ca="1" si="129"/>
        <v>0</v>
      </c>
      <c r="BW48" s="1482">
        <f t="shared" ca="1" si="129"/>
        <v>0</v>
      </c>
      <c r="BX48" s="1482">
        <f t="shared" ca="1" si="129"/>
        <v>0</v>
      </c>
      <c r="BY48" s="1482">
        <f t="shared" ref="BY48:CH50" ca="1" si="130">IFERROR(SUMIFS(INDIRECT($C48&amp;".Emissions["&amp;this.Year&amp;"]"), INDIRECT($C48&amp;".Emissions[GHG]"), BY$6, INDIRECT($C48&amp;".Emissions[IPCC Sector]"), BY$5),0)</f>
        <v>0</v>
      </c>
      <c r="BZ48" s="1482">
        <f t="shared" ca="1" si="130"/>
        <v>0</v>
      </c>
      <c r="CA48" s="1482">
        <f t="shared" ca="1" si="130"/>
        <v>0</v>
      </c>
      <c r="CB48" s="1482">
        <f t="shared" ca="1" si="130"/>
        <v>0</v>
      </c>
      <c r="CC48" s="1482">
        <f t="shared" ca="1" si="130"/>
        <v>0</v>
      </c>
      <c r="CD48" s="1482">
        <f t="shared" ca="1" si="130"/>
        <v>0</v>
      </c>
      <c r="CE48" s="1482">
        <f t="shared" ca="1" si="130"/>
        <v>0</v>
      </c>
      <c r="CF48" s="1482">
        <f t="shared" ca="1" si="130"/>
        <v>0</v>
      </c>
      <c r="CG48" s="1482">
        <f t="shared" ca="1" si="130"/>
        <v>0</v>
      </c>
      <c r="CH48" s="1482">
        <f t="shared" ca="1" si="130"/>
        <v>0</v>
      </c>
      <c r="CI48" s="1482">
        <f t="shared" ref="CI48:CR50" ca="1" si="131">IFERROR(SUMIFS(INDIRECT($C48&amp;".Emissions["&amp;this.Year&amp;"]"), INDIRECT($C48&amp;".Emissions[GHG]"), CI$6, INDIRECT($C48&amp;".Emissions[IPCC Sector]"), CI$5),0)</f>
        <v>0</v>
      </c>
      <c r="CJ48" s="1482">
        <f t="shared" ca="1" si="131"/>
        <v>0</v>
      </c>
      <c r="CK48" s="1482">
        <f t="shared" ca="1" si="131"/>
        <v>0</v>
      </c>
      <c r="CL48" s="1482">
        <f t="shared" ca="1" si="131"/>
        <v>0</v>
      </c>
      <c r="CM48" s="1482">
        <f t="shared" ca="1" si="131"/>
        <v>0</v>
      </c>
      <c r="CN48" s="1482">
        <f t="shared" ca="1" si="131"/>
        <v>0</v>
      </c>
      <c r="CO48" s="1482">
        <f t="shared" ca="1" si="131"/>
        <v>0</v>
      </c>
      <c r="CP48" s="1482">
        <f t="shared" ca="1" si="131"/>
        <v>0</v>
      </c>
      <c r="CQ48" s="1482">
        <f t="shared" ca="1" si="131"/>
        <v>0</v>
      </c>
      <c r="CR48" s="1482">
        <f t="shared" ca="1" si="131"/>
        <v>0</v>
      </c>
      <c r="CS48" s="1482">
        <f t="shared" ref="CS48:DF50" ca="1" si="132">IFERROR(SUMIFS(INDIRECT($C48&amp;".Emissions["&amp;this.Year&amp;"]"), INDIRECT($C48&amp;".Emissions[GHG]"), CS$6, INDIRECT($C48&amp;".Emissions[IPCC Sector]"), CS$5),0)</f>
        <v>0</v>
      </c>
      <c r="CT48" s="1482">
        <f t="shared" ca="1" si="132"/>
        <v>0</v>
      </c>
      <c r="CU48" s="1482">
        <f t="shared" ca="1" si="132"/>
        <v>0</v>
      </c>
      <c r="CV48" s="1482">
        <f t="shared" ca="1" si="132"/>
        <v>0</v>
      </c>
      <c r="CW48" s="1482">
        <f t="shared" ca="1" si="132"/>
        <v>0</v>
      </c>
      <c r="CX48" s="1482">
        <f t="shared" ca="1" si="132"/>
        <v>0</v>
      </c>
      <c r="CY48" s="1482">
        <f t="shared" ca="1" si="132"/>
        <v>0</v>
      </c>
      <c r="CZ48" s="1482">
        <f t="shared" ca="1" si="132"/>
        <v>0</v>
      </c>
      <c r="DA48" s="1482">
        <f t="shared" ca="1" si="132"/>
        <v>0</v>
      </c>
      <c r="DB48" s="1482">
        <f t="shared" ca="1" si="132"/>
        <v>0</v>
      </c>
      <c r="DC48" s="1482">
        <f t="shared" ca="1" si="132"/>
        <v>0</v>
      </c>
      <c r="DD48" s="1482">
        <f t="shared" ca="1" si="132"/>
        <v>0</v>
      </c>
      <c r="DE48" s="1482">
        <f t="shared" ca="1" si="132"/>
        <v>0</v>
      </c>
      <c r="DF48" s="1482">
        <f t="shared" ca="1" si="132"/>
        <v>0</v>
      </c>
      <c r="DH48" s="838">
        <f ca="1">SUM(BO48:DF48)</f>
        <v>0</v>
      </c>
    </row>
    <row r="49" spans="1:112" s="743" customFormat="1" hidden="1" outlineLevel="1">
      <c r="A49" s="1484"/>
      <c r="B49" s="1484"/>
      <c r="C49" s="746" t="s">
        <v>965</v>
      </c>
      <c r="D49" s="521" t="str">
        <f>INDEX(Modules[Module], MATCH($C49, Modules[Code], 0))</f>
        <v>Waste arising</v>
      </c>
      <c r="E49" s="521"/>
      <c r="G49" s="1017">
        <f t="shared" ca="1" si="124"/>
        <v>0</v>
      </c>
      <c r="H49" s="1017">
        <f t="shared" ca="1" si="124"/>
        <v>0</v>
      </c>
      <c r="I49" s="1017">
        <f t="shared" ca="1" si="124"/>
        <v>0</v>
      </c>
      <c r="J49" s="1017">
        <f t="shared" ca="1" si="124"/>
        <v>0</v>
      </c>
      <c r="K49" s="1017">
        <f t="shared" ca="1" si="124"/>
        <v>0</v>
      </c>
      <c r="L49" s="1017">
        <f t="shared" ca="1" si="124"/>
        <v>0</v>
      </c>
      <c r="M49" s="1017">
        <f t="shared" ca="1" si="124"/>
        <v>0</v>
      </c>
      <c r="N49" s="1017">
        <f t="shared" ca="1" si="124"/>
        <v>0</v>
      </c>
      <c r="O49" s="1017">
        <f t="shared" ca="1" si="124"/>
        <v>0</v>
      </c>
      <c r="P49" s="1017">
        <f t="shared" ca="1" si="124"/>
        <v>0</v>
      </c>
      <c r="Q49" s="1019">
        <f ca="1">SUM(G49:P49)</f>
        <v>0</v>
      </c>
      <c r="S49" s="1026">
        <f t="shared" ca="1" si="125"/>
        <v>0</v>
      </c>
      <c r="T49" s="1026">
        <f t="shared" ca="1" si="125"/>
        <v>0</v>
      </c>
      <c r="U49" s="1026">
        <f t="shared" ca="1" si="125"/>
        <v>0</v>
      </c>
      <c r="V49" s="1026">
        <f t="shared" ca="1" si="125"/>
        <v>0</v>
      </c>
      <c r="W49" s="1026">
        <f t="shared" ca="1" si="125"/>
        <v>0</v>
      </c>
      <c r="X49" s="1026">
        <f t="shared" ca="1" si="126"/>
        <v>72.064996274277206</v>
      </c>
      <c r="Y49" s="1026">
        <f t="shared" ca="1" si="126"/>
        <v>0</v>
      </c>
      <c r="Z49" s="1026">
        <f t="shared" ca="1" si="126"/>
        <v>0</v>
      </c>
      <c r="AA49" s="1026">
        <f t="shared" ca="1" si="125"/>
        <v>0</v>
      </c>
      <c r="AB49" s="1026">
        <f t="shared" ca="1" si="125"/>
        <v>0</v>
      </c>
      <c r="AC49" s="1026">
        <f t="shared" ca="1" si="125"/>
        <v>0</v>
      </c>
      <c r="AD49" s="1026">
        <f t="shared" ca="1" si="125"/>
        <v>0</v>
      </c>
      <c r="AE49" s="1026">
        <f t="shared" ca="1" si="125"/>
        <v>0</v>
      </c>
      <c r="AF49" s="1026">
        <f t="shared" ca="1" si="125"/>
        <v>34.310233503059322</v>
      </c>
      <c r="AG49" s="1026">
        <f t="shared" ca="1" si="125"/>
        <v>18.054786559475339</v>
      </c>
      <c r="AH49" s="1026">
        <f t="shared" ca="1" si="125"/>
        <v>16.987273382270043</v>
      </c>
      <c r="AI49" s="1026">
        <f t="shared" ca="1" si="125"/>
        <v>0</v>
      </c>
      <c r="AJ49" s="1026">
        <f t="shared" ca="1" si="125"/>
        <v>0</v>
      </c>
      <c r="AK49" s="1027">
        <f ca="1">SUM(S49:AJ49)</f>
        <v>141.41728971908191</v>
      </c>
      <c r="AM49" s="1038">
        <f t="shared" ca="1" si="127"/>
        <v>0</v>
      </c>
      <c r="AN49" s="1038">
        <f t="shared" ca="1" si="127"/>
        <v>0</v>
      </c>
      <c r="AO49" s="1038">
        <f t="shared" ca="1" si="127"/>
        <v>0</v>
      </c>
      <c r="AP49" s="1038">
        <f t="shared" ca="1" si="127"/>
        <v>0</v>
      </c>
      <c r="AQ49" s="1038">
        <f t="shared" ca="1" si="127"/>
        <v>0</v>
      </c>
      <c r="AR49" s="1038">
        <f t="shared" ca="1" si="127"/>
        <v>0</v>
      </c>
      <c r="AS49" s="1038">
        <f t="shared" ca="1" si="127"/>
        <v>0</v>
      </c>
      <c r="AT49" s="1038">
        <f t="shared" ca="1" si="127"/>
        <v>0</v>
      </c>
      <c r="AU49" s="1038">
        <f t="shared" ca="1" si="127"/>
        <v>0</v>
      </c>
      <c r="AV49" s="1038">
        <f t="shared" ca="1" si="125"/>
        <v>0</v>
      </c>
      <c r="AW49" s="1038">
        <f t="shared" ca="1" si="125"/>
        <v>0</v>
      </c>
      <c r="AX49" s="1038">
        <f t="shared" ca="1" si="125"/>
        <v>0</v>
      </c>
      <c r="AY49" s="1038">
        <f t="shared" ca="1" si="125"/>
        <v>0</v>
      </c>
      <c r="AZ49" s="1038">
        <f t="shared" ca="1" si="125"/>
        <v>0</v>
      </c>
      <c r="BA49" s="1038">
        <f t="shared" ca="1" si="125"/>
        <v>0</v>
      </c>
      <c r="BB49" s="1038">
        <f t="shared" ca="1" si="125"/>
        <v>0</v>
      </c>
      <c r="BC49" s="1038">
        <f t="shared" ca="1" si="125"/>
        <v>0</v>
      </c>
      <c r="BD49" s="1038">
        <f t="shared" ca="1" si="125"/>
        <v>0</v>
      </c>
      <c r="BE49" s="1038">
        <f t="shared" ca="1" si="125"/>
        <v>-141.41728971908191</v>
      </c>
      <c r="BF49" s="979">
        <f ca="1">SUM(AM49:BE49)</f>
        <v>-141.41728971908191</v>
      </c>
      <c r="BH49" s="1032">
        <f t="shared" ca="1" si="128"/>
        <v>0</v>
      </c>
      <c r="BI49" s="1032">
        <f t="shared" ca="1" si="128"/>
        <v>0</v>
      </c>
      <c r="BJ49" s="1034">
        <f ca="1">SUM(BH49:BI49)</f>
        <v>0</v>
      </c>
      <c r="BL49" s="814"/>
      <c r="BM49" s="814"/>
      <c r="BN49" s="840"/>
      <c r="BO49" s="1481">
        <f t="shared" ca="1" si="129"/>
        <v>0</v>
      </c>
      <c r="BP49" s="1482">
        <f t="shared" ca="1" si="129"/>
        <v>0</v>
      </c>
      <c r="BQ49" s="1482">
        <f t="shared" ca="1" si="129"/>
        <v>0</v>
      </c>
      <c r="BR49" s="1482">
        <f t="shared" ca="1" si="129"/>
        <v>0</v>
      </c>
      <c r="BS49" s="1482">
        <f t="shared" ca="1" si="129"/>
        <v>0</v>
      </c>
      <c r="BT49" s="1482">
        <f t="shared" ca="1" si="129"/>
        <v>0</v>
      </c>
      <c r="BU49" s="1482">
        <f t="shared" ca="1" si="129"/>
        <v>0</v>
      </c>
      <c r="BV49" s="1482">
        <f t="shared" ca="1" si="129"/>
        <v>0</v>
      </c>
      <c r="BW49" s="1482">
        <f t="shared" ca="1" si="129"/>
        <v>0</v>
      </c>
      <c r="BX49" s="1482">
        <f t="shared" ca="1" si="129"/>
        <v>0</v>
      </c>
      <c r="BY49" s="1482">
        <f t="shared" ca="1" si="130"/>
        <v>0</v>
      </c>
      <c r="BZ49" s="1482">
        <f t="shared" ca="1" si="130"/>
        <v>0</v>
      </c>
      <c r="CA49" s="1482">
        <f t="shared" ca="1" si="130"/>
        <v>0</v>
      </c>
      <c r="CB49" s="1482">
        <f t="shared" ca="1" si="130"/>
        <v>0</v>
      </c>
      <c r="CC49" s="1482">
        <f t="shared" ca="1" si="130"/>
        <v>0</v>
      </c>
      <c r="CD49" s="1482">
        <f t="shared" ca="1" si="130"/>
        <v>0</v>
      </c>
      <c r="CE49" s="1482">
        <f t="shared" ca="1" si="130"/>
        <v>0</v>
      </c>
      <c r="CF49" s="1482">
        <f t="shared" ca="1" si="130"/>
        <v>0</v>
      </c>
      <c r="CG49" s="1482">
        <f t="shared" ca="1" si="130"/>
        <v>0</v>
      </c>
      <c r="CH49" s="1482">
        <f t="shared" ca="1" si="130"/>
        <v>0</v>
      </c>
      <c r="CI49" s="1482">
        <f t="shared" ca="1" si="131"/>
        <v>0</v>
      </c>
      <c r="CJ49" s="1482">
        <f t="shared" ca="1" si="131"/>
        <v>0</v>
      </c>
      <c r="CK49" s="1482">
        <f t="shared" ca="1" si="131"/>
        <v>0</v>
      </c>
      <c r="CL49" s="1482">
        <f t="shared" ca="1" si="131"/>
        <v>0</v>
      </c>
      <c r="CM49" s="1482">
        <f t="shared" ca="1" si="131"/>
        <v>0</v>
      </c>
      <c r="CN49" s="1482">
        <f t="shared" ca="1" si="131"/>
        <v>20.302725586796537</v>
      </c>
      <c r="CO49" s="1482">
        <f t="shared" ca="1" si="131"/>
        <v>1.4065464505666441</v>
      </c>
      <c r="CP49" s="1482">
        <f t="shared" ca="1" si="131"/>
        <v>0</v>
      </c>
      <c r="CQ49" s="1482">
        <f t="shared" ca="1" si="131"/>
        <v>0</v>
      </c>
      <c r="CR49" s="1482">
        <f t="shared" ca="1" si="131"/>
        <v>0</v>
      </c>
      <c r="CS49" s="1482">
        <f t="shared" ca="1" si="132"/>
        <v>0</v>
      </c>
      <c r="CT49" s="1482">
        <f t="shared" ca="1" si="132"/>
        <v>0</v>
      </c>
      <c r="CU49" s="1482">
        <f t="shared" ca="1" si="132"/>
        <v>0</v>
      </c>
      <c r="CV49" s="1482">
        <f t="shared" ca="1" si="132"/>
        <v>0</v>
      </c>
      <c r="CW49" s="1482">
        <f t="shared" ca="1" si="132"/>
        <v>0</v>
      </c>
      <c r="CX49" s="1482">
        <f t="shared" ca="1" si="132"/>
        <v>0</v>
      </c>
      <c r="CY49" s="1482">
        <f t="shared" ca="1" si="132"/>
        <v>0</v>
      </c>
      <c r="CZ49" s="1482">
        <f t="shared" ca="1" si="132"/>
        <v>0</v>
      </c>
      <c r="DA49" s="1482">
        <f t="shared" ca="1" si="132"/>
        <v>0</v>
      </c>
      <c r="DB49" s="1482">
        <f t="shared" ca="1" si="132"/>
        <v>0</v>
      </c>
      <c r="DC49" s="1482">
        <f t="shared" ca="1" si="132"/>
        <v>0</v>
      </c>
      <c r="DD49" s="1482">
        <f t="shared" ca="1" si="132"/>
        <v>0</v>
      </c>
      <c r="DE49" s="1482">
        <f t="shared" ca="1" si="132"/>
        <v>0</v>
      </c>
      <c r="DF49" s="1482">
        <f t="shared" ca="1" si="132"/>
        <v>0</v>
      </c>
      <c r="DH49" s="838">
        <f t="shared" ca="1" si="123"/>
        <v>21.709272037363181</v>
      </c>
    </row>
    <row r="50" spans="1:112" s="743" customFormat="1" ht="12.75" hidden="1" customHeight="1" outlineLevel="1">
      <c r="A50" s="1484"/>
      <c r="B50" s="1484"/>
      <c r="C50" s="746" t="s">
        <v>924</v>
      </c>
      <c r="D50" s="1010" t="str">
        <f>INDEX(Modules[Module], MATCH($C50, Modules[Code], 0))</f>
        <v>Agriculture and land use</v>
      </c>
      <c r="E50" s="1010"/>
      <c r="G50" s="1022">
        <f t="shared" ref="G50:P50" ca="1" si="133">IFERROR(INDEX(INDIRECT($C50&amp;".Outputs["&amp;this.Year&amp;"]"), MATCH(G$5, INDIRECT($C50&amp;".Outputs[Vector]"), 0)), 0)</f>
        <v>0</v>
      </c>
      <c r="H50" s="1022">
        <f t="shared" ca="1" si="133"/>
        <v>0</v>
      </c>
      <c r="I50" s="1022">
        <f t="shared" ca="1" si="133"/>
        <v>10.74731983608755</v>
      </c>
      <c r="J50" s="1022">
        <f t="shared" ca="1" si="133"/>
        <v>0</v>
      </c>
      <c r="K50" s="1022">
        <f t="shared" ca="1" si="133"/>
        <v>0</v>
      </c>
      <c r="L50" s="1022">
        <f t="shared" ca="1" si="133"/>
        <v>0</v>
      </c>
      <c r="M50" s="1022">
        <f t="shared" ca="1" si="133"/>
        <v>0</v>
      </c>
      <c r="N50" s="1022">
        <f t="shared" ca="1" si="133"/>
        <v>0</v>
      </c>
      <c r="O50" s="1022">
        <f t="shared" ca="1" si="133"/>
        <v>0</v>
      </c>
      <c r="P50" s="1022">
        <f t="shared" ca="1" si="133"/>
        <v>0</v>
      </c>
      <c r="Q50" s="1020">
        <f ca="1">SUM(G50:P50)</f>
        <v>10.74731983608755</v>
      </c>
      <c r="S50" s="1031">
        <f t="shared" ref="S50:AJ50" ca="1" si="134">IFERROR(INDEX(INDIRECT($C50&amp;".Outputs["&amp;this.Year&amp;"]"), MATCH(S$5, INDIRECT($C50&amp;".Outputs[Vector]"), 0)), 0)</f>
        <v>-4.29892793443502</v>
      </c>
      <c r="T50" s="1031">
        <f t="shared" ca="1" si="134"/>
        <v>0</v>
      </c>
      <c r="U50" s="1031">
        <f t="shared" ca="1" si="134"/>
        <v>-0.85978558688700402</v>
      </c>
      <c r="V50" s="1031">
        <f t="shared" ca="1" si="134"/>
        <v>-3.5466155459088919</v>
      </c>
      <c r="W50" s="1031">
        <f t="shared" ca="1" si="134"/>
        <v>-2.0419907688566346</v>
      </c>
      <c r="X50" s="1031">
        <f t="shared" ca="1" si="126"/>
        <v>0</v>
      </c>
      <c r="Y50" s="1031">
        <f t="shared" ca="1" si="126"/>
        <v>0</v>
      </c>
      <c r="Z50" s="1031">
        <f t="shared" ca="1" si="126"/>
        <v>0</v>
      </c>
      <c r="AA50" s="1031">
        <f t="shared" ca="1" si="134"/>
        <v>0</v>
      </c>
      <c r="AB50" s="1031">
        <f t="shared" ca="1" si="134"/>
        <v>0</v>
      </c>
      <c r="AC50" s="1031">
        <f t="shared" ca="1" si="134"/>
        <v>0</v>
      </c>
      <c r="AD50" s="1031">
        <f t="shared" ca="1" si="134"/>
        <v>21.62911347575881</v>
      </c>
      <c r="AE50" s="1031">
        <f t="shared" ca="1" si="134"/>
        <v>1.3680579836519617</v>
      </c>
      <c r="AF50" s="1031">
        <f t="shared" ca="1" si="134"/>
        <v>5.650686870673634</v>
      </c>
      <c r="AG50" s="1031">
        <f t="shared" ca="1" si="134"/>
        <v>25.192665714779359</v>
      </c>
      <c r="AH50" s="1031">
        <f t="shared" ca="1" si="134"/>
        <v>0</v>
      </c>
      <c r="AI50" s="1031">
        <f t="shared" ca="1" si="134"/>
        <v>0</v>
      </c>
      <c r="AJ50" s="1031">
        <f t="shared" ca="1" si="134"/>
        <v>0</v>
      </c>
      <c r="AK50" s="1030">
        <f ca="1">SUM(S50:AJ50)</f>
        <v>43.093204208776214</v>
      </c>
      <c r="AM50" s="1042">
        <f t="shared" ca="1" si="127"/>
        <v>0</v>
      </c>
      <c r="AN50" s="1042">
        <f t="shared" ca="1" si="127"/>
        <v>0</v>
      </c>
      <c r="AO50" s="1042">
        <f t="shared" ca="1" si="127"/>
        <v>0</v>
      </c>
      <c r="AP50" s="1042">
        <f t="shared" ca="1" si="127"/>
        <v>0</v>
      </c>
      <c r="AQ50" s="1042">
        <f t="shared" ca="1" si="127"/>
        <v>0</v>
      </c>
      <c r="AR50" s="1042">
        <f t="shared" ca="1" si="127"/>
        <v>0</v>
      </c>
      <c r="AS50" s="1042">
        <f t="shared" ca="1" si="127"/>
        <v>0</v>
      </c>
      <c r="AT50" s="1042">
        <f t="shared" ca="1" si="127"/>
        <v>0</v>
      </c>
      <c r="AU50" s="1042">
        <f t="shared" ca="1" si="127"/>
        <v>0</v>
      </c>
      <c r="AV50" s="1042">
        <f t="shared" ref="AV50:BE50" ca="1" si="135">IFERROR(INDEX(INDIRECT($C50&amp;".Outputs["&amp;this.Year&amp;"]"), MATCH(AV$5, INDIRECT($C50&amp;".Outputs[Vector]"), 0)), 0)</f>
        <v>0</v>
      </c>
      <c r="AW50" s="1042">
        <f t="shared" ca="1" si="135"/>
        <v>0</v>
      </c>
      <c r="AX50" s="1042">
        <f t="shared" ca="1" si="135"/>
        <v>0</v>
      </c>
      <c r="AY50" s="1042">
        <f t="shared" ca="1" si="135"/>
        <v>0</v>
      </c>
      <c r="AZ50" s="1042">
        <f t="shared" ca="1" si="135"/>
        <v>0</v>
      </c>
      <c r="BA50" s="1042">
        <f t="shared" ca="1" si="135"/>
        <v>0</v>
      </c>
      <c r="BB50" s="1042">
        <f t="shared" ca="1" si="135"/>
        <v>0</v>
      </c>
      <c r="BC50" s="1042">
        <f t="shared" ca="1" si="135"/>
        <v>0</v>
      </c>
      <c r="BD50" s="1042">
        <f t="shared" ca="1" si="135"/>
        <v>-22.997171459410772</v>
      </c>
      <c r="BE50" s="1042">
        <f t="shared" ca="1" si="135"/>
        <v>-30.843352585452994</v>
      </c>
      <c r="BF50" s="1012">
        <f ca="1">SUM(AM50:BE50)</f>
        <v>-53.84052404486377</v>
      </c>
      <c r="BH50" s="1036">
        <f t="shared" ca="1" si="128"/>
        <v>0</v>
      </c>
      <c r="BI50" s="1036">
        <f t="shared" ca="1" si="128"/>
        <v>0</v>
      </c>
      <c r="BJ50" s="1035">
        <f ca="1">SUM(BH50:BI50)</f>
        <v>0</v>
      </c>
      <c r="BL50" s="814">
        <f ca="1">Q50+AK50+BF50+BJ50</f>
        <v>-7.1054273576010019E-15</v>
      </c>
      <c r="BM50" s="814"/>
      <c r="BN50" s="840"/>
      <c r="BO50" s="1485">
        <f t="shared" ca="1" si="129"/>
        <v>1.5271941487080407</v>
      </c>
      <c r="BP50" s="1486">
        <f t="shared" ca="1" si="129"/>
        <v>2.6349463091716271E-3</v>
      </c>
      <c r="BQ50" s="1486">
        <f t="shared" ca="1" si="129"/>
        <v>1.9108614817175084E-2</v>
      </c>
      <c r="BR50" s="1486">
        <f t="shared" ca="1" si="129"/>
        <v>0</v>
      </c>
      <c r="BS50" s="1486">
        <f t="shared" ca="1" si="129"/>
        <v>0</v>
      </c>
      <c r="BT50" s="1486">
        <f t="shared" ca="1" si="129"/>
        <v>0</v>
      </c>
      <c r="BU50" s="1486">
        <f t="shared" ca="1" si="129"/>
        <v>0</v>
      </c>
      <c r="BV50" s="1486">
        <f t="shared" ca="1" si="129"/>
        <v>0</v>
      </c>
      <c r="BW50" s="1486">
        <f t="shared" ca="1" si="129"/>
        <v>0</v>
      </c>
      <c r="BX50" s="1486">
        <f t="shared" ca="1" si="129"/>
        <v>0</v>
      </c>
      <c r="BY50" s="1486">
        <f t="shared" ca="1" si="130"/>
        <v>0</v>
      </c>
      <c r="BZ50" s="1486">
        <f t="shared" ca="1" si="130"/>
        <v>0</v>
      </c>
      <c r="CA50" s="1486">
        <f t="shared" ca="1" si="130"/>
        <v>0</v>
      </c>
      <c r="CB50" s="1486">
        <f t="shared" ca="1" si="130"/>
        <v>0</v>
      </c>
      <c r="CC50" s="1486">
        <f t="shared" ca="1" si="130"/>
        <v>0</v>
      </c>
      <c r="CD50" s="1486">
        <f t="shared" ca="1" si="130"/>
        <v>0</v>
      </c>
      <c r="CE50" s="1486">
        <f t="shared" ca="1" si="130"/>
        <v>0</v>
      </c>
      <c r="CF50" s="1486">
        <f t="shared" ca="1" si="130"/>
        <v>17.320215942056461</v>
      </c>
      <c r="CG50" s="1486">
        <f t="shared" ca="1" si="130"/>
        <v>21.345605690642255</v>
      </c>
      <c r="CH50" s="1486">
        <f t="shared" ca="1" si="130"/>
        <v>0</v>
      </c>
      <c r="CI50" s="1486">
        <f t="shared" ca="1" si="131"/>
        <v>11.277185802606228</v>
      </c>
      <c r="CJ50" s="1486">
        <f t="shared" ca="1" si="131"/>
        <v>0</v>
      </c>
      <c r="CK50" s="1486">
        <f t="shared" ca="1" si="131"/>
        <v>0</v>
      </c>
      <c r="CL50" s="1486">
        <f t="shared" ca="1" si="131"/>
        <v>0</v>
      </c>
      <c r="CM50" s="1486">
        <f t="shared" ca="1" si="131"/>
        <v>0</v>
      </c>
      <c r="CN50" s="1486">
        <f t="shared" ca="1" si="131"/>
        <v>0</v>
      </c>
      <c r="CO50" s="1486">
        <f t="shared" ca="1" si="131"/>
        <v>0</v>
      </c>
      <c r="CP50" s="1486">
        <f t="shared" ca="1" si="131"/>
        <v>0</v>
      </c>
      <c r="CQ50" s="1486">
        <f t="shared" ca="1" si="131"/>
        <v>0</v>
      </c>
      <c r="CR50" s="1486">
        <f t="shared" ca="1" si="131"/>
        <v>0</v>
      </c>
      <c r="CS50" s="1486">
        <f t="shared" ca="1" si="132"/>
        <v>0</v>
      </c>
      <c r="CT50" s="1486">
        <f t="shared" ca="1" si="132"/>
        <v>0</v>
      </c>
      <c r="CU50" s="1486">
        <f t="shared" ca="1" si="132"/>
        <v>0</v>
      </c>
      <c r="CV50" s="1486">
        <f t="shared" ca="1" si="132"/>
        <v>0</v>
      </c>
      <c r="CW50" s="1486">
        <f t="shared" ca="1" si="132"/>
        <v>0</v>
      </c>
      <c r="CX50" s="1486">
        <f t="shared" ca="1" si="132"/>
        <v>0</v>
      </c>
      <c r="CY50" s="1486">
        <f t="shared" ca="1" si="132"/>
        <v>0</v>
      </c>
      <c r="CZ50" s="1486">
        <f t="shared" ca="1" si="132"/>
        <v>0</v>
      </c>
      <c r="DA50" s="1486">
        <f t="shared" ca="1" si="132"/>
        <v>0</v>
      </c>
      <c r="DB50" s="1486">
        <f t="shared" ca="1" si="132"/>
        <v>0</v>
      </c>
      <c r="DC50" s="1486">
        <f t="shared" ca="1" si="132"/>
        <v>0</v>
      </c>
      <c r="DD50" s="1486">
        <f t="shared" ca="1" si="132"/>
        <v>0</v>
      </c>
      <c r="DE50" s="1486">
        <f t="shared" ca="1" si="132"/>
        <v>0</v>
      </c>
      <c r="DF50" s="1486">
        <f t="shared" ca="1" si="132"/>
        <v>0</v>
      </c>
      <c r="DH50" s="838">
        <f t="shared" ca="1" si="123"/>
        <v>51.491945145139326</v>
      </c>
    </row>
    <row r="51" spans="1:112" s="743" customFormat="1" ht="15.75" collapsed="1">
      <c r="A51" s="22"/>
      <c r="B51" s="753"/>
      <c r="C51" s="744" t="s">
        <v>672</v>
      </c>
      <c r="D51" s="517" t="str">
        <f>INDEX(Workstreams[Workstream], MATCH($C51, Workstreams[Code], 0))</f>
        <v>Agriculture and waste</v>
      </c>
      <c r="E51" s="512"/>
      <c r="G51" s="1021">
        <f ca="1">SUM(G48:G50)</f>
        <v>0</v>
      </c>
      <c r="H51" s="1021">
        <f t="shared" ref="H51:P51" ca="1" si="136">SUM(H48:H50)</f>
        <v>0</v>
      </c>
      <c r="I51" s="1021">
        <f t="shared" ca="1" si="136"/>
        <v>10.74731983608755</v>
      </c>
      <c r="J51" s="1021">
        <f t="shared" ca="1" si="136"/>
        <v>0</v>
      </c>
      <c r="K51" s="1021">
        <f t="shared" ca="1" si="136"/>
        <v>0</v>
      </c>
      <c r="L51" s="1021">
        <f t="shared" ca="1" si="136"/>
        <v>0</v>
      </c>
      <c r="M51" s="1021">
        <f t="shared" ca="1" si="136"/>
        <v>0</v>
      </c>
      <c r="N51" s="1021">
        <f t="shared" ca="1" si="136"/>
        <v>0</v>
      </c>
      <c r="O51" s="1021">
        <f t="shared" ca="1" si="136"/>
        <v>0</v>
      </c>
      <c r="P51" s="1021">
        <f t="shared" ca="1" si="136"/>
        <v>0</v>
      </c>
      <c r="Q51" s="1021">
        <f ca="1">SUM(G51:P51)</f>
        <v>10.74731983608755</v>
      </c>
      <c r="S51" s="970">
        <f t="shared" ref="S51:AJ51" ca="1" si="137">SUM(S48:S50)</f>
        <v>-4.29892793443502</v>
      </c>
      <c r="T51" s="970">
        <f t="shared" ca="1" si="137"/>
        <v>0</v>
      </c>
      <c r="U51" s="970">
        <f t="shared" ca="1" si="137"/>
        <v>-0.85978558688700402</v>
      </c>
      <c r="V51" s="970">
        <f t="shared" ca="1" si="137"/>
        <v>-3.5466155459088919</v>
      </c>
      <c r="W51" s="970">
        <f t="shared" ca="1" si="137"/>
        <v>-2.0419907688566346</v>
      </c>
      <c r="X51" s="970">
        <f t="shared" ca="1" si="137"/>
        <v>72.064996274277206</v>
      </c>
      <c r="Y51" s="970">
        <f t="shared" ca="1" si="137"/>
        <v>0</v>
      </c>
      <c r="Z51" s="970">
        <f t="shared" ca="1" si="137"/>
        <v>0</v>
      </c>
      <c r="AA51" s="970">
        <f t="shared" ca="1" si="137"/>
        <v>0</v>
      </c>
      <c r="AB51" s="970">
        <f t="shared" ca="1" si="137"/>
        <v>0</v>
      </c>
      <c r="AC51" s="970">
        <f t="shared" ca="1" si="137"/>
        <v>0</v>
      </c>
      <c r="AD51" s="970">
        <f t="shared" ca="1" si="137"/>
        <v>21.62911347575881</v>
      </c>
      <c r="AE51" s="970">
        <f ca="1">SUM(AE48:AE50)</f>
        <v>1.3680579836519617</v>
      </c>
      <c r="AF51" s="970">
        <f t="shared" ca="1" si="137"/>
        <v>39.960920373732954</v>
      </c>
      <c r="AG51" s="970">
        <f t="shared" ca="1" si="137"/>
        <v>43.247452274254698</v>
      </c>
      <c r="AH51" s="970">
        <f ca="1">SUM(AH48:AH50)</f>
        <v>16.987273382270043</v>
      </c>
      <c r="AI51" s="970">
        <f t="shared" ca="1" si="137"/>
        <v>0</v>
      </c>
      <c r="AJ51" s="970">
        <f t="shared" ca="1" si="137"/>
        <v>0</v>
      </c>
      <c r="AK51" s="970">
        <f ca="1">SUM(S51:AJ51)</f>
        <v>184.51049392785814</v>
      </c>
      <c r="AM51" s="976">
        <f t="shared" ref="AM51:BE51" ca="1" si="138">SUM(AM48:AM50)</f>
        <v>0</v>
      </c>
      <c r="AN51" s="976">
        <f t="shared" ca="1" si="138"/>
        <v>0</v>
      </c>
      <c r="AO51" s="976">
        <f t="shared" ca="1" si="138"/>
        <v>0</v>
      </c>
      <c r="AP51" s="976">
        <f t="shared" ca="1" si="138"/>
        <v>0</v>
      </c>
      <c r="AQ51" s="976">
        <f t="shared" ca="1" si="138"/>
        <v>0</v>
      </c>
      <c r="AR51" s="976">
        <f t="shared" ca="1" si="138"/>
        <v>0</v>
      </c>
      <c r="AS51" s="976">
        <f t="shared" ca="1" si="138"/>
        <v>0</v>
      </c>
      <c r="AT51" s="976">
        <f t="shared" ca="1" si="138"/>
        <v>0</v>
      </c>
      <c r="AU51" s="976">
        <f t="shared" ca="1" si="138"/>
        <v>0</v>
      </c>
      <c r="AV51" s="976">
        <f t="shared" ca="1" si="138"/>
        <v>0</v>
      </c>
      <c r="AW51" s="976">
        <f t="shared" ca="1" si="138"/>
        <v>0</v>
      </c>
      <c r="AX51" s="976">
        <f t="shared" ca="1" si="138"/>
        <v>0</v>
      </c>
      <c r="AY51" s="976">
        <f t="shared" ca="1" si="138"/>
        <v>0</v>
      </c>
      <c r="AZ51" s="976">
        <f t="shared" ca="1" si="138"/>
        <v>0</v>
      </c>
      <c r="BA51" s="976">
        <f t="shared" ca="1" si="138"/>
        <v>0</v>
      </c>
      <c r="BB51" s="976">
        <f t="shared" ca="1" si="138"/>
        <v>0</v>
      </c>
      <c r="BC51" s="976">
        <f t="shared" ca="1" si="138"/>
        <v>0</v>
      </c>
      <c r="BD51" s="976">
        <f t="shared" ca="1" si="138"/>
        <v>-22.997171459410772</v>
      </c>
      <c r="BE51" s="976">
        <f t="shared" ca="1" si="138"/>
        <v>-172.26064230453491</v>
      </c>
      <c r="BF51" s="976">
        <f ca="1">SUM(AM51:BE51)</f>
        <v>-195.25781376394568</v>
      </c>
      <c r="BH51" s="990">
        <f ca="1">SUM(BH48:BH50)</f>
        <v>0</v>
      </c>
      <c r="BI51" s="990">
        <f ca="1">SUM(BI48:BI50)</f>
        <v>0</v>
      </c>
      <c r="BJ51" s="990">
        <f ca="1">SUM(BH51:BI51)</f>
        <v>0</v>
      </c>
      <c r="BL51" s="515">
        <f ca="1">Q51+AK51+BF51+BJ51</f>
        <v>0</v>
      </c>
      <c r="BM51" s="515"/>
      <c r="BN51" s="840"/>
      <c r="BO51" s="1482">
        <f t="shared" ref="BO51:DF51" ca="1" si="139">SUM(BO48:BO50)</f>
        <v>1.5271941487080407</v>
      </c>
      <c r="BP51" s="1482">
        <f t="shared" ca="1" si="139"/>
        <v>2.6349463091716271E-3</v>
      </c>
      <c r="BQ51" s="1482">
        <f t="shared" ca="1" si="139"/>
        <v>1.9108614817175084E-2</v>
      </c>
      <c r="BR51" s="1482">
        <f t="shared" ca="1" si="139"/>
        <v>0</v>
      </c>
      <c r="BS51" s="1482">
        <f t="shared" ca="1" si="139"/>
        <v>0</v>
      </c>
      <c r="BT51" s="1482">
        <f t="shared" ca="1" si="139"/>
        <v>0</v>
      </c>
      <c r="BU51" s="1482">
        <f t="shared" ca="1" si="139"/>
        <v>0</v>
      </c>
      <c r="BV51" s="1482">
        <f t="shared" ca="1" si="139"/>
        <v>0</v>
      </c>
      <c r="BW51" s="1482">
        <f t="shared" ca="1" si="139"/>
        <v>0</v>
      </c>
      <c r="BX51" s="1482">
        <f t="shared" ca="1" si="139"/>
        <v>0</v>
      </c>
      <c r="BY51" s="1482">
        <f t="shared" ca="1" si="139"/>
        <v>0</v>
      </c>
      <c r="BZ51" s="1482">
        <f t="shared" ca="1" si="139"/>
        <v>0</v>
      </c>
      <c r="CA51" s="1482">
        <f t="shared" ca="1" si="139"/>
        <v>0</v>
      </c>
      <c r="CB51" s="1482">
        <f t="shared" ca="1" si="139"/>
        <v>0</v>
      </c>
      <c r="CC51" s="1482">
        <f t="shared" ca="1" si="139"/>
        <v>0</v>
      </c>
      <c r="CD51" s="1482">
        <f t="shared" ca="1" si="139"/>
        <v>0</v>
      </c>
      <c r="CE51" s="1482">
        <f t="shared" ca="1" si="139"/>
        <v>0</v>
      </c>
      <c r="CF51" s="1482">
        <f t="shared" ca="1" si="139"/>
        <v>17.320215942056461</v>
      </c>
      <c r="CG51" s="1482">
        <f t="shared" ca="1" si="139"/>
        <v>21.345605690642255</v>
      </c>
      <c r="CH51" s="1482">
        <f t="shared" ca="1" si="139"/>
        <v>0</v>
      </c>
      <c r="CI51" s="1482">
        <f t="shared" ca="1" si="139"/>
        <v>11.277185802606228</v>
      </c>
      <c r="CJ51" s="1482">
        <f t="shared" ca="1" si="139"/>
        <v>0</v>
      </c>
      <c r="CK51" s="1482">
        <f t="shared" ca="1" si="139"/>
        <v>0</v>
      </c>
      <c r="CL51" s="1482">
        <f t="shared" ca="1" si="139"/>
        <v>0</v>
      </c>
      <c r="CM51" s="1482">
        <f t="shared" ca="1" si="139"/>
        <v>0</v>
      </c>
      <c r="CN51" s="1482">
        <f t="shared" ca="1" si="139"/>
        <v>20.302725586796537</v>
      </c>
      <c r="CO51" s="1482">
        <f t="shared" ca="1" si="139"/>
        <v>1.4065464505666441</v>
      </c>
      <c r="CP51" s="1482">
        <f t="shared" ca="1" si="139"/>
        <v>0</v>
      </c>
      <c r="CQ51" s="1482">
        <f t="shared" ca="1" si="139"/>
        <v>0</v>
      </c>
      <c r="CR51" s="1482">
        <f t="shared" ca="1" si="139"/>
        <v>0</v>
      </c>
      <c r="CS51" s="1482">
        <f t="shared" ca="1" si="139"/>
        <v>0</v>
      </c>
      <c r="CT51" s="1482">
        <f t="shared" ca="1" si="139"/>
        <v>0</v>
      </c>
      <c r="CU51" s="1482">
        <f t="shared" ca="1" si="139"/>
        <v>0</v>
      </c>
      <c r="CV51" s="1482">
        <f t="shared" ca="1" si="139"/>
        <v>0</v>
      </c>
      <c r="CW51" s="1482">
        <f t="shared" ca="1" si="139"/>
        <v>0</v>
      </c>
      <c r="CX51" s="1482">
        <f t="shared" ca="1" si="139"/>
        <v>0</v>
      </c>
      <c r="CY51" s="1482">
        <f t="shared" ca="1" si="139"/>
        <v>0</v>
      </c>
      <c r="CZ51" s="1482">
        <f t="shared" ca="1" si="139"/>
        <v>0</v>
      </c>
      <c r="DA51" s="1482">
        <f t="shared" ca="1" si="139"/>
        <v>0</v>
      </c>
      <c r="DB51" s="1482">
        <f t="shared" ca="1" si="139"/>
        <v>0</v>
      </c>
      <c r="DC51" s="1482">
        <f t="shared" ca="1" si="139"/>
        <v>0</v>
      </c>
      <c r="DD51" s="1482">
        <f t="shared" ca="1" si="139"/>
        <v>0</v>
      </c>
      <c r="DE51" s="1482">
        <f t="shared" ca="1" si="139"/>
        <v>0</v>
      </c>
      <c r="DF51" s="1482">
        <f t="shared" ca="1" si="139"/>
        <v>0</v>
      </c>
      <c r="DH51" s="838">
        <f t="shared" ca="1" si="123"/>
        <v>73.201217182502518</v>
      </c>
    </row>
    <row r="52" spans="1:112" s="743" customFormat="1" ht="12.75" hidden="1" customHeight="1" outlineLevel="1">
      <c r="A52" s="22"/>
      <c r="B52" s="22"/>
      <c r="C52" s="751"/>
      <c r="D52" s="512"/>
      <c r="E52" s="512"/>
      <c r="G52" s="958"/>
      <c r="H52" s="958"/>
      <c r="I52" s="958"/>
      <c r="J52" s="958"/>
      <c r="K52" s="960"/>
      <c r="L52" s="958"/>
      <c r="M52" s="958"/>
      <c r="N52" s="958"/>
      <c r="O52" s="958"/>
      <c r="P52" s="958"/>
      <c r="Q52" s="958"/>
      <c r="S52" s="970"/>
      <c r="T52" s="970"/>
      <c r="U52" s="970"/>
      <c r="V52" s="970"/>
      <c r="W52" s="970"/>
      <c r="X52" s="970"/>
      <c r="Y52" s="970"/>
      <c r="Z52" s="970"/>
      <c r="AA52" s="970"/>
      <c r="AB52" s="970"/>
      <c r="AC52" s="970"/>
      <c r="AD52" s="970"/>
      <c r="AE52" s="970"/>
      <c r="AF52" s="970"/>
      <c r="AG52" s="970"/>
      <c r="AH52" s="970"/>
      <c r="AI52" s="970"/>
      <c r="AJ52" s="970"/>
      <c r="AK52" s="970"/>
      <c r="AM52" s="976"/>
      <c r="AN52" s="976"/>
      <c r="AO52" s="976"/>
      <c r="AP52" s="976"/>
      <c r="AQ52" s="976"/>
      <c r="AR52" s="976"/>
      <c r="AS52" s="976"/>
      <c r="AT52" s="976"/>
      <c r="AU52" s="976"/>
      <c r="AV52" s="976"/>
      <c r="AW52" s="976"/>
      <c r="AX52" s="976"/>
      <c r="AY52" s="976"/>
      <c r="AZ52" s="976"/>
      <c r="BA52" s="976"/>
      <c r="BB52" s="976"/>
      <c r="BC52" s="976"/>
      <c r="BD52" s="976"/>
      <c r="BE52" s="976"/>
      <c r="BF52" s="976"/>
      <c r="BH52" s="990"/>
      <c r="BI52" s="990"/>
      <c r="BJ52" s="990"/>
      <c r="BL52" s="515">
        <f>Q52+AK52+BF52+BJ52</f>
        <v>0</v>
      </c>
      <c r="BM52" s="515"/>
      <c r="BN52" s="22"/>
      <c r="BO52" s="1482"/>
      <c r="BP52" s="1482"/>
      <c r="BQ52" s="1482"/>
      <c r="BR52" s="1482"/>
      <c r="BS52" s="1482"/>
      <c r="BT52" s="1482"/>
      <c r="BU52" s="1482"/>
      <c r="BV52" s="1482"/>
      <c r="BW52" s="1482"/>
      <c r="BX52" s="1482"/>
      <c r="BY52" s="1482"/>
      <c r="BZ52" s="1482"/>
      <c r="CA52" s="1482"/>
      <c r="CB52" s="1482"/>
      <c r="CC52" s="1482"/>
      <c r="CD52" s="1482"/>
      <c r="CE52" s="1482"/>
      <c r="CF52" s="1482"/>
      <c r="CG52" s="1482"/>
      <c r="CH52" s="1482"/>
      <c r="CI52" s="1482"/>
      <c r="CJ52" s="1482"/>
      <c r="CK52" s="1482"/>
      <c r="CL52" s="1482"/>
      <c r="CM52" s="1482"/>
      <c r="CN52" s="1482"/>
      <c r="CO52" s="1482"/>
      <c r="CP52" s="1482"/>
      <c r="CQ52" s="1482"/>
      <c r="CR52" s="1482"/>
      <c r="CS52" s="1482"/>
      <c r="CT52" s="1482"/>
      <c r="CU52" s="1482"/>
      <c r="CV52" s="1482"/>
      <c r="CW52" s="1482"/>
      <c r="CX52" s="1482"/>
      <c r="CY52" s="1482"/>
      <c r="CZ52" s="1482"/>
      <c r="DA52" s="1482"/>
      <c r="DB52" s="1482"/>
      <c r="DC52" s="1482"/>
      <c r="DD52" s="1482"/>
      <c r="DE52" s="1482"/>
      <c r="DF52" s="1482"/>
      <c r="DH52" s="838">
        <f t="shared" si="123"/>
        <v>0</v>
      </c>
    </row>
    <row r="53" spans="1:112" s="743" customFormat="1" hidden="1" outlineLevel="1">
      <c r="A53" s="1484"/>
      <c r="B53" s="1484"/>
      <c r="C53" s="522" t="s">
        <v>971</v>
      </c>
      <c r="D53" s="521" t="str">
        <f>INDEX(Modules[Module], MATCH($C53, Modules[Code], 0))</f>
        <v>Petroleum refineries</v>
      </c>
      <c r="E53" s="521"/>
      <c r="G53" s="1017">
        <f t="shared" ref="G53:P54" ca="1" si="140">IFERROR(INDEX(INDIRECT($C53&amp;".Outputs["&amp;this.Year&amp;"]"), MATCH(G$5, INDIRECT($C53&amp;".Outputs[Vector]"), 0)), 0)</f>
        <v>0</v>
      </c>
      <c r="H53" s="1017">
        <f t="shared" ca="1" si="140"/>
        <v>0</v>
      </c>
      <c r="I53" s="1017">
        <f t="shared" ca="1" si="140"/>
        <v>0</v>
      </c>
      <c r="J53" s="1017">
        <f t="shared" ca="1" si="140"/>
        <v>0</v>
      </c>
      <c r="K53" s="1017">
        <f t="shared" ca="1" si="140"/>
        <v>0</v>
      </c>
      <c r="L53" s="1017">
        <f t="shared" ca="1" si="140"/>
        <v>0</v>
      </c>
      <c r="M53" s="1017">
        <f t="shared" ca="1" si="140"/>
        <v>0</v>
      </c>
      <c r="N53" s="1017">
        <f t="shared" ca="1" si="140"/>
        <v>0</v>
      </c>
      <c r="O53" s="1017">
        <f t="shared" ca="1" si="140"/>
        <v>0</v>
      </c>
      <c r="P53" s="1017">
        <f t="shared" ca="1" si="140"/>
        <v>0</v>
      </c>
      <c r="Q53" s="1019">
        <f ca="1">SUM(G53:P53)</f>
        <v>0</v>
      </c>
      <c r="S53" s="1026">
        <f t="shared" ref="S53:BE54" ca="1" si="141">IFERROR(INDEX(INDIRECT($C53&amp;".Outputs["&amp;this.Year&amp;"]"), MATCH(S$5, INDIRECT($C53&amp;".Outputs[Vector]"), 0)), 0)</f>
        <v>-5.6325420814126144</v>
      </c>
      <c r="T53" s="1026">
        <f t="shared" ca="1" si="141"/>
        <v>0</v>
      </c>
      <c r="U53" s="1026">
        <f t="shared" ca="1" si="141"/>
        <v>0</v>
      </c>
      <c r="V53" s="1026">
        <f t="shared" ca="1" si="141"/>
        <v>-46.166490930952982</v>
      </c>
      <c r="W53" s="1026">
        <f t="shared" ca="1" si="141"/>
        <v>-2.0537915906068003</v>
      </c>
      <c r="X53" s="1026">
        <f t="shared" ref="X53:Z54" ca="1" si="142">IFERROR(INDEX(INDIRECT($C53&amp;".Outputs["&amp;this.Year&amp;"]"), MATCH(X$5, INDIRECT($C53&amp;".Outputs[Vector]"), 0)), 0)</f>
        <v>0</v>
      </c>
      <c r="Y53" s="1026">
        <f t="shared" ca="1" si="142"/>
        <v>0</v>
      </c>
      <c r="Z53" s="1026">
        <f t="shared" ca="1" si="142"/>
        <v>0</v>
      </c>
      <c r="AA53" s="1026">
        <f t="shared" ca="1" si="141"/>
        <v>0</v>
      </c>
      <c r="AB53" s="1026">
        <f t="shared" ca="1" si="141"/>
        <v>-0.66143481454907704</v>
      </c>
      <c r="AC53" s="1026">
        <f t="shared" ca="1" si="141"/>
        <v>0</v>
      </c>
      <c r="AD53" s="1026">
        <f t="shared" ca="1" si="141"/>
        <v>0</v>
      </c>
      <c r="AE53" s="1026">
        <f t="shared" ca="1" si="141"/>
        <v>0</v>
      </c>
      <c r="AF53" s="1026">
        <f t="shared" ca="1" si="141"/>
        <v>0</v>
      </c>
      <c r="AG53" s="1026">
        <f t="shared" ca="1" si="141"/>
        <v>0</v>
      </c>
      <c r="AH53" s="1026">
        <f t="shared" ca="1" si="141"/>
        <v>0</v>
      </c>
      <c r="AI53" s="1026">
        <f t="shared" ca="1" si="141"/>
        <v>0</v>
      </c>
      <c r="AJ53" s="1026">
        <f t="shared" ca="1" si="141"/>
        <v>0</v>
      </c>
      <c r="AK53" s="1027">
        <f ca="1">SUM(S53:AJ53)</f>
        <v>-54.514259417521473</v>
      </c>
      <c r="AM53" s="1038">
        <f t="shared" ref="AM53:AU54" ca="1" si="143">IFERROR(INDEX(INDIRECT($C53&amp;".Outputs["&amp;this.Year&amp;"]"), MATCH(AM$5, INDIRECT($C53&amp;".Outputs[Vector]"), 0)), 0)</f>
        <v>0</v>
      </c>
      <c r="AN53" s="1038">
        <f t="shared" ca="1" si="143"/>
        <v>0</v>
      </c>
      <c r="AO53" s="1038">
        <f t="shared" ca="1" si="143"/>
        <v>0</v>
      </c>
      <c r="AP53" s="1038">
        <f t="shared" ca="1" si="143"/>
        <v>0</v>
      </c>
      <c r="AQ53" s="1038">
        <f t="shared" ca="1" si="143"/>
        <v>0</v>
      </c>
      <c r="AR53" s="1038">
        <f t="shared" ca="1" si="143"/>
        <v>0</v>
      </c>
      <c r="AS53" s="1038">
        <f t="shared" ca="1" si="143"/>
        <v>0</v>
      </c>
      <c r="AT53" s="1038">
        <f t="shared" ca="1" si="143"/>
        <v>0</v>
      </c>
      <c r="AU53" s="1038">
        <f t="shared" ca="1" si="143"/>
        <v>0</v>
      </c>
      <c r="AV53" s="1038">
        <f t="shared" ca="1" si="141"/>
        <v>0</v>
      </c>
      <c r="AW53" s="1038">
        <f t="shared" ca="1" si="141"/>
        <v>0</v>
      </c>
      <c r="AX53" s="1038">
        <f t="shared" ca="1" si="141"/>
        <v>0</v>
      </c>
      <c r="AY53" s="1038">
        <f t="shared" ca="1" si="141"/>
        <v>0</v>
      </c>
      <c r="AZ53" s="1038">
        <f t="shared" ca="1" si="141"/>
        <v>0</v>
      </c>
      <c r="BA53" s="1038">
        <f t="shared" ca="1" si="141"/>
        <v>0</v>
      </c>
      <c r="BB53" s="1038">
        <f t="shared" ca="1" si="141"/>
        <v>0</v>
      </c>
      <c r="BC53" s="1038">
        <f t="shared" ca="1" si="141"/>
        <v>0</v>
      </c>
      <c r="BD53" s="1038">
        <f t="shared" ca="1" si="141"/>
        <v>0</v>
      </c>
      <c r="BE53" s="1038">
        <f t="shared" ca="1" si="141"/>
        <v>0</v>
      </c>
      <c r="BF53" s="979">
        <f ca="1">SUM(AM53:BE53)</f>
        <v>0</v>
      </c>
      <c r="BH53" s="1032">
        <f ca="1">IFERROR(INDEX(INDIRECT($C53&amp;".Outputs["&amp;this.Year&amp;"]"), MATCH(BH$5, INDIRECT($C53&amp;".Outputs[Vector]"), 0)), 0)</f>
        <v>0</v>
      </c>
      <c r="BI53" s="1032">
        <f ca="1">IFERROR(INDEX(INDIRECT($C53&amp;".Outputs["&amp;this.Year&amp;"]"), MATCH(BI$5, INDIRECT($C53&amp;".Outputs[Vector]"), 0)), 0)</f>
        <v>54.514259417521473</v>
      </c>
      <c r="BJ53" s="1034">
        <f ca="1">SUM(BH53:BI53)</f>
        <v>54.514259417521473</v>
      </c>
      <c r="BL53" s="814">
        <f ca="1">Q53+AK53+BF53+BJ53</f>
        <v>0</v>
      </c>
      <c r="BM53" s="814"/>
      <c r="BN53" s="840"/>
      <c r="BO53" s="1481">
        <f t="shared" ref="BO53:BX54" ca="1" si="144">IFERROR(SUMIFS(INDIRECT($C53&amp;".Emissions["&amp;this.Year&amp;"]"), INDIRECT($C53&amp;".Emissions[GHG]"), BO$6, INDIRECT($C53&amp;".Emissions[IPCC Sector]"), BO$5),0)</f>
        <v>11.919520385409896</v>
      </c>
      <c r="BP53" s="1482">
        <f t="shared" ca="1" si="144"/>
        <v>1.5126765182794258E-2</v>
      </c>
      <c r="BQ53" s="1482">
        <f t="shared" ca="1" si="144"/>
        <v>0.20847216059205098</v>
      </c>
      <c r="BR53" s="1482">
        <f t="shared" ca="1" si="144"/>
        <v>0</v>
      </c>
      <c r="BS53" s="1482">
        <f t="shared" ca="1" si="144"/>
        <v>0</v>
      </c>
      <c r="BT53" s="1482">
        <f t="shared" ca="1" si="144"/>
        <v>0</v>
      </c>
      <c r="BU53" s="1482">
        <f t="shared" ca="1" si="144"/>
        <v>0</v>
      </c>
      <c r="BV53" s="1482">
        <f t="shared" ca="1" si="144"/>
        <v>0</v>
      </c>
      <c r="BW53" s="1482">
        <f t="shared" ca="1" si="144"/>
        <v>0</v>
      </c>
      <c r="BX53" s="1482">
        <f t="shared" ca="1" si="144"/>
        <v>0</v>
      </c>
      <c r="BY53" s="1482">
        <f t="shared" ref="BY53:CH54" ca="1" si="145">IFERROR(SUMIFS(INDIRECT($C53&amp;".Emissions["&amp;this.Year&amp;"]"), INDIRECT($C53&amp;".Emissions[GHG]"), BY$6, INDIRECT($C53&amp;".Emissions[IPCC Sector]"), BY$5),0)</f>
        <v>0</v>
      </c>
      <c r="BZ53" s="1482">
        <f t="shared" ca="1" si="145"/>
        <v>0</v>
      </c>
      <c r="CA53" s="1482">
        <f t="shared" ca="1" si="145"/>
        <v>0</v>
      </c>
      <c r="CB53" s="1482">
        <f t="shared" ca="1" si="145"/>
        <v>0</v>
      </c>
      <c r="CC53" s="1482">
        <f t="shared" ca="1" si="145"/>
        <v>0</v>
      </c>
      <c r="CD53" s="1482">
        <f t="shared" ca="1" si="145"/>
        <v>0</v>
      </c>
      <c r="CE53" s="1482">
        <f t="shared" ca="1" si="145"/>
        <v>0</v>
      </c>
      <c r="CF53" s="1482">
        <f t="shared" ca="1" si="145"/>
        <v>0</v>
      </c>
      <c r="CG53" s="1482">
        <f t="shared" ca="1" si="145"/>
        <v>0</v>
      </c>
      <c r="CH53" s="1482">
        <f t="shared" ca="1" si="145"/>
        <v>0</v>
      </c>
      <c r="CI53" s="1482">
        <f t="shared" ref="CI53:CR54" ca="1" si="146">IFERROR(SUMIFS(INDIRECT($C53&amp;".Emissions["&amp;this.Year&amp;"]"), INDIRECT($C53&amp;".Emissions[GHG]"), CI$6, INDIRECT($C53&amp;".Emissions[IPCC Sector]"), CI$5),0)</f>
        <v>0</v>
      </c>
      <c r="CJ53" s="1482">
        <f t="shared" ca="1" si="146"/>
        <v>0</v>
      </c>
      <c r="CK53" s="1482">
        <f t="shared" ca="1" si="146"/>
        <v>0</v>
      </c>
      <c r="CL53" s="1482">
        <f t="shared" ca="1" si="146"/>
        <v>0</v>
      </c>
      <c r="CM53" s="1482">
        <f t="shared" ca="1" si="146"/>
        <v>0</v>
      </c>
      <c r="CN53" s="1482">
        <f t="shared" ca="1" si="146"/>
        <v>0</v>
      </c>
      <c r="CO53" s="1482">
        <f t="shared" ca="1" si="146"/>
        <v>0</v>
      </c>
      <c r="CP53" s="1482">
        <f t="shared" ca="1" si="146"/>
        <v>0</v>
      </c>
      <c r="CQ53" s="1482">
        <f t="shared" ca="1" si="146"/>
        <v>0</v>
      </c>
      <c r="CR53" s="1482">
        <f t="shared" ca="1" si="146"/>
        <v>0</v>
      </c>
      <c r="CS53" s="1482">
        <f t="shared" ref="CS53:DF54" ca="1" si="147">IFERROR(SUMIFS(INDIRECT($C53&amp;".Emissions["&amp;this.Year&amp;"]"), INDIRECT($C53&amp;".Emissions[GHG]"), CS$6, INDIRECT($C53&amp;".Emissions[IPCC Sector]"), CS$5),0)</f>
        <v>0</v>
      </c>
      <c r="CT53" s="1482">
        <f t="shared" ca="1" si="147"/>
        <v>0</v>
      </c>
      <c r="CU53" s="1482">
        <f t="shared" ca="1" si="147"/>
        <v>0</v>
      </c>
      <c r="CV53" s="1482">
        <f t="shared" ca="1" si="147"/>
        <v>0</v>
      </c>
      <c r="CW53" s="1482">
        <f t="shared" ca="1" si="147"/>
        <v>0</v>
      </c>
      <c r="CX53" s="1482">
        <f t="shared" ca="1" si="147"/>
        <v>0</v>
      </c>
      <c r="CY53" s="1482">
        <f t="shared" ca="1" si="147"/>
        <v>0</v>
      </c>
      <c r="CZ53" s="1482">
        <f t="shared" ca="1" si="147"/>
        <v>0</v>
      </c>
      <c r="DA53" s="1482">
        <f t="shared" ca="1" si="147"/>
        <v>0</v>
      </c>
      <c r="DB53" s="1482">
        <f t="shared" ca="1" si="147"/>
        <v>0</v>
      </c>
      <c r="DC53" s="1482">
        <f t="shared" ca="1" si="147"/>
        <v>0</v>
      </c>
      <c r="DD53" s="1482">
        <f t="shared" ca="1" si="147"/>
        <v>0</v>
      </c>
      <c r="DE53" s="1482">
        <f t="shared" ca="1" si="147"/>
        <v>0</v>
      </c>
      <c r="DF53" s="1482">
        <f t="shared" ca="1" si="147"/>
        <v>0</v>
      </c>
      <c r="DH53" s="838">
        <f t="shared" ca="1" si="123"/>
        <v>12.143119311184741</v>
      </c>
    </row>
    <row r="54" spans="1:112" s="743" customFormat="1" hidden="1" outlineLevel="1">
      <c r="A54" s="1484"/>
      <c r="B54" s="1484"/>
      <c r="C54" s="522" t="s">
        <v>989</v>
      </c>
      <c r="D54" s="1010" t="str">
        <f>INDEX(Modules[Module], MATCH($C54, Modules[Code], 0))</f>
        <v>Indigenous fossil-fuel production</v>
      </c>
      <c r="E54" s="1010"/>
      <c r="G54" s="1022">
        <f t="shared" ca="1" si="140"/>
        <v>0</v>
      </c>
      <c r="H54" s="1022">
        <f t="shared" ca="1" si="140"/>
        <v>0</v>
      </c>
      <c r="I54" s="1022">
        <f t="shared" ca="1" si="140"/>
        <v>28.957471646302658</v>
      </c>
      <c r="J54" s="1022">
        <f t="shared" ca="1" si="140"/>
        <v>0</v>
      </c>
      <c r="K54" s="1022">
        <f t="shared" ca="1" si="140"/>
        <v>0</v>
      </c>
      <c r="L54" s="1022">
        <f t="shared" ca="1" si="140"/>
        <v>0</v>
      </c>
      <c r="M54" s="1022">
        <f t="shared" ca="1" si="140"/>
        <v>0</v>
      </c>
      <c r="N54" s="1022">
        <f t="shared" ca="1" si="140"/>
        <v>0</v>
      </c>
      <c r="O54" s="1022">
        <f t="shared" ca="1" si="140"/>
        <v>0</v>
      </c>
      <c r="P54" s="1022">
        <f t="shared" ca="1" si="140"/>
        <v>0</v>
      </c>
      <c r="Q54" s="1020">
        <f ca="1">SUM(G54:P54)</f>
        <v>28.957471646302658</v>
      </c>
      <c r="S54" s="1031">
        <f t="shared" ca="1" si="141"/>
        <v>-1.2238113975942881</v>
      </c>
      <c r="T54" s="1031">
        <f t="shared" ca="1" si="141"/>
        <v>0</v>
      </c>
      <c r="U54" s="1031">
        <f t="shared" ca="1" si="141"/>
        <v>-4.4692473051785787E-2</v>
      </c>
      <c r="V54" s="1031">
        <f t="shared" ca="1" si="141"/>
        <v>0</v>
      </c>
      <c r="W54" s="1031">
        <f t="shared" ca="1" si="141"/>
        <v>-27.688967775656586</v>
      </c>
      <c r="X54" s="1031">
        <f t="shared" ca="1" si="142"/>
        <v>124.39544583847987</v>
      </c>
      <c r="Y54" s="1031">
        <f t="shared" ca="1" si="142"/>
        <v>419.31653778914142</v>
      </c>
      <c r="Z54" s="1031">
        <f t="shared" ca="1" si="142"/>
        <v>321.17184343559597</v>
      </c>
      <c r="AA54" s="1031">
        <f t="shared" ca="1" si="141"/>
        <v>0</v>
      </c>
      <c r="AB54" s="1031">
        <f t="shared" ca="1" si="141"/>
        <v>0</v>
      </c>
      <c r="AC54" s="1031">
        <f t="shared" ca="1" si="141"/>
        <v>0</v>
      </c>
      <c r="AD54" s="1031">
        <f t="shared" ca="1" si="141"/>
        <v>0</v>
      </c>
      <c r="AE54" s="1031">
        <f t="shared" ca="1" si="141"/>
        <v>0</v>
      </c>
      <c r="AF54" s="1031">
        <f t="shared" ca="1" si="141"/>
        <v>0</v>
      </c>
      <c r="AG54" s="1031">
        <f t="shared" ca="1" si="141"/>
        <v>0</v>
      </c>
      <c r="AH54" s="1031">
        <f t="shared" ca="1" si="141"/>
        <v>0</v>
      </c>
      <c r="AI54" s="1031">
        <f t="shared" ca="1" si="141"/>
        <v>0</v>
      </c>
      <c r="AJ54" s="1031">
        <f t="shared" ca="1" si="141"/>
        <v>0</v>
      </c>
      <c r="AK54" s="1030">
        <f ca="1">SUM(S54:AJ54)</f>
        <v>835.92635541691459</v>
      </c>
      <c r="AM54" s="1042">
        <f t="shared" ca="1" si="143"/>
        <v>-124.39544583847987</v>
      </c>
      <c r="AN54" s="1042">
        <f t="shared" ca="1" si="143"/>
        <v>-419.31653778914142</v>
      </c>
      <c r="AO54" s="1042">
        <f t="shared" ca="1" si="143"/>
        <v>-321.17184343559597</v>
      </c>
      <c r="AP54" s="1042">
        <f t="shared" ca="1" si="143"/>
        <v>0</v>
      </c>
      <c r="AQ54" s="1042">
        <f t="shared" ca="1" si="143"/>
        <v>0</v>
      </c>
      <c r="AR54" s="1042">
        <f t="shared" ca="1" si="143"/>
        <v>0</v>
      </c>
      <c r="AS54" s="1042">
        <f t="shared" ca="1" si="143"/>
        <v>0</v>
      </c>
      <c r="AT54" s="1042">
        <f t="shared" ca="1" si="143"/>
        <v>0</v>
      </c>
      <c r="AU54" s="1042">
        <f t="shared" ca="1" si="143"/>
        <v>0</v>
      </c>
      <c r="AV54" s="1042">
        <f t="shared" ca="1" si="141"/>
        <v>0</v>
      </c>
      <c r="AW54" s="1042">
        <f t="shared" ca="1" si="141"/>
        <v>0</v>
      </c>
      <c r="AX54" s="1042">
        <f t="shared" ca="1" si="141"/>
        <v>0</v>
      </c>
      <c r="AY54" s="1042">
        <f t="shared" ca="1" si="141"/>
        <v>0</v>
      </c>
      <c r="AZ54" s="1042">
        <f t="shared" ca="1" si="141"/>
        <v>0</v>
      </c>
      <c r="BA54" s="1042">
        <f t="shared" ca="1" si="141"/>
        <v>0</v>
      </c>
      <c r="BB54" s="1042">
        <f t="shared" ca="1" si="141"/>
        <v>0</v>
      </c>
      <c r="BC54" s="1042">
        <f t="shared" ca="1" si="141"/>
        <v>0</v>
      </c>
      <c r="BD54" s="1042">
        <f t="shared" ca="1" si="141"/>
        <v>0</v>
      </c>
      <c r="BE54" s="1042">
        <f t="shared" ca="1" si="141"/>
        <v>0</v>
      </c>
      <c r="BF54" s="1012">
        <f ca="1">SUM(AM54:BE54)</f>
        <v>-864.88382706321727</v>
      </c>
      <c r="BH54" s="1036">
        <f ca="1">IFERROR(INDEX(INDIRECT($C54&amp;".Outputs["&amp;this.Year&amp;"]"), MATCH(BH$5, INDIRECT($C54&amp;".Outputs[Vector]"), 0)), 0)</f>
        <v>0</v>
      </c>
      <c r="BI54" s="1036">
        <f ca="1">IFERROR(INDEX(INDIRECT($C54&amp;".Outputs["&amp;this.Year&amp;"]"), MATCH(BI$5, INDIRECT($C54&amp;".Outputs[Vector]"), 0)), 0)</f>
        <v>0</v>
      </c>
      <c r="BJ54" s="1035">
        <f ca="1">SUM(BH54:BI54)</f>
        <v>0</v>
      </c>
      <c r="BL54" s="814"/>
      <c r="BM54" s="814"/>
      <c r="BN54" s="840"/>
      <c r="BO54" s="1485">
        <f t="shared" ca="1" si="144"/>
        <v>5.0780260707208109</v>
      </c>
      <c r="BP54" s="1486">
        <f t="shared" ca="1" si="144"/>
        <v>1.0178830685259793E-2</v>
      </c>
      <c r="BQ54" s="1486">
        <f t="shared" ca="1" si="144"/>
        <v>1.0947827261446913E-2</v>
      </c>
      <c r="BR54" s="1486">
        <f t="shared" ca="1" si="144"/>
        <v>0</v>
      </c>
      <c r="BS54" s="1486">
        <f t="shared" ca="1" si="144"/>
        <v>2.1877709765548032</v>
      </c>
      <c r="BT54" s="1486">
        <f t="shared" ca="1" si="144"/>
        <v>2.6403129612517775</v>
      </c>
      <c r="BU54" s="1486">
        <f t="shared" ca="1" si="144"/>
        <v>0</v>
      </c>
      <c r="BV54" s="1486">
        <f t="shared" ca="1" si="144"/>
        <v>0</v>
      </c>
      <c r="BW54" s="1486">
        <f t="shared" ca="1" si="144"/>
        <v>0</v>
      </c>
      <c r="BX54" s="1486">
        <f t="shared" ca="1" si="144"/>
        <v>0</v>
      </c>
      <c r="BY54" s="1486">
        <f t="shared" ca="1" si="145"/>
        <v>0</v>
      </c>
      <c r="BZ54" s="1486">
        <f t="shared" ca="1" si="145"/>
        <v>0</v>
      </c>
      <c r="CA54" s="1486">
        <f t="shared" ca="1" si="145"/>
        <v>0</v>
      </c>
      <c r="CB54" s="1486">
        <f t="shared" ca="1" si="145"/>
        <v>0</v>
      </c>
      <c r="CC54" s="1486">
        <f t="shared" ca="1" si="145"/>
        <v>0</v>
      </c>
      <c r="CD54" s="1486">
        <f t="shared" ca="1" si="145"/>
        <v>0</v>
      </c>
      <c r="CE54" s="1486">
        <f t="shared" ca="1" si="145"/>
        <v>0</v>
      </c>
      <c r="CF54" s="1486">
        <f t="shared" ca="1" si="145"/>
        <v>0</v>
      </c>
      <c r="CG54" s="1486">
        <f t="shared" ca="1" si="145"/>
        <v>0</v>
      </c>
      <c r="CH54" s="1486">
        <f t="shared" ca="1" si="145"/>
        <v>0</v>
      </c>
      <c r="CI54" s="1486">
        <f t="shared" ca="1" si="146"/>
        <v>0</v>
      </c>
      <c r="CJ54" s="1486">
        <f t="shared" ca="1" si="146"/>
        <v>0</v>
      </c>
      <c r="CK54" s="1486">
        <f t="shared" ca="1" si="146"/>
        <v>0</v>
      </c>
      <c r="CL54" s="1486">
        <f t="shared" ca="1" si="146"/>
        <v>0</v>
      </c>
      <c r="CM54" s="1486">
        <f t="shared" ca="1" si="146"/>
        <v>0</v>
      </c>
      <c r="CN54" s="1486">
        <f t="shared" ca="1" si="146"/>
        <v>0</v>
      </c>
      <c r="CO54" s="1486">
        <f t="shared" ca="1" si="146"/>
        <v>0</v>
      </c>
      <c r="CP54" s="1486">
        <f t="shared" ca="1" si="146"/>
        <v>0</v>
      </c>
      <c r="CQ54" s="1486">
        <f t="shared" ca="1" si="146"/>
        <v>0</v>
      </c>
      <c r="CR54" s="1486">
        <f t="shared" ca="1" si="146"/>
        <v>0</v>
      </c>
      <c r="CS54" s="1486">
        <f t="shared" ca="1" si="147"/>
        <v>0</v>
      </c>
      <c r="CT54" s="1486">
        <f t="shared" ca="1" si="147"/>
        <v>0</v>
      </c>
      <c r="CU54" s="1486">
        <f t="shared" ca="1" si="147"/>
        <v>0</v>
      </c>
      <c r="CV54" s="1486">
        <f t="shared" ca="1" si="147"/>
        <v>0</v>
      </c>
      <c r="CW54" s="1486">
        <f t="shared" ca="1" si="147"/>
        <v>0</v>
      </c>
      <c r="CX54" s="1486">
        <f t="shared" ca="1" si="147"/>
        <v>0</v>
      </c>
      <c r="CY54" s="1486">
        <f t="shared" ca="1" si="147"/>
        <v>0</v>
      </c>
      <c r="CZ54" s="1486">
        <f t="shared" ca="1" si="147"/>
        <v>0</v>
      </c>
      <c r="DA54" s="1486">
        <f t="shared" ca="1" si="147"/>
        <v>0</v>
      </c>
      <c r="DB54" s="1486">
        <f t="shared" ca="1" si="147"/>
        <v>0</v>
      </c>
      <c r="DC54" s="1486">
        <f t="shared" ca="1" si="147"/>
        <v>0</v>
      </c>
      <c r="DD54" s="1486">
        <f t="shared" ca="1" si="147"/>
        <v>0</v>
      </c>
      <c r="DE54" s="1486">
        <f t="shared" ca="1" si="147"/>
        <v>0</v>
      </c>
      <c r="DF54" s="1486">
        <f t="shared" ca="1" si="147"/>
        <v>0</v>
      </c>
      <c r="DH54" s="838">
        <f t="shared" ca="1" si="123"/>
        <v>9.9272366664740979</v>
      </c>
    </row>
    <row r="55" spans="1:112" s="743" customFormat="1" ht="15.75" collapsed="1">
      <c r="A55" s="1488"/>
      <c r="B55" s="1489"/>
      <c r="C55" s="744" t="s">
        <v>969</v>
      </c>
      <c r="D55" s="517" t="str">
        <f>INDEX(Workstreams[Workstream], MATCH($C55, Workstreams[Code], 0))</f>
        <v>Fossil fuel production</v>
      </c>
      <c r="E55" s="512"/>
      <c r="G55" s="1021">
        <f ca="1">SUM(G53:G54)</f>
        <v>0</v>
      </c>
      <c r="H55" s="1021">
        <f t="shared" ref="H55:P55" ca="1" si="148">SUM(H53:H54)</f>
        <v>0</v>
      </c>
      <c r="I55" s="1021">
        <f t="shared" ca="1" si="148"/>
        <v>28.957471646302658</v>
      </c>
      <c r="J55" s="1021">
        <f t="shared" ca="1" si="148"/>
        <v>0</v>
      </c>
      <c r="K55" s="1021">
        <f t="shared" ca="1" si="148"/>
        <v>0</v>
      </c>
      <c r="L55" s="1021">
        <f t="shared" ca="1" si="148"/>
        <v>0</v>
      </c>
      <c r="M55" s="1021">
        <f t="shared" ca="1" si="148"/>
        <v>0</v>
      </c>
      <c r="N55" s="1021">
        <f t="shared" ca="1" si="148"/>
        <v>0</v>
      </c>
      <c r="O55" s="1021">
        <f t="shared" ca="1" si="148"/>
        <v>0</v>
      </c>
      <c r="P55" s="1021">
        <f t="shared" ca="1" si="148"/>
        <v>0</v>
      </c>
      <c r="Q55" s="1021">
        <f ca="1">SUM(G55:P55)</f>
        <v>28.957471646302658</v>
      </c>
      <c r="S55" s="970">
        <f t="shared" ref="S55:AJ55" ca="1" si="149">SUM(S53:S54)</f>
        <v>-6.8563534790069021</v>
      </c>
      <c r="T55" s="970">
        <f t="shared" ca="1" si="149"/>
        <v>0</v>
      </c>
      <c r="U55" s="970">
        <f t="shared" ca="1" si="149"/>
        <v>-4.4692473051785787E-2</v>
      </c>
      <c r="V55" s="970">
        <f t="shared" ca="1" si="149"/>
        <v>-46.166490930952982</v>
      </c>
      <c r="W55" s="970">
        <f t="shared" ca="1" si="149"/>
        <v>-29.742759366263385</v>
      </c>
      <c r="X55" s="970">
        <f ca="1">SUM(X53:X54)</f>
        <v>124.39544583847987</v>
      </c>
      <c r="Y55" s="970">
        <f ca="1">SUM(Y53:Y54)</f>
        <v>419.31653778914142</v>
      </c>
      <c r="Z55" s="970">
        <f ca="1">SUM(Z53:Z54)</f>
        <v>321.17184343559597</v>
      </c>
      <c r="AA55" s="970">
        <f t="shared" ca="1" si="149"/>
        <v>0</v>
      </c>
      <c r="AB55" s="970">
        <f t="shared" ca="1" si="149"/>
        <v>-0.66143481454907704</v>
      </c>
      <c r="AC55" s="970">
        <f t="shared" ca="1" si="149"/>
        <v>0</v>
      </c>
      <c r="AD55" s="970">
        <f ca="1">SUM(AD53:AD54)</f>
        <v>0</v>
      </c>
      <c r="AE55" s="970">
        <f ca="1">SUM(AE53:AE54)</f>
        <v>0</v>
      </c>
      <c r="AF55" s="970">
        <f t="shared" ca="1" si="149"/>
        <v>0</v>
      </c>
      <c r="AG55" s="970">
        <f ca="1">SUM(AG53:AG54)</f>
        <v>0</v>
      </c>
      <c r="AH55" s="970">
        <f ca="1">SUM(AH53:AH54)</f>
        <v>0</v>
      </c>
      <c r="AI55" s="970">
        <f ca="1">SUM(AI53:AI54)</f>
        <v>0</v>
      </c>
      <c r="AJ55" s="970">
        <f t="shared" ca="1" si="149"/>
        <v>0</v>
      </c>
      <c r="AK55" s="970">
        <f ca="1">SUM(S55:AJ55)</f>
        <v>781.41209599939305</v>
      </c>
      <c r="AM55" s="976">
        <f t="shared" ref="AM55:BE55" ca="1" si="150">SUM(AM53:AM54)</f>
        <v>-124.39544583847987</v>
      </c>
      <c r="AN55" s="976">
        <f t="shared" ca="1" si="150"/>
        <v>-419.31653778914142</v>
      </c>
      <c r="AO55" s="976">
        <f t="shared" ca="1" si="150"/>
        <v>-321.17184343559597</v>
      </c>
      <c r="AP55" s="976">
        <f t="shared" ca="1" si="150"/>
        <v>0</v>
      </c>
      <c r="AQ55" s="976">
        <f t="shared" ca="1" si="150"/>
        <v>0</v>
      </c>
      <c r="AR55" s="976">
        <f t="shared" ca="1" si="150"/>
        <v>0</v>
      </c>
      <c r="AS55" s="976">
        <f t="shared" ca="1" si="150"/>
        <v>0</v>
      </c>
      <c r="AT55" s="976">
        <f t="shared" ca="1" si="150"/>
        <v>0</v>
      </c>
      <c r="AU55" s="976">
        <f t="shared" ca="1" si="150"/>
        <v>0</v>
      </c>
      <c r="AV55" s="976">
        <f t="shared" ca="1" si="150"/>
        <v>0</v>
      </c>
      <c r="AW55" s="976">
        <f t="shared" ca="1" si="150"/>
        <v>0</v>
      </c>
      <c r="AX55" s="976">
        <f t="shared" ca="1" si="150"/>
        <v>0</v>
      </c>
      <c r="AY55" s="976">
        <f t="shared" ca="1" si="150"/>
        <v>0</v>
      </c>
      <c r="AZ55" s="976">
        <f t="shared" ca="1" si="150"/>
        <v>0</v>
      </c>
      <c r="BA55" s="976">
        <f t="shared" ca="1" si="150"/>
        <v>0</v>
      </c>
      <c r="BB55" s="976">
        <f t="shared" ca="1" si="150"/>
        <v>0</v>
      </c>
      <c r="BC55" s="976">
        <f t="shared" ca="1" si="150"/>
        <v>0</v>
      </c>
      <c r="BD55" s="976">
        <f t="shared" ca="1" si="150"/>
        <v>0</v>
      </c>
      <c r="BE55" s="976">
        <f t="shared" ca="1" si="150"/>
        <v>0</v>
      </c>
      <c r="BF55" s="976">
        <f ca="1">SUM(AM55:BE55)</f>
        <v>-864.88382706321727</v>
      </c>
      <c r="BH55" s="990">
        <f ca="1">SUM(BH53:BH54)</f>
        <v>0</v>
      </c>
      <c r="BI55" s="990">
        <f ca="1">SUM(BI53:BI54)</f>
        <v>54.514259417521473</v>
      </c>
      <c r="BJ55" s="990">
        <f ca="1">SUM(BH55:BI55)</f>
        <v>54.514259417521473</v>
      </c>
      <c r="BL55" s="515">
        <f ca="1">Q55+AK55+BF55+BJ55</f>
        <v>-7.1054273576010019E-14</v>
      </c>
      <c r="BM55" s="852"/>
      <c r="BN55" s="840"/>
      <c r="BO55" s="1481">
        <f t="shared" ref="BO55:DF55" ca="1" si="151">SUM(BO53:BO54)</f>
        <v>16.997546456130706</v>
      </c>
      <c r="BP55" s="1482">
        <f t="shared" ca="1" si="151"/>
        <v>2.5305595868054052E-2</v>
      </c>
      <c r="BQ55" s="1482">
        <f t="shared" ca="1" si="151"/>
        <v>0.21941998785349789</v>
      </c>
      <c r="BR55" s="1482">
        <f t="shared" ca="1" si="151"/>
        <v>0</v>
      </c>
      <c r="BS55" s="1482">
        <f t="shared" ca="1" si="151"/>
        <v>2.1877709765548032</v>
      </c>
      <c r="BT55" s="1482">
        <f t="shared" ca="1" si="151"/>
        <v>2.6403129612517775</v>
      </c>
      <c r="BU55" s="1482">
        <f t="shared" ca="1" si="151"/>
        <v>0</v>
      </c>
      <c r="BV55" s="1482">
        <f t="shared" ca="1" si="151"/>
        <v>0</v>
      </c>
      <c r="BW55" s="1482">
        <f t="shared" ca="1" si="151"/>
        <v>0</v>
      </c>
      <c r="BX55" s="1482">
        <f t="shared" ca="1" si="151"/>
        <v>0</v>
      </c>
      <c r="BY55" s="1482">
        <f t="shared" ca="1" si="151"/>
        <v>0</v>
      </c>
      <c r="BZ55" s="1482">
        <f t="shared" ca="1" si="151"/>
        <v>0</v>
      </c>
      <c r="CA55" s="1482">
        <f t="shared" ca="1" si="151"/>
        <v>0</v>
      </c>
      <c r="CB55" s="1482">
        <f t="shared" ca="1" si="151"/>
        <v>0</v>
      </c>
      <c r="CC55" s="1482">
        <f t="shared" ca="1" si="151"/>
        <v>0</v>
      </c>
      <c r="CD55" s="1482">
        <f t="shared" ca="1" si="151"/>
        <v>0</v>
      </c>
      <c r="CE55" s="1482">
        <f t="shared" ca="1" si="151"/>
        <v>0</v>
      </c>
      <c r="CF55" s="1482">
        <f t="shared" ca="1" si="151"/>
        <v>0</v>
      </c>
      <c r="CG55" s="1482">
        <f t="shared" ca="1" si="151"/>
        <v>0</v>
      </c>
      <c r="CH55" s="1482">
        <f t="shared" ca="1" si="151"/>
        <v>0</v>
      </c>
      <c r="CI55" s="1482">
        <f t="shared" ca="1" si="151"/>
        <v>0</v>
      </c>
      <c r="CJ55" s="1482">
        <f t="shared" ca="1" si="151"/>
        <v>0</v>
      </c>
      <c r="CK55" s="1482">
        <f t="shared" ca="1" si="151"/>
        <v>0</v>
      </c>
      <c r="CL55" s="1482">
        <f t="shared" ca="1" si="151"/>
        <v>0</v>
      </c>
      <c r="CM55" s="1482">
        <f t="shared" ca="1" si="151"/>
        <v>0</v>
      </c>
      <c r="CN55" s="1482">
        <f t="shared" ca="1" si="151"/>
        <v>0</v>
      </c>
      <c r="CO55" s="1482">
        <f t="shared" ca="1" si="151"/>
        <v>0</v>
      </c>
      <c r="CP55" s="1482">
        <f t="shared" ca="1" si="151"/>
        <v>0</v>
      </c>
      <c r="CQ55" s="1482">
        <f t="shared" ca="1" si="151"/>
        <v>0</v>
      </c>
      <c r="CR55" s="1482">
        <f t="shared" ca="1" si="151"/>
        <v>0</v>
      </c>
      <c r="CS55" s="1482">
        <f t="shared" ca="1" si="151"/>
        <v>0</v>
      </c>
      <c r="CT55" s="1482">
        <f t="shared" ca="1" si="151"/>
        <v>0</v>
      </c>
      <c r="CU55" s="1482">
        <f t="shared" ca="1" si="151"/>
        <v>0</v>
      </c>
      <c r="CV55" s="1482">
        <f t="shared" ca="1" si="151"/>
        <v>0</v>
      </c>
      <c r="CW55" s="1482">
        <f t="shared" ca="1" si="151"/>
        <v>0</v>
      </c>
      <c r="CX55" s="1482">
        <f t="shared" ca="1" si="151"/>
        <v>0</v>
      </c>
      <c r="CY55" s="1482">
        <f t="shared" ca="1" si="151"/>
        <v>0</v>
      </c>
      <c r="CZ55" s="1482">
        <f t="shared" ca="1" si="151"/>
        <v>0</v>
      </c>
      <c r="DA55" s="1482">
        <f t="shared" ca="1" si="151"/>
        <v>0</v>
      </c>
      <c r="DB55" s="1482">
        <f t="shared" ca="1" si="151"/>
        <v>0</v>
      </c>
      <c r="DC55" s="1482">
        <f t="shared" ca="1" si="151"/>
        <v>0</v>
      </c>
      <c r="DD55" s="1482">
        <f t="shared" ca="1" si="151"/>
        <v>0</v>
      </c>
      <c r="DE55" s="1482">
        <f t="shared" ca="1" si="151"/>
        <v>0</v>
      </c>
      <c r="DF55" s="1482">
        <f t="shared" ca="1" si="151"/>
        <v>0</v>
      </c>
      <c r="DH55" s="838">
        <f t="shared" ca="1" si="123"/>
        <v>22.070355977658838</v>
      </c>
    </row>
    <row r="56" spans="1:112" s="743" customFormat="1" hidden="1" outlineLevel="1">
      <c r="C56" s="520"/>
      <c r="D56" s="38"/>
      <c r="E56" s="509"/>
      <c r="G56" s="958"/>
      <c r="H56" s="958"/>
      <c r="I56" s="958"/>
      <c r="J56" s="958"/>
      <c r="K56" s="960"/>
      <c r="L56" s="958"/>
      <c r="M56" s="958"/>
      <c r="N56" s="958"/>
      <c r="O56" s="958"/>
      <c r="P56" s="958"/>
      <c r="Q56" s="958"/>
      <c r="S56" s="970"/>
      <c r="T56" s="970"/>
      <c r="U56" s="970"/>
      <c r="V56" s="970"/>
      <c r="W56" s="970"/>
      <c r="X56" s="970"/>
      <c r="Y56" s="970"/>
      <c r="Z56" s="970"/>
      <c r="AA56" s="970"/>
      <c r="AB56" s="970"/>
      <c r="AC56" s="970"/>
      <c r="AD56" s="970"/>
      <c r="AE56" s="970"/>
      <c r="AF56" s="970"/>
      <c r="AG56" s="970"/>
      <c r="AH56" s="970"/>
      <c r="AI56" s="970"/>
      <c r="AJ56" s="970"/>
      <c r="AK56" s="970"/>
      <c r="AM56" s="976"/>
      <c r="AN56" s="976"/>
      <c r="AO56" s="976"/>
      <c r="AP56" s="976"/>
      <c r="AQ56" s="976"/>
      <c r="AR56" s="976"/>
      <c r="AS56" s="976"/>
      <c r="AT56" s="976"/>
      <c r="AU56" s="976"/>
      <c r="AV56" s="976"/>
      <c r="AW56" s="976"/>
      <c r="AX56" s="976"/>
      <c r="AY56" s="976"/>
      <c r="AZ56" s="976"/>
      <c r="BA56" s="976"/>
      <c r="BB56" s="976"/>
      <c r="BC56" s="976"/>
      <c r="BD56" s="976"/>
      <c r="BE56" s="976"/>
      <c r="BF56" s="976"/>
      <c r="BH56" s="990"/>
      <c r="BI56" s="990"/>
      <c r="BJ56" s="990"/>
      <c r="BL56" s="515">
        <f t="shared" ref="BL56:BL63" si="152">Q56+AK56+BF56+BJ56</f>
        <v>0</v>
      </c>
      <c r="BM56" s="515"/>
      <c r="BO56" s="1482"/>
      <c r="BP56" s="1482"/>
      <c r="BQ56" s="1482"/>
      <c r="BR56" s="1482"/>
      <c r="BS56" s="1482"/>
      <c r="BT56" s="1482"/>
      <c r="BU56" s="1482"/>
      <c r="BV56" s="1482"/>
      <c r="BW56" s="1482"/>
      <c r="BX56" s="1482"/>
      <c r="BY56" s="1482"/>
      <c r="BZ56" s="1482"/>
      <c r="CA56" s="1482"/>
      <c r="CB56" s="1482"/>
      <c r="CC56" s="1482"/>
      <c r="CD56" s="1482"/>
      <c r="CE56" s="1482"/>
      <c r="CF56" s="1482"/>
      <c r="CG56" s="1482"/>
      <c r="CH56" s="1482"/>
      <c r="CI56" s="1482"/>
      <c r="CJ56" s="1482"/>
      <c r="CK56" s="1482"/>
      <c r="CL56" s="1482"/>
      <c r="CM56" s="1482"/>
      <c r="CN56" s="1482"/>
      <c r="CO56" s="1482"/>
      <c r="CP56" s="1482"/>
      <c r="CQ56" s="1482"/>
      <c r="CR56" s="1482"/>
      <c r="CS56" s="1482"/>
      <c r="CT56" s="1482"/>
      <c r="CU56" s="1482"/>
      <c r="CV56" s="1482"/>
      <c r="CW56" s="1482"/>
      <c r="CX56" s="1482"/>
      <c r="CY56" s="1482"/>
      <c r="CZ56" s="1482"/>
      <c r="DA56" s="1482"/>
      <c r="DB56" s="1482"/>
      <c r="DC56" s="1482"/>
      <c r="DD56" s="1482"/>
      <c r="DE56" s="1482"/>
      <c r="DF56" s="1482"/>
      <c r="DH56" s="838">
        <f t="shared" si="123"/>
        <v>0</v>
      </c>
    </row>
    <row r="57" spans="1:112" s="1484" customFormat="1" ht="12.75" hidden="1" customHeight="1" outlineLevel="1">
      <c r="C57" s="746" t="s">
        <v>1730</v>
      </c>
      <c r="D57" s="521" t="str">
        <f>INDEX(Modules[Module], MATCH($C57, Modules[Code], 0))</f>
        <v>Onshore wind</v>
      </c>
      <c r="E57" s="521"/>
      <c r="F57" s="743"/>
      <c r="G57" s="1017">
        <f t="shared" ref="G57:P62" ca="1" si="153">IFERROR(INDEX(INDIRECT($C57&amp;".Outputs["&amp;this.Year&amp;"]"), MATCH(G$5, INDIRECT($C57&amp;".Outputs[Vector]"), 0)), 0)</f>
        <v>0</v>
      </c>
      <c r="H57" s="1017">
        <f t="shared" ca="1" si="153"/>
        <v>0</v>
      </c>
      <c r="I57" s="1017">
        <f t="shared" ca="1" si="153"/>
        <v>0</v>
      </c>
      <c r="J57" s="1017">
        <f t="shared" ca="1" si="153"/>
        <v>0</v>
      </c>
      <c r="K57" s="1017">
        <f t="shared" ca="1" si="153"/>
        <v>0</v>
      </c>
      <c r="L57" s="1017">
        <f t="shared" ca="1" si="153"/>
        <v>0</v>
      </c>
      <c r="M57" s="1017">
        <f t="shared" ca="1" si="153"/>
        <v>0</v>
      </c>
      <c r="N57" s="1017">
        <f t="shared" ca="1" si="153"/>
        <v>0</v>
      </c>
      <c r="O57" s="1017">
        <f t="shared" ca="1" si="153"/>
        <v>0</v>
      </c>
      <c r="P57" s="1017">
        <f t="shared" ca="1" si="153"/>
        <v>0</v>
      </c>
      <c r="Q57" s="1019">
        <f t="shared" ref="Q57:Q63" ca="1" si="154">SUM(G57:P57)</f>
        <v>0</v>
      </c>
      <c r="R57" s="743"/>
      <c r="S57" s="1026">
        <f t="shared" ref="S57:BE62" ca="1" si="155">IFERROR(INDEX(INDIRECT($C57&amp;".Outputs["&amp;this.Year&amp;"]"), MATCH(S$5, INDIRECT($C57&amp;".Outputs[Vector]"), 0)), 0)</f>
        <v>0</v>
      </c>
      <c r="T57" s="1026">
        <f t="shared" ca="1" si="155"/>
        <v>28.963039319999996</v>
      </c>
      <c r="U57" s="1026">
        <f t="shared" ca="1" si="155"/>
        <v>0</v>
      </c>
      <c r="V57" s="1026">
        <f t="shared" ca="1" si="155"/>
        <v>0</v>
      </c>
      <c r="W57" s="1026">
        <f t="shared" ca="1" si="155"/>
        <v>0</v>
      </c>
      <c r="X57" s="1026">
        <f t="shared" ref="X57:Z62" ca="1" si="156">IFERROR(INDEX(INDIRECT($C57&amp;".Outputs["&amp;this.Year&amp;"]"), MATCH(X$5, INDIRECT($C57&amp;".Outputs[Vector]"), 0)), 0)</f>
        <v>0</v>
      </c>
      <c r="Y57" s="1026">
        <f t="shared" ca="1" si="156"/>
        <v>0</v>
      </c>
      <c r="Z57" s="1026">
        <f t="shared" ca="1" si="156"/>
        <v>0</v>
      </c>
      <c r="AA57" s="1026">
        <f t="shared" ca="1" si="155"/>
        <v>0</v>
      </c>
      <c r="AB57" s="1026">
        <f t="shared" ca="1" si="155"/>
        <v>0</v>
      </c>
      <c r="AC57" s="1026">
        <f t="shared" ca="1" si="155"/>
        <v>0</v>
      </c>
      <c r="AD57" s="1026">
        <f t="shared" ca="1" si="155"/>
        <v>0</v>
      </c>
      <c r="AE57" s="1026">
        <f t="shared" ca="1" si="155"/>
        <v>0</v>
      </c>
      <c r="AF57" s="1026">
        <f t="shared" ca="1" si="155"/>
        <v>0</v>
      </c>
      <c r="AG57" s="1026">
        <f t="shared" ca="1" si="155"/>
        <v>0</v>
      </c>
      <c r="AH57" s="1026">
        <f t="shared" ca="1" si="155"/>
        <v>0</v>
      </c>
      <c r="AI57" s="1026">
        <f t="shared" ca="1" si="155"/>
        <v>0</v>
      </c>
      <c r="AJ57" s="1026">
        <f t="shared" ca="1" si="155"/>
        <v>0</v>
      </c>
      <c r="AK57" s="1027">
        <f t="shared" ref="AK57:AK63" ca="1" si="157">SUM(S57:AJ57)</f>
        <v>28.963039319999996</v>
      </c>
      <c r="AL57" s="743"/>
      <c r="AM57" s="1038">
        <f t="shared" ref="AM57:AU62" ca="1" si="158">IFERROR(INDEX(INDIRECT($C57&amp;".Outputs["&amp;this.Year&amp;"]"), MATCH(AM$5, INDIRECT($C57&amp;".Outputs[Vector]"), 0)), 0)</f>
        <v>0</v>
      </c>
      <c r="AN57" s="1038">
        <f t="shared" ca="1" si="158"/>
        <v>0</v>
      </c>
      <c r="AO57" s="1038">
        <f t="shared" ca="1" si="158"/>
        <v>0</v>
      </c>
      <c r="AP57" s="1038">
        <f t="shared" ca="1" si="158"/>
        <v>0</v>
      </c>
      <c r="AQ57" s="1038">
        <f t="shared" ca="1" si="158"/>
        <v>0</v>
      </c>
      <c r="AR57" s="1038">
        <f t="shared" ca="1" si="158"/>
        <v>0</v>
      </c>
      <c r="AS57" s="1038">
        <f t="shared" ca="1" si="158"/>
        <v>0</v>
      </c>
      <c r="AT57" s="1038">
        <f t="shared" ca="1" si="158"/>
        <v>0</v>
      </c>
      <c r="AU57" s="1038">
        <f t="shared" ca="1" si="158"/>
        <v>0</v>
      </c>
      <c r="AV57" s="1038">
        <f t="shared" ca="1" si="155"/>
        <v>0</v>
      </c>
      <c r="AW57" s="1038">
        <f t="shared" ca="1" si="155"/>
        <v>0</v>
      </c>
      <c r="AX57" s="1038">
        <f t="shared" ca="1" si="155"/>
        <v>-28.963039319999996</v>
      </c>
      <c r="AY57" s="1038">
        <f t="shared" ca="1" si="155"/>
        <v>0</v>
      </c>
      <c r="AZ57" s="1038">
        <f t="shared" ca="1" si="155"/>
        <v>0</v>
      </c>
      <c r="BA57" s="1038">
        <f t="shared" ca="1" si="155"/>
        <v>0</v>
      </c>
      <c r="BB57" s="1038">
        <f t="shared" ca="1" si="155"/>
        <v>0</v>
      </c>
      <c r="BC57" s="1038">
        <f t="shared" ca="1" si="155"/>
        <v>0</v>
      </c>
      <c r="BD57" s="1038">
        <f t="shared" ca="1" si="155"/>
        <v>0</v>
      </c>
      <c r="BE57" s="1038">
        <f t="shared" ca="1" si="155"/>
        <v>0</v>
      </c>
      <c r="BF57" s="979">
        <f t="shared" ref="BF57:BF63" ca="1" si="159">SUM(AM57:BE57)</f>
        <v>-28.963039319999996</v>
      </c>
      <c r="BG57" s="743"/>
      <c r="BH57" s="1032">
        <f t="shared" ref="BH57:BI62" ca="1" si="160">IFERROR(INDEX(INDIRECT($C57&amp;".Outputs["&amp;this.Year&amp;"]"), MATCH(BH$5, INDIRECT($C57&amp;".Outputs[Vector]"), 0)), 0)</f>
        <v>0</v>
      </c>
      <c r="BI57" s="1032">
        <f t="shared" ca="1" si="160"/>
        <v>0</v>
      </c>
      <c r="BJ57" s="1034">
        <f t="shared" ref="BJ57:BJ63" ca="1" si="161">SUM(BH57:BI57)</f>
        <v>0</v>
      </c>
      <c r="BK57" s="743"/>
      <c r="BL57" s="814">
        <f t="shared" ca="1" si="152"/>
        <v>0</v>
      </c>
      <c r="BM57" s="814"/>
      <c r="BN57" s="840"/>
      <c r="BO57" s="1481">
        <f t="shared" ref="BO57:BX62" ca="1" si="162">IFERROR(SUMIFS(INDIRECT($C57&amp;".Emissions["&amp;this.Year&amp;"]"), INDIRECT($C57&amp;".Emissions[GHG]"), BO$6, INDIRECT($C57&amp;".Emissions[IPCC Sector]"), BO$5),0)</f>
        <v>0</v>
      </c>
      <c r="BP57" s="1482">
        <f t="shared" ca="1" si="162"/>
        <v>0</v>
      </c>
      <c r="BQ57" s="1482">
        <f t="shared" ca="1" si="162"/>
        <v>0</v>
      </c>
      <c r="BR57" s="1482">
        <f t="shared" ca="1" si="162"/>
        <v>0</v>
      </c>
      <c r="BS57" s="1482">
        <f t="shared" ca="1" si="162"/>
        <v>0</v>
      </c>
      <c r="BT57" s="1482">
        <f t="shared" ca="1" si="162"/>
        <v>0</v>
      </c>
      <c r="BU57" s="1482">
        <f t="shared" ca="1" si="162"/>
        <v>0</v>
      </c>
      <c r="BV57" s="1482">
        <f t="shared" ca="1" si="162"/>
        <v>0</v>
      </c>
      <c r="BW57" s="1482">
        <f t="shared" ca="1" si="162"/>
        <v>0</v>
      </c>
      <c r="BX57" s="1482">
        <f t="shared" ca="1" si="162"/>
        <v>0</v>
      </c>
      <c r="BY57" s="1482">
        <f t="shared" ref="BY57:CH62" ca="1" si="163">IFERROR(SUMIFS(INDIRECT($C57&amp;".Emissions["&amp;this.Year&amp;"]"), INDIRECT($C57&amp;".Emissions[GHG]"), BY$6, INDIRECT($C57&amp;".Emissions[IPCC Sector]"), BY$5),0)</f>
        <v>0</v>
      </c>
      <c r="BZ57" s="1482">
        <f t="shared" ca="1" si="163"/>
        <v>0</v>
      </c>
      <c r="CA57" s="1482">
        <f t="shared" ca="1" si="163"/>
        <v>0</v>
      </c>
      <c r="CB57" s="1482">
        <f t="shared" ca="1" si="163"/>
        <v>0</v>
      </c>
      <c r="CC57" s="1482">
        <f t="shared" ca="1" si="163"/>
        <v>0</v>
      </c>
      <c r="CD57" s="1482">
        <f t="shared" ca="1" si="163"/>
        <v>0</v>
      </c>
      <c r="CE57" s="1482">
        <f t="shared" ca="1" si="163"/>
        <v>0</v>
      </c>
      <c r="CF57" s="1482">
        <f t="shared" ca="1" si="163"/>
        <v>0</v>
      </c>
      <c r="CG57" s="1482">
        <f t="shared" ca="1" si="163"/>
        <v>0</v>
      </c>
      <c r="CH57" s="1482">
        <f t="shared" ca="1" si="163"/>
        <v>0</v>
      </c>
      <c r="CI57" s="1482">
        <f t="shared" ref="CI57:CR62" ca="1" si="164">IFERROR(SUMIFS(INDIRECT($C57&amp;".Emissions["&amp;this.Year&amp;"]"), INDIRECT($C57&amp;".Emissions[GHG]"), CI$6, INDIRECT($C57&amp;".Emissions[IPCC Sector]"), CI$5),0)</f>
        <v>0</v>
      </c>
      <c r="CJ57" s="1482">
        <f t="shared" ca="1" si="164"/>
        <v>0</v>
      </c>
      <c r="CK57" s="1482">
        <f t="shared" ca="1" si="164"/>
        <v>0</v>
      </c>
      <c r="CL57" s="1482">
        <f t="shared" ca="1" si="164"/>
        <v>0</v>
      </c>
      <c r="CM57" s="1482">
        <f t="shared" ca="1" si="164"/>
        <v>0</v>
      </c>
      <c r="CN57" s="1482">
        <f t="shared" ca="1" si="164"/>
        <v>0</v>
      </c>
      <c r="CO57" s="1482">
        <f t="shared" ca="1" si="164"/>
        <v>0</v>
      </c>
      <c r="CP57" s="1482">
        <f t="shared" ca="1" si="164"/>
        <v>0</v>
      </c>
      <c r="CQ57" s="1482">
        <f t="shared" ca="1" si="164"/>
        <v>0</v>
      </c>
      <c r="CR57" s="1482">
        <f t="shared" ca="1" si="164"/>
        <v>0</v>
      </c>
      <c r="CS57" s="1482">
        <f t="shared" ref="CS57:DF62" ca="1" si="165">IFERROR(SUMIFS(INDIRECT($C57&amp;".Emissions["&amp;this.Year&amp;"]"), INDIRECT($C57&amp;".Emissions[GHG]"), CS$6, INDIRECT($C57&amp;".Emissions[IPCC Sector]"), CS$5),0)</f>
        <v>0</v>
      </c>
      <c r="CT57" s="1482">
        <f t="shared" ca="1" si="165"/>
        <v>0</v>
      </c>
      <c r="CU57" s="1482">
        <f t="shared" ca="1" si="165"/>
        <v>0</v>
      </c>
      <c r="CV57" s="1482">
        <f t="shared" ca="1" si="165"/>
        <v>0</v>
      </c>
      <c r="CW57" s="1482">
        <f t="shared" ca="1" si="165"/>
        <v>0</v>
      </c>
      <c r="CX57" s="1482">
        <f t="shared" ca="1" si="165"/>
        <v>0</v>
      </c>
      <c r="CY57" s="1482">
        <f t="shared" ca="1" si="165"/>
        <v>0</v>
      </c>
      <c r="CZ57" s="1482">
        <f t="shared" ca="1" si="165"/>
        <v>0</v>
      </c>
      <c r="DA57" s="1482">
        <f t="shared" ca="1" si="165"/>
        <v>0</v>
      </c>
      <c r="DB57" s="1482">
        <f t="shared" ca="1" si="165"/>
        <v>0</v>
      </c>
      <c r="DC57" s="1482">
        <f t="shared" ca="1" si="165"/>
        <v>0</v>
      </c>
      <c r="DD57" s="1482">
        <f t="shared" ca="1" si="165"/>
        <v>0</v>
      </c>
      <c r="DE57" s="1482">
        <f t="shared" ca="1" si="165"/>
        <v>0</v>
      </c>
      <c r="DF57" s="1482">
        <f t="shared" ca="1" si="165"/>
        <v>0</v>
      </c>
      <c r="DH57" s="838">
        <f t="shared" ca="1" si="123"/>
        <v>0</v>
      </c>
    </row>
    <row r="58" spans="1:112" s="1484" customFormat="1" ht="12.75" hidden="1" customHeight="1" outlineLevel="1">
      <c r="C58" s="746" t="s">
        <v>1731</v>
      </c>
      <c r="D58" s="521" t="str">
        <f>INDEX(Modules[Module], MATCH($C58, Modules[Code], 0))</f>
        <v>Offshore wind</v>
      </c>
      <c r="E58" s="521"/>
      <c r="F58" s="743"/>
      <c r="G58" s="1017">
        <f t="shared" ca="1" si="153"/>
        <v>0</v>
      </c>
      <c r="H58" s="1017">
        <f t="shared" ca="1" si="153"/>
        <v>0</v>
      </c>
      <c r="I58" s="1017">
        <f t="shared" ca="1" si="153"/>
        <v>0</v>
      </c>
      <c r="J58" s="1017">
        <f t="shared" ca="1" si="153"/>
        <v>0</v>
      </c>
      <c r="K58" s="1017">
        <f t="shared" ca="1" si="153"/>
        <v>0</v>
      </c>
      <c r="L58" s="1017">
        <f t="shared" ca="1" si="153"/>
        <v>0</v>
      </c>
      <c r="M58" s="1017">
        <f t="shared" ca="1" si="153"/>
        <v>0</v>
      </c>
      <c r="N58" s="1017">
        <f t="shared" ca="1" si="153"/>
        <v>0</v>
      </c>
      <c r="O58" s="1017">
        <f t="shared" ca="1" si="153"/>
        <v>0</v>
      </c>
      <c r="P58" s="1017">
        <f t="shared" ca="1" si="153"/>
        <v>0</v>
      </c>
      <c r="Q58" s="1019">
        <f ca="1">SUM(G58:P58)</f>
        <v>0</v>
      </c>
      <c r="R58" s="743"/>
      <c r="S58" s="1026">
        <f t="shared" ca="1" si="155"/>
        <v>0</v>
      </c>
      <c r="T58" s="1026">
        <f t="shared" ca="1" si="155"/>
        <v>25.139397779999999</v>
      </c>
      <c r="U58" s="1026">
        <f t="shared" ca="1" si="155"/>
        <v>0</v>
      </c>
      <c r="V58" s="1026">
        <f t="shared" ca="1" si="155"/>
        <v>0</v>
      </c>
      <c r="W58" s="1026">
        <f t="shared" ca="1" si="155"/>
        <v>0</v>
      </c>
      <c r="X58" s="1026">
        <f t="shared" ca="1" si="156"/>
        <v>0</v>
      </c>
      <c r="Y58" s="1026">
        <f t="shared" ca="1" si="156"/>
        <v>0</v>
      </c>
      <c r="Z58" s="1026">
        <f t="shared" ca="1" si="156"/>
        <v>0</v>
      </c>
      <c r="AA58" s="1026">
        <f t="shared" ca="1" si="155"/>
        <v>0</v>
      </c>
      <c r="AB58" s="1026">
        <f t="shared" ca="1" si="155"/>
        <v>0</v>
      </c>
      <c r="AC58" s="1026">
        <f t="shared" ca="1" si="155"/>
        <v>0</v>
      </c>
      <c r="AD58" s="1026">
        <f t="shared" ca="1" si="155"/>
        <v>0</v>
      </c>
      <c r="AE58" s="1026">
        <f t="shared" ca="1" si="155"/>
        <v>0</v>
      </c>
      <c r="AF58" s="1026">
        <f t="shared" ca="1" si="155"/>
        <v>0</v>
      </c>
      <c r="AG58" s="1026">
        <f t="shared" ca="1" si="155"/>
        <v>0</v>
      </c>
      <c r="AH58" s="1026">
        <f t="shared" ca="1" si="155"/>
        <v>0</v>
      </c>
      <c r="AI58" s="1026">
        <f t="shared" ca="1" si="155"/>
        <v>0</v>
      </c>
      <c r="AJ58" s="1026">
        <f t="shared" ca="1" si="155"/>
        <v>0</v>
      </c>
      <c r="AK58" s="1027">
        <f ca="1">SUM(S58:AJ58)</f>
        <v>25.139397779999999</v>
      </c>
      <c r="AL58" s="743"/>
      <c r="AM58" s="1038">
        <f t="shared" ca="1" si="158"/>
        <v>0</v>
      </c>
      <c r="AN58" s="1038">
        <f t="shared" ca="1" si="158"/>
        <v>0</v>
      </c>
      <c r="AO58" s="1038">
        <f t="shared" ca="1" si="158"/>
        <v>0</v>
      </c>
      <c r="AP58" s="1038">
        <f t="shared" ca="1" si="158"/>
        <v>0</v>
      </c>
      <c r="AQ58" s="1038">
        <f t="shared" ca="1" si="158"/>
        <v>0</v>
      </c>
      <c r="AR58" s="1038">
        <f t="shared" ca="1" si="158"/>
        <v>0</v>
      </c>
      <c r="AS58" s="1038">
        <f t="shared" ca="1" si="158"/>
        <v>0</v>
      </c>
      <c r="AT58" s="1038">
        <f t="shared" ca="1" si="158"/>
        <v>0</v>
      </c>
      <c r="AU58" s="1038">
        <f t="shared" ca="1" si="158"/>
        <v>0</v>
      </c>
      <c r="AV58" s="1038">
        <f t="shared" ca="1" si="155"/>
        <v>0</v>
      </c>
      <c r="AW58" s="1038">
        <f t="shared" ca="1" si="155"/>
        <v>0</v>
      </c>
      <c r="AX58" s="1038">
        <f t="shared" ca="1" si="155"/>
        <v>-25.139397779999999</v>
      </c>
      <c r="AY58" s="1038">
        <f t="shared" ca="1" si="155"/>
        <v>0</v>
      </c>
      <c r="AZ58" s="1038">
        <f t="shared" ca="1" si="155"/>
        <v>0</v>
      </c>
      <c r="BA58" s="1038">
        <f t="shared" ca="1" si="155"/>
        <v>0</v>
      </c>
      <c r="BB58" s="1038">
        <f t="shared" ca="1" si="155"/>
        <v>0</v>
      </c>
      <c r="BC58" s="1038">
        <f t="shared" ca="1" si="155"/>
        <v>0</v>
      </c>
      <c r="BD58" s="1038">
        <f t="shared" ca="1" si="155"/>
        <v>0</v>
      </c>
      <c r="BE58" s="1038">
        <f t="shared" ca="1" si="155"/>
        <v>0</v>
      </c>
      <c r="BF58" s="979">
        <f ca="1">SUM(AM58:BE58)</f>
        <v>-25.139397779999999</v>
      </c>
      <c r="BG58" s="743"/>
      <c r="BH58" s="1032">
        <f t="shared" ca="1" si="160"/>
        <v>0</v>
      </c>
      <c r="BI58" s="1032">
        <f t="shared" ca="1" si="160"/>
        <v>0</v>
      </c>
      <c r="BJ58" s="1034">
        <f ca="1">SUM(BH58:BI58)</f>
        <v>0</v>
      </c>
      <c r="BK58" s="743"/>
      <c r="BL58" s="814">
        <f ca="1">Q58+AK58+BF58+BJ58</f>
        <v>0</v>
      </c>
      <c r="BM58" s="814"/>
      <c r="BN58" s="840"/>
      <c r="BO58" s="1481">
        <f t="shared" ca="1" si="162"/>
        <v>0</v>
      </c>
      <c r="BP58" s="1482">
        <f t="shared" ca="1" si="162"/>
        <v>0</v>
      </c>
      <c r="BQ58" s="1482">
        <f t="shared" ca="1" si="162"/>
        <v>0</v>
      </c>
      <c r="BR58" s="1482">
        <f t="shared" ca="1" si="162"/>
        <v>0</v>
      </c>
      <c r="BS58" s="1482">
        <f t="shared" ca="1" si="162"/>
        <v>0</v>
      </c>
      <c r="BT58" s="1482">
        <f t="shared" ca="1" si="162"/>
        <v>0</v>
      </c>
      <c r="BU58" s="1482">
        <f t="shared" ca="1" si="162"/>
        <v>0</v>
      </c>
      <c r="BV58" s="1482">
        <f t="shared" ca="1" si="162"/>
        <v>0</v>
      </c>
      <c r="BW58" s="1482">
        <f t="shared" ca="1" si="162"/>
        <v>0</v>
      </c>
      <c r="BX58" s="1482">
        <f t="shared" ca="1" si="162"/>
        <v>0</v>
      </c>
      <c r="BY58" s="1482">
        <f t="shared" ca="1" si="163"/>
        <v>0</v>
      </c>
      <c r="BZ58" s="1482">
        <f t="shared" ca="1" si="163"/>
        <v>0</v>
      </c>
      <c r="CA58" s="1482">
        <f t="shared" ca="1" si="163"/>
        <v>0</v>
      </c>
      <c r="CB58" s="1482">
        <f t="shared" ca="1" si="163"/>
        <v>0</v>
      </c>
      <c r="CC58" s="1482">
        <f t="shared" ca="1" si="163"/>
        <v>0</v>
      </c>
      <c r="CD58" s="1482">
        <f t="shared" ca="1" si="163"/>
        <v>0</v>
      </c>
      <c r="CE58" s="1482">
        <f t="shared" ca="1" si="163"/>
        <v>0</v>
      </c>
      <c r="CF58" s="1482">
        <f t="shared" ca="1" si="163"/>
        <v>0</v>
      </c>
      <c r="CG58" s="1482">
        <f t="shared" ca="1" si="163"/>
        <v>0</v>
      </c>
      <c r="CH58" s="1482">
        <f t="shared" ca="1" si="163"/>
        <v>0</v>
      </c>
      <c r="CI58" s="1482">
        <f t="shared" ca="1" si="164"/>
        <v>0</v>
      </c>
      <c r="CJ58" s="1482">
        <f t="shared" ca="1" si="164"/>
        <v>0</v>
      </c>
      <c r="CK58" s="1482">
        <f t="shared" ca="1" si="164"/>
        <v>0</v>
      </c>
      <c r="CL58" s="1482">
        <f t="shared" ca="1" si="164"/>
        <v>0</v>
      </c>
      <c r="CM58" s="1482">
        <f t="shared" ca="1" si="164"/>
        <v>0</v>
      </c>
      <c r="CN58" s="1482">
        <f t="shared" ca="1" si="164"/>
        <v>0</v>
      </c>
      <c r="CO58" s="1482">
        <f t="shared" ca="1" si="164"/>
        <v>0</v>
      </c>
      <c r="CP58" s="1482">
        <f t="shared" ca="1" si="164"/>
        <v>0</v>
      </c>
      <c r="CQ58" s="1482">
        <f t="shared" ca="1" si="164"/>
        <v>0</v>
      </c>
      <c r="CR58" s="1482">
        <f t="shared" ca="1" si="164"/>
        <v>0</v>
      </c>
      <c r="CS58" s="1482">
        <f t="shared" ca="1" si="165"/>
        <v>0</v>
      </c>
      <c r="CT58" s="1482">
        <f t="shared" ca="1" si="165"/>
        <v>0</v>
      </c>
      <c r="CU58" s="1482">
        <f t="shared" ca="1" si="165"/>
        <v>0</v>
      </c>
      <c r="CV58" s="1482">
        <f t="shared" ca="1" si="165"/>
        <v>0</v>
      </c>
      <c r="CW58" s="1482">
        <f t="shared" ca="1" si="165"/>
        <v>0</v>
      </c>
      <c r="CX58" s="1482">
        <f t="shared" ca="1" si="165"/>
        <v>0</v>
      </c>
      <c r="CY58" s="1482">
        <f t="shared" ca="1" si="165"/>
        <v>0</v>
      </c>
      <c r="CZ58" s="1482">
        <f t="shared" ca="1" si="165"/>
        <v>0</v>
      </c>
      <c r="DA58" s="1482">
        <f t="shared" ca="1" si="165"/>
        <v>0</v>
      </c>
      <c r="DB58" s="1482">
        <f t="shared" ca="1" si="165"/>
        <v>0</v>
      </c>
      <c r="DC58" s="1482">
        <f t="shared" ca="1" si="165"/>
        <v>0</v>
      </c>
      <c r="DD58" s="1482">
        <f t="shared" ca="1" si="165"/>
        <v>0</v>
      </c>
      <c r="DE58" s="1482">
        <f t="shared" ca="1" si="165"/>
        <v>0</v>
      </c>
      <c r="DF58" s="1482">
        <f t="shared" ca="1" si="165"/>
        <v>0</v>
      </c>
      <c r="DH58" s="838">
        <f ca="1">SUM(BO58:DF58)</f>
        <v>0</v>
      </c>
    </row>
    <row r="59" spans="1:112" s="1484" customFormat="1" ht="12.75" hidden="1" customHeight="1" outlineLevel="1">
      <c r="C59" s="746" t="s">
        <v>803</v>
      </c>
      <c r="D59" s="521" t="str">
        <f>INDEX(Modules[Module], MATCH($C59, Modules[Code], 0))</f>
        <v>Hydroelectric</v>
      </c>
      <c r="E59" s="521"/>
      <c r="F59" s="743"/>
      <c r="G59" s="1017">
        <f t="shared" ca="1" si="153"/>
        <v>0</v>
      </c>
      <c r="H59" s="1017">
        <f t="shared" ca="1" si="153"/>
        <v>0</v>
      </c>
      <c r="I59" s="1017">
        <f t="shared" ca="1" si="153"/>
        <v>0</v>
      </c>
      <c r="J59" s="1017">
        <f t="shared" ca="1" si="153"/>
        <v>0</v>
      </c>
      <c r="K59" s="1017">
        <f t="shared" ca="1" si="153"/>
        <v>0</v>
      </c>
      <c r="L59" s="1017">
        <f t="shared" ca="1" si="153"/>
        <v>0</v>
      </c>
      <c r="M59" s="1017">
        <f t="shared" ca="1" si="153"/>
        <v>0</v>
      </c>
      <c r="N59" s="1017">
        <f t="shared" ca="1" si="153"/>
        <v>0</v>
      </c>
      <c r="O59" s="1017">
        <f t="shared" ca="1" si="153"/>
        <v>0</v>
      </c>
      <c r="P59" s="1017">
        <f t="shared" ca="1" si="153"/>
        <v>0</v>
      </c>
      <c r="Q59" s="1019">
        <f t="shared" ca="1" si="154"/>
        <v>0</v>
      </c>
      <c r="R59" s="743"/>
      <c r="S59" s="1026">
        <f t="shared" ca="1" si="155"/>
        <v>0</v>
      </c>
      <c r="T59" s="1026">
        <f t="shared" ca="1" si="155"/>
        <v>5.3297280000000011</v>
      </c>
      <c r="U59" s="1026">
        <f t="shared" ca="1" si="155"/>
        <v>0</v>
      </c>
      <c r="V59" s="1026">
        <f t="shared" ca="1" si="155"/>
        <v>0</v>
      </c>
      <c r="W59" s="1026">
        <f t="shared" ca="1" si="155"/>
        <v>0</v>
      </c>
      <c r="X59" s="1026">
        <f t="shared" ca="1" si="156"/>
        <v>0</v>
      </c>
      <c r="Y59" s="1026">
        <f t="shared" ca="1" si="156"/>
        <v>0</v>
      </c>
      <c r="Z59" s="1026">
        <f t="shared" ca="1" si="156"/>
        <v>0</v>
      </c>
      <c r="AA59" s="1026">
        <f t="shared" ca="1" si="155"/>
        <v>0</v>
      </c>
      <c r="AB59" s="1026">
        <f t="shared" ca="1" si="155"/>
        <v>0</v>
      </c>
      <c r="AC59" s="1026">
        <f t="shared" ca="1" si="155"/>
        <v>0</v>
      </c>
      <c r="AD59" s="1026">
        <f t="shared" ca="1" si="155"/>
        <v>0</v>
      </c>
      <c r="AE59" s="1026">
        <f t="shared" ca="1" si="155"/>
        <v>0</v>
      </c>
      <c r="AF59" s="1026">
        <f t="shared" ca="1" si="155"/>
        <v>0</v>
      </c>
      <c r="AG59" s="1026">
        <f t="shared" ca="1" si="155"/>
        <v>0</v>
      </c>
      <c r="AH59" s="1026">
        <f t="shared" ca="1" si="155"/>
        <v>0</v>
      </c>
      <c r="AI59" s="1026">
        <f t="shared" ca="1" si="155"/>
        <v>0</v>
      </c>
      <c r="AJ59" s="1026">
        <f t="shared" ca="1" si="155"/>
        <v>0</v>
      </c>
      <c r="AK59" s="1027">
        <f t="shared" ca="1" si="157"/>
        <v>5.3297280000000011</v>
      </c>
      <c r="AL59" s="743"/>
      <c r="AM59" s="1038">
        <f t="shared" ca="1" si="158"/>
        <v>0</v>
      </c>
      <c r="AN59" s="1038">
        <f t="shared" ca="1" si="158"/>
        <v>0</v>
      </c>
      <c r="AO59" s="1038">
        <f t="shared" ca="1" si="158"/>
        <v>0</v>
      </c>
      <c r="AP59" s="1038">
        <f t="shared" ca="1" si="158"/>
        <v>0</v>
      </c>
      <c r="AQ59" s="1038">
        <f t="shared" ca="1" si="158"/>
        <v>0</v>
      </c>
      <c r="AR59" s="1038">
        <f t="shared" ca="1" si="158"/>
        <v>0</v>
      </c>
      <c r="AS59" s="1038">
        <f t="shared" ca="1" si="158"/>
        <v>0</v>
      </c>
      <c r="AT59" s="1038">
        <f t="shared" ca="1" si="158"/>
        <v>0</v>
      </c>
      <c r="AU59" s="1038">
        <f t="shared" ca="1" si="158"/>
        <v>0</v>
      </c>
      <c r="AV59" s="1038">
        <f t="shared" ca="1" si="155"/>
        <v>0</v>
      </c>
      <c r="AW59" s="1038">
        <f t="shared" ca="1" si="155"/>
        <v>0</v>
      </c>
      <c r="AX59" s="1038">
        <f t="shared" ca="1" si="155"/>
        <v>0</v>
      </c>
      <c r="AY59" s="1038">
        <f t="shared" ca="1" si="155"/>
        <v>0</v>
      </c>
      <c r="AZ59" s="1038">
        <f t="shared" ca="1" si="155"/>
        <v>0</v>
      </c>
      <c r="BA59" s="1038">
        <f t="shared" ca="1" si="155"/>
        <v>0</v>
      </c>
      <c r="BB59" s="1038">
        <f t="shared" ca="1" si="155"/>
        <v>-5.3297280000000011</v>
      </c>
      <c r="BC59" s="1038">
        <f t="shared" ca="1" si="155"/>
        <v>0</v>
      </c>
      <c r="BD59" s="1038">
        <f t="shared" ca="1" si="155"/>
        <v>0</v>
      </c>
      <c r="BE59" s="1038">
        <f t="shared" ca="1" si="155"/>
        <v>0</v>
      </c>
      <c r="BF59" s="979">
        <f t="shared" ca="1" si="159"/>
        <v>-5.3297280000000011</v>
      </c>
      <c r="BG59" s="743"/>
      <c r="BH59" s="1032">
        <f t="shared" ca="1" si="160"/>
        <v>0</v>
      </c>
      <c r="BI59" s="1032">
        <f t="shared" ca="1" si="160"/>
        <v>0</v>
      </c>
      <c r="BJ59" s="1034">
        <f t="shared" ca="1" si="161"/>
        <v>0</v>
      </c>
      <c r="BK59" s="743"/>
      <c r="BL59" s="814">
        <f t="shared" ca="1" si="152"/>
        <v>0</v>
      </c>
      <c r="BM59" s="814"/>
      <c r="BN59" s="840"/>
      <c r="BO59" s="1481">
        <f t="shared" ca="1" si="162"/>
        <v>0</v>
      </c>
      <c r="BP59" s="1482">
        <f t="shared" ca="1" si="162"/>
        <v>0</v>
      </c>
      <c r="BQ59" s="1482">
        <f t="shared" ca="1" si="162"/>
        <v>0</v>
      </c>
      <c r="BR59" s="1482">
        <f t="shared" ca="1" si="162"/>
        <v>0</v>
      </c>
      <c r="BS59" s="1482">
        <f t="shared" ca="1" si="162"/>
        <v>0</v>
      </c>
      <c r="BT59" s="1482">
        <f t="shared" ca="1" si="162"/>
        <v>0</v>
      </c>
      <c r="BU59" s="1482">
        <f t="shared" ca="1" si="162"/>
        <v>0</v>
      </c>
      <c r="BV59" s="1482">
        <f t="shared" ca="1" si="162"/>
        <v>0</v>
      </c>
      <c r="BW59" s="1482">
        <f t="shared" ca="1" si="162"/>
        <v>0</v>
      </c>
      <c r="BX59" s="1482">
        <f t="shared" ca="1" si="162"/>
        <v>0</v>
      </c>
      <c r="BY59" s="1482">
        <f t="shared" ca="1" si="163"/>
        <v>0</v>
      </c>
      <c r="BZ59" s="1482">
        <f t="shared" ca="1" si="163"/>
        <v>0</v>
      </c>
      <c r="CA59" s="1482">
        <f t="shared" ca="1" si="163"/>
        <v>0</v>
      </c>
      <c r="CB59" s="1482">
        <f t="shared" ca="1" si="163"/>
        <v>0</v>
      </c>
      <c r="CC59" s="1482">
        <f t="shared" ca="1" si="163"/>
        <v>0</v>
      </c>
      <c r="CD59" s="1482">
        <f t="shared" ca="1" si="163"/>
        <v>0</v>
      </c>
      <c r="CE59" s="1482">
        <f t="shared" ca="1" si="163"/>
        <v>0</v>
      </c>
      <c r="CF59" s="1482">
        <f t="shared" ca="1" si="163"/>
        <v>0</v>
      </c>
      <c r="CG59" s="1482">
        <f t="shared" ca="1" si="163"/>
        <v>0</v>
      </c>
      <c r="CH59" s="1482">
        <f t="shared" ca="1" si="163"/>
        <v>0</v>
      </c>
      <c r="CI59" s="1482">
        <f t="shared" ca="1" si="164"/>
        <v>0</v>
      </c>
      <c r="CJ59" s="1482">
        <f t="shared" ca="1" si="164"/>
        <v>0</v>
      </c>
      <c r="CK59" s="1482">
        <f t="shared" ca="1" si="164"/>
        <v>0</v>
      </c>
      <c r="CL59" s="1482">
        <f t="shared" ca="1" si="164"/>
        <v>0</v>
      </c>
      <c r="CM59" s="1482">
        <f t="shared" ca="1" si="164"/>
        <v>0</v>
      </c>
      <c r="CN59" s="1482">
        <f t="shared" ca="1" si="164"/>
        <v>0</v>
      </c>
      <c r="CO59" s="1482">
        <f t="shared" ca="1" si="164"/>
        <v>0</v>
      </c>
      <c r="CP59" s="1482">
        <f t="shared" ca="1" si="164"/>
        <v>0</v>
      </c>
      <c r="CQ59" s="1482">
        <f t="shared" ca="1" si="164"/>
        <v>0</v>
      </c>
      <c r="CR59" s="1482">
        <f t="shared" ca="1" si="164"/>
        <v>0</v>
      </c>
      <c r="CS59" s="1482">
        <f t="shared" ca="1" si="165"/>
        <v>0</v>
      </c>
      <c r="CT59" s="1482">
        <f t="shared" ca="1" si="165"/>
        <v>0</v>
      </c>
      <c r="CU59" s="1482">
        <f t="shared" ca="1" si="165"/>
        <v>0</v>
      </c>
      <c r="CV59" s="1482">
        <f t="shared" ca="1" si="165"/>
        <v>0</v>
      </c>
      <c r="CW59" s="1482">
        <f t="shared" ca="1" si="165"/>
        <v>0</v>
      </c>
      <c r="CX59" s="1482">
        <f t="shared" ca="1" si="165"/>
        <v>0</v>
      </c>
      <c r="CY59" s="1482">
        <f t="shared" ca="1" si="165"/>
        <v>0</v>
      </c>
      <c r="CZ59" s="1482">
        <f t="shared" ca="1" si="165"/>
        <v>0</v>
      </c>
      <c r="DA59" s="1482">
        <f t="shared" ca="1" si="165"/>
        <v>0</v>
      </c>
      <c r="DB59" s="1482">
        <f t="shared" ca="1" si="165"/>
        <v>0</v>
      </c>
      <c r="DC59" s="1482">
        <f t="shared" ca="1" si="165"/>
        <v>0</v>
      </c>
      <c r="DD59" s="1482">
        <f t="shared" ca="1" si="165"/>
        <v>0</v>
      </c>
      <c r="DE59" s="1482">
        <f t="shared" ca="1" si="165"/>
        <v>0</v>
      </c>
      <c r="DF59" s="1482">
        <f t="shared" ca="1" si="165"/>
        <v>0</v>
      </c>
      <c r="DH59" s="838">
        <f t="shared" ca="1" si="123"/>
        <v>0</v>
      </c>
    </row>
    <row r="60" spans="1:112" s="1484" customFormat="1" ht="12.75" hidden="1" customHeight="1" outlineLevel="1">
      <c r="C60" s="746" t="s">
        <v>808</v>
      </c>
      <c r="D60" s="521" t="str">
        <f>INDEX(Modules[Module], MATCH($C60, Modules[Code], 0))</f>
        <v>Wave and Tidal</v>
      </c>
      <c r="E60" s="521"/>
      <c r="F60" s="743"/>
      <c r="G60" s="1017">
        <f t="shared" ca="1" si="153"/>
        <v>0</v>
      </c>
      <c r="H60" s="1017">
        <f t="shared" ca="1" si="153"/>
        <v>0</v>
      </c>
      <c r="I60" s="1017">
        <f t="shared" ca="1" si="153"/>
        <v>0</v>
      </c>
      <c r="J60" s="1017">
        <f t="shared" ca="1" si="153"/>
        <v>0</v>
      </c>
      <c r="K60" s="1017">
        <f t="shared" ca="1" si="153"/>
        <v>0</v>
      </c>
      <c r="L60" s="1017">
        <f t="shared" ca="1" si="153"/>
        <v>0</v>
      </c>
      <c r="M60" s="1017">
        <f t="shared" ca="1" si="153"/>
        <v>0</v>
      </c>
      <c r="N60" s="1017">
        <f t="shared" ca="1" si="153"/>
        <v>0</v>
      </c>
      <c r="O60" s="1017">
        <f t="shared" ca="1" si="153"/>
        <v>0</v>
      </c>
      <c r="P60" s="1017">
        <f t="shared" ca="1" si="153"/>
        <v>0</v>
      </c>
      <c r="Q60" s="1019">
        <f t="shared" ca="1" si="154"/>
        <v>0</v>
      </c>
      <c r="R60" s="743"/>
      <c r="S60" s="1026">
        <f t="shared" ca="1" si="155"/>
        <v>0</v>
      </c>
      <c r="T60" s="1026">
        <f t="shared" ca="1" si="155"/>
        <v>0.52119006849314986</v>
      </c>
      <c r="U60" s="1026">
        <f t="shared" ca="1" si="155"/>
        <v>0</v>
      </c>
      <c r="V60" s="1026">
        <f t="shared" ca="1" si="155"/>
        <v>0</v>
      </c>
      <c r="W60" s="1026">
        <f t="shared" ca="1" si="155"/>
        <v>0</v>
      </c>
      <c r="X60" s="1026">
        <f t="shared" ca="1" si="156"/>
        <v>0</v>
      </c>
      <c r="Y60" s="1026">
        <f t="shared" ca="1" si="156"/>
        <v>0</v>
      </c>
      <c r="Z60" s="1026">
        <f t="shared" ca="1" si="156"/>
        <v>0</v>
      </c>
      <c r="AA60" s="1026">
        <f t="shared" ca="1" si="155"/>
        <v>0</v>
      </c>
      <c r="AB60" s="1026">
        <f t="shared" ca="1" si="155"/>
        <v>0</v>
      </c>
      <c r="AC60" s="1026">
        <f t="shared" ca="1" si="155"/>
        <v>0</v>
      </c>
      <c r="AD60" s="1026">
        <f t="shared" ca="1" si="155"/>
        <v>0</v>
      </c>
      <c r="AE60" s="1026">
        <f t="shared" ca="1" si="155"/>
        <v>0</v>
      </c>
      <c r="AF60" s="1026">
        <f t="shared" ca="1" si="155"/>
        <v>0</v>
      </c>
      <c r="AG60" s="1026">
        <f t="shared" ca="1" si="155"/>
        <v>0</v>
      </c>
      <c r="AH60" s="1026">
        <f t="shared" ca="1" si="155"/>
        <v>0</v>
      </c>
      <c r="AI60" s="1026">
        <f t="shared" ca="1" si="155"/>
        <v>0</v>
      </c>
      <c r="AJ60" s="1026">
        <f t="shared" ca="1" si="155"/>
        <v>0</v>
      </c>
      <c r="AK60" s="1027">
        <f t="shared" ca="1" si="157"/>
        <v>0.52119006849314986</v>
      </c>
      <c r="AL60" s="743"/>
      <c r="AM60" s="1038">
        <f t="shared" ca="1" si="158"/>
        <v>0</v>
      </c>
      <c r="AN60" s="1038">
        <f t="shared" ca="1" si="158"/>
        <v>0</v>
      </c>
      <c r="AO60" s="1038">
        <f t="shared" ca="1" si="158"/>
        <v>0</v>
      </c>
      <c r="AP60" s="1038">
        <f t="shared" ca="1" si="158"/>
        <v>0</v>
      </c>
      <c r="AQ60" s="1038">
        <f t="shared" ca="1" si="158"/>
        <v>0</v>
      </c>
      <c r="AR60" s="1038">
        <f t="shared" ca="1" si="158"/>
        <v>0</v>
      </c>
      <c r="AS60" s="1038">
        <f t="shared" ca="1" si="158"/>
        <v>0</v>
      </c>
      <c r="AT60" s="1038">
        <f t="shared" ca="1" si="158"/>
        <v>0</v>
      </c>
      <c r="AU60" s="1038">
        <f t="shared" ca="1" si="158"/>
        <v>0</v>
      </c>
      <c r="AV60" s="1038">
        <f t="shared" ca="1" si="155"/>
        <v>0</v>
      </c>
      <c r="AW60" s="1038">
        <f t="shared" ca="1" si="155"/>
        <v>0</v>
      </c>
      <c r="AX60" s="1038">
        <f t="shared" ca="1" si="155"/>
        <v>0</v>
      </c>
      <c r="AY60" s="1038">
        <f t="shared" ca="1" si="155"/>
        <v>-0.12508561643835608</v>
      </c>
      <c r="AZ60" s="1038">
        <f t="shared" ca="1" si="155"/>
        <v>-0.39610445205479383</v>
      </c>
      <c r="BA60" s="1038">
        <f t="shared" ca="1" si="155"/>
        <v>0</v>
      </c>
      <c r="BB60" s="1038">
        <f t="shared" ca="1" si="155"/>
        <v>0</v>
      </c>
      <c r="BC60" s="1038">
        <f t="shared" ca="1" si="155"/>
        <v>0</v>
      </c>
      <c r="BD60" s="1038">
        <f t="shared" ca="1" si="155"/>
        <v>0</v>
      </c>
      <c r="BE60" s="1038">
        <f t="shared" ca="1" si="155"/>
        <v>0</v>
      </c>
      <c r="BF60" s="979">
        <f t="shared" ca="1" si="159"/>
        <v>-0.52119006849314986</v>
      </c>
      <c r="BG60" s="743"/>
      <c r="BH60" s="1032">
        <f t="shared" ca="1" si="160"/>
        <v>0</v>
      </c>
      <c r="BI60" s="1032">
        <f t="shared" ca="1" si="160"/>
        <v>0</v>
      </c>
      <c r="BJ60" s="1034">
        <f t="shared" ca="1" si="161"/>
        <v>0</v>
      </c>
      <c r="BK60" s="743"/>
      <c r="BL60" s="814">
        <f t="shared" ca="1" si="152"/>
        <v>0</v>
      </c>
      <c r="BM60" s="814"/>
      <c r="BN60" s="840"/>
      <c r="BO60" s="1481">
        <f t="shared" ca="1" si="162"/>
        <v>0</v>
      </c>
      <c r="BP60" s="1482">
        <f t="shared" ca="1" si="162"/>
        <v>0</v>
      </c>
      <c r="BQ60" s="1482">
        <f t="shared" ca="1" si="162"/>
        <v>0</v>
      </c>
      <c r="BR60" s="1482">
        <f t="shared" ca="1" si="162"/>
        <v>0</v>
      </c>
      <c r="BS60" s="1482">
        <f t="shared" ca="1" si="162"/>
        <v>0</v>
      </c>
      <c r="BT60" s="1482">
        <f t="shared" ca="1" si="162"/>
        <v>0</v>
      </c>
      <c r="BU60" s="1482">
        <f t="shared" ca="1" si="162"/>
        <v>0</v>
      </c>
      <c r="BV60" s="1482">
        <f t="shared" ca="1" si="162"/>
        <v>0</v>
      </c>
      <c r="BW60" s="1482">
        <f t="shared" ca="1" si="162"/>
        <v>0</v>
      </c>
      <c r="BX60" s="1482">
        <f t="shared" ca="1" si="162"/>
        <v>0</v>
      </c>
      <c r="BY60" s="1482">
        <f t="shared" ca="1" si="163"/>
        <v>0</v>
      </c>
      <c r="BZ60" s="1482">
        <f t="shared" ca="1" si="163"/>
        <v>0</v>
      </c>
      <c r="CA60" s="1482">
        <f t="shared" ca="1" si="163"/>
        <v>0</v>
      </c>
      <c r="CB60" s="1482">
        <f t="shared" ca="1" si="163"/>
        <v>0</v>
      </c>
      <c r="CC60" s="1482">
        <f t="shared" ca="1" si="163"/>
        <v>0</v>
      </c>
      <c r="CD60" s="1482">
        <f t="shared" ca="1" si="163"/>
        <v>0</v>
      </c>
      <c r="CE60" s="1482">
        <f t="shared" ca="1" si="163"/>
        <v>0</v>
      </c>
      <c r="CF60" s="1482">
        <f t="shared" ca="1" si="163"/>
        <v>0</v>
      </c>
      <c r="CG60" s="1482">
        <f t="shared" ca="1" si="163"/>
        <v>0</v>
      </c>
      <c r="CH60" s="1482">
        <f t="shared" ca="1" si="163"/>
        <v>0</v>
      </c>
      <c r="CI60" s="1482">
        <f t="shared" ca="1" si="164"/>
        <v>0</v>
      </c>
      <c r="CJ60" s="1482">
        <f t="shared" ca="1" si="164"/>
        <v>0</v>
      </c>
      <c r="CK60" s="1482">
        <f t="shared" ca="1" si="164"/>
        <v>0</v>
      </c>
      <c r="CL60" s="1482">
        <f t="shared" ca="1" si="164"/>
        <v>0</v>
      </c>
      <c r="CM60" s="1482">
        <f t="shared" ca="1" si="164"/>
        <v>0</v>
      </c>
      <c r="CN60" s="1482">
        <f t="shared" ca="1" si="164"/>
        <v>0</v>
      </c>
      <c r="CO60" s="1482">
        <f t="shared" ca="1" si="164"/>
        <v>0</v>
      </c>
      <c r="CP60" s="1482">
        <f t="shared" ca="1" si="164"/>
        <v>0</v>
      </c>
      <c r="CQ60" s="1482">
        <f t="shared" ca="1" si="164"/>
        <v>0</v>
      </c>
      <c r="CR60" s="1482">
        <f t="shared" ca="1" si="164"/>
        <v>0</v>
      </c>
      <c r="CS60" s="1482">
        <f t="shared" ca="1" si="165"/>
        <v>0</v>
      </c>
      <c r="CT60" s="1482">
        <f t="shared" ca="1" si="165"/>
        <v>0</v>
      </c>
      <c r="CU60" s="1482">
        <f t="shared" ca="1" si="165"/>
        <v>0</v>
      </c>
      <c r="CV60" s="1482">
        <f t="shared" ca="1" si="165"/>
        <v>0</v>
      </c>
      <c r="CW60" s="1482">
        <f t="shared" ca="1" si="165"/>
        <v>0</v>
      </c>
      <c r="CX60" s="1482">
        <f t="shared" ca="1" si="165"/>
        <v>0</v>
      </c>
      <c r="CY60" s="1482">
        <f t="shared" ca="1" si="165"/>
        <v>0</v>
      </c>
      <c r="CZ60" s="1482">
        <f t="shared" ca="1" si="165"/>
        <v>0</v>
      </c>
      <c r="DA60" s="1482">
        <f t="shared" ca="1" si="165"/>
        <v>0</v>
      </c>
      <c r="DB60" s="1482">
        <f t="shared" ca="1" si="165"/>
        <v>0</v>
      </c>
      <c r="DC60" s="1482">
        <f t="shared" ca="1" si="165"/>
        <v>0</v>
      </c>
      <c r="DD60" s="1482">
        <f t="shared" ca="1" si="165"/>
        <v>0</v>
      </c>
      <c r="DE60" s="1482">
        <f t="shared" ca="1" si="165"/>
        <v>0</v>
      </c>
      <c r="DF60" s="1482">
        <f t="shared" ca="1" si="165"/>
        <v>0</v>
      </c>
      <c r="DH60" s="838">
        <f t="shared" ca="1" si="123"/>
        <v>0</v>
      </c>
    </row>
    <row r="61" spans="1:112" s="1484" customFormat="1" ht="12.75" hidden="1" customHeight="1" outlineLevel="1">
      <c r="C61" s="746" t="s">
        <v>809</v>
      </c>
      <c r="D61" s="521" t="str">
        <f>INDEX(Modules[Module], MATCH($C61, Modules[Code], 0))</f>
        <v>Geothermal</v>
      </c>
      <c r="E61" s="521"/>
      <c r="F61" s="743"/>
      <c r="G61" s="1017">
        <f t="shared" ca="1" si="153"/>
        <v>0</v>
      </c>
      <c r="H61" s="1017">
        <f t="shared" ca="1" si="153"/>
        <v>0</v>
      </c>
      <c r="I61" s="1017">
        <f t="shared" ca="1" si="153"/>
        <v>0</v>
      </c>
      <c r="J61" s="1017">
        <f t="shared" ca="1" si="153"/>
        <v>0</v>
      </c>
      <c r="K61" s="1017">
        <f t="shared" ca="1" si="153"/>
        <v>0</v>
      </c>
      <c r="L61" s="1017">
        <f t="shared" ca="1" si="153"/>
        <v>0</v>
      </c>
      <c r="M61" s="1017">
        <f t="shared" ca="1" si="153"/>
        <v>0</v>
      </c>
      <c r="N61" s="1017">
        <f t="shared" ca="1" si="153"/>
        <v>0</v>
      </c>
      <c r="O61" s="1017">
        <f t="shared" ca="1" si="153"/>
        <v>0</v>
      </c>
      <c r="P61" s="1017">
        <f t="shared" ca="1" si="153"/>
        <v>0</v>
      </c>
      <c r="Q61" s="1019">
        <f t="shared" ca="1" si="154"/>
        <v>0</v>
      </c>
      <c r="R61" s="743"/>
      <c r="S61" s="1026">
        <f t="shared" ca="1" si="155"/>
        <v>0</v>
      </c>
      <c r="T61" s="1026">
        <f t="shared" ca="1" si="155"/>
        <v>0</v>
      </c>
      <c r="U61" s="1026">
        <f t="shared" ca="1" si="155"/>
        <v>0</v>
      </c>
      <c r="V61" s="1026">
        <f t="shared" ca="1" si="155"/>
        <v>0</v>
      </c>
      <c r="W61" s="1026">
        <f t="shared" ca="1" si="155"/>
        <v>0</v>
      </c>
      <c r="X61" s="1026">
        <f t="shared" ca="1" si="156"/>
        <v>0</v>
      </c>
      <c r="Y61" s="1026">
        <f t="shared" ca="1" si="156"/>
        <v>0</v>
      </c>
      <c r="Z61" s="1026">
        <f t="shared" ca="1" si="156"/>
        <v>0</v>
      </c>
      <c r="AA61" s="1026">
        <f t="shared" ca="1" si="155"/>
        <v>0</v>
      </c>
      <c r="AB61" s="1026">
        <f t="shared" ca="1" si="155"/>
        <v>0</v>
      </c>
      <c r="AC61" s="1026">
        <f t="shared" ca="1" si="155"/>
        <v>0</v>
      </c>
      <c r="AD61" s="1026">
        <f t="shared" ca="1" si="155"/>
        <v>0</v>
      </c>
      <c r="AE61" s="1026">
        <f t="shared" ca="1" si="155"/>
        <v>0</v>
      </c>
      <c r="AF61" s="1026">
        <f t="shared" ca="1" si="155"/>
        <v>0</v>
      </c>
      <c r="AG61" s="1026">
        <f t="shared" ca="1" si="155"/>
        <v>0</v>
      </c>
      <c r="AH61" s="1026">
        <f t="shared" ca="1" si="155"/>
        <v>0</v>
      </c>
      <c r="AI61" s="1026">
        <f t="shared" ca="1" si="155"/>
        <v>0</v>
      </c>
      <c r="AJ61" s="1026">
        <f t="shared" ca="1" si="155"/>
        <v>0</v>
      </c>
      <c r="AK61" s="1027">
        <f t="shared" ca="1" si="157"/>
        <v>0</v>
      </c>
      <c r="AL61" s="743"/>
      <c r="AM61" s="1038">
        <f t="shared" ca="1" si="158"/>
        <v>0</v>
      </c>
      <c r="AN61" s="1038">
        <f t="shared" ca="1" si="158"/>
        <v>0</v>
      </c>
      <c r="AO61" s="1038">
        <f t="shared" ca="1" si="158"/>
        <v>0</v>
      </c>
      <c r="AP61" s="1038">
        <f t="shared" ca="1" si="158"/>
        <v>0</v>
      </c>
      <c r="AQ61" s="1038">
        <f t="shared" ca="1" si="158"/>
        <v>0</v>
      </c>
      <c r="AR61" s="1038">
        <f t="shared" ca="1" si="158"/>
        <v>0</v>
      </c>
      <c r="AS61" s="1038">
        <f t="shared" ca="1" si="158"/>
        <v>0</v>
      </c>
      <c r="AT61" s="1038">
        <f t="shared" ca="1" si="158"/>
        <v>0</v>
      </c>
      <c r="AU61" s="1038">
        <f t="shared" ca="1" si="158"/>
        <v>0</v>
      </c>
      <c r="AV61" s="1038">
        <f t="shared" ca="1" si="155"/>
        <v>0</v>
      </c>
      <c r="AW61" s="1038">
        <f t="shared" ca="1" si="155"/>
        <v>0</v>
      </c>
      <c r="AX61" s="1038">
        <f t="shared" ca="1" si="155"/>
        <v>0</v>
      </c>
      <c r="AY61" s="1038">
        <f t="shared" ca="1" si="155"/>
        <v>0</v>
      </c>
      <c r="AZ61" s="1038">
        <f t="shared" ca="1" si="155"/>
        <v>0</v>
      </c>
      <c r="BA61" s="1038">
        <f t="shared" ca="1" si="155"/>
        <v>0</v>
      </c>
      <c r="BB61" s="1038">
        <f t="shared" ca="1" si="155"/>
        <v>0</v>
      </c>
      <c r="BC61" s="1038">
        <f t="shared" ca="1" si="155"/>
        <v>0</v>
      </c>
      <c r="BD61" s="1038">
        <f t="shared" ca="1" si="155"/>
        <v>0</v>
      </c>
      <c r="BE61" s="1038">
        <f t="shared" ca="1" si="155"/>
        <v>0</v>
      </c>
      <c r="BF61" s="979">
        <f t="shared" ca="1" si="159"/>
        <v>0</v>
      </c>
      <c r="BG61" s="743"/>
      <c r="BH61" s="1032">
        <f t="shared" ca="1" si="160"/>
        <v>0</v>
      </c>
      <c r="BI61" s="1032">
        <f t="shared" ca="1" si="160"/>
        <v>0</v>
      </c>
      <c r="BJ61" s="1034">
        <f t="shared" ca="1" si="161"/>
        <v>0</v>
      </c>
      <c r="BK61" s="743"/>
      <c r="BL61" s="814">
        <f t="shared" ca="1" si="152"/>
        <v>0</v>
      </c>
      <c r="BM61" s="814"/>
      <c r="BN61" s="840"/>
      <c r="BO61" s="1481">
        <f t="shared" ca="1" si="162"/>
        <v>0</v>
      </c>
      <c r="BP61" s="1482">
        <f t="shared" ca="1" si="162"/>
        <v>0</v>
      </c>
      <c r="BQ61" s="1482">
        <f t="shared" ca="1" si="162"/>
        <v>0</v>
      </c>
      <c r="BR61" s="1482">
        <f t="shared" ca="1" si="162"/>
        <v>0</v>
      </c>
      <c r="BS61" s="1482">
        <f t="shared" ca="1" si="162"/>
        <v>0</v>
      </c>
      <c r="BT61" s="1482">
        <f t="shared" ca="1" si="162"/>
        <v>0</v>
      </c>
      <c r="BU61" s="1482">
        <f t="shared" ca="1" si="162"/>
        <v>0</v>
      </c>
      <c r="BV61" s="1482">
        <f t="shared" ca="1" si="162"/>
        <v>0</v>
      </c>
      <c r="BW61" s="1482">
        <f t="shared" ca="1" si="162"/>
        <v>0</v>
      </c>
      <c r="BX61" s="1482">
        <f t="shared" ca="1" si="162"/>
        <v>0</v>
      </c>
      <c r="BY61" s="1482">
        <f t="shared" ca="1" si="163"/>
        <v>0</v>
      </c>
      <c r="BZ61" s="1482">
        <f t="shared" ca="1" si="163"/>
        <v>0</v>
      </c>
      <c r="CA61" s="1482">
        <f t="shared" ca="1" si="163"/>
        <v>0</v>
      </c>
      <c r="CB61" s="1482">
        <f t="shared" ca="1" si="163"/>
        <v>0</v>
      </c>
      <c r="CC61" s="1482">
        <f t="shared" ca="1" si="163"/>
        <v>0</v>
      </c>
      <c r="CD61" s="1482">
        <f t="shared" ca="1" si="163"/>
        <v>0</v>
      </c>
      <c r="CE61" s="1482">
        <f t="shared" ca="1" si="163"/>
        <v>0</v>
      </c>
      <c r="CF61" s="1482">
        <f t="shared" ca="1" si="163"/>
        <v>0</v>
      </c>
      <c r="CG61" s="1482">
        <f t="shared" ca="1" si="163"/>
        <v>0</v>
      </c>
      <c r="CH61" s="1482">
        <f t="shared" ca="1" si="163"/>
        <v>0</v>
      </c>
      <c r="CI61" s="1482">
        <f t="shared" ca="1" si="164"/>
        <v>0</v>
      </c>
      <c r="CJ61" s="1482">
        <f t="shared" ca="1" si="164"/>
        <v>0</v>
      </c>
      <c r="CK61" s="1482">
        <f t="shared" ca="1" si="164"/>
        <v>0</v>
      </c>
      <c r="CL61" s="1482">
        <f t="shared" ca="1" si="164"/>
        <v>0</v>
      </c>
      <c r="CM61" s="1482">
        <f t="shared" ca="1" si="164"/>
        <v>0</v>
      </c>
      <c r="CN61" s="1482">
        <f t="shared" ca="1" si="164"/>
        <v>0</v>
      </c>
      <c r="CO61" s="1482">
        <f t="shared" ca="1" si="164"/>
        <v>0</v>
      </c>
      <c r="CP61" s="1482">
        <f t="shared" ca="1" si="164"/>
        <v>0</v>
      </c>
      <c r="CQ61" s="1482">
        <f t="shared" ca="1" si="164"/>
        <v>0</v>
      </c>
      <c r="CR61" s="1482">
        <f t="shared" ca="1" si="164"/>
        <v>0</v>
      </c>
      <c r="CS61" s="1482">
        <f t="shared" ca="1" si="165"/>
        <v>0</v>
      </c>
      <c r="CT61" s="1482">
        <f t="shared" ca="1" si="165"/>
        <v>0</v>
      </c>
      <c r="CU61" s="1482">
        <f t="shared" ca="1" si="165"/>
        <v>0</v>
      </c>
      <c r="CV61" s="1482">
        <f t="shared" ca="1" si="165"/>
        <v>0</v>
      </c>
      <c r="CW61" s="1482">
        <f t="shared" ca="1" si="165"/>
        <v>0</v>
      </c>
      <c r="CX61" s="1482">
        <f t="shared" ca="1" si="165"/>
        <v>0</v>
      </c>
      <c r="CY61" s="1482">
        <f t="shared" ca="1" si="165"/>
        <v>0</v>
      </c>
      <c r="CZ61" s="1482">
        <f t="shared" ca="1" si="165"/>
        <v>0</v>
      </c>
      <c r="DA61" s="1482">
        <f t="shared" ca="1" si="165"/>
        <v>0</v>
      </c>
      <c r="DB61" s="1482">
        <f t="shared" ca="1" si="165"/>
        <v>0</v>
      </c>
      <c r="DC61" s="1482">
        <f t="shared" ca="1" si="165"/>
        <v>0</v>
      </c>
      <c r="DD61" s="1482">
        <f t="shared" ca="1" si="165"/>
        <v>0</v>
      </c>
      <c r="DE61" s="1482">
        <f t="shared" ca="1" si="165"/>
        <v>0</v>
      </c>
      <c r="DF61" s="1482">
        <f t="shared" ca="1" si="165"/>
        <v>0</v>
      </c>
      <c r="DH61" s="838">
        <f t="shared" ca="1" si="123"/>
        <v>0</v>
      </c>
    </row>
    <row r="62" spans="1:112" s="743" customFormat="1" ht="12.75" hidden="1" customHeight="1" outlineLevel="1">
      <c r="A62" s="1484"/>
      <c r="B62" s="1484"/>
      <c r="C62" s="746" t="s">
        <v>810</v>
      </c>
      <c r="D62" s="1010" t="str">
        <f>INDEX(Modules[Module], MATCH($C62, Modules[Code], 0))</f>
        <v>Tidal [UNUSED - See III.c]</v>
      </c>
      <c r="E62" s="1010"/>
      <c r="G62" s="1022">
        <f t="shared" ca="1" si="153"/>
        <v>0</v>
      </c>
      <c r="H62" s="1022">
        <f t="shared" ca="1" si="153"/>
        <v>0</v>
      </c>
      <c r="I62" s="1022">
        <f t="shared" ca="1" si="153"/>
        <v>0</v>
      </c>
      <c r="J62" s="1022">
        <f t="shared" ca="1" si="153"/>
        <v>0</v>
      </c>
      <c r="K62" s="1022">
        <f t="shared" ca="1" si="153"/>
        <v>0</v>
      </c>
      <c r="L62" s="1022">
        <f t="shared" ca="1" si="153"/>
        <v>0</v>
      </c>
      <c r="M62" s="1022">
        <f t="shared" ca="1" si="153"/>
        <v>0</v>
      </c>
      <c r="N62" s="1022">
        <f t="shared" ca="1" si="153"/>
        <v>0</v>
      </c>
      <c r="O62" s="1022">
        <f t="shared" ca="1" si="153"/>
        <v>0</v>
      </c>
      <c r="P62" s="1022">
        <f t="shared" ca="1" si="153"/>
        <v>0</v>
      </c>
      <c r="Q62" s="1020">
        <f t="shared" ca="1" si="154"/>
        <v>0</v>
      </c>
      <c r="S62" s="1031">
        <f t="shared" ca="1" si="155"/>
        <v>0</v>
      </c>
      <c r="T62" s="1031">
        <f t="shared" ca="1" si="155"/>
        <v>0</v>
      </c>
      <c r="U62" s="1031">
        <f t="shared" ca="1" si="155"/>
        <v>0</v>
      </c>
      <c r="V62" s="1031">
        <f t="shared" ca="1" si="155"/>
        <v>0</v>
      </c>
      <c r="W62" s="1031">
        <f t="shared" ca="1" si="155"/>
        <v>0</v>
      </c>
      <c r="X62" s="1031">
        <f t="shared" ca="1" si="156"/>
        <v>0</v>
      </c>
      <c r="Y62" s="1031">
        <f t="shared" ca="1" si="156"/>
        <v>0</v>
      </c>
      <c r="Z62" s="1031">
        <f t="shared" ca="1" si="156"/>
        <v>0</v>
      </c>
      <c r="AA62" s="1031">
        <f t="shared" ca="1" si="155"/>
        <v>0</v>
      </c>
      <c r="AB62" s="1031">
        <f t="shared" ca="1" si="155"/>
        <v>0</v>
      </c>
      <c r="AC62" s="1031">
        <f t="shared" ca="1" si="155"/>
        <v>0</v>
      </c>
      <c r="AD62" s="1031">
        <f t="shared" ca="1" si="155"/>
        <v>0</v>
      </c>
      <c r="AE62" s="1031">
        <f t="shared" ca="1" si="155"/>
        <v>0</v>
      </c>
      <c r="AF62" s="1031">
        <f t="shared" ca="1" si="155"/>
        <v>0</v>
      </c>
      <c r="AG62" s="1031">
        <f t="shared" ca="1" si="155"/>
        <v>0</v>
      </c>
      <c r="AH62" s="1031">
        <f t="shared" ca="1" si="155"/>
        <v>0</v>
      </c>
      <c r="AI62" s="1031">
        <f t="shared" ca="1" si="155"/>
        <v>0</v>
      </c>
      <c r="AJ62" s="1031">
        <f t="shared" ca="1" si="155"/>
        <v>0</v>
      </c>
      <c r="AK62" s="1030">
        <f t="shared" ca="1" si="157"/>
        <v>0</v>
      </c>
      <c r="AM62" s="1042">
        <f t="shared" ca="1" si="158"/>
        <v>0</v>
      </c>
      <c r="AN62" s="1042">
        <f t="shared" ca="1" si="158"/>
        <v>0</v>
      </c>
      <c r="AO62" s="1042">
        <f t="shared" ca="1" si="158"/>
        <v>0</v>
      </c>
      <c r="AP62" s="1042">
        <f t="shared" ca="1" si="158"/>
        <v>0</v>
      </c>
      <c r="AQ62" s="1042">
        <f t="shared" ca="1" si="158"/>
        <v>0</v>
      </c>
      <c r="AR62" s="1042">
        <f t="shared" ca="1" si="158"/>
        <v>0</v>
      </c>
      <c r="AS62" s="1042">
        <f t="shared" ca="1" si="158"/>
        <v>0</v>
      </c>
      <c r="AT62" s="1042">
        <f t="shared" ca="1" si="158"/>
        <v>0</v>
      </c>
      <c r="AU62" s="1042">
        <f t="shared" ca="1" si="158"/>
        <v>0</v>
      </c>
      <c r="AV62" s="1042">
        <f t="shared" ca="1" si="155"/>
        <v>0</v>
      </c>
      <c r="AW62" s="1042">
        <f t="shared" ca="1" si="155"/>
        <v>0</v>
      </c>
      <c r="AX62" s="1042">
        <f t="shared" ca="1" si="155"/>
        <v>0</v>
      </c>
      <c r="AY62" s="1042">
        <f t="shared" ca="1" si="155"/>
        <v>0</v>
      </c>
      <c r="AZ62" s="1042">
        <f t="shared" ca="1" si="155"/>
        <v>0</v>
      </c>
      <c r="BA62" s="1042">
        <f t="shared" ca="1" si="155"/>
        <v>0</v>
      </c>
      <c r="BB62" s="1042">
        <f t="shared" ca="1" si="155"/>
        <v>0</v>
      </c>
      <c r="BC62" s="1042">
        <f t="shared" ca="1" si="155"/>
        <v>0</v>
      </c>
      <c r="BD62" s="1042">
        <f t="shared" ca="1" si="155"/>
        <v>0</v>
      </c>
      <c r="BE62" s="1042">
        <f t="shared" ca="1" si="155"/>
        <v>0</v>
      </c>
      <c r="BF62" s="1012">
        <f t="shared" ca="1" si="159"/>
        <v>0</v>
      </c>
      <c r="BH62" s="1036">
        <f t="shared" ca="1" si="160"/>
        <v>0</v>
      </c>
      <c r="BI62" s="1036">
        <f t="shared" ca="1" si="160"/>
        <v>0</v>
      </c>
      <c r="BJ62" s="1035">
        <f t="shared" ca="1" si="161"/>
        <v>0</v>
      </c>
      <c r="BL62" s="814">
        <f t="shared" ca="1" si="152"/>
        <v>0</v>
      </c>
      <c r="BM62" s="814"/>
      <c r="BN62" s="840"/>
      <c r="BO62" s="1485">
        <f t="shared" ca="1" si="162"/>
        <v>0</v>
      </c>
      <c r="BP62" s="1486">
        <f t="shared" ca="1" si="162"/>
        <v>0</v>
      </c>
      <c r="BQ62" s="1486">
        <f t="shared" ca="1" si="162"/>
        <v>0</v>
      </c>
      <c r="BR62" s="1486">
        <f t="shared" ca="1" si="162"/>
        <v>0</v>
      </c>
      <c r="BS62" s="1486">
        <f t="shared" ca="1" si="162"/>
        <v>0</v>
      </c>
      <c r="BT62" s="1486">
        <f t="shared" ca="1" si="162"/>
        <v>0</v>
      </c>
      <c r="BU62" s="1486">
        <f t="shared" ca="1" si="162"/>
        <v>0</v>
      </c>
      <c r="BV62" s="1486">
        <f t="shared" ca="1" si="162"/>
        <v>0</v>
      </c>
      <c r="BW62" s="1486">
        <f t="shared" ca="1" si="162"/>
        <v>0</v>
      </c>
      <c r="BX62" s="1486">
        <f t="shared" ca="1" si="162"/>
        <v>0</v>
      </c>
      <c r="BY62" s="1486">
        <f t="shared" ca="1" si="163"/>
        <v>0</v>
      </c>
      <c r="BZ62" s="1486">
        <f t="shared" ca="1" si="163"/>
        <v>0</v>
      </c>
      <c r="CA62" s="1486">
        <f t="shared" ca="1" si="163"/>
        <v>0</v>
      </c>
      <c r="CB62" s="1486">
        <f t="shared" ca="1" si="163"/>
        <v>0</v>
      </c>
      <c r="CC62" s="1486">
        <f t="shared" ca="1" si="163"/>
        <v>0</v>
      </c>
      <c r="CD62" s="1486">
        <f t="shared" ca="1" si="163"/>
        <v>0</v>
      </c>
      <c r="CE62" s="1486">
        <f t="shared" ca="1" si="163"/>
        <v>0</v>
      </c>
      <c r="CF62" s="1486">
        <f t="shared" ca="1" si="163"/>
        <v>0</v>
      </c>
      <c r="CG62" s="1486">
        <f t="shared" ca="1" si="163"/>
        <v>0</v>
      </c>
      <c r="CH62" s="1486">
        <f t="shared" ca="1" si="163"/>
        <v>0</v>
      </c>
      <c r="CI62" s="1486">
        <f t="shared" ca="1" si="164"/>
        <v>0</v>
      </c>
      <c r="CJ62" s="1486">
        <f t="shared" ca="1" si="164"/>
        <v>0</v>
      </c>
      <c r="CK62" s="1486">
        <f t="shared" ca="1" si="164"/>
        <v>0</v>
      </c>
      <c r="CL62" s="1486">
        <f t="shared" ca="1" si="164"/>
        <v>0</v>
      </c>
      <c r="CM62" s="1486">
        <f t="shared" ca="1" si="164"/>
        <v>0</v>
      </c>
      <c r="CN62" s="1486">
        <f t="shared" ca="1" si="164"/>
        <v>0</v>
      </c>
      <c r="CO62" s="1486">
        <f t="shared" ca="1" si="164"/>
        <v>0</v>
      </c>
      <c r="CP62" s="1486">
        <f t="shared" ca="1" si="164"/>
        <v>0</v>
      </c>
      <c r="CQ62" s="1486">
        <f t="shared" ca="1" si="164"/>
        <v>0</v>
      </c>
      <c r="CR62" s="1486">
        <f t="shared" ca="1" si="164"/>
        <v>0</v>
      </c>
      <c r="CS62" s="1486">
        <f t="shared" ca="1" si="165"/>
        <v>0</v>
      </c>
      <c r="CT62" s="1486">
        <f t="shared" ca="1" si="165"/>
        <v>0</v>
      </c>
      <c r="CU62" s="1486">
        <f t="shared" ca="1" si="165"/>
        <v>0</v>
      </c>
      <c r="CV62" s="1486">
        <f t="shared" ca="1" si="165"/>
        <v>0</v>
      </c>
      <c r="CW62" s="1486">
        <f t="shared" ca="1" si="165"/>
        <v>0</v>
      </c>
      <c r="CX62" s="1486">
        <f t="shared" ca="1" si="165"/>
        <v>0</v>
      </c>
      <c r="CY62" s="1486">
        <f t="shared" ca="1" si="165"/>
        <v>0</v>
      </c>
      <c r="CZ62" s="1486">
        <f t="shared" ca="1" si="165"/>
        <v>0</v>
      </c>
      <c r="DA62" s="1486">
        <f t="shared" ca="1" si="165"/>
        <v>0</v>
      </c>
      <c r="DB62" s="1486">
        <f t="shared" ca="1" si="165"/>
        <v>0</v>
      </c>
      <c r="DC62" s="1486">
        <f t="shared" ca="1" si="165"/>
        <v>0</v>
      </c>
      <c r="DD62" s="1486">
        <f t="shared" ca="1" si="165"/>
        <v>0</v>
      </c>
      <c r="DE62" s="1486">
        <f t="shared" ca="1" si="165"/>
        <v>0</v>
      </c>
      <c r="DF62" s="1486">
        <f t="shared" ca="1" si="165"/>
        <v>0</v>
      </c>
      <c r="DH62" s="838">
        <f t="shared" ca="1" si="123"/>
        <v>0</v>
      </c>
    </row>
    <row r="63" spans="1:112" s="743" customFormat="1" ht="15.75" collapsed="1">
      <c r="A63" s="22"/>
      <c r="B63" s="753"/>
      <c r="C63" s="744" t="s">
        <v>76</v>
      </c>
      <c r="D63" s="517" t="str">
        <f>INDEX(Workstreams[Workstream], MATCH($C63, Workstreams[Code], 0))</f>
        <v>National renewable power generation</v>
      </c>
      <c r="E63" s="512"/>
      <c r="G63" s="958">
        <f t="shared" ref="G63:P63" ca="1" si="166">SUM(G57:G62)</f>
        <v>0</v>
      </c>
      <c r="H63" s="958">
        <f t="shared" ca="1" si="166"/>
        <v>0</v>
      </c>
      <c r="I63" s="958">
        <f t="shared" ca="1" si="166"/>
        <v>0</v>
      </c>
      <c r="J63" s="958">
        <f t="shared" ca="1" si="166"/>
        <v>0</v>
      </c>
      <c r="K63" s="958">
        <f t="shared" ca="1" si="166"/>
        <v>0</v>
      </c>
      <c r="L63" s="958">
        <f t="shared" ca="1" si="166"/>
        <v>0</v>
      </c>
      <c r="M63" s="958">
        <f t="shared" ca="1" si="166"/>
        <v>0</v>
      </c>
      <c r="N63" s="958">
        <f t="shared" ca="1" si="166"/>
        <v>0</v>
      </c>
      <c r="O63" s="958">
        <f t="shared" ca="1" si="166"/>
        <v>0</v>
      </c>
      <c r="P63" s="958">
        <f t="shared" ca="1" si="166"/>
        <v>0</v>
      </c>
      <c r="Q63" s="1021">
        <f t="shared" ca="1" si="154"/>
        <v>0</v>
      </c>
      <c r="S63" s="970">
        <f t="shared" ref="S63:AJ63" ca="1" si="167">SUM(S57:S62)</f>
        <v>0</v>
      </c>
      <c r="T63" s="970">
        <f t="shared" ca="1" si="167"/>
        <v>59.953355168493147</v>
      </c>
      <c r="U63" s="970">
        <f t="shared" ca="1" si="167"/>
        <v>0</v>
      </c>
      <c r="V63" s="970">
        <f t="shared" ca="1" si="167"/>
        <v>0</v>
      </c>
      <c r="W63" s="970">
        <f t="shared" ca="1" si="167"/>
        <v>0</v>
      </c>
      <c r="X63" s="970">
        <f t="shared" ca="1" si="167"/>
        <v>0</v>
      </c>
      <c r="Y63" s="970">
        <f t="shared" ca="1" si="167"/>
        <v>0</v>
      </c>
      <c r="Z63" s="970">
        <f t="shared" ca="1" si="167"/>
        <v>0</v>
      </c>
      <c r="AA63" s="970">
        <f t="shared" ca="1" si="167"/>
        <v>0</v>
      </c>
      <c r="AB63" s="970">
        <f t="shared" ca="1" si="167"/>
        <v>0</v>
      </c>
      <c r="AC63" s="970">
        <f t="shared" ca="1" si="167"/>
        <v>0</v>
      </c>
      <c r="AD63" s="970">
        <f t="shared" ca="1" si="167"/>
        <v>0</v>
      </c>
      <c r="AE63" s="970">
        <f ca="1">SUM(AE57:AE62)</f>
        <v>0</v>
      </c>
      <c r="AF63" s="970">
        <f t="shared" ca="1" si="167"/>
        <v>0</v>
      </c>
      <c r="AG63" s="970">
        <f t="shared" ca="1" si="167"/>
        <v>0</v>
      </c>
      <c r="AH63" s="970">
        <f ca="1">SUM(AH57:AH62)</f>
        <v>0</v>
      </c>
      <c r="AI63" s="970">
        <f t="shared" ca="1" si="167"/>
        <v>0</v>
      </c>
      <c r="AJ63" s="970">
        <f t="shared" ca="1" si="167"/>
        <v>0</v>
      </c>
      <c r="AK63" s="970">
        <f t="shared" ca="1" si="157"/>
        <v>59.953355168493147</v>
      </c>
      <c r="AM63" s="976">
        <f t="shared" ref="AM63:BE63" ca="1" si="168">SUM(AM57:AM62)</f>
        <v>0</v>
      </c>
      <c r="AN63" s="976">
        <f t="shared" ca="1" si="168"/>
        <v>0</v>
      </c>
      <c r="AO63" s="976">
        <f t="shared" ca="1" si="168"/>
        <v>0</v>
      </c>
      <c r="AP63" s="976">
        <f t="shared" ca="1" si="168"/>
        <v>0</v>
      </c>
      <c r="AQ63" s="976">
        <f t="shared" ca="1" si="168"/>
        <v>0</v>
      </c>
      <c r="AR63" s="976">
        <f t="shared" ca="1" si="168"/>
        <v>0</v>
      </c>
      <c r="AS63" s="976">
        <f t="shared" ca="1" si="168"/>
        <v>0</v>
      </c>
      <c r="AT63" s="976">
        <f t="shared" ca="1" si="168"/>
        <v>0</v>
      </c>
      <c r="AU63" s="976">
        <f t="shared" ca="1" si="168"/>
        <v>0</v>
      </c>
      <c r="AV63" s="976">
        <f t="shared" ca="1" si="168"/>
        <v>0</v>
      </c>
      <c r="AW63" s="976">
        <f t="shared" ca="1" si="168"/>
        <v>0</v>
      </c>
      <c r="AX63" s="976">
        <f t="shared" ca="1" si="168"/>
        <v>-54.102437099999996</v>
      </c>
      <c r="AY63" s="976">
        <f t="shared" ca="1" si="168"/>
        <v>-0.12508561643835608</v>
      </c>
      <c r="AZ63" s="976">
        <f t="shared" ca="1" si="168"/>
        <v>-0.39610445205479383</v>
      </c>
      <c r="BA63" s="976">
        <f t="shared" ca="1" si="168"/>
        <v>0</v>
      </c>
      <c r="BB63" s="976">
        <f t="shared" ca="1" si="168"/>
        <v>-5.3297280000000011</v>
      </c>
      <c r="BC63" s="976">
        <f t="shared" ca="1" si="168"/>
        <v>0</v>
      </c>
      <c r="BD63" s="976">
        <f t="shared" ca="1" si="168"/>
        <v>0</v>
      </c>
      <c r="BE63" s="976">
        <f t="shared" ca="1" si="168"/>
        <v>0</v>
      </c>
      <c r="BF63" s="976">
        <f t="shared" ca="1" si="159"/>
        <v>-59.953355168493147</v>
      </c>
      <c r="BH63" s="990">
        <f ca="1">SUM(BH57:BH62)</f>
        <v>0</v>
      </c>
      <c r="BI63" s="990">
        <f ca="1">SUM(BI57:BI62)</f>
        <v>0</v>
      </c>
      <c r="BJ63" s="990">
        <f t="shared" ca="1" si="161"/>
        <v>0</v>
      </c>
      <c r="BL63" s="515">
        <f t="shared" ca="1" si="152"/>
        <v>0</v>
      </c>
      <c r="BM63" s="515"/>
      <c r="BN63" s="840"/>
      <c r="BO63" s="1482">
        <f t="shared" ref="BO63:DF63" ca="1" si="169">SUM(BO57:BO62)</f>
        <v>0</v>
      </c>
      <c r="BP63" s="1482">
        <f t="shared" ca="1" si="169"/>
        <v>0</v>
      </c>
      <c r="BQ63" s="1482">
        <f t="shared" ca="1" si="169"/>
        <v>0</v>
      </c>
      <c r="BR63" s="1482">
        <f t="shared" ca="1" si="169"/>
        <v>0</v>
      </c>
      <c r="BS63" s="1482">
        <f t="shared" ca="1" si="169"/>
        <v>0</v>
      </c>
      <c r="BT63" s="1482">
        <f t="shared" ca="1" si="169"/>
        <v>0</v>
      </c>
      <c r="BU63" s="1482">
        <f t="shared" ca="1" si="169"/>
        <v>0</v>
      </c>
      <c r="BV63" s="1482">
        <f t="shared" ca="1" si="169"/>
        <v>0</v>
      </c>
      <c r="BW63" s="1482">
        <f t="shared" ca="1" si="169"/>
        <v>0</v>
      </c>
      <c r="BX63" s="1482">
        <f t="shared" ca="1" si="169"/>
        <v>0</v>
      </c>
      <c r="BY63" s="1482">
        <f t="shared" ca="1" si="169"/>
        <v>0</v>
      </c>
      <c r="BZ63" s="1482">
        <f t="shared" ca="1" si="169"/>
        <v>0</v>
      </c>
      <c r="CA63" s="1482">
        <f t="shared" ca="1" si="169"/>
        <v>0</v>
      </c>
      <c r="CB63" s="1482">
        <f t="shared" ca="1" si="169"/>
        <v>0</v>
      </c>
      <c r="CC63" s="1482">
        <f t="shared" ca="1" si="169"/>
        <v>0</v>
      </c>
      <c r="CD63" s="1482">
        <f t="shared" ca="1" si="169"/>
        <v>0</v>
      </c>
      <c r="CE63" s="1482">
        <f t="shared" ca="1" si="169"/>
        <v>0</v>
      </c>
      <c r="CF63" s="1482">
        <f t="shared" ca="1" si="169"/>
        <v>0</v>
      </c>
      <c r="CG63" s="1482">
        <f t="shared" ca="1" si="169"/>
        <v>0</v>
      </c>
      <c r="CH63" s="1482">
        <f t="shared" ca="1" si="169"/>
        <v>0</v>
      </c>
      <c r="CI63" s="1482">
        <f t="shared" ca="1" si="169"/>
        <v>0</v>
      </c>
      <c r="CJ63" s="1482">
        <f t="shared" ca="1" si="169"/>
        <v>0</v>
      </c>
      <c r="CK63" s="1482">
        <f t="shared" ca="1" si="169"/>
        <v>0</v>
      </c>
      <c r="CL63" s="1482">
        <f t="shared" ca="1" si="169"/>
        <v>0</v>
      </c>
      <c r="CM63" s="1482">
        <f t="shared" ca="1" si="169"/>
        <v>0</v>
      </c>
      <c r="CN63" s="1482">
        <f t="shared" ca="1" si="169"/>
        <v>0</v>
      </c>
      <c r="CO63" s="1482">
        <f t="shared" ca="1" si="169"/>
        <v>0</v>
      </c>
      <c r="CP63" s="1482">
        <f t="shared" ca="1" si="169"/>
        <v>0</v>
      </c>
      <c r="CQ63" s="1482">
        <f t="shared" ca="1" si="169"/>
        <v>0</v>
      </c>
      <c r="CR63" s="1482">
        <f t="shared" ca="1" si="169"/>
        <v>0</v>
      </c>
      <c r="CS63" s="1482">
        <f t="shared" ca="1" si="169"/>
        <v>0</v>
      </c>
      <c r="CT63" s="1482">
        <f t="shared" ca="1" si="169"/>
        <v>0</v>
      </c>
      <c r="CU63" s="1482">
        <f t="shared" ca="1" si="169"/>
        <v>0</v>
      </c>
      <c r="CV63" s="1482">
        <f t="shared" ca="1" si="169"/>
        <v>0</v>
      </c>
      <c r="CW63" s="1482">
        <f t="shared" ca="1" si="169"/>
        <v>0</v>
      </c>
      <c r="CX63" s="1482">
        <f t="shared" ca="1" si="169"/>
        <v>0</v>
      </c>
      <c r="CY63" s="1482">
        <f t="shared" ca="1" si="169"/>
        <v>0</v>
      </c>
      <c r="CZ63" s="1482">
        <f t="shared" ca="1" si="169"/>
        <v>0</v>
      </c>
      <c r="DA63" s="1482">
        <f t="shared" ca="1" si="169"/>
        <v>0</v>
      </c>
      <c r="DB63" s="1482">
        <f t="shared" ca="1" si="169"/>
        <v>0</v>
      </c>
      <c r="DC63" s="1482">
        <f t="shared" ca="1" si="169"/>
        <v>0</v>
      </c>
      <c r="DD63" s="1482">
        <f t="shared" ca="1" si="169"/>
        <v>0</v>
      </c>
      <c r="DE63" s="1482">
        <f t="shared" ca="1" si="169"/>
        <v>0</v>
      </c>
      <c r="DF63" s="1482">
        <f t="shared" ca="1" si="169"/>
        <v>0</v>
      </c>
      <c r="DH63" s="838">
        <f t="shared" ca="1" si="123"/>
        <v>0</v>
      </c>
    </row>
    <row r="64" spans="1:112" s="743" customFormat="1" ht="12.75" hidden="1" customHeight="1" outlineLevel="1">
      <c r="A64" s="22"/>
      <c r="B64" s="22"/>
      <c r="C64" s="751"/>
      <c r="D64" s="512"/>
      <c r="E64" s="512"/>
      <c r="G64" s="958"/>
      <c r="H64" s="958"/>
      <c r="I64" s="958"/>
      <c r="J64" s="958"/>
      <c r="K64" s="960"/>
      <c r="L64" s="958"/>
      <c r="M64" s="958"/>
      <c r="N64" s="958"/>
      <c r="O64" s="958"/>
      <c r="P64" s="958"/>
      <c r="Q64" s="958"/>
      <c r="S64" s="970"/>
      <c r="T64" s="970"/>
      <c r="U64" s="970"/>
      <c r="V64" s="970"/>
      <c r="W64" s="970"/>
      <c r="X64" s="970"/>
      <c r="Y64" s="970"/>
      <c r="Z64" s="970"/>
      <c r="AA64" s="970"/>
      <c r="AB64" s="970"/>
      <c r="AC64" s="970"/>
      <c r="AD64" s="970"/>
      <c r="AE64" s="970"/>
      <c r="AF64" s="970"/>
      <c r="AG64" s="970"/>
      <c r="AH64" s="970"/>
      <c r="AI64" s="970"/>
      <c r="AJ64" s="970"/>
      <c r="AK64" s="970"/>
      <c r="AM64" s="976"/>
      <c r="AN64" s="976"/>
      <c r="AO64" s="976"/>
      <c r="AP64" s="976"/>
      <c r="AQ64" s="976"/>
      <c r="AR64" s="976"/>
      <c r="AS64" s="976"/>
      <c r="AT64" s="976"/>
      <c r="AU64" s="976"/>
      <c r="AV64" s="976"/>
      <c r="AW64" s="976"/>
      <c r="AX64" s="976"/>
      <c r="AY64" s="976"/>
      <c r="AZ64" s="976"/>
      <c r="BA64" s="976"/>
      <c r="BB64" s="976"/>
      <c r="BC64" s="976"/>
      <c r="BD64" s="976"/>
      <c r="BE64" s="976"/>
      <c r="BF64" s="976"/>
      <c r="BH64" s="990"/>
      <c r="BI64" s="990"/>
      <c r="BJ64" s="990"/>
      <c r="BL64" s="515"/>
      <c r="BM64" s="515"/>
      <c r="BN64" s="22"/>
      <c r="BO64" s="1482"/>
      <c r="BP64" s="1482"/>
      <c r="BQ64" s="1482"/>
      <c r="BR64" s="1482"/>
      <c r="BS64" s="1482"/>
      <c r="BT64" s="1482"/>
      <c r="BU64" s="1482"/>
      <c r="BV64" s="1482"/>
      <c r="BW64" s="1482"/>
      <c r="BX64" s="1482"/>
      <c r="BY64" s="1482"/>
      <c r="BZ64" s="1482"/>
      <c r="CA64" s="1482"/>
      <c r="CB64" s="1482"/>
      <c r="CC64" s="1482"/>
      <c r="CD64" s="1482"/>
      <c r="CE64" s="1482"/>
      <c r="CF64" s="1482"/>
      <c r="CG64" s="1482"/>
      <c r="CH64" s="1482"/>
      <c r="CI64" s="1482"/>
      <c r="CJ64" s="1482"/>
      <c r="CK64" s="1482"/>
      <c r="CL64" s="1482"/>
      <c r="CM64" s="1482"/>
      <c r="CN64" s="1482"/>
      <c r="CO64" s="1482"/>
      <c r="CP64" s="1482"/>
      <c r="CQ64" s="1482"/>
      <c r="CR64" s="1482"/>
      <c r="CS64" s="1482"/>
      <c r="CT64" s="1482"/>
      <c r="CU64" s="1482"/>
      <c r="CV64" s="1482"/>
      <c r="CW64" s="1482"/>
      <c r="CX64" s="1482"/>
      <c r="CY64" s="1482"/>
      <c r="CZ64" s="1482"/>
      <c r="DA64" s="1482"/>
      <c r="DB64" s="1482"/>
      <c r="DC64" s="1482"/>
      <c r="DD64" s="1482"/>
      <c r="DE64" s="1482"/>
      <c r="DF64" s="1482"/>
      <c r="DH64" s="838">
        <f t="shared" si="123"/>
        <v>0</v>
      </c>
    </row>
    <row r="65" spans="1:112" s="1484" customFormat="1" ht="12.75" hidden="1" customHeight="1" outlineLevel="1">
      <c r="C65" s="746" t="s">
        <v>976</v>
      </c>
      <c r="D65" s="521" t="str">
        <f>INDEX(Modules[Module], MATCH($C65, Modules[Code], 0))</f>
        <v>Distributed solar PV</v>
      </c>
      <c r="E65" s="521"/>
      <c r="G65" s="1604">
        <f t="shared" ref="G65:P67" ca="1" si="170">IFERROR(INDEX(INDIRECT($C65&amp;".Outputs["&amp;this.Year&amp;"]"), MATCH(G$5, INDIRECT($C65&amp;".Outputs[Vector]"), 0)), 0)</f>
        <v>0</v>
      </c>
      <c r="H65" s="1604">
        <f t="shared" ca="1" si="170"/>
        <v>0</v>
      </c>
      <c r="I65" s="1604">
        <f t="shared" ca="1" si="170"/>
        <v>0</v>
      </c>
      <c r="J65" s="1604">
        <f t="shared" ca="1" si="170"/>
        <v>0</v>
      </c>
      <c r="K65" s="1605">
        <f t="shared" ca="1" si="170"/>
        <v>0</v>
      </c>
      <c r="L65" s="1604">
        <f t="shared" ca="1" si="170"/>
        <v>0</v>
      </c>
      <c r="M65" s="1604">
        <f t="shared" ca="1" si="170"/>
        <v>0</v>
      </c>
      <c r="N65" s="1604">
        <f t="shared" ca="1" si="170"/>
        <v>0</v>
      </c>
      <c r="O65" s="1604">
        <f t="shared" ca="1" si="170"/>
        <v>0</v>
      </c>
      <c r="P65" s="1604">
        <f t="shared" ca="1" si="170"/>
        <v>0</v>
      </c>
      <c r="Q65" s="963">
        <f ca="1">SUM(G65:P65)</f>
        <v>0</v>
      </c>
      <c r="S65" s="1606">
        <f t="shared" ref="S65:BE67" ca="1" si="171">IFERROR(INDEX(INDIRECT($C65&amp;".Outputs["&amp;this.Year&amp;"]"), MATCH(S$5, INDIRECT($C65&amp;".Outputs[Vector]"), 0)), 0)</f>
        <v>0</v>
      </c>
      <c r="T65" s="1606">
        <f t="shared" ca="1" si="171"/>
        <v>0</v>
      </c>
      <c r="U65" s="1606">
        <f t="shared" ca="1" si="171"/>
        <v>0</v>
      </c>
      <c r="V65" s="1606">
        <f t="shared" ca="1" si="171"/>
        <v>0</v>
      </c>
      <c r="W65" s="1606">
        <f t="shared" ca="1" si="171"/>
        <v>0</v>
      </c>
      <c r="X65" s="1606">
        <f t="shared" ref="X65:Z67" ca="1" si="172">IFERROR(INDEX(INDIRECT($C65&amp;".Outputs["&amp;this.Year&amp;"]"), MATCH(X$5, INDIRECT($C65&amp;".Outputs[Vector]"), 0)), 0)</f>
        <v>0</v>
      </c>
      <c r="Y65" s="1606">
        <f t="shared" ca="1" si="172"/>
        <v>0</v>
      </c>
      <c r="Z65" s="1606">
        <f t="shared" ca="1" si="172"/>
        <v>0</v>
      </c>
      <c r="AA65" s="1606">
        <f t="shared" ca="1" si="171"/>
        <v>0</v>
      </c>
      <c r="AB65" s="1606">
        <f t="shared" ca="1" si="171"/>
        <v>0</v>
      </c>
      <c r="AC65" s="1606">
        <f t="shared" ca="1" si="171"/>
        <v>0</v>
      </c>
      <c r="AD65" s="1606">
        <f t="shared" ca="1" si="171"/>
        <v>0</v>
      </c>
      <c r="AE65" s="1606">
        <f t="shared" ca="1" si="171"/>
        <v>0</v>
      </c>
      <c r="AF65" s="1606">
        <f t="shared" ca="1" si="171"/>
        <v>0</v>
      </c>
      <c r="AG65" s="1606">
        <f t="shared" ca="1" si="171"/>
        <v>0</v>
      </c>
      <c r="AH65" s="1606">
        <f t="shared" ca="1" si="171"/>
        <v>0</v>
      </c>
      <c r="AI65" s="1606">
        <f t="shared" ca="1" si="171"/>
        <v>0</v>
      </c>
      <c r="AJ65" s="1606">
        <f t="shared" ca="1" si="171"/>
        <v>0</v>
      </c>
      <c r="AK65" s="972">
        <f ca="1">SUM(S65:AJ65)</f>
        <v>0</v>
      </c>
      <c r="AM65" s="1607">
        <f t="shared" ref="AM65:AU67" ca="1" si="173">IFERROR(INDEX(INDIRECT($C65&amp;".Outputs["&amp;this.Year&amp;"]"), MATCH(AM$5, INDIRECT($C65&amp;".Outputs[Vector]"), 0)), 0)</f>
        <v>0</v>
      </c>
      <c r="AN65" s="1607">
        <f t="shared" ca="1" si="173"/>
        <v>0</v>
      </c>
      <c r="AO65" s="1607">
        <f t="shared" ca="1" si="173"/>
        <v>0</v>
      </c>
      <c r="AP65" s="1607">
        <f t="shared" ca="1" si="173"/>
        <v>0</v>
      </c>
      <c r="AQ65" s="1607">
        <f t="shared" ca="1" si="173"/>
        <v>0</v>
      </c>
      <c r="AR65" s="1607">
        <f t="shared" ca="1" si="173"/>
        <v>0</v>
      </c>
      <c r="AS65" s="1607">
        <f t="shared" ca="1" si="173"/>
        <v>0</v>
      </c>
      <c r="AT65" s="1607">
        <f t="shared" ca="1" si="173"/>
        <v>0</v>
      </c>
      <c r="AU65" s="1607">
        <f t="shared" ca="1" si="173"/>
        <v>0</v>
      </c>
      <c r="AV65" s="1607">
        <f t="shared" ca="1" si="171"/>
        <v>0</v>
      </c>
      <c r="AW65" s="1607">
        <f t="shared" ca="1" si="171"/>
        <v>0</v>
      </c>
      <c r="AX65" s="1607">
        <f t="shared" ca="1" si="171"/>
        <v>0</v>
      </c>
      <c r="AY65" s="1607">
        <f t="shared" ca="1" si="171"/>
        <v>0</v>
      </c>
      <c r="AZ65" s="1607">
        <f t="shared" ca="1" si="171"/>
        <v>0</v>
      </c>
      <c r="BA65" s="1607">
        <f t="shared" ca="1" si="171"/>
        <v>0</v>
      </c>
      <c r="BB65" s="1607">
        <f t="shared" ca="1" si="171"/>
        <v>0</v>
      </c>
      <c r="BC65" s="1607">
        <f t="shared" ca="1" si="171"/>
        <v>0</v>
      </c>
      <c r="BD65" s="1607">
        <f t="shared" ca="1" si="171"/>
        <v>0</v>
      </c>
      <c r="BE65" s="1607">
        <f t="shared" ca="1" si="171"/>
        <v>0</v>
      </c>
      <c r="BF65" s="979">
        <f ca="1">SUM(AM65:BE65)</f>
        <v>0</v>
      </c>
      <c r="BH65" s="1608">
        <f t="shared" ref="BH65:BI67" ca="1" si="174">IFERROR(INDEX(INDIRECT($C65&amp;".Outputs["&amp;this.Year&amp;"]"), MATCH(BH$5, INDIRECT($C65&amp;".Outputs[Vector]"), 0)), 0)</f>
        <v>0</v>
      </c>
      <c r="BI65" s="1608">
        <f t="shared" ca="1" si="174"/>
        <v>0</v>
      </c>
      <c r="BJ65" s="992">
        <f ca="1">SUM(BH65:BI65)</f>
        <v>0</v>
      </c>
      <c r="BL65" s="814">
        <f t="shared" ref="BL65:BL70" ca="1" si="175">Q65+AK65+BF65+BJ65</f>
        <v>0</v>
      </c>
      <c r="BM65" s="814"/>
      <c r="BO65" s="1602">
        <f t="shared" ref="BO65:DF67" ca="1" si="176">IFERROR(SUMIFS(INDIRECT($C65&amp;".Emissions["&amp;this.Year&amp;"]"), INDIRECT($C65&amp;".Emissions[GHG]"), BO$6, INDIRECT($C65&amp;".Emissions[IPCC Sector]"), BO$5),0)</f>
        <v>0</v>
      </c>
      <c r="BP65" s="1602">
        <f t="shared" ca="1" si="176"/>
        <v>0</v>
      </c>
      <c r="BQ65" s="1602">
        <f t="shared" ca="1" si="176"/>
        <v>0</v>
      </c>
      <c r="BR65" s="1602">
        <f t="shared" ca="1" si="176"/>
        <v>0</v>
      </c>
      <c r="BS65" s="1602">
        <f t="shared" ca="1" si="176"/>
        <v>0</v>
      </c>
      <c r="BT65" s="1602">
        <f t="shared" ca="1" si="176"/>
        <v>0</v>
      </c>
      <c r="BU65" s="1602">
        <f t="shared" ca="1" si="176"/>
        <v>0</v>
      </c>
      <c r="BV65" s="1602">
        <f t="shared" ca="1" si="176"/>
        <v>0</v>
      </c>
      <c r="BW65" s="1602">
        <f t="shared" ca="1" si="176"/>
        <v>0</v>
      </c>
      <c r="BX65" s="1602">
        <f t="shared" ca="1" si="176"/>
        <v>0</v>
      </c>
      <c r="BY65" s="1602">
        <f t="shared" ca="1" si="176"/>
        <v>0</v>
      </c>
      <c r="BZ65" s="1602">
        <f t="shared" ca="1" si="176"/>
        <v>0</v>
      </c>
      <c r="CA65" s="1602">
        <f t="shared" ca="1" si="176"/>
        <v>0</v>
      </c>
      <c r="CB65" s="1602">
        <f t="shared" ca="1" si="176"/>
        <v>0</v>
      </c>
      <c r="CC65" s="1602">
        <f t="shared" ca="1" si="176"/>
        <v>0</v>
      </c>
      <c r="CD65" s="1602">
        <f t="shared" ca="1" si="176"/>
        <v>0</v>
      </c>
      <c r="CE65" s="1602">
        <f t="shared" ca="1" si="176"/>
        <v>0</v>
      </c>
      <c r="CF65" s="1602">
        <f t="shared" ca="1" si="176"/>
        <v>0</v>
      </c>
      <c r="CG65" s="1602">
        <f t="shared" ca="1" si="176"/>
        <v>0</v>
      </c>
      <c r="CH65" s="1602">
        <f t="shared" ca="1" si="176"/>
        <v>0</v>
      </c>
      <c r="CI65" s="1602">
        <f t="shared" ca="1" si="176"/>
        <v>0</v>
      </c>
      <c r="CJ65" s="1602">
        <f t="shared" ca="1" si="176"/>
        <v>0</v>
      </c>
      <c r="CK65" s="1602">
        <f t="shared" ca="1" si="176"/>
        <v>0</v>
      </c>
      <c r="CL65" s="1602">
        <f t="shared" ca="1" si="176"/>
        <v>0</v>
      </c>
      <c r="CM65" s="1602">
        <f t="shared" ca="1" si="176"/>
        <v>0</v>
      </c>
      <c r="CN65" s="1602">
        <f t="shared" ca="1" si="176"/>
        <v>0</v>
      </c>
      <c r="CO65" s="1602">
        <f t="shared" ca="1" si="176"/>
        <v>0</v>
      </c>
      <c r="CP65" s="1602">
        <f t="shared" ca="1" si="176"/>
        <v>0</v>
      </c>
      <c r="CQ65" s="1602">
        <f t="shared" ca="1" si="176"/>
        <v>0</v>
      </c>
      <c r="CR65" s="1602">
        <f t="shared" ca="1" si="176"/>
        <v>0</v>
      </c>
      <c r="CS65" s="1602">
        <f t="shared" ca="1" si="176"/>
        <v>0</v>
      </c>
      <c r="CT65" s="1602">
        <f t="shared" ca="1" si="176"/>
        <v>0</v>
      </c>
      <c r="CU65" s="1602">
        <f t="shared" ca="1" si="176"/>
        <v>0</v>
      </c>
      <c r="CV65" s="1602">
        <f t="shared" ca="1" si="176"/>
        <v>0</v>
      </c>
      <c r="CW65" s="1602">
        <f t="shared" ca="1" si="176"/>
        <v>0</v>
      </c>
      <c r="CX65" s="1602">
        <f t="shared" ca="1" si="176"/>
        <v>0</v>
      </c>
      <c r="CY65" s="1602">
        <f t="shared" ca="1" si="176"/>
        <v>0</v>
      </c>
      <c r="CZ65" s="1602">
        <f t="shared" ca="1" si="176"/>
        <v>0</v>
      </c>
      <c r="DA65" s="1602">
        <f t="shared" ca="1" si="176"/>
        <v>0</v>
      </c>
      <c r="DB65" s="1602">
        <f t="shared" ca="1" si="176"/>
        <v>0</v>
      </c>
      <c r="DC65" s="1602">
        <f t="shared" ca="1" si="176"/>
        <v>0</v>
      </c>
      <c r="DD65" s="1602">
        <f t="shared" ca="1" si="176"/>
        <v>0</v>
      </c>
      <c r="DE65" s="1602">
        <f t="shared" ca="1" si="176"/>
        <v>0</v>
      </c>
      <c r="DF65" s="1602">
        <f t="shared" ca="1" si="176"/>
        <v>0</v>
      </c>
      <c r="DH65" s="1603">
        <f t="shared" ca="1" si="123"/>
        <v>0</v>
      </c>
    </row>
    <row r="66" spans="1:112" s="1484" customFormat="1" ht="12.75" hidden="1" customHeight="1" outlineLevel="1">
      <c r="C66" s="746" t="s">
        <v>1329</v>
      </c>
      <c r="D66" s="521" t="str">
        <f>INDEX(Modules[Module], MATCH($C66, Modules[Code], 0))</f>
        <v>Distributed solar thermal</v>
      </c>
      <c r="E66" s="521"/>
      <c r="G66" s="1604">
        <f t="shared" ca="1" si="170"/>
        <v>0</v>
      </c>
      <c r="H66" s="1604">
        <f t="shared" ca="1" si="170"/>
        <v>0</v>
      </c>
      <c r="I66" s="1604">
        <f t="shared" ca="1" si="170"/>
        <v>0</v>
      </c>
      <c r="J66" s="1604">
        <f t="shared" ca="1" si="170"/>
        <v>0</v>
      </c>
      <c r="K66" s="1605">
        <f t="shared" ca="1" si="170"/>
        <v>0</v>
      </c>
      <c r="L66" s="1604">
        <f t="shared" ca="1" si="170"/>
        <v>0</v>
      </c>
      <c r="M66" s="1604">
        <f t="shared" ca="1" si="170"/>
        <v>0</v>
      </c>
      <c r="N66" s="1604">
        <f t="shared" ca="1" si="170"/>
        <v>0</v>
      </c>
      <c r="O66" s="1604">
        <f t="shared" ca="1" si="170"/>
        <v>0</v>
      </c>
      <c r="P66" s="1604">
        <f t="shared" ca="1" si="170"/>
        <v>0</v>
      </c>
      <c r="Q66" s="963">
        <f ca="1">SUM(G66:P66)</f>
        <v>0</v>
      </c>
      <c r="S66" s="1606">
        <f t="shared" ca="1" si="171"/>
        <v>0</v>
      </c>
      <c r="T66" s="1606">
        <f t="shared" ca="1" si="171"/>
        <v>0</v>
      </c>
      <c r="U66" s="1606">
        <f t="shared" ca="1" si="171"/>
        <v>0</v>
      </c>
      <c r="V66" s="1606">
        <f t="shared" ca="1" si="171"/>
        <v>0</v>
      </c>
      <c r="W66" s="1606">
        <f t="shared" ca="1" si="171"/>
        <v>0</v>
      </c>
      <c r="X66" s="1606">
        <f t="shared" ca="1" si="172"/>
        <v>0</v>
      </c>
      <c r="Y66" s="1606">
        <f t="shared" ca="1" si="172"/>
        <v>0</v>
      </c>
      <c r="Z66" s="1606">
        <f t="shared" ca="1" si="172"/>
        <v>0</v>
      </c>
      <c r="AA66" s="1606">
        <f t="shared" ca="1" si="171"/>
        <v>0</v>
      </c>
      <c r="AB66" s="1606">
        <f t="shared" ca="1" si="171"/>
        <v>0</v>
      </c>
      <c r="AC66" s="1606">
        <f t="shared" ca="1" si="171"/>
        <v>0</v>
      </c>
      <c r="AD66" s="1606">
        <f t="shared" ca="1" si="171"/>
        <v>0</v>
      </c>
      <c r="AE66" s="1606">
        <f t="shared" ca="1" si="171"/>
        <v>0</v>
      </c>
      <c r="AF66" s="1606">
        <f t="shared" ca="1" si="171"/>
        <v>0</v>
      </c>
      <c r="AG66" s="1606">
        <f t="shared" ca="1" si="171"/>
        <v>0</v>
      </c>
      <c r="AH66" s="1606">
        <f t="shared" ca="1" si="171"/>
        <v>0</v>
      </c>
      <c r="AI66" s="1606">
        <f t="shared" ca="1" si="171"/>
        <v>0</v>
      </c>
      <c r="AJ66" s="1606">
        <f t="shared" ca="1" si="171"/>
        <v>0</v>
      </c>
      <c r="AK66" s="972">
        <f ca="1">SUM(S66:AJ66)</f>
        <v>0</v>
      </c>
      <c r="AM66" s="1607">
        <f t="shared" ca="1" si="173"/>
        <v>0</v>
      </c>
      <c r="AN66" s="1607">
        <f t="shared" ca="1" si="173"/>
        <v>0</v>
      </c>
      <c r="AO66" s="1607">
        <f t="shared" ca="1" si="173"/>
        <v>0</v>
      </c>
      <c r="AP66" s="1607">
        <f t="shared" ca="1" si="173"/>
        <v>0</v>
      </c>
      <c r="AQ66" s="1607">
        <f t="shared" ca="1" si="173"/>
        <v>0</v>
      </c>
      <c r="AR66" s="1607">
        <f t="shared" ca="1" si="173"/>
        <v>0</v>
      </c>
      <c r="AS66" s="1607">
        <f t="shared" ca="1" si="173"/>
        <v>0</v>
      </c>
      <c r="AT66" s="1607">
        <f t="shared" ca="1" si="173"/>
        <v>0</v>
      </c>
      <c r="AU66" s="1607">
        <f t="shared" ca="1" si="173"/>
        <v>0</v>
      </c>
      <c r="AV66" s="1607">
        <f t="shared" ca="1" si="171"/>
        <v>0</v>
      </c>
      <c r="AW66" s="1607">
        <f t="shared" ca="1" si="171"/>
        <v>0</v>
      </c>
      <c r="AX66" s="1607">
        <f t="shared" ca="1" si="171"/>
        <v>0</v>
      </c>
      <c r="AY66" s="1607">
        <f t="shared" ca="1" si="171"/>
        <v>0</v>
      </c>
      <c r="AZ66" s="1607">
        <f t="shared" ca="1" si="171"/>
        <v>0</v>
      </c>
      <c r="BA66" s="1607">
        <f t="shared" ca="1" si="171"/>
        <v>0</v>
      </c>
      <c r="BB66" s="1607">
        <f t="shared" ca="1" si="171"/>
        <v>0</v>
      </c>
      <c r="BC66" s="1607">
        <f t="shared" ca="1" si="171"/>
        <v>0</v>
      </c>
      <c r="BD66" s="1607">
        <f t="shared" ca="1" si="171"/>
        <v>0</v>
      </c>
      <c r="BE66" s="1607">
        <f t="shared" ca="1" si="171"/>
        <v>0</v>
      </c>
      <c r="BF66" s="979">
        <f ca="1">SUM(AM66:BE66)</f>
        <v>0</v>
      </c>
      <c r="BH66" s="1608">
        <f t="shared" ca="1" si="174"/>
        <v>0</v>
      </c>
      <c r="BI66" s="1608">
        <f t="shared" ca="1" si="174"/>
        <v>0</v>
      </c>
      <c r="BJ66" s="992">
        <f ca="1">SUM(BH66:BI66)</f>
        <v>0</v>
      </c>
      <c r="BL66" s="814">
        <f t="shared" ca="1" si="175"/>
        <v>0</v>
      </c>
      <c r="BM66" s="814"/>
      <c r="BO66" s="1602">
        <f t="shared" ca="1" si="176"/>
        <v>0</v>
      </c>
      <c r="BP66" s="1602">
        <f t="shared" ca="1" si="176"/>
        <v>0</v>
      </c>
      <c r="BQ66" s="1602">
        <f t="shared" ca="1" si="176"/>
        <v>0</v>
      </c>
      <c r="BR66" s="1602">
        <f t="shared" ca="1" si="176"/>
        <v>0</v>
      </c>
      <c r="BS66" s="1602">
        <f t="shared" ca="1" si="176"/>
        <v>0</v>
      </c>
      <c r="BT66" s="1602">
        <f t="shared" ca="1" si="176"/>
        <v>0</v>
      </c>
      <c r="BU66" s="1602">
        <f t="shared" ca="1" si="176"/>
        <v>0</v>
      </c>
      <c r="BV66" s="1602">
        <f t="shared" ca="1" si="176"/>
        <v>0</v>
      </c>
      <c r="BW66" s="1602">
        <f t="shared" ca="1" si="176"/>
        <v>0</v>
      </c>
      <c r="BX66" s="1602">
        <f t="shared" ca="1" si="176"/>
        <v>0</v>
      </c>
      <c r="BY66" s="1602">
        <f t="shared" ca="1" si="176"/>
        <v>0</v>
      </c>
      <c r="BZ66" s="1602">
        <f t="shared" ca="1" si="176"/>
        <v>0</v>
      </c>
      <c r="CA66" s="1602">
        <f t="shared" ca="1" si="176"/>
        <v>0</v>
      </c>
      <c r="CB66" s="1602">
        <f t="shared" ca="1" si="176"/>
        <v>0</v>
      </c>
      <c r="CC66" s="1602">
        <f t="shared" ca="1" si="176"/>
        <v>0</v>
      </c>
      <c r="CD66" s="1602">
        <f t="shared" ca="1" si="176"/>
        <v>0</v>
      </c>
      <c r="CE66" s="1602">
        <f t="shared" ca="1" si="176"/>
        <v>0</v>
      </c>
      <c r="CF66" s="1602">
        <f t="shared" ca="1" si="176"/>
        <v>0</v>
      </c>
      <c r="CG66" s="1602">
        <f t="shared" ca="1" si="176"/>
        <v>0</v>
      </c>
      <c r="CH66" s="1602">
        <f t="shared" ca="1" si="176"/>
        <v>0</v>
      </c>
      <c r="CI66" s="1602">
        <f t="shared" ca="1" si="176"/>
        <v>0</v>
      </c>
      <c r="CJ66" s="1602">
        <f t="shared" ca="1" si="176"/>
        <v>0</v>
      </c>
      <c r="CK66" s="1602">
        <f t="shared" ca="1" si="176"/>
        <v>0</v>
      </c>
      <c r="CL66" s="1602">
        <f t="shared" ca="1" si="176"/>
        <v>0</v>
      </c>
      <c r="CM66" s="1602">
        <f t="shared" ca="1" si="176"/>
        <v>0</v>
      </c>
      <c r="CN66" s="1602">
        <f t="shared" ca="1" si="176"/>
        <v>0</v>
      </c>
      <c r="CO66" s="1602">
        <f t="shared" ca="1" si="176"/>
        <v>0</v>
      </c>
      <c r="CP66" s="1602">
        <f t="shared" ca="1" si="176"/>
        <v>0</v>
      </c>
      <c r="CQ66" s="1602">
        <f t="shared" ca="1" si="176"/>
        <v>0</v>
      </c>
      <c r="CR66" s="1602">
        <f t="shared" ca="1" si="176"/>
        <v>0</v>
      </c>
      <c r="CS66" s="1602">
        <f t="shared" ca="1" si="176"/>
        <v>0</v>
      </c>
      <c r="CT66" s="1602">
        <f t="shared" ca="1" si="176"/>
        <v>0</v>
      </c>
      <c r="CU66" s="1602">
        <f t="shared" ca="1" si="176"/>
        <v>0</v>
      </c>
      <c r="CV66" s="1602">
        <f t="shared" ca="1" si="176"/>
        <v>0</v>
      </c>
      <c r="CW66" s="1602">
        <f t="shared" ca="1" si="176"/>
        <v>0</v>
      </c>
      <c r="CX66" s="1602">
        <f t="shared" ca="1" si="176"/>
        <v>0</v>
      </c>
      <c r="CY66" s="1602">
        <f t="shared" ca="1" si="176"/>
        <v>0</v>
      </c>
      <c r="CZ66" s="1602">
        <f t="shared" ca="1" si="176"/>
        <v>0</v>
      </c>
      <c r="DA66" s="1602">
        <f t="shared" ca="1" si="176"/>
        <v>0</v>
      </c>
      <c r="DB66" s="1602">
        <f t="shared" ca="1" si="176"/>
        <v>0</v>
      </c>
      <c r="DC66" s="1602">
        <f t="shared" ca="1" si="176"/>
        <v>0</v>
      </c>
      <c r="DD66" s="1602">
        <f t="shared" ca="1" si="176"/>
        <v>0</v>
      </c>
      <c r="DE66" s="1602">
        <f t="shared" ca="1" si="176"/>
        <v>0</v>
      </c>
      <c r="DF66" s="1602">
        <f t="shared" ca="1" si="176"/>
        <v>0</v>
      </c>
      <c r="DH66" s="1603">
        <f t="shared" ca="1" si="123"/>
        <v>0</v>
      </c>
    </row>
    <row r="67" spans="1:112" s="1484" customFormat="1" ht="12.75" hidden="1" customHeight="1" outlineLevel="1">
      <c r="C67" s="746" t="s">
        <v>1597</v>
      </c>
      <c r="D67" s="1010" t="str">
        <f>INDEX(Modules[Module], MATCH($C67, Modules[Code], 0))</f>
        <v>Micro wind</v>
      </c>
      <c r="E67" s="1010"/>
      <c r="F67" s="743"/>
      <c r="G67" s="1022">
        <f t="shared" ca="1" si="170"/>
        <v>0</v>
      </c>
      <c r="H67" s="1022">
        <f t="shared" ca="1" si="170"/>
        <v>0</v>
      </c>
      <c r="I67" s="1022">
        <f t="shared" ca="1" si="170"/>
        <v>0</v>
      </c>
      <c r="J67" s="1022">
        <f t="shared" ca="1" si="170"/>
        <v>0</v>
      </c>
      <c r="K67" s="1022">
        <f t="shared" ca="1" si="170"/>
        <v>0</v>
      </c>
      <c r="L67" s="1022">
        <f t="shared" ca="1" si="170"/>
        <v>0</v>
      </c>
      <c r="M67" s="1022">
        <f t="shared" ca="1" si="170"/>
        <v>0</v>
      </c>
      <c r="N67" s="1022">
        <f t="shared" ca="1" si="170"/>
        <v>0</v>
      </c>
      <c r="O67" s="1022">
        <f t="shared" ca="1" si="170"/>
        <v>0</v>
      </c>
      <c r="P67" s="1022">
        <f t="shared" ca="1" si="170"/>
        <v>0</v>
      </c>
      <c r="Q67" s="1020">
        <f ca="1">SUM(G67:P67)</f>
        <v>0</v>
      </c>
      <c r="R67" s="743"/>
      <c r="S67" s="1031">
        <f t="shared" ca="1" si="171"/>
        <v>0</v>
      </c>
      <c r="T67" s="1031">
        <f t="shared" ca="1" si="171"/>
        <v>0</v>
      </c>
      <c r="U67" s="1031">
        <f t="shared" ca="1" si="171"/>
        <v>0</v>
      </c>
      <c r="V67" s="1031">
        <f t="shared" ca="1" si="171"/>
        <v>0</v>
      </c>
      <c r="W67" s="1031">
        <f t="shared" ca="1" si="171"/>
        <v>0</v>
      </c>
      <c r="X67" s="1031">
        <f t="shared" ca="1" si="172"/>
        <v>0</v>
      </c>
      <c r="Y67" s="1031">
        <f t="shared" ca="1" si="172"/>
        <v>0</v>
      </c>
      <c r="Z67" s="1031">
        <f t="shared" ca="1" si="172"/>
        <v>0</v>
      </c>
      <c r="AA67" s="1031">
        <f t="shared" ca="1" si="171"/>
        <v>0</v>
      </c>
      <c r="AB67" s="1031">
        <f t="shared" ca="1" si="171"/>
        <v>0</v>
      </c>
      <c r="AC67" s="1031">
        <f t="shared" ca="1" si="171"/>
        <v>0</v>
      </c>
      <c r="AD67" s="1031">
        <f t="shared" ca="1" si="171"/>
        <v>0</v>
      </c>
      <c r="AE67" s="1031">
        <f t="shared" ca="1" si="171"/>
        <v>0</v>
      </c>
      <c r="AF67" s="1031">
        <f t="shared" ca="1" si="171"/>
        <v>0</v>
      </c>
      <c r="AG67" s="1031">
        <f t="shared" ca="1" si="171"/>
        <v>0</v>
      </c>
      <c r="AH67" s="1031">
        <f t="shared" ca="1" si="171"/>
        <v>0</v>
      </c>
      <c r="AI67" s="1031">
        <f t="shared" ca="1" si="171"/>
        <v>0</v>
      </c>
      <c r="AJ67" s="1031">
        <f t="shared" ca="1" si="171"/>
        <v>0</v>
      </c>
      <c r="AK67" s="1030">
        <f ca="1">SUM(S67:AJ67)</f>
        <v>0</v>
      </c>
      <c r="AL67" s="743"/>
      <c r="AM67" s="1042">
        <f t="shared" ca="1" si="173"/>
        <v>0</v>
      </c>
      <c r="AN67" s="1042">
        <f t="shared" ca="1" si="173"/>
        <v>0</v>
      </c>
      <c r="AO67" s="1042">
        <f t="shared" ca="1" si="173"/>
        <v>0</v>
      </c>
      <c r="AP67" s="1042">
        <f t="shared" ca="1" si="173"/>
        <v>0</v>
      </c>
      <c r="AQ67" s="1042">
        <f t="shared" ca="1" si="173"/>
        <v>0</v>
      </c>
      <c r="AR67" s="1042">
        <f t="shared" ca="1" si="173"/>
        <v>0</v>
      </c>
      <c r="AS67" s="1042">
        <f t="shared" ca="1" si="173"/>
        <v>0</v>
      </c>
      <c r="AT67" s="1042">
        <f t="shared" ca="1" si="173"/>
        <v>0</v>
      </c>
      <c r="AU67" s="1042">
        <f t="shared" ca="1" si="173"/>
        <v>0</v>
      </c>
      <c r="AV67" s="1042">
        <f t="shared" ca="1" si="171"/>
        <v>0</v>
      </c>
      <c r="AW67" s="1042">
        <f t="shared" ca="1" si="171"/>
        <v>0</v>
      </c>
      <c r="AX67" s="1042">
        <f t="shared" ca="1" si="171"/>
        <v>0</v>
      </c>
      <c r="AY67" s="1042">
        <f t="shared" ca="1" si="171"/>
        <v>0</v>
      </c>
      <c r="AZ67" s="1042">
        <f t="shared" ca="1" si="171"/>
        <v>0</v>
      </c>
      <c r="BA67" s="1042">
        <f t="shared" ca="1" si="171"/>
        <v>0</v>
      </c>
      <c r="BB67" s="1042">
        <f t="shared" ca="1" si="171"/>
        <v>0</v>
      </c>
      <c r="BC67" s="1042">
        <f t="shared" ca="1" si="171"/>
        <v>0</v>
      </c>
      <c r="BD67" s="1042">
        <f t="shared" ca="1" si="171"/>
        <v>0</v>
      </c>
      <c r="BE67" s="1042">
        <f t="shared" ca="1" si="171"/>
        <v>0</v>
      </c>
      <c r="BF67" s="1012">
        <f ca="1">SUM(AM67:BE67)</f>
        <v>0</v>
      </c>
      <c r="BG67" s="743"/>
      <c r="BH67" s="1036">
        <f t="shared" ca="1" si="174"/>
        <v>0</v>
      </c>
      <c r="BI67" s="1036">
        <f t="shared" ca="1" si="174"/>
        <v>0</v>
      </c>
      <c r="BJ67" s="1035">
        <f ca="1">SUM(BH67:BI67)</f>
        <v>0</v>
      </c>
      <c r="BK67" s="743"/>
      <c r="BL67" s="814">
        <f t="shared" ca="1" si="175"/>
        <v>0</v>
      </c>
      <c r="BM67" s="814"/>
      <c r="BN67" s="840"/>
      <c r="BO67" s="1485">
        <f t="shared" ca="1" si="176"/>
        <v>0</v>
      </c>
      <c r="BP67" s="1486">
        <f t="shared" ca="1" si="176"/>
        <v>0</v>
      </c>
      <c r="BQ67" s="1486">
        <f t="shared" ca="1" si="176"/>
        <v>0</v>
      </c>
      <c r="BR67" s="1486">
        <f t="shared" ca="1" si="176"/>
        <v>0</v>
      </c>
      <c r="BS67" s="1486">
        <f t="shared" ca="1" si="176"/>
        <v>0</v>
      </c>
      <c r="BT67" s="1486">
        <f t="shared" ca="1" si="176"/>
        <v>0</v>
      </c>
      <c r="BU67" s="1486">
        <f t="shared" ca="1" si="176"/>
        <v>0</v>
      </c>
      <c r="BV67" s="1486">
        <f t="shared" ca="1" si="176"/>
        <v>0</v>
      </c>
      <c r="BW67" s="1486">
        <f t="shared" ca="1" si="176"/>
        <v>0</v>
      </c>
      <c r="BX67" s="1486">
        <f t="shared" ca="1" si="176"/>
        <v>0</v>
      </c>
      <c r="BY67" s="1486">
        <f t="shared" ca="1" si="176"/>
        <v>0</v>
      </c>
      <c r="BZ67" s="1486">
        <f t="shared" ca="1" si="176"/>
        <v>0</v>
      </c>
      <c r="CA67" s="1486">
        <f t="shared" ca="1" si="176"/>
        <v>0</v>
      </c>
      <c r="CB67" s="1486">
        <f t="shared" ca="1" si="176"/>
        <v>0</v>
      </c>
      <c r="CC67" s="1486">
        <f t="shared" ca="1" si="176"/>
        <v>0</v>
      </c>
      <c r="CD67" s="1486">
        <f t="shared" ca="1" si="176"/>
        <v>0</v>
      </c>
      <c r="CE67" s="1486">
        <f t="shared" ca="1" si="176"/>
        <v>0</v>
      </c>
      <c r="CF67" s="1486">
        <f t="shared" ca="1" si="176"/>
        <v>0</v>
      </c>
      <c r="CG67" s="1486">
        <f t="shared" ca="1" si="176"/>
        <v>0</v>
      </c>
      <c r="CH67" s="1486">
        <f t="shared" ca="1" si="176"/>
        <v>0</v>
      </c>
      <c r="CI67" s="1486">
        <f t="shared" ca="1" si="176"/>
        <v>0</v>
      </c>
      <c r="CJ67" s="1486">
        <f t="shared" ca="1" si="176"/>
        <v>0</v>
      </c>
      <c r="CK67" s="1486">
        <f t="shared" ca="1" si="176"/>
        <v>0</v>
      </c>
      <c r="CL67" s="1486">
        <f t="shared" ca="1" si="176"/>
        <v>0</v>
      </c>
      <c r="CM67" s="1486">
        <f t="shared" ca="1" si="176"/>
        <v>0</v>
      </c>
      <c r="CN67" s="1486">
        <f t="shared" ca="1" si="176"/>
        <v>0</v>
      </c>
      <c r="CO67" s="1486">
        <f t="shared" ca="1" si="176"/>
        <v>0</v>
      </c>
      <c r="CP67" s="1486">
        <f t="shared" ca="1" si="176"/>
        <v>0</v>
      </c>
      <c r="CQ67" s="1486">
        <f t="shared" ca="1" si="176"/>
        <v>0</v>
      </c>
      <c r="CR67" s="1486">
        <f t="shared" ca="1" si="176"/>
        <v>0</v>
      </c>
      <c r="CS67" s="1486">
        <f t="shared" ca="1" si="176"/>
        <v>0</v>
      </c>
      <c r="CT67" s="1486">
        <f t="shared" ca="1" si="176"/>
        <v>0</v>
      </c>
      <c r="CU67" s="1486">
        <f t="shared" ca="1" si="176"/>
        <v>0</v>
      </c>
      <c r="CV67" s="1486">
        <f t="shared" ca="1" si="176"/>
        <v>0</v>
      </c>
      <c r="CW67" s="1486">
        <f t="shared" ca="1" si="176"/>
        <v>0</v>
      </c>
      <c r="CX67" s="1486">
        <f t="shared" ca="1" si="176"/>
        <v>0</v>
      </c>
      <c r="CY67" s="1486">
        <f t="shared" ca="1" si="176"/>
        <v>0</v>
      </c>
      <c r="CZ67" s="1486">
        <f t="shared" ca="1" si="176"/>
        <v>0</v>
      </c>
      <c r="DA67" s="1486">
        <f t="shared" ca="1" si="176"/>
        <v>0</v>
      </c>
      <c r="DB67" s="1486">
        <f t="shared" ca="1" si="176"/>
        <v>0</v>
      </c>
      <c r="DC67" s="1486">
        <f t="shared" ca="1" si="176"/>
        <v>0</v>
      </c>
      <c r="DD67" s="1486">
        <f t="shared" ca="1" si="176"/>
        <v>0</v>
      </c>
      <c r="DE67" s="1486">
        <f t="shared" ca="1" si="176"/>
        <v>0</v>
      </c>
      <c r="DF67" s="1486">
        <f t="shared" ca="1" si="176"/>
        <v>0</v>
      </c>
      <c r="DH67" s="838">
        <f t="shared" ca="1" si="123"/>
        <v>0</v>
      </c>
    </row>
    <row r="68" spans="1:112" s="743" customFormat="1" ht="15.75" collapsed="1">
      <c r="A68" s="22"/>
      <c r="B68" s="753"/>
      <c r="C68" s="744" t="s">
        <v>77</v>
      </c>
      <c r="D68" s="517" t="str">
        <f>INDEX(Workstreams[Workstream], MATCH($C68, Workstreams[Code], 0))</f>
        <v>Distributed renewable power generation</v>
      </c>
      <c r="E68" s="512"/>
      <c r="G68" s="1021">
        <f ca="1">SUM(G65:G67)</f>
        <v>0</v>
      </c>
      <c r="H68" s="1021">
        <f t="shared" ref="H68:P68" ca="1" si="177">SUM(H65:H67)</f>
        <v>0</v>
      </c>
      <c r="I68" s="1021">
        <f t="shared" ca="1" si="177"/>
        <v>0</v>
      </c>
      <c r="J68" s="1021">
        <f t="shared" ca="1" si="177"/>
        <v>0</v>
      </c>
      <c r="K68" s="1021">
        <f t="shared" ca="1" si="177"/>
        <v>0</v>
      </c>
      <c r="L68" s="1021">
        <f t="shared" ca="1" si="177"/>
        <v>0</v>
      </c>
      <c r="M68" s="1021">
        <f t="shared" ca="1" si="177"/>
        <v>0</v>
      </c>
      <c r="N68" s="1021">
        <f t="shared" ca="1" si="177"/>
        <v>0</v>
      </c>
      <c r="O68" s="1021">
        <f t="shared" ca="1" si="177"/>
        <v>0</v>
      </c>
      <c r="P68" s="1021">
        <f t="shared" ca="1" si="177"/>
        <v>0</v>
      </c>
      <c r="Q68" s="1021">
        <f ca="1">SUM(G68:P68)</f>
        <v>0</v>
      </c>
      <c r="S68" s="970">
        <f t="shared" ref="S68:AJ68" ca="1" si="178">SUM(S65:S67)</f>
        <v>0</v>
      </c>
      <c r="T68" s="970">
        <f t="shared" ca="1" si="178"/>
        <v>0</v>
      </c>
      <c r="U68" s="970">
        <f t="shared" ca="1" si="178"/>
        <v>0</v>
      </c>
      <c r="V68" s="970">
        <f t="shared" ca="1" si="178"/>
        <v>0</v>
      </c>
      <c r="W68" s="970">
        <f t="shared" ca="1" si="178"/>
        <v>0</v>
      </c>
      <c r="X68" s="970">
        <f t="shared" ca="1" si="178"/>
        <v>0</v>
      </c>
      <c r="Y68" s="970">
        <f t="shared" ca="1" si="178"/>
        <v>0</v>
      </c>
      <c r="Z68" s="970">
        <f t="shared" ca="1" si="178"/>
        <v>0</v>
      </c>
      <c r="AA68" s="970">
        <f t="shared" ca="1" si="178"/>
        <v>0</v>
      </c>
      <c r="AB68" s="970">
        <f t="shared" ca="1" si="178"/>
        <v>0</v>
      </c>
      <c r="AC68" s="970">
        <f t="shared" ca="1" si="178"/>
        <v>0</v>
      </c>
      <c r="AD68" s="970">
        <f t="shared" ca="1" si="178"/>
        <v>0</v>
      </c>
      <c r="AE68" s="970">
        <f ca="1">SUM(AE65:AE67)</f>
        <v>0</v>
      </c>
      <c r="AF68" s="970">
        <f t="shared" ca="1" si="178"/>
        <v>0</v>
      </c>
      <c r="AG68" s="970">
        <f t="shared" ca="1" si="178"/>
        <v>0</v>
      </c>
      <c r="AH68" s="970">
        <f ca="1">SUM(AH65:AH67)</f>
        <v>0</v>
      </c>
      <c r="AI68" s="970">
        <f t="shared" ca="1" si="178"/>
        <v>0</v>
      </c>
      <c r="AJ68" s="970">
        <f t="shared" ca="1" si="178"/>
        <v>0</v>
      </c>
      <c r="AK68" s="970">
        <f ca="1">SUM(S68:AJ68)</f>
        <v>0</v>
      </c>
      <c r="AM68" s="976">
        <f t="shared" ref="AM68:BE68" ca="1" si="179">SUM(AM65:AM67)</f>
        <v>0</v>
      </c>
      <c r="AN68" s="976">
        <f t="shared" ca="1" si="179"/>
        <v>0</v>
      </c>
      <c r="AO68" s="976">
        <f t="shared" ca="1" si="179"/>
        <v>0</v>
      </c>
      <c r="AP68" s="976">
        <f t="shared" ca="1" si="179"/>
        <v>0</v>
      </c>
      <c r="AQ68" s="976">
        <f t="shared" ca="1" si="179"/>
        <v>0</v>
      </c>
      <c r="AR68" s="976">
        <f t="shared" ca="1" si="179"/>
        <v>0</v>
      </c>
      <c r="AS68" s="976">
        <f t="shared" ca="1" si="179"/>
        <v>0</v>
      </c>
      <c r="AT68" s="976">
        <f t="shared" ca="1" si="179"/>
        <v>0</v>
      </c>
      <c r="AU68" s="976">
        <f t="shared" ca="1" si="179"/>
        <v>0</v>
      </c>
      <c r="AV68" s="976">
        <f t="shared" ca="1" si="179"/>
        <v>0</v>
      </c>
      <c r="AW68" s="976">
        <f t="shared" ca="1" si="179"/>
        <v>0</v>
      </c>
      <c r="AX68" s="976">
        <f t="shared" ca="1" si="179"/>
        <v>0</v>
      </c>
      <c r="AY68" s="976">
        <f t="shared" ca="1" si="179"/>
        <v>0</v>
      </c>
      <c r="AZ68" s="976">
        <f t="shared" ca="1" si="179"/>
        <v>0</v>
      </c>
      <c r="BA68" s="976">
        <f t="shared" ca="1" si="179"/>
        <v>0</v>
      </c>
      <c r="BB68" s="976">
        <f t="shared" ca="1" si="179"/>
        <v>0</v>
      </c>
      <c r="BC68" s="976">
        <f t="shared" ca="1" si="179"/>
        <v>0</v>
      </c>
      <c r="BD68" s="976">
        <f t="shared" ca="1" si="179"/>
        <v>0</v>
      </c>
      <c r="BE68" s="976">
        <f t="shared" ca="1" si="179"/>
        <v>0</v>
      </c>
      <c r="BF68" s="976">
        <f ca="1">SUM(AM68:BE68)</f>
        <v>0</v>
      </c>
      <c r="BH68" s="990">
        <f ca="1">SUM(BH65:BH67)</f>
        <v>0</v>
      </c>
      <c r="BI68" s="990">
        <f ca="1">SUM(BI65:BI67)</f>
        <v>0</v>
      </c>
      <c r="BJ68" s="990">
        <f ca="1">SUM(BH68:BI68)</f>
        <v>0</v>
      </c>
      <c r="BL68" s="515">
        <f t="shared" ca="1" si="175"/>
        <v>0</v>
      </c>
      <c r="BM68" s="515"/>
      <c r="BN68" s="840"/>
      <c r="BO68" s="1482">
        <f ca="1">SUM(BO65:BO67)</f>
        <v>0</v>
      </c>
      <c r="BP68" s="1482">
        <f t="shared" ref="BP68:DF68" ca="1" si="180">SUM(BP65:BP67)</f>
        <v>0</v>
      </c>
      <c r="BQ68" s="1482">
        <f t="shared" ca="1" si="180"/>
        <v>0</v>
      </c>
      <c r="BR68" s="1482">
        <f t="shared" ca="1" si="180"/>
        <v>0</v>
      </c>
      <c r="BS68" s="1482">
        <f t="shared" ca="1" si="180"/>
        <v>0</v>
      </c>
      <c r="BT68" s="1482">
        <f t="shared" ca="1" si="180"/>
        <v>0</v>
      </c>
      <c r="BU68" s="1482">
        <f t="shared" ca="1" si="180"/>
        <v>0</v>
      </c>
      <c r="BV68" s="1482">
        <f t="shared" ca="1" si="180"/>
        <v>0</v>
      </c>
      <c r="BW68" s="1482">
        <f t="shared" ca="1" si="180"/>
        <v>0</v>
      </c>
      <c r="BX68" s="1482">
        <f t="shared" ca="1" si="180"/>
        <v>0</v>
      </c>
      <c r="BY68" s="1482">
        <f t="shared" ca="1" si="180"/>
        <v>0</v>
      </c>
      <c r="BZ68" s="1482">
        <f t="shared" ca="1" si="180"/>
        <v>0</v>
      </c>
      <c r="CA68" s="1482">
        <f t="shared" ca="1" si="180"/>
        <v>0</v>
      </c>
      <c r="CB68" s="1482">
        <f t="shared" ca="1" si="180"/>
        <v>0</v>
      </c>
      <c r="CC68" s="1482">
        <f t="shared" ca="1" si="180"/>
        <v>0</v>
      </c>
      <c r="CD68" s="1482">
        <f t="shared" ca="1" si="180"/>
        <v>0</v>
      </c>
      <c r="CE68" s="1482">
        <f t="shared" ca="1" si="180"/>
        <v>0</v>
      </c>
      <c r="CF68" s="1482">
        <f t="shared" ca="1" si="180"/>
        <v>0</v>
      </c>
      <c r="CG68" s="1482">
        <f t="shared" ca="1" si="180"/>
        <v>0</v>
      </c>
      <c r="CH68" s="1482">
        <f t="shared" ca="1" si="180"/>
        <v>0</v>
      </c>
      <c r="CI68" s="1482">
        <f t="shared" ca="1" si="180"/>
        <v>0</v>
      </c>
      <c r="CJ68" s="1482">
        <f t="shared" ca="1" si="180"/>
        <v>0</v>
      </c>
      <c r="CK68" s="1482">
        <f t="shared" ca="1" si="180"/>
        <v>0</v>
      </c>
      <c r="CL68" s="1482">
        <f t="shared" ca="1" si="180"/>
        <v>0</v>
      </c>
      <c r="CM68" s="1482">
        <f t="shared" ca="1" si="180"/>
        <v>0</v>
      </c>
      <c r="CN68" s="1482">
        <f t="shared" ca="1" si="180"/>
        <v>0</v>
      </c>
      <c r="CO68" s="1482">
        <f t="shared" ca="1" si="180"/>
        <v>0</v>
      </c>
      <c r="CP68" s="1482">
        <f t="shared" ca="1" si="180"/>
        <v>0</v>
      </c>
      <c r="CQ68" s="1482">
        <f t="shared" ca="1" si="180"/>
        <v>0</v>
      </c>
      <c r="CR68" s="1482">
        <f t="shared" ca="1" si="180"/>
        <v>0</v>
      </c>
      <c r="CS68" s="1482">
        <f t="shared" ca="1" si="180"/>
        <v>0</v>
      </c>
      <c r="CT68" s="1482">
        <f t="shared" ca="1" si="180"/>
        <v>0</v>
      </c>
      <c r="CU68" s="1482">
        <f t="shared" ca="1" si="180"/>
        <v>0</v>
      </c>
      <c r="CV68" s="1482">
        <f t="shared" ca="1" si="180"/>
        <v>0</v>
      </c>
      <c r="CW68" s="1482">
        <f t="shared" ca="1" si="180"/>
        <v>0</v>
      </c>
      <c r="CX68" s="1482">
        <f t="shared" ca="1" si="180"/>
        <v>0</v>
      </c>
      <c r="CY68" s="1482">
        <f t="shared" ca="1" si="180"/>
        <v>0</v>
      </c>
      <c r="CZ68" s="1482">
        <f t="shared" ca="1" si="180"/>
        <v>0</v>
      </c>
      <c r="DA68" s="1482">
        <f t="shared" ca="1" si="180"/>
        <v>0</v>
      </c>
      <c r="DB68" s="1482">
        <f t="shared" ca="1" si="180"/>
        <v>0</v>
      </c>
      <c r="DC68" s="1482">
        <f t="shared" ca="1" si="180"/>
        <v>0</v>
      </c>
      <c r="DD68" s="1482">
        <f t="shared" ca="1" si="180"/>
        <v>0</v>
      </c>
      <c r="DE68" s="1482">
        <f t="shared" ca="1" si="180"/>
        <v>0</v>
      </c>
      <c r="DF68" s="1482">
        <f t="shared" ca="1" si="180"/>
        <v>0</v>
      </c>
      <c r="DH68" s="838">
        <f t="shared" ca="1" si="123"/>
        <v>0</v>
      </c>
    </row>
    <row r="69" spans="1:112" s="743" customFormat="1" ht="12.75" hidden="1" customHeight="1" outlineLevel="1">
      <c r="A69" s="22"/>
      <c r="B69" s="22"/>
      <c r="C69" s="751"/>
      <c r="D69" s="512"/>
      <c r="E69" s="512"/>
      <c r="G69" s="958"/>
      <c r="H69" s="958"/>
      <c r="I69" s="958"/>
      <c r="J69" s="958"/>
      <c r="K69" s="960"/>
      <c r="L69" s="958"/>
      <c r="M69" s="958"/>
      <c r="N69" s="958"/>
      <c r="O69" s="958"/>
      <c r="P69" s="958"/>
      <c r="Q69" s="958"/>
      <c r="S69" s="970"/>
      <c r="T69" s="970"/>
      <c r="U69" s="970"/>
      <c r="V69" s="970"/>
      <c r="W69" s="970"/>
      <c r="X69" s="970"/>
      <c r="Y69" s="970"/>
      <c r="Z69" s="970"/>
      <c r="AA69" s="970"/>
      <c r="AB69" s="970"/>
      <c r="AC69" s="970"/>
      <c r="AD69" s="970"/>
      <c r="AE69" s="970"/>
      <c r="AF69" s="970"/>
      <c r="AG69" s="970"/>
      <c r="AH69" s="970"/>
      <c r="AI69" s="970"/>
      <c r="AJ69" s="970"/>
      <c r="AK69" s="970"/>
      <c r="AM69" s="976"/>
      <c r="AN69" s="976"/>
      <c r="AO69" s="976"/>
      <c r="AP69" s="976"/>
      <c r="AQ69" s="976"/>
      <c r="AR69" s="976"/>
      <c r="AS69" s="976"/>
      <c r="AT69" s="976"/>
      <c r="AU69" s="976"/>
      <c r="AV69" s="976"/>
      <c r="AW69" s="976"/>
      <c r="AX69" s="976"/>
      <c r="AY69" s="976"/>
      <c r="AZ69" s="976"/>
      <c r="BA69" s="976"/>
      <c r="BB69" s="976"/>
      <c r="BC69" s="976"/>
      <c r="BD69" s="976"/>
      <c r="BE69" s="976"/>
      <c r="BF69" s="976"/>
      <c r="BH69" s="990"/>
      <c r="BI69" s="990"/>
      <c r="BJ69" s="990"/>
      <c r="BL69" s="515">
        <f t="shared" si="175"/>
        <v>0</v>
      </c>
      <c r="BM69" s="515"/>
      <c r="BN69" s="22"/>
      <c r="BO69" s="1482"/>
      <c r="BP69" s="1482"/>
      <c r="BQ69" s="1482"/>
      <c r="BR69" s="1482"/>
      <c r="BS69" s="1482"/>
      <c r="BT69" s="1482"/>
      <c r="BU69" s="1482"/>
      <c r="BV69" s="1482"/>
      <c r="BW69" s="1482"/>
      <c r="BX69" s="1482"/>
      <c r="BY69" s="1482"/>
      <c r="BZ69" s="1482"/>
      <c r="CA69" s="1482"/>
      <c r="CB69" s="1482"/>
      <c r="CC69" s="1482"/>
      <c r="CD69" s="1482"/>
      <c r="CE69" s="1482"/>
      <c r="CF69" s="1482"/>
      <c r="CG69" s="1482"/>
      <c r="CH69" s="1482"/>
      <c r="CI69" s="1482"/>
      <c r="CJ69" s="1482"/>
      <c r="CK69" s="1482"/>
      <c r="CL69" s="1482"/>
      <c r="CM69" s="1482"/>
      <c r="CN69" s="1482"/>
      <c r="CO69" s="1482"/>
      <c r="CP69" s="1482"/>
      <c r="CQ69" s="1482"/>
      <c r="CR69" s="1482"/>
      <c r="CS69" s="1482"/>
      <c r="CT69" s="1482"/>
      <c r="CU69" s="1482"/>
      <c r="CV69" s="1482"/>
      <c r="CW69" s="1482"/>
      <c r="CX69" s="1482"/>
      <c r="CY69" s="1482"/>
      <c r="CZ69" s="1482"/>
      <c r="DA69" s="1482"/>
      <c r="DB69" s="1482"/>
      <c r="DC69" s="1482"/>
      <c r="DD69" s="1482"/>
      <c r="DE69" s="1482"/>
      <c r="DF69" s="1482"/>
      <c r="DH69" s="838">
        <f t="shared" si="123"/>
        <v>0</v>
      </c>
    </row>
    <row r="70" spans="1:112" s="1491" customFormat="1" ht="12.75" hidden="1" customHeight="1" outlineLevel="1">
      <c r="C70" s="1534" t="s">
        <v>1718</v>
      </c>
      <c r="D70" s="1535" t="s">
        <v>1340</v>
      </c>
      <c r="E70" s="1535"/>
      <c r="F70" s="1957"/>
      <c r="G70" s="1070"/>
      <c r="H70" s="1070"/>
      <c r="I70" s="1070"/>
      <c r="J70" s="1070"/>
      <c r="K70" s="1071"/>
      <c r="L70" s="1070"/>
      <c r="M70" s="1070"/>
      <c r="N70" s="1070"/>
      <c r="O70" s="1070"/>
      <c r="P70" s="1070"/>
      <c r="Q70" s="1070"/>
      <c r="R70" s="1957"/>
      <c r="S70" s="1072"/>
      <c r="T70" s="1072"/>
      <c r="U70" s="1072"/>
      <c r="V70" s="1072"/>
      <c r="W70" s="1072"/>
      <c r="X70" s="1072"/>
      <c r="Y70" s="1072"/>
      <c r="Z70" s="1072"/>
      <c r="AA70" s="1072"/>
      <c r="AB70" s="1072">
        <f ca="1">AB$40+AB$46+AB$51+AB$99+AB$55+AB$63+AB$68</f>
        <v>-9.0253978428864041</v>
      </c>
      <c r="AC70" s="1072"/>
      <c r="AD70" s="1072"/>
      <c r="AE70" s="1072"/>
      <c r="AF70" s="1072"/>
      <c r="AG70" s="1072"/>
      <c r="AH70" s="1072"/>
      <c r="AI70" s="1072"/>
      <c r="AJ70" s="1072"/>
      <c r="AK70" s="1072"/>
      <c r="AL70" s="1957"/>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957"/>
      <c r="BH70" s="1074"/>
      <c r="BI70" s="1074"/>
      <c r="BJ70" s="1074">
        <f>SUM(BH70:BI70)</f>
        <v>0</v>
      </c>
      <c r="BK70" s="1957"/>
      <c r="BL70" s="1536">
        <f t="shared" si="175"/>
        <v>0</v>
      </c>
      <c r="BM70" s="1536"/>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1963"/>
      <c r="CO70" s="1963"/>
      <c r="CP70" s="1963"/>
      <c r="CQ70" s="1963"/>
      <c r="CR70" s="1963"/>
      <c r="CS70" s="1963"/>
      <c r="CT70" s="1963"/>
      <c r="CU70" s="1963"/>
      <c r="CV70" s="1963"/>
      <c r="CW70" s="1963"/>
      <c r="CX70" s="1963"/>
      <c r="CY70" s="1963"/>
      <c r="CZ70" s="1963"/>
      <c r="DA70" s="1963"/>
      <c r="DB70" s="1963"/>
      <c r="DC70" s="1963"/>
      <c r="DD70" s="1963"/>
      <c r="DE70" s="1963"/>
      <c r="DF70" s="1963"/>
      <c r="DH70" s="1962">
        <f t="shared" si="123"/>
        <v>0</v>
      </c>
    </row>
    <row r="71" spans="1:112" s="1484" customFormat="1" ht="12.75" hidden="1" customHeight="1" outlineLevel="1">
      <c r="C71" s="746" t="s">
        <v>1338</v>
      </c>
      <c r="D71" s="1010" t="str">
        <f>INDEX(Modules[Module], MATCH($C71, Modules[Code], 0))</f>
        <v>District heating effective demand</v>
      </c>
      <c r="E71" s="1010"/>
      <c r="F71" s="743"/>
      <c r="G71" s="1022">
        <f t="shared" ref="G71:P71" ca="1" si="181">IFERROR(INDEX(INDIRECT($C71&amp;".Outputs["&amp;this.Year&amp;"]"), MATCH(G$5, INDIRECT($C71&amp;".Outputs[Vector]"), 0)), 0)</f>
        <v>0</v>
      </c>
      <c r="H71" s="1022">
        <f t="shared" ca="1" si="181"/>
        <v>0</v>
      </c>
      <c r="I71" s="1022">
        <f t="shared" ca="1" si="181"/>
        <v>0</v>
      </c>
      <c r="J71" s="1022">
        <f t="shared" ca="1" si="181"/>
        <v>0</v>
      </c>
      <c r="K71" s="1022">
        <f t="shared" ca="1" si="181"/>
        <v>0</v>
      </c>
      <c r="L71" s="1022">
        <f t="shared" ca="1" si="181"/>
        <v>0</v>
      </c>
      <c r="M71" s="1022">
        <f t="shared" ca="1" si="181"/>
        <v>0</v>
      </c>
      <c r="N71" s="1022">
        <f t="shared" ca="1" si="181"/>
        <v>0</v>
      </c>
      <c r="O71" s="1022">
        <f t="shared" ca="1" si="181"/>
        <v>0</v>
      </c>
      <c r="P71" s="1022">
        <f t="shared" ca="1" si="181"/>
        <v>0</v>
      </c>
      <c r="Q71" s="1020">
        <f ca="1">SUM(G71:P71)</f>
        <v>0</v>
      </c>
      <c r="R71" s="743"/>
      <c r="S71" s="1031">
        <f t="shared" ref="S71:BE71" ca="1" si="182">IFERROR(INDEX(INDIRECT($C71&amp;".Outputs["&amp;this.Year&amp;"]"), MATCH(S$5, INDIRECT($C71&amp;".Outputs[Vector]"), 0)), 0)</f>
        <v>0</v>
      </c>
      <c r="T71" s="1031">
        <f t="shared" ca="1" si="182"/>
        <v>-1.289342548983772</v>
      </c>
      <c r="U71" s="1031">
        <f t="shared" ca="1" si="182"/>
        <v>0</v>
      </c>
      <c r="V71" s="1031">
        <f t="shared" ca="1" si="182"/>
        <v>0</v>
      </c>
      <c r="W71" s="1031">
        <f t="shared" ca="1" si="182"/>
        <v>0</v>
      </c>
      <c r="X71" s="1031">
        <f ca="1">IFERROR(INDEX(INDIRECT($C71&amp;".Outputs["&amp;this.Year&amp;"]"), MATCH(X$5, INDIRECT($C71&amp;".Outputs[Vector]"), 0)), 0)</f>
        <v>0</v>
      </c>
      <c r="Y71" s="1031">
        <f ca="1">IFERROR(INDEX(INDIRECT($C71&amp;".Outputs["&amp;this.Year&amp;"]"), MATCH(Y$5, INDIRECT($C71&amp;".Outputs[Vector]"), 0)), 0)</f>
        <v>0</v>
      </c>
      <c r="Z71" s="1031">
        <f ca="1">IFERROR(INDEX(INDIRECT($C71&amp;".Outputs["&amp;this.Year&amp;"]"), MATCH(Z$5, INDIRECT($C71&amp;".Outputs[Vector]"), 0)), 0)</f>
        <v>0</v>
      </c>
      <c r="AA71" s="1031">
        <f t="shared" ca="1" si="182"/>
        <v>0</v>
      </c>
      <c r="AB71" s="1031">
        <f t="shared" ca="1" si="182"/>
        <v>9.0253978428864041</v>
      </c>
      <c r="AC71" s="1031">
        <f t="shared" ca="1" si="182"/>
        <v>0</v>
      </c>
      <c r="AD71" s="1031">
        <f t="shared" ca="1" si="182"/>
        <v>0</v>
      </c>
      <c r="AE71" s="1031">
        <f t="shared" ca="1" si="182"/>
        <v>0</v>
      </c>
      <c r="AF71" s="1031">
        <f t="shared" ca="1" si="182"/>
        <v>0</v>
      </c>
      <c r="AG71" s="1031">
        <f t="shared" ca="1" si="182"/>
        <v>0</v>
      </c>
      <c r="AH71" s="1031">
        <f t="shared" ca="1" si="182"/>
        <v>0</v>
      </c>
      <c r="AI71" s="1031">
        <f t="shared" ca="1" si="182"/>
        <v>0</v>
      </c>
      <c r="AJ71" s="1031">
        <f t="shared" ca="1" si="182"/>
        <v>0</v>
      </c>
      <c r="AK71" s="1030">
        <f ca="1">SUM(S71:AJ71)</f>
        <v>7.7360552939026324</v>
      </c>
      <c r="AL71" s="743"/>
      <c r="AM71" s="1042">
        <f t="shared" ref="AM71:AU71" ca="1" si="183">IFERROR(INDEX(INDIRECT($C71&amp;".Outputs["&amp;this.Year&amp;"]"), MATCH(AM$5, INDIRECT($C71&amp;".Outputs[Vector]"), 0)), 0)</f>
        <v>0</v>
      </c>
      <c r="AN71" s="1042">
        <f t="shared" ca="1" si="183"/>
        <v>0</v>
      </c>
      <c r="AO71" s="1042">
        <f t="shared" ca="1" si="183"/>
        <v>0</v>
      </c>
      <c r="AP71" s="1042">
        <f t="shared" ca="1" si="183"/>
        <v>0</v>
      </c>
      <c r="AQ71" s="1042">
        <f t="shared" ca="1" si="183"/>
        <v>0</v>
      </c>
      <c r="AR71" s="1042">
        <f t="shared" ca="1" si="183"/>
        <v>0</v>
      </c>
      <c r="AS71" s="1042">
        <f t="shared" ca="1" si="183"/>
        <v>0</v>
      </c>
      <c r="AT71" s="1042">
        <f t="shared" ca="1" si="183"/>
        <v>0</v>
      </c>
      <c r="AU71" s="1042">
        <f t="shared" ca="1" si="183"/>
        <v>0</v>
      </c>
      <c r="AV71" s="1042">
        <f t="shared" ca="1" si="182"/>
        <v>0</v>
      </c>
      <c r="AW71" s="1042">
        <f t="shared" ca="1" si="182"/>
        <v>0</v>
      </c>
      <c r="AX71" s="1042">
        <f t="shared" ca="1" si="182"/>
        <v>0</v>
      </c>
      <c r="AY71" s="1042">
        <f t="shared" ca="1" si="182"/>
        <v>0</v>
      </c>
      <c r="AZ71" s="1042">
        <f t="shared" ca="1" si="182"/>
        <v>0</v>
      </c>
      <c r="BA71" s="1042">
        <f t="shared" ca="1" si="182"/>
        <v>0</v>
      </c>
      <c r="BB71" s="1042">
        <f t="shared" ca="1" si="182"/>
        <v>0</v>
      </c>
      <c r="BC71" s="1042">
        <f t="shared" ca="1" si="182"/>
        <v>0</v>
      </c>
      <c r="BD71" s="1042">
        <f t="shared" ca="1" si="182"/>
        <v>0</v>
      </c>
      <c r="BE71" s="1042">
        <f t="shared" ca="1" si="182"/>
        <v>0</v>
      </c>
      <c r="BF71" s="1012">
        <f ca="1">SUM(AM71:BE71)</f>
        <v>0</v>
      </c>
      <c r="BG71" s="743"/>
      <c r="BH71" s="1036">
        <f ca="1">IFERROR(INDEX(INDIRECT($C71&amp;".Outputs["&amp;this.Year&amp;"]"), MATCH(BH$5, INDIRECT($C71&amp;".Outputs[Vector]"), 0)), 0)</f>
        <v>-7.7360552939026324</v>
      </c>
      <c r="BI71" s="1036">
        <f ca="1">IFERROR(INDEX(INDIRECT($C71&amp;".Outputs["&amp;this.Year&amp;"]"), MATCH(BI$5, INDIRECT($C71&amp;".Outputs[Vector]"), 0)), 0)</f>
        <v>0</v>
      </c>
      <c r="BJ71" s="1035">
        <f ca="1">SUM(BH71:BI71)</f>
        <v>-7.7360552939026324</v>
      </c>
      <c r="BK71" s="743"/>
      <c r="BL71" s="814">
        <f ca="1">Q71+AK71+BF71+BJ71</f>
        <v>0</v>
      </c>
      <c r="BM71" s="814"/>
      <c r="BN71" s="840"/>
      <c r="BO71" s="1485">
        <f t="shared" ref="BO71:DF71" ca="1" si="184">IFERROR(SUMIFS(INDIRECT($C71&amp;".Emissions["&amp;this.Year&amp;"]"), INDIRECT($C71&amp;".Emissions[GHG]"), BO$6, INDIRECT($C71&amp;".Emissions[IPCC Sector]"), BO$5),0)</f>
        <v>0</v>
      </c>
      <c r="BP71" s="1486">
        <f t="shared" ca="1" si="184"/>
        <v>0</v>
      </c>
      <c r="BQ71" s="1486">
        <f t="shared" ca="1" si="184"/>
        <v>0</v>
      </c>
      <c r="BR71" s="1486">
        <f t="shared" ca="1" si="184"/>
        <v>0</v>
      </c>
      <c r="BS71" s="1486">
        <f t="shared" ca="1" si="184"/>
        <v>0</v>
      </c>
      <c r="BT71" s="1486">
        <f t="shared" ca="1" si="184"/>
        <v>0</v>
      </c>
      <c r="BU71" s="1486">
        <f t="shared" ca="1" si="184"/>
        <v>0</v>
      </c>
      <c r="BV71" s="1486">
        <f t="shared" ca="1" si="184"/>
        <v>0</v>
      </c>
      <c r="BW71" s="1486">
        <f t="shared" ca="1" si="184"/>
        <v>0</v>
      </c>
      <c r="BX71" s="1486">
        <f t="shared" ca="1" si="184"/>
        <v>0</v>
      </c>
      <c r="BY71" s="1486">
        <f t="shared" ca="1" si="184"/>
        <v>0</v>
      </c>
      <c r="BZ71" s="1486">
        <f t="shared" ca="1" si="184"/>
        <v>0</v>
      </c>
      <c r="CA71" s="1486">
        <f t="shared" ca="1" si="184"/>
        <v>0</v>
      </c>
      <c r="CB71" s="1486">
        <f t="shared" ca="1" si="184"/>
        <v>0</v>
      </c>
      <c r="CC71" s="1486">
        <f t="shared" ca="1" si="184"/>
        <v>0</v>
      </c>
      <c r="CD71" s="1486">
        <f t="shared" ca="1" si="184"/>
        <v>0</v>
      </c>
      <c r="CE71" s="1486">
        <f t="shared" ca="1" si="184"/>
        <v>0</v>
      </c>
      <c r="CF71" s="1486">
        <f t="shared" ca="1" si="184"/>
        <v>0</v>
      </c>
      <c r="CG71" s="1486">
        <f t="shared" ca="1" si="184"/>
        <v>0</v>
      </c>
      <c r="CH71" s="1486">
        <f t="shared" ca="1" si="184"/>
        <v>0</v>
      </c>
      <c r="CI71" s="1486">
        <f t="shared" ca="1" si="184"/>
        <v>0</v>
      </c>
      <c r="CJ71" s="1486">
        <f t="shared" ca="1" si="184"/>
        <v>0</v>
      </c>
      <c r="CK71" s="1486">
        <f t="shared" ca="1" si="184"/>
        <v>0</v>
      </c>
      <c r="CL71" s="1486">
        <f t="shared" ca="1" si="184"/>
        <v>0</v>
      </c>
      <c r="CM71" s="1486">
        <f t="shared" ca="1" si="184"/>
        <v>0</v>
      </c>
      <c r="CN71" s="1486">
        <f t="shared" ca="1" si="184"/>
        <v>0</v>
      </c>
      <c r="CO71" s="1486">
        <f t="shared" ca="1" si="184"/>
        <v>0</v>
      </c>
      <c r="CP71" s="1486">
        <f t="shared" ca="1" si="184"/>
        <v>0</v>
      </c>
      <c r="CQ71" s="1486">
        <f t="shared" ca="1" si="184"/>
        <v>0</v>
      </c>
      <c r="CR71" s="1486">
        <f t="shared" ca="1" si="184"/>
        <v>0</v>
      </c>
      <c r="CS71" s="1486">
        <f t="shared" ca="1" si="184"/>
        <v>0</v>
      </c>
      <c r="CT71" s="1486">
        <f t="shared" ca="1" si="184"/>
        <v>0</v>
      </c>
      <c r="CU71" s="1486">
        <f t="shared" ca="1" si="184"/>
        <v>0</v>
      </c>
      <c r="CV71" s="1486">
        <f t="shared" ca="1" si="184"/>
        <v>0</v>
      </c>
      <c r="CW71" s="1486">
        <f t="shared" ca="1" si="184"/>
        <v>0</v>
      </c>
      <c r="CX71" s="1486">
        <f t="shared" ca="1" si="184"/>
        <v>0</v>
      </c>
      <c r="CY71" s="1486">
        <f t="shared" ca="1" si="184"/>
        <v>0</v>
      </c>
      <c r="CZ71" s="1486">
        <f t="shared" ca="1" si="184"/>
        <v>0</v>
      </c>
      <c r="DA71" s="1486">
        <f t="shared" ca="1" si="184"/>
        <v>0</v>
      </c>
      <c r="DB71" s="1486">
        <f t="shared" ca="1" si="184"/>
        <v>0</v>
      </c>
      <c r="DC71" s="1486">
        <f t="shared" ca="1" si="184"/>
        <v>0</v>
      </c>
      <c r="DD71" s="1486">
        <f t="shared" ca="1" si="184"/>
        <v>0</v>
      </c>
      <c r="DE71" s="1486">
        <f t="shared" ca="1" si="184"/>
        <v>0</v>
      </c>
      <c r="DF71" s="1486">
        <f t="shared" ca="1" si="184"/>
        <v>0</v>
      </c>
      <c r="DH71" s="838">
        <f t="shared" ca="1" si="123"/>
        <v>0</v>
      </c>
    </row>
    <row r="72" spans="1:112" s="743" customFormat="1" ht="15.75" collapsed="1">
      <c r="A72" s="22"/>
      <c r="B72" s="753"/>
      <c r="C72" s="744" t="s">
        <v>1336</v>
      </c>
      <c r="D72" s="517" t="str">
        <f>INDEX(Workstreams[Workstream], MATCH($C72, Workstreams[Code], 0))</f>
        <v>District heating</v>
      </c>
      <c r="E72" s="512"/>
      <c r="G72" s="1021">
        <f ca="1">G71</f>
        <v>0</v>
      </c>
      <c r="H72" s="1021">
        <f t="shared" ref="H72:P72" ca="1" si="185">H71</f>
        <v>0</v>
      </c>
      <c r="I72" s="1021">
        <f t="shared" ca="1" si="185"/>
        <v>0</v>
      </c>
      <c r="J72" s="1021">
        <f t="shared" ca="1" si="185"/>
        <v>0</v>
      </c>
      <c r="K72" s="1021">
        <f t="shared" ca="1" si="185"/>
        <v>0</v>
      </c>
      <c r="L72" s="1021">
        <f t="shared" ca="1" si="185"/>
        <v>0</v>
      </c>
      <c r="M72" s="1021">
        <f t="shared" ca="1" si="185"/>
        <v>0</v>
      </c>
      <c r="N72" s="1021">
        <f t="shared" ca="1" si="185"/>
        <v>0</v>
      </c>
      <c r="O72" s="1021">
        <f t="shared" ca="1" si="185"/>
        <v>0</v>
      </c>
      <c r="P72" s="1021">
        <f t="shared" ca="1" si="185"/>
        <v>0</v>
      </c>
      <c r="Q72" s="1021">
        <f ca="1">SUM(G72:P72)</f>
        <v>0</v>
      </c>
      <c r="S72" s="970">
        <f t="shared" ref="S72:AJ72" ca="1" si="186">S71</f>
        <v>0</v>
      </c>
      <c r="T72" s="970">
        <f t="shared" ca="1" si="186"/>
        <v>-1.289342548983772</v>
      </c>
      <c r="U72" s="970">
        <f t="shared" ca="1" si="186"/>
        <v>0</v>
      </c>
      <c r="V72" s="970">
        <f t="shared" ca="1" si="186"/>
        <v>0</v>
      </c>
      <c r="W72" s="970">
        <f t="shared" ca="1" si="186"/>
        <v>0</v>
      </c>
      <c r="X72" s="970">
        <f t="shared" ca="1" si="186"/>
        <v>0</v>
      </c>
      <c r="Y72" s="970">
        <f t="shared" ca="1" si="186"/>
        <v>0</v>
      </c>
      <c r="Z72" s="970">
        <f t="shared" ca="1" si="186"/>
        <v>0</v>
      </c>
      <c r="AA72" s="970">
        <f t="shared" ca="1" si="186"/>
        <v>0</v>
      </c>
      <c r="AB72" s="970">
        <f t="shared" ca="1" si="186"/>
        <v>9.0253978428864041</v>
      </c>
      <c r="AC72" s="970">
        <f t="shared" ca="1" si="186"/>
        <v>0</v>
      </c>
      <c r="AD72" s="970">
        <f ca="1">AD71</f>
        <v>0</v>
      </c>
      <c r="AE72" s="970">
        <f ca="1">AE71</f>
        <v>0</v>
      </c>
      <c r="AF72" s="970">
        <f t="shared" ca="1" si="186"/>
        <v>0</v>
      </c>
      <c r="AG72" s="970">
        <f t="shared" ca="1" si="186"/>
        <v>0</v>
      </c>
      <c r="AH72" s="970">
        <f ca="1">AH71</f>
        <v>0</v>
      </c>
      <c r="AI72" s="970">
        <f ca="1">AI71</f>
        <v>0</v>
      </c>
      <c r="AJ72" s="970">
        <f t="shared" ca="1" si="186"/>
        <v>0</v>
      </c>
      <c r="AK72" s="970">
        <f ca="1">SUM(S72:AJ72)</f>
        <v>7.7360552939026324</v>
      </c>
      <c r="AM72" s="976">
        <f ca="1">AM71</f>
        <v>0</v>
      </c>
      <c r="AN72" s="976">
        <f t="shared" ref="AN72:BE72" ca="1" si="187">AN71</f>
        <v>0</v>
      </c>
      <c r="AO72" s="976">
        <f t="shared" ca="1" si="187"/>
        <v>0</v>
      </c>
      <c r="AP72" s="976">
        <f t="shared" ca="1" si="187"/>
        <v>0</v>
      </c>
      <c r="AQ72" s="976">
        <f t="shared" ca="1" si="187"/>
        <v>0</v>
      </c>
      <c r="AR72" s="976">
        <f t="shared" ca="1" si="187"/>
        <v>0</v>
      </c>
      <c r="AS72" s="976">
        <f t="shared" ca="1" si="187"/>
        <v>0</v>
      </c>
      <c r="AT72" s="976">
        <f t="shared" ca="1" si="187"/>
        <v>0</v>
      </c>
      <c r="AU72" s="976">
        <f t="shared" ca="1" si="187"/>
        <v>0</v>
      </c>
      <c r="AV72" s="976">
        <f t="shared" ca="1" si="187"/>
        <v>0</v>
      </c>
      <c r="AW72" s="976">
        <f t="shared" ca="1" si="187"/>
        <v>0</v>
      </c>
      <c r="AX72" s="976">
        <f t="shared" ca="1" si="187"/>
        <v>0</v>
      </c>
      <c r="AY72" s="976">
        <f t="shared" ca="1" si="187"/>
        <v>0</v>
      </c>
      <c r="AZ72" s="976">
        <f t="shared" ca="1" si="187"/>
        <v>0</v>
      </c>
      <c r="BA72" s="976">
        <f t="shared" ca="1" si="187"/>
        <v>0</v>
      </c>
      <c r="BB72" s="976">
        <f t="shared" ca="1" si="187"/>
        <v>0</v>
      </c>
      <c r="BC72" s="976">
        <f t="shared" ca="1" si="187"/>
        <v>0</v>
      </c>
      <c r="BD72" s="976">
        <f t="shared" ca="1" si="187"/>
        <v>0</v>
      </c>
      <c r="BE72" s="976">
        <f t="shared" ca="1" si="187"/>
        <v>0</v>
      </c>
      <c r="BF72" s="976">
        <f ca="1">SUM(AM72:BE72)</f>
        <v>0</v>
      </c>
      <c r="BH72" s="990">
        <f ca="1">BH71</f>
        <v>-7.7360552939026324</v>
      </c>
      <c r="BI72" s="990">
        <f ca="1">BI71</f>
        <v>0</v>
      </c>
      <c r="BJ72" s="990">
        <f ca="1">SUM(BH72:BI72)</f>
        <v>-7.7360552939026324</v>
      </c>
      <c r="BL72" s="515">
        <f ca="1">Q72+AK72+BF72+BJ72</f>
        <v>0</v>
      </c>
      <c r="BM72" s="515"/>
      <c r="BN72" s="840"/>
      <c r="BO72" s="1482">
        <f t="shared" ref="BO72:DF72" ca="1" si="188">BO71</f>
        <v>0</v>
      </c>
      <c r="BP72" s="1482">
        <f t="shared" ca="1" si="188"/>
        <v>0</v>
      </c>
      <c r="BQ72" s="1482">
        <f t="shared" ca="1" si="188"/>
        <v>0</v>
      </c>
      <c r="BR72" s="1482">
        <f t="shared" ca="1" si="188"/>
        <v>0</v>
      </c>
      <c r="BS72" s="1482">
        <f t="shared" ca="1" si="188"/>
        <v>0</v>
      </c>
      <c r="BT72" s="1482">
        <f t="shared" ca="1" si="188"/>
        <v>0</v>
      </c>
      <c r="BU72" s="1482">
        <f t="shared" ca="1" si="188"/>
        <v>0</v>
      </c>
      <c r="BV72" s="1482">
        <f t="shared" ca="1" si="188"/>
        <v>0</v>
      </c>
      <c r="BW72" s="1482">
        <f t="shared" ca="1" si="188"/>
        <v>0</v>
      </c>
      <c r="BX72" s="1482">
        <f t="shared" ca="1" si="188"/>
        <v>0</v>
      </c>
      <c r="BY72" s="1482">
        <f t="shared" ca="1" si="188"/>
        <v>0</v>
      </c>
      <c r="BZ72" s="1482">
        <f t="shared" ca="1" si="188"/>
        <v>0</v>
      </c>
      <c r="CA72" s="1482">
        <f t="shared" ca="1" si="188"/>
        <v>0</v>
      </c>
      <c r="CB72" s="1482">
        <f t="shared" ca="1" si="188"/>
        <v>0</v>
      </c>
      <c r="CC72" s="1482">
        <f t="shared" ca="1" si="188"/>
        <v>0</v>
      </c>
      <c r="CD72" s="1482">
        <f t="shared" ca="1" si="188"/>
        <v>0</v>
      </c>
      <c r="CE72" s="1482">
        <f t="shared" ca="1" si="188"/>
        <v>0</v>
      </c>
      <c r="CF72" s="1482">
        <f t="shared" ca="1" si="188"/>
        <v>0</v>
      </c>
      <c r="CG72" s="1482">
        <f t="shared" ca="1" si="188"/>
        <v>0</v>
      </c>
      <c r="CH72" s="1482">
        <f t="shared" ca="1" si="188"/>
        <v>0</v>
      </c>
      <c r="CI72" s="1482">
        <f t="shared" ca="1" si="188"/>
        <v>0</v>
      </c>
      <c r="CJ72" s="1482">
        <f t="shared" ca="1" si="188"/>
        <v>0</v>
      </c>
      <c r="CK72" s="1482">
        <f t="shared" ca="1" si="188"/>
        <v>0</v>
      </c>
      <c r="CL72" s="1482">
        <f t="shared" ca="1" si="188"/>
        <v>0</v>
      </c>
      <c r="CM72" s="1482">
        <f t="shared" ca="1" si="188"/>
        <v>0</v>
      </c>
      <c r="CN72" s="1482">
        <f t="shared" ca="1" si="188"/>
        <v>0</v>
      </c>
      <c r="CO72" s="1482">
        <f t="shared" ca="1" si="188"/>
        <v>0</v>
      </c>
      <c r="CP72" s="1482">
        <f t="shared" ca="1" si="188"/>
        <v>0</v>
      </c>
      <c r="CQ72" s="1482">
        <f t="shared" ca="1" si="188"/>
        <v>0</v>
      </c>
      <c r="CR72" s="1482">
        <f t="shared" ca="1" si="188"/>
        <v>0</v>
      </c>
      <c r="CS72" s="1482">
        <f t="shared" ca="1" si="188"/>
        <v>0</v>
      </c>
      <c r="CT72" s="1482">
        <f t="shared" ca="1" si="188"/>
        <v>0</v>
      </c>
      <c r="CU72" s="1482">
        <f t="shared" ca="1" si="188"/>
        <v>0</v>
      </c>
      <c r="CV72" s="1482">
        <f t="shared" ca="1" si="188"/>
        <v>0</v>
      </c>
      <c r="CW72" s="1482">
        <f t="shared" ca="1" si="188"/>
        <v>0</v>
      </c>
      <c r="CX72" s="1482">
        <f t="shared" ca="1" si="188"/>
        <v>0</v>
      </c>
      <c r="CY72" s="1482">
        <f t="shared" ca="1" si="188"/>
        <v>0</v>
      </c>
      <c r="CZ72" s="1482">
        <f t="shared" ca="1" si="188"/>
        <v>0</v>
      </c>
      <c r="DA72" s="1482">
        <f t="shared" ca="1" si="188"/>
        <v>0</v>
      </c>
      <c r="DB72" s="1482">
        <f t="shared" ca="1" si="188"/>
        <v>0</v>
      </c>
      <c r="DC72" s="1482">
        <f t="shared" ca="1" si="188"/>
        <v>0</v>
      </c>
      <c r="DD72" s="1482">
        <f t="shared" ca="1" si="188"/>
        <v>0</v>
      </c>
      <c r="DE72" s="1482">
        <f t="shared" ca="1" si="188"/>
        <v>0</v>
      </c>
      <c r="DF72" s="1482">
        <f t="shared" ca="1" si="188"/>
        <v>0</v>
      </c>
      <c r="DH72" s="838">
        <f t="shared" ca="1" si="123"/>
        <v>0</v>
      </c>
    </row>
    <row r="73" spans="1:112" s="743" customFormat="1" ht="12.75" hidden="1" customHeight="1" outlineLevel="1">
      <c r="A73" s="22"/>
      <c r="B73" s="22"/>
      <c r="C73" s="751"/>
      <c r="D73" s="512"/>
      <c r="E73" s="512"/>
      <c r="G73" s="958"/>
      <c r="H73" s="958"/>
      <c r="I73" s="958"/>
      <c r="J73" s="958"/>
      <c r="K73" s="960"/>
      <c r="L73" s="958"/>
      <c r="M73" s="958"/>
      <c r="N73" s="958"/>
      <c r="O73" s="958"/>
      <c r="P73" s="958"/>
      <c r="Q73" s="958"/>
      <c r="S73" s="970"/>
      <c r="T73" s="970"/>
      <c r="U73" s="970"/>
      <c r="V73" s="970"/>
      <c r="W73" s="970"/>
      <c r="X73" s="970"/>
      <c r="Y73" s="970"/>
      <c r="Z73" s="970"/>
      <c r="AA73" s="970"/>
      <c r="AB73" s="970"/>
      <c r="AC73" s="970"/>
      <c r="AD73" s="970"/>
      <c r="AE73" s="970"/>
      <c r="AF73" s="970"/>
      <c r="AG73" s="970"/>
      <c r="AH73" s="970"/>
      <c r="AI73" s="970"/>
      <c r="AJ73" s="970"/>
      <c r="AK73" s="970"/>
      <c r="AM73" s="976"/>
      <c r="AN73" s="976"/>
      <c r="AO73" s="976"/>
      <c r="AP73" s="976"/>
      <c r="AQ73" s="976"/>
      <c r="AR73" s="976"/>
      <c r="AS73" s="976"/>
      <c r="AT73" s="976"/>
      <c r="AU73" s="976"/>
      <c r="AV73" s="976"/>
      <c r="AW73" s="976"/>
      <c r="AX73" s="976"/>
      <c r="AY73" s="976"/>
      <c r="AZ73" s="976"/>
      <c r="BA73" s="976"/>
      <c r="BB73" s="976"/>
      <c r="BC73" s="976"/>
      <c r="BD73" s="976"/>
      <c r="BE73" s="976"/>
      <c r="BF73" s="976"/>
      <c r="BH73" s="990"/>
      <c r="BI73" s="990"/>
      <c r="BJ73" s="990"/>
      <c r="BL73" s="515"/>
      <c r="BM73" s="515"/>
      <c r="BN73" s="22"/>
      <c r="BO73" s="1482"/>
      <c r="BP73" s="1482"/>
      <c r="BQ73" s="1482"/>
      <c r="BR73" s="1482"/>
      <c r="BS73" s="1482"/>
      <c r="BT73" s="1482"/>
      <c r="BU73" s="1482"/>
      <c r="BV73" s="1482"/>
      <c r="BW73" s="1482"/>
      <c r="BX73" s="1482"/>
      <c r="BY73" s="1482"/>
      <c r="BZ73" s="1482"/>
      <c r="CA73" s="1482"/>
      <c r="CB73" s="1482"/>
      <c r="CC73" s="1482"/>
      <c r="CD73" s="1482"/>
      <c r="CE73" s="1482"/>
      <c r="CF73" s="1482"/>
      <c r="CG73" s="1482"/>
      <c r="CH73" s="1482"/>
      <c r="CI73" s="1482"/>
      <c r="CJ73" s="1482"/>
      <c r="CK73" s="1482"/>
      <c r="CL73" s="1482"/>
      <c r="CM73" s="1482"/>
      <c r="CN73" s="1482"/>
      <c r="CO73" s="1482"/>
      <c r="CP73" s="1482"/>
      <c r="CQ73" s="1482"/>
      <c r="CR73" s="1482"/>
      <c r="CS73" s="1482"/>
      <c r="CT73" s="1482"/>
      <c r="CU73" s="1482"/>
      <c r="CV73" s="1482"/>
      <c r="CW73" s="1482"/>
      <c r="CX73" s="1482"/>
      <c r="CY73" s="1482"/>
      <c r="CZ73" s="1482"/>
      <c r="DA73" s="1482"/>
      <c r="DB73" s="1482"/>
      <c r="DC73" s="1482"/>
      <c r="DD73" s="1482"/>
      <c r="DE73" s="1482"/>
      <c r="DF73" s="1482"/>
      <c r="DH73" s="838">
        <f t="shared" si="123"/>
        <v>0</v>
      </c>
    </row>
    <row r="74" spans="1:112" s="1488" customFormat="1" ht="12.75" hidden="1" customHeight="1" outlineLevel="1">
      <c r="C74" s="1048" t="s">
        <v>1719</v>
      </c>
      <c r="D74" s="1049" t="s">
        <v>1334</v>
      </c>
      <c r="E74" s="1049"/>
      <c r="F74" s="743"/>
      <c r="G74" s="1050"/>
      <c r="H74" s="1050"/>
      <c r="I74" s="1050"/>
      <c r="J74" s="1050"/>
      <c r="K74" s="1051"/>
      <c r="L74" s="1050"/>
      <c r="M74" s="1050"/>
      <c r="N74" s="1050"/>
      <c r="O74" s="1050"/>
      <c r="P74" s="1050"/>
      <c r="Q74" s="1050"/>
      <c r="R74" s="743"/>
      <c r="S74" s="1052">
        <f ca="1">S$40+S$46+S$51+S$99+S$55+S$93+S$63+S$68+S$72</f>
        <v>-389.72589326068504</v>
      </c>
      <c r="T74" s="1052">
        <f ca="1">T$40+T$46+T$51+T$99+T$55+T$93+T$63+T$68+T$72</f>
        <v>29.442432807926476</v>
      </c>
      <c r="U74" s="1052"/>
      <c r="V74" s="1052"/>
      <c r="W74" s="1052"/>
      <c r="X74" s="1052"/>
      <c r="Y74" s="1052"/>
      <c r="Z74" s="1052"/>
      <c r="AA74" s="1052"/>
      <c r="AB74" s="1052"/>
      <c r="AC74" s="1052"/>
      <c r="AD74" s="1052"/>
      <c r="AE74" s="1052"/>
      <c r="AF74" s="1052"/>
      <c r="AG74" s="1052"/>
      <c r="AH74" s="1052"/>
      <c r="AI74" s="1052"/>
      <c r="AJ74" s="1052"/>
      <c r="AK74" s="1052"/>
      <c r="AL74" s="743"/>
      <c r="AM74" s="1053"/>
      <c r="AN74" s="1053"/>
      <c r="AO74" s="1053"/>
      <c r="AP74" s="1053"/>
      <c r="AQ74" s="1053"/>
      <c r="AR74" s="1053"/>
      <c r="AS74" s="1053"/>
      <c r="AT74" s="1053"/>
      <c r="AU74" s="1053"/>
      <c r="AV74" s="1053"/>
      <c r="AW74" s="1053"/>
      <c r="AX74" s="1053"/>
      <c r="AY74" s="1053"/>
      <c r="AZ74" s="1053"/>
      <c r="BA74" s="1053"/>
      <c r="BB74" s="1053"/>
      <c r="BC74" s="1053"/>
      <c r="BD74" s="1053"/>
      <c r="BE74" s="1053"/>
      <c r="BF74" s="1053"/>
      <c r="BG74" s="743"/>
      <c r="BH74" s="1054"/>
      <c r="BI74" s="1054"/>
      <c r="BJ74" s="1054">
        <f>SUM(BH74:BI74)</f>
        <v>0</v>
      </c>
      <c r="BK74" s="743"/>
      <c r="BL74" s="852">
        <f t="shared" ref="BL74:BL80" si="189">Q74+AK74+BF74+BJ74</f>
        <v>0</v>
      </c>
      <c r="BM74" s="852"/>
      <c r="BO74" s="1490"/>
      <c r="BP74" s="1490"/>
      <c r="BQ74" s="1490"/>
      <c r="BR74" s="1490"/>
      <c r="BS74" s="1490"/>
      <c r="BT74" s="1490"/>
      <c r="BU74" s="1490"/>
      <c r="BV74" s="1490"/>
      <c r="BW74" s="1490"/>
      <c r="BX74" s="1490"/>
      <c r="BY74" s="1490"/>
      <c r="BZ74" s="1490"/>
      <c r="CA74" s="1490"/>
      <c r="CB74" s="1490"/>
      <c r="CC74" s="1490"/>
      <c r="CD74" s="1490"/>
      <c r="CE74" s="1490"/>
      <c r="CF74" s="1490"/>
      <c r="CG74" s="1490"/>
      <c r="CH74" s="1490"/>
      <c r="CI74" s="1490"/>
      <c r="CJ74" s="1490"/>
      <c r="CK74" s="1490"/>
      <c r="CL74" s="1490"/>
      <c r="CM74" s="1490"/>
      <c r="CN74" s="1490"/>
      <c r="CO74" s="1490"/>
      <c r="CP74" s="1490"/>
      <c r="CQ74" s="1490"/>
      <c r="CR74" s="1490"/>
      <c r="CS74" s="1490"/>
      <c r="CT74" s="1490"/>
      <c r="CU74" s="1490"/>
      <c r="CV74" s="1490"/>
      <c r="CW74" s="1490"/>
      <c r="CX74" s="1490"/>
      <c r="CY74" s="1490"/>
      <c r="CZ74" s="1490"/>
      <c r="DA74" s="1490"/>
      <c r="DB74" s="1490"/>
      <c r="DC74" s="1490"/>
      <c r="DD74" s="1490"/>
      <c r="DE74" s="1490"/>
      <c r="DF74" s="1490"/>
      <c r="DH74" s="838">
        <f t="shared" si="123"/>
        <v>0</v>
      </c>
    </row>
    <row r="75" spans="1:112" s="1484" customFormat="1" ht="12.75" hidden="1" customHeight="1" outlineLevel="1">
      <c r="C75" s="746" t="s">
        <v>756</v>
      </c>
      <c r="D75" s="1010" t="str">
        <f>INDEX(Modules[Module], MATCH($C75, Modules[Code], 0))</f>
        <v>Nuclear power</v>
      </c>
      <c r="E75" s="1010"/>
      <c r="F75" s="743"/>
      <c r="G75" s="1022">
        <f t="shared" ref="G75:P75" ca="1" si="190">IFERROR(INDEX(INDIRECT($C75&amp;".Outputs["&amp;this.Year&amp;"]"), MATCH(G$5, INDIRECT($C75&amp;".Outputs[Vector]"), 0)), 0)</f>
        <v>0</v>
      </c>
      <c r="H75" s="1022">
        <f t="shared" ca="1" si="190"/>
        <v>0</v>
      </c>
      <c r="I75" s="1022">
        <f t="shared" ca="1" si="190"/>
        <v>0</v>
      </c>
      <c r="J75" s="1022">
        <f t="shared" ca="1" si="190"/>
        <v>0</v>
      </c>
      <c r="K75" s="1022">
        <f t="shared" ca="1" si="190"/>
        <v>0</v>
      </c>
      <c r="L75" s="1022">
        <f t="shared" ca="1" si="190"/>
        <v>0</v>
      </c>
      <c r="M75" s="1022">
        <f t="shared" ca="1" si="190"/>
        <v>0</v>
      </c>
      <c r="N75" s="1022">
        <f t="shared" ca="1" si="190"/>
        <v>0</v>
      </c>
      <c r="O75" s="1022">
        <f t="shared" ca="1" si="190"/>
        <v>0</v>
      </c>
      <c r="P75" s="1022">
        <f t="shared" ca="1" si="190"/>
        <v>0</v>
      </c>
      <c r="Q75" s="1020">
        <f ca="1">SUM(G75:P75)</f>
        <v>0</v>
      </c>
      <c r="R75" s="743"/>
      <c r="S75" s="1031">
        <f t="shared" ref="S75:BE75" ca="1" si="191">IFERROR(INDEX(INDIRECT($C75&amp;".Outputs["&amp;this.Year&amp;"]"), MATCH(S$5, INDIRECT($C75&amp;".Outputs[Vector]"), 0)), 0)</f>
        <v>0</v>
      </c>
      <c r="T75" s="1031">
        <f t="shared" ca="1" si="191"/>
        <v>8.4153600000000051</v>
      </c>
      <c r="U75" s="1031">
        <f t="shared" ca="1" si="191"/>
        <v>0</v>
      </c>
      <c r="V75" s="1031">
        <f t="shared" ca="1" si="191"/>
        <v>0</v>
      </c>
      <c r="W75" s="1031">
        <f t="shared" ca="1" si="191"/>
        <v>0</v>
      </c>
      <c r="X75" s="1031">
        <f ca="1">IFERROR(INDEX(INDIRECT($C75&amp;".Outputs["&amp;this.Year&amp;"]"), MATCH(X$5, INDIRECT($C75&amp;".Outputs[Vector]"), 0)), 0)</f>
        <v>0</v>
      </c>
      <c r="Y75" s="1031">
        <f ca="1">IFERROR(INDEX(INDIRECT($C75&amp;".Outputs["&amp;this.Year&amp;"]"), MATCH(Y$5, INDIRECT($C75&amp;".Outputs[Vector]"), 0)), 0)</f>
        <v>0</v>
      </c>
      <c r="Z75" s="1031">
        <f ca="1">IFERROR(INDEX(INDIRECT($C75&amp;".Outputs["&amp;this.Year&amp;"]"), MATCH(Z$5, INDIRECT($C75&amp;".Outputs[Vector]"), 0)), 0)</f>
        <v>0</v>
      </c>
      <c r="AA75" s="1031">
        <f t="shared" ca="1" si="191"/>
        <v>0</v>
      </c>
      <c r="AB75" s="1031">
        <f t="shared" ca="1" si="191"/>
        <v>0</v>
      </c>
      <c r="AC75" s="1031">
        <f t="shared" ca="1" si="191"/>
        <v>0</v>
      </c>
      <c r="AD75" s="1031">
        <f t="shared" ca="1" si="191"/>
        <v>0</v>
      </c>
      <c r="AE75" s="1031">
        <f t="shared" ca="1" si="191"/>
        <v>0</v>
      </c>
      <c r="AF75" s="1031">
        <f t="shared" ca="1" si="191"/>
        <v>0</v>
      </c>
      <c r="AG75" s="1031">
        <f t="shared" ca="1" si="191"/>
        <v>0</v>
      </c>
      <c r="AH75" s="1031">
        <f t="shared" ca="1" si="191"/>
        <v>0</v>
      </c>
      <c r="AI75" s="1031">
        <f t="shared" ca="1" si="191"/>
        <v>0</v>
      </c>
      <c r="AJ75" s="1031">
        <f t="shared" ca="1" si="191"/>
        <v>0</v>
      </c>
      <c r="AK75" s="1030">
        <f ca="1">SUM(S75:AJ75)</f>
        <v>8.4153600000000051</v>
      </c>
      <c r="AL75" s="743"/>
      <c r="AM75" s="1042">
        <f t="shared" ref="AM75:AU75" ca="1" si="192">IFERROR(INDEX(INDIRECT($C75&amp;".Outputs["&amp;this.Year&amp;"]"), MATCH(AM$5, INDIRECT($C75&amp;".Outputs[Vector]"), 0)), 0)</f>
        <v>0</v>
      </c>
      <c r="AN75" s="1042">
        <f t="shared" ca="1" si="192"/>
        <v>0</v>
      </c>
      <c r="AO75" s="1042">
        <f t="shared" ca="1" si="192"/>
        <v>0</v>
      </c>
      <c r="AP75" s="1042">
        <f t="shared" ca="1" si="192"/>
        <v>0</v>
      </c>
      <c r="AQ75" s="1042">
        <f t="shared" ca="1" si="192"/>
        <v>0</v>
      </c>
      <c r="AR75" s="1042">
        <f t="shared" ca="1" si="192"/>
        <v>0</v>
      </c>
      <c r="AS75" s="1042">
        <f t="shared" ca="1" si="192"/>
        <v>0</v>
      </c>
      <c r="AT75" s="1042">
        <f t="shared" ca="1" si="192"/>
        <v>0</v>
      </c>
      <c r="AU75" s="1042">
        <f t="shared" ca="1" si="192"/>
        <v>0</v>
      </c>
      <c r="AV75" s="1042">
        <f t="shared" ca="1" si="191"/>
        <v>-25.713600000000014</v>
      </c>
      <c r="AW75" s="1042">
        <f t="shared" ca="1" si="191"/>
        <v>0</v>
      </c>
      <c r="AX75" s="1042">
        <f t="shared" ca="1" si="191"/>
        <v>0</v>
      </c>
      <c r="AY75" s="1042">
        <f t="shared" ca="1" si="191"/>
        <v>0</v>
      </c>
      <c r="AZ75" s="1042">
        <f t="shared" ca="1" si="191"/>
        <v>0</v>
      </c>
      <c r="BA75" s="1042">
        <f t="shared" ca="1" si="191"/>
        <v>0</v>
      </c>
      <c r="BB75" s="1042">
        <f t="shared" ca="1" si="191"/>
        <v>0</v>
      </c>
      <c r="BC75" s="1042">
        <f t="shared" ca="1" si="191"/>
        <v>0</v>
      </c>
      <c r="BD75" s="1042">
        <f t="shared" ca="1" si="191"/>
        <v>0</v>
      </c>
      <c r="BE75" s="1042">
        <f t="shared" ca="1" si="191"/>
        <v>0</v>
      </c>
      <c r="BF75" s="1012">
        <f ca="1">SUM(AM75:BE75)</f>
        <v>-25.713600000000014</v>
      </c>
      <c r="BG75" s="743"/>
      <c r="BH75" s="1036">
        <f ca="1">IFERROR(INDEX(INDIRECT($C75&amp;".Outputs["&amp;this.Year&amp;"]"), MATCH(BH$5, INDIRECT($C75&amp;".Outputs[Vector]"), 0)), 0)</f>
        <v>16.456704000000009</v>
      </c>
      <c r="BI75" s="1036">
        <f ca="1">IFERROR(INDEX(INDIRECT($C75&amp;".Outputs["&amp;this.Year&amp;"]"), MATCH(BI$5, INDIRECT($C75&amp;".Outputs[Vector]"), 0)), 0)</f>
        <v>0.84153600000000051</v>
      </c>
      <c r="BJ75" s="1035">
        <f ca="1">SUM(BH75:BI75)</f>
        <v>17.29824000000001</v>
      </c>
      <c r="BK75" s="743"/>
      <c r="BL75" s="814">
        <f t="shared" ca="1" si="189"/>
        <v>0</v>
      </c>
      <c r="BM75" s="814"/>
      <c r="BN75" s="840"/>
      <c r="BO75" s="1485">
        <f t="shared" ref="BO75:DF75" ca="1" si="193">IFERROR(SUMIFS(INDIRECT($C75&amp;".Emissions["&amp;this.Year&amp;"]"), INDIRECT($C75&amp;".Emissions[GHG]"), BO$6, INDIRECT($C75&amp;".Emissions[IPCC Sector]"), BO$5),0)</f>
        <v>0</v>
      </c>
      <c r="BP75" s="1486">
        <f t="shared" ca="1" si="193"/>
        <v>0</v>
      </c>
      <c r="BQ75" s="1486">
        <f t="shared" ca="1" si="193"/>
        <v>0</v>
      </c>
      <c r="BR75" s="1486">
        <f t="shared" ca="1" si="193"/>
        <v>0</v>
      </c>
      <c r="BS75" s="1486">
        <f t="shared" ca="1" si="193"/>
        <v>0</v>
      </c>
      <c r="BT75" s="1486">
        <f t="shared" ca="1" si="193"/>
        <v>0</v>
      </c>
      <c r="BU75" s="1486">
        <f t="shared" ca="1" si="193"/>
        <v>0</v>
      </c>
      <c r="BV75" s="1486">
        <f t="shared" ca="1" si="193"/>
        <v>0</v>
      </c>
      <c r="BW75" s="1486">
        <f t="shared" ca="1" si="193"/>
        <v>0</v>
      </c>
      <c r="BX75" s="1486">
        <f t="shared" ca="1" si="193"/>
        <v>0</v>
      </c>
      <c r="BY75" s="1486">
        <f t="shared" ca="1" si="193"/>
        <v>0</v>
      </c>
      <c r="BZ75" s="1486">
        <f t="shared" ca="1" si="193"/>
        <v>0</v>
      </c>
      <c r="CA75" s="1486">
        <f t="shared" ca="1" si="193"/>
        <v>0</v>
      </c>
      <c r="CB75" s="1486">
        <f t="shared" ca="1" si="193"/>
        <v>0</v>
      </c>
      <c r="CC75" s="1486">
        <f t="shared" ca="1" si="193"/>
        <v>0</v>
      </c>
      <c r="CD75" s="1486">
        <f t="shared" ca="1" si="193"/>
        <v>0</v>
      </c>
      <c r="CE75" s="1486">
        <f t="shared" ca="1" si="193"/>
        <v>0</v>
      </c>
      <c r="CF75" s="1486">
        <f t="shared" ca="1" si="193"/>
        <v>0</v>
      </c>
      <c r="CG75" s="1486">
        <f t="shared" ca="1" si="193"/>
        <v>0</v>
      </c>
      <c r="CH75" s="1486">
        <f t="shared" ca="1" si="193"/>
        <v>0</v>
      </c>
      <c r="CI75" s="1486">
        <f t="shared" ca="1" si="193"/>
        <v>0</v>
      </c>
      <c r="CJ75" s="1486">
        <f t="shared" ca="1" si="193"/>
        <v>0</v>
      </c>
      <c r="CK75" s="1486">
        <f t="shared" ca="1" si="193"/>
        <v>0</v>
      </c>
      <c r="CL75" s="1486">
        <f t="shared" ca="1" si="193"/>
        <v>0</v>
      </c>
      <c r="CM75" s="1486">
        <f t="shared" ca="1" si="193"/>
        <v>0</v>
      </c>
      <c r="CN75" s="1486">
        <f t="shared" ca="1" si="193"/>
        <v>0</v>
      </c>
      <c r="CO75" s="1486">
        <f t="shared" ca="1" si="193"/>
        <v>0</v>
      </c>
      <c r="CP75" s="1486">
        <f t="shared" ca="1" si="193"/>
        <v>0</v>
      </c>
      <c r="CQ75" s="1486">
        <f t="shared" ca="1" si="193"/>
        <v>0</v>
      </c>
      <c r="CR75" s="1486">
        <f t="shared" ca="1" si="193"/>
        <v>0</v>
      </c>
      <c r="CS75" s="1486">
        <f t="shared" ca="1" si="193"/>
        <v>0</v>
      </c>
      <c r="CT75" s="1486">
        <f t="shared" ca="1" si="193"/>
        <v>0</v>
      </c>
      <c r="CU75" s="1486">
        <f t="shared" ca="1" si="193"/>
        <v>0</v>
      </c>
      <c r="CV75" s="1486">
        <f t="shared" ca="1" si="193"/>
        <v>0</v>
      </c>
      <c r="CW75" s="1486">
        <f t="shared" ca="1" si="193"/>
        <v>0</v>
      </c>
      <c r="CX75" s="1486">
        <f t="shared" ca="1" si="193"/>
        <v>0</v>
      </c>
      <c r="CY75" s="1486">
        <f t="shared" ca="1" si="193"/>
        <v>0</v>
      </c>
      <c r="CZ75" s="1486">
        <f t="shared" ca="1" si="193"/>
        <v>0</v>
      </c>
      <c r="DA75" s="1486">
        <f t="shared" ca="1" si="193"/>
        <v>0</v>
      </c>
      <c r="DB75" s="1486">
        <f t="shared" ca="1" si="193"/>
        <v>0</v>
      </c>
      <c r="DC75" s="1486">
        <f t="shared" ca="1" si="193"/>
        <v>0</v>
      </c>
      <c r="DD75" s="1486">
        <f t="shared" ca="1" si="193"/>
        <v>0</v>
      </c>
      <c r="DE75" s="1486">
        <f t="shared" ca="1" si="193"/>
        <v>0</v>
      </c>
      <c r="DF75" s="1486">
        <f t="shared" ca="1" si="193"/>
        <v>0</v>
      </c>
      <c r="DH75" s="838">
        <f t="shared" ca="1" si="123"/>
        <v>0</v>
      </c>
    </row>
    <row r="76" spans="1:112" s="743" customFormat="1" ht="15.75" collapsed="1">
      <c r="A76" s="22"/>
      <c r="B76" s="753"/>
      <c r="C76" s="744" t="s">
        <v>75</v>
      </c>
      <c r="D76" s="517" t="str">
        <f>INDEX(Workstreams[Workstream], MATCH($C76, Workstreams[Code], 0))</f>
        <v>Nuclear power generation</v>
      </c>
      <c r="E76" s="512"/>
      <c r="G76" s="1021">
        <f ca="1">G75</f>
        <v>0</v>
      </c>
      <c r="H76" s="1021">
        <f t="shared" ref="H76:P76" ca="1" si="194">H75</f>
        <v>0</v>
      </c>
      <c r="I76" s="1021">
        <f t="shared" ca="1" si="194"/>
        <v>0</v>
      </c>
      <c r="J76" s="1021">
        <f t="shared" ca="1" si="194"/>
        <v>0</v>
      </c>
      <c r="K76" s="1021">
        <f t="shared" ca="1" si="194"/>
        <v>0</v>
      </c>
      <c r="L76" s="1021">
        <f t="shared" ca="1" si="194"/>
        <v>0</v>
      </c>
      <c r="M76" s="1021">
        <f t="shared" ca="1" si="194"/>
        <v>0</v>
      </c>
      <c r="N76" s="1021">
        <f t="shared" ca="1" si="194"/>
        <v>0</v>
      </c>
      <c r="O76" s="1021">
        <f t="shared" ca="1" si="194"/>
        <v>0</v>
      </c>
      <c r="P76" s="1021">
        <f t="shared" ca="1" si="194"/>
        <v>0</v>
      </c>
      <c r="Q76" s="1021">
        <f ca="1">SUM(G76:P76)</f>
        <v>0</v>
      </c>
      <c r="S76" s="970">
        <f t="shared" ref="S76:AJ76" ca="1" si="195">S75</f>
        <v>0</v>
      </c>
      <c r="T76" s="970">
        <f t="shared" ca="1" si="195"/>
        <v>8.4153600000000051</v>
      </c>
      <c r="U76" s="970">
        <f t="shared" ca="1" si="195"/>
        <v>0</v>
      </c>
      <c r="V76" s="970">
        <f t="shared" ca="1" si="195"/>
        <v>0</v>
      </c>
      <c r="W76" s="970">
        <f t="shared" ca="1" si="195"/>
        <v>0</v>
      </c>
      <c r="X76" s="970">
        <f t="shared" ca="1" si="195"/>
        <v>0</v>
      </c>
      <c r="Y76" s="970">
        <f t="shared" ca="1" si="195"/>
        <v>0</v>
      </c>
      <c r="Z76" s="970">
        <f t="shared" ca="1" si="195"/>
        <v>0</v>
      </c>
      <c r="AA76" s="970">
        <f t="shared" ca="1" si="195"/>
        <v>0</v>
      </c>
      <c r="AB76" s="970">
        <f t="shared" ca="1" si="195"/>
        <v>0</v>
      </c>
      <c r="AC76" s="970">
        <f t="shared" ca="1" si="195"/>
        <v>0</v>
      </c>
      <c r="AD76" s="970">
        <f ca="1">AD75</f>
        <v>0</v>
      </c>
      <c r="AE76" s="970">
        <f ca="1">AE75</f>
        <v>0</v>
      </c>
      <c r="AF76" s="970">
        <f t="shared" ca="1" si="195"/>
        <v>0</v>
      </c>
      <c r="AG76" s="970">
        <f ca="1">AG75</f>
        <v>0</v>
      </c>
      <c r="AH76" s="970">
        <f ca="1">AH75</f>
        <v>0</v>
      </c>
      <c r="AI76" s="970">
        <f ca="1">AI75</f>
        <v>0</v>
      </c>
      <c r="AJ76" s="970">
        <f t="shared" ca="1" si="195"/>
        <v>0</v>
      </c>
      <c r="AK76" s="970">
        <f ca="1">SUM(S76:AJ76)</f>
        <v>8.4153600000000051</v>
      </c>
      <c r="AM76" s="976">
        <f ca="1">AM75</f>
        <v>0</v>
      </c>
      <c r="AN76" s="976">
        <f t="shared" ref="AN76:BE76" ca="1" si="196">AN75</f>
        <v>0</v>
      </c>
      <c r="AO76" s="976">
        <f t="shared" ca="1" si="196"/>
        <v>0</v>
      </c>
      <c r="AP76" s="976">
        <f t="shared" ca="1" si="196"/>
        <v>0</v>
      </c>
      <c r="AQ76" s="976">
        <f t="shared" ca="1" si="196"/>
        <v>0</v>
      </c>
      <c r="AR76" s="976">
        <f t="shared" ca="1" si="196"/>
        <v>0</v>
      </c>
      <c r="AS76" s="976">
        <f t="shared" ca="1" si="196"/>
        <v>0</v>
      </c>
      <c r="AT76" s="976">
        <f t="shared" ca="1" si="196"/>
        <v>0</v>
      </c>
      <c r="AU76" s="976">
        <f t="shared" ca="1" si="196"/>
        <v>0</v>
      </c>
      <c r="AV76" s="976">
        <f t="shared" ca="1" si="196"/>
        <v>-25.713600000000014</v>
      </c>
      <c r="AW76" s="976">
        <f t="shared" ca="1" si="196"/>
        <v>0</v>
      </c>
      <c r="AX76" s="976">
        <f t="shared" ca="1" si="196"/>
        <v>0</v>
      </c>
      <c r="AY76" s="976">
        <f t="shared" ca="1" si="196"/>
        <v>0</v>
      </c>
      <c r="AZ76" s="976">
        <f t="shared" ca="1" si="196"/>
        <v>0</v>
      </c>
      <c r="BA76" s="976">
        <f t="shared" ca="1" si="196"/>
        <v>0</v>
      </c>
      <c r="BB76" s="976">
        <f t="shared" ca="1" si="196"/>
        <v>0</v>
      </c>
      <c r="BC76" s="976">
        <f t="shared" ca="1" si="196"/>
        <v>0</v>
      </c>
      <c r="BD76" s="976">
        <f t="shared" ca="1" si="196"/>
        <v>0</v>
      </c>
      <c r="BE76" s="976">
        <f t="shared" ca="1" si="196"/>
        <v>0</v>
      </c>
      <c r="BF76" s="976">
        <f ca="1">SUM(AM76:BE76)</f>
        <v>-25.713600000000014</v>
      </c>
      <c r="BH76" s="990">
        <f ca="1">BH75</f>
        <v>16.456704000000009</v>
      </c>
      <c r="BI76" s="990">
        <f ca="1">BI75</f>
        <v>0.84153600000000051</v>
      </c>
      <c r="BJ76" s="990">
        <f ca="1">SUM(BH76:BI76)</f>
        <v>17.29824000000001</v>
      </c>
      <c r="BL76" s="515">
        <f t="shared" ca="1" si="189"/>
        <v>0</v>
      </c>
      <c r="BM76" s="515"/>
      <c r="BN76" s="840"/>
      <c r="BO76" s="1482">
        <f t="shared" ref="BO76:DF76" ca="1" si="197">BO75</f>
        <v>0</v>
      </c>
      <c r="BP76" s="1482">
        <f t="shared" ca="1" si="197"/>
        <v>0</v>
      </c>
      <c r="BQ76" s="1482">
        <f t="shared" ca="1" si="197"/>
        <v>0</v>
      </c>
      <c r="BR76" s="1482">
        <f t="shared" ca="1" si="197"/>
        <v>0</v>
      </c>
      <c r="BS76" s="1482">
        <f t="shared" ca="1" si="197"/>
        <v>0</v>
      </c>
      <c r="BT76" s="1482">
        <f t="shared" ca="1" si="197"/>
        <v>0</v>
      </c>
      <c r="BU76" s="1482">
        <f t="shared" ca="1" si="197"/>
        <v>0</v>
      </c>
      <c r="BV76" s="1482">
        <f t="shared" ca="1" si="197"/>
        <v>0</v>
      </c>
      <c r="BW76" s="1482">
        <f t="shared" ca="1" si="197"/>
        <v>0</v>
      </c>
      <c r="BX76" s="1482">
        <f t="shared" ca="1" si="197"/>
        <v>0</v>
      </c>
      <c r="BY76" s="1482">
        <f t="shared" ca="1" si="197"/>
        <v>0</v>
      </c>
      <c r="BZ76" s="1482">
        <f t="shared" ca="1" si="197"/>
        <v>0</v>
      </c>
      <c r="CA76" s="1482">
        <f t="shared" ca="1" si="197"/>
        <v>0</v>
      </c>
      <c r="CB76" s="1482">
        <f t="shared" ca="1" si="197"/>
        <v>0</v>
      </c>
      <c r="CC76" s="1482">
        <f t="shared" ca="1" si="197"/>
        <v>0</v>
      </c>
      <c r="CD76" s="1482">
        <f t="shared" ca="1" si="197"/>
        <v>0</v>
      </c>
      <c r="CE76" s="1482">
        <f t="shared" ca="1" si="197"/>
        <v>0</v>
      </c>
      <c r="CF76" s="1482">
        <f t="shared" ca="1" si="197"/>
        <v>0</v>
      </c>
      <c r="CG76" s="1482">
        <f t="shared" ca="1" si="197"/>
        <v>0</v>
      </c>
      <c r="CH76" s="1482">
        <f t="shared" ca="1" si="197"/>
        <v>0</v>
      </c>
      <c r="CI76" s="1482">
        <f t="shared" ca="1" si="197"/>
        <v>0</v>
      </c>
      <c r="CJ76" s="1482">
        <f t="shared" ca="1" si="197"/>
        <v>0</v>
      </c>
      <c r="CK76" s="1482">
        <f t="shared" ca="1" si="197"/>
        <v>0</v>
      </c>
      <c r="CL76" s="1482">
        <f t="shared" ca="1" si="197"/>
        <v>0</v>
      </c>
      <c r="CM76" s="1482">
        <f t="shared" ca="1" si="197"/>
        <v>0</v>
      </c>
      <c r="CN76" s="1482">
        <f t="shared" ca="1" si="197"/>
        <v>0</v>
      </c>
      <c r="CO76" s="1482">
        <f t="shared" ca="1" si="197"/>
        <v>0</v>
      </c>
      <c r="CP76" s="1482">
        <f t="shared" ca="1" si="197"/>
        <v>0</v>
      </c>
      <c r="CQ76" s="1482">
        <f t="shared" ca="1" si="197"/>
        <v>0</v>
      </c>
      <c r="CR76" s="1482">
        <f t="shared" ca="1" si="197"/>
        <v>0</v>
      </c>
      <c r="CS76" s="1482">
        <f t="shared" ca="1" si="197"/>
        <v>0</v>
      </c>
      <c r="CT76" s="1482">
        <f t="shared" ca="1" si="197"/>
        <v>0</v>
      </c>
      <c r="CU76" s="1482">
        <f t="shared" ca="1" si="197"/>
        <v>0</v>
      </c>
      <c r="CV76" s="1482">
        <f t="shared" ca="1" si="197"/>
        <v>0</v>
      </c>
      <c r="CW76" s="1482">
        <f t="shared" ca="1" si="197"/>
        <v>0</v>
      </c>
      <c r="CX76" s="1482">
        <f t="shared" ca="1" si="197"/>
        <v>0</v>
      </c>
      <c r="CY76" s="1482">
        <f t="shared" ca="1" si="197"/>
        <v>0</v>
      </c>
      <c r="CZ76" s="1482">
        <f t="shared" ca="1" si="197"/>
        <v>0</v>
      </c>
      <c r="DA76" s="1482">
        <f t="shared" ca="1" si="197"/>
        <v>0</v>
      </c>
      <c r="DB76" s="1482">
        <f t="shared" ca="1" si="197"/>
        <v>0</v>
      </c>
      <c r="DC76" s="1482">
        <f t="shared" ca="1" si="197"/>
        <v>0</v>
      </c>
      <c r="DD76" s="1482">
        <f t="shared" ca="1" si="197"/>
        <v>0</v>
      </c>
      <c r="DE76" s="1482">
        <f t="shared" ca="1" si="197"/>
        <v>0</v>
      </c>
      <c r="DF76" s="1482">
        <f t="shared" ca="1" si="197"/>
        <v>0</v>
      </c>
      <c r="DH76" s="838">
        <f t="shared" ca="1" si="123"/>
        <v>0</v>
      </c>
    </row>
    <row r="77" spans="1:112" s="743" customFormat="1" ht="12.75" hidden="1" customHeight="1" outlineLevel="1">
      <c r="A77" s="22"/>
      <c r="B77" s="22"/>
      <c r="C77" s="751"/>
      <c r="D77" s="512"/>
      <c r="E77" s="512"/>
      <c r="G77" s="958"/>
      <c r="H77" s="958"/>
      <c r="I77" s="958"/>
      <c r="J77" s="958"/>
      <c r="K77" s="960"/>
      <c r="L77" s="958"/>
      <c r="M77" s="958"/>
      <c r="N77" s="958"/>
      <c r="O77" s="958"/>
      <c r="P77" s="958"/>
      <c r="Q77" s="958"/>
      <c r="S77" s="970"/>
      <c r="T77" s="970"/>
      <c r="U77" s="970"/>
      <c r="V77" s="970"/>
      <c r="W77" s="970"/>
      <c r="X77" s="970"/>
      <c r="Y77" s="970"/>
      <c r="Z77" s="970"/>
      <c r="AA77" s="970"/>
      <c r="AB77" s="970"/>
      <c r="AC77" s="970"/>
      <c r="AD77" s="970"/>
      <c r="AE77" s="970"/>
      <c r="AF77" s="970"/>
      <c r="AG77" s="970"/>
      <c r="AH77" s="970"/>
      <c r="AI77" s="970"/>
      <c r="AJ77" s="970"/>
      <c r="AK77" s="970"/>
      <c r="AM77" s="976"/>
      <c r="AN77" s="976"/>
      <c r="AO77" s="976"/>
      <c r="AP77" s="976"/>
      <c r="AQ77" s="976"/>
      <c r="AR77" s="976"/>
      <c r="AS77" s="976"/>
      <c r="AT77" s="976"/>
      <c r="AU77" s="976"/>
      <c r="AV77" s="976"/>
      <c r="AW77" s="976"/>
      <c r="AX77" s="976"/>
      <c r="AY77" s="976"/>
      <c r="AZ77" s="976"/>
      <c r="BA77" s="976"/>
      <c r="BB77" s="976"/>
      <c r="BC77" s="976"/>
      <c r="BD77" s="976"/>
      <c r="BE77" s="976"/>
      <c r="BF77" s="976"/>
      <c r="BH77" s="990"/>
      <c r="BI77" s="990"/>
      <c r="BJ77" s="990"/>
      <c r="BL77" s="515">
        <f t="shared" si="189"/>
        <v>0</v>
      </c>
      <c r="BM77" s="515"/>
      <c r="BN77" s="22"/>
      <c r="BO77" s="1482"/>
      <c r="BP77" s="1482"/>
      <c r="BQ77" s="1482"/>
      <c r="BR77" s="1482"/>
      <c r="BS77" s="1482"/>
      <c r="BT77" s="1482"/>
      <c r="BU77" s="1482"/>
      <c r="BV77" s="1482"/>
      <c r="BW77" s="1482"/>
      <c r="BX77" s="1482"/>
      <c r="BY77" s="1482"/>
      <c r="BZ77" s="1482"/>
      <c r="CA77" s="1482"/>
      <c r="CB77" s="1482"/>
      <c r="CC77" s="1482"/>
      <c r="CD77" s="1482"/>
      <c r="CE77" s="1482"/>
      <c r="CF77" s="1482"/>
      <c r="CG77" s="1482"/>
      <c r="CH77" s="1482"/>
      <c r="CI77" s="1482"/>
      <c r="CJ77" s="1482"/>
      <c r="CK77" s="1482"/>
      <c r="CL77" s="1482"/>
      <c r="CM77" s="1482"/>
      <c r="CN77" s="1482"/>
      <c r="CO77" s="1482"/>
      <c r="CP77" s="1482"/>
      <c r="CQ77" s="1482"/>
      <c r="CR77" s="1482"/>
      <c r="CS77" s="1482"/>
      <c r="CT77" s="1482"/>
      <c r="CU77" s="1482"/>
      <c r="CV77" s="1482"/>
      <c r="CW77" s="1482"/>
      <c r="CX77" s="1482"/>
      <c r="CY77" s="1482"/>
      <c r="CZ77" s="1482"/>
      <c r="DA77" s="1482"/>
      <c r="DB77" s="1482"/>
      <c r="DC77" s="1482"/>
      <c r="DD77" s="1482"/>
      <c r="DE77" s="1482"/>
      <c r="DF77" s="1482"/>
      <c r="DH77" s="838">
        <f t="shared" si="123"/>
        <v>0</v>
      </c>
    </row>
    <row r="78" spans="1:112" s="1488" customFormat="1" ht="12.75" hidden="1" customHeight="1" outlineLevel="1">
      <c r="C78" s="1048" t="s">
        <v>1720</v>
      </c>
      <c r="D78" s="1049" t="s">
        <v>1334</v>
      </c>
      <c r="E78" s="1049"/>
      <c r="F78" s="743"/>
      <c r="G78" s="1050"/>
      <c r="H78" s="1050"/>
      <c r="I78" s="1050"/>
      <c r="J78" s="1050"/>
      <c r="K78" s="1051"/>
      <c r="L78" s="1050"/>
      <c r="M78" s="1050"/>
      <c r="N78" s="1050"/>
      <c r="O78" s="1050"/>
      <c r="P78" s="1050"/>
      <c r="Q78" s="1050"/>
      <c r="R78" s="743"/>
      <c r="S78" s="1052">
        <f ca="1">S$74+S$76</f>
        <v>-389.72589326068504</v>
      </c>
      <c r="T78" s="1052">
        <f ca="1">T$74+T$76</f>
        <v>37.857792807926479</v>
      </c>
      <c r="U78" s="1052"/>
      <c r="V78" s="1052"/>
      <c r="W78" s="1052"/>
      <c r="X78" s="1052"/>
      <c r="Y78" s="1052"/>
      <c r="Z78" s="1052"/>
      <c r="AA78" s="1052"/>
      <c r="AB78" s="1052"/>
      <c r="AC78" s="1052"/>
      <c r="AD78" s="1052"/>
      <c r="AE78" s="1052"/>
      <c r="AF78" s="1052"/>
      <c r="AG78" s="1052"/>
      <c r="AH78" s="1052"/>
      <c r="AI78" s="1052"/>
      <c r="AJ78" s="1052"/>
      <c r="AK78" s="1052"/>
      <c r="AL78" s="743"/>
      <c r="AM78" s="1053"/>
      <c r="AN78" s="1053"/>
      <c r="AO78" s="1053"/>
      <c r="AP78" s="1053"/>
      <c r="AQ78" s="1053"/>
      <c r="AR78" s="1053"/>
      <c r="AS78" s="1053"/>
      <c r="AT78" s="1053"/>
      <c r="AU78" s="1053"/>
      <c r="AV78" s="1053"/>
      <c r="AW78" s="1053"/>
      <c r="AX78" s="1053"/>
      <c r="AY78" s="1053"/>
      <c r="AZ78" s="1053"/>
      <c r="BA78" s="1053"/>
      <c r="BB78" s="1053"/>
      <c r="BC78" s="1053"/>
      <c r="BD78" s="1053"/>
      <c r="BE78" s="1053"/>
      <c r="BF78" s="1053"/>
      <c r="BG78" s="743"/>
      <c r="BH78" s="1054"/>
      <c r="BI78" s="1054"/>
      <c r="BJ78" s="1054"/>
      <c r="BK78" s="743"/>
      <c r="BL78" s="852">
        <f t="shared" si="189"/>
        <v>0</v>
      </c>
      <c r="BM78" s="852"/>
      <c r="BO78" s="1490"/>
      <c r="BP78" s="1490"/>
      <c r="BQ78" s="1490"/>
      <c r="BR78" s="1490"/>
      <c r="BS78" s="1490"/>
      <c r="BT78" s="1490"/>
      <c r="BU78" s="1490"/>
      <c r="BV78" s="1490"/>
      <c r="BW78" s="1490"/>
      <c r="BX78" s="1490"/>
      <c r="BY78" s="1490"/>
      <c r="BZ78" s="1490"/>
      <c r="CA78" s="1490"/>
      <c r="CB78" s="1490"/>
      <c r="CC78" s="1490"/>
      <c r="CD78" s="1490"/>
      <c r="CE78" s="1490"/>
      <c r="CF78" s="1490"/>
      <c r="CG78" s="1490"/>
      <c r="CH78" s="1490"/>
      <c r="CI78" s="1490"/>
      <c r="CJ78" s="1490"/>
      <c r="CK78" s="1490"/>
      <c r="CL78" s="1490"/>
      <c r="CM78" s="1490"/>
      <c r="CN78" s="1490"/>
      <c r="CO78" s="1490"/>
      <c r="CP78" s="1490"/>
      <c r="CQ78" s="1490"/>
      <c r="CR78" s="1490"/>
      <c r="CS78" s="1490"/>
      <c r="CT78" s="1490"/>
      <c r="CU78" s="1490"/>
      <c r="CV78" s="1490"/>
      <c r="CW78" s="1490"/>
      <c r="CX78" s="1490"/>
      <c r="CY78" s="1490"/>
      <c r="CZ78" s="1490"/>
      <c r="DA78" s="1490"/>
      <c r="DB78" s="1490"/>
      <c r="DC78" s="1490"/>
      <c r="DD78" s="1490"/>
      <c r="DE78" s="1490"/>
      <c r="DF78" s="1490"/>
      <c r="DH78" s="838">
        <f t="shared" si="123"/>
        <v>0</v>
      </c>
    </row>
    <row r="79" spans="1:112" s="1484" customFormat="1" ht="12.75" hidden="1" customHeight="1" outlineLevel="1">
      <c r="C79" s="746" t="s">
        <v>878</v>
      </c>
      <c r="D79" s="521" t="str">
        <f>INDEX(Modules[Module], MATCH($C79, Modules[Code], 0))</f>
        <v>Combustion + CCS</v>
      </c>
      <c r="E79" s="521"/>
      <c r="F79" s="743"/>
      <c r="G79" s="2013">
        <f t="shared" ref="G79:P79" ca="1" si="198">IFERROR(INDEX(INDIRECT($C79&amp;".Outputs["&amp;this.Year&amp;"]"), MATCH(G$5, INDIRECT($C79&amp;".Outputs[Vector]"), 0)), 0)</f>
        <v>0</v>
      </c>
      <c r="H79" s="2013">
        <f t="shared" ca="1" si="198"/>
        <v>0</v>
      </c>
      <c r="I79" s="2013">
        <f t="shared" ca="1" si="198"/>
        <v>0</v>
      </c>
      <c r="J79" s="2013">
        <f t="shared" ca="1" si="198"/>
        <v>0</v>
      </c>
      <c r="K79" s="2013">
        <f t="shared" ca="1" si="198"/>
        <v>0</v>
      </c>
      <c r="L79" s="2013">
        <f t="shared" ca="1" si="198"/>
        <v>0</v>
      </c>
      <c r="M79" s="2013">
        <f t="shared" ca="1" si="198"/>
        <v>0</v>
      </c>
      <c r="N79" s="2013">
        <f t="shared" ca="1" si="198"/>
        <v>0</v>
      </c>
      <c r="O79" s="2013">
        <f t="shared" ca="1" si="198"/>
        <v>0</v>
      </c>
      <c r="P79" s="2013">
        <f t="shared" ca="1" si="198"/>
        <v>0</v>
      </c>
      <c r="Q79" s="2014">
        <f ca="1">SUM(G79:P79)</f>
        <v>0</v>
      </c>
      <c r="R79" s="743"/>
      <c r="S79" s="2015">
        <f t="shared" ref="S79:BE79" ca="1" si="199">IFERROR(INDEX(INDIRECT($C79&amp;".Outputs["&amp;this.Year&amp;"]"), MATCH(S$5, INDIRECT($C79&amp;".Outputs[Vector]"), 0)), 0)</f>
        <v>0</v>
      </c>
      <c r="T79" s="2015">
        <f t="shared" ca="1" si="199"/>
        <v>9.4015350000000026</v>
      </c>
      <c r="U79" s="2015">
        <f t="shared" ca="1" si="199"/>
        <v>-27.819401133173063</v>
      </c>
      <c r="V79" s="2015">
        <f t="shared" ca="1" si="199"/>
        <v>0</v>
      </c>
      <c r="W79" s="2015">
        <f t="shared" ca="1" si="199"/>
        <v>0</v>
      </c>
      <c r="X79" s="2015">
        <f ca="1">IFERROR(INDEX(INDIRECT($C79&amp;".Outputs["&amp;this.Year&amp;"]"), MATCH(X$5, INDIRECT($C79&amp;".Outputs[Vector]"), 0)), 0)</f>
        <v>0</v>
      </c>
      <c r="Y79" s="2015">
        <f ca="1">IFERROR(INDEX(INDIRECT($C79&amp;".Outputs["&amp;this.Year&amp;"]"), MATCH(Y$5, INDIRECT($C79&amp;".Outputs[Vector]"), 0)), 0)</f>
        <v>0</v>
      </c>
      <c r="Z79" s="2015">
        <f ca="1">IFERROR(INDEX(INDIRECT($C79&amp;".Outputs["&amp;this.Year&amp;"]"), MATCH(Z$5, INDIRECT($C79&amp;".Outputs[Vector]"), 0)), 0)</f>
        <v>0</v>
      </c>
      <c r="AA79" s="2015">
        <f t="shared" ca="1" si="199"/>
        <v>0</v>
      </c>
      <c r="AB79" s="2015">
        <f t="shared" ca="1" si="199"/>
        <v>0</v>
      </c>
      <c r="AC79" s="2015">
        <f t="shared" ca="1" si="199"/>
        <v>0</v>
      </c>
      <c r="AD79" s="2015">
        <f t="shared" ca="1" si="199"/>
        <v>0</v>
      </c>
      <c r="AE79" s="2015">
        <f t="shared" ca="1" si="199"/>
        <v>0</v>
      </c>
      <c r="AF79" s="2015">
        <f t="shared" ca="1" si="199"/>
        <v>0</v>
      </c>
      <c r="AG79" s="2015">
        <f t="shared" ca="1" si="199"/>
        <v>0</v>
      </c>
      <c r="AH79" s="2015">
        <f t="shared" ca="1" si="199"/>
        <v>0</v>
      </c>
      <c r="AI79" s="2015">
        <f t="shared" ca="1" si="199"/>
        <v>0</v>
      </c>
      <c r="AJ79" s="2015">
        <f t="shared" ca="1" si="199"/>
        <v>0</v>
      </c>
      <c r="AK79" s="2016">
        <f ca="1">SUM(S79:AJ79)</f>
        <v>-18.41786613317306</v>
      </c>
      <c r="AL79" s="743"/>
      <c r="AM79" s="2017">
        <f t="shared" ref="AM79:AU79" ca="1" si="200">IFERROR(INDEX(INDIRECT($C79&amp;".Outputs["&amp;this.Year&amp;"]"), MATCH(AM$5, INDIRECT($C79&amp;".Outputs[Vector]"), 0)), 0)</f>
        <v>0</v>
      </c>
      <c r="AN79" s="2017">
        <f t="shared" ca="1" si="200"/>
        <v>0</v>
      </c>
      <c r="AO79" s="2017">
        <f t="shared" ca="1" si="200"/>
        <v>0</v>
      </c>
      <c r="AP79" s="2017">
        <f t="shared" ca="1" si="200"/>
        <v>0</v>
      </c>
      <c r="AQ79" s="2017">
        <f t="shared" ca="1" si="200"/>
        <v>0</v>
      </c>
      <c r="AR79" s="2017">
        <f t="shared" ca="1" si="200"/>
        <v>0</v>
      </c>
      <c r="AS79" s="2017">
        <f t="shared" ca="1" si="200"/>
        <v>0</v>
      </c>
      <c r="AT79" s="2017">
        <f t="shared" ca="1" si="200"/>
        <v>0</v>
      </c>
      <c r="AU79" s="2017">
        <f t="shared" ca="1" si="200"/>
        <v>0</v>
      </c>
      <c r="AV79" s="2017">
        <f t="shared" ca="1" si="199"/>
        <v>0</v>
      </c>
      <c r="AW79" s="2017">
        <f t="shared" ca="1" si="199"/>
        <v>0</v>
      </c>
      <c r="AX79" s="2017">
        <f t="shared" ca="1" si="199"/>
        <v>0</v>
      </c>
      <c r="AY79" s="2017">
        <f t="shared" ca="1" si="199"/>
        <v>0</v>
      </c>
      <c r="AZ79" s="2017">
        <f t="shared" ca="1" si="199"/>
        <v>0</v>
      </c>
      <c r="BA79" s="2017">
        <f t="shared" ca="1" si="199"/>
        <v>0</v>
      </c>
      <c r="BB79" s="2017">
        <f t="shared" ca="1" si="199"/>
        <v>0</v>
      </c>
      <c r="BC79" s="2017">
        <f t="shared" ca="1" si="199"/>
        <v>0</v>
      </c>
      <c r="BD79" s="2017">
        <f t="shared" ca="1" si="199"/>
        <v>0</v>
      </c>
      <c r="BE79" s="2017">
        <f t="shared" ca="1" si="199"/>
        <v>0</v>
      </c>
      <c r="BF79" s="2018">
        <f ca="1">SUM(AM79:BE79)</f>
        <v>0</v>
      </c>
      <c r="BG79" s="743"/>
      <c r="BH79" s="2019">
        <f ca="1">IFERROR(INDEX(INDIRECT($C79&amp;".Outputs["&amp;this.Year&amp;"]"), MATCH(BH$5, INDIRECT($C79&amp;".Outputs[Vector]"), 0)), 0)</f>
        <v>14.984541064913673</v>
      </c>
      <c r="BI79" s="2019">
        <f ca="1">IFERROR(INDEX(INDIRECT($C79&amp;".Outputs["&amp;this.Year&amp;"]"), MATCH(BI$5, INDIRECT($C79&amp;".Outputs[Vector]"), 0)), 0)</f>
        <v>3.433325068259387</v>
      </c>
      <c r="BJ79" s="2020">
        <f ca="1">SUM(BH79:BI79)</f>
        <v>18.41786613317306</v>
      </c>
      <c r="BK79" s="743"/>
      <c r="BL79" s="814">
        <f t="shared" ca="1" si="189"/>
        <v>0</v>
      </c>
      <c r="BM79" s="814"/>
      <c r="BN79" s="840"/>
      <c r="BO79" s="1481">
        <f t="shared" ref="BO79:DF79" ca="1" si="201">IFERROR(SUMIFS(INDIRECT($C79&amp;".Emissions["&amp;this.Year&amp;"]"), INDIRECT($C79&amp;".Emissions[GHG]"), BO$6, INDIRECT($C79&amp;".Emissions[IPCC Sector]"), BO$5),0)</f>
        <v>8.5683755490173024</v>
      </c>
      <c r="BP79" s="1482">
        <f t="shared" ca="1" si="201"/>
        <v>2.5170790956188859E-2</v>
      </c>
      <c r="BQ79" s="1482">
        <f t="shared" ca="1" si="201"/>
        <v>7.5903069932853534E-2</v>
      </c>
      <c r="BR79" s="1482">
        <f t="shared" ca="1" si="201"/>
        <v>0</v>
      </c>
      <c r="BS79" s="1482">
        <f t="shared" ca="1" si="201"/>
        <v>0</v>
      </c>
      <c r="BT79" s="1482">
        <f t="shared" ca="1" si="201"/>
        <v>0</v>
      </c>
      <c r="BU79" s="1482">
        <f t="shared" ca="1" si="201"/>
        <v>0</v>
      </c>
      <c r="BV79" s="1482">
        <f t="shared" ca="1" si="201"/>
        <v>0</v>
      </c>
      <c r="BW79" s="1482">
        <f t="shared" ca="1" si="201"/>
        <v>0</v>
      </c>
      <c r="BX79" s="1482">
        <f t="shared" ca="1" si="201"/>
        <v>0</v>
      </c>
      <c r="BY79" s="1482">
        <f t="shared" ca="1" si="201"/>
        <v>0</v>
      </c>
      <c r="BZ79" s="1482">
        <f t="shared" ca="1" si="201"/>
        <v>0</v>
      </c>
      <c r="CA79" s="1482">
        <f t="shared" ca="1" si="201"/>
        <v>0</v>
      </c>
      <c r="CB79" s="1482">
        <f t="shared" ca="1" si="201"/>
        <v>0</v>
      </c>
      <c r="CC79" s="1482">
        <f t="shared" ca="1" si="201"/>
        <v>0</v>
      </c>
      <c r="CD79" s="1482">
        <f t="shared" ca="1" si="201"/>
        <v>0</v>
      </c>
      <c r="CE79" s="1482">
        <f t="shared" ca="1" si="201"/>
        <v>0</v>
      </c>
      <c r="CF79" s="1482">
        <f t="shared" ca="1" si="201"/>
        <v>0</v>
      </c>
      <c r="CG79" s="1482">
        <f t="shared" ca="1" si="201"/>
        <v>0</v>
      </c>
      <c r="CH79" s="1482">
        <f t="shared" ca="1" si="201"/>
        <v>0</v>
      </c>
      <c r="CI79" s="1482">
        <f t="shared" ca="1" si="201"/>
        <v>0</v>
      </c>
      <c r="CJ79" s="1482">
        <f t="shared" ca="1" si="201"/>
        <v>0</v>
      </c>
      <c r="CK79" s="1482">
        <f t="shared" ca="1" si="201"/>
        <v>0</v>
      </c>
      <c r="CL79" s="1482">
        <f t="shared" ca="1" si="201"/>
        <v>0</v>
      </c>
      <c r="CM79" s="1482">
        <f t="shared" ca="1" si="201"/>
        <v>0</v>
      </c>
      <c r="CN79" s="1482">
        <f t="shared" ca="1" si="201"/>
        <v>0</v>
      </c>
      <c r="CO79" s="1482">
        <f t="shared" ca="1" si="201"/>
        <v>0</v>
      </c>
      <c r="CP79" s="1482">
        <f t="shared" ca="1" si="201"/>
        <v>0</v>
      </c>
      <c r="CQ79" s="1482">
        <f t="shared" ca="1" si="201"/>
        <v>0</v>
      </c>
      <c r="CR79" s="1482">
        <f t="shared" ca="1" si="201"/>
        <v>0</v>
      </c>
      <c r="CS79" s="1482">
        <f t="shared" ca="1" si="201"/>
        <v>0</v>
      </c>
      <c r="CT79" s="1482">
        <f t="shared" ca="1" si="201"/>
        <v>0</v>
      </c>
      <c r="CU79" s="1482">
        <f t="shared" ca="1" si="201"/>
        <v>0</v>
      </c>
      <c r="CV79" s="1482">
        <f t="shared" ca="1" si="201"/>
        <v>0</v>
      </c>
      <c r="CW79" s="1482">
        <f t="shared" ca="1" si="201"/>
        <v>0</v>
      </c>
      <c r="CX79" s="1482">
        <f t="shared" ca="1" si="201"/>
        <v>0</v>
      </c>
      <c r="CY79" s="1482">
        <f t="shared" ca="1" si="201"/>
        <v>0</v>
      </c>
      <c r="CZ79" s="1482">
        <f t="shared" ca="1" si="201"/>
        <v>0</v>
      </c>
      <c r="DA79" s="1482">
        <f t="shared" ca="1" si="201"/>
        <v>0</v>
      </c>
      <c r="DB79" s="1482">
        <f t="shared" ca="1" si="201"/>
        <v>0</v>
      </c>
      <c r="DC79" s="1482">
        <f t="shared" ca="1" si="201"/>
        <v>-7.7115379941155719</v>
      </c>
      <c r="DD79" s="1482">
        <f t="shared" ca="1" si="201"/>
        <v>0</v>
      </c>
      <c r="DE79" s="1482">
        <f t="shared" ca="1" si="201"/>
        <v>0</v>
      </c>
      <c r="DF79" s="1482">
        <f t="shared" ca="1" si="201"/>
        <v>0</v>
      </c>
      <c r="DH79" s="838">
        <f t="shared" ca="1" si="123"/>
        <v>0.95791141579077177</v>
      </c>
    </row>
    <row r="80" spans="1:112" s="1491" customFormat="1" ht="12.75" hidden="1" customHeight="1" outlineLevel="1">
      <c r="C80" s="1534" t="s">
        <v>1721</v>
      </c>
      <c r="D80" s="1049" t="s">
        <v>1334</v>
      </c>
      <c r="E80" s="1535"/>
      <c r="F80" s="1957"/>
      <c r="G80" s="1070"/>
      <c r="H80" s="1070"/>
      <c r="I80" s="1070"/>
      <c r="J80" s="1070"/>
      <c r="K80" s="1071"/>
      <c r="L80" s="1070"/>
      <c r="M80" s="1070"/>
      <c r="N80" s="1070"/>
      <c r="O80" s="1070"/>
      <c r="P80" s="1070"/>
      <c r="Q80" s="1070"/>
      <c r="R80" s="1957"/>
      <c r="S80" s="1072">
        <f ca="1">S78+S79</f>
        <v>-389.72589326068504</v>
      </c>
      <c r="T80" s="1072">
        <f ca="1">T78+T79</f>
        <v>47.259327807926482</v>
      </c>
      <c r="U80" s="1072"/>
      <c r="V80" s="1072"/>
      <c r="W80" s="1072"/>
      <c r="X80" s="1072"/>
      <c r="Y80" s="1072"/>
      <c r="Z80" s="1072"/>
      <c r="AA80" s="1072"/>
      <c r="AB80" s="1072"/>
      <c r="AC80" s="1072"/>
      <c r="AD80" s="1072"/>
      <c r="AE80" s="1072"/>
      <c r="AF80" s="1072"/>
      <c r="AG80" s="1072"/>
      <c r="AH80" s="1072"/>
      <c r="AI80" s="1072"/>
      <c r="AJ80" s="1072"/>
      <c r="AK80" s="1072"/>
      <c r="AL80" s="1957"/>
      <c r="AM80" s="1073"/>
      <c r="AN80" s="1073"/>
      <c r="AO80" s="1073"/>
      <c r="AP80" s="1073"/>
      <c r="AQ80" s="1073"/>
      <c r="AR80" s="1073"/>
      <c r="AS80" s="1073"/>
      <c r="AT80" s="1073"/>
      <c r="AU80" s="1073"/>
      <c r="AV80" s="1073"/>
      <c r="AW80" s="1073"/>
      <c r="AX80" s="1073"/>
      <c r="AY80" s="1073"/>
      <c r="AZ80" s="1073"/>
      <c r="BA80" s="1073"/>
      <c r="BB80" s="1073"/>
      <c r="BC80" s="1073"/>
      <c r="BD80" s="1073"/>
      <c r="BE80" s="1073"/>
      <c r="BF80" s="1073"/>
      <c r="BG80" s="1957"/>
      <c r="BH80" s="1074"/>
      <c r="BI80" s="1074"/>
      <c r="BJ80" s="1074"/>
      <c r="BK80" s="1957"/>
      <c r="BL80" s="1536">
        <f t="shared" si="189"/>
        <v>0</v>
      </c>
      <c r="BM80" s="1536"/>
      <c r="BO80" s="1963"/>
      <c r="BP80" s="1963"/>
      <c r="BQ80" s="1963"/>
      <c r="BR80" s="1963"/>
      <c r="BS80" s="1963"/>
      <c r="BT80" s="1963"/>
      <c r="BU80" s="1963"/>
      <c r="BV80" s="1963"/>
      <c r="BW80" s="1963"/>
      <c r="BX80" s="1963"/>
      <c r="BY80" s="1963"/>
      <c r="BZ80" s="1963"/>
      <c r="CA80" s="1963"/>
      <c r="CB80" s="1963"/>
      <c r="CC80" s="1963"/>
      <c r="CD80" s="1963"/>
      <c r="CE80" s="1963"/>
      <c r="CF80" s="1963"/>
      <c r="CG80" s="1963"/>
      <c r="CH80" s="1963"/>
      <c r="CI80" s="1963"/>
      <c r="CJ80" s="1963"/>
      <c r="CK80" s="1963"/>
      <c r="CL80" s="1963"/>
      <c r="CM80" s="1963"/>
      <c r="CN80" s="1963"/>
      <c r="CO80" s="1963"/>
      <c r="CP80" s="1963"/>
      <c r="CQ80" s="1963"/>
      <c r="CR80" s="1963"/>
      <c r="CS80" s="1963"/>
      <c r="CT80" s="1963"/>
      <c r="CU80" s="1963"/>
      <c r="CV80" s="1963"/>
      <c r="CW80" s="1963"/>
      <c r="CX80" s="1963"/>
      <c r="CY80" s="1963"/>
      <c r="CZ80" s="1963"/>
      <c r="DA80" s="1963"/>
      <c r="DB80" s="1963"/>
      <c r="DC80" s="1963"/>
      <c r="DD80" s="1963"/>
      <c r="DE80" s="1963"/>
      <c r="DF80" s="1963"/>
      <c r="DH80" s="1962">
        <f t="shared" si="123"/>
        <v>0</v>
      </c>
    </row>
    <row r="81" spans="1:112" s="1484" customFormat="1" ht="12.75" hidden="1" customHeight="1" outlineLevel="1">
      <c r="C81" s="746" t="s">
        <v>742</v>
      </c>
      <c r="D81" s="521" t="str">
        <f>INDEX(Modules[Module], MATCH($C81, Modules[Code], 0))</f>
        <v>Conventional thermal plant</v>
      </c>
      <c r="E81" s="521"/>
      <c r="F81" s="743"/>
      <c r="G81" s="1022">
        <f t="shared" ref="G81:P81" ca="1" si="202">IFERROR(INDEX(INDIRECT($C81&amp;".Outputs["&amp;this.Year&amp;"]"), MATCH(G$5, INDIRECT($C81&amp;".Outputs[Vector]"), 0)), 0)</f>
        <v>0</v>
      </c>
      <c r="H81" s="1022">
        <f t="shared" ca="1" si="202"/>
        <v>0</v>
      </c>
      <c r="I81" s="1022">
        <f t="shared" ca="1" si="202"/>
        <v>0</v>
      </c>
      <c r="J81" s="1022">
        <f t="shared" ca="1" si="202"/>
        <v>0</v>
      </c>
      <c r="K81" s="1022">
        <f t="shared" ca="1" si="202"/>
        <v>0</v>
      </c>
      <c r="L81" s="1022">
        <f t="shared" ca="1" si="202"/>
        <v>0</v>
      </c>
      <c r="M81" s="1022">
        <f t="shared" ca="1" si="202"/>
        <v>0</v>
      </c>
      <c r="N81" s="1022">
        <f t="shared" ca="1" si="202"/>
        <v>0</v>
      </c>
      <c r="O81" s="1022">
        <f t="shared" ca="1" si="202"/>
        <v>0</v>
      </c>
      <c r="P81" s="1022">
        <f t="shared" ca="1" si="202"/>
        <v>0</v>
      </c>
      <c r="Q81" s="1020">
        <f ca="1">SUM(G81:P81)</f>
        <v>0</v>
      </c>
      <c r="R81" s="743"/>
      <c r="S81" s="1031">
        <f t="shared" ref="S81:BE81" ca="1" si="203">IFERROR(INDEX(INDIRECT($C81&amp;".Outputs["&amp;this.Year&amp;"]"), MATCH(S$5, INDIRECT($C81&amp;".Outputs[Vector]"), 0)), 0)</f>
        <v>0</v>
      </c>
      <c r="T81" s="1031">
        <f t="shared" ca="1" si="203"/>
        <v>342.46656545275857</v>
      </c>
      <c r="U81" s="1031">
        <f t="shared" ca="1" si="203"/>
        <v>-20.638670399999999</v>
      </c>
      <c r="V81" s="1031">
        <f t="shared" ca="1" si="203"/>
        <v>0</v>
      </c>
      <c r="W81" s="1031">
        <f t="shared" ca="1" si="203"/>
        <v>-684.59749765162746</v>
      </c>
      <c r="X81" s="1031">
        <f ca="1">IFERROR(INDEX(INDIRECT($C81&amp;".Outputs["&amp;this.Year&amp;"]"), MATCH(X$5, INDIRECT($C81&amp;".Outputs[Vector]"), 0)), 0)</f>
        <v>0</v>
      </c>
      <c r="Y81" s="1031">
        <f ca="1">IFERROR(INDEX(INDIRECT($C81&amp;".Outputs["&amp;this.Year&amp;"]"), MATCH(Y$5, INDIRECT($C81&amp;".Outputs[Vector]"), 0)), 0)</f>
        <v>0</v>
      </c>
      <c r="Z81" s="1031">
        <f ca="1">IFERROR(INDEX(INDIRECT($C81&amp;".Outputs["&amp;this.Year&amp;"]"), MATCH(Z$5, INDIRECT($C81&amp;".Outputs[Vector]"), 0)), 0)</f>
        <v>0</v>
      </c>
      <c r="AA81" s="1031">
        <f t="shared" ca="1" si="203"/>
        <v>0</v>
      </c>
      <c r="AB81" s="1031">
        <f t="shared" ca="1" si="203"/>
        <v>0</v>
      </c>
      <c r="AC81" s="1031">
        <f t="shared" ca="1" si="203"/>
        <v>0</v>
      </c>
      <c r="AD81" s="1031">
        <f t="shared" ca="1" si="203"/>
        <v>0</v>
      </c>
      <c r="AE81" s="1031">
        <f t="shared" ca="1" si="203"/>
        <v>0</v>
      </c>
      <c r="AF81" s="1031">
        <f t="shared" ca="1" si="203"/>
        <v>0</v>
      </c>
      <c r="AG81" s="1031">
        <f t="shared" ca="1" si="203"/>
        <v>0</v>
      </c>
      <c r="AH81" s="1031">
        <f t="shared" ca="1" si="203"/>
        <v>0</v>
      </c>
      <c r="AI81" s="1031">
        <f t="shared" ca="1" si="203"/>
        <v>0</v>
      </c>
      <c r="AJ81" s="1031">
        <f t="shared" ca="1" si="203"/>
        <v>0</v>
      </c>
      <c r="AK81" s="1030">
        <f ca="1">SUM(S81:AJ81)</f>
        <v>-362.76960259886891</v>
      </c>
      <c r="AL81" s="743"/>
      <c r="AM81" s="1042">
        <f t="shared" ref="AM81:AU81" ca="1" si="204">IFERROR(INDEX(INDIRECT($C81&amp;".Outputs["&amp;this.Year&amp;"]"), MATCH(AM$5, INDIRECT($C81&amp;".Outputs[Vector]"), 0)), 0)</f>
        <v>0</v>
      </c>
      <c r="AN81" s="1042">
        <f t="shared" ca="1" si="204"/>
        <v>0</v>
      </c>
      <c r="AO81" s="1042">
        <f t="shared" ca="1" si="204"/>
        <v>0</v>
      </c>
      <c r="AP81" s="1042">
        <f t="shared" ca="1" si="204"/>
        <v>0</v>
      </c>
      <c r="AQ81" s="1042">
        <f t="shared" ca="1" si="204"/>
        <v>0</v>
      </c>
      <c r="AR81" s="1042">
        <f t="shared" ca="1" si="204"/>
        <v>0</v>
      </c>
      <c r="AS81" s="1042">
        <f t="shared" ca="1" si="204"/>
        <v>0</v>
      </c>
      <c r="AT81" s="1042">
        <f t="shared" ca="1" si="204"/>
        <v>0</v>
      </c>
      <c r="AU81" s="1042">
        <f t="shared" ca="1" si="204"/>
        <v>0</v>
      </c>
      <c r="AV81" s="1042">
        <f t="shared" ca="1" si="203"/>
        <v>0</v>
      </c>
      <c r="AW81" s="1042">
        <f t="shared" ca="1" si="203"/>
        <v>0</v>
      </c>
      <c r="AX81" s="1042">
        <f t="shared" ca="1" si="203"/>
        <v>0</v>
      </c>
      <c r="AY81" s="1042">
        <f t="shared" ca="1" si="203"/>
        <v>0</v>
      </c>
      <c r="AZ81" s="1042">
        <f t="shared" ca="1" si="203"/>
        <v>0</v>
      </c>
      <c r="BA81" s="1042">
        <f t="shared" ca="1" si="203"/>
        <v>0</v>
      </c>
      <c r="BB81" s="1042">
        <f t="shared" ca="1" si="203"/>
        <v>0</v>
      </c>
      <c r="BC81" s="1042">
        <f t="shared" ca="1" si="203"/>
        <v>0</v>
      </c>
      <c r="BD81" s="1042">
        <f t="shared" ca="1" si="203"/>
        <v>0</v>
      </c>
      <c r="BE81" s="1042">
        <f t="shared" ca="1" si="203"/>
        <v>0</v>
      </c>
      <c r="BF81" s="1012">
        <f ca="1">SUM(AM81:BE81)</f>
        <v>0</v>
      </c>
      <c r="BG81" s="743"/>
      <c r="BH81" s="1036">
        <f ca="1">IFERROR(INDEX(INDIRECT($C81&amp;".Outputs["&amp;this.Year&amp;"]"), MATCH(BH$5, INDIRECT($C81&amp;".Outputs[Vector]"), 0)), 0)</f>
        <v>355.71388458581373</v>
      </c>
      <c r="BI81" s="1036">
        <f ca="1">IFERROR(INDEX(INDIRECT($C81&amp;".Outputs["&amp;this.Year&amp;"]"), MATCH(BI$5, INDIRECT($C81&amp;".Outputs[Vector]"), 0)), 0)</f>
        <v>7.0557180130551718</v>
      </c>
      <c r="BJ81" s="1035">
        <f ca="1">SUM(BH81:BI81)</f>
        <v>362.76960259886891</v>
      </c>
      <c r="BK81" s="743"/>
      <c r="BL81" s="814">
        <f t="shared" ref="BL81:BL87" ca="1" si="205">Q81+AK81+BF81+BJ81</f>
        <v>0</v>
      </c>
      <c r="BM81" s="814"/>
      <c r="BN81" s="840"/>
      <c r="BO81" s="1485">
        <f t="shared" ref="BO81:DF81" ca="1" si="206">IFERROR(SUMIFS(INDIRECT($C81&amp;".Emissions["&amp;this.Year&amp;"]"), INDIRECT($C81&amp;".Emissions[GHG]"), BO$6, INDIRECT($C81&amp;".Emissions[IPCC Sector]"), BO$5),0)</f>
        <v>132.32265005109943</v>
      </c>
      <c r="BP81" s="1486">
        <f t="shared" ca="1" si="206"/>
        <v>0.2711706438354301</v>
      </c>
      <c r="BQ81" s="1486">
        <f t="shared" ca="1" si="206"/>
        <v>0.32788372423674789</v>
      </c>
      <c r="BR81" s="1486">
        <f t="shared" ca="1" si="206"/>
        <v>0</v>
      </c>
      <c r="BS81" s="1486">
        <f t="shared" ca="1" si="206"/>
        <v>0</v>
      </c>
      <c r="BT81" s="1486">
        <f t="shared" ca="1" si="206"/>
        <v>0</v>
      </c>
      <c r="BU81" s="1486">
        <f t="shared" ca="1" si="206"/>
        <v>0</v>
      </c>
      <c r="BV81" s="1486">
        <f t="shared" ca="1" si="206"/>
        <v>0</v>
      </c>
      <c r="BW81" s="1486">
        <f t="shared" ca="1" si="206"/>
        <v>0</v>
      </c>
      <c r="BX81" s="1486">
        <f t="shared" ca="1" si="206"/>
        <v>0</v>
      </c>
      <c r="BY81" s="1486">
        <f t="shared" ca="1" si="206"/>
        <v>0</v>
      </c>
      <c r="BZ81" s="1486">
        <f t="shared" ca="1" si="206"/>
        <v>0</v>
      </c>
      <c r="CA81" s="1486">
        <f t="shared" ca="1" si="206"/>
        <v>0</v>
      </c>
      <c r="CB81" s="1486">
        <f t="shared" ca="1" si="206"/>
        <v>0</v>
      </c>
      <c r="CC81" s="1486">
        <f t="shared" ca="1" si="206"/>
        <v>0</v>
      </c>
      <c r="CD81" s="1486">
        <f t="shared" ca="1" si="206"/>
        <v>0</v>
      </c>
      <c r="CE81" s="1486">
        <f t="shared" ca="1" si="206"/>
        <v>0</v>
      </c>
      <c r="CF81" s="1486">
        <f t="shared" ca="1" si="206"/>
        <v>0</v>
      </c>
      <c r="CG81" s="1486">
        <f t="shared" ca="1" si="206"/>
        <v>0</v>
      </c>
      <c r="CH81" s="1486">
        <f t="shared" ca="1" si="206"/>
        <v>0</v>
      </c>
      <c r="CI81" s="1486">
        <f t="shared" ca="1" si="206"/>
        <v>0</v>
      </c>
      <c r="CJ81" s="1486">
        <f t="shared" ca="1" si="206"/>
        <v>0</v>
      </c>
      <c r="CK81" s="1486">
        <f t="shared" ca="1" si="206"/>
        <v>0</v>
      </c>
      <c r="CL81" s="1486">
        <f t="shared" ca="1" si="206"/>
        <v>0</v>
      </c>
      <c r="CM81" s="1486">
        <f t="shared" ca="1" si="206"/>
        <v>0</v>
      </c>
      <c r="CN81" s="1486">
        <f t="shared" ca="1" si="206"/>
        <v>0</v>
      </c>
      <c r="CO81" s="1486">
        <f t="shared" ca="1" si="206"/>
        <v>0</v>
      </c>
      <c r="CP81" s="1486">
        <f t="shared" ca="1" si="206"/>
        <v>0</v>
      </c>
      <c r="CQ81" s="1486">
        <f t="shared" ca="1" si="206"/>
        <v>0</v>
      </c>
      <c r="CR81" s="1486">
        <f t="shared" ca="1" si="206"/>
        <v>0</v>
      </c>
      <c r="CS81" s="1486">
        <f t="shared" ca="1" si="206"/>
        <v>0</v>
      </c>
      <c r="CT81" s="1486">
        <f t="shared" ca="1" si="206"/>
        <v>0</v>
      </c>
      <c r="CU81" s="1486">
        <f t="shared" ca="1" si="206"/>
        <v>0</v>
      </c>
      <c r="CV81" s="1486">
        <f t="shared" ca="1" si="206"/>
        <v>0</v>
      </c>
      <c r="CW81" s="1486">
        <f t="shared" ca="1" si="206"/>
        <v>0</v>
      </c>
      <c r="CX81" s="1486">
        <f t="shared" ca="1" si="206"/>
        <v>0</v>
      </c>
      <c r="CY81" s="1486">
        <f t="shared" ca="1" si="206"/>
        <v>0</v>
      </c>
      <c r="CZ81" s="1486">
        <f t="shared" ca="1" si="206"/>
        <v>0</v>
      </c>
      <c r="DA81" s="1486">
        <f t="shared" ca="1" si="206"/>
        <v>0</v>
      </c>
      <c r="DB81" s="1486">
        <f t="shared" ca="1" si="206"/>
        <v>0</v>
      </c>
      <c r="DC81" s="1486">
        <f t="shared" ca="1" si="206"/>
        <v>0</v>
      </c>
      <c r="DD81" s="1486">
        <f t="shared" ca="1" si="206"/>
        <v>0</v>
      </c>
      <c r="DE81" s="1486">
        <f t="shared" ca="1" si="206"/>
        <v>0</v>
      </c>
      <c r="DF81" s="1486">
        <f t="shared" ca="1" si="206"/>
        <v>0</v>
      </c>
      <c r="DH81" s="838">
        <f t="shared" ca="1" si="123"/>
        <v>132.92170441917162</v>
      </c>
    </row>
    <row r="82" spans="1:112" s="743" customFormat="1" ht="15.75" collapsed="1">
      <c r="A82" s="22"/>
      <c r="B82" s="753"/>
      <c r="C82" s="744" t="s">
        <v>74</v>
      </c>
      <c r="D82" s="517" t="str">
        <f>INDEX(Workstreams[Workstream], MATCH($C82, Workstreams[Code], 0))</f>
        <v>Hydrocarbon fuel power generation</v>
      </c>
      <c r="E82" s="512"/>
      <c r="G82" s="1021">
        <f t="shared" ref="G82:P82" ca="1" si="207">G79+G81</f>
        <v>0</v>
      </c>
      <c r="H82" s="1021">
        <f t="shared" ca="1" si="207"/>
        <v>0</v>
      </c>
      <c r="I82" s="1021">
        <f t="shared" ca="1" si="207"/>
        <v>0</v>
      </c>
      <c r="J82" s="1021">
        <f t="shared" ca="1" si="207"/>
        <v>0</v>
      </c>
      <c r="K82" s="1021">
        <f t="shared" ca="1" si="207"/>
        <v>0</v>
      </c>
      <c r="L82" s="1021">
        <f t="shared" ca="1" si="207"/>
        <v>0</v>
      </c>
      <c r="M82" s="1021">
        <f t="shared" ca="1" si="207"/>
        <v>0</v>
      </c>
      <c r="N82" s="1021">
        <f t="shared" ca="1" si="207"/>
        <v>0</v>
      </c>
      <c r="O82" s="1021">
        <f t="shared" ca="1" si="207"/>
        <v>0</v>
      </c>
      <c r="P82" s="1021">
        <f t="shared" ca="1" si="207"/>
        <v>0</v>
      </c>
      <c r="Q82" s="1021">
        <f ca="1">SUM(G82:P82)</f>
        <v>0</v>
      </c>
      <c r="S82" s="970">
        <f t="shared" ref="S82:AJ82" ca="1" si="208">S79+S81</f>
        <v>0</v>
      </c>
      <c r="T82" s="970">
        <f t="shared" ca="1" si="208"/>
        <v>351.8681004527586</v>
      </c>
      <c r="U82" s="970">
        <f t="shared" ca="1" si="208"/>
        <v>-48.458071533173062</v>
      </c>
      <c r="V82" s="970">
        <f t="shared" ca="1" si="208"/>
        <v>0</v>
      </c>
      <c r="W82" s="970">
        <f t="shared" ca="1" si="208"/>
        <v>-684.59749765162746</v>
      </c>
      <c r="X82" s="970">
        <f t="shared" ca="1" si="208"/>
        <v>0</v>
      </c>
      <c r="Y82" s="970">
        <f t="shared" ca="1" si="208"/>
        <v>0</v>
      </c>
      <c r="Z82" s="970">
        <f t="shared" ca="1" si="208"/>
        <v>0</v>
      </c>
      <c r="AA82" s="970">
        <f t="shared" ca="1" si="208"/>
        <v>0</v>
      </c>
      <c r="AB82" s="970">
        <f t="shared" ca="1" si="208"/>
        <v>0</v>
      </c>
      <c r="AC82" s="970">
        <f t="shared" ca="1" si="208"/>
        <v>0</v>
      </c>
      <c r="AD82" s="970">
        <f ca="1">AD79+AD81</f>
        <v>0</v>
      </c>
      <c r="AE82" s="970">
        <f ca="1">AE79+AE81</f>
        <v>0</v>
      </c>
      <c r="AF82" s="970">
        <f t="shared" ca="1" si="208"/>
        <v>0</v>
      </c>
      <c r="AG82" s="970">
        <f t="shared" ca="1" si="208"/>
        <v>0</v>
      </c>
      <c r="AH82" s="970">
        <f ca="1">AH79+AH81</f>
        <v>0</v>
      </c>
      <c r="AI82" s="970">
        <f t="shared" ca="1" si="208"/>
        <v>0</v>
      </c>
      <c r="AJ82" s="970">
        <f t="shared" ca="1" si="208"/>
        <v>0</v>
      </c>
      <c r="AK82" s="970">
        <f ca="1">SUM(S82:AJ82)</f>
        <v>-381.18746873204191</v>
      </c>
      <c r="AM82" s="976">
        <f t="shared" ref="AM82:BE82" ca="1" si="209">AM79+AM81</f>
        <v>0</v>
      </c>
      <c r="AN82" s="976">
        <f t="shared" ca="1" si="209"/>
        <v>0</v>
      </c>
      <c r="AO82" s="976">
        <f t="shared" ca="1" si="209"/>
        <v>0</v>
      </c>
      <c r="AP82" s="976">
        <f t="shared" ca="1" si="209"/>
        <v>0</v>
      </c>
      <c r="AQ82" s="976">
        <f t="shared" ca="1" si="209"/>
        <v>0</v>
      </c>
      <c r="AR82" s="976">
        <f t="shared" ca="1" si="209"/>
        <v>0</v>
      </c>
      <c r="AS82" s="976">
        <f t="shared" ca="1" si="209"/>
        <v>0</v>
      </c>
      <c r="AT82" s="976">
        <f t="shared" ca="1" si="209"/>
        <v>0</v>
      </c>
      <c r="AU82" s="976">
        <f t="shared" ca="1" si="209"/>
        <v>0</v>
      </c>
      <c r="AV82" s="976">
        <f t="shared" ca="1" si="209"/>
        <v>0</v>
      </c>
      <c r="AW82" s="976">
        <f t="shared" ca="1" si="209"/>
        <v>0</v>
      </c>
      <c r="AX82" s="976">
        <f t="shared" ca="1" si="209"/>
        <v>0</v>
      </c>
      <c r="AY82" s="976">
        <f t="shared" ca="1" si="209"/>
        <v>0</v>
      </c>
      <c r="AZ82" s="976">
        <f t="shared" ca="1" si="209"/>
        <v>0</v>
      </c>
      <c r="BA82" s="976">
        <f t="shared" ca="1" si="209"/>
        <v>0</v>
      </c>
      <c r="BB82" s="976">
        <f t="shared" ca="1" si="209"/>
        <v>0</v>
      </c>
      <c r="BC82" s="976">
        <f t="shared" ca="1" si="209"/>
        <v>0</v>
      </c>
      <c r="BD82" s="976">
        <f t="shared" ca="1" si="209"/>
        <v>0</v>
      </c>
      <c r="BE82" s="976">
        <f t="shared" ca="1" si="209"/>
        <v>0</v>
      </c>
      <c r="BF82" s="976">
        <f ca="1">SUM(AM82:BE82)</f>
        <v>0</v>
      </c>
      <c r="BH82" s="990">
        <f ca="1">BH79+BH81</f>
        <v>370.69842565072742</v>
      </c>
      <c r="BI82" s="990">
        <f ca="1">BI79+BI81</f>
        <v>10.489043081314559</v>
      </c>
      <c r="BJ82" s="990">
        <f ca="1">SUM(BH82:BI82)</f>
        <v>381.18746873204196</v>
      </c>
      <c r="BL82" s="515">
        <f t="shared" ca="1" si="205"/>
        <v>0</v>
      </c>
      <c r="BM82" s="515"/>
      <c r="BN82" s="840"/>
      <c r="BO82" s="1482">
        <f t="shared" ref="BO82:DF82" ca="1" si="210">BO79+BO81</f>
        <v>140.89102560011673</v>
      </c>
      <c r="BP82" s="1482">
        <f t="shared" ca="1" si="210"/>
        <v>0.29634143479161895</v>
      </c>
      <c r="BQ82" s="1482">
        <f t="shared" ca="1" si="210"/>
        <v>0.40378679416960139</v>
      </c>
      <c r="BR82" s="1482">
        <f t="shared" ca="1" si="210"/>
        <v>0</v>
      </c>
      <c r="BS82" s="1482">
        <f t="shared" ca="1" si="210"/>
        <v>0</v>
      </c>
      <c r="BT82" s="1482">
        <f t="shared" ca="1" si="210"/>
        <v>0</v>
      </c>
      <c r="BU82" s="1482">
        <f t="shared" ca="1" si="210"/>
        <v>0</v>
      </c>
      <c r="BV82" s="1482">
        <f t="shared" ca="1" si="210"/>
        <v>0</v>
      </c>
      <c r="BW82" s="1482">
        <f t="shared" ca="1" si="210"/>
        <v>0</v>
      </c>
      <c r="BX82" s="1482">
        <f t="shared" ca="1" si="210"/>
        <v>0</v>
      </c>
      <c r="BY82" s="1482">
        <f t="shared" ca="1" si="210"/>
        <v>0</v>
      </c>
      <c r="BZ82" s="1482">
        <f t="shared" ca="1" si="210"/>
        <v>0</v>
      </c>
      <c r="CA82" s="1482">
        <f t="shared" ca="1" si="210"/>
        <v>0</v>
      </c>
      <c r="CB82" s="1482">
        <f t="shared" ca="1" si="210"/>
        <v>0</v>
      </c>
      <c r="CC82" s="1482">
        <f t="shared" ca="1" si="210"/>
        <v>0</v>
      </c>
      <c r="CD82" s="1482">
        <f t="shared" ca="1" si="210"/>
        <v>0</v>
      </c>
      <c r="CE82" s="1482">
        <f t="shared" ca="1" si="210"/>
        <v>0</v>
      </c>
      <c r="CF82" s="1482">
        <f t="shared" ca="1" si="210"/>
        <v>0</v>
      </c>
      <c r="CG82" s="1482">
        <f t="shared" ca="1" si="210"/>
        <v>0</v>
      </c>
      <c r="CH82" s="1482">
        <f t="shared" ca="1" si="210"/>
        <v>0</v>
      </c>
      <c r="CI82" s="1482">
        <f t="shared" ca="1" si="210"/>
        <v>0</v>
      </c>
      <c r="CJ82" s="1482">
        <f t="shared" ca="1" si="210"/>
        <v>0</v>
      </c>
      <c r="CK82" s="1482">
        <f t="shared" ca="1" si="210"/>
        <v>0</v>
      </c>
      <c r="CL82" s="1482">
        <f t="shared" ca="1" si="210"/>
        <v>0</v>
      </c>
      <c r="CM82" s="1482">
        <f t="shared" ca="1" si="210"/>
        <v>0</v>
      </c>
      <c r="CN82" s="1482">
        <f t="shared" ca="1" si="210"/>
        <v>0</v>
      </c>
      <c r="CO82" s="1482">
        <f t="shared" ca="1" si="210"/>
        <v>0</v>
      </c>
      <c r="CP82" s="1482">
        <f t="shared" ca="1" si="210"/>
        <v>0</v>
      </c>
      <c r="CQ82" s="1482">
        <f t="shared" ca="1" si="210"/>
        <v>0</v>
      </c>
      <c r="CR82" s="1482">
        <f t="shared" ca="1" si="210"/>
        <v>0</v>
      </c>
      <c r="CS82" s="1482">
        <f t="shared" ca="1" si="210"/>
        <v>0</v>
      </c>
      <c r="CT82" s="1482">
        <f t="shared" ca="1" si="210"/>
        <v>0</v>
      </c>
      <c r="CU82" s="1482">
        <f t="shared" ca="1" si="210"/>
        <v>0</v>
      </c>
      <c r="CV82" s="1482">
        <f t="shared" ca="1" si="210"/>
        <v>0</v>
      </c>
      <c r="CW82" s="1482">
        <f t="shared" ca="1" si="210"/>
        <v>0</v>
      </c>
      <c r="CX82" s="1482">
        <f t="shared" ca="1" si="210"/>
        <v>0</v>
      </c>
      <c r="CY82" s="1482">
        <f t="shared" ca="1" si="210"/>
        <v>0</v>
      </c>
      <c r="CZ82" s="1482">
        <f t="shared" ca="1" si="210"/>
        <v>0</v>
      </c>
      <c r="DA82" s="1482">
        <f t="shared" ca="1" si="210"/>
        <v>0</v>
      </c>
      <c r="DB82" s="1482">
        <f t="shared" ca="1" si="210"/>
        <v>0</v>
      </c>
      <c r="DC82" s="1482">
        <f t="shared" ca="1" si="210"/>
        <v>-7.7115379941155719</v>
      </c>
      <c r="DD82" s="1482">
        <f t="shared" ca="1" si="210"/>
        <v>0</v>
      </c>
      <c r="DE82" s="1482">
        <f t="shared" ca="1" si="210"/>
        <v>0</v>
      </c>
      <c r="DF82" s="1482">
        <f t="shared" ca="1" si="210"/>
        <v>0</v>
      </c>
      <c r="DH82" s="838">
        <f t="shared" ca="1" si="123"/>
        <v>133.87961583496241</v>
      </c>
    </row>
    <row r="83" spans="1:112" s="743" customFormat="1" ht="6" customHeight="1">
      <c r="C83" s="516"/>
      <c r="D83" s="517"/>
      <c r="E83" s="509"/>
      <c r="G83" s="958"/>
      <c r="H83" s="958"/>
      <c r="I83" s="958"/>
      <c r="J83" s="958"/>
      <c r="K83" s="960"/>
      <c r="L83" s="958"/>
      <c r="M83" s="958"/>
      <c r="N83" s="958"/>
      <c r="O83" s="958"/>
      <c r="P83" s="958"/>
      <c r="Q83" s="958"/>
      <c r="S83" s="970"/>
      <c r="T83" s="970"/>
      <c r="U83" s="970"/>
      <c r="V83" s="970"/>
      <c r="W83" s="970"/>
      <c r="X83" s="970"/>
      <c r="Y83" s="970"/>
      <c r="Z83" s="970"/>
      <c r="AA83" s="970"/>
      <c r="AB83" s="970"/>
      <c r="AC83" s="970"/>
      <c r="AD83" s="970"/>
      <c r="AE83" s="970"/>
      <c r="AF83" s="970"/>
      <c r="AG83" s="970"/>
      <c r="AH83" s="970"/>
      <c r="AI83" s="970"/>
      <c r="AJ83" s="970"/>
      <c r="AK83" s="970"/>
      <c r="AM83" s="976"/>
      <c r="AN83" s="976"/>
      <c r="AO83" s="976"/>
      <c r="AP83" s="976"/>
      <c r="AQ83" s="976"/>
      <c r="AR83" s="976"/>
      <c r="AS83" s="976"/>
      <c r="AT83" s="976"/>
      <c r="AU83" s="976"/>
      <c r="AV83" s="976"/>
      <c r="AW83" s="976"/>
      <c r="AX83" s="976"/>
      <c r="AY83" s="976"/>
      <c r="AZ83" s="976"/>
      <c r="BA83" s="976"/>
      <c r="BB83" s="976"/>
      <c r="BC83" s="976"/>
      <c r="BD83" s="976"/>
      <c r="BE83" s="976"/>
      <c r="BF83" s="976">
        <f>SUM(AM83:BE83)</f>
        <v>0</v>
      </c>
      <c r="BH83" s="990"/>
      <c r="BI83" s="990"/>
      <c r="BJ83" s="990"/>
      <c r="BL83" s="515">
        <f t="shared" si="205"/>
        <v>0</v>
      </c>
      <c r="BM83" s="515"/>
      <c r="BO83" s="1482"/>
      <c r="BP83" s="1482"/>
      <c r="BQ83" s="1482"/>
      <c r="BR83" s="1482"/>
      <c r="BS83" s="1482"/>
      <c r="BT83" s="1482"/>
      <c r="BU83" s="1482"/>
      <c r="BV83" s="1482"/>
      <c r="BW83" s="1482"/>
      <c r="BX83" s="1482"/>
      <c r="BY83" s="1482"/>
      <c r="BZ83" s="1482"/>
      <c r="CA83" s="1482"/>
      <c r="CB83" s="1482"/>
      <c r="CC83" s="1482"/>
      <c r="CD83" s="1482"/>
      <c r="CE83" s="1482"/>
      <c r="CF83" s="1482"/>
      <c r="CG83" s="1482"/>
      <c r="CH83" s="1482"/>
      <c r="CI83" s="1482"/>
      <c r="CJ83" s="1482"/>
      <c r="CK83" s="1482"/>
      <c r="CL83" s="1482"/>
      <c r="CM83" s="1482"/>
      <c r="CN83" s="1482"/>
      <c r="CO83" s="1482"/>
      <c r="CP83" s="1482"/>
      <c r="CQ83" s="1482"/>
      <c r="CR83" s="1482"/>
      <c r="CS83" s="1482"/>
      <c r="CT83" s="1482"/>
      <c r="CU83" s="1482"/>
      <c r="CV83" s="1482"/>
      <c r="CW83" s="1482"/>
      <c r="CX83" s="1482"/>
      <c r="CY83" s="1482"/>
      <c r="CZ83" s="1482"/>
      <c r="DA83" s="1482"/>
      <c r="DB83" s="1482"/>
      <c r="DC83" s="1482"/>
      <c r="DD83" s="1482"/>
      <c r="DE83" s="1482"/>
      <c r="DF83" s="1482"/>
      <c r="DH83" s="838"/>
    </row>
    <row r="84" spans="1:112" s="743" customFormat="1" ht="15.75">
      <c r="B84" s="753"/>
      <c r="C84" s="2051" t="s">
        <v>1816</v>
      </c>
      <c r="D84" s="643" t="s">
        <v>249</v>
      </c>
      <c r="E84" s="644"/>
      <c r="G84" s="1075">
        <f t="shared" ref="G84:P84" ca="1" si="211">G$51+G$55+G$63+G$68+G$72+G$76+G$82+G$46</f>
        <v>0</v>
      </c>
      <c r="H84" s="1075">
        <f t="shared" ca="1" si="211"/>
        <v>0</v>
      </c>
      <c r="I84" s="1075">
        <f t="shared" ca="1" si="211"/>
        <v>39.704791482390206</v>
      </c>
      <c r="J84" s="1075">
        <f t="shared" ca="1" si="211"/>
        <v>0</v>
      </c>
      <c r="K84" s="1076">
        <f t="shared" ca="1" si="211"/>
        <v>0</v>
      </c>
      <c r="L84" s="1075">
        <f t="shared" ca="1" si="211"/>
        <v>0</v>
      </c>
      <c r="M84" s="1075">
        <f t="shared" ca="1" si="211"/>
        <v>0</v>
      </c>
      <c r="N84" s="1075">
        <f t="shared" ca="1" si="211"/>
        <v>0</v>
      </c>
      <c r="O84" s="1075">
        <f t="shared" ca="1" si="211"/>
        <v>0</v>
      </c>
      <c r="P84" s="1075">
        <f t="shared" ca="1" si="211"/>
        <v>0</v>
      </c>
      <c r="Q84" s="1023">
        <f ca="1">SUM(G84:P84)</f>
        <v>39.704791482390206</v>
      </c>
      <c r="S84" s="1014">
        <f t="shared" ref="S84:AJ84" ca="1" si="212">S$51+S$55+S$63+S$68+S$72+S$76+S$82+S$46</f>
        <v>-11.155281413441923</v>
      </c>
      <c r="T84" s="1014">
        <f t="shared" ca="1" si="212"/>
        <v>418.94747307226794</v>
      </c>
      <c r="U84" s="1014">
        <f t="shared" ca="1" si="212"/>
        <v>-49.362549593111851</v>
      </c>
      <c r="V84" s="1014">
        <f t="shared" ca="1" si="212"/>
        <v>-49.713106476861874</v>
      </c>
      <c r="W84" s="1014">
        <f t="shared" ca="1" si="212"/>
        <v>-716.38224778674748</v>
      </c>
      <c r="X84" s="1014">
        <f t="shared" ca="1" si="212"/>
        <v>196.46044211275708</v>
      </c>
      <c r="Y84" s="1014">
        <f t="shared" ca="1" si="212"/>
        <v>419.31653778914142</v>
      </c>
      <c r="Z84" s="1014">
        <f t="shared" ca="1" si="212"/>
        <v>321.17184343559597</v>
      </c>
      <c r="AA84" s="1014">
        <f t="shared" ca="1" si="212"/>
        <v>0</v>
      </c>
      <c r="AB84" s="1014">
        <f t="shared" ca="1" si="212"/>
        <v>8.3639630283373272</v>
      </c>
      <c r="AC84" s="1014">
        <f t="shared" ca="1" si="212"/>
        <v>0</v>
      </c>
      <c r="AD84" s="1014">
        <f t="shared" ca="1" si="212"/>
        <v>21.62911347575881</v>
      </c>
      <c r="AE84" s="1014">
        <f t="shared" ca="1" si="212"/>
        <v>1.3680579836519617</v>
      </c>
      <c r="AF84" s="1014">
        <f t="shared" ca="1" si="212"/>
        <v>39.960920373732954</v>
      </c>
      <c r="AG84" s="1014">
        <f t="shared" ca="1" si="212"/>
        <v>43.247452274254698</v>
      </c>
      <c r="AH84" s="1014">
        <f t="shared" ca="1" si="212"/>
        <v>16.987273382270043</v>
      </c>
      <c r="AI84" s="1014">
        <f t="shared" ca="1" si="212"/>
        <v>0</v>
      </c>
      <c r="AJ84" s="1014">
        <f t="shared" ca="1" si="212"/>
        <v>0</v>
      </c>
      <c r="AK84" s="1014">
        <f ca="1">SUM(S84:AJ84)</f>
        <v>660.83989165760511</v>
      </c>
      <c r="AM84" s="1015">
        <f t="shared" ref="AM84:BE84" ca="1" si="213">AM$51+AM$55+AM$63+AM$68+AM$72+AM$76+AM$82+AM$46</f>
        <v>-124.39544583847987</v>
      </c>
      <c r="AN84" s="1015">
        <f t="shared" ca="1" si="213"/>
        <v>-419.31653778914142</v>
      </c>
      <c r="AO84" s="1015">
        <f t="shared" ca="1" si="213"/>
        <v>-321.17184343559597</v>
      </c>
      <c r="AP84" s="1015">
        <f t="shared" ca="1" si="213"/>
        <v>0</v>
      </c>
      <c r="AQ84" s="1015">
        <f t="shared" ca="1" si="213"/>
        <v>0</v>
      </c>
      <c r="AR84" s="1015">
        <f t="shared" ca="1" si="213"/>
        <v>0</v>
      </c>
      <c r="AS84" s="1015">
        <f t="shared" ca="1" si="213"/>
        <v>0</v>
      </c>
      <c r="AT84" s="1015">
        <f t="shared" ca="1" si="213"/>
        <v>0</v>
      </c>
      <c r="AU84" s="1015">
        <f t="shared" ca="1" si="213"/>
        <v>0</v>
      </c>
      <c r="AV84" s="1015">
        <f t="shared" ca="1" si="213"/>
        <v>-25.713600000000014</v>
      </c>
      <c r="AW84" s="1015">
        <f t="shared" ca="1" si="213"/>
        <v>0</v>
      </c>
      <c r="AX84" s="1015">
        <f t="shared" ca="1" si="213"/>
        <v>-54.102437099999996</v>
      </c>
      <c r="AY84" s="1015">
        <f t="shared" ca="1" si="213"/>
        <v>-0.12508561643835608</v>
      </c>
      <c r="AZ84" s="1015">
        <f t="shared" ca="1" si="213"/>
        <v>-0.39610445205479383</v>
      </c>
      <c r="BA84" s="1015">
        <f t="shared" ca="1" si="213"/>
        <v>0</v>
      </c>
      <c r="BB84" s="1015">
        <f t="shared" ca="1" si="213"/>
        <v>-5.3297280000000011</v>
      </c>
      <c r="BC84" s="1015">
        <f t="shared" ca="1" si="213"/>
        <v>0</v>
      </c>
      <c r="BD84" s="1015">
        <f t="shared" ca="1" si="213"/>
        <v>-22.997171459410772</v>
      </c>
      <c r="BE84" s="1015">
        <f t="shared" ca="1" si="213"/>
        <v>-172.26064230453491</v>
      </c>
      <c r="BF84" s="1015">
        <f ca="1">SUM(AM84:BE84)</f>
        <v>-1145.8085959956561</v>
      </c>
      <c r="BH84" s="1016">
        <f ca="1">BH$51+BH$55+BH$63+BH$68+BH$72+BH$76+BH$82+BH$46</f>
        <v>379.41907435682481</v>
      </c>
      <c r="BI84" s="1016">
        <f ca="1">BI$51+BI$55+BI$63+BI$68+BI$72+BI$76+BI$82+BI$46</f>
        <v>65.844838498836026</v>
      </c>
      <c r="BJ84" s="1016">
        <f ca="1">SUM(BH84:BI84)</f>
        <v>445.26391285566081</v>
      </c>
      <c r="BL84" s="518">
        <f t="shared" ca="1" si="205"/>
        <v>0</v>
      </c>
      <c r="BM84" s="518"/>
      <c r="BO84" s="1487">
        <f t="shared" ref="BO84:DE84" ca="1" si="214">BO$51+BO$55+BO$63+BO$68+BO$72+BO$76+BO$82+BO$46</f>
        <v>159.41576620495547</v>
      </c>
      <c r="BP84" s="1487">
        <f t="shared" ca="1" si="214"/>
        <v>0.32428197696884464</v>
      </c>
      <c r="BQ84" s="1487">
        <f t="shared" ca="1" si="214"/>
        <v>0.64231539684027439</v>
      </c>
      <c r="BR84" s="1487">
        <f t="shared" ca="1" si="214"/>
        <v>0</v>
      </c>
      <c r="BS84" s="1487">
        <f t="shared" ca="1" si="214"/>
        <v>2.1877709765548032</v>
      </c>
      <c r="BT84" s="1487">
        <f t="shared" ca="1" si="214"/>
        <v>2.6403129612517775</v>
      </c>
      <c r="BU84" s="1487">
        <f t="shared" ca="1" si="214"/>
        <v>0</v>
      </c>
      <c r="BV84" s="1487">
        <f t="shared" ca="1" si="214"/>
        <v>0</v>
      </c>
      <c r="BW84" s="1487">
        <f t="shared" ca="1" si="214"/>
        <v>0</v>
      </c>
      <c r="BX84" s="1487">
        <f t="shared" ca="1" si="214"/>
        <v>0</v>
      </c>
      <c r="BY84" s="1487">
        <f t="shared" ca="1" si="214"/>
        <v>0</v>
      </c>
      <c r="BZ84" s="1487">
        <f t="shared" ca="1" si="214"/>
        <v>0</v>
      </c>
      <c r="CA84" s="1487">
        <f t="shared" ca="1" si="214"/>
        <v>0</v>
      </c>
      <c r="CB84" s="1487">
        <f t="shared" ca="1" si="214"/>
        <v>0</v>
      </c>
      <c r="CC84" s="1487">
        <f t="shared" ca="1" si="214"/>
        <v>0</v>
      </c>
      <c r="CD84" s="1487">
        <f t="shared" ca="1" si="214"/>
        <v>0</v>
      </c>
      <c r="CE84" s="1487">
        <f t="shared" ca="1" si="214"/>
        <v>0</v>
      </c>
      <c r="CF84" s="1487">
        <f t="shared" ca="1" si="214"/>
        <v>17.320215942056461</v>
      </c>
      <c r="CG84" s="1487">
        <f t="shared" ca="1" si="214"/>
        <v>21.345605690642255</v>
      </c>
      <c r="CH84" s="1487">
        <f t="shared" ca="1" si="214"/>
        <v>0</v>
      </c>
      <c r="CI84" s="1487">
        <f t="shared" ca="1" si="214"/>
        <v>11.277185802606228</v>
      </c>
      <c r="CJ84" s="1487">
        <f t="shared" ca="1" si="214"/>
        <v>0</v>
      </c>
      <c r="CK84" s="1487">
        <f t="shared" ca="1" si="214"/>
        <v>0</v>
      </c>
      <c r="CL84" s="1487">
        <f t="shared" ca="1" si="214"/>
        <v>0</v>
      </c>
      <c r="CM84" s="1487">
        <f t="shared" ca="1" si="214"/>
        <v>0</v>
      </c>
      <c r="CN84" s="1487">
        <f t="shared" ca="1" si="214"/>
        <v>20.302725586796537</v>
      </c>
      <c r="CO84" s="1487">
        <f t="shared" ca="1" si="214"/>
        <v>1.4065464505666441</v>
      </c>
      <c r="CP84" s="1487">
        <f t="shared" ca="1" si="214"/>
        <v>0</v>
      </c>
      <c r="CQ84" s="1487">
        <f t="shared" ca="1" si="214"/>
        <v>0</v>
      </c>
      <c r="CR84" s="1487">
        <f t="shared" ca="1" si="214"/>
        <v>0</v>
      </c>
      <c r="CS84" s="1487">
        <f t="shared" ca="1" si="214"/>
        <v>0</v>
      </c>
      <c r="CT84" s="1487">
        <f t="shared" ca="1" si="214"/>
        <v>0</v>
      </c>
      <c r="CU84" s="1487">
        <f t="shared" ca="1" si="214"/>
        <v>0</v>
      </c>
      <c r="CV84" s="1487">
        <f t="shared" ca="1" si="214"/>
        <v>0</v>
      </c>
      <c r="CW84" s="1487">
        <f t="shared" ca="1" si="214"/>
        <v>0</v>
      </c>
      <c r="CX84" s="1487">
        <f t="shared" ca="1" si="214"/>
        <v>0</v>
      </c>
      <c r="CY84" s="1487">
        <f t="shared" ca="1" si="214"/>
        <v>0</v>
      </c>
      <c r="CZ84" s="1487">
        <f t="shared" ca="1" si="214"/>
        <v>0</v>
      </c>
      <c r="DA84" s="1487">
        <f t="shared" ca="1" si="214"/>
        <v>0</v>
      </c>
      <c r="DB84" s="1487">
        <f t="shared" ca="1" si="214"/>
        <v>0</v>
      </c>
      <c r="DC84" s="1487">
        <f t="shared" ca="1" si="214"/>
        <v>-7.7115379941155719</v>
      </c>
      <c r="DD84" s="1487">
        <f t="shared" ca="1" si="214"/>
        <v>0</v>
      </c>
      <c r="DE84" s="1487">
        <f t="shared" ca="1" si="214"/>
        <v>0</v>
      </c>
      <c r="DF84" s="1487">
        <f ca="1">DF$51+DF$99+DF$55+DF$63+DF$68+DF$76+DF$82+DF$46</f>
        <v>0</v>
      </c>
      <c r="DH84" s="835">
        <f ca="1">SUM(BO84:DF84)</f>
        <v>229.15118899512373</v>
      </c>
    </row>
    <row r="85" spans="1:112" s="743" customFormat="1" ht="6" customHeight="1">
      <c r="C85" s="516"/>
      <c r="D85" s="517"/>
      <c r="E85" s="509"/>
      <c r="G85" s="958"/>
      <c r="H85" s="958"/>
      <c r="I85" s="958"/>
      <c r="J85" s="958"/>
      <c r="K85" s="960"/>
      <c r="L85" s="958"/>
      <c r="M85" s="958"/>
      <c r="N85" s="958"/>
      <c r="O85" s="958"/>
      <c r="P85" s="958"/>
      <c r="Q85" s="958"/>
      <c r="S85" s="970"/>
      <c r="T85" s="970"/>
      <c r="U85" s="970"/>
      <c r="V85" s="970"/>
      <c r="W85" s="970"/>
      <c r="X85" s="970"/>
      <c r="Y85" s="970"/>
      <c r="Z85" s="970"/>
      <c r="AA85" s="970"/>
      <c r="AB85" s="970"/>
      <c r="AC85" s="970"/>
      <c r="AD85" s="970"/>
      <c r="AE85" s="970"/>
      <c r="AF85" s="970"/>
      <c r="AG85" s="970"/>
      <c r="AH85" s="970"/>
      <c r="AI85" s="970"/>
      <c r="AJ85" s="970"/>
      <c r="AK85" s="970"/>
      <c r="AM85" s="976"/>
      <c r="AN85" s="976"/>
      <c r="AO85" s="976"/>
      <c r="AP85" s="976"/>
      <c r="AQ85" s="976"/>
      <c r="AR85" s="976"/>
      <c r="AS85" s="976"/>
      <c r="AT85" s="976"/>
      <c r="AU85" s="976"/>
      <c r="AV85" s="976"/>
      <c r="AW85" s="976"/>
      <c r="AX85" s="976"/>
      <c r="AY85" s="976"/>
      <c r="AZ85" s="976"/>
      <c r="BA85" s="976"/>
      <c r="BB85" s="976"/>
      <c r="BC85" s="976"/>
      <c r="BD85" s="976"/>
      <c r="BE85" s="976"/>
      <c r="BF85" s="976"/>
      <c r="BH85" s="990"/>
      <c r="BI85" s="990"/>
      <c r="BJ85" s="990"/>
      <c r="BL85" s="515">
        <f t="shared" si="205"/>
        <v>0</v>
      </c>
      <c r="BM85" s="515"/>
      <c r="BO85" s="1482"/>
      <c r="BP85" s="1482"/>
      <c r="BQ85" s="1482"/>
      <c r="BR85" s="1482"/>
      <c r="BS85" s="1482"/>
      <c r="BT85" s="1482"/>
      <c r="BU85" s="1482"/>
      <c r="BV85" s="1482"/>
      <c r="BW85" s="1482"/>
      <c r="BX85" s="1482"/>
      <c r="BY85" s="1482"/>
      <c r="BZ85" s="1482"/>
      <c r="CA85" s="1482"/>
      <c r="CB85" s="1482"/>
      <c r="CC85" s="1482"/>
      <c r="CD85" s="1482"/>
      <c r="CE85" s="1482"/>
      <c r="CF85" s="1482"/>
      <c r="CG85" s="1482"/>
      <c r="CH85" s="1482"/>
      <c r="CI85" s="1482"/>
      <c r="CJ85" s="1482"/>
      <c r="CK85" s="1482"/>
      <c r="CL85" s="1482"/>
      <c r="CM85" s="1482"/>
      <c r="CN85" s="1482"/>
      <c r="CO85" s="1482"/>
      <c r="CP85" s="1482"/>
      <c r="CQ85" s="1482"/>
      <c r="CR85" s="1482"/>
      <c r="CS85" s="1482"/>
      <c r="CT85" s="1482"/>
      <c r="CU85" s="1482"/>
      <c r="CV85" s="1482"/>
      <c r="CW85" s="1482"/>
      <c r="CX85" s="1482"/>
      <c r="CY85" s="1482"/>
      <c r="CZ85" s="1482"/>
      <c r="DA85" s="1482"/>
      <c r="DB85" s="1482"/>
      <c r="DC85" s="1482"/>
      <c r="DD85" s="1482"/>
      <c r="DE85" s="1482"/>
      <c r="DF85" s="1482"/>
      <c r="DH85" s="838"/>
    </row>
    <row r="86" spans="1:112" s="743" customFormat="1" ht="24" customHeight="1">
      <c r="C86" s="501" t="s">
        <v>987</v>
      </c>
      <c r="D86" s="501"/>
      <c r="E86" s="639"/>
      <c r="G86" s="957"/>
      <c r="H86" s="957"/>
      <c r="I86" s="957"/>
      <c r="J86" s="957"/>
      <c r="K86" s="957"/>
      <c r="L86" s="957"/>
      <c r="M86" s="957"/>
      <c r="N86" s="957"/>
      <c r="O86" s="957"/>
      <c r="P86" s="957"/>
      <c r="Q86" s="957"/>
      <c r="S86" s="973"/>
      <c r="T86" s="973"/>
      <c r="U86" s="973"/>
      <c r="V86" s="973"/>
      <c r="W86" s="973"/>
      <c r="X86" s="969"/>
      <c r="Y86" s="969"/>
      <c r="Z86" s="969"/>
      <c r="AA86" s="973"/>
      <c r="AB86" s="973"/>
      <c r="AC86" s="973"/>
      <c r="AD86" s="973"/>
      <c r="AE86" s="973"/>
      <c r="AF86" s="973"/>
      <c r="AG86" s="973"/>
      <c r="AH86" s="973"/>
      <c r="AI86" s="973"/>
      <c r="AJ86" s="973"/>
      <c r="AK86" s="973"/>
      <c r="AM86" s="980"/>
      <c r="AN86" s="980"/>
      <c r="AO86" s="980"/>
      <c r="AP86" s="980"/>
      <c r="AQ86" s="980"/>
      <c r="AR86" s="980"/>
      <c r="AS86" s="980"/>
      <c r="AT86" s="980"/>
      <c r="AU86" s="980"/>
      <c r="AV86" s="980"/>
      <c r="AW86" s="975"/>
      <c r="AX86" s="975"/>
      <c r="AY86" s="975"/>
      <c r="AZ86" s="975"/>
      <c r="BA86" s="975"/>
      <c r="BB86" s="975"/>
      <c r="BC86" s="975"/>
      <c r="BD86" s="975"/>
      <c r="BE86" s="975"/>
      <c r="BF86" s="980"/>
      <c r="BH86" s="993"/>
      <c r="BI86" s="993"/>
      <c r="BJ86" s="993"/>
      <c r="BL86" s="514">
        <f t="shared" si="205"/>
        <v>0</v>
      </c>
      <c r="BM86" s="514"/>
      <c r="BO86" s="1482"/>
      <c r="BP86" s="1482"/>
      <c r="BQ86" s="1482"/>
      <c r="BR86" s="1482"/>
      <c r="BS86" s="1482"/>
      <c r="BT86" s="1482"/>
      <c r="BU86" s="1482"/>
      <c r="BV86" s="1482"/>
      <c r="BW86" s="1482"/>
      <c r="BX86" s="1482"/>
      <c r="BY86" s="1482"/>
      <c r="BZ86" s="1482"/>
      <c r="CA86" s="1482"/>
      <c r="CB86" s="1482"/>
      <c r="CC86" s="1482"/>
      <c r="CD86" s="1482"/>
      <c r="CE86" s="1482"/>
      <c r="CF86" s="1482"/>
      <c r="CG86" s="1482"/>
      <c r="CH86" s="1482"/>
      <c r="CI86" s="1482"/>
      <c r="CJ86" s="1482"/>
      <c r="CK86" s="1482"/>
      <c r="CL86" s="1482"/>
      <c r="CM86" s="1482"/>
      <c r="CN86" s="1482"/>
      <c r="CO86" s="1482"/>
      <c r="CP86" s="1482"/>
      <c r="CQ86" s="1482"/>
      <c r="CR86" s="1482"/>
      <c r="CS86" s="1482"/>
      <c r="CT86" s="1482"/>
      <c r="CU86" s="1482"/>
      <c r="CV86" s="1482"/>
      <c r="CW86" s="1482"/>
      <c r="CX86" s="1482"/>
      <c r="CY86" s="1482"/>
      <c r="CZ86" s="1482"/>
      <c r="DA86" s="1482"/>
      <c r="DB86" s="1482"/>
      <c r="DC86" s="1482"/>
      <c r="DD86" s="1482"/>
      <c r="DE86" s="1482"/>
      <c r="DF86" s="1482"/>
      <c r="DH86" s="838"/>
    </row>
    <row r="87" spans="1:112" s="743" customFormat="1" ht="6" customHeight="1">
      <c r="C87" s="520"/>
      <c r="D87" s="38"/>
      <c r="E87" s="509"/>
      <c r="G87" s="958"/>
      <c r="H87" s="958"/>
      <c r="I87" s="958"/>
      <c r="J87" s="958"/>
      <c r="K87" s="960"/>
      <c r="L87" s="958"/>
      <c r="M87" s="958"/>
      <c r="N87" s="958"/>
      <c r="O87" s="958"/>
      <c r="P87" s="958"/>
      <c r="Q87" s="958"/>
      <c r="S87" s="970"/>
      <c r="T87" s="970"/>
      <c r="U87" s="970"/>
      <c r="V87" s="970"/>
      <c r="W87" s="970"/>
      <c r="X87" s="970"/>
      <c r="Y87" s="970"/>
      <c r="Z87" s="970"/>
      <c r="AA87" s="970"/>
      <c r="AB87" s="970"/>
      <c r="AC87" s="970"/>
      <c r="AD87" s="970"/>
      <c r="AE87" s="970"/>
      <c r="AF87" s="970"/>
      <c r="AG87" s="970"/>
      <c r="AH87" s="970"/>
      <c r="AI87" s="970"/>
      <c r="AJ87" s="970"/>
      <c r="AK87" s="970"/>
      <c r="AM87" s="976"/>
      <c r="AN87" s="976"/>
      <c r="AO87" s="976"/>
      <c r="AP87" s="976"/>
      <c r="AQ87" s="976"/>
      <c r="AR87" s="976"/>
      <c r="AS87" s="976"/>
      <c r="AT87" s="976"/>
      <c r="AU87" s="976"/>
      <c r="AV87" s="976"/>
      <c r="AW87" s="976"/>
      <c r="AX87" s="976"/>
      <c r="AY87" s="976"/>
      <c r="AZ87" s="976"/>
      <c r="BA87" s="976"/>
      <c r="BB87" s="976"/>
      <c r="BC87" s="976"/>
      <c r="BD87" s="976"/>
      <c r="BE87" s="976"/>
      <c r="BF87" s="976"/>
      <c r="BH87" s="990"/>
      <c r="BI87" s="990"/>
      <c r="BJ87" s="990"/>
      <c r="BL87" s="515">
        <f t="shared" si="205"/>
        <v>0</v>
      </c>
      <c r="BM87" s="515"/>
      <c r="BO87" s="1482"/>
      <c r="BP87" s="1482"/>
      <c r="BQ87" s="1482"/>
      <c r="BR87" s="1482"/>
      <c r="BS87" s="1482"/>
      <c r="BT87" s="1482"/>
      <c r="BU87" s="1482"/>
      <c r="BV87" s="1482"/>
      <c r="BW87" s="1482"/>
      <c r="BX87" s="1482"/>
      <c r="BY87" s="1482"/>
      <c r="BZ87" s="1482"/>
      <c r="CA87" s="1482"/>
      <c r="CB87" s="1482"/>
      <c r="CC87" s="1482"/>
      <c r="CD87" s="1482"/>
      <c r="CE87" s="1482"/>
      <c r="CF87" s="1482"/>
      <c r="CG87" s="1482"/>
      <c r="CH87" s="1482"/>
      <c r="CI87" s="1482"/>
      <c r="CJ87" s="1482"/>
      <c r="CK87" s="1482"/>
      <c r="CL87" s="1482"/>
      <c r="CM87" s="1482"/>
      <c r="CN87" s="1482"/>
      <c r="CO87" s="1482"/>
      <c r="CP87" s="1482"/>
      <c r="CQ87" s="1482"/>
      <c r="CR87" s="1482"/>
      <c r="CS87" s="1482"/>
      <c r="CT87" s="1482"/>
      <c r="CU87" s="1482"/>
      <c r="CV87" s="1482"/>
      <c r="CW87" s="1482"/>
      <c r="CX87" s="1482"/>
      <c r="CY87" s="1482"/>
      <c r="CZ87" s="1482"/>
      <c r="DA87" s="1482"/>
      <c r="DB87" s="1482"/>
      <c r="DC87" s="1482"/>
      <c r="DD87" s="1482"/>
      <c r="DE87" s="1482"/>
      <c r="DF87" s="1482"/>
      <c r="DH87" s="838"/>
    </row>
    <row r="88" spans="1:112" s="743" customFormat="1" hidden="1" outlineLevel="1">
      <c r="A88" s="1488"/>
      <c r="B88" s="1488"/>
      <c r="C88" s="850"/>
      <c r="D88" s="851"/>
      <c r="E88" s="851"/>
      <c r="G88" s="961"/>
      <c r="H88" s="961"/>
      <c r="I88" s="961"/>
      <c r="J88" s="961"/>
      <c r="K88" s="962"/>
      <c r="L88" s="961"/>
      <c r="M88" s="961"/>
      <c r="N88" s="961"/>
      <c r="O88" s="961"/>
      <c r="P88" s="961"/>
      <c r="Q88" s="961"/>
      <c r="S88" s="971"/>
      <c r="T88" s="971"/>
      <c r="U88" s="971"/>
      <c r="V88" s="971"/>
      <c r="W88" s="971"/>
      <c r="X88" s="971"/>
      <c r="Y88" s="971"/>
      <c r="Z88" s="971"/>
      <c r="AA88" s="971"/>
      <c r="AB88" s="971"/>
      <c r="AC88" s="971"/>
      <c r="AD88" s="971"/>
      <c r="AE88" s="971"/>
      <c r="AF88" s="971"/>
      <c r="AG88" s="971"/>
      <c r="AH88" s="971"/>
      <c r="AI88" s="971"/>
      <c r="AJ88" s="971"/>
      <c r="AK88" s="971"/>
      <c r="AM88" s="978"/>
      <c r="AN88" s="978"/>
      <c r="AO88" s="978"/>
      <c r="AP88" s="978"/>
      <c r="AQ88" s="978"/>
      <c r="AR88" s="978"/>
      <c r="AS88" s="978"/>
      <c r="AT88" s="978"/>
      <c r="AU88" s="978"/>
      <c r="AV88" s="978"/>
      <c r="AW88" s="978"/>
      <c r="AX88" s="978"/>
      <c r="AY88" s="978"/>
      <c r="AZ88" s="978"/>
      <c r="BA88" s="978"/>
      <c r="BB88" s="978"/>
      <c r="BC88" s="978"/>
      <c r="BD88" s="978"/>
      <c r="BE88" s="978"/>
      <c r="BF88" s="978"/>
      <c r="BH88" s="991"/>
      <c r="BI88" s="991"/>
      <c r="BJ88" s="991"/>
      <c r="BL88" s="852"/>
      <c r="BM88" s="852"/>
      <c r="BN88" s="1488"/>
      <c r="BO88" s="1490"/>
      <c r="BP88" s="1482"/>
      <c r="BQ88" s="1482"/>
      <c r="BR88" s="1482"/>
      <c r="BS88" s="1482"/>
      <c r="BT88" s="1482"/>
      <c r="BU88" s="1482"/>
      <c r="BV88" s="1482"/>
      <c r="BW88" s="1482"/>
      <c r="BX88" s="1482"/>
      <c r="BY88" s="1482"/>
      <c r="BZ88" s="1482"/>
      <c r="CA88" s="1482"/>
      <c r="CB88" s="1482"/>
      <c r="CC88" s="1482"/>
      <c r="CD88" s="1482"/>
      <c r="CE88" s="1482"/>
      <c r="CF88" s="1482"/>
      <c r="CG88" s="1482"/>
      <c r="CH88" s="1482"/>
      <c r="CI88" s="1482"/>
      <c r="CJ88" s="1482"/>
      <c r="CK88" s="1482"/>
      <c r="CL88" s="1482"/>
      <c r="CM88" s="1482"/>
      <c r="CN88" s="1482"/>
      <c r="CO88" s="1482"/>
      <c r="CP88" s="1482"/>
      <c r="CQ88" s="1482"/>
      <c r="CR88" s="1482"/>
      <c r="CS88" s="1482"/>
      <c r="CT88" s="1482"/>
      <c r="CU88" s="1482"/>
      <c r="CV88" s="1482"/>
      <c r="CW88" s="1482"/>
      <c r="CX88" s="1482"/>
      <c r="CY88" s="1482"/>
      <c r="CZ88" s="1482"/>
      <c r="DA88" s="1482"/>
      <c r="DB88" s="1482"/>
      <c r="DC88" s="1482"/>
      <c r="DD88" s="1482"/>
      <c r="DE88" s="1482"/>
      <c r="DF88" s="1482"/>
      <c r="DH88" s="838"/>
    </row>
    <row r="89" spans="1:112" s="1484" customFormat="1" hidden="1" outlineLevel="1">
      <c r="C89" s="522" t="s">
        <v>774</v>
      </c>
      <c r="D89" s="521" t="str">
        <f>INDEX(Modules[Module], MATCH($C89, Modules[Code], 0))</f>
        <v>Electricity imports / exports</v>
      </c>
      <c r="E89" s="521"/>
      <c r="F89" s="743"/>
      <c r="G89" s="1017">
        <f t="shared" ref="G89:P89" ca="1" si="215">IFERROR(INDEX(INDIRECT($C89&amp;".Outputs["&amp;this.Year&amp;"]"), MATCH(G$5, INDIRECT($C89&amp;".Outputs[Vector]"), 0)), 0)</f>
        <v>0</v>
      </c>
      <c r="H89" s="1017">
        <f t="shared" ca="1" si="215"/>
        <v>0</v>
      </c>
      <c r="I89" s="1017">
        <f t="shared" ca="1" si="215"/>
        <v>0</v>
      </c>
      <c r="J89" s="1017">
        <f t="shared" ca="1" si="215"/>
        <v>0</v>
      </c>
      <c r="K89" s="1017">
        <f t="shared" ca="1" si="215"/>
        <v>0</v>
      </c>
      <c r="L89" s="1017">
        <f t="shared" ca="1" si="215"/>
        <v>0</v>
      </c>
      <c r="M89" s="1017">
        <f t="shared" ca="1" si="215"/>
        <v>0</v>
      </c>
      <c r="N89" s="1017">
        <f t="shared" ca="1" si="215"/>
        <v>0</v>
      </c>
      <c r="O89" s="1017">
        <f t="shared" ca="1" si="215"/>
        <v>0</v>
      </c>
      <c r="P89" s="1017">
        <f t="shared" ca="1" si="215"/>
        <v>0</v>
      </c>
      <c r="Q89" s="1019">
        <f ca="1">SUM(G89:P89)</f>
        <v>0</v>
      </c>
      <c r="R89" s="743"/>
      <c r="S89" s="1026">
        <f t="shared" ref="S89:AJ89" ca="1" si="216">IFERROR(INDEX(INDIRECT($C89&amp;".Outputs["&amp;this.Year&amp;"]"), MATCH(S$5, INDIRECT($C89&amp;".Outputs[Vector]"), 0)), 0)</f>
        <v>0</v>
      </c>
      <c r="T89" s="1026">
        <f t="shared" ca="1" si="216"/>
        <v>0</v>
      </c>
      <c r="U89" s="1026">
        <f t="shared" ca="1" si="216"/>
        <v>0</v>
      </c>
      <c r="V89" s="1026">
        <f t="shared" ca="1" si="216"/>
        <v>0</v>
      </c>
      <c r="W89" s="1026">
        <f t="shared" ca="1" si="216"/>
        <v>0</v>
      </c>
      <c r="X89" s="1026">
        <f ca="1">IFERROR(INDEX(INDIRECT($C89&amp;".Outputs["&amp;this.Year&amp;"]"), MATCH(X$5, INDIRECT($C89&amp;".Outputs[Vector]"), 0)), 0)</f>
        <v>0</v>
      </c>
      <c r="Y89" s="1026">
        <f ca="1">IFERROR(INDEX(INDIRECT($C89&amp;".Outputs["&amp;this.Year&amp;"]"), MATCH(Y$5, INDIRECT($C89&amp;".Outputs[Vector]"), 0)), 0)</f>
        <v>0</v>
      </c>
      <c r="Z89" s="1026">
        <f ca="1">IFERROR(INDEX(INDIRECT($C89&amp;".Outputs["&amp;this.Year&amp;"]"), MATCH(Z$5, INDIRECT($C89&amp;".Outputs[Vector]"), 0)), 0)</f>
        <v>0</v>
      </c>
      <c r="AA89" s="1026">
        <f t="shared" ca="1" si="216"/>
        <v>0</v>
      </c>
      <c r="AB89" s="1026">
        <f t="shared" ca="1" si="216"/>
        <v>0</v>
      </c>
      <c r="AC89" s="1026">
        <f t="shared" ca="1" si="216"/>
        <v>0</v>
      </c>
      <c r="AD89" s="1026">
        <f t="shared" ca="1" si="216"/>
        <v>0</v>
      </c>
      <c r="AE89" s="1026">
        <f t="shared" ca="1" si="216"/>
        <v>0</v>
      </c>
      <c r="AF89" s="1026">
        <f t="shared" ca="1" si="216"/>
        <v>0</v>
      </c>
      <c r="AG89" s="1026">
        <f t="shared" ca="1" si="216"/>
        <v>0</v>
      </c>
      <c r="AH89" s="1026">
        <f t="shared" ca="1" si="216"/>
        <v>0</v>
      </c>
      <c r="AI89" s="1026">
        <f t="shared" ca="1" si="216"/>
        <v>0</v>
      </c>
      <c r="AJ89" s="1026">
        <f t="shared" ca="1" si="216"/>
        <v>0</v>
      </c>
      <c r="AK89" s="1027">
        <f ca="1">SUM(S89:AJ89)</f>
        <v>0</v>
      </c>
      <c r="AL89" s="743"/>
      <c r="AM89" s="1038">
        <f t="shared" ref="AM89:AU89" ca="1" si="217">IFERROR(INDEX(INDIRECT($C89&amp;".Outputs["&amp;this.Year&amp;"]"), MATCH(AM$5, INDIRECT($C89&amp;".Outputs[Vector]"), 0)), 0)</f>
        <v>0</v>
      </c>
      <c r="AN89" s="1038">
        <f t="shared" ca="1" si="217"/>
        <v>0</v>
      </c>
      <c r="AO89" s="1038">
        <f t="shared" ca="1" si="217"/>
        <v>0</v>
      </c>
      <c r="AP89" s="1038">
        <f t="shared" ca="1" si="217"/>
        <v>0</v>
      </c>
      <c r="AQ89" s="1038">
        <f t="shared" ca="1" si="217"/>
        <v>0</v>
      </c>
      <c r="AR89" s="1038">
        <f t="shared" ca="1" si="217"/>
        <v>0</v>
      </c>
      <c r="AS89" s="1038">
        <f t="shared" ca="1" si="217"/>
        <v>0</v>
      </c>
      <c r="AT89" s="1038">
        <f t="shared" ca="1" si="217"/>
        <v>0</v>
      </c>
      <c r="AU89" s="1038">
        <f t="shared" ca="1" si="217"/>
        <v>0</v>
      </c>
      <c r="AV89" s="1038">
        <f t="shared" ref="AV89:BE89" ca="1" si="218">IFERROR(INDEX(INDIRECT($C89&amp;".Outputs["&amp;this.Year&amp;"]"), MATCH(AV$5, INDIRECT($C89&amp;".Outputs[Vector]"), 0)), 0)</f>
        <v>0</v>
      </c>
      <c r="AW89" s="1038">
        <f t="shared" ca="1" si="218"/>
        <v>0</v>
      </c>
      <c r="AX89" s="1038">
        <f t="shared" ca="1" si="218"/>
        <v>0</v>
      </c>
      <c r="AY89" s="1038">
        <f t="shared" ca="1" si="218"/>
        <v>0</v>
      </c>
      <c r="AZ89" s="1038">
        <f t="shared" ca="1" si="218"/>
        <v>0</v>
      </c>
      <c r="BA89" s="1038">
        <f t="shared" ca="1" si="218"/>
        <v>0</v>
      </c>
      <c r="BB89" s="1038">
        <f t="shared" ca="1" si="218"/>
        <v>0</v>
      </c>
      <c r="BC89" s="1038">
        <f t="shared" ca="1" si="218"/>
        <v>0</v>
      </c>
      <c r="BD89" s="1038">
        <f t="shared" ca="1" si="218"/>
        <v>0</v>
      </c>
      <c r="BE89" s="1038">
        <f t="shared" ca="1" si="218"/>
        <v>0</v>
      </c>
      <c r="BF89" s="979">
        <f ca="1">SUM(AM89:BE89)</f>
        <v>0</v>
      </c>
      <c r="BG89" s="743"/>
      <c r="BH89" s="1032">
        <f ca="1">IFERROR(INDEX(INDIRECT($C89&amp;".Outputs["&amp;this.Year&amp;"]"), MATCH(BH$5, INDIRECT($C89&amp;".Outputs[Vector]"), 0)), 0)</f>
        <v>0</v>
      </c>
      <c r="BI89" s="1032">
        <f ca="1">IFERROR(INDEX(INDIRECT($C89&amp;".Outputs["&amp;this.Year&amp;"]"), MATCH(BI$5, INDIRECT($C89&amp;".Outputs[Vector]"), 0)), 0)</f>
        <v>0</v>
      </c>
      <c r="BJ89" s="1034">
        <f ca="1">SUM(BH89:BI89)</f>
        <v>0</v>
      </c>
      <c r="BK89" s="743"/>
      <c r="BL89" s="814">
        <f t="shared" ref="BL89:BL94" ca="1" si="219">Q89+AK89+BF89+BJ89</f>
        <v>0</v>
      </c>
      <c r="BM89" s="814"/>
      <c r="BO89" s="1481">
        <f t="shared" ref="BO89:DF89" ca="1" si="220">IFERROR(SUMIFS(INDIRECT($C89&amp;".Emissions["&amp;this.Year&amp;"]"), INDIRECT($C89&amp;".Emissions[GHG]"), BO$6, INDIRECT($C89&amp;".Emissions[IPCC Sector]"), BO$5),0)</f>
        <v>0</v>
      </c>
      <c r="BP89" s="1482">
        <f t="shared" ca="1" si="220"/>
        <v>0</v>
      </c>
      <c r="BQ89" s="1482">
        <f t="shared" ca="1" si="220"/>
        <v>0</v>
      </c>
      <c r="BR89" s="1482">
        <f t="shared" ca="1" si="220"/>
        <v>0</v>
      </c>
      <c r="BS89" s="1482">
        <f t="shared" ca="1" si="220"/>
        <v>0</v>
      </c>
      <c r="BT89" s="1482">
        <f t="shared" ca="1" si="220"/>
        <v>0</v>
      </c>
      <c r="BU89" s="1482">
        <f t="shared" ca="1" si="220"/>
        <v>0</v>
      </c>
      <c r="BV89" s="1482">
        <f t="shared" ca="1" si="220"/>
        <v>0</v>
      </c>
      <c r="BW89" s="1482">
        <f t="shared" ca="1" si="220"/>
        <v>0</v>
      </c>
      <c r="BX89" s="1482">
        <f t="shared" ca="1" si="220"/>
        <v>0</v>
      </c>
      <c r="BY89" s="1482">
        <f t="shared" ca="1" si="220"/>
        <v>0</v>
      </c>
      <c r="BZ89" s="1482">
        <f t="shared" ca="1" si="220"/>
        <v>0</v>
      </c>
      <c r="CA89" s="1482">
        <f t="shared" ca="1" si="220"/>
        <v>0</v>
      </c>
      <c r="CB89" s="1482">
        <f t="shared" ca="1" si="220"/>
        <v>0</v>
      </c>
      <c r="CC89" s="1482">
        <f t="shared" ca="1" si="220"/>
        <v>0</v>
      </c>
      <c r="CD89" s="1482">
        <f t="shared" ca="1" si="220"/>
        <v>0</v>
      </c>
      <c r="CE89" s="1482">
        <f t="shared" ca="1" si="220"/>
        <v>0</v>
      </c>
      <c r="CF89" s="1482">
        <f t="shared" ca="1" si="220"/>
        <v>0</v>
      </c>
      <c r="CG89" s="1482">
        <f t="shared" ca="1" si="220"/>
        <v>0</v>
      </c>
      <c r="CH89" s="1482">
        <f t="shared" ca="1" si="220"/>
        <v>0</v>
      </c>
      <c r="CI89" s="1482">
        <f t="shared" ca="1" si="220"/>
        <v>0</v>
      </c>
      <c r="CJ89" s="1482">
        <f t="shared" ca="1" si="220"/>
        <v>0</v>
      </c>
      <c r="CK89" s="1482">
        <f t="shared" ca="1" si="220"/>
        <v>0</v>
      </c>
      <c r="CL89" s="1482">
        <f t="shared" ca="1" si="220"/>
        <v>0</v>
      </c>
      <c r="CM89" s="1482">
        <f t="shared" ca="1" si="220"/>
        <v>0</v>
      </c>
      <c r="CN89" s="1482">
        <f t="shared" ca="1" si="220"/>
        <v>0</v>
      </c>
      <c r="CO89" s="1482">
        <f t="shared" ca="1" si="220"/>
        <v>0</v>
      </c>
      <c r="CP89" s="1482">
        <f t="shared" ca="1" si="220"/>
        <v>0</v>
      </c>
      <c r="CQ89" s="1482">
        <f t="shared" ca="1" si="220"/>
        <v>0</v>
      </c>
      <c r="CR89" s="1482">
        <f t="shared" ca="1" si="220"/>
        <v>0</v>
      </c>
      <c r="CS89" s="1482">
        <f t="shared" ca="1" si="220"/>
        <v>0</v>
      </c>
      <c r="CT89" s="1482">
        <f t="shared" ca="1" si="220"/>
        <v>0</v>
      </c>
      <c r="CU89" s="1482">
        <f t="shared" ca="1" si="220"/>
        <v>0</v>
      </c>
      <c r="CV89" s="1482">
        <f t="shared" ca="1" si="220"/>
        <v>0</v>
      </c>
      <c r="CW89" s="1482">
        <f t="shared" ca="1" si="220"/>
        <v>0</v>
      </c>
      <c r="CX89" s="1482">
        <f t="shared" ca="1" si="220"/>
        <v>0</v>
      </c>
      <c r="CY89" s="1482">
        <f t="shared" ca="1" si="220"/>
        <v>0</v>
      </c>
      <c r="CZ89" s="1482">
        <f t="shared" ca="1" si="220"/>
        <v>0</v>
      </c>
      <c r="DA89" s="1482">
        <f t="shared" ca="1" si="220"/>
        <v>0</v>
      </c>
      <c r="DB89" s="1482">
        <f t="shared" ca="1" si="220"/>
        <v>0</v>
      </c>
      <c r="DC89" s="1482">
        <f t="shared" ca="1" si="220"/>
        <v>0</v>
      </c>
      <c r="DD89" s="1482">
        <f t="shared" ca="1" si="220"/>
        <v>0</v>
      </c>
      <c r="DE89" s="1482">
        <f t="shared" ca="1" si="220"/>
        <v>0</v>
      </c>
      <c r="DF89" s="1482">
        <f t="shared" ca="1" si="220"/>
        <v>0</v>
      </c>
      <c r="DH89" s="838"/>
    </row>
    <row r="90" spans="1:112" s="1488" customFormat="1" ht="12.75" hidden="1" customHeight="1" outlineLevel="1">
      <c r="C90" s="1048" t="s">
        <v>1722</v>
      </c>
      <c r="D90" s="1049" t="s">
        <v>1335</v>
      </c>
      <c r="E90" s="1049"/>
      <c r="F90" s="743"/>
      <c r="G90" s="1070"/>
      <c r="H90" s="1070"/>
      <c r="I90" s="1070"/>
      <c r="J90" s="1070"/>
      <c r="K90" s="1071"/>
      <c r="L90" s="1070"/>
      <c r="M90" s="1070"/>
      <c r="N90" s="1070"/>
      <c r="O90" s="1070"/>
      <c r="P90" s="1070"/>
      <c r="Q90" s="1070"/>
      <c r="R90" s="743"/>
      <c r="S90" s="1072">
        <f ca="1">S$40+$S46+S$51+S$99+S$55+S$89</f>
        <v>-389.72589326068504</v>
      </c>
      <c r="T90" s="1072">
        <f ca="1">T$40+$S46+T$51+T$99+T$55+T$89</f>
        <v>0</v>
      </c>
      <c r="U90" s="1072"/>
      <c r="V90" s="1072"/>
      <c r="W90" s="1072"/>
      <c r="X90" s="1072"/>
      <c r="Y90" s="1072"/>
      <c r="Z90" s="1072"/>
      <c r="AA90" s="1072"/>
      <c r="AB90" s="1072"/>
      <c r="AC90" s="1072"/>
      <c r="AD90" s="1072"/>
      <c r="AE90" s="1072"/>
      <c r="AF90" s="1072"/>
      <c r="AG90" s="1072"/>
      <c r="AH90" s="1072"/>
      <c r="AI90" s="1072"/>
      <c r="AJ90" s="1072"/>
      <c r="AK90" s="1072"/>
      <c r="AL90" s="74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743"/>
      <c r="BH90" s="1074"/>
      <c r="BI90" s="1074"/>
      <c r="BJ90" s="1074"/>
      <c r="BK90" s="743"/>
      <c r="BL90" s="852">
        <f t="shared" si="219"/>
        <v>0</v>
      </c>
      <c r="BM90" s="852"/>
      <c r="BO90" s="1490"/>
      <c r="BP90" s="1490"/>
      <c r="BQ90" s="1490"/>
      <c r="BR90" s="1490"/>
      <c r="BS90" s="1490"/>
      <c r="BT90" s="1490"/>
      <c r="BU90" s="1490"/>
      <c r="BV90" s="1490"/>
      <c r="BW90" s="1490"/>
      <c r="BX90" s="1490"/>
      <c r="BY90" s="1490"/>
      <c r="BZ90" s="1490"/>
      <c r="CA90" s="1490"/>
      <c r="CB90" s="1490"/>
      <c r="CC90" s="1490"/>
      <c r="CD90" s="1490"/>
      <c r="CE90" s="1490"/>
      <c r="CF90" s="1490"/>
      <c r="CG90" s="1490"/>
      <c r="CH90" s="1490"/>
      <c r="CI90" s="1490"/>
      <c r="CJ90" s="1490"/>
      <c r="CK90" s="1490"/>
      <c r="CL90" s="1490"/>
      <c r="CM90" s="1490"/>
      <c r="CN90" s="1490"/>
      <c r="CO90" s="1490"/>
      <c r="CP90" s="1490"/>
      <c r="CQ90" s="1490"/>
      <c r="CR90" s="1490"/>
      <c r="CS90" s="1490"/>
      <c r="CT90" s="1490"/>
      <c r="CU90" s="1490"/>
      <c r="CV90" s="1490"/>
      <c r="CW90" s="1490"/>
      <c r="CX90" s="1490"/>
      <c r="CY90" s="1490"/>
      <c r="CZ90" s="1490"/>
      <c r="DA90" s="1490"/>
      <c r="DB90" s="1490"/>
      <c r="DC90" s="1490"/>
      <c r="DD90" s="1490"/>
      <c r="DE90" s="1490"/>
      <c r="DF90" s="1490"/>
      <c r="DH90" s="838"/>
    </row>
    <row r="91" spans="1:112" s="1484" customFormat="1" hidden="1" outlineLevel="1">
      <c r="C91" s="522" t="s">
        <v>784</v>
      </c>
      <c r="D91" s="521" t="str">
        <f>INDEX(Modules[Module], MATCH($C91, Modules[Code], 0))</f>
        <v>Electricity grid distribution</v>
      </c>
      <c r="E91" s="521"/>
      <c r="F91" s="743"/>
      <c r="G91" s="1017">
        <f t="shared" ref="G91:P92" ca="1" si="221">IFERROR(INDEX(INDIRECT($C91&amp;".Outputs["&amp;this.Year&amp;"]"), MATCH(G$5, INDIRECT($C91&amp;".Outputs[Vector]"), 0)), 0)</f>
        <v>0</v>
      </c>
      <c r="H91" s="1017">
        <f t="shared" ca="1" si="221"/>
        <v>0</v>
      </c>
      <c r="I91" s="1017">
        <f t="shared" ca="1" si="221"/>
        <v>0</v>
      </c>
      <c r="J91" s="1017">
        <f t="shared" ca="1" si="221"/>
        <v>0</v>
      </c>
      <c r="K91" s="1017">
        <f t="shared" ca="1" si="221"/>
        <v>0</v>
      </c>
      <c r="L91" s="1017">
        <f t="shared" ca="1" si="221"/>
        <v>0</v>
      </c>
      <c r="M91" s="1017">
        <f t="shared" ca="1" si="221"/>
        <v>0</v>
      </c>
      <c r="N91" s="1017">
        <f t="shared" ca="1" si="221"/>
        <v>0</v>
      </c>
      <c r="O91" s="1017">
        <f t="shared" ca="1" si="221"/>
        <v>0</v>
      </c>
      <c r="P91" s="1017">
        <f t="shared" ca="1" si="221"/>
        <v>0</v>
      </c>
      <c r="Q91" s="1019">
        <f ca="1">SUM(G91:P91)</f>
        <v>0</v>
      </c>
      <c r="R91" s="743"/>
      <c r="S91" s="1026">
        <f t="shared" ref="S91:AJ92" ca="1" si="222">IFERROR(INDEX(INDIRECT($C91&amp;".Outputs["&amp;this.Year&amp;"]"), MATCH(S$5, INDIRECT($C91&amp;".Outputs[Vector]"), 0)), 0)</f>
        <v>0</v>
      </c>
      <c r="T91" s="1026">
        <f t="shared" ca="1" si="222"/>
        <v>-29.221579811582899</v>
      </c>
      <c r="U91" s="1026">
        <f t="shared" ca="1" si="222"/>
        <v>0</v>
      </c>
      <c r="V91" s="1026">
        <f t="shared" ca="1" si="222"/>
        <v>0</v>
      </c>
      <c r="W91" s="1026">
        <f t="shared" ca="1" si="222"/>
        <v>0</v>
      </c>
      <c r="X91" s="1026">
        <f t="shared" ref="X91:Z92" ca="1" si="223">IFERROR(INDEX(INDIRECT($C91&amp;".Outputs["&amp;this.Year&amp;"]"), MATCH(X$5, INDIRECT($C91&amp;".Outputs[Vector]"), 0)), 0)</f>
        <v>0</v>
      </c>
      <c r="Y91" s="1026">
        <f t="shared" ca="1" si="223"/>
        <v>0</v>
      </c>
      <c r="Z91" s="1026">
        <f t="shared" ca="1" si="223"/>
        <v>0</v>
      </c>
      <c r="AA91" s="1026">
        <f t="shared" ca="1" si="222"/>
        <v>0</v>
      </c>
      <c r="AB91" s="1026">
        <f t="shared" ca="1" si="222"/>
        <v>0</v>
      </c>
      <c r="AC91" s="1026">
        <f t="shared" ca="1" si="222"/>
        <v>0</v>
      </c>
      <c r="AD91" s="1026">
        <f t="shared" ca="1" si="222"/>
        <v>0</v>
      </c>
      <c r="AE91" s="1026">
        <f t="shared" ca="1" si="222"/>
        <v>0</v>
      </c>
      <c r="AF91" s="1026">
        <f t="shared" ca="1" si="222"/>
        <v>0</v>
      </c>
      <c r="AG91" s="1026">
        <f t="shared" ca="1" si="222"/>
        <v>0</v>
      </c>
      <c r="AH91" s="1026">
        <f t="shared" ca="1" si="222"/>
        <v>0</v>
      </c>
      <c r="AI91" s="1026">
        <f t="shared" ca="1" si="222"/>
        <v>0</v>
      </c>
      <c r="AJ91" s="1026">
        <f t="shared" ca="1" si="222"/>
        <v>0</v>
      </c>
      <c r="AK91" s="1027">
        <f ca="1">SUM(S91:AJ91)</f>
        <v>-29.221579811582899</v>
      </c>
      <c r="AL91" s="743"/>
      <c r="AM91" s="1038">
        <f t="shared" ref="AM91:AU92" ca="1" si="224">IFERROR(INDEX(INDIRECT($C91&amp;".Outputs["&amp;this.Year&amp;"]"), MATCH(AM$5, INDIRECT($C91&amp;".Outputs[Vector]"), 0)), 0)</f>
        <v>0</v>
      </c>
      <c r="AN91" s="1038">
        <f t="shared" ca="1" si="224"/>
        <v>0</v>
      </c>
      <c r="AO91" s="1038">
        <f t="shared" ca="1" si="224"/>
        <v>0</v>
      </c>
      <c r="AP91" s="1038">
        <f t="shared" ca="1" si="224"/>
        <v>0</v>
      </c>
      <c r="AQ91" s="1038">
        <f t="shared" ca="1" si="224"/>
        <v>0</v>
      </c>
      <c r="AR91" s="1038">
        <f t="shared" ca="1" si="224"/>
        <v>0</v>
      </c>
      <c r="AS91" s="1038">
        <f t="shared" ca="1" si="224"/>
        <v>0</v>
      </c>
      <c r="AT91" s="1038">
        <f t="shared" ca="1" si="224"/>
        <v>0</v>
      </c>
      <c r="AU91" s="1038">
        <f t="shared" ca="1" si="224"/>
        <v>0</v>
      </c>
      <c r="AV91" s="1038">
        <f t="shared" ref="AV91:BE92" ca="1" si="225">IFERROR(INDEX(INDIRECT($C91&amp;".Outputs["&amp;this.Year&amp;"]"), MATCH(AV$5, INDIRECT($C91&amp;".Outputs[Vector]"), 0)), 0)</f>
        <v>0</v>
      </c>
      <c r="AW91" s="1038">
        <f t="shared" ca="1" si="225"/>
        <v>0</v>
      </c>
      <c r="AX91" s="1038">
        <f t="shared" ca="1" si="225"/>
        <v>0</v>
      </c>
      <c r="AY91" s="1038">
        <f t="shared" ca="1" si="225"/>
        <v>0</v>
      </c>
      <c r="AZ91" s="1038">
        <f t="shared" ca="1" si="225"/>
        <v>0</v>
      </c>
      <c r="BA91" s="1038">
        <f t="shared" ca="1" si="225"/>
        <v>0</v>
      </c>
      <c r="BB91" s="1038">
        <f t="shared" ca="1" si="225"/>
        <v>0</v>
      </c>
      <c r="BC91" s="1038">
        <f t="shared" ca="1" si="225"/>
        <v>0</v>
      </c>
      <c r="BD91" s="1038">
        <f t="shared" ca="1" si="225"/>
        <v>0</v>
      </c>
      <c r="BE91" s="1038">
        <f t="shared" ca="1" si="225"/>
        <v>0</v>
      </c>
      <c r="BF91" s="979">
        <f ca="1">SUM(AM91:BE91)</f>
        <v>0</v>
      </c>
      <c r="BG91" s="743"/>
      <c r="BH91" s="1032">
        <f ca="1">IFERROR(INDEX(INDIRECT($C91&amp;".Outputs["&amp;this.Year&amp;"]"), MATCH(BH$5, INDIRECT($C91&amp;".Outputs[Vector]"), 0)), 0)</f>
        <v>0</v>
      </c>
      <c r="BI91" s="1032">
        <f ca="1">IFERROR(INDEX(INDIRECT($C91&amp;".Outputs["&amp;this.Year&amp;"]"), MATCH(BI$5, INDIRECT($C91&amp;".Outputs[Vector]"), 0)), 0)</f>
        <v>29.221579811582899</v>
      </c>
      <c r="BJ91" s="1034">
        <f ca="1">SUM(BH91:BI91)</f>
        <v>29.221579811582899</v>
      </c>
      <c r="BK91" s="743"/>
      <c r="BL91" s="852">
        <f t="shared" ca="1" si="219"/>
        <v>0</v>
      </c>
      <c r="BM91" s="814"/>
      <c r="BO91" s="1481">
        <f t="shared" ref="BO91:BX92" ca="1" si="226">IFERROR(SUMIFS(INDIRECT($C91&amp;".Emissions["&amp;this.Year&amp;"]"), INDIRECT($C91&amp;".Emissions[GHG]"), BO$6, INDIRECT($C91&amp;".Emissions[IPCC Sector]"), BO$5),0)</f>
        <v>0</v>
      </c>
      <c r="BP91" s="1482">
        <f t="shared" ca="1" si="226"/>
        <v>0</v>
      </c>
      <c r="BQ91" s="1482">
        <f t="shared" ca="1" si="226"/>
        <v>0</v>
      </c>
      <c r="BR91" s="1482">
        <f t="shared" ca="1" si="226"/>
        <v>0</v>
      </c>
      <c r="BS91" s="1482">
        <f t="shared" ca="1" si="226"/>
        <v>0</v>
      </c>
      <c r="BT91" s="1482">
        <f t="shared" ca="1" si="226"/>
        <v>0</v>
      </c>
      <c r="BU91" s="1482">
        <f t="shared" ca="1" si="226"/>
        <v>0</v>
      </c>
      <c r="BV91" s="1482">
        <f t="shared" ca="1" si="226"/>
        <v>0</v>
      </c>
      <c r="BW91" s="1482">
        <f t="shared" ca="1" si="226"/>
        <v>0</v>
      </c>
      <c r="BX91" s="1482">
        <f t="shared" ca="1" si="226"/>
        <v>0</v>
      </c>
      <c r="BY91" s="1482">
        <f t="shared" ref="BY91:CH92" ca="1" si="227">IFERROR(SUMIFS(INDIRECT($C91&amp;".Emissions["&amp;this.Year&amp;"]"), INDIRECT($C91&amp;".Emissions[GHG]"), BY$6, INDIRECT($C91&amp;".Emissions[IPCC Sector]"), BY$5),0)</f>
        <v>0</v>
      </c>
      <c r="BZ91" s="1482">
        <f t="shared" ca="1" si="227"/>
        <v>0</v>
      </c>
      <c r="CA91" s="1482">
        <f t="shared" ca="1" si="227"/>
        <v>0</v>
      </c>
      <c r="CB91" s="1482">
        <f t="shared" ca="1" si="227"/>
        <v>0</v>
      </c>
      <c r="CC91" s="1482">
        <f t="shared" ca="1" si="227"/>
        <v>0</v>
      </c>
      <c r="CD91" s="1482">
        <f t="shared" ca="1" si="227"/>
        <v>0</v>
      </c>
      <c r="CE91" s="1482">
        <f t="shared" ca="1" si="227"/>
        <v>0</v>
      </c>
      <c r="CF91" s="1482">
        <f t="shared" ca="1" si="227"/>
        <v>0</v>
      </c>
      <c r="CG91" s="1482">
        <f t="shared" ca="1" si="227"/>
        <v>0</v>
      </c>
      <c r="CH91" s="1482">
        <f t="shared" ca="1" si="227"/>
        <v>0</v>
      </c>
      <c r="CI91" s="1482">
        <f t="shared" ref="CI91:CR92" ca="1" si="228">IFERROR(SUMIFS(INDIRECT($C91&amp;".Emissions["&amp;this.Year&amp;"]"), INDIRECT($C91&amp;".Emissions[GHG]"), CI$6, INDIRECT($C91&amp;".Emissions[IPCC Sector]"), CI$5),0)</f>
        <v>0</v>
      </c>
      <c r="CJ91" s="1482">
        <f t="shared" ca="1" si="228"/>
        <v>0</v>
      </c>
      <c r="CK91" s="1482">
        <f t="shared" ca="1" si="228"/>
        <v>0</v>
      </c>
      <c r="CL91" s="1482">
        <f t="shared" ca="1" si="228"/>
        <v>0</v>
      </c>
      <c r="CM91" s="1482">
        <f t="shared" ca="1" si="228"/>
        <v>0</v>
      </c>
      <c r="CN91" s="1482">
        <f t="shared" ca="1" si="228"/>
        <v>0</v>
      </c>
      <c r="CO91" s="1482">
        <f t="shared" ca="1" si="228"/>
        <v>0</v>
      </c>
      <c r="CP91" s="1482">
        <f t="shared" ca="1" si="228"/>
        <v>0</v>
      </c>
      <c r="CQ91" s="1482">
        <f t="shared" ca="1" si="228"/>
        <v>0</v>
      </c>
      <c r="CR91" s="1482">
        <f t="shared" ca="1" si="228"/>
        <v>0</v>
      </c>
      <c r="CS91" s="1482">
        <f t="shared" ref="CS91:DF92" ca="1" si="229">IFERROR(SUMIFS(INDIRECT($C91&amp;".Emissions["&amp;this.Year&amp;"]"), INDIRECT($C91&amp;".Emissions[GHG]"), CS$6, INDIRECT($C91&amp;".Emissions[IPCC Sector]"), CS$5),0)</f>
        <v>0</v>
      </c>
      <c r="CT91" s="1482">
        <f t="shared" ca="1" si="229"/>
        <v>0</v>
      </c>
      <c r="CU91" s="1482">
        <f t="shared" ca="1" si="229"/>
        <v>0</v>
      </c>
      <c r="CV91" s="1482">
        <f t="shared" ca="1" si="229"/>
        <v>0</v>
      </c>
      <c r="CW91" s="1482">
        <f t="shared" ca="1" si="229"/>
        <v>0</v>
      </c>
      <c r="CX91" s="1482">
        <f t="shared" ca="1" si="229"/>
        <v>0</v>
      </c>
      <c r="CY91" s="1482">
        <f t="shared" ca="1" si="229"/>
        <v>0</v>
      </c>
      <c r="CZ91" s="1482">
        <f t="shared" ca="1" si="229"/>
        <v>0</v>
      </c>
      <c r="DA91" s="1482">
        <f t="shared" ca="1" si="229"/>
        <v>0</v>
      </c>
      <c r="DB91" s="1482">
        <f t="shared" ca="1" si="229"/>
        <v>0</v>
      </c>
      <c r="DC91" s="1482">
        <f t="shared" ca="1" si="229"/>
        <v>0</v>
      </c>
      <c r="DD91" s="1482">
        <f t="shared" ca="1" si="229"/>
        <v>0</v>
      </c>
      <c r="DE91" s="1482">
        <f t="shared" ca="1" si="229"/>
        <v>0</v>
      </c>
      <c r="DF91" s="1482">
        <f t="shared" ca="1" si="229"/>
        <v>0</v>
      </c>
      <c r="DH91" s="838"/>
    </row>
    <row r="92" spans="1:112" s="1484" customFormat="1" hidden="1" outlineLevel="1">
      <c r="C92" s="522" t="s">
        <v>796</v>
      </c>
      <c r="D92" s="1010" t="str">
        <f>INDEX(Modules[Module], MATCH($C92, Modules[Code], 0))</f>
        <v>Storage, demand shifting, backup</v>
      </c>
      <c r="E92" s="1010"/>
      <c r="F92" s="743"/>
      <c r="G92" s="1022">
        <f t="shared" ca="1" si="221"/>
        <v>0</v>
      </c>
      <c r="H92" s="1022">
        <f t="shared" ca="1" si="221"/>
        <v>0</v>
      </c>
      <c r="I92" s="1022">
        <f t="shared" ca="1" si="221"/>
        <v>0</v>
      </c>
      <c r="J92" s="1022">
        <f t="shared" ca="1" si="221"/>
        <v>0</v>
      </c>
      <c r="K92" s="1022">
        <f t="shared" ca="1" si="221"/>
        <v>0</v>
      </c>
      <c r="L92" s="1022">
        <f t="shared" ca="1" si="221"/>
        <v>0</v>
      </c>
      <c r="M92" s="1022">
        <f t="shared" ca="1" si="221"/>
        <v>0</v>
      </c>
      <c r="N92" s="1022">
        <f t="shared" ca="1" si="221"/>
        <v>0</v>
      </c>
      <c r="O92" s="1022">
        <f t="shared" ca="1" si="221"/>
        <v>0</v>
      </c>
      <c r="P92" s="1022">
        <f t="shared" ca="1" si="221"/>
        <v>0</v>
      </c>
      <c r="Q92" s="1020">
        <f ca="1">SUM(G92:P92)</f>
        <v>0</v>
      </c>
      <c r="R92" s="743"/>
      <c r="S92" s="1031">
        <f t="shared" ca="1" si="222"/>
        <v>0</v>
      </c>
      <c r="T92" s="1031">
        <f t="shared" ca="1" si="222"/>
        <v>0</v>
      </c>
      <c r="U92" s="1031">
        <f t="shared" ca="1" si="222"/>
        <v>0</v>
      </c>
      <c r="V92" s="1031">
        <f t="shared" ca="1" si="222"/>
        <v>0</v>
      </c>
      <c r="W92" s="1031">
        <f t="shared" ca="1" si="222"/>
        <v>0</v>
      </c>
      <c r="X92" s="1031">
        <f t="shared" ca="1" si="223"/>
        <v>0</v>
      </c>
      <c r="Y92" s="1031">
        <f t="shared" ca="1" si="223"/>
        <v>0</v>
      </c>
      <c r="Z92" s="1031">
        <f t="shared" ca="1" si="223"/>
        <v>0</v>
      </c>
      <c r="AA92" s="1031">
        <f t="shared" ca="1" si="222"/>
        <v>0</v>
      </c>
      <c r="AB92" s="1031">
        <f t="shared" ca="1" si="222"/>
        <v>0</v>
      </c>
      <c r="AC92" s="1031">
        <f t="shared" ca="1" si="222"/>
        <v>0</v>
      </c>
      <c r="AD92" s="1031">
        <f t="shared" ca="1" si="222"/>
        <v>0</v>
      </c>
      <c r="AE92" s="1031">
        <f t="shared" ca="1" si="222"/>
        <v>0</v>
      </c>
      <c r="AF92" s="1031">
        <f t="shared" ca="1" si="222"/>
        <v>0</v>
      </c>
      <c r="AG92" s="1031">
        <f t="shared" ca="1" si="222"/>
        <v>0</v>
      </c>
      <c r="AH92" s="1031">
        <f t="shared" ca="1" si="222"/>
        <v>0</v>
      </c>
      <c r="AI92" s="1031">
        <f t="shared" ca="1" si="222"/>
        <v>0</v>
      </c>
      <c r="AJ92" s="1031">
        <f t="shared" ca="1" si="222"/>
        <v>0</v>
      </c>
      <c r="AK92" s="1030">
        <f ca="1">SUM(S92:AJ92)</f>
        <v>0</v>
      </c>
      <c r="AL92" s="743"/>
      <c r="AM92" s="1042">
        <f t="shared" ca="1" si="224"/>
        <v>0</v>
      </c>
      <c r="AN92" s="1042">
        <f t="shared" ca="1" si="224"/>
        <v>0</v>
      </c>
      <c r="AO92" s="1042">
        <f t="shared" ca="1" si="224"/>
        <v>0</v>
      </c>
      <c r="AP92" s="1042">
        <f t="shared" ca="1" si="224"/>
        <v>0</v>
      </c>
      <c r="AQ92" s="1042">
        <f t="shared" ca="1" si="224"/>
        <v>0</v>
      </c>
      <c r="AR92" s="1042">
        <f t="shared" ca="1" si="224"/>
        <v>0</v>
      </c>
      <c r="AS92" s="1042">
        <f t="shared" ca="1" si="224"/>
        <v>0</v>
      </c>
      <c r="AT92" s="1042">
        <f t="shared" ca="1" si="224"/>
        <v>0</v>
      </c>
      <c r="AU92" s="1042">
        <f t="shared" ca="1" si="224"/>
        <v>0</v>
      </c>
      <c r="AV92" s="1042">
        <f t="shared" ca="1" si="225"/>
        <v>0</v>
      </c>
      <c r="AW92" s="1042">
        <f t="shared" ca="1" si="225"/>
        <v>0</v>
      </c>
      <c r="AX92" s="1042">
        <f t="shared" ca="1" si="225"/>
        <v>0</v>
      </c>
      <c r="AY92" s="1042">
        <f t="shared" ca="1" si="225"/>
        <v>0</v>
      </c>
      <c r="AZ92" s="1042">
        <f t="shared" ca="1" si="225"/>
        <v>0</v>
      </c>
      <c r="BA92" s="1042">
        <f t="shared" ca="1" si="225"/>
        <v>0</v>
      </c>
      <c r="BB92" s="1042">
        <f t="shared" ca="1" si="225"/>
        <v>0</v>
      </c>
      <c r="BC92" s="1042">
        <f t="shared" ca="1" si="225"/>
        <v>0</v>
      </c>
      <c r="BD92" s="1042">
        <f t="shared" ca="1" si="225"/>
        <v>0</v>
      </c>
      <c r="BE92" s="1042">
        <f t="shared" ca="1" si="225"/>
        <v>0</v>
      </c>
      <c r="BF92" s="1012">
        <f ca="1">SUM(AM92:BE92)</f>
        <v>0</v>
      </c>
      <c r="BG92" s="743"/>
      <c r="BH92" s="1036">
        <f ca="1">IFERROR(INDEX(INDIRECT($C92&amp;".Outputs["&amp;this.Year&amp;"]"), MATCH(BH$5, INDIRECT($C92&amp;".Outputs[Vector]"), 0)), 0)</f>
        <v>0</v>
      </c>
      <c r="BI92" s="1036">
        <f ca="1">IFERROR(INDEX(INDIRECT($C92&amp;".Outputs["&amp;this.Year&amp;"]"), MATCH(BI$5, INDIRECT($C92&amp;".Outputs[Vector]"), 0)), 0)</f>
        <v>0</v>
      </c>
      <c r="BJ92" s="1035">
        <f ca="1">SUM(BH92:BI92)</f>
        <v>0</v>
      </c>
      <c r="BK92" s="743"/>
      <c r="BL92" s="852">
        <f t="shared" ca="1" si="219"/>
        <v>0</v>
      </c>
      <c r="BM92" s="814"/>
      <c r="BO92" s="1485">
        <f t="shared" ca="1" si="226"/>
        <v>0</v>
      </c>
      <c r="BP92" s="1486">
        <f t="shared" ca="1" si="226"/>
        <v>0</v>
      </c>
      <c r="BQ92" s="1486">
        <f t="shared" ca="1" si="226"/>
        <v>0</v>
      </c>
      <c r="BR92" s="1486">
        <f t="shared" ca="1" si="226"/>
        <v>0</v>
      </c>
      <c r="BS92" s="1486">
        <f t="shared" ca="1" si="226"/>
        <v>0</v>
      </c>
      <c r="BT92" s="1486">
        <f t="shared" ca="1" si="226"/>
        <v>0</v>
      </c>
      <c r="BU92" s="1486">
        <f t="shared" ca="1" si="226"/>
        <v>0</v>
      </c>
      <c r="BV92" s="1486">
        <f t="shared" ca="1" si="226"/>
        <v>0</v>
      </c>
      <c r="BW92" s="1486">
        <f t="shared" ca="1" si="226"/>
        <v>0</v>
      </c>
      <c r="BX92" s="1486">
        <f t="shared" ca="1" si="226"/>
        <v>0</v>
      </c>
      <c r="BY92" s="1486">
        <f t="shared" ca="1" si="227"/>
        <v>0</v>
      </c>
      <c r="BZ92" s="1486">
        <f t="shared" ca="1" si="227"/>
        <v>0</v>
      </c>
      <c r="CA92" s="1486">
        <f t="shared" ca="1" si="227"/>
        <v>0</v>
      </c>
      <c r="CB92" s="1486">
        <f t="shared" ca="1" si="227"/>
        <v>0</v>
      </c>
      <c r="CC92" s="1486">
        <f t="shared" ca="1" si="227"/>
        <v>0</v>
      </c>
      <c r="CD92" s="1486">
        <f t="shared" ca="1" si="227"/>
        <v>0</v>
      </c>
      <c r="CE92" s="1486">
        <f t="shared" ca="1" si="227"/>
        <v>0</v>
      </c>
      <c r="CF92" s="1486">
        <f t="shared" ca="1" si="227"/>
        <v>0</v>
      </c>
      <c r="CG92" s="1486">
        <f t="shared" ca="1" si="227"/>
        <v>0</v>
      </c>
      <c r="CH92" s="1486">
        <f t="shared" ca="1" si="227"/>
        <v>0</v>
      </c>
      <c r="CI92" s="1486">
        <f t="shared" ca="1" si="228"/>
        <v>0</v>
      </c>
      <c r="CJ92" s="1486">
        <f t="shared" ca="1" si="228"/>
        <v>0</v>
      </c>
      <c r="CK92" s="1486">
        <f t="shared" ca="1" si="228"/>
        <v>0</v>
      </c>
      <c r="CL92" s="1486">
        <f t="shared" ca="1" si="228"/>
        <v>0</v>
      </c>
      <c r="CM92" s="1486">
        <f t="shared" ca="1" si="228"/>
        <v>0</v>
      </c>
      <c r="CN92" s="1486">
        <f t="shared" ca="1" si="228"/>
        <v>0</v>
      </c>
      <c r="CO92" s="1486">
        <f t="shared" ca="1" si="228"/>
        <v>0</v>
      </c>
      <c r="CP92" s="1486">
        <f t="shared" ca="1" si="228"/>
        <v>0</v>
      </c>
      <c r="CQ92" s="1486">
        <f t="shared" ca="1" si="228"/>
        <v>0</v>
      </c>
      <c r="CR92" s="1486">
        <f t="shared" ca="1" si="228"/>
        <v>0</v>
      </c>
      <c r="CS92" s="1486">
        <f t="shared" ca="1" si="229"/>
        <v>0</v>
      </c>
      <c r="CT92" s="1486">
        <f t="shared" ca="1" si="229"/>
        <v>0</v>
      </c>
      <c r="CU92" s="1486">
        <f t="shared" ca="1" si="229"/>
        <v>0</v>
      </c>
      <c r="CV92" s="1486">
        <f t="shared" ca="1" si="229"/>
        <v>0</v>
      </c>
      <c r="CW92" s="1486">
        <f t="shared" ca="1" si="229"/>
        <v>0</v>
      </c>
      <c r="CX92" s="1486">
        <f t="shared" ca="1" si="229"/>
        <v>0</v>
      </c>
      <c r="CY92" s="1486">
        <f t="shared" ca="1" si="229"/>
        <v>0</v>
      </c>
      <c r="CZ92" s="1486">
        <f t="shared" ca="1" si="229"/>
        <v>0</v>
      </c>
      <c r="DA92" s="1486">
        <f t="shared" ca="1" si="229"/>
        <v>0</v>
      </c>
      <c r="DB92" s="1486">
        <f t="shared" ca="1" si="229"/>
        <v>0</v>
      </c>
      <c r="DC92" s="1486">
        <f t="shared" ca="1" si="229"/>
        <v>0</v>
      </c>
      <c r="DD92" s="1486">
        <f t="shared" ca="1" si="229"/>
        <v>0</v>
      </c>
      <c r="DE92" s="1486">
        <f t="shared" ca="1" si="229"/>
        <v>0</v>
      </c>
      <c r="DF92" s="1486">
        <f t="shared" ca="1" si="229"/>
        <v>0</v>
      </c>
      <c r="DH92" s="838"/>
    </row>
    <row r="93" spans="1:112" s="22" customFormat="1" ht="12.75" customHeight="1" collapsed="1">
      <c r="B93" s="753"/>
      <c r="C93" s="744" t="s">
        <v>673</v>
      </c>
      <c r="D93" s="517" t="str">
        <f>INDEX(Workstreams[Workstream], MATCH($C93, Workstreams[Code], 0))</f>
        <v>Electricity distribution, storage, and balancing</v>
      </c>
      <c r="E93" s="512"/>
      <c r="F93" s="743"/>
      <c r="G93" s="958">
        <f t="shared" ref="G93:P93" ca="1" si="230">G$89+G$91+G$92</f>
        <v>0</v>
      </c>
      <c r="H93" s="958">
        <f t="shared" ca="1" si="230"/>
        <v>0</v>
      </c>
      <c r="I93" s="958">
        <f t="shared" ca="1" si="230"/>
        <v>0</v>
      </c>
      <c r="J93" s="958">
        <f t="shared" ca="1" si="230"/>
        <v>0</v>
      </c>
      <c r="K93" s="960">
        <f t="shared" ca="1" si="230"/>
        <v>0</v>
      </c>
      <c r="L93" s="958">
        <f t="shared" ca="1" si="230"/>
        <v>0</v>
      </c>
      <c r="M93" s="958">
        <f t="shared" ca="1" si="230"/>
        <v>0</v>
      </c>
      <c r="N93" s="958">
        <f t="shared" ca="1" si="230"/>
        <v>0</v>
      </c>
      <c r="O93" s="958">
        <f t="shared" ca="1" si="230"/>
        <v>0</v>
      </c>
      <c r="P93" s="958">
        <f t="shared" ca="1" si="230"/>
        <v>0</v>
      </c>
      <c r="Q93" s="1021">
        <f ca="1">SUM(G93:P93)</f>
        <v>0</v>
      </c>
      <c r="R93" s="743"/>
      <c r="S93" s="970">
        <f t="shared" ref="S93:AJ93" ca="1" si="231">S$89+S$91+S$92</f>
        <v>0</v>
      </c>
      <c r="T93" s="970">
        <f t="shared" ca="1" si="231"/>
        <v>-29.221579811582899</v>
      </c>
      <c r="U93" s="970">
        <f t="shared" ca="1" si="231"/>
        <v>0</v>
      </c>
      <c r="V93" s="970">
        <f t="shared" ca="1" si="231"/>
        <v>0</v>
      </c>
      <c r="W93" s="970">
        <f t="shared" ca="1" si="231"/>
        <v>0</v>
      </c>
      <c r="X93" s="970">
        <f ca="1">X$89+X$91+X$92</f>
        <v>0</v>
      </c>
      <c r="Y93" s="970">
        <f ca="1">Y$89+Y$91+Y$92</f>
        <v>0</v>
      </c>
      <c r="Z93" s="970">
        <f ca="1">Z$89+Z$91+Z$92</f>
        <v>0</v>
      </c>
      <c r="AA93" s="970">
        <f t="shared" ca="1" si="231"/>
        <v>0</v>
      </c>
      <c r="AB93" s="970">
        <f t="shared" ca="1" si="231"/>
        <v>0</v>
      </c>
      <c r="AC93" s="970">
        <f t="shared" ca="1" si="231"/>
        <v>0</v>
      </c>
      <c r="AD93" s="970">
        <f t="shared" ca="1" si="231"/>
        <v>0</v>
      </c>
      <c r="AE93" s="970">
        <f t="shared" ca="1" si="231"/>
        <v>0</v>
      </c>
      <c r="AF93" s="970">
        <f t="shared" ca="1" si="231"/>
        <v>0</v>
      </c>
      <c r="AG93" s="970">
        <f t="shared" ca="1" si="231"/>
        <v>0</v>
      </c>
      <c r="AH93" s="970">
        <f t="shared" ca="1" si="231"/>
        <v>0</v>
      </c>
      <c r="AI93" s="970">
        <f t="shared" ca="1" si="231"/>
        <v>0</v>
      </c>
      <c r="AJ93" s="970">
        <f t="shared" ca="1" si="231"/>
        <v>0</v>
      </c>
      <c r="AK93" s="970">
        <f ca="1">SUM(S93:AJ93)</f>
        <v>-29.221579811582899</v>
      </c>
      <c r="AL93" s="743"/>
      <c r="AM93" s="976">
        <f t="shared" ref="AM93:BE93" ca="1" si="232">AM$89+AM$91+AM$92</f>
        <v>0</v>
      </c>
      <c r="AN93" s="976">
        <f t="shared" ca="1" si="232"/>
        <v>0</v>
      </c>
      <c r="AO93" s="976">
        <f t="shared" ca="1" si="232"/>
        <v>0</v>
      </c>
      <c r="AP93" s="976">
        <f t="shared" ca="1" si="232"/>
        <v>0</v>
      </c>
      <c r="AQ93" s="976">
        <f t="shared" ca="1" si="232"/>
        <v>0</v>
      </c>
      <c r="AR93" s="976">
        <f t="shared" ca="1" si="232"/>
        <v>0</v>
      </c>
      <c r="AS93" s="976">
        <f t="shared" ca="1" si="232"/>
        <v>0</v>
      </c>
      <c r="AT93" s="976">
        <f t="shared" ca="1" si="232"/>
        <v>0</v>
      </c>
      <c r="AU93" s="976">
        <f t="shared" ca="1" si="232"/>
        <v>0</v>
      </c>
      <c r="AV93" s="976">
        <f t="shared" ca="1" si="232"/>
        <v>0</v>
      </c>
      <c r="AW93" s="976">
        <f t="shared" ca="1" si="232"/>
        <v>0</v>
      </c>
      <c r="AX93" s="976">
        <f t="shared" ca="1" si="232"/>
        <v>0</v>
      </c>
      <c r="AY93" s="976">
        <f t="shared" ca="1" si="232"/>
        <v>0</v>
      </c>
      <c r="AZ93" s="976">
        <f t="shared" ca="1" si="232"/>
        <v>0</v>
      </c>
      <c r="BA93" s="976">
        <f t="shared" ca="1" si="232"/>
        <v>0</v>
      </c>
      <c r="BB93" s="976">
        <f t="shared" ca="1" si="232"/>
        <v>0</v>
      </c>
      <c r="BC93" s="976">
        <f t="shared" ca="1" si="232"/>
        <v>0</v>
      </c>
      <c r="BD93" s="976">
        <f t="shared" ca="1" si="232"/>
        <v>0</v>
      </c>
      <c r="BE93" s="976">
        <f t="shared" ca="1" si="232"/>
        <v>0</v>
      </c>
      <c r="BF93" s="976">
        <f ca="1">SUM(AM93:BE93)</f>
        <v>0</v>
      </c>
      <c r="BG93" s="743"/>
      <c r="BH93" s="990">
        <f ca="1">BH$89+BH$91+BH$92</f>
        <v>0</v>
      </c>
      <c r="BI93" s="990">
        <f ca="1">BI$89+BI$91+BI$92</f>
        <v>29.221579811582899</v>
      </c>
      <c r="BJ93" s="990">
        <f ca="1">SUM(BH93:BI93)</f>
        <v>29.221579811582899</v>
      </c>
      <c r="BK93" s="743"/>
      <c r="BL93" s="515">
        <f t="shared" ca="1" si="219"/>
        <v>0</v>
      </c>
      <c r="BM93" s="515"/>
      <c r="BN93" s="840"/>
      <c r="BO93" s="1482">
        <f t="shared" ref="BO93:DF93" ca="1" si="233">BO$89+BO$91+BO$92</f>
        <v>0</v>
      </c>
      <c r="BP93" s="1482">
        <f t="shared" ca="1" si="233"/>
        <v>0</v>
      </c>
      <c r="BQ93" s="1482">
        <f t="shared" ca="1" si="233"/>
        <v>0</v>
      </c>
      <c r="BR93" s="1482">
        <f t="shared" ca="1" si="233"/>
        <v>0</v>
      </c>
      <c r="BS93" s="1482">
        <f t="shared" ca="1" si="233"/>
        <v>0</v>
      </c>
      <c r="BT93" s="1482">
        <f t="shared" ca="1" si="233"/>
        <v>0</v>
      </c>
      <c r="BU93" s="1482">
        <f t="shared" ca="1" si="233"/>
        <v>0</v>
      </c>
      <c r="BV93" s="1482">
        <f t="shared" ca="1" si="233"/>
        <v>0</v>
      </c>
      <c r="BW93" s="1482">
        <f t="shared" ca="1" si="233"/>
        <v>0</v>
      </c>
      <c r="BX93" s="1482">
        <f t="shared" ca="1" si="233"/>
        <v>0</v>
      </c>
      <c r="BY93" s="1482">
        <f t="shared" ca="1" si="233"/>
        <v>0</v>
      </c>
      <c r="BZ93" s="1482">
        <f t="shared" ca="1" si="233"/>
        <v>0</v>
      </c>
      <c r="CA93" s="1482">
        <f t="shared" ca="1" si="233"/>
        <v>0</v>
      </c>
      <c r="CB93" s="1482">
        <f t="shared" ca="1" si="233"/>
        <v>0</v>
      </c>
      <c r="CC93" s="1482">
        <f t="shared" ca="1" si="233"/>
        <v>0</v>
      </c>
      <c r="CD93" s="1482">
        <f t="shared" ca="1" si="233"/>
        <v>0</v>
      </c>
      <c r="CE93" s="1482">
        <f t="shared" ca="1" si="233"/>
        <v>0</v>
      </c>
      <c r="CF93" s="1482">
        <f t="shared" ca="1" si="233"/>
        <v>0</v>
      </c>
      <c r="CG93" s="1482">
        <f t="shared" ca="1" si="233"/>
        <v>0</v>
      </c>
      <c r="CH93" s="1482">
        <f t="shared" ca="1" si="233"/>
        <v>0</v>
      </c>
      <c r="CI93" s="1482">
        <f t="shared" ca="1" si="233"/>
        <v>0</v>
      </c>
      <c r="CJ93" s="1482">
        <f t="shared" ca="1" si="233"/>
        <v>0</v>
      </c>
      <c r="CK93" s="1482">
        <f t="shared" ca="1" si="233"/>
        <v>0</v>
      </c>
      <c r="CL93" s="1482">
        <f t="shared" ca="1" si="233"/>
        <v>0</v>
      </c>
      <c r="CM93" s="1482">
        <f t="shared" ca="1" si="233"/>
        <v>0</v>
      </c>
      <c r="CN93" s="1482">
        <f t="shared" ca="1" si="233"/>
        <v>0</v>
      </c>
      <c r="CO93" s="1482">
        <f t="shared" ca="1" si="233"/>
        <v>0</v>
      </c>
      <c r="CP93" s="1482">
        <f t="shared" ca="1" si="233"/>
        <v>0</v>
      </c>
      <c r="CQ93" s="1482">
        <f t="shared" ca="1" si="233"/>
        <v>0</v>
      </c>
      <c r="CR93" s="1482">
        <f t="shared" ca="1" si="233"/>
        <v>0</v>
      </c>
      <c r="CS93" s="1482">
        <f t="shared" ca="1" si="233"/>
        <v>0</v>
      </c>
      <c r="CT93" s="1482">
        <f t="shared" ca="1" si="233"/>
        <v>0</v>
      </c>
      <c r="CU93" s="1482">
        <f t="shared" ca="1" si="233"/>
        <v>0</v>
      </c>
      <c r="CV93" s="1482">
        <f t="shared" ca="1" si="233"/>
        <v>0</v>
      </c>
      <c r="CW93" s="1482">
        <f t="shared" ca="1" si="233"/>
        <v>0</v>
      </c>
      <c r="CX93" s="1482">
        <f t="shared" ca="1" si="233"/>
        <v>0</v>
      </c>
      <c r="CY93" s="1482">
        <f t="shared" ca="1" si="233"/>
        <v>0</v>
      </c>
      <c r="CZ93" s="1482">
        <f t="shared" ca="1" si="233"/>
        <v>0</v>
      </c>
      <c r="DA93" s="1482">
        <f t="shared" ca="1" si="233"/>
        <v>0</v>
      </c>
      <c r="DB93" s="1482">
        <f t="shared" ca="1" si="233"/>
        <v>0</v>
      </c>
      <c r="DC93" s="1482">
        <f t="shared" ca="1" si="233"/>
        <v>0</v>
      </c>
      <c r="DD93" s="1482">
        <f t="shared" ca="1" si="233"/>
        <v>0</v>
      </c>
      <c r="DE93" s="1482">
        <f t="shared" ca="1" si="233"/>
        <v>0</v>
      </c>
      <c r="DF93" s="1482">
        <f t="shared" ca="1" si="233"/>
        <v>0</v>
      </c>
      <c r="DH93" s="838">
        <f t="shared" ref="DH93:DH104" ca="1" si="234">SUM(BO93:DF93)</f>
        <v>0</v>
      </c>
    </row>
    <row r="94" spans="1:112" s="743" customFormat="1" ht="12.75" hidden="1" customHeight="1" outlineLevel="1">
      <c r="A94" s="22"/>
      <c r="B94" s="22"/>
      <c r="C94" s="751"/>
      <c r="D94" s="512"/>
      <c r="E94" s="512"/>
      <c r="G94" s="958"/>
      <c r="H94" s="958"/>
      <c r="I94" s="958"/>
      <c r="J94" s="958"/>
      <c r="K94" s="960"/>
      <c r="L94" s="958"/>
      <c r="M94" s="958"/>
      <c r="N94" s="958"/>
      <c r="O94" s="958"/>
      <c r="P94" s="958"/>
      <c r="Q94" s="958"/>
      <c r="S94" s="970"/>
      <c r="T94" s="970"/>
      <c r="U94" s="970"/>
      <c r="V94" s="970"/>
      <c r="W94" s="970"/>
      <c r="X94" s="970"/>
      <c r="Y94" s="970"/>
      <c r="Z94" s="970"/>
      <c r="AA94" s="970"/>
      <c r="AB94" s="970"/>
      <c r="AC94" s="970"/>
      <c r="AD94" s="970"/>
      <c r="AE94" s="970"/>
      <c r="AF94" s="970"/>
      <c r="AG94" s="970"/>
      <c r="AH94" s="970"/>
      <c r="AI94" s="970"/>
      <c r="AJ94" s="970"/>
      <c r="AK94" s="970"/>
      <c r="AM94" s="976"/>
      <c r="AN94" s="976"/>
      <c r="AO94" s="976"/>
      <c r="AP94" s="976"/>
      <c r="AQ94" s="976"/>
      <c r="AR94" s="976"/>
      <c r="AS94" s="976"/>
      <c r="AT94" s="976"/>
      <c r="AU94" s="976"/>
      <c r="AV94" s="976"/>
      <c r="AW94" s="976"/>
      <c r="AX94" s="976"/>
      <c r="AY94" s="976"/>
      <c r="AZ94" s="976"/>
      <c r="BA94" s="976"/>
      <c r="BB94" s="976"/>
      <c r="BC94" s="976"/>
      <c r="BD94" s="976"/>
      <c r="BE94" s="976"/>
      <c r="BF94" s="976"/>
      <c r="BH94" s="990"/>
      <c r="BI94" s="990"/>
      <c r="BJ94" s="990"/>
      <c r="BL94" s="515">
        <f t="shared" si="219"/>
        <v>0</v>
      </c>
      <c r="BM94" s="515"/>
      <c r="BN94" s="840"/>
      <c r="BO94" s="1482"/>
      <c r="BP94" s="1482"/>
      <c r="BQ94" s="1482"/>
      <c r="BR94" s="1482"/>
      <c r="BS94" s="1482"/>
      <c r="BT94" s="1482"/>
      <c r="BU94" s="1482"/>
      <c r="BV94" s="1482"/>
      <c r="BW94" s="1482"/>
      <c r="BX94" s="1482"/>
      <c r="BY94" s="1482"/>
      <c r="BZ94" s="1482"/>
      <c r="CA94" s="1482"/>
      <c r="CB94" s="1482"/>
      <c r="CC94" s="1482"/>
      <c r="CD94" s="1482"/>
      <c r="CE94" s="1482"/>
      <c r="CF94" s="1482"/>
      <c r="CG94" s="1482"/>
      <c r="CH94" s="1482"/>
      <c r="CI94" s="1482"/>
      <c r="CJ94" s="1482"/>
      <c r="CK94" s="1482"/>
      <c r="CL94" s="1482"/>
      <c r="CM94" s="1482"/>
      <c r="CN94" s="1482"/>
      <c r="CO94" s="1482"/>
      <c r="CP94" s="1482"/>
      <c r="CQ94" s="1482"/>
      <c r="CR94" s="1482"/>
      <c r="CS94" s="1482"/>
      <c r="CT94" s="1482"/>
      <c r="CU94" s="1482"/>
      <c r="CV94" s="1482"/>
      <c r="CW94" s="1482"/>
      <c r="CX94" s="1482"/>
      <c r="CY94" s="1482"/>
      <c r="CZ94" s="1482"/>
      <c r="DA94" s="1482"/>
      <c r="DB94" s="1482"/>
      <c r="DC94" s="1482"/>
      <c r="DD94" s="1482"/>
      <c r="DE94" s="1482"/>
      <c r="DF94" s="1482"/>
      <c r="DH94" s="838">
        <f t="shared" si="234"/>
        <v>0</v>
      </c>
    </row>
    <row r="95" spans="1:112" s="1491" customFormat="1" ht="12.75" hidden="1" customHeight="1" outlineLevel="1">
      <c r="C95" s="1534" t="s">
        <v>1723</v>
      </c>
      <c r="D95" s="1535" t="s">
        <v>1665</v>
      </c>
      <c r="E95" s="1535"/>
      <c r="G95" s="1070"/>
      <c r="H95" s="1070"/>
      <c r="I95" s="1070"/>
      <c r="J95" s="1070"/>
      <c r="K95" s="1071"/>
      <c r="L95" s="1070"/>
      <c r="M95" s="1070"/>
      <c r="N95" s="1070"/>
      <c r="O95" s="1070"/>
      <c r="P95" s="1070"/>
      <c r="Q95" s="1070"/>
      <c r="S95" s="1072"/>
      <c r="T95" s="1072"/>
      <c r="U95" s="1072">
        <f ca="1">(U$40+U$84+U$93)</f>
        <v>-113.67650623310831</v>
      </c>
      <c r="V95" s="1072">
        <f ca="1">(V$40+V$84+V$93)</f>
        <v>-841.11067355416787</v>
      </c>
      <c r="W95" s="1072">
        <f ca="1">(W$40+W$84+W$93)</f>
        <v>-1414.8163788955292</v>
      </c>
      <c r="X95" s="1072"/>
      <c r="Y95" s="1072"/>
      <c r="Z95" s="1072"/>
      <c r="AA95" s="1072"/>
      <c r="AB95" s="1072"/>
      <c r="AC95" s="1072">
        <f t="shared" ref="AC95:AH95" ca="1" si="235">(AC$40+AC$84+AC$93)</f>
        <v>0</v>
      </c>
      <c r="AD95" s="1072">
        <f t="shared" ca="1" si="235"/>
        <v>21.62911347575881</v>
      </c>
      <c r="AE95" s="1072">
        <f t="shared" ca="1" si="235"/>
        <v>1.3680579836519617</v>
      </c>
      <c r="AF95" s="1072">
        <f t="shared" ca="1" si="235"/>
        <v>39.960920373732954</v>
      </c>
      <c r="AG95" s="1072">
        <f t="shared" ca="1" si="235"/>
        <v>43.247452274254698</v>
      </c>
      <c r="AH95" s="1072">
        <f t="shared" ca="1" si="235"/>
        <v>16.987273382270043</v>
      </c>
      <c r="AI95" s="1072"/>
      <c r="AJ95" s="1072"/>
      <c r="AK95" s="1072"/>
      <c r="AM95" s="1073"/>
      <c r="AN95" s="1073"/>
      <c r="AO95" s="1073"/>
      <c r="AP95" s="1073"/>
      <c r="AQ95" s="1073"/>
      <c r="AR95" s="1073"/>
      <c r="AS95" s="1073"/>
      <c r="AT95" s="1073"/>
      <c r="AU95" s="1073"/>
      <c r="AV95" s="1073"/>
      <c r="AW95" s="1073"/>
      <c r="AX95" s="1073"/>
      <c r="AY95" s="1073"/>
      <c r="AZ95" s="1073"/>
      <c r="BA95" s="1073"/>
      <c r="BB95" s="1073"/>
      <c r="BC95" s="1073"/>
      <c r="BD95" s="1073"/>
      <c r="BE95" s="1073">
        <f ca="1">BE40+BE46+BE51</f>
        <v>-172.26064230453491</v>
      </c>
      <c r="BF95" s="1073">
        <f ca="1">SUM(AM95:BE95)</f>
        <v>-172.26064230453491</v>
      </c>
      <c r="BH95" s="1074"/>
      <c r="BI95" s="1074"/>
      <c r="BJ95" s="1074"/>
      <c r="BL95" s="1536"/>
      <c r="BM95" s="1536"/>
      <c r="BN95" s="1537"/>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8"/>
      <c r="CP95" s="1538"/>
      <c r="CQ95" s="1538"/>
      <c r="CR95" s="1538"/>
      <c r="CS95" s="1538"/>
      <c r="CT95" s="1538"/>
      <c r="CU95" s="1538"/>
      <c r="CV95" s="1538"/>
      <c r="CW95" s="1538"/>
      <c r="CX95" s="1538"/>
      <c r="CY95" s="1538"/>
      <c r="CZ95" s="1538"/>
      <c r="DA95" s="1538"/>
      <c r="DB95" s="1538"/>
      <c r="DC95" s="1538"/>
      <c r="DD95" s="1538"/>
      <c r="DE95" s="1538"/>
      <c r="DF95" s="1538"/>
      <c r="DH95" s="1537">
        <f t="shared" si="234"/>
        <v>0</v>
      </c>
    </row>
    <row r="96" spans="1:112" s="1957" customFormat="1" ht="12.75" hidden="1" customHeight="1" outlineLevel="1">
      <c r="A96" s="1954"/>
      <c r="B96" s="1954"/>
      <c r="C96" s="1955" t="s">
        <v>963</v>
      </c>
      <c r="D96" s="1956" t="str">
        <f>INDEX(Modules[Module], MATCH($C96, Modules[Code], 0))</f>
        <v>Biomatter to fuel conversion</v>
      </c>
      <c r="E96" s="1956"/>
      <c r="G96" s="1061">
        <f t="shared" ref="G96:P96" ca="1" si="236">IFERROR(INDEX(INDIRECT($C96&amp;".Outputs["&amp;this.Year&amp;"]"), MATCH(G$5, INDIRECT($C96&amp;".Outputs[Vector]"), 0)), 0)</f>
        <v>0</v>
      </c>
      <c r="H96" s="1061">
        <f t="shared" ca="1" si="236"/>
        <v>0</v>
      </c>
      <c r="I96" s="1061">
        <f t="shared" ca="1" si="236"/>
        <v>0</v>
      </c>
      <c r="J96" s="1061">
        <f t="shared" ca="1" si="236"/>
        <v>0</v>
      </c>
      <c r="K96" s="1061">
        <f t="shared" ca="1" si="236"/>
        <v>0</v>
      </c>
      <c r="L96" s="1061">
        <f t="shared" ca="1" si="236"/>
        <v>0</v>
      </c>
      <c r="M96" s="1061">
        <f t="shared" ca="1" si="236"/>
        <v>0</v>
      </c>
      <c r="N96" s="1061">
        <f t="shared" ca="1" si="236"/>
        <v>0</v>
      </c>
      <c r="O96" s="1061">
        <f t="shared" ca="1" si="236"/>
        <v>0</v>
      </c>
      <c r="P96" s="1061">
        <f t="shared" ca="1" si="236"/>
        <v>0</v>
      </c>
      <c r="Q96" s="1062">
        <f ca="1">SUM(G96:P96)</f>
        <v>0</v>
      </c>
      <c r="S96" s="1063">
        <f t="shared" ref="S96:AJ96" ca="1" si="237">IFERROR(INDEX(INDIRECT($C96&amp;".Outputs["&amp;this.Year&amp;"]"), MATCH(S$5, INDIRECT($C96&amp;".Outputs[Vector]"), 0)), 0)</f>
        <v>0</v>
      </c>
      <c r="T96" s="1063">
        <f t="shared" ca="1" si="237"/>
        <v>0</v>
      </c>
      <c r="U96" s="1063">
        <f t="shared" ca="1" si="237"/>
        <v>35.964828336359659</v>
      </c>
      <c r="V96" s="1063">
        <f t="shared" ca="1" si="237"/>
        <v>14.266730599417746</v>
      </c>
      <c r="W96" s="1063">
        <f t="shared" ca="1" si="237"/>
        <v>51.585235201673797</v>
      </c>
      <c r="X96" s="1063">
        <f t="shared" ca="1" si="237"/>
        <v>0</v>
      </c>
      <c r="Y96" s="1063">
        <f t="shared" ca="1" si="237"/>
        <v>0</v>
      </c>
      <c r="Z96" s="1063">
        <f t="shared" ca="1" si="237"/>
        <v>0</v>
      </c>
      <c r="AA96" s="1063">
        <f t="shared" ca="1" si="237"/>
        <v>0</v>
      </c>
      <c r="AB96" s="1063">
        <f t="shared" ca="1" si="237"/>
        <v>0</v>
      </c>
      <c r="AC96" s="1063">
        <f t="shared" ca="1" si="237"/>
        <v>0</v>
      </c>
      <c r="AD96" s="1063">
        <f t="shared" ca="1" si="237"/>
        <v>-21.62911347575881</v>
      </c>
      <c r="AE96" s="1063">
        <f t="shared" ca="1" si="237"/>
        <v>-1.3680579836519617</v>
      </c>
      <c r="AF96" s="1063">
        <f t="shared" ca="1" si="237"/>
        <v>-39.960920373732954</v>
      </c>
      <c r="AG96" s="1063">
        <f t="shared" ca="1" si="237"/>
        <v>-43.247452274254698</v>
      </c>
      <c r="AH96" s="1063">
        <f t="shared" ca="1" si="237"/>
        <v>-16.987273382270043</v>
      </c>
      <c r="AI96" s="1063">
        <f t="shared" ca="1" si="237"/>
        <v>0</v>
      </c>
      <c r="AJ96" s="1063">
        <f t="shared" ca="1" si="237"/>
        <v>0</v>
      </c>
      <c r="AK96" s="1064">
        <f ca="1">SUM(S96:AJ96)</f>
        <v>-21.376023352217263</v>
      </c>
      <c r="AM96" s="1065">
        <f t="shared" ref="AM96:BE96" ca="1" si="238">IFERROR(INDEX(INDIRECT($C96&amp;".Outputs["&amp;this.Year&amp;"]"), MATCH(AM$5, INDIRECT($C96&amp;".Outputs[Vector]"), 0)), 0)</f>
        <v>0</v>
      </c>
      <c r="AN96" s="1065">
        <f t="shared" ca="1" si="238"/>
        <v>0</v>
      </c>
      <c r="AO96" s="1065">
        <f t="shared" ca="1" si="238"/>
        <v>0</v>
      </c>
      <c r="AP96" s="1065">
        <f t="shared" ca="1" si="238"/>
        <v>0</v>
      </c>
      <c r="AQ96" s="1065">
        <f t="shared" ca="1" si="238"/>
        <v>0</v>
      </c>
      <c r="AR96" s="1065">
        <f t="shared" ca="1" si="238"/>
        <v>0</v>
      </c>
      <c r="AS96" s="1065">
        <f t="shared" ca="1" si="238"/>
        <v>0</v>
      </c>
      <c r="AT96" s="1065">
        <f t="shared" ca="1" si="238"/>
        <v>0</v>
      </c>
      <c r="AU96" s="1065">
        <f t="shared" ca="1" si="238"/>
        <v>0</v>
      </c>
      <c r="AV96" s="1065">
        <f t="shared" ca="1" si="238"/>
        <v>0</v>
      </c>
      <c r="AW96" s="1065">
        <f t="shared" ca="1" si="238"/>
        <v>0</v>
      </c>
      <c r="AX96" s="1065">
        <f t="shared" ca="1" si="238"/>
        <v>0</v>
      </c>
      <c r="AY96" s="1065">
        <f t="shared" ca="1" si="238"/>
        <v>0</v>
      </c>
      <c r="AZ96" s="1065">
        <f t="shared" ca="1" si="238"/>
        <v>0</v>
      </c>
      <c r="BA96" s="1065">
        <f t="shared" ca="1" si="238"/>
        <v>0</v>
      </c>
      <c r="BB96" s="1065">
        <f t="shared" ca="1" si="238"/>
        <v>0</v>
      </c>
      <c r="BC96" s="1065">
        <f t="shared" ca="1" si="238"/>
        <v>0</v>
      </c>
      <c r="BD96" s="1065">
        <f t="shared" ca="1" si="238"/>
        <v>0</v>
      </c>
      <c r="BE96" s="1065">
        <f t="shared" ca="1" si="238"/>
        <v>0</v>
      </c>
      <c r="BF96" s="1066">
        <f ca="1">SUM(AM96:BE96)</f>
        <v>0</v>
      </c>
      <c r="BH96" s="1067">
        <f ca="1">IFERROR(INDEX(INDIRECT($C96&amp;".Outputs["&amp;this.Year&amp;"]"), MATCH(BH$5, INDIRECT($C96&amp;".Outputs[Vector]"), 0)), 0)</f>
        <v>21.376023352217274</v>
      </c>
      <c r="BI96" s="1067">
        <f ca="1">IFERROR(INDEX(INDIRECT($C96&amp;".Outputs["&amp;this.Year&amp;"]"), MATCH(BI$5, INDIRECT($C96&amp;".Outputs[Vector]"), 0)), 0)</f>
        <v>0</v>
      </c>
      <c r="BJ96" s="1068">
        <f ca="1">SUM(BH96:BI96)</f>
        <v>21.376023352217274</v>
      </c>
      <c r="BL96" s="1958">
        <f ca="1">Q96+AK96+BF96+BJ96</f>
        <v>0</v>
      </c>
      <c r="BM96" s="1958"/>
      <c r="BN96" s="1959"/>
      <c r="BO96" s="1960">
        <f t="shared" ref="BO96:DF96" ca="1" si="239">IFERROR(SUMIFS(INDIRECT($C96&amp;".Emissions["&amp;this.Year&amp;"]"), INDIRECT($C96&amp;".Emissions[GHG]"), BO$6, INDIRECT($C96&amp;".Emissions[IPCC Sector]"), BO$5),0)</f>
        <v>0</v>
      </c>
      <c r="BP96" s="1961">
        <f t="shared" ca="1" si="239"/>
        <v>0</v>
      </c>
      <c r="BQ96" s="1961">
        <f t="shared" ca="1" si="239"/>
        <v>0</v>
      </c>
      <c r="BR96" s="1961">
        <f t="shared" ca="1" si="239"/>
        <v>0</v>
      </c>
      <c r="BS96" s="1961">
        <f t="shared" ca="1" si="239"/>
        <v>0</v>
      </c>
      <c r="BT96" s="1961">
        <f t="shared" ca="1" si="239"/>
        <v>0</v>
      </c>
      <c r="BU96" s="1961">
        <f t="shared" ca="1" si="239"/>
        <v>0</v>
      </c>
      <c r="BV96" s="1961">
        <f t="shared" ca="1" si="239"/>
        <v>0</v>
      </c>
      <c r="BW96" s="1961">
        <f t="shared" ca="1" si="239"/>
        <v>0</v>
      </c>
      <c r="BX96" s="1961">
        <f t="shared" ca="1" si="239"/>
        <v>0</v>
      </c>
      <c r="BY96" s="1961">
        <f t="shared" ca="1" si="239"/>
        <v>0</v>
      </c>
      <c r="BZ96" s="1961">
        <f t="shared" ca="1" si="239"/>
        <v>0</v>
      </c>
      <c r="CA96" s="1961">
        <f t="shared" ca="1" si="239"/>
        <v>0</v>
      </c>
      <c r="CB96" s="1961">
        <f t="shared" ca="1" si="239"/>
        <v>0</v>
      </c>
      <c r="CC96" s="1961">
        <f t="shared" ca="1" si="239"/>
        <v>0</v>
      </c>
      <c r="CD96" s="1961">
        <f t="shared" ca="1" si="239"/>
        <v>0</v>
      </c>
      <c r="CE96" s="1961">
        <f t="shared" ca="1" si="239"/>
        <v>0</v>
      </c>
      <c r="CF96" s="1961">
        <f t="shared" ca="1" si="239"/>
        <v>0</v>
      </c>
      <c r="CG96" s="1961">
        <f t="shared" ca="1" si="239"/>
        <v>0</v>
      </c>
      <c r="CH96" s="1961">
        <f t="shared" ca="1" si="239"/>
        <v>0</v>
      </c>
      <c r="CI96" s="1961">
        <f t="shared" ca="1" si="239"/>
        <v>0</v>
      </c>
      <c r="CJ96" s="1961">
        <f t="shared" ca="1" si="239"/>
        <v>0</v>
      </c>
      <c r="CK96" s="1961">
        <f t="shared" ca="1" si="239"/>
        <v>0</v>
      </c>
      <c r="CL96" s="1961">
        <f t="shared" ca="1" si="239"/>
        <v>0</v>
      </c>
      <c r="CM96" s="1961">
        <f t="shared" ca="1" si="239"/>
        <v>0</v>
      </c>
      <c r="CN96" s="1961">
        <f t="shared" ca="1" si="239"/>
        <v>0</v>
      </c>
      <c r="CO96" s="1961">
        <f t="shared" ca="1" si="239"/>
        <v>0</v>
      </c>
      <c r="CP96" s="1961">
        <f t="shared" ca="1" si="239"/>
        <v>0</v>
      </c>
      <c r="CQ96" s="1961">
        <f t="shared" ca="1" si="239"/>
        <v>0</v>
      </c>
      <c r="CR96" s="1961">
        <f t="shared" ca="1" si="239"/>
        <v>0</v>
      </c>
      <c r="CS96" s="1961">
        <f t="shared" ca="1" si="239"/>
        <v>0</v>
      </c>
      <c r="CT96" s="1961">
        <f t="shared" ca="1" si="239"/>
        <v>0</v>
      </c>
      <c r="CU96" s="1961">
        <f t="shared" ca="1" si="239"/>
        <v>0</v>
      </c>
      <c r="CV96" s="1961">
        <f t="shared" ca="1" si="239"/>
        <v>0</v>
      </c>
      <c r="CW96" s="1961">
        <f t="shared" ca="1" si="239"/>
        <v>0</v>
      </c>
      <c r="CX96" s="1961">
        <f t="shared" ca="1" si="239"/>
        <v>0</v>
      </c>
      <c r="CY96" s="1961">
        <f t="shared" ca="1" si="239"/>
        <v>-24.135533054561186</v>
      </c>
      <c r="CZ96" s="1961">
        <f t="shared" ca="1" si="239"/>
        <v>0</v>
      </c>
      <c r="DA96" s="1961">
        <f t="shared" ca="1" si="239"/>
        <v>0</v>
      </c>
      <c r="DB96" s="1961">
        <f t="shared" ca="1" si="239"/>
        <v>0</v>
      </c>
      <c r="DC96" s="1961">
        <f t="shared" ca="1" si="239"/>
        <v>0</v>
      </c>
      <c r="DD96" s="1961">
        <f t="shared" ca="1" si="239"/>
        <v>0</v>
      </c>
      <c r="DE96" s="1961">
        <f t="shared" ca="1" si="239"/>
        <v>0</v>
      </c>
      <c r="DF96" s="1961">
        <f t="shared" ca="1" si="239"/>
        <v>0</v>
      </c>
      <c r="DH96" s="1962">
        <f t="shared" ca="1" si="234"/>
        <v>-24.135533054561186</v>
      </c>
    </row>
    <row r="97" spans="1:112" s="1491" customFormat="1" ht="12.75" hidden="1" customHeight="1" outlineLevel="1">
      <c r="C97" s="1534" t="s">
        <v>1724</v>
      </c>
      <c r="D97" s="1535" t="s">
        <v>1665</v>
      </c>
      <c r="E97" s="1535"/>
      <c r="G97" s="1070"/>
      <c r="H97" s="1070"/>
      <c r="I97" s="1070"/>
      <c r="J97" s="1070"/>
      <c r="K97" s="1071"/>
      <c r="L97" s="1070"/>
      <c r="M97" s="1070"/>
      <c r="N97" s="1070"/>
      <c r="O97" s="1070"/>
      <c r="P97" s="1070"/>
      <c r="Q97" s="1070"/>
      <c r="S97" s="1072"/>
      <c r="T97" s="1072"/>
      <c r="U97" s="1072">
        <f ca="1">U$95+U$96</f>
        <v>-77.711677896748654</v>
      </c>
      <c r="V97" s="1072">
        <f ca="1">V$95+V$96</f>
        <v>-826.8439429547501</v>
      </c>
      <c r="W97" s="1072">
        <f ca="1">W$95+W$96</f>
        <v>-1363.2311436938553</v>
      </c>
      <c r="X97" s="1072"/>
      <c r="Y97" s="1072"/>
      <c r="Z97" s="1072"/>
      <c r="AA97" s="1072"/>
      <c r="AB97" s="1072"/>
      <c r="AC97" s="1072">
        <f t="shared" ref="AC97:AH97" ca="1" si="240">AC$95+AC$96</f>
        <v>0</v>
      </c>
      <c r="AD97" s="1072">
        <f t="shared" ca="1" si="240"/>
        <v>0</v>
      </c>
      <c r="AE97" s="1072">
        <f t="shared" ca="1" si="240"/>
        <v>0</v>
      </c>
      <c r="AF97" s="1072">
        <f t="shared" ca="1" si="240"/>
        <v>0</v>
      </c>
      <c r="AG97" s="1072">
        <f t="shared" ca="1" si="240"/>
        <v>0</v>
      </c>
      <c r="AH97" s="1072">
        <f t="shared" ca="1" si="240"/>
        <v>0</v>
      </c>
      <c r="AI97" s="1072"/>
      <c r="AJ97" s="1072"/>
      <c r="AK97" s="1072"/>
      <c r="AM97" s="1073"/>
      <c r="AN97" s="1073"/>
      <c r="AO97" s="1073"/>
      <c r="AP97" s="1073"/>
      <c r="AQ97" s="1073"/>
      <c r="AR97" s="1073"/>
      <c r="AS97" s="1073"/>
      <c r="AT97" s="1073"/>
      <c r="AU97" s="1073"/>
      <c r="AV97" s="1073"/>
      <c r="AW97" s="1073"/>
      <c r="AX97" s="1073"/>
      <c r="AY97" s="1073"/>
      <c r="AZ97" s="1073"/>
      <c r="BA97" s="1073"/>
      <c r="BB97" s="1073"/>
      <c r="BC97" s="1073"/>
      <c r="BD97" s="1073"/>
      <c r="BE97" s="1073">
        <f ca="1">BE42+BE49+BE53</f>
        <v>-141.41728971908191</v>
      </c>
      <c r="BF97" s="1073">
        <f ca="1">SUM(AM97:BE97)</f>
        <v>-141.41728971908191</v>
      </c>
      <c r="BH97" s="1074"/>
      <c r="BI97" s="1074"/>
      <c r="BJ97" s="1074"/>
      <c r="BL97" s="1536"/>
      <c r="BM97" s="1536"/>
      <c r="BN97" s="1537"/>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8"/>
      <c r="CP97" s="1538"/>
      <c r="CQ97" s="1538"/>
      <c r="CR97" s="1538"/>
      <c r="CS97" s="1538"/>
      <c r="CT97" s="1538"/>
      <c r="CU97" s="1538"/>
      <c r="CV97" s="1538"/>
      <c r="CW97" s="1538"/>
      <c r="CX97" s="1538"/>
      <c r="CY97" s="1538"/>
      <c r="CZ97" s="1538"/>
      <c r="DA97" s="1538"/>
      <c r="DB97" s="1538"/>
      <c r="DC97" s="1538"/>
      <c r="DD97" s="1538"/>
      <c r="DE97" s="1538"/>
      <c r="DF97" s="1538"/>
      <c r="DH97" s="1537">
        <f>SUM(BO97:DF97)</f>
        <v>0</v>
      </c>
    </row>
    <row r="98" spans="1:112" s="743" customFormat="1" ht="12.75" hidden="1" customHeight="1" outlineLevel="1">
      <c r="A98" s="1484"/>
      <c r="B98" s="1484"/>
      <c r="C98" s="746" t="s">
        <v>1695</v>
      </c>
      <c r="D98" s="1010" t="str">
        <f>INDEX(Modules[Module], MATCH($C98, Modules[Code], 0))</f>
        <v>Bioenergy imports</v>
      </c>
      <c r="E98" s="1010"/>
      <c r="G98" s="1022">
        <f t="shared" ref="G98:P98" ca="1" si="241">IFERROR(INDEX(INDIRECT($C98&amp;".Outputs["&amp;this.Year&amp;"]"), MATCH(G$5, INDIRECT($C98&amp;".Outputs[Vector]"), 0)), 0)</f>
        <v>0</v>
      </c>
      <c r="H98" s="1022">
        <f t="shared" ca="1" si="241"/>
        <v>0</v>
      </c>
      <c r="I98" s="1022">
        <f t="shared" ca="1" si="241"/>
        <v>0</v>
      </c>
      <c r="J98" s="1022">
        <f t="shared" ca="1" si="241"/>
        <v>0</v>
      </c>
      <c r="K98" s="1022">
        <f t="shared" ca="1" si="241"/>
        <v>0</v>
      </c>
      <c r="L98" s="1022">
        <f t="shared" ca="1" si="241"/>
        <v>0</v>
      </c>
      <c r="M98" s="1022">
        <f t="shared" ca="1" si="241"/>
        <v>0</v>
      </c>
      <c r="N98" s="1022">
        <f t="shared" ca="1" si="241"/>
        <v>0</v>
      </c>
      <c r="O98" s="1022">
        <f t="shared" ca="1" si="241"/>
        <v>0</v>
      </c>
      <c r="P98" s="1022">
        <f t="shared" ca="1" si="241"/>
        <v>0</v>
      </c>
      <c r="Q98" s="1020">
        <f ca="1">SUM(G98:P98)</f>
        <v>0</v>
      </c>
      <c r="S98" s="1031">
        <f t="shared" ref="S98:AJ98" ca="1" si="242">IFERROR(INDEX(INDIRECT($C98&amp;".Outputs["&amp;this.Year&amp;"]"), MATCH(S$5, INDIRECT($C98&amp;".Outputs[Vector]"), 0)), 0)</f>
        <v>0</v>
      </c>
      <c r="T98" s="1031">
        <f t="shared" ca="1" si="242"/>
        <v>0</v>
      </c>
      <c r="U98" s="1031">
        <f t="shared" ca="1" si="242"/>
        <v>2.5558953488372094</v>
      </c>
      <c r="V98" s="1031">
        <f t="shared" ca="1" si="242"/>
        <v>-0.2298953488372093</v>
      </c>
      <c r="W98" s="1031">
        <f t="shared" ca="1" si="242"/>
        <v>0</v>
      </c>
      <c r="X98" s="1031">
        <f t="shared" ca="1" si="242"/>
        <v>0</v>
      </c>
      <c r="Y98" s="1031">
        <f t="shared" ca="1" si="242"/>
        <v>0</v>
      </c>
      <c r="Z98" s="1031">
        <f t="shared" ca="1" si="242"/>
        <v>0</v>
      </c>
      <c r="AA98" s="1031">
        <f t="shared" ca="1" si="242"/>
        <v>0</v>
      </c>
      <c r="AB98" s="1031">
        <f t="shared" ca="1" si="242"/>
        <v>0</v>
      </c>
      <c r="AC98" s="1031">
        <f t="shared" ca="1" si="242"/>
        <v>0</v>
      </c>
      <c r="AD98" s="1031">
        <f t="shared" ca="1" si="242"/>
        <v>0</v>
      </c>
      <c r="AE98" s="1031">
        <f t="shared" ca="1" si="242"/>
        <v>0</v>
      </c>
      <c r="AF98" s="1031">
        <f t="shared" ca="1" si="242"/>
        <v>0</v>
      </c>
      <c r="AG98" s="1031">
        <f t="shared" ca="1" si="242"/>
        <v>0</v>
      </c>
      <c r="AH98" s="1031">
        <f t="shared" ca="1" si="242"/>
        <v>0</v>
      </c>
      <c r="AI98" s="1031">
        <f t="shared" ca="1" si="242"/>
        <v>0</v>
      </c>
      <c r="AJ98" s="1031">
        <f t="shared" ca="1" si="242"/>
        <v>0</v>
      </c>
      <c r="AK98" s="1030">
        <f ca="1">SUM(S98:AJ98)</f>
        <v>2.3260000000000001</v>
      </c>
      <c r="AM98" s="1042">
        <f t="shared" ref="AM98:BE98" ca="1" si="243">IFERROR(INDEX(INDIRECT($C98&amp;".Outputs["&amp;this.Year&amp;"]"), MATCH(AM$5, INDIRECT($C98&amp;".Outputs[Vector]"), 0)), 0)</f>
        <v>0</v>
      </c>
      <c r="AN98" s="1042">
        <f t="shared" ca="1" si="243"/>
        <v>0</v>
      </c>
      <c r="AO98" s="1042">
        <f t="shared" ca="1" si="243"/>
        <v>0</v>
      </c>
      <c r="AP98" s="1042">
        <f t="shared" ca="1" si="243"/>
        <v>-2.3260000000000001</v>
      </c>
      <c r="AQ98" s="1042">
        <f t="shared" ca="1" si="243"/>
        <v>0</v>
      </c>
      <c r="AR98" s="1042">
        <f t="shared" ca="1" si="243"/>
        <v>0</v>
      </c>
      <c r="AS98" s="1042">
        <f t="shared" ca="1" si="243"/>
        <v>0</v>
      </c>
      <c r="AT98" s="1042">
        <f t="shared" ca="1" si="243"/>
        <v>0</v>
      </c>
      <c r="AU98" s="1042">
        <f t="shared" ca="1" si="243"/>
        <v>0</v>
      </c>
      <c r="AV98" s="1042">
        <f t="shared" ca="1" si="243"/>
        <v>0</v>
      </c>
      <c r="AW98" s="1042">
        <f t="shared" ca="1" si="243"/>
        <v>0</v>
      </c>
      <c r="AX98" s="1042">
        <f t="shared" ca="1" si="243"/>
        <v>0</v>
      </c>
      <c r="AY98" s="1042">
        <f t="shared" ca="1" si="243"/>
        <v>0</v>
      </c>
      <c r="AZ98" s="1042">
        <f t="shared" ca="1" si="243"/>
        <v>0</v>
      </c>
      <c r="BA98" s="1042">
        <f t="shared" ca="1" si="243"/>
        <v>0</v>
      </c>
      <c r="BB98" s="1042">
        <f t="shared" ca="1" si="243"/>
        <v>0</v>
      </c>
      <c r="BC98" s="1042">
        <f t="shared" ca="1" si="243"/>
        <v>0</v>
      </c>
      <c r="BD98" s="1042">
        <f t="shared" ca="1" si="243"/>
        <v>0</v>
      </c>
      <c r="BE98" s="1042">
        <f t="shared" ca="1" si="243"/>
        <v>0</v>
      </c>
      <c r="BF98" s="1012">
        <f ca="1">SUM(AM98:BE98)</f>
        <v>-2.3260000000000001</v>
      </c>
      <c r="BH98" s="1036">
        <f ca="1">IFERROR(INDEX(INDIRECT($C98&amp;".Outputs["&amp;this.Year&amp;"]"), MATCH(BH$5, INDIRECT($C98&amp;".Outputs[Vector]"), 0)), 0)</f>
        <v>0</v>
      </c>
      <c r="BI98" s="1036">
        <f ca="1">IFERROR(INDEX(INDIRECT($C98&amp;".Outputs["&amp;this.Year&amp;"]"), MATCH(BI$5, INDIRECT($C98&amp;".Outputs[Vector]"), 0)), 0)</f>
        <v>0</v>
      </c>
      <c r="BJ98" s="1035">
        <f ca="1">SUM(BH98:BI98)</f>
        <v>0</v>
      </c>
      <c r="BL98" s="814">
        <f ca="1">Q98+AK98+BF98+BJ98</f>
        <v>0</v>
      </c>
      <c r="BM98" s="814"/>
      <c r="BN98" s="840"/>
      <c r="BO98" s="1485">
        <f t="shared" ref="BO98:DF98" ca="1" si="244">IFERROR(SUMIFS(INDIRECT($C98&amp;".Emissions["&amp;this.Year&amp;"]"), INDIRECT($C98&amp;".Emissions[GHG]"), BO$6, INDIRECT($C98&amp;".Emissions[IPCC Sector]"), BO$5),0)</f>
        <v>0</v>
      </c>
      <c r="BP98" s="1486">
        <f t="shared" ca="1" si="244"/>
        <v>0</v>
      </c>
      <c r="BQ98" s="1486">
        <f t="shared" ca="1" si="244"/>
        <v>0</v>
      </c>
      <c r="BR98" s="1486">
        <f t="shared" ca="1" si="244"/>
        <v>0</v>
      </c>
      <c r="BS98" s="1486">
        <f t="shared" ca="1" si="244"/>
        <v>0</v>
      </c>
      <c r="BT98" s="1486">
        <f t="shared" ca="1" si="244"/>
        <v>0</v>
      </c>
      <c r="BU98" s="1486">
        <f t="shared" ca="1" si="244"/>
        <v>0</v>
      </c>
      <c r="BV98" s="1486">
        <f t="shared" ca="1" si="244"/>
        <v>0</v>
      </c>
      <c r="BW98" s="1486">
        <f t="shared" ca="1" si="244"/>
        <v>0</v>
      </c>
      <c r="BX98" s="1486">
        <f t="shared" ca="1" si="244"/>
        <v>0</v>
      </c>
      <c r="BY98" s="1486">
        <f t="shared" ca="1" si="244"/>
        <v>0</v>
      </c>
      <c r="BZ98" s="1486">
        <f t="shared" ca="1" si="244"/>
        <v>0</v>
      </c>
      <c r="CA98" s="1486">
        <f t="shared" ca="1" si="244"/>
        <v>0</v>
      </c>
      <c r="CB98" s="1486">
        <f t="shared" ca="1" si="244"/>
        <v>0</v>
      </c>
      <c r="CC98" s="1486">
        <f t="shared" ca="1" si="244"/>
        <v>0</v>
      </c>
      <c r="CD98" s="1486">
        <f t="shared" ca="1" si="244"/>
        <v>0</v>
      </c>
      <c r="CE98" s="1486">
        <f t="shared" ca="1" si="244"/>
        <v>0</v>
      </c>
      <c r="CF98" s="1486">
        <f t="shared" ca="1" si="244"/>
        <v>0</v>
      </c>
      <c r="CG98" s="1486">
        <f t="shared" ca="1" si="244"/>
        <v>0</v>
      </c>
      <c r="CH98" s="1486">
        <f t="shared" ca="1" si="244"/>
        <v>0</v>
      </c>
      <c r="CI98" s="1486">
        <f t="shared" ca="1" si="244"/>
        <v>0</v>
      </c>
      <c r="CJ98" s="1486">
        <f t="shared" ca="1" si="244"/>
        <v>0</v>
      </c>
      <c r="CK98" s="1486">
        <f t="shared" ca="1" si="244"/>
        <v>0</v>
      </c>
      <c r="CL98" s="1486">
        <f t="shared" ca="1" si="244"/>
        <v>0</v>
      </c>
      <c r="CM98" s="1486">
        <f t="shared" ca="1" si="244"/>
        <v>0</v>
      </c>
      <c r="CN98" s="1486">
        <f t="shared" ca="1" si="244"/>
        <v>0</v>
      </c>
      <c r="CO98" s="1486">
        <f t="shared" ca="1" si="244"/>
        <v>0</v>
      </c>
      <c r="CP98" s="1486">
        <f t="shared" ca="1" si="244"/>
        <v>0</v>
      </c>
      <c r="CQ98" s="1486">
        <f t="shared" ca="1" si="244"/>
        <v>0</v>
      </c>
      <c r="CR98" s="1486">
        <f t="shared" ca="1" si="244"/>
        <v>0</v>
      </c>
      <c r="CS98" s="1486">
        <f t="shared" ca="1" si="244"/>
        <v>0</v>
      </c>
      <c r="CT98" s="1486">
        <f t="shared" ca="1" si="244"/>
        <v>0</v>
      </c>
      <c r="CU98" s="1486">
        <f t="shared" ca="1" si="244"/>
        <v>0</v>
      </c>
      <c r="CV98" s="1486">
        <f t="shared" ca="1" si="244"/>
        <v>0</v>
      </c>
      <c r="CW98" s="1486">
        <f t="shared" ca="1" si="244"/>
        <v>0</v>
      </c>
      <c r="CX98" s="1486">
        <f t="shared" ca="1" si="244"/>
        <v>0</v>
      </c>
      <c r="CY98" s="1486">
        <f t="shared" ca="1" si="244"/>
        <v>-0.72974193023255796</v>
      </c>
      <c r="CZ98" s="1486">
        <f t="shared" ca="1" si="244"/>
        <v>0</v>
      </c>
      <c r="DA98" s="1486">
        <f t="shared" ca="1" si="244"/>
        <v>0</v>
      </c>
      <c r="DB98" s="1486">
        <f t="shared" ca="1" si="244"/>
        <v>0</v>
      </c>
      <c r="DC98" s="1486">
        <f t="shared" ca="1" si="244"/>
        <v>0</v>
      </c>
      <c r="DD98" s="1486">
        <f t="shared" ca="1" si="244"/>
        <v>0</v>
      </c>
      <c r="DE98" s="1486">
        <f t="shared" ca="1" si="244"/>
        <v>0</v>
      </c>
      <c r="DF98" s="1486">
        <f t="shared" ca="1" si="244"/>
        <v>0</v>
      </c>
      <c r="DH98" s="838">
        <f ca="1">SUM(BO98:DF98)</f>
        <v>-0.72974193023255796</v>
      </c>
    </row>
    <row r="99" spans="1:112" s="743" customFormat="1" ht="15.75" collapsed="1">
      <c r="A99" s="22"/>
      <c r="B99" s="753"/>
      <c r="C99" s="744" t="s">
        <v>671</v>
      </c>
      <c r="D99" s="517" t="str">
        <f>INDEX(Workstreams[Workstream], MATCH($C99, Workstreams[Code], 0))</f>
        <v>Bioenergy</v>
      </c>
      <c r="E99" s="512"/>
      <c r="G99" s="1021">
        <f ca="1">G$96+G98</f>
        <v>0</v>
      </c>
      <c r="H99" s="1021">
        <f t="shared" ref="H99:P99" ca="1" si="245">H$96+H98</f>
        <v>0</v>
      </c>
      <c r="I99" s="1021">
        <f t="shared" ca="1" si="245"/>
        <v>0</v>
      </c>
      <c r="J99" s="1021">
        <f t="shared" ca="1" si="245"/>
        <v>0</v>
      </c>
      <c r="K99" s="1021">
        <f t="shared" ca="1" si="245"/>
        <v>0</v>
      </c>
      <c r="L99" s="1021">
        <f t="shared" ca="1" si="245"/>
        <v>0</v>
      </c>
      <c r="M99" s="1021">
        <f t="shared" ca="1" si="245"/>
        <v>0</v>
      </c>
      <c r="N99" s="1021">
        <f t="shared" ca="1" si="245"/>
        <v>0</v>
      </c>
      <c r="O99" s="1021">
        <f t="shared" ca="1" si="245"/>
        <v>0</v>
      </c>
      <c r="P99" s="1021">
        <f t="shared" ca="1" si="245"/>
        <v>0</v>
      </c>
      <c r="Q99" s="1021">
        <f ca="1">SUM(G99:P99)</f>
        <v>0</v>
      </c>
      <c r="S99" s="970">
        <f t="shared" ref="S99:AJ99" ca="1" si="246">S$96+S98</f>
        <v>0</v>
      </c>
      <c r="T99" s="970">
        <f t="shared" ca="1" si="246"/>
        <v>0</v>
      </c>
      <c r="U99" s="970">
        <f t="shared" ca="1" si="246"/>
        <v>38.52072368519687</v>
      </c>
      <c r="V99" s="970">
        <f t="shared" ca="1" si="246"/>
        <v>14.036835250580538</v>
      </c>
      <c r="W99" s="970">
        <f t="shared" ca="1" si="246"/>
        <v>51.585235201673797</v>
      </c>
      <c r="X99" s="970">
        <f t="shared" ca="1" si="246"/>
        <v>0</v>
      </c>
      <c r="Y99" s="970">
        <f t="shared" ca="1" si="246"/>
        <v>0</v>
      </c>
      <c r="Z99" s="970">
        <f t="shared" ca="1" si="246"/>
        <v>0</v>
      </c>
      <c r="AA99" s="970">
        <f t="shared" ca="1" si="246"/>
        <v>0</v>
      </c>
      <c r="AB99" s="970">
        <f t="shared" ca="1" si="246"/>
        <v>0</v>
      </c>
      <c r="AC99" s="970">
        <f t="shared" ca="1" si="246"/>
        <v>0</v>
      </c>
      <c r="AD99" s="970">
        <f ca="1">AD$96+AD98</f>
        <v>-21.62911347575881</v>
      </c>
      <c r="AE99" s="970">
        <f ca="1">AE$96+AE98</f>
        <v>-1.3680579836519617</v>
      </c>
      <c r="AF99" s="970">
        <f t="shared" ca="1" si="246"/>
        <v>-39.960920373732954</v>
      </c>
      <c r="AG99" s="970">
        <f t="shared" ca="1" si="246"/>
        <v>-43.247452274254698</v>
      </c>
      <c r="AH99" s="970">
        <f ca="1">AH$96+AH98</f>
        <v>-16.987273382270043</v>
      </c>
      <c r="AI99" s="970">
        <f t="shared" ca="1" si="246"/>
        <v>0</v>
      </c>
      <c r="AJ99" s="970">
        <f t="shared" ca="1" si="246"/>
        <v>0</v>
      </c>
      <c r="AK99" s="970">
        <f ca="1">SUM(S99:AJ99)</f>
        <v>-19.05002335221727</v>
      </c>
      <c r="AM99" s="976">
        <f t="shared" ref="AM99:BE99" ca="1" si="247">AM$96+AM98</f>
        <v>0</v>
      </c>
      <c r="AN99" s="976">
        <f t="shared" ca="1" si="247"/>
        <v>0</v>
      </c>
      <c r="AO99" s="976">
        <f t="shared" ca="1" si="247"/>
        <v>0</v>
      </c>
      <c r="AP99" s="976">
        <f t="shared" ca="1" si="247"/>
        <v>-2.3260000000000001</v>
      </c>
      <c r="AQ99" s="976">
        <f t="shared" ca="1" si="247"/>
        <v>0</v>
      </c>
      <c r="AR99" s="976">
        <f t="shared" ca="1" si="247"/>
        <v>0</v>
      </c>
      <c r="AS99" s="976">
        <f t="shared" ca="1" si="247"/>
        <v>0</v>
      </c>
      <c r="AT99" s="976">
        <f t="shared" ca="1" si="247"/>
        <v>0</v>
      </c>
      <c r="AU99" s="976">
        <f t="shared" ca="1" si="247"/>
        <v>0</v>
      </c>
      <c r="AV99" s="976">
        <f t="shared" ca="1" si="247"/>
        <v>0</v>
      </c>
      <c r="AW99" s="976">
        <f t="shared" ca="1" si="247"/>
        <v>0</v>
      </c>
      <c r="AX99" s="976">
        <f t="shared" ca="1" si="247"/>
        <v>0</v>
      </c>
      <c r="AY99" s="976">
        <f t="shared" ca="1" si="247"/>
        <v>0</v>
      </c>
      <c r="AZ99" s="976">
        <f t="shared" ca="1" si="247"/>
        <v>0</v>
      </c>
      <c r="BA99" s="976">
        <f t="shared" ca="1" si="247"/>
        <v>0</v>
      </c>
      <c r="BB99" s="976">
        <f t="shared" ca="1" si="247"/>
        <v>0</v>
      </c>
      <c r="BC99" s="976">
        <f t="shared" ca="1" si="247"/>
        <v>0</v>
      </c>
      <c r="BD99" s="976">
        <f t="shared" ca="1" si="247"/>
        <v>0</v>
      </c>
      <c r="BE99" s="976">
        <f t="shared" ca="1" si="247"/>
        <v>0</v>
      </c>
      <c r="BF99" s="976">
        <f ca="1">SUM(AM99:BE99)</f>
        <v>-2.3260000000000001</v>
      </c>
      <c r="BH99" s="990">
        <f ca="1">BH$96+BH98</f>
        <v>21.376023352217274</v>
      </c>
      <c r="BI99" s="990">
        <f ca="1">BI$96+BI98</f>
        <v>0</v>
      </c>
      <c r="BJ99" s="990">
        <f ca="1">SUM(BH99:BI99)</f>
        <v>21.376023352217274</v>
      </c>
      <c r="BL99" s="515">
        <f ca="1">Q99+AK99+BF99+BJ99</f>
        <v>0</v>
      </c>
      <c r="BM99" s="515"/>
      <c r="BN99" s="840"/>
      <c r="BO99" s="1482">
        <f t="shared" ref="BO99:DF99" ca="1" si="248">BO$96+BO98</f>
        <v>0</v>
      </c>
      <c r="BP99" s="1482">
        <f t="shared" ca="1" si="248"/>
        <v>0</v>
      </c>
      <c r="BQ99" s="1482">
        <f t="shared" ca="1" si="248"/>
        <v>0</v>
      </c>
      <c r="BR99" s="1482">
        <f t="shared" ca="1" si="248"/>
        <v>0</v>
      </c>
      <c r="BS99" s="1482">
        <f t="shared" ca="1" si="248"/>
        <v>0</v>
      </c>
      <c r="BT99" s="1482">
        <f t="shared" ca="1" si="248"/>
        <v>0</v>
      </c>
      <c r="BU99" s="1482">
        <f t="shared" ca="1" si="248"/>
        <v>0</v>
      </c>
      <c r="BV99" s="1482">
        <f t="shared" ca="1" si="248"/>
        <v>0</v>
      </c>
      <c r="BW99" s="1482">
        <f t="shared" ca="1" si="248"/>
        <v>0</v>
      </c>
      <c r="BX99" s="1482">
        <f t="shared" ca="1" si="248"/>
        <v>0</v>
      </c>
      <c r="BY99" s="1482">
        <f t="shared" ca="1" si="248"/>
        <v>0</v>
      </c>
      <c r="BZ99" s="1482">
        <f t="shared" ca="1" si="248"/>
        <v>0</v>
      </c>
      <c r="CA99" s="1482">
        <f t="shared" ca="1" si="248"/>
        <v>0</v>
      </c>
      <c r="CB99" s="1482">
        <f t="shared" ca="1" si="248"/>
        <v>0</v>
      </c>
      <c r="CC99" s="1482">
        <f t="shared" ca="1" si="248"/>
        <v>0</v>
      </c>
      <c r="CD99" s="1482">
        <f t="shared" ca="1" si="248"/>
        <v>0</v>
      </c>
      <c r="CE99" s="1482">
        <f t="shared" ca="1" si="248"/>
        <v>0</v>
      </c>
      <c r="CF99" s="1482">
        <f t="shared" ca="1" si="248"/>
        <v>0</v>
      </c>
      <c r="CG99" s="1482">
        <f t="shared" ca="1" si="248"/>
        <v>0</v>
      </c>
      <c r="CH99" s="1482">
        <f t="shared" ca="1" si="248"/>
        <v>0</v>
      </c>
      <c r="CI99" s="1482">
        <f t="shared" ca="1" si="248"/>
        <v>0</v>
      </c>
      <c r="CJ99" s="1482">
        <f t="shared" ca="1" si="248"/>
        <v>0</v>
      </c>
      <c r="CK99" s="1482">
        <f t="shared" ca="1" si="248"/>
        <v>0</v>
      </c>
      <c r="CL99" s="1482">
        <f t="shared" ca="1" si="248"/>
        <v>0</v>
      </c>
      <c r="CM99" s="1482">
        <f t="shared" ca="1" si="248"/>
        <v>0</v>
      </c>
      <c r="CN99" s="1482">
        <f t="shared" ca="1" si="248"/>
        <v>0</v>
      </c>
      <c r="CO99" s="1482">
        <f t="shared" ca="1" si="248"/>
        <v>0</v>
      </c>
      <c r="CP99" s="1482">
        <f t="shared" ca="1" si="248"/>
        <v>0</v>
      </c>
      <c r="CQ99" s="1482">
        <f t="shared" ca="1" si="248"/>
        <v>0</v>
      </c>
      <c r="CR99" s="1482">
        <f t="shared" ca="1" si="248"/>
        <v>0</v>
      </c>
      <c r="CS99" s="1482">
        <f t="shared" ca="1" si="248"/>
        <v>0</v>
      </c>
      <c r="CT99" s="1482">
        <f t="shared" ca="1" si="248"/>
        <v>0</v>
      </c>
      <c r="CU99" s="1482">
        <f t="shared" ca="1" si="248"/>
        <v>0</v>
      </c>
      <c r="CV99" s="1482">
        <f t="shared" ca="1" si="248"/>
        <v>0</v>
      </c>
      <c r="CW99" s="1482">
        <f t="shared" ca="1" si="248"/>
        <v>0</v>
      </c>
      <c r="CX99" s="1482">
        <f t="shared" ca="1" si="248"/>
        <v>0</v>
      </c>
      <c r="CY99" s="1482">
        <f t="shared" ca="1" si="248"/>
        <v>-24.865274984793743</v>
      </c>
      <c r="CZ99" s="1482">
        <f t="shared" ca="1" si="248"/>
        <v>0</v>
      </c>
      <c r="DA99" s="1482">
        <f t="shared" ca="1" si="248"/>
        <v>0</v>
      </c>
      <c r="DB99" s="1482">
        <f t="shared" ca="1" si="248"/>
        <v>0</v>
      </c>
      <c r="DC99" s="1482">
        <f t="shared" ca="1" si="248"/>
        <v>0</v>
      </c>
      <c r="DD99" s="1482">
        <f t="shared" ca="1" si="248"/>
        <v>0</v>
      </c>
      <c r="DE99" s="1482">
        <f t="shared" ca="1" si="248"/>
        <v>0</v>
      </c>
      <c r="DF99" s="1482">
        <f t="shared" ca="1" si="248"/>
        <v>0</v>
      </c>
      <c r="DH99" s="838">
        <f t="shared" ca="1" si="234"/>
        <v>-24.865274984793743</v>
      </c>
    </row>
    <row r="100" spans="1:112" s="22" customFormat="1" ht="12.75" hidden="1" customHeight="1" outlineLevel="1">
      <c r="B100" s="753"/>
      <c r="C100" s="744"/>
      <c r="D100" s="517"/>
      <c r="E100" s="512"/>
      <c r="F100" s="743"/>
      <c r="G100" s="958"/>
      <c r="H100" s="958"/>
      <c r="I100" s="958"/>
      <c r="J100" s="958"/>
      <c r="K100" s="960"/>
      <c r="L100" s="958"/>
      <c r="M100" s="958"/>
      <c r="N100" s="958"/>
      <c r="O100" s="958"/>
      <c r="P100" s="958"/>
      <c r="Q100" s="1021"/>
      <c r="R100" s="743"/>
      <c r="S100" s="970"/>
      <c r="T100" s="970"/>
      <c r="U100" s="970"/>
      <c r="V100" s="970"/>
      <c r="W100" s="970"/>
      <c r="X100" s="970"/>
      <c r="Y100" s="970"/>
      <c r="Z100" s="970"/>
      <c r="AA100" s="970"/>
      <c r="AB100" s="970"/>
      <c r="AC100" s="970"/>
      <c r="AD100" s="970"/>
      <c r="AE100" s="970"/>
      <c r="AF100" s="970"/>
      <c r="AG100" s="970"/>
      <c r="AH100" s="970"/>
      <c r="AI100" s="970"/>
      <c r="AJ100" s="970"/>
      <c r="AK100" s="970"/>
      <c r="AL100" s="743"/>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743"/>
      <c r="BH100" s="990"/>
      <c r="BI100" s="990"/>
      <c r="BJ100" s="990"/>
      <c r="BK100" s="743"/>
      <c r="BL100" s="515"/>
      <c r="BM100" s="515"/>
      <c r="BO100" s="1482"/>
      <c r="BP100" s="1482"/>
      <c r="BQ100" s="1482"/>
      <c r="BR100" s="1482"/>
      <c r="BS100" s="1482"/>
      <c r="BT100" s="1482"/>
      <c r="BU100" s="1482"/>
      <c r="BV100" s="1482"/>
      <c r="BW100" s="1482"/>
      <c r="BX100" s="1482"/>
      <c r="BY100" s="1482"/>
      <c r="BZ100" s="1482"/>
      <c r="CA100" s="1482"/>
      <c r="CB100" s="1482"/>
      <c r="CC100" s="1482"/>
      <c r="CD100" s="1482"/>
      <c r="CE100" s="1482"/>
      <c r="CF100" s="1482"/>
      <c r="CG100" s="1482"/>
      <c r="CH100" s="1482"/>
      <c r="CI100" s="1482"/>
      <c r="CJ100" s="1482"/>
      <c r="CK100" s="1482"/>
      <c r="CL100" s="1482"/>
      <c r="CM100" s="1482"/>
      <c r="CN100" s="1482"/>
      <c r="CO100" s="1482"/>
      <c r="CP100" s="1482"/>
      <c r="CQ100" s="1482"/>
      <c r="CR100" s="1482"/>
      <c r="CS100" s="1482"/>
      <c r="CT100" s="1482"/>
      <c r="CU100" s="1482"/>
      <c r="CV100" s="1482"/>
      <c r="CW100" s="1482"/>
      <c r="CX100" s="1482"/>
      <c r="CY100" s="1482"/>
      <c r="CZ100" s="1482"/>
      <c r="DA100" s="1482"/>
      <c r="DB100" s="1482"/>
      <c r="DC100" s="1482"/>
      <c r="DD100" s="1482"/>
      <c r="DE100" s="1482"/>
      <c r="DF100" s="1482"/>
      <c r="DH100" s="838">
        <f t="shared" si="234"/>
        <v>0</v>
      </c>
    </row>
    <row r="101" spans="1:112" s="1488" customFormat="1" ht="12.75" hidden="1" customHeight="1" outlineLevel="1">
      <c r="C101" s="1048" t="s">
        <v>1725</v>
      </c>
      <c r="D101" s="851" t="s">
        <v>1224</v>
      </c>
      <c r="E101" s="851"/>
      <c r="G101" s="1070"/>
      <c r="H101" s="1070"/>
      <c r="I101" s="1070"/>
      <c r="J101" s="1070"/>
      <c r="K101" s="1071"/>
      <c r="L101" s="1070"/>
      <c r="M101" s="1070"/>
      <c r="N101" s="1070"/>
      <c r="O101" s="1070"/>
      <c r="P101" s="1070"/>
      <c r="Q101" s="1478"/>
      <c r="R101" s="1491"/>
      <c r="S101" s="1072">
        <f ca="1">(S$40+S$84+S$93+S$99)</f>
        <v>-389.72589326068504</v>
      </c>
      <c r="T101" s="1072">
        <f ca="1">(T$40+T$84+T$93+T$99)</f>
        <v>389.72589326068504</v>
      </c>
      <c r="U101" s="1072">
        <f ca="1">(U$40+U$84+U$93+U$99)</f>
        <v>-75.155782547911443</v>
      </c>
      <c r="V101" s="1072">
        <f ca="1">(V$40+V$84+V$93+V$99)</f>
        <v>-827.07383830358731</v>
      </c>
      <c r="W101" s="1072">
        <f ca="1">(W$40+W$84+W$93+W$99)</f>
        <v>-1363.2311436938553</v>
      </c>
      <c r="X101" s="1072"/>
      <c r="Y101" s="1072"/>
      <c r="Z101" s="1072"/>
      <c r="AA101" s="1072"/>
      <c r="AB101" s="1072"/>
      <c r="AC101" s="1072"/>
      <c r="AD101" s="1072"/>
      <c r="AE101" s="1072"/>
      <c r="AF101" s="1072"/>
      <c r="AG101" s="1072"/>
      <c r="AH101" s="1072"/>
      <c r="AI101" s="1072"/>
      <c r="AJ101" s="1072"/>
      <c r="AK101" s="1072"/>
      <c r="AL101" s="1491"/>
      <c r="AM101" s="1073"/>
      <c r="AN101" s="1073"/>
      <c r="AO101" s="1073"/>
      <c r="AP101" s="1073"/>
      <c r="AQ101" s="1073"/>
      <c r="AR101" s="1073"/>
      <c r="AS101" s="1073"/>
      <c r="AT101" s="1073"/>
      <c r="AU101" s="1073"/>
      <c r="AV101" s="1073"/>
      <c r="AW101" s="1073"/>
      <c r="AX101" s="1073"/>
      <c r="AY101" s="1073"/>
      <c r="AZ101" s="1073"/>
      <c r="BA101" s="1073"/>
      <c r="BB101" s="1073"/>
      <c r="BC101" s="1073"/>
      <c r="BD101" s="1073"/>
      <c r="BE101" s="1073"/>
      <c r="BF101" s="1073"/>
      <c r="BG101" s="1491"/>
      <c r="BH101" s="1074"/>
      <c r="BI101" s="1074"/>
      <c r="BJ101" s="1074"/>
      <c r="BL101" s="852"/>
      <c r="BM101" s="852"/>
      <c r="BO101" s="1490"/>
      <c r="BP101" s="1490"/>
      <c r="BQ101" s="1490"/>
      <c r="BR101" s="1490"/>
      <c r="BS101" s="1490"/>
      <c r="BT101" s="1490"/>
      <c r="BU101" s="1490"/>
      <c r="BV101" s="1490"/>
      <c r="BW101" s="1490"/>
      <c r="BX101" s="1490"/>
      <c r="BY101" s="1490"/>
      <c r="BZ101" s="1490"/>
      <c r="CA101" s="1490"/>
      <c r="CB101" s="1490"/>
      <c r="CC101" s="1490"/>
      <c r="CD101" s="1490"/>
      <c r="CE101" s="1490"/>
      <c r="CF101" s="1490"/>
      <c r="CG101" s="1490"/>
      <c r="CH101" s="1490"/>
      <c r="CI101" s="1490"/>
      <c r="CJ101" s="1490"/>
      <c r="CK101" s="1490"/>
      <c r="CL101" s="1490"/>
      <c r="CM101" s="1490"/>
      <c r="CN101" s="1490"/>
      <c r="CO101" s="1490"/>
      <c r="CP101" s="1490"/>
      <c r="CQ101" s="1490"/>
      <c r="CR101" s="1490"/>
      <c r="CS101" s="1490"/>
      <c r="CT101" s="1490"/>
      <c r="CU101" s="1490"/>
      <c r="CV101" s="1490"/>
      <c r="CW101" s="1490"/>
      <c r="CX101" s="1490"/>
      <c r="CY101" s="1490"/>
      <c r="CZ101" s="1490"/>
      <c r="DA101" s="1490"/>
      <c r="DB101" s="1490"/>
      <c r="DC101" s="1490"/>
      <c r="DD101" s="1490"/>
      <c r="DE101" s="1490"/>
      <c r="DF101" s="1490"/>
      <c r="DH101" s="838">
        <f t="shared" si="234"/>
        <v>0</v>
      </c>
    </row>
    <row r="102" spans="1:112" s="1484" customFormat="1" ht="12.75" hidden="1" customHeight="1" outlineLevel="1">
      <c r="B102" s="1492"/>
      <c r="C102" s="522" t="s">
        <v>1013</v>
      </c>
      <c r="D102" s="521" t="str">
        <f>INDEX(Modules[Module], MATCH($C102, Modules[Code], 0))</f>
        <v>Fossil fuel transfers</v>
      </c>
      <c r="E102" s="521"/>
      <c r="F102" s="743"/>
      <c r="G102" s="963">
        <f t="shared" ref="G102:P102" ca="1" si="249">IFERROR(INDEX(INDIRECT($C102&amp;".Outputs["&amp;this.Year&amp;"]"), MATCH(G$5, INDIRECT($C102&amp;".Outputs[Vector]"), 0)), 0)</f>
        <v>0</v>
      </c>
      <c r="H102" s="963">
        <f t="shared" ca="1" si="249"/>
        <v>0</v>
      </c>
      <c r="I102" s="963">
        <f t="shared" ca="1" si="249"/>
        <v>0</v>
      </c>
      <c r="J102" s="963">
        <f t="shared" ca="1" si="249"/>
        <v>0</v>
      </c>
      <c r="K102" s="964">
        <f t="shared" ca="1" si="249"/>
        <v>0</v>
      </c>
      <c r="L102" s="963">
        <f t="shared" ca="1" si="249"/>
        <v>0</v>
      </c>
      <c r="M102" s="963">
        <f t="shared" ca="1" si="249"/>
        <v>0</v>
      </c>
      <c r="N102" s="963">
        <f t="shared" ca="1" si="249"/>
        <v>0</v>
      </c>
      <c r="O102" s="963">
        <f t="shared" ca="1" si="249"/>
        <v>0</v>
      </c>
      <c r="P102" s="963">
        <f t="shared" ca="1" si="249"/>
        <v>0</v>
      </c>
      <c r="Q102" s="1096">
        <f ca="1">SUM(G102:P102)</f>
        <v>0</v>
      </c>
      <c r="R102" s="743"/>
      <c r="S102" s="972">
        <f t="shared" ref="S102:AJ102" ca="1" si="250">IFERROR(INDEX(INDIRECT($C102&amp;".Outputs["&amp;this.Year&amp;"]"), MATCH(S$5, INDIRECT($C102&amp;".Outputs[Vector]"), 0)), 0)</f>
        <v>0</v>
      </c>
      <c r="T102" s="972">
        <f t="shared" ca="1" si="250"/>
        <v>0</v>
      </c>
      <c r="U102" s="972">
        <f t="shared" ca="1" si="250"/>
        <v>75.155782547911443</v>
      </c>
      <c r="V102" s="972">
        <f t="shared" ca="1" si="250"/>
        <v>827.07383830358731</v>
      </c>
      <c r="W102" s="972">
        <f t="shared" ca="1" si="250"/>
        <v>1363.2311436938553</v>
      </c>
      <c r="X102" s="972">
        <f t="shared" ca="1" si="250"/>
        <v>-75.155782547911443</v>
      </c>
      <c r="Y102" s="972">
        <f t="shared" ca="1" si="250"/>
        <v>-827.07383830358731</v>
      </c>
      <c r="Z102" s="972">
        <f t="shared" ca="1" si="250"/>
        <v>-1378.9428737818355</v>
      </c>
      <c r="AA102" s="972">
        <f t="shared" ca="1" si="250"/>
        <v>0</v>
      </c>
      <c r="AB102" s="972">
        <f t="shared" ca="1" si="250"/>
        <v>0</v>
      </c>
      <c r="AC102" s="972">
        <f t="shared" ca="1" si="250"/>
        <v>0</v>
      </c>
      <c r="AD102" s="972">
        <f t="shared" ca="1" si="250"/>
        <v>0</v>
      </c>
      <c r="AE102" s="972">
        <f t="shared" ca="1" si="250"/>
        <v>0</v>
      </c>
      <c r="AF102" s="972">
        <f t="shared" ca="1" si="250"/>
        <v>0</v>
      </c>
      <c r="AG102" s="972">
        <f t="shared" ca="1" si="250"/>
        <v>0</v>
      </c>
      <c r="AH102" s="972">
        <f t="shared" ca="1" si="250"/>
        <v>0</v>
      </c>
      <c r="AI102" s="972">
        <f t="shared" ca="1" si="250"/>
        <v>0</v>
      </c>
      <c r="AJ102" s="972">
        <f t="shared" ca="1" si="250"/>
        <v>0</v>
      </c>
      <c r="AK102" s="972">
        <f ca="1">SUM(S102:AJ102)</f>
        <v>-15.711730087979731</v>
      </c>
      <c r="AL102" s="743"/>
      <c r="AM102" s="979">
        <f t="shared" ref="AM102:BE102" ca="1" si="251">IFERROR(INDEX(INDIRECT($C102&amp;".Outputs["&amp;this.Year&amp;"]"), MATCH(AM$5, INDIRECT($C102&amp;".Outputs[Vector]"), 0)), 0)</f>
        <v>0</v>
      </c>
      <c r="AN102" s="979">
        <f t="shared" ca="1" si="251"/>
        <v>0</v>
      </c>
      <c r="AO102" s="979">
        <f t="shared" ca="1" si="251"/>
        <v>0</v>
      </c>
      <c r="AP102" s="979">
        <f t="shared" ca="1" si="251"/>
        <v>0</v>
      </c>
      <c r="AQ102" s="979">
        <f t="shared" ca="1" si="251"/>
        <v>0</v>
      </c>
      <c r="AR102" s="979">
        <f t="shared" ca="1" si="251"/>
        <v>0</v>
      </c>
      <c r="AS102" s="979">
        <f t="shared" ca="1" si="251"/>
        <v>0</v>
      </c>
      <c r="AT102" s="979">
        <f t="shared" ca="1" si="251"/>
        <v>0</v>
      </c>
      <c r="AU102" s="979">
        <f t="shared" ca="1" si="251"/>
        <v>0</v>
      </c>
      <c r="AV102" s="979">
        <f t="shared" ca="1" si="251"/>
        <v>0</v>
      </c>
      <c r="AW102" s="979">
        <f t="shared" ca="1" si="251"/>
        <v>0</v>
      </c>
      <c r="AX102" s="979">
        <f t="shared" ca="1" si="251"/>
        <v>0</v>
      </c>
      <c r="AY102" s="979">
        <f t="shared" ca="1" si="251"/>
        <v>0</v>
      </c>
      <c r="AZ102" s="979">
        <f t="shared" ca="1" si="251"/>
        <v>0</v>
      </c>
      <c r="BA102" s="979">
        <f t="shared" ca="1" si="251"/>
        <v>0</v>
      </c>
      <c r="BB102" s="979">
        <f t="shared" ca="1" si="251"/>
        <v>0</v>
      </c>
      <c r="BC102" s="979">
        <f t="shared" ca="1" si="251"/>
        <v>0</v>
      </c>
      <c r="BD102" s="979">
        <f t="shared" ca="1" si="251"/>
        <v>0</v>
      </c>
      <c r="BE102" s="979">
        <f t="shared" ca="1" si="251"/>
        <v>0</v>
      </c>
      <c r="BF102" s="979">
        <f ca="1">SUM(AM102:BE102)</f>
        <v>0</v>
      </c>
      <c r="BG102" s="743"/>
      <c r="BH102" s="992">
        <f ca="1">IFERROR(INDEX(INDIRECT($C102&amp;".Outputs["&amp;this.Year&amp;"]"), MATCH(BH$5, INDIRECT($C102&amp;".Outputs[Vector]"), 0)), 0)</f>
        <v>0</v>
      </c>
      <c r="BI102" s="992">
        <f ca="1">IFERROR(INDEX(INDIRECT($C102&amp;".Outputs["&amp;this.Year&amp;"]"), MATCH(BI$5, INDIRECT($C102&amp;".Outputs[Vector]"), 0)), 0)</f>
        <v>15.711730087980099</v>
      </c>
      <c r="BJ102" s="992">
        <f ca="1">SUM(BH102:BI102)</f>
        <v>15.711730087980099</v>
      </c>
      <c r="BK102" s="743"/>
      <c r="BL102" s="515">
        <f t="shared" ref="BL102:BL109" ca="1" si="252">Q102+AK102+BF102+BJ102</f>
        <v>3.6770586575585185E-13</v>
      </c>
      <c r="BM102" s="814"/>
      <c r="BO102" s="1481">
        <f t="shared" ref="BO102:BX103" ca="1" si="253">IFERROR(SUMIFS(INDIRECT($C102&amp;".Emissions["&amp;this.Year&amp;"]"), INDIRECT($C102&amp;".Emissions[GHG]"), BO$6, INDIRECT($C102&amp;".Emissions[IPCC Sector]"), BO$5),0)</f>
        <v>0</v>
      </c>
      <c r="BP102" s="1482">
        <f t="shared" ca="1" si="253"/>
        <v>0</v>
      </c>
      <c r="BQ102" s="1482">
        <f t="shared" ca="1" si="253"/>
        <v>0</v>
      </c>
      <c r="BR102" s="1482">
        <f t="shared" ca="1" si="253"/>
        <v>0</v>
      </c>
      <c r="BS102" s="1482">
        <f t="shared" ca="1" si="253"/>
        <v>0</v>
      </c>
      <c r="BT102" s="1482">
        <f t="shared" ca="1" si="253"/>
        <v>5.9779079986328671</v>
      </c>
      <c r="BU102" s="1482">
        <f t="shared" ca="1" si="253"/>
        <v>0</v>
      </c>
      <c r="BV102" s="1482">
        <f t="shared" ca="1" si="253"/>
        <v>0</v>
      </c>
      <c r="BW102" s="1482">
        <f t="shared" ca="1" si="253"/>
        <v>0</v>
      </c>
      <c r="BX102" s="1482">
        <f t="shared" ca="1" si="253"/>
        <v>0</v>
      </c>
      <c r="BY102" s="1482">
        <f t="shared" ref="BY102:CH103" ca="1" si="254">IFERROR(SUMIFS(INDIRECT($C102&amp;".Emissions["&amp;this.Year&amp;"]"), INDIRECT($C102&amp;".Emissions[GHG]"), BY$6, INDIRECT($C102&amp;".Emissions[IPCC Sector]"), BY$5),0)</f>
        <v>0</v>
      </c>
      <c r="BZ102" s="1482">
        <f t="shared" ca="1" si="254"/>
        <v>0</v>
      </c>
      <c r="CA102" s="1482">
        <f t="shared" ca="1" si="254"/>
        <v>0</v>
      </c>
      <c r="CB102" s="1482">
        <f t="shared" ca="1" si="254"/>
        <v>0</v>
      </c>
      <c r="CC102" s="1482">
        <f t="shared" ca="1" si="254"/>
        <v>0</v>
      </c>
      <c r="CD102" s="1482">
        <f t="shared" ca="1" si="254"/>
        <v>0</v>
      </c>
      <c r="CE102" s="1482">
        <f t="shared" ca="1" si="254"/>
        <v>0</v>
      </c>
      <c r="CF102" s="1482">
        <f t="shared" ca="1" si="254"/>
        <v>0</v>
      </c>
      <c r="CG102" s="1482">
        <f t="shared" ca="1" si="254"/>
        <v>0</v>
      </c>
      <c r="CH102" s="1482">
        <f t="shared" ca="1" si="254"/>
        <v>0</v>
      </c>
      <c r="CI102" s="1482">
        <f t="shared" ref="CI102:CR103" ca="1" si="255">IFERROR(SUMIFS(INDIRECT($C102&amp;".Emissions["&amp;this.Year&amp;"]"), INDIRECT($C102&amp;".Emissions[GHG]"), CI$6, INDIRECT($C102&amp;".Emissions[IPCC Sector]"), CI$5),0)</f>
        <v>0</v>
      </c>
      <c r="CJ102" s="1482">
        <f t="shared" ca="1" si="255"/>
        <v>0</v>
      </c>
      <c r="CK102" s="1482">
        <f t="shared" ca="1" si="255"/>
        <v>0</v>
      </c>
      <c r="CL102" s="1482">
        <f t="shared" ca="1" si="255"/>
        <v>0</v>
      </c>
      <c r="CM102" s="1482">
        <f t="shared" ca="1" si="255"/>
        <v>0</v>
      </c>
      <c r="CN102" s="1482">
        <f t="shared" ca="1" si="255"/>
        <v>0</v>
      </c>
      <c r="CO102" s="1482">
        <f t="shared" ca="1" si="255"/>
        <v>0</v>
      </c>
      <c r="CP102" s="1482">
        <f t="shared" ca="1" si="255"/>
        <v>0</v>
      </c>
      <c r="CQ102" s="1482">
        <f t="shared" ca="1" si="255"/>
        <v>0</v>
      </c>
      <c r="CR102" s="1482">
        <f t="shared" ca="1" si="255"/>
        <v>0</v>
      </c>
      <c r="CS102" s="1482">
        <f t="shared" ref="CS102:DF103" ca="1" si="256">IFERROR(SUMIFS(INDIRECT($C102&amp;".Emissions["&amp;this.Year&amp;"]"), INDIRECT($C102&amp;".Emissions[GHG]"), CS$6, INDIRECT($C102&amp;".Emissions[IPCC Sector]"), CS$5),0)</f>
        <v>0</v>
      </c>
      <c r="CT102" s="1482">
        <f t="shared" ca="1" si="256"/>
        <v>0</v>
      </c>
      <c r="CU102" s="1482">
        <f t="shared" ca="1" si="256"/>
        <v>0</v>
      </c>
      <c r="CV102" s="1482">
        <f t="shared" ca="1" si="256"/>
        <v>0</v>
      </c>
      <c r="CW102" s="1482">
        <f t="shared" ca="1" si="256"/>
        <v>0</v>
      </c>
      <c r="CX102" s="1482">
        <f t="shared" ca="1" si="256"/>
        <v>0</v>
      </c>
      <c r="CY102" s="1482">
        <f t="shared" ca="1" si="256"/>
        <v>0</v>
      </c>
      <c r="CZ102" s="1482">
        <f t="shared" ca="1" si="256"/>
        <v>0</v>
      </c>
      <c r="DA102" s="1482">
        <f t="shared" ca="1" si="256"/>
        <v>0</v>
      </c>
      <c r="DB102" s="1482">
        <f t="shared" ca="1" si="256"/>
        <v>0</v>
      </c>
      <c r="DC102" s="1482">
        <f t="shared" ca="1" si="256"/>
        <v>0</v>
      </c>
      <c r="DD102" s="1482">
        <f t="shared" ca="1" si="256"/>
        <v>0</v>
      </c>
      <c r="DE102" s="1482">
        <f t="shared" ca="1" si="256"/>
        <v>0</v>
      </c>
      <c r="DF102" s="1482">
        <f t="shared" ca="1" si="256"/>
        <v>0</v>
      </c>
      <c r="DH102" s="838">
        <f t="shared" ca="1" si="234"/>
        <v>5.9779079986328671</v>
      </c>
    </row>
    <row r="103" spans="1:112" s="1484" customFormat="1" ht="12.75" hidden="1" customHeight="1" outlineLevel="1">
      <c r="B103" s="1492" t="s">
        <v>798</v>
      </c>
      <c r="C103" s="522" t="s">
        <v>1014</v>
      </c>
      <c r="D103" s="1010" t="str">
        <f>INDEX(Modules[Module], MATCH($C103, Modules[Code], 0))</f>
        <v>Balancing imports</v>
      </c>
      <c r="E103" s="1010"/>
      <c r="F103" s="743"/>
      <c r="G103" s="1102"/>
      <c r="H103" s="1102"/>
      <c r="I103" s="1102"/>
      <c r="J103" s="1102"/>
      <c r="K103" s="1103"/>
      <c r="L103" s="1102"/>
      <c r="M103" s="1102"/>
      <c r="N103" s="1102"/>
      <c r="O103" s="1102"/>
      <c r="P103" s="1102"/>
      <c r="Q103" s="1104">
        <f>SUM(G103:P103)</f>
        <v>0</v>
      </c>
      <c r="R103" s="743"/>
      <c r="S103" s="1105"/>
      <c r="T103" s="1105">
        <f ca="1">-(T$101+S$101)</f>
        <v>0</v>
      </c>
      <c r="U103" s="1105"/>
      <c r="V103" s="1105"/>
      <c r="W103" s="1105"/>
      <c r="X103" s="1105">
        <f ca="1">-(X$40+X$84+X$93+X$99+X$102)</f>
        <v>-121.30465956484564</v>
      </c>
      <c r="Y103" s="1105">
        <f ca="1">-(Y$40+Y$84+Y$93+Y$99+Y$102)</f>
        <v>407.75730051444589</v>
      </c>
      <c r="Z103" s="1105">
        <f ca="1">-(Z$40+Z$84+Z$93+Z$99+Z$102)</f>
        <v>1057.7710303462395</v>
      </c>
      <c r="AA103" s="1105"/>
      <c r="AB103" s="1105"/>
      <c r="AC103" s="1105"/>
      <c r="AD103" s="1105"/>
      <c r="AE103" s="1105"/>
      <c r="AF103" s="1105"/>
      <c r="AG103" s="1105"/>
      <c r="AH103" s="1105"/>
      <c r="AI103" s="1105"/>
      <c r="AJ103" s="1105"/>
      <c r="AK103" s="1105">
        <f ca="1">SUM(S103:AJ103)</f>
        <v>1344.2236712958397</v>
      </c>
      <c r="AL103" s="743"/>
      <c r="AM103" s="1012"/>
      <c r="AN103" s="1012"/>
      <c r="AO103" s="1012"/>
      <c r="AP103" s="1012"/>
      <c r="AQ103" s="1012">
        <f ca="1">-T103</f>
        <v>0</v>
      </c>
      <c r="AR103" s="1012">
        <f>-V103</f>
        <v>0</v>
      </c>
      <c r="AS103" s="1012">
        <f ca="1">-X103</f>
        <v>121.30465956484564</v>
      </c>
      <c r="AT103" s="1012">
        <f ca="1">-Y103</f>
        <v>-407.75730051444589</v>
      </c>
      <c r="AU103" s="1012">
        <f ca="1">-Z103</f>
        <v>-1057.7710303462395</v>
      </c>
      <c r="AV103" s="1012"/>
      <c r="AW103" s="1012"/>
      <c r="AX103" s="1012"/>
      <c r="AY103" s="1012"/>
      <c r="AZ103" s="1012"/>
      <c r="BA103" s="1012"/>
      <c r="BB103" s="1012"/>
      <c r="BC103" s="1012"/>
      <c r="BD103" s="1012"/>
      <c r="BE103" s="1012"/>
      <c r="BF103" s="1012">
        <f ca="1">SUM(AM103:BE103)</f>
        <v>-1344.2236712958397</v>
      </c>
      <c r="BG103" s="743"/>
      <c r="BH103" s="1106"/>
      <c r="BI103" s="1106"/>
      <c r="BJ103" s="1106">
        <f>SUM(BH103:BI103)</f>
        <v>0</v>
      </c>
      <c r="BK103" s="743"/>
      <c r="BL103" s="515">
        <f t="shared" ca="1" si="252"/>
        <v>0</v>
      </c>
      <c r="BM103" s="814"/>
      <c r="BO103" s="1485">
        <f t="shared" ca="1" si="253"/>
        <v>0</v>
      </c>
      <c r="BP103" s="1486">
        <f t="shared" ca="1" si="253"/>
        <v>0</v>
      </c>
      <c r="BQ103" s="1486">
        <f t="shared" ca="1" si="253"/>
        <v>0</v>
      </c>
      <c r="BR103" s="1486">
        <f t="shared" ca="1" si="253"/>
        <v>0</v>
      </c>
      <c r="BS103" s="1486">
        <f t="shared" ca="1" si="253"/>
        <v>0</v>
      </c>
      <c r="BT103" s="1486">
        <f t="shared" ca="1" si="253"/>
        <v>0</v>
      </c>
      <c r="BU103" s="1486">
        <f t="shared" ca="1" si="253"/>
        <v>0</v>
      </c>
      <c r="BV103" s="1486">
        <f t="shared" ca="1" si="253"/>
        <v>0</v>
      </c>
      <c r="BW103" s="1486">
        <f t="shared" ca="1" si="253"/>
        <v>0</v>
      </c>
      <c r="BX103" s="1486">
        <f t="shared" ca="1" si="253"/>
        <v>0</v>
      </c>
      <c r="BY103" s="1486">
        <f t="shared" ca="1" si="254"/>
        <v>0</v>
      </c>
      <c r="BZ103" s="1486">
        <f t="shared" ca="1" si="254"/>
        <v>0</v>
      </c>
      <c r="CA103" s="1486">
        <f t="shared" ca="1" si="254"/>
        <v>0</v>
      </c>
      <c r="CB103" s="1486">
        <f t="shared" ca="1" si="254"/>
        <v>0</v>
      </c>
      <c r="CC103" s="1486">
        <f t="shared" ca="1" si="254"/>
        <v>0</v>
      </c>
      <c r="CD103" s="1486">
        <f t="shared" ca="1" si="254"/>
        <v>0</v>
      </c>
      <c r="CE103" s="1486">
        <f t="shared" ca="1" si="254"/>
        <v>0</v>
      </c>
      <c r="CF103" s="1486">
        <f t="shared" ca="1" si="254"/>
        <v>0</v>
      </c>
      <c r="CG103" s="1486">
        <f t="shared" ca="1" si="254"/>
        <v>0</v>
      </c>
      <c r="CH103" s="1486">
        <f t="shared" ca="1" si="254"/>
        <v>0</v>
      </c>
      <c r="CI103" s="1486">
        <f t="shared" ca="1" si="255"/>
        <v>0</v>
      </c>
      <c r="CJ103" s="1486">
        <f t="shared" ca="1" si="255"/>
        <v>0</v>
      </c>
      <c r="CK103" s="1486">
        <f t="shared" ca="1" si="255"/>
        <v>0</v>
      </c>
      <c r="CL103" s="1486">
        <f t="shared" ca="1" si="255"/>
        <v>0</v>
      </c>
      <c r="CM103" s="1486">
        <f t="shared" ca="1" si="255"/>
        <v>0</v>
      </c>
      <c r="CN103" s="1486">
        <f t="shared" ca="1" si="255"/>
        <v>0</v>
      </c>
      <c r="CO103" s="1486">
        <f t="shared" ca="1" si="255"/>
        <v>0</v>
      </c>
      <c r="CP103" s="1486">
        <f t="shared" ca="1" si="255"/>
        <v>0</v>
      </c>
      <c r="CQ103" s="1486">
        <f t="shared" ca="1" si="255"/>
        <v>0</v>
      </c>
      <c r="CR103" s="1486">
        <f t="shared" ca="1" si="255"/>
        <v>0</v>
      </c>
      <c r="CS103" s="1486">
        <f t="shared" ca="1" si="256"/>
        <v>0</v>
      </c>
      <c r="CT103" s="1486">
        <f t="shared" ca="1" si="256"/>
        <v>0</v>
      </c>
      <c r="CU103" s="1486">
        <f t="shared" ca="1" si="256"/>
        <v>0</v>
      </c>
      <c r="CV103" s="1486">
        <f t="shared" ca="1" si="256"/>
        <v>0</v>
      </c>
      <c r="CW103" s="1486">
        <f t="shared" ca="1" si="256"/>
        <v>0</v>
      </c>
      <c r="CX103" s="1486">
        <f t="shared" ca="1" si="256"/>
        <v>0</v>
      </c>
      <c r="CY103" s="1486">
        <f t="shared" ca="1" si="256"/>
        <v>0</v>
      </c>
      <c r="CZ103" s="1486">
        <f t="shared" ca="1" si="256"/>
        <v>0</v>
      </c>
      <c r="DA103" s="1486">
        <f t="shared" ca="1" si="256"/>
        <v>0</v>
      </c>
      <c r="DB103" s="1486">
        <f t="shared" ca="1" si="256"/>
        <v>0</v>
      </c>
      <c r="DC103" s="1486">
        <f t="shared" ca="1" si="256"/>
        <v>0</v>
      </c>
      <c r="DD103" s="1486">
        <f t="shared" ca="1" si="256"/>
        <v>0</v>
      </c>
      <c r="DE103" s="1486">
        <f t="shared" ca="1" si="256"/>
        <v>0</v>
      </c>
      <c r="DF103" s="1486">
        <f t="shared" ca="1" si="256"/>
        <v>0</v>
      </c>
      <c r="DH103" s="838">
        <f t="shared" ca="1" si="234"/>
        <v>0</v>
      </c>
    </row>
    <row r="104" spans="1:112" s="743" customFormat="1" ht="15.75" collapsed="1">
      <c r="B104" s="753" t="s">
        <v>798</v>
      </c>
      <c r="C104" s="516" t="s">
        <v>1012</v>
      </c>
      <c r="D104" s="517" t="str">
        <f>INDEX(Workstreams[Workstream], MATCH($C104, Workstreams[Code], 0))</f>
        <v>Transfers</v>
      </c>
      <c r="E104" s="509"/>
      <c r="G104" s="1021">
        <f ca="1">SUM(G102:G103)</f>
        <v>0</v>
      </c>
      <c r="H104" s="1021">
        <f t="shared" ref="H104:P104" ca="1" si="257">SUM(H102:H103)</f>
        <v>0</v>
      </c>
      <c r="I104" s="1021">
        <f t="shared" ca="1" si="257"/>
        <v>0</v>
      </c>
      <c r="J104" s="1021">
        <f t="shared" ca="1" si="257"/>
        <v>0</v>
      </c>
      <c r="K104" s="1021">
        <f t="shared" ca="1" si="257"/>
        <v>0</v>
      </c>
      <c r="L104" s="1021">
        <f t="shared" ca="1" si="257"/>
        <v>0</v>
      </c>
      <c r="M104" s="1021">
        <f t="shared" ca="1" si="257"/>
        <v>0</v>
      </c>
      <c r="N104" s="1021">
        <f t="shared" ca="1" si="257"/>
        <v>0</v>
      </c>
      <c r="O104" s="1021">
        <f t="shared" ca="1" si="257"/>
        <v>0</v>
      </c>
      <c r="P104" s="1021">
        <f t="shared" ca="1" si="257"/>
        <v>0</v>
      </c>
      <c r="Q104" s="1021">
        <f ca="1">SUM(G104:P104)</f>
        <v>0</v>
      </c>
      <c r="S104" s="970">
        <f t="shared" ref="S104:AJ104" ca="1" si="258">SUM(S102:S103)</f>
        <v>0</v>
      </c>
      <c r="T104" s="970">
        <f t="shared" ca="1" si="258"/>
        <v>0</v>
      </c>
      <c r="U104" s="970">
        <f t="shared" ca="1" si="258"/>
        <v>75.155782547911443</v>
      </c>
      <c r="V104" s="970">
        <f t="shared" ca="1" si="258"/>
        <v>827.07383830358731</v>
      </c>
      <c r="W104" s="970">
        <f t="shared" ca="1" si="258"/>
        <v>1363.2311436938553</v>
      </c>
      <c r="X104" s="970">
        <f t="shared" ca="1" si="258"/>
        <v>-196.46044211275708</v>
      </c>
      <c r="Y104" s="970">
        <f t="shared" ca="1" si="258"/>
        <v>-419.31653778914142</v>
      </c>
      <c r="Z104" s="970">
        <f t="shared" ca="1" si="258"/>
        <v>-321.17184343559597</v>
      </c>
      <c r="AA104" s="970">
        <f t="shared" ca="1" si="258"/>
        <v>0</v>
      </c>
      <c r="AB104" s="970">
        <f t="shared" ca="1" si="258"/>
        <v>0</v>
      </c>
      <c r="AC104" s="970">
        <f t="shared" ca="1" si="258"/>
        <v>0</v>
      </c>
      <c r="AD104" s="970">
        <f ca="1">SUM(AD102:AD103)</f>
        <v>0</v>
      </c>
      <c r="AE104" s="970">
        <f ca="1">SUM(AE102:AE103)</f>
        <v>0</v>
      </c>
      <c r="AF104" s="970">
        <f t="shared" ca="1" si="258"/>
        <v>0</v>
      </c>
      <c r="AG104" s="970">
        <f ca="1">SUM(AG102:AG103)</f>
        <v>0</v>
      </c>
      <c r="AH104" s="970">
        <f ca="1">SUM(AH102:AH103)</f>
        <v>0</v>
      </c>
      <c r="AI104" s="970">
        <f ca="1">SUM(AI102:AI103)</f>
        <v>0</v>
      </c>
      <c r="AJ104" s="970">
        <f t="shared" ca="1" si="258"/>
        <v>0</v>
      </c>
      <c r="AK104" s="970">
        <f ca="1">SUM(S104:AJ104)</f>
        <v>1328.51194120786</v>
      </c>
      <c r="AM104" s="976">
        <f t="shared" ref="AM104:BE104" ca="1" si="259">SUM(AM102:AM103)</f>
        <v>0</v>
      </c>
      <c r="AN104" s="976">
        <f t="shared" ca="1" si="259"/>
        <v>0</v>
      </c>
      <c r="AO104" s="976">
        <f t="shared" ca="1" si="259"/>
        <v>0</v>
      </c>
      <c r="AP104" s="976">
        <f t="shared" ca="1" si="259"/>
        <v>0</v>
      </c>
      <c r="AQ104" s="976">
        <f t="shared" ca="1" si="259"/>
        <v>0</v>
      </c>
      <c r="AR104" s="976">
        <f t="shared" ca="1" si="259"/>
        <v>0</v>
      </c>
      <c r="AS104" s="976">
        <f t="shared" ca="1" si="259"/>
        <v>121.30465956484564</v>
      </c>
      <c r="AT104" s="976">
        <f t="shared" ca="1" si="259"/>
        <v>-407.75730051444589</v>
      </c>
      <c r="AU104" s="976">
        <f t="shared" ca="1" si="259"/>
        <v>-1057.7710303462395</v>
      </c>
      <c r="AV104" s="976">
        <f t="shared" ca="1" si="259"/>
        <v>0</v>
      </c>
      <c r="AW104" s="976">
        <f t="shared" ca="1" si="259"/>
        <v>0</v>
      </c>
      <c r="AX104" s="976">
        <f t="shared" ca="1" si="259"/>
        <v>0</v>
      </c>
      <c r="AY104" s="976">
        <f t="shared" ca="1" si="259"/>
        <v>0</v>
      </c>
      <c r="AZ104" s="976">
        <f t="shared" ca="1" si="259"/>
        <v>0</v>
      </c>
      <c r="BA104" s="976">
        <f t="shared" ca="1" si="259"/>
        <v>0</v>
      </c>
      <c r="BB104" s="976">
        <f t="shared" ca="1" si="259"/>
        <v>0</v>
      </c>
      <c r="BC104" s="976">
        <f t="shared" ca="1" si="259"/>
        <v>0</v>
      </c>
      <c r="BD104" s="976">
        <f t="shared" ca="1" si="259"/>
        <v>0</v>
      </c>
      <c r="BE104" s="976">
        <f t="shared" ca="1" si="259"/>
        <v>0</v>
      </c>
      <c r="BF104" s="976">
        <f ca="1">SUM(AM104:BE104)</f>
        <v>-1344.2236712958397</v>
      </c>
      <c r="BH104" s="990">
        <f ca="1">SUM(BH102:BH103)</f>
        <v>0</v>
      </c>
      <c r="BI104" s="990">
        <f ca="1">SUM(BI102:BI103)</f>
        <v>15.711730087980099</v>
      </c>
      <c r="BJ104" s="990">
        <f ca="1">SUM(BH104:BI104)</f>
        <v>15.711730087980099</v>
      </c>
      <c r="BL104" s="515">
        <f t="shared" ca="1" si="252"/>
        <v>3.6770586575585185E-13</v>
      </c>
      <c r="BM104" s="515"/>
      <c r="BN104" s="840"/>
      <c r="BO104" s="1482">
        <f t="shared" ref="BO104:DF104" ca="1" si="260">SUM(BO102:BO103)</f>
        <v>0</v>
      </c>
      <c r="BP104" s="1482">
        <f t="shared" ca="1" si="260"/>
        <v>0</v>
      </c>
      <c r="BQ104" s="1482">
        <f t="shared" ca="1" si="260"/>
        <v>0</v>
      </c>
      <c r="BR104" s="1482">
        <f t="shared" ca="1" si="260"/>
        <v>0</v>
      </c>
      <c r="BS104" s="1482">
        <f t="shared" ca="1" si="260"/>
        <v>0</v>
      </c>
      <c r="BT104" s="1482">
        <f t="shared" ca="1" si="260"/>
        <v>5.9779079986328671</v>
      </c>
      <c r="BU104" s="1482">
        <f t="shared" ca="1" si="260"/>
        <v>0</v>
      </c>
      <c r="BV104" s="1482">
        <f t="shared" ca="1" si="260"/>
        <v>0</v>
      </c>
      <c r="BW104" s="1482">
        <f t="shared" ca="1" si="260"/>
        <v>0</v>
      </c>
      <c r="BX104" s="1482">
        <f t="shared" ca="1" si="260"/>
        <v>0</v>
      </c>
      <c r="BY104" s="1482">
        <f t="shared" ca="1" si="260"/>
        <v>0</v>
      </c>
      <c r="BZ104" s="1482">
        <f t="shared" ca="1" si="260"/>
        <v>0</v>
      </c>
      <c r="CA104" s="1482">
        <f t="shared" ca="1" si="260"/>
        <v>0</v>
      </c>
      <c r="CB104" s="1482">
        <f t="shared" ca="1" si="260"/>
        <v>0</v>
      </c>
      <c r="CC104" s="1482">
        <f t="shared" ca="1" si="260"/>
        <v>0</v>
      </c>
      <c r="CD104" s="1482">
        <f t="shared" ca="1" si="260"/>
        <v>0</v>
      </c>
      <c r="CE104" s="1482">
        <f t="shared" ca="1" si="260"/>
        <v>0</v>
      </c>
      <c r="CF104" s="1482">
        <f t="shared" ca="1" si="260"/>
        <v>0</v>
      </c>
      <c r="CG104" s="1482">
        <f t="shared" ca="1" si="260"/>
        <v>0</v>
      </c>
      <c r="CH104" s="1482">
        <f t="shared" ca="1" si="260"/>
        <v>0</v>
      </c>
      <c r="CI104" s="1482">
        <f t="shared" ca="1" si="260"/>
        <v>0</v>
      </c>
      <c r="CJ104" s="1482">
        <f t="shared" ca="1" si="260"/>
        <v>0</v>
      </c>
      <c r="CK104" s="1482">
        <f t="shared" ca="1" si="260"/>
        <v>0</v>
      </c>
      <c r="CL104" s="1482">
        <f t="shared" ca="1" si="260"/>
        <v>0</v>
      </c>
      <c r="CM104" s="1482">
        <f t="shared" ca="1" si="260"/>
        <v>0</v>
      </c>
      <c r="CN104" s="1482">
        <f t="shared" ca="1" si="260"/>
        <v>0</v>
      </c>
      <c r="CO104" s="1482">
        <f t="shared" ca="1" si="260"/>
        <v>0</v>
      </c>
      <c r="CP104" s="1482">
        <f t="shared" ca="1" si="260"/>
        <v>0</v>
      </c>
      <c r="CQ104" s="1482">
        <f t="shared" ca="1" si="260"/>
        <v>0</v>
      </c>
      <c r="CR104" s="1482">
        <f t="shared" ca="1" si="260"/>
        <v>0</v>
      </c>
      <c r="CS104" s="1482">
        <f t="shared" ca="1" si="260"/>
        <v>0</v>
      </c>
      <c r="CT104" s="1482">
        <f t="shared" ca="1" si="260"/>
        <v>0</v>
      </c>
      <c r="CU104" s="1482">
        <f t="shared" ca="1" si="260"/>
        <v>0</v>
      </c>
      <c r="CV104" s="1482">
        <f t="shared" ca="1" si="260"/>
        <v>0</v>
      </c>
      <c r="CW104" s="1482">
        <f t="shared" ca="1" si="260"/>
        <v>0</v>
      </c>
      <c r="CX104" s="1482">
        <f t="shared" ca="1" si="260"/>
        <v>0</v>
      </c>
      <c r="CY104" s="1482">
        <f t="shared" ca="1" si="260"/>
        <v>0</v>
      </c>
      <c r="CZ104" s="1482">
        <f t="shared" ca="1" si="260"/>
        <v>0</v>
      </c>
      <c r="DA104" s="1482">
        <f t="shared" ca="1" si="260"/>
        <v>0</v>
      </c>
      <c r="DB104" s="1482">
        <f t="shared" ca="1" si="260"/>
        <v>0</v>
      </c>
      <c r="DC104" s="1482">
        <f t="shared" ca="1" si="260"/>
        <v>0</v>
      </c>
      <c r="DD104" s="1482">
        <f t="shared" ca="1" si="260"/>
        <v>0</v>
      </c>
      <c r="DE104" s="1482">
        <f t="shared" ca="1" si="260"/>
        <v>0</v>
      </c>
      <c r="DF104" s="1482">
        <f t="shared" ca="1" si="260"/>
        <v>0</v>
      </c>
      <c r="DH104" s="838">
        <f t="shared" ca="1" si="234"/>
        <v>5.9779079986328671</v>
      </c>
    </row>
    <row r="105" spans="1:112" s="743" customFormat="1" ht="6" customHeight="1">
      <c r="C105" s="508"/>
      <c r="D105" s="509"/>
      <c r="E105" s="509"/>
      <c r="G105" s="958"/>
      <c r="H105" s="958"/>
      <c r="I105" s="958"/>
      <c r="J105" s="958"/>
      <c r="K105" s="960"/>
      <c r="L105" s="958"/>
      <c r="M105" s="958"/>
      <c r="N105" s="958"/>
      <c r="O105" s="958"/>
      <c r="P105" s="958"/>
      <c r="Q105" s="958"/>
      <c r="S105" s="970"/>
      <c r="T105" s="970"/>
      <c r="U105" s="970"/>
      <c r="V105" s="970"/>
      <c r="W105" s="970"/>
      <c r="X105" s="970"/>
      <c r="Y105" s="970"/>
      <c r="Z105" s="970"/>
      <c r="AA105" s="970"/>
      <c r="AB105" s="970"/>
      <c r="AC105" s="970"/>
      <c r="AD105" s="970"/>
      <c r="AE105" s="970"/>
      <c r="AF105" s="970"/>
      <c r="AG105" s="970"/>
      <c r="AH105" s="970"/>
      <c r="AI105" s="970"/>
      <c r="AJ105" s="970"/>
      <c r="AK105" s="970"/>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H105" s="990"/>
      <c r="BI105" s="990"/>
      <c r="BJ105" s="990"/>
      <c r="BL105" s="515">
        <f t="shared" si="252"/>
        <v>0</v>
      </c>
      <c r="BM105" s="515"/>
      <c r="BO105" s="1482"/>
      <c r="BP105" s="1482"/>
      <c r="BQ105" s="1482"/>
      <c r="BR105" s="1482"/>
      <c r="BS105" s="1482"/>
      <c r="BT105" s="1482"/>
      <c r="BU105" s="1482"/>
      <c r="BV105" s="1482"/>
      <c r="BW105" s="1482"/>
      <c r="BX105" s="1482"/>
      <c r="BY105" s="1482"/>
      <c r="BZ105" s="1482"/>
      <c r="CA105" s="1482"/>
      <c r="CB105" s="1482"/>
      <c r="CC105" s="1482"/>
      <c r="CD105" s="1482"/>
      <c r="CE105" s="1482"/>
      <c r="CF105" s="1482"/>
      <c r="CG105" s="1482"/>
      <c r="CH105" s="1482"/>
      <c r="CI105" s="1482"/>
      <c r="CJ105" s="1482"/>
      <c r="CK105" s="1482"/>
      <c r="CL105" s="1482"/>
      <c r="CM105" s="1482"/>
      <c r="CN105" s="1482"/>
      <c r="CO105" s="1482"/>
      <c r="CP105" s="1482"/>
      <c r="CQ105" s="1482"/>
      <c r="CR105" s="1482"/>
      <c r="CS105" s="1482"/>
      <c r="CT105" s="1482"/>
      <c r="CU105" s="1482"/>
      <c r="CV105" s="1482"/>
      <c r="CW105" s="1482"/>
      <c r="CX105" s="1482"/>
      <c r="CY105" s="1482"/>
      <c r="CZ105" s="1482"/>
      <c r="DA105" s="1482"/>
      <c r="DB105" s="1482"/>
      <c r="DC105" s="1482"/>
      <c r="DD105" s="1482"/>
      <c r="DE105" s="1482"/>
      <c r="DF105" s="1482"/>
      <c r="DH105" s="838"/>
    </row>
    <row r="106" spans="1:112" s="743" customFormat="1" ht="15.75">
      <c r="B106" s="753"/>
      <c r="C106" s="2051" t="s">
        <v>1817</v>
      </c>
      <c r="D106" s="643" t="s">
        <v>1016</v>
      </c>
      <c r="E106" s="644"/>
      <c r="G106" s="1075">
        <f t="shared" ref="G106:P106" ca="1" si="261">G$93+G$99+G$104</f>
        <v>0</v>
      </c>
      <c r="H106" s="1075">
        <f t="shared" ca="1" si="261"/>
        <v>0</v>
      </c>
      <c r="I106" s="1075">
        <f t="shared" ca="1" si="261"/>
        <v>0</v>
      </c>
      <c r="J106" s="1075">
        <f t="shared" ca="1" si="261"/>
        <v>0</v>
      </c>
      <c r="K106" s="1076">
        <f t="shared" ca="1" si="261"/>
        <v>0</v>
      </c>
      <c r="L106" s="1075">
        <f t="shared" ca="1" si="261"/>
        <v>0</v>
      </c>
      <c r="M106" s="1075">
        <f t="shared" ca="1" si="261"/>
        <v>0</v>
      </c>
      <c r="N106" s="1075">
        <f t="shared" ca="1" si="261"/>
        <v>0</v>
      </c>
      <c r="O106" s="1075">
        <f t="shared" ca="1" si="261"/>
        <v>0</v>
      </c>
      <c r="P106" s="1075">
        <f t="shared" ca="1" si="261"/>
        <v>0</v>
      </c>
      <c r="Q106" s="1023">
        <f ca="1">SUM(G106:P106)</f>
        <v>0</v>
      </c>
      <c r="S106" s="1014">
        <f t="shared" ref="S106:AJ106" ca="1" si="262">S$93+S$99+S$104</f>
        <v>0</v>
      </c>
      <c r="T106" s="1014">
        <f t="shared" ca="1" si="262"/>
        <v>-29.221579811582899</v>
      </c>
      <c r="U106" s="1014">
        <f t="shared" ca="1" si="262"/>
        <v>113.67650623310831</v>
      </c>
      <c r="V106" s="1014">
        <f t="shared" ca="1" si="262"/>
        <v>841.11067355416787</v>
      </c>
      <c r="W106" s="1014">
        <f t="shared" ca="1" si="262"/>
        <v>1414.8163788955292</v>
      </c>
      <c r="X106" s="1014">
        <f t="shared" ca="1" si="262"/>
        <v>-196.46044211275708</v>
      </c>
      <c r="Y106" s="1014">
        <f t="shared" ca="1" si="262"/>
        <v>-419.31653778914142</v>
      </c>
      <c r="Z106" s="1014">
        <f t="shared" ca="1" si="262"/>
        <v>-321.17184343559597</v>
      </c>
      <c r="AA106" s="1014">
        <f t="shared" ca="1" si="262"/>
        <v>0</v>
      </c>
      <c r="AB106" s="1014">
        <f t="shared" ca="1" si="262"/>
        <v>0</v>
      </c>
      <c r="AC106" s="1014">
        <f t="shared" ca="1" si="262"/>
        <v>0</v>
      </c>
      <c r="AD106" s="1014">
        <f t="shared" ca="1" si="262"/>
        <v>-21.62911347575881</v>
      </c>
      <c r="AE106" s="1014">
        <f t="shared" ca="1" si="262"/>
        <v>-1.3680579836519617</v>
      </c>
      <c r="AF106" s="1014">
        <f t="shared" ca="1" si="262"/>
        <v>-39.960920373732954</v>
      </c>
      <c r="AG106" s="1014">
        <f t="shared" ca="1" si="262"/>
        <v>-43.247452274254698</v>
      </c>
      <c r="AH106" s="1014">
        <f t="shared" ca="1" si="262"/>
        <v>-16.987273382270043</v>
      </c>
      <c r="AI106" s="1014">
        <f t="shared" ca="1" si="262"/>
        <v>0</v>
      </c>
      <c r="AJ106" s="1014">
        <f t="shared" ca="1" si="262"/>
        <v>0</v>
      </c>
      <c r="AK106" s="1014">
        <f ca="1">SUM(S106:AJ106)</f>
        <v>1280.2403380440596</v>
      </c>
      <c r="AM106" s="1015">
        <f t="shared" ref="AM106:BE106" ca="1" si="263">AM$93+AM$99+AM$104</f>
        <v>0</v>
      </c>
      <c r="AN106" s="1015">
        <f t="shared" ca="1" si="263"/>
        <v>0</v>
      </c>
      <c r="AO106" s="1015">
        <f t="shared" ca="1" si="263"/>
        <v>0</v>
      </c>
      <c r="AP106" s="1015">
        <f t="shared" ca="1" si="263"/>
        <v>-2.3260000000000001</v>
      </c>
      <c r="AQ106" s="1015">
        <f t="shared" ca="1" si="263"/>
        <v>0</v>
      </c>
      <c r="AR106" s="1015">
        <f t="shared" ca="1" si="263"/>
        <v>0</v>
      </c>
      <c r="AS106" s="1015">
        <f t="shared" ca="1" si="263"/>
        <v>121.30465956484564</v>
      </c>
      <c r="AT106" s="1015">
        <f t="shared" ca="1" si="263"/>
        <v>-407.75730051444589</v>
      </c>
      <c r="AU106" s="1015">
        <f t="shared" ca="1" si="263"/>
        <v>-1057.7710303462395</v>
      </c>
      <c r="AV106" s="1015">
        <f t="shared" ca="1" si="263"/>
        <v>0</v>
      </c>
      <c r="AW106" s="1015">
        <f t="shared" ca="1" si="263"/>
        <v>0</v>
      </c>
      <c r="AX106" s="1015">
        <f t="shared" ca="1" si="263"/>
        <v>0</v>
      </c>
      <c r="AY106" s="1015">
        <f t="shared" ca="1" si="263"/>
        <v>0</v>
      </c>
      <c r="AZ106" s="1015">
        <f t="shared" ca="1" si="263"/>
        <v>0</v>
      </c>
      <c r="BA106" s="1015">
        <f t="shared" ca="1" si="263"/>
        <v>0</v>
      </c>
      <c r="BB106" s="1015">
        <f t="shared" ca="1" si="263"/>
        <v>0</v>
      </c>
      <c r="BC106" s="1015">
        <f t="shared" ca="1" si="263"/>
        <v>0</v>
      </c>
      <c r="BD106" s="1015">
        <f t="shared" ca="1" si="263"/>
        <v>0</v>
      </c>
      <c r="BE106" s="1015">
        <f t="shared" ca="1" si="263"/>
        <v>0</v>
      </c>
      <c r="BF106" s="1015">
        <f ca="1">SUM(AM106:BE106)</f>
        <v>-1346.5496712958397</v>
      </c>
      <c r="BH106" s="1016">
        <f ca="1">BH$93+BH$99+BH$104</f>
        <v>21.376023352217274</v>
      </c>
      <c r="BI106" s="1016">
        <f ca="1">BI$93+BI$99+BI$104</f>
        <v>44.933309899563</v>
      </c>
      <c r="BJ106" s="1016">
        <f ca="1">SUM(BH106:BI106)</f>
        <v>66.309333251780274</v>
      </c>
      <c r="BL106" s="518">
        <f t="shared" ca="1" si="252"/>
        <v>1.5631940186722204E-13</v>
      </c>
      <c r="BM106" s="518"/>
      <c r="BO106" s="1487">
        <f t="shared" ref="BO106:DE106" ca="1" si="264">BO$93+BO$99+BO$104</f>
        <v>0</v>
      </c>
      <c r="BP106" s="1487">
        <f t="shared" ca="1" si="264"/>
        <v>0</v>
      </c>
      <c r="BQ106" s="1487">
        <f t="shared" ca="1" si="264"/>
        <v>0</v>
      </c>
      <c r="BR106" s="1487">
        <f t="shared" ca="1" si="264"/>
        <v>0</v>
      </c>
      <c r="BS106" s="1487">
        <f t="shared" ca="1" si="264"/>
        <v>0</v>
      </c>
      <c r="BT106" s="1487">
        <f t="shared" ca="1" si="264"/>
        <v>5.9779079986328671</v>
      </c>
      <c r="BU106" s="1487">
        <f t="shared" ca="1" si="264"/>
        <v>0</v>
      </c>
      <c r="BV106" s="1487">
        <f t="shared" ca="1" si="264"/>
        <v>0</v>
      </c>
      <c r="BW106" s="1487">
        <f t="shared" ca="1" si="264"/>
        <v>0</v>
      </c>
      <c r="BX106" s="1487">
        <f t="shared" ca="1" si="264"/>
        <v>0</v>
      </c>
      <c r="BY106" s="1487">
        <f t="shared" ca="1" si="264"/>
        <v>0</v>
      </c>
      <c r="BZ106" s="1487">
        <f t="shared" ca="1" si="264"/>
        <v>0</v>
      </c>
      <c r="CA106" s="1487">
        <f t="shared" ca="1" si="264"/>
        <v>0</v>
      </c>
      <c r="CB106" s="1487">
        <f t="shared" ca="1" si="264"/>
        <v>0</v>
      </c>
      <c r="CC106" s="1487">
        <f t="shared" ca="1" si="264"/>
        <v>0</v>
      </c>
      <c r="CD106" s="1487">
        <f t="shared" ca="1" si="264"/>
        <v>0</v>
      </c>
      <c r="CE106" s="1487">
        <f t="shared" ca="1" si="264"/>
        <v>0</v>
      </c>
      <c r="CF106" s="1487">
        <f t="shared" ca="1" si="264"/>
        <v>0</v>
      </c>
      <c r="CG106" s="1487">
        <f t="shared" ca="1" si="264"/>
        <v>0</v>
      </c>
      <c r="CH106" s="1487">
        <f t="shared" ca="1" si="264"/>
        <v>0</v>
      </c>
      <c r="CI106" s="1487">
        <f t="shared" ca="1" si="264"/>
        <v>0</v>
      </c>
      <c r="CJ106" s="1487">
        <f t="shared" ca="1" si="264"/>
        <v>0</v>
      </c>
      <c r="CK106" s="1487">
        <f t="shared" ca="1" si="264"/>
        <v>0</v>
      </c>
      <c r="CL106" s="1487">
        <f t="shared" ca="1" si="264"/>
        <v>0</v>
      </c>
      <c r="CM106" s="1487">
        <f t="shared" ca="1" si="264"/>
        <v>0</v>
      </c>
      <c r="CN106" s="1487">
        <f t="shared" ca="1" si="264"/>
        <v>0</v>
      </c>
      <c r="CO106" s="1487">
        <f t="shared" ca="1" si="264"/>
        <v>0</v>
      </c>
      <c r="CP106" s="1487">
        <f t="shared" ca="1" si="264"/>
        <v>0</v>
      </c>
      <c r="CQ106" s="1487">
        <f t="shared" ca="1" si="264"/>
        <v>0</v>
      </c>
      <c r="CR106" s="1487">
        <f t="shared" ca="1" si="264"/>
        <v>0</v>
      </c>
      <c r="CS106" s="1487">
        <f t="shared" ca="1" si="264"/>
        <v>0</v>
      </c>
      <c r="CT106" s="1487">
        <f t="shared" ca="1" si="264"/>
        <v>0</v>
      </c>
      <c r="CU106" s="1487">
        <f t="shared" ca="1" si="264"/>
        <v>0</v>
      </c>
      <c r="CV106" s="1487">
        <f t="shared" ca="1" si="264"/>
        <v>0</v>
      </c>
      <c r="CW106" s="1487">
        <f t="shared" ca="1" si="264"/>
        <v>0</v>
      </c>
      <c r="CX106" s="1487">
        <f t="shared" ca="1" si="264"/>
        <v>0</v>
      </c>
      <c r="CY106" s="1487">
        <f t="shared" ca="1" si="264"/>
        <v>-24.865274984793743</v>
      </c>
      <c r="CZ106" s="1487">
        <f t="shared" ca="1" si="264"/>
        <v>0</v>
      </c>
      <c r="DA106" s="1487">
        <f t="shared" ca="1" si="264"/>
        <v>0</v>
      </c>
      <c r="DB106" s="1487">
        <f t="shared" ca="1" si="264"/>
        <v>0</v>
      </c>
      <c r="DC106" s="1487">
        <f t="shared" ca="1" si="264"/>
        <v>0</v>
      </c>
      <c r="DD106" s="1487">
        <f t="shared" ca="1" si="264"/>
        <v>0</v>
      </c>
      <c r="DE106" s="1487">
        <f t="shared" ca="1" si="264"/>
        <v>0</v>
      </c>
      <c r="DF106" s="1487">
        <f ca="1">DF$93+DF$104</f>
        <v>0</v>
      </c>
      <c r="DH106" s="835">
        <f ca="1">SUM(BO106:DF106)</f>
        <v>-18.887366986160878</v>
      </c>
    </row>
    <row r="107" spans="1:112" s="743" customFormat="1">
      <c r="C107" s="508"/>
      <c r="D107" s="509"/>
      <c r="E107" s="509"/>
      <c r="G107" s="958"/>
      <c r="H107" s="958"/>
      <c r="I107" s="958"/>
      <c r="J107" s="958"/>
      <c r="K107" s="960"/>
      <c r="L107" s="958"/>
      <c r="M107" s="958"/>
      <c r="N107" s="958"/>
      <c r="O107" s="958"/>
      <c r="P107" s="958"/>
      <c r="Q107" s="958"/>
      <c r="S107" s="970"/>
      <c r="T107" s="970"/>
      <c r="U107" s="970"/>
      <c r="V107" s="970"/>
      <c r="W107" s="970"/>
      <c r="X107" s="970"/>
      <c r="Y107" s="970"/>
      <c r="Z107" s="970"/>
      <c r="AA107" s="970"/>
      <c r="AB107" s="970"/>
      <c r="AC107" s="970"/>
      <c r="AD107" s="970"/>
      <c r="AE107" s="970"/>
      <c r="AF107" s="970"/>
      <c r="AG107" s="970"/>
      <c r="AH107" s="970"/>
      <c r="AI107" s="970"/>
      <c r="AJ107" s="970"/>
      <c r="AK107" s="970"/>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H107" s="990"/>
      <c r="BI107" s="990"/>
      <c r="BJ107" s="990"/>
      <c r="BL107" s="515">
        <f t="shared" si="252"/>
        <v>0</v>
      </c>
      <c r="BM107" s="515"/>
      <c r="BO107" s="1482"/>
      <c r="BP107" s="1482"/>
      <c r="BQ107" s="1482"/>
      <c r="BR107" s="1482"/>
      <c r="BS107" s="1482"/>
      <c r="BT107" s="1482"/>
      <c r="BU107" s="1482"/>
      <c r="BV107" s="1482"/>
      <c r="BW107" s="1482"/>
      <c r="BX107" s="1482"/>
      <c r="BY107" s="1482"/>
      <c r="BZ107" s="1482"/>
      <c r="CA107" s="1482"/>
      <c r="CB107" s="1482"/>
      <c r="CC107" s="1482"/>
      <c r="CD107" s="1482"/>
      <c r="CE107" s="1482"/>
      <c r="CF107" s="1482"/>
      <c r="CG107" s="1482"/>
      <c r="CH107" s="1482"/>
      <c r="CI107" s="1482"/>
      <c r="CJ107" s="1482"/>
      <c r="CK107" s="1482"/>
      <c r="CL107" s="1482"/>
      <c r="CM107" s="1482"/>
      <c r="CN107" s="1482"/>
      <c r="CO107" s="1482"/>
      <c r="CP107" s="1482"/>
      <c r="CQ107" s="1482"/>
      <c r="CR107" s="1482"/>
      <c r="CS107" s="1482"/>
      <c r="CT107" s="1482"/>
      <c r="CU107" s="1482"/>
      <c r="CV107" s="1482"/>
      <c r="CW107" s="1482"/>
      <c r="CX107" s="1482"/>
      <c r="CY107" s="1482"/>
      <c r="CZ107" s="1482"/>
      <c r="DA107" s="1482"/>
      <c r="DB107" s="1482"/>
      <c r="DC107" s="1482"/>
      <c r="DD107" s="1482"/>
      <c r="DE107" s="1482"/>
      <c r="DF107" s="1482"/>
      <c r="DH107" s="838"/>
    </row>
    <row r="108" spans="1:112" s="743" customFormat="1" ht="13.5" thickBot="1">
      <c r="C108" s="508"/>
      <c r="D108" s="509"/>
      <c r="E108" s="509"/>
      <c r="G108" s="958"/>
      <c r="H108" s="958"/>
      <c r="I108" s="958"/>
      <c r="J108" s="958"/>
      <c r="K108" s="960"/>
      <c r="L108" s="958"/>
      <c r="M108" s="958"/>
      <c r="N108" s="958"/>
      <c r="O108" s="958"/>
      <c r="P108" s="958"/>
      <c r="Q108" s="958"/>
      <c r="S108" s="970"/>
      <c r="T108" s="970"/>
      <c r="U108" s="970"/>
      <c r="V108" s="970"/>
      <c r="W108" s="970"/>
      <c r="X108" s="970"/>
      <c r="Y108" s="970"/>
      <c r="Z108" s="970"/>
      <c r="AA108" s="970"/>
      <c r="AB108" s="970"/>
      <c r="AC108" s="970"/>
      <c r="AD108" s="970"/>
      <c r="AE108" s="970"/>
      <c r="AF108" s="970"/>
      <c r="AG108" s="970"/>
      <c r="AH108" s="970"/>
      <c r="AI108" s="970"/>
      <c r="AJ108" s="970"/>
      <c r="AK108" s="970"/>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H108" s="990"/>
      <c r="BI108" s="990"/>
      <c r="BJ108" s="990"/>
      <c r="BL108" s="515">
        <f t="shared" si="252"/>
        <v>0</v>
      </c>
      <c r="BM108" s="515"/>
      <c r="BO108" s="1482"/>
      <c r="BP108" s="1482"/>
      <c r="BQ108" s="1482"/>
      <c r="BR108" s="1482"/>
      <c r="BS108" s="1482"/>
      <c r="BT108" s="1482"/>
      <c r="BU108" s="1482"/>
      <c r="BV108" s="1482"/>
      <c r="BW108" s="1482"/>
      <c r="BX108" s="1482"/>
      <c r="BY108" s="1482"/>
      <c r="BZ108" s="1482"/>
      <c r="CA108" s="1482"/>
      <c r="CB108" s="1482"/>
      <c r="CC108" s="1482"/>
      <c r="CD108" s="1482"/>
      <c r="CE108" s="1482"/>
      <c r="CF108" s="1482"/>
      <c r="CG108" s="1482"/>
      <c r="CH108" s="1482"/>
      <c r="CI108" s="1482"/>
      <c r="CJ108" s="1482"/>
      <c r="CK108" s="1482"/>
      <c r="CL108" s="1482"/>
      <c r="CM108" s="1482"/>
      <c r="CN108" s="1482"/>
      <c r="CO108" s="1482"/>
      <c r="CP108" s="1482"/>
      <c r="CQ108" s="1482"/>
      <c r="CR108" s="1482"/>
      <c r="CS108" s="1482"/>
      <c r="CT108" s="1482"/>
      <c r="CU108" s="1482"/>
      <c r="CV108" s="1482"/>
      <c r="CW108" s="1482"/>
      <c r="CX108" s="1482"/>
      <c r="CY108" s="1482"/>
      <c r="CZ108" s="1482"/>
      <c r="DA108" s="1482"/>
      <c r="DB108" s="1482"/>
      <c r="DC108" s="1482"/>
      <c r="DD108" s="1482"/>
      <c r="DE108" s="1482"/>
      <c r="DF108" s="1482"/>
      <c r="DH108" s="838"/>
    </row>
    <row r="109" spans="1:112" s="743" customFormat="1" ht="24" customHeight="1" thickBot="1">
      <c r="C109" s="608" t="s">
        <v>593</v>
      </c>
      <c r="D109" s="608"/>
      <c r="E109" s="608"/>
      <c r="G109" s="1098">
        <f t="shared" ref="G109:P109" ca="1" si="265">G$40+G$84+G$106</f>
        <v>619.32554128308072</v>
      </c>
      <c r="H109" s="1098">
        <f t="shared" ca="1" si="265"/>
        <v>189.81046011329818</v>
      </c>
      <c r="I109" s="1098">
        <f t="shared" ca="1" si="265"/>
        <v>466.5270608176387</v>
      </c>
      <c r="J109" s="1098">
        <f t="shared" ca="1" si="265"/>
        <v>392.38685603800138</v>
      </c>
      <c r="K109" s="1098">
        <f t="shared" ca="1" si="265"/>
        <v>16.668321544879074</v>
      </c>
      <c r="L109" s="1098">
        <f t="shared" ca="1" si="265"/>
        <v>11.927979753386868</v>
      </c>
      <c r="M109" s="1098">
        <f t="shared" ca="1" si="265"/>
        <v>23.996704956708381</v>
      </c>
      <c r="N109" s="1098">
        <f t="shared" ca="1" si="265"/>
        <v>201.39443053847114</v>
      </c>
      <c r="O109" s="1098">
        <f t="shared" ca="1" si="265"/>
        <v>58.747666138590283</v>
      </c>
      <c r="P109" s="1098">
        <f t="shared" ca="1" si="265"/>
        <v>0</v>
      </c>
      <c r="Q109" s="1098">
        <f ca="1">SUM(G109:P109)</f>
        <v>1980.7850211840546</v>
      </c>
      <c r="S109" s="1099">
        <f t="shared" ref="S109:AJ109" ca="1" si="266">S$40+S$84+S$106</f>
        <v>-389.72589326068504</v>
      </c>
      <c r="T109" s="1099">
        <f t="shared" ca="1" si="266"/>
        <v>389.72589326068504</v>
      </c>
      <c r="U109" s="1099">
        <f t="shared" ca="1" si="266"/>
        <v>0</v>
      </c>
      <c r="V109" s="1099">
        <f t="shared" ca="1" si="266"/>
        <v>0</v>
      </c>
      <c r="W109" s="1099">
        <f t="shared" ca="1" si="266"/>
        <v>0</v>
      </c>
      <c r="X109" s="1099">
        <f t="shared" ca="1" si="266"/>
        <v>0</v>
      </c>
      <c r="Y109" s="1099">
        <f t="shared" ca="1" si="266"/>
        <v>0</v>
      </c>
      <c r="Z109" s="1099">
        <f t="shared" ca="1" si="266"/>
        <v>0</v>
      </c>
      <c r="AA109" s="1099">
        <f t="shared" ca="1" si="266"/>
        <v>0</v>
      </c>
      <c r="AB109" s="1099">
        <f t="shared" ca="1" si="266"/>
        <v>0</v>
      </c>
      <c r="AC109" s="1099">
        <f t="shared" ca="1" si="266"/>
        <v>0</v>
      </c>
      <c r="AD109" s="1099">
        <f t="shared" ca="1" si="266"/>
        <v>0</v>
      </c>
      <c r="AE109" s="1099">
        <f t="shared" ca="1" si="266"/>
        <v>0</v>
      </c>
      <c r="AF109" s="1099">
        <f t="shared" ca="1" si="266"/>
        <v>0</v>
      </c>
      <c r="AG109" s="1099">
        <f t="shared" ca="1" si="266"/>
        <v>0</v>
      </c>
      <c r="AH109" s="1099">
        <f t="shared" ca="1" si="266"/>
        <v>0</v>
      </c>
      <c r="AI109" s="1099">
        <f t="shared" ca="1" si="266"/>
        <v>0</v>
      </c>
      <c r="AJ109" s="1099">
        <f t="shared" ca="1" si="266"/>
        <v>0</v>
      </c>
      <c r="AK109" s="1099">
        <f ca="1">SUM(S109:AJ109)</f>
        <v>0</v>
      </c>
      <c r="AM109" s="1100">
        <f t="shared" ref="AM109:BE109" ca="1" si="267">AM$40+AM$84+AM$106</f>
        <v>-124.39544583847987</v>
      </c>
      <c r="AN109" s="1100">
        <f t="shared" ca="1" si="267"/>
        <v>-419.31653778914142</v>
      </c>
      <c r="AO109" s="1100">
        <f t="shared" ca="1" si="267"/>
        <v>-321.17184343559597</v>
      </c>
      <c r="AP109" s="1100">
        <f t="shared" ca="1" si="267"/>
        <v>-2.3260000000000001</v>
      </c>
      <c r="AQ109" s="1100">
        <f t="shared" ca="1" si="267"/>
        <v>0</v>
      </c>
      <c r="AR109" s="1100">
        <f t="shared" ca="1" si="267"/>
        <v>0</v>
      </c>
      <c r="AS109" s="1100">
        <f t="shared" ca="1" si="267"/>
        <v>121.30465956484564</v>
      </c>
      <c r="AT109" s="1100">
        <f t="shared" ca="1" si="267"/>
        <v>-407.75730051444589</v>
      </c>
      <c r="AU109" s="1100">
        <f t="shared" ca="1" si="267"/>
        <v>-1057.7710303462395</v>
      </c>
      <c r="AV109" s="1100">
        <f t="shared" ca="1" si="267"/>
        <v>-25.713600000000014</v>
      </c>
      <c r="AW109" s="1100">
        <f t="shared" ca="1" si="267"/>
        <v>0</v>
      </c>
      <c r="AX109" s="1100">
        <f t="shared" ca="1" si="267"/>
        <v>-54.102437099999996</v>
      </c>
      <c r="AY109" s="1100">
        <f t="shared" ca="1" si="267"/>
        <v>-0.12508561643835608</v>
      </c>
      <c r="AZ109" s="1100">
        <f t="shared" ca="1" si="267"/>
        <v>-0.39610445205479383</v>
      </c>
      <c r="BA109" s="1100">
        <f t="shared" ca="1" si="267"/>
        <v>0</v>
      </c>
      <c r="BB109" s="1100">
        <f t="shared" ca="1" si="267"/>
        <v>-5.3297280000000011</v>
      </c>
      <c r="BC109" s="1100">
        <f t="shared" ca="1" si="267"/>
        <v>0</v>
      </c>
      <c r="BD109" s="1100">
        <f t="shared" ca="1" si="267"/>
        <v>-22.997171459410772</v>
      </c>
      <c r="BE109" s="1100">
        <f t="shared" ca="1" si="267"/>
        <v>-172.26064230453491</v>
      </c>
      <c r="BF109" s="1100">
        <f ca="1">SUM(AM109:BE109)</f>
        <v>-2492.3582672914958</v>
      </c>
      <c r="BH109" s="1101">
        <f ca="1">BH$40+BH$84+BH$106</f>
        <v>400.79509770904207</v>
      </c>
      <c r="BI109" s="1101">
        <f ca="1">BI$40+BI$84+BI$106</f>
        <v>110.77814839839903</v>
      </c>
      <c r="BJ109" s="1101">
        <f ca="1">SUM(BH109:BI109)</f>
        <v>511.57324610744109</v>
      </c>
      <c r="BL109" s="514">
        <f t="shared" ca="1" si="252"/>
        <v>0</v>
      </c>
      <c r="BM109" s="514"/>
      <c r="BO109" s="1493">
        <f t="shared" ref="BO109:DF109" ca="1" si="268">BO$40+BO$84+BO$106</f>
        <v>440.55021257415137</v>
      </c>
      <c r="BP109" s="1493">
        <f t="shared" ca="1" si="268"/>
        <v>0.80542574310085302</v>
      </c>
      <c r="BQ109" s="1493">
        <f t="shared" ca="1" si="268"/>
        <v>3.4844462135625403</v>
      </c>
      <c r="BR109" s="1493">
        <f t="shared" ca="1" si="268"/>
        <v>0</v>
      </c>
      <c r="BS109" s="1493">
        <f t="shared" ca="1" si="268"/>
        <v>2.1877709765548032</v>
      </c>
      <c r="BT109" s="1493">
        <f t="shared" ca="1" si="268"/>
        <v>8.6182209598846455</v>
      </c>
      <c r="BU109" s="1493">
        <f t="shared" ca="1" si="268"/>
        <v>0</v>
      </c>
      <c r="BV109" s="1493">
        <f t="shared" ca="1" si="268"/>
        <v>0</v>
      </c>
      <c r="BW109" s="1493">
        <f t="shared" ca="1" si="268"/>
        <v>14.433220304947135</v>
      </c>
      <c r="BX109" s="1493">
        <f t="shared" ca="1" si="268"/>
        <v>0.11127565508364799</v>
      </c>
      <c r="BY109" s="1493">
        <f t="shared" ca="1" si="268"/>
        <v>2.7612028219218332</v>
      </c>
      <c r="BZ109" s="1493">
        <f t="shared" ca="1" si="268"/>
        <v>7.8287114330392287</v>
      </c>
      <c r="CA109" s="1493">
        <f t="shared" ca="1" si="268"/>
        <v>0</v>
      </c>
      <c r="CB109" s="1493">
        <f t="shared" ca="1" si="268"/>
        <v>0</v>
      </c>
      <c r="CC109" s="1493">
        <f t="shared" ca="1" si="268"/>
        <v>0</v>
      </c>
      <c r="CD109" s="1493">
        <f t="shared" ca="1" si="268"/>
        <v>0</v>
      </c>
      <c r="CE109" s="1493">
        <f t="shared" ca="1" si="268"/>
        <v>0</v>
      </c>
      <c r="CF109" s="1493">
        <f t="shared" ca="1" si="268"/>
        <v>17.320215942056461</v>
      </c>
      <c r="CG109" s="1493">
        <f t="shared" ca="1" si="268"/>
        <v>21.345605690642255</v>
      </c>
      <c r="CH109" s="1493">
        <f t="shared" ca="1" si="268"/>
        <v>0</v>
      </c>
      <c r="CI109" s="1493">
        <f t="shared" ca="1" si="268"/>
        <v>11.277185802606228</v>
      </c>
      <c r="CJ109" s="1493">
        <f t="shared" ca="1" si="268"/>
        <v>0</v>
      </c>
      <c r="CK109" s="1493">
        <f t="shared" ca="1" si="268"/>
        <v>0</v>
      </c>
      <c r="CL109" s="1493">
        <f t="shared" ca="1" si="268"/>
        <v>0</v>
      </c>
      <c r="CM109" s="1493">
        <f t="shared" ca="1" si="268"/>
        <v>0</v>
      </c>
      <c r="CN109" s="1493">
        <f t="shared" ca="1" si="268"/>
        <v>20.302725586796537</v>
      </c>
      <c r="CO109" s="1493">
        <f t="shared" ca="1" si="268"/>
        <v>1.4065464505666441</v>
      </c>
      <c r="CP109" s="1493">
        <f t="shared" ca="1" si="268"/>
        <v>0</v>
      </c>
      <c r="CQ109" s="1493">
        <f t="shared" ca="1" si="268"/>
        <v>0</v>
      </c>
      <c r="CR109" s="1493">
        <f t="shared" ca="1" si="268"/>
        <v>0</v>
      </c>
      <c r="CS109" s="1493">
        <f t="shared" ca="1" si="268"/>
        <v>0</v>
      </c>
      <c r="CT109" s="1493">
        <f t="shared" ca="1" si="268"/>
        <v>0</v>
      </c>
      <c r="CU109" s="1493">
        <f t="shared" ca="1" si="268"/>
        <v>65.035524169265358</v>
      </c>
      <c r="CV109" s="1493">
        <f t="shared" ca="1" si="268"/>
        <v>8.0968970846668931E-2</v>
      </c>
      <c r="CW109" s="1493">
        <f t="shared" ca="1" si="268"/>
        <v>1.1701223434884098</v>
      </c>
      <c r="CX109" s="1493">
        <f t="shared" ca="1" si="268"/>
        <v>0</v>
      </c>
      <c r="CY109" s="1493">
        <f t="shared" ca="1" si="268"/>
        <v>-24.865274984793743</v>
      </c>
      <c r="CZ109" s="1493">
        <f t="shared" ca="1" si="268"/>
        <v>0</v>
      </c>
      <c r="DA109" s="1493">
        <f t="shared" ca="1" si="268"/>
        <v>0</v>
      </c>
      <c r="DB109" s="1493">
        <f t="shared" ca="1" si="268"/>
        <v>0</v>
      </c>
      <c r="DC109" s="1493">
        <f t="shared" ca="1" si="268"/>
        <v>-7.7115379941155719</v>
      </c>
      <c r="DD109" s="1493">
        <f t="shared" ca="1" si="268"/>
        <v>0</v>
      </c>
      <c r="DE109" s="1493">
        <f t="shared" ca="1" si="268"/>
        <v>0</v>
      </c>
      <c r="DF109" s="1493">
        <f t="shared" ca="1" si="268"/>
        <v>0</v>
      </c>
      <c r="DH109" s="835">
        <f ca="1">SUM(BO109:DF109)</f>
        <v>586.14256865960544</v>
      </c>
    </row>
    <row r="110" spans="1:112" s="743" customFormat="1">
      <c r="C110" s="508"/>
      <c r="D110" s="509"/>
      <c r="E110" s="509"/>
      <c r="G110" s="995"/>
      <c r="H110" s="995"/>
      <c r="I110" s="995"/>
      <c r="J110" s="995"/>
      <c r="K110" s="996"/>
      <c r="L110" s="995"/>
      <c r="M110" s="995"/>
      <c r="N110" s="995"/>
      <c r="O110" s="995"/>
      <c r="P110" s="995"/>
      <c r="Q110" s="995"/>
      <c r="S110" s="998"/>
      <c r="T110" s="998"/>
      <c r="U110" s="998"/>
      <c r="V110" s="998"/>
      <c r="W110" s="998"/>
      <c r="X110" s="998"/>
      <c r="Y110" s="998"/>
      <c r="Z110" s="998"/>
      <c r="AA110" s="998"/>
      <c r="AB110" s="998"/>
      <c r="AC110" s="998"/>
      <c r="AD110" s="998"/>
      <c r="AE110" s="998"/>
      <c r="AF110" s="998"/>
      <c r="AG110" s="998"/>
      <c r="AH110" s="998"/>
      <c r="AI110" s="998"/>
      <c r="AJ110" s="998"/>
      <c r="AK110" s="998"/>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H110" s="1002"/>
      <c r="BI110" s="1002"/>
      <c r="BJ110" s="1002"/>
      <c r="BL110" s="515"/>
      <c r="BM110" s="515"/>
      <c r="BO110" s="1494"/>
      <c r="BP110" s="1494"/>
      <c r="BQ110" s="1494"/>
      <c r="BR110" s="1494"/>
      <c r="BS110" s="1494"/>
      <c r="BT110" s="1494"/>
      <c r="BU110" s="1494"/>
      <c r="BV110" s="1494"/>
      <c r="BW110" s="1494"/>
      <c r="BX110" s="1494"/>
      <c r="BY110" s="1494"/>
      <c r="BZ110" s="1494"/>
      <c r="CA110" s="1494"/>
      <c r="CB110" s="1494"/>
      <c r="CC110" s="1494"/>
      <c r="CD110" s="1494"/>
      <c r="CE110" s="1494"/>
      <c r="CF110" s="1494"/>
      <c r="CG110" s="1494"/>
      <c r="CH110" s="1494"/>
      <c r="CI110" s="1494"/>
      <c r="CJ110" s="1494"/>
      <c r="CK110" s="1494"/>
      <c r="CL110" s="1494"/>
      <c r="CM110" s="1494"/>
      <c r="CN110" s="1494"/>
      <c r="CO110" s="1494"/>
      <c r="CP110" s="1494"/>
      <c r="CQ110" s="1494"/>
      <c r="CR110" s="1494"/>
      <c r="CS110" s="1494"/>
      <c r="CT110" s="1494"/>
      <c r="CU110" s="1494"/>
      <c r="CV110" s="1494"/>
      <c r="CW110" s="1494"/>
      <c r="CX110" s="1494"/>
      <c r="CY110" s="1494"/>
      <c r="CZ110" s="1494"/>
      <c r="DA110" s="1494"/>
      <c r="DB110" s="1494"/>
      <c r="DC110" s="1494"/>
      <c r="DD110" s="1494"/>
      <c r="DE110" s="1494"/>
      <c r="DF110" s="1494"/>
    </row>
    <row r="111" spans="1:112">
      <c r="G111" s="515"/>
      <c r="H111" s="515"/>
      <c r="I111" s="515"/>
      <c r="J111" s="515"/>
      <c r="K111" s="519"/>
      <c r="L111" s="515"/>
      <c r="M111" s="515"/>
      <c r="N111" s="515"/>
      <c r="O111" s="515"/>
      <c r="P111" s="515"/>
      <c r="Q111" s="515"/>
      <c r="S111" s="515"/>
      <c r="T111" s="515"/>
      <c r="U111" s="515"/>
      <c r="V111" s="515"/>
      <c r="W111" s="515"/>
      <c r="X111" s="515"/>
      <c r="Y111" s="515"/>
      <c r="Z111" s="515"/>
      <c r="AA111" s="515"/>
      <c r="AB111" s="515"/>
      <c r="AC111" s="515"/>
      <c r="AD111" s="515"/>
      <c r="AE111" s="515"/>
      <c r="AF111" s="515"/>
      <c r="AG111" s="515"/>
      <c r="AH111" s="515"/>
      <c r="AI111" s="515"/>
      <c r="AJ111" s="515"/>
      <c r="AK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H111" s="515"/>
      <c r="BI111" s="515"/>
      <c r="BJ111" s="515"/>
      <c r="BL111" s="515"/>
      <c r="BM111" s="515"/>
    </row>
    <row r="112" spans="1:112">
      <c r="G112" s="515"/>
      <c r="H112" s="515"/>
      <c r="I112" s="515"/>
      <c r="J112" s="515"/>
      <c r="K112" s="519"/>
      <c r="L112" s="515"/>
      <c r="M112" s="515"/>
      <c r="N112" s="515"/>
      <c r="O112" s="515"/>
      <c r="P112" s="515"/>
      <c r="Q112" s="515"/>
      <c r="S112" s="515"/>
      <c r="T112" s="515"/>
      <c r="U112" s="515"/>
      <c r="V112" s="515"/>
      <c r="W112" s="515"/>
      <c r="X112" s="515"/>
      <c r="Y112" s="515"/>
      <c r="Z112" s="515"/>
      <c r="AA112" s="515"/>
      <c r="AB112" s="515"/>
      <c r="AC112" s="515"/>
      <c r="AD112" s="515"/>
      <c r="AE112" s="515"/>
      <c r="AF112" s="515"/>
      <c r="AG112" s="515"/>
      <c r="AH112" s="515"/>
      <c r="AI112" s="515"/>
      <c r="AJ112" s="515"/>
      <c r="AK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H112" s="515"/>
      <c r="BI112" s="515"/>
      <c r="BJ112" s="515"/>
      <c r="BL112" s="515"/>
      <c r="BM112" s="515"/>
      <c r="DF112" s="20" t="s">
        <v>2428</v>
      </c>
      <c r="DH112" s="2293">
        <f ca="1">SUM(DH63,DH68,DH76,DH82)</f>
        <v>133.87961583496241</v>
      </c>
    </row>
    <row r="113" spans="2:112">
      <c r="B113" s="121" t="s">
        <v>798</v>
      </c>
      <c r="C113" s="1095" t="s">
        <v>1017</v>
      </c>
      <c r="G113" s="515"/>
      <c r="H113" s="515"/>
      <c r="I113" s="515"/>
      <c r="J113" s="515"/>
      <c r="K113" s="519"/>
      <c r="L113" s="515"/>
      <c r="M113" s="515"/>
      <c r="N113" s="515"/>
      <c r="O113" s="515"/>
      <c r="P113" s="515"/>
      <c r="Q113" s="515"/>
      <c r="S113" s="515"/>
      <c r="T113" s="515"/>
      <c r="U113" s="515"/>
      <c r="V113" s="515"/>
      <c r="W113" s="515"/>
      <c r="X113" s="515"/>
      <c r="Y113" s="515"/>
      <c r="Z113" s="515"/>
      <c r="AA113" s="515"/>
      <c r="AB113" s="515"/>
      <c r="AC113" s="515"/>
      <c r="AD113" s="515"/>
      <c r="AE113" s="515"/>
      <c r="AF113" s="515"/>
      <c r="AG113" s="515"/>
      <c r="AH113" s="515"/>
      <c r="AI113" s="515"/>
      <c r="AJ113" s="515"/>
      <c r="AK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H113" s="515"/>
      <c r="BI113" s="515"/>
      <c r="BJ113" s="515"/>
      <c r="BL113" s="515"/>
      <c r="BM113" s="515"/>
      <c r="DF113" s="20" t="s">
        <v>2429</v>
      </c>
      <c r="DH113" s="2293">
        <f ca="1">T109-MIN(T103,0)-T72</f>
        <v>391.01523580966881</v>
      </c>
    </row>
    <row r="114" spans="2:112" ht="15.75">
      <c r="B114" s="3"/>
      <c r="G114" s="515"/>
      <c r="H114" s="515"/>
      <c r="I114" s="515"/>
      <c r="J114" s="515"/>
      <c r="K114" s="519"/>
      <c r="L114" s="515"/>
      <c r="M114" s="515"/>
      <c r="N114" s="515"/>
      <c r="O114" s="515"/>
      <c r="P114" s="515"/>
      <c r="Q114" s="515"/>
      <c r="S114" s="515"/>
      <c r="T114" s="515"/>
      <c r="U114" s="515"/>
      <c r="V114" s="515"/>
      <c r="W114" s="515"/>
      <c r="X114" s="515"/>
      <c r="Y114" s="515"/>
      <c r="Z114" s="515"/>
      <c r="AA114" s="515"/>
      <c r="AB114" s="515"/>
      <c r="AC114" s="515"/>
      <c r="AD114" s="515"/>
      <c r="AE114" s="515"/>
      <c r="AF114" s="515"/>
      <c r="AG114" s="515"/>
      <c r="AH114" s="515"/>
      <c r="AI114" s="515"/>
      <c r="AJ114" s="515"/>
      <c r="AK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H114" s="515"/>
      <c r="BI114" s="515"/>
      <c r="BJ114" s="515"/>
      <c r="BL114" s="515"/>
      <c r="BM114" s="515"/>
      <c r="DF114" s="20" t="s">
        <v>2430</v>
      </c>
      <c r="DH114" s="121">
        <f ca="1">DH112/DH113</f>
        <v>0.34238976790185705</v>
      </c>
    </row>
    <row r="115" spans="2:112">
      <c r="G115" s="515"/>
      <c r="H115" s="515"/>
      <c r="I115" s="515"/>
      <c r="J115" s="515"/>
      <c r="K115" s="519"/>
      <c r="L115" s="515"/>
      <c r="M115" s="515"/>
      <c r="N115" s="515"/>
      <c r="O115" s="515"/>
      <c r="P115" s="515"/>
      <c r="Q115" s="515"/>
      <c r="S115" s="515"/>
      <c r="T115" s="515"/>
      <c r="U115" s="515"/>
      <c r="V115" s="515"/>
      <c r="W115" s="515"/>
      <c r="X115" s="515"/>
      <c r="Y115" s="515"/>
      <c r="Z115" s="515"/>
      <c r="AA115" s="515"/>
      <c r="AB115" s="515"/>
      <c r="AC115" s="515"/>
      <c r="AD115" s="515"/>
      <c r="AE115" s="515"/>
      <c r="AF115" s="515"/>
      <c r="AG115" s="515"/>
      <c r="AH115" s="515"/>
      <c r="AI115" s="515"/>
      <c r="AJ115" s="515"/>
      <c r="AK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H115" s="515"/>
      <c r="BI115" s="515"/>
      <c r="BJ115" s="515"/>
      <c r="BL115" s="515"/>
      <c r="BM115" s="515"/>
    </row>
    <row r="116" spans="2:112" ht="15.75">
      <c r="B116" s="3"/>
      <c r="G116" s="515"/>
      <c r="H116" s="515"/>
      <c r="I116" s="515"/>
      <c r="J116" s="515"/>
      <c r="K116" s="519"/>
      <c r="L116" s="515"/>
      <c r="M116" s="515"/>
      <c r="N116" s="515"/>
      <c r="O116" s="515"/>
      <c r="P116" s="515"/>
      <c r="Q116" s="515"/>
      <c r="S116" s="515"/>
      <c r="T116" s="515"/>
      <c r="U116" s="515"/>
      <c r="V116" s="515"/>
      <c r="W116" s="515"/>
      <c r="X116" s="515"/>
      <c r="Y116" s="515"/>
      <c r="Z116" s="515"/>
      <c r="AA116" s="515"/>
      <c r="AB116" s="515"/>
      <c r="AC116" s="515"/>
      <c r="AD116" s="515"/>
      <c r="AE116" s="515"/>
      <c r="AF116" s="515"/>
      <c r="AG116" s="515"/>
      <c r="AH116" s="515"/>
      <c r="AI116" s="515"/>
      <c r="AJ116" s="515"/>
      <c r="AK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H116" s="515"/>
      <c r="BI116" s="515"/>
      <c r="BJ116" s="515"/>
      <c r="BL116" s="515"/>
      <c r="BM116" s="515"/>
    </row>
    <row r="117" spans="2:112" ht="15.75">
      <c r="B117" s="3"/>
      <c r="G117" s="515"/>
      <c r="H117" s="515"/>
      <c r="I117" s="515"/>
      <c r="J117" s="515"/>
      <c r="K117" s="519"/>
      <c r="L117" s="515"/>
      <c r="M117" s="515"/>
      <c r="N117" s="515"/>
      <c r="O117" s="515"/>
      <c r="P117" s="515"/>
      <c r="Q117" s="515"/>
      <c r="S117" s="515"/>
      <c r="T117" s="515"/>
      <c r="U117" s="515"/>
      <c r="V117" s="515"/>
      <c r="W117" s="515"/>
      <c r="X117" s="515"/>
      <c r="Y117" s="515"/>
      <c r="Z117" s="515"/>
      <c r="AA117" s="515"/>
      <c r="AB117" s="515"/>
      <c r="AC117" s="515"/>
      <c r="AD117" s="515"/>
      <c r="AE117" s="515"/>
      <c r="AF117" s="515"/>
      <c r="AG117" s="515"/>
      <c r="AH117" s="515"/>
      <c r="AI117" s="515"/>
      <c r="AJ117" s="515"/>
      <c r="AK117" s="515"/>
      <c r="AM117" s="515"/>
      <c r="AN117" s="515"/>
      <c r="AO117" s="515"/>
      <c r="AP117" s="515"/>
      <c r="AQ117" s="515"/>
      <c r="AR117" s="515"/>
      <c r="AS117" s="515"/>
      <c r="AT117" s="515"/>
      <c r="AU117" s="515"/>
      <c r="AV117" s="515"/>
      <c r="AW117" s="515"/>
      <c r="AX117" s="515"/>
      <c r="AY117" s="515"/>
      <c r="AZ117" s="515"/>
      <c r="BA117" s="515"/>
      <c r="BB117" s="515"/>
      <c r="BC117" s="515"/>
      <c r="BD117" s="515"/>
      <c r="BE117" s="515"/>
      <c r="BF117" s="515"/>
      <c r="BH117" s="515"/>
      <c r="BI117" s="515"/>
      <c r="BJ117" s="515"/>
      <c r="BL117" s="515"/>
      <c r="BM117" s="515"/>
    </row>
    <row r="118" spans="2:112" ht="15.75">
      <c r="B118" s="3"/>
      <c r="G118" s="515"/>
      <c r="H118" s="515"/>
      <c r="I118" s="515"/>
      <c r="J118" s="515"/>
      <c r="K118" s="519"/>
      <c r="L118" s="515"/>
      <c r="M118" s="515"/>
      <c r="N118" s="515"/>
      <c r="O118" s="515"/>
      <c r="P118" s="515"/>
      <c r="Q118" s="515"/>
      <c r="S118" s="515"/>
      <c r="T118" s="515"/>
      <c r="U118" s="515"/>
      <c r="V118" s="515"/>
      <c r="W118" s="515"/>
      <c r="X118" s="515"/>
      <c r="Y118" s="515"/>
      <c r="Z118" s="515"/>
      <c r="AA118" s="515"/>
      <c r="AB118" s="515"/>
      <c r="AC118" s="515"/>
      <c r="AD118" s="515"/>
      <c r="AE118" s="515"/>
      <c r="AF118" s="515"/>
      <c r="AG118" s="515"/>
      <c r="AH118" s="515"/>
      <c r="AI118" s="515"/>
      <c r="AJ118" s="515"/>
      <c r="AK118" s="515"/>
      <c r="AM118" s="515"/>
      <c r="AN118" s="515"/>
      <c r="AO118" s="515"/>
      <c r="AP118" s="515"/>
      <c r="AQ118" s="515"/>
      <c r="AR118" s="515"/>
      <c r="AS118" s="515"/>
      <c r="AT118" s="515"/>
      <c r="AU118" s="515"/>
      <c r="AV118" s="515"/>
      <c r="AW118" s="515"/>
      <c r="AX118" s="515"/>
      <c r="AY118" s="515"/>
      <c r="AZ118" s="515"/>
      <c r="BA118" s="515"/>
      <c r="BB118" s="515"/>
      <c r="BC118" s="515"/>
      <c r="BD118" s="515"/>
      <c r="BE118" s="515"/>
      <c r="BF118" s="515"/>
      <c r="BH118" s="515"/>
      <c r="BI118" s="515"/>
      <c r="BJ118" s="515"/>
      <c r="BL118" s="515"/>
      <c r="BM118" s="515"/>
    </row>
    <row r="119" spans="2:112" ht="15.75">
      <c r="B119" s="3"/>
      <c r="G119" s="515"/>
      <c r="H119" s="515"/>
      <c r="I119" s="515"/>
      <c r="J119" s="515"/>
      <c r="K119" s="519"/>
      <c r="L119" s="515"/>
      <c r="M119" s="515"/>
      <c r="N119" s="515"/>
      <c r="O119" s="515"/>
      <c r="P119" s="515"/>
      <c r="Q119" s="515"/>
      <c r="S119" s="515"/>
      <c r="T119" s="515"/>
      <c r="U119" s="515"/>
      <c r="V119" s="515"/>
      <c r="W119" s="515"/>
      <c r="X119" s="515"/>
      <c r="Y119" s="515"/>
      <c r="Z119" s="515"/>
      <c r="AA119" s="515"/>
      <c r="AB119" s="515"/>
      <c r="AC119" s="515"/>
      <c r="AD119" s="515"/>
      <c r="AE119" s="515"/>
      <c r="AF119" s="515"/>
      <c r="AG119" s="515"/>
      <c r="AH119" s="515"/>
      <c r="AI119" s="515"/>
      <c r="AJ119" s="515"/>
      <c r="AK119" s="515"/>
      <c r="AM119" s="515"/>
      <c r="AN119" s="515"/>
      <c r="AO119" s="515"/>
      <c r="AP119" s="515"/>
      <c r="AQ119" s="515"/>
      <c r="AR119" s="515"/>
      <c r="AS119" s="515"/>
      <c r="AT119" s="515"/>
      <c r="AU119" s="515"/>
      <c r="AV119" s="515"/>
      <c r="AW119" s="515"/>
      <c r="AX119" s="515"/>
      <c r="AY119" s="515"/>
      <c r="AZ119" s="515"/>
      <c r="BA119" s="515"/>
      <c r="BB119" s="515"/>
      <c r="BC119" s="515"/>
      <c r="BD119" s="515"/>
      <c r="BE119" s="515"/>
      <c r="BF119" s="515"/>
      <c r="BH119" s="515"/>
      <c r="BI119" s="515"/>
      <c r="BJ119" s="515"/>
      <c r="BL119" s="515"/>
      <c r="BM119" s="515"/>
    </row>
    <row r="120" spans="2:112" ht="15.75">
      <c r="B120" s="3"/>
      <c r="G120" s="515"/>
      <c r="H120" s="515"/>
      <c r="I120" s="515"/>
      <c r="J120" s="515"/>
      <c r="K120" s="519"/>
      <c r="L120" s="515"/>
      <c r="M120" s="515"/>
      <c r="N120" s="515"/>
      <c r="O120" s="515"/>
      <c r="P120" s="515"/>
      <c r="Q120" s="515"/>
      <c r="S120" s="515"/>
      <c r="T120" s="515"/>
      <c r="U120" s="515"/>
      <c r="V120" s="515"/>
      <c r="W120" s="515"/>
      <c r="X120" s="515"/>
      <c r="Y120" s="515"/>
      <c r="Z120" s="515"/>
      <c r="AA120" s="515"/>
      <c r="AB120" s="515"/>
      <c r="AC120" s="515"/>
      <c r="AD120" s="515"/>
      <c r="AE120" s="515"/>
      <c r="AF120" s="515"/>
      <c r="AG120" s="515"/>
      <c r="AH120" s="515"/>
      <c r="AI120" s="515"/>
      <c r="AJ120" s="515"/>
      <c r="AK120" s="515"/>
      <c r="AM120" s="515"/>
      <c r="AN120" s="515"/>
      <c r="AO120" s="515"/>
      <c r="AP120" s="515"/>
      <c r="AQ120" s="515"/>
      <c r="AR120" s="515"/>
      <c r="AS120" s="515"/>
      <c r="AT120" s="515"/>
      <c r="AU120" s="515"/>
      <c r="AV120" s="515"/>
      <c r="AW120" s="515"/>
      <c r="AX120" s="515"/>
      <c r="AY120" s="515"/>
      <c r="AZ120" s="515"/>
      <c r="BA120" s="515"/>
      <c r="BB120" s="515"/>
      <c r="BC120" s="515"/>
      <c r="BD120" s="515"/>
      <c r="BE120" s="515"/>
      <c r="BF120" s="515"/>
      <c r="BH120" s="515"/>
      <c r="BI120" s="515"/>
      <c r="BJ120" s="515"/>
      <c r="BL120" s="515"/>
      <c r="BM120" s="515"/>
    </row>
    <row r="121" spans="2:112" ht="15.75">
      <c r="B121" s="3"/>
      <c r="G121" s="515"/>
      <c r="H121" s="515"/>
      <c r="I121" s="515"/>
      <c r="J121" s="515"/>
      <c r="K121" s="519"/>
      <c r="L121" s="515"/>
      <c r="M121" s="515"/>
      <c r="N121" s="515"/>
      <c r="O121" s="515"/>
      <c r="P121" s="515"/>
      <c r="Q121" s="515"/>
      <c r="S121" s="515"/>
      <c r="T121" s="515"/>
      <c r="U121" s="515"/>
      <c r="V121" s="515"/>
      <c r="W121" s="515"/>
      <c r="X121" s="515"/>
      <c r="Y121" s="515"/>
      <c r="Z121" s="515"/>
      <c r="AA121" s="515"/>
      <c r="AB121" s="515"/>
      <c r="AC121" s="515"/>
      <c r="AD121" s="515"/>
      <c r="AE121" s="515"/>
      <c r="AF121" s="515"/>
      <c r="AG121" s="515"/>
      <c r="AH121" s="515"/>
      <c r="AI121" s="515"/>
      <c r="AJ121" s="515"/>
      <c r="AK121" s="515"/>
      <c r="AM121" s="515"/>
      <c r="AN121" s="515"/>
      <c r="AO121" s="515"/>
      <c r="AP121" s="515"/>
      <c r="AQ121" s="515"/>
      <c r="AR121" s="515"/>
      <c r="AS121" s="515"/>
      <c r="AT121" s="515"/>
      <c r="AU121" s="515"/>
      <c r="AV121" s="515"/>
      <c r="AW121" s="515"/>
      <c r="AX121" s="515"/>
      <c r="AY121" s="515"/>
      <c r="AZ121" s="515"/>
      <c r="BA121" s="515"/>
      <c r="BB121" s="515"/>
      <c r="BC121" s="515"/>
      <c r="BD121" s="515"/>
      <c r="BE121" s="515"/>
      <c r="BF121" s="515"/>
      <c r="BH121" s="515"/>
      <c r="BI121" s="515"/>
      <c r="BJ121" s="515"/>
      <c r="BL121" s="515"/>
      <c r="BM121" s="515"/>
    </row>
    <row r="122" spans="2:112">
      <c r="G122" s="515"/>
      <c r="H122" s="515"/>
      <c r="I122" s="515"/>
      <c r="J122" s="515"/>
      <c r="K122" s="519"/>
      <c r="L122" s="515"/>
      <c r="M122" s="515"/>
      <c r="N122" s="515"/>
      <c r="O122" s="515"/>
      <c r="P122" s="515"/>
      <c r="Q122" s="515"/>
      <c r="S122" s="515"/>
      <c r="T122" s="515"/>
      <c r="U122" s="515"/>
      <c r="V122" s="515"/>
      <c r="W122" s="515"/>
      <c r="X122" s="515"/>
      <c r="Y122" s="515"/>
      <c r="Z122" s="515"/>
      <c r="AA122" s="515"/>
      <c r="AB122" s="515"/>
      <c r="AC122" s="515"/>
      <c r="AD122" s="515"/>
      <c r="AE122" s="515"/>
      <c r="AF122" s="515"/>
      <c r="AG122" s="515"/>
      <c r="AH122" s="515"/>
      <c r="AI122" s="515"/>
      <c r="AJ122" s="515"/>
      <c r="AK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H122" s="515"/>
      <c r="BI122" s="515"/>
      <c r="BJ122" s="515"/>
      <c r="BL122" s="515"/>
      <c r="BM122" s="515"/>
    </row>
    <row r="123" spans="2:112" ht="24" customHeight="1">
      <c r="G123" s="515"/>
      <c r="H123" s="515"/>
      <c r="I123" s="515"/>
      <c r="J123" s="515"/>
      <c r="K123" s="519"/>
      <c r="L123" s="515"/>
      <c r="M123" s="515"/>
      <c r="N123" s="515"/>
      <c r="O123" s="515"/>
      <c r="P123" s="515"/>
      <c r="Q123" s="515"/>
      <c r="S123" s="515"/>
      <c r="T123" s="515"/>
      <c r="U123" s="515"/>
      <c r="V123" s="515"/>
      <c r="W123" s="515"/>
      <c r="X123" s="515"/>
      <c r="Y123" s="515"/>
      <c r="Z123" s="515"/>
      <c r="AA123" s="515"/>
      <c r="AB123" s="515"/>
      <c r="AC123" s="515"/>
      <c r="AD123" s="515"/>
      <c r="AE123" s="515"/>
      <c r="AF123" s="515"/>
      <c r="AG123" s="515"/>
      <c r="AH123" s="515"/>
      <c r="AI123" s="515"/>
      <c r="AJ123" s="515"/>
      <c r="AK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H123" s="515"/>
      <c r="BI123" s="515"/>
      <c r="BJ123" s="515"/>
      <c r="BL123" s="515"/>
      <c r="BM123" s="515"/>
    </row>
    <row r="124" spans="2:112">
      <c r="G124" s="515"/>
      <c r="H124" s="515"/>
      <c r="I124" s="515"/>
      <c r="J124" s="515"/>
      <c r="K124" s="519"/>
      <c r="L124" s="515"/>
      <c r="M124" s="515"/>
      <c r="N124" s="515"/>
      <c r="O124" s="515"/>
      <c r="P124" s="515"/>
      <c r="Q124" s="515"/>
      <c r="S124" s="515"/>
      <c r="T124" s="515"/>
      <c r="U124" s="515"/>
      <c r="V124" s="515"/>
      <c r="W124" s="515"/>
      <c r="X124" s="515"/>
      <c r="Y124" s="515"/>
      <c r="Z124" s="515"/>
      <c r="AA124" s="515"/>
      <c r="AB124" s="515"/>
      <c r="AC124" s="515"/>
      <c r="AD124" s="515"/>
      <c r="AE124" s="515"/>
      <c r="AF124" s="515"/>
      <c r="AG124" s="515"/>
      <c r="AH124" s="515"/>
      <c r="AI124" s="515"/>
      <c r="AJ124" s="515"/>
      <c r="AK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H124" s="515"/>
      <c r="BI124" s="515"/>
      <c r="BJ124" s="515"/>
      <c r="BL124" s="515"/>
      <c r="BM124" s="515"/>
    </row>
    <row r="125" spans="2:112">
      <c r="C125" s="520"/>
      <c r="D125" s="38"/>
      <c r="G125" s="515"/>
      <c r="H125" s="515"/>
      <c r="I125" s="515"/>
      <c r="J125" s="515"/>
      <c r="K125" s="519"/>
      <c r="L125" s="515"/>
      <c r="M125" s="515"/>
      <c r="N125" s="515"/>
      <c r="O125" s="515"/>
      <c r="P125" s="515"/>
      <c r="Q125" s="515"/>
      <c r="S125" s="515"/>
      <c r="T125" s="515"/>
      <c r="U125" s="515"/>
      <c r="V125" s="515"/>
      <c r="W125" s="515"/>
      <c r="X125" s="515"/>
      <c r="Y125" s="515"/>
      <c r="Z125" s="515"/>
      <c r="AA125" s="515"/>
      <c r="AB125" s="515"/>
      <c r="AC125" s="515"/>
      <c r="AD125" s="515"/>
      <c r="AE125" s="515"/>
      <c r="AF125" s="515"/>
      <c r="AG125" s="515"/>
      <c r="AH125" s="515"/>
      <c r="AI125" s="515"/>
      <c r="AJ125" s="515"/>
      <c r="AK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H125" s="515"/>
      <c r="BI125" s="515"/>
      <c r="BJ125" s="515"/>
      <c r="BL125" s="515"/>
      <c r="BM125" s="515"/>
    </row>
    <row r="126" spans="2:112">
      <c r="G126" s="515"/>
      <c r="H126" s="515"/>
      <c r="I126" s="515"/>
      <c r="J126" s="515"/>
      <c r="K126" s="519"/>
      <c r="L126" s="515"/>
      <c r="M126" s="515"/>
      <c r="N126" s="515"/>
      <c r="O126" s="515"/>
      <c r="P126" s="515"/>
      <c r="Q126" s="515"/>
      <c r="S126" s="515"/>
      <c r="T126" s="515"/>
      <c r="U126" s="515"/>
      <c r="V126" s="515"/>
      <c r="W126" s="515"/>
      <c r="X126" s="515"/>
      <c r="Y126" s="515"/>
      <c r="Z126" s="515"/>
      <c r="AA126" s="515"/>
      <c r="AB126" s="515"/>
      <c r="AC126" s="515"/>
      <c r="AD126" s="515"/>
      <c r="AE126" s="515"/>
      <c r="AF126" s="515"/>
      <c r="AG126" s="515"/>
      <c r="AH126" s="515"/>
      <c r="AI126" s="515"/>
      <c r="AJ126" s="515"/>
      <c r="AK126" s="515"/>
      <c r="AM126" s="515"/>
      <c r="AN126" s="515"/>
      <c r="AO126" s="515"/>
      <c r="AP126" s="515"/>
      <c r="AQ126" s="515"/>
      <c r="AR126" s="515"/>
      <c r="AS126" s="515"/>
      <c r="AT126" s="515"/>
      <c r="AU126" s="515"/>
      <c r="AV126" s="515"/>
      <c r="AW126" s="515"/>
      <c r="AX126" s="515"/>
      <c r="AY126" s="515"/>
      <c r="AZ126" s="515"/>
      <c r="BA126" s="515"/>
      <c r="BB126" s="515"/>
      <c r="BC126" s="515"/>
      <c r="BD126" s="515"/>
      <c r="BE126" s="515"/>
      <c r="BF126" s="515"/>
      <c r="BH126" s="515"/>
      <c r="BI126" s="515"/>
      <c r="BJ126" s="515"/>
      <c r="BL126" s="515"/>
      <c r="BM126" s="515"/>
    </row>
    <row r="127" spans="2:112">
      <c r="G127" s="515"/>
      <c r="H127" s="515"/>
      <c r="I127" s="515"/>
      <c r="J127" s="515"/>
      <c r="K127" s="519"/>
      <c r="L127" s="515"/>
      <c r="M127" s="515"/>
      <c r="N127" s="515"/>
      <c r="O127" s="515"/>
      <c r="P127" s="515"/>
      <c r="Q127" s="515"/>
      <c r="S127" s="515"/>
      <c r="T127" s="515"/>
      <c r="U127" s="515"/>
      <c r="V127" s="515"/>
      <c r="W127" s="515"/>
      <c r="X127" s="515"/>
      <c r="Y127" s="515"/>
      <c r="Z127" s="515"/>
      <c r="AA127" s="515"/>
      <c r="AB127" s="515"/>
      <c r="AC127" s="515"/>
      <c r="AD127" s="515"/>
      <c r="AE127" s="515"/>
      <c r="AF127" s="515"/>
      <c r="AG127" s="515"/>
      <c r="AH127" s="515"/>
      <c r="AI127" s="515"/>
      <c r="AJ127" s="515"/>
      <c r="AK127" s="515"/>
      <c r="AM127" s="515"/>
      <c r="AN127" s="515"/>
      <c r="AO127" s="515"/>
      <c r="AP127" s="515"/>
      <c r="AQ127" s="515"/>
      <c r="AR127" s="515"/>
      <c r="AS127" s="515"/>
      <c r="AT127" s="515"/>
      <c r="AU127" s="515"/>
      <c r="AV127" s="515"/>
      <c r="AW127" s="515"/>
      <c r="AX127" s="515"/>
      <c r="AY127" s="515"/>
      <c r="AZ127" s="515"/>
      <c r="BA127" s="515"/>
      <c r="BB127" s="515"/>
      <c r="BC127" s="515"/>
      <c r="BD127" s="515"/>
      <c r="BE127" s="515"/>
      <c r="BF127" s="515"/>
      <c r="BH127" s="515"/>
      <c r="BI127" s="515"/>
      <c r="BJ127" s="515"/>
      <c r="BL127" s="515"/>
      <c r="BM127" s="515"/>
    </row>
    <row r="128" spans="2:112">
      <c r="G128" s="515"/>
      <c r="H128" s="515"/>
      <c r="I128" s="515"/>
      <c r="J128" s="515"/>
      <c r="K128" s="519"/>
      <c r="L128" s="515"/>
      <c r="M128" s="515"/>
      <c r="N128" s="515"/>
      <c r="O128" s="515"/>
      <c r="P128" s="515"/>
      <c r="Q128" s="515"/>
      <c r="S128" s="515"/>
      <c r="T128" s="515"/>
      <c r="U128" s="515"/>
      <c r="V128" s="515"/>
      <c r="W128" s="515"/>
      <c r="X128" s="515"/>
      <c r="Y128" s="515"/>
      <c r="Z128" s="515"/>
      <c r="AA128" s="515"/>
      <c r="AB128" s="515"/>
      <c r="AC128" s="515"/>
      <c r="AD128" s="515"/>
      <c r="AE128" s="515"/>
      <c r="AF128" s="515"/>
      <c r="AG128" s="515"/>
      <c r="AH128" s="515"/>
      <c r="AI128" s="515"/>
      <c r="AJ128" s="515"/>
      <c r="AK128" s="515"/>
      <c r="AM128" s="515"/>
      <c r="AN128" s="515"/>
      <c r="AO128" s="515"/>
      <c r="AP128" s="515"/>
      <c r="AQ128" s="515"/>
      <c r="AR128" s="515"/>
      <c r="AS128" s="515"/>
      <c r="AT128" s="515"/>
      <c r="AU128" s="515"/>
      <c r="AV128" s="515"/>
      <c r="AW128" s="515"/>
      <c r="AX128" s="515"/>
      <c r="AY128" s="515"/>
      <c r="AZ128" s="515"/>
      <c r="BA128" s="515"/>
      <c r="BB128" s="515"/>
      <c r="BC128" s="515"/>
      <c r="BD128" s="515"/>
      <c r="BE128" s="515"/>
      <c r="BF128" s="515"/>
      <c r="BH128" s="515"/>
      <c r="BI128" s="515"/>
      <c r="BJ128" s="515"/>
      <c r="BL128" s="515"/>
      <c r="BM128" s="515"/>
    </row>
    <row r="129" spans="7:65">
      <c r="G129" s="515"/>
      <c r="H129" s="515"/>
      <c r="I129" s="515"/>
      <c r="J129" s="515"/>
      <c r="K129" s="519"/>
      <c r="L129" s="515"/>
      <c r="M129" s="515"/>
      <c r="N129" s="515"/>
      <c r="O129" s="515"/>
      <c r="P129" s="515"/>
      <c r="Q129" s="515"/>
      <c r="S129" s="515"/>
      <c r="T129" s="515"/>
      <c r="U129" s="515"/>
      <c r="V129" s="515"/>
      <c r="W129" s="515"/>
      <c r="X129" s="515"/>
      <c r="Y129" s="515"/>
      <c r="Z129" s="515"/>
      <c r="AA129" s="515"/>
      <c r="AB129" s="515"/>
      <c r="AC129" s="515"/>
      <c r="AD129" s="515"/>
      <c r="AE129" s="515"/>
      <c r="AF129" s="515"/>
      <c r="AG129" s="515"/>
      <c r="AH129" s="515"/>
      <c r="AI129" s="515"/>
      <c r="AJ129" s="515"/>
      <c r="AK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H129" s="515"/>
      <c r="BI129" s="515"/>
      <c r="BJ129" s="515"/>
      <c r="BL129" s="515"/>
      <c r="BM129" s="515"/>
    </row>
    <row r="130" spans="7:65">
      <c r="G130" s="515"/>
      <c r="H130" s="515"/>
      <c r="I130" s="515"/>
      <c r="J130" s="515"/>
      <c r="K130" s="519"/>
      <c r="L130" s="515"/>
      <c r="M130" s="515"/>
      <c r="N130" s="515"/>
      <c r="O130" s="515"/>
      <c r="P130" s="515"/>
      <c r="Q130" s="515"/>
      <c r="S130" s="515"/>
      <c r="T130" s="515"/>
      <c r="U130" s="515"/>
      <c r="V130" s="515"/>
      <c r="W130" s="515"/>
      <c r="X130" s="515"/>
      <c r="Y130" s="515"/>
      <c r="Z130" s="515"/>
      <c r="AA130" s="515"/>
      <c r="AB130" s="515"/>
      <c r="AC130" s="515"/>
      <c r="AD130" s="515"/>
      <c r="AE130" s="515"/>
      <c r="AF130" s="515"/>
      <c r="AG130" s="515"/>
      <c r="AH130" s="515"/>
      <c r="AI130" s="515"/>
      <c r="AJ130" s="515"/>
      <c r="AK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H130" s="515"/>
      <c r="BI130" s="515"/>
      <c r="BJ130" s="515"/>
      <c r="BL130" s="515"/>
      <c r="BM130" s="515"/>
    </row>
    <row r="131" spans="7:65">
      <c r="G131" s="515"/>
      <c r="H131" s="515"/>
      <c r="I131" s="515"/>
      <c r="J131" s="515"/>
      <c r="K131" s="519"/>
      <c r="L131" s="515"/>
      <c r="M131" s="515"/>
      <c r="N131" s="515"/>
      <c r="O131" s="515"/>
      <c r="P131" s="515"/>
      <c r="Q131" s="515"/>
      <c r="S131" s="515"/>
      <c r="T131" s="515"/>
      <c r="U131" s="515"/>
      <c r="V131" s="515"/>
      <c r="W131" s="515"/>
      <c r="X131" s="515"/>
      <c r="Y131" s="515"/>
      <c r="Z131" s="515"/>
      <c r="AA131" s="515"/>
      <c r="AB131" s="515"/>
      <c r="AC131" s="515"/>
      <c r="AD131" s="515"/>
      <c r="AE131" s="515"/>
      <c r="AF131" s="515"/>
      <c r="AG131" s="515"/>
      <c r="AH131" s="515"/>
      <c r="AI131" s="515"/>
      <c r="AJ131" s="515"/>
      <c r="AK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H131" s="515"/>
      <c r="BI131" s="515"/>
      <c r="BJ131" s="515"/>
      <c r="BL131" s="515"/>
      <c r="BM131" s="515"/>
    </row>
    <row r="132" spans="7:65">
      <c r="G132" s="515"/>
      <c r="H132" s="515"/>
      <c r="I132" s="515"/>
      <c r="J132" s="515"/>
      <c r="K132" s="519"/>
      <c r="L132" s="515"/>
      <c r="M132" s="515"/>
      <c r="N132" s="515"/>
      <c r="O132" s="515"/>
      <c r="P132" s="515"/>
      <c r="Q132" s="515"/>
      <c r="S132" s="515"/>
      <c r="T132" s="515"/>
      <c r="U132" s="515"/>
      <c r="V132" s="515"/>
      <c r="W132" s="515"/>
      <c r="X132" s="515"/>
      <c r="Y132" s="515"/>
      <c r="Z132" s="515"/>
      <c r="AA132" s="515"/>
      <c r="AB132" s="515"/>
      <c r="AC132" s="515"/>
      <c r="AD132" s="515"/>
      <c r="AE132" s="515"/>
      <c r="AF132" s="515"/>
      <c r="AG132" s="515"/>
      <c r="AH132" s="515"/>
      <c r="AI132" s="515"/>
      <c r="AJ132" s="515"/>
      <c r="AK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H132" s="515"/>
      <c r="BI132" s="515"/>
      <c r="BJ132" s="515"/>
      <c r="BL132" s="515"/>
      <c r="BM132" s="515"/>
    </row>
    <row r="133" spans="7:65">
      <c r="G133" s="515"/>
      <c r="H133" s="515"/>
      <c r="I133" s="515"/>
      <c r="J133" s="515"/>
      <c r="K133" s="519"/>
      <c r="L133" s="515"/>
      <c r="M133" s="515"/>
      <c r="N133" s="515"/>
      <c r="O133" s="515"/>
      <c r="P133" s="515"/>
      <c r="Q133" s="515"/>
      <c r="S133" s="515"/>
      <c r="T133" s="515"/>
      <c r="U133" s="515"/>
      <c r="V133" s="515"/>
      <c r="W133" s="515"/>
      <c r="X133" s="515"/>
      <c r="Y133" s="515"/>
      <c r="Z133" s="515"/>
      <c r="AA133" s="515"/>
      <c r="AB133" s="515"/>
      <c r="AC133" s="515"/>
      <c r="AD133" s="515"/>
      <c r="AE133" s="515"/>
      <c r="AF133" s="515"/>
      <c r="AG133" s="515"/>
      <c r="AH133" s="515"/>
      <c r="AI133" s="515"/>
      <c r="AJ133" s="515"/>
      <c r="AK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H133" s="515"/>
      <c r="BI133" s="515"/>
      <c r="BJ133" s="515"/>
      <c r="BL133" s="515"/>
      <c r="BM133" s="515"/>
    </row>
    <row r="134" spans="7:65">
      <c r="G134" s="515"/>
      <c r="H134" s="515"/>
      <c r="I134" s="515"/>
      <c r="J134" s="515"/>
      <c r="K134" s="519"/>
      <c r="L134" s="515"/>
      <c r="M134" s="515"/>
      <c r="N134" s="515"/>
      <c r="O134" s="515"/>
      <c r="P134" s="515"/>
      <c r="Q134" s="515"/>
      <c r="S134" s="515"/>
      <c r="T134" s="515"/>
      <c r="U134" s="515"/>
      <c r="V134" s="515"/>
      <c r="W134" s="515"/>
      <c r="X134" s="515"/>
      <c r="Y134" s="515"/>
      <c r="Z134" s="515"/>
      <c r="AA134" s="515"/>
      <c r="AB134" s="515"/>
      <c r="AC134" s="515"/>
      <c r="AD134" s="515"/>
      <c r="AE134" s="515"/>
      <c r="AF134" s="515"/>
      <c r="AG134" s="515"/>
      <c r="AH134" s="515"/>
      <c r="AI134" s="515"/>
      <c r="AJ134" s="515"/>
      <c r="AK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H134" s="515"/>
      <c r="BI134" s="515"/>
      <c r="BJ134" s="515"/>
      <c r="BL134" s="515"/>
      <c r="BM134" s="515"/>
    </row>
    <row r="135" spans="7:65">
      <c r="G135" s="515"/>
      <c r="H135" s="515"/>
      <c r="I135" s="515"/>
      <c r="J135" s="515"/>
      <c r="K135" s="519"/>
      <c r="L135" s="515"/>
      <c r="M135" s="515"/>
      <c r="N135" s="515"/>
      <c r="O135" s="515"/>
      <c r="P135" s="515"/>
      <c r="Q135" s="515"/>
      <c r="S135" s="515"/>
      <c r="T135" s="515"/>
      <c r="U135" s="515"/>
      <c r="V135" s="515"/>
      <c r="W135" s="515"/>
      <c r="X135" s="515"/>
      <c r="Y135" s="515"/>
      <c r="Z135" s="515"/>
      <c r="AA135" s="515"/>
      <c r="AB135" s="515"/>
      <c r="AC135" s="515"/>
      <c r="AD135" s="515"/>
      <c r="AE135" s="515"/>
      <c r="AF135" s="515"/>
      <c r="AG135" s="515"/>
      <c r="AH135" s="515"/>
      <c r="AI135" s="515"/>
      <c r="AJ135" s="515"/>
      <c r="AK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H135" s="515"/>
      <c r="BI135" s="515"/>
      <c r="BJ135" s="515"/>
      <c r="BL135" s="515"/>
      <c r="BM135" s="515"/>
    </row>
    <row r="136" spans="7:65">
      <c r="G136" s="515"/>
      <c r="H136" s="515"/>
      <c r="I136" s="515"/>
      <c r="J136" s="515"/>
      <c r="K136" s="519"/>
      <c r="L136" s="515"/>
      <c r="M136" s="515"/>
      <c r="N136" s="515"/>
      <c r="O136" s="515"/>
      <c r="P136" s="515"/>
      <c r="Q136" s="515"/>
      <c r="S136" s="515"/>
      <c r="T136" s="515"/>
      <c r="U136" s="515"/>
      <c r="V136" s="515"/>
      <c r="W136" s="515"/>
      <c r="X136" s="515"/>
      <c r="Y136" s="515"/>
      <c r="Z136" s="515"/>
      <c r="AA136" s="515"/>
      <c r="AB136" s="515"/>
      <c r="AC136" s="515"/>
      <c r="AD136" s="515"/>
      <c r="AE136" s="515"/>
      <c r="AF136" s="515"/>
      <c r="AG136" s="515"/>
      <c r="AH136" s="515"/>
      <c r="AI136" s="515"/>
      <c r="AJ136" s="515"/>
      <c r="AK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H136" s="515"/>
      <c r="BI136" s="515"/>
      <c r="BJ136" s="515"/>
      <c r="BL136" s="515"/>
      <c r="BM136" s="515"/>
    </row>
    <row r="137" spans="7:65">
      <c r="G137" s="515"/>
      <c r="H137" s="515"/>
      <c r="I137" s="515"/>
      <c r="J137" s="515"/>
      <c r="K137" s="519"/>
      <c r="L137" s="515"/>
      <c r="M137" s="515"/>
      <c r="N137" s="515"/>
      <c r="O137" s="515"/>
      <c r="P137" s="515"/>
      <c r="Q137" s="515"/>
      <c r="S137" s="515"/>
      <c r="T137" s="515"/>
      <c r="U137" s="515"/>
      <c r="V137" s="515"/>
      <c r="W137" s="515"/>
      <c r="X137" s="515"/>
      <c r="Y137" s="515"/>
      <c r="Z137" s="515"/>
      <c r="AA137" s="515"/>
      <c r="AB137" s="515"/>
      <c r="AC137" s="515"/>
      <c r="AD137" s="515"/>
      <c r="AE137" s="515"/>
      <c r="AF137" s="515"/>
      <c r="AG137" s="515"/>
      <c r="AH137" s="515"/>
      <c r="AI137" s="515"/>
      <c r="AJ137" s="515"/>
      <c r="AK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H137" s="515"/>
      <c r="BI137" s="515"/>
      <c r="BJ137" s="515"/>
      <c r="BL137" s="515"/>
      <c r="BM137" s="515"/>
    </row>
    <row r="138" spans="7:65">
      <c r="G138" s="515"/>
      <c r="H138" s="515"/>
      <c r="I138" s="515"/>
      <c r="J138" s="515"/>
      <c r="K138" s="519"/>
      <c r="L138" s="515"/>
      <c r="M138" s="515"/>
      <c r="N138" s="515"/>
      <c r="O138" s="515"/>
      <c r="P138" s="515"/>
      <c r="Q138" s="515"/>
      <c r="S138" s="515"/>
      <c r="T138" s="515"/>
      <c r="U138" s="515"/>
      <c r="V138" s="515"/>
      <c r="W138" s="515"/>
      <c r="X138" s="515"/>
      <c r="Y138" s="515"/>
      <c r="Z138" s="515"/>
      <c r="AA138" s="515"/>
      <c r="AB138" s="515"/>
      <c r="AC138" s="515"/>
      <c r="AD138" s="515"/>
      <c r="AE138" s="515"/>
      <c r="AF138" s="515"/>
      <c r="AG138" s="515"/>
      <c r="AH138" s="515"/>
      <c r="AI138" s="515"/>
      <c r="AJ138" s="515"/>
      <c r="AK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H138" s="515"/>
      <c r="BI138" s="515"/>
      <c r="BJ138" s="515"/>
      <c r="BL138" s="515"/>
      <c r="BM138" s="515"/>
    </row>
    <row r="139" spans="7:65">
      <c r="G139" s="515"/>
      <c r="H139" s="515"/>
      <c r="I139" s="515"/>
      <c r="J139" s="515"/>
      <c r="K139" s="519"/>
      <c r="L139" s="515"/>
      <c r="M139" s="515"/>
      <c r="N139" s="515"/>
      <c r="O139" s="515"/>
      <c r="P139" s="515"/>
      <c r="Q139" s="515"/>
      <c r="S139" s="515"/>
      <c r="T139" s="515"/>
      <c r="U139" s="515"/>
      <c r="V139" s="515"/>
      <c r="W139" s="515"/>
      <c r="X139" s="515"/>
      <c r="Y139" s="515"/>
      <c r="Z139" s="515"/>
      <c r="AA139" s="515"/>
      <c r="AB139" s="515"/>
      <c r="AC139" s="515"/>
      <c r="AD139" s="515"/>
      <c r="AE139" s="515"/>
      <c r="AF139" s="515"/>
      <c r="AG139" s="515"/>
      <c r="AH139" s="515"/>
      <c r="AI139" s="515"/>
      <c r="AJ139" s="515"/>
      <c r="AK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H139" s="515"/>
      <c r="BI139" s="515"/>
      <c r="BJ139" s="515"/>
      <c r="BL139" s="515"/>
      <c r="BM139" s="515"/>
    </row>
    <row r="140" spans="7:65">
      <c r="G140" s="515"/>
      <c r="H140" s="515"/>
      <c r="I140" s="515"/>
      <c r="J140" s="515"/>
      <c r="K140" s="519"/>
      <c r="L140" s="515"/>
      <c r="M140" s="515"/>
      <c r="N140" s="515"/>
      <c r="O140" s="515"/>
      <c r="P140" s="515"/>
      <c r="Q140" s="515"/>
      <c r="S140" s="515"/>
      <c r="T140" s="515"/>
      <c r="U140" s="515"/>
      <c r="V140" s="515"/>
      <c r="W140" s="515"/>
      <c r="X140" s="515"/>
      <c r="Y140" s="515"/>
      <c r="Z140" s="515"/>
      <c r="AA140" s="515"/>
      <c r="AB140" s="515"/>
      <c r="AC140" s="515"/>
      <c r="AD140" s="515"/>
      <c r="AE140" s="515"/>
      <c r="AF140" s="515"/>
      <c r="AG140" s="515"/>
      <c r="AH140" s="515"/>
      <c r="AI140" s="515"/>
      <c r="AJ140" s="515"/>
      <c r="AK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H140" s="515"/>
      <c r="BI140" s="515"/>
      <c r="BJ140" s="515"/>
      <c r="BL140" s="515"/>
      <c r="BM140" s="515"/>
    </row>
    <row r="141" spans="7:65">
      <c r="G141" s="515"/>
      <c r="H141" s="515"/>
      <c r="I141" s="515"/>
      <c r="J141" s="515"/>
      <c r="K141" s="519"/>
      <c r="L141" s="515"/>
      <c r="M141" s="515"/>
      <c r="N141" s="515"/>
      <c r="O141" s="515"/>
      <c r="P141" s="515"/>
      <c r="Q141" s="515"/>
      <c r="S141" s="515"/>
      <c r="T141" s="515"/>
      <c r="U141" s="515"/>
      <c r="V141" s="515"/>
      <c r="W141" s="515"/>
      <c r="X141" s="515"/>
      <c r="Y141" s="515"/>
      <c r="Z141" s="515"/>
      <c r="AA141" s="515"/>
      <c r="AB141" s="515"/>
      <c r="AC141" s="515"/>
      <c r="AD141" s="515"/>
      <c r="AE141" s="515"/>
      <c r="AF141" s="515"/>
      <c r="AG141" s="515"/>
      <c r="AH141" s="515"/>
      <c r="AI141" s="515"/>
      <c r="AJ141" s="515"/>
      <c r="AK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H141" s="515"/>
      <c r="BI141" s="515"/>
      <c r="BJ141" s="515"/>
      <c r="BL141" s="515"/>
      <c r="BM141" s="515"/>
    </row>
    <row r="142" spans="7:65">
      <c r="G142" s="515"/>
      <c r="H142" s="515"/>
      <c r="I142" s="515"/>
      <c r="J142" s="515"/>
      <c r="K142" s="519"/>
      <c r="L142" s="515"/>
      <c r="M142" s="515"/>
      <c r="N142" s="515"/>
      <c r="O142" s="515"/>
      <c r="P142" s="515"/>
      <c r="Q142" s="515"/>
      <c r="S142" s="515"/>
      <c r="T142" s="515"/>
      <c r="U142" s="515"/>
      <c r="V142" s="515"/>
      <c r="W142" s="515"/>
      <c r="X142" s="515"/>
      <c r="Y142" s="515"/>
      <c r="Z142" s="515"/>
      <c r="AA142" s="515"/>
      <c r="AB142" s="515"/>
      <c r="AC142" s="515"/>
      <c r="AD142" s="515"/>
      <c r="AE142" s="515"/>
      <c r="AF142" s="515"/>
      <c r="AG142" s="515"/>
      <c r="AH142" s="515"/>
      <c r="AI142" s="515"/>
      <c r="AJ142" s="515"/>
      <c r="AK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H142" s="515"/>
      <c r="BI142" s="515"/>
      <c r="BJ142" s="515"/>
      <c r="BL142" s="515"/>
      <c r="BM142" s="515"/>
    </row>
    <row r="143" spans="7:65">
      <c r="G143" s="515"/>
      <c r="H143" s="515"/>
      <c r="I143" s="515"/>
      <c r="J143" s="515"/>
      <c r="K143" s="519"/>
      <c r="L143" s="515"/>
      <c r="M143" s="515"/>
      <c r="N143" s="515"/>
      <c r="O143" s="515"/>
      <c r="P143" s="515"/>
      <c r="Q143" s="515"/>
      <c r="S143" s="515"/>
      <c r="T143" s="515"/>
      <c r="U143" s="515"/>
      <c r="V143" s="515"/>
      <c r="W143" s="515"/>
      <c r="X143" s="515"/>
      <c r="Y143" s="515"/>
      <c r="Z143" s="515"/>
      <c r="AA143" s="515"/>
      <c r="AB143" s="515"/>
      <c r="AC143" s="515"/>
      <c r="AD143" s="515"/>
      <c r="AE143" s="515"/>
      <c r="AF143" s="515"/>
      <c r="AG143" s="515"/>
      <c r="AH143" s="515"/>
      <c r="AI143" s="515"/>
      <c r="AJ143" s="515"/>
      <c r="AK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H143" s="515"/>
      <c r="BI143" s="515"/>
      <c r="BJ143" s="515"/>
      <c r="BL143" s="515"/>
      <c r="BM143" s="515"/>
    </row>
    <row r="144" spans="7:65">
      <c r="G144" s="515"/>
      <c r="H144" s="515"/>
      <c r="I144" s="515"/>
      <c r="J144" s="515"/>
      <c r="K144" s="519"/>
      <c r="L144" s="515"/>
      <c r="M144" s="515"/>
      <c r="N144" s="515"/>
      <c r="O144" s="515"/>
      <c r="P144" s="515"/>
      <c r="Q144" s="515"/>
      <c r="S144" s="515"/>
      <c r="T144" s="515"/>
      <c r="U144" s="515"/>
      <c r="V144" s="515"/>
      <c r="W144" s="515"/>
      <c r="X144" s="515"/>
      <c r="Y144" s="515"/>
      <c r="Z144" s="515"/>
      <c r="AA144" s="515"/>
      <c r="AB144" s="515"/>
      <c r="AC144" s="515"/>
      <c r="AD144" s="515"/>
      <c r="AE144" s="515"/>
      <c r="AF144" s="515"/>
      <c r="AG144" s="515"/>
      <c r="AH144" s="515"/>
      <c r="AI144" s="515"/>
      <c r="AJ144" s="515"/>
      <c r="AK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H144" s="515"/>
      <c r="BI144" s="515"/>
      <c r="BJ144" s="515"/>
      <c r="BL144" s="515"/>
      <c r="BM144" s="515"/>
    </row>
    <row r="145" spans="7:65">
      <c r="G145" s="515"/>
      <c r="H145" s="515"/>
      <c r="I145" s="515"/>
      <c r="J145" s="515"/>
      <c r="K145" s="519"/>
      <c r="L145" s="515"/>
      <c r="M145" s="515"/>
      <c r="N145" s="515"/>
      <c r="O145" s="515"/>
      <c r="P145" s="515"/>
      <c r="Q145" s="515"/>
      <c r="S145" s="515"/>
      <c r="T145" s="515"/>
      <c r="U145" s="515"/>
      <c r="V145" s="515"/>
      <c r="W145" s="515"/>
      <c r="X145" s="515"/>
      <c r="Y145" s="515"/>
      <c r="Z145" s="515"/>
      <c r="AA145" s="515"/>
      <c r="AB145" s="515"/>
      <c r="AC145" s="515"/>
      <c r="AD145" s="515"/>
      <c r="AE145" s="515"/>
      <c r="AF145" s="515"/>
      <c r="AG145" s="515"/>
      <c r="AH145" s="515"/>
      <c r="AI145" s="515"/>
      <c r="AJ145" s="515"/>
      <c r="AK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H145" s="515"/>
      <c r="BI145" s="515"/>
      <c r="BJ145" s="515"/>
      <c r="BL145" s="515"/>
      <c r="BM145" s="515"/>
    </row>
    <row r="146" spans="7:65">
      <c r="G146" s="515"/>
      <c r="H146" s="515"/>
      <c r="I146" s="515"/>
      <c r="J146" s="515"/>
      <c r="K146" s="519"/>
      <c r="L146" s="515"/>
      <c r="M146" s="515"/>
      <c r="N146" s="515"/>
      <c r="O146" s="515"/>
      <c r="P146" s="515"/>
      <c r="Q146" s="515"/>
      <c r="S146" s="515"/>
      <c r="T146" s="515"/>
      <c r="U146" s="515"/>
      <c r="V146" s="515"/>
      <c r="W146" s="515"/>
      <c r="X146" s="515"/>
      <c r="Y146" s="515"/>
      <c r="Z146" s="515"/>
      <c r="AA146" s="515"/>
      <c r="AB146" s="515"/>
      <c r="AC146" s="515"/>
      <c r="AD146" s="515"/>
      <c r="AE146" s="515"/>
      <c r="AF146" s="515"/>
      <c r="AG146" s="515"/>
      <c r="AH146" s="515"/>
      <c r="AI146" s="515"/>
      <c r="AJ146" s="515"/>
      <c r="AK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H146" s="515"/>
      <c r="BI146" s="515"/>
      <c r="BJ146" s="515"/>
      <c r="BL146" s="515"/>
      <c r="BM146" s="515"/>
    </row>
    <row r="147" spans="7:65">
      <c r="G147" s="515"/>
      <c r="H147" s="515"/>
      <c r="I147" s="515"/>
      <c r="J147" s="515"/>
      <c r="K147" s="519"/>
      <c r="L147" s="515"/>
      <c r="M147" s="515"/>
      <c r="N147" s="515"/>
      <c r="O147" s="515"/>
      <c r="P147" s="515"/>
      <c r="Q147" s="515"/>
      <c r="S147" s="515"/>
      <c r="T147" s="515"/>
      <c r="U147" s="515"/>
      <c r="V147" s="515"/>
      <c r="W147" s="515"/>
      <c r="X147" s="515"/>
      <c r="Y147" s="515"/>
      <c r="Z147" s="515"/>
      <c r="AA147" s="515"/>
      <c r="AB147" s="515"/>
      <c r="AC147" s="515"/>
      <c r="AD147" s="515"/>
      <c r="AE147" s="515"/>
      <c r="AF147" s="515"/>
      <c r="AG147" s="515"/>
      <c r="AH147" s="515"/>
      <c r="AI147" s="515"/>
      <c r="AJ147" s="515"/>
      <c r="AK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H147" s="515"/>
      <c r="BI147" s="515"/>
      <c r="BJ147" s="515"/>
      <c r="BL147" s="515"/>
      <c r="BM147" s="515"/>
    </row>
    <row r="148" spans="7:65">
      <c r="G148" s="515"/>
      <c r="H148" s="515"/>
      <c r="I148" s="515"/>
      <c r="J148" s="515"/>
      <c r="K148" s="519"/>
      <c r="L148" s="515"/>
      <c r="M148" s="515"/>
      <c r="N148" s="515"/>
      <c r="O148" s="515"/>
      <c r="P148" s="515"/>
      <c r="Q148" s="515"/>
      <c r="S148" s="515"/>
      <c r="T148" s="515"/>
      <c r="U148" s="515"/>
      <c r="V148" s="515"/>
      <c r="W148" s="515"/>
      <c r="X148" s="515"/>
      <c r="Y148" s="515"/>
      <c r="Z148" s="515"/>
      <c r="AA148" s="515"/>
      <c r="AB148" s="515"/>
      <c r="AC148" s="515"/>
      <c r="AD148" s="515"/>
      <c r="AE148" s="515"/>
      <c r="AF148" s="515"/>
      <c r="AG148" s="515"/>
      <c r="AH148" s="515"/>
      <c r="AI148" s="515"/>
      <c r="AJ148" s="515"/>
      <c r="AK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H148" s="515"/>
      <c r="BI148" s="515"/>
      <c r="BJ148" s="515"/>
      <c r="BL148" s="515"/>
      <c r="BM148" s="515"/>
    </row>
  </sheetData>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worksheet>
</file>

<file path=xl/worksheets/sheet58.xml><?xml version="1.0" encoding="utf-8"?>
<worksheet xmlns="http://schemas.openxmlformats.org/spreadsheetml/2006/main" xmlns:r="http://schemas.openxmlformats.org/officeDocument/2006/relationships">
  <sheetPr codeName="Sheet10">
    <tabColor theme="6" tint="0.39997558519241921"/>
    <pageSetUpPr autoPageBreaks="0"/>
  </sheetPr>
  <dimension ref="A1:DH148"/>
  <sheetViews>
    <sheetView showGridLines="0" zoomScale="80" zoomScaleNormal="80" workbookViewId="0">
      <pane xSplit="5" ySplit="5" topLeftCell="H6" activePane="bottomRight" state="frozen"/>
      <selection pane="topRight"/>
      <selection pane="bottomLeft"/>
      <selection pane="bottomRight"/>
    </sheetView>
  </sheetViews>
  <sheetFormatPr defaultRowHeight="12.75" outlineLevelRow="2" outlineLevelCol="2"/>
  <cols>
    <col min="1" max="1" width="1.7109375" style="121" customWidth="1"/>
    <col min="2" max="2" width="1.5703125" style="121" customWidth="1"/>
    <col min="3" max="3" width="4.42578125" style="508" customWidth="1"/>
    <col min="4" max="4" width="3.85546875" style="509" customWidth="1"/>
    <col min="5" max="5" width="41.7109375" style="509" customWidth="1"/>
    <col min="6" max="6" width="1.140625" style="121" customWidth="1" outlineLevel="1"/>
    <col min="7" max="10" width="10" style="509" customWidth="1" outlineLevel="2"/>
    <col min="11" max="11" width="10" style="530" customWidth="1" outlineLevel="2"/>
    <col min="12" max="16" width="10" style="509" customWidth="1" outlineLevel="2"/>
    <col min="17" max="17" width="10" style="509" customWidth="1" outlineLevel="1"/>
    <col min="18" max="18" width="1.140625" style="121" customWidth="1" outlineLevel="1"/>
    <col min="19" max="36" width="10" style="509" customWidth="1" outlineLevel="2"/>
    <col min="37" max="37" width="10" style="509" customWidth="1" outlineLevel="1"/>
    <col min="38" max="38" width="1.140625" style="121" customWidth="1" outlineLevel="1"/>
    <col min="39" max="57" width="10" style="509" customWidth="1" outlineLevel="2"/>
    <col min="58" max="58" width="10" style="509" customWidth="1" outlineLevel="1"/>
    <col min="59" max="59" width="1.140625" style="121" customWidth="1" outlineLevel="1"/>
    <col min="60" max="61" width="10" style="509" customWidth="1" outlineLevel="2"/>
    <col min="62" max="62" width="10" style="509" customWidth="1" outlineLevel="1"/>
    <col min="63" max="63" width="1.140625" style="121" customWidth="1" outlineLevel="1"/>
    <col min="64" max="64" width="11" style="509" customWidth="1" outlineLevel="1"/>
    <col min="65" max="65" width="5.28515625" style="509" customWidth="1"/>
    <col min="66" max="66" width="9.140625" style="121"/>
    <col min="67" max="110" width="7.5703125" style="121" customWidth="1"/>
    <col min="111" max="111" width="2.5703125" style="121" customWidth="1"/>
    <col min="112" max="16384" width="9.140625" style="121"/>
  </cols>
  <sheetData>
    <row r="1" spans="1:112" ht="6" customHeight="1"/>
    <row r="2" spans="1:112" ht="21" customHeight="1">
      <c r="D2" s="495"/>
      <c r="E2" s="965">
        <v>2030</v>
      </c>
      <c r="G2" s="121"/>
      <c r="H2" s="121"/>
      <c r="I2" s="121"/>
      <c r="J2" s="121"/>
      <c r="K2" s="121"/>
      <c r="L2" s="121"/>
      <c r="M2" s="121"/>
      <c r="N2" s="121"/>
      <c r="O2" s="121"/>
      <c r="P2" s="121"/>
      <c r="Q2" s="121"/>
      <c r="S2" s="121"/>
      <c r="T2" s="121"/>
      <c r="U2" s="121"/>
      <c r="V2" s="121"/>
      <c r="W2" s="121"/>
      <c r="X2" s="121"/>
      <c r="Y2" s="121"/>
      <c r="Z2" s="121"/>
      <c r="AA2" s="121"/>
      <c r="AB2" s="121"/>
      <c r="AC2" s="121"/>
      <c r="AD2" s="121"/>
      <c r="AE2" s="121"/>
      <c r="AF2" s="121"/>
      <c r="AG2" s="121"/>
      <c r="AH2" s="121"/>
      <c r="AI2" s="121"/>
      <c r="AJ2" s="121"/>
      <c r="AK2" s="121"/>
      <c r="AM2" s="121"/>
      <c r="AN2" s="121"/>
      <c r="AO2" s="121"/>
      <c r="AP2" s="121"/>
      <c r="AQ2" s="121"/>
      <c r="AR2" s="121"/>
      <c r="AS2" s="121"/>
      <c r="AT2" s="121"/>
      <c r="AU2" s="121"/>
      <c r="AV2" s="121"/>
      <c r="AW2" s="121"/>
      <c r="AX2" s="121"/>
      <c r="AY2" s="121"/>
      <c r="AZ2" s="121"/>
      <c r="BA2" s="121"/>
      <c r="BB2" s="121"/>
      <c r="BC2" s="121"/>
      <c r="BD2" s="121"/>
      <c r="BE2" s="121"/>
      <c r="BF2" s="121"/>
      <c r="BH2" s="121"/>
      <c r="BI2" s="121"/>
      <c r="BJ2" s="121"/>
      <c r="BL2" s="121"/>
      <c r="BM2" s="681"/>
    </row>
    <row r="3" spans="1:112" ht="39" customHeight="1">
      <c r="A3" s="754"/>
      <c r="B3" s="754"/>
      <c r="C3" s="754"/>
      <c r="D3" s="500"/>
      <c r="E3" s="808" t="str">
        <f>Preferences.EnergyUnits</f>
        <v>TWh</v>
      </c>
      <c r="G3" s="994" t="s">
        <v>751</v>
      </c>
      <c r="H3" s="994"/>
      <c r="I3" s="994"/>
      <c r="J3" s="994"/>
      <c r="K3" s="994"/>
      <c r="L3" s="994"/>
      <c r="M3" s="994"/>
      <c r="N3" s="994"/>
      <c r="O3" s="994"/>
      <c r="P3" s="994"/>
      <c r="Q3" s="994"/>
      <c r="S3" s="1133" t="s">
        <v>689</v>
      </c>
      <c r="T3" s="1134"/>
      <c r="U3" s="1134"/>
      <c r="V3" s="1134"/>
      <c r="W3" s="1134"/>
      <c r="X3" s="1138"/>
      <c r="Y3" s="1134"/>
      <c r="Z3" s="1134"/>
      <c r="AA3" s="1134"/>
      <c r="AB3" s="1134"/>
      <c r="AC3" s="1134"/>
      <c r="AD3" s="1134"/>
      <c r="AE3" s="1134"/>
      <c r="AF3" s="1134"/>
      <c r="AG3" s="1134"/>
      <c r="AH3" s="1134"/>
      <c r="AI3" s="1134"/>
      <c r="AJ3" s="1134"/>
      <c r="AK3" s="1137"/>
      <c r="AM3" s="1135" t="s">
        <v>1063</v>
      </c>
      <c r="AN3" s="1136"/>
      <c r="AO3" s="1136"/>
      <c r="AP3" s="1139"/>
      <c r="AQ3" s="1136"/>
      <c r="AR3" s="1136"/>
      <c r="AS3" s="1136"/>
      <c r="AT3" s="1136"/>
      <c r="AU3" s="1136"/>
      <c r="AV3" s="1136"/>
      <c r="AW3" s="1136"/>
      <c r="AX3" s="1136"/>
      <c r="AY3" s="1136"/>
      <c r="AZ3" s="1136"/>
      <c r="BA3" s="1136"/>
      <c r="BB3" s="1136"/>
      <c r="BC3" s="1136"/>
      <c r="BD3" s="1136"/>
      <c r="BE3" s="1136"/>
      <c r="BF3" s="1140"/>
      <c r="BH3" s="1025" t="s">
        <v>944</v>
      </c>
      <c r="BI3" s="1003"/>
      <c r="BJ3" s="1003"/>
      <c r="BL3" s="504"/>
      <c r="BM3" s="504"/>
      <c r="BN3" s="754"/>
      <c r="BO3" s="1142" t="s">
        <v>1067</v>
      </c>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3"/>
      <c r="CM3" s="1143"/>
      <c r="CN3" s="1143"/>
      <c r="CO3" s="1143"/>
      <c r="CP3" s="1143"/>
      <c r="CQ3" s="1143"/>
      <c r="CR3" s="1143"/>
      <c r="CS3" s="1143"/>
      <c r="CT3" s="1143"/>
      <c r="CU3" s="1143"/>
      <c r="CV3" s="1143"/>
      <c r="CW3" s="1143"/>
      <c r="CX3" s="1143"/>
      <c r="CY3" s="1143"/>
      <c r="CZ3" s="1143"/>
      <c r="DA3" s="1143"/>
      <c r="DB3" s="1143"/>
      <c r="DC3" s="1280"/>
      <c r="DD3" s="1280"/>
      <c r="DE3" s="1280"/>
      <c r="DF3" s="1280"/>
    </row>
    <row r="4" spans="1:112" ht="36.75" customHeight="1">
      <c r="C4" s="505"/>
      <c r="D4" s="505"/>
      <c r="G4" s="966" t="str">
        <f>INDEX(Vectors[Description], MATCH(G$5,Vectors[Code],FALSE))</f>
        <v>Heating and cooling</v>
      </c>
      <c r="H4" s="966" t="str">
        <f>INDEX(Vectors[Description], MATCH(H$5,Vectors[Code],FALSE))</f>
        <v>Lighting &amp; appliances</v>
      </c>
      <c r="I4" s="966" t="str">
        <f>INDEX(Vectors[Description], MATCH(I$5,Vectors[Code],FALSE))</f>
        <v>Industry</v>
      </c>
      <c r="J4" s="966" t="str">
        <f>INDEX(Vectors[Description], MATCH(J$5,Vectors[Code],FALSE))</f>
        <v>Road transport</v>
      </c>
      <c r="K4" s="966" t="str">
        <f>INDEX(Vectors[Description], MATCH(K$5,Vectors[Code],FALSE))</f>
        <v>Rail transport</v>
      </c>
      <c r="L4" s="966" t="str">
        <f>INDEX(Vectors[Description], MATCH(L$5,Vectors[Code],FALSE))</f>
        <v>Domestic aviation</v>
      </c>
      <c r="M4" s="966" t="str">
        <f>INDEX(Vectors[Description], MATCH(M$5,Vectors[Code],FALSE))</f>
        <v>National navigation</v>
      </c>
      <c r="N4" s="966" t="str">
        <f>INDEX(Vectors[Description], MATCH(N$5,Vectors[Code],FALSE))</f>
        <v>International aviation</v>
      </c>
      <c r="O4" s="966" t="str">
        <f>INDEX(Vectors[Description], MATCH(O$5,Vectors[Code],FALSE))</f>
        <v>International shipping</v>
      </c>
      <c r="P4" s="966" t="str">
        <f>INDEX(Vectors[Description], MATCH(P$5,Vectors[Code],FALSE))</f>
        <v>Food consumption [UNUSED]</v>
      </c>
      <c r="Q4" s="983" t="s">
        <v>949</v>
      </c>
      <c r="S4" s="967" t="str">
        <f>INDEX(Vectors[Description], MATCH(S$5,Vectors[Code],FALSE))</f>
        <v>Electricity (delivered to end user)</v>
      </c>
      <c r="T4" s="967" t="str">
        <f>INDEX(Vectors[Description], MATCH(T$5,Vectors[Code],FALSE))</f>
        <v>Electricity (supplied to grid)</v>
      </c>
      <c r="U4" s="967" t="str">
        <f>INDEX(Vectors[Description], MATCH(U$5,Vectors[Code],FALSE))</f>
        <v>Solid hydrocarbons</v>
      </c>
      <c r="V4" s="967" t="str">
        <f>INDEX(Vectors[Description], MATCH(V$5,Vectors[Code],FALSE))</f>
        <v>Liquid hydrocarbons</v>
      </c>
      <c r="W4" s="967" t="str">
        <f>INDEX(Vectors[Description], MATCH(W$5,Vectors[Code],FALSE))</f>
        <v>Gaseous hydrocarbons</v>
      </c>
      <c r="X4" s="967" t="str">
        <f>INDEX(Vectors[Description], MATCH(X$5,Vectors[Code],FALSE))</f>
        <v>Coal and fossil waste</v>
      </c>
      <c r="Y4" s="967" t="str">
        <f>INDEX(Vectors[Description], MATCH(Y$5,Vectors[Code],FALSE))</f>
        <v>Oil and petroleum products</v>
      </c>
      <c r="Z4" s="967" t="str">
        <f>INDEX(Vectors[Description], MATCH(Z$5,Vectors[Code],FALSE))</f>
        <v>Natural gas</v>
      </c>
      <c r="AA4" s="967" t="str">
        <f>INDEX(Vectors[Description], MATCH(AA$5,Vectors[Code],FALSE))</f>
        <v>Blast furnace gas</v>
      </c>
      <c r="AB4" s="967" t="str">
        <f>INDEX(Vectors[Description], MATCH(AB$5,Vectors[Code],FALSE))</f>
        <v>Heat transport</v>
      </c>
      <c r="AC4" s="967" t="str">
        <f>INDEX(Vectors[Description], MATCH(AC$5,Vectors[Code],FALSE))</f>
        <v>Edible biomatter</v>
      </c>
      <c r="AD4" s="967" t="str">
        <f>INDEX(Vectors[Description], MATCH(AD$5,Vectors[Code],FALSE))</f>
        <v>Energy crops (second generation)</v>
      </c>
      <c r="AE4" s="967" t="str">
        <f>INDEX(Vectors[Description], MATCH(AE$5,Vectors[Code],FALSE))</f>
        <v>Energy crops (first generation)</v>
      </c>
      <c r="AF4" s="967" t="str">
        <f>INDEX(Vectors[Description], MATCH(AF$5,Vectors[Code],FALSE))</f>
        <v>Dry biomatter and waste</v>
      </c>
      <c r="AG4" s="967" t="str">
        <f>INDEX(Vectors[Description], MATCH(AG$5,Vectors[Code],FALSE))</f>
        <v>Wet biomatter and waste</v>
      </c>
      <c r="AH4" s="967" t="str">
        <f>INDEX(Vectors[Description], MATCH(AH$5,Vectors[Code],FALSE))</f>
        <v>Gaseous waste</v>
      </c>
      <c r="AI4" s="967" t="str">
        <f>INDEX(Vectors[Description], MATCH(AI$5,Vectors[Code],FALSE))</f>
        <v>Domestic solar thermal</v>
      </c>
      <c r="AJ4" s="967" t="str">
        <f>INDEX(Vectors[Description], MATCH(AJ$5,Vectors[Code],FALSE))</f>
        <v>H2</v>
      </c>
      <c r="AK4" s="997" t="s">
        <v>685</v>
      </c>
      <c r="AM4" s="981" t="str">
        <f>INDEX(Vectors[Description], MATCH(AM$5,Vectors[Code],FALSE))</f>
        <v>Coal reserves</v>
      </c>
      <c r="AN4" s="981" t="str">
        <f>INDEX(Vectors[Description], MATCH(AN$5,Vectors[Code],FALSE))</f>
        <v>Oil reserves</v>
      </c>
      <c r="AO4" s="981" t="str">
        <f>INDEX(Vectors[Description], MATCH(AO$5,Vectors[Code],FALSE))</f>
        <v>Gas reserves</v>
      </c>
      <c r="AP4" s="981" t="str">
        <f>INDEX(Vectors[Description], MATCH(AP$5,Vectors[Code],FALSE))</f>
        <v>Biomatter exports (imports)</v>
      </c>
      <c r="AQ4" s="981" t="str">
        <f>INDEX(Vectors[Description], MATCH(AQ$5,Vectors[Code],FALSE))</f>
        <v>Electricity exports (imports)</v>
      </c>
      <c r="AR4" s="981" t="str">
        <f>INDEX(Vectors[Description], MATCH(AR$5,Vectors[Code],FALSE))</f>
        <v>Petroleum products exports</v>
      </c>
      <c r="AS4" s="981" t="str">
        <f>INDEX(Vectors[Description], MATCH(AS$5,Vectors[Code],FALSE))</f>
        <v>Coal exports (imports)</v>
      </c>
      <c r="AT4" s="981" t="str">
        <f>INDEX(Vectors[Description], MATCH(AT$5,Vectors[Code],FALSE))</f>
        <v>Oil and petroleum products exports (imports)</v>
      </c>
      <c r="AU4" s="981" t="str">
        <f>INDEX(Vectors[Description], MATCH(AU$5,Vectors[Code],FALSE))</f>
        <v>Gas exports (imports)</v>
      </c>
      <c r="AV4" s="981" t="str">
        <f>INDEX(Vectors[Description], MATCH(AV$5,Vectors[Code],FALSE))</f>
        <v>Nuclear fission</v>
      </c>
      <c r="AW4" s="981" t="str">
        <f>INDEX(Vectors[Description], MATCH(AW$5,Vectors[Code],FALSE))</f>
        <v>Solar</v>
      </c>
      <c r="AX4" s="981" t="str">
        <f>INDEX(Vectors[Description], MATCH(AX$5,Vectors[Code],FALSE))</f>
        <v>Wind</v>
      </c>
      <c r="AY4" s="981" t="str">
        <f>INDEX(Vectors[Description], MATCH(AY$5,Vectors[Code],FALSE))</f>
        <v>Tidal</v>
      </c>
      <c r="AZ4" s="981" t="str">
        <f>INDEX(Vectors[Description], MATCH(AZ$5,Vectors[Code],FALSE))</f>
        <v>Wave</v>
      </c>
      <c r="BA4" s="981" t="str">
        <f>INDEX(Vectors[Description], MATCH(BA$5,Vectors[Code],FALSE))</f>
        <v>Geothermal</v>
      </c>
      <c r="BB4" s="981" t="str">
        <f>INDEX(Vectors[Description], MATCH(BB$5,Vectors[Code],FALSE))</f>
        <v>Hydro</v>
      </c>
      <c r="BC4" s="981" t="str">
        <f>INDEX(Vectors[Description], MATCH(BC$5,Vectors[Code],FALSE))</f>
        <v>Environmental heat</v>
      </c>
      <c r="BD4" s="981" t="str">
        <f>INDEX(Vectors[Description], MATCH(BD$5,Vectors[Code],FALSE))</f>
        <v>Agriculture</v>
      </c>
      <c r="BE4" s="981" t="str">
        <f>INDEX(Vectors[Description], MATCH(BE$5,Vectors[Code],FALSE))</f>
        <v>Waste</v>
      </c>
      <c r="BF4" s="999" t="s">
        <v>686</v>
      </c>
      <c r="BH4" s="986" t="str">
        <f>INDEX(Vectors[Description], MATCH(BH$5,Vectors[Code],FALSE))</f>
        <v>Conversion losses</v>
      </c>
      <c r="BI4" s="986" t="str">
        <f>INDEX(Vectors[Description], MATCH(BI$5,Vectors[Code],FALSE))</f>
        <v>Distribution losses and own use</v>
      </c>
      <c r="BJ4" s="1001" t="s">
        <v>943</v>
      </c>
      <c r="BL4" s="507" t="str">
        <f>INDEX(Vectors[Description], MATCH(BL$5,Vectors[Code],FALSE))</f>
        <v>Unallocated</v>
      </c>
      <c r="BM4" s="507"/>
      <c r="BO4" s="1151" t="str">
        <f>INDEX(IPCC[Sector_description], MATCH(BO$5, IPCC[Sector_code], 0))</f>
        <v>Fuel Combustion</v>
      </c>
      <c r="BP4" s="1152"/>
      <c r="BQ4" s="1152"/>
      <c r="BR4" s="1153"/>
      <c r="BS4" s="1151" t="str">
        <f>INDEX(IPCC[Sector_description], MATCH(BS$5, IPCC[Sector_code], 0))</f>
        <v>Fugitive Emissions from Fuels</v>
      </c>
      <c r="BT4" s="1152"/>
      <c r="BU4" s="1152"/>
      <c r="BV4" s="1153"/>
      <c r="BW4" s="1151" t="str">
        <f>INDEX(IPCC[Sector_description], MATCH(BW$5, IPCC[Sector_code], 0))</f>
        <v>Industrial Processes</v>
      </c>
      <c r="BX4" s="1152"/>
      <c r="BY4" s="1152"/>
      <c r="BZ4" s="1153"/>
      <c r="CA4" s="1151" t="str">
        <f>INDEX(IPCC[Sector_description], MATCH(CA$5, IPCC[Sector_code], 0))</f>
        <v>Solvent and Other Product Use</v>
      </c>
      <c r="CB4" s="1152"/>
      <c r="CC4" s="1152"/>
      <c r="CD4" s="1153"/>
      <c r="CE4" s="1151" t="str">
        <f>INDEX(IPCC[Sector_description], MATCH(CE$5, IPCC[Sector_code], 0))</f>
        <v>Agriculture</v>
      </c>
      <c r="CF4" s="1152"/>
      <c r="CG4" s="1152"/>
      <c r="CH4" s="1153"/>
      <c r="CI4" s="1151" t="str">
        <f>INDEX(IPCC[Sector_description], MATCH(CI$5, IPCC[Sector_code], 0))</f>
        <v>Land Use, Land-Use Change and Forestry</v>
      </c>
      <c r="CJ4" s="1152"/>
      <c r="CK4" s="1152"/>
      <c r="CL4" s="1153"/>
      <c r="CM4" s="1151" t="str">
        <f>INDEX(IPCC[Sector_description], MATCH(CM$5, IPCC[Sector_code], 0))</f>
        <v>Waste</v>
      </c>
      <c r="CN4" s="1152"/>
      <c r="CO4" s="1152"/>
      <c r="CP4" s="1153"/>
      <c r="CQ4" s="1151" t="str">
        <f>INDEX(IPCC[Sector_description], MATCH(CQ$5, IPCC[Sector_code], 0))</f>
        <v>Other</v>
      </c>
      <c r="CR4" s="1152"/>
      <c r="CS4" s="1152"/>
      <c r="CT4" s="1153"/>
      <c r="CU4" s="1151" t="str">
        <f>INDEX(IPCC[Sector_description], MATCH(CU$5, IPCC[Sector_code], 0))</f>
        <v>International Aviation and Shipping</v>
      </c>
      <c r="CV4" s="1152"/>
      <c r="CW4" s="1152"/>
      <c r="CX4" s="1153"/>
      <c r="CY4" s="1151" t="str">
        <f>INDEX(IPCC[Sector_description], MATCH(CY$5, IPCC[Sector_code], 0))</f>
        <v>Bioenergy credit</v>
      </c>
      <c r="CZ4" s="1152"/>
      <c r="DA4" s="1152"/>
      <c r="DB4" s="1153"/>
      <c r="DC4" s="1151" t="str">
        <f>INDEX(IPCC[Sector_description], MATCH(DC$5, IPCC[Sector_code], 0))</f>
        <v>Carbon capture</v>
      </c>
      <c r="DD4" s="1152"/>
      <c r="DE4" s="1152"/>
      <c r="DF4" s="1153"/>
      <c r="DH4" s="1479" t="s">
        <v>148</v>
      </c>
    </row>
    <row r="5" spans="1:112">
      <c r="D5" s="951" t="s">
        <v>200</v>
      </c>
      <c r="G5" s="984" t="s">
        <v>6</v>
      </c>
      <c r="H5" s="984" t="s">
        <v>57</v>
      </c>
      <c r="I5" s="984" t="s">
        <v>13</v>
      </c>
      <c r="J5" s="984" t="s">
        <v>36</v>
      </c>
      <c r="K5" s="984" t="s">
        <v>37</v>
      </c>
      <c r="L5" s="984" t="s">
        <v>38</v>
      </c>
      <c r="M5" s="984" t="s">
        <v>39</v>
      </c>
      <c r="N5" s="984" t="s">
        <v>966</v>
      </c>
      <c r="O5" s="984" t="s">
        <v>967</v>
      </c>
      <c r="P5" s="984" t="s">
        <v>40</v>
      </c>
      <c r="Q5" s="984"/>
      <c r="S5" s="985" t="s">
        <v>45</v>
      </c>
      <c r="T5" s="985" t="s">
        <v>46</v>
      </c>
      <c r="U5" s="985" t="s">
        <v>47</v>
      </c>
      <c r="V5" s="985" t="s">
        <v>49</v>
      </c>
      <c r="W5" s="985" t="s">
        <v>50</v>
      </c>
      <c r="X5" s="985" t="s">
        <v>64</v>
      </c>
      <c r="Y5" s="985" t="s">
        <v>65</v>
      </c>
      <c r="Z5" s="985" t="s">
        <v>66</v>
      </c>
      <c r="AA5" s="985" t="s">
        <v>108</v>
      </c>
      <c r="AB5" s="985" t="s">
        <v>753</v>
      </c>
      <c r="AC5" s="985" t="s">
        <v>754</v>
      </c>
      <c r="AD5" s="985" t="s">
        <v>1801</v>
      </c>
      <c r="AE5" s="985" t="s">
        <v>2291</v>
      </c>
      <c r="AF5" s="985" t="s">
        <v>755</v>
      </c>
      <c r="AG5" s="985" t="s">
        <v>929</v>
      </c>
      <c r="AH5" s="985" t="s">
        <v>2294</v>
      </c>
      <c r="AI5" s="985" t="s">
        <v>1331</v>
      </c>
      <c r="AJ5" s="985" t="s">
        <v>1476</v>
      </c>
      <c r="AK5" s="985"/>
      <c r="AM5" s="982" t="s">
        <v>999</v>
      </c>
      <c r="AN5" s="982" t="s">
        <v>1000</v>
      </c>
      <c r="AO5" s="982" t="s">
        <v>1001</v>
      </c>
      <c r="AP5" s="982" t="s">
        <v>59</v>
      </c>
      <c r="AQ5" s="982" t="s">
        <v>60</v>
      </c>
      <c r="AR5" s="982" t="s">
        <v>799</v>
      </c>
      <c r="AS5" s="982" t="s">
        <v>991</v>
      </c>
      <c r="AT5" s="982" t="s">
        <v>992</v>
      </c>
      <c r="AU5" s="982" t="s">
        <v>993</v>
      </c>
      <c r="AV5" s="982" t="s">
        <v>7</v>
      </c>
      <c r="AW5" s="982" t="s">
        <v>33</v>
      </c>
      <c r="AX5" s="982" t="s">
        <v>8</v>
      </c>
      <c r="AY5" s="982" t="s">
        <v>9</v>
      </c>
      <c r="AZ5" s="982" t="s">
        <v>10</v>
      </c>
      <c r="BA5" s="982" t="s">
        <v>11</v>
      </c>
      <c r="BB5" s="982" t="s">
        <v>12</v>
      </c>
      <c r="BC5" s="982" t="s">
        <v>104</v>
      </c>
      <c r="BD5" s="982" t="s">
        <v>1027</v>
      </c>
      <c r="BE5" s="982" t="s">
        <v>54</v>
      </c>
      <c r="BF5" s="982"/>
      <c r="BH5" s="987" t="s">
        <v>34</v>
      </c>
      <c r="BI5" s="987" t="s">
        <v>35</v>
      </c>
      <c r="BJ5" s="987"/>
      <c r="BL5" s="502" t="s">
        <v>61</v>
      </c>
      <c r="BM5" s="502"/>
      <c r="BO5" s="1154" t="s">
        <v>1065</v>
      </c>
      <c r="BP5" s="1155" t="s">
        <v>1065</v>
      </c>
      <c r="BQ5" s="1155" t="s">
        <v>1065</v>
      </c>
      <c r="BR5" s="1156" t="s">
        <v>1065</v>
      </c>
      <c r="BS5" s="1154" t="s">
        <v>1064</v>
      </c>
      <c r="BT5" s="1155" t="s">
        <v>1064</v>
      </c>
      <c r="BU5" s="1155" t="s">
        <v>1064</v>
      </c>
      <c r="BV5" s="1156" t="s">
        <v>1064</v>
      </c>
      <c r="BW5" s="1154">
        <v>2</v>
      </c>
      <c r="BX5" s="1155">
        <v>2</v>
      </c>
      <c r="BY5" s="1155">
        <v>2</v>
      </c>
      <c r="BZ5" s="1156">
        <v>2</v>
      </c>
      <c r="CA5" s="1154">
        <v>3</v>
      </c>
      <c r="CB5" s="1155">
        <v>3</v>
      </c>
      <c r="CC5" s="1155">
        <v>3</v>
      </c>
      <c r="CD5" s="1156">
        <v>3</v>
      </c>
      <c r="CE5" s="1154">
        <v>4</v>
      </c>
      <c r="CF5" s="1155">
        <v>4</v>
      </c>
      <c r="CG5" s="1155">
        <v>4</v>
      </c>
      <c r="CH5" s="1156">
        <v>4</v>
      </c>
      <c r="CI5" s="1154">
        <v>5</v>
      </c>
      <c r="CJ5" s="1155">
        <v>5</v>
      </c>
      <c r="CK5" s="1155">
        <v>5</v>
      </c>
      <c r="CL5" s="1156">
        <v>5</v>
      </c>
      <c r="CM5" s="1154">
        <v>6</v>
      </c>
      <c r="CN5" s="1155">
        <v>6</v>
      </c>
      <c r="CO5" s="1155">
        <v>6</v>
      </c>
      <c r="CP5" s="1156">
        <v>6</v>
      </c>
      <c r="CQ5" s="1154">
        <v>7</v>
      </c>
      <c r="CR5" s="1155">
        <v>7</v>
      </c>
      <c r="CS5" s="1155">
        <v>7</v>
      </c>
      <c r="CT5" s="1156">
        <v>7</v>
      </c>
      <c r="CU5" s="1154" t="s">
        <v>1050</v>
      </c>
      <c r="CV5" s="1155" t="s">
        <v>1050</v>
      </c>
      <c r="CW5" s="1155" t="s">
        <v>1050</v>
      </c>
      <c r="CX5" s="1156" t="s">
        <v>1050</v>
      </c>
      <c r="CY5" s="1154" t="s">
        <v>1051</v>
      </c>
      <c r="CZ5" s="1155" t="s">
        <v>1051</v>
      </c>
      <c r="DA5" s="1155" t="s">
        <v>1051</v>
      </c>
      <c r="DB5" s="1156" t="s">
        <v>1051</v>
      </c>
      <c r="DC5" s="1154" t="s">
        <v>1078</v>
      </c>
      <c r="DD5" s="1155" t="s">
        <v>1078</v>
      </c>
      <c r="DE5" s="1155" t="s">
        <v>1078</v>
      </c>
      <c r="DF5" s="1156" t="s">
        <v>1078</v>
      </c>
    </row>
    <row r="6" spans="1:112" ht="15.75" customHeight="1">
      <c r="G6" s="955"/>
      <c r="H6" s="955"/>
      <c r="I6" s="955"/>
      <c r="J6" s="955"/>
      <c r="K6" s="956"/>
      <c r="L6" s="955"/>
      <c r="M6" s="955"/>
      <c r="N6" s="955"/>
      <c r="O6" s="955"/>
      <c r="P6" s="955"/>
      <c r="Q6" s="955"/>
      <c r="S6" s="968"/>
      <c r="T6" s="968"/>
      <c r="U6" s="968"/>
      <c r="V6" s="968"/>
      <c r="W6" s="968"/>
      <c r="X6" s="968"/>
      <c r="Y6" s="968"/>
      <c r="Z6" s="968"/>
      <c r="AA6" s="968"/>
      <c r="AB6" s="968"/>
      <c r="AC6" s="968"/>
      <c r="AD6" s="968"/>
      <c r="AE6" s="968"/>
      <c r="AF6" s="968"/>
      <c r="AG6" s="968"/>
      <c r="AH6" s="968"/>
      <c r="AI6" s="968"/>
      <c r="AJ6" s="968"/>
      <c r="AK6" s="968"/>
      <c r="AM6" s="974"/>
      <c r="AN6" s="974"/>
      <c r="AO6" s="974"/>
      <c r="AP6" s="974"/>
      <c r="AQ6" s="974"/>
      <c r="AR6" s="974"/>
      <c r="AS6" s="974"/>
      <c r="AT6" s="974"/>
      <c r="AU6" s="974"/>
      <c r="AV6" s="974"/>
      <c r="AW6" s="974"/>
      <c r="AX6" s="974"/>
      <c r="AY6" s="974"/>
      <c r="AZ6" s="974"/>
      <c r="BA6" s="974"/>
      <c r="BB6" s="974"/>
      <c r="BC6" s="974"/>
      <c r="BD6" s="974"/>
      <c r="BE6" s="974"/>
      <c r="BF6" s="974"/>
      <c r="BH6" s="988"/>
      <c r="BI6" s="988"/>
      <c r="BJ6" s="988"/>
      <c r="BL6" s="511"/>
      <c r="BM6" s="511"/>
      <c r="BO6" s="1144" t="s">
        <v>1055</v>
      </c>
      <c r="BP6" s="1144" t="s">
        <v>1056</v>
      </c>
      <c r="BQ6" s="1144" t="s">
        <v>1057</v>
      </c>
      <c r="BR6" s="1144" t="s">
        <v>1058</v>
      </c>
      <c r="BS6" s="1144" t="s">
        <v>1055</v>
      </c>
      <c r="BT6" s="1144" t="s">
        <v>1056</v>
      </c>
      <c r="BU6" s="1144" t="s">
        <v>1057</v>
      </c>
      <c r="BV6" s="1144" t="s">
        <v>1058</v>
      </c>
      <c r="BW6" s="1144" t="s">
        <v>1055</v>
      </c>
      <c r="BX6" s="1144" t="s">
        <v>1056</v>
      </c>
      <c r="BY6" s="1144" t="s">
        <v>1057</v>
      </c>
      <c r="BZ6" s="1144" t="s">
        <v>1058</v>
      </c>
      <c r="CA6" s="1144" t="s">
        <v>1055</v>
      </c>
      <c r="CB6" s="1144" t="s">
        <v>1056</v>
      </c>
      <c r="CC6" s="1144" t="s">
        <v>1057</v>
      </c>
      <c r="CD6" s="1144" t="s">
        <v>1058</v>
      </c>
      <c r="CE6" s="1144" t="s">
        <v>1055</v>
      </c>
      <c r="CF6" s="1144" t="s">
        <v>1056</v>
      </c>
      <c r="CG6" s="1144" t="s">
        <v>1057</v>
      </c>
      <c r="CH6" s="1144" t="s">
        <v>1058</v>
      </c>
      <c r="CI6" s="1144" t="s">
        <v>1055</v>
      </c>
      <c r="CJ6" s="1144" t="s">
        <v>1056</v>
      </c>
      <c r="CK6" s="1144" t="s">
        <v>1057</v>
      </c>
      <c r="CL6" s="1144" t="s">
        <v>1058</v>
      </c>
      <c r="CM6" s="1144" t="s">
        <v>1055</v>
      </c>
      <c r="CN6" s="1144" t="s">
        <v>1056</v>
      </c>
      <c r="CO6" s="1144" t="s">
        <v>1057</v>
      </c>
      <c r="CP6" s="1144" t="s">
        <v>1058</v>
      </c>
      <c r="CQ6" s="1144" t="s">
        <v>1055</v>
      </c>
      <c r="CR6" s="1144" t="s">
        <v>1056</v>
      </c>
      <c r="CS6" s="1144" t="s">
        <v>1057</v>
      </c>
      <c r="CT6" s="1144" t="s">
        <v>1058</v>
      </c>
      <c r="CU6" s="1144" t="s">
        <v>1055</v>
      </c>
      <c r="CV6" s="1144" t="s">
        <v>1056</v>
      </c>
      <c r="CW6" s="1144" t="s">
        <v>1057</v>
      </c>
      <c r="CX6" s="1144" t="s">
        <v>1058</v>
      </c>
      <c r="CY6" s="1144" t="s">
        <v>1055</v>
      </c>
      <c r="CZ6" s="1144" t="s">
        <v>1056</v>
      </c>
      <c r="DA6" s="1144" t="s">
        <v>1057</v>
      </c>
      <c r="DB6" s="1144" t="s">
        <v>1058</v>
      </c>
      <c r="DC6" s="1144" t="s">
        <v>1055</v>
      </c>
      <c r="DD6" s="1144" t="s">
        <v>1056</v>
      </c>
      <c r="DE6" s="1144" t="s">
        <v>1057</v>
      </c>
      <c r="DF6" s="1144" t="s">
        <v>1058</v>
      </c>
    </row>
    <row r="7" spans="1:112" ht="18" customHeight="1">
      <c r="C7" s="501" t="s">
        <v>592</v>
      </c>
      <c r="D7" s="501"/>
      <c r="E7" s="639"/>
      <c r="G7" s="957"/>
      <c r="H7" s="957"/>
      <c r="I7" s="957"/>
      <c r="J7" s="957"/>
      <c r="K7" s="957"/>
      <c r="L7" s="957"/>
      <c r="M7" s="957"/>
      <c r="N7" s="957"/>
      <c r="O7" s="957"/>
      <c r="P7" s="957"/>
      <c r="Q7" s="957"/>
      <c r="S7" s="969"/>
      <c r="T7" s="969"/>
      <c r="U7" s="969"/>
      <c r="V7" s="969"/>
      <c r="W7" s="969"/>
      <c r="X7" s="969"/>
      <c r="Y7" s="969"/>
      <c r="Z7" s="969"/>
      <c r="AA7" s="969"/>
      <c r="AB7" s="969"/>
      <c r="AC7" s="969"/>
      <c r="AD7" s="969"/>
      <c r="AE7" s="969"/>
      <c r="AF7" s="969"/>
      <c r="AG7" s="969"/>
      <c r="AH7" s="969"/>
      <c r="AI7" s="969"/>
      <c r="AJ7" s="969"/>
      <c r="AK7" s="969"/>
      <c r="AM7" s="975"/>
      <c r="AN7" s="975"/>
      <c r="AO7" s="975"/>
      <c r="AP7" s="975"/>
      <c r="AQ7" s="975"/>
      <c r="AR7" s="975"/>
      <c r="AS7" s="975"/>
      <c r="AT7" s="975"/>
      <c r="AU7" s="975"/>
      <c r="AV7" s="975"/>
      <c r="AW7" s="975"/>
      <c r="AX7" s="975"/>
      <c r="AY7" s="975"/>
      <c r="AZ7" s="975"/>
      <c r="BA7" s="975"/>
      <c r="BB7" s="975"/>
      <c r="BC7" s="975"/>
      <c r="BD7" s="975"/>
      <c r="BE7" s="975"/>
      <c r="BF7" s="975"/>
      <c r="BH7" s="989"/>
      <c r="BI7" s="989"/>
      <c r="BJ7" s="989"/>
      <c r="BL7" s="514"/>
      <c r="BM7" s="514"/>
      <c r="BO7" s="1145"/>
      <c r="BP7" s="1145"/>
      <c r="BQ7" s="1145"/>
      <c r="BR7" s="1145"/>
      <c r="BS7" s="1145"/>
      <c r="BT7" s="1145"/>
      <c r="BU7" s="1145"/>
      <c r="BV7" s="1145"/>
      <c r="BW7" s="1145"/>
      <c r="BX7" s="1145"/>
      <c r="BY7" s="1145"/>
      <c r="BZ7" s="1145"/>
      <c r="CA7" s="1145"/>
      <c r="CB7" s="1145"/>
      <c r="CC7" s="1145"/>
      <c r="CD7" s="1145"/>
      <c r="CE7" s="1145"/>
      <c r="CF7" s="1145"/>
      <c r="CG7" s="1145"/>
      <c r="CH7" s="1145"/>
      <c r="CI7" s="1145"/>
      <c r="CJ7" s="1145"/>
      <c r="CK7" s="1145"/>
      <c r="CL7" s="1145"/>
      <c r="CM7" s="1145"/>
      <c r="CN7" s="1145"/>
      <c r="CO7" s="1145"/>
      <c r="CP7" s="1145"/>
      <c r="CQ7" s="1145"/>
      <c r="CR7" s="1145"/>
      <c r="CS7" s="1145"/>
      <c r="CT7" s="1145"/>
      <c r="CU7" s="1145"/>
      <c r="CV7" s="1145"/>
      <c r="CW7" s="1145"/>
      <c r="CX7" s="1145"/>
      <c r="CY7" s="1145"/>
      <c r="CZ7" s="1145"/>
      <c r="DA7" s="1145"/>
      <c r="DB7" s="1145"/>
      <c r="DC7" s="1145"/>
      <c r="DD7" s="1145"/>
      <c r="DE7" s="1145"/>
      <c r="DF7" s="1145"/>
    </row>
    <row r="8" spans="1:112" ht="6" hidden="1" customHeight="1" outlineLevel="1">
      <c r="G8" s="958"/>
      <c r="H8" s="958"/>
      <c r="I8" s="958"/>
      <c r="J8" s="958"/>
      <c r="K8" s="959"/>
      <c r="L8" s="958"/>
      <c r="M8" s="958"/>
      <c r="N8" s="958"/>
      <c r="O8" s="958"/>
      <c r="P8" s="958"/>
      <c r="Q8" s="958"/>
      <c r="S8" s="970"/>
      <c r="T8" s="970"/>
      <c r="U8" s="970"/>
      <c r="V8" s="970"/>
      <c r="W8" s="970"/>
      <c r="X8" s="970"/>
      <c r="Y8" s="970"/>
      <c r="Z8" s="970"/>
      <c r="AA8" s="970"/>
      <c r="AB8" s="970"/>
      <c r="AC8" s="970"/>
      <c r="AD8" s="970"/>
      <c r="AE8" s="970"/>
      <c r="AF8" s="970"/>
      <c r="AG8" s="970"/>
      <c r="AH8" s="970"/>
      <c r="AI8" s="970"/>
      <c r="AJ8" s="970"/>
      <c r="AK8" s="970"/>
      <c r="AM8" s="976"/>
      <c r="AN8" s="976"/>
      <c r="AO8" s="976"/>
      <c r="AP8" s="976"/>
      <c r="AQ8" s="976"/>
      <c r="AR8" s="976"/>
      <c r="AS8" s="976"/>
      <c r="AT8" s="976"/>
      <c r="AU8" s="976"/>
      <c r="AV8" s="976"/>
      <c r="AW8" s="976"/>
      <c r="AX8" s="976"/>
      <c r="AY8" s="976"/>
      <c r="AZ8" s="976"/>
      <c r="BA8" s="976"/>
      <c r="BB8" s="976"/>
      <c r="BC8" s="976"/>
      <c r="BD8" s="976"/>
      <c r="BE8" s="976"/>
      <c r="BF8" s="976"/>
      <c r="BH8" s="990"/>
      <c r="BI8" s="990"/>
      <c r="BJ8" s="990"/>
      <c r="BL8" s="515"/>
      <c r="BM8" s="515"/>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1146"/>
      <c r="DA8" s="1146"/>
      <c r="DB8" s="1146"/>
      <c r="DC8" s="1146"/>
      <c r="DD8" s="1146"/>
      <c r="DE8" s="1146"/>
      <c r="DF8" s="1146"/>
    </row>
    <row r="9" spans="1:112" s="743" customFormat="1" ht="10.5" hidden="1" customHeight="1" outlineLevel="2">
      <c r="A9" s="1480"/>
      <c r="B9" s="1480"/>
      <c r="C9" s="746" t="s">
        <v>829</v>
      </c>
      <c r="D9" s="1480" t="str">
        <f>INDEX(Modules[Module], MATCH($C9, Modules[Code], 0))</f>
        <v>Domestic space heating and hot water</v>
      </c>
      <c r="E9" s="521"/>
      <c r="G9" s="1017">
        <f ca="1">IFERROR(INDEX(INDIRECT($C9&amp;".Outputs["&amp;this.Year&amp;"]"), MATCH(G$5, INDIRECT($C9&amp;".Outputs[Vector]"), 0)), 0)</f>
        <v>509.19707772050555</v>
      </c>
      <c r="H9" s="1017">
        <f t="shared" ref="G9:P13" ca="1" si="0">IFERROR(INDEX(INDIRECT($C9&amp;".Outputs["&amp;this.Year&amp;"]"), MATCH(H$5, INDIRECT($C9&amp;".Outputs[Vector]"), 0)), 0)</f>
        <v>0</v>
      </c>
      <c r="I9" s="1017">
        <f t="shared" ca="1" si="0"/>
        <v>0</v>
      </c>
      <c r="J9" s="1017">
        <f t="shared" ca="1" si="0"/>
        <v>0</v>
      </c>
      <c r="K9" s="1017">
        <f t="shared" ca="1" si="0"/>
        <v>0</v>
      </c>
      <c r="L9" s="1017">
        <f t="shared" ca="1" si="0"/>
        <v>0</v>
      </c>
      <c r="M9" s="1017">
        <f t="shared" ca="1" si="0"/>
        <v>0</v>
      </c>
      <c r="N9" s="1017">
        <f t="shared" ca="1" si="0"/>
        <v>0</v>
      </c>
      <c r="O9" s="1017">
        <f t="shared" ca="1" si="0"/>
        <v>0</v>
      </c>
      <c r="P9" s="1017">
        <f t="shared" ca="1" si="0"/>
        <v>0</v>
      </c>
      <c r="Q9" s="1019">
        <f t="shared" ref="Q9:Q15" ca="1" si="1">SUM(G9:P9)</f>
        <v>509.19707772050555</v>
      </c>
      <c r="S9" s="1026">
        <f t="shared" ref="S9:BE13" ca="1" si="2">IFERROR(INDEX(INDIRECT($C9&amp;".Outputs["&amp;this.Year&amp;"]"), MATCH(S$5, INDIRECT($C9&amp;".Outputs[Vector]"), 0)), 0)</f>
        <v>-47.317201506408232</v>
      </c>
      <c r="T9" s="1026">
        <f t="shared" ca="1" si="2"/>
        <v>0</v>
      </c>
      <c r="U9" s="1026">
        <f t="shared" ca="1" si="2"/>
        <v>-5.9499892900432574</v>
      </c>
      <c r="V9" s="1026">
        <f t="shared" ca="1" si="2"/>
        <v>-5.3365883323068397</v>
      </c>
      <c r="W9" s="1026">
        <f t="shared" ca="1" si="2"/>
        <v>-450.59329859174721</v>
      </c>
      <c r="X9" s="1026">
        <f t="shared" ref="X9:Z10" ca="1" si="3">IFERROR(INDEX(INDIRECT($C9&amp;".Outputs["&amp;this.Year&amp;"]"), MATCH(X$5, INDIRECT($C9&amp;".Outputs[Vector]"), 0)), 0)</f>
        <v>0</v>
      </c>
      <c r="Y9" s="1026">
        <f t="shared" ca="1" si="3"/>
        <v>0</v>
      </c>
      <c r="Z9" s="1026">
        <f t="shared" ca="1" si="3"/>
        <v>0</v>
      </c>
      <c r="AA9" s="1026">
        <f t="shared" ca="1" si="2"/>
        <v>0</v>
      </c>
      <c r="AB9" s="1026">
        <f t="shared" ca="1" si="2"/>
        <v>0</v>
      </c>
      <c r="AC9" s="1026">
        <f t="shared" ca="1" si="2"/>
        <v>0</v>
      </c>
      <c r="AD9" s="1026">
        <f t="shared" ca="1" si="2"/>
        <v>0</v>
      </c>
      <c r="AE9" s="1026">
        <f t="shared" ca="1" si="2"/>
        <v>0</v>
      </c>
      <c r="AF9" s="1026">
        <f t="shared" ca="1" si="2"/>
        <v>0</v>
      </c>
      <c r="AG9" s="1026">
        <f t="shared" ca="1" si="2"/>
        <v>0</v>
      </c>
      <c r="AH9" s="1026">
        <f t="shared" ca="1" si="2"/>
        <v>0</v>
      </c>
      <c r="AI9" s="1026">
        <f t="shared" ca="1" si="2"/>
        <v>0</v>
      </c>
      <c r="AJ9" s="1026">
        <f t="shared" ca="1" si="2"/>
        <v>0</v>
      </c>
      <c r="AK9" s="1027">
        <f t="shared" ref="AK9:AK15" ca="1" si="4">SUM(S9:AJ9)</f>
        <v>-509.19707772050555</v>
      </c>
      <c r="AM9" s="1038">
        <f t="shared" ref="AM9:AU10" ca="1" si="5">IFERROR(INDEX(INDIRECT($C9&amp;".Outputs["&amp;this.Year&amp;"]"), MATCH(AM$5, INDIRECT($C9&amp;".Outputs[Vector]"), 0)), 0)</f>
        <v>0</v>
      </c>
      <c r="AN9" s="1038">
        <f t="shared" ca="1" si="5"/>
        <v>0</v>
      </c>
      <c r="AO9" s="1038">
        <f t="shared" ca="1" si="5"/>
        <v>0</v>
      </c>
      <c r="AP9" s="1038">
        <f t="shared" ca="1" si="5"/>
        <v>0</v>
      </c>
      <c r="AQ9" s="1038">
        <f t="shared" ca="1" si="5"/>
        <v>0</v>
      </c>
      <c r="AR9" s="1038">
        <f t="shared" ca="1" si="5"/>
        <v>0</v>
      </c>
      <c r="AS9" s="1038">
        <f t="shared" ca="1" si="5"/>
        <v>0</v>
      </c>
      <c r="AT9" s="1038">
        <f t="shared" ca="1" si="5"/>
        <v>0</v>
      </c>
      <c r="AU9" s="1038">
        <f t="shared" ca="1" si="5"/>
        <v>0</v>
      </c>
      <c r="AV9" s="1038">
        <f t="shared" ca="1" si="2"/>
        <v>0</v>
      </c>
      <c r="AW9" s="1038">
        <f t="shared" ca="1" si="2"/>
        <v>0</v>
      </c>
      <c r="AX9" s="1038">
        <f t="shared" ca="1" si="2"/>
        <v>0</v>
      </c>
      <c r="AY9" s="1038">
        <f t="shared" ca="1" si="2"/>
        <v>0</v>
      </c>
      <c r="AZ9" s="1038">
        <f t="shared" ca="1" si="2"/>
        <v>0</v>
      </c>
      <c r="BA9" s="1038">
        <f t="shared" ca="1" si="2"/>
        <v>0</v>
      </c>
      <c r="BB9" s="1038">
        <f t="shared" ca="1" si="2"/>
        <v>0</v>
      </c>
      <c r="BC9" s="1038">
        <f t="shared" ca="1" si="2"/>
        <v>0</v>
      </c>
      <c r="BD9" s="1038">
        <f t="shared" ca="1" si="2"/>
        <v>0</v>
      </c>
      <c r="BE9" s="1038">
        <f t="shared" ca="1" si="2"/>
        <v>0</v>
      </c>
      <c r="BF9" s="977">
        <f t="shared" ref="BF9:BF15" ca="1" si="6">SUM(AM9:BE9)</f>
        <v>0</v>
      </c>
      <c r="BH9" s="1032">
        <f t="shared" ref="BH9:BI13" ca="1" si="7">IFERROR(INDEX(INDIRECT($C9&amp;".Outputs["&amp;this.Year&amp;"]"), MATCH(BH$5, INDIRECT($C9&amp;".Outputs[Vector]"), 0)), 0)</f>
        <v>0</v>
      </c>
      <c r="BI9" s="1032">
        <f t="shared" ca="1" si="7"/>
        <v>0</v>
      </c>
      <c r="BJ9" s="1034">
        <f t="shared" ref="BJ9:BJ15" ca="1" si="8">SUM(BH9:BI9)</f>
        <v>0</v>
      </c>
      <c r="BL9" s="524">
        <f t="shared" ref="BL9:BL44" ca="1" si="9">Q9+AK9+BF9+BJ9</f>
        <v>0</v>
      </c>
      <c r="BM9" s="524"/>
      <c r="BN9" s="840"/>
      <c r="BO9" s="1481">
        <f t="shared" ref="BO9:BX10" ca="1" si="10">IFERROR(SUMIFS(INDIRECT($C9&amp;".Emissions["&amp;this.Year&amp;"]"), INDIRECT($C9&amp;".Emissions[GHG]"), BO$6, INDIRECT($C9&amp;".Emissions[IPCC Sector]"), BO$5),0)</f>
        <v>86.075910725291507</v>
      </c>
      <c r="BP9" s="1482">
        <f t="shared" ca="1" si="10"/>
        <v>0.17323475492537049</v>
      </c>
      <c r="BQ9" s="1482">
        <f t="shared" ca="1" si="10"/>
        <v>0.21898380526794403</v>
      </c>
      <c r="BR9" s="1482">
        <f t="shared" ca="1" si="10"/>
        <v>0</v>
      </c>
      <c r="BS9" s="1482">
        <f t="shared" ca="1" si="10"/>
        <v>0</v>
      </c>
      <c r="BT9" s="1482">
        <f t="shared" ca="1" si="10"/>
        <v>0</v>
      </c>
      <c r="BU9" s="1482">
        <f t="shared" ca="1" si="10"/>
        <v>0</v>
      </c>
      <c r="BV9" s="1482">
        <f t="shared" ca="1" si="10"/>
        <v>0</v>
      </c>
      <c r="BW9" s="1482">
        <f t="shared" ca="1" si="10"/>
        <v>0</v>
      </c>
      <c r="BX9" s="1482">
        <f t="shared" ca="1" si="10"/>
        <v>0</v>
      </c>
      <c r="BY9" s="1482">
        <f t="shared" ref="BY9:CH10" ca="1" si="11">IFERROR(SUMIFS(INDIRECT($C9&amp;".Emissions["&amp;this.Year&amp;"]"), INDIRECT($C9&amp;".Emissions[GHG]"), BY$6, INDIRECT($C9&amp;".Emissions[IPCC Sector]"), BY$5),0)</f>
        <v>0</v>
      </c>
      <c r="BZ9" s="1482">
        <f t="shared" ca="1" si="11"/>
        <v>0</v>
      </c>
      <c r="CA9" s="1482">
        <f t="shared" ca="1" si="11"/>
        <v>0</v>
      </c>
      <c r="CB9" s="1482">
        <f t="shared" ca="1" si="11"/>
        <v>0</v>
      </c>
      <c r="CC9" s="1482">
        <f t="shared" ca="1" si="11"/>
        <v>0</v>
      </c>
      <c r="CD9" s="1482">
        <f t="shared" ca="1" si="11"/>
        <v>0</v>
      </c>
      <c r="CE9" s="1482">
        <f t="shared" ca="1" si="11"/>
        <v>0</v>
      </c>
      <c r="CF9" s="1482">
        <f t="shared" ca="1" si="11"/>
        <v>0</v>
      </c>
      <c r="CG9" s="1482">
        <f t="shared" ca="1" si="11"/>
        <v>0</v>
      </c>
      <c r="CH9" s="1482">
        <f t="shared" ca="1" si="11"/>
        <v>0</v>
      </c>
      <c r="CI9" s="1482">
        <f t="shared" ref="CI9:CR10" ca="1" si="12">IFERROR(SUMIFS(INDIRECT($C9&amp;".Emissions["&amp;this.Year&amp;"]"), INDIRECT($C9&amp;".Emissions[GHG]"), CI$6, INDIRECT($C9&amp;".Emissions[IPCC Sector]"), CI$5),0)</f>
        <v>0</v>
      </c>
      <c r="CJ9" s="1482">
        <f t="shared" ca="1" si="12"/>
        <v>0</v>
      </c>
      <c r="CK9" s="1482">
        <f t="shared" ca="1" si="12"/>
        <v>0</v>
      </c>
      <c r="CL9" s="1482">
        <f t="shared" ca="1" si="12"/>
        <v>0</v>
      </c>
      <c r="CM9" s="1482">
        <f t="shared" ca="1" si="12"/>
        <v>0</v>
      </c>
      <c r="CN9" s="1482">
        <f t="shared" ca="1" si="12"/>
        <v>0</v>
      </c>
      <c r="CO9" s="1482">
        <f t="shared" ca="1" si="12"/>
        <v>0</v>
      </c>
      <c r="CP9" s="1482">
        <f t="shared" ca="1" si="12"/>
        <v>0</v>
      </c>
      <c r="CQ9" s="1482">
        <f t="shared" ca="1" si="12"/>
        <v>0</v>
      </c>
      <c r="CR9" s="1482">
        <f t="shared" ca="1" si="12"/>
        <v>0</v>
      </c>
      <c r="CS9" s="1482">
        <f t="shared" ref="CS9:DF10" ca="1" si="13">IFERROR(SUMIFS(INDIRECT($C9&amp;".Emissions["&amp;this.Year&amp;"]"), INDIRECT($C9&amp;".Emissions[GHG]"), CS$6, INDIRECT($C9&amp;".Emissions[IPCC Sector]"), CS$5),0)</f>
        <v>0</v>
      </c>
      <c r="CT9" s="1482">
        <f t="shared" ca="1" si="13"/>
        <v>0</v>
      </c>
      <c r="CU9" s="1482">
        <f t="shared" ca="1" si="13"/>
        <v>0</v>
      </c>
      <c r="CV9" s="1482">
        <f t="shared" ca="1" si="13"/>
        <v>0</v>
      </c>
      <c r="CW9" s="1482">
        <f t="shared" ca="1" si="13"/>
        <v>0</v>
      </c>
      <c r="CX9" s="1482">
        <f t="shared" ca="1" si="13"/>
        <v>0</v>
      </c>
      <c r="CY9" s="1482">
        <f t="shared" ca="1" si="13"/>
        <v>0</v>
      </c>
      <c r="CZ9" s="1482">
        <f t="shared" ca="1" si="13"/>
        <v>0</v>
      </c>
      <c r="DA9" s="1482">
        <f t="shared" ca="1" si="13"/>
        <v>0</v>
      </c>
      <c r="DB9" s="1482">
        <f t="shared" ca="1" si="13"/>
        <v>0</v>
      </c>
      <c r="DC9" s="1482">
        <f t="shared" ca="1" si="13"/>
        <v>0</v>
      </c>
      <c r="DD9" s="1482">
        <f t="shared" ca="1" si="13"/>
        <v>0</v>
      </c>
      <c r="DE9" s="1482">
        <f t="shared" ca="1" si="13"/>
        <v>0</v>
      </c>
      <c r="DF9" s="1482">
        <f t="shared" ca="1" si="13"/>
        <v>0</v>
      </c>
      <c r="DH9" s="838"/>
    </row>
    <row r="10" spans="1:112" s="743" customFormat="1" ht="10.5" hidden="1" customHeight="1" outlineLevel="2">
      <c r="A10" s="1483"/>
      <c r="B10" s="1483"/>
      <c r="C10" s="1009" t="s">
        <v>898</v>
      </c>
      <c r="D10" s="1483" t="str">
        <f>INDEX(Modules[Module], MATCH($C10, Modules[Code], 0))</f>
        <v>Domestic hot water [UNUSED - See IX.a]</v>
      </c>
      <c r="E10" s="1006"/>
      <c r="G10" s="1018">
        <f t="shared" ca="1" si="0"/>
        <v>0</v>
      </c>
      <c r="H10" s="1018">
        <f t="shared" ca="1" si="0"/>
        <v>0</v>
      </c>
      <c r="I10" s="1018">
        <f t="shared" ca="1" si="0"/>
        <v>0</v>
      </c>
      <c r="J10" s="1018">
        <f t="shared" ca="1" si="0"/>
        <v>0</v>
      </c>
      <c r="K10" s="1018">
        <f t="shared" ca="1" si="0"/>
        <v>0</v>
      </c>
      <c r="L10" s="1018">
        <f t="shared" ca="1" si="0"/>
        <v>0</v>
      </c>
      <c r="M10" s="1018">
        <f t="shared" ca="1" si="0"/>
        <v>0</v>
      </c>
      <c r="N10" s="1018">
        <f t="shared" ca="1" si="0"/>
        <v>0</v>
      </c>
      <c r="O10" s="1018">
        <f t="shared" ca="1" si="0"/>
        <v>0</v>
      </c>
      <c r="P10" s="1018">
        <f t="shared" ca="1" si="0"/>
        <v>0</v>
      </c>
      <c r="Q10" s="1024">
        <f t="shared" ca="1" si="1"/>
        <v>0</v>
      </c>
      <c r="S10" s="1028">
        <f t="shared" ca="1" si="2"/>
        <v>0</v>
      </c>
      <c r="T10" s="1028">
        <f t="shared" ca="1" si="2"/>
        <v>0</v>
      </c>
      <c r="U10" s="1028">
        <f t="shared" ca="1" si="2"/>
        <v>0</v>
      </c>
      <c r="V10" s="1028">
        <f t="shared" ca="1" si="2"/>
        <v>0</v>
      </c>
      <c r="W10" s="1028">
        <f t="shared" ca="1" si="2"/>
        <v>0</v>
      </c>
      <c r="X10" s="1028">
        <f t="shared" ca="1" si="3"/>
        <v>0</v>
      </c>
      <c r="Y10" s="1028">
        <f t="shared" ca="1" si="3"/>
        <v>0</v>
      </c>
      <c r="Z10" s="1028">
        <f t="shared" ca="1" si="3"/>
        <v>0</v>
      </c>
      <c r="AA10" s="1028">
        <f t="shared" ca="1" si="2"/>
        <v>0</v>
      </c>
      <c r="AB10" s="1028">
        <f t="shared" ca="1" si="2"/>
        <v>0</v>
      </c>
      <c r="AC10" s="1028">
        <f t="shared" ca="1" si="2"/>
        <v>0</v>
      </c>
      <c r="AD10" s="1028">
        <f t="shared" ca="1" si="2"/>
        <v>0</v>
      </c>
      <c r="AE10" s="1028">
        <f t="shared" ca="1" si="2"/>
        <v>0</v>
      </c>
      <c r="AF10" s="1028">
        <f t="shared" ca="1" si="2"/>
        <v>0</v>
      </c>
      <c r="AG10" s="1028">
        <f t="shared" ca="1" si="2"/>
        <v>0</v>
      </c>
      <c r="AH10" s="1028">
        <f t="shared" ca="1" si="2"/>
        <v>0</v>
      </c>
      <c r="AI10" s="1028">
        <f t="shared" ca="1" si="2"/>
        <v>0</v>
      </c>
      <c r="AJ10" s="1028">
        <f t="shared" ca="1" si="2"/>
        <v>0</v>
      </c>
      <c r="AK10" s="1029">
        <f t="shared" ca="1" si="4"/>
        <v>0</v>
      </c>
      <c r="AM10" s="1039">
        <f t="shared" ca="1" si="5"/>
        <v>0</v>
      </c>
      <c r="AN10" s="1039">
        <f t="shared" ca="1" si="5"/>
        <v>0</v>
      </c>
      <c r="AO10" s="1039">
        <f t="shared" ca="1" si="5"/>
        <v>0</v>
      </c>
      <c r="AP10" s="1039">
        <f t="shared" ca="1" si="5"/>
        <v>0</v>
      </c>
      <c r="AQ10" s="1039">
        <f t="shared" ca="1" si="5"/>
        <v>0</v>
      </c>
      <c r="AR10" s="1039">
        <f t="shared" ca="1" si="5"/>
        <v>0</v>
      </c>
      <c r="AS10" s="1039">
        <f t="shared" ca="1" si="5"/>
        <v>0</v>
      </c>
      <c r="AT10" s="1039">
        <f t="shared" ca="1" si="5"/>
        <v>0</v>
      </c>
      <c r="AU10" s="1039">
        <f t="shared" ca="1" si="5"/>
        <v>0</v>
      </c>
      <c r="AV10" s="1039">
        <f t="shared" ca="1" si="2"/>
        <v>0</v>
      </c>
      <c r="AW10" s="1039">
        <f t="shared" ca="1" si="2"/>
        <v>0</v>
      </c>
      <c r="AX10" s="1039">
        <f t="shared" ca="1" si="2"/>
        <v>0</v>
      </c>
      <c r="AY10" s="1039">
        <f t="shared" ca="1" si="2"/>
        <v>0</v>
      </c>
      <c r="AZ10" s="1039">
        <f t="shared" ca="1" si="2"/>
        <v>0</v>
      </c>
      <c r="BA10" s="1039">
        <f t="shared" ca="1" si="2"/>
        <v>0</v>
      </c>
      <c r="BB10" s="1039">
        <f t="shared" ca="1" si="2"/>
        <v>0</v>
      </c>
      <c r="BC10" s="1039">
        <f t="shared" ca="1" si="2"/>
        <v>0</v>
      </c>
      <c r="BD10" s="1039">
        <f t="shared" ca="1" si="2"/>
        <v>0</v>
      </c>
      <c r="BE10" s="1039">
        <f t="shared" ca="1" si="2"/>
        <v>0</v>
      </c>
      <c r="BF10" s="1008">
        <f t="shared" ca="1" si="6"/>
        <v>0</v>
      </c>
      <c r="BH10" s="1033">
        <f t="shared" ca="1" si="7"/>
        <v>0</v>
      </c>
      <c r="BI10" s="1033">
        <f t="shared" ca="1" si="7"/>
        <v>0</v>
      </c>
      <c r="BJ10" s="1044">
        <f t="shared" ca="1" si="8"/>
        <v>0</v>
      </c>
      <c r="BL10" s="1007">
        <f t="shared" ca="1" si="9"/>
        <v>0</v>
      </c>
      <c r="BM10" s="1007"/>
      <c r="BN10" s="840"/>
      <c r="BO10" s="1481">
        <f t="shared" ca="1" si="10"/>
        <v>0</v>
      </c>
      <c r="BP10" s="1482">
        <f t="shared" ca="1" si="10"/>
        <v>0</v>
      </c>
      <c r="BQ10" s="1482">
        <f t="shared" ca="1" si="10"/>
        <v>0</v>
      </c>
      <c r="BR10" s="1482">
        <f t="shared" ca="1" si="10"/>
        <v>0</v>
      </c>
      <c r="BS10" s="1482">
        <f t="shared" ca="1" si="10"/>
        <v>0</v>
      </c>
      <c r="BT10" s="1482">
        <f t="shared" ca="1" si="10"/>
        <v>0</v>
      </c>
      <c r="BU10" s="1482">
        <f t="shared" ca="1" si="10"/>
        <v>0</v>
      </c>
      <c r="BV10" s="1482">
        <f t="shared" ca="1" si="10"/>
        <v>0</v>
      </c>
      <c r="BW10" s="1482">
        <f t="shared" ca="1" si="10"/>
        <v>0</v>
      </c>
      <c r="BX10" s="1482">
        <f t="shared" ca="1" si="10"/>
        <v>0</v>
      </c>
      <c r="BY10" s="1482">
        <f t="shared" ca="1" si="11"/>
        <v>0</v>
      </c>
      <c r="BZ10" s="1482">
        <f t="shared" ca="1" si="11"/>
        <v>0</v>
      </c>
      <c r="CA10" s="1482">
        <f t="shared" ca="1" si="11"/>
        <v>0</v>
      </c>
      <c r="CB10" s="1482">
        <f t="shared" ca="1" si="11"/>
        <v>0</v>
      </c>
      <c r="CC10" s="1482">
        <f t="shared" ca="1" si="11"/>
        <v>0</v>
      </c>
      <c r="CD10" s="1482">
        <f t="shared" ca="1" si="11"/>
        <v>0</v>
      </c>
      <c r="CE10" s="1482">
        <f t="shared" ca="1" si="11"/>
        <v>0</v>
      </c>
      <c r="CF10" s="1482">
        <f t="shared" ca="1" si="11"/>
        <v>0</v>
      </c>
      <c r="CG10" s="1482">
        <f t="shared" ca="1" si="11"/>
        <v>0</v>
      </c>
      <c r="CH10" s="1482">
        <f t="shared" ca="1" si="11"/>
        <v>0</v>
      </c>
      <c r="CI10" s="1482">
        <f t="shared" ca="1" si="12"/>
        <v>0</v>
      </c>
      <c r="CJ10" s="1482">
        <f t="shared" ca="1" si="12"/>
        <v>0</v>
      </c>
      <c r="CK10" s="1482">
        <f t="shared" ca="1" si="12"/>
        <v>0</v>
      </c>
      <c r="CL10" s="1482">
        <f t="shared" ca="1" si="12"/>
        <v>0</v>
      </c>
      <c r="CM10" s="1482">
        <f t="shared" ca="1" si="12"/>
        <v>0</v>
      </c>
      <c r="CN10" s="1482">
        <f t="shared" ca="1" si="12"/>
        <v>0</v>
      </c>
      <c r="CO10" s="1482">
        <f t="shared" ca="1" si="12"/>
        <v>0</v>
      </c>
      <c r="CP10" s="1482">
        <f t="shared" ca="1" si="12"/>
        <v>0</v>
      </c>
      <c r="CQ10" s="1482">
        <f t="shared" ca="1" si="12"/>
        <v>0</v>
      </c>
      <c r="CR10" s="1482">
        <f t="shared" ca="1" si="12"/>
        <v>0</v>
      </c>
      <c r="CS10" s="1482">
        <f t="shared" ca="1" si="13"/>
        <v>0</v>
      </c>
      <c r="CT10" s="1482">
        <f t="shared" ca="1" si="13"/>
        <v>0</v>
      </c>
      <c r="CU10" s="1482">
        <f t="shared" ca="1" si="13"/>
        <v>0</v>
      </c>
      <c r="CV10" s="1482">
        <f t="shared" ca="1" si="13"/>
        <v>0</v>
      </c>
      <c r="CW10" s="1482">
        <f t="shared" ca="1" si="13"/>
        <v>0</v>
      </c>
      <c r="CX10" s="1482">
        <f t="shared" ca="1" si="13"/>
        <v>0</v>
      </c>
      <c r="CY10" s="1482">
        <f t="shared" ca="1" si="13"/>
        <v>0</v>
      </c>
      <c r="CZ10" s="1482">
        <f t="shared" ca="1" si="13"/>
        <v>0</v>
      </c>
      <c r="DA10" s="1482">
        <f t="shared" ca="1" si="13"/>
        <v>0</v>
      </c>
      <c r="DB10" s="1482">
        <f t="shared" ca="1" si="13"/>
        <v>0</v>
      </c>
      <c r="DC10" s="1482">
        <f t="shared" ca="1" si="13"/>
        <v>0</v>
      </c>
      <c r="DD10" s="1482">
        <f t="shared" ca="1" si="13"/>
        <v>0</v>
      </c>
      <c r="DE10" s="1482">
        <f t="shared" ca="1" si="13"/>
        <v>0</v>
      </c>
      <c r="DF10" s="1482">
        <f t="shared" ca="1" si="13"/>
        <v>0</v>
      </c>
      <c r="DH10" s="838"/>
    </row>
    <row r="11" spans="1:112" s="743" customFormat="1" ht="12.75" hidden="1" customHeight="1" outlineLevel="1">
      <c r="A11" s="1484"/>
      <c r="B11" s="1484"/>
      <c r="C11" s="746"/>
      <c r="D11" s="1484" t="s">
        <v>947</v>
      </c>
      <c r="E11" s="521"/>
      <c r="G11" s="1019">
        <f ca="1">SUM(G9:G10)</f>
        <v>509.19707772050555</v>
      </c>
      <c r="H11" s="1019">
        <f t="shared" ref="H11:P11" ca="1" si="14">SUM(H9:H10)</f>
        <v>0</v>
      </c>
      <c r="I11" s="1019">
        <f t="shared" ca="1" si="14"/>
        <v>0</v>
      </c>
      <c r="J11" s="1019">
        <f t="shared" ca="1" si="14"/>
        <v>0</v>
      </c>
      <c r="K11" s="1019">
        <f t="shared" ca="1" si="14"/>
        <v>0</v>
      </c>
      <c r="L11" s="1019">
        <f t="shared" ca="1" si="14"/>
        <v>0</v>
      </c>
      <c r="M11" s="1019">
        <f t="shared" ca="1" si="14"/>
        <v>0</v>
      </c>
      <c r="N11" s="1019">
        <f t="shared" ca="1" si="14"/>
        <v>0</v>
      </c>
      <c r="O11" s="1019">
        <f t="shared" ca="1" si="14"/>
        <v>0</v>
      </c>
      <c r="P11" s="1019">
        <f t="shared" ca="1" si="14"/>
        <v>0</v>
      </c>
      <c r="Q11" s="1019">
        <f t="shared" ca="1" si="1"/>
        <v>509.19707772050555</v>
      </c>
      <c r="S11" s="1027">
        <f ca="1">SUM(S9:S10)</f>
        <v>-47.317201506408232</v>
      </c>
      <c r="T11" s="1027">
        <f t="shared" ref="T11:AJ11" ca="1" si="15">SUM(T9:T10)</f>
        <v>0</v>
      </c>
      <c r="U11" s="1027">
        <f t="shared" ca="1" si="15"/>
        <v>-5.9499892900432574</v>
      </c>
      <c r="V11" s="1027">
        <f t="shared" ca="1" si="15"/>
        <v>-5.3365883323068397</v>
      </c>
      <c r="W11" s="1027">
        <f t="shared" ca="1" si="15"/>
        <v>-450.59329859174721</v>
      </c>
      <c r="X11" s="1027">
        <f ca="1">SUM(X9:X10)</f>
        <v>0</v>
      </c>
      <c r="Y11" s="1027">
        <f ca="1">SUM(Y9:Y10)</f>
        <v>0</v>
      </c>
      <c r="Z11" s="1027">
        <f ca="1">SUM(Z9:Z10)</f>
        <v>0</v>
      </c>
      <c r="AA11" s="1027">
        <f t="shared" ca="1" si="15"/>
        <v>0</v>
      </c>
      <c r="AB11" s="1027">
        <f t="shared" ca="1" si="15"/>
        <v>0</v>
      </c>
      <c r="AC11" s="1027">
        <f t="shared" ca="1" si="15"/>
        <v>0</v>
      </c>
      <c r="AD11" s="1027">
        <f ca="1">SUM(AD9:AD10)</f>
        <v>0</v>
      </c>
      <c r="AE11" s="1027">
        <f ca="1">SUM(AE9:AE10)</f>
        <v>0</v>
      </c>
      <c r="AF11" s="1027">
        <f t="shared" ca="1" si="15"/>
        <v>0</v>
      </c>
      <c r="AG11" s="1027">
        <f ca="1">SUM(AG9:AG10)</f>
        <v>0</v>
      </c>
      <c r="AH11" s="1027">
        <f ca="1">SUM(AH9:AH10)</f>
        <v>0</v>
      </c>
      <c r="AI11" s="1027">
        <f ca="1">SUM(AI9:AI10)</f>
        <v>0</v>
      </c>
      <c r="AJ11" s="1027">
        <f t="shared" ca="1" si="15"/>
        <v>0</v>
      </c>
      <c r="AK11" s="1027">
        <f t="shared" ca="1" si="4"/>
        <v>-509.19707772050555</v>
      </c>
      <c r="AM11" s="1040">
        <f t="shared" ref="AM11:BE11" ca="1" si="16">SUM(AM9:AM10)</f>
        <v>0</v>
      </c>
      <c r="AN11" s="1040">
        <f t="shared" ca="1" si="16"/>
        <v>0</v>
      </c>
      <c r="AO11" s="1040">
        <f t="shared" ca="1" si="16"/>
        <v>0</v>
      </c>
      <c r="AP11" s="1040">
        <f t="shared" ca="1" si="16"/>
        <v>0</v>
      </c>
      <c r="AQ11" s="1040">
        <f t="shared" ca="1" si="16"/>
        <v>0</v>
      </c>
      <c r="AR11" s="1040">
        <f t="shared" ca="1" si="16"/>
        <v>0</v>
      </c>
      <c r="AS11" s="1040">
        <f t="shared" ca="1" si="16"/>
        <v>0</v>
      </c>
      <c r="AT11" s="1040">
        <f t="shared" ca="1" si="16"/>
        <v>0</v>
      </c>
      <c r="AU11" s="1040">
        <f t="shared" ca="1" si="16"/>
        <v>0</v>
      </c>
      <c r="AV11" s="1040">
        <f t="shared" ca="1" si="16"/>
        <v>0</v>
      </c>
      <c r="AW11" s="1040">
        <f t="shared" ca="1" si="16"/>
        <v>0</v>
      </c>
      <c r="AX11" s="1040">
        <f t="shared" ca="1" si="16"/>
        <v>0</v>
      </c>
      <c r="AY11" s="1040">
        <f t="shared" ca="1" si="16"/>
        <v>0</v>
      </c>
      <c r="AZ11" s="1040">
        <f t="shared" ca="1" si="16"/>
        <v>0</v>
      </c>
      <c r="BA11" s="1040">
        <f t="shared" ca="1" si="16"/>
        <v>0</v>
      </c>
      <c r="BB11" s="1040">
        <f t="shared" ca="1" si="16"/>
        <v>0</v>
      </c>
      <c r="BC11" s="1040">
        <f t="shared" ca="1" si="16"/>
        <v>0</v>
      </c>
      <c r="BD11" s="1040">
        <f t="shared" ca="1" si="16"/>
        <v>0</v>
      </c>
      <c r="BE11" s="1040">
        <f t="shared" ca="1" si="16"/>
        <v>0</v>
      </c>
      <c r="BF11" s="979">
        <f t="shared" ca="1" si="6"/>
        <v>0</v>
      </c>
      <c r="BH11" s="1034">
        <f ca="1">SUM(BH9:BH10)</f>
        <v>0</v>
      </c>
      <c r="BI11" s="1034">
        <f ca="1">SUM(BI9:BI10)</f>
        <v>0</v>
      </c>
      <c r="BJ11" s="1034">
        <f t="shared" ca="1" si="8"/>
        <v>0</v>
      </c>
      <c r="BL11" s="814">
        <f t="shared" ca="1" si="9"/>
        <v>0</v>
      </c>
      <c r="BM11" s="814"/>
      <c r="BN11" s="840"/>
      <c r="BO11" s="1481">
        <f t="shared" ref="BO11:DF11" ca="1" si="17">SUM(BO9:BO10)</f>
        <v>86.075910725291507</v>
      </c>
      <c r="BP11" s="1482">
        <f t="shared" ca="1" si="17"/>
        <v>0.17323475492537049</v>
      </c>
      <c r="BQ11" s="1482">
        <f t="shared" ca="1" si="17"/>
        <v>0.21898380526794403</v>
      </c>
      <c r="BR11" s="1482">
        <f t="shared" ca="1" si="17"/>
        <v>0</v>
      </c>
      <c r="BS11" s="1482">
        <f t="shared" ca="1" si="17"/>
        <v>0</v>
      </c>
      <c r="BT11" s="1482">
        <f t="shared" ca="1" si="17"/>
        <v>0</v>
      </c>
      <c r="BU11" s="1482">
        <f t="shared" ca="1" si="17"/>
        <v>0</v>
      </c>
      <c r="BV11" s="1482">
        <f t="shared" ca="1" si="17"/>
        <v>0</v>
      </c>
      <c r="BW11" s="1482">
        <f t="shared" ca="1" si="17"/>
        <v>0</v>
      </c>
      <c r="BX11" s="1482">
        <f t="shared" ca="1" si="17"/>
        <v>0</v>
      </c>
      <c r="BY11" s="1482">
        <f t="shared" ca="1" si="17"/>
        <v>0</v>
      </c>
      <c r="BZ11" s="1482">
        <f t="shared" ca="1" si="17"/>
        <v>0</v>
      </c>
      <c r="CA11" s="1482">
        <f t="shared" ca="1" si="17"/>
        <v>0</v>
      </c>
      <c r="CB11" s="1482">
        <f t="shared" ca="1" si="17"/>
        <v>0</v>
      </c>
      <c r="CC11" s="1482">
        <f t="shared" ca="1" si="17"/>
        <v>0</v>
      </c>
      <c r="CD11" s="1482">
        <f t="shared" ca="1" si="17"/>
        <v>0</v>
      </c>
      <c r="CE11" s="1482">
        <f t="shared" ca="1" si="17"/>
        <v>0</v>
      </c>
      <c r="CF11" s="1482">
        <f t="shared" ca="1" si="17"/>
        <v>0</v>
      </c>
      <c r="CG11" s="1482">
        <f t="shared" ca="1" si="17"/>
        <v>0</v>
      </c>
      <c r="CH11" s="1482">
        <f t="shared" ca="1" si="17"/>
        <v>0</v>
      </c>
      <c r="CI11" s="1482">
        <f t="shared" ca="1" si="17"/>
        <v>0</v>
      </c>
      <c r="CJ11" s="1482">
        <f t="shared" ca="1" si="17"/>
        <v>0</v>
      </c>
      <c r="CK11" s="1482">
        <f t="shared" ca="1" si="17"/>
        <v>0</v>
      </c>
      <c r="CL11" s="1482">
        <f t="shared" ca="1" si="17"/>
        <v>0</v>
      </c>
      <c r="CM11" s="1482">
        <f t="shared" ca="1" si="17"/>
        <v>0</v>
      </c>
      <c r="CN11" s="1482">
        <f t="shared" ca="1" si="17"/>
        <v>0</v>
      </c>
      <c r="CO11" s="1482">
        <f t="shared" ca="1" si="17"/>
        <v>0</v>
      </c>
      <c r="CP11" s="1482">
        <f t="shared" ca="1" si="17"/>
        <v>0</v>
      </c>
      <c r="CQ11" s="1482">
        <f t="shared" ca="1" si="17"/>
        <v>0</v>
      </c>
      <c r="CR11" s="1482">
        <f t="shared" ca="1" si="17"/>
        <v>0</v>
      </c>
      <c r="CS11" s="1482">
        <f t="shared" ca="1" si="17"/>
        <v>0</v>
      </c>
      <c r="CT11" s="1482">
        <f t="shared" ca="1" si="17"/>
        <v>0</v>
      </c>
      <c r="CU11" s="1482">
        <f t="shared" ca="1" si="17"/>
        <v>0</v>
      </c>
      <c r="CV11" s="1482">
        <f t="shared" ca="1" si="17"/>
        <v>0</v>
      </c>
      <c r="CW11" s="1482">
        <f t="shared" ca="1" si="17"/>
        <v>0</v>
      </c>
      <c r="CX11" s="1482">
        <f t="shared" ca="1" si="17"/>
        <v>0</v>
      </c>
      <c r="CY11" s="1482">
        <f t="shared" ca="1" si="17"/>
        <v>0</v>
      </c>
      <c r="CZ11" s="1482">
        <f t="shared" ca="1" si="17"/>
        <v>0</v>
      </c>
      <c r="DA11" s="1482">
        <f t="shared" ca="1" si="17"/>
        <v>0</v>
      </c>
      <c r="DB11" s="1482">
        <f t="shared" ca="1" si="17"/>
        <v>0</v>
      </c>
      <c r="DC11" s="1482">
        <f t="shared" ca="1" si="17"/>
        <v>0</v>
      </c>
      <c r="DD11" s="1482">
        <f t="shared" ca="1" si="17"/>
        <v>0</v>
      </c>
      <c r="DE11" s="1482">
        <f t="shared" ca="1" si="17"/>
        <v>0</v>
      </c>
      <c r="DF11" s="1482">
        <f t="shared" ca="1" si="17"/>
        <v>0</v>
      </c>
      <c r="DH11" s="838"/>
    </row>
    <row r="12" spans="1:112" s="743" customFormat="1" ht="10.5" hidden="1" customHeight="1" outlineLevel="2">
      <c r="A12" s="1480"/>
      <c r="B12" s="1480"/>
      <c r="C12" s="746" t="s">
        <v>945</v>
      </c>
      <c r="D12" s="1480" t="str">
        <f>INDEX(Modules[Module], MATCH($C12, Modules[Code], 0))</f>
        <v>Commercial heating and cooling</v>
      </c>
      <c r="E12" s="1006"/>
      <c r="G12" s="1017">
        <f t="shared" ca="1" si="0"/>
        <v>141.84903434321333</v>
      </c>
      <c r="H12" s="1017">
        <f t="shared" ca="1" si="0"/>
        <v>0</v>
      </c>
      <c r="I12" s="1017">
        <f t="shared" ca="1" si="0"/>
        <v>0</v>
      </c>
      <c r="J12" s="1017">
        <f t="shared" ca="1" si="0"/>
        <v>0</v>
      </c>
      <c r="K12" s="1017">
        <f t="shared" ca="1" si="0"/>
        <v>0</v>
      </c>
      <c r="L12" s="1017">
        <f t="shared" ca="1" si="0"/>
        <v>0</v>
      </c>
      <c r="M12" s="1017">
        <f t="shared" ca="1" si="0"/>
        <v>0</v>
      </c>
      <c r="N12" s="1017">
        <f t="shared" ca="1" si="0"/>
        <v>0</v>
      </c>
      <c r="O12" s="1017">
        <f t="shared" ca="1" si="0"/>
        <v>0</v>
      </c>
      <c r="P12" s="1017">
        <f t="shared" ca="1" si="0"/>
        <v>0</v>
      </c>
      <c r="Q12" s="1019">
        <f t="shared" ca="1" si="1"/>
        <v>141.84903434321333</v>
      </c>
      <c r="S12" s="1026">
        <f t="shared" ca="1" si="2"/>
        <v>-30.345016784095659</v>
      </c>
      <c r="T12" s="1026">
        <f t="shared" ca="1" si="2"/>
        <v>0</v>
      </c>
      <c r="U12" s="1026">
        <f t="shared" ca="1" si="2"/>
        <v>0</v>
      </c>
      <c r="V12" s="1026">
        <f t="shared" ca="1" si="2"/>
        <v>-3.1777619215816162</v>
      </c>
      <c r="W12" s="1026">
        <f t="shared" ca="1" si="2"/>
        <v>-108.32625563753608</v>
      </c>
      <c r="X12" s="1026">
        <f t="shared" ref="X12:Z13" ca="1" si="18">IFERROR(INDEX(INDIRECT($C12&amp;".Outputs["&amp;this.Year&amp;"]"), MATCH(X$5, INDIRECT($C12&amp;".Outputs[Vector]"), 0)), 0)</f>
        <v>0</v>
      </c>
      <c r="Y12" s="1026">
        <f t="shared" ca="1" si="18"/>
        <v>0</v>
      </c>
      <c r="Z12" s="1026">
        <f t="shared" ca="1" si="18"/>
        <v>0</v>
      </c>
      <c r="AA12" s="1026">
        <f t="shared" ca="1" si="2"/>
        <v>0</v>
      </c>
      <c r="AB12" s="1026">
        <f t="shared" ca="1" si="2"/>
        <v>0</v>
      </c>
      <c r="AC12" s="1026">
        <f t="shared" ca="1" si="2"/>
        <v>0</v>
      </c>
      <c r="AD12" s="1026">
        <f t="shared" ca="1" si="2"/>
        <v>0</v>
      </c>
      <c r="AE12" s="1026">
        <f t="shared" ca="1" si="2"/>
        <v>0</v>
      </c>
      <c r="AF12" s="1026">
        <f t="shared" ca="1" si="2"/>
        <v>0</v>
      </c>
      <c r="AG12" s="1026">
        <f t="shared" ca="1" si="2"/>
        <v>0</v>
      </c>
      <c r="AH12" s="1026">
        <f t="shared" ca="1" si="2"/>
        <v>0</v>
      </c>
      <c r="AI12" s="1026">
        <f t="shared" ca="1" si="2"/>
        <v>0</v>
      </c>
      <c r="AJ12" s="1026">
        <f t="shared" ca="1" si="2"/>
        <v>0</v>
      </c>
      <c r="AK12" s="1027">
        <f t="shared" ca="1" si="4"/>
        <v>-141.84903434321336</v>
      </c>
      <c r="AM12" s="1038">
        <f t="shared" ref="AM12:AU13" ca="1" si="19">IFERROR(INDEX(INDIRECT($C12&amp;".Outputs["&amp;this.Year&amp;"]"), MATCH(AM$5, INDIRECT($C12&amp;".Outputs[Vector]"), 0)), 0)</f>
        <v>0</v>
      </c>
      <c r="AN12" s="1038">
        <f t="shared" ca="1" si="19"/>
        <v>0</v>
      </c>
      <c r="AO12" s="1038">
        <f t="shared" ca="1" si="19"/>
        <v>0</v>
      </c>
      <c r="AP12" s="1038">
        <f t="shared" ca="1" si="19"/>
        <v>0</v>
      </c>
      <c r="AQ12" s="1038">
        <f t="shared" ca="1" si="19"/>
        <v>0</v>
      </c>
      <c r="AR12" s="1038">
        <f t="shared" ca="1" si="19"/>
        <v>0</v>
      </c>
      <c r="AS12" s="1038">
        <f t="shared" ca="1" si="19"/>
        <v>0</v>
      </c>
      <c r="AT12" s="1038">
        <f t="shared" ca="1" si="19"/>
        <v>0</v>
      </c>
      <c r="AU12" s="1038">
        <f t="shared" ca="1" si="19"/>
        <v>0</v>
      </c>
      <c r="AV12" s="1038">
        <f t="shared" ca="1" si="2"/>
        <v>0</v>
      </c>
      <c r="AW12" s="1038">
        <f t="shared" ca="1" si="2"/>
        <v>0</v>
      </c>
      <c r="AX12" s="1038">
        <f t="shared" ca="1" si="2"/>
        <v>0</v>
      </c>
      <c r="AY12" s="1038">
        <f t="shared" ca="1" si="2"/>
        <v>0</v>
      </c>
      <c r="AZ12" s="1038">
        <f t="shared" ca="1" si="2"/>
        <v>0</v>
      </c>
      <c r="BA12" s="1038">
        <f t="shared" ca="1" si="2"/>
        <v>0</v>
      </c>
      <c r="BB12" s="1038">
        <f t="shared" ca="1" si="2"/>
        <v>0</v>
      </c>
      <c r="BC12" s="1038">
        <f t="shared" ca="1" si="2"/>
        <v>0</v>
      </c>
      <c r="BD12" s="1038">
        <f t="shared" ca="1" si="2"/>
        <v>0</v>
      </c>
      <c r="BE12" s="1038">
        <f t="shared" ca="1" si="2"/>
        <v>0</v>
      </c>
      <c r="BF12" s="977">
        <f t="shared" ca="1" si="6"/>
        <v>0</v>
      </c>
      <c r="BH12" s="1032">
        <f t="shared" ca="1" si="7"/>
        <v>0</v>
      </c>
      <c r="BI12" s="1032">
        <f t="shared" ca="1" si="7"/>
        <v>0</v>
      </c>
      <c r="BJ12" s="1034">
        <f t="shared" ca="1" si="8"/>
        <v>0</v>
      </c>
      <c r="BL12" s="524">
        <f t="shared" ca="1" si="9"/>
        <v>-2.8421709430404007E-14</v>
      </c>
      <c r="BM12" s="524"/>
      <c r="BN12" s="840"/>
      <c r="BO12" s="1481">
        <f t="shared" ref="BO12:BX13" ca="1" si="20">IFERROR(SUMIFS(INDIRECT($C12&amp;".Emissions["&amp;this.Year&amp;"]"), INDIRECT($C12&amp;".Emissions[GHG]"), BO$6, INDIRECT($C12&amp;".Emissions[IPCC Sector]"), BO$5),0)</f>
        <v>20.726471517702041</v>
      </c>
      <c r="BP12" s="1482">
        <f t="shared" ca="1" si="20"/>
        <v>4.0942546614003247E-2</v>
      </c>
      <c r="BQ12" s="1482">
        <f t="shared" ca="1" si="20"/>
        <v>5.7265512961339554E-2</v>
      </c>
      <c r="BR12" s="1482">
        <f t="shared" ca="1" si="20"/>
        <v>0</v>
      </c>
      <c r="BS12" s="1482">
        <f t="shared" ca="1" si="20"/>
        <v>0</v>
      </c>
      <c r="BT12" s="1482">
        <f t="shared" ca="1" si="20"/>
        <v>0</v>
      </c>
      <c r="BU12" s="1482">
        <f t="shared" ca="1" si="20"/>
        <v>0</v>
      </c>
      <c r="BV12" s="1482">
        <f t="shared" ca="1" si="20"/>
        <v>0</v>
      </c>
      <c r="BW12" s="1482">
        <f t="shared" ca="1" si="20"/>
        <v>0</v>
      </c>
      <c r="BX12" s="1482">
        <f t="shared" ca="1" si="20"/>
        <v>0</v>
      </c>
      <c r="BY12" s="1482">
        <f t="shared" ref="BY12:CH13" ca="1" si="21">IFERROR(SUMIFS(INDIRECT($C12&amp;".Emissions["&amp;this.Year&amp;"]"), INDIRECT($C12&amp;".Emissions[GHG]"), BY$6, INDIRECT($C12&amp;".Emissions[IPCC Sector]"), BY$5),0)</f>
        <v>0</v>
      </c>
      <c r="BZ12" s="1482">
        <f t="shared" ca="1" si="21"/>
        <v>0</v>
      </c>
      <c r="CA12" s="1482">
        <f t="shared" ca="1" si="21"/>
        <v>0</v>
      </c>
      <c r="CB12" s="1482">
        <f t="shared" ca="1" si="21"/>
        <v>0</v>
      </c>
      <c r="CC12" s="1482">
        <f t="shared" ca="1" si="21"/>
        <v>0</v>
      </c>
      <c r="CD12" s="1482">
        <f t="shared" ca="1" si="21"/>
        <v>0</v>
      </c>
      <c r="CE12" s="1482">
        <f t="shared" ca="1" si="21"/>
        <v>0</v>
      </c>
      <c r="CF12" s="1482">
        <f t="shared" ca="1" si="21"/>
        <v>0</v>
      </c>
      <c r="CG12" s="1482">
        <f t="shared" ca="1" si="21"/>
        <v>0</v>
      </c>
      <c r="CH12" s="1482">
        <f t="shared" ca="1" si="21"/>
        <v>0</v>
      </c>
      <c r="CI12" s="1482">
        <f t="shared" ref="CI12:CR13" ca="1" si="22">IFERROR(SUMIFS(INDIRECT($C12&amp;".Emissions["&amp;this.Year&amp;"]"), INDIRECT($C12&amp;".Emissions[GHG]"), CI$6, INDIRECT($C12&amp;".Emissions[IPCC Sector]"), CI$5),0)</f>
        <v>0</v>
      </c>
      <c r="CJ12" s="1482">
        <f t="shared" ca="1" si="22"/>
        <v>0</v>
      </c>
      <c r="CK12" s="1482">
        <f t="shared" ca="1" si="22"/>
        <v>0</v>
      </c>
      <c r="CL12" s="1482">
        <f t="shared" ca="1" si="22"/>
        <v>0</v>
      </c>
      <c r="CM12" s="1482">
        <f t="shared" ca="1" si="22"/>
        <v>0</v>
      </c>
      <c r="CN12" s="1482">
        <f t="shared" ca="1" si="22"/>
        <v>0</v>
      </c>
      <c r="CO12" s="1482">
        <f t="shared" ca="1" si="22"/>
        <v>0</v>
      </c>
      <c r="CP12" s="1482">
        <f t="shared" ca="1" si="22"/>
        <v>0</v>
      </c>
      <c r="CQ12" s="1482">
        <f t="shared" ca="1" si="22"/>
        <v>0</v>
      </c>
      <c r="CR12" s="1482">
        <f t="shared" ca="1" si="22"/>
        <v>0</v>
      </c>
      <c r="CS12" s="1482">
        <f t="shared" ref="CS12:DF13" ca="1" si="23">IFERROR(SUMIFS(INDIRECT($C12&amp;".Emissions["&amp;this.Year&amp;"]"), INDIRECT($C12&amp;".Emissions[GHG]"), CS$6, INDIRECT($C12&amp;".Emissions[IPCC Sector]"), CS$5),0)</f>
        <v>0</v>
      </c>
      <c r="CT12" s="1482">
        <f t="shared" ca="1" si="23"/>
        <v>0</v>
      </c>
      <c r="CU12" s="1482">
        <f t="shared" ca="1" si="23"/>
        <v>0</v>
      </c>
      <c r="CV12" s="1482">
        <f t="shared" ca="1" si="23"/>
        <v>0</v>
      </c>
      <c r="CW12" s="1482">
        <f t="shared" ca="1" si="23"/>
        <v>0</v>
      </c>
      <c r="CX12" s="1482">
        <f t="shared" ca="1" si="23"/>
        <v>0</v>
      </c>
      <c r="CY12" s="1482">
        <f t="shared" ca="1" si="23"/>
        <v>0</v>
      </c>
      <c r="CZ12" s="1482">
        <f t="shared" ca="1" si="23"/>
        <v>0</v>
      </c>
      <c r="DA12" s="1482">
        <f t="shared" ca="1" si="23"/>
        <v>0</v>
      </c>
      <c r="DB12" s="1482">
        <f t="shared" ca="1" si="23"/>
        <v>0</v>
      </c>
      <c r="DC12" s="1482">
        <f t="shared" ca="1" si="23"/>
        <v>0</v>
      </c>
      <c r="DD12" s="1482">
        <f t="shared" ca="1" si="23"/>
        <v>0</v>
      </c>
      <c r="DE12" s="1482">
        <f t="shared" ca="1" si="23"/>
        <v>0</v>
      </c>
      <c r="DF12" s="1482">
        <f t="shared" ca="1" si="23"/>
        <v>0</v>
      </c>
      <c r="DH12" s="838"/>
    </row>
    <row r="13" spans="1:112" s="743" customFormat="1" ht="10.5" hidden="1" customHeight="1" outlineLevel="2">
      <c r="A13" s="1483"/>
      <c r="B13" s="1483"/>
      <c r="C13" s="1009" t="s">
        <v>946</v>
      </c>
      <c r="D13" s="1483" t="str">
        <f>INDEX(Modules[Module], MATCH($C13, Modules[Code], 0))</f>
        <v>Commercial hot water [UNUSED - See IX.c]</v>
      </c>
      <c r="E13" s="1006"/>
      <c r="G13" s="1018">
        <f t="shared" ca="1" si="0"/>
        <v>0</v>
      </c>
      <c r="H13" s="1018">
        <f t="shared" ca="1" si="0"/>
        <v>0</v>
      </c>
      <c r="I13" s="1018">
        <f t="shared" ca="1" si="0"/>
        <v>0</v>
      </c>
      <c r="J13" s="1018">
        <f t="shared" ca="1" si="0"/>
        <v>0</v>
      </c>
      <c r="K13" s="1018">
        <f t="shared" ca="1" si="0"/>
        <v>0</v>
      </c>
      <c r="L13" s="1018">
        <f t="shared" ca="1" si="0"/>
        <v>0</v>
      </c>
      <c r="M13" s="1018">
        <f t="shared" ca="1" si="0"/>
        <v>0</v>
      </c>
      <c r="N13" s="1018">
        <f t="shared" ca="1" si="0"/>
        <v>0</v>
      </c>
      <c r="O13" s="1018">
        <f t="shared" ca="1" si="0"/>
        <v>0</v>
      </c>
      <c r="P13" s="1018">
        <f t="shared" ca="1" si="0"/>
        <v>0</v>
      </c>
      <c r="Q13" s="1024">
        <f t="shared" ca="1" si="1"/>
        <v>0</v>
      </c>
      <c r="S13" s="1028">
        <f t="shared" ca="1" si="2"/>
        <v>0</v>
      </c>
      <c r="T13" s="1028">
        <f t="shared" ca="1" si="2"/>
        <v>0</v>
      </c>
      <c r="U13" s="1028">
        <f t="shared" ca="1" si="2"/>
        <v>0</v>
      </c>
      <c r="V13" s="1028">
        <f t="shared" ca="1" si="2"/>
        <v>0</v>
      </c>
      <c r="W13" s="1028">
        <f t="shared" ca="1" si="2"/>
        <v>0</v>
      </c>
      <c r="X13" s="1028">
        <f t="shared" ca="1" si="18"/>
        <v>0</v>
      </c>
      <c r="Y13" s="1028">
        <f t="shared" ca="1" si="18"/>
        <v>0</v>
      </c>
      <c r="Z13" s="1028">
        <f t="shared" ca="1" si="18"/>
        <v>0</v>
      </c>
      <c r="AA13" s="1028">
        <f t="shared" ca="1" si="2"/>
        <v>0</v>
      </c>
      <c r="AB13" s="1028">
        <f t="shared" ca="1" si="2"/>
        <v>0</v>
      </c>
      <c r="AC13" s="1028">
        <f t="shared" ca="1" si="2"/>
        <v>0</v>
      </c>
      <c r="AD13" s="1028">
        <f t="shared" ca="1" si="2"/>
        <v>0</v>
      </c>
      <c r="AE13" s="1028">
        <f t="shared" ca="1" si="2"/>
        <v>0</v>
      </c>
      <c r="AF13" s="1028">
        <f t="shared" ca="1" si="2"/>
        <v>0</v>
      </c>
      <c r="AG13" s="1028">
        <f t="shared" ca="1" si="2"/>
        <v>0</v>
      </c>
      <c r="AH13" s="1028">
        <f t="shared" ca="1" si="2"/>
        <v>0</v>
      </c>
      <c r="AI13" s="1028">
        <f t="shared" ca="1" si="2"/>
        <v>0</v>
      </c>
      <c r="AJ13" s="1028">
        <f t="shared" ca="1" si="2"/>
        <v>0</v>
      </c>
      <c r="AK13" s="1029">
        <f t="shared" ca="1" si="4"/>
        <v>0</v>
      </c>
      <c r="AM13" s="1039">
        <f t="shared" ca="1" si="19"/>
        <v>0</v>
      </c>
      <c r="AN13" s="1039">
        <f t="shared" ca="1" si="19"/>
        <v>0</v>
      </c>
      <c r="AO13" s="1039">
        <f t="shared" ca="1" si="19"/>
        <v>0</v>
      </c>
      <c r="AP13" s="1039">
        <f t="shared" ca="1" si="19"/>
        <v>0</v>
      </c>
      <c r="AQ13" s="1039">
        <f t="shared" ca="1" si="19"/>
        <v>0</v>
      </c>
      <c r="AR13" s="1039">
        <f t="shared" ca="1" si="19"/>
        <v>0</v>
      </c>
      <c r="AS13" s="1039">
        <f t="shared" ca="1" si="19"/>
        <v>0</v>
      </c>
      <c r="AT13" s="1039">
        <f t="shared" ca="1" si="19"/>
        <v>0</v>
      </c>
      <c r="AU13" s="1039">
        <f t="shared" ca="1" si="19"/>
        <v>0</v>
      </c>
      <c r="AV13" s="1039">
        <f t="shared" ca="1" si="2"/>
        <v>0</v>
      </c>
      <c r="AW13" s="1039">
        <f t="shared" ca="1" si="2"/>
        <v>0</v>
      </c>
      <c r="AX13" s="1039">
        <f t="shared" ca="1" si="2"/>
        <v>0</v>
      </c>
      <c r="AY13" s="1039">
        <f t="shared" ca="1" si="2"/>
        <v>0</v>
      </c>
      <c r="AZ13" s="1039">
        <f t="shared" ca="1" si="2"/>
        <v>0</v>
      </c>
      <c r="BA13" s="1039">
        <f t="shared" ca="1" si="2"/>
        <v>0</v>
      </c>
      <c r="BB13" s="1039">
        <f t="shared" ca="1" si="2"/>
        <v>0</v>
      </c>
      <c r="BC13" s="1039">
        <f t="shared" ca="1" si="2"/>
        <v>0</v>
      </c>
      <c r="BD13" s="1039">
        <f t="shared" ca="1" si="2"/>
        <v>0</v>
      </c>
      <c r="BE13" s="1039">
        <f t="shared" ca="1" si="2"/>
        <v>0</v>
      </c>
      <c r="BF13" s="1008">
        <f t="shared" ca="1" si="6"/>
        <v>0</v>
      </c>
      <c r="BH13" s="1033">
        <f t="shared" ca="1" si="7"/>
        <v>0</v>
      </c>
      <c r="BI13" s="1033">
        <f t="shared" ca="1" si="7"/>
        <v>0</v>
      </c>
      <c r="BJ13" s="1044">
        <f t="shared" ca="1" si="8"/>
        <v>0</v>
      </c>
      <c r="BL13" s="1007">
        <f t="shared" ca="1" si="9"/>
        <v>0</v>
      </c>
      <c r="BM13" s="1007"/>
      <c r="BN13" s="840"/>
      <c r="BO13" s="1481">
        <f t="shared" ca="1" si="20"/>
        <v>0</v>
      </c>
      <c r="BP13" s="1482">
        <f t="shared" ca="1" si="20"/>
        <v>0</v>
      </c>
      <c r="BQ13" s="1482">
        <f t="shared" ca="1" si="20"/>
        <v>0</v>
      </c>
      <c r="BR13" s="1482">
        <f t="shared" ca="1" si="20"/>
        <v>0</v>
      </c>
      <c r="BS13" s="1482">
        <f t="shared" ca="1" si="20"/>
        <v>0</v>
      </c>
      <c r="BT13" s="1482">
        <f t="shared" ca="1" si="20"/>
        <v>0</v>
      </c>
      <c r="BU13" s="1482">
        <f t="shared" ca="1" si="20"/>
        <v>0</v>
      </c>
      <c r="BV13" s="1482">
        <f t="shared" ca="1" si="20"/>
        <v>0</v>
      </c>
      <c r="BW13" s="1482">
        <f t="shared" ca="1" si="20"/>
        <v>0</v>
      </c>
      <c r="BX13" s="1482">
        <f t="shared" ca="1" si="20"/>
        <v>0</v>
      </c>
      <c r="BY13" s="1482">
        <f t="shared" ca="1" si="21"/>
        <v>0</v>
      </c>
      <c r="BZ13" s="1482">
        <f t="shared" ca="1" si="21"/>
        <v>0</v>
      </c>
      <c r="CA13" s="1482">
        <f t="shared" ca="1" si="21"/>
        <v>0</v>
      </c>
      <c r="CB13" s="1482">
        <f t="shared" ca="1" si="21"/>
        <v>0</v>
      </c>
      <c r="CC13" s="1482">
        <f t="shared" ca="1" si="21"/>
        <v>0</v>
      </c>
      <c r="CD13" s="1482">
        <f t="shared" ca="1" si="21"/>
        <v>0</v>
      </c>
      <c r="CE13" s="1482">
        <f t="shared" ca="1" si="21"/>
        <v>0</v>
      </c>
      <c r="CF13" s="1482">
        <f t="shared" ca="1" si="21"/>
        <v>0</v>
      </c>
      <c r="CG13" s="1482">
        <f t="shared" ca="1" si="21"/>
        <v>0</v>
      </c>
      <c r="CH13" s="1482">
        <f t="shared" ca="1" si="21"/>
        <v>0</v>
      </c>
      <c r="CI13" s="1482">
        <f t="shared" ca="1" si="22"/>
        <v>0</v>
      </c>
      <c r="CJ13" s="1482">
        <f t="shared" ca="1" si="22"/>
        <v>0</v>
      </c>
      <c r="CK13" s="1482">
        <f t="shared" ca="1" si="22"/>
        <v>0</v>
      </c>
      <c r="CL13" s="1482">
        <f t="shared" ca="1" si="22"/>
        <v>0</v>
      </c>
      <c r="CM13" s="1482">
        <f t="shared" ca="1" si="22"/>
        <v>0</v>
      </c>
      <c r="CN13" s="1482">
        <f t="shared" ca="1" si="22"/>
        <v>0</v>
      </c>
      <c r="CO13" s="1482">
        <f t="shared" ca="1" si="22"/>
        <v>0</v>
      </c>
      <c r="CP13" s="1482">
        <f t="shared" ca="1" si="22"/>
        <v>0</v>
      </c>
      <c r="CQ13" s="1482">
        <f t="shared" ca="1" si="22"/>
        <v>0</v>
      </c>
      <c r="CR13" s="1482">
        <f t="shared" ca="1" si="22"/>
        <v>0</v>
      </c>
      <c r="CS13" s="1482">
        <f t="shared" ca="1" si="23"/>
        <v>0</v>
      </c>
      <c r="CT13" s="1482">
        <f t="shared" ca="1" si="23"/>
        <v>0</v>
      </c>
      <c r="CU13" s="1482">
        <f t="shared" ca="1" si="23"/>
        <v>0</v>
      </c>
      <c r="CV13" s="1482">
        <f t="shared" ca="1" si="23"/>
        <v>0</v>
      </c>
      <c r="CW13" s="1482">
        <f t="shared" ca="1" si="23"/>
        <v>0</v>
      </c>
      <c r="CX13" s="1482">
        <f t="shared" ca="1" si="23"/>
        <v>0</v>
      </c>
      <c r="CY13" s="1482">
        <f t="shared" ca="1" si="23"/>
        <v>0</v>
      </c>
      <c r="CZ13" s="1482">
        <f t="shared" ca="1" si="23"/>
        <v>0</v>
      </c>
      <c r="DA13" s="1482">
        <f t="shared" ca="1" si="23"/>
        <v>0</v>
      </c>
      <c r="DB13" s="1482">
        <f t="shared" ca="1" si="23"/>
        <v>0</v>
      </c>
      <c r="DC13" s="1482">
        <f t="shared" ca="1" si="23"/>
        <v>0</v>
      </c>
      <c r="DD13" s="1482">
        <f t="shared" ca="1" si="23"/>
        <v>0</v>
      </c>
      <c r="DE13" s="1482">
        <f t="shared" ca="1" si="23"/>
        <v>0</v>
      </c>
      <c r="DF13" s="1482">
        <f t="shared" ca="1" si="23"/>
        <v>0</v>
      </c>
      <c r="DH13" s="838"/>
    </row>
    <row r="14" spans="1:112" s="743" customFormat="1" ht="12.75" hidden="1" customHeight="1" outlineLevel="1">
      <c r="A14" s="1484"/>
      <c r="B14" s="1484"/>
      <c r="C14" s="746"/>
      <c r="D14" s="1010" t="s">
        <v>948</v>
      </c>
      <c r="E14" s="1010"/>
      <c r="G14" s="1020">
        <f ca="1">SUM(G12:G13)</f>
        <v>141.84903434321333</v>
      </c>
      <c r="H14" s="1020">
        <f t="shared" ref="H14:P14" ca="1" si="24">SUM(H12:H13)</f>
        <v>0</v>
      </c>
      <c r="I14" s="1020">
        <f t="shared" ca="1" si="24"/>
        <v>0</v>
      </c>
      <c r="J14" s="1020">
        <f t="shared" ca="1" si="24"/>
        <v>0</v>
      </c>
      <c r="K14" s="1020">
        <f t="shared" ca="1" si="24"/>
        <v>0</v>
      </c>
      <c r="L14" s="1020">
        <f t="shared" ca="1" si="24"/>
        <v>0</v>
      </c>
      <c r="M14" s="1020">
        <f t="shared" ca="1" si="24"/>
        <v>0</v>
      </c>
      <c r="N14" s="1020">
        <f t="shared" ca="1" si="24"/>
        <v>0</v>
      </c>
      <c r="O14" s="1020">
        <f t="shared" ca="1" si="24"/>
        <v>0</v>
      </c>
      <c r="P14" s="1020">
        <f t="shared" ca="1" si="24"/>
        <v>0</v>
      </c>
      <c r="Q14" s="1020">
        <f t="shared" ca="1" si="1"/>
        <v>141.84903434321333</v>
      </c>
      <c r="S14" s="1030">
        <f t="shared" ref="S14:AJ14" ca="1" si="25">SUM(S12:S13)</f>
        <v>-30.345016784095659</v>
      </c>
      <c r="T14" s="1030">
        <f t="shared" ca="1" si="25"/>
        <v>0</v>
      </c>
      <c r="U14" s="1030">
        <f t="shared" ca="1" si="25"/>
        <v>0</v>
      </c>
      <c r="V14" s="1030">
        <f t="shared" ca="1" si="25"/>
        <v>-3.1777619215816162</v>
      </c>
      <c r="W14" s="1030">
        <f t="shared" ca="1" si="25"/>
        <v>-108.32625563753608</v>
      </c>
      <c r="X14" s="1030">
        <f ca="1">SUM(X12:X13)</f>
        <v>0</v>
      </c>
      <c r="Y14" s="1030">
        <f ca="1">SUM(Y12:Y13)</f>
        <v>0</v>
      </c>
      <c r="Z14" s="1030">
        <f ca="1">SUM(Z12:Z13)</f>
        <v>0</v>
      </c>
      <c r="AA14" s="1030">
        <f t="shared" ca="1" si="25"/>
        <v>0</v>
      </c>
      <c r="AB14" s="1030">
        <f t="shared" ca="1" si="25"/>
        <v>0</v>
      </c>
      <c r="AC14" s="1030">
        <f t="shared" ca="1" si="25"/>
        <v>0</v>
      </c>
      <c r="AD14" s="1030">
        <f ca="1">SUM(AD12:AD13)</f>
        <v>0</v>
      </c>
      <c r="AE14" s="1030">
        <f ca="1">SUM(AE12:AE13)</f>
        <v>0</v>
      </c>
      <c r="AF14" s="1030">
        <f t="shared" ca="1" si="25"/>
        <v>0</v>
      </c>
      <c r="AG14" s="1030">
        <f ca="1">SUM(AG12:AG13)</f>
        <v>0</v>
      </c>
      <c r="AH14" s="1030">
        <f ca="1">SUM(AH12:AH13)</f>
        <v>0</v>
      </c>
      <c r="AI14" s="1030">
        <f ca="1">SUM(AI12:AI13)</f>
        <v>0</v>
      </c>
      <c r="AJ14" s="1030">
        <f t="shared" ca="1" si="25"/>
        <v>0</v>
      </c>
      <c r="AK14" s="1030">
        <f t="shared" ca="1" si="4"/>
        <v>-141.84903434321336</v>
      </c>
      <c r="AM14" s="1041">
        <f t="shared" ref="AM14:AS14" ca="1" si="26">SUM(AM12:AM13)</f>
        <v>0</v>
      </c>
      <c r="AN14" s="1041">
        <f t="shared" ca="1" si="26"/>
        <v>0</v>
      </c>
      <c r="AO14" s="1041">
        <f t="shared" ca="1" si="26"/>
        <v>0</v>
      </c>
      <c r="AP14" s="1041">
        <f t="shared" ca="1" si="26"/>
        <v>0</v>
      </c>
      <c r="AQ14" s="1041">
        <f t="shared" ca="1" si="26"/>
        <v>0</v>
      </c>
      <c r="AR14" s="1041">
        <f t="shared" ca="1" si="26"/>
        <v>0</v>
      </c>
      <c r="AS14" s="1041">
        <f t="shared" ca="1" si="26"/>
        <v>0</v>
      </c>
      <c r="AT14" s="1041">
        <f t="shared" ref="AT14:BE14" ca="1" si="27">SUM(AT12:AT13)</f>
        <v>0</v>
      </c>
      <c r="AU14" s="1041">
        <f t="shared" ca="1" si="27"/>
        <v>0</v>
      </c>
      <c r="AV14" s="1041">
        <f t="shared" ca="1" si="27"/>
        <v>0</v>
      </c>
      <c r="AW14" s="1041">
        <f t="shared" ca="1" si="27"/>
        <v>0</v>
      </c>
      <c r="AX14" s="1041">
        <f t="shared" ca="1" si="27"/>
        <v>0</v>
      </c>
      <c r="AY14" s="1041">
        <f t="shared" ca="1" si="27"/>
        <v>0</v>
      </c>
      <c r="AZ14" s="1041">
        <f t="shared" ca="1" si="27"/>
        <v>0</v>
      </c>
      <c r="BA14" s="1041">
        <f t="shared" ca="1" si="27"/>
        <v>0</v>
      </c>
      <c r="BB14" s="1041">
        <f t="shared" ca="1" si="27"/>
        <v>0</v>
      </c>
      <c r="BC14" s="1041">
        <f t="shared" ca="1" si="27"/>
        <v>0</v>
      </c>
      <c r="BD14" s="1041">
        <f t="shared" ca="1" si="27"/>
        <v>0</v>
      </c>
      <c r="BE14" s="1041">
        <f t="shared" ca="1" si="27"/>
        <v>0</v>
      </c>
      <c r="BF14" s="1012">
        <f t="shared" ca="1" si="6"/>
        <v>0</v>
      </c>
      <c r="BH14" s="1035">
        <f ca="1">SUM(BH12:BH13)</f>
        <v>0</v>
      </c>
      <c r="BI14" s="1035">
        <f ca="1">SUM(BI12:BI13)</f>
        <v>0</v>
      </c>
      <c r="BJ14" s="1035">
        <f t="shared" ca="1" si="8"/>
        <v>0</v>
      </c>
      <c r="BL14" s="814">
        <f t="shared" ca="1" si="9"/>
        <v>-2.8421709430404007E-14</v>
      </c>
      <c r="BM14" s="814"/>
      <c r="BN14" s="840"/>
      <c r="BO14" s="1485">
        <f t="shared" ref="BO14:DF14" ca="1" si="28">SUM(BO12:BO13)</f>
        <v>20.726471517702041</v>
      </c>
      <c r="BP14" s="1486">
        <f t="shared" ca="1" si="28"/>
        <v>4.0942546614003247E-2</v>
      </c>
      <c r="BQ14" s="1486">
        <f t="shared" ca="1" si="28"/>
        <v>5.7265512961339554E-2</v>
      </c>
      <c r="BR14" s="1486">
        <f t="shared" ca="1" si="28"/>
        <v>0</v>
      </c>
      <c r="BS14" s="1486">
        <f t="shared" ca="1" si="28"/>
        <v>0</v>
      </c>
      <c r="BT14" s="1486">
        <f t="shared" ca="1" si="28"/>
        <v>0</v>
      </c>
      <c r="BU14" s="1486">
        <f t="shared" ca="1" si="28"/>
        <v>0</v>
      </c>
      <c r="BV14" s="1486">
        <f t="shared" ca="1" si="28"/>
        <v>0</v>
      </c>
      <c r="BW14" s="1486">
        <f t="shared" ca="1" si="28"/>
        <v>0</v>
      </c>
      <c r="BX14" s="1486">
        <f t="shared" ca="1" si="28"/>
        <v>0</v>
      </c>
      <c r="BY14" s="1486">
        <f t="shared" ca="1" si="28"/>
        <v>0</v>
      </c>
      <c r="BZ14" s="1486">
        <f t="shared" ca="1" si="28"/>
        <v>0</v>
      </c>
      <c r="CA14" s="1486">
        <f t="shared" ca="1" si="28"/>
        <v>0</v>
      </c>
      <c r="CB14" s="1486">
        <f t="shared" ca="1" si="28"/>
        <v>0</v>
      </c>
      <c r="CC14" s="1486">
        <f t="shared" ca="1" si="28"/>
        <v>0</v>
      </c>
      <c r="CD14" s="1486">
        <f t="shared" ca="1" si="28"/>
        <v>0</v>
      </c>
      <c r="CE14" s="1486">
        <f t="shared" ca="1" si="28"/>
        <v>0</v>
      </c>
      <c r="CF14" s="1486">
        <f t="shared" ca="1" si="28"/>
        <v>0</v>
      </c>
      <c r="CG14" s="1486">
        <f t="shared" ca="1" si="28"/>
        <v>0</v>
      </c>
      <c r="CH14" s="1486">
        <f t="shared" ca="1" si="28"/>
        <v>0</v>
      </c>
      <c r="CI14" s="1486">
        <f t="shared" ca="1" si="28"/>
        <v>0</v>
      </c>
      <c r="CJ14" s="1486">
        <f t="shared" ca="1" si="28"/>
        <v>0</v>
      </c>
      <c r="CK14" s="1486">
        <f t="shared" ca="1" si="28"/>
        <v>0</v>
      </c>
      <c r="CL14" s="1486">
        <f t="shared" ca="1" si="28"/>
        <v>0</v>
      </c>
      <c r="CM14" s="1486">
        <f t="shared" ca="1" si="28"/>
        <v>0</v>
      </c>
      <c r="CN14" s="1486">
        <f t="shared" ca="1" si="28"/>
        <v>0</v>
      </c>
      <c r="CO14" s="1486">
        <f t="shared" ca="1" si="28"/>
        <v>0</v>
      </c>
      <c r="CP14" s="1486">
        <f t="shared" ca="1" si="28"/>
        <v>0</v>
      </c>
      <c r="CQ14" s="1486">
        <f t="shared" ca="1" si="28"/>
        <v>0</v>
      </c>
      <c r="CR14" s="1486">
        <f t="shared" ca="1" si="28"/>
        <v>0</v>
      </c>
      <c r="CS14" s="1486">
        <f t="shared" ca="1" si="28"/>
        <v>0</v>
      </c>
      <c r="CT14" s="1486">
        <f t="shared" ca="1" si="28"/>
        <v>0</v>
      </c>
      <c r="CU14" s="1486">
        <f t="shared" ca="1" si="28"/>
        <v>0</v>
      </c>
      <c r="CV14" s="1486">
        <f t="shared" ca="1" si="28"/>
        <v>0</v>
      </c>
      <c r="CW14" s="1486">
        <f t="shared" ca="1" si="28"/>
        <v>0</v>
      </c>
      <c r="CX14" s="1486">
        <f t="shared" ca="1" si="28"/>
        <v>0</v>
      </c>
      <c r="CY14" s="1486">
        <f t="shared" ca="1" si="28"/>
        <v>0</v>
      </c>
      <c r="CZ14" s="1486">
        <f t="shared" ca="1" si="28"/>
        <v>0</v>
      </c>
      <c r="DA14" s="1486">
        <f t="shared" ca="1" si="28"/>
        <v>0</v>
      </c>
      <c r="DB14" s="1486">
        <f t="shared" ca="1" si="28"/>
        <v>0</v>
      </c>
      <c r="DC14" s="1486">
        <f t="shared" ca="1" si="28"/>
        <v>0</v>
      </c>
      <c r="DD14" s="1486">
        <f t="shared" ca="1" si="28"/>
        <v>0</v>
      </c>
      <c r="DE14" s="1486">
        <f t="shared" ca="1" si="28"/>
        <v>0</v>
      </c>
      <c r="DF14" s="1486">
        <f t="shared" ca="1" si="28"/>
        <v>0</v>
      </c>
      <c r="DH14" s="838"/>
    </row>
    <row r="15" spans="1:112" s="743" customFormat="1" ht="15.75" collapsed="1">
      <c r="A15" s="22"/>
      <c r="B15" s="753"/>
      <c r="C15" s="744" t="s">
        <v>676</v>
      </c>
      <c r="D15" s="517" t="str">
        <f>INDEX(Workstreams[Workstream], MATCH($C15, Workstreams[Code], 0))</f>
        <v>Heating</v>
      </c>
      <c r="E15" s="512"/>
      <c r="G15" s="1021">
        <f t="shared" ref="G15:P15" ca="1" si="29">G14+G11</f>
        <v>651.04611206371885</v>
      </c>
      <c r="H15" s="1021">
        <f t="shared" ca="1" si="29"/>
        <v>0</v>
      </c>
      <c r="I15" s="1021">
        <f t="shared" ca="1" si="29"/>
        <v>0</v>
      </c>
      <c r="J15" s="1021">
        <f t="shared" ca="1" si="29"/>
        <v>0</v>
      </c>
      <c r="K15" s="1021">
        <f t="shared" ca="1" si="29"/>
        <v>0</v>
      </c>
      <c r="L15" s="1021">
        <f t="shared" ca="1" si="29"/>
        <v>0</v>
      </c>
      <c r="M15" s="1021">
        <f t="shared" ca="1" si="29"/>
        <v>0</v>
      </c>
      <c r="N15" s="1021">
        <f t="shared" ca="1" si="29"/>
        <v>0</v>
      </c>
      <c r="O15" s="1021">
        <f t="shared" ca="1" si="29"/>
        <v>0</v>
      </c>
      <c r="P15" s="1021">
        <f t="shared" ca="1" si="29"/>
        <v>0</v>
      </c>
      <c r="Q15" s="1021">
        <f t="shared" ca="1" si="1"/>
        <v>651.04611206371885</v>
      </c>
      <c r="S15" s="970">
        <f t="shared" ref="S15:Z15" ca="1" si="30">S14+S11</f>
        <v>-77.662218290503887</v>
      </c>
      <c r="T15" s="970">
        <f t="shared" ca="1" si="30"/>
        <v>0</v>
      </c>
      <c r="U15" s="970">
        <f t="shared" ca="1" si="30"/>
        <v>-5.9499892900432574</v>
      </c>
      <c r="V15" s="970">
        <f t="shared" ca="1" si="30"/>
        <v>-8.5143502538884555</v>
      </c>
      <c r="W15" s="970">
        <f t="shared" ca="1" si="30"/>
        <v>-558.91955422928334</v>
      </c>
      <c r="X15" s="970">
        <f t="shared" ca="1" si="30"/>
        <v>0</v>
      </c>
      <c r="Y15" s="970">
        <f t="shared" ca="1" si="30"/>
        <v>0</v>
      </c>
      <c r="Z15" s="970">
        <f t="shared" ca="1" si="30"/>
        <v>0</v>
      </c>
      <c r="AA15" s="970">
        <f t="shared" ref="AA15:AJ15" ca="1" si="31">AA14+AA11</f>
        <v>0</v>
      </c>
      <c r="AB15" s="970">
        <f t="shared" ca="1" si="31"/>
        <v>0</v>
      </c>
      <c r="AC15" s="970">
        <f t="shared" ca="1" si="31"/>
        <v>0</v>
      </c>
      <c r="AD15" s="970">
        <f ca="1">AD14+AD11</f>
        <v>0</v>
      </c>
      <c r="AE15" s="970">
        <f ca="1">AE14+AE11</f>
        <v>0</v>
      </c>
      <c r="AF15" s="970">
        <f t="shared" ca="1" si="31"/>
        <v>0</v>
      </c>
      <c r="AG15" s="970">
        <f ca="1">AG14+AG11</f>
        <v>0</v>
      </c>
      <c r="AH15" s="970">
        <f ca="1">AH14+AH11</f>
        <v>0</v>
      </c>
      <c r="AI15" s="970">
        <f ca="1">AI14+AI11</f>
        <v>0</v>
      </c>
      <c r="AJ15" s="970">
        <f t="shared" ca="1" si="31"/>
        <v>0</v>
      </c>
      <c r="AK15" s="970">
        <f t="shared" ca="1" si="4"/>
        <v>-651.04611206371897</v>
      </c>
      <c r="AM15" s="976">
        <f t="shared" ref="AM15:AS15" ca="1" si="32">AM14+AM11</f>
        <v>0</v>
      </c>
      <c r="AN15" s="976">
        <f t="shared" ca="1" si="32"/>
        <v>0</v>
      </c>
      <c r="AO15" s="976">
        <f t="shared" ca="1" si="32"/>
        <v>0</v>
      </c>
      <c r="AP15" s="976">
        <f t="shared" ca="1" si="32"/>
        <v>0</v>
      </c>
      <c r="AQ15" s="976">
        <f t="shared" ca="1" si="32"/>
        <v>0</v>
      </c>
      <c r="AR15" s="976">
        <f t="shared" ca="1" si="32"/>
        <v>0</v>
      </c>
      <c r="AS15" s="976">
        <f t="shared" ca="1" si="32"/>
        <v>0</v>
      </c>
      <c r="AT15" s="976">
        <f t="shared" ref="AT15:BE15" ca="1" si="33">AT14+AT11</f>
        <v>0</v>
      </c>
      <c r="AU15" s="976">
        <f t="shared" ca="1" si="33"/>
        <v>0</v>
      </c>
      <c r="AV15" s="976">
        <f t="shared" ca="1" si="33"/>
        <v>0</v>
      </c>
      <c r="AW15" s="976">
        <f t="shared" ca="1" si="33"/>
        <v>0</v>
      </c>
      <c r="AX15" s="976">
        <f t="shared" ca="1" si="33"/>
        <v>0</v>
      </c>
      <c r="AY15" s="976">
        <f t="shared" ca="1" si="33"/>
        <v>0</v>
      </c>
      <c r="AZ15" s="976">
        <f t="shared" ca="1" si="33"/>
        <v>0</v>
      </c>
      <c r="BA15" s="976">
        <f t="shared" ca="1" si="33"/>
        <v>0</v>
      </c>
      <c r="BB15" s="976">
        <f t="shared" ca="1" si="33"/>
        <v>0</v>
      </c>
      <c r="BC15" s="976">
        <f t="shared" ca="1" si="33"/>
        <v>0</v>
      </c>
      <c r="BD15" s="976">
        <f t="shared" ca="1" si="33"/>
        <v>0</v>
      </c>
      <c r="BE15" s="976">
        <f t="shared" ca="1" si="33"/>
        <v>0</v>
      </c>
      <c r="BF15" s="976">
        <f t="shared" ca="1" si="6"/>
        <v>0</v>
      </c>
      <c r="BH15" s="990">
        <f ca="1">BH14+BH11</f>
        <v>0</v>
      </c>
      <c r="BI15" s="990">
        <f ca="1">BI14+BI11</f>
        <v>0</v>
      </c>
      <c r="BJ15" s="990">
        <f t="shared" ca="1" si="8"/>
        <v>0</v>
      </c>
      <c r="BL15" s="515">
        <f t="shared" ca="1" si="9"/>
        <v>-1.1368683772161603E-13</v>
      </c>
      <c r="BM15" s="515"/>
      <c r="BN15" s="840"/>
      <c r="BO15" s="1482">
        <f t="shared" ref="BO15:DF15" ca="1" si="34">BO14+BO11</f>
        <v>106.80238224299354</v>
      </c>
      <c r="BP15" s="1482">
        <f t="shared" ca="1" si="34"/>
        <v>0.21417730153937375</v>
      </c>
      <c r="BQ15" s="1482">
        <f t="shared" ca="1" si="34"/>
        <v>0.27624931822928356</v>
      </c>
      <c r="BR15" s="1482">
        <f t="shared" ca="1" si="34"/>
        <v>0</v>
      </c>
      <c r="BS15" s="1482">
        <f t="shared" ca="1" si="34"/>
        <v>0</v>
      </c>
      <c r="BT15" s="1482">
        <f t="shared" ca="1" si="34"/>
        <v>0</v>
      </c>
      <c r="BU15" s="1482">
        <f t="shared" ca="1" si="34"/>
        <v>0</v>
      </c>
      <c r="BV15" s="1482">
        <f t="shared" ca="1" si="34"/>
        <v>0</v>
      </c>
      <c r="BW15" s="1482">
        <f t="shared" ca="1" si="34"/>
        <v>0</v>
      </c>
      <c r="BX15" s="1482">
        <f t="shared" ca="1" si="34"/>
        <v>0</v>
      </c>
      <c r="BY15" s="1482">
        <f t="shared" ca="1" si="34"/>
        <v>0</v>
      </c>
      <c r="BZ15" s="1482">
        <f t="shared" ca="1" si="34"/>
        <v>0</v>
      </c>
      <c r="CA15" s="1482">
        <f t="shared" ca="1" si="34"/>
        <v>0</v>
      </c>
      <c r="CB15" s="1482">
        <f t="shared" ca="1" si="34"/>
        <v>0</v>
      </c>
      <c r="CC15" s="1482">
        <f t="shared" ca="1" si="34"/>
        <v>0</v>
      </c>
      <c r="CD15" s="1482">
        <f t="shared" ca="1" si="34"/>
        <v>0</v>
      </c>
      <c r="CE15" s="1482">
        <f t="shared" ca="1" si="34"/>
        <v>0</v>
      </c>
      <c r="CF15" s="1482">
        <f t="shared" ca="1" si="34"/>
        <v>0</v>
      </c>
      <c r="CG15" s="1482">
        <f t="shared" ca="1" si="34"/>
        <v>0</v>
      </c>
      <c r="CH15" s="1482">
        <f t="shared" ca="1" si="34"/>
        <v>0</v>
      </c>
      <c r="CI15" s="1482">
        <f t="shared" ca="1" si="34"/>
        <v>0</v>
      </c>
      <c r="CJ15" s="1482">
        <f t="shared" ca="1" si="34"/>
        <v>0</v>
      </c>
      <c r="CK15" s="1482">
        <f t="shared" ca="1" si="34"/>
        <v>0</v>
      </c>
      <c r="CL15" s="1482">
        <f t="shared" ca="1" si="34"/>
        <v>0</v>
      </c>
      <c r="CM15" s="1482">
        <f t="shared" ca="1" si="34"/>
        <v>0</v>
      </c>
      <c r="CN15" s="1482">
        <f t="shared" ca="1" si="34"/>
        <v>0</v>
      </c>
      <c r="CO15" s="1482">
        <f t="shared" ca="1" si="34"/>
        <v>0</v>
      </c>
      <c r="CP15" s="1482">
        <f t="shared" ca="1" si="34"/>
        <v>0</v>
      </c>
      <c r="CQ15" s="1482">
        <f t="shared" ca="1" si="34"/>
        <v>0</v>
      </c>
      <c r="CR15" s="1482">
        <f t="shared" ca="1" si="34"/>
        <v>0</v>
      </c>
      <c r="CS15" s="1482">
        <f t="shared" ca="1" si="34"/>
        <v>0</v>
      </c>
      <c r="CT15" s="1482">
        <f t="shared" ca="1" si="34"/>
        <v>0</v>
      </c>
      <c r="CU15" s="1482">
        <f t="shared" ca="1" si="34"/>
        <v>0</v>
      </c>
      <c r="CV15" s="1482">
        <f t="shared" ca="1" si="34"/>
        <v>0</v>
      </c>
      <c r="CW15" s="1482">
        <f t="shared" ca="1" si="34"/>
        <v>0</v>
      </c>
      <c r="CX15" s="1482">
        <f t="shared" ca="1" si="34"/>
        <v>0</v>
      </c>
      <c r="CY15" s="1482">
        <f t="shared" ca="1" si="34"/>
        <v>0</v>
      </c>
      <c r="CZ15" s="1482">
        <f t="shared" ca="1" si="34"/>
        <v>0</v>
      </c>
      <c r="DA15" s="1482">
        <f t="shared" ca="1" si="34"/>
        <v>0</v>
      </c>
      <c r="DB15" s="1482">
        <f t="shared" ca="1" si="34"/>
        <v>0</v>
      </c>
      <c r="DC15" s="1482">
        <f t="shared" ca="1" si="34"/>
        <v>0</v>
      </c>
      <c r="DD15" s="1482">
        <f t="shared" ca="1" si="34"/>
        <v>0</v>
      </c>
      <c r="DE15" s="1482">
        <f t="shared" ca="1" si="34"/>
        <v>0</v>
      </c>
      <c r="DF15" s="1482">
        <f t="shared" ca="1" si="34"/>
        <v>0</v>
      </c>
      <c r="DH15" s="838">
        <f t="shared" ref="DH15:DH38" ca="1" si="35">SUM(BO15:DF15)</f>
        <v>107.29280886276221</v>
      </c>
    </row>
    <row r="16" spans="1:112" s="743" customFormat="1" hidden="1" outlineLevel="1">
      <c r="A16" s="1484"/>
      <c r="B16" s="1484"/>
      <c r="C16" s="746"/>
      <c r="D16" s="521"/>
      <c r="E16" s="521"/>
      <c r="G16" s="1019"/>
      <c r="H16" s="1019"/>
      <c r="I16" s="1019"/>
      <c r="J16" s="1019"/>
      <c r="K16" s="1019"/>
      <c r="L16" s="1019"/>
      <c r="M16" s="1019"/>
      <c r="N16" s="1019"/>
      <c r="O16" s="1019"/>
      <c r="P16" s="1019"/>
      <c r="Q16" s="1019"/>
      <c r="S16" s="1027"/>
      <c r="T16" s="1027"/>
      <c r="U16" s="1027"/>
      <c r="V16" s="1027"/>
      <c r="W16" s="1027"/>
      <c r="X16" s="1027"/>
      <c r="Y16" s="1027"/>
      <c r="Z16" s="1027"/>
      <c r="AA16" s="1027"/>
      <c r="AB16" s="1027"/>
      <c r="AC16" s="1027"/>
      <c r="AD16" s="1027"/>
      <c r="AE16" s="1027"/>
      <c r="AF16" s="1027"/>
      <c r="AG16" s="1027"/>
      <c r="AH16" s="1027"/>
      <c r="AI16" s="1027"/>
      <c r="AJ16" s="1027"/>
      <c r="AK16" s="1027"/>
      <c r="AM16" s="1040"/>
      <c r="AN16" s="1040"/>
      <c r="AO16" s="1040"/>
      <c r="AP16" s="1040"/>
      <c r="AQ16" s="1040"/>
      <c r="AR16" s="1040"/>
      <c r="AS16" s="1040"/>
      <c r="AT16" s="1040"/>
      <c r="AU16" s="1040"/>
      <c r="AV16" s="1040"/>
      <c r="AW16" s="1040"/>
      <c r="AX16" s="1040"/>
      <c r="AY16" s="1040"/>
      <c r="AZ16" s="1040"/>
      <c r="BA16" s="1040"/>
      <c r="BB16" s="1040"/>
      <c r="BC16" s="1040"/>
      <c r="BD16" s="1040"/>
      <c r="BE16" s="1040"/>
      <c r="BF16" s="979"/>
      <c r="BH16" s="1034"/>
      <c r="BI16" s="1034"/>
      <c r="BJ16" s="1034"/>
      <c r="BL16" s="814">
        <f t="shared" si="9"/>
        <v>0</v>
      </c>
      <c r="BM16" s="814"/>
      <c r="BN16" s="1484"/>
      <c r="BO16" s="1481"/>
      <c r="BP16" s="1482"/>
      <c r="BQ16" s="1482"/>
      <c r="BR16" s="1482"/>
      <c r="BS16" s="1482"/>
      <c r="BT16" s="1482"/>
      <c r="BU16" s="1482"/>
      <c r="BV16" s="1482"/>
      <c r="BW16" s="1482"/>
      <c r="BX16" s="1482"/>
      <c r="BY16" s="1482"/>
      <c r="BZ16" s="1482"/>
      <c r="CA16" s="1482"/>
      <c r="CB16" s="1482"/>
      <c r="CC16" s="1482"/>
      <c r="CD16" s="1482"/>
      <c r="CE16" s="1482"/>
      <c r="CF16" s="1482"/>
      <c r="CG16" s="1482"/>
      <c r="CH16" s="1482"/>
      <c r="CI16" s="1482"/>
      <c r="CJ16" s="1482"/>
      <c r="CK16" s="1482"/>
      <c r="CL16" s="1482"/>
      <c r="CM16" s="1482"/>
      <c r="CN16" s="1482"/>
      <c r="CO16" s="1482"/>
      <c r="CP16" s="1482"/>
      <c r="CQ16" s="1482"/>
      <c r="CR16" s="1482"/>
      <c r="CS16" s="1482"/>
      <c r="CT16" s="1482"/>
      <c r="CU16" s="1482"/>
      <c r="CV16" s="1482"/>
      <c r="CW16" s="1482"/>
      <c r="CX16" s="1482"/>
      <c r="CY16" s="1482"/>
      <c r="CZ16" s="1482"/>
      <c r="DA16" s="1482"/>
      <c r="DB16" s="1482"/>
      <c r="DC16" s="1482"/>
      <c r="DD16" s="1482"/>
      <c r="DE16" s="1482"/>
      <c r="DF16" s="1482"/>
      <c r="DH16" s="838">
        <f t="shared" si="35"/>
        <v>0</v>
      </c>
    </row>
    <row r="17" spans="1:112" s="743" customFormat="1" ht="12.75" hidden="1" customHeight="1" outlineLevel="1">
      <c r="A17" s="1484"/>
      <c r="B17" s="1484"/>
      <c r="C17" s="746" t="s">
        <v>950</v>
      </c>
      <c r="D17" s="1480" t="str">
        <f>INDEX(Modules[Module], MATCH($C17, Modules[Code], 0))</f>
        <v>Domestic lighting, appliances, and cooking</v>
      </c>
      <c r="E17" s="1006"/>
      <c r="G17" s="1017">
        <f t="shared" ref="G17:P18" ca="1" si="36">IFERROR(INDEX(INDIRECT($C17&amp;".Outputs["&amp;this.Year&amp;"]"), MATCH(G$5, INDIRECT($C17&amp;".Outputs[Vector]"), 0)), 0)</f>
        <v>0</v>
      </c>
      <c r="H17" s="1017">
        <f t="shared" ca="1" si="36"/>
        <v>102.58198044023743</v>
      </c>
      <c r="I17" s="1017">
        <f t="shared" ca="1" si="36"/>
        <v>0</v>
      </c>
      <c r="J17" s="1017">
        <f t="shared" ca="1" si="36"/>
        <v>0</v>
      </c>
      <c r="K17" s="1017">
        <f t="shared" ca="1" si="36"/>
        <v>0</v>
      </c>
      <c r="L17" s="1017">
        <f t="shared" ca="1" si="36"/>
        <v>0</v>
      </c>
      <c r="M17" s="1017">
        <f t="shared" ca="1" si="36"/>
        <v>0</v>
      </c>
      <c r="N17" s="1017">
        <f t="shared" ca="1" si="36"/>
        <v>0</v>
      </c>
      <c r="O17" s="1017">
        <f t="shared" ca="1" si="36"/>
        <v>0</v>
      </c>
      <c r="P17" s="1017">
        <f t="shared" ca="1" si="36"/>
        <v>0</v>
      </c>
      <c r="Q17" s="1019">
        <f ca="1">SUM(G17:P17)</f>
        <v>102.58198044023743</v>
      </c>
      <c r="S17" s="1026">
        <f t="shared" ref="S17:BE18" ca="1" si="37">IFERROR(INDEX(INDIRECT($C17&amp;".Outputs["&amp;this.Year&amp;"]"), MATCH(S$5, INDIRECT($C17&amp;".Outputs[Vector]"), 0)), 0)</f>
        <v>-94.567435891111487</v>
      </c>
      <c r="T17" s="1026">
        <f t="shared" ca="1" si="37"/>
        <v>0</v>
      </c>
      <c r="U17" s="1026">
        <f t="shared" ca="1" si="37"/>
        <v>0</v>
      </c>
      <c r="V17" s="1026">
        <f t="shared" ca="1" si="37"/>
        <v>0</v>
      </c>
      <c r="W17" s="1026">
        <f t="shared" ca="1" si="37"/>
        <v>-8.014544549125949</v>
      </c>
      <c r="X17" s="1026">
        <f t="shared" ref="X17:Z18" ca="1" si="38">IFERROR(INDEX(INDIRECT($C17&amp;".Outputs["&amp;this.Year&amp;"]"), MATCH(X$5, INDIRECT($C17&amp;".Outputs[Vector]"), 0)), 0)</f>
        <v>0</v>
      </c>
      <c r="Y17" s="1026">
        <f t="shared" ca="1" si="38"/>
        <v>0</v>
      </c>
      <c r="Z17" s="1026">
        <f t="shared" ca="1" si="38"/>
        <v>0</v>
      </c>
      <c r="AA17" s="1026">
        <f t="shared" ca="1" si="37"/>
        <v>0</v>
      </c>
      <c r="AB17" s="1026">
        <f t="shared" ca="1" si="37"/>
        <v>0</v>
      </c>
      <c r="AC17" s="1026">
        <f t="shared" ca="1" si="37"/>
        <v>0</v>
      </c>
      <c r="AD17" s="1026">
        <f t="shared" ca="1" si="37"/>
        <v>0</v>
      </c>
      <c r="AE17" s="1026">
        <f t="shared" ca="1" si="37"/>
        <v>0</v>
      </c>
      <c r="AF17" s="1026">
        <f t="shared" ca="1" si="37"/>
        <v>0</v>
      </c>
      <c r="AG17" s="1026">
        <f t="shared" ca="1" si="37"/>
        <v>0</v>
      </c>
      <c r="AH17" s="1026">
        <f t="shared" ca="1" si="37"/>
        <v>0</v>
      </c>
      <c r="AI17" s="1026">
        <f t="shared" ca="1" si="37"/>
        <v>0</v>
      </c>
      <c r="AJ17" s="1026">
        <f t="shared" ca="1" si="37"/>
        <v>0</v>
      </c>
      <c r="AK17" s="1027">
        <f ca="1">SUM(S17:AJ17)</f>
        <v>-102.58198044023743</v>
      </c>
      <c r="AM17" s="1038">
        <f t="shared" ref="AM17:AU18" ca="1" si="39">IFERROR(INDEX(INDIRECT($C17&amp;".Outputs["&amp;this.Year&amp;"]"), MATCH(AM$5, INDIRECT($C17&amp;".Outputs[Vector]"), 0)), 0)</f>
        <v>0</v>
      </c>
      <c r="AN17" s="1038">
        <f t="shared" ca="1" si="39"/>
        <v>0</v>
      </c>
      <c r="AO17" s="1038">
        <f t="shared" ca="1" si="39"/>
        <v>0</v>
      </c>
      <c r="AP17" s="1038">
        <f t="shared" ca="1" si="39"/>
        <v>0</v>
      </c>
      <c r="AQ17" s="1038">
        <f t="shared" ca="1" si="39"/>
        <v>0</v>
      </c>
      <c r="AR17" s="1038">
        <f t="shared" ca="1" si="39"/>
        <v>0</v>
      </c>
      <c r="AS17" s="1038">
        <f t="shared" ca="1" si="39"/>
        <v>0</v>
      </c>
      <c r="AT17" s="1038">
        <f t="shared" ca="1" si="39"/>
        <v>0</v>
      </c>
      <c r="AU17" s="1038">
        <f t="shared" ca="1" si="39"/>
        <v>0</v>
      </c>
      <c r="AV17" s="1038">
        <f t="shared" ca="1" si="37"/>
        <v>0</v>
      </c>
      <c r="AW17" s="1038">
        <f t="shared" ca="1" si="37"/>
        <v>0</v>
      </c>
      <c r="AX17" s="1038">
        <f t="shared" ca="1" si="37"/>
        <v>0</v>
      </c>
      <c r="AY17" s="1038">
        <f t="shared" ca="1" si="37"/>
        <v>0</v>
      </c>
      <c r="AZ17" s="1038">
        <f t="shared" ca="1" si="37"/>
        <v>0</v>
      </c>
      <c r="BA17" s="1038">
        <f t="shared" ca="1" si="37"/>
        <v>0</v>
      </c>
      <c r="BB17" s="1038">
        <f t="shared" ca="1" si="37"/>
        <v>0</v>
      </c>
      <c r="BC17" s="1038">
        <f t="shared" ca="1" si="37"/>
        <v>0</v>
      </c>
      <c r="BD17" s="1038">
        <f t="shared" ca="1" si="37"/>
        <v>0</v>
      </c>
      <c r="BE17" s="1038">
        <f t="shared" ca="1" si="37"/>
        <v>0</v>
      </c>
      <c r="BF17" s="979">
        <f ca="1">SUM(AM17:BE17)</f>
        <v>0</v>
      </c>
      <c r="BH17" s="1032">
        <f ca="1">IFERROR(INDEX(INDIRECT($C17&amp;".Outputs["&amp;this.Year&amp;"]"), MATCH(BH$5, INDIRECT($C17&amp;".Outputs[Vector]"), 0)), 0)</f>
        <v>0</v>
      </c>
      <c r="BI17" s="1032">
        <f ca="1">IFERROR(INDEX(INDIRECT($C17&amp;".Outputs["&amp;this.Year&amp;"]"), MATCH(BI$5, INDIRECT($C17&amp;".Outputs[Vector]"), 0)), 0)</f>
        <v>0</v>
      </c>
      <c r="BJ17" s="1034">
        <f ca="1">SUM(BH17:BI17)</f>
        <v>0</v>
      </c>
      <c r="BL17" s="814">
        <f t="shared" ca="1" si="9"/>
        <v>0</v>
      </c>
      <c r="BM17" s="814"/>
      <c r="BN17" s="840"/>
      <c r="BO17" s="1481">
        <f t="shared" ref="BO17:BX18" ca="1" si="40">IFERROR(SUMIFS(INDIRECT($C17&amp;".Emissions["&amp;this.Year&amp;"]"), INDIRECT($C17&amp;".Emissions[GHG]"), BO$6, INDIRECT($C17&amp;".Emissions[IPCC Sector]"), BO$5),0)</f>
        <v>1.4746761970391744</v>
      </c>
      <c r="BP17" s="1482">
        <f t="shared" ca="1" si="40"/>
        <v>2.9559673613715563E-3</v>
      </c>
      <c r="BQ17" s="1482">
        <f t="shared" ca="1" si="40"/>
        <v>3.1792866060375837E-3</v>
      </c>
      <c r="BR17" s="1482">
        <f t="shared" ca="1" si="40"/>
        <v>0</v>
      </c>
      <c r="BS17" s="1482">
        <f t="shared" ca="1" si="40"/>
        <v>0</v>
      </c>
      <c r="BT17" s="1482">
        <f t="shared" ca="1" si="40"/>
        <v>0</v>
      </c>
      <c r="BU17" s="1482">
        <f t="shared" ca="1" si="40"/>
        <v>0</v>
      </c>
      <c r="BV17" s="1482">
        <f t="shared" ca="1" si="40"/>
        <v>0</v>
      </c>
      <c r="BW17" s="1482">
        <f t="shared" ca="1" si="40"/>
        <v>0</v>
      </c>
      <c r="BX17" s="1482">
        <f t="shared" ca="1" si="40"/>
        <v>0</v>
      </c>
      <c r="BY17" s="1482">
        <f t="shared" ref="BY17:CH18" ca="1" si="41">IFERROR(SUMIFS(INDIRECT($C17&amp;".Emissions["&amp;this.Year&amp;"]"), INDIRECT($C17&amp;".Emissions[GHG]"), BY$6, INDIRECT($C17&amp;".Emissions[IPCC Sector]"), BY$5),0)</f>
        <v>0</v>
      </c>
      <c r="BZ17" s="1482">
        <f t="shared" ca="1" si="41"/>
        <v>0</v>
      </c>
      <c r="CA17" s="1482">
        <f t="shared" ca="1" si="41"/>
        <v>0</v>
      </c>
      <c r="CB17" s="1482">
        <f t="shared" ca="1" si="41"/>
        <v>0</v>
      </c>
      <c r="CC17" s="1482">
        <f t="shared" ca="1" si="41"/>
        <v>0</v>
      </c>
      <c r="CD17" s="1482">
        <f t="shared" ca="1" si="41"/>
        <v>0</v>
      </c>
      <c r="CE17" s="1482">
        <f t="shared" ca="1" si="41"/>
        <v>0</v>
      </c>
      <c r="CF17" s="1482">
        <f t="shared" ca="1" si="41"/>
        <v>0</v>
      </c>
      <c r="CG17" s="1482">
        <f t="shared" ca="1" si="41"/>
        <v>0</v>
      </c>
      <c r="CH17" s="1482">
        <f t="shared" ca="1" si="41"/>
        <v>0</v>
      </c>
      <c r="CI17" s="1482">
        <f t="shared" ref="CI17:CR18" ca="1" si="42">IFERROR(SUMIFS(INDIRECT($C17&amp;".Emissions["&amp;this.Year&amp;"]"), INDIRECT($C17&amp;".Emissions[GHG]"), CI$6, INDIRECT($C17&amp;".Emissions[IPCC Sector]"), CI$5),0)</f>
        <v>0</v>
      </c>
      <c r="CJ17" s="1482">
        <f t="shared" ca="1" si="42"/>
        <v>0</v>
      </c>
      <c r="CK17" s="1482">
        <f t="shared" ca="1" si="42"/>
        <v>0</v>
      </c>
      <c r="CL17" s="1482">
        <f t="shared" ca="1" si="42"/>
        <v>0</v>
      </c>
      <c r="CM17" s="1482">
        <f t="shared" ca="1" si="42"/>
        <v>0</v>
      </c>
      <c r="CN17" s="1482">
        <f t="shared" ca="1" si="42"/>
        <v>0</v>
      </c>
      <c r="CO17" s="1482">
        <f t="shared" ca="1" si="42"/>
        <v>0</v>
      </c>
      <c r="CP17" s="1482">
        <f t="shared" ca="1" si="42"/>
        <v>0</v>
      </c>
      <c r="CQ17" s="1482">
        <f t="shared" ca="1" si="42"/>
        <v>0</v>
      </c>
      <c r="CR17" s="1482">
        <f t="shared" ca="1" si="42"/>
        <v>0</v>
      </c>
      <c r="CS17" s="1482">
        <f t="shared" ref="CS17:DF18" ca="1" si="43">IFERROR(SUMIFS(INDIRECT($C17&amp;".Emissions["&amp;this.Year&amp;"]"), INDIRECT($C17&amp;".Emissions[GHG]"), CS$6, INDIRECT($C17&amp;".Emissions[IPCC Sector]"), CS$5),0)</f>
        <v>0</v>
      </c>
      <c r="CT17" s="1482">
        <f t="shared" ca="1" si="43"/>
        <v>0</v>
      </c>
      <c r="CU17" s="1482">
        <f t="shared" ca="1" si="43"/>
        <v>0</v>
      </c>
      <c r="CV17" s="1482">
        <f t="shared" ca="1" si="43"/>
        <v>0</v>
      </c>
      <c r="CW17" s="1482">
        <f t="shared" ca="1" si="43"/>
        <v>0</v>
      </c>
      <c r="CX17" s="1482">
        <f t="shared" ca="1" si="43"/>
        <v>0</v>
      </c>
      <c r="CY17" s="1482">
        <f t="shared" ca="1" si="43"/>
        <v>0</v>
      </c>
      <c r="CZ17" s="1482">
        <f t="shared" ca="1" si="43"/>
        <v>0</v>
      </c>
      <c r="DA17" s="1482">
        <f t="shared" ca="1" si="43"/>
        <v>0</v>
      </c>
      <c r="DB17" s="1482">
        <f t="shared" ca="1" si="43"/>
        <v>0</v>
      </c>
      <c r="DC17" s="1482">
        <f t="shared" ca="1" si="43"/>
        <v>0</v>
      </c>
      <c r="DD17" s="1482">
        <f t="shared" ca="1" si="43"/>
        <v>0</v>
      </c>
      <c r="DE17" s="1482">
        <f t="shared" ca="1" si="43"/>
        <v>0</v>
      </c>
      <c r="DF17" s="1482">
        <f t="shared" ca="1" si="43"/>
        <v>0</v>
      </c>
      <c r="DH17" s="838">
        <f t="shared" ca="1" si="35"/>
        <v>1.4808114510065835</v>
      </c>
    </row>
    <row r="18" spans="1:112" s="743" customFormat="1" ht="12.75" hidden="1" customHeight="1" outlineLevel="1">
      <c r="A18" s="1484"/>
      <c r="B18" s="1484"/>
      <c r="C18" s="746" t="s">
        <v>951</v>
      </c>
      <c r="D18" s="1010" t="str">
        <f>INDEX(Modules[Module], MATCH($C18, Modules[Code], 0))</f>
        <v>Commercial lighting, appliances, and catering</v>
      </c>
      <c r="E18" s="1010"/>
      <c r="G18" s="1022">
        <f t="shared" ca="1" si="36"/>
        <v>0</v>
      </c>
      <c r="H18" s="1022">
        <f t="shared" ca="1" si="36"/>
        <v>90.997447774517084</v>
      </c>
      <c r="I18" s="1022">
        <f t="shared" ca="1" si="36"/>
        <v>0</v>
      </c>
      <c r="J18" s="1022">
        <f t="shared" ca="1" si="36"/>
        <v>0</v>
      </c>
      <c r="K18" s="1022">
        <f t="shared" ca="1" si="36"/>
        <v>0</v>
      </c>
      <c r="L18" s="1022">
        <f t="shared" ca="1" si="36"/>
        <v>0</v>
      </c>
      <c r="M18" s="1022">
        <f t="shared" ca="1" si="36"/>
        <v>0</v>
      </c>
      <c r="N18" s="1022">
        <f t="shared" ca="1" si="36"/>
        <v>0</v>
      </c>
      <c r="O18" s="1022">
        <f t="shared" ca="1" si="36"/>
        <v>0</v>
      </c>
      <c r="P18" s="1022">
        <f t="shared" ca="1" si="36"/>
        <v>0</v>
      </c>
      <c r="Q18" s="1020">
        <f ca="1">SUM(G18:P18)</f>
        <v>90.997447774517084</v>
      </c>
      <c r="S18" s="1031">
        <f t="shared" ca="1" si="37"/>
        <v>-81.977512124578922</v>
      </c>
      <c r="T18" s="1031">
        <f t="shared" ca="1" si="37"/>
        <v>0</v>
      </c>
      <c r="U18" s="1031">
        <f t="shared" ca="1" si="37"/>
        <v>0</v>
      </c>
      <c r="V18" s="1031">
        <f t="shared" ca="1" si="37"/>
        <v>0</v>
      </c>
      <c r="W18" s="1031">
        <f t="shared" ca="1" si="37"/>
        <v>-9.0199356499381675</v>
      </c>
      <c r="X18" s="1031">
        <f t="shared" ca="1" si="38"/>
        <v>0</v>
      </c>
      <c r="Y18" s="1031">
        <f t="shared" ca="1" si="38"/>
        <v>0</v>
      </c>
      <c r="Z18" s="1031">
        <f t="shared" ca="1" si="38"/>
        <v>0</v>
      </c>
      <c r="AA18" s="1031">
        <f t="shared" ca="1" si="37"/>
        <v>0</v>
      </c>
      <c r="AB18" s="1031">
        <f t="shared" ca="1" si="37"/>
        <v>0</v>
      </c>
      <c r="AC18" s="1031">
        <f t="shared" ca="1" si="37"/>
        <v>0</v>
      </c>
      <c r="AD18" s="1031">
        <f t="shared" ca="1" si="37"/>
        <v>0</v>
      </c>
      <c r="AE18" s="1031">
        <f t="shared" ca="1" si="37"/>
        <v>0</v>
      </c>
      <c r="AF18" s="1031">
        <f t="shared" ca="1" si="37"/>
        <v>0</v>
      </c>
      <c r="AG18" s="1031">
        <f t="shared" ca="1" si="37"/>
        <v>0</v>
      </c>
      <c r="AH18" s="1031">
        <f t="shared" ca="1" si="37"/>
        <v>0</v>
      </c>
      <c r="AI18" s="1031">
        <f t="shared" ca="1" si="37"/>
        <v>0</v>
      </c>
      <c r="AJ18" s="1031">
        <f t="shared" ca="1" si="37"/>
        <v>0</v>
      </c>
      <c r="AK18" s="1030">
        <f ca="1">SUM(S18:AJ18)</f>
        <v>-90.997447774517084</v>
      </c>
      <c r="AM18" s="1042">
        <f t="shared" ca="1" si="39"/>
        <v>0</v>
      </c>
      <c r="AN18" s="1042">
        <f t="shared" ca="1" si="39"/>
        <v>0</v>
      </c>
      <c r="AO18" s="1042">
        <f t="shared" ca="1" si="39"/>
        <v>0</v>
      </c>
      <c r="AP18" s="1042">
        <f t="shared" ca="1" si="39"/>
        <v>0</v>
      </c>
      <c r="AQ18" s="1042">
        <f t="shared" ca="1" si="39"/>
        <v>0</v>
      </c>
      <c r="AR18" s="1042">
        <f t="shared" ca="1" si="39"/>
        <v>0</v>
      </c>
      <c r="AS18" s="1042">
        <f t="shared" ca="1" si="39"/>
        <v>0</v>
      </c>
      <c r="AT18" s="1042">
        <f t="shared" ca="1" si="39"/>
        <v>0</v>
      </c>
      <c r="AU18" s="1042">
        <f t="shared" ca="1" si="39"/>
        <v>0</v>
      </c>
      <c r="AV18" s="1042">
        <f t="shared" ca="1" si="37"/>
        <v>0</v>
      </c>
      <c r="AW18" s="1042">
        <f t="shared" ca="1" si="37"/>
        <v>0</v>
      </c>
      <c r="AX18" s="1042">
        <f t="shared" ca="1" si="37"/>
        <v>0</v>
      </c>
      <c r="AY18" s="1042">
        <f t="shared" ca="1" si="37"/>
        <v>0</v>
      </c>
      <c r="AZ18" s="1042">
        <f t="shared" ca="1" si="37"/>
        <v>0</v>
      </c>
      <c r="BA18" s="1042">
        <f t="shared" ca="1" si="37"/>
        <v>0</v>
      </c>
      <c r="BB18" s="1042">
        <f t="shared" ca="1" si="37"/>
        <v>0</v>
      </c>
      <c r="BC18" s="1042">
        <f t="shared" ca="1" si="37"/>
        <v>0</v>
      </c>
      <c r="BD18" s="1042">
        <f t="shared" ca="1" si="37"/>
        <v>0</v>
      </c>
      <c r="BE18" s="1042">
        <f t="shared" ca="1" si="37"/>
        <v>0</v>
      </c>
      <c r="BF18" s="1012">
        <f ca="1">SUM(AM18:BE18)</f>
        <v>0</v>
      </c>
      <c r="BH18" s="1036">
        <f ca="1">IFERROR(INDEX(INDIRECT($C18&amp;".Outputs["&amp;this.Year&amp;"]"), MATCH(BH$5, INDIRECT($C18&amp;".Outputs[Vector]"), 0)), 0)</f>
        <v>0</v>
      </c>
      <c r="BI18" s="1036">
        <f ca="1">IFERROR(INDEX(INDIRECT($C18&amp;".Outputs["&amp;this.Year&amp;"]"), MATCH(BI$5, INDIRECT($C18&amp;".Outputs[Vector]"), 0)), 0)</f>
        <v>0</v>
      </c>
      <c r="BJ18" s="1035">
        <f ca="1">SUM(BH18:BI18)</f>
        <v>0</v>
      </c>
      <c r="BL18" s="814">
        <f t="shared" ca="1" si="9"/>
        <v>0</v>
      </c>
      <c r="BM18" s="814"/>
      <c r="BN18" s="840"/>
      <c r="BO18" s="1485">
        <f t="shared" ca="1" si="40"/>
        <v>1.6596681595886225</v>
      </c>
      <c r="BP18" s="1486">
        <f t="shared" ca="1" si="40"/>
        <v>3.326781106456852E-3</v>
      </c>
      <c r="BQ18" s="1486">
        <f t="shared" ca="1" si="40"/>
        <v>3.5781148165552061E-3</v>
      </c>
      <c r="BR18" s="1486">
        <f t="shared" ca="1" si="40"/>
        <v>0</v>
      </c>
      <c r="BS18" s="1486">
        <f t="shared" ca="1" si="40"/>
        <v>0</v>
      </c>
      <c r="BT18" s="1486">
        <f t="shared" ca="1" si="40"/>
        <v>0</v>
      </c>
      <c r="BU18" s="1486">
        <f t="shared" ca="1" si="40"/>
        <v>0</v>
      </c>
      <c r="BV18" s="1486">
        <f t="shared" ca="1" si="40"/>
        <v>0</v>
      </c>
      <c r="BW18" s="1486">
        <f t="shared" ca="1" si="40"/>
        <v>0</v>
      </c>
      <c r="BX18" s="1486">
        <f t="shared" ca="1" si="40"/>
        <v>0</v>
      </c>
      <c r="BY18" s="1486">
        <f t="shared" ca="1" si="41"/>
        <v>0</v>
      </c>
      <c r="BZ18" s="1486">
        <f t="shared" ca="1" si="41"/>
        <v>0</v>
      </c>
      <c r="CA18" s="1486">
        <f t="shared" ca="1" si="41"/>
        <v>0</v>
      </c>
      <c r="CB18" s="1486">
        <f t="shared" ca="1" si="41"/>
        <v>0</v>
      </c>
      <c r="CC18" s="1486">
        <f t="shared" ca="1" si="41"/>
        <v>0</v>
      </c>
      <c r="CD18" s="1486">
        <f t="shared" ca="1" si="41"/>
        <v>0</v>
      </c>
      <c r="CE18" s="1486">
        <f t="shared" ca="1" si="41"/>
        <v>0</v>
      </c>
      <c r="CF18" s="1486">
        <f t="shared" ca="1" si="41"/>
        <v>0</v>
      </c>
      <c r="CG18" s="1486">
        <f t="shared" ca="1" si="41"/>
        <v>0</v>
      </c>
      <c r="CH18" s="1486">
        <f t="shared" ca="1" si="41"/>
        <v>0</v>
      </c>
      <c r="CI18" s="1486">
        <f t="shared" ca="1" si="42"/>
        <v>0</v>
      </c>
      <c r="CJ18" s="1486">
        <f t="shared" ca="1" si="42"/>
        <v>0</v>
      </c>
      <c r="CK18" s="1486">
        <f t="shared" ca="1" si="42"/>
        <v>0</v>
      </c>
      <c r="CL18" s="1486">
        <f t="shared" ca="1" si="42"/>
        <v>0</v>
      </c>
      <c r="CM18" s="1486">
        <f t="shared" ca="1" si="42"/>
        <v>0</v>
      </c>
      <c r="CN18" s="1486">
        <f t="shared" ca="1" si="42"/>
        <v>0</v>
      </c>
      <c r="CO18" s="1486">
        <f t="shared" ca="1" si="42"/>
        <v>0</v>
      </c>
      <c r="CP18" s="1486">
        <f t="shared" ca="1" si="42"/>
        <v>0</v>
      </c>
      <c r="CQ18" s="1486">
        <f t="shared" ca="1" si="42"/>
        <v>0</v>
      </c>
      <c r="CR18" s="1486">
        <f t="shared" ca="1" si="42"/>
        <v>0</v>
      </c>
      <c r="CS18" s="1486">
        <f t="shared" ca="1" si="43"/>
        <v>0</v>
      </c>
      <c r="CT18" s="1486">
        <f t="shared" ca="1" si="43"/>
        <v>0</v>
      </c>
      <c r="CU18" s="1486">
        <f t="shared" ca="1" si="43"/>
        <v>0</v>
      </c>
      <c r="CV18" s="1486">
        <f t="shared" ca="1" si="43"/>
        <v>0</v>
      </c>
      <c r="CW18" s="1486">
        <f t="shared" ca="1" si="43"/>
        <v>0</v>
      </c>
      <c r="CX18" s="1486">
        <f t="shared" ca="1" si="43"/>
        <v>0</v>
      </c>
      <c r="CY18" s="1486">
        <f t="shared" ca="1" si="43"/>
        <v>0</v>
      </c>
      <c r="CZ18" s="1486">
        <f t="shared" ca="1" si="43"/>
        <v>0</v>
      </c>
      <c r="DA18" s="1486">
        <f t="shared" ca="1" si="43"/>
        <v>0</v>
      </c>
      <c r="DB18" s="1486">
        <f t="shared" ca="1" si="43"/>
        <v>0</v>
      </c>
      <c r="DC18" s="1486">
        <f t="shared" ca="1" si="43"/>
        <v>0</v>
      </c>
      <c r="DD18" s="1486">
        <f t="shared" ca="1" si="43"/>
        <v>0</v>
      </c>
      <c r="DE18" s="1486">
        <f t="shared" ca="1" si="43"/>
        <v>0</v>
      </c>
      <c r="DF18" s="1486">
        <f t="shared" ca="1" si="43"/>
        <v>0</v>
      </c>
      <c r="DH18" s="838">
        <f t="shared" ca="1" si="35"/>
        <v>1.6665730555116345</v>
      </c>
    </row>
    <row r="19" spans="1:112" s="743" customFormat="1" ht="15.75" collapsed="1">
      <c r="A19" s="22"/>
      <c r="B19" s="753"/>
      <c r="C19" s="744" t="s">
        <v>677</v>
      </c>
      <c r="D19" s="517" t="str">
        <f>INDEX(Workstreams[Workstream], MATCH($C19, Workstreams[Code], 0))</f>
        <v>Lighting and appliances</v>
      </c>
      <c r="E19" s="512"/>
      <c r="G19" s="1021">
        <f ca="1">G17+G18</f>
        <v>0</v>
      </c>
      <c r="H19" s="1021">
        <f t="shared" ref="H19:P19" ca="1" si="44">H17+H18</f>
        <v>193.5794282147545</v>
      </c>
      <c r="I19" s="1021">
        <f t="shared" ca="1" si="44"/>
        <v>0</v>
      </c>
      <c r="J19" s="1021">
        <f t="shared" ca="1" si="44"/>
        <v>0</v>
      </c>
      <c r="K19" s="1021">
        <f t="shared" ca="1" si="44"/>
        <v>0</v>
      </c>
      <c r="L19" s="1021">
        <f t="shared" ca="1" si="44"/>
        <v>0</v>
      </c>
      <c r="M19" s="1021">
        <f t="shared" ca="1" si="44"/>
        <v>0</v>
      </c>
      <c r="N19" s="1021">
        <f t="shared" ca="1" si="44"/>
        <v>0</v>
      </c>
      <c r="O19" s="1021">
        <f t="shared" ca="1" si="44"/>
        <v>0</v>
      </c>
      <c r="P19" s="1021">
        <f t="shared" ca="1" si="44"/>
        <v>0</v>
      </c>
      <c r="Q19" s="1021">
        <f ca="1">SUM(G19:P19)</f>
        <v>193.5794282147545</v>
      </c>
      <c r="S19" s="970">
        <f ca="1">S17+S18</f>
        <v>-176.54494801569041</v>
      </c>
      <c r="T19" s="970">
        <f t="shared" ref="T19:AJ19" ca="1" si="45">T17+T18</f>
        <v>0</v>
      </c>
      <c r="U19" s="970">
        <f t="shared" ca="1" si="45"/>
        <v>0</v>
      </c>
      <c r="V19" s="970">
        <f t="shared" ca="1" si="45"/>
        <v>0</v>
      </c>
      <c r="W19" s="970">
        <f t="shared" ca="1" si="45"/>
        <v>-17.034480199064117</v>
      </c>
      <c r="X19" s="970">
        <f ca="1">X17+X18</f>
        <v>0</v>
      </c>
      <c r="Y19" s="970">
        <f ca="1">Y17+Y18</f>
        <v>0</v>
      </c>
      <c r="Z19" s="970">
        <f ca="1">Z17+Z18</f>
        <v>0</v>
      </c>
      <c r="AA19" s="970">
        <f t="shared" ca="1" si="45"/>
        <v>0</v>
      </c>
      <c r="AB19" s="970">
        <f t="shared" ca="1" si="45"/>
        <v>0</v>
      </c>
      <c r="AC19" s="970">
        <f t="shared" ca="1" si="45"/>
        <v>0</v>
      </c>
      <c r="AD19" s="970">
        <f ca="1">AD17+AD18</f>
        <v>0</v>
      </c>
      <c r="AE19" s="970">
        <f ca="1">AE17+AE18</f>
        <v>0</v>
      </c>
      <c r="AF19" s="970">
        <f t="shared" ca="1" si="45"/>
        <v>0</v>
      </c>
      <c r="AG19" s="970">
        <f ca="1">AG17+AG18</f>
        <v>0</v>
      </c>
      <c r="AH19" s="970">
        <f ca="1">AH17+AH18</f>
        <v>0</v>
      </c>
      <c r="AI19" s="970">
        <f ca="1">AI17+AI18</f>
        <v>0</v>
      </c>
      <c r="AJ19" s="970">
        <f t="shared" ca="1" si="45"/>
        <v>0</v>
      </c>
      <c r="AK19" s="970">
        <f ca="1">SUM(S19:AJ19)</f>
        <v>-193.57942821475453</v>
      </c>
      <c r="AM19" s="976">
        <f t="shared" ref="AM19:BE19" ca="1" si="46">AM17+AM18</f>
        <v>0</v>
      </c>
      <c r="AN19" s="976">
        <f t="shared" ca="1" si="46"/>
        <v>0</v>
      </c>
      <c r="AO19" s="976">
        <f t="shared" ca="1" si="46"/>
        <v>0</v>
      </c>
      <c r="AP19" s="976">
        <f t="shared" ca="1" si="46"/>
        <v>0</v>
      </c>
      <c r="AQ19" s="976">
        <f t="shared" ca="1" si="46"/>
        <v>0</v>
      </c>
      <c r="AR19" s="976">
        <f t="shared" ca="1" si="46"/>
        <v>0</v>
      </c>
      <c r="AS19" s="976">
        <f t="shared" ca="1" si="46"/>
        <v>0</v>
      </c>
      <c r="AT19" s="976">
        <f t="shared" ca="1" si="46"/>
        <v>0</v>
      </c>
      <c r="AU19" s="976">
        <f t="shared" ca="1" si="46"/>
        <v>0</v>
      </c>
      <c r="AV19" s="976">
        <f t="shared" ca="1" si="46"/>
        <v>0</v>
      </c>
      <c r="AW19" s="976">
        <f t="shared" ca="1" si="46"/>
        <v>0</v>
      </c>
      <c r="AX19" s="976">
        <f t="shared" ca="1" si="46"/>
        <v>0</v>
      </c>
      <c r="AY19" s="976">
        <f t="shared" ca="1" si="46"/>
        <v>0</v>
      </c>
      <c r="AZ19" s="976">
        <f t="shared" ca="1" si="46"/>
        <v>0</v>
      </c>
      <c r="BA19" s="976">
        <f t="shared" ca="1" si="46"/>
        <v>0</v>
      </c>
      <c r="BB19" s="976">
        <f t="shared" ca="1" si="46"/>
        <v>0</v>
      </c>
      <c r="BC19" s="976">
        <f t="shared" ca="1" si="46"/>
        <v>0</v>
      </c>
      <c r="BD19" s="976">
        <f t="shared" ca="1" si="46"/>
        <v>0</v>
      </c>
      <c r="BE19" s="976">
        <f t="shared" ca="1" si="46"/>
        <v>0</v>
      </c>
      <c r="BF19" s="976">
        <f ca="1">SUM(AM19:BE19)</f>
        <v>0</v>
      </c>
      <c r="BH19" s="990">
        <f ca="1">BH17+BH18</f>
        <v>0</v>
      </c>
      <c r="BI19" s="990">
        <f ca="1">BI17+BI18</f>
        <v>0</v>
      </c>
      <c r="BJ19" s="990">
        <f ca="1">SUM(BH19:BI19)</f>
        <v>0</v>
      </c>
      <c r="BL19" s="515">
        <f t="shared" ca="1" si="9"/>
        <v>-2.8421709430404007E-14</v>
      </c>
      <c r="BM19" s="515"/>
      <c r="BN19" s="840"/>
      <c r="BO19" s="1482">
        <f t="shared" ref="BO19:DF19" ca="1" si="47">BO17+BO18</f>
        <v>3.1343443566277971</v>
      </c>
      <c r="BP19" s="1482">
        <f t="shared" ca="1" si="47"/>
        <v>6.2827484678284083E-3</v>
      </c>
      <c r="BQ19" s="1482">
        <f t="shared" ca="1" si="47"/>
        <v>6.7574014225927903E-3</v>
      </c>
      <c r="BR19" s="1482">
        <f t="shared" ca="1" si="47"/>
        <v>0</v>
      </c>
      <c r="BS19" s="1482">
        <f t="shared" ca="1" si="47"/>
        <v>0</v>
      </c>
      <c r="BT19" s="1482">
        <f t="shared" ca="1" si="47"/>
        <v>0</v>
      </c>
      <c r="BU19" s="1482">
        <f t="shared" ca="1" si="47"/>
        <v>0</v>
      </c>
      <c r="BV19" s="1482">
        <f t="shared" ca="1" si="47"/>
        <v>0</v>
      </c>
      <c r="BW19" s="1482">
        <f t="shared" ca="1" si="47"/>
        <v>0</v>
      </c>
      <c r="BX19" s="1482">
        <f t="shared" ca="1" si="47"/>
        <v>0</v>
      </c>
      <c r="BY19" s="1482">
        <f t="shared" ca="1" si="47"/>
        <v>0</v>
      </c>
      <c r="BZ19" s="1482">
        <f t="shared" ca="1" si="47"/>
        <v>0</v>
      </c>
      <c r="CA19" s="1482">
        <f t="shared" ca="1" si="47"/>
        <v>0</v>
      </c>
      <c r="CB19" s="1482">
        <f t="shared" ca="1" si="47"/>
        <v>0</v>
      </c>
      <c r="CC19" s="1482">
        <f t="shared" ca="1" si="47"/>
        <v>0</v>
      </c>
      <c r="CD19" s="1482">
        <f t="shared" ca="1" si="47"/>
        <v>0</v>
      </c>
      <c r="CE19" s="1482">
        <f t="shared" ca="1" si="47"/>
        <v>0</v>
      </c>
      <c r="CF19" s="1482">
        <f t="shared" ca="1" si="47"/>
        <v>0</v>
      </c>
      <c r="CG19" s="1482">
        <f t="shared" ca="1" si="47"/>
        <v>0</v>
      </c>
      <c r="CH19" s="1482">
        <f t="shared" ca="1" si="47"/>
        <v>0</v>
      </c>
      <c r="CI19" s="1482">
        <f t="shared" ca="1" si="47"/>
        <v>0</v>
      </c>
      <c r="CJ19" s="1482">
        <f t="shared" ca="1" si="47"/>
        <v>0</v>
      </c>
      <c r="CK19" s="1482">
        <f t="shared" ca="1" si="47"/>
        <v>0</v>
      </c>
      <c r="CL19" s="1482">
        <f t="shared" ca="1" si="47"/>
        <v>0</v>
      </c>
      <c r="CM19" s="1482">
        <f t="shared" ca="1" si="47"/>
        <v>0</v>
      </c>
      <c r="CN19" s="1482">
        <f t="shared" ca="1" si="47"/>
        <v>0</v>
      </c>
      <c r="CO19" s="1482">
        <f t="shared" ca="1" si="47"/>
        <v>0</v>
      </c>
      <c r="CP19" s="1482">
        <f t="shared" ca="1" si="47"/>
        <v>0</v>
      </c>
      <c r="CQ19" s="1482">
        <f t="shared" ca="1" si="47"/>
        <v>0</v>
      </c>
      <c r="CR19" s="1482">
        <f t="shared" ca="1" si="47"/>
        <v>0</v>
      </c>
      <c r="CS19" s="1482">
        <f t="shared" ca="1" si="47"/>
        <v>0</v>
      </c>
      <c r="CT19" s="1482">
        <f t="shared" ca="1" si="47"/>
        <v>0</v>
      </c>
      <c r="CU19" s="1482">
        <f t="shared" ca="1" si="47"/>
        <v>0</v>
      </c>
      <c r="CV19" s="1482">
        <f t="shared" ca="1" si="47"/>
        <v>0</v>
      </c>
      <c r="CW19" s="1482">
        <f t="shared" ca="1" si="47"/>
        <v>0</v>
      </c>
      <c r="CX19" s="1482">
        <f t="shared" ca="1" si="47"/>
        <v>0</v>
      </c>
      <c r="CY19" s="1482">
        <f t="shared" ca="1" si="47"/>
        <v>0</v>
      </c>
      <c r="CZ19" s="1482">
        <f t="shared" ca="1" si="47"/>
        <v>0</v>
      </c>
      <c r="DA19" s="1482">
        <f t="shared" ca="1" si="47"/>
        <v>0</v>
      </c>
      <c r="DB19" s="1482">
        <f t="shared" ca="1" si="47"/>
        <v>0</v>
      </c>
      <c r="DC19" s="1482">
        <f t="shared" ca="1" si="47"/>
        <v>0</v>
      </c>
      <c r="DD19" s="1482">
        <f t="shared" ca="1" si="47"/>
        <v>0</v>
      </c>
      <c r="DE19" s="1482">
        <f t="shared" ca="1" si="47"/>
        <v>0</v>
      </c>
      <c r="DF19" s="1482">
        <f t="shared" ca="1" si="47"/>
        <v>0</v>
      </c>
      <c r="DH19" s="838">
        <f t="shared" ca="1" si="35"/>
        <v>3.1473845065182182</v>
      </c>
    </row>
    <row r="20" spans="1:112" s="743" customFormat="1" ht="12.75" hidden="1" customHeight="1" outlineLevel="1">
      <c r="A20" s="1484"/>
      <c r="B20" s="1484"/>
      <c r="C20" s="746"/>
      <c r="D20" s="521"/>
      <c r="E20" s="521"/>
      <c r="G20" s="1019"/>
      <c r="H20" s="1019"/>
      <c r="I20" s="1019"/>
      <c r="J20" s="1019"/>
      <c r="K20" s="1019"/>
      <c r="L20" s="1019"/>
      <c r="M20" s="1019"/>
      <c r="N20" s="1019"/>
      <c r="O20" s="1019"/>
      <c r="P20" s="1019"/>
      <c r="Q20" s="1019"/>
      <c r="S20" s="1027"/>
      <c r="T20" s="1027"/>
      <c r="U20" s="1027"/>
      <c r="V20" s="1027"/>
      <c r="W20" s="1027"/>
      <c r="X20" s="1027"/>
      <c r="Y20" s="1027"/>
      <c r="Z20" s="1027"/>
      <c r="AA20" s="1027"/>
      <c r="AB20" s="1027"/>
      <c r="AC20" s="1027"/>
      <c r="AD20" s="1027"/>
      <c r="AE20" s="1027"/>
      <c r="AF20" s="1027"/>
      <c r="AG20" s="1027"/>
      <c r="AH20" s="1027"/>
      <c r="AI20" s="1027"/>
      <c r="AJ20" s="1027"/>
      <c r="AK20" s="1027"/>
      <c r="AM20" s="1040"/>
      <c r="AN20" s="1040"/>
      <c r="AO20" s="1040"/>
      <c r="AP20" s="1040"/>
      <c r="AQ20" s="1040"/>
      <c r="AR20" s="1040"/>
      <c r="AS20" s="1040"/>
      <c r="AT20" s="1040"/>
      <c r="AU20" s="1040"/>
      <c r="AV20" s="1040"/>
      <c r="AW20" s="1040"/>
      <c r="AX20" s="1040"/>
      <c r="AY20" s="1040"/>
      <c r="AZ20" s="1040"/>
      <c r="BA20" s="1040"/>
      <c r="BB20" s="1040"/>
      <c r="BC20" s="1040"/>
      <c r="BD20" s="1040"/>
      <c r="BE20" s="1040"/>
      <c r="BF20" s="979"/>
      <c r="BH20" s="1034"/>
      <c r="BI20" s="1034"/>
      <c r="BJ20" s="1034"/>
      <c r="BL20" s="814">
        <f t="shared" si="9"/>
        <v>0</v>
      </c>
      <c r="BM20" s="814"/>
      <c r="BN20" s="1484"/>
      <c r="BO20" s="1481"/>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H20" s="838">
        <f t="shared" si="35"/>
        <v>0</v>
      </c>
    </row>
    <row r="21" spans="1:112" s="743" customFormat="1" ht="12.75" hidden="1" customHeight="1" outlineLevel="1">
      <c r="A21" s="1484"/>
      <c r="B21" s="1484"/>
      <c r="C21" s="746" t="s">
        <v>900</v>
      </c>
      <c r="D21" s="1010" t="str">
        <f>INDEX(Modules[Module], MATCH($C21, Modules[Code], 0))</f>
        <v>Industrial processes</v>
      </c>
      <c r="E21" s="1010"/>
      <c r="G21" s="1022">
        <f t="shared" ref="G21:P21" ca="1" si="48">IFERROR(INDEX(INDIRECT($C21&amp;".Outputs["&amp;this.Year&amp;"]"), MATCH(G$5, INDIRECT($C21&amp;".Outputs[Vector]"), 0)), 0)</f>
        <v>0</v>
      </c>
      <c r="H21" s="1022">
        <f t="shared" ca="1" si="48"/>
        <v>0</v>
      </c>
      <c r="I21" s="1022">
        <f t="shared" ca="1" si="48"/>
        <v>433.12178936101793</v>
      </c>
      <c r="J21" s="1022">
        <f t="shared" ca="1" si="48"/>
        <v>0</v>
      </c>
      <c r="K21" s="1022">
        <f t="shared" ca="1" si="48"/>
        <v>0</v>
      </c>
      <c r="L21" s="1022">
        <f t="shared" ca="1" si="48"/>
        <v>0</v>
      </c>
      <c r="M21" s="1022">
        <f t="shared" ca="1" si="48"/>
        <v>0</v>
      </c>
      <c r="N21" s="1022">
        <f t="shared" ca="1" si="48"/>
        <v>0</v>
      </c>
      <c r="O21" s="1022">
        <f t="shared" ca="1" si="48"/>
        <v>0</v>
      </c>
      <c r="P21" s="1022">
        <f t="shared" ca="1" si="48"/>
        <v>0</v>
      </c>
      <c r="Q21" s="1020">
        <f ca="1">SUM(G21:P21)</f>
        <v>433.12178936101793</v>
      </c>
      <c r="S21" s="1031">
        <f t="shared" ref="S21:BE21" ca="1" si="49">IFERROR(INDEX(INDIRECT($C21&amp;".Outputs["&amp;this.Year&amp;"]"), MATCH(S$5, INDIRECT($C21&amp;".Outputs[Vector]"), 0)), 0)</f>
        <v>-121.23372528582432</v>
      </c>
      <c r="T21" s="1031">
        <f t="shared" ca="1" si="49"/>
        <v>0</v>
      </c>
      <c r="U21" s="1031">
        <f t="shared" ca="1" si="49"/>
        <v>-57.826011981336116</v>
      </c>
      <c r="V21" s="1031">
        <f t="shared" ca="1" si="49"/>
        <v>-86.519738777700951</v>
      </c>
      <c r="W21" s="1031">
        <f t="shared" ca="1" si="49"/>
        <v>-159.05490557469804</v>
      </c>
      <c r="X21" s="1031">
        <f ca="1">IFERROR(INDEX(INDIRECT($C21&amp;".Outputs["&amp;this.Year&amp;"]"), MATCH(X$5, INDIRECT($C21&amp;".Outputs[Vector]"), 0)), 0)</f>
        <v>0</v>
      </c>
      <c r="Y21" s="1031">
        <f ca="1">IFERROR(INDEX(INDIRECT($C21&amp;".Outputs["&amp;this.Year&amp;"]"), MATCH(Y$5, INDIRECT($C21&amp;".Outputs[Vector]"), 0)), 0)</f>
        <v>0</v>
      </c>
      <c r="Z21" s="1031">
        <f ca="1">IFERROR(INDEX(INDIRECT($C21&amp;".Outputs["&amp;this.Year&amp;"]"), MATCH(Z$5, INDIRECT($C21&amp;".Outputs[Vector]"), 0)), 0)</f>
        <v>0</v>
      </c>
      <c r="AA21" s="1031">
        <f t="shared" ca="1" si="49"/>
        <v>0</v>
      </c>
      <c r="AB21" s="1031">
        <f t="shared" ca="1" si="49"/>
        <v>-8.4874077414584725</v>
      </c>
      <c r="AC21" s="1031">
        <f t="shared" ca="1" si="49"/>
        <v>0</v>
      </c>
      <c r="AD21" s="1031">
        <f t="shared" ca="1" si="49"/>
        <v>0</v>
      </c>
      <c r="AE21" s="1031">
        <f t="shared" ca="1" si="49"/>
        <v>0</v>
      </c>
      <c r="AF21" s="1031">
        <f t="shared" ca="1" si="49"/>
        <v>0</v>
      </c>
      <c r="AG21" s="1031">
        <f t="shared" ca="1" si="49"/>
        <v>0</v>
      </c>
      <c r="AH21" s="1031">
        <f t="shared" ca="1" si="49"/>
        <v>0</v>
      </c>
      <c r="AI21" s="1031">
        <f t="shared" ca="1" si="49"/>
        <v>0</v>
      </c>
      <c r="AJ21" s="1031">
        <f t="shared" ca="1" si="49"/>
        <v>0</v>
      </c>
      <c r="AK21" s="1030">
        <f ca="1">SUM(S21:AJ21)</f>
        <v>-433.12178936101793</v>
      </c>
      <c r="AM21" s="1042">
        <f t="shared" ref="AM21:AU21" ca="1" si="50">IFERROR(INDEX(INDIRECT($C21&amp;".Outputs["&amp;this.Year&amp;"]"), MATCH(AM$5, INDIRECT($C21&amp;".Outputs[Vector]"), 0)), 0)</f>
        <v>0</v>
      </c>
      <c r="AN21" s="1042">
        <f t="shared" ca="1" si="50"/>
        <v>0</v>
      </c>
      <c r="AO21" s="1042">
        <f t="shared" ca="1" si="50"/>
        <v>0</v>
      </c>
      <c r="AP21" s="1042">
        <f t="shared" ca="1" si="50"/>
        <v>0</v>
      </c>
      <c r="AQ21" s="1042">
        <f t="shared" ca="1" si="50"/>
        <v>0</v>
      </c>
      <c r="AR21" s="1042">
        <f t="shared" ca="1" si="50"/>
        <v>0</v>
      </c>
      <c r="AS21" s="1042">
        <f t="shared" ca="1" si="50"/>
        <v>0</v>
      </c>
      <c r="AT21" s="1042">
        <f t="shared" ca="1" si="50"/>
        <v>0</v>
      </c>
      <c r="AU21" s="1042">
        <f t="shared" ca="1" si="50"/>
        <v>0</v>
      </c>
      <c r="AV21" s="1042">
        <f t="shared" ca="1" si="49"/>
        <v>0</v>
      </c>
      <c r="AW21" s="1042">
        <f t="shared" ca="1" si="49"/>
        <v>0</v>
      </c>
      <c r="AX21" s="1042">
        <f t="shared" ca="1" si="49"/>
        <v>0</v>
      </c>
      <c r="AY21" s="1042">
        <f t="shared" ca="1" si="49"/>
        <v>0</v>
      </c>
      <c r="AZ21" s="1042">
        <f t="shared" ca="1" si="49"/>
        <v>0</v>
      </c>
      <c r="BA21" s="1042">
        <f t="shared" ca="1" si="49"/>
        <v>0</v>
      </c>
      <c r="BB21" s="1042">
        <f t="shared" ca="1" si="49"/>
        <v>0</v>
      </c>
      <c r="BC21" s="1042">
        <f t="shared" ca="1" si="49"/>
        <v>0</v>
      </c>
      <c r="BD21" s="1042">
        <f t="shared" ca="1" si="49"/>
        <v>0</v>
      </c>
      <c r="BE21" s="1042">
        <f t="shared" ca="1" si="49"/>
        <v>0</v>
      </c>
      <c r="BF21" s="1012">
        <f ca="1">SUM(AM21:BE21)</f>
        <v>0</v>
      </c>
      <c r="BH21" s="1036">
        <f ca="1">IFERROR(INDEX(INDIRECT($C21&amp;".Outputs["&amp;this.Year&amp;"]"), MATCH(BH$5, INDIRECT($C21&amp;".Outputs[Vector]"), 0)), 0)</f>
        <v>0</v>
      </c>
      <c r="BI21" s="1036">
        <f ca="1">IFERROR(INDEX(INDIRECT($C21&amp;".Outputs["&amp;this.Year&amp;"]"), MATCH(BI$5, INDIRECT($C21&amp;".Outputs[Vector]"), 0)), 0)</f>
        <v>0</v>
      </c>
      <c r="BJ21" s="1035">
        <f ca="1">SUM(BH21:BI21)</f>
        <v>0</v>
      </c>
      <c r="BL21" s="814">
        <f t="shared" ca="1" si="9"/>
        <v>0</v>
      </c>
      <c r="BM21" s="814"/>
      <c r="BN21" s="840"/>
      <c r="BO21" s="1485">
        <f t="shared" ref="BO21:DF21" ca="1" si="51">IFERROR(SUMIFS(INDIRECT($C21&amp;".Emissions["&amp;this.Year&amp;"]"), INDIRECT($C21&amp;".Emissions[GHG]"), BO$6, INDIRECT($C21&amp;".Emissions[IPCC Sector]"), BO$5),0)</f>
        <v>68.706449010421196</v>
      </c>
      <c r="BP21" s="1486">
        <f t="shared" ca="1" si="51"/>
        <v>0.13791322104404607</v>
      </c>
      <c r="BQ21" s="1486">
        <f t="shared" ca="1" si="51"/>
        <v>0.61003604766594399</v>
      </c>
      <c r="BR21" s="1486">
        <f t="shared" ca="1" si="51"/>
        <v>0</v>
      </c>
      <c r="BS21" s="1486">
        <f t="shared" ca="1" si="51"/>
        <v>0</v>
      </c>
      <c r="BT21" s="1486">
        <f t="shared" ca="1" si="51"/>
        <v>0</v>
      </c>
      <c r="BU21" s="1486">
        <f t="shared" ca="1" si="51"/>
        <v>0</v>
      </c>
      <c r="BV21" s="1486">
        <f t="shared" ca="1" si="51"/>
        <v>0</v>
      </c>
      <c r="BW21" s="1486">
        <f t="shared" ca="1" si="51"/>
        <v>14.455784691934292</v>
      </c>
      <c r="BX21" s="1486">
        <f t="shared" ca="1" si="51"/>
        <v>0.11089586505811078</v>
      </c>
      <c r="BY21" s="1486">
        <f t="shared" ca="1" si="51"/>
        <v>2.7608825103244943</v>
      </c>
      <c r="BZ21" s="1486">
        <f t="shared" ca="1" si="51"/>
        <v>7.1928273268020186</v>
      </c>
      <c r="CA21" s="1486">
        <f t="shared" ca="1" si="51"/>
        <v>0</v>
      </c>
      <c r="CB21" s="1486">
        <f t="shared" ca="1" si="51"/>
        <v>0</v>
      </c>
      <c r="CC21" s="1486">
        <f t="shared" ca="1" si="51"/>
        <v>0</v>
      </c>
      <c r="CD21" s="1486">
        <f t="shared" ca="1" si="51"/>
        <v>0</v>
      </c>
      <c r="CE21" s="1486">
        <f t="shared" ca="1" si="51"/>
        <v>0</v>
      </c>
      <c r="CF21" s="1486">
        <f t="shared" ca="1" si="51"/>
        <v>0</v>
      </c>
      <c r="CG21" s="1486">
        <f t="shared" ca="1" si="51"/>
        <v>0</v>
      </c>
      <c r="CH21" s="1486">
        <f t="shared" ca="1" si="51"/>
        <v>0</v>
      </c>
      <c r="CI21" s="1486">
        <f t="shared" ca="1" si="51"/>
        <v>0</v>
      </c>
      <c r="CJ21" s="1486">
        <f t="shared" ca="1" si="51"/>
        <v>0</v>
      </c>
      <c r="CK21" s="1486">
        <f t="shared" ca="1" si="51"/>
        <v>0</v>
      </c>
      <c r="CL21" s="1486">
        <f t="shared" ca="1" si="51"/>
        <v>0</v>
      </c>
      <c r="CM21" s="1486">
        <f t="shared" ca="1" si="51"/>
        <v>0</v>
      </c>
      <c r="CN21" s="1486">
        <f t="shared" ca="1" si="51"/>
        <v>0</v>
      </c>
      <c r="CO21" s="1486">
        <f t="shared" ca="1" si="51"/>
        <v>0</v>
      </c>
      <c r="CP21" s="1486">
        <f t="shared" ca="1" si="51"/>
        <v>0</v>
      </c>
      <c r="CQ21" s="1486">
        <f t="shared" ca="1" si="51"/>
        <v>0</v>
      </c>
      <c r="CR21" s="1486">
        <f t="shared" ca="1" si="51"/>
        <v>0</v>
      </c>
      <c r="CS21" s="1486">
        <f t="shared" ca="1" si="51"/>
        <v>0</v>
      </c>
      <c r="CT21" s="1486">
        <f t="shared" ca="1" si="51"/>
        <v>0</v>
      </c>
      <c r="CU21" s="1486">
        <f t="shared" ca="1" si="51"/>
        <v>0</v>
      </c>
      <c r="CV21" s="1486">
        <f t="shared" ca="1" si="51"/>
        <v>0</v>
      </c>
      <c r="CW21" s="1486">
        <f t="shared" ca="1" si="51"/>
        <v>0</v>
      </c>
      <c r="CX21" s="1486">
        <f t="shared" ca="1" si="51"/>
        <v>0</v>
      </c>
      <c r="CY21" s="1486">
        <f t="shared" ca="1" si="51"/>
        <v>0</v>
      </c>
      <c r="CZ21" s="1486">
        <f t="shared" ca="1" si="51"/>
        <v>0</v>
      </c>
      <c r="DA21" s="1486">
        <f t="shared" ca="1" si="51"/>
        <v>0</v>
      </c>
      <c r="DB21" s="1486">
        <f t="shared" ca="1" si="51"/>
        <v>0</v>
      </c>
      <c r="DC21" s="1486">
        <f t="shared" ca="1" si="51"/>
        <v>0</v>
      </c>
      <c r="DD21" s="1486">
        <f t="shared" ca="1" si="51"/>
        <v>0</v>
      </c>
      <c r="DE21" s="1486">
        <f t="shared" ca="1" si="51"/>
        <v>0</v>
      </c>
      <c r="DF21" s="1486">
        <f t="shared" ca="1" si="51"/>
        <v>0</v>
      </c>
      <c r="DH21" s="838">
        <f t="shared" ca="1" si="35"/>
        <v>93.974788673250103</v>
      </c>
    </row>
    <row r="22" spans="1:112" s="743" customFormat="1" ht="15.75" collapsed="1">
      <c r="A22" s="22"/>
      <c r="B22" s="753"/>
      <c r="C22" s="744" t="s">
        <v>678</v>
      </c>
      <c r="D22" s="517" t="str">
        <f>INDEX(Workstreams[Workstream], MATCH($C22, Workstreams[Code], 0))</f>
        <v>Industry</v>
      </c>
      <c r="E22" s="512"/>
      <c r="G22" s="1021">
        <f ca="1">G21</f>
        <v>0</v>
      </c>
      <c r="H22" s="1021">
        <f t="shared" ref="H22:P22" ca="1" si="52">H21</f>
        <v>0</v>
      </c>
      <c r="I22" s="1021">
        <f t="shared" ca="1" si="52"/>
        <v>433.12178936101793</v>
      </c>
      <c r="J22" s="1021">
        <f t="shared" ca="1" si="52"/>
        <v>0</v>
      </c>
      <c r="K22" s="1021">
        <f t="shared" ca="1" si="52"/>
        <v>0</v>
      </c>
      <c r="L22" s="1021">
        <f t="shared" ca="1" si="52"/>
        <v>0</v>
      </c>
      <c r="M22" s="1021">
        <f t="shared" ca="1" si="52"/>
        <v>0</v>
      </c>
      <c r="N22" s="1021">
        <f t="shared" ca="1" si="52"/>
        <v>0</v>
      </c>
      <c r="O22" s="1021">
        <f t="shared" ca="1" si="52"/>
        <v>0</v>
      </c>
      <c r="P22" s="1021">
        <f t="shared" ca="1" si="52"/>
        <v>0</v>
      </c>
      <c r="Q22" s="1021">
        <f ca="1">SUM(G22:P22)</f>
        <v>433.12178936101793</v>
      </c>
      <c r="S22" s="970">
        <f t="shared" ref="S22:Z22" ca="1" si="53">S21</f>
        <v>-121.23372528582432</v>
      </c>
      <c r="T22" s="970">
        <f t="shared" ca="1" si="53"/>
        <v>0</v>
      </c>
      <c r="U22" s="970">
        <f t="shared" ca="1" si="53"/>
        <v>-57.826011981336116</v>
      </c>
      <c r="V22" s="970">
        <f t="shared" ca="1" si="53"/>
        <v>-86.519738777700951</v>
      </c>
      <c r="W22" s="970">
        <f t="shared" ca="1" si="53"/>
        <v>-159.05490557469804</v>
      </c>
      <c r="X22" s="970">
        <f t="shared" ca="1" si="53"/>
        <v>0</v>
      </c>
      <c r="Y22" s="970">
        <f t="shared" ca="1" si="53"/>
        <v>0</v>
      </c>
      <c r="Z22" s="970">
        <f t="shared" ca="1" si="53"/>
        <v>0</v>
      </c>
      <c r="AA22" s="970">
        <f t="shared" ref="AA22:AJ22" ca="1" si="54">AA21</f>
        <v>0</v>
      </c>
      <c r="AB22" s="970">
        <f t="shared" ca="1" si="54"/>
        <v>-8.4874077414584725</v>
      </c>
      <c r="AC22" s="970">
        <f t="shared" ca="1" si="54"/>
        <v>0</v>
      </c>
      <c r="AD22" s="970">
        <f ca="1">AD21</f>
        <v>0</v>
      </c>
      <c r="AE22" s="970">
        <f ca="1">AE21</f>
        <v>0</v>
      </c>
      <c r="AF22" s="970">
        <f t="shared" ca="1" si="54"/>
        <v>0</v>
      </c>
      <c r="AG22" s="970">
        <f ca="1">AG21</f>
        <v>0</v>
      </c>
      <c r="AH22" s="970">
        <f ca="1">AH21</f>
        <v>0</v>
      </c>
      <c r="AI22" s="970">
        <f ca="1">AI21</f>
        <v>0</v>
      </c>
      <c r="AJ22" s="970">
        <f t="shared" ca="1" si="54"/>
        <v>0</v>
      </c>
      <c r="AK22" s="970">
        <f ca="1">SUM(S22:AJ22)</f>
        <v>-433.12178936101793</v>
      </c>
      <c r="AM22" s="976">
        <f t="shared" ref="AM22:BE22" ca="1" si="55">AM21</f>
        <v>0</v>
      </c>
      <c r="AN22" s="976">
        <f t="shared" ca="1" si="55"/>
        <v>0</v>
      </c>
      <c r="AO22" s="976">
        <f t="shared" ca="1" si="55"/>
        <v>0</v>
      </c>
      <c r="AP22" s="976">
        <f t="shared" ca="1" si="55"/>
        <v>0</v>
      </c>
      <c r="AQ22" s="976">
        <f t="shared" ca="1" si="55"/>
        <v>0</v>
      </c>
      <c r="AR22" s="976">
        <f t="shared" ca="1" si="55"/>
        <v>0</v>
      </c>
      <c r="AS22" s="976">
        <f t="shared" ca="1" si="55"/>
        <v>0</v>
      </c>
      <c r="AT22" s="976">
        <f t="shared" ca="1" si="55"/>
        <v>0</v>
      </c>
      <c r="AU22" s="976">
        <f t="shared" ca="1" si="55"/>
        <v>0</v>
      </c>
      <c r="AV22" s="976">
        <f t="shared" ca="1" si="55"/>
        <v>0</v>
      </c>
      <c r="AW22" s="976">
        <f t="shared" ca="1" si="55"/>
        <v>0</v>
      </c>
      <c r="AX22" s="976">
        <f t="shared" ca="1" si="55"/>
        <v>0</v>
      </c>
      <c r="AY22" s="976">
        <f t="shared" ca="1" si="55"/>
        <v>0</v>
      </c>
      <c r="AZ22" s="976">
        <f t="shared" ca="1" si="55"/>
        <v>0</v>
      </c>
      <c r="BA22" s="976">
        <f t="shared" ca="1" si="55"/>
        <v>0</v>
      </c>
      <c r="BB22" s="976">
        <f t="shared" ca="1" si="55"/>
        <v>0</v>
      </c>
      <c r="BC22" s="976">
        <f t="shared" ca="1" si="55"/>
        <v>0</v>
      </c>
      <c r="BD22" s="976">
        <f t="shared" ca="1" si="55"/>
        <v>0</v>
      </c>
      <c r="BE22" s="976">
        <f t="shared" ca="1" si="55"/>
        <v>0</v>
      </c>
      <c r="BF22" s="976">
        <f ca="1">SUM(AM22:BE22)</f>
        <v>0</v>
      </c>
      <c r="BH22" s="990">
        <f ca="1">BH21</f>
        <v>0</v>
      </c>
      <c r="BI22" s="990">
        <f ca="1">BI21</f>
        <v>0</v>
      </c>
      <c r="BJ22" s="990">
        <f ca="1">SUM(BH22:BI22)</f>
        <v>0</v>
      </c>
      <c r="BL22" s="515">
        <f t="shared" ca="1" si="9"/>
        <v>0</v>
      </c>
      <c r="BM22" s="515"/>
      <c r="BN22" s="840"/>
      <c r="BO22" s="1482">
        <f t="shared" ref="BO22:DF22" ca="1" si="56">BO21</f>
        <v>68.706449010421196</v>
      </c>
      <c r="BP22" s="1482">
        <f t="shared" ca="1" si="56"/>
        <v>0.13791322104404607</v>
      </c>
      <c r="BQ22" s="1482">
        <f t="shared" ca="1" si="56"/>
        <v>0.61003604766594399</v>
      </c>
      <c r="BR22" s="1482">
        <f t="shared" ca="1" si="56"/>
        <v>0</v>
      </c>
      <c r="BS22" s="1482">
        <f t="shared" ca="1" si="56"/>
        <v>0</v>
      </c>
      <c r="BT22" s="1482">
        <f t="shared" ca="1" si="56"/>
        <v>0</v>
      </c>
      <c r="BU22" s="1482">
        <f t="shared" ca="1" si="56"/>
        <v>0</v>
      </c>
      <c r="BV22" s="1482">
        <f t="shared" ca="1" si="56"/>
        <v>0</v>
      </c>
      <c r="BW22" s="1482">
        <f t="shared" ca="1" si="56"/>
        <v>14.455784691934292</v>
      </c>
      <c r="BX22" s="1482">
        <f t="shared" ca="1" si="56"/>
        <v>0.11089586505811078</v>
      </c>
      <c r="BY22" s="1482">
        <f t="shared" ca="1" si="56"/>
        <v>2.7608825103244943</v>
      </c>
      <c r="BZ22" s="1482">
        <f t="shared" ca="1" si="56"/>
        <v>7.1928273268020186</v>
      </c>
      <c r="CA22" s="1482">
        <f t="shared" ca="1" si="56"/>
        <v>0</v>
      </c>
      <c r="CB22" s="1482">
        <f t="shared" ca="1" si="56"/>
        <v>0</v>
      </c>
      <c r="CC22" s="1482">
        <f t="shared" ca="1" si="56"/>
        <v>0</v>
      </c>
      <c r="CD22" s="1482">
        <f t="shared" ca="1" si="56"/>
        <v>0</v>
      </c>
      <c r="CE22" s="1482">
        <f t="shared" ca="1" si="56"/>
        <v>0</v>
      </c>
      <c r="CF22" s="1482">
        <f t="shared" ca="1" si="56"/>
        <v>0</v>
      </c>
      <c r="CG22" s="1482">
        <f t="shared" ca="1" si="56"/>
        <v>0</v>
      </c>
      <c r="CH22" s="1482">
        <f t="shared" ca="1" si="56"/>
        <v>0</v>
      </c>
      <c r="CI22" s="1482">
        <f t="shared" ca="1" si="56"/>
        <v>0</v>
      </c>
      <c r="CJ22" s="1482">
        <f t="shared" ca="1" si="56"/>
        <v>0</v>
      </c>
      <c r="CK22" s="1482">
        <f t="shared" ca="1" si="56"/>
        <v>0</v>
      </c>
      <c r="CL22" s="1482">
        <f t="shared" ca="1" si="56"/>
        <v>0</v>
      </c>
      <c r="CM22" s="1482">
        <f t="shared" ca="1" si="56"/>
        <v>0</v>
      </c>
      <c r="CN22" s="1482">
        <f t="shared" ca="1" si="56"/>
        <v>0</v>
      </c>
      <c r="CO22" s="1482">
        <f t="shared" ca="1" si="56"/>
        <v>0</v>
      </c>
      <c r="CP22" s="1482">
        <f t="shared" ca="1" si="56"/>
        <v>0</v>
      </c>
      <c r="CQ22" s="1482">
        <f t="shared" ca="1" si="56"/>
        <v>0</v>
      </c>
      <c r="CR22" s="1482">
        <f t="shared" ca="1" si="56"/>
        <v>0</v>
      </c>
      <c r="CS22" s="1482">
        <f t="shared" ca="1" si="56"/>
        <v>0</v>
      </c>
      <c r="CT22" s="1482">
        <f t="shared" ca="1" si="56"/>
        <v>0</v>
      </c>
      <c r="CU22" s="1482">
        <f t="shared" ca="1" si="56"/>
        <v>0</v>
      </c>
      <c r="CV22" s="1482">
        <f t="shared" ca="1" si="56"/>
        <v>0</v>
      </c>
      <c r="CW22" s="1482">
        <f t="shared" ca="1" si="56"/>
        <v>0</v>
      </c>
      <c r="CX22" s="1482">
        <f t="shared" ca="1" si="56"/>
        <v>0</v>
      </c>
      <c r="CY22" s="1482">
        <f t="shared" ca="1" si="56"/>
        <v>0</v>
      </c>
      <c r="CZ22" s="1482">
        <f t="shared" ca="1" si="56"/>
        <v>0</v>
      </c>
      <c r="DA22" s="1482">
        <f t="shared" ca="1" si="56"/>
        <v>0</v>
      </c>
      <c r="DB22" s="1482">
        <f t="shared" ca="1" si="56"/>
        <v>0</v>
      </c>
      <c r="DC22" s="1482">
        <f t="shared" ca="1" si="56"/>
        <v>0</v>
      </c>
      <c r="DD22" s="1482">
        <f t="shared" ca="1" si="56"/>
        <v>0</v>
      </c>
      <c r="DE22" s="1482">
        <f t="shared" ca="1" si="56"/>
        <v>0</v>
      </c>
      <c r="DF22" s="1482">
        <f t="shared" ca="1" si="56"/>
        <v>0</v>
      </c>
      <c r="DH22" s="838">
        <f t="shared" ca="1" si="35"/>
        <v>93.974788673250103</v>
      </c>
    </row>
    <row r="23" spans="1:112" s="743" customFormat="1" ht="12.75" hidden="1" customHeight="1" outlineLevel="1">
      <c r="A23" s="22"/>
      <c r="B23" s="22"/>
      <c r="C23" s="751"/>
      <c r="D23" s="512"/>
      <c r="E23" s="512"/>
      <c r="G23" s="1021"/>
      <c r="H23" s="1021"/>
      <c r="I23" s="1021"/>
      <c r="J23" s="1021"/>
      <c r="K23" s="1021"/>
      <c r="L23" s="1021"/>
      <c r="M23" s="1021"/>
      <c r="N23" s="1021"/>
      <c r="O23" s="1021"/>
      <c r="P23" s="1021"/>
      <c r="Q23" s="1021"/>
      <c r="S23" s="970"/>
      <c r="T23" s="970"/>
      <c r="U23" s="970"/>
      <c r="V23" s="970"/>
      <c r="W23" s="970"/>
      <c r="X23" s="970"/>
      <c r="Y23" s="970"/>
      <c r="Z23" s="970"/>
      <c r="AA23" s="970"/>
      <c r="AB23" s="970"/>
      <c r="AC23" s="970"/>
      <c r="AD23" s="970"/>
      <c r="AE23" s="970"/>
      <c r="AF23" s="970"/>
      <c r="AG23" s="970"/>
      <c r="AH23" s="970"/>
      <c r="AI23" s="970"/>
      <c r="AJ23" s="970"/>
      <c r="AK23" s="970"/>
      <c r="AM23" s="976"/>
      <c r="AN23" s="976"/>
      <c r="AO23" s="976"/>
      <c r="AP23" s="976"/>
      <c r="AQ23" s="976"/>
      <c r="AR23" s="976"/>
      <c r="AS23" s="976"/>
      <c r="AT23" s="976"/>
      <c r="AU23" s="976"/>
      <c r="AV23" s="976"/>
      <c r="AW23" s="976"/>
      <c r="AX23" s="976"/>
      <c r="AY23" s="976"/>
      <c r="AZ23" s="976"/>
      <c r="BA23" s="976"/>
      <c r="BB23" s="976"/>
      <c r="BC23" s="976"/>
      <c r="BD23" s="976"/>
      <c r="BE23" s="976"/>
      <c r="BF23" s="976"/>
      <c r="BH23" s="990"/>
      <c r="BI23" s="990"/>
      <c r="BJ23" s="990"/>
      <c r="BL23" s="515">
        <f t="shared" si="9"/>
        <v>0</v>
      </c>
      <c r="BM23" s="515"/>
      <c r="BN23" s="22"/>
      <c r="BO23" s="1482"/>
      <c r="BP23" s="1482"/>
      <c r="BQ23" s="1482"/>
      <c r="BR23" s="1482"/>
      <c r="BS23" s="1482"/>
      <c r="BT23" s="1482"/>
      <c r="BU23" s="1482"/>
      <c r="BV23" s="1482"/>
      <c r="BW23" s="1482"/>
      <c r="BX23" s="1482"/>
      <c r="BY23" s="1482"/>
      <c r="BZ23" s="1482"/>
      <c r="CA23" s="1482"/>
      <c r="CB23" s="1482"/>
      <c r="CC23" s="1482"/>
      <c r="CD23" s="1482"/>
      <c r="CE23" s="1482"/>
      <c r="CF23" s="1482"/>
      <c r="CG23" s="1482"/>
      <c r="CH23" s="1482"/>
      <c r="CI23" s="1482"/>
      <c r="CJ23" s="1482"/>
      <c r="CK23" s="1482"/>
      <c r="CL23" s="1482"/>
      <c r="CM23" s="1482"/>
      <c r="CN23" s="1482"/>
      <c r="CO23" s="1482"/>
      <c r="CP23" s="1482"/>
      <c r="CQ23" s="1482"/>
      <c r="CR23" s="1482"/>
      <c r="CS23" s="1482"/>
      <c r="CT23" s="1482"/>
      <c r="CU23" s="1482"/>
      <c r="CV23" s="1482"/>
      <c r="CW23" s="1482"/>
      <c r="CX23" s="1482"/>
      <c r="CY23" s="1482"/>
      <c r="CZ23" s="1482"/>
      <c r="DA23" s="1482"/>
      <c r="DB23" s="1482"/>
      <c r="DC23" s="1482"/>
      <c r="DD23" s="1482"/>
      <c r="DE23" s="1482"/>
      <c r="DF23" s="1482"/>
      <c r="DH23" s="838">
        <f t="shared" si="35"/>
        <v>0</v>
      </c>
    </row>
    <row r="24" spans="1:112" s="743" customFormat="1" ht="12.75" hidden="1" customHeight="1" outlineLevel="1">
      <c r="A24" s="1484"/>
      <c r="B24" s="1484"/>
      <c r="C24" s="746" t="s">
        <v>903</v>
      </c>
      <c r="D24" s="523" t="str">
        <f>INDEX(Modules[Module], MATCH($C24, Modules[Code], 0))</f>
        <v>Domestic passenger transport</v>
      </c>
      <c r="E24" s="1006"/>
      <c r="G24" s="1017">
        <f t="shared" ref="G24:P27" ca="1" si="57">IFERROR(INDEX(INDIRECT($C24&amp;".Outputs["&amp;this.Year&amp;"]"), MATCH(G$5, INDIRECT($C24&amp;".Outputs[Vector]"), 0)), 0)</f>
        <v>0</v>
      </c>
      <c r="H24" s="1017">
        <f t="shared" ca="1" si="57"/>
        <v>0</v>
      </c>
      <c r="I24" s="1017">
        <f t="shared" ca="1" si="57"/>
        <v>0</v>
      </c>
      <c r="J24" s="1017">
        <f t="shared" ca="1" si="57"/>
        <v>244.70564215067873</v>
      </c>
      <c r="K24" s="1017">
        <f t="shared" ca="1" si="57"/>
        <v>13.275817520901558</v>
      </c>
      <c r="L24" s="1017">
        <f t="shared" ca="1" si="57"/>
        <v>12.657847240047854</v>
      </c>
      <c r="M24" s="1017">
        <f t="shared" ca="1" si="57"/>
        <v>0</v>
      </c>
      <c r="N24" s="1017">
        <f t="shared" ca="1" si="57"/>
        <v>0</v>
      </c>
      <c r="O24" s="1017">
        <f t="shared" ca="1" si="57"/>
        <v>0</v>
      </c>
      <c r="P24" s="1017">
        <f t="shared" ca="1" si="57"/>
        <v>0</v>
      </c>
      <c r="Q24" s="1019">
        <f ca="1">SUM(G24:P24)</f>
        <v>270.63930691162813</v>
      </c>
      <c r="S24" s="1026">
        <f t="shared" ref="S24:BE30" ca="1" si="58">IFERROR(INDEX(INDIRECT($C24&amp;".Outputs["&amp;this.Year&amp;"]"), MATCH(S$5, INDIRECT($C24&amp;".Outputs[Vector]"), 0)), 0)</f>
        <v>-12.423733269891649</v>
      </c>
      <c r="T24" s="1026">
        <f t="shared" ca="1" si="58"/>
        <v>0</v>
      </c>
      <c r="U24" s="1026">
        <f t="shared" ca="1" si="58"/>
        <v>0</v>
      </c>
      <c r="V24" s="1026">
        <f t="shared" ca="1" si="58"/>
        <v>-258.21557364173651</v>
      </c>
      <c r="W24" s="1026">
        <f t="shared" ca="1" si="58"/>
        <v>0</v>
      </c>
      <c r="X24" s="1026">
        <f t="shared" ref="X24:Z27" ca="1" si="59">IFERROR(INDEX(INDIRECT($C24&amp;".Outputs["&amp;this.Year&amp;"]"), MATCH(X$5, INDIRECT($C24&amp;".Outputs[Vector]"), 0)), 0)</f>
        <v>0</v>
      </c>
      <c r="Y24" s="1026">
        <f t="shared" ca="1" si="59"/>
        <v>0</v>
      </c>
      <c r="Z24" s="1026">
        <f t="shared" ca="1" si="59"/>
        <v>0</v>
      </c>
      <c r="AA24" s="1026">
        <f t="shared" ca="1" si="58"/>
        <v>0</v>
      </c>
      <c r="AB24" s="1026">
        <f t="shared" ca="1" si="58"/>
        <v>0</v>
      </c>
      <c r="AC24" s="1026">
        <f t="shared" ca="1" si="58"/>
        <v>0</v>
      </c>
      <c r="AD24" s="1026">
        <f t="shared" ca="1" si="58"/>
        <v>0</v>
      </c>
      <c r="AE24" s="1026">
        <f t="shared" ca="1" si="58"/>
        <v>0</v>
      </c>
      <c r="AF24" s="1026">
        <f t="shared" ca="1" si="58"/>
        <v>0</v>
      </c>
      <c r="AG24" s="1026">
        <f t="shared" ca="1" si="58"/>
        <v>0</v>
      </c>
      <c r="AH24" s="1026">
        <f t="shared" ca="1" si="58"/>
        <v>0</v>
      </c>
      <c r="AI24" s="1026">
        <f t="shared" ca="1" si="58"/>
        <v>0</v>
      </c>
      <c r="AJ24" s="1026">
        <f t="shared" ca="1" si="58"/>
        <v>0</v>
      </c>
      <c r="AK24" s="1027">
        <f t="shared" ref="AK24:AK32" ca="1" si="60">SUM(S24:AJ24)</f>
        <v>-270.63930691162818</v>
      </c>
      <c r="AM24" s="1038">
        <f t="shared" ref="AM24:AU27" ca="1" si="61">IFERROR(INDEX(INDIRECT($C24&amp;".Outputs["&amp;this.Year&amp;"]"), MATCH(AM$5, INDIRECT($C24&amp;".Outputs[Vector]"), 0)), 0)</f>
        <v>0</v>
      </c>
      <c r="AN24" s="1038">
        <f t="shared" ca="1" si="61"/>
        <v>0</v>
      </c>
      <c r="AO24" s="1038">
        <f t="shared" ca="1" si="61"/>
        <v>0</v>
      </c>
      <c r="AP24" s="1038">
        <f t="shared" ca="1" si="61"/>
        <v>0</v>
      </c>
      <c r="AQ24" s="1038">
        <f t="shared" ca="1" si="61"/>
        <v>0</v>
      </c>
      <c r="AR24" s="1038">
        <f t="shared" ca="1" si="61"/>
        <v>0</v>
      </c>
      <c r="AS24" s="1038">
        <f t="shared" ca="1" si="61"/>
        <v>0</v>
      </c>
      <c r="AT24" s="1038">
        <f t="shared" ca="1" si="61"/>
        <v>0</v>
      </c>
      <c r="AU24" s="1038">
        <f t="shared" ca="1" si="61"/>
        <v>0</v>
      </c>
      <c r="AV24" s="1038">
        <f t="shared" ca="1" si="58"/>
        <v>0</v>
      </c>
      <c r="AW24" s="1038">
        <f t="shared" ca="1" si="58"/>
        <v>0</v>
      </c>
      <c r="AX24" s="1038">
        <f t="shared" ca="1" si="58"/>
        <v>0</v>
      </c>
      <c r="AY24" s="1038">
        <f t="shared" ca="1" si="58"/>
        <v>0</v>
      </c>
      <c r="AZ24" s="1038">
        <f t="shared" ca="1" si="58"/>
        <v>0</v>
      </c>
      <c r="BA24" s="1038">
        <f t="shared" ca="1" si="58"/>
        <v>0</v>
      </c>
      <c r="BB24" s="1038">
        <f t="shared" ca="1" si="58"/>
        <v>0</v>
      </c>
      <c r="BC24" s="1038">
        <f t="shared" ca="1" si="58"/>
        <v>0</v>
      </c>
      <c r="BD24" s="1038">
        <f t="shared" ca="1" si="58"/>
        <v>0</v>
      </c>
      <c r="BE24" s="1038">
        <f t="shared" ca="1" si="58"/>
        <v>0</v>
      </c>
      <c r="BF24" s="979">
        <f t="shared" ref="BF24:BF32" ca="1" si="62">SUM(AM24:BE24)</f>
        <v>0</v>
      </c>
      <c r="BH24" s="1032">
        <f t="shared" ref="BH24:BI30" ca="1" si="63">IFERROR(INDEX(INDIRECT($C24&amp;".Outputs["&amp;this.Year&amp;"]"), MATCH(BH$5, INDIRECT($C24&amp;".Outputs[Vector]"), 0)), 0)</f>
        <v>0</v>
      </c>
      <c r="BI24" s="1032">
        <f t="shared" ca="1" si="63"/>
        <v>0</v>
      </c>
      <c r="BJ24" s="1034">
        <f t="shared" ref="BJ24:BJ32" ca="1" si="64">SUM(BH24:BI24)</f>
        <v>0</v>
      </c>
      <c r="BL24" s="814">
        <f t="shared" ca="1" si="9"/>
        <v>-5.6843418860808015E-14</v>
      </c>
      <c r="BM24" s="814"/>
      <c r="BN24" s="840"/>
      <c r="BO24" s="1481">
        <f t="shared" ref="BO24:BX27" ca="1" si="65">IFERROR(SUMIFS(INDIRECT($C24&amp;".Emissions["&amp;this.Year&amp;"]"), INDIRECT($C24&amp;".Emissions[GHG]"), BO$6, INDIRECT($C24&amp;".Emissions[IPCC Sector]"), BO$5),0)</f>
        <v>64.553893410434128</v>
      </c>
      <c r="BP24" s="1482">
        <f t="shared" ca="1" si="65"/>
        <v>8.036934245328245E-2</v>
      </c>
      <c r="BQ24" s="1482">
        <f t="shared" ca="1" si="65"/>
        <v>1.1614568192319601</v>
      </c>
      <c r="BR24" s="1482">
        <f t="shared" ca="1" si="65"/>
        <v>0</v>
      </c>
      <c r="BS24" s="1482">
        <f t="shared" ca="1" si="65"/>
        <v>0</v>
      </c>
      <c r="BT24" s="1482">
        <f t="shared" ca="1" si="65"/>
        <v>0</v>
      </c>
      <c r="BU24" s="1482">
        <f t="shared" ca="1" si="65"/>
        <v>0</v>
      </c>
      <c r="BV24" s="1482">
        <f t="shared" ca="1" si="65"/>
        <v>0</v>
      </c>
      <c r="BW24" s="1482">
        <f t="shared" ca="1" si="65"/>
        <v>0</v>
      </c>
      <c r="BX24" s="1482">
        <f t="shared" ca="1" si="65"/>
        <v>0</v>
      </c>
      <c r="BY24" s="1482">
        <f t="shared" ref="BY24:CH27" ca="1" si="66">IFERROR(SUMIFS(INDIRECT($C24&amp;".Emissions["&amp;this.Year&amp;"]"), INDIRECT($C24&amp;".Emissions[GHG]"), BY$6, INDIRECT($C24&amp;".Emissions[IPCC Sector]"), BY$5),0)</f>
        <v>0</v>
      </c>
      <c r="BZ24" s="1482">
        <f t="shared" ca="1" si="66"/>
        <v>0</v>
      </c>
      <c r="CA24" s="1482">
        <f t="shared" ca="1" si="66"/>
        <v>0</v>
      </c>
      <c r="CB24" s="1482">
        <f t="shared" ca="1" si="66"/>
        <v>0</v>
      </c>
      <c r="CC24" s="1482">
        <f t="shared" ca="1" si="66"/>
        <v>0</v>
      </c>
      <c r="CD24" s="1482">
        <f t="shared" ca="1" si="66"/>
        <v>0</v>
      </c>
      <c r="CE24" s="1482">
        <f t="shared" ca="1" si="66"/>
        <v>0</v>
      </c>
      <c r="CF24" s="1482">
        <f t="shared" ca="1" si="66"/>
        <v>0</v>
      </c>
      <c r="CG24" s="1482">
        <f t="shared" ca="1" si="66"/>
        <v>0</v>
      </c>
      <c r="CH24" s="1482">
        <f t="shared" ca="1" si="66"/>
        <v>0</v>
      </c>
      <c r="CI24" s="1482">
        <f t="shared" ref="CI24:CR27" ca="1" si="67">IFERROR(SUMIFS(INDIRECT($C24&amp;".Emissions["&amp;this.Year&amp;"]"), INDIRECT($C24&amp;".Emissions[GHG]"), CI$6, INDIRECT($C24&amp;".Emissions[IPCC Sector]"), CI$5),0)</f>
        <v>0</v>
      </c>
      <c r="CJ24" s="1482">
        <f t="shared" ca="1" si="67"/>
        <v>0</v>
      </c>
      <c r="CK24" s="1482">
        <f t="shared" ca="1" si="67"/>
        <v>0</v>
      </c>
      <c r="CL24" s="1482">
        <f t="shared" ca="1" si="67"/>
        <v>0</v>
      </c>
      <c r="CM24" s="1482">
        <f t="shared" ca="1" si="67"/>
        <v>0</v>
      </c>
      <c r="CN24" s="1482">
        <f t="shared" ca="1" si="67"/>
        <v>0</v>
      </c>
      <c r="CO24" s="1482">
        <f t="shared" ca="1" si="67"/>
        <v>0</v>
      </c>
      <c r="CP24" s="1482">
        <f t="shared" ca="1" si="67"/>
        <v>0</v>
      </c>
      <c r="CQ24" s="1482">
        <f t="shared" ca="1" si="67"/>
        <v>0</v>
      </c>
      <c r="CR24" s="1482">
        <f t="shared" ca="1" si="67"/>
        <v>0</v>
      </c>
      <c r="CS24" s="1482">
        <f t="shared" ref="CS24:DF27" ca="1" si="68">IFERROR(SUMIFS(INDIRECT($C24&amp;".Emissions["&amp;this.Year&amp;"]"), INDIRECT($C24&amp;".Emissions[GHG]"), CS$6, INDIRECT($C24&amp;".Emissions[IPCC Sector]"), CS$5),0)</f>
        <v>0</v>
      </c>
      <c r="CT24" s="1482">
        <f t="shared" ca="1" si="68"/>
        <v>0</v>
      </c>
      <c r="CU24" s="1482">
        <f t="shared" ca="1" si="68"/>
        <v>0</v>
      </c>
      <c r="CV24" s="1482">
        <f t="shared" ca="1" si="68"/>
        <v>0</v>
      </c>
      <c r="CW24" s="1482">
        <f t="shared" ca="1" si="68"/>
        <v>0</v>
      </c>
      <c r="CX24" s="1482">
        <f t="shared" ca="1" si="68"/>
        <v>0</v>
      </c>
      <c r="CY24" s="1482">
        <f t="shared" ca="1" si="68"/>
        <v>0</v>
      </c>
      <c r="CZ24" s="1482">
        <f t="shared" ca="1" si="68"/>
        <v>0</v>
      </c>
      <c r="DA24" s="1482">
        <f t="shared" ca="1" si="68"/>
        <v>0</v>
      </c>
      <c r="DB24" s="1482">
        <f t="shared" ca="1" si="68"/>
        <v>0</v>
      </c>
      <c r="DC24" s="1482">
        <f t="shared" ca="1" si="68"/>
        <v>0</v>
      </c>
      <c r="DD24" s="1482">
        <f t="shared" ca="1" si="68"/>
        <v>0</v>
      </c>
      <c r="DE24" s="1482">
        <f t="shared" ca="1" si="68"/>
        <v>0</v>
      </c>
      <c r="DF24" s="1482">
        <f t="shared" ca="1" si="68"/>
        <v>0</v>
      </c>
      <c r="DH24" s="838">
        <f t="shared" ca="1" si="35"/>
        <v>65.795719572119367</v>
      </c>
    </row>
    <row r="25" spans="1:112" s="743" customFormat="1" ht="12.75" hidden="1" customHeight="1" outlineLevel="1">
      <c r="A25" s="1484"/>
      <c r="B25" s="1484"/>
      <c r="C25" s="746" t="s">
        <v>916</v>
      </c>
      <c r="D25" s="523" t="str">
        <f>INDEX(Modules[Module], MATCH($C25, Modules[Code], 0))</f>
        <v>Domestic freight</v>
      </c>
      <c r="E25" s="1006"/>
      <c r="G25" s="1017">
        <f t="shared" ca="1" si="57"/>
        <v>0</v>
      </c>
      <c r="H25" s="1017">
        <f t="shared" ca="1" si="57"/>
        <v>0</v>
      </c>
      <c r="I25" s="1017">
        <f t="shared" ca="1" si="57"/>
        <v>0</v>
      </c>
      <c r="J25" s="1017">
        <f t="shared" ca="1" si="57"/>
        <v>111.40260201923033</v>
      </c>
      <c r="K25" s="1017">
        <f t="shared" ca="1" si="57"/>
        <v>3.0022609100415356</v>
      </c>
      <c r="L25" s="1017">
        <f t="shared" ca="1" si="57"/>
        <v>0</v>
      </c>
      <c r="M25" s="1017">
        <f t="shared" ca="1" si="57"/>
        <v>23.688791719453825</v>
      </c>
      <c r="N25" s="1017">
        <f t="shared" ca="1" si="57"/>
        <v>0</v>
      </c>
      <c r="O25" s="1017">
        <f t="shared" ca="1" si="57"/>
        <v>0</v>
      </c>
      <c r="P25" s="1017">
        <f t="shared" ca="1" si="57"/>
        <v>0</v>
      </c>
      <c r="Q25" s="1019">
        <f ca="1">SUM(G25:P25)</f>
        <v>138.0936546487257</v>
      </c>
      <c r="S25" s="1026">
        <f t="shared" ca="1" si="58"/>
        <v>-0.1260618631781</v>
      </c>
      <c r="T25" s="1026">
        <f t="shared" ca="1" si="58"/>
        <v>0</v>
      </c>
      <c r="U25" s="1026">
        <f t="shared" ca="1" si="58"/>
        <v>0</v>
      </c>
      <c r="V25" s="1026">
        <f t="shared" ca="1" si="58"/>
        <v>-137.96759278554759</v>
      </c>
      <c r="W25" s="1026">
        <f t="shared" ca="1" si="58"/>
        <v>0</v>
      </c>
      <c r="X25" s="1026">
        <f t="shared" ca="1" si="59"/>
        <v>0</v>
      </c>
      <c r="Y25" s="1026">
        <f t="shared" ca="1" si="59"/>
        <v>0</v>
      </c>
      <c r="Z25" s="1026">
        <f t="shared" ca="1" si="59"/>
        <v>0</v>
      </c>
      <c r="AA25" s="1026">
        <f t="shared" ca="1" si="58"/>
        <v>0</v>
      </c>
      <c r="AB25" s="1026">
        <f t="shared" ca="1" si="58"/>
        <v>0</v>
      </c>
      <c r="AC25" s="1026">
        <f t="shared" ca="1" si="58"/>
        <v>0</v>
      </c>
      <c r="AD25" s="1026">
        <f t="shared" ca="1" si="58"/>
        <v>0</v>
      </c>
      <c r="AE25" s="1026">
        <f t="shared" ca="1" si="58"/>
        <v>0</v>
      </c>
      <c r="AF25" s="1026">
        <f t="shared" ca="1" si="58"/>
        <v>0</v>
      </c>
      <c r="AG25" s="1026">
        <f t="shared" ca="1" si="58"/>
        <v>0</v>
      </c>
      <c r="AH25" s="1026">
        <f t="shared" ca="1" si="58"/>
        <v>0</v>
      </c>
      <c r="AI25" s="1026">
        <f t="shared" ca="1" si="58"/>
        <v>0</v>
      </c>
      <c r="AJ25" s="1026">
        <f t="shared" ca="1" si="58"/>
        <v>0</v>
      </c>
      <c r="AK25" s="1027">
        <f t="shared" ca="1" si="60"/>
        <v>-138.0936546487257</v>
      </c>
      <c r="AM25" s="1038">
        <f t="shared" ca="1" si="61"/>
        <v>0</v>
      </c>
      <c r="AN25" s="1038">
        <f t="shared" ca="1" si="61"/>
        <v>0</v>
      </c>
      <c r="AO25" s="1038">
        <f t="shared" ca="1" si="61"/>
        <v>0</v>
      </c>
      <c r="AP25" s="1038">
        <f t="shared" ca="1" si="61"/>
        <v>0</v>
      </c>
      <c r="AQ25" s="1038">
        <f t="shared" ca="1" si="61"/>
        <v>0</v>
      </c>
      <c r="AR25" s="1038">
        <f t="shared" ca="1" si="61"/>
        <v>0</v>
      </c>
      <c r="AS25" s="1038">
        <f t="shared" ca="1" si="61"/>
        <v>0</v>
      </c>
      <c r="AT25" s="1038">
        <f t="shared" ca="1" si="61"/>
        <v>0</v>
      </c>
      <c r="AU25" s="1038">
        <f t="shared" ca="1" si="61"/>
        <v>0</v>
      </c>
      <c r="AV25" s="1038">
        <f t="shared" ca="1" si="58"/>
        <v>0</v>
      </c>
      <c r="AW25" s="1038">
        <f t="shared" ca="1" si="58"/>
        <v>0</v>
      </c>
      <c r="AX25" s="1038">
        <f t="shared" ca="1" si="58"/>
        <v>0</v>
      </c>
      <c r="AY25" s="1038">
        <f t="shared" ca="1" si="58"/>
        <v>0</v>
      </c>
      <c r="AZ25" s="1038">
        <f t="shared" ca="1" si="58"/>
        <v>0</v>
      </c>
      <c r="BA25" s="1038">
        <f t="shared" ca="1" si="58"/>
        <v>0</v>
      </c>
      <c r="BB25" s="1038">
        <f t="shared" ca="1" si="58"/>
        <v>0</v>
      </c>
      <c r="BC25" s="1038">
        <f t="shared" ca="1" si="58"/>
        <v>0</v>
      </c>
      <c r="BD25" s="1038">
        <f t="shared" ca="1" si="58"/>
        <v>0</v>
      </c>
      <c r="BE25" s="1038">
        <f t="shared" ca="1" si="58"/>
        <v>0</v>
      </c>
      <c r="BF25" s="979">
        <f t="shared" ca="1" si="62"/>
        <v>0</v>
      </c>
      <c r="BH25" s="1032">
        <f t="shared" ca="1" si="63"/>
        <v>0</v>
      </c>
      <c r="BI25" s="1032">
        <f t="shared" ca="1" si="63"/>
        <v>0</v>
      </c>
      <c r="BJ25" s="1034">
        <f t="shared" ca="1" si="64"/>
        <v>0</v>
      </c>
      <c r="BL25" s="814">
        <f t="shared" ca="1" si="9"/>
        <v>0</v>
      </c>
      <c r="BM25" s="814"/>
      <c r="BN25" s="840"/>
      <c r="BO25" s="1481">
        <f t="shared" ca="1" si="65"/>
        <v>34.491898196386899</v>
      </c>
      <c r="BP25" s="1482">
        <f t="shared" ca="1" si="65"/>
        <v>4.2942277089070335E-2</v>
      </c>
      <c r="BQ25" s="1482">
        <f t="shared" ca="1" si="65"/>
        <v>0.62057992557847641</v>
      </c>
      <c r="BR25" s="1482">
        <f t="shared" ca="1" si="65"/>
        <v>0</v>
      </c>
      <c r="BS25" s="1482">
        <f t="shared" ca="1" si="65"/>
        <v>0</v>
      </c>
      <c r="BT25" s="1482">
        <f t="shared" ca="1" si="65"/>
        <v>0</v>
      </c>
      <c r="BU25" s="1482">
        <f t="shared" ca="1" si="65"/>
        <v>0</v>
      </c>
      <c r="BV25" s="1482">
        <f t="shared" ca="1" si="65"/>
        <v>0</v>
      </c>
      <c r="BW25" s="1482">
        <f t="shared" ca="1" si="65"/>
        <v>0</v>
      </c>
      <c r="BX25" s="1482">
        <f t="shared" ca="1" si="65"/>
        <v>0</v>
      </c>
      <c r="BY25" s="1482">
        <f t="shared" ca="1" si="66"/>
        <v>0</v>
      </c>
      <c r="BZ25" s="1482">
        <f t="shared" ca="1" si="66"/>
        <v>0</v>
      </c>
      <c r="CA25" s="1482">
        <f t="shared" ca="1" si="66"/>
        <v>0</v>
      </c>
      <c r="CB25" s="1482">
        <f t="shared" ca="1" si="66"/>
        <v>0</v>
      </c>
      <c r="CC25" s="1482">
        <f t="shared" ca="1" si="66"/>
        <v>0</v>
      </c>
      <c r="CD25" s="1482">
        <f t="shared" ca="1" si="66"/>
        <v>0</v>
      </c>
      <c r="CE25" s="1482">
        <f t="shared" ca="1" si="66"/>
        <v>0</v>
      </c>
      <c r="CF25" s="1482">
        <f t="shared" ca="1" si="66"/>
        <v>0</v>
      </c>
      <c r="CG25" s="1482">
        <f t="shared" ca="1" si="66"/>
        <v>0</v>
      </c>
      <c r="CH25" s="1482">
        <f t="shared" ca="1" si="66"/>
        <v>0</v>
      </c>
      <c r="CI25" s="1482">
        <f t="shared" ca="1" si="67"/>
        <v>0</v>
      </c>
      <c r="CJ25" s="1482">
        <f t="shared" ca="1" si="67"/>
        <v>0</v>
      </c>
      <c r="CK25" s="1482">
        <f t="shared" ca="1" si="67"/>
        <v>0</v>
      </c>
      <c r="CL25" s="1482">
        <f t="shared" ca="1" si="67"/>
        <v>0</v>
      </c>
      <c r="CM25" s="1482">
        <f t="shared" ca="1" si="67"/>
        <v>0</v>
      </c>
      <c r="CN25" s="1482">
        <f t="shared" ca="1" si="67"/>
        <v>0</v>
      </c>
      <c r="CO25" s="1482">
        <f t="shared" ca="1" si="67"/>
        <v>0</v>
      </c>
      <c r="CP25" s="1482">
        <f t="shared" ca="1" si="67"/>
        <v>0</v>
      </c>
      <c r="CQ25" s="1482">
        <f t="shared" ca="1" si="67"/>
        <v>0</v>
      </c>
      <c r="CR25" s="1482">
        <f t="shared" ca="1" si="67"/>
        <v>0</v>
      </c>
      <c r="CS25" s="1482">
        <f t="shared" ca="1" si="68"/>
        <v>0</v>
      </c>
      <c r="CT25" s="1482">
        <f t="shared" ca="1" si="68"/>
        <v>0</v>
      </c>
      <c r="CU25" s="1482">
        <f t="shared" ca="1" si="68"/>
        <v>0</v>
      </c>
      <c r="CV25" s="1482">
        <f t="shared" ca="1" si="68"/>
        <v>0</v>
      </c>
      <c r="CW25" s="1482">
        <f t="shared" ca="1" si="68"/>
        <v>0</v>
      </c>
      <c r="CX25" s="1482">
        <f t="shared" ca="1" si="68"/>
        <v>0</v>
      </c>
      <c r="CY25" s="1482">
        <f t="shared" ca="1" si="68"/>
        <v>0</v>
      </c>
      <c r="CZ25" s="1482">
        <f t="shared" ca="1" si="68"/>
        <v>0</v>
      </c>
      <c r="DA25" s="1482">
        <f t="shared" ca="1" si="68"/>
        <v>0</v>
      </c>
      <c r="DB25" s="1482">
        <f t="shared" ca="1" si="68"/>
        <v>0</v>
      </c>
      <c r="DC25" s="1482">
        <f t="shared" ca="1" si="68"/>
        <v>0</v>
      </c>
      <c r="DD25" s="1482">
        <f t="shared" ca="1" si="68"/>
        <v>0</v>
      </c>
      <c r="DE25" s="1482">
        <f t="shared" ca="1" si="68"/>
        <v>0</v>
      </c>
      <c r="DF25" s="1482">
        <f t="shared" ca="1" si="68"/>
        <v>0</v>
      </c>
      <c r="DH25" s="838">
        <f t="shared" ca="1" si="35"/>
        <v>35.155420399054442</v>
      </c>
    </row>
    <row r="26" spans="1:112" s="743" customFormat="1" ht="10.5" hidden="1" customHeight="1" outlineLevel="2">
      <c r="A26" s="1480"/>
      <c r="B26" s="1480"/>
      <c r="C26" s="746" t="s">
        <v>919</v>
      </c>
      <c r="D26" s="523" t="str">
        <f>INDEX(Modules[Module], MATCH($C26, Modules[Code], 0))</f>
        <v>International aviation</v>
      </c>
      <c r="E26" s="1006"/>
      <c r="G26" s="1017">
        <f t="shared" ca="1" si="57"/>
        <v>0</v>
      </c>
      <c r="H26" s="1017">
        <f t="shared" ca="1" si="57"/>
        <v>0</v>
      </c>
      <c r="I26" s="1017">
        <f t="shared" ca="1" si="57"/>
        <v>0</v>
      </c>
      <c r="J26" s="1017">
        <f t="shared" ca="1" si="57"/>
        <v>0</v>
      </c>
      <c r="K26" s="1017">
        <f t="shared" ca="1" si="57"/>
        <v>0</v>
      </c>
      <c r="L26" s="1017">
        <f t="shared" ca="1" si="57"/>
        <v>0</v>
      </c>
      <c r="M26" s="1017">
        <f t="shared" ca="1" si="57"/>
        <v>0</v>
      </c>
      <c r="N26" s="1017">
        <f t="shared" ca="1" si="57"/>
        <v>208.13218382871563</v>
      </c>
      <c r="O26" s="1017">
        <f t="shared" ca="1" si="57"/>
        <v>0</v>
      </c>
      <c r="P26" s="1017">
        <f t="shared" ca="1" si="57"/>
        <v>0</v>
      </c>
      <c r="Q26" s="1019">
        <f t="shared" ref="Q26:Q32" ca="1" si="69">SUM(G26:P26)</f>
        <v>208.13218382871563</v>
      </c>
      <c r="S26" s="1026">
        <f t="shared" ca="1" si="58"/>
        <v>0</v>
      </c>
      <c r="T26" s="1026">
        <f t="shared" ca="1" si="58"/>
        <v>0</v>
      </c>
      <c r="U26" s="1026">
        <f t="shared" ca="1" si="58"/>
        <v>0</v>
      </c>
      <c r="V26" s="1026">
        <f t="shared" ca="1" si="58"/>
        <v>-208.13218382871563</v>
      </c>
      <c r="W26" s="1026">
        <f t="shared" ca="1" si="58"/>
        <v>0</v>
      </c>
      <c r="X26" s="1026">
        <f t="shared" ca="1" si="59"/>
        <v>0</v>
      </c>
      <c r="Y26" s="1026">
        <f t="shared" ca="1" si="59"/>
        <v>0</v>
      </c>
      <c r="Z26" s="1026">
        <f t="shared" ca="1" si="59"/>
        <v>0</v>
      </c>
      <c r="AA26" s="1026">
        <f t="shared" ca="1" si="58"/>
        <v>0</v>
      </c>
      <c r="AB26" s="1026">
        <f t="shared" ca="1" si="58"/>
        <v>0</v>
      </c>
      <c r="AC26" s="1026">
        <f t="shared" ca="1" si="58"/>
        <v>0</v>
      </c>
      <c r="AD26" s="1026">
        <f t="shared" ca="1" si="58"/>
        <v>0</v>
      </c>
      <c r="AE26" s="1026">
        <f t="shared" ca="1" si="58"/>
        <v>0</v>
      </c>
      <c r="AF26" s="1026">
        <f t="shared" ca="1" si="58"/>
        <v>0</v>
      </c>
      <c r="AG26" s="1026">
        <f t="shared" ca="1" si="58"/>
        <v>0</v>
      </c>
      <c r="AH26" s="1026">
        <f t="shared" ca="1" si="58"/>
        <v>0</v>
      </c>
      <c r="AI26" s="1026">
        <f t="shared" ca="1" si="58"/>
        <v>0</v>
      </c>
      <c r="AJ26" s="1026">
        <f t="shared" ca="1" si="58"/>
        <v>0</v>
      </c>
      <c r="AK26" s="1027">
        <f t="shared" ca="1" si="60"/>
        <v>-208.13218382871563</v>
      </c>
      <c r="AM26" s="1038">
        <f t="shared" ca="1" si="61"/>
        <v>0</v>
      </c>
      <c r="AN26" s="1038">
        <f t="shared" ca="1" si="61"/>
        <v>0</v>
      </c>
      <c r="AO26" s="1038">
        <f t="shared" ca="1" si="61"/>
        <v>0</v>
      </c>
      <c r="AP26" s="1038">
        <f t="shared" ca="1" si="61"/>
        <v>0</v>
      </c>
      <c r="AQ26" s="1038">
        <f t="shared" ca="1" si="61"/>
        <v>0</v>
      </c>
      <c r="AR26" s="1038">
        <f t="shared" ca="1" si="61"/>
        <v>0</v>
      </c>
      <c r="AS26" s="1038">
        <f t="shared" ca="1" si="61"/>
        <v>0</v>
      </c>
      <c r="AT26" s="1038">
        <f t="shared" ca="1" si="61"/>
        <v>0</v>
      </c>
      <c r="AU26" s="1038">
        <f t="shared" ca="1" si="61"/>
        <v>0</v>
      </c>
      <c r="AV26" s="1038">
        <f t="shared" ca="1" si="58"/>
        <v>0</v>
      </c>
      <c r="AW26" s="1038">
        <f t="shared" ca="1" si="58"/>
        <v>0</v>
      </c>
      <c r="AX26" s="1038">
        <f t="shared" ca="1" si="58"/>
        <v>0</v>
      </c>
      <c r="AY26" s="1038">
        <f t="shared" ca="1" si="58"/>
        <v>0</v>
      </c>
      <c r="AZ26" s="1038">
        <f t="shared" ca="1" si="58"/>
        <v>0</v>
      </c>
      <c r="BA26" s="1038">
        <f t="shared" ca="1" si="58"/>
        <v>0</v>
      </c>
      <c r="BB26" s="1038">
        <f t="shared" ca="1" si="58"/>
        <v>0</v>
      </c>
      <c r="BC26" s="1038">
        <f t="shared" ca="1" si="58"/>
        <v>0</v>
      </c>
      <c r="BD26" s="1038">
        <f t="shared" ca="1" si="58"/>
        <v>0</v>
      </c>
      <c r="BE26" s="1038">
        <f t="shared" ca="1" si="58"/>
        <v>0</v>
      </c>
      <c r="BF26" s="977">
        <f t="shared" ca="1" si="62"/>
        <v>0</v>
      </c>
      <c r="BH26" s="1032">
        <f t="shared" ca="1" si="63"/>
        <v>0</v>
      </c>
      <c r="BI26" s="1032">
        <f t="shared" ca="1" si="63"/>
        <v>0</v>
      </c>
      <c r="BJ26" s="1034">
        <f t="shared" ca="1" si="64"/>
        <v>0</v>
      </c>
      <c r="BL26" s="524">
        <f t="shared" ca="1" si="9"/>
        <v>0</v>
      </c>
      <c r="BM26" s="524"/>
      <c r="BN26" s="840"/>
      <c r="BO26" s="1481">
        <f t="shared" ca="1" si="65"/>
        <v>0</v>
      </c>
      <c r="BP26" s="1482">
        <f t="shared" ca="1" si="65"/>
        <v>0</v>
      </c>
      <c r="BQ26" s="1482">
        <f t="shared" ca="1" si="65"/>
        <v>0</v>
      </c>
      <c r="BR26" s="1482">
        <f t="shared" ca="1" si="65"/>
        <v>0</v>
      </c>
      <c r="BS26" s="1482">
        <f t="shared" ca="1" si="65"/>
        <v>0</v>
      </c>
      <c r="BT26" s="1482">
        <f t="shared" ca="1" si="65"/>
        <v>0</v>
      </c>
      <c r="BU26" s="1482">
        <f t="shared" ca="1" si="65"/>
        <v>0</v>
      </c>
      <c r="BV26" s="1482">
        <f t="shared" ca="1" si="65"/>
        <v>0</v>
      </c>
      <c r="BW26" s="1482">
        <f t="shared" ca="1" si="65"/>
        <v>0</v>
      </c>
      <c r="BX26" s="1482">
        <f t="shared" ca="1" si="65"/>
        <v>0</v>
      </c>
      <c r="BY26" s="1482">
        <f t="shared" ca="1" si="66"/>
        <v>0</v>
      </c>
      <c r="BZ26" s="1482">
        <f t="shared" ca="1" si="66"/>
        <v>0</v>
      </c>
      <c r="CA26" s="1482">
        <f t="shared" ca="1" si="66"/>
        <v>0</v>
      </c>
      <c r="CB26" s="1482">
        <f t="shared" ca="1" si="66"/>
        <v>0</v>
      </c>
      <c r="CC26" s="1482">
        <f t="shared" ca="1" si="66"/>
        <v>0</v>
      </c>
      <c r="CD26" s="1482">
        <f t="shared" ca="1" si="66"/>
        <v>0</v>
      </c>
      <c r="CE26" s="1482">
        <f t="shared" ca="1" si="66"/>
        <v>0</v>
      </c>
      <c r="CF26" s="1482">
        <f t="shared" ca="1" si="66"/>
        <v>0</v>
      </c>
      <c r="CG26" s="1482">
        <f t="shared" ca="1" si="66"/>
        <v>0</v>
      </c>
      <c r="CH26" s="1482">
        <f t="shared" ca="1" si="66"/>
        <v>0</v>
      </c>
      <c r="CI26" s="1482">
        <f t="shared" ca="1" si="67"/>
        <v>0</v>
      </c>
      <c r="CJ26" s="1482">
        <f t="shared" ca="1" si="67"/>
        <v>0</v>
      </c>
      <c r="CK26" s="1482">
        <f t="shared" ca="1" si="67"/>
        <v>0</v>
      </c>
      <c r="CL26" s="1482">
        <f t="shared" ca="1" si="67"/>
        <v>0</v>
      </c>
      <c r="CM26" s="1482">
        <f t="shared" ca="1" si="67"/>
        <v>0</v>
      </c>
      <c r="CN26" s="1482">
        <f t="shared" ca="1" si="67"/>
        <v>0</v>
      </c>
      <c r="CO26" s="1482">
        <f t="shared" ca="1" si="67"/>
        <v>0</v>
      </c>
      <c r="CP26" s="1482">
        <f t="shared" ca="1" si="67"/>
        <v>0</v>
      </c>
      <c r="CQ26" s="1482">
        <f t="shared" ca="1" si="67"/>
        <v>0</v>
      </c>
      <c r="CR26" s="1482">
        <f t="shared" ca="1" si="67"/>
        <v>0</v>
      </c>
      <c r="CS26" s="1482">
        <f t="shared" ca="1" si="68"/>
        <v>0</v>
      </c>
      <c r="CT26" s="1482">
        <f t="shared" ca="1" si="68"/>
        <v>0</v>
      </c>
      <c r="CU26" s="1482">
        <f t="shared" ca="1" si="68"/>
        <v>52.033045957178906</v>
      </c>
      <c r="CV26" s="1482">
        <f t="shared" ca="1" si="68"/>
        <v>6.4780936803169833E-2</v>
      </c>
      <c r="CW26" s="1482">
        <f t="shared" ca="1" si="68"/>
        <v>0.93618111719667674</v>
      </c>
      <c r="CX26" s="1482">
        <f t="shared" ca="1" si="68"/>
        <v>0</v>
      </c>
      <c r="CY26" s="1482">
        <f t="shared" ca="1" si="68"/>
        <v>0</v>
      </c>
      <c r="CZ26" s="1482">
        <f t="shared" ca="1" si="68"/>
        <v>0</v>
      </c>
      <c r="DA26" s="1482">
        <f t="shared" ca="1" si="68"/>
        <v>0</v>
      </c>
      <c r="DB26" s="1482">
        <f t="shared" ca="1" si="68"/>
        <v>0</v>
      </c>
      <c r="DC26" s="1482">
        <f t="shared" ca="1" si="68"/>
        <v>0</v>
      </c>
      <c r="DD26" s="1482">
        <f t="shared" ca="1" si="68"/>
        <v>0</v>
      </c>
      <c r="DE26" s="1482">
        <f t="shared" ca="1" si="68"/>
        <v>0</v>
      </c>
      <c r="DF26" s="1482">
        <f t="shared" ca="1" si="68"/>
        <v>0</v>
      </c>
      <c r="DH26" s="838">
        <f t="shared" ca="1" si="35"/>
        <v>53.034008011178749</v>
      </c>
    </row>
    <row r="27" spans="1:112" s="743" customFormat="1" ht="10.5" hidden="1" customHeight="1" outlineLevel="2">
      <c r="A27" s="1483"/>
      <c r="B27" s="1483"/>
      <c r="C27" s="1009" t="s">
        <v>954</v>
      </c>
      <c r="D27" s="1005" t="str">
        <f>INDEX(Modules[Module], MATCH($C27, Modules[Code], 0))</f>
        <v>Domestic aviation [UNUSED - see XII.a]</v>
      </c>
      <c r="E27" s="1006"/>
      <c r="G27" s="1018">
        <f t="shared" ca="1" si="57"/>
        <v>0</v>
      </c>
      <c r="H27" s="1018">
        <f t="shared" ca="1" si="57"/>
        <v>0</v>
      </c>
      <c r="I27" s="1018">
        <f t="shared" ca="1" si="57"/>
        <v>0</v>
      </c>
      <c r="J27" s="1018">
        <f t="shared" ca="1" si="57"/>
        <v>0</v>
      </c>
      <c r="K27" s="1018">
        <f t="shared" ca="1" si="57"/>
        <v>0</v>
      </c>
      <c r="L27" s="1018">
        <f t="shared" ca="1" si="57"/>
        <v>0</v>
      </c>
      <c r="M27" s="1018">
        <f t="shared" ca="1" si="57"/>
        <v>0</v>
      </c>
      <c r="N27" s="1018">
        <f t="shared" ca="1" si="57"/>
        <v>0</v>
      </c>
      <c r="O27" s="1018">
        <f t="shared" ca="1" si="57"/>
        <v>0</v>
      </c>
      <c r="P27" s="1018">
        <f t="shared" ca="1" si="57"/>
        <v>0</v>
      </c>
      <c r="Q27" s="1024">
        <f t="shared" ca="1" si="69"/>
        <v>0</v>
      </c>
      <c r="S27" s="1028">
        <f t="shared" ca="1" si="58"/>
        <v>0</v>
      </c>
      <c r="T27" s="1028">
        <f t="shared" ca="1" si="58"/>
        <v>0</v>
      </c>
      <c r="U27" s="1028">
        <f t="shared" ca="1" si="58"/>
        <v>0</v>
      </c>
      <c r="V27" s="1028">
        <f t="shared" ca="1" si="58"/>
        <v>0</v>
      </c>
      <c r="W27" s="1028">
        <f t="shared" ca="1" si="58"/>
        <v>0</v>
      </c>
      <c r="X27" s="1028">
        <f t="shared" ca="1" si="59"/>
        <v>0</v>
      </c>
      <c r="Y27" s="1028">
        <f t="shared" ca="1" si="59"/>
        <v>0</v>
      </c>
      <c r="Z27" s="1028">
        <f t="shared" ca="1" si="59"/>
        <v>0</v>
      </c>
      <c r="AA27" s="1028">
        <f t="shared" ca="1" si="58"/>
        <v>0</v>
      </c>
      <c r="AB27" s="1028">
        <f t="shared" ca="1" si="58"/>
        <v>0</v>
      </c>
      <c r="AC27" s="1028">
        <f t="shared" ca="1" si="58"/>
        <v>0</v>
      </c>
      <c r="AD27" s="1028">
        <f t="shared" ca="1" si="58"/>
        <v>0</v>
      </c>
      <c r="AE27" s="1028">
        <f t="shared" ca="1" si="58"/>
        <v>0</v>
      </c>
      <c r="AF27" s="1028">
        <f t="shared" ca="1" si="58"/>
        <v>0</v>
      </c>
      <c r="AG27" s="1028">
        <f t="shared" ca="1" si="58"/>
        <v>0</v>
      </c>
      <c r="AH27" s="1028">
        <f t="shared" ca="1" si="58"/>
        <v>0</v>
      </c>
      <c r="AI27" s="1028">
        <f t="shared" ca="1" si="58"/>
        <v>0</v>
      </c>
      <c r="AJ27" s="1028">
        <f t="shared" ca="1" si="58"/>
        <v>0</v>
      </c>
      <c r="AK27" s="1029">
        <f t="shared" ca="1" si="60"/>
        <v>0</v>
      </c>
      <c r="AM27" s="1039">
        <f t="shared" ca="1" si="61"/>
        <v>0</v>
      </c>
      <c r="AN27" s="1039">
        <f t="shared" ca="1" si="61"/>
        <v>0</v>
      </c>
      <c r="AO27" s="1039">
        <f t="shared" ca="1" si="61"/>
        <v>0</v>
      </c>
      <c r="AP27" s="1039">
        <f t="shared" ca="1" si="61"/>
        <v>0</v>
      </c>
      <c r="AQ27" s="1039">
        <f t="shared" ca="1" si="61"/>
        <v>0</v>
      </c>
      <c r="AR27" s="1039">
        <f t="shared" ca="1" si="61"/>
        <v>0</v>
      </c>
      <c r="AS27" s="1039">
        <f t="shared" ca="1" si="61"/>
        <v>0</v>
      </c>
      <c r="AT27" s="1039">
        <f t="shared" ca="1" si="61"/>
        <v>0</v>
      </c>
      <c r="AU27" s="1039">
        <f t="shared" ca="1" si="61"/>
        <v>0</v>
      </c>
      <c r="AV27" s="1039">
        <f t="shared" ca="1" si="58"/>
        <v>0</v>
      </c>
      <c r="AW27" s="1039">
        <f t="shared" ca="1" si="58"/>
        <v>0</v>
      </c>
      <c r="AX27" s="1039">
        <f t="shared" ca="1" si="58"/>
        <v>0</v>
      </c>
      <c r="AY27" s="1039">
        <f t="shared" ca="1" si="58"/>
        <v>0</v>
      </c>
      <c r="AZ27" s="1039">
        <f t="shared" ca="1" si="58"/>
        <v>0</v>
      </c>
      <c r="BA27" s="1039">
        <f t="shared" ca="1" si="58"/>
        <v>0</v>
      </c>
      <c r="BB27" s="1039">
        <f t="shared" ca="1" si="58"/>
        <v>0</v>
      </c>
      <c r="BC27" s="1039">
        <f t="shared" ca="1" si="58"/>
        <v>0</v>
      </c>
      <c r="BD27" s="1039">
        <f t="shared" ca="1" si="58"/>
        <v>0</v>
      </c>
      <c r="BE27" s="1039">
        <f t="shared" ca="1" si="58"/>
        <v>0</v>
      </c>
      <c r="BF27" s="1008">
        <f t="shared" ca="1" si="62"/>
        <v>0</v>
      </c>
      <c r="BH27" s="1033">
        <f t="shared" ca="1" si="63"/>
        <v>0</v>
      </c>
      <c r="BI27" s="1033">
        <f t="shared" ca="1" si="63"/>
        <v>0</v>
      </c>
      <c r="BJ27" s="1044">
        <f t="shared" ca="1" si="64"/>
        <v>0</v>
      </c>
      <c r="BL27" s="1007">
        <f t="shared" ca="1" si="9"/>
        <v>0</v>
      </c>
      <c r="BM27" s="1007"/>
      <c r="BN27" s="840"/>
      <c r="BO27" s="1481">
        <f t="shared" ca="1" si="65"/>
        <v>0</v>
      </c>
      <c r="BP27" s="1482">
        <f t="shared" ca="1" si="65"/>
        <v>0</v>
      </c>
      <c r="BQ27" s="1482">
        <f t="shared" ca="1" si="65"/>
        <v>0</v>
      </c>
      <c r="BR27" s="1482">
        <f t="shared" ca="1" si="65"/>
        <v>0</v>
      </c>
      <c r="BS27" s="1482">
        <f t="shared" ca="1" si="65"/>
        <v>0</v>
      </c>
      <c r="BT27" s="1482">
        <f t="shared" ca="1" si="65"/>
        <v>0</v>
      </c>
      <c r="BU27" s="1482">
        <f t="shared" ca="1" si="65"/>
        <v>0</v>
      </c>
      <c r="BV27" s="1482">
        <f t="shared" ca="1" si="65"/>
        <v>0</v>
      </c>
      <c r="BW27" s="1482">
        <f t="shared" ca="1" si="65"/>
        <v>0</v>
      </c>
      <c r="BX27" s="1482">
        <f t="shared" ca="1" si="65"/>
        <v>0</v>
      </c>
      <c r="BY27" s="1482">
        <f t="shared" ca="1" si="66"/>
        <v>0</v>
      </c>
      <c r="BZ27" s="1482">
        <f t="shared" ca="1" si="66"/>
        <v>0</v>
      </c>
      <c r="CA27" s="1482">
        <f t="shared" ca="1" si="66"/>
        <v>0</v>
      </c>
      <c r="CB27" s="1482">
        <f t="shared" ca="1" si="66"/>
        <v>0</v>
      </c>
      <c r="CC27" s="1482">
        <f t="shared" ca="1" si="66"/>
        <v>0</v>
      </c>
      <c r="CD27" s="1482">
        <f t="shared" ca="1" si="66"/>
        <v>0</v>
      </c>
      <c r="CE27" s="1482">
        <f t="shared" ca="1" si="66"/>
        <v>0</v>
      </c>
      <c r="CF27" s="1482">
        <f t="shared" ca="1" si="66"/>
        <v>0</v>
      </c>
      <c r="CG27" s="1482">
        <f t="shared" ca="1" si="66"/>
        <v>0</v>
      </c>
      <c r="CH27" s="1482">
        <f t="shared" ca="1" si="66"/>
        <v>0</v>
      </c>
      <c r="CI27" s="1482">
        <f t="shared" ca="1" si="67"/>
        <v>0</v>
      </c>
      <c r="CJ27" s="1482">
        <f t="shared" ca="1" si="67"/>
        <v>0</v>
      </c>
      <c r="CK27" s="1482">
        <f t="shared" ca="1" si="67"/>
        <v>0</v>
      </c>
      <c r="CL27" s="1482">
        <f t="shared" ca="1" si="67"/>
        <v>0</v>
      </c>
      <c r="CM27" s="1482">
        <f t="shared" ca="1" si="67"/>
        <v>0</v>
      </c>
      <c r="CN27" s="1482">
        <f t="shared" ca="1" si="67"/>
        <v>0</v>
      </c>
      <c r="CO27" s="1482">
        <f t="shared" ca="1" si="67"/>
        <v>0</v>
      </c>
      <c r="CP27" s="1482">
        <f t="shared" ca="1" si="67"/>
        <v>0</v>
      </c>
      <c r="CQ27" s="1482">
        <f t="shared" ca="1" si="67"/>
        <v>0</v>
      </c>
      <c r="CR27" s="1482">
        <f t="shared" ca="1" si="67"/>
        <v>0</v>
      </c>
      <c r="CS27" s="1482">
        <f t="shared" ca="1" si="68"/>
        <v>0</v>
      </c>
      <c r="CT27" s="1482">
        <f t="shared" ca="1" si="68"/>
        <v>0</v>
      </c>
      <c r="CU27" s="1482">
        <f t="shared" ca="1" si="68"/>
        <v>0</v>
      </c>
      <c r="CV27" s="1482">
        <f t="shared" ca="1" si="68"/>
        <v>0</v>
      </c>
      <c r="CW27" s="1482">
        <f t="shared" ca="1" si="68"/>
        <v>0</v>
      </c>
      <c r="CX27" s="1482">
        <f t="shared" ca="1" si="68"/>
        <v>0</v>
      </c>
      <c r="CY27" s="1482">
        <f t="shared" ca="1" si="68"/>
        <v>0</v>
      </c>
      <c r="CZ27" s="1482">
        <f t="shared" ca="1" si="68"/>
        <v>0</v>
      </c>
      <c r="DA27" s="1482">
        <f t="shared" ca="1" si="68"/>
        <v>0</v>
      </c>
      <c r="DB27" s="1482">
        <f t="shared" ca="1" si="68"/>
        <v>0</v>
      </c>
      <c r="DC27" s="1482">
        <f t="shared" ca="1" si="68"/>
        <v>0</v>
      </c>
      <c r="DD27" s="1482">
        <f t="shared" ca="1" si="68"/>
        <v>0</v>
      </c>
      <c r="DE27" s="1482">
        <f t="shared" ca="1" si="68"/>
        <v>0</v>
      </c>
      <c r="DF27" s="1482">
        <f t="shared" ca="1" si="68"/>
        <v>0</v>
      </c>
      <c r="DH27" s="838">
        <f t="shared" ca="1" si="35"/>
        <v>0</v>
      </c>
    </row>
    <row r="28" spans="1:112" s="743" customFormat="1" ht="10.5" hidden="1" customHeight="1" outlineLevel="1">
      <c r="A28" s="1484"/>
      <c r="B28" s="1484"/>
      <c r="C28" s="746"/>
      <c r="D28" s="523" t="s">
        <v>960</v>
      </c>
      <c r="E28" s="1006"/>
      <c r="G28" s="1019">
        <f ca="1">SUM(G26:G27)</f>
        <v>0</v>
      </c>
      <c r="H28" s="1019">
        <f t="shared" ref="H28:P28" ca="1" si="70">SUM(H26:H27)</f>
        <v>0</v>
      </c>
      <c r="I28" s="1019">
        <f t="shared" ca="1" si="70"/>
        <v>0</v>
      </c>
      <c r="J28" s="1019">
        <f t="shared" ca="1" si="70"/>
        <v>0</v>
      </c>
      <c r="K28" s="1019">
        <f t="shared" ca="1" si="70"/>
        <v>0</v>
      </c>
      <c r="L28" s="1019">
        <f t="shared" ca="1" si="70"/>
        <v>0</v>
      </c>
      <c r="M28" s="1019">
        <f t="shared" ca="1" si="70"/>
        <v>0</v>
      </c>
      <c r="N28" s="1019">
        <f t="shared" ca="1" si="70"/>
        <v>208.13218382871563</v>
      </c>
      <c r="O28" s="1019">
        <f t="shared" ca="1" si="70"/>
        <v>0</v>
      </c>
      <c r="P28" s="1019">
        <f t="shared" ca="1" si="70"/>
        <v>0</v>
      </c>
      <c r="Q28" s="1019">
        <f t="shared" ca="1" si="69"/>
        <v>208.13218382871563</v>
      </c>
      <c r="S28" s="1027">
        <f t="shared" ref="S28:Z28" ca="1" si="71">SUM(S26:S27)</f>
        <v>0</v>
      </c>
      <c r="T28" s="1027">
        <f t="shared" ca="1" si="71"/>
        <v>0</v>
      </c>
      <c r="U28" s="1027">
        <f t="shared" ca="1" si="71"/>
        <v>0</v>
      </c>
      <c r="V28" s="1027">
        <f t="shared" ca="1" si="71"/>
        <v>-208.13218382871563</v>
      </c>
      <c r="W28" s="1027">
        <f t="shared" ca="1" si="71"/>
        <v>0</v>
      </c>
      <c r="X28" s="1027">
        <f t="shared" ca="1" si="71"/>
        <v>0</v>
      </c>
      <c r="Y28" s="1027">
        <f t="shared" ca="1" si="71"/>
        <v>0</v>
      </c>
      <c r="Z28" s="1027">
        <f t="shared" ca="1" si="71"/>
        <v>0</v>
      </c>
      <c r="AA28" s="1027">
        <f t="shared" ref="AA28:AJ28" ca="1" si="72">SUM(AA26:AA27)</f>
        <v>0</v>
      </c>
      <c r="AB28" s="1027">
        <f t="shared" ca="1" si="72"/>
        <v>0</v>
      </c>
      <c r="AC28" s="1027">
        <f t="shared" ca="1" si="72"/>
        <v>0</v>
      </c>
      <c r="AD28" s="1027">
        <f ca="1">SUM(AD26:AD27)</f>
        <v>0</v>
      </c>
      <c r="AE28" s="1027">
        <f ca="1">SUM(AE26:AE27)</f>
        <v>0</v>
      </c>
      <c r="AF28" s="1027">
        <f t="shared" ca="1" si="72"/>
        <v>0</v>
      </c>
      <c r="AG28" s="1027">
        <f ca="1">SUM(AG26:AG27)</f>
        <v>0</v>
      </c>
      <c r="AH28" s="1027">
        <f ca="1">SUM(AH26:AH27)</f>
        <v>0</v>
      </c>
      <c r="AI28" s="1027">
        <f ca="1">SUM(AI26:AI27)</f>
        <v>0</v>
      </c>
      <c r="AJ28" s="1027">
        <f t="shared" ca="1" si="72"/>
        <v>0</v>
      </c>
      <c r="AK28" s="1027">
        <f t="shared" ca="1" si="60"/>
        <v>-208.13218382871563</v>
      </c>
      <c r="AM28" s="1040">
        <f t="shared" ref="AM28:BE28" ca="1" si="73">SUM(AM26:AM27)</f>
        <v>0</v>
      </c>
      <c r="AN28" s="1040">
        <f t="shared" ca="1" si="73"/>
        <v>0</v>
      </c>
      <c r="AO28" s="1040">
        <f t="shared" ca="1" si="73"/>
        <v>0</v>
      </c>
      <c r="AP28" s="1040">
        <f t="shared" ca="1" si="73"/>
        <v>0</v>
      </c>
      <c r="AQ28" s="1040">
        <f t="shared" ca="1" si="73"/>
        <v>0</v>
      </c>
      <c r="AR28" s="1040">
        <f t="shared" ca="1" si="73"/>
        <v>0</v>
      </c>
      <c r="AS28" s="1040">
        <f t="shared" ca="1" si="73"/>
        <v>0</v>
      </c>
      <c r="AT28" s="1040">
        <f t="shared" ca="1" si="73"/>
        <v>0</v>
      </c>
      <c r="AU28" s="1040">
        <f t="shared" ca="1" si="73"/>
        <v>0</v>
      </c>
      <c r="AV28" s="1040">
        <f t="shared" ca="1" si="73"/>
        <v>0</v>
      </c>
      <c r="AW28" s="1040">
        <f t="shared" ca="1" si="73"/>
        <v>0</v>
      </c>
      <c r="AX28" s="1040">
        <f t="shared" ca="1" si="73"/>
        <v>0</v>
      </c>
      <c r="AY28" s="1040">
        <f t="shared" ca="1" si="73"/>
        <v>0</v>
      </c>
      <c r="AZ28" s="1040">
        <f t="shared" ca="1" si="73"/>
        <v>0</v>
      </c>
      <c r="BA28" s="1040">
        <f t="shared" ca="1" si="73"/>
        <v>0</v>
      </c>
      <c r="BB28" s="1040">
        <f t="shared" ca="1" si="73"/>
        <v>0</v>
      </c>
      <c r="BC28" s="1040">
        <f t="shared" ca="1" si="73"/>
        <v>0</v>
      </c>
      <c r="BD28" s="1040">
        <f t="shared" ca="1" si="73"/>
        <v>0</v>
      </c>
      <c r="BE28" s="1040">
        <f t="shared" ca="1" si="73"/>
        <v>0</v>
      </c>
      <c r="BF28" s="977">
        <f t="shared" ca="1" si="62"/>
        <v>0</v>
      </c>
      <c r="BH28" s="1034">
        <f ca="1">SUM(BH26:BH27)</f>
        <v>0</v>
      </c>
      <c r="BI28" s="1034">
        <f ca="1">SUM(BI26:BI27)</f>
        <v>0</v>
      </c>
      <c r="BJ28" s="1034">
        <f t="shared" ca="1" si="64"/>
        <v>0</v>
      </c>
      <c r="BL28" s="524">
        <f t="shared" ca="1" si="9"/>
        <v>0</v>
      </c>
      <c r="BM28" s="524"/>
      <c r="BN28" s="840"/>
      <c r="BO28" s="1481">
        <f t="shared" ref="BO28:DF28" ca="1" si="74">SUM(BO26:BO27)</f>
        <v>0</v>
      </c>
      <c r="BP28" s="1482">
        <f t="shared" ca="1" si="74"/>
        <v>0</v>
      </c>
      <c r="BQ28" s="1482">
        <f t="shared" ca="1" si="74"/>
        <v>0</v>
      </c>
      <c r="BR28" s="1482">
        <f t="shared" ca="1" si="74"/>
        <v>0</v>
      </c>
      <c r="BS28" s="1482">
        <f t="shared" ca="1" si="74"/>
        <v>0</v>
      </c>
      <c r="BT28" s="1482">
        <f t="shared" ca="1" si="74"/>
        <v>0</v>
      </c>
      <c r="BU28" s="1482">
        <f t="shared" ca="1" si="74"/>
        <v>0</v>
      </c>
      <c r="BV28" s="1482">
        <f t="shared" ca="1" si="74"/>
        <v>0</v>
      </c>
      <c r="BW28" s="1482">
        <f t="shared" ca="1" si="74"/>
        <v>0</v>
      </c>
      <c r="BX28" s="1482">
        <f t="shared" ca="1" si="74"/>
        <v>0</v>
      </c>
      <c r="BY28" s="1482">
        <f t="shared" ca="1" si="74"/>
        <v>0</v>
      </c>
      <c r="BZ28" s="1482">
        <f t="shared" ca="1" si="74"/>
        <v>0</v>
      </c>
      <c r="CA28" s="1482">
        <f t="shared" ca="1" si="74"/>
        <v>0</v>
      </c>
      <c r="CB28" s="1482">
        <f t="shared" ca="1" si="74"/>
        <v>0</v>
      </c>
      <c r="CC28" s="1482">
        <f t="shared" ca="1" si="74"/>
        <v>0</v>
      </c>
      <c r="CD28" s="1482">
        <f t="shared" ca="1" si="74"/>
        <v>0</v>
      </c>
      <c r="CE28" s="1482">
        <f t="shared" ca="1" si="74"/>
        <v>0</v>
      </c>
      <c r="CF28" s="1482">
        <f t="shared" ca="1" si="74"/>
        <v>0</v>
      </c>
      <c r="CG28" s="1482">
        <f t="shared" ca="1" si="74"/>
        <v>0</v>
      </c>
      <c r="CH28" s="1482">
        <f t="shared" ca="1" si="74"/>
        <v>0</v>
      </c>
      <c r="CI28" s="1482">
        <f t="shared" ca="1" si="74"/>
        <v>0</v>
      </c>
      <c r="CJ28" s="1482">
        <f t="shared" ca="1" si="74"/>
        <v>0</v>
      </c>
      <c r="CK28" s="1482">
        <f t="shared" ca="1" si="74"/>
        <v>0</v>
      </c>
      <c r="CL28" s="1482">
        <f t="shared" ca="1" si="74"/>
        <v>0</v>
      </c>
      <c r="CM28" s="1482">
        <f t="shared" ca="1" si="74"/>
        <v>0</v>
      </c>
      <c r="CN28" s="1482">
        <f t="shared" ca="1" si="74"/>
        <v>0</v>
      </c>
      <c r="CO28" s="1482">
        <f t="shared" ca="1" si="74"/>
        <v>0</v>
      </c>
      <c r="CP28" s="1482">
        <f t="shared" ca="1" si="74"/>
        <v>0</v>
      </c>
      <c r="CQ28" s="1482">
        <f t="shared" ca="1" si="74"/>
        <v>0</v>
      </c>
      <c r="CR28" s="1482">
        <f t="shared" ca="1" si="74"/>
        <v>0</v>
      </c>
      <c r="CS28" s="1482">
        <f t="shared" ca="1" si="74"/>
        <v>0</v>
      </c>
      <c r="CT28" s="1482">
        <f t="shared" ca="1" si="74"/>
        <v>0</v>
      </c>
      <c r="CU28" s="1482">
        <f t="shared" ca="1" si="74"/>
        <v>52.033045957178906</v>
      </c>
      <c r="CV28" s="1482">
        <f t="shared" ca="1" si="74"/>
        <v>6.4780936803169833E-2</v>
      </c>
      <c r="CW28" s="1482">
        <f t="shared" ca="1" si="74"/>
        <v>0.93618111719667674</v>
      </c>
      <c r="CX28" s="1482">
        <f t="shared" ca="1" si="74"/>
        <v>0</v>
      </c>
      <c r="CY28" s="1482">
        <f t="shared" ca="1" si="74"/>
        <v>0</v>
      </c>
      <c r="CZ28" s="1482">
        <f t="shared" ca="1" si="74"/>
        <v>0</v>
      </c>
      <c r="DA28" s="1482">
        <f t="shared" ca="1" si="74"/>
        <v>0</v>
      </c>
      <c r="DB28" s="1482">
        <f t="shared" ca="1" si="74"/>
        <v>0</v>
      </c>
      <c r="DC28" s="1482">
        <f t="shared" ca="1" si="74"/>
        <v>0</v>
      </c>
      <c r="DD28" s="1482">
        <f t="shared" ca="1" si="74"/>
        <v>0</v>
      </c>
      <c r="DE28" s="1482">
        <f t="shared" ca="1" si="74"/>
        <v>0</v>
      </c>
      <c r="DF28" s="1482">
        <f t="shared" ca="1" si="74"/>
        <v>0</v>
      </c>
      <c r="DH28" s="838">
        <f t="shared" ca="1" si="35"/>
        <v>53.034008011178749</v>
      </c>
    </row>
    <row r="29" spans="1:112" s="743" customFormat="1" ht="12.75" hidden="1" customHeight="1" outlineLevel="2">
      <c r="A29" s="1480"/>
      <c r="B29" s="1480"/>
      <c r="C29" s="746" t="s">
        <v>957</v>
      </c>
      <c r="D29" s="523" t="str">
        <f>INDEX(Modules[Module], MATCH($C29, Modules[Code], 0))</f>
        <v>International shipping (maritime bunkers)</v>
      </c>
      <c r="E29" s="1006"/>
      <c r="G29" s="1017">
        <f t="shared" ref="G29:P30" ca="1" si="75">IFERROR(INDEX(INDIRECT($C29&amp;".Outputs["&amp;this.Year&amp;"]"), MATCH(G$5, INDIRECT($C29&amp;".Outputs[Vector]"), 0)), 0)</f>
        <v>0</v>
      </c>
      <c r="H29" s="1017">
        <f t="shared" ca="1" si="75"/>
        <v>0</v>
      </c>
      <c r="I29" s="1017">
        <f t="shared" ca="1" si="75"/>
        <v>0</v>
      </c>
      <c r="J29" s="1017">
        <f t="shared" ca="1" si="75"/>
        <v>0</v>
      </c>
      <c r="K29" s="1017">
        <f t="shared" ca="1" si="75"/>
        <v>0</v>
      </c>
      <c r="L29" s="1017">
        <f t="shared" ca="1" si="75"/>
        <v>0</v>
      </c>
      <c r="M29" s="1017">
        <f t="shared" ca="1" si="75"/>
        <v>0</v>
      </c>
      <c r="N29" s="1017">
        <f t="shared" ca="1" si="75"/>
        <v>0</v>
      </c>
      <c r="O29" s="1017">
        <f t="shared" ca="1" si="75"/>
        <v>68.605814160198818</v>
      </c>
      <c r="P29" s="1017">
        <f t="shared" ca="1" si="75"/>
        <v>0</v>
      </c>
      <c r="Q29" s="1019">
        <f t="shared" ca="1" si="69"/>
        <v>68.605814160198818</v>
      </c>
      <c r="S29" s="1026">
        <f t="shared" ca="1" si="58"/>
        <v>0</v>
      </c>
      <c r="T29" s="1026">
        <f t="shared" ca="1" si="58"/>
        <v>0</v>
      </c>
      <c r="U29" s="1026">
        <f t="shared" ca="1" si="58"/>
        <v>0</v>
      </c>
      <c r="V29" s="1026">
        <f t="shared" ca="1" si="58"/>
        <v>-68.605814160198818</v>
      </c>
      <c r="W29" s="1026">
        <f t="shared" ca="1" si="58"/>
        <v>0</v>
      </c>
      <c r="X29" s="1026">
        <f t="shared" ref="X29:Z30" ca="1" si="76">IFERROR(INDEX(INDIRECT($C29&amp;".Outputs["&amp;this.Year&amp;"]"), MATCH(X$5, INDIRECT($C29&amp;".Outputs[Vector]"), 0)), 0)</f>
        <v>0</v>
      </c>
      <c r="Y29" s="1026">
        <f t="shared" ca="1" si="76"/>
        <v>0</v>
      </c>
      <c r="Z29" s="1026">
        <f t="shared" ca="1" si="76"/>
        <v>0</v>
      </c>
      <c r="AA29" s="1026">
        <f t="shared" ca="1" si="58"/>
        <v>0</v>
      </c>
      <c r="AB29" s="1026">
        <f t="shared" ca="1" si="58"/>
        <v>0</v>
      </c>
      <c r="AC29" s="1026">
        <f t="shared" ca="1" si="58"/>
        <v>0</v>
      </c>
      <c r="AD29" s="1026">
        <f t="shared" ca="1" si="58"/>
        <v>0</v>
      </c>
      <c r="AE29" s="1026">
        <f t="shared" ca="1" si="58"/>
        <v>0</v>
      </c>
      <c r="AF29" s="1026">
        <f t="shared" ca="1" si="58"/>
        <v>0</v>
      </c>
      <c r="AG29" s="1026">
        <f t="shared" ca="1" si="58"/>
        <v>0</v>
      </c>
      <c r="AH29" s="1026">
        <f t="shared" ca="1" si="58"/>
        <v>0</v>
      </c>
      <c r="AI29" s="1026">
        <f t="shared" ca="1" si="58"/>
        <v>0</v>
      </c>
      <c r="AJ29" s="1026">
        <f t="shared" ca="1" si="58"/>
        <v>0</v>
      </c>
      <c r="AK29" s="1027">
        <f t="shared" ca="1" si="60"/>
        <v>-68.605814160198818</v>
      </c>
      <c r="AM29" s="1038">
        <f t="shared" ref="AM29:AU30" ca="1" si="77">IFERROR(INDEX(INDIRECT($C29&amp;".Outputs["&amp;this.Year&amp;"]"), MATCH(AM$5, INDIRECT($C29&amp;".Outputs[Vector]"), 0)), 0)</f>
        <v>0</v>
      </c>
      <c r="AN29" s="1038">
        <f t="shared" ca="1" si="77"/>
        <v>0</v>
      </c>
      <c r="AO29" s="1038">
        <f t="shared" ca="1" si="77"/>
        <v>0</v>
      </c>
      <c r="AP29" s="1038">
        <f t="shared" ca="1" si="77"/>
        <v>0</v>
      </c>
      <c r="AQ29" s="1038">
        <f t="shared" ca="1" si="77"/>
        <v>0</v>
      </c>
      <c r="AR29" s="1038">
        <f t="shared" ca="1" si="77"/>
        <v>0</v>
      </c>
      <c r="AS29" s="1038">
        <f t="shared" ca="1" si="77"/>
        <v>0</v>
      </c>
      <c r="AT29" s="1038">
        <f t="shared" ca="1" si="77"/>
        <v>0</v>
      </c>
      <c r="AU29" s="1038">
        <f t="shared" ca="1" si="77"/>
        <v>0</v>
      </c>
      <c r="AV29" s="1038">
        <f t="shared" ca="1" si="58"/>
        <v>0</v>
      </c>
      <c r="AW29" s="1038">
        <f t="shared" ca="1" si="58"/>
        <v>0</v>
      </c>
      <c r="AX29" s="1038">
        <f t="shared" ca="1" si="58"/>
        <v>0</v>
      </c>
      <c r="AY29" s="1038">
        <f t="shared" ca="1" si="58"/>
        <v>0</v>
      </c>
      <c r="AZ29" s="1038">
        <f t="shared" ca="1" si="58"/>
        <v>0</v>
      </c>
      <c r="BA29" s="1038">
        <f t="shared" ca="1" si="58"/>
        <v>0</v>
      </c>
      <c r="BB29" s="1038">
        <f t="shared" ca="1" si="58"/>
        <v>0</v>
      </c>
      <c r="BC29" s="1038">
        <f t="shared" ca="1" si="58"/>
        <v>0</v>
      </c>
      <c r="BD29" s="1038">
        <f t="shared" ca="1" si="58"/>
        <v>0</v>
      </c>
      <c r="BE29" s="1038">
        <f t="shared" ca="1" si="58"/>
        <v>0</v>
      </c>
      <c r="BF29" s="979">
        <f t="shared" ca="1" si="62"/>
        <v>0</v>
      </c>
      <c r="BH29" s="1032">
        <f t="shared" ca="1" si="63"/>
        <v>0</v>
      </c>
      <c r="BI29" s="1032">
        <f t="shared" ca="1" si="63"/>
        <v>0</v>
      </c>
      <c r="BJ29" s="1034">
        <f t="shared" ca="1" si="64"/>
        <v>0</v>
      </c>
      <c r="BL29" s="814">
        <f t="shared" ca="1" si="9"/>
        <v>0</v>
      </c>
      <c r="BM29" s="814"/>
      <c r="BN29" s="840"/>
      <c r="BO29" s="1481">
        <f t="shared" ref="BO29:BX30" ca="1" si="78">IFERROR(SUMIFS(INDIRECT($C29&amp;".Emissions["&amp;this.Year&amp;"]"), INDIRECT($C29&amp;".Emissions[GHG]"), BO$6, INDIRECT($C29&amp;".Emissions[IPCC Sector]"), BO$5),0)</f>
        <v>0</v>
      </c>
      <c r="BP29" s="1482">
        <f t="shared" ca="1" si="78"/>
        <v>0</v>
      </c>
      <c r="BQ29" s="1482">
        <f t="shared" ca="1" si="78"/>
        <v>0</v>
      </c>
      <c r="BR29" s="1482">
        <f t="shared" ca="1" si="78"/>
        <v>0</v>
      </c>
      <c r="BS29" s="1482">
        <f t="shared" ca="1" si="78"/>
        <v>0</v>
      </c>
      <c r="BT29" s="1482">
        <f t="shared" ca="1" si="78"/>
        <v>0</v>
      </c>
      <c r="BU29" s="1482">
        <f t="shared" ca="1" si="78"/>
        <v>0</v>
      </c>
      <c r="BV29" s="1482">
        <f t="shared" ca="1" si="78"/>
        <v>0</v>
      </c>
      <c r="BW29" s="1482">
        <f t="shared" ca="1" si="78"/>
        <v>0</v>
      </c>
      <c r="BX29" s="1482">
        <f t="shared" ca="1" si="78"/>
        <v>0</v>
      </c>
      <c r="BY29" s="1482">
        <f t="shared" ref="BY29:CH30" ca="1" si="79">IFERROR(SUMIFS(INDIRECT($C29&amp;".Emissions["&amp;this.Year&amp;"]"), INDIRECT($C29&amp;".Emissions[GHG]"), BY$6, INDIRECT($C29&amp;".Emissions[IPCC Sector]"), BY$5),0)</f>
        <v>0</v>
      </c>
      <c r="BZ29" s="1482">
        <f t="shared" ca="1" si="79"/>
        <v>0</v>
      </c>
      <c r="CA29" s="1482">
        <f t="shared" ca="1" si="79"/>
        <v>0</v>
      </c>
      <c r="CB29" s="1482">
        <f t="shared" ca="1" si="79"/>
        <v>0</v>
      </c>
      <c r="CC29" s="1482">
        <f t="shared" ca="1" si="79"/>
        <v>0</v>
      </c>
      <c r="CD29" s="1482">
        <f t="shared" ca="1" si="79"/>
        <v>0</v>
      </c>
      <c r="CE29" s="1482">
        <f t="shared" ca="1" si="79"/>
        <v>0</v>
      </c>
      <c r="CF29" s="1482">
        <f t="shared" ca="1" si="79"/>
        <v>0</v>
      </c>
      <c r="CG29" s="1482">
        <f t="shared" ca="1" si="79"/>
        <v>0</v>
      </c>
      <c r="CH29" s="1482">
        <f t="shared" ca="1" si="79"/>
        <v>0</v>
      </c>
      <c r="CI29" s="1482">
        <f t="shared" ref="CI29:CR30" ca="1" si="80">IFERROR(SUMIFS(INDIRECT($C29&amp;".Emissions["&amp;this.Year&amp;"]"), INDIRECT($C29&amp;".Emissions[GHG]"), CI$6, INDIRECT($C29&amp;".Emissions[IPCC Sector]"), CI$5),0)</f>
        <v>0</v>
      </c>
      <c r="CJ29" s="1482">
        <f t="shared" ca="1" si="80"/>
        <v>0</v>
      </c>
      <c r="CK29" s="1482">
        <f t="shared" ca="1" si="80"/>
        <v>0</v>
      </c>
      <c r="CL29" s="1482">
        <f t="shared" ca="1" si="80"/>
        <v>0</v>
      </c>
      <c r="CM29" s="1482">
        <f t="shared" ca="1" si="80"/>
        <v>0</v>
      </c>
      <c r="CN29" s="1482">
        <f t="shared" ca="1" si="80"/>
        <v>0</v>
      </c>
      <c r="CO29" s="1482">
        <f t="shared" ca="1" si="80"/>
        <v>0</v>
      </c>
      <c r="CP29" s="1482">
        <f t="shared" ca="1" si="80"/>
        <v>0</v>
      </c>
      <c r="CQ29" s="1482">
        <f t="shared" ca="1" si="80"/>
        <v>0</v>
      </c>
      <c r="CR29" s="1482">
        <f t="shared" ca="1" si="80"/>
        <v>0</v>
      </c>
      <c r="CS29" s="1482">
        <f t="shared" ref="CS29:DF30" ca="1" si="81">IFERROR(SUMIFS(INDIRECT($C29&amp;".Emissions["&amp;this.Year&amp;"]"), INDIRECT($C29&amp;".Emissions[GHG]"), CS$6, INDIRECT($C29&amp;".Emissions[IPCC Sector]"), CS$5),0)</f>
        <v>0</v>
      </c>
      <c r="CT29" s="1482">
        <f t="shared" ca="1" si="81"/>
        <v>0</v>
      </c>
      <c r="CU29" s="1482">
        <f t="shared" ca="1" si="81"/>
        <v>17.151453540049705</v>
      </c>
      <c r="CV29" s="1482">
        <f t="shared" ca="1" si="81"/>
        <v>2.1353491947691153E-2</v>
      </c>
      <c r="CW29" s="1482">
        <f t="shared" ca="1" si="81"/>
        <v>0.30858979406826925</v>
      </c>
      <c r="CX29" s="1482">
        <f t="shared" ca="1" si="81"/>
        <v>0</v>
      </c>
      <c r="CY29" s="1482">
        <f t="shared" ca="1" si="81"/>
        <v>0</v>
      </c>
      <c r="CZ29" s="1482">
        <f t="shared" ca="1" si="81"/>
        <v>0</v>
      </c>
      <c r="DA29" s="1482">
        <f t="shared" ca="1" si="81"/>
        <v>0</v>
      </c>
      <c r="DB29" s="1482">
        <f t="shared" ca="1" si="81"/>
        <v>0</v>
      </c>
      <c r="DC29" s="1482">
        <f t="shared" ca="1" si="81"/>
        <v>0</v>
      </c>
      <c r="DD29" s="1482">
        <f t="shared" ca="1" si="81"/>
        <v>0</v>
      </c>
      <c r="DE29" s="1482">
        <f t="shared" ca="1" si="81"/>
        <v>0</v>
      </c>
      <c r="DF29" s="1482">
        <f t="shared" ca="1" si="81"/>
        <v>0</v>
      </c>
      <c r="DH29" s="838">
        <f t="shared" ca="1" si="35"/>
        <v>17.481396826065666</v>
      </c>
    </row>
    <row r="30" spans="1:112" s="743" customFormat="1" ht="10.5" hidden="1" customHeight="1" outlineLevel="2">
      <c r="A30" s="1483"/>
      <c r="B30" s="1483"/>
      <c r="C30" s="1009" t="s">
        <v>959</v>
      </c>
      <c r="D30" s="1005" t="str">
        <f>INDEX(Modules[Module], MATCH($C30, Modules[Code], 0))</f>
        <v>National navigation [UNUSED - see XII.a]</v>
      </c>
      <c r="E30" s="1006"/>
      <c r="G30" s="1018">
        <f t="shared" ca="1" si="75"/>
        <v>0</v>
      </c>
      <c r="H30" s="1018">
        <f t="shared" ca="1" si="75"/>
        <v>0</v>
      </c>
      <c r="I30" s="1018">
        <f t="shared" ca="1" si="75"/>
        <v>0</v>
      </c>
      <c r="J30" s="1018">
        <f t="shared" ca="1" si="75"/>
        <v>0</v>
      </c>
      <c r="K30" s="1018">
        <f t="shared" ca="1" si="75"/>
        <v>0</v>
      </c>
      <c r="L30" s="1018">
        <f t="shared" ca="1" si="75"/>
        <v>0</v>
      </c>
      <c r="M30" s="1018">
        <f t="shared" ca="1" si="75"/>
        <v>0</v>
      </c>
      <c r="N30" s="1018">
        <f t="shared" ca="1" si="75"/>
        <v>0</v>
      </c>
      <c r="O30" s="1018">
        <f t="shared" ca="1" si="75"/>
        <v>0</v>
      </c>
      <c r="P30" s="1018">
        <f t="shared" ca="1" si="75"/>
        <v>0</v>
      </c>
      <c r="Q30" s="1024">
        <f t="shared" ca="1" si="69"/>
        <v>0</v>
      </c>
      <c r="S30" s="1028">
        <f t="shared" ca="1" si="58"/>
        <v>0</v>
      </c>
      <c r="T30" s="1028">
        <f t="shared" ca="1" si="58"/>
        <v>0</v>
      </c>
      <c r="U30" s="1028">
        <f t="shared" ca="1" si="58"/>
        <v>0</v>
      </c>
      <c r="V30" s="1028">
        <f t="shared" ca="1" si="58"/>
        <v>0</v>
      </c>
      <c r="W30" s="1028">
        <f t="shared" ca="1" si="58"/>
        <v>0</v>
      </c>
      <c r="X30" s="1028">
        <f t="shared" ca="1" si="76"/>
        <v>0</v>
      </c>
      <c r="Y30" s="1028">
        <f t="shared" ca="1" si="76"/>
        <v>0</v>
      </c>
      <c r="Z30" s="1028">
        <f t="shared" ca="1" si="76"/>
        <v>0</v>
      </c>
      <c r="AA30" s="1028">
        <f t="shared" ca="1" si="58"/>
        <v>0</v>
      </c>
      <c r="AB30" s="1028">
        <f t="shared" ca="1" si="58"/>
        <v>0</v>
      </c>
      <c r="AC30" s="1028">
        <f t="shared" ca="1" si="58"/>
        <v>0</v>
      </c>
      <c r="AD30" s="1028">
        <f t="shared" ca="1" si="58"/>
        <v>0</v>
      </c>
      <c r="AE30" s="1028">
        <f t="shared" ca="1" si="58"/>
        <v>0</v>
      </c>
      <c r="AF30" s="1028">
        <f t="shared" ca="1" si="58"/>
        <v>0</v>
      </c>
      <c r="AG30" s="1028">
        <f t="shared" ca="1" si="58"/>
        <v>0</v>
      </c>
      <c r="AH30" s="1028">
        <f t="shared" ca="1" si="58"/>
        <v>0</v>
      </c>
      <c r="AI30" s="1028">
        <f t="shared" ca="1" si="58"/>
        <v>0</v>
      </c>
      <c r="AJ30" s="1028">
        <f t="shared" ca="1" si="58"/>
        <v>0</v>
      </c>
      <c r="AK30" s="1029">
        <f t="shared" ca="1" si="60"/>
        <v>0</v>
      </c>
      <c r="AM30" s="1039">
        <f t="shared" ca="1" si="77"/>
        <v>0</v>
      </c>
      <c r="AN30" s="1039">
        <f t="shared" ca="1" si="77"/>
        <v>0</v>
      </c>
      <c r="AO30" s="1039">
        <f t="shared" ca="1" si="77"/>
        <v>0</v>
      </c>
      <c r="AP30" s="1039">
        <f t="shared" ca="1" si="77"/>
        <v>0</v>
      </c>
      <c r="AQ30" s="1039">
        <f t="shared" ca="1" si="77"/>
        <v>0</v>
      </c>
      <c r="AR30" s="1039">
        <f t="shared" ca="1" si="77"/>
        <v>0</v>
      </c>
      <c r="AS30" s="1039">
        <f t="shared" ca="1" si="77"/>
        <v>0</v>
      </c>
      <c r="AT30" s="1039">
        <f t="shared" ca="1" si="77"/>
        <v>0</v>
      </c>
      <c r="AU30" s="1039">
        <f t="shared" ca="1" si="77"/>
        <v>0</v>
      </c>
      <c r="AV30" s="1039">
        <f t="shared" ca="1" si="58"/>
        <v>0</v>
      </c>
      <c r="AW30" s="1039">
        <f t="shared" ca="1" si="58"/>
        <v>0</v>
      </c>
      <c r="AX30" s="1039">
        <f t="shared" ca="1" si="58"/>
        <v>0</v>
      </c>
      <c r="AY30" s="1039">
        <f t="shared" ca="1" si="58"/>
        <v>0</v>
      </c>
      <c r="AZ30" s="1039">
        <f t="shared" ca="1" si="58"/>
        <v>0</v>
      </c>
      <c r="BA30" s="1039">
        <f t="shared" ca="1" si="58"/>
        <v>0</v>
      </c>
      <c r="BB30" s="1039">
        <f t="shared" ca="1" si="58"/>
        <v>0</v>
      </c>
      <c r="BC30" s="1039">
        <f t="shared" ca="1" si="58"/>
        <v>0</v>
      </c>
      <c r="BD30" s="1039">
        <f t="shared" ca="1" si="58"/>
        <v>0</v>
      </c>
      <c r="BE30" s="1039">
        <f t="shared" ca="1" si="58"/>
        <v>0</v>
      </c>
      <c r="BF30" s="1008">
        <f t="shared" ca="1" si="62"/>
        <v>0</v>
      </c>
      <c r="BH30" s="1033">
        <f t="shared" ca="1" si="63"/>
        <v>0</v>
      </c>
      <c r="BI30" s="1033">
        <f t="shared" ca="1" si="63"/>
        <v>0</v>
      </c>
      <c r="BJ30" s="1044">
        <f t="shared" ca="1" si="64"/>
        <v>0</v>
      </c>
      <c r="BL30" s="1007">
        <f t="shared" ca="1" si="9"/>
        <v>0</v>
      </c>
      <c r="BM30" s="1007"/>
      <c r="BN30" s="840"/>
      <c r="BO30" s="1481">
        <f t="shared" ca="1" si="78"/>
        <v>0</v>
      </c>
      <c r="BP30" s="1482">
        <f t="shared" ca="1" si="78"/>
        <v>0</v>
      </c>
      <c r="BQ30" s="1482">
        <f t="shared" ca="1" si="78"/>
        <v>0</v>
      </c>
      <c r="BR30" s="1482">
        <f t="shared" ca="1" si="78"/>
        <v>0</v>
      </c>
      <c r="BS30" s="1482">
        <f t="shared" ca="1" si="78"/>
        <v>0</v>
      </c>
      <c r="BT30" s="1482">
        <f t="shared" ca="1" si="78"/>
        <v>0</v>
      </c>
      <c r="BU30" s="1482">
        <f t="shared" ca="1" si="78"/>
        <v>0</v>
      </c>
      <c r="BV30" s="1482">
        <f t="shared" ca="1" si="78"/>
        <v>0</v>
      </c>
      <c r="BW30" s="1482">
        <f t="shared" ca="1" si="78"/>
        <v>0</v>
      </c>
      <c r="BX30" s="1482">
        <f t="shared" ca="1" si="78"/>
        <v>0</v>
      </c>
      <c r="BY30" s="1482">
        <f t="shared" ca="1" si="79"/>
        <v>0</v>
      </c>
      <c r="BZ30" s="1482">
        <f t="shared" ca="1" si="79"/>
        <v>0</v>
      </c>
      <c r="CA30" s="1482">
        <f t="shared" ca="1" si="79"/>
        <v>0</v>
      </c>
      <c r="CB30" s="1482">
        <f t="shared" ca="1" si="79"/>
        <v>0</v>
      </c>
      <c r="CC30" s="1482">
        <f t="shared" ca="1" si="79"/>
        <v>0</v>
      </c>
      <c r="CD30" s="1482">
        <f t="shared" ca="1" si="79"/>
        <v>0</v>
      </c>
      <c r="CE30" s="1482">
        <f t="shared" ca="1" si="79"/>
        <v>0</v>
      </c>
      <c r="CF30" s="1482">
        <f t="shared" ca="1" si="79"/>
        <v>0</v>
      </c>
      <c r="CG30" s="1482">
        <f t="shared" ca="1" si="79"/>
        <v>0</v>
      </c>
      <c r="CH30" s="1482">
        <f t="shared" ca="1" si="79"/>
        <v>0</v>
      </c>
      <c r="CI30" s="1482">
        <f t="shared" ca="1" si="80"/>
        <v>0</v>
      </c>
      <c r="CJ30" s="1482">
        <f t="shared" ca="1" si="80"/>
        <v>0</v>
      </c>
      <c r="CK30" s="1482">
        <f t="shared" ca="1" si="80"/>
        <v>0</v>
      </c>
      <c r="CL30" s="1482">
        <f t="shared" ca="1" si="80"/>
        <v>0</v>
      </c>
      <c r="CM30" s="1482">
        <f t="shared" ca="1" si="80"/>
        <v>0</v>
      </c>
      <c r="CN30" s="1482">
        <f t="shared" ca="1" si="80"/>
        <v>0</v>
      </c>
      <c r="CO30" s="1482">
        <f t="shared" ca="1" si="80"/>
        <v>0</v>
      </c>
      <c r="CP30" s="1482">
        <f t="shared" ca="1" si="80"/>
        <v>0</v>
      </c>
      <c r="CQ30" s="1482">
        <f t="shared" ca="1" si="80"/>
        <v>0</v>
      </c>
      <c r="CR30" s="1482">
        <f t="shared" ca="1" si="80"/>
        <v>0</v>
      </c>
      <c r="CS30" s="1482">
        <f t="shared" ca="1" si="81"/>
        <v>0</v>
      </c>
      <c r="CT30" s="1482">
        <f t="shared" ca="1" si="81"/>
        <v>0</v>
      </c>
      <c r="CU30" s="1482">
        <f t="shared" ca="1" si="81"/>
        <v>0</v>
      </c>
      <c r="CV30" s="1482">
        <f t="shared" ca="1" si="81"/>
        <v>0</v>
      </c>
      <c r="CW30" s="1482">
        <f t="shared" ca="1" si="81"/>
        <v>0</v>
      </c>
      <c r="CX30" s="1482">
        <f t="shared" ca="1" si="81"/>
        <v>0</v>
      </c>
      <c r="CY30" s="1482">
        <f t="shared" ca="1" si="81"/>
        <v>0</v>
      </c>
      <c r="CZ30" s="1482">
        <f t="shared" ca="1" si="81"/>
        <v>0</v>
      </c>
      <c r="DA30" s="1482">
        <f t="shared" ca="1" si="81"/>
        <v>0</v>
      </c>
      <c r="DB30" s="1482">
        <f t="shared" ca="1" si="81"/>
        <v>0</v>
      </c>
      <c r="DC30" s="1482">
        <f t="shared" ca="1" si="81"/>
        <v>0</v>
      </c>
      <c r="DD30" s="1482">
        <f t="shared" ca="1" si="81"/>
        <v>0</v>
      </c>
      <c r="DE30" s="1482">
        <f t="shared" ca="1" si="81"/>
        <v>0</v>
      </c>
      <c r="DF30" s="1482">
        <f t="shared" ca="1" si="81"/>
        <v>0</v>
      </c>
      <c r="DH30" s="838">
        <f t="shared" ca="1" si="35"/>
        <v>0</v>
      </c>
    </row>
    <row r="31" spans="1:112" s="743" customFormat="1" ht="11.25" hidden="1" customHeight="1" outlineLevel="1">
      <c r="A31" s="1484"/>
      <c r="B31" s="1484"/>
      <c r="C31" s="746"/>
      <c r="D31" s="1011" t="s">
        <v>961</v>
      </c>
      <c r="E31" s="1010"/>
      <c r="G31" s="1020">
        <f ca="1">SUM(G29:G30)</f>
        <v>0</v>
      </c>
      <c r="H31" s="1020">
        <f t="shared" ref="H31:P31" ca="1" si="82">SUM(H29:H30)</f>
        <v>0</v>
      </c>
      <c r="I31" s="1020">
        <f t="shared" ca="1" si="82"/>
        <v>0</v>
      </c>
      <c r="J31" s="1020">
        <f t="shared" ca="1" si="82"/>
        <v>0</v>
      </c>
      <c r="K31" s="1020">
        <f t="shared" ca="1" si="82"/>
        <v>0</v>
      </c>
      <c r="L31" s="1020">
        <f t="shared" ca="1" si="82"/>
        <v>0</v>
      </c>
      <c r="M31" s="1020">
        <f t="shared" ca="1" si="82"/>
        <v>0</v>
      </c>
      <c r="N31" s="1020">
        <f t="shared" ca="1" si="82"/>
        <v>0</v>
      </c>
      <c r="O31" s="1020">
        <f t="shared" ca="1" si="82"/>
        <v>68.605814160198818</v>
      </c>
      <c r="P31" s="1020">
        <f t="shared" ca="1" si="82"/>
        <v>0</v>
      </c>
      <c r="Q31" s="1020">
        <f t="shared" ca="1" si="69"/>
        <v>68.605814160198818</v>
      </c>
      <c r="S31" s="1030">
        <f t="shared" ref="S31:Z31" ca="1" si="83">SUM(S29:S30)</f>
        <v>0</v>
      </c>
      <c r="T31" s="1030">
        <f t="shared" ca="1" si="83"/>
        <v>0</v>
      </c>
      <c r="U31" s="1030">
        <f t="shared" ca="1" si="83"/>
        <v>0</v>
      </c>
      <c r="V31" s="1030">
        <f t="shared" ca="1" si="83"/>
        <v>-68.605814160198818</v>
      </c>
      <c r="W31" s="1030">
        <f t="shared" ca="1" si="83"/>
        <v>0</v>
      </c>
      <c r="X31" s="1132">
        <f t="shared" ca="1" si="83"/>
        <v>0</v>
      </c>
      <c r="Y31" s="1132">
        <f t="shared" ca="1" si="83"/>
        <v>0</v>
      </c>
      <c r="Z31" s="1132">
        <f t="shared" ca="1" si="83"/>
        <v>0</v>
      </c>
      <c r="AA31" s="1030">
        <f t="shared" ref="AA31:AJ31" ca="1" si="84">SUM(AA29:AA30)</f>
        <v>0</v>
      </c>
      <c r="AB31" s="1030">
        <f t="shared" ca="1" si="84"/>
        <v>0</v>
      </c>
      <c r="AC31" s="1030">
        <f t="shared" ca="1" si="84"/>
        <v>0</v>
      </c>
      <c r="AD31" s="1030">
        <f ca="1">SUM(AD29:AD30)</f>
        <v>0</v>
      </c>
      <c r="AE31" s="1030">
        <f ca="1">SUM(AE29:AE30)</f>
        <v>0</v>
      </c>
      <c r="AF31" s="1030">
        <f t="shared" ca="1" si="84"/>
        <v>0</v>
      </c>
      <c r="AG31" s="1030">
        <f ca="1">SUM(AG29:AG30)</f>
        <v>0</v>
      </c>
      <c r="AH31" s="1030">
        <f ca="1">SUM(AH29:AH30)</f>
        <v>0</v>
      </c>
      <c r="AI31" s="1030">
        <f ca="1">SUM(AI29:AI30)</f>
        <v>0</v>
      </c>
      <c r="AJ31" s="1030">
        <f t="shared" ca="1" si="84"/>
        <v>0</v>
      </c>
      <c r="AK31" s="1030">
        <f t="shared" ca="1" si="60"/>
        <v>-68.605814160198818</v>
      </c>
      <c r="AM31" s="1043">
        <f t="shared" ref="AM31:BE31" ca="1" si="85">SUM(AM29:AM30)</f>
        <v>0</v>
      </c>
      <c r="AN31" s="1043">
        <f t="shared" ca="1" si="85"/>
        <v>0</v>
      </c>
      <c r="AO31" s="1043">
        <f t="shared" ca="1" si="85"/>
        <v>0</v>
      </c>
      <c r="AP31" s="1043">
        <f t="shared" ca="1" si="85"/>
        <v>0</v>
      </c>
      <c r="AQ31" s="1043">
        <f t="shared" ca="1" si="85"/>
        <v>0</v>
      </c>
      <c r="AR31" s="1043">
        <f t="shared" ca="1" si="85"/>
        <v>0</v>
      </c>
      <c r="AS31" s="1043">
        <f t="shared" ca="1" si="85"/>
        <v>0</v>
      </c>
      <c r="AT31" s="1043">
        <f t="shared" ca="1" si="85"/>
        <v>0</v>
      </c>
      <c r="AU31" s="1043">
        <f t="shared" ca="1" si="85"/>
        <v>0</v>
      </c>
      <c r="AV31" s="1043">
        <f t="shared" ca="1" si="85"/>
        <v>0</v>
      </c>
      <c r="AW31" s="1043">
        <f t="shared" ca="1" si="85"/>
        <v>0</v>
      </c>
      <c r="AX31" s="1043">
        <f t="shared" ca="1" si="85"/>
        <v>0</v>
      </c>
      <c r="AY31" s="1043">
        <f t="shared" ca="1" si="85"/>
        <v>0</v>
      </c>
      <c r="AZ31" s="1043">
        <f t="shared" ca="1" si="85"/>
        <v>0</v>
      </c>
      <c r="BA31" s="1043">
        <f t="shared" ca="1" si="85"/>
        <v>0</v>
      </c>
      <c r="BB31" s="1043">
        <f t="shared" ca="1" si="85"/>
        <v>0</v>
      </c>
      <c r="BC31" s="1043">
        <f t="shared" ca="1" si="85"/>
        <v>0</v>
      </c>
      <c r="BD31" s="1043">
        <f t="shared" ca="1" si="85"/>
        <v>0</v>
      </c>
      <c r="BE31" s="1043">
        <f t="shared" ca="1" si="85"/>
        <v>0</v>
      </c>
      <c r="BF31" s="1013">
        <f t="shared" ca="1" si="62"/>
        <v>0</v>
      </c>
      <c r="BH31" s="1037">
        <f ca="1">SUM(BH29:BH30)</f>
        <v>0</v>
      </c>
      <c r="BI31" s="1037">
        <f ca="1">SUM(BI29:BI30)</f>
        <v>0</v>
      </c>
      <c r="BJ31" s="1035">
        <f t="shared" ca="1" si="64"/>
        <v>0</v>
      </c>
      <c r="BL31" s="524">
        <f t="shared" ca="1" si="9"/>
        <v>0</v>
      </c>
      <c r="BM31" s="524"/>
      <c r="BN31" s="1484"/>
      <c r="BO31" s="1485">
        <f t="shared" ref="BO31:DF31" ca="1" si="86">SUM(BO29:BO30)</f>
        <v>0</v>
      </c>
      <c r="BP31" s="1486">
        <f t="shared" ca="1" si="86"/>
        <v>0</v>
      </c>
      <c r="BQ31" s="1486">
        <f t="shared" ca="1" si="86"/>
        <v>0</v>
      </c>
      <c r="BR31" s="1486">
        <f t="shared" ca="1" si="86"/>
        <v>0</v>
      </c>
      <c r="BS31" s="1486">
        <f t="shared" ca="1" si="86"/>
        <v>0</v>
      </c>
      <c r="BT31" s="1486">
        <f t="shared" ca="1" si="86"/>
        <v>0</v>
      </c>
      <c r="BU31" s="1486">
        <f t="shared" ca="1" si="86"/>
        <v>0</v>
      </c>
      <c r="BV31" s="1486">
        <f t="shared" ca="1" si="86"/>
        <v>0</v>
      </c>
      <c r="BW31" s="1486">
        <f t="shared" ca="1" si="86"/>
        <v>0</v>
      </c>
      <c r="BX31" s="1486">
        <f t="shared" ca="1" si="86"/>
        <v>0</v>
      </c>
      <c r="BY31" s="1486">
        <f t="shared" ca="1" si="86"/>
        <v>0</v>
      </c>
      <c r="BZ31" s="1486">
        <f t="shared" ca="1" si="86"/>
        <v>0</v>
      </c>
      <c r="CA31" s="1486">
        <f t="shared" ca="1" si="86"/>
        <v>0</v>
      </c>
      <c r="CB31" s="1486">
        <f t="shared" ca="1" si="86"/>
        <v>0</v>
      </c>
      <c r="CC31" s="1486">
        <f t="shared" ca="1" si="86"/>
        <v>0</v>
      </c>
      <c r="CD31" s="1486">
        <f t="shared" ca="1" si="86"/>
        <v>0</v>
      </c>
      <c r="CE31" s="1486">
        <f t="shared" ca="1" si="86"/>
        <v>0</v>
      </c>
      <c r="CF31" s="1486">
        <f t="shared" ca="1" si="86"/>
        <v>0</v>
      </c>
      <c r="CG31" s="1486">
        <f t="shared" ca="1" si="86"/>
        <v>0</v>
      </c>
      <c r="CH31" s="1486">
        <f t="shared" ca="1" si="86"/>
        <v>0</v>
      </c>
      <c r="CI31" s="1486">
        <f t="shared" ca="1" si="86"/>
        <v>0</v>
      </c>
      <c r="CJ31" s="1486">
        <f t="shared" ca="1" si="86"/>
        <v>0</v>
      </c>
      <c r="CK31" s="1486">
        <f t="shared" ca="1" si="86"/>
        <v>0</v>
      </c>
      <c r="CL31" s="1486">
        <f t="shared" ca="1" si="86"/>
        <v>0</v>
      </c>
      <c r="CM31" s="1486">
        <f t="shared" ca="1" si="86"/>
        <v>0</v>
      </c>
      <c r="CN31" s="1486">
        <f t="shared" ca="1" si="86"/>
        <v>0</v>
      </c>
      <c r="CO31" s="1486">
        <f t="shared" ca="1" si="86"/>
        <v>0</v>
      </c>
      <c r="CP31" s="1486">
        <f t="shared" ca="1" si="86"/>
        <v>0</v>
      </c>
      <c r="CQ31" s="1486">
        <f t="shared" ca="1" si="86"/>
        <v>0</v>
      </c>
      <c r="CR31" s="1486">
        <f t="shared" ca="1" si="86"/>
        <v>0</v>
      </c>
      <c r="CS31" s="1486">
        <f t="shared" ca="1" si="86"/>
        <v>0</v>
      </c>
      <c r="CT31" s="1486">
        <f t="shared" ca="1" si="86"/>
        <v>0</v>
      </c>
      <c r="CU31" s="1486">
        <f t="shared" ca="1" si="86"/>
        <v>17.151453540049705</v>
      </c>
      <c r="CV31" s="1486">
        <f t="shared" ca="1" si="86"/>
        <v>2.1353491947691153E-2</v>
      </c>
      <c r="CW31" s="1486">
        <f t="shared" ca="1" si="86"/>
        <v>0.30858979406826925</v>
      </c>
      <c r="CX31" s="1486">
        <f t="shared" ca="1" si="86"/>
        <v>0</v>
      </c>
      <c r="CY31" s="1486">
        <f t="shared" ca="1" si="86"/>
        <v>0</v>
      </c>
      <c r="CZ31" s="1486">
        <f t="shared" ca="1" si="86"/>
        <v>0</v>
      </c>
      <c r="DA31" s="1486">
        <f t="shared" ca="1" si="86"/>
        <v>0</v>
      </c>
      <c r="DB31" s="1486">
        <f t="shared" ca="1" si="86"/>
        <v>0</v>
      </c>
      <c r="DC31" s="1486">
        <f t="shared" ca="1" si="86"/>
        <v>0</v>
      </c>
      <c r="DD31" s="1486">
        <f t="shared" ca="1" si="86"/>
        <v>0</v>
      </c>
      <c r="DE31" s="1486">
        <f t="shared" ca="1" si="86"/>
        <v>0</v>
      </c>
      <c r="DF31" s="1486">
        <f t="shared" ca="1" si="86"/>
        <v>0</v>
      </c>
      <c r="DH31" s="838">
        <f t="shared" ca="1" si="35"/>
        <v>17.481396826065666</v>
      </c>
    </row>
    <row r="32" spans="1:112" s="743" customFormat="1" ht="15.75" collapsed="1">
      <c r="A32" s="22"/>
      <c r="B32" s="753"/>
      <c r="C32" s="744" t="s">
        <v>679</v>
      </c>
      <c r="D32" s="517" t="str">
        <f>INDEX(Workstreams[Workstream], MATCH($C32, Workstreams[Code], 0))</f>
        <v>Transport</v>
      </c>
      <c r="E32" s="512"/>
      <c r="G32" s="1021">
        <f t="shared" ref="G32:P32" ca="1" si="87">G24+G25+G28+G31</f>
        <v>0</v>
      </c>
      <c r="H32" s="1021">
        <f t="shared" ca="1" si="87"/>
        <v>0</v>
      </c>
      <c r="I32" s="1021">
        <f t="shared" ca="1" si="87"/>
        <v>0</v>
      </c>
      <c r="J32" s="1021">
        <f t="shared" ca="1" si="87"/>
        <v>356.10824416990909</v>
      </c>
      <c r="K32" s="1021">
        <f t="shared" ca="1" si="87"/>
        <v>16.278078430943093</v>
      </c>
      <c r="L32" s="1021">
        <f t="shared" ca="1" si="87"/>
        <v>12.657847240047854</v>
      </c>
      <c r="M32" s="1021">
        <f t="shared" ca="1" si="87"/>
        <v>23.688791719453825</v>
      </c>
      <c r="N32" s="1021">
        <f t="shared" ca="1" si="87"/>
        <v>208.13218382871563</v>
      </c>
      <c r="O32" s="1021">
        <f t="shared" ca="1" si="87"/>
        <v>68.605814160198818</v>
      </c>
      <c r="P32" s="1021">
        <f t="shared" ca="1" si="87"/>
        <v>0</v>
      </c>
      <c r="Q32" s="1021">
        <f t="shared" ca="1" si="69"/>
        <v>685.47095954926829</v>
      </c>
      <c r="S32" s="970">
        <f t="shared" ref="S32:Z32" ca="1" si="88">S24+S25+S28+S31</f>
        <v>-12.549795133069749</v>
      </c>
      <c r="T32" s="970">
        <f t="shared" ca="1" si="88"/>
        <v>0</v>
      </c>
      <c r="U32" s="970">
        <f t="shared" ca="1" si="88"/>
        <v>0</v>
      </c>
      <c r="V32" s="970">
        <f t="shared" ca="1" si="88"/>
        <v>-672.92116441619862</v>
      </c>
      <c r="W32" s="970">
        <f t="shared" ca="1" si="88"/>
        <v>0</v>
      </c>
      <c r="X32" s="970">
        <f t="shared" ca="1" si="88"/>
        <v>0</v>
      </c>
      <c r="Y32" s="970">
        <f t="shared" ca="1" si="88"/>
        <v>0</v>
      </c>
      <c r="Z32" s="970">
        <f t="shared" ca="1" si="88"/>
        <v>0</v>
      </c>
      <c r="AA32" s="970">
        <f t="shared" ref="AA32:AJ32" ca="1" si="89">AA24+AA25+AA28+AA31</f>
        <v>0</v>
      </c>
      <c r="AB32" s="970">
        <f t="shared" ca="1" si="89"/>
        <v>0</v>
      </c>
      <c r="AC32" s="970">
        <f t="shared" ca="1" si="89"/>
        <v>0</v>
      </c>
      <c r="AD32" s="970">
        <f ca="1">AD24+AD25+AD28+AD31</f>
        <v>0</v>
      </c>
      <c r="AE32" s="970">
        <f ca="1">AE24+AE25+AE28+AE31</f>
        <v>0</v>
      </c>
      <c r="AF32" s="970">
        <f t="shared" ca="1" si="89"/>
        <v>0</v>
      </c>
      <c r="AG32" s="970">
        <f ca="1">AG24+AG25+AG28+AG31</f>
        <v>0</v>
      </c>
      <c r="AH32" s="970">
        <f ca="1">AH24+AH25+AH28+AH31</f>
        <v>0</v>
      </c>
      <c r="AI32" s="970">
        <f ca="1">AI24+AI25+AI28+AI31</f>
        <v>0</v>
      </c>
      <c r="AJ32" s="970">
        <f t="shared" ca="1" si="89"/>
        <v>0</v>
      </c>
      <c r="AK32" s="970">
        <f t="shared" ca="1" si="60"/>
        <v>-685.4709595492684</v>
      </c>
      <c r="AM32" s="976">
        <f t="shared" ref="AM32:AS32" ca="1" si="90">AM24+AM25+AM28+AM31</f>
        <v>0</v>
      </c>
      <c r="AN32" s="976">
        <f t="shared" ca="1" si="90"/>
        <v>0</v>
      </c>
      <c r="AO32" s="976">
        <f t="shared" ca="1" si="90"/>
        <v>0</v>
      </c>
      <c r="AP32" s="976">
        <f t="shared" ca="1" si="90"/>
        <v>0</v>
      </c>
      <c r="AQ32" s="976">
        <f t="shared" ca="1" si="90"/>
        <v>0</v>
      </c>
      <c r="AR32" s="976">
        <f t="shared" ca="1" si="90"/>
        <v>0</v>
      </c>
      <c r="AS32" s="976">
        <f t="shared" ca="1" si="90"/>
        <v>0</v>
      </c>
      <c r="AT32" s="976">
        <f t="shared" ref="AT32:BE32" ca="1" si="91">AT24+AT25+AT28+AT31</f>
        <v>0</v>
      </c>
      <c r="AU32" s="976">
        <f t="shared" ca="1" si="91"/>
        <v>0</v>
      </c>
      <c r="AV32" s="976">
        <f t="shared" ca="1" si="91"/>
        <v>0</v>
      </c>
      <c r="AW32" s="976">
        <f t="shared" ca="1" si="91"/>
        <v>0</v>
      </c>
      <c r="AX32" s="976">
        <f t="shared" ca="1" si="91"/>
        <v>0</v>
      </c>
      <c r="AY32" s="976">
        <f t="shared" ca="1" si="91"/>
        <v>0</v>
      </c>
      <c r="AZ32" s="976">
        <f t="shared" ca="1" si="91"/>
        <v>0</v>
      </c>
      <c r="BA32" s="976">
        <f t="shared" ca="1" si="91"/>
        <v>0</v>
      </c>
      <c r="BB32" s="976">
        <f t="shared" ca="1" si="91"/>
        <v>0</v>
      </c>
      <c r="BC32" s="976">
        <f t="shared" ca="1" si="91"/>
        <v>0</v>
      </c>
      <c r="BD32" s="976">
        <f t="shared" ca="1" si="91"/>
        <v>0</v>
      </c>
      <c r="BE32" s="976">
        <f t="shared" ca="1" si="91"/>
        <v>0</v>
      </c>
      <c r="BF32" s="976">
        <f t="shared" ca="1" si="62"/>
        <v>0</v>
      </c>
      <c r="BH32" s="990">
        <f ca="1">BH24+BH25+BH28+BH31</f>
        <v>0</v>
      </c>
      <c r="BI32" s="990">
        <f ca="1">BI24+BI25+BI28+BI31</f>
        <v>0</v>
      </c>
      <c r="BJ32" s="990">
        <f t="shared" ca="1" si="64"/>
        <v>0</v>
      </c>
      <c r="BL32" s="515">
        <f t="shared" ca="1" si="9"/>
        <v>-1.1368683772161603E-13</v>
      </c>
      <c r="BM32" s="515"/>
      <c r="BN32" s="840"/>
      <c r="BO32" s="1482">
        <f t="shared" ref="BO32:DF32" ca="1" si="92">BO24+BO25+BO28+BO31</f>
        <v>99.045791606821027</v>
      </c>
      <c r="BP32" s="1482">
        <f t="shared" ca="1" si="92"/>
        <v>0.12331161954235278</v>
      </c>
      <c r="BQ32" s="1482">
        <f t="shared" ca="1" si="92"/>
        <v>1.7820367448104366</v>
      </c>
      <c r="BR32" s="1482">
        <f t="shared" ca="1" si="92"/>
        <v>0</v>
      </c>
      <c r="BS32" s="1482">
        <f t="shared" ca="1" si="92"/>
        <v>0</v>
      </c>
      <c r="BT32" s="1482">
        <f t="shared" ca="1" si="92"/>
        <v>0</v>
      </c>
      <c r="BU32" s="1482">
        <f t="shared" ca="1" si="92"/>
        <v>0</v>
      </c>
      <c r="BV32" s="1482">
        <f t="shared" ca="1" si="92"/>
        <v>0</v>
      </c>
      <c r="BW32" s="1482">
        <f t="shared" ca="1" si="92"/>
        <v>0</v>
      </c>
      <c r="BX32" s="1482">
        <f t="shared" ca="1" si="92"/>
        <v>0</v>
      </c>
      <c r="BY32" s="1482">
        <f t="shared" ca="1" si="92"/>
        <v>0</v>
      </c>
      <c r="BZ32" s="1482">
        <f t="shared" ca="1" si="92"/>
        <v>0</v>
      </c>
      <c r="CA32" s="1482">
        <f t="shared" ca="1" si="92"/>
        <v>0</v>
      </c>
      <c r="CB32" s="1482">
        <f t="shared" ca="1" si="92"/>
        <v>0</v>
      </c>
      <c r="CC32" s="1482">
        <f t="shared" ca="1" si="92"/>
        <v>0</v>
      </c>
      <c r="CD32" s="1482">
        <f t="shared" ca="1" si="92"/>
        <v>0</v>
      </c>
      <c r="CE32" s="1482">
        <f t="shared" ca="1" si="92"/>
        <v>0</v>
      </c>
      <c r="CF32" s="1482">
        <f t="shared" ca="1" si="92"/>
        <v>0</v>
      </c>
      <c r="CG32" s="1482">
        <f t="shared" ca="1" si="92"/>
        <v>0</v>
      </c>
      <c r="CH32" s="1482">
        <f t="shared" ca="1" si="92"/>
        <v>0</v>
      </c>
      <c r="CI32" s="1482">
        <f t="shared" ca="1" si="92"/>
        <v>0</v>
      </c>
      <c r="CJ32" s="1482">
        <f t="shared" ca="1" si="92"/>
        <v>0</v>
      </c>
      <c r="CK32" s="1482">
        <f t="shared" ca="1" si="92"/>
        <v>0</v>
      </c>
      <c r="CL32" s="1482">
        <f t="shared" ca="1" si="92"/>
        <v>0</v>
      </c>
      <c r="CM32" s="1482">
        <f t="shared" ca="1" si="92"/>
        <v>0</v>
      </c>
      <c r="CN32" s="1482">
        <f t="shared" ca="1" si="92"/>
        <v>0</v>
      </c>
      <c r="CO32" s="1482">
        <f t="shared" ca="1" si="92"/>
        <v>0</v>
      </c>
      <c r="CP32" s="1482">
        <f t="shared" ca="1" si="92"/>
        <v>0</v>
      </c>
      <c r="CQ32" s="1482">
        <f t="shared" ca="1" si="92"/>
        <v>0</v>
      </c>
      <c r="CR32" s="1482">
        <f t="shared" ca="1" si="92"/>
        <v>0</v>
      </c>
      <c r="CS32" s="1482">
        <f t="shared" ca="1" si="92"/>
        <v>0</v>
      </c>
      <c r="CT32" s="1482">
        <f t="shared" ca="1" si="92"/>
        <v>0</v>
      </c>
      <c r="CU32" s="1482">
        <f t="shared" ca="1" si="92"/>
        <v>69.184499497228614</v>
      </c>
      <c r="CV32" s="1482">
        <f t="shared" ca="1" si="92"/>
        <v>8.6134428750860983E-2</v>
      </c>
      <c r="CW32" s="1482">
        <f t="shared" ca="1" si="92"/>
        <v>1.2447709112649461</v>
      </c>
      <c r="CX32" s="1482">
        <f t="shared" ca="1" si="92"/>
        <v>0</v>
      </c>
      <c r="CY32" s="1482">
        <f t="shared" ca="1" si="92"/>
        <v>0</v>
      </c>
      <c r="CZ32" s="1482">
        <f t="shared" ca="1" si="92"/>
        <v>0</v>
      </c>
      <c r="DA32" s="1482">
        <f t="shared" ca="1" si="92"/>
        <v>0</v>
      </c>
      <c r="DB32" s="1482">
        <f t="shared" ca="1" si="92"/>
        <v>0</v>
      </c>
      <c r="DC32" s="1482">
        <f t="shared" ca="1" si="92"/>
        <v>0</v>
      </c>
      <c r="DD32" s="1482">
        <f t="shared" ca="1" si="92"/>
        <v>0</v>
      </c>
      <c r="DE32" s="1482">
        <f t="shared" ca="1" si="92"/>
        <v>0</v>
      </c>
      <c r="DF32" s="1482">
        <f t="shared" ca="1" si="92"/>
        <v>0</v>
      </c>
      <c r="DH32" s="838">
        <f t="shared" ca="1" si="35"/>
        <v>171.46654480841821</v>
      </c>
    </row>
    <row r="33" spans="1:112" s="743" customFormat="1" ht="12.75" hidden="1" customHeight="1" outlineLevel="1">
      <c r="A33" s="22"/>
      <c r="B33" s="22"/>
      <c r="C33" s="751"/>
      <c r="D33" s="512"/>
      <c r="E33" s="512"/>
      <c r="G33" s="1021"/>
      <c r="H33" s="1021"/>
      <c r="I33" s="1021"/>
      <c r="J33" s="1021"/>
      <c r="K33" s="1021"/>
      <c r="L33" s="1021"/>
      <c r="M33" s="1021"/>
      <c r="N33" s="1021"/>
      <c r="O33" s="1021"/>
      <c r="P33" s="1021"/>
      <c r="Q33" s="1021"/>
      <c r="S33" s="970"/>
      <c r="T33" s="970"/>
      <c r="U33" s="970"/>
      <c r="V33" s="970"/>
      <c r="W33" s="970"/>
      <c r="X33" s="970"/>
      <c r="Y33" s="970"/>
      <c r="Z33" s="970"/>
      <c r="AA33" s="970"/>
      <c r="AB33" s="970"/>
      <c r="AC33" s="970"/>
      <c r="AD33" s="970"/>
      <c r="AE33" s="970"/>
      <c r="AF33" s="970"/>
      <c r="AG33" s="970"/>
      <c r="AH33" s="970"/>
      <c r="AI33" s="970"/>
      <c r="AJ33" s="970"/>
      <c r="AK33" s="970"/>
      <c r="AM33" s="976"/>
      <c r="AN33" s="976"/>
      <c r="AO33" s="976"/>
      <c r="AP33" s="976"/>
      <c r="AQ33" s="976"/>
      <c r="AR33" s="976"/>
      <c r="AS33" s="976"/>
      <c r="AT33" s="976"/>
      <c r="AU33" s="976"/>
      <c r="AV33" s="976"/>
      <c r="AW33" s="976"/>
      <c r="AX33" s="976"/>
      <c r="AY33" s="976"/>
      <c r="AZ33" s="976"/>
      <c r="BA33" s="976"/>
      <c r="BB33" s="976"/>
      <c r="BC33" s="976"/>
      <c r="BD33" s="976"/>
      <c r="BE33" s="976"/>
      <c r="BF33" s="976"/>
      <c r="BH33" s="990"/>
      <c r="BI33" s="990"/>
      <c r="BJ33" s="990"/>
      <c r="BL33" s="515">
        <f t="shared" si="9"/>
        <v>0</v>
      </c>
      <c r="BM33" s="515"/>
      <c r="BN33" s="22"/>
      <c r="BO33" s="1482"/>
      <c r="BP33" s="1482"/>
      <c r="BQ33" s="1482"/>
      <c r="BR33" s="1482"/>
      <c r="BS33" s="1482"/>
      <c r="BT33" s="1482"/>
      <c r="BU33" s="1482"/>
      <c r="BV33" s="1482"/>
      <c r="BW33" s="1482"/>
      <c r="BX33" s="1482"/>
      <c r="BY33" s="1482"/>
      <c r="BZ33" s="1482"/>
      <c r="CA33" s="1482"/>
      <c r="CB33" s="1482"/>
      <c r="CC33" s="1482"/>
      <c r="CD33" s="1482"/>
      <c r="CE33" s="1482"/>
      <c r="CF33" s="1482"/>
      <c r="CG33" s="1482"/>
      <c r="CH33" s="1482"/>
      <c r="CI33" s="1482"/>
      <c r="CJ33" s="1482"/>
      <c r="CK33" s="1482"/>
      <c r="CL33" s="1482"/>
      <c r="CM33" s="1482"/>
      <c r="CN33" s="1482"/>
      <c r="CO33" s="1482"/>
      <c r="CP33" s="1482"/>
      <c r="CQ33" s="1482"/>
      <c r="CR33" s="1482"/>
      <c r="CS33" s="1482"/>
      <c r="CT33" s="1482"/>
      <c r="CU33" s="1482"/>
      <c r="CV33" s="1482"/>
      <c r="CW33" s="1482"/>
      <c r="CX33" s="1482"/>
      <c r="CY33" s="1482"/>
      <c r="CZ33" s="1482"/>
      <c r="DA33" s="1482"/>
      <c r="DB33" s="1482"/>
      <c r="DC33" s="1482"/>
      <c r="DD33" s="1482"/>
      <c r="DE33" s="1482"/>
      <c r="DF33" s="1482"/>
      <c r="DH33" s="838">
        <f t="shared" si="35"/>
        <v>0</v>
      </c>
    </row>
    <row r="34" spans="1:112" s="743" customFormat="1" ht="12.75" hidden="1" customHeight="1" outlineLevel="1">
      <c r="A34" s="1484"/>
      <c r="B34" s="1484"/>
      <c r="C34" s="746" t="s">
        <v>930</v>
      </c>
      <c r="D34" s="1010" t="str">
        <f>INDEX(Modules[Module], MATCH($C34, Modules[Code], 0))</f>
        <v>Food consumption [UNUSED]</v>
      </c>
      <c r="E34" s="1010"/>
      <c r="G34" s="1022">
        <f t="shared" ref="G34:P34" ca="1" si="93">IFERROR(INDEX(INDIRECT($C34&amp;".Outputs["&amp;this.Year&amp;"]"), MATCH(G$5, INDIRECT($C34&amp;".Outputs[Vector]"), 0)), 0)</f>
        <v>0</v>
      </c>
      <c r="H34" s="1022">
        <f t="shared" ca="1" si="93"/>
        <v>0</v>
      </c>
      <c r="I34" s="1022">
        <f t="shared" ca="1" si="93"/>
        <v>0</v>
      </c>
      <c r="J34" s="1022">
        <f t="shared" ca="1" si="93"/>
        <v>0</v>
      </c>
      <c r="K34" s="1022">
        <f t="shared" ca="1" si="93"/>
        <v>0</v>
      </c>
      <c r="L34" s="1022">
        <f t="shared" ca="1" si="93"/>
        <v>0</v>
      </c>
      <c r="M34" s="1022">
        <f t="shared" ca="1" si="93"/>
        <v>0</v>
      </c>
      <c r="N34" s="1022">
        <f t="shared" ca="1" si="93"/>
        <v>0</v>
      </c>
      <c r="O34" s="1022">
        <f t="shared" ca="1" si="93"/>
        <v>0</v>
      </c>
      <c r="P34" s="1022">
        <f t="shared" ca="1" si="93"/>
        <v>0</v>
      </c>
      <c r="Q34" s="1020">
        <f ca="1">SUM(G34:P34)</f>
        <v>0</v>
      </c>
      <c r="S34" s="1031">
        <f t="shared" ref="S34:BE34" ca="1" si="94">IFERROR(INDEX(INDIRECT($C34&amp;".Outputs["&amp;this.Year&amp;"]"), MATCH(S$5, INDIRECT($C34&amp;".Outputs[Vector]"), 0)), 0)</f>
        <v>0</v>
      </c>
      <c r="T34" s="1031">
        <f t="shared" ca="1" si="94"/>
        <v>0</v>
      </c>
      <c r="U34" s="1031">
        <f t="shared" ca="1" si="94"/>
        <v>0</v>
      </c>
      <c r="V34" s="1031">
        <f t="shared" ca="1" si="94"/>
        <v>0</v>
      </c>
      <c r="W34" s="1031">
        <f t="shared" ca="1" si="94"/>
        <v>0</v>
      </c>
      <c r="X34" s="1031">
        <f ca="1">IFERROR(INDEX(INDIRECT($C34&amp;".Outputs["&amp;this.Year&amp;"]"), MATCH(X$5, INDIRECT($C34&amp;".Outputs[Vector]"), 0)), 0)</f>
        <v>0</v>
      </c>
      <c r="Y34" s="1031">
        <f ca="1">IFERROR(INDEX(INDIRECT($C34&amp;".Outputs["&amp;this.Year&amp;"]"), MATCH(Y$5, INDIRECT($C34&amp;".Outputs[Vector]"), 0)), 0)</f>
        <v>0</v>
      </c>
      <c r="Z34" s="1031">
        <f ca="1">IFERROR(INDEX(INDIRECT($C34&amp;".Outputs["&amp;this.Year&amp;"]"), MATCH(Z$5, INDIRECT($C34&amp;".Outputs[Vector]"), 0)), 0)</f>
        <v>0</v>
      </c>
      <c r="AA34" s="1031">
        <f t="shared" ca="1" si="94"/>
        <v>0</v>
      </c>
      <c r="AB34" s="1031">
        <f t="shared" ca="1" si="94"/>
        <v>0</v>
      </c>
      <c r="AC34" s="1031">
        <f t="shared" ca="1" si="94"/>
        <v>0</v>
      </c>
      <c r="AD34" s="1031">
        <f t="shared" ca="1" si="94"/>
        <v>0</v>
      </c>
      <c r="AE34" s="1031">
        <f t="shared" ca="1" si="94"/>
        <v>0</v>
      </c>
      <c r="AF34" s="1031">
        <f t="shared" ca="1" si="94"/>
        <v>0</v>
      </c>
      <c r="AG34" s="1031">
        <f t="shared" ca="1" si="94"/>
        <v>0</v>
      </c>
      <c r="AH34" s="1031">
        <f t="shared" ca="1" si="94"/>
        <v>0</v>
      </c>
      <c r="AI34" s="1031">
        <f t="shared" ca="1" si="94"/>
        <v>0</v>
      </c>
      <c r="AJ34" s="1031">
        <f t="shared" ca="1" si="94"/>
        <v>0</v>
      </c>
      <c r="AK34" s="1030">
        <f ca="1">SUM(S34:AJ34)</f>
        <v>0</v>
      </c>
      <c r="AM34" s="1042">
        <f t="shared" ref="AM34:AU34" ca="1" si="95">IFERROR(INDEX(INDIRECT($C34&amp;".Outputs["&amp;this.Year&amp;"]"), MATCH(AM$5, INDIRECT($C34&amp;".Outputs[Vector]"), 0)), 0)</f>
        <v>0</v>
      </c>
      <c r="AN34" s="1042">
        <f t="shared" ca="1" si="95"/>
        <v>0</v>
      </c>
      <c r="AO34" s="1042">
        <f t="shared" ca="1" si="95"/>
        <v>0</v>
      </c>
      <c r="AP34" s="1042">
        <f t="shared" ca="1" si="95"/>
        <v>0</v>
      </c>
      <c r="AQ34" s="1042">
        <f t="shared" ca="1" si="95"/>
        <v>0</v>
      </c>
      <c r="AR34" s="1042">
        <f t="shared" ca="1" si="95"/>
        <v>0</v>
      </c>
      <c r="AS34" s="1042">
        <f t="shared" ca="1" si="95"/>
        <v>0</v>
      </c>
      <c r="AT34" s="1042">
        <f t="shared" ca="1" si="95"/>
        <v>0</v>
      </c>
      <c r="AU34" s="1042">
        <f t="shared" ca="1" si="95"/>
        <v>0</v>
      </c>
      <c r="AV34" s="1042">
        <f t="shared" ca="1" si="94"/>
        <v>0</v>
      </c>
      <c r="AW34" s="1042">
        <f t="shared" ca="1" si="94"/>
        <v>0</v>
      </c>
      <c r="AX34" s="1042">
        <f t="shared" ca="1" si="94"/>
        <v>0</v>
      </c>
      <c r="AY34" s="1042">
        <f t="shared" ca="1" si="94"/>
        <v>0</v>
      </c>
      <c r="AZ34" s="1042">
        <f t="shared" ca="1" si="94"/>
        <v>0</v>
      </c>
      <c r="BA34" s="1042">
        <f t="shared" ca="1" si="94"/>
        <v>0</v>
      </c>
      <c r="BB34" s="1042">
        <f t="shared" ca="1" si="94"/>
        <v>0</v>
      </c>
      <c r="BC34" s="1042">
        <f t="shared" ca="1" si="94"/>
        <v>0</v>
      </c>
      <c r="BD34" s="1042">
        <f t="shared" ca="1" si="94"/>
        <v>0</v>
      </c>
      <c r="BE34" s="1042">
        <f t="shared" ca="1" si="94"/>
        <v>0</v>
      </c>
      <c r="BF34" s="1012">
        <f ca="1">SUM(AM34:BE34)</f>
        <v>0</v>
      </c>
      <c r="BH34" s="1036">
        <f ca="1">IFERROR(INDEX(INDIRECT($C34&amp;".Outputs["&amp;this.Year&amp;"]"), MATCH(BH$5, INDIRECT($C34&amp;".Outputs[Vector]"), 0)), 0)</f>
        <v>0</v>
      </c>
      <c r="BI34" s="1036">
        <f ca="1">IFERROR(INDEX(INDIRECT($C34&amp;".Outputs["&amp;this.Year&amp;"]"), MATCH(BI$5, INDIRECT($C34&amp;".Outputs[Vector]"), 0)), 0)</f>
        <v>0</v>
      </c>
      <c r="BJ34" s="1035">
        <f ca="1">SUM(BH34:BI34)</f>
        <v>0</v>
      </c>
      <c r="BL34" s="814">
        <f t="shared" ca="1" si="9"/>
        <v>0</v>
      </c>
      <c r="BM34" s="814"/>
      <c r="BN34" s="840"/>
      <c r="BO34" s="1485">
        <f t="shared" ref="BO34:DF34" ca="1" si="96">IFERROR(SUMIFS(INDIRECT($C34&amp;".Emissions["&amp;this.Year&amp;"]"), INDIRECT($C34&amp;".Emissions[GHG]"), BO$6, INDIRECT($C34&amp;".Emissions[IPCC Sector]"), BO$5),0)</f>
        <v>0</v>
      </c>
      <c r="BP34" s="1486">
        <f t="shared" ca="1" si="96"/>
        <v>0</v>
      </c>
      <c r="BQ34" s="1486">
        <f t="shared" ca="1" si="96"/>
        <v>0</v>
      </c>
      <c r="BR34" s="1486">
        <f t="shared" ca="1" si="96"/>
        <v>0</v>
      </c>
      <c r="BS34" s="1486">
        <f t="shared" ca="1" si="96"/>
        <v>0</v>
      </c>
      <c r="BT34" s="1486">
        <f t="shared" ca="1" si="96"/>
        <v>0</v>
      </c>
      <c r="BU34" s="1486">
        <f t="shared" ca="1" si="96"/>
        <v>0</v>
      </c>
      <c r="BV34" s="1486">
        <f t="shared" ca="1" si="96"/>
        <v>0</v>
      </c>
      <c r="BW34" s="1486">
        <f t="shared" ca="1" si="96"/>
        <v>0</v>
      </c>
      <c r="BX34" s="1486">
        <f t="shared" ca="1" si="96"/>
        <v>0</v>
      </c>
      <c r="BY34" s="1486">
        <f t="shared" ca="1" si="96"/>
        <v>0</v>
      </c>
      <c r="BZ34" s="1486">
        <f t="shared" ca="1" si="96"/>
        <v>0</v>
      </c>
      <c r="CA34" s="1486">
        <f t="shared" ca="1" si="96"/>
        <v>0</v>
      </c>
      <c r="CB34" s="1486">
        <f t="shared" ca="1" si="96"/>
        <v>0</v>
      </c>
      <c r="CC34" s="1486">
        <f t="shared" ca="1" si="96"/>
        <v>0</v>
      </c>
      <c r="CD34" s="1486">
        <f t="shared" ca="1" si="96"/>
        <v>0</v>
      </c>
      <c r="CE34" s="1486">
        <f t="shared" ca="1" si="96"/>
        <v>0</v>
      </c>
      <c r="CF34" s="1486">
        <f t="shared" ca="1" si="96"/>
        <v>0</v>
      </c>
      <c r="CG34" s="1486">
        <f t="shared" ca="1" si="96"/>
        <v>0</v>
      </c>
      <c r="CH34" s="1486">
        <f t="shared" ca="1" si="96"/>
        <v>0</v>
      </c>
      <c r="CI34" s="1486">
        <f t="shared" ca="1" si="96"/>
        <v>0</v>
      </c>
      <c r="CJ34" s="1486">
        <f t="shared" ca="1" si="96"/>
        <v>0</v>
      </c>
      <c r="CK34" s="1486">
        <f t="shared" ca="1" si="96"/>
        <v>0</v>
      </c>
      <c r="CL34" s="1486">
        <f t="shared" ca="1" si="96"/>
        <v>0</v>
      </c>
      <c r="CM34" s="1486">
        <f t="shared" ca="1" si="96"/>
        <v>0</v>
      </c>
      <c r="CN34" s="1486">
        <f t="shared" ca="1" si="96"/>
        <v>0</v>
      </c>
      <c r="CO34" s="1486">
        <f t="shared" ca="1" si="96"/>
        <v>0</v>
      </c>
      <c r="CP34" s="1486">
        <f t="shared" ca="1" si="96"/>
        <v>0</v>
      </c>
      <c r="CQ34" s="1486">
        <f t="shared" ca="1" si="96"/>
        <v>0</v>
      </c>
      <c r="CR34" s="1486">
        <f t="shared" ca="1" si="96"/>
        <v>0</v>
      </c>
      <c r="CS34" s="1486">
        <f t="shared" ca="1" si="96"/>
        <v>0</v>
      </c>
      <c r="CT34" s="1486">
        <f t="shared" ca="1" si="96"/>
        <v>0</v>
      </c>
      <c r="CU34" s="1486">
        <f t="shared" ca="1" si="96"/>
        <v>0</v>
      </c>
      <c r="CV34" s="1486">
        <f t="shared" ca="1" si="96"/>
        <v>0</v>
      </c>
      <c r="CW34" s="1486">
        <f t="shared" ca="1" si="96"/>
        <v>0</v>
      </c>
      <c r="CX34" s="1486">
        <f t="shared" ca="1" si="96"/>
        <v>0</v>
      </c>
      <c r="CY34" s="1486">
        <f t="shared" ca="1" si="96"/>
        <v>0</v>
      </c>
      <c r="CZ34" s="1486">
        <f t="shared" ca="1" si="96"/>
        <v>0</v>
      </c>
      <c r="DA34" s="1486">
        <f t="shared" ca="1" si="96"/>
        <v>0</v>
      </c>
      <c r="DB34" s="1486">
        <f t="shared" ca="1" si="96"/>
        <v>0</v>
      </c>
      <c r="DC34" s="1486">
        <f t="shared" ca="1" si="96"/>
        <v>0</v>
      </c>
      <c r="DD34" s="1486">
        <f t="shared" ca="1" si="96"/>
        <v>0</v>
      </c>
      <c r="DE34" s="1486">
        <f t="shared" ca="1" si="96"/>
        <v>0</v>
      </c>
      <c r="DF34" s="1486">
        <f t="shared" ca="1" si="96"/>
        <v>0</v>
      </c>
      <c r="DH34" s="838">
        <f t="shared" ca="1" si="35"/>
        <v>0</v>
      </c>
    </row>
    <row r="35" spans="1:112" s="743" customFormat="1" ht="15.75" collapsed="1">
      <c r="A35" s="22"/>
      <c r="B35" s="753"/>
      <c r="C35" s="744" t="s">
        <v>680</v>
      </c>
      <c r="D35" s="517" t="str">
        <f>INDEX(Workstreams[Workstream], MATCH($C35, Workstreams[Code], 0))</f>
        <v>Food consumption [UNUSED]</v>
      </c>
      <c r="E35" s="512"/>
      <c r="G35" s="1021">
        <f ca="1">G34</f>
        <v>0</v>
      </c>
      <c r="H35" s="1021">
        <f t="shared" ref="H35:P35" ca="1" si="97">H34</f>
        <v>0</v>
      </c>
      <c r="I35" s="1021">
        <f t="shared" ca="1" si="97"/>
        <v>0</v>
      </c>
      <c r="J35" s="1021">
        <f t="shared" ca="1" si="97"/>
        <v>0</v>
      </c>
      <c r="K35" s="1021">
        <f t="shared" ca="1" si="97"/>
        <v>0</v>
      </c>
      <c r="L35" s="1021">
        <f t="shared" ca="1" si="97"/>
        <v>0</v>
      </c>
      <c r="M35" s="1021">
        <f t="shared" ca="1" si="97"/>
        <v>0</v>
      </c>
      <c r="N35" s="1021">
        <f t="shared" ca="1" si="97"/>
        <v>0</v>
      </c>
      <c r="O35" s="1021">
        <f t="shared" ca="1" si="97"/>
        <v>0</v>
      </c>
      <c r="P35" s="1021">
        <f t="shared" ca="1" si="97"/>
        <v>0</v>
      </c>
      <c r="Q35" s="1021">
        <f ca="1">SUM(G35:P35)</f>
        <v>0</v>
      </c>
      <c r="S35" s="970">
        <f ca="1">S34</f>
        <v>0</v>
      </c>
      <c r="T35" s="970">
        <f t="shared" ref="T35:AJ35" ca="1" si="98">T34</f>
        <v>0</v>
      </c>
      <c r="U35" s="970">
        <f t="shared" ca="1" si="98"/>
        <v>0</v>
      </c>
      <c r="V35" s="970">
        <f t="shared" ca="1" si="98"/>
        <v>0</v>
      </c>
      <c r="W35" s="970">
        <f t="shared" ca="1" si="98"/>
        <v>0</v>
      </c>
      <c r="X35" s="970">
        <f ca="1">X34</f>
        <v>0</v>
      </c>
      <c r="Y35" s="970">
        <f ca="1">Y34</f>
        <v>0</v>
      </c>
      <c r="Z35" s="970">
        <f ca="1">Z34</f>
        <v>0</v>
      </c>
      <c r="AA35" s="970">
        <f t="shared" ca="1" si="98"/>
        <v>0</v>
      </c>
      <c r="AB35" s="970">
        <f t="shared" ca="1" si="98"/>
        <v>0</v>
      </c>
      <c r="AC35" s="970">
        <f t="shared" ca="1" si="98"/>
        <v>0</v>
      </c>
      <c r="AD35" s="970">
        <f ca="1">AD34</f>
        <v>0</v>
      </c>
      <c r="AE35" s="970">
        <f ca="1">AE34</f>
        <v>0</v>
      </c>
      <c r="AF35" s="970">
        <f t="shared" ca="1" si="98"/>
        <v>0</v>
      </c>
      <c r="AG35" s="970">
        <f ca="1">AG34</f>
        <v>0</v>
      </c>
      <c r="AH35" s="970">
        <f ca="1">AH34</f>
        <v>0</v>
      </c>
      <c r="AI35" s="970">
        <f ca="1">AI34</f>
        <v>0</v>
      </c>
      <c r="AJ35" s="970">
        <f t="shared" ca="1" si="98"/>
        <v>0</v>
      </c>
      <c r="AK35" s="970">
        <f ca="1">SUM(S35:AJ35)</f>
        <v>0</v>
      </c>
      <c r="AM35" s="976">
        <f t="shared" ref="AM35:BE35" ca="1" si="99">AM34</f>
        <v>0</v>
      </c>
      <c r="AN35" s="976">
        <f t="shared" ca="1" si="99"/>
        <v>0</v>
      </c>
      <c r="AO35" s="976">
        <f t="shared" ca="1" si="99"/>
        <v>0</v>
      </c>
      <c r="AP35" s="976">
        <f t="shared" ca="1" si="99"/>
        <v>0</v>
      </c>
      <c r="AQ35" s="976">
        <f t="shared" ca="1" si="99"/>
        <v>0</v>
      </c>
      <c r="AR35" s="976">
        <f t="shared" ca="1" si="99"/>
        <v>0</v>
      </c>
      <c r="AS35" s="976">
        <f t="shared" ca="1" si="99"/>
        <v>0</v>
      </c>
      <c r="AT35" s="976">
        <f t="shared" ca="1" si="99"/>
        <v>0</v>
      </c>
      <c r="AU35" s="976">
        <f t="shared" ca="1" si="99"/>
        <v>0</v>
      </c>
      <c r="AV35" s="976">
        <f t="shared" ca="1" si="99"/>
        <v>0</v>
      </c>
      <c r="AW35" s="976">
        <f t="shared" ca="1" si="99"/>
        <v>0</v>
      </c>
      <c r="AX35" s="976">
        <f t="shared" ca="1" si="99"/>
        <v>0</v>
      </c>
      <c r="AY35" s="976">
        <f t="shared" ca="1" si="99"/>
        <v>0</v>
      </c>
      <c r="AZ35" s="976">
        <f t="shared" ca="1" si="99"/>
        <v>0</v>
      </c>
      <c r="BA35" s="976">
        <f t="shared" ca="1" si="99"/>
        <v>0</v>
      </c>
      <c r="BB35" s="976">
        <f t="shared" ca="1" si="99"/>
        <v>0</v>
      </c>
      <c r="BC35" s="976">
        <f t="shared" ca="1" si="99"/>
        <v>0</v>
      </c>
      <c r="BD35" s="976">
        <f t="shared" ca="1" si="99"/>
        <v>0</v>
      </c>
      <c r="BE35" s="976">
        <f t="shared" ca="1" si="99"/>
        <v>0</v>
      </c>
      <c r="BF35" s="976">
        <f ca="1">SUM(AM35:BE35)</f>
        <v>0</v>
      </c>
      <c r="BH35" s="990">
        <f ca="1">BH34</f>
        <v>0</v>
      </c>
      <c r="BI35" s="990">
        <f ca="1">BI34</f>
        <v>0</v>
      </c>
      <c r="BJ35" s="990">
        <f ca="1">SUM(BH35:BI35)</f>
        <v>0</v>
      </c>
      <c r="BL35" s="515">
        <f t="shared" ca="1" si="9"/>
        <v>0</v>
      </c>
      <c r="BM35" s="515"/>
      <c r="BN35" s="840"/>
      <c r="BO35" s="1482">
        <f t="shared" ref="BO35:DF35" ca="1" si="100">BO34</f>
        <v>0</v>
      </c>
      <c r="BP35" s="1482">
        <f t="shared" ca="1" si="100"/>
        <v>0</v>
      </c>
      <c r="BQ35" s="1482">
        <f t="shared" ca="1" si="100"/>
        <v>0</v>
      </c>
      <c r="BR35" s="1482">
        <f t="shared" ca="1" si="100"/>
        <v>0</v>
      </c>
      <c r="BS35" s="1482">
        <f t="shared" ca="1" si="100"/>
        <v>0</v>
      </c>
      <c r="BT35" s="1482">
        <f t="shared" ca="1" si="100"/>
        <v>0</v>
      </c>
      <c r="BU35" s="1482">
        <f t="shared" ca="1" si="100"/>
        <v>0</v>
      </c>
      <c r="BV35" s="1482">
        <f t="shared" ca="1" si="100"/>
        <v>0</v>
      </c>
      <c r="BW35" s="1482">
        <f t="shared" ca="1" si="100"/>
        <v>0</v>
      </c>
      <c r="BX35" s="1482">
        <f t="shared" ca="1" si="100"/>
        <v>0</v>
      </c>
      <c r="BY35" s="1482">
        <f t="shared" ca="1" si="100"/>
        <v>0</v>
      </c>
      <c r="BZ35" s="1482">
        <f t="shared" ca="1" si="100"/>
        <v>0</v>
      </c>
      <c r="CA35" s="1482">
        <f t="shared" ca="1" si="100"/>
        <v>0</v>
      </c>
      <c r="CB35" s="1482">
        <f t="shared" ca="1" si="100"/>
        <v>0</v>
      </c>
      <c r="CC35" s="1482">
        <f t="shared" ca="1" si="100"/>
        <v>0</v>
      </c>
      <c r="CD35" s="1482">
        <f t="shared" ca="1" si="100"/>
        <v>0</v>
      </c>
      <c r="CE35" s="1482">
        <f t="shared" ca="1" si="100"/>
        <v>0</v>
      </c>
      <c r="CF35" s="1482">
        <f t="shared" ca="1" si="100"/>
        <v>0</v>
      </c>
      <c r="CG35" s="1482">
        <f t="shared" ca="1" si="100"/>
        <v>0</v>
      </c>
      <c r="CH35" s="1482">
        <f t="shared" ca="1" si="100"/>
        <v>0</v>
      </c>
      <c r="CI35" s="1482">
        <f t="shared" ca="1" si="100"/>
        <v>0</v>
      </c>
      <c r="CJ35" s="1482">
        <f t="shared" ca="1" si="100"/>
        <v>0</v>
      </c>
      <c r="CK35" s="1482">
        <f t="shared" ca="1" si="100"/>
        <v>0</v>
      </c>
      <c r="CL35" s="1482">
        <f t="shared" ca="1" si="100"/>
        <v>0</v>
      </c>
      <c r="CM35" s="1482">
        <f t="shared" ca="1" si="100"/>
        <v>0</v>
      </c>
      <c r="CN35" s="1482">
        <f t="shared" ca="1" si="100"/>
        <v>0</v>
      </c>
      <c r="CO35" s="1482">
        <f t="shared" ca="1" si="100"/>
        <v>0</v>
      </c>
      <c r="CP35" s="1482">
        <f t="shared" ca="1" si="100"/>
        <v>0</v>
      </c>
      <c r="CQ35" s="1482">
        <f t="shared" ca="1" si="100"/>
        <v>0</v>
      </c>
      <c r="CR35" s="1482">
        <f t="shared" ca="1" si="100"/>
        <v>0</v>
      </c>
      <c r="CS35" s="1482">
        <f t="shared" ca="1" si="100"/>
        <v>0</v>
      </c>
      <c r="CT35" s="1482">
        <f t="shared" ca="1" si="100"/>
        <v>0</v>
      </c>
      <c r="CU35" s="1482">
        <f t="shared" ca="1" si="100"/>
        <v>0</v>
      </c>
      <c r="CV35" s="1482">
        <f t="shared" ca="1" si="100"/>
        <v>0</v>
      </c>
      <c r="CW35" s="1482">
        <f t="shared" ca="1" si="100"/>
        <v>0</v>
      </c>
      <c r="CX35" s="1482">
        <f t="shared" ca="1" si="100"/>
        <v>0</v>
      </c>
      <c r="CY35" s="1482">
        <f t="shared" ca="1" si="100"/>
        <v>0</v>
      </c>
      <c r="CZ35" s="1482">
        <f t="shared" ca="1" si="100"/>
        <v>0</v>
      </c>
      <c r="DA35" s="1482">
        <f t="shared" ca="1" si="100"/>
        <v>0</v>
      </c>
      <c r="DB35" s="1482">
        <f t="shared" ca="1" si="100"/>
        <v>0</v>
      </c>
      <c r="DC35" s="1482">
        <f t="shared" ca="1" si="100"/>
        <v>0</v>
      </c>
      <c r="DD35" s="1482">
        <f t="shared" ca="1" si="100"/>
        <v>0</v>
      </c>
      <c r="DE35" s="1482">
        <f t="shared" ca="1" si="100"/>
        <v>0</v>
      </c>
      <c r="DF35" s="1482">
        <f t="shared" ca="1" si="100"/>
        <v>0</v>
      </c>
      <c r="DH35" s="838">
        <f t="shared" ca="1" si="35"/>
        <v>0</v>
      </c>
    </row>
    <row r="36" spans="1:112" s="743" customFormat="1" ht="12.75" hidden="1" customHeight="1" outlineLevel="1">
      <c r="A36" s="22"/>
      <c r="B36" s="22"/>
      <c r="C36" s="751"/>
      <c r="D36" s="512"/>
      <c r="E36" s="512"/>
      <c r="G36" s="1021"/>
      <c r="H36" s="1021"/>
      <c r="I36" s="1021"/>
      <c r="J36" s="1021"/>
      <c r="K36" s="1021"/>
      <c r="L36" s="1021"/>
      <c r="M36" s="1021"/>
      <c r="N36" s="1021"/>
      <c r="O36" s="1021"/>
      <c r="P36" s="1021"/>
      <c r="Q36" s="1021"/>
      <c r="S36" s="970"/>
      <c r="T36" s="970"/>
      <c r="U36" s="970"/>
      <c r="V36" s="970"/>
      <c r="W36" s="970"/>
      <c r="X36" s="970"/>
      <c r="Y36" s="970"/>
      <c r="Z36" s="970"/>
      <c r="AA36" s="970"/>
      <c r="AB36" s="970"/>
      <c r="AC36" s="970"/>
      <c r="AD36" s="970"/>
      <c r="AE36" s="970"/>
      <c r="AF36" s="970"/>
      <c r="AG36" s="970"/>
      <c r="AH36" s="970"/>
      <c r="AI36" s="970"/>
      <c r="AJ36" s="970"/>
      <c r="AK36" s="970"/>
      <c r="AM36" s="976"/>
      <c r="AN36" s="976"/>
      <c r="AO36" s="976"/>
      <c r="AP36" s="976"/>
      <c r="AQ36" s="976"/>
      <c r="AR36" s="976"/>
      <c r="AS36" s="976"/>
      <c r="AT36" s="976"/>
      <c r="AU36" s="976"/>
      <c r="AV36" s="976"/>
      <c r="AW36" s="976"/>
      <c r="AX36" s="976"/>
      <c r="AY36" s="976"/>
      <c r="AZ36" s="976"/>
      <c r="BA36" s="976"/>
      <c r="BB36" s="976"/>
      <c r="BC36" s="976"/>
      <c r="BD36" s="976"/>
      <c r="BE36" s="976"/>
      <c r="BF36" s="976"/>
      <c r="BH36" s="990"/>
      <c r="BI36" s="990"/>
      <c r="BJ36" s="990"/>
      <c r="BL36" s="515">
        <f t="shared" si="9"/>
        <v>0</v>
      </c>
      <c r="BM36" s="515"/>
      <c r="BN36" s="22"/>
      <c r="BO36" s="1481"/>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H36" s="838">
        <f t="shared" si="35"/>
        <v>0</v>
      </c>
    </row>
    <row r="37" spans="1:112" s="743" customFormat="1" ht="12.75" hidden="1" customHeight="1" outlineLevel="1">
      <c r="A37" s="1484"/>
      <c r="B37" s="1484"/>
      <c r="C37" s="746" t="s">
        <v>962</v>
      </c>
      <c r="D37" s="1010" t="str">
        <f>INDEX(Modules[Module], MATCH($C37, Modules[Code], 0))</f>
        <v>Geosequestration</v>
      </c>
      <c r="E37" s="1010"/>
      <c r="G37" s="1022">
        <f t="shared" ref="G37:P37" ca="1" si="101">IFERROR(INDEX(INDIRECT($C37&amp;".Outputs["&amp;this.Year&amp;"]"), MATCH(G$5, INDIRECT($C37&amp;".Outputs[Vector]"), 0)), 0)</f>
        <v>0</v>
      </c>
      <c r="H37" s="1022">
        <f t="shared" ca="1" si="101"/>
        <v>0</v>
      </c>
      <c r="I37" s="1022">
        <f t="shared" ca="1" si="101"/>
        <v>0</v>
      </c>
      <c r="J37" s="1022">
        <f t="shared" ca="1" si="101"/>
        <v>0</v>
      </c>
      <c r="K37" s="1022">
        <f t="shared" ca="1" si="101"/>
        <v>0</v>
      </c>
      <c r="L37" s="1022">
        <f t="shared" ca="1" si="101"/>
        <v>0</v>
      </c>
      <c r="M37" s="1022">
        <f t="shared" ca="1" si="101"/>
        <v>0</v>
      </c>
      <c r="N37" s="1022">
        <f t="shared" ca="1" si="101"/>
        <v>0</v>
      </c>
      <c r="O37" s="1022">
        <f t="shared" ca="1" si="101"/>
        <v>0</v>
      </c>
      <c r="P37" s="1022">
        <f t="shared" ca="1" si="101"/>
        <v>0</v>
      </c>
      <c r="Q37" s="1020">
        <f ca="1">SUM(G37:P37)</f>
        <v>0</v>
      </c>
      <c r="S37" s="1031">
        <f t="shared" ref="S37:BE37" ca="1" si="102">IFERROR(INDEX(INDIRECT($C37&amp;".Outputs["&amp;this.Year&amp;"]"), MATCH(S$5, INDIRECT($C37&amp;".Outputs[Vector]"), 0)), 0)</f>
        <v>0</v>
      </c>
      <c r="T37" s="1031">
        <f t="shared" ca="1" si="102"/>
        <v>0</v>
      </c>
      <c r="U37" s="1031">
        <f t="shared" ca="1" si="102"/>
        <v>0</v>
      </c>
      <c r="V37" s="1031">
        <f t="shared" ca="1" si="102"/>
        <v>0</v>
      </c>
      <c r="W37" s="1031">
        <f t="shared" ca="1" si="102"/>
        <v>0</v>
      </c>
      <c r="X37" s="1031">
        <f ca="1">IFERROR(INDEX(INDIRECT($C37&amp;".Outputs["&amp;this.Year&amp;"]"), MATCH(X$5, INDIRECT($C37&amp;".Outputs[Vector]"), 0)), 0)</f>
        <v>0</v>
      </c>
      <c r="Y37" s="1031">
        <f ca="1">IFERROR(INDEX(INDIRECT($C37&amp;".Outputs["&amp;this.Year&amp;"]"), MATCH(Y$5, INDIRECT($C37&amp;".Outputs[Vector]"), 0)), 0)</f>
        <v>0</v>
      </c>
      <c r="Z37" s="1031">
        <f ca="1">IFERROR(INDEX(INDIRECT($C37&amp;".Outputs["&amp;this.Year&amp;"]"), MATCH(Z$5, INDIRECT($C37&amp;".Outputs[Vector]"), 0)), 0)</f>
        <v>0</v>
      </c>
      <c r="AA37" s="1031">
        <f t="shared" ca="1" si="102"/>
        <v>0</v>
      </c>
      <c r="AB37" s="1031">
        <f t="shared" ca="1" si="102"/>
        <v>0</v>
      </c>
      <c r="AC37" s="1031">
        <f t="shared" ca="1" si="102"/>
        <v>0</v>
      </c>
      <c r="AD37" s="1031">
        <f t="shared" ca="1" si="102"/>
        <v>0</v>
      </c>
      <c r="AE37" s="1031">
        <f t="shared" ca="1" si="102"/>
        <v>0</v>
      </c>
      <c r="AF37" s="1031">
        <f t="shared" ca="1" si="102"/>
        <v>0</v>
      </c>
      <c r="AG37" s="1031">
        <f t="shared" ca="1" si="102"/>
        <v>0</v>
      </c>
      <c r="AH37" s="1031">
        <f t="shared" ca="1" si="102"/>
        <v>0</v>
      </c>
      <c r="AI37" s="1031">
        <f t="shared" ca="1" si="102"/>
        <v>0</v>
      </c>
      <c r="AJ37" s="1031">
        <f t="shared" ca="1" si="102"/>
        <v>0</v>
      </c>
      <c r="AK37" s="1030">
        <f ca="1">SUM(S37:AJ37)</f>
        <v>0</v>
      </c>
      <c r="AM37" s="1042">
        <f t="shared" ref="AM37:AU37" ca="1" si="103">IFERROR(INDEX(INDIRECT($C37&amp;".Outputs["&amp;this.Year&amp;"]"), MATCH(AM$5, INDIRECT($C37&amp;".Outputs[Vector]"), 0)), 0)</f>
        <v>0</v>
      </c>
      <c r="AN37" s="1042">
        <f t="shared" ca="1" si="103"/>
        <v>0</v>
      </c>
      <c r="AO37" s="1042">
        <f t="shared" ca="1" si="103"/>
        <v>0</v>
      </c>
      <c r="AP37" s="1042">
        <f t="shared" ca="1" si="103"/>
        <v>0</v>
      </c>
      <c r="AQ37" s="1042">
        <f t="shared" ca="1" si="103"/>
        <v>0</v>
      </c>
      <c r="AR37" s="1042">
        <f t="shared" ca="1" si="103"/>
        <v>0</v>
      </c>
      <c r="AS37" s="1042">
        <f t="shared" ca="1" si="103"/>
        <v>0</v>
      </c>
      <c r="AT37" s="1042">
        <f t="shared" ca="1" si="103"/>
        <v>0</v>
      </c>
      <c r="AU37" s="1042">
        <f t="shared" ca="1" si="103"/>
        <v>0</v>
      </c>
      <c r="AV37" s="1042">
        <f t="shared" ca="1" si="102"/>
        <v>0</v>
      </c>
      <c r="AW37" s="1042">
        <f t="shared" ca="1" si="102"/>
        <v>0</v>
      </c>
      <c r="AX37" s="1042">
        <f t="shared" ca="1" si="102"/>
        <v>0</v>
      </c>
      <c r="AY37" s="1042">
        <f t="shared" ca="1" si="102"/>
        <v>0</v>
      </c>
      <c r="AZ37" s="1042">
        <f t="shared" ca="1" si="102"/>
        <v>0</v>
      </c>
      <c r="BA37" s="1042">
        <f t="shared" ca="1" si="102"/>
        <v>0</v>
      </c>
      <c r="BB37" s="1042">
        <f t="shared" ca="1" si="102"/>
        <v>0</v>
      </c>
      <c r="BC37" s="1042">
        <f t="shared" ca="1" si="102"/>
        <v>0</v>
      </c>
      <c r="BD37" s="1042">
        <f t="shared" ca="1" si="102"/>
        <v>0</v>
      </c>
      <c r="BE37" s="1042">
        <f t="shared" ca="1" si="102"/>
        <v>0</v>
      </c>
      <c r="BF37" s="1012">
        <f ca="1">SUM(AM37:BE37)</f>
        <v>0</v>
      </c>
      <c r="BH37" s="1036">
        <f ca="1">IFERROR(INDEX(INDIRECT($C37&amp;".Outputs["&amp;this.Year&amp;"]"), MATCH(BH$5, INDIRECT($C37&amp;".Outputs[Vector]"), 0)), 0)</f>
        <v>0</v>
      </c>
      <c r="BI37" s="1036">
        <f ca="1">IFERROR(INDEX(INDIRECT($C37&amp;".Outputs["&amp;this.Year&amp;"]"), MATCH(BI$5, INDIRECT($C37&amp;".Outputs[Vector]"), 0)), 0)</f>
        <v>0</v>
      </c>
      <c r="BJ37" s="1035">
        <f ca="1">SUM(BH37:BI37)</f>
        <v>0</v>
      </c>
      <c r="BL37" s="814">
        <f t="shared" ca="1" si="9"/>
        <v>0</v>
      </c>
      <c r="BM37" s="814"/>
      <c r="BN37" s="840"/>
      <c r="BO37" s="1485">
        <f t="shared" ref="BO37:DF37" ca="1" si="104">IFERROR(SUMIFS(INDIRECT($C37&amp;".Emissions["&amp;this.Year&amp;"]"), INDIRECT($C37&amp;".Emissions[GHG]"), BO$6, INDIRECT($C37&amp;".Emissions[IPCC Sector]"), BO$5),0)</f>
        <v>0</v>
      </c>
      <c r="BP37" s="1486">
        <f t="shared" ca="1" si="104"/>
        <v>0</v>
      </c>
      <c r="BQ37" s="1486">
        <f t="shared" ca="1" si="104"/>
        <v>0</v>
      </c>
      <c r="BR37" s="1486">
        <f t="shared" ca="1" si="104"/>
        <v>0</v>
      </c>
      <c r="BS37" s="1486">
        <f t="shared" ca="1" si="104"/>
        <v>0</v>
      </c>
      <c r="BT37" s="1486">
        <f t="shared" ca="1" si="104"/>
        <v>0</v>
      </c>
      <c r="BU37" s="1486">
        <f t="shared" ca="1" si="104"/>
        <v>0</v>
      </c>
      <c r="BV37" s="1486">
        <f t="shared" ca="1" si="104"/>
        <v>0</v>
      </c>
      <c r="BW37" s="1486">
        <f t="shared" ca="1" si="104"/>
        <v>0</v>
      </c>
      <c r="BX37" s="1486">
        <f t="shared" ca="1" si="104"/>
        <v>0</v>
      </c>
      <c r="BY37" s="1486">
        <f t="shared" ca="1" si="104"/>
        <v>0</v>
      </c>
      <c r="BZ37" s="1486">
        <f t="shared" ca="1" si="104"/>
        <v>0</v>
      </c>
      <c r="CA37" s="1486">
        <f t="shared" ca="1" si="104"/>
        <v>0</v>
      </c>
      <c r="CB37" s="1486">
        <f t="shared" ca="1" si="104"/>
        <v>0</v>
      </c>
      <c r="CC37" s="1486">
        <f t="shared" ca="1" si="104"/>
        <v>0</v>
      </c>
      <c r="CD37" s="1486">
        <f t="shared" ca="1" si="104"/>
        <v>0</v>
      </c>
      <c r="CE37" s="1486">
        <f t="shared" ca="1" si="104"/>
        <v>0</v>
      </c>
      <c r="CF37" s="1486">
        <f t="shared" ca="1" si="104"/>
        <v>0</v>
      </c>
      <c r="CG37" s="1486">
        <f t="shared" ca="1" si="104"/>
        <v>0</v>
      </c>
      <c r="CH37" s="1486">
        <f t="shared" ca="1" si="104"/>
        <v>0</v>
      </c>
      <c r="CI37" s="1486">
        <f t="shared" ca="1" si="104"/>
        <v>0</v>
      </c>
      <c r="CJ37" s="1486">
        <f t="shared" ca="1" si="104"/>
        <v>0</v>
      </c>
      <c r="CK37" s="1486">
        <f t="shared" ca="1" si="104"/>
        <v>0</v>
      </c>
      <c r="CL37" s="1486">
        <f t="shared" ca="1" si="104"/>
        <v>0</v>
      </c>
      <c r="CM37" s="1486">
        <f t="shared" ca="1" si="104"/>
        <v>0</v>
      </c>
      <c r="CN37" s="1486">
        <f t="shared" ca="1" si="104"/>
        <v>0</v>
      </c>
      <c r="CO37" s="1486">
        <f t="shared" ca="1" si="104"/>
        <v>0</v>
      </c>
      <c r="CP37" s="1486">
        <f t="shared" ca="1" si="104"/>
        <v>0</v>
      </c>
      <c r="CQ37" s="1486">
        <f t="shared" ca="1" si="104"/>
        <v>0</v>
      </c>
      <c r="CR37" s="1486">
        <f t="shared" ca="1" si="104"/>
        <v>0</v>
      </c>
      <c r="CS37" s="1486">
        <f t="shared" ca="1" si="104"/>
        <v>0</v>
      </c>
      <c r="CT37" s="1486">
        <f t="shared" ca="1" si="104"/>
        <v>0</v>
      </c>
      <c r="CU37" s="1486">
        <f t="shared" ca="1" si="104"/>
        <v>0</v>
      </c>
      <c r="CV37" s="1486">
        <f t="shared" ca="1" si="104"/>
        <v>0</v>
      </c>
      <c r="CW37" s="1486">
        <f t="shared" ca="1" si="104"/>
        <v>0</v>
      </c>
      <c r="CX37" s="1486">
        <f t="shared" ca="1" si="104"/>
        <v>0</v>
      </c>
      <c r="CY37" s="1486">
        <f t="shared" ca="1" si="104"/>
        <v>0</v>
      </c>
      <c r="CZ37" s="1486">
        <f t="shared" ca="1" si="104"/>
        <v>0</v>
      </c>
      <c r="DA37" s="1486">
        <f t="shared" ca="1" si="104"/>
        <v>0</v>
      </c>
      <c r="DB37" s="1486">
        <f t="shared" ca="1" si="104"/>
        <v>0</v>
      </c>
      <c r="DC37" s="1486">
        <f t="shared" ca="1" si="104"/>
        <v>0</v>
      </c>
      <c r="DD37" s="1486">
        <f t="shared" ca="1" si="104"/>
        <v>0</v>
      </c>
      <c r="DE37" s="1486">
        <f t="shared" ca="1" si="104"/>
        <v>0</v>
      </c>
      <c r="DF37" s="1486">
        <f t="shared" ca="1" si="104"/>
        <v>0</v>
      </c>
      <c r="DH37" s="838">
        <f t="shared" ca="1" si="35"/>
        <v>0</v>
      </c>
    </row>
    <row r="38" spans="1:112" s="743" customFormat="1" ht="15.75" collapsed="1">
      <c r="A38" s="22"/>
      <c r="B38" s="753"/>
      <c r="C38" s="744" t="s">
        <v>675</v>
      </c>
      <c r="D38" s="517" t="str">
        <f>INDEX(Workstreams[Workstream], MATCH($C38, Workstreams[Code], 0))</f>
        <v>Geosequestration</v>
      </c>
      <c r="E38" s="512"/>
      <c r="G38" s="1021">
        <f ca="1">G37</f>
        <v>0</v>
      </c>
      <c r="H38" s="1021">
        <f t="shared" ref="H38:P38" ca="1" si="105">H37</f>
        <v>0</v>
      </c>
      <c r="I38" s="1021">
        <f t="shared" ca="1" si="105"/>
        <v>0</v>
      </c>
      <c r="J38" s="1021">
        <f t="shared" ca="1" si="105"/>
        <v>0</v>
      </c>
      <c r="K38" s="1021">
        <f t="shared" ca="1" si="105"/>
        <v>0</v>
      </c>
      <c r="L38" s="1021">
        <f t="shared" ca="1" si="105"/>
        <v>0</v>
      </c>
      <c r="M38" s="1021">
        <f t="shared" ca="1" si="105"/>
        <v>0</v>
      </c>
      <c r="N38" s="1021">
        <f t="shared" ca="1" si="105"/>
        <v>0</v>
      </c>
      <c r="O38" s="1021">
        <f t="shared" ca="1" si="105"/>
        <v>0</v>
      </c>
      <c r="P38" s="1021">
        <f t="shared" ca="1" si="105"/>
        <v>0</v>
      </c>
      <c r="Q38" s="1021">
        <f ca="1">SUM(G38:P38)</f>
        <v>0</v>
      </c>
      <c r="S38" s="970">
        <f t="shared" ref="S38:AJ38" ca="1" si="106">S37</f>
        <v>0</v>
      </c>
      <c r="T38" s="970">
        <f t="shared" ca="1" si="106"/>
        <v>0</v>
      </c>
      <c r="U38" s="970">
        <f t="shared" ca="1" si="106"/>
        <v>0</v>
      </c>
      <c r="V38" s="970">
        <f t="shared" ca="1" si="106"/>
        <v>0</v>
      </c>
      <c r="W38" s="970">
        <f t="shared" ca="1" si="106"/>
        <v>0</v>
      </c>
      <c r="X38" s="970">
        <f ca="1">X37</f>
        <v>0</v>
      </c>
      <c r="Y38" s="970">
        <f ca="1">Y37</f>
        <v>0</v>
      </c>
      <c r="Z38" s="970">
        <f ca="1">Z37</f>
        <v>0</v>
      </c>
      <c r="AA38" s="970">
        <f t="shared" ca="1" si="106"/>
        <v>0</v>
      </c>
      <c r="AB38" s="970">
        <f t="shared" ca="1" si="106"/>
        <v>0</v>
      </c>
      <c r="AC38" s="970">
        <f t="shared" ca="1" si="106"/>
        <v>0</v>
      </c>
      <c r="AD38" s="970">
        <f ca="1">AD37</f>
        <v>0</v>
      </c>
      <c r="AE38" s="970">
        <f ca="1">AE37</f>
        <v>0</v>
      </c>
      <c r="AF38" s="970">
        <f t="shared" ca="1" si="106"/>
        <v>0</v>
      </c>
      <c r="AG38" s="970">
        <f ca="1">AG37</f>
        <v>0</v>
      </c>
      <c r="AH38" s="970">
        <f ca="1">AH37</f>
        <v>0</v>
      </c>
      <c r="AI38" s="970">
        <f ca="1">AI37</f>
        <v>0</v>
      </c>
      <c r="AJ38" s="970">
        <f t="shared" ca="1" si="106"/>
        <v>0</v>
      </c>
      <c r="AK38" s="970">
        <f ca="1">SUM(S38:AJ38)</f>
        <v>0</v>
      </c>
      <c r="AM38" s="976">
        <f t="shared" ref="AM38:AS38" ca="1" si="107">AM37</f>
        <v>0</v>
      </c>
      <c r="AN38" s="976">
        <f t="shared" ca="1" si="107"/>
        <v>0</v>
      </c>
      <c r="AO38" s="976">
        <f t="shared" ca="1" si="107"/>
        <v>0</v>
      </c>
      <c r="AP38" s="976">
        <f t="shared" ca="1" si="107"/>
        <v>0</v>
      </c>
      <c r="AQ38" s="976">
        <f t="shared" ca="1" si="107"/>
        <v>0</v>
      </c>
      <c r="AR38" s="976">
        <f t="shared" ca="1" si="107"/>
        <v>0</v>
      </c>
      <c r="AS38" s="976">
        <f t="shared" ca="1" si="107"/>
        <v>0</v>
      </c>
      <c r="AT38" s="976">
        <f t="shared" ref="AT38:BE38" ca="1" si="108">AT37</f>
        <v>0</v>
      </c>
      <c r="AU38" s="976">
        <f t="shared" ca="1" si="108"/>
        <v>0</v>
      </c>
      <c r="AV38" s="976">
        <f t="shared" ca="1" si="108"/>
        <v>0</v>
      </c>
      <c r="AW38" s="976">
        <f t="shared" ca="1" si="108"/>
        <v>0</v>
      </c>
      <c r="AX38" s="976">
        <f t="shared" ca="1" si="108"/>
        <v>0</v>
      </c>
      <c r="AY38" s="976">
        <f t="shared" ca="1" si="108"/>
        <v>0</v>
      </c>
      <c r="AZ38" s="976">
        <f t="shared" ca="1" si="108"/>
        <v>0</v>
      </c>
      <c r="BA38" s="976">
        <f t="shared" ca="1" si="108"/>
        <v>0</v>
      </c>
      <c r="BB38" s="976">
        <f t="shared" ca="1" si="108"/>
        <v>0</v>
      </c>
      <c r="BC38" s="976">
        <f t="shared" ca="1" si="108"/>
        <v>0</v>
      </c>
      <c r="BD38" s="976">
        <f t="shared" ca="1" si="108"/>
        <v>0</v>
      </c>
      <c r="BE38" s="976">
        <f t="shared" ca="1" si="108"/>
        <v>0</v>
      </c>
      <c r="BF38" s="976">
        <f ca="1">SUM(AM38:BE38)</f>
        <v>0</v>
      </c>
      <c r="BH38" s="990">
        <f ca="1">BH37</f>
        <v>0</v>
      </c>
      <c r="BI38" s="990">
        <f ca="1">BI37</f>
        <v>0</v>
      </c>
      <c r="BJ38" s="990">
        <f ca="1">SUM(BH38:BI38)</f>
        <v>0</v>
      </c>
      <c r="BL38" s="515">
        <f t="shared" ca="1" si="9"/>
        <v>0</v>
      </c>
      <c r="BM38" s="515"/>
      <c r="BN38" s="840"/>
      <c r="BO38" s="1482">
        <f t="shared" ref="BO38:DF38" ca="1" si="109">BO37</f>
        <v>0</v>
      </c>
      <c r="BP38" s="1482">
        <f t="shared" ca="1" si="109"/>
        <v>0</v>
      </c>
      <c r="BQ38" s="1482">
        <f t="shared" ca="1" si="109"/>
        <v>0</v>
      </c>
      <c r="BR38" s="1482">
        <f t="shared" ca="1" si="109"/>
        <v>0</v>
      </c>
      <c r="BS38" s="1482">
        <f t="shared" ca="1" si="109"/>
        <v>0</v>
      </c>
      <c r="BT38" s="1482">
        <f t="shared" ca="1" si="109"/>
        <v>0</v>
      </c>
      <c r="BU38" s="1482">
        <f t="shared" ca="1" si="109"/>
        <v>0</v>
      </c>
      <c r="BV38" s="1482">
        <f t="shared" ca="1" si="109"/>
        <v>0</v>
      </c>
      <c r="BW38" s="1482">
        <f t="shared" ca="1" si="109"/>
        <v>0</v>
      </c>
      <c r="BX38" s="1482">
        <f t="shared" ca="1" si="109"/>
        <v>0</v>
      </c>
      <c r="BY38" s="1482">
        <f t="shared" ca="1" si="109"/>
        <v>0</v>
      </c>
      <c r="BZ38" s="1482">
        <f t="shared" ca="1" si="109"/>
        <v>0</v>
      </c>
      <c r="CA38" s="1482">
        <f t="shared" ca="1" si="109"/>
        <v>0</v>
      </c>
      <c r="CB38" s="1482">
        <f t="shared" ca="1" si="109"/>
        <v>0</v>
      </c>
      <c r="CC38" s="1482">
        <f t="shared" ca="1" si="109"/>
        <v>0</v>
      </c>
      <c r="CD38" s="1482">
        <f t="shared" ca="1" si="109"/>
        <v>0</v>
      </c>
      <c r="CE38" s="1482">
        <f t="shared" ca="1" si="109"/>
        <v>0</v>
      </c>
      <c r="CF38" s="1482">
        <f t="shared" ca="1" si="109"/>
        <v>0</v>
      </c>
      <c r="CG38" s="1482">
        <f t="shared" ca="1" si="109"/>
        <v>0</v>
      </c>
      <c r="CH38" s="1482">
        <f t="shared" ca="1" si="109"/>
        <v>0</v>
      </c>
      <c r="CI38" s="1482">
        <f t="shared" ca="1" si="109"/>
        <v>0</v>
      </c>
      <c r="CJ38" s="1482">
        <f t="shared" ca="1" si="109"/>
        <v>0</v>
      </c>
      <c r="CK38" s="1482">
        <f t="shared" ca="1" si="109"/>
        <v>0</v>
      </c>
      <c r="CL38" s="1482">
        <f t="shared" ca="1" si="109"/>
        <v>0</v>
      </c>
      <c r="CM38" s="1482">
        <f t="shared" ca="1" si="109"/>
        <v>0</v>
      </c>
      <c r="CN38" s="1482">
        <f t="shared" ca="1" si="109"/>
        <v>0</v>
      </c>
      <c r="CO38" s="1482">
        <f t="shared" ca="1" si="109"/>
        <v>0</v>
      </c>
      <c r="CP38" s="1482">
        <f t="shared" ca="1" si="109"/>
        <v>0</v>
      </c>
      <c r="CQ38" s="1482">
        <f t="shared" ca="1" si="109"/>
        <v>0</v>
      </c>
      <c r="CR38" s="1482">
        <f t="shared" ca="1" si="109"/>
        <v>0</v>
      </c>
      <c r="CS38" s="1482">
        <f t="shared" ca="1" si="109"/>
        <v>0</v>
      </c>
      <c r="CT38" s="1482">
        <f t="shared" ca="1" si="109"/>
        <v>0</v>
      </c>
      <c r="CU38" s="1482">
        <f t="shared" ca="1" si="109"/>
        <v>0</v>
      </c>
      <c r="CV38" s="1482">
        <f t="shared" ca="1" si="109"/>
        <v>0</v>
      </c>
      <c r="CW38" s="1482">
        <f t="shared" ca="1" si="109"/>
        <v>0</v>
      </c>
      <c r="CX38" s="1482">
        <f t="shared" ca="1" si="109"/>
        <v>0</v>
      </c>
      <c r="CY38" s="1482">
        <f t="shared" ca="1" si="109"/>
        <v>0</v>
      </c>
      <c r="CZ38" s="1482">
        <f t="shared" ca="1" si="109"/>
        <v>0</v>
      </c>
      <c r="DA38" s="1482">
        <f t="shared" ca="1" si="109"/>
        <v>0</v>
      </c>
      <c r="DB38" s="1482">
        <f t="shared" ca="1" si="109"/>
        <v>0</v>
      </c>
      <c r="DC38" s="1482">
        <f t="shared" ca="1" si="109"/>
        <v>0</v>
      </c>
      <c r="DD38" s="1482">
        <f t="shared" ca="1" si="109"/>
        <v>0</v>
      </c>
      <c r="DE38" s="1482">
        <f t="shared" ca="1" si="109"/>
        <v>0</v>
      </c>
      <c r="DF38" s="1482">
        <f t="shared" ca="1" si="109"/>
        <v>0</v>
      </c>
      <c r="DH38" s="838">
        <f t="shared" ca="1" si="35"/>
        <v>0</v>
      </c>
    </row>
    <row r="39" spans="1:112" s="743" customFormat="1" ht="6" customHeight="1">
      <c r="C39" s="516"/>
      <c r="D39" s="517"/>
      <c r="E39" s="509"/>
      <c r="G39" s="1021"/>
      <c r="H39" s="1021"/>
      <c r="I39" s="1021"/>
      <c r="J39" s="1021"/>
      <c r="K39" s="1021"/>
      <c r="L39" s="1021"/>
      <c r="M39" s="1021"/>
      <c r="N39" s="1021"/>
      <c r="O39" s="1021"/>
      <c r="P39" s="1021"/>
      <c r="Q39" s="1021"/>
      <c r="S39" s="970"/>
      <c r="T39" s="970"/>
      <c r="U39" s="970"/>
      <c r="V39" s="970"/>
      <c r="W39" s="970"/>
      <c r="X39" s="970"/>
      <c r="Y39" s="970"/>
      <c r="Z39" s="970"/>
      <c r="AA39" s="970"/>
      <c r="AB39" s="970"/>
      <c r="AC39" s="970"/>
      <c r="AD39" s="970"/>
      <c r="AE39" s="970"/>
      <c r="AF39" s="970"/>
      <c r="AG39" s="970"/>
      <c r="AH39" s="970"/>
      <c r="AI39" s="970"/>
      <c r="AJ39" s="970"/>
      <c r="AK39" s="970"/>
      <c r="AM39" s="976"/>
      <c r="AN39" s="976"/>
      <c r="AO39" s="976"/>
      <c r="AP39" s="976"/>
      <c r="AQ39" s="976"/>
      <c r="AR39" s="976"/>
      <c r="AS39" s="976"/>
      <c r="AT39" s="976"/>
      <c r="AU39" s="976"/>
      <c r="AV39" s="976"/>
      <c r="AW39" s="976"/>
      <c r="AX39" s="976"/>
      <c r="AY39" s="976"/>
      <c r="AZ39" s="976"/>
      <c r="BA39" s="976"/>
      <c r="BB39" s="976"/>
      <c r="BC39" s="976"/>
      <c r="BD39" s="976"/>
      <c r="BE39" s="976"/>
      <c r="BF39" s="976">
        <f>SUM(AM39:BE39)</f>
        <v>0</v>
      </c>
      <c r="BH39" s="990"/>
      <c r="BI39" s="990"/>
      <c r="BJ39" s="990"/>
      <c r="BL39" s="515">
        <f t="shared" si="9"/>
        <v>0</v>
      </c>
      <c r="BM39" s="515"/>
      <c r="BO39" s="1482"/>
      <c r="BP39" s="1482"/>
      <c r="BQ39" s="1482"/>
      <c r="BR39" s="1482"/>
      <c r="BS39" s="1482"/>
      <c r="BT39" s="1482"/>
      <c r="BU39" s="1482"/>
      <c r="BV39" s="1482"/>
      <c r="BW39" s="1482"/>
      <c r="BX39" s="1482"/>
      <c r="BY39" s="1482"/>
      <c r="BZ39" s="1482"/>
      <c r="CA39" s="1482"/>
      <c r="CB39" s="1482"/>
      <c r="CC39" s="1482"/>
      <c r="CD39" s="1482"/>
      <c r="CE39" s="1482"/>
      <c r="CF39" s="1482"/>
      <c r="CG39" s="1482"/>
      <c r="CH39" s="1482"/>
      <c r="CI39" s="1482"/>
      <c r="CJ39" s="1482"/>
      <c r="CK39" s="1482"/>
      <c r="CL39" s="1482"/>
      <c r="CM39" s="1482"/>
      <c r="CN39" s="1482"/>
      <c r="CO39" s="1482"/>
      <c r="CP39" s="1482"/>
      <c r="CQ39" s="1482"/>
      <c r="CR39" s="1482"/>
      <c r="CS39" s="1482"/>
      <c r="CT39" s="1482"/>
      <c r="CU39" s="1482"/>
      <c r="CV39" s="1482"/>
      <c r="CW39" s="1482"/>
      <c r="CX39" s="1482"/>
      <c r="CY39" s="1482"/>
      <c r="CZ39" s="1482"/>
      <c r="DA39" s="1482"/>
      <c r="DB39" s="1482"/>
      <c r="DC39" s="1482"/>
      <c r="DD39" s="1482"/>
      <c r="DE39" s="1482"/>
      <c r="DF39" s="1482"/>
      <c r="DH39" s="838"/>
    </row>
    <row r="40" spans="1:112" s="743" customFormat="1" ht="15.75">
      <c r="B40" s="753"/>
      <c r="C40" s="2051" t="s">
        <v>1815</v>
      </c>
      <c r="D40" s="643" t="s">
        <v>619</v>
      </c>
      <c r="E40" s="644"/>
      <c r="G40" s="1023">
        <f t="shared" ref="G40:Q40" ca="1" si="110">G$15+G$19+G$22+G$32+G$35+G$38</f>
        <v>651.04611206371885</v>
      </c>
      <c r="H40" s="1023">
        <f t="shared" ca="1" si="110"/>
        <v>193.5794282147545</v>
      </c>
      <c r="I40" s="1023">
        <f t="shared" ca="1" si="110"/>
        <v>433.12178936101793</v>
      </c>
      <c r="J40" s="1023">
        <f t="shared" ca="1" si="110"/>
        <v>356.10824416990909</v>
      </c>
      <c r="K40" s="1023">
        <f t="shared" ca="1" si="110"/>
        <v>16.278078430943093</v>
      </c>
      <c r="L40" s="1023">
        <f t="shared" ca="1" si="110"/>
        <v>12.657847240047854</v>
      </c>
      <c r="M40" s="1023">
        <f t="shared" ca="1" si="110"/>
        <v>23.688791719453825</v>
      </c>
      <c r="N40" s="1023">
        <f t="shared" ca="1" si="110"/>
        <v>208.13218382871563</v>
      </c>
      <c r="O40" s="1023">
        <f t="shared" ca="1" si="110"/>
        <v>68.605814160198818</v>
      </c>
      <c r="P40" s="1023">
        <f t="shared" ca="1" si="110"/>
        <v>0</v>
      </c>
      <c r="Q40" s="1023">
        <f t="shared" ca="1" si="110"/>
        <v>1963.2182891887596</v>
      </c>
      <c r="S40" s="1014">
        <f t="shared" ref="S40:AJ40" ca="1" si="111">S$15+S$19+S$22+S$32+S$35+S$38</f>
        <v>-387.99068672508832</v>
      </c>
      <c r="T40" s="1014">
        <f t="shared" ca="1" si="111"/>
        <v>0</v>
      </c>
      <c r="U40" s="1014">
        <f t="shared" ca="1" si="111"/>
        <v>-63.776001271379371</v>
      </c>
      <c r="V40" s="1014">
        <f t="shared" ca="1" si="111"/>
        <v>-767.95525344778798</v>
      </c>
      <c r="W40" s="1014">
        <f t="shared" ca="1" si="111"/>
        <v>-735.0089400030455</v>
      </c>
      <c r="X40" s="1014">
        <f ca="1">X$15+X$19+X$22+X$32+X$35+X$38</f>
        <v>0</v>
      </c>
      <c r="Y40" s="1014">
        <f ca="1">Y$15+Y$19+Y$22+Y$32+Y$35+Y$38</f>
        <v>0</v>
      </c>
      <c r="Z40" s="1014">
        <f ca="1">Z$15+Z$19+Z$22+Z$32+Z$35+Z$38</f>
        <v>0</v>
      </c>
      <c r="AA40" s="1014">
        <f t="shared" ca="1" si="111"/>
        <v>0</v>
      </c>
      <c r="AB40" s="1014">
        <f t="shared" ca="1" si="111"/>
        <v>-8.4874077414584725</v>
      </c>
      <c r="AC40" s="1014">
        <f t="shared" ca="1" si="111"/>
        <v>0</v>
      </c>
      <c r="AD40" s="1014">
        <f t="shared" ca="1" si="111"/>
        <v>0</v>
      </c>
      <c r="AE40" s="1014">
        <f t="shared" ca="1" si="111"/>
        <v>0</v>
      </c>
      <c r="AF40" s="1014">
        <f t="shared" ca="1" si="111"/>
        <v>0</v>
      </c>
      <c r="AG40" s="1014">
        <f t="shared" ca="1" si="111"/>
        <v>0</v>
      </c>
      <c r="AH40" s="1014">
        <f t="shared" ca="1" si="111"/>
        <v>0</v>
      </c>
      <c r="AI40" s="1014">
        <f t="shared" ca="1" si="111"/>
        <v>0</v>
      </c>
      <c r="AJ40" s="1014">
        <f t="shared" ca="1" si="111"/>
        <v>0</v>
      </c>
      <c r="AK40" s="1014">
        <f ca="1">SUM(S40:AJ40)</f>
        <v>-1963.2182891887599</v>
      </c>
      <c r="AM40" s="1015">
        <f t="shared" ref="AM40:BE40" ca="1" si="112">AM$15+AM$19+AM$22+AM$32+AM$35+AM$38</f>
        <v>0</v>
      </c>
      <c r="AN40" s="1015">
        <f t="shared" ca="1" si="112"/>
        <v>0</v>
      </c>
      <c r="AO40" s="1015">
        <f t="shared" ca="1" si="112"/>
        <v>0</v>
      </c>
      <c r="AP40" s="1015">
        <f t="shared" ca="1" si="112"/>
        <v>0</v>
      </c>
      <c r="AQ40" s="1015">
        <f t="shared" ca="1" si="112"/>
        <v>0</v>
      </c>
      <c r="AR40" s="1015">
        <f t="shared" ca="1" si="112"/>
        <v>0</v>
      </c>
      <c r="AS40" s="1015">
        <f t="shared" ca="1" si="112"/>
        <v>0</v>
      </c>
      <c r="AT40" s="1015">
        <f t="shared" ca="1" si="112"/>
        <v>0</v>
      </c>
      <c r="AU40" s="1015">
        <f t="shared" ca="1" si="112"/>
        <v>0</v>
      </c>
      <c r="AV40" s="1015">
        <f t="shared" ca="1" si="112"/>
        <v>0</v>
      </c>
      <c r="AW40" s="1015">
        <f t="shared" ca="1" si="112"/>
        <v>0</v>
      </c>
      <c r="AX40" s="1015">
        <f t="shared" ca="1" si="112"/>
        <v>0</v>
      </c>
      <c r="AY40" s="1015">
        <f t="shared" ca="1" si="112"/>
        <v>0</v>
      </c>
      <c r="AZ40" s="1015">
        <f t="shared" ca="1" si="112"/>
        <v>0</v>
      </c>
      <c r="BA40" s="1015">
        <f t="shared" ca="1" si="112"/>
        <v>0</v>
      </c>
      <c r="BB40" s="1015">
        <f t="shared" ca="1" si="112"/>
        <v>0</v>
      </c>
      <c r="BC40" s="1015">
        <f t="shared" ca="1" si="112"/>
        <v>0</v>
      </c>
      <c r="BD40" s="1015">
        <f t="shared" ca="1" si="112"/>
        <v>0</v>
      </c>
      <c r="BE40" s="1015">
        <f t="shared" ca="1" si="112"/>
        <v>0</v>
      </c>
      <c r="BF40" s="1015">
        <f ca="1">SUM(AM40:BE40)</f>
        <v>0</v>
      </c>
      <c r="BH40" s="1016">
        <f ca="1">BH$15+BH$19+BH$22+BH$32+BH$35+BH$38</f>
        <v>0</v>
      </c>
      <c r="BI40" s="1016">
        <f ca="1">BI$15+BI$19+BI$22+BI$32+BI$35+BI$38</f>
        <v>0</v>
      </c>
      <c r="BJ40" s="1016">
        <f ca="1">SUM(BH40:BI40)</f>
        <v>0</v>
      </c>
      <c r="BL40" s="518">
        <f t="shared" ca="1" si="9"/>
        <v>-2.2737367544323206E-13</v>
      </c>
      <c r="BM40" s="518"/>
      <c r="BO40" s="1487">
        <f t="shared" ref="BO40:DF40" ca="1" si="113">BO$15+BO$19+BO$22+BO$32+BO$35+BO$38</f>
        <v>277.68896721686355</v>
      </c>
      <c r="BP40" s="1487">
        <f t="shared" ca="1" si="113"/>
        <v>0.48168489059360109</v>
      </c>
      <c r="BQ40" s="1487">
        <f t="shared" ca="1" si="113"/>
        <v>2.6750795121282569</v>
      </c>
      <c r="BR40" s="1487">
        <f t="shared" ca="1" si="113"/>
        <v>0</v>
      </c>
      <c r="BS40" s="1487">
        <f t="shared" ca="1" si="113"/>
        <v>0</v>
      </c>
      <c r="BT40" s="1487">
        <f t="shared" ca="1" si="113"/>
        <v>0</v>
      </c>
      <c r="BU40" s="1487">
        <f t="shared" ca="1" si="113"/>
        <v>0</v>
      </c>
      <c r="BV40" s="1487">
        <f t="shared" ca="1" si="113"/>
        <v>0</v>
      </c>
      <c r="BW40" s="1487">
        <f t="shared" ca="1" si="113"/>
        <v>14.455784691934292</v>
      </c>
      <c r="BX40" s="1487">
        <f t="shared" ca="1" si="113"/>
        <v>0.11089586505811078</v>
      </c>
      <c r="BY40" s="1487">
        <f t="shared" ca="1" si="113"/>
        <v>2.7608825103244943</v>
      </c>
      <c r="BZ40" s="1487">
        <f t="shared" ca="1" si="113"/>
        <v>7.1928273268020186</v>
      </c>
      <c r="CA40" s="1487">
        <f t="shared" ca="1" si="113"/>
        <v>0</v>
      </c>
      <c r="CB40" s="1487">
        <f t="shared" ca="1" si="113"/>
        <v>0</v>
      </c>
      <c r="CC40" s="1487">
        <f t="shared" ca="1" si="113"/>
        <v>0</v>
      </c>
      <c r="CD40" s="1487">
        <f t="shared" ca="1" si="113"/>
        <v>0</v>
      </c>
      <c r="CE40" s="1487">
        <f t="shared" ca="1" si="113"/>
        <v>0</v>
      </c>
      <c r="CF40" s="1487">
        <f t="shared" ca="1" si="113"/>
        <v>0</v>
      </c>
      <c r="CG40" s="1487">
        <f t="shared" ca="1" si="113"/>
        <v>0</v>
      </c>
      <c r="CH40" s="1487">
        <f t="shared" ca="1" si="113"/>
        <v>0</v>
      </c>
      <c r="CI40" s="1487">
        <f t="shared" ca="1" si="113"/>
        <v>0</v>
      </c>
      <c r="CJ40" s="1487">
        <f t="shared" ca="1" si="113"/>
        <v>0</v>
      </c>
      <c r="CK40" s="1487">
        <f t="shared" ca="1" si="113"/>
        <v>0</v>
      </c>
      <c r="CL40" s="1487">
        <f t="shared" ca="1" si="113"/>
        <v>0</v>
      </c>
      <c r="CM40" s="1487">
        <f t="shared" ca="1" si="113"/>
        <v>0</v>
      </c>
      <c r="CN40" s="1487">
        <f t="shared" ca="1" si="113"/>
        <v>0</v>
      </c>
      <c r="CO40" s="1487">
        <f t="shared" ca="1" si="113"/>
        <v>0</v>
      </c>
      <c r="CP40" s="1487">
        <f t="shared" ca="1" si="113"/>
        <v>0</v>
      </c>
      <c r="CQ40" s="1487">
        <f t="shared" ca="1" si="113"/>
        <v>0</v>
      </c>
      <c r="CR40" s="1487">
        <f t="shared" ca="1" si="113"/>
        <v>0</v>
      </c>
      <c r="CS40" s="1487">
        <f t="shared" ca="1" si="113"/>
        <v>0</v>
      </c>
      <c r="CT40" s="1487">
        <f t="shared" ca="1" si="113"/>
        <v>0</v>
      </c>
      <c r="CU40" s="1487">
        <f t="shared" ca="1" si="113"/>
        <v>69.184499497228614</v>
      </c>
      <c r="CV40" s="1487">
        <f t="shared" ca="1" si="113"/>
        <v>8.6134428750860983E-2</v>
      </c>
      <c r="CW40" s="1487">
        <f t="shared" ca="1" si="113"/>
        <v>1.2447709112649461</v>
      </c>
      <c r="CX40" s="1487">
        <f t="shared" ca="1" si="113"/>
        <v>0</v>
      </c>
      <c r="CY40" s="1487">
        <f t="shared" ca="1" si="113"/>
        <v>0</v>
      </c>
      <c r="CZ40" s="1487">
        <f t="shared" ca="1" si="113"/>
        <v>0</v>
      </c>
      <c r="DA40" s="1487">
        <f t="shared" ca="1" si="113"/>
        <v>0</v>
      </c>
      <c r="DB40" s="1487">
        <f t="shared" ca="1" si="113"/>
        <v>0</v>
      </c>
      <c r="DC40" s="1487">
        <f t="shared" ca="1" si="113"/>
        <v>0</v>
      </c>
      <c r="DD40" s="1487">
        <f t="shared" ca="1" si="113"/>
        <v>0</v>
      </c>
      <c r="DE40" s="1487">
        <f t="shared" ca="1" si="113"/>
        <v>0</v>
      </c>
      <c r="DF40" s="1487">
        <f t="shared" ca="1" si="113"/>
        <v>0</v>
      </c>
      <c r="DH40" s="835">
        <f ca="1">SUM(BO40:DF40)</f>
        <v>375.88152685094883</v>
      </c>
    </row>
    <row r="41" spans="1:112" s="743" customFormat="1" ht="6" customHeight="1">
      <c r="C41" s="509"/>
      <c r="D41" s="509"/>
      <c r="E41" s="509"/>
      <c r="G41" s="958"/>
      <c r="H41" s="958"/>
      <c r="I41" s="958"/>
      <c r="J41" s="958"/>
      <c r="K41" s="960"/>
      <c r="L41" s="958"/>
      <c r="M41" s="958"/>
      <c r="N41" s="958"/>
      <c r="O41" s="958"/>
      <c r="P41" s="958"/>
      <c r="Q41" s="958"/>
      <c r="S41" s="970"/>
      <c r="T41" s="970"/>
      <c r="U41" s="970"/>
      <c r="V41" s="970"/>
      <c r="W41" s="970"/>
      <c r="X41" s="970"/>
      <c r="Y41" s="970"/>
      <c r="Z41" s="970"/>
      <c r="AA41" s="970"/>
      <c r="AB41" s="970"/>
      <c r="AC41" s="970"/>
      <c r="AD41" s="970"/>
      <c r="AE41" s="970"/>
      <c r="AF41" s="970"/>
      <c r="AG41" s="970"/>
      <c r="AH41" s="970"/>
      <c r="AI41" s="970"/>
      <c r="AJ41" s="970"/>
      <c r="AK41" s="970"/>
      <c r="AM41" s="976"/>
      <c r="AN41" s="976"/>
      <c r="AO41" s="976"/>
      <c r="AP41" s="976"/>
      <c r="AQ41" s="976"/>
      <c r="AR41" s="976"/>
      <c r="AS41" s="976"/>
      <c r="AT41" s="976"/>
      <c r="AU41" s="976"/>
      <c r="AV41" s="976"/>
      <c r="AW41" s="976"/>
      <c r="AX41" s="976"/>
      <c r="AY41" s="976"/>
      <c r="AZ41" s="976"/>
      <c r="BA41" s="976"/>
      <c r="BB41" s="976"/>
      <c r="BC41" s="976"/>
      <c r="BD41" s="976"/>
      <c r="BE41" s="976"/>
      <c r="BF41" s="976"/>
      <c r="BH41" s="990"/>
      <c r="BI41" s="990"/>
      <c r="BJ41" s="990"/>
      <c r="BL41" s="515">
        <f t="shared" si="9"/>
        <v>0</v>
      </c>
      <c r="BM41" s="515"/>
      <c r="BO41" s="1482"/>
      <c r="BP41" s="1482"/>
      <c r="BQ41" s="1482"/>
      <c r="BR41" s="1482"/>
      <c r="BS41" s="1482"/>
      <c r="BT41" s="1482"/>
      <c r="BU41" s="1482"/>
      <c r="BV41" s="1482"/>
      <c r="BW41" s="1482"/>
      <c r="BX41" s="1482"/>
      <c r="BY41" s="1482"/>
      <c r="BZ41" s="1482"/>
      <c r="CA41" s="1482"/>
      <c r="CB41" s="1482"/>
      <c r="CC41" s="1482"/>
      <c r="CD41" s="1482"/>
      <c r="CE41" s="1482"/>
      <c r="CF41" s="1482"/>
      <c r="CG41" s="1482"/>
      <c r="CH41" s="1482"/>
      <c r="CI41" s="1482"/>
      <c r="CJ41" s="1482"/>
      <c r="CK41" s="1482"/>
      <c r="CL41" s="1482"/>
      <c r="CM41" s="1482"/>
      <c r="CN41" s="1482"/>
      <c r="CO41" s="1482"/>
      <c r="CP41" s="1482"/>
      <c r="CQ41" s="1482"/>
      <c r="CR41" s="1482"/>
      <c r="CS41" s="1482"/>
      <c r="CT41" s="1482"/>
      <c r="CU41" s="1482"/>
      <c r="CV41" s="1482"/>
      <c r="CW41" s="1482"/>
      <c r="CX41" s="1482"/>
      <c r="CY41" s="1482"/>
      <c r="CZ41" s="1482"/>
      <c r="DA41" s="1482"/>
      <c r="DB41" s="1482"/>
      <c r="DC41" s="1482"/>
      <c r="DD41" s="1482"/>
      <c r="DE41" s="1482"/>
      <c r="DF41" s="1482"/>
      <c r="DH41" s="838"/>
    </row>
    <row r="42" spans="1:112" s="743" customFormat="1" ht="24" customHeight="1">
      <c r="C42" s="501" t="s">
        <v>72</v>
      </c>
      <c r="D42" s="501"/>
      <c r="E42" s="639"/>
      <c r="G42" s="957"/>
      <c r="H42" s="957"/>
      <c r="I42" s="957"/>
      <c r="J42" s="957"/>
      <c r="K42" s="957"/>
      <c r="L42" s="957"/>
      <c r="M42" s="957"/>
      <c r="N42" s="957"/>
      <c r="O42" s="957"/>
      <c r="P42" s="957"/>
      <c r="Q42" s="957"/>
      <c r="S42" s="969"/>
      <c r="T42" s="969"/>
      <c r="U42" s="969"/>
      <c r="V42" s="969"/>
      <c r="W42" s="969"/>
      <c r="X42" s="969"/>
      <c r="Y42" s="969"/>
      <c r="Z42" s="969"/>
      <c r="AA42" s="969"/>
      <c r="AB42" s="969"/>
      <c r="AC42" s="969"/>
      <c r="AD42" s="969"/>
      <c r="AE42" s="969"/>
      <c r="AF42" s="969"/>
      <c r="AG42" s="969"/>
      <c r="AH42" s="969"/>
      <c r="AI42" s="969"/>
      <c r="AJ42" s="969"/>
      <c r="AK42" s="969"/>
      <c r="AM42" s="975"/>
      <c r="AN42" s="975"/>
      <c r="AO42" s="975"/>
      <c r="AP42" s="975"/>
      <c r="AQ42" s="975"/>
      <c r="AR42" s="975"/>
      <c r="AS42" s="975"/>
      <c r="AT42" s="975"/>
      <c r="AU42" s="975"/>
      <c r="AV42" s="975"/>
      <c r="AW42" s="975"/>
      <c r="AX42" s="975"/>
      <c r="AY42" s="975"/>
      <c r="AZ42" s="975"/>
      <c r="BA42" s="975"/>
      <c r="BB42" s="975"/>
      <c r="BC42" s="975"/>
      <c r="BD42" s="975"/>
      <c r="BE42" s="975"/>
      <c r="BF42" s="975"/>
      <c r="BH42" s="989"/>
      <c r="BI42" s="989"/>
      <c r="BJ42" s="989"/>
      <c r="BL42" s="514">
        <f t="shared" si="9"/>
        <v>0</v>
      </c>
      <c r="BM42" s="514"/>
      <c r="BO42" s="1482"/>
      <c r="BP42" s="1482"/>
      <c r="BQ42" s="1482"/>
      <c r="BR42" s="1482"/>
      <c r="BS42" s="1482"/>
      <c r="BT42" s="1482"/>
      <c r="BU42" s="1482"/>
      <c r="BV42" s="1482"/>
      <c r="BW42" s="1482"/>
      <c r="BX42" s="1482"/>
      <c r="BY42" s="1482"/>
      <c r="BZ42" s="1482"/>
      <c r="CA42" s="1482"/>
      <c r="CB42" s="1482"/>
      <c r="CC42" s="1482"/>
      <c r="CD42" s="1482"/>
      <c r="CE42" s="1482"/>
      <c r="CF42" s="1482"/>
      <c r="CG42" s="1482"/>
      <c r="CH42" s="1482"/>
      <c r="CI42" s="1482"/>
      <c r="CJ42" s="1482"/>
      <c r="CK42" s="1482"/>
      <c r="CL42" s="1482"/>
      <c r="CM42" s="1482"/>
      <c r="CN42" s="1482"/>
      <c r="CO42" s="1482"/>
      <c r="CP42" s="1482"/>
      <c r="CQ42" s="1482"/>
      <c r="CR42" s="1482"/>
      <c r="CS42" s="1482"/>
      <c r="CT42" s="1482"/>
      <c r="CU42" s="1482"/>
      <c r="CV42" s="1482"/>
      <c r="CW42" s="1482"/>
      <c r="CX42" s="1482"/>
      <c r="CY42" s="1482"/>
      <c r="CZ42" s="1482"/>
      <c r="DA42" s="1482"/>
      <c r="DB42" s="1482"/>
      <c r="DC42" s="1482"/>
      <c r="DD42" s="1482"/>
      <c r="DE42" s="1482"/>
      <c r="DF42" s="1482"/>
      <c r="DH42" s="838"/>
    </row>
    <row r="43" spans="1:112" s="743" customFormat="1" ht="12.75" hidden="1" customHeight="1" outlineLevel="1">
      <c r="A43" s="22"/>
      <c r="B43" s="22"/>
      <c r="C43" s="751"/>
      <c r="D43" s="512"/>
      <c r="E43" s="512"/>
      <c r="G43" s="958"/>
      <c r="H43" s="958"/>
      <c r="I43" s="958"/>
      <c r="J43" s="958"/>
      <c r="K43" s="960"/>
      <c r="L43" s="958"/>
      <c r="M43" s="958"/>
      <c r="N43" s="958"/>
      <c r="O43" s="958"/>
      <c r="P43" s="958"/>
      <c r="Q43" s="958"/>
      <c r="S43" s="970"/>
      <c r="T43" s="970"/>
      <c r="U43" s="970"/>
      <c r="V43" s="970"/>
      <c r="W43" s="970"/>
      <c r="X43" s="970"/>
      <c r="Y43" s="970"/>
      <c r="Z43" s="970"/>
      <c r="AA43" s="970"/>
      <c r="AB43" s="970"/>
      <c r="AC43" s="970"/>
      <c r="AD43" s="970"/>
      <c r="AE43" s="970"/>
      <c r="AF43" s="970"/>
      <c r="AG43" s="970"/>
      <c r="AH43" s="970"/>
      <c r="AI43" s="970"/>
      <c r="AJ43" s="970"/>
      <c r="AK43" s="970"/>
      <c r="AM43" s="976"/>
      <c r="AN43" s="976"/>
      <c r="AO43" s="976"/>
      <c r="AP43" s="976"/>
      <c r="AQ43" s="976"/>
      <c r="AR43" s="976"/>
      <c r="AS43" s="976"/>
      <c r="AT43" s="976"/>
      <c r="AU43" s="976"/>
      <c r="AV43" s="976"/>
      <c r="AW43" s="976"/>
      <c r="AX43" s="976"/>
      <c r="AY43" s="976"/>
      <c r="AZ43" s="976"/>
      <c r="BA43" s="976"/>
      <c r="BB43" s="976"/>
      <c r="BC43" s="976"/>
      <c r="BD43" s="976"/>
      <c r="BE43" s="976"/>
      <c r="BF43" s="976"/>
      <c r="BH43" s="990"/>
      <c r="BI43" s="990"/>
      <c r="BJ43" s="990"/>
      <c r="BL43" s="515">
        <f t="shared" si="9"/>
        <v>0</v>
      </c>
      <c r="BM43" s="515"/>
      <c r="BN43" s="22"/>
      <c r="BO43" s="1482"/>
      <c r="BP43" s="1482"/>
      <c r="BQ43" s="1482"/>
      <c r="BR43" s="1482"/>
      <c r="BS43" s="1482"/>
      <c r="BT43" s="1482"/>
      <c r="BU43" s="1482"/>
      <c r="BV43" s="1482"/>
      <c r="BW43" s="1482"/>
      <c r="BX43" s="1482"/>
      <c r="BY43" s="1482"/>
      <c r="BZ43" s="1482"/>
      <c r="CA43" s="1482"/>
      <c r="CB43" s="1482"/>
      <c r="CC43" s="1482"/>
      <c r="CD43" s="1482"/>
      <c r="CE43" s="1482"/>
      <c r="CF43" s="1482"/>
      <c r="CG43" s="1482"/>
      <c r="CH43" s="1482"/>
      <c r="CI43" s="1482"/>
      <c r="CJ43" s="1482"/>
      <c r="CK43" s="1482"/>
      <c r="CL43" s="1482"/>
      <c r="CM43" s="1482"/>
      <c r="CN43" s="1482"/>
      <c r="CO43" s="1482"/>
      <c r="CP43" s="1482"/>
      <c r="CQ43" s="1482"/>
      <c r="CR43" s="1482"/>
      <c r="CS43" s="1482"/>
      <c r="CT43" s="1482"/>
      <c r="CU43" s="1482"/>
      <c r="CV43" s="1482"/>
      <c r="CW43" s="1482"/>
      <c r="CX43" s="1482"/>
      <c r="CY43" s="1482"/>
      <c r="CZ43" s="1482"/>
      <c r="DA43" s="1482"/>
      <c r="DB43" s="1482"/>
      <c r="DC43" s="1482"/>
      <c r="DD43" s="1482"/>
      <c r="DE43" s="1482"/>
      <c r="DF43" s="1482"/>
      <c r="DH43" s="838"/>
    </row>
    <row r="44" spans="1:112" s="1491" customFormat="1" ht="12.75" hidden="1" customHeight="1" outlineLevel="1">
      <c r="C44" s="1534" t="s">
        <v>1925</v>
      </c>
      <c r="D44" s="1535" t="s">
        <v>1926</v>
      </c>
      <c r="E44" s="1535"/>
      <c r="F44" s="1957"/>
      <c r="G44" s="1070"/>
      <c r="H44" s="1070"/>
      <c r="I44" s="1070"/>
      <c r="J44" s="1070"/>
      <c r="K44" s="1071"/>
      <c r="L44" s="1070"/>
      <c r="M44" s="1070"/>
      <c r="N44" s="1070"/>
      <c r="O44" s="1070"/>
      <c r="P44" s="1070"/>
      <c r="Q44" s="1070"/>
      <c r="R44" s="1957"/>
      <c r="S44" s="1072"/>
      <c r="T44" s="1072"/>
      <c r="U44" s="1072"/>
      <c r="V44" s="1072"/>
      <c r="W44" s="1072"/>
      <c r="X44" s="1072"/>
      <c r="Y44" s="1072"/>
      <c r="Z44" s="1072"/>
      <c r="AA44" s="1072"/>
      <c r="AB44" s="1072"/>
      <c r="AC44" s="1072"/>
      <c r="AD44" s="1072"/>
      <c r="AE44" s="1072"/>
      <c r="AF44" s="1072"/>
      <c r="AG44" s="1072"/>
      <c r="AH44" s="1072"/>
      <c r="AI44" s="1072"/>
      <c r="AJ44" s="1072">
        <f ca="1">AJ$40</f>
        <v>0</v>
      </c>
      <c r="AK44" s="1072"/>
      <c r="AL44" s="1957"/>
      <c r="AM44" s="1073"/>
      <c r="AN44" s="1073"/>
      <c r="AO44" s="1073"/>
      <c r="AP44" s="1073"/>
      <c r="AQ44" s="1073"/>
      <c r="AR44" s="1073"/>
      <c r="AS44" s="1073"/>
      <c r="AT44" s="1073"/>
      <c r="AU44" s="1073"/>
      <c r="AV44" s="1073"/>
      <c r="AW44" s="1073"/>
      <c r="AX44" s="1073"/>
      <c r="AY44" s="1073"/>
      <c r="AZ44" s="1073"/>
      <c r="BA44" s="1073"/>
      <c r="BB44" s="1073"/>
      <c r="BC44" s="1073"/>
      <c r="BD44" s="1073"/>
      <c r="BE44" s="1073"/>
      <c r="BF44" s="1073"/>
      <c r="BG44" s="1957"/>
      <c r="BH44" s="1074"/>
      <c r="BI44" s="1074"/>
      <c r="BJ44" s="1074"/>
      <c r="BK44" s="1957"/>
      <c r="BL44" s="1536">
        <f t="shared" si="9"/>
        <v>0</v>
      </c>
      <c r="BM44" s="1536"/>
      <c r="BO44" s="1963"/>
      <c r="BP44" s="1963"/>
      <c r="BQ44" s="1963"/>
      <c r="BR44" s="1963"/>
      <c r="BS44" s="1963"/>
      <c r="BT44" s="1963"/>
      <c r="BU44" s="1963"/>
      <c r="BV44" s="1963"/>
      <c r="BW44" s="1963"/>
      <c r="BX44" s="1963"/>
      <c r="BY44" s="1963"/>
      <c r="BZ44" s="1963"/>
      <c r="CA44" s="1963"/>
      <c r="CB44" s="1963"/>
      <c r="CC44" s="1963"/>
      <c r="CD44" s="1963"/>
      <c r="CE44" s="1963"/>
      <c r="CF44" s="1963"/>
      <c r="CG44" s="1963"/>
      <c r="CH44" s="1963"/>
      <c r="CI44" s="1963"/>
      <c r="CJ44" s="1963"/>
      <c r="CK44" s="1963"/>
      <c r="CL44" s="1963"/>
      <c r="CM44" s="1963"/>
      <c r="CN44" s="1963"/>
      <c r="CO44" s="1963"/>
      <c r="CP44" s="1963"/>
      <c r="CQ44" s="1963"/>
      <c r="CR44" s="1963"/>
      <c r="CS44" s="1963"/>
      <c r="CT44" s="1963"/>
      <c r="CU44" s="1963"/>
      <c r="CV44" s="1963"/>
      <c r="CW44" s="1963"/>
      <c r="CX44" s="1963"/>
      <c r="CY44" s="1963"/>
      <c r="CZ44" s="1963"/>
      <c r="DA44" s="1963"/>
      <c r="DB44" s="1963"/>
      <c r="DC44" s="1963"/>
      <c r="DD44" s="1963"/>
      <c r="DE44" s="1963"/>
      <c r="DF44" s="1963"/>
      <c r="DH44" s="1962">
        <f>SUM(BO44:DF44)</f>
        <v>0</v>
      </c>
    </row>
    <row r="45" spans="1:112" s="743" customFormat="1" ht="12.75" hidden="1" customHeight="1" outlineLevel="1">
      <c r="A45" s="22"/>
      <c r="B45" s="22"/>
      <c r="C45" s="746" t="s">
        <v>981</v>
      </c>
      <c r="D45" s="1010" t="str">
        <f>INDEX(Modules[Module], MATCH($C45, Modules[Code], 0))</f>
        <v>H2 Production</v>
      </c>
      <c r="E45" s="1069"/>
      <c r="G45" s="1022">
        <f t="shared" ref="G45:P45" ca="1" si="114">IFERROR(INDEX(INDIRECT($C45&amp;".Outputs["&amp;this.Year&amp;"]"), MATCH(G$5, INDIRECT($C45&amp;".Outputs[Vector]"), 0)), 0)</f>
        <v>0</v>
      </c>
      <c r="H45" s="1022">
        <f t="shared" ca="1" si="114"/>
        <v>0</v>
      </c>
      <c r="I45" s="1022">
        <f t="shared" ca="1" si="114"/>
        <v>0</v>
      </c>
      <c r="J45" s="1022">
        <f t="shared" ca="1" si="114"/>
        <v>0</v>
      </c>
      <c r="K45" s="1022">
        <f t="shared" ca="1" si="114"/>
        <v>0</v>
      </c>
      <c r="L45" s="1022">
        <f t="shared" ca="1" si="114"/>
        <v>0</v>
      </c>
      <c r="M45" s="1022">
        <f t="shared" ca="1" si="114"/>
        <v>0</v>
      </c>
      <c r="N45" s="1022">
        <f t="shared" ca="1" si="114"/>
        <v>0</v>
      </c>
      <c r="O45" s="1022">
        <f t="shared" ca="1" si="114"/>
        <v>0</v>
      </c>
      <c r="P45" s="1022">
        <f t="shared" ca="1" si="114"/>
        <v>0</v>
      </c>
      <c r="Q45" s="1020">
        <f ca="1">SUM(G45:P45)</f>
        <v>0</v>
      </c>
      <c r="S45" s="1031">
        <f t="shared" ref="S45:AJ45" ca="1" si="115">IFERROR(INDEX(INDIRECT($C45&amp;".Outputs["&amp;this.Year&amp;"]"), MATCH(S$5, INDIRECT($C45&amp;".Outputs[Vector]"), 0)), 0)</f>
        <v>0</v>
      </c>
      <c r="T45" s="1031">
        <f t="shared" ca="1" si="115"/>
        <v>0</v>
      </c>
      <c r="U45" s="1031">
        <f t="shared" ca="1" si="115"/>
        <v>0</v>
      </c>
      <c r="V45" s="1031">
        <f t="shared" ca="1" si="115"/>
        <v>0</v>
      </c>
      <c r="W45" s="1031">
        <f t="shared" ca="1" si="115"/>
        <v>0</v>
      </c>
      <c r="X45" s="1031">
        <f ca="1">IFERROR(INDEX(INDIRECT($C45&amp;".Outputs["&amp;this.Year&amp;"]"), MATCH(X$5, INDIRECT($C45&amp;".Outputs[Vector]"), 0)), 0)</f>
        <v>0</v>
      </c>
      <c r="Y45" s="1031">
        <f ca="1">IFERROR(INDEX(INDIRECT($C45&amp;".Outputs["&amp;this.Year&amp;"]"), MATCH(Y$5, INDIRECT($C45&amp;".Outputs[Vector]"), 0)), 0)</f>
        <v>0</v>
      </c>
      <c r="Z45" s="1031">
        <f ca="1">IFERROR(INDEX(INDIRECT($C45&amp;".Outputs["&amp;this.Year&amp;"]"), MATCH(Z$5, INDIRECT($C45&amp;".Outputs[Vector]"), 0)), 0)</f>
        <v>0</v>
      </c>
      <c r="AA45" s="1031">
        <f t="shared" ca="1" si="115"/>
        <v>0</v>
      </c>
      <c r="AB45" s="1031">
        <f t="shared" ca="1" si="115"/>
        <v>0</v>
      </c>
      <c r="AC45" s="1031">
        <f t="shared" ca="1" si="115"/>
        <v>0</v>
      </c>
      <c r="AD45" s="1031">
        <f t="shared" ca="1" si="115"/>
        <v>0</v>
      </c>
      <c r="AE45" s="1031">
        <f t="shared" ca="1" si="115"/>
        <v>0</v>
      </c>
      <c r="AF45" s="1031">
        <f t="shared" ca="1" si="115"/>
        <v>0</v>
      </c>
      <c r="AG45" s="1031">
        <f t="shared" ca="1" si="115"/>
        <v>0</v>
      </c>
      <c r="AH45" s="1031">
        <f t="shared" ca="1" si="115"/>
        <v>0</v>
      </c>
      <c r="AI45" s="1031">
        <f t="shared" ca="1" si="115"/>
        <v>0</v>
      </c>
      <c r="AJ45" s="1031">
        <f t="shared" ca="1" si="115"/>
        <v>0</v>
      </c>
      <c r="AK45" s="1030">
        <f ca="1">SUM(S45:AJ45)</f>
        <v>0</v>
      </c>
      <c r="AM45" s="1042">
        <f t="shared" ref="AM45:AU45" ca="1" si="116">IFERROR(INDEX(INDIRECT($C45&amp;".Outputs["&amp;this.Year&amp;"]"), MATCH(AM$5, INDIRECT($C45&amp;".Outputs[Vector]"), 0)), 0)</f>
        <v>0</v>
      </c>
      <c r="AN45" s="1042">
        <f t="shared" ca="1" si="116"/>
        <v>0</v>
      </c>
      <c r="AO45" s="1042">
        <f t="shared" ca="1" si="116"/>
        <v>0</v>
      </c>
      <c r="AP45" s="1042">
        <f t="shared" ca="1" si="116"/>
        <v>0</v>
      </c>
      <c r="AQ45" s="1042">
        <f t="shared" ca="1" si="116"/>
        <v>0</v>
      </c>
      <c r="AR45" s="1042">
        <f t="shared" ca="1" si="116"/>
        <v>0</v>
      </c>
      <c r="AS45" s="1042">
        <f t="shared" ca="1" si="116"/>
        <v>0</v>
      </c>
      <c r="AT45" s="1042">
        <f t="shared" ca="1" si="116"/>
        <v>0</v>
      </c>
      <c r="AU45" s="1042">
        <f t="shared" ca="1" si="116"/>
        <v>0</v>
      </c>
      <c r="AV45" s="1042">
        <f t="shared" ref="AV45:BE45" ca="1" si="117">IFERROR(INDEX(INDIRECT($C45&amp;".Outputs["&amp;this.Year&amp;"]"), MATCH(AV$5, INDIRECT($C45&amp;".Outputs[Vector]"), 0)), 0)</f>
        <v>0</v>
      </c>
      <c r="AW45" s="1042">
        <f t="shared" ca="1" si="117"/>
        <v>0</v>
      </c>
      <c r="AX45" s="1042">
        <f t="shared" ca="1" si="117"/>
        <v>0</v>
      </c>
      <c r="AY45" s="1042">
        <f t="shared" ca="1" si="117"/>
        <v>0</v>
      </c>
      <c r="AZ45" s="1042">
        <f t="shared" ca="1" si="117"/>
        <v>0</v>
      </c>
      <c r="BA45" s="1042">
        <f t="shared" ca="1" si="117"/>
        <v>0</v>
      </c>
      <c r="BB45" s="1042">
        <f t="shared" ca="1" si="117"/>
        <v>0</v>
      </c>
      <c r="BC45" s="1042">
        <f t="shared" ca="1" si="117"/>
        <v>0</v>
      </c>
      <c r="BD45" s="1042">
        <f t="shared" ca="1" si="117"/>
        <v>0</v>
      </c>
      <c r="BE45" s="1042">
        <f t="shared" ca="1" si="117"/>
        <v>0</v>
      </c>
      <c r="BF45" s="1012">
        <f ca="1">SUM(AM45:BE45)</f>
        <v>0</v>
      </c>
      <c r="BH45" s="1036">
        <f ca="1">IFERROR(INDEX(INDIRECT($C45&amp;".Outputs["&amp;this.Year&amp;"]"), MATCH(BH$5, INDIRECT($C45&amp;".Outputs[Vector]"), 0)), 0)</f>
        <v>0</v>
      </c>
      <c r="BI45" s="1036">
        <f ca="1">IFERROR(INDEX(INDIRECT($C45&amp;".Outputs["&amp;this.Year&amp;"]"), MATCH(BI$5, INDIRECT($C45&amp;".Outputs[Vector]"), 0)), 0)</f>
        <v>0</v>
      </c>
      <c r="BJ45" s="1035">
        <f ca="1">SUM(BH45:BI45)</f>
        <v>0</v>
      </c>
      <c r="BL45" s="515"/>
      <c r="BM45" s="515"/>
      <c r="BN45" s="840"/>
      <c r="BO45" s="1485">
        <f t="shared" ref="BO45:DF45" ca="1" si="118">IFERROR(SUMIFS(INDIRECT($C45&amp;".Emissions["&amp;this.Year&amp;"]"), INDIRECT($C45&amp;".Emissions[GHG]"), BO$6, INDIRECT($C45&amp;".Emissions[IPCC Sector]"), BO$5),0)</f>
        <v>0</v>
      </c>
      <c r="BP45" s="1486">
        <f t="shared" ca="1" si="118"/>
        <v>0</v>
      </c>
      <c r="BQ45" s="1486">
        <f t="shared" ca="1" si="118"/>
        <v>0</v>
      </c>
      <c r="BR45" s="1486">
        <f t="shared" ca="1" si="118"/>
        <v>0</v>
      </c>
      <c r="BS45" s="1486">
        <f t="shared" ca="1" si="118"/>
        <v>0</v>
      </c>
      <c r="BT45" s="1486">
        <f t="shared" ca="1" si="118"/>
        <v>0</v>
      </c>
      <c r="BU45" s="1486">
        <f t="shared" ca="1" si="118"/>
        <v>0</v>
      </c>
      <c r="BV45" s="1486">
        <f t="shared" ca="1" si="118"/>
        <v>0</v>
      </c>
      <c r="BW45" s="1486">
        <f t="shared" ca="1" si="118"/>
        <v>0</v>
      </c>
      <c r="BX45" s="1486">
        <f t="shared" ca="1" si="118"/>
        <v>0</v>
      </c>
      <c r="BY45" s="1486">
        <f t="shared" ca="1" si="118"/>
        <v>0</v>
      </c>
      <c r="BZ45" s="1486">
        <f t="shared" ca="1" si="118"/>
        <v>0</v>
      </c>
      <c r="CA45" s="1486">
        <f t="shared" ca="1" si="118"/>
        <v>0</v>
      </c>
      <c r="CB45" s="1486">
        <f t="shared" ca="1" si="118"/>
        <v>0</v>
      </c>
      <c r="CC45" s="1486">
        <f t="shared" ca="1" si="118"/>
        <v>0</v>
      </c>
      <c r="CD45" s="1486">
        <f t="shared" ca="1" si="118"/>
        <v>0</v>
      </c>
      <c r="CE45" s="1486">
        <f t="shared" ca="1" si="118"/>
        <v>0</v>
      </c>
      <c r="CF45" s="1486">
        <f t="shared" ca="1" si="118"/>
        <v>0</v>
      </c>
      <c r="CG45" s="1486">
        <f t="shared" ca="1" si="118"/>
        <v>0</v>
      </c>
      <c r="CH45" s="1486">
        <f t="shared" ca="1" si="118"/>
        <v>0</v>
      </c>
      <c r="CI45" s="1486">
        <f t="shared" ca="1" si="118"/>
        <v>0</v>
      </c>
      <c r="CJ45" s="1486">
        <f t="shared" ca="1" si="118"/>
        <v>0</v>
      </c>
      <c r="CK45" s="1486">
        <f t="shared" ca="1" si="118"/>
        <v>0</v>
      </c>
      <c r="CL45" s="1486">
        <f t="shared" ca="1" si="118"/>
        <v>0</v>
      </c>
      <c r="CM45" s="1486">
        <f t="shared" ca="1" si="118"/>
        <v>0</v>
      </c>
      <c r="CN45" s="1486">
        <f t="shared" ca="1" si="118"/>
        <v>0</v>
      </c>
      <c r="CO45" s="1486">
        <f t="shared" ca="1" si="118"/>
        <v>0</v>
      </c>
      <c r="CP45" s="1486">
        <f t="shared" ca="1" si="118"/>
        <v>0</v>
      </c>
      <c r="CQ45" s="1486">
        <f t="shared" ca="1" si="118"/>
        <v>0</v>
      </c>
      <c r="CR45" s="1486">
        <f t="shared" ca="1" si="118"/>
        <v>0</v>
      </c>
      <c r="CS45" s="1486">
        <f t="shared" ca="1" si="118"/>
        <v>0</v>
      </c>
      <c r="CT45" s="1486">
        <f t="shared" ca="1" si="118"/>
        <v>0</v>
      </c>
      <c r="CU45" s="1486">
        <f t="shared" ca="1" si="118"/>
        <v>0</v>
      </c>
      <c r="CV45" s="1486">
        <f t="shared" ca="1" si="118"/>
        <v>0</v>
      </c>
      <c r="CW45" s="1486">
        <f t="shared" ca="1" si="118"/>
        <v>0</v>
      </c>
      <c r="CX45" s="1486">
        <f t="shared" ca="1" si="118"/>
        <v>0</v>
      </c>
      <c r="CY45" s="1486">
        <f t="shared" ca="1" si="118"/>
        <v>0</v>
      </c>
      <c r="CZ45" s="1486">
        <f t="shared" ca="1" si="118"/>
        <v>0</v>
      </c>
      <c r="DA45" s="1486">
        <f t="shared" ca="1" si="118"/>
        <v>0</v>
      </c>
      <c r="DB45" s="1486">
        <f t="shared" ca="1" si="118"/>
        <v>0</v>
      </c>
      <c r="DC45" s="1486">
        <f t="shared" ca="1" si="118"/>
        <v>0</v>
      </c>
      <c r="DD45" s="1486">
        <f t="shared" ca="1" si="118"/>
        <v>0</v>
      </c>
      <c r="DE45" s="1486">
        <f t="shared" ca="1" si="118"/>
        <v>0</v>
      </c>
      <c r="DF45" s="1486">
        <f t="shared" ca="1" si="118"/>
        <v>0</v>
      </c>
      <c r="DH45" s="838"/>
    </row>
    <row r="46" spans="1:112" s="743" customFormat="1" ht="15.75" collapsed="1">
      <c r="A46" s="22"/>
      <c r="B46" s="753"/>
      <c r="C46" s="744" t="s">
        <v>674</v>
      </c>
      <c r="D46" s="517" t="str">
        <f>INDEX(Workstreams[Workstream], MATCH($C46, Workstreams[Code], 0))</f>
        <v>H2 Production</v>
      </c>
      <c r="E46" s="512"/>
      <c r="G46" s="1021">
        <f ca="1">G45</f>
        <v>0</v>
      </c>
      <c r="H46" s="1021">
        <f t="shared" ref="H46:P46" ca="1" si="119">H45</f>
        <v>0</v>
      </c>
      <c r="I46" s="1021">
        <f t="shared" ca="1" si="119"/>
        <v>0</v>
      </c>
      <c r="J46" s="1021">
        <f t="shared" ca="1" si="119"/>
        <v>0</v>
      </c>
      <c r="K46" s="1021">
        <f t="shared" ca="1" si="119"/>
        <v>0</v>
      </c>
      <c r="L46" s="1021">
        <f t="shared" ca="1" si="119"/>
        <v>0</v>
      </c>
      <c r="M46" s="1021">
        <f t="shared" ca="1" si="119"/>
        <v>0</v>
      </c>
      <c r="N46" s="1021">
        <f t="shared" ca="1" si="119"/>
        <v>0</v>
      </c>
      <c r="O46" s="1021">
        <f t="shared" ca="1" si="119"/>
        <v>0</v>
      </c>
      <c r="P46" s="1021">
        <f t="shared" ca="1" si="119"/>
        <v>0</v>
      </c>
      <c r="Q46" s="1021">
        <f ca="1">SUM(G46:P46)</f>
        <v>0</v>
      </c>
      <c r="S46" s="970">
        <f t="shared" ref="S46:AJ46" ca="1" si="120">S45</f>
        <v>0</v>
      </c>
      <c r="T46" s="970">
        <f t="shared" ca="1" si="120"/>
        <v>0</v>
      </c>
      <c r="U46" s="970">
        <f t="shared" ca="1" si="120"/>
        <v>0</v>
      </c>
      <c r="V46" s="970">
        <f t="shared" ca="1" si="120"/>
        <v>0</v>
      </c>
      <c r="W46" s="970">
        <f t="shared" ca="1" si="120"/>
        <v>0</v>
      </c>
      <c r="X46" s="970">
        <f t="shared" ca="1" si="120"/>
        <v>0</v>
      </c>
      <c r="Y46" s="970">
        <f t="shared" ca="1" si="120"/>
        <v>0</v>
      </c>
      <c r="Z46" s="970">
        <f t="shared" ca="1" si="120"/>
        <v>0</v>
      </c>
      <c r="AA46" s="970">
        <f t="shared" ca="1" si="120"/>
        <v>0</v>
      </c>
      <c r="AB46" s="970">
        <f t="shared" ca="1" si="120"/>
        <v>0</v>
      </c>
      <c r="AC46" s="970">
        <f t="shared" ca="1" si="120"/>
        <v>0</v>
      </c>
      <c r="AD46" s="970">
        <f ca="1">AD45</f>
        <v>0</v>
      </c>
      <c r="AE46" s="970">
        <f ca="1">AE45</f>
        <v>0</v>
      </c>
      <c r="AF46" s="970">
        <f t="shared" ca="1" si="120"/>
        <v>0</v>
      </c>
      <c r="AG46" s="970">
        <f ca="1">AG45</f>
        <v>0</v>
      </c>
      <c r="AH46" s="970">
        <f ca="1">AH45</f>
        <v>0</v>
      </c>
      <c r="AI46" s="970">
        <f ca="1">AI45</f>
        <v>0</v>
      </c>
      <c r="AJ46" s="970">
        <f t="shared" ca="1" si="120"/>
        <v>0</v>
      </c>
      <c r="AK46" s="970">
        <f ca="1">SUM(S46:AJ46)</f>
        <v>0</v>
      </c>
      <c r="AM46" s="976">
        <f ca="1">AM45</f>
        <v>0</v>
      </c>
      <c r="AN46" s="976">
        <f t="shared" ref="AN46:BE46" ca="1" si="121">AN45</f>
        <v>0</v>
      </c>
      <c r="AO46" s="976">
        <f t="shared" ca="1" si="121"/>
        <v>0</v>
      </c>
      <c r="AP46" s="976">
        <f t="shared" ca="1" si="121"/>
        <v>0</v>
      </c>
      <c r="AQ46" s="976">
        <f t="shared" ca="1" si="121"/>
        <v>0</v>
      </c>
      <c r="AR46" s="976">
        <f t="shared" ca="1" si="121"/>
        <v>0</v>
      </c>
      <c r="AS46" s="976">
        <f t="shared" ca="1" si="121"/>
        <v>0</v>
      </c>
      <c r="AT46" s="976">
        <f t="shared" ca="1" si="121"/>
        <v>0</v>
      </c>
      <c r="AU46" s="976">
        <f t="shared" ca="1" si="121"/>
        <v>0</v>
      </c>
      <c r="AV46" s="976">
        <f t="shared" ca="1" si="121"/>
        <v>0</v>
      </c>
      <c r="AW46" s="976">
        <f t="shared" ca="1" si="121"/>
        <v>0</v>
      </c>
      <c r="AX46" s="976">
        <f t="shared" ca="1" si="121"/>
        <v>0</v>
      </c>
      <c r="AY46" s="976">
        <f t="shared" ca="1" si="121"/>
        <v>0</v>
      </c>
      <c r="AZ46" s="976">
        <f t="shared" ca="1" si="121"/>
        <v>0</v>
      </c>
      <c r="BA46" s="976">
        <f t="shared" ca="1" si="121"/>
        <v>0</v>
      </c>
      <c r="BB46" s="976">
        <f t="shared" ca="1" si="121"/>
        <v>0</v>
      </c>
      <c r="BC46" s="976">
        <f t="shared" ca="1" si="121"/>
        <v>0</v>
      </c>
      <c r="BD46" s="976">
        <f t="shared" ca="1" si="121"/>
        <v>0</v>
      </c>
      <c r="BE46" s="976">
        <f t="shared" ca="1" si="121"/>
        <v>0</v>
      </c>
      <c r="BF46" s="976">
        <f ca="1">SUM(AM46:BE46)</f>
        <v>0</v>
      </c>
      <c r="BH46" s="990">
        <f ca="1">BH45</f>
        <v>0</v>
      </c>
      <c r="BI46" s="990">
        <f ca="1">BI45</f>
        <v>0</v>
      </c>
      <c r="BJ46" s="990">
        <f ca="1">SUM(BH46:BI46)</f>
        <v>0</v>
      </c>
      <c r="BL46" s="515">
        <f ca="1">Q46+AK46+BF46+BJ46</f>
        <v>0</v>
      </c>
      <c r="BM46" s="515"/>
      <c r="BN46" s="840"/>
      <c r="BO46" s="1482">
        <f t="shared" ref="BO46:DF46" ca="1" si="122">BO45</f>
        <v>0</v>
      </c>
      <c r="BP46" s="1482">
        <f t="shared" ca="1" si="122"/>
        <v>0</v>
      </c>
      <c r="BQ46" s="1482">
        <f t="shared" ca="1" si="122"/>
        <v>0</v>
      </c>
      <c r="BR46" s="1482">
        <f t="shared" ca="1" si="122"/>
        <v>0</v>
      </c>
      <c r="BS46" s="1482">
        <f t="shared" ca="1" si="122"/>
        <v>0</v>
      </c>
      <c r="BT46" s="1482">
        <f t="shared" ca="1" si="122"/>
        <v>0</v>
      </c>
      <c r="BU46" s="1482">
        <f t="shared" ca="1" si="122"/>
        <v>0</v>
      </c>
      <c r="BV46" s="1482">
        <f t="shared" ca="1" si="122"/>
        <v>0</v>
      </c>
      <c r="BW46" s="1482">
        <f t="shared" ca="1" si="122"/>
        <v>0</v>
      </c>
      <c r="BX46" s="1482">
        <f t="shared" ca="1" si="122"/>
        <v>0</v>
      </c>
      <c r="BY46" s="1482">
        <f t="shared" ca="1" si="122"/>
        <v>0</v>
      </c>
      <c r="BZ46" s="1482">
        <f t="shared" ca="1" si="122"/>
        <v>0</v>
      </c>
      <c r="CA46" s="1482">
        <f t="shared" ca="1" si="122"/>
        <v>0</v>
      </c>
      <c r="CB46" s="1482">
        <f t="shared" ca="1" si="122"/>
        <v>0</v>
      </c>
      <c r="CC46" s="1482">
        <f t="shared" ca="1" si="122"/>
        <v>0</v>
      </c>
      <c r="CD46" s="1482">
        <f t="shared" ca="1" si="122"/>
        <v>0</v>
      </c>
      <c r="CE46" s="1482">
        <f t="shared" ca="1" si="122"/>
        <v>0</v>
      </c>
      <c r="CF46" s="1482">
        <f t="shared" ca="1" si="122"/>
        <v>0</v>
      </c>
      <c r="CG46" s="1482">
        <f t="shared" ca="1" si="122"/>
        <v>0</v>
      </c>
      <c r="CH46" s="1482">
        <f t="shared" ca="1" si="122"/>
        <v>0</v>
      </c>
      <c r="CI46" s="1482">
        <f t="shared" ca="1" si="122"/>
        <v>0</v>
      </c>
      <c r="CJ46" s="1482">
        <f t="shared" ca="1" si="122"/>
        <v>0</v>
      </c>
      <c r="CK46" s="1482">
        <f t="shared" ca="1" si="122"/>
        <v>0</v>
      </c>
      <c r="CL46" s="1482">
        <f t="shared" ca="1" si="122"/>
        <v>0</v>
      </c>
      <c r="CM46" s="1482">
        <f t="shared" ca="1" si="122"/>
        <v>0</v>
      </c>
      <c r="CN46" s="1482">
        <f t="shared" ca="1" si="122"/>
        <v>0</v>
      </c>
      <c r="CO46" s="1482">
        <f t="shared" ca="1" si="122"/>
        <v>0</v>
      </c>
      <c r="CP46" s="1482">
        <f t="shared" ca="1" si="122"/>
        <v>0</v>
      </c>
      <c r="CQ46" s="1482">
        <f t="shared" ca="1" si="122"/>
        <v>0</v>
      </c>
      <c r="CR46" s="1482">
        <f t="shared" ca="1" si="122"/>
        <v>0</v>
      </c>
      <c r="CS46" s="1482">
        <f t="shared" ca="1" si="122"/>
        <v>0</v>
      </c>
      <c r="CT46" s="1482">
        <f t="shared" ca="1" si="122"/>
        <v>0</v>
      </c>
      <c r="CU46" s="1482">
        <f t="shared" ca="1" si="122"/>
        <v>0</v>
      </c>
      <c r="CV46" s="1482">
        <f t="shared" ca="1" si="122"/>
        <v>0</v>
      </c>
      <c r="CW46" s="1482">
        <f t="shared" ca="1" si="122"/>
        <v>0</v>
      </c>
      <c r="CX46" s="1482">
        <f t="shared" ca="1" si="122"/>
        <v>0</v>
      </c>
      <c r="CY46" s="1482">
        <f t="shared" ca="1" si="122"/>
        <v>0</v>
      </c>
      <c r="CZ46" s="1482">
        <f t="shared" ca="1" si="122"/>
        <v>0</v>
      </c>
      <c r="DA46" s="1482">
        <f t="shared" ca="1" si="122"/>
        <v>0</v>
      </c>
      <c r="DB46" s="1482">
        <f t="shared" ca="1" si="122"/>
        <v>0</v>
      </c>
      <c r="DC46" s="1482">
        <f t="shared" ca="1" si="122"/>
        <v>0</v>
      </c>
      <c r="DD46" s="1482">
        <f t="shared" ca="1" si="122"/>
        <v>0</v>
      </c>
      <c r="DE46" s="1482">
        <f t="shared" ca="1" si="122"/>
        <v>0</v>
      </c>
      <c r="DF46" s="1482">
        <f t="shared" ca="1" si="122"/>
        <v>0</v>
      </c>
      <c r="DH46" s="838">
        <f t="shared" ref="DH46:DH82" ca="1" si="123">SUM(BO46:DF46)</f>
        <v>0</v>
      </c>
    </row>
    <row r="47" spans="1:112" s="743" customFormat="1" hidden="1" outlineLevel="1">
      <c r="C47" s="508"/>
      <c r="D47" s="509"/>
      <c r="E47" s="509"/>
      <c r="G47" s="958"/>
      <c r="H47" s="958"/>
      <c r="I47" s="958"/>
      <c r="J47" s="958"/>
      <c r="K47" s="960"/>
      <c r="L47" s="958"/>
      <c r="M47" s="958"/>
      <c r="N47" s="958"/>
      <c r="O47" s="958"/>
      <c r="P47" s="958"/>
      <c r="Q47" s="958"/>
      <c r="S47" s="970"/>
      <c r="T47" s="970"/>
      <c r="U47" s="970"/>
      <c r="V47" s="970"/>
      <c r="W47" s="970"/>
      <c r="X47" s="970"/>
      <c r="Y47" s="970"/>
      <c r="Z47" s="970"/>
      <c r="AA47" s="970"/>
      <c r="AB47" s="970"/>
      <c r="AC47" s="970"/>
      <c r="AD47" s="970"/>
      <c r="AE47" s="970"/>
      <c r="AF47" s="970"/>
      <c r="AG47" s="970"/>
      <c r="AH47" s="970"/>
      <c r="AI47" s="970"/>
      <c r="AJ47" s="970"/>
      <c r="AK47" s="970"/>
      <c r="AM47" s="976"/>
      <c r="AN47" s="976"/>
      <c r="AO47" s="976"/>
      <c r="AP47" s="976"/>
      <c r="AQ47" s="976"/>
      <c r="AR47" s="976"/>
      <c r="AS47" s="976"/>
      <c r="AT47" s="976"/>
      <c r="AU47" s="976"/>
      <c r="AV47" s="976"/>
      <c r="AW47" s="976"/>
      <c r="AX47" s="976"/>
      <c r="AY47" s="976"/>
      <c r="AZ47" s="976"/>
      <c r="BA47" s="976"/>
      <c r="BB47" s="976"/>
      <c r="BC47" s="976"/>
      <c r="BD47" s="976"/>
      <c r="BE47" s="976"/>
      <c r="BF47" s="976"/>
      <c r="BH47" s="990"/>
      <c r="BI47" s="990"/>
      <c r="BJ47" s="990"/>
      <c r="BL47" s="515">
        <f>Q47+AK47+BF47+BJ47</f>
        <v>0</v>
      </c>
      <c r="BM47" s="515"/>
      <c r="BO47" s="1482"/>
      <c r="BP47" s="1482"/>
      <c r="BQ47" s="1482"/>
      <c r="BR47" s="1482"/>
      <c r="BS47" s="1482"/>
      <c r="BT47" s="1482"/>
      <c r="BU47" s="1482"/>
      <c r="BV47" s="1482"/>
      <c r="BW47" s="1482"/>
      <c r="BX47" s="1482"/>
      <c r="BY47" s="1482"/>
      <c r="BZ47" s="1482"/>
      <c r="CA47" s="1482"/>
      <c r="CB47" s="1482"/>
      <c r="CC47" s="1482"/>
      <c r="CD47" s="1482"/>
      <c r="CE47" s="1482"/>
      <c r="CF47" s="1482"/>
      <c r="CG47" s="1482"/>
      <c r="CH47" s="1482"/>
      <c r="CI47" s="1482"/>
      <c r="CJ47" s="1482"/>
      <c r="CK47" s="1482"/>
      <c r="CL47" s="1482"/>
      <c r="CM47" s="1482"/>
      <c r="CN47" s="1482"/>
      <c r="CO47" s="1482"/>
      <c r="CP47" s="1482"/>
      <c r="CQ47" s="1482"/>
      <c r="CR47" s="1482"/>
      <c r="CS47" s="1482"/>
      <c r="CT47" s="1482"/>
      <c r="CU47" s="1482"/>
      <c r="CV47" s="1482"/>
      <c r="CW47" s="1482"/>
      <c r="CX47" s="1482"/>
      <c r="CY47" s="1482"/>
      <c r="CZ47" s="1482"/>
      <c r="DA47" s="1482"/>
      <c r="DB47" s="1482"/>
      <c r="DC47" s="1482"/>
      <c r="DD47" s="1482"/>
      <c r="DE47" s="1482"/>
      <c r="DF47" s="1482"/>
      <c r="DH47" s="838">
        <f t="shared" si="123"/>
        <v>0</v>
      </c>
    </row>
    <row r="48" spans="1:112" s="743" customFormat="1" hidden="1" outlineLevel="1">
      <c r="A48" s="1484"/>
      <c r="B48" s="1484"/>
      <c r="C48" s="746" t="s">
        <v>2280</v>
      </c>
      <c r="D48" s="521" t="str">
        <f>INDEX(Modules[Module], MATCH($C48, Modules[Code], 0))</f>
        <v>Marine algae</v>
      </c>
      <c r="E48" s="521"/>
      <c r="G48" s="1017">
        <f t="shared" ref="G48:P49" ca="1" si="124">IFERROR(INDEX(INDIRECT($C48&amp;".Outputs["&amp;this.Year&amp;"]"), MATCH(G$5, INDIRECT($C48&amp;".Outputs[Vector]"), 0)), 0)</f>
        <v>0</v>
      </c>
      <c r="H48" s="1017">
        <f t="shared" ca="1" si="124"/>
        <v>0</v>
      </c>
      <c r="I48" s="1017">
        <f t="shared" ca="1" si="124"/>
        <v>0</v>
      </c>
      <c r="J48" s="1017">
        <f t="shared" ca="1" si="124"/>
        <v>0</v>
      </c>
      <c r="K48" s="1017">
        <f t="shared" ca="1" si="124"/>
        <v>0</v>
      </c>
      <c r="L48" s="1017">
        <f t="shared" ca="1" si="124"/>
        <v>0</v>
      </c>
      <c r="M48" s="1017">
        <f t="shared" ca="1" si="124"/>
        <v>0</v>
      </c>
      <c r="N48" s="1017">
        <f t="shared" ca="1" si="124"/>
        <v>0</v>
      </c>
      <c r="O48" s="1017">
        <f t="shared" ca="1" si="124"/>
        <v>0</v>
      </c>
      <c r="P48" s="1017">
        <f t="shared" ca="1" si="124"/>
        <v>0</v>
      </c>
      <c r="Q48" s="1019">
        <f ca="1">SUM(G48:P48)</f>
        <v>0</v>
      </c>
      <c r="S48" s="1026">
        <f t="shared" ref="S48:BE49" ca="1" si="125">IFERROR(INDEX(INDIRECT($C48&amp;".Outputs["&amp;this.Year&amp;"]"), MATCH(S$5, INDIRECT($C48&amp;".Outputs[Vector]"), 0)), 0)</f>
        <v>0</v>
      </c>
      <c r="T48" s="1026">
        <f t="shared" ca="1" si="125"/>
        <v>0</v>
      </c>
      <c r="U48" s="1026">
        <f t="shared" ca="1" si="125"/>
        <v>0</v>
      </c>
      <c r="V48" s="1026">
        <f t="shared" ca="1" si="125"/>
        <v>0</v>
      </c>
      <c r="W48" s="1026">
        <f t="shared" ca="1" si="125"/>
        <v>0</v>
      </c>
      <c r="X48" s="1026">
        <f t="shared" ref="X48:Z50" ca="1" si="126">IFERROR(INDEX(INDIRECT($C48&amp;".Outputs["&amp;this.Year&amp;"]"), MATCH(X$5, INDIRECT($C48&amp;".Outputs[Vector]"), 0)), 0)</f>
        <v>0</v>
      </c>
      <c r="Y48" s="1026">
        <f t="shared" ca="1" si="126"/>
        <v>0</v>
      </c>
      <c r="Z48" s="1026">
        <f t="shared" ca="1" si="126"/>
        <v>0</v>
      </c>
      <c r="AA48" s="1026">
        <f t="shared" ca="1" si="125"/>
        <v>0</v>
      </c>
      <c r="AB48" s="1026">
        <f t="shared" ca="1" si="125"/>
        <v>0</v>
      </c>
      <c r="AC48" s="1026">
        <f t="shared" ca="1" si="125"/>
        <v>0</v>
      </c>
      <c r="AD48" s="1026">
        <f t="shared" ca="1" si="125"/>
        <v>0</v>
      </c>
      <c r="AE48" s="1026">
        <f t="shared" ca="1" si="125"/>
        <v>0</v>
      </c>
      <c r="AF48" s="1026">
        <f t="shared" ca="1" si="125"/>
        <v>0</v>
      </c>
      <c r="AG48" s="1026">
        <f t="shared" ca="1" si="125"/>
        <v>0</v>
      </c>
      <c r="AH48" s="1026">
        <f t="shared" ca="1" si="125"/>
        <v>0</v>
      </c>
      <c r="AI48" s="1026">
        <f t="shared" ca="1" si="125"/>
        <v>0</v>
      </c>
      <c r="AJ48" s="1026">
        <f t="shared" ca="1" si="125"/>
        <v>0</v>
      </c>
      <c r="AK48" s="1027">
        <f ca="1">SUM(S48:AJ48)</f>
        <v>0</v>
      </c>
      <c r="AM48" s="1038">
        <f t="shared" ref="AM48:AU50" ca="1" si="127">IFERROR(INDEX(INDIRECT($C48&amp;".Outputs["&amp;this.Year&amp;"]"), MATCH(AM$5, INDIRECT($C48&amp;".Outputs[Vector]"), 0)), 0)</f>
        <v>0</v>
      </c>
      <c r="AN48" s="1038">
        <f t="shared" ca="1" si="127"/>
        <v>0</v>
      </c>
      <c r="AO48" s="1038">
        <f t="shared" ca="1" si="127"/>
        <v>0</v>
      </c>
      <c r="AP48" s="1038">
        <f t="shared" ca="1" si="127"/>
        <v>0</v>
      </c>
      <c r="AQ48" s="1038">
        <f t="shared" ca="1" si="127"/>
        <v>0</v>
      </c>
      <c r="AR48" s="1038">
        <f t="shared" ca="1" si="127"/>
        <v>0</v>
      </c>
      <c r="AS48" s="1038">
        <f t="shared" ca="1" si="127"/>
        <v>0</v>
      </c>
      <c r="AT48" s="1038">
        <f t="shared" ca="1" si="127"/>
        <v>0</v>
      </c>
      <c r="AU48" s="1038">
        <f t="shared" ca="1" si="127"/>
        <v>0</v>
      </c>
      <c r="AV48" s="1038">
        <f t="shared" ca="1" si="125"/>
        <v>0</v>
      </c>
      <c r="AW48" s="1038">
        <f t="shared" ca="1" si="125"/>
        <v>0</v>
      </c>
      <c r="AX48" s="1038">
        <f t="shared" ca="1" si="125"/>
        <v>0</v>
      </c>
      <c r="AY48" s="1038">
        <f t="shared" ca="1" si="125"/>
        <v>0</v>
      </c>
      <c r="AZ48" s="1038">
        <f t="shared" ca="1" si="125"/>
        <v>0</v>
      </c>
      <c r="BA48" s="1038">
        <f t="shared" ca="1" si="125"/>
        <v>0</v>
      </c>
      <c r="BB48" s="1038">
        <f t="shared" ca="1" si="125"/>
        <v>0</v>
      </c>
      <c r="BC48" s="1038">
        <f t="shared" ca="1" si="125"/>
        <v>0</v>
      </c>
      <c r="BD48" s="1038">
        <f t="shared" ca="1" si="125"/>
        <v>0</v>
      </c>
      <c r="BE48" s="1038">
        <f t="shared" ca="1" si="125"/>
        <v>0</v>
      </c>
      <c r="BF48" s="979">
        <f ca="1">SUM(AM48:BE48)</f>
        <v>0</v>
      </c>
      <c r="BH48" s="1032">
        <f t="shared" ref="BH48:BI50" ca="1" si="128">IFERROR(INDEX(INDIRECT($C48&amp;".Outputs["&amp;this.Year&amp;"]"), MATCH(BH$5, INDIRECT($C48&amp;".Outputs[Vector]"), 0)), 0)</f>
        <v>0</v>
      </c>
      <c r="BI48" s="1032">
        <f t="shared" ca="1" si="128"/>
        <v>0</v>
      </c>
      <c r="BJ48" s="1034">
        <f ca="1">SUM(BH48:BI48)</f>
        <v>0</v>
      </c>
      <c r="BL48" s="814"/>
      <c r="BM48" s="814"/>
      <c r="BN48" s="840"/>
      <c r="BO48" s="1481">
        <f t="shared" ref="BO48:BX50" ca="1" si="129">IFERROR(SUMIFS(INDIRECT($C48&amp;".Emissions["&amp;this.Year&amp;"]"), INDIRECT($C48&amp;".Emissions[GHG]"), BO$6, INDIRECT($C48&amp;".Emissions[IPCC Sector]"), BO$5),0)</f>
        <v>0</v>
      </c>
      <c r="BP48" s="1482">
        <f t="shared" ca="1" si="129"/>
        <v>0</v>
      </c>
      <c r="BQ48" s="1482">
        <f t="shared" ca="1" si="129"/>
        <v>0</v>
      </c>
      <c r="BR48" s="1482">
        <f t="shared" ca="1" si="129"/>
        <v>0</v>
      </c>
      <c r="BS48" s="1482">
        <f t="shared" ca="1" si="129"/>
        <v>0</v>
      </c>
      <c r="BT48" s="1482">
        <f t="shared" ca="1" si="129"/>
        <v>0</v>
      </c>
      <c r="BU48" s="1482">
        <f t="shared" ca="1" si="129"/>
        <v>0</v>
      </c>
      <c r="BV48" s="1482">
        <f t="shared" ca="1" si="129"/>
        <v>0</v>
      </c>
      <c r="BW48" s="1482">
        <f t="shared" ca="1" si="129"/>
        <v>0</v>
      </c>
      <c r="BX48" s="1482">
        <f t="shared" ca="1" si="129"/>
        <v>0</v>
      </c>
      <c r="BY48" s="1482">
        <f t="shared" ref="BY48:CH50" ca="1" si="130">IFERROR(SUMIFS(INDIRECT($C48&amp;".Emissions["&amp;this.Year&amp;"]"), INDIRECT($C48&amp;".Emissions[GHG]"), BY$6, INDIRECT($C48&amp;".Emissions[IPCC Sector]"), BY$5),0)</f>
        <v>0</v>
      </c>
      <c r="BZ48" s="1482">
        <f t="shared" ca="1" si="130"/>
        <v>0</v>
      </c>
      <c r="CA48" s="1482">
        <f t="shared" ca="1" si="130"/>
        <v>0</v>
      </c>
      <c r="CB48" s="1482">
        <f t="shared" ca="1" si="130"/>
        <v>0</v>
      </c>
      <c r="CC48" s="1482">
        <f t="shared" ca="1" si="130"/>
        <v>0</v>
      </c>
      <c r="CD48" s="1482">
        <f t="shared" ca="1" si="130"/>
        <v>0</v>
      </c>
      <c r="CE48" s="1482">
        <f t="shared" ca="1" si="130"/>
        <v>0</v>
      </c>
      <c r="CF48" s="1482">
        <f t="shared" ca="1" si="130"/>
        <v>0</v>
      </c>
      <c r="CG48" s="1482">
        <f t="shared" ca="1" si="130"/>
        <v>0</v>
      </c>
      <c r="CH48" s="1482">
        <f t="shared" ca="1" si="130"/>
        <v>0</v>
      </c>
      <c r="CI48" s="1482">
        <f t="shared" ref="CI48:CR50" ca="1" si="131">IFERROR(SUMIFS(INDIRECT($C48&amp;".Emissions["&amp;this.Year&amp;"]"), INDIRECT($C48&amp;".Emissions[GHG]"), CI$6, INDIRECT($C48&amp;".Emissions[IPCC Sector]"), CI$5),0)</f>
        <v>0</v>
      </c>
      <c r="CJ48" s="1482">
        <f t="shared" ca="1" si="131"/>
        <v>0</v>
      </c>
      <c r="CK48" s="1482">
        <f t="shared" ca="1" si="131"/>
        <v>0</v>
      </c>
      <c r="CL48" s="1482">
        <f t="shared" ca="1" si="131"/>
        <v>0</v>
      </c>
      <c r="CM48" s="1482">
        <f t="shared" ca="1" si="131"/>
        <v>0</v>
      </c>
      <c r="CN48" s="1482">
        <f t="shared" ca="1" si="131"/>
        <v>0</v>
      </c>
      <c r="CO48" s="1482">
        <f t="shared" ca="1" si="131"/>
        <v>0</v>
      </c>
      <c r="CP48" s="1482">
        <f t="shared" ca="1" si="131"/>
        <v>0</v>
      </c>
      <c r="CQ48" s="1482">
        <f t="shared" ca="1" si="131"/>
        <v>0</v>
      </c>
      <c r="CR48" s="1482">
        <f t="shared" ca="1" si="131"/>
        <v>0</v>
      </c>
      <c r="CS48" s="1482">
        <f t="shared" ref="CS48:DF50" ca="1" si="132">IFERROR(SUMIFS(INDIRECT($C48&amp;".Emissions["&amp;this.Year&amp;"]"), INDIRECT($C48&amp;".Emissions[GHG]"), CS$6, INDIRECT($C48&amp;".Emissions[IPCC Sector]"), CS$5),0)</f>
        <v>0</v>
      </c>
      <c r="CT48" s="1482">
        <f t="shared" ca="1" si="132"/>
        <v>0</v>
      </c>
      <c r="CU48" s="1482">
        <f t="shared" ca="1" si="132"/>
        <v>0</v>
      </c>
      <c r="CV48" s="1482">
        <f t="shared" ca="1" si="132"/>
        <v>0</v>
      </c>
      <c r="CW48" s="1482">
        <f t="shared" ca="1" si="132"/>
        <v>0</v>
      </c>
      <c r="CX48" s="1482">
        <f t="shared" ca="1" si="132"/>
        <v>0</v>
      </c>
      <c r="CY48" s="1482">
        <f t="shared" ca="1" si="132"/>
        <v>0</v>
      </c>
      <c r="CZ48" s="1482">
        <f t="shared" ca="1" si="132"/>
        <v>0</v>
      </c>
      <c r="DA48" s="1482">
        <f t="shared" ca="1" si="132"/>
        <v>0</v>
      </c>
      <c r="DB48" s="1482">
        <f t="shared" ca="1" si="132"/>
        <v>0</v>
      </c>
      <c r="DC48" s="1482">
        <f t="shared" ca="1" si="132"/>
        <v>0</v>
      </c>
      <c r="DD48" s="1482">
        <f t="shared" ca="1" si="132"/>
        <v>0</v>
      </c>
      <c r="DE48" s="1482">
        <f t="shared" ca="1" si="132"/>
        <v>0</v>
      </c>
      <c r="DF48" s="1482">
        <f t="shared" ca="1" si="132"/>
        <v>0</v>
      </c>
      <c r="DH48" s="838">
        <f ca="1">SUM(BO48:DF48)</f>
        <v>0</v>
      </c>
    </row>
    <row r="49" spans="1:112" s="743" customFormat="1" hidden="1" outlineLevel="1">
      <c r="A49" s="1484"/>
      <c r="B49" s="1484"/>
      <c r="C49" s="746" t="s">
        <v>965</v>
      </c>
      <c r="D49" s="521" t="str">
        <f>INDEX(Modules[Module], MATCH($C49, Modules[Code], 0))</f>
        <v>Waste arising</v>
      </c>
      <c r="E49" s="521"/>
      <c r="G49" s="1017">
        <f t="shared" ca="1" si="124"/>
        <v>0</v>
      </c>
      <c r="H49" s="1017">
        <f t="shared" ca="1" si="124"/>
        <v>0</v>
      </c>
      <c r="I49" s="1017">
        <f t="shared" ca="1" si="124"/>
        <v>0</v>
      </c>
      <c r="J49" s="1017">
        <f t="shared" ca="1" si="124"/>
        <v>0</v>
      </c>
      <c r="K49" s="1017">
        <f t="shared" ca="1" si="124"/>
        <v>0</v>
      </c>
      <c r="L49" s="1017">
        <f t="shared" ca="1" si="124"/>
        <v>0</v>
      </c>
      <c r="M49" s="1017">
        <f t="shared" ca="1" si="124"/>
        <v>0</v>
      </c>
      <c r="N49" s="1017">
        <f t="shared" ca="1" si="124"/>
        <v>0</v>
      </c>
      <c r="O49" s="1017">
        <f t="shared" ca="1" si="124"/>
        <v>0</v>
      </c>
      <c r="P49" s="1017">
        <f t="shared" ca="1" si="124"/>
        <v>0</v>
      </c>
      <c r="Q49" s="1019">
        <f ca="1">SUM(G49:P49)</f>
        <v>0</v>
      </c>
      <c r="S49" s="1026">
        <f t="shared" ca="1" si="125"/>
        <v>0</v>
      </c>
      <c r="T49" s="1026">
        <f t="shared" ca="1" si="125"/>
        <v>0</v>
      </c>
      <c r="U49" s="1026">
        <f t="shared" ca="1" si="125"/>
        <v>0</v>
      </c>
      <c r="V49" s="1026">
        <f t="shared" ca="1" si="125"/>
        <v>0</v>
      </c>
      <c r="W49" s="1026">
        <f t="shared" ca="1" si="125"/>
        <v>0</v>
      </c>
      <c r="X49" s="1026">
        <f t="shared" ca="1" si="126"/>
        <v>77.291223495085276</v>
      </c>
      <c r="Y49" s="1026">
        <f t="shared" ca="1" si="126"/>
        <v>0</v>
      </c>
      <c r="Z49" s="1026">
        <f t="shared" ca="1" si="126"/>
        <v>0</v>
      </c>
      <c r="AA49" s="1026">
        <f t="shared" ca="1" si="125"/>
        <v>0</v>
      </c>
      <c r="AB49" s="1026">
        <f t="shared" ca="1" si="125"/>
        <v>0</v>
      </c>
      <c r="AC49" s="1026">
        <f t="shared" ca="1" si="125"/>
        <v>0</v>
      </c>
      <c r="AD49" s="1026">
        <f t="shared" ca="1" si="125"/>
        <v>0</v>
      </c>
      <c r="AE49" s="1026">
        <f t="shared" ca="1" si="125"/>
        <v>0</v>
      </c>
      <c r="AF49" s="1026">
        <f t="shared" ca="1" si="125"/>
        <v>39.451902256551364</v>
      </c>
      <c r="AG49" s="1026">
        <f t="shared" ca="1" si="125"/>
        <v>18.872816609573164</v>
      </c>
      <c r="AH49" s="1026">
        <f t="shared" ca="1" si="125"/>
        <v>16.949513130720788</v>
      </c>
      <c r="AI49" s="1026">
        <f t="shared" ca="1" si="125"/>
        <v>0</v>
      </c>
      <c r="AJ49" s="1026">
        <f t="shared" ca="1" si="125"/>
        <v>0</v>
      </c>
      <c r="AK49" s="1027">
        <f ca="1">SUM(S49:AJ49)</f>
        <v>152.56545549193061</v>
      </c>
      <c r="AM49" s="1038">
        <f t="shared" ca="1" si="127"/>
        <v>0</v>
      </c>
      <c r="AN49" s="1038">
        <f t="shared" ca="1" si="127"/>
        <v>0</v>
      </c>
      <c r="AO49" s="1038">
        <f t="shared" ca="1" si="127"/>
        <v>0</v>
      </c>
      <c r="AP49" s="1038">
        <f t="shared" ca="1" si="127"/>
        <v>0</v>
      </c>
      <c r="AQ49" s="1038">
        <f t="shared" ca="1" si="127"/>
        <v>0</v>
      </c>
      <c r="AR49" s="1038">
        <f t="shared" ca="1" si="127"/>
        <v>0</v>
      </c>
      <c r="AS49" s="1038">
        <f t="shared" ca="1" si="127"/>
        <v>0</v>
      </c>
      <c r="AT49" s="1038">
        <f t="shared" ca="1" si="127"/>
        <v>0</v>
      </c>
      <c r="AU49" s="1038">
        <f t="shared" ca="1" si="127"/>
        <v>0</v>
      </c>
      <c r="AV49" s="1038">
        <f t="shared" ca="1" si="125"/>
        <v>0</v>
      </c>
      <c r="AW49" s="1038">
        <f t="shared" ca="1" si="125"/>
        <v>0</v>
      </c>
      <c r="AX49" s="1038">
        <f t="shared" ca="1" si="125"/>
        <v>0</v>
      </c>
      <c r="AY49" s="1038">
        <f t="shared" ca="1" si="125"/>
        <v>0</v>
      </c>
      <c r="AZ49" s="1038">
        <f t="shared" ca="1" si="125"/>
        <v>0</v>
      </c>
      <c r="BA49" s="1038">
        <f t="shared" ca="1" si="125"/>
        <v>0</v>
      </c>
      <c r="BB49" s="1038">
        <f t="shared" ca="1" si="125"/>
        <v>0</v>
      </c>
      <c r="BC49" s="1038">
        <f t="shared" ca="1" si="125"/>
        <v>0</v>
      </c>
      <c r="BD49" s="1038">
        <f t="shared" ca="1" si="125"/>
        <v>0</v>
      </c>
      <c r="BE49" s="1038">
        <f t="shared" ca="1" si="125"/>
        <v>-152.56545549193058</v>
      </c>
      <c r="BF49" s="979">
        <f ca="1">SUM(AM49:BE49)</f>
        <v>-152.56545549193058</v>
      </c>
      <c r="BH49" s="1032">
        <f t="shared" ca="1" si="128"/>
        <v>0</v>
      </c>
      <c r="BI49" s="1032">
        <f t="shared" ca="1" si="128"/>
        <v>0</v>
      </c>
      <c r="BJ49" s="1034">
        <f ca="1">SUM(BH49:BI49)</f>
        <v>0</v>
      </c>
      <c r="BL49" s="814"/>
      <c r="BM49" s="814"/>
      <c r="BN49" s="840"/>
      <c r="BO49" s="1481">
        <f t="shared" ca="1" si="129"/>
        <v>0</v>
      </c>
      <c r="BP49" s="1482">
        <f t="shared" ca="1" si="129"/>
        <v>0</v>
      </c>
      <c r="BQ49" s="1482">
        <f t="shared" ca="1" si="129"/>
        <v>0</v>
      </c>
      <c r="BR49" s="1482">
        <f t="shared" ca="1" si="129"/>
        <v>0</v>
      </c>
      <c r="BS49" s="1482">
        <f t="shared" ca="1" si="129"/>
        <v>0</v>
      </c>
      <c r="BT49" s="1482">
        <f t="shared" ca="1" si="129"/>
        <v>0</v>
      </c>
      <c r="BU49" s="1482">
        <f t="shared" ca="1" si="129"/>
        <v>0</v>
      </c>
      <c r="BV49" s="1482">
        <f t="shared" ca="1" si="129"/>
        <v>0</v>
      </c>
      <c r="BW49" s="1482">
        <f t="shared" ca="1" si="129"/>
        <v>0</v>
      </c>
      <c r="BX49" s="1482">
        <f t="shared" ca="1" si="129"/>
        <v>0</v>
      </c>
      <c r="BY49" s="1482">
        <f t="shared" ca="1" si="130"/>
        <v>0</v>
      </c>
      <c r="BZ49" s="1482">
        <f t="shared" ca="1" si="130"/>
        <v>0</v>
      </c>
      <c r="CA49" s="1482">
        <f t="shared" ca="1" si="130"/>
        <v>0</v>
      </c>
      <c r="CB49" s="1482">
        <f t="shared" ca="1" si="130"/>
        <v>0</v>
      </c>
      <c r="CC49" s="1482">
        <f t="shared" ca="1" si="130"/>
        <v>0</v>
      </c>
      <c r="CD49" s="1482">
        <f t="shared" ca="1" si="130"/>
        <v>0</v>
      </c>
      <c r="CE49" s="1482">
        <f t="shared" ca="1" si="130"/>
        <v>0</v>
      </c>
      <c r="CF49" s="1482">
        <f t="shared" ca="1" si="130"/>
        <v>0</v>
      </c>
      <c r="CG49" s="1482">
        <f t="shared" ca="1" si="130"/>
        <v>0</v>
      </c>
      <c r="CH49" s="1482">
        <f t="shared" ca="1" si="130"/>
        <v>0</v>
      </c>
      <c r="CI49" s="1482">
        <f t="shared" ca="1" si="131"/>
        <v>0</v>
      </c>
      <c r="CJ49" s="1482">
        <f t="shared" ca="1" si="131"/>
        <v>0</v>
      </c>
      <c r="CK49" s="1482">
        <f t="shared" ca="1" si="131"/>
        <v>0</v>
      </c>
      <c r="CL49" s="1482">
        <f t="shared" ca="1" si="131"/>
        <v>0</v>
      </c>
      <c r="CM49" s="1482">
        <f t="shared" ca="1" si="131"/>
        <v>0</v>
      </c>
      <c r="CN49" s="1482">
        <f t="shared" ca="1" si="131"/>
        <v>20.286556560714121</v>
      </c>
      <c r="CO49" s="1482">
        <f t="shared" ca="1" si="131"/>
        <v>1.4460528354156756</v>
      </c>
      <c r="CP49" s="1482">
        <f t="shared" ca="1" si="131"/>
        <v>0</v>
      </c>
      <c r="CQ49" s="1482">
        <f t="shared" ca="1" si="131"/>
        <v>0</v>
      </c>
      <c r="CR49" s="1482">
        <f t="shared" ca="1" si="131"/>
        <v>0</v>
      </c>
      <c r="CS49" s="1482">
        <f t="shared" ca="1" si="132"/>
        <v>0</v>
      </c>
      <c r="CT49" s="1482">
        <f t="shared" ca="1" si="132"/>
        <v>0</v>
      </c>
      <c r="CU49" s="1482">
        <f t="shared" ca="1" si="132"/>
        <v>0</v>
      </c>
      <c r="CV49" s="1482">
        <f t="shared" ca="1" si="132"/>
        <v>0</v>
      </c>
      <c r="CW49" s="1482">
        <f t="shared" ca="1" si="132"/>
        <v>0</v>
      </c>
      <c r="CX49" s="1482">
        <f t="shared" ca="1" si="132"/>
        <v>0</v>
      </c>
      <c r="CY49" s="1482">
        <f t="shared" ca="1" si="132"/>
        <v>0</v>
      </c>
      <c r="CZ49" s="1482">
        <f t="shared" ca="1" si="132"/>
        <v>0</v>
      </c>
      <c r="DA49" s="1482">
        <f t="shared" ca="1" si="132"/>
        <v>0</v>
      </c>
      <c r="DB49" s="1482">
        <f t="shared" ca="1" si="132"/>
        <v>0</v>
      </c>
      <c r="DC49" s="1482">
        <f t="shared" ca="1" si="132"/>
        <v>0</v>
      </c>
      <c r="DD49" s="1482">
        <f t="shared" ca="1" si="132"/>
        <v>0</v>
      </c>
      <c r="DE49" s="1482">
        <f t="shared" ca="1" si="132"/>
        <v>0</v>
      </c>
      <c r="DF49" s="1482">
        <f t="shared" ca="1" si="132"/>
        <v>0</v>
      </c>
      <c r="DH49" s="838">
        <f t="shared" ca="1" si="123"/>
        <v>21.732609396129796</v>
      </c>
    </row>
    <row r="50" spans="1:112" s="743" customFormat="1" ht="12.75" hidden="1" customHeight="1" outlineLevel="1">
      <c r="A50" s="1484"/>
      <c r="B50" s="1484"/>
      <c r="C50" s="746" t="s">
        <v>924</v>
      </c>
      <c r="D50" s="1010" t="str">
        <f>INDEX(Modules[Module], MATCH($C50, Modules[Code], 0))</f>
        <v>Agriculture and land use</v>
      </c>
      <c r="E50" s="1010"/>
      <c r="G50" s="1022">
        <f t="shared" ref="G50:P50" ca="1" si="133">IFERROR(INDEX(INDIRECT($C50&amp;".Outputs["&amp;this.Year&amp;"]"), MATCH(G$5, INDIRECT($C50&amp;".Outputs[Vector]"), 0)), 0)</f>
        <v>0</v>
      </c>
      <c r="H50" s="1022">
        <f t="shared" ca="1" si="133"/>
        <v>0</v>
      </c>
      <c r="I50" s="1022">
        <f t="shared" ca="1" si="133"/>
        <v>10.789890677603573</v>
      </c>
      <c r="J50" s="1022">
        <f t="shared" ca="1" si="133"/>
        <v>0</v>
      </c>
      <c r="K50" s="1022">
        <f t="shared" ca="1" si="133"/>
        <v>0</v>
      </c>
      <c r="L50" s="1022">
        <f t="shared" ca="1" si="133"/>
        <v>0</v>
      </c>
      <c r="M50" s="1022">
        <f t="shared" ca="1" si="133"/>
        <v>0</v>
      </c>
      <c r="N50" s="1022">
        <f t="shared" ca="1" si="133"/>
        <v>0</v>
      </c>
      <c r="O50" s="1022">
        <f t="shared" ca="1" si="133"/>
        <v>0</v>
      </c>
      <c r="P50" s="1022">
        <f t="shared" ca="1" si="133"/>
        <v>0</v>
      </c>
      <c r="Q50" s="1020">
        <f ca="1">SUM(G50:P50)</f>
        <v>10.789890677603573</v>
      </c>
      <c r="S50" s="1031">
        <f t="shared" ref="S50:AJ50" ca="1" si="134">IFERROR(INDEX(INDIRECT($C50&amp;".Outputs["&amp;this.Year&amp;"]"), MATCH(S$5, INDIRECT($C50&amp;".Outputs[Vector]"), 0)), 0)</f>
        <v>-4.3159562710414292</v>
      </c>
      <c r="T50" s="1031">
        <f t="shared" ca="1" si="134"/>
        <v>0</v>
      </c>
      <c r="U50" s="1031">
        <f t="shared" ca="1" si="134"/>
        <v>-0.86319125420828591</v>
      </c>
      <c r="V50" s="1031">
        <f t="shared" ca="1" si="134"/>
        <v>-3.5606639236091793</v>
      </c>
      <c r="W50" s="1031">
        <f t="shared" ca="1" si="134"/>
        <v>-2.050079228744679</v>
      </c>
      <c r="X50" s="1031">
        <f t="shared" ca="1" si="126"/>
        <v>0</v>
      </c>
      <c r="Y50" s="1031">
        <f t="shared" ca="1" si="126"/>
        <v>0</v>
      </c>
      <c r="Z50" s="1031">
        <f t="shared" ca="1" si="126"/>
        <v>0</v>
      </c>
      <c r="AA50" s="1031">
        <f t="shared" ca="1" si="134"/>
        <v>0</v>
      </c>
      <c r="AB50" s="1031">
        <f t="shared" ca="1" si="134"/>
        <v>0</v>
      </c>
      <c r="AC50" s="1031">
        <f t="shared" ca="1" si="134"/>
        <v>0</v>
      </c>
      <c r="AD50" s="1031">
        <f t="shared" ca="1" si="134"/>
        <v>29.548733569197832</v>
      </c>
      <c r="AE50" s="1031">
        <f t="shared" ca="1" si="134"/>
        <v>1.4299306702169821</v>
      </c>
      <c r="AF50" s="1031">
        <f t="shared" ca="1" si="134"/>
        <v>7.1385620250934902</v>
      </c>
      <c r="AG50" s="1031">
        <f t="shared" ca="1" si="134"/>
        <v>25.445602095985215</v>
      </c>
      <c r="AH50" s="1031">
        <f t="shared" ca="1" si="134"/>
        <v>0</v>
      </c>
      <c r="AI50" s="1031">
        <f t="shared" ca="1" si="134"/>
        <v>0</v>
      </c>
      <c r="AJ50" s="1031">
        <f t="shared" ca="1" si="134"/>
        <v>0</v>
      </c>
      <c r="AK50" s="1030">
        <f ca="1">SUM(S50:AJ50)</f>
        <v>52.772937682889946</v>
      </c>
      <c r="AM50" s="1042">
        <f t="shared" ca="1" si="127"/>
        <v>0</v>
      </c>
      <c r="AN50" s="1042">
        <f t="shared" ca="1" si="127"/>
        <v>0</v>
      </c>
      <c r="AO50" s="1042">
        <f t="shared" ca="1" si="127"/>
        <v>0</v>
      </c>
      <c r="AP50" s="1042">
        <f t="shared" ca="1" si="127"/>
        <v>0</v>
      </c>
      <c r="AQ50" s="1042">
        <f t="shared" ca="1" si="127"/>
        <v>0</v>
      </c>
      <c r="AR50" s="1042">
        <f t="shared" ca="1" si="127"/>
        <v>0</v>
      </c>
      <c r="AS50" s="1042">
        <f t="shared" ca="1" si="127"/>
        <v>0</v>
      </c>
      <c r="AT50" s="1042">
        <f t="shared" ca="1" si="127"/>
        <v>0</v>
      </c>
      <c r="AU50" s="1042">
        <f t="shared" ca="1" si="127"/>
        <v>0</v>
      </c>
      <c r="AV50" s="1042">
        <f t="shared" ref="AV50:BE50" ca="1" si="135">IFERROR(INDEX(INDIRECT($C50&amp;".Outputs["&amp;this.Year&amp;"]"), MATCH(AV$5, INDIRECT($C50&amp;".Outputs[Vector]"), 0)), 0)</f>
        <v>0</v>
      </c>
      <c r="AW50" s="1042">
        <f t="shared" ca="1" si="135"/>
        <v>0</v>
      </c>
      <c r="AX50" s="1042">
        <f t="shared" ca="1" si="135"/>
        <v>0</v>
      </c>
      <c r="AY50" s="1042">
        <f t="shared" ca="1" si="135"/>
        <v>0</v>
      </c>
      <c r="AZ50" s="1042">
        <f t="shared" ca="1" si="135"/>
        <v>0</v>
      </c>
      <c r="BA50" s="1042">
        <f t="shared" ca="1" si="135"/>
        <v>0</v>
      </c>
      <c r="BB50" s="1042">
        <f t="shared" ca="1" si="135"/>
        <v>0</v>
      </c>
      <c r="BC50" s="1042">
        <f t="shared" ca="1" si="135"/>
        <v>0</v>
      </c>
      <c r="BD50" s="1042">
        <f t="shared" ca="1" si="135"/>
        <v>-30.978664239414815</v>
      </c>
      <c r="BE50" s="1042">
        <f t="shared" ca="1" si="135"/>
        <v>-32.584164121078707</v>
      </c>
      <c r="BF50" s="1012">
        <f ca="1">SUM(AM50:BE50)</f>
        <v>-63.562828360493526</v>
      </c>
      <c r="BH50" s="1036">
        <f t="shared" ca="1" si="128"/>
        <v>0</v>
      </c>
      <c r="BI50" s="1036">
        <f t="shared" ca="1" si="128"/>
        <v>0</v>
      </c>
      <c r="BJ50" s="1035">
        <f ca="1">SUM(BH50:BI50)</f>
        <v>0</v>
      </c>
      <c r="BL50" s="814">
        <f ca="1">Q50+AK50+BF50+BJ50</f>
        <v>-7.1054273576010019E-15</v>
      </c>
      <c r="BM50" s="814"/>
      <c r="BN50" s="840"/>
      <c r="BO50" s="1485">
        <f t="shared" ca="1" si="129"/>
        <v>1.5332434652874676</v>
      </c>
      <c r="BP50" s="1486">
        <f t="shared" ca="1" si="129"/>
        <v>2.645383504997355E-3</v>
      </c>
      <c r="BQ50" s="1486">
        <f t="shared" ca="1" si="129"/>
        <v>1.9184305298651332E-2</v>
      </c>
      <c r="BR50" s="1486">
        <f t="shared" ca="1" si="129"/>
        <v>0</v>
      </c>
      <c r="BS50" s="1486">
        <f t="shared" ca="1" si="129"/>
        <v>0</v>
      </c>
      <c r="BT50" s="1486">
        <f t="shared" ca="1" si="129"/>
        <v>0</v>
      </c>
      <c r="BU50" s="1486">
        <f t="shared" ca="1" si="129"/>
        <v>0</v>
      </c>
      <c r="BV50" s="1486">
        <f t="shared" ca="1" si="129"/>
        <v>0</v>
      </c>
      <c r="BW50" s="1486">
        <f t="shared" ca="1" si="129"/>
        <v>0</v>
      </c>
      <c r="BX50" s="1486">
        <f t="shared" ca="1" si="129"/>
        <v>0</v>
      </c>
      <c r="BY50" s="1486">
        <f t="shared" ca="1" si="130"/>
        <v>0</v>
      </c>
      <c r="BZ50" s="1486">
        <f t="shared" ca="1" si="130"/>
        <v>0</v>
      </c>
      <c r="CA50" s="1486">
        <f t="shared" ca="1" si="130"/>
        <v>0</v>
      </c>
      <c r="CB50" s="1486">
        <f t="shared" ca="1" si="130"/>
        <v>0</v>
      </c>
      <c r="CC50" s="1486">
        <f t="shared" ca="1" si="130"/>
        <v>0</v>
      </c>
      <c r="CD50" s="1486">
        <f t="shared" ca="1" si="130"/>
        <v>0</v>
      </c>
      <c r="CE50" s="1486">
        <f t="shared" ca="1" si="130"/>
        <v>0</v>
      </c>
      <c r="CF50" s="1486">
        <f t="shared" ca="1" si="130"/>
        <v>17.259237833227761</v>
      </c>
      <c r="CG50" s="1486">
        <f t="shared" ca="1" si="130"/>
        <v>21.273853386951814</v>
      </c>
      <c r="CH50" s="1486">
        <f t="shared" ca="1" si="130"/>
        <v>0</v>
      </c>
      <c r="CI50" s="1486">
        <f t="shared" ca="1" si="131"/>
        <v>12.147672011448611</v>
      </c>
      <c r="CJ50" s="1486">
        <f t="shared" ca="1" si="131"/>
        <v>0</v>
      </c>
      <c r="CK50" s="1486">
        <f t="shared" ca="1" si="131"/>
        <v>0</v>
      </c>
      <c r="CL50" s="1486">
        <f t="shared" ca="1" si="131"/>
        <v>0</v>
      </c>
      <c r="CM50" s="1486">
        <f t="shared" ca="1" si="131"/>
        <v>0</v>
      </c>
      <c r="CN50" s="1486">
        <f t="shared" ca="1" si="131"/>
        <v>0</v>
      </c>
      <c r="CO50" s="1486">
        <f t="shared" ca="1" si="131"/>
        <v>0</v>
      </c>
      <c r="CP50" s="1486">
        <f t="shared" ca="1" si="131"/>
        <v>0</v>
      </c>
      <c r="CQ50" s="1486">
        <f t="shared" ca="1" si="131"/>
        <v>0</v>
      </c>
      <c r="CR50" s="1486">
        <f t="shared" ca="1" si="131"/>
        <v>0</v>
      </c>
      <c r="CS50" s="1486">
        <f t="shared" ca="1" si="132"/>
        <v>0</v>
      </c>
      <c r="CT50" s="1486">
        <f t="shared" ca="1" si="132"/>
        <v>0</v>
      </c>
      <c r="CU50" s="1486">
        <f t="shared" ca="1" si="132"/>
        <v>0</v>
      </c>
      <c r="CV50" s="1486">
        <f t="shared" ca="1" si="132"/>
        <v>0</v>
      </c>
      <c r="CW50" s="1486">
        <f t="shared" ca="1" si="132"/>
        <v>0</v>
      </c>
      <c r="CX50" s="1486">
        <f t="shared" ca="1" si="132"/>
        <v>0</v>
      </c>
      <c r="CY50" s="1486">
        <f t="shared" ca="1" si="132"/>
        <v>0</v>
      </c>
      <c r="CZ50" s="1486">
        <f t="shared" ca="1" si="132"/>
        <v>0</v>
      </c>
      <c r="DA50" s="1486">
        <f t="shared" ca="1" si="132"/>
        <v>0</v>
      </c>
      <c r="DB50" s="1486">
        <f t="shared" ca="1" si="132"/>
        <v>0</v>
      </c>
      <c r="DC50" s="1486">
        <f t="shared" ca="1" si="132"/>
        <v>0</v>
      </c>
      <c r="DD50" s="1486">
        <f t="shared" ca="1" si="132"/>
        <v>0</v>
      </c>
      <c r="DE50" s="1486">
        <f t="shared" ca="1" si="132"/>
        <v>0</v>
      </c>
      <c r="DF50" s="1486">
        <f t="shared" ca="1" si="132"/>
        <v>0</v>
      </c>
      <c r="DH50" s="838">
        <f t="shared" ca="1" si="123"/>
        <v>52.235836385719303</v>
      </c>
    </row>
    <row r="51" spans="1:112" s="743" customFormat="1" ht="15.75" collapsed="1">
      <c r="A51" s="22"/>
      <c r="B51" s="753"/>
      <c r="C51" s="744" t="s">
        <v>672</v>
      </c>
      <c r="D51" s="517" t="str">
        <f>INDEX(Workstreams[Workstream], MATCH($C51, Workstreams[Code], 0))</f>
        <v>Agriculture and waste</v>
      </c>
      <c r="E51" s="512"/>
      <c r="G51" s="1021">
        <f ca="1">SUM(G48:G50)</f>
        <v>0</v>
      </c>
      <c r="H51" s="1021">
        <f t="shared" ref="H51:P51" ca="1" si="136">SUM(H48:H50)</f>
        <v>0</v>
      </c>
      <c r="I51" s="1021">
        <f t="shared" ca="1" si="136"/>
        <v>10.789890677603573</v>
      </c>
      <c r="J51" s="1021">
        <f t="shared" ca="1" si="136"/>
        <v>0</v>
      </c>
      <c r="K51" s="1021">
        <f t="shared" ca="1" si="136"/>
        <v>0</v>
      </c>
      <c r="L51" s="1021">
        <f t="shared" ca="1" si="136"/>
        <v>0</v>
      </c>
      <c r="M51" s="1021">
        <f t="shared" ca="1" si="136"/>
        <v>0</v>
      </c>
      <c r="N51" s="1021">
        <f t="shared" ca="1" si="136"/>
        <v>0</v>
      </c>
      <c r="O51" s="1021">
        <f t="shared" ca="1" si="136"/>
        <v>0</v>
      </c>
      <c r="P51" s="1021">
        <f t="shared" ca="1" si="136"/>
        <v>0</v>
      </c>
      <c r="Q51" s="1021">
        <f ca="1">SUM(G51:P51)</f>
        <v>10.789890677603573</v>
      </c>
      <c r="S51" s="970">
        <f t="shared" ref="S51:AJ51" ca="1" si="137">SUM(S48:S50)</f>
        <v>-4.3159562710414292</v>
      </c>
      <c r="T51" s="970">
        <f t="shared" ca="1" si="137"/>
        <v>0</v>
      </c>
      <c r="U51" s="970">
        <f t="shared" ca="1" si="137"/>
        <v>-0.86319125420828591</v>
      </c>
      <c r="V51" s="970">
        <f t="shared" ca="1" si="137"/>
        <v>-3.5606639236091793</v>
      </c>
      <c r="W51" s="970">
        <f t="shared" ca="1" si="137"/>
        <v>-2.050079228744679</v>
      </c>
      <c r="X51" s="970">
        <f t="shared" ca="1" si="137"/>
        <v>77.291223495085276</v>
      </c>
      <c r="Y51" s="970">
        <f t="shared" ca="1" si="137"/>
        <v>0</v>
      </c>
      <c r="Z51" s="970">
        <f t="shared" ca="1" si="137"/>
        <v>0</v>
      </c>
      <c r="AA51" s="970">
        <f t="shared" ca="1" si="137"/>
        <v>0</v>
      </c>
      <c r="AB51" s="970">
        <f t="shared" ca="1" si="137"/>
        <v>0</v>
      </c>
      <c r="AC51" s="970">
        <f t="shared" ca="1" si="137"/>
        <v>0</v>
      </c>
      <c r="AD51" s="970">
        <f t="shared" ca="1" si="137"/>
        <v>29.548733569197832</v>
      </c>
      <c r="AE51" s="970">
        <f ca="1">SUM(AE48:AE50)</f>
        <v>1.4299306702169821</v>
      </c>
      <c r="AF51" s="970">
        <f t="shared" ca="1" si="137"/>
        <v>46.590464281644856</v>
      </c>
      <c r="AG51" s="970">
        <f t="shared" ca="1" si="137"/>
        <v>44.318418705558379</v>
      </c>
      <c r="AH51" s="970">
        <f ca="1">SUM(AH48:AH50)</f>
        <v>16.949513130720788</v>
      </c>
      <c r="AI51" s="970">
        <f t="shared" ca="1" si="137"/>
        <v>0</v>
      </c>
      <c r="AJ51" s="970">
        <f t="shared" ca="1" si="137"/>
        <v>0</v>
      </c>
      <c r="AK51" s="970">
        <f ca="1">SUM(S51:AJ51)</f>
        <v>205.33839317482054</v>
      </c>
      <c r="AM51" s="976">
        <f t="shared" ref="AM51:BE51" ca="1" si="138">SUM(AM48:AM50)</f>
        <v>0</v>
      </c>
      <c r="AN51" s="976">
        <f t="shared" ca="1" si="138"/>
        <v>0</v>
      </c>
      <c r="AO51" s="976">
        <f t="shared" ca="1" si="138"/>
        <v>0</v>
      </c>
      <c r="AP51" s="976">
        <f t="shared" ca="1" si="138"/>
        <v>0</v>
      </c>
      <c r="AQ51" s="976">
        <f t="shared" ca="1" si="138"/>
        <v>0</v>
      </c>
      <c r="AR51" s="976">
        <f t="shared" ca="1" si="138"/>
        <v>0</v>
      </c>
      <c r="AS51" s="976">
        <f t="shared" ca="1" si="138"/>
        <v>0</v>
      </c>
      <c r="AT51" s="976">
        <f t="shared" ca="1" si="138"/>
        <v>0</v>
      </c>
      <c r="AU51" s="976">
        <f t="shared" ca="1" si="138"/>
        <v>0</v>
      </c>
      <c r="AV51" s="976">
        <f t="shared" ca="1" si="138"/>
        <v>0</v>
      </c>
      <c r="AW51" s="976">
        <f t="shared" ca="1" si="138"/>
        <v>0</v>
      </c>
      <c r="AX51" s="976">
        <f t="shared" ca="1" si="138"/>
        <v>0</v>
      </c>
      <c r="AY51" s="976">
        <f t="shared" ca="1" si="138"/>
        <v>0</v>
      </c>
      <c r="AZ51" s="976">
        <f t="shared" ca="1" si="138"/>
        <v>0</v>
      </c>
      <c r="BA51" s="976">
        <f t="shared" ca="1" si="138"/>
        <v>0</v>
      </c>
      <c r="BB51" s="976">
        <f t="shared" ca="1" si="138"/>
        <v>0</v>
      </c>
      <c r="BC51" s="976">
        <f t="shared" ca="1" si="138"/>
        <v>0</v>
      </c>
      <c r="BD51" s="976">
        <f t="shared" ca="1" si="138"/>
        <v>-30.978664239414815</v>
      </c>
      <c r="BE51" s="976">
        <f t="shared" ca="1" si="138"/>
        <v>-185.14961961300929</v>
      </c>
      <c r="BF51" s="976">
        <f ca="1">SUM(AM51:BE51)</f>
        <v>-216.12828385242412</v>
      </c>
      <c r="BH51" s="990">
        <f ca="1">SUM(BH48:BH50)</f>
        <v>0</v>
      </c>
      <c r="BI51" s="990">
        <f ca="1">SUM(BI48:BI50)</f>
        <v>0</v>
      </c>
      <c r="BJ51" s="990">
        <f ca="1">SUM(BH51:BI51)</f>
        <v>0</v>
      </c>
      <c r="BL51" s="515">
        <f ca="1">Q51+AK51+BF51+BJ51</f>
        <v>0</v>
      </c>
      <c r="BM51" s="515"/>
      <c r="BN51" s="840"/>
      <c r="BO51" s="1482">
        <f t="shared" ref="BO51:DF51" ca="1" si="139">SUM(BO48:BO50)</f>
        <v>1.5332434652874676</v>
      </c>
      <c r="BP51" s="1482">
        <f t="shared" ca="1" si="139"/>
        <v>2.645383504997355E-3</v>
      </c>
      <c r="BQ51" s="1482">
        <f t="shared" ca="1" si="139"/>
        <v>1.9184305298651332E-2</v>
      </c>
      <c r="BR51" s="1482">
        <f t="shared" ca="1" si="139"/>
        <v>0</v>
      </c>
      <c r="BS51" s="1482">
        <f t="shared" ca="1" si="139"/>
        <v>0</v>
      </c>
      <c r="BT51" s="1482">
        <f t="shared" ca="1" si="139"/>
        <v>0</v>
      </c>
      <c r="BU51" s="1482">
        <f t="shared" ca="1" si="139"/>
        <v>0</v>
      </c>
      <c r="BV51" s="1482">
        <f t="shared" ca="1" si="139"/>
        <v>0</v>
      </c>
      <c r="BW51" s="1482">
        <f t="shared" ca="1" si="139"/>
        <v>0</v>
      </c>
      <c r="BX51" s="1482">
        <f t="shared" ca="1" si="139"/>
        <v>0</v>
      </c>
      <c r="BY51" s="1482">
        <f t="shared" ca="1" si="139"/>
        <v>0</v>
      </c>
      <c r="BZ51" s="1482">
        <f t="shared" ca="1" si="139"/>
        <v>0</v>
      </c>
      <c r="CA51" s="1482">
        <f t="shared" ca="1" si="139"/>
        <v>0</v>
      </c>
      <c r="CB51" s="1482">
        <f t="shared" ca="1" si="139"/>
        <v>0</v>
      </c>
      <c r="CC51" s="1482">
        <f t="shared" ca="1" si="139"/>
        <v>0</v>
      </c>
      <c r="CD51" s="1482">
        <f t="shared" ca="1" si="139"/>
        <v>0</v>
      </c>
      <c r="CE51" s="1482">
        <f t="shared" ca="1" si="139"/>
        <v>0</v>
      </c>
      <c r="CF51" s="1482">
        <f t="shared" ca="1" si="139"/>
        <v>17.259237833227761</v>
      </c>
      <c r="CG51" s="1482">
        <f t="shared" ca="1" si="139"/>
        <v>21.273853386951814</v>
      </c>
      <c r="CH51" s="1482">
        <f t="shared" ca="1" si="139"/>
        <v>0</v>
      </c>
      <c r="CI51" s="1482">
        <f t="shared" ca="1" si="139"/>
        <v>12.147672011448611</v>
      </c>
      <c r="CJ51" s="1482">
        <f t="shared" ca="1" si="139"/>
        <v>0</v>
      </c>
      <c r="CK51" s="1482">
        <f t="shared" ca="1" si="139"/>
        <v>0</v>
      </c>
      <c r="CL51" s="1482">
        <f t="shared" ca="1" si="139"/>
        <v>0</v>
      </c>
      <c r="CM51" s="1482">
        <f t="shared" ca="1" si="139"/>
        <v>0</v>
      </c>
      <c r="CN51" s="1482">
        <f t="shared" ca="1" si="139"/>
        <v>20.286556560714121</v>
      </c>
      <c r="CO51" s="1482">
        <f t="shared" ca="1" si="139"/>
        <v>1.4460528354156756</v>
      </c>
      <c r="CP51" s="1482">
        <f t="shared" ca="1" si="139"/>
        <v>0</v>
      </c>
      <c r="CQ51" s="1482">
        <f t="shared" ca="1" si="139"/>
        <v>0</v>
      </c>
      <c r="CR51" s="1482">
        <f t="shared" ca="1" si="139"/>
        <v>0</v>
      </c>
      <c r="CS51" s="1482">
        <f t="shared" ca="1" si="139"/>
        <v>0</v>
      </c>
      <c r="CT51" s="1482">
        <f t="shared" ca="1" si="139"/>
        <v>0</v>
      </c>
      <c r="CU51" s="1482">
        <f t="shared" ca="1" si="139"/>
        <v>0</v>
      </c>
      <c r="CV51" s="1482">
        <f t="shared" ca="1" si="139"/>
        <v>0</v>
      </c>
      <c r="CW51" s="1482">
        <f t="shared" ca="1" si="139"/>
        <v>0</v>
      </c>
      <c r="CX51" s="1482">
        <f t="shared" ca="1" si="139"/>
        <v>0</v>
      </c>
      <c r="CY51" s="1482">
        <f t="shared" ca="1" si="139"/>
        <v>0</v>
      </c>
      <c r="CZ51" s="1482">
        <f t="shared" ca="1" si="139"/>
        <v>0</v>
      </c>
      <c r="DA51" s="1482">
        <f t="shared" ca="1" si="139"/>
        <v>0</v>
      </c>
      <c r="DB51" s="1482">
        <f t="shared" ca="1" si="139"/>
        <v>0</v>
      </c>
      <c r="DC51" s="1482">
        <f t="shared" ca="1" si="139"/>
        <v>0</v>
      </c>
      <c r="DD51" s="1482">
        <f t="shared" ca="1" si="139"/>
        <v>0</v>
      </c>
      <c r="DE51" s="1482">
        <f t="shared" ca="1" si="139"/>
        <v>0</v>
      </c>
      <c r="DF51" s="1482">
        <f t="shared" ca="1" si="139"/>
        <v>0</v>
      </c>
      <c r="DH51" s="838">
        <f t="shared" ca="1" si="123"/>
        <v>73.968445781849098</v>
      </c>
    </row>
    <row r="52" spans="1:112" s="743" customFormat="1" ht="12.75" hidden="1" customHeight="1" outlineLevel="1">
      <c r="A52" s="22"/>
      <c r="B52" s="22"/>
      <c r="C52" s="751"/>
      <c r="D52" s="512"/>
      <c r="E52" s="512"/>
      <c r="G52" s="958"/>
      <c r="H52" s="958"/>
      <c r="I52" s="958"/>
      <c r="J52" s="958"/>
      <c r="K52" s="960"/>
      <c r="L52" s="958"/>
      <c r="M52" s="958"/>
      <c r="N52" s="958"/>
      <c r="O52" s="958"/>
      <c r="P52" s="958"/>
      <c r="Q52" s="958"/>
      <c r="S52" s="970"/>
      <c r="T52" s="970"/>
      <c r="U52" s="970"/>
      <c r="V52" s="970"/>
      <c r="W52" s="970"/>
      <c r="X52" s="970"/>
      <c r="Y52" s="970"/>
      <c r="Z52" s="970"/>
      <c r="AA52" s="970"/>
      <c r="AB52" s="970"/>
      <c r="AC52" s="970"/>
      <c r="AD52" s="970"/>
      <c r="AE52" s="970"/>
      <c r="AF52" s="970"/>
      <c r="AG52" s="970"/>
      <c r="AH52" s="970"/>
      <c r="AI52" s="970"/>
      <c r="AJ52" s="970"/>
      <c r="AK52" s="970"/>
      <c r="AM52" s="976"/>
      <c r="AN52" s="976"/>
      <c r="AO52" s="976"/>
      <c r="AP52" s="976"/>
      <c r="AQ52" s="976"/>
      <c r="AR52" s="976"/>
      <c r="AS52" s="976"/>
      <c r="AT52" s="976"/>
      <c r="AU52" s="976"/>
      <c r="AV52" s="976"/>
      <c r="AW52" s="976"/>
      <c r="AX52" s="976"/>
      <c r="AY52" s="976"/>
      <c r="AZ52" s="976"/>
      <c r="BA52" s="976"/>
      <c r="BB52" s="976"/>
      <c r="BC52" s="976"/>
      <c r="BD52" s="976"/>
      <c r="BE52" s="976"/>
      <c r="BF52" s="976"/>
      <c r="BH52" s="990"/>
      <c r="BI52" s="990"/>
      <c r="BJ52" s="990"/>
      <c r="BL52" s="515">
        <f>Q52+AK52+BF52+BJ52</f>
        <v>0</v>
      </c>
      <c r="BM52" s="515"/>
      <c r="BN52" s="22"/>
      <c r="BO52" s="1482"/>
      <c r="BP52" s="1482"/>
      <c r="BQ52" s="1482"/>
      <c r="BR52" s="1482"/>
      <c r="BS52" s="1482"/>
      <c r="BT52" s="1482"/>
      <c r="BU52" s="1482"/>
      <c r="BV52" s="1482"/>
      <c r="BW52" s="1482"/>
      <c r="BX52" s="1482"/>
      <c r="BY52" s="1482"/>
      <c r="BZ52" s="1482"/>
      <c r="CA52" s="1482"/>
      <c r="CB52" s="1482"/>
      <c r="CC52" s="1482"/>
      <c r="CD52" s="1482"/>
      <c r="CE52" s="1482"/>
      <c r="CF52" s="1482"/>
      <c r="CG52" s="1482"/>
      <c r="CH52" s="1482"/>
      <c r="CI52" s="1482"/>
      <c r="CJ52" s="1482"/>
      <c r="CK52" s="1482"/>
      <c r="CL52" s="1482"/>
      <c r="CM52" s="1482"/>
      <c r="CN52" s="1482"/>
      <c r="CO52" s="1482"/>
      <c r="CP52" s="1482"/>
      <c r="CQ52" s="1482"/>
      <c r="CR52" s="1482"/>
      <c r="CS52" s="1482"/>
      <c r="CT52" s="1482"/>
      <c r="CU52" s="1482"/>
      <c r="CV52" s="1482"/>
      <c r="CW52" s="1482"/>
      <c r="CX52" s="1482"/>
      <c r="CY52" s="1482"/>
      <c r="CZ52" s="1482"/>
      <c r="DA52" s="1482"/>
      <c r="DB52" s="1482"/>
      <c r="DC52" s="1482"/>
      <c r="DD52" s="1482"/>
      <c r="DE52" s="1482"/>
      <c r="DF52" s="1482"/>
      <c r="DH52" s="838">
        <f t="shared" si="123"/>
        <v>0</v>
      </c>
    </row>
    <row r="53" spans="1:112" s="743" customFormat="1" hidden="1" outlineLevel="1">
      <c r="A53" s="1484"/>
      <c r="B53" s="1484"/>
      <c r="C53" s="522" t="s">
        <v>971</v>
      </c>
      <c r="D53" s="521" t="str">
        <f>INDEX(Modules[Module], MATCH($C53, Modules[Code], 0))</f>
        <v>Petroleum refineries</v>
      </c>
      <c r="E53" s="521"/>
      <c r="G53" s="1017">
        <f t="shared" ref="G53:P54" ca="1" si="140">IFERROR(INDEX(INDIRECT($C53&amp;".Outputs["&amp;this.Year&amp;"]"), MATCH(G$5, INDIRECT($C53&amp;".Outputs[Vector]"), 0)), 0)</f>
        <v>0</v>
      </c>
      <c r="H53" s="1017">
        <f t="shared" ca="1" si="140"/>
        <v>0</v>
      </c>
      <c r="I53" s="1017">
        <f t="shared" ca="1" si="140"/>
        <v>0</v>
      </c>
      <c r="J53" s="1017">
        <f t="shared" ca="1" si="140"/>
        <v>0</v>
      </c>
      <c r="K53" s="1017">
        <f t="shared" ca="1" si="140"/>
        <v>0</v>
      </c>
      <c r="L53" s="1017">
        <f t="shared" ca="1" si="140"/>
        <v>0</v>
      </c>
      <c r="M53" s="1017">
        <f t="shared" ca="1" si="140"/>
        <v>0</v>
      </c>
      <c r="N53" s="1017">
        <f t="shared" ca="1" si="140"/>
        <v>0</v>
      </c>
      <c r="O53" s="1017">
        <f t="shared" ca="1" si="140"/>
        <v>0</v>
      </c>
      <c r="P53" s="1017">
        <f t="shared" ca="1" si="140"/>
        <v>0</v>
      </c>
      <c r="Q53" s="1019">
        <f ca="1">SUM(G53:P53)</f>
        <v>0</v>
      </c>
      <c r="S53" s="1026">
        <f t="shared" ref="S53:BE54" ca="1" si="141">IFERROR(INDEX(INDIRECT($C53&amp;".Outputs["&amp;this.Year&amp;"]"), MATCH(S$5, INDIRECT($C53&amp;".Outputs[Vector]"), 0)), 0)</f>
        <v>-5.4449667114201352</v>
      </c>
      <c r="T53" s="1026">
        <f t="shared" ca="1" si="141"/>
        <v>0</v>
      </c>
      <c r="U53" s="1026">
        <f t="shared" ca="1" si="141"/>
        <v>0</v>
      </c>
      <c r="V53" s="1026">
        <f t="shared" ca="1" si="141"/>
        <v>-44.629050732111878</v>
      </c>
      <c r="W53" s="1026">
        <f t="shared" ca="1" si="141"/>
        <v>-1.9853960576614174</v>
      </c>
      <c r="X53" s="1026">
        <f t="shared" ref="X53:Z54" ca="1" si="142">IFERROR(INDEX(INDIRECT($C53&amp;".Outputs["&amp;this.Year&amp;"]"), MATCH(X$5, INDIRECT($C53&amp;".Outputs[Vector]"), 0)), 0)</f>
        <v>0</v>
      </c>
      <c r="Y53" s="1026">
        <f t="shared" ca="1" si="142"/>
        <v>0</v>
      </c>
      <c r="Z53" s="1026">
        <f t="shared" ca="1" si="142"/>
        <v>0</v>
      </c>
      <c r="AA53" s="1026">
        <f t="shared" ca="1" si="141"/>
        <v>0</v>
      </c>
      <c r="AB53" s="1026">
        <f t="shared" ca="1" si="141"/>
        <v>-0.63940765908860087</v>
      </c>
      <c r="AC53" s="1026">
        <f t="shared" ca="1" si="141"/>
        <v>0</v>
      </c>
      <c r="AD53" s="1026">
        <f t="shared" ca="1" si="141"/>
        <v>0</v>
      </c>
      <c r="AE53" s="1026">
        <f t="shared" ca="1" si="141"/>
        <v>0</v>
      </c>
      <c r="AF53" s="1026">
        <f t="shared" ca="1" si="141"/>
        <v>0</v>
      </c>
      <c r="AG53" s="1026">
        <f t="shared" ca="1" si="141"/>
        <v>0</v>
      </c>
      <c r="AH53" s="1026">
        <f t="shared" ca="1" si="141"/>
        <v>0</v>
      </c>
      <c r="AI53" s="1026">
        <f t="shared" ca="1" si="141"/>
        <v>0</v>
      </c>
      <c r="AJ53" s="1026">
        <f t="shared" ca="1" si="141"/>
        <v>0</v>
      </c>
      <c r="AK53" s="1027">
        <f ca="1">SUM(S53:AJ53)</f>
        <v>-52.698821160282037</v>
      </c>
      <c r="AM53" s="1038">
        <f t="shared" ref="AM53:AU54" ca="1" si="143">IFERROR(INDEX(INDIRECT($C53&amp;".Outputs["&amp;this.Year&amp;"]"), MATCH(AM$5, INDIRECT($C53&amp;".Outputs[Vector]"), 0)), 0)</f>
        <v>0</v>
      </c>
      <c r="AN53" s="1038">
        <f t="shared" ca="1" si="143"/>
        <v>0</v>
      </c>
      <c r="AO53" s="1038">
        <f t="shared" ca="1" si="143"/>
        <v>0</v>
      </c>
      <c r="AP53" s="1038">
        <f t="shared" ca="1" si="143"/>
        <v>0</v>
      </c>
      <c r="AQ53" s="1038">
        <f t="shared" ca="1" si="143"/>
        <v>0</v>
      </c>
      <c r="AR53" s="1038">
        <f t="shared" ca="1" si="143"/>
        <v>0</v>
      </c>
      <c r="AS53" s="1038">
        <f t="shared" ca="1" si="143"/>
        <v>0</v>
      </c>
      <c r="AT53" s="1038">
        <f t="shared" ca="1" si="143"/>
        <v>0</v>
      </c>
      <c r="AU53" s="1038">
        <f t="shared" ca="1" si="143"/>
        <v>0</v>
      </c>
      <c r="AV53" s="1038">
        <f t="shared" ca="1" si="141"/>
        <v>0</v>
      </c>
      <c r="AW53" s="1038">
        <f t="shared" ca="1" si="141"/>
        <v>0</v>
      </c>
      <c r="AX53" s="1038">
        <f t="shared" ca="1" si="141"/>
        <v>0</v>
      </c>
      <c r="AY53" s="1038">
        <f t="shared" ca="1" si="141"/>
        <v>0</v>
      </c>
      <c r="AZ53" s="1038">
        <f t="shared" ca="1" si="141"/>
        <v>0</v>
      </c>
      <c r="BA53" s="1038">
        <f t="shared" ca="1" si="141"/>
        <v>0</v>
      </c>
      <c r="BB53" s="1038">
        <f t="shared" ca="1" si="141"/>
        <v>0</v>
      </c>
      <c r="BC53" s="1038">
        <f t="shared" ca="1" si="141"/>
        <v>0</v>
      </c>
      <c r="BD53" s="1038">
        <f t="shared" ca="1" si="141"/>
        <v>0</v>
      </c>
      <c r="BE53" s="1038">
        <f t="shared" ca="1" si="141"/>
        <v>0</v>
      </c>
      <c r="BF53" s="979">
        <f ca="1">SUM(AM53:BE53)</f>
        <v>0</v>
      </c>
      <c r="BH53" s="1032">
        <f ca="1">IFERROR(INDEX(INDIRECT($C53&amp;".Outputs["&amp;this.Year&amp;"]"), MATCH(BH$5, INDIRECT($C53&amp;".Outputs[Vector]"), 0)), 0)</f>
        <v>0</v>
      </c>
      <c r="BI53" s="1032">
        <f ca="1">IFERROR(INDEX(INDIRECT($C53&amp;".Outputs["&amp;this.Year&amp;"]"), MATCH(BI$5, INDIRECT($C53&amp;".Outputs[Vector]"), 0)), 0)</f>
        <v>52.698821160282037</v>
      </c>
      <c r="BJ53" s="1034">
        <f ca="1">SUM(BH53:BI53)</f>
        <v>52.698821160282037</v>
      </c>
      <c r="BL53" s="814">
        <f ca="1">Q53+AK53+BF53+BJ53</f>
        <v>0</v>
      </c>
      <c r="BM53" s="814"/>
      <c r="BN53" s="840"/>
      <c r="BO53" s="1481">
        <f t="shared" ref="BO53:BX54" ca="1" si="144">IFERROR(SUMIFS(INDIRECT($C53&amp;".Emissions["&amp;this.Year&amp;"]"), INDIRECT($C53&amp;".Emissions[GHG]"), BO$6, INDIRECT($C53&amp;".Emissions[IPCC Sector]"), BO$5),0)</f>
        <v>11.522575557637671</v>
      </c>
      <c r="BP53" s="1482">
        <f t="shared" ca="1" si="144"/>
        <v>1.4623012430495181E-2</v>
      </c>
      <c r="BQ53" s="1482">
        <f t="shared" ca="1" si="144"/>
        <v>0.20152960391143082</v>
      </c>
      <c r="BR53" s="1482">
        <f t="shared" ca="1" si="144"/>
        <v>0</v>
      </c>
      <c r="BS53" s="1482">
        <f t="shared" ca="1" si="144"/>
        <v>0</v>
      </c>
      <c r="BT53" s="1482">
        <f t="shared" ca="1" si="144"/>
        <v>0</v>
      </c>
      <c r="BU53" s="1482">
        <f t="shared" ca="1" si="144"/>
        <v>0</v>
      </c>
      <c r="BV53" s="1482">
        <f t="shared" ca="1" si="144"/>
        <v>0</v>
      </c>
      <c r="BW53" s="1482">
        <f t="shared" ca="1" si="144"/>
        <v>0</v>
      </c>
      <c r="BX53" s="1482">
        <f t="shared" ca="1" si="144"/>
        <v>0</v>
      </c>
      <c r="BY53" s="1482">
        <f t="shared" ref="BY53:CH54" ca="1" si="145">IFERROR(SUMIFS(INDIRECT($C53&amp;".Emissions["&amp;this.Year&amp;"]"), INDIRECT($C53&amp;".Emissions[GHG]"), BY$6, INDIRECT($C53&amp;".Emissions[IPCC Sector]"), BY$5),0)</f>
        <v>0</v>
      </c>
      <c r="BZ53" s="1482">
        <f t="shared" ca="1" si="145"/>
        <v>0</v>
      </c>
      <c r="CA53" s="1482">
        <f t="shared" ca="1" si="145"/>
        <v>0</v>
      </c>
      <c r="CB53" s="1482">
        <f t="shared" ca="1" si="145"/>
        <v>0</v>
      </c>
      <c r="CC53" s="1482">
        <f t="shared" ca="1" si="145"/>
        <v>0</v>
      </c>
      <c r="CD53" s="1482">
        <f t="shared" ca="1" si="145"/>
        <v>0</v>
      </c>
      <c r="CE53" s="1482">
        <f t="shared" ca="1" si="145"/>
        <v>0</v>
      </c>
      <c r="CF53" s="1482">
        <f t="shared" ca="1" si="145"/>
        <v>0</v>
      </c>
      <c r="CG53" s="1482">
        <f t="shared" ca="1" si="145"/>
        <v>0</v>
      </c>
      <c r="CH53" s="1482">
        <f t="shared" ca="1" si="145"/>
        <v>0</v>
      </c>
      <c r="CI53" s="1482">
        <f t="shared" ref="CI53:CR54" ca="1" si="146">IFERROR(SUMIFS(INDIRECT($C53&amp;".Emissions["&amp;this.Year&amp;"]"), INDIRECT($C53&amp;".Emissions[GHG]"), CI$6, INDIRECT($C53&amp;".Emissions[IPCC Sector]"), CI$5),0)</f>
        <v>0</v>
      </c>
      <c r="CJ53" s="1482">
        <f t="shared" ca="1" si="146"/>
        <v>0</v>
      </c>
      <c r="CK53" s="1482">
        <f t="shared" ca="1" si="146"/>
        <v>0</v>
      </c>
      <c r="CL53" s="1482">
        <f t="shared" ca="1" si="146"/>
        <v>0</v>
      </c>
      <c r="CM53" s="1482">
        <f t="shared" ca="1" si="146"/>
        <v>0</v>
      </c>
      <c r="CN53" s="1482">
        <f t="shared" ca="1" si="146"/>
        <v>0</v>
      </c>
      <c r="CO53" s="1482">
        <f t="shared" ca="1" si="146"/>
        <v>0</v>
      </c>
      <c r="CP53" s="1482">
        <f t="shared" ca="1" si="146"/>
        <v>0</v>
      </c>
      <c r="CQ53" s="1482">
        <f t="shared" ca="1" si="146"/>
        <v>0</v>
      </c>
      <c r="CR53" s="1482">
        <f t="shared" ca="1" si="146"/>
        <v>0</v>
      </c>
      <c r="CS53" s="1482">
        <f t="shared" ref="CS53:DF54" ca="1" si="147">IFERROR(SUMIFS(INDIRECT($C53&amp;".Emissions["&amp;this.Year&amp;"]"), INDIRECT($C53&amp;".Emissions[GHG]"), CS$6, INDIRECT($C53&amp;".Emissions[IPCC Sector]"), CS$5),0)</f>
        <v>0</v>
      </c>
      <c r="CT53" s="1482">
        <f t="shared" ca="1" si="147"/>
        <v>0</v>
      </c>
      <c r="CU53" s="1482">
        <f t="shared" ca="1" si="147"/>
        <v>0</v>
      </c>
      <c r="CV53" s="1482">
        <f t="shared" ca="1" si="147"/>
        <v>0</v>
      </c>
      <c r="CW53" s="1482">
        <f t="shared" ca="1" si="147"/>
        <v>0</v>
      </c>
      <c r="CX53" s="1482">
        <f t="shared" ca="1" si="147"/>
        <v>0</v>
      </c>
      <c r="CY53" s="1482">
        <f t="shared" ca="1" si="147"/>
        <v>0</v>
      </c>
      <c r="CZ53" s="1482">
        <f t="shared" ca="1" si="147"/>
        <v>0</v>
      </c>
      <c r="DA53" s="1482">
        <f t="shared" ca="1" si="147"/>
        <v>0</v>
      </c>
      <c r="DB53" s="1482">
        <f t="shared" ca="1" si="147"/>
        <v>0</v>
      </c>
      <c r="DC53" s="1482">
        <f t="shared" ca="1" si="147"/>
        <v>0</v>
      </c>
      <c r="DD53" s="1482">
        <f t="shared" ca="1" si="147"/>
        <v>0</v>
      </c>
      <c r="DE53" s="1482">
        <f t="shared" ca="1" si="147"/>
        <v>0</v>
      </c>
      <c r="DF53" s="1482">
        <f t="shared" ca="1" si="147"/>
        <v>0</v>
      </c>
      <c r="DH53" s="838">
        <f t="shared" ca="1" si="123"/>
        <v>11.738728173979597</v>
      </c>
    </row>
    <row r="54" spans="1:112" s="743" customFormat="1" hidden="1" outlineLevel="1">
      <c r="A54" s="1484"/>
      <c r="B54" s="1484"/>
      <c r="C54" s="522" t="s">
        <v>989</v>
      </c>
      <c r="D54" s="1010" t="str">
        <f>INDEX(Modules[Module], MATCH($C54, Modules[Code], 0))</f>
        <v>Indigenous fossil-fuel production</v>
      </c>
      <c r="E54" s="1010"/>
      <c r="G54" s="1022">
        <f t="shared" ca="1" si="140"/>
        <v>0</v>
      </c>
      <c r="H54" s="1022">
        <f t="shared" ca="1" si="140"/>
        <v>0</v>
      </c>
      <c r="I54" s="1022">
        <f t="shared" ca="1" si="140"/>
        <v>23.232684937155941</v>
      </c>
      <c r="J54" s="1022">
        <f t="shared" ca="1" si="140"/>
        <v>0</v>
      </c>
      <c r="K54" s="1022">
        <f t="shared" ca="1" si="140"/>
        <v>0</v>
      </c>
      <c r="L54" s="1022">
        <f t="shared" ca="1" si="140"/>
        <v>0</v>
      </c>
      <c r="M54" s="1022">
        <f t="shared" ca="1" si="140"/>
        <v>0</v>
      </c>
      <c r="N54" s="1022">
        <f t="shared" ca="1" si="140"/>
        <v>0</v>
      </c>
      <c r="O54" s="1022">
        <f t="shared" ca="1" si="140"/>
        <v>0</v>
      </c>
      <c r="P54" s="1022">
        <f t="shared" ca="1" si="140"/>
        <v>0</v>
      </c>
      <c r="Q54" s="1020">
        <f ca="1">SUM(G54:P54)</f>
        <v>23.232684937155941</v>
      </c>
      <c r="S54" s="1031">
        <f t="shared" ca="1" si="141"/>
        <v>-1.1742964866670269</v>
      </c>
      <c r="T54" s="1031">
        <f t="shared" ca="1" si="141"/>
        <v>0</v>
      </c>
      <c r="U54" s="1031">
        <f t="shared" ca="1" si="141"/>
        <v>-4.4692473051785787E-2</v>
      </c>
      <c r="V54" s="1031">
        <f t="shared" ca="1" si="141"/>
        <v>0</v>
      </c>
      <c r="W54" s="1031">
        <f t="shared" ca="1" si="141"/>
        <v>-22.013695977437131</v>
      </c>
      <c r="X54" s="1031">
        <f t="shared" ca="1" si="142"/>
        <v>124.39544583847987</v>
      </c>
      <c r="Y54" s="1031">
        <f t="shared" ca="1" si="142"/>
        <v>333.08789440544865</v>
      </c>
      <c r="Z54" s="1031">
        <f t="shared" ca="1" si="142"/>
        <v>255.12576641104135</v>
      </c>
      <c r="AA54" s="1031">
        <f t="shared" ca="1" si="141"/>
        <v>0</v>
      </c>
      <c r="AB54" s="1031">
        <f t="shared" ca="1" si="141"/>
        <v>0</v>
      </c>
      <c r="AC54" s="1031">
        <f t="shared" ca="1" si="141"/>
        <v>0</v>
      </c>
      <c r="AD54" s="1031">
        <f t="shared" ca="1" si="141"/>
        <v>0</v>
      </c>
      <c r="AE54" s="1031">
        <f t="shared" ca="1" si="141"/>
        <v>0</v>
      </c>
      <c r="AF54" s="1031">
        <f t="shared" ca="1" si="141"/>
        <v>0</v>
      </c>
      <c r="AG54" s="1031">
        <f t="shared" ca="1" si="141"/>
        <v>0</v>
      </c>
      <c r="AH54" s="1031">
        <f t="shared" ca="1" si="141"/>
        <v>0</v>
      </c>
      <c r="AI54" s="1031">
        <f t="shared" ca="1" si="141"/>
        <v>0</v>
      </c>
      <c r="AJ54" s="1031">
        <f t="shared" ca="1" si="141"/>
        <v>0</v>
      </c>
      <c r="AK54" s="1030">
        <f ca="1">SUM(S54:AJ54)</f>
        <v>689.37642171781397</v>
      </c>
      <c r="AM54" s="1042">
        <f t="shared" ca="1" si="143"/>
        <v>-124.39544583847987</v>
      </c>
      <c r="AN54" s="1042">
        <f t="shared" ca="1" si="143"/>
        <v>-333.08789440544865</v>
      </c>
      <c r="AO54" s="1042">
        <f t="shared" ca="1" si="143"/>
        <v>-255.12576641104135</v>
      </c>
      <c r="AP54" s="1042">
        <f t="shared" ca="1" si="143"/>
        <v>0</v>
      </c>
      <c r="AQ54" s="1042">
        <f t="shared" ca="1" si="143"/>
        <v>0</v>
      </c>
      <c r="AR54" s="1042">
        <f t="shared" ca="1" si="143"/>
        <v>0</v>
      </c>
      <c r="AS54" s="1042">
        <f t="shared" ca="1" si="143"/>
        <v>0</v>
      </c>
      <c r="AT54" s="1042">
        <f t="shared" ca="1" si="143"/>
        <v>0</v>
      </c>
      <c r="AU54" s="1042">
        <f t="shared" ca="1" si="143"/>
        <v>0</v>
      </c>
      <c r="AV54" s="1042">
        <f t="shared" ca="1" si="141"/>
        <v>0</v>
      </c>
      <c r="AW54" s="1042">
        <f t="shared" ca="1" si="141"/>
        <v>0</v>
      </c>
      <c r="AX54" s="1042">
        <f t="shared" ca="1" si="141"/>
        <v>0</v>
      </c>
      <c r="AY54" s="1042">
        <f t="shared" ca="1" si="141"/>
        <v>0</v>
      </c>
      <c r="AZ54" s="1042">
        <f t="shared" ca="1" si="141"/>
        <v>0</v>
      </c>
      <c r="BA54" s="1042">
        <f t="shared" ca="1" si="141"/>
        <v>0</v>
      </c>
      <c r="BB54" s="1042">
        <f t="shared" ca="1" si="141"/>
        <v>0</v>
      </c>
      <c r="BC54" s="1042">
        <f t="shared" ca="1" si="141"/>
        <v>0</v>
      </c>
      <c r="BD54" s="1042">
        <f t="shared" ca="1" si="141"/>
        <v>0</v>
      </c>
      <c r="BE54" s="1042">
        <f t="shared" ca="1" si="141"/>
        <v>0</v>
      </c>
      <c r="BF54" s="1012">
        <f ca="1">SUM(AM54:BE54)</f>
        <v>-712.60910665496988</v>
      </c>
      <c r="BH54" s="1036">
        <f ca="1">IFERROR(INDEX(INDIRECT($C54&amp;".Outputs["&amp;this.Year&amp;"]"), MATCH(BH$5, INDIRECT($C54&amp;".Outputs[Vector]"), 0)), 0)</f>
        <v>0</v>
      </c>
      <c r="BI54" s="1036">
        <f ca="1">IFERROR(INDEX(INDIRECT($C54&amp;".Outputs["&amp;this.Year&amp;"]"), MATCH(BI$5, INDIRECT($C54&amp;".Outputs[Vector]"), 0)), 0)</f>
        <v>0</v>
      </c>
      <c r="BJ54" s="1035">
        <f ca="1">SUM(BH54:BI54)</f>
        <v>0</v>
      </c>
      <c r="BL54" s="814"/>
      <c r="BM54" s="814"/>
      <c r="BN54" s="840"/>
      <c r="BO54" s="1485">
        <f t="shared" ca="1" si="144"/>
        <v>4.0337760598484316</v>
      </c>
      <c r="BP54" s="1486">
        <f t="shared" ca="1" si="144"/>
        <v>8.0856464625482585E-3</v>
      </c>
      <c r="BQ54" s="1486">
        <f t="shared" ca="1" si="144"/>
        <v>8.6965058665624435E-3</v>
      </c>
      <c r="BR54" s="1486">
        <f t="shared" ca="1" si="144"/>
        <v>0</v>
      </c>
      <c r="BS54" s="1486">
        <f t="shared" ca="1" si="144"/>
        <v>1.7378757152393487</v>
      </c>
      <c r="BT54" s="1486">
        <f t="shared" ca="1" si="144"/>
        <v>2.6403129612517775</v>
      </c>
      <c r="BU54" s="1486">
        <f t="shared" ca="1" si="144"/>
        <v>0</v>
      </c>
      <c r="BV54" s="1486">
        <f t="shared" ca="1" si="144"/>
        <v>0</v>
      </c>
      <c r="BW54" s="1486">
        <f t="shared" ca="1" si="144"/>
        <v>0</v>
      </c>
      <c r="BX54" s="1486">
        <f t="shared" ca="1" si="144"/>
        <v>0</v>
      </c>
      <c r="BY54" s="1486">
        <f t="shared" ca="1" si="145"/>
        <v>0</v>
      </c>
      <c r="BZ54" s="1486">
        <f t="shared" ca="1" si="145"/>
        <v>0</v>
      </c>
      <c r="CA54" s="1486">
        <f t="shared" ca="1" si="145"/>
        <v>0</v>
      </c>
      <c r="CB54" s="1486">
        <f t="shared" ca="1" si="145"/>
        <v>0</v>
      </c>
      <c r="CC54" s="1486">
        <f t="shared" ca="1" si="145"/>
        <v>0</v>
      </c>
      <c r="CD54" s="1486">
        <f t="shared" ca="1" si="145"/>
        <v>0</v>
      </c>
      <c r="CE54" s="1486">
        <f t="shared" ca="1" si="145"/>
        <v>0</v>
      </c>
      <c r="CF54" s="1486">
        <f t="shared" ca="1" si="145"/>
        <v>0</v>
      </c>
      <c r="CG54" s="1486">
        <f t="shared" ca="1" si="145"/>
        <v>0</v>
      </c>
      <c r="CH54" s="1486">
        <f t="shared" ca="1" si="145"/>
        <v>0</v>
      </c>
      <c r="CI54" s="1486">
        <f t="shared" ca="1" si="146"/>
        <v>0</v>
      </c>
      <c r="CJ54" s="1486">
        <f t="shared" ca="1" si="146"/>
        <v>0</v>
      </c>
      <c r="CK54" s="1486">
        <f t="shared" ca="1" si="146"/>
        <v>0</v>
      </c>
      <c r="CL54" s="1486">
        <f t="shared" ca="1" si="146"/>
        <v>0</v>
      </c>
      <c r="CM54" s="1486">
        <f t="shared" ca="1" si="146"/>
        <v>0</v>
      </c>
      <c r="CN54" s="1486">
        <f t="shared" ca="1" si="146"/>
        <v>0</v>
      </c>
      <c r="CO54" s="1486">
        <f t="shared" ca="1" si="146"/>
        <v>0</v>
      </c>
      <c r="CP54" s="1486">
        <f t="shared" ca="1" si="146"/>
        <v>0</v>
      </c>
      <c r="CQ54" s="1486">
        <f t="shared" ca="1" si="146"/>
        <v>0</v>
      </c>
      <c r="CR54" s="1486">
        <f t="shared" ca="1" si="146"/>
        <v>0</v>
      </c>
      <c r="CS54" s="1486">
        <f t="shared" ca="1" si="147"/>
        <v>0</v>
      </c>
      <c r="CT54" s="1486">
        <f t="shared" ca="1" si="147"/>
        <v>0</v>
      </c>
      <c r="CU54" s="1486">
        <f t="shared" ca="1" si="147"/>
        <v>0</v>
      </c>
      <c r="CV54" s="1486">
        <f t="shared" ca="1" si="147"/>
        <v>0</v>
      </c>
      <c r="CW54" s="1486">
        <f t="shared" ca="1" si="147"/>
        <v>0</v>
      </c>
      <c r="CX54" s="1486">
        <f t="shared" ca="1" si="147"/>
        <v>0</v>
      </c>
      <c r="CY54" s="1486">
        <f t="shared" ca="1" si="147"/>
        <v>0</v>
      </c>
      <c r="CZ54" s="1486">
        <f t="shared" ca="1" si="147"/>
        <v>0</v>
      </c>
      <c r="DA54" s="1486">
        <f t="shared" ca="1" si="147"/>
        <v>0</v>
      </c>
      <c r="DB54" s="1486">
        <f t="shared" ca="1" si="147"/>
        <v>0</v>
      </c>
      <c r="DC54" s="1486">
        <f t="shared" ca="1" si="147"/>
        <v>0</v>
      </c>
      <c r="DD54" s="1486">
        <f t="shared" ca="1" si="147"/>
        <v>0</v>
      </c>
      <c r="DE54" s="1486">
        <f t="shared" ca="1" si="147"/>
        <v>0</v>
      </c>
      <c r="DF54" s="1486">
        <f t="shared" ca="1" si="147"/>
        <v>0</v>
      </c>
      <c r="DH54" s="838">
        <f t="shared" ca="1" si="123"/>
        <v>8.4287468886686678</v>
      </c>
    </row>
    <row r="55" spans="1:112" s="743" customFormat="1" ht="15.75" collapsed="1">
      <c r="A55" s="1488"/>
      <c r="B55" s="1489"/>
      <c r="C55" s="744" t="s">
        <v>969</v>
      </c>
      <c r="D55" s="517" t="str">
        <f>INDEX(Workstreams[Workstream], MATCH($C55, Workstreams[Code], 0))</f>
        <v>Fossil fuel production</v>
      </c>
      <c r="E55" s="512"/>
      <c r="G55" s="1021">
        <f ca="1">SUM(G53:G54)</f>
        <v>0</v>
      </c>
      <c r="H55" s="1021">
        <f t="shared" ref="H55:P55" ca="1" si="148">SUM(H53:H54)</f>
        <v>0</v>
      </c>
      <c r="I55" s="1021">
        <f t="shared" ca="1" si="148"/>
        <v>23.232684937155941</v>
      </c>
      <c r="J55" s="1021">
        <f t="shared" ca="1" si="148"/>
        <v>0</v>
      </c>
      <c r="K55" s="1021">
        <f t="shared" ca="1" si="148"/>
        <v>0</v>
      </c>
      <c r="L55" s="1021">
        <f t="shared" ca="1" si="148"/>
        <v>0</v>
      </c>
      <c r="M55" s="1021">
        <f t="shared" ca="1" si="148"/>
        <v>0</v>
      </c>
      <c r="N55" s="1021">
        <f t="shared" ca="1" si="148"/>
        <v>0</v>
      </c>
      <c r="O55" s="1021">
        <f t="shared" ca="1" si="148"/>
        <v>0</v>
      </c>
      <c r="P55" s="1021">
        <f t="shared" ca="1" si="148"/>
        <v>0</v>
      </c>
      <c r="Q55" s="1021">
        <f ca="1">SUM(G55:P55)</f>
        <v>23.232684937155941</v>
      </c>
      <c r="S55" s="970">
        <f t="shared" ref="S55:AJ55" ca="1" si="149">SUM(S53:S54)</f>
        <v>-6.6192631980871619</v>
      </c>
      <c r="T55" s="970">
        <f t="shared" ca="1" si="149"/>
        <v>0</v>
      </c>
      <c r="U55" s="970">
        <f t="shared" ca="1" si="149"/>
        <v>-4.4692473051785787E-2</v>
      </c>
      <c r="V55" s="970">
        <f t="shared" ca="1" si="149"/>
        <v>-44.629050732111878</v>
      </c>
      <c r="W55" s="970">
        <f t="shared" ca="1" si="149"/>
        <v>-23.999092035098549</v>
      </c>
      <c r="X55" s="970">
        <f ca="1">SUM(X53:X54)</f>
        <v>124.39544583847987</v>
      </c>
      <c r="Y55" s="970">
        <f ca="1">SUM(Y53:Y54)</f>
        <v>333.08789440544865</v>
      </c>
      <c r="Z55" s="970">
        <f ca="1">SUM(Z53:Z54)</f>
        <v>255.12576641104135</v>
      </c>
      <c r="AA55" s="970">
        <f t="shared" ca="1" si="149"/>
        <v>0</v>
      </c>
      <c r="AB55" s="970">
        <f t="shared" ca="1" si="149"/>
        <v>-0.63940765908860087</v>
      </c>
      <c r="AC55" s="970">
        <f t="shared" ca="1" si="149"/>
        <v>0</v>
      </c>
      <c r="AD55" s="970">
        <f ca="1">SUM(AD53:AD54)</f>
        <v>0</v>
      </c>
      <c r="AE55" s="970">
        <f ca="1">SUM(AE53:AE54)</f>
        <v>0</v>
      </c>
      <c r="AF55" s="970">
        <f t="shared" ca="1" si="149"/>
        <v>0</v>
      </c>
      <c r="AG55" s="970">
        <f ca="1">SUM(AG53:AG54)</f>
        <v>0</v>
      </c>
      <c r="AH55" s="970">
        <f ca="1">SUM(AH53:AH54)</f>
        <v>0</v>
      </c>
      <c r="AI55" s="970">
        <f ca="1">SUM(AI53:AI54)</f>
        <v>0</v>
      </c>
      <c r="AJ55" s="970">
        <f t="shared" ca="1" si="149"/>
        <v>0</v>
      </c>
      <c r="AK55" s="970">
        <f ca="1">SUM(S55:AJ55)</f>
        <v>636.67760055753183</v>
      </c>
      <c r="AM55" s="976">
        <f t="shared" ref="AM55:BE55" ca="1" si="150">SUM(AM53:AM54)</f>
        <v>-124.39544583847987</v>
      </c>
      <c r="AN55" s="976">
        <f t="shared" ca="1" si="150"/>
        <v>-333.08789440544865</v>
      </c>
      <c r="AO55" s="976">
        <f t="shared" ca="1" si="150"/>
        <v>-255.12576641104135</v>
      </c>
      <c r="AP55" s="976">
        <f t="shared" ca="1" si="150"/>
        <v>0</v>
      </c>
      <c r="AQ55" s="976">
        <f t="shared" ca="1" si="150"/>
        <v>0</v>
      </c>
      <c r="AR55" s="976">
        <f t="shared" ca="1" si="150"/>
        <v>0</v>
      </c>
      <c r="AS55" s="976">
        <f t="shared" ca="1" si="150"/>
        <v>0</v>
      </c>
      <c r="AT55" s="976">
        <f t="shared" ca="1" si="150"/>
        <v>0</v>
      </c>
      <c r="AU55" s="976">
        <f t="shared" ca="1" si="150"/>
        <v>0</v>
      </c>
      <c r="AV55" s="976">
        <f t="shared" ca="1" si="150"/>
        <v>0</v>
      </c>
      <c r="AW55" s="976">
        <f t="shared" ca="1" si="150"/>
        <v>0</v>
      </c>
      <c r="AX55" s="976">
        <f t="shared" ca="1" si="150"/>
        <v>0</v>
      </c>
      <c r="AY55" s="976">
        <f t="shared" ca="1" si="150"/>
        <v>0</v>
      </c>
      <c r="AZ55" s="976">
        <f t="shared" ca="1" si="150"/>
        <v>0</v>
      </c>
      <c r="BA55" s="976">
        <f t="shared" ca="1" si="150"/>
        <v>0</v>
      </c>
      <c r="BB55" s="976">
        <f t="shared" ca="1" si="150"/>
        <v>0</v>
      </c>
      <c r="BC55" s="976">
        <f t="shared" ca="1" si="150"/>
        <v>0</v>
      </c>
      <c r="BD55" s="976">
        <f t="shared" ca="1" si="150"/>
        <v>0</v>
      </c>
      <c r="BE55" s="976">
        <f t="shared" ca="1" si="150"/>
        <v>0</v>
      </c>
      <c r="BF55" s="976">
        <f ca="1">SUM(AM55:BE55)</f>
        <v>-712.60910665496988</v>
      </c>
      <c r="BH55" s="990">
        <f ca="1">SUM(BH53:BH54)</f>
        <v>0</v>
      </c>
      <c r="BI55" s="990">
        <f ca="1">SUM(BI53:BI54)</f>
        <v>52.698821160282037</v>
      </c>
      <c r="BJ55" s="990">
        <f ca="1">SUM(BH55:BI55)</f>
        <v>52.698821160282037</v>
      </c>
      <c r="BL55" s="515">
        <f ca="1">Q55+AK55+BF55+BJ55</f>
        <v>-9.9475983006414026E-14</v>
      </c>
      <c r="BM55" s="852"/>
      <c r="BN55" s="840"/>
      <c r="BO55" s="1481">
        <f t="shared" ref="BO55:DF55" ca="1" si="151">SUM(BO53:BO54)</f>
        <v>15.556351617486103</v>
      </c>
      <c r="BP55" s="1482">
        <f t="shared" ca="1" si="151"/>
        <v>2.2708658893043437E-2</v>
      </c>
      <c r="BQ55" s="1482">
        <f t="shared" ca="1" si="151"/>
        <v>0.21022610977799328</v>
      </c>
      <c r="BR55" s="1482">
        <f t="shared" ca="1" si="151"/>
        <v>0</v>
      </c>
      <c r="BS55" s="1482">
        <f t="shared" ca="1" si="151"/>
        <v>1.7378757152393487</v>
      </c>
      <c r="BT55" s="1482">
        <f t="shared" ca="1" si="151"/>
        <v>2.6403129612517775</v>
      </c>
      <c r="BU55" s="1482">
        <f t="shared" ca="1" si="151"/>
        <v>0</v>
      </c>
      <c r="BV55" s="1482">
        <f t="shared" ca="1" si="151"/>
        <v>0</v>
      </c>
      <c r="BW55" s="1482">
        <f t="shared" ca="1" si="151"/>
        <v>0</v>
      </c>
      <c r="BX55" s="1482">
        <f t="shared" ca="1" si="151"/>
        <v>0</v>
      </c>
      <c r="BY55" s="1482">
        <f t="shared" ca="1" si="151"/>
        <v>0</v>
      </c>
      <c r="BZ55" s="1482">
        <f t="shared" ca="1" si="151"/>
        <v>0</v>
      </c>
      <c r="CA55" s="1482">
        <f t="shared" ca="1" si="151"/>
        <v>0</v>
      </c>
      <c r="CB55" s="1482">
        <f t="shared" ca="1" si="151"/>
        <v>0</v>
      </c>
      <c r="CC55" s="1482">
        <f t="shared" ca="1" si="151"/>
        <v>0</v>
      </c>
      <c r="CD55" s="1482">
        <f t="shared" ca="1" si="151"/>
        <v>0</v>
      </c>
      <c r="CE55" s="1482">
        <f t="shared" ca="1" si="151"/>
        <v>0</v>
      </c>
      <c r="CF55" s="1482">
        <f t="shared" ca="1" si="151"/>
        <v>0</v>
      </c>
      <c r="CG55" s="1482">
        <f t="shared" ca="1" si="151"/>
        <v>0</v>
      </c>
      <c r="CH55" s="1482">
        <f t="shared" ca="1" si="151"/>
        <v>0</v>
      </c>
      <c r="CI55" s="1482">
        <f t="shared" ca="1" si="151"/>
        <v>0</v>
      </c>
      <c r="CJ55" s="1482">
        <f t="shared" ca="1" si="151"/>
        <v>0</v>
      </c>
      <c r="CK55" s="1482">
        <f t="shared" ca="1" si="151"/>
        <v>0</v>
      </c>
      <c r="CL55" s="1482">
        <f t="shared" ca="1" si="151"/>
        <v>0</v>
      </c>
      <c r="CM55" s="1482">
        <f t="shared" ca="1" si="151"/>
        <v>0</v>
      </c>
      <c r="CN55" s="1482">
        <f t="shared" ca="1" si="151"/>
        <v>0</v>
      </c>
      <c r="CO55" s="1482">
        <f t="shared" ca="1" si="151"/>
        <v>0</v>
      </c>
      <c r="CP55" s="1482">
        <f t="shared" ca="1" si="151"/>
        <v>0</v>
      </c>
      <c r="CQ55" s="1482">
        <f t="shared" ca="1" si="151"/>
        <v>0</v>
      </c>
      <c r="CR55" s="1482">
        <f t="shared" ca="1" si="151"/>
        <v>0</v>
      </c>
      <c r="CS55" s="1482">
        <f t="shared" ca="1" si="151"/>
        <v>0</v>
      </c>
      <c r="CT55" s="1482">
        <f t="shared" ca="1" si="151"/>
        <v>0</v>
      </c>
      <c r="CU55" s="1482">
        <f t="shared" ca="1" si="151"/>
        <v>0</v>
      </c>
      <c r="CV55" s="1482">
        <f t="shared" ca="1" si="151"/>
        <v>0</v>
      </c>
      <c r="CW55" s="1482">
        <f t="shared" ca="1" si="151"/>
        <v>0</v>
      </c>
      <c r="CX55" s="1482">
        <f t="shared" ca="1" si="151"/>
        <v>0</v>
      </c>
      <c r="CY55" s="1482">
        <f t="shared" ca="1" si="151"/>
        <v>0</v>
      </c>
      <c r="CZ55" s="1482">
        <f t="shared" ca="1" si="151"/>
        <v>0</v>
      </c>
      <c r="DA55" s="1482">
        <f t="shared" ca="1" si="151"/>
        <v>0</v>
      </c>
      <c r="DB55" s="1482">
        <f t="shared" ca="1" si="151"/>
        <v>0</v>
      </c>
      <c r="DC55" s="1482">
        <f t="shared" ca="1" si="151"/>
        <v>0</v>
      </c>
      <c r="DD55" s="1482">
        <f t="shared" ca="1" si="151"/>
        <v>0</v>
      </c>
      <c r="DE55" s="1482">
        <f t="shared" ca="1" si="151"/>
        <v>0</v>
      </c>
      <c r="DF55" s="1482">
        <f t="shared" ca="1" si="151"/>
        <v>0</v>
      </c>
      <c r="DH55" s="838">
        <f t="shared" ca="1" si="123"/>
        <v>20.167475062648265</v>
      </c>
    </row>
    <row r="56" spans="1:112" s="743" customFormat="1" hidden="1" outlineLevel="1">
      <c r="C56" s="520"/>
      <c r="D56" s="38"/>
      <c r="E56" s="509"/>
      <c r="G56" s="958"/>
      <c r="H56" s="958"/>
      <c r="I56" s="958"/>
      <c r="J56" s="958"/>
      <c r="K56" s="960"/>
      <c r="L56" s="958"/>
      <c r="M56" s="958"/>
      <c r="N56" s="958"/>
      <c r="O56" s="958"/>
      <c r="P56" s="958"/>
      <c r="Q56" s="958"/>
      <c r="S56" s="970"/>
      <c r="T56" s="970"/>
      <c r="U56" s="970"/>
      <c r="V56" s="970"/>
      <c r="W56" s="970"/>
      <c r="X56" s="970"/>
      <c r="Y56" s="970"/>
      <c r="Z56" s="970"/>
      <c r="AA56" s="970"/>
      <c r="AB56" s="970"/>
      <c r="AC56" s="970"/>
      <c r="AD56" s="970"/>
      <c r="AE56" s="970"/>
      <c r="AF56" s="970"/>
      <c r="AG56" s="970"/>
      <c r="AH56" s="970"/>
      <c r="AI56" s="970"/>
      <c r="AJ56" s="970"/>
      <c r="AK56" s="970"/>
      <c r="AM56" s="976"/>
      <c r="AN56" s="976"/>
      <c r="AO56" s="976"/>
      <c r="AP56" s="976"/>
      <c r="AQ56" s="976"/>
      <c r="AR56" s="976"/>
      <c r="AS56" s="976"/>
      <c r="AT56" s="976"/>
      <c r="AU56" s="976"/>
      <c r="AV56" s="976"/>
      <c r="AW56" s="976"/>
      <c r="AX56" s="976"/>
      <c r="AY56" s="976"/>
      <c r="AZ56" s="976"/>
      <c r="BA56" s="976"/>
      <c r="BB56" s="976"/>
      <c r="BC56" s="976"/>
      <c r="BD56" s="976"/>
      <c r="BE56" s="976"/>
      <c r="BF56" s="976"/>
      <c r="BH56" s="990"/>
      <c r="BI56" s="990"/>
      <c r="BJ56" s="990"/>
      <c r="BL56" s="515">
        <f t="shared" ref="BL56:BL63" si="152">Q56+AK56+BF56+BJ56</f>
        <v>0</v>
      </c>
      <c r="BM56" s="515"/>
      <c r="BO56" s="1482"/>
      <c r="BP56" s="1482"/>
      <c r="BQ56" s="1482"/>
      <c r="BR56" s="1482"/>
      <c r="BS56" s="1482"/>
      <c r="BT56" s="1482"/>
      <c r="BU56" s="1482"/>
      <c r="BV56" s="1482"/>
      <c r="BW56" s="1482"/>
      <c r="BX56" s="1482"/>
      <c r="BY56" s="1482"/>
      <c r="BZ56" s="1482"/>
      <c r="CA56" s="1482"/>
      <c r="CB56" s="1482"/>
      <c r="CC56" s="1482"/>
      <c r="CD56" s="1482"/>
      <c r="CE56" s="1482"/>
      <c r="CF56" s="1482"/>
      <c r="CG56" s="1482"/>
      <c r="CH56" s="1482"/>
      <c r="CI56" s="1482"/>
      <c r="CJ56" s="1482"/>
      <c r="CK56" s="1482"/>
      <c r="CL56" s="1482"/>
      <c r="CM56" s="1482"/>
      <c r="CN56" s="1482"/>
      <c r="CO56" s="1482"/>
      <c r="CP56" s="1482"/>
      <c r="CQ56" s="1482"/>
      <c r="CR56" s="1482"/>
      <c r="CS56" s="1482"/>
      <c r="CT56" s="1482"/>
      <c r="CU56" s="1482"/>
      <c r="CV56" s="1482"/>
      <c r="CW56" s="1482"/>
      <c r="CX56" s="1482"/>
      <c r="CY56" s="1482"/>
      <c r="CZ56" s="1482"/>
      <c r="DA56" s="1482"/>
      <c r="DB56" s="1482"/>
      <c r="DC56" s="1482"/>
      <c r="DD56" s="1482"/>
      <c r="DE56" s="1482"/>
      <c r="DF56" s="1482"/>
      <c r="DH56" s="838">
        <f t="shared" si="123"/>
        <v>0</v>
      </c>
    </row>
    <row r="57" spans="1:112" s="1484" customFormat="1" ht="12.75" hidden="1" customHeight="1" outlineLevel="1">
      <c r="C57" s="746" t="s">
        <v>1730</v>
      </c>
      <c r="D57" s="521" t="str">
        <f>INDEX(Modules[Module], MATCH($C57, Modules[Code], 0))</f>
        <v>Onshore wind</v>
      </c>
      <c r="E57" s="521"/>
      <c r="F57" s="743"/>
      <c r="G57" s="1017">
        <f t="shared" ref="G57:P62" ca="1" si="153">IFERROR(INDEX(INDIRECT($C57&amp;".Outputs["&amp;this.Year&amp;"]"), MATCH(G$5, INDIRECT($C57&amp;".Outputs[Vector]"), 0)), 0)</f>
        <v>0</v>
      </c>
      <c r="H57" s="1017">
        <f t="shared" ca="1" si="153"/>
        <v>0</v>
      </c>
      <c r="I57" s="1017">
        <f t="shared" ca="1" si="153"/>
        <v>0</v>
      </c>
      <c r="J57" s="1017">
        <f t="shared" ca="1" si="153"/>
        <v>0</v>
      </c>
      <c r="K57" s="1017">
        <f t="shared" ca="1" si="153"/>
        <v>0</v>
      </c>
      <c r="L57" s="1017">
        <f t="shared" ca="1" si="153"/>
        <v>0</v>
      </c>
      <c r="M57" s="1017">
        <f t="shared" ca="1" si="153"/>
        <v>0</v>
      </c>
      <c r="N57" s="1017">
        <f t="shared" ca="1" si="153"/>
        <v>0</v>
      </c>
      <c r="O57" s="1017">
        <f t="shared" ca="1" si="153"/>
        <v>0</v>
      </c>
      <c r="P57" s="1017">
        <f t="shared" ca="1" si="153"/>
        <v>0</v>
      </c>
      <c r="Q57" s="1019">
        <f t="shared" ref="Q57:Q63" ca="1" si="154">SUM(G57:P57)</f>
        <v>0</v>
      </c>
      <c r="R57" s="743"/>
      <c r="S57" s="1026">
        <f t="shared" ref="S57:BE62" ca="1" si="155">IFERROR(INDEX(INDIRECT($C57&amp;".Outputs["&amp;this.Year&amp;"]"), MATCH(S$5, INDIRECT($C57&amp;".Outputs[Vector]"), 0)), 0)</f>
        <v>0</v>
      </c>
      <c r="T57" s="1026">
        <f t="shared" ca="1" si="155"/>
        <v>21.783685319999993</v>
      </c>
      <c r="U57" s="1026">
        <f t="shared" ca="1" si="155"/>
        <v>0</v>
      </c>
      <c r="V57" s="1026">
        <f t="shared" ca="1" si="155"/>
        <v>0</v>
      </c>
      <c r="W57" s="1026">
        <f t="shared" ca="1" si="155"/>
        <v>0</v>
      </c>
      <c r="X57" s="1026">
        <f t="shared" ref="X57:Z62" ca="1" si="156">IFERROR(INDEX(INDIRECT($C57&amp;".Outputs["&amp;this.Year&amp;"]"), MATCH(X$5, INDIRECT($C57&amp;".Outputs[Vector]"), 0)), 0)</f>
        <v>0</v>
      </c>
      <c r="Y57" s="1026">
        <f t="shared" ca="1" si="156"/>
        <v>0</v>
      </c>
      <c r="Z57" s="1026">
        <f t="shared" ca="1" si="156"/>
        <v>0</v>
      </c>
      <c r="AA57" s="1026">
        <f t="shared" ca="1" si="155"/>
        <v>0</v>
      </c>
      <c r="AB57" s="1026">
        <f t="shared" ca="1" si="155"/>
        <v>0</v>
      </c>
      <c r="AC57" s="1026">
        <f t="shared" ca="1" si="155"/>
        <v>0</v>
      </c>
      <c r="AD57" s="1026">
        <f t="shared" ca="1" si="155"/>
        <v>0</v>
      </c>
      <c r="AE57" s="1026">
        <f t="shared" ca="1" si="155"/>
        <v>0</v>
      </c>
      <c r="AF57" s="1026">
        <f t="shared" ca="1" si="155"/>
        <v>0</v>
      </c>
      <c r="AG57" s="1026">
        <f t="shared" ca="1" si="155"/>
        <v>0</v>
      </c>
      <c r="AH57" s="1026">
        <f t="shared" ca="1" si="155"/>
        <v>0</v>
      </c>
      <c r="AI57" s="1026">
        <f t="shared" ca="1" si="155"/>
        <v>0</v>
      </c>
      <c r="AJ57" s="1026">
        <f t="shared" ca="1" si="155"/>
        <v>0</v>
      </c>
      <c r="AK57" s="1027">
        <f t="shared" ref="AK57:AK63" ca="1" si="157">SUM(S57:AJ57)</f>
        <v>21.783685319999993</v>
      </c>
      <c r="AL57" s="743"/>
      <c r="AM57" s="1038">
        <f t="shared" ref="AM57:AU62" ca="1" si="158">IFERROR(INDEX(INDIRECT($C57&amp;".Outputs["&amp;this.Year&amp;"]"), MATCH(AM$5, INDIRECT($C57&amp;".Outputs[Vector]"), 0)), 0)</f>
        <v>0</v>
      </c>
      <c r="AN57" s="1038">
        <f t="shared" ca="1" si="158"/>
        <v>0</v>
      </c>
      <c r="AO57" s="1038">
        <f t="shared" ca="1" si="158"/>
        <v>0</v>
      </c>
      <c r="AP57" s="1038">
        <f t="shared" ca="1" si="158"/>
        <v>0</v>
      </c>
      <c r="AQ57" s="1038">
        <f t="shared" ca="1" si="158"/>
        <v>0</v>
      </c>
      <c r="AR57" s="1038">
        <f t="shared" ca="1" si="158"/>
        <v>0</v>
      </c>
      <c r="AS57" s="1038">
        <f t="shared" ca="1" si="158"/>
        <v>0</v>
      </c>
      <c r="AT57" s="1038">
        <f t="shared" ca="1" si="158"/>
        <v>0</v>
      </c>
      <c r="AU57" s="1038">
        <f t="shared" ca="1" si="158"/>
        <v>0</v>
      </c>
      <c r="AV57" s="1038">
        <f t="shared" ca="1" si="155"/>
        <v>0</v>
      </c>
      <c r="AW57" s="1038">
        <f t="shared" ca="1" si="155"/>
        <v>0</v>
      </c>
      <c r="AX57" s="1038">
        <f t="shared" ca="1" si="155"/>
        <v>-21.783685319999993</v>
      </c>
      <c r="AY57" s="1038">
        <f t="shared" ca="1" si="155"/>
        <v>0</v>
      </c>
      <c r="AZ57" s="1038">
        <f t="shared" ca="1" si="155"/>
        <v>0</v>
      </c>
      <c r="BA57" s="1038">
        <f t="shared" ca="1" si="155"/>
        <v>0</v>
      </c>
      <c r="BB57" s="1038">
        <f t="shared" ca="1" si="155"/>
        <v>0</v>
      </c>
      <c r="BC57" s="1038">
        <f t="shared" ca="1" si="155"/>
        <v>0</v>
      </c>
      <c r="BD57" s="1038">
        <f t="shared" ca="1" si="155"/>
        <v>0</v>
      </c>
      <c r="BE57" s="1038">
        <f t="shared" ca="1" si="155"/>
        <v>0</v>
      </c>
      <c r="BF57" s="979">
        <f t="shared" ref="BF57:BF63" ca="1" si="159">SUM(AM57:BE57)</f>
        <v>-21.783685319999993</v>
      </c>
      <c r="BG57" s="743"/>
      <c r="BH57" s="1032">
        <f t="shared" ref="BH57:BI62" ca="1" si="160">IFERROR(INDEX(INDIRECT($C57&amp;".Outputs["&amp;this.Year&amp;"]"), MATCH(BH$5, INDIRECT($C57&amp;".Outputs[Vector]"), 0)), 0)</f>
        <v>0</v>
      </c>
      <c r="BI57" s="1032">
        <f t="shared" ca="1" si="160"/>
        <v>0</v>
      </c>
      <c r="BJ57" s="1034">
        <f t="shared" ref="BJ57:BJ63" ca="1" si="161">SUM(BH57:BI57)</f>
        <v>0</v>
      </c>
      <c r="BK57" s="743"/>
      <c r="BL57" s="814">
        <f t="shared" ca="1" si="152"/>
        <v>0</v>
      </c>
      <c r="BM57" s="814"/>
      <c r="BN57" s="840"/>
      <c r="BO57" s="1481">
        <f t="shared" ref="BO57:BX62" ca="1" si="162">IFERROR(SUMIFS(INDIRECT($C57&amp;".Emissions["&amp;this.Year&amp;"]"), INDIRECT($C57&amp;".Emissions[GHG]"), BO$6, INDIRECT($C57&amp;".Emissions[IPCC Sector]"), BO$5),0)</f>
        <v>0</v>
      </c>
      <c r="BP57" s="1482">
        <f t="shared" ca="1" si="162"/>
        <v>0</v>
      </c>
      <c r="BQ57" s="1482">
        <f t="shared" ca="1" si="162"/>
        <v>0</v>
      </c>
      <c r="BR57" s="1482">
        <f t="shared" ca="1" si="162"/>
        <v>0</v>
      </c>
      <c r="BS57" s="1482">
        <f t="shared" ca="1" si="162"/>
        <v>0</v>
      </c>
      <c r="BT57" s="1482">
        <f t="shared" ca="1" si="162"/>
        <v>0</v>
      </c>
      <c r="BU57" s="1482">
        <f t="shared" ca="1" si="162"/>
        <v>0</v>
      </c>
      <c r="BV57" s="1482">
        <f t="shared" ca="1" si="162"/>
        <v>0</v>
      </c>
      <c r="BW57" s="1482">
        <f t="shared" ca="1" si="162"/>
        <v>0</v>
      </c>
      <c r="BX57" s="1482">
        <f t="shared" ca="1" si="162"/>
        <v>0</v>
      </c>
      <c r="BY57" s="1482">
        <f t="shared" ref="BY57:CH62" ca="1" si="163">IFERROR(SUMIFS(INDIRECT($C57&amp;".Emissions["&amp;this.Year&amp;"]"), INDIRECT($C57&amp;".Emissions[GHG]"), BY$6, INDIRECT($C57&amp;".Emissions[IPCC Sector]"), BY$5),0)</f>
        <v>0</v>
      </c>
      <c r="BZ57" s="1482">
        <f t="shared" ca="1" si="163"/>
        <v>0</v>
      </c>
      <c r="CA57" s="1482">
        <f t="shared" ca="1" si="163"/>
        <v>0</v>
      </c>
      <c r="CB57" s="1482">
        <f t="shared" ca="1" si="163"/>
        <v>0</v>
      </c>
      <c r="CC57" s="1482">
        <f t="shared" ca="1" si="163"/>
        <v>0</v>
      </c>
      <c r="CD57" s="1482">
        <f t="shared" ca="1" si="163"/>
        <v>0</v>
      </c>
      <c r="CE57" s="1482">
        <f t="shared" ca="1" si="163"/>
        <v>0</v>
      </c>
      <c r="CF57" s="1482">
        <f t="shared" ca="1" si="163"/>
        <v>0</v>
      </c>
      <c r="CG57" s="1482">
        <f t="shared" ca="1" si="163"/>
        <v>0</v>
      </c>
      <c r="CH57" s="1482">
        <f t="shared" ca="1" si="163"/>
        <v>0</v>
      </c>
      <c r="CI57" s="1482">
        <f t="shared" ref="CI57:CR62" ca="1" si="164">IFERROR(SUMIFS(INDIRECT($C57&amp;".Emissions["&amp;this.Year&amp;"]"), INDIRECT($C57&amp;".Emissions[GHG]"), CI$6, INDIRECT($C57&amp;".Emissions[IPCC Sector]"), CI$5),0)</f>
        <v>0</v>
      </c>
      <c r="CJ57" s="1482">
        <f t="shared" ca="1" si="164"/>
        <v>0</v>
      </c>
      <c r="CK57" s="1482">
        <f t="shared" ca="1" si="164"/>
        <v>0</v>
      </c>
      <c r="CL57" s="1482">
        <f t="shared" ca="1" si="164"/>
        <v>0</v>
      </c>
      <c r="CM57" s="1482">
        <f t="shared" ca="1" si="164"/>
        <v>0</v>
      </c>
      <c r="CN57" s="1482">
        <f t="shared" ca="1" si="164"/>
        <v>0</v>
      </c>
      <c r="CO57" s="1482">
        <f t="shared" ca="1" si="164"/>
        <v>0</v>
      </c>
      <c r="CP57" s="1482">
        <f t="shared" ca="1" si="164"/>
        <v>0</v>
      </c>
      <c r="CQ57" s="1482">
        <f t="shared" ca="1" si="164"/>
        <v>0</v>
      </c>
      <c r="CR57" s="1482">
        <f t="shared" ca="1" si="164"/>
        <v>0</v>
      </c>
      <c r="CS57" s="1482">
        <f t="shared" ref="CS57:DF62" ca="1" si="165">IFERROR(SUMIFS(INDIRECT($C57&amp;".Emissions["&amp;this.Year&amp;"]"), INDIRECT($C57&amp;".Emissions[GHG]"), CS$6, INDIRECT($C57&amp;".Emissions[IPCC Sector]"), CS$5),0)</f>
        <v>0</v>
      </c>
      <c r="CT57" s="1482">
        <f t="shared" ca="1" si="165"/>
        <v>0</v>
      </c>
      <c r="CU57" s="1482">
        <f t="shared" ca="1" si="165"/>
        <v>0</v>
      </c>
      <c r="CV57" s="1482">
        <f t="shared" ca="1" si="165"/>
        <v>0</v>
      </c>
      <c r="CW57" s="1482">
        <f t="shared" ca="1" si="165"/>
        <v>0</v>
      </c>
      <c r="CX57" s="1482">
        <f t="shared" ca="1" si="165"/>
        <v>0</v>
      </c>
      <c r="CY57" s="1482">
        <f t="shared" ca="1" si="165"/>
        <v>0</v>
      </c>
      <c r="CZ57" s="1482">
        <f t="shared" ca="1" si="165"/>
        <v>0</v>
      </c>
      <c r="DA57" s="1482">
        <f t="shared" ca="1" si="165"/>
        <v>0</v>
      </c>
      <c r="DB57" s="1482">
        <f t="shared" ca="1" si="165"/>
        <v>0</v>
      </c>
      <c r="DC57" s="1482">
        <f t="shared" ca="1" si="165"/>
        <v>0</v>
      </c>
      <c r="DD57" s="1482">
        <f t="shared" ca="1" si="165"/>
        <v>0</v>
      </c>
      <c r="DE57" s="1482">
        <f t="shared" ca="1" si="165"/>
        <v>0</v>
      </c>
      <c r="DF57" s="1482">
        <f t="shared" ca="1" si="165"/>
        <v>0</v>
      </c>
      <c r="DH57" s="838">
        <f t="shared" ca="1" si="123"/>
        <v>0</v>
      </c>
    </row>
    <row r="58" spans="1:112" s="1484" customFormat="1" ht="12.75" hidden="1" customHeight="1" outlineLevel="1">
      <c r="C58" s="746" t="s">
        <v>1731</v>
      </c>
      <c r="D58" s="521" t="str">
        <f>INDEX(Modules[Module], MATCH($C58, Modules[Code], 0))</f>
        <v>Offshore wind</v>
      </c>
      <c r="E58" s="521"/>
      <c r="F58" s="743"/>
      <c r="G58" s="1017">
        <f t="shared" ca="1" si="153"/>
        <v>0</v>
      </c>
      <c r="H58" s="1017">
        <f t="shared" ca="1" si="153"/>
        <v>0</v>
      </c>
      <c r="I58" s="1017">
        <f t="shared" ca="1" si="153"/>
        <v>0</v>
      </c>
      <c r="J58" s="1017">
        <f t="shared" ca="1" si="153"/>
        <v>0</v>
      </c>
      <c r="K58" s="1017">
        <f t="shared" ca="1" si="153"/>
        <v>0</v>
      </c>
      <c r="L58" s="1017">
        <f t="shared" ca="1" si="153"/>
        <v>0</v>
      </c>
      <c r="M58" s="1017">
        <f t="shared" ca="1" si="153"/>
        <v>0</v>
      </c>
      <c r="N58" s="1017">
        <f t="shared" ca="1" si="153"/>
        <v>0</v>
      </c>
      <c r="O58" s="1017">
        <f t="shared" ca="1" si="153"/>
        <v>0</v>
      </c>
      <c r="P58" s="1017">
        <f t="shared" ca="1" si="153"/>
        <v>0</v>
      </c>
      <c r="Q58" s="1019">
        <f ca="1">SUM(G58:P58)</f>
        <v>0</v>
      </c>
      <c r="R58" s="743"/>
      <c r="S58" s="1026">
        <f t="shared" ca="1" si="155"/>
        <v>0</v>
      </c>
      <c r="T58" s="1026">
        <f t="shared" ca="1" si="155"/>
        <v>21.672444780000003</v>
      </c>
      <c r="U58" s="1026">
        <f t="shared" ca="1" si="155"/>
        <v>0</v>
      </c>
      <c r="V58" s="1026">
        <f t="shared" ca="1" si="155"/>
        <v>0</v>
      </c>
      <c r="W58" s="1026">
        <f t="shared" ca="1" si="155"/>
        <v>0</v>
      </c>
      <c r="X58" s="1026">
        <f t="shared" ca="1" si="156"/>
        <v>0</v>
      </c>
      <c r="Y58" s="1026">
        <f t="shared" ca="1" si="156"/>
        <v>0</v>
      </c>
      <c r="Z58" s="1026">
        <f t="shared" ca="1" si="156"/>
        <v>0</v>
      </c>
      <c r="AA58" s="1026">
        <f t="shared" ca="1" si="155"/>
        <v>0</v>
      </c>
      <c r="AB58" s="1026">
        <f t="shared" ca="1" si="155"/>
        <v>0</v>
      </c>
      <c r="AC58" s="1026">
        <f t="shared" ca="1" si="155"/>
        <v>0</v>
      </c>
      <c r="AD58" s="1026">
        <f t="shared" ca="1" si="155"/>
        <v>0</v>
      </c>
      <c r="AE58" s="1026">
        <f t="shared" ca="1" si="155"/>
        <v>0</v>
      </c>
      <c r="AF58" s="1026">
        <f t="shared" ca="1" si="155"/>
        <v>0</v>
      </c>
      <c r="AG58" s="1026">
        <f t="shared" ca="1" si="155"/>
        <v>0</v>
      </c>
      <c r="AH58" s="1026">
        <f t="shared" ca="1" si="155"/>
        <v>0</v>
      </c>
      <c r="AI58" s="1026">
        <f t="shared" ca="1" si="155"/>
        <v>0</v>
      </c>
      <c r="AJ58" s="1026">
        <f t="shared" ca="1" si="155"/>
        <v>0</v>
      </c>
      <c r="AK58" s="1027">
        <f ca="1">SUM(S58:AJ58)</f>
        <v>21.672444780000003</v>
      </c>
      <c r="AL58" s="743"/>
      <c r="AM58" s="1038">
        <f t="shared" ca="1" si="158"/>
        <v>0</v>
      </c>
      <c r="AN58" s="1038">
        <f t="shared" ca="1" si="158"/>
        <v>0</v>
      </c>
      <c r="AO58" s="1038">
        <f t="shared" ca="1" si="158"/>
        <v>0</v>
      </c>
      <c r="AP58" s="1038">
        <f t="shared" ca="1" si="158"/>
        <v>0</v>
      </c>
      <c r="AQ58" s="1038">
        <f t="shared" ca="1" si="158"/>
        <v>0</v>
      </c>
      <c r="AR58" s="1038">
        <f t="shared" ca="1" si="158"/>
        <v>0</v>
      </c>
      <c r="AS58" s="1038">
        <f t="shared" ca="1" si="158"/>
        <v>0</v>
      </c>
      <c r="AT58" s="1038">
        <f t="shared" ca="1" si="158"/>
        <v>0</v>
      </c>
      <c r="AU58" s="1038">
        <f t="shared" ca="1" si="158"/>
        <v>0</v>
      </c>
      <c r="AV58" s="1038">
        <f t="shared" ca="1" si="155"/>
        <v>0</v>
      </c>
      <c r="AW58" s="1038">
        <f t="shared" ca="1" si="155"/>
        <v>0</v>
      </c>
      <c r="AX58" s="1038">
        <f t="shared" ca="1" si="155"/>
        <v>-21.672444780000003</v>
      </c>
      <c r="AY58" s="1038">
        <f t="shared" ca="1" si="155"/>
        <v>0</v>
      </c>
      <c r="AZ58" s="1038">
        <f t="shared" ca="1" si="155"/>
        <v>0</v>
      </c>
      <c r="BA58" s="1038">
        <f t="shared" ca="1" si="155"/>
        <v>0</v>
      </c>
      <c r="BB58" s="1038">
        <f t="shared" ca="1" si="155"/>
        <v>0</v>
      </c>
      <c r="BC58" s="1038">
        <f t="shared" ca="1" si="155"/>
        <v>0</v>
      </c>
      <c r="BD58" s="1038">
        <f t="shared" ca="1" si="155"/>
        <v>0</v>
      </c>
      <c r="BE58" s="1038">
        <f t="shared" ca="1" si="155"/>
        <v>0</v>
      </c>
      <c r="BF58" s="979">
        <f ca="1">SUM(AM58:BE58)</f>
        <v>-21.672444780000003</v>
      </c>
      <c r="BG58" s="743"/>
      <c r="BH58" s="1032">
        <f t="shared" ca="1" si="160"/>
        <v>0</v>
      </c>
      <c r="BI58" s="1032">
        <f t="shared" ca="1" si="160"/>
        <v>0</v>
      </c>
      <c r="BJ58" s="1034">
        <f ca="1">SUM(BH58:BI58)</f>
        <v>0</v>
      </c>
      <c r="BK58" s="743"/>
      <c r="BL58" s="814">
        <f ca="1">Q58+AK58+BF58+BJ58</f>
        <v>0</v>
      </c>
      <c r="BM58" s="814"/>
      <c r="BN58" s="840"/>
      <c r="BO58" s="1481">
        <f t="shared" ca="1" si="162"/>
        <v>0</v>
      </c>
      <c r="BP58" s="1482">
        <f t="shared" ca="1" si="162"/>
        <v>0</v>
      </c>
      <c r="BQ58" s="1482">
        <f t="shared" ca="1" si="162"/>
        <v>0</v>
      </c>
      <c r="BR58" s="1482">
        <f t="shared" ca="1" si="162"/>
        <v>0</v>
      </c>
      <c r="BS58" s="1482">
        <f t="shared" ca="1" si="162"/>
        <v>0</v>
      </c>
      <c r="BT58" s="1482">
        <f t="shared" ca="1" si="162"/>
        <v>0</v>
      </c>
      <c r="BU58" s="1482">
        <f t="shared" ca="1" si="162"/>
        <v>0</v>
      </c>
      <c r="BV58" s="1482">
        <f t="shared" ca="1" si="162"/>
        <v>0</v>
      </c>
      <c r="BW58" s="1482">
        <f t="shared" ca="1" si="162"/>
        <v>0</v>
      </c>
      <c r="BX58" s="1482">
        <f t="shared" ca="1" si="162"/>
        <v>0</v>
      </c>
      <c r="BY58" s="1482">
        <f t="shared" ca="1" si="163"/>
        <v>0</v>
      </c>
      <c r="BZ58" s="1482">
        <f t="shared" ca="1" si="163"/>
        <v>0</v>
      </c>
      <c r="CA58" s="1482">
        <f t="shared" ca="1" si="163"/>
        <v>0</v>
      </c>
      <c r="CB58" s="1482">
        <f t="shared" ca="1" si="163"/>
        <v>0</v>
      </c>
      <c r="CC58" s="1482">
        <f t="shared" ca="1" si="163"/>
        <v>0</v>
      </c>
      <c r="CD58" s="1482">
        <f t="shared" ca="1" si="163"/>
        <v>0</v>
      </c>
      <c r="CE58" s="1482">
        <f t="shared" ca="1" si="163"/>
        <v>0</v>
      </c>
      <c r="CF58" s="1482">
        <f t="shared" ca="1" si="163"/>
        <v>0</v>
      </c>
      <c r="CG58" s="1482">
        <f t="shared" ca="1" si="163"/>
        <v>0</v>
      </c>
      <c r="CH58" s="1482">
        <f t="shared" ca="1" si="163"/>
        <v>0</v>
      </c>
      <c r="CI58" s="1482">
        <f t="shared" ca="1" si="164"/>
        <v>0</v>
      </c>
      <c r="CJ58" s="1482">
        <f t="shared" ca="1" si="164"/>
        <v>0</v>
      </c>
      <c r="CK58" s="1482">
        <f t="shared" ca="1" si="164"/>
        <v>0</v>
      </c>
      <c r="CL58" s="1482">
        <f t="shared" ca="1" si="164"/>
        <v>0</v>
      </c>
      <c r="CM58" s="1482">
        <f t="shared" ca="1" si="164"/>
        <v>0</v>
      </c>
      <c r="CN58" s="1482">
        <f t="shared" ca="1" si="164"/>
        <v>0</v>
      </c>
      <c r="CO58" s="1482">
        <f t="shared" ca="1" si="164"/>
        <v>0</v>
      </c>
      <c r="CP58" s="1482">
        <f t="shared" ca="1" si="164"/>
        <v>0</v>
      </c>
      <c r="CQ58" s="1482">
        <f t="shared" ca="1" si="164"/>
        <v>0</v>
      </c>
      <c r="CR58" s="1482">
        <f t="shared" ca="1" si="164"/>
        <v>0</v>
      </c>
      <c r="CS58" s="1482">
        <f t="shared" ca="1" si="165"/>
        <v>0</v>
      </c>
      <c r="CT58" s="1482">
        <f t="shared" ca="1" si="165"/>
        <v>0</v>
      </c>
      <c r="CU58" s="1482">
        <f t="shared" ca="1" si="165"/>
        <v>0</v>
      </c>
      <c r="CV58" s="1482">
        <f t="shared" ca="1" si="165"/>
        <v>0</v>
      </c>
      <c r="CW58" s="1482">
        <f t="shared" ca="1" si="165"/>
        <v>0</v>
      </c>
      <c r="CX58" s="1482">
        <f t="shared" ca="1" si="165"/>
        <v>0</v>
      </c>
      <c r="CY58" s="1482">
        <f t="shared" ca="1" si="165"/>
        <v>0</v>
      </c>
      <c r="CZ58" s="1482">
        <f t="shared" ca="1" si="165"/>
        <v>0</v>
      </c>
      <c r="DA58" s="1482">
        <f t="shared" ca="1" si="165"/>
        <v>0</v>
      </c>
      <c r="DB58" s="1482">
        <f t="shared" ca="1" si="165"/>
        <v>0</v>
      </c>
      <c r="DC58" s="1482">
        <f t="shared" ca="1" si="165"/>
        <v>0</v>
      </c>
      <c r="DD58" s="1482">
        <f t="shared" ca="1" si="165"/>
        <v>0</v>
      </c>
      <c r="DE58" s="1482">
        <f t="shared" ca="1" si="165"/>
        <v>0</v>
      </c>
      <c r="DF58" s="1482">
        <f t="shared" ca="1" si="165"/>
        <v>0</v>
      </c>
      <c r="DH58" s="838">
        <f ca="1">SUM(BO58:DF58)</f>
        <v>0</v>
      </c>
    </row>
    <row r="59" spans="1:112" s="1484" customFormat="1" ht="12.75" hidden="1" customHeight="1" outlineLevel="1">
      <c r="C59" s="746" t="s">
        <v>803</v>
      </c>
      <c r="D59" s="521" t="str">
        <f>INDEX(Modules[Module], MATCH($C59, Modules[Code], 0))</f>
        <v>Hydroelectric</v>
      </c>
      <c r="E59" s="521"/>
      <c r="F59" s="743"/>
      <c r="G59" s="1017">
        <f t="shared" ca="1" si="153"/>
        <v>0</v>
      </c>
      <c r="H59" s="1017">
        <f t="shared" ca="1" si="153"/>
        <v>0</v>
      </c>
      <c r="I59" s="1017">
        <f t="shared" ca="1" si="153"/>
        <v>0</v>
      </c>
      <c r="J59" s="1017">
        <f t="shared" ca="1" si="153"/>
        <v>0</v>
      </c>
      <c r="K59" s="1017">
        <f t="shared" ca="1" si="153"/>
        <v>0</v>
      </c>
      <c r="L59" s="1017">
        <f t="shared" ca="1" si="153"/>
        <v>0</v>
      </c>
      <c r="M59" s="1017">
        <f t="shared" ca="1" si="153"/>
        <v>0</v>
      </c>
      <c r="N59" s="1017">
        <f t="shared" ca="1" si="153"/>
        <v>0</v>
      </c>
      <c r="O59" s="1017">
        <f t="shared" ca="1" si="153"/>
        <v>0</v>
      </c>
      <c r="P59" s="1017">
        <f t="shared" ca="1" si="153"/>
        <v>0</v>
      </c>
      <c r="Q59" s="1019">
        <f t="shared" ca="1" si="154"/>
        <v>0</v>
      </c>
      <c r="R59" s="743"/>
      <c r="S59" s="1026">
        <f t="shared" ca="1" si="155"/>
        <v>0</v>
      </c>
      <c r="T59" s="1026">
        <f t="shared" ca="1" si="155"/>
        <v>5.3297280000000011</v>
      </c>
      <c r="U59" s="1026">
        <f t="shared" ca="1" si="155"/>
        <v>0</v>
      </c>
      <c r="V59" s="1026">
        <f t="shared" ca="1" si="155"/>
        <v>0</v>
      </c>
      <c r="W59" s="1026">
        <f t="shared" ca="1" si="155"/>
        <v>0</v>
      </c>
      <c r="X59" s="1026">
        <f t="shared" ca="1" si="156"/>
        <v>0</v>
      </c>
      <c r="Y59" s="1026">
        <f t="shared" ca="1" si="156"/>
        <v>0</v>
      </c>
      <c r="Z59" s="1026">
        <f t="shared" ca="1" si="156"/>
        <v>0</v>
      </c>
      <c r="AA59" s="1026">
        <f t="shared" ca="1" si="155"/>
        <v>0</v>
      </c>
      <c r="AB59" s="1026">
        <f t="shared" ca="1" si="155"/>
        <v>0</v>
      </c>
      <c r="AC59" s="1026">
        <f t="shared" ca="1" si="155"/>
        <v>0</v>
      </c>
      <c r="AD59" s="1026">
        <f t="shared" ca="1" si="155"/>
        <v>0</v>
      </c>
      <c r="AE59" s="1026">
        <f t="shared" ca="1" si="155"/>
        <v>0</v>
      </c>
      <c r="AF59" s="1026">
        <f t="shared" ca="1" si="155"/>
        <v>0</v>
      </c>
      <c r="AG59" s="1026">
        <f t="shared" ca="1" si="155"/>
        <v>0</v>
      </c>
      <c r="AH59" s="1026">
        <f t="shared" ca="1" si="155"/>
        <v>0</v>
      </c>
      <c r="AI59" s="1026">
        <f t="shared" ca="1" si="155"/>
        <v>0</v>
      </c>
      <c r="AJ59" s="1026">
        <f t="shared" ca="1" si="155"/>
        <v>0</v>
      </c>
      <c r="AK59" s="1027">
        <f t="shared" ca="1" si="157"/>
        <v>5.3297280000000011</v>
      </c>
      <c r="AL59" s="743"/>
      <c r="AM59" s="1038">
        <f t="shared" ca="1" si="158"/>
        <v>0</v>
      </c>
      <c r="AN59" s="1038">
        <f t="shared" ca="1" si="158"/>
        <v>0</v>
      </c>
      <c r="AO59" s="1038">
        <f t="shared" ca="1" si="158"/>
        <v>0</v>
      </c>
      <c r="AP59" s="1038">
        <f t="shared" ca="1" si="158"/>
        <v>0</v>
      </c>
      <c r="AQ59" s="1038">
        <f t="shared" ca="1" si="158"/>
        <v>0</v>
      </c>
      <c r="AR59" s="1038">
        <f t="shared" ca="1" si="158"/>
        <v>0</v>
      </c>
      <c r="AS59" s="1038">
        <f t="shared" ca="1" si="158"/>
        <v>0</v>
      </c>
      <c r="AT59" s="1038">
        <f t="shared" ca="1" si="158"/>
        <v>0</v>
      </c>
      <c r="AU59" s="1038">
        <f t="shared" ca="1" si="158"/>
        <v>0</v>
      </c>
      <c r="AV59" s="1038">
        <f t="shared" ca="1" si="155"/>
        <v>0</v>
      </c>
      <c r="AW59" s="1038">
        <f t="shared" ca="1" si="155"/>
        <v>0</v>
      </c>
      <c r="AX59" s="1038">
        <f t="shared" ca="1" si="155"/>
        <v>0</v>
      </c>
      <c r="AY59" s="1038">
        <f t="shared" ca="1" si="155"/>
        <v>0</v>
      </c>
      <c r="AZ59" s="1038">
        <f t="shared" ca="1" si="155"/>
        <v>0</v>
      </c>
      <c r="BA59" s="1038">
        <f t="shared" ca="1" si="155"/>
        <v>0</v>
      </c>
      <c r="BB59" s="1038">
        <f t="shared" ca="1" si="155"/>
        <v>-5.3297280000000011</v>
      </c>
      <c r="BC59" s="1038">
        <f t="shared" ca="1" si="155"/>
        <v>0</v>
      </c>
      <c r="BD59" s="1038">
        <f t="shared" ca="1" si="155"/>
        <v>0</v>
      </c>
      <c r="BE59" s="1038">
        <f t="shared" ca="1" si="155"/>
        <v>0</v>
      </c>
      <c r="BF59" s="979">
        <f t="shared" ca="1" si="159"/>
        <v>-5.3297280000000011</v>
      </c>
      <c r="BG59" s="743"/>
      <c r="BH59" s="1032">
        <f t="shared" ca="1" si="160"/>
        <v>0</v>
      </c>
      <c r="BI59" s="1032">
        <f t="shared" ca="1" si="160"/>
        <v>0</v>
      </c>
      <c r="BJ59" s="1034">
        <f t="shared" ca="1" si="161"/>
        <v>0</v>
      </c>
      <c r="BK59" s="743"/>
      <c r="BL59" s="814">
        <f t="shared" ca="1" si="152"/>
        <v>0</v>
      </c>
      <c r="BM59" s="814"/>
      <c r="BN59" s="840"/>
      <c r="BO59" s="1481">
        <f t="shared" ca="1" si="162"/>
        <v>0</v>
      </c>
      <c r="BP59" s="1482">
        <f t="shared" ca="1" si="162"/>
        <v>0</v>
      </c>
      <c r="BQ59" s="1482">
        <f t="shared" ca="1" si="162"/>
        <v>0</v>
      </c>
      <c r="BR59" s="1482">
        <f t="shared" ca="1" si="162"/>
        <v>0</v>
      </c>
      <c r="BS59" s="1482">
        <f t="shared" ca="1" si="162"/>
        <v>0</v>
      </c>
      <c r="BT59" s="1482">
        <f t="shared" ca="1" si="162"/>
        <v>0</v>
      </c>
      <c r="BU59" s="1482">
        <f t="shared" ca="1" si="162"/>
        <v>0</v>
      </c>
      <c r="BV59" s="1482">
        <f t="shared" ca="1" si="162"/>
        <v>0</v>
      </c>
      <c r="BW59" s="1482">
        <f t="shared" ca="1" si="162"/>
        <v>0</v>
      </c>
      <c r="BX59" s="1482">
        <f t="shared" ca="1" si="162"/>
        <v>0</v>
      </c>
      <c r="BY59" s="1482">
        <f t="shared" ca="1" si="163"/>
        <v>0</v>
      </c>
      <c r="BZ59" s="1482">
        <f t="shared" ca="1" si="163"/>
        <v>0</v>
      </c>
      <c r="CA59" s="1482">
        <f t="shared" ca="1" si="163"/>
        <v>0</v>
      </c>
      <c r="CB59" s="1482">
        <f t="shared" ca="1" si="163"/>
        <v>0</v>
      </c>
      <c r="CC59" s="1482">
        <f t="shared" ca="1" si="163"/>
        <v>0</v>
      </c>
      <c r="CD59" s="1482">
        <f t="shared" ca="1" si="163"/>
        <v>0</v>
      </c>
      <c r="CE59" s="1482">
        <f t="shared" ca="1" si="163"/>
        <v>0</v>
      </c>
      <c r="CF59" s="1482">
        <f t="shared" ca="1" si="163"/>
        <v>0</v>
      </c>
      <c r="CG59" s="1482">
        <f t="shared" ca="1" si="163"/>
        <v>0</v>
      </c>
      <c r="CH59" s="1482">
        <f t="shared" ca="1" si="163"/>
        <v>0</v>
      </c>
      <c r="CI59" s="1482">
        <f t="shared" ca="1" si="164"/>
        <v>0</v>
      </c>
      <c r="CJ59" s="1482">
        <f t="shared" ca="1" si="164"/>
        <v>0</v>
      </c>
      <c r="CK59" s="1482">
        <f t="shared" ca="1" si="164"/>
        <v>0</v>
      </c>
      <c r="CL59" s="1482">
        <f t="shared" ca="1" si="164"/>
        <v>0</v>
      </c>
      <c r="CM59" s="1482">
        <f t="shared" ca="1" si="164"/>
        <v>0</v>
      </c>
      <c r="CN59" s="1482">
        <f t="shared" ca="1" si="164"/>
        <v>0</v>
      </c>
      <c r="CO59" s="1482">
        <f t="shared" ca="1" si="164"/>
        <v>0</v>
      </c>
      <c r="CP59" s="1482">
        <f t="shared" ca="1" si="164"/>
        <v>0</v>
      </c>
      <c r="CQ59" s="1482">
        <f t="shared" ca="1" si="164"/>
        <v>0</v>
      </c>
      <c r="CR59" s="1482">
        <f t="shared" ca="1" si="164"/>
        <v>0</v>
      </c>
      <c r="CS59" s="1482">
        <f t="shared" ca="1" si="165"/>
        <v>0</v>
      </c>
      <c r="CT59" s="1482">
        <f t="shared" ca="1" si="165"/>
        <v>0</v>
      </c>
      <c r="CU59" s="1482">
        <f t="shared" ca="1" si="165"/>
        <v>0</v>
      </c>
      <c r="CV59" s="1482">
        <f t="shared" ca="1" si="165"/>
        <v>0</v>
      </c>
      <c r="CW59" s="1482">
        <f t="shared" ca="1" si="165"/>
        <v>0</v>
      </c>
      <c r="CX59" s="1482">
        <f t="shared" ca="1" si="165"/>
        <v>0</v>
      </c>
      <c r="CY59" s="1482">
        <f t="shared" ca="1" si="165"/>
        <v>0</v>
      </c>
      <c r="CZ59" s="1482">
        <f t="shared" ca="1" si="165"/>
        <v>0</v>
      </c>
      <c r="DA59" s="1482">
        <f t="shared" ca="1" si="165"/>
        <v>0</v>
      </c>
      <c r="DB59" s="1482">
        <f t="shared" ca="1" si="165"/>
        <v>0</v>
      </c>
      <c r="DC59" s="1482">
        <f t="shared" ca="1" si="165"/>
        <v>0</v>
      </c>
      <c r="DD59" s="1482">
        <f t="shared" ca="1" si="165"/>
        <v>0</v>
      </c>
      <c r="DE59" s="1482">
        <f t="shared" ca="1" si="165"/>
        <v>0</v>
      </c>
      <c r="DF59" s="1482">
        <f t="shared" ca="1" si="165"/>
        <v>0</v>
      </c>
      <c r="DH59" s="838">
        <f t="shared" ca="1" si="123"/>
        <v>0</v>
      </c>
    </row>
    <row r="60" spans="1:112" s="1484" customFormat="1" ht="12.75" hidden="1" customHeight="1" outlineLevel="1">
      <c r="C60" s="746" t="s">
        <v>808</v>
      </c>
      <c r="D60" s="521" t="str">
        <f>INDEX(Modules[Module], MATCH($C60, Modules[Code], 0))</f>
        <v>Wave and Tidal</v>
      </c>
      <c r="E60" s="521"/>
      <c r="F60" s="743"/>
      <c r="G60" s="1017">
        <f t="shared" ca="1" si="153"/>
        <v>0</v>
      </c>
      <c r="H60" s="1017">
        <f t="shared" ca="1" si="153"/>
        <v>0</v>
      </c>
      <c r="I60" s="1017">
        <f t="shared" ca="1" si="153"/>
        <v>0</v>
      </c>
      <c r="J60" s="1017">
        <f t="shared" ca="1" si="153"/>
        <v>0</v>
      </c>
      <c r="K60" s="1017">
        <f t="shared" ca="1" si="153"/>
        <v>0</v>
      </c>
      <c r="L60" s="1017">
        <f t="shared" ca="1" si="153"/>
        <v>0</v>
      </c>
      <c r="M60" s="1017">
        <f t="shared" ca="1" si="153"/>
        <v>0</v>
      </c>
      <c r="N60" s="1017">
        <f t="shared" ca="1" si="153"/>
        <v>0</v>
      </c>
      <c r="O60" s="1017">
        <f t="shared" ca="1" si="153"/>
        <v>0</v>
      </c>
      <c r="P60" s="1017">
        <f t="shared" ca="1" si="153"/>
        <v>0</v>
      </c>
      <c r="Q60" s="1019">
        <f t="shared" ca="1" si="154"/>
        <v>0</v>
      </c>
      <c r="R60" s="743"/>
      <c r="S60" s="1026">
        <f t="shared" ca="1" si="155"/>
        <v>0</v>
      </c>
      <c r="T60" s="1026">
        <f t="shared" ca="1" si="155"/>
        <v>0.52119006849314986</v>
      </c>
      <c r="U60" s="1026">
        <f t="shared" ca="1" si="155"/>
        <v>0</v>
      </c>
      <c r="V60" s="1026">
        <f t="shared" ca="1" si="155"/>
        <v>0</v>
      </c>
      <c r="W60" s="1026">
        <f t="shared" ca="1" si="155"/>
        <v>0</v>
      </c>
      <c r="X60" s="1026">
        <f t="shared" ca="1" si="156"/>
        <v>0</v>
      </c>
      <c r="Y60" s="1026">
        <f t="shared" ca="1" si="156"/>
        <v>0</v>
      </c>
      <c r="Z60" s="1026">
        <f t="shared" ca="1" si="156"/>
        <v>0</v>
      </c>
      <c r="AA60" s="1026">
        <f t="shared" ca="1" si="155"/>
        <v>0</v>
      </c>
      <c r="AB60" s="1026">
        <f t="shared" ca="1" si="155"/>
        <v>0</v>
      </c>
      <c r="AC60" s="1026">
        <f t="shared" ca="1" si="155"/>
        <v>0</v>
      </c>
      <c r="AD60" s="1026">
        <f t="shared" ca="1" si="155"/>
        <v>0</v>
      </c>
      <c r="AE60" s="1026">
        <f t="shared" ca="1" si="155"/>
        <v>0</v>
      </c>
      <c r="AF60" s="1026">
        <f t="shared" ca="1" si="155"/>
        <v>0</v>
      </c>
      <c r="AG60" s="1026">
        <f t="shared" ca="1" si="155"/>
        <v>0</v>
      </c>
      <c r="AH60" s="1026">
        <f t="shared" ca="1" si="155"/>
        <v>0</v>
      </c>
      <c r="AI60" s="1026">
        <f t="shared" ca="1" si="155"/>
        <v>0</v>
      </c>
      <c r="AJ60" s="1026">
        <f t="shared" ca="1" si="155"/>
        <v>0</v>
      </c>
      <c r="AK60" s="1027">
        <f t="shared" ca="1" si="157"/>
        <v>0.52119006849314986</v>
      </c>
      <c r="AL60" s="743"/>
      <c r="AM60" s="1038">
        <f t="shared" ca="1" si="158"/>
        <v>0</v>
      </c>
      <c r="AN60" s="1038">
        <f t="shared" ca="1" si="158"/>
        <v>0</v>
      </c>
      <c r="AO60" s="1038">
        <f t="shared" ca="1" si="158"/>
        <v>0</v>
      </c>
      <c r="AP60" s="1038">
        <f t="shared" ca="1" si="158"/>
        <v>0</v>
      </c>
      <c r="AQ60" s="1038">
        <f t="shared" ca="1" si="158"/>
        <v>0</v>
      </c>
      <c r="AR60" s="1038">
        <f t="shared" ca="1" si="158"/>
        <v>0</v>
      </c>
      <c r="AS60" s="1038">
        <f t="shared" ca="1" si="158"/>
        <v>0</v>
      </c>
      <c r="AT60" s="1038">
        <f t="shared" ca="1" si="158"/>
        <v>0</v>
      </c>
      <c r="AU60" s="1038">
        <f t="shared" ca="1" si="158"/>
        <v>0</v>
      </c>
      <c r="AV60" s="1038">
        <f t="shared" ca="1" si="155"/>
        <v>0</v>
      </c>
      <c r="AW60" s="1038">
        <f t="shared" ca="1" si="155"/>
        <v>0</v>
      </c>
      <c r="AX60" s="1038">
        <f t="shared" ca="1" si="155"/>
        <v>0</v>
      </c>
      <c r="AY60" s="1038">
        <f t="shared" ca="1" si="155"/>
        <v>-0.12508561643835608</v>
      </c>
      <c r="AZ60" s="1038">
        <f t="shared" ca="1" si="155"/>
        <v>-0.39610445205479383</v>
      </c>
      <c r="BA60" s="1038">
        <f t="shared" ca="1" si="155"/>
        <v>0</v>
      </c>
      <c r="BB60" s="1038">
        <f t="shared" ca="1" si="155"/>
        <v>0</v>
      </c>
      <c r="BC60" s="1038">
        <f t="shared" ca="1" si="155"/>
        <v>0</v>
      </c>
      <c r="BD60" s="1038">
        <f t="shared" ca="1" si="155"/>
        <v>0</v>
      </c>
      <c r="BE60" s="1038">
        <f t="shared" ca="1" si="155"/>
        <v>0</v>
      </c>
      <c r="BF60" s="979">
        <f t="shared" ca="1" si="159"/>
        <v>-0.52119006849314986</v>
      </c>
      <c r="BG60" s="743"/>
      <c r="BH60" s="1032">
        <f t="shared" ca="1" si="160"/>
        <v>0</v>
      </c>
      <c r="BI60" s="1032">
        <f t="shared" ca="1" si="160"/>
        <v>0</v>
      </c>
      <c r="BJ60" s="1034">
        <f t="shared" ca="1" si="161"/>
        <v>0</v>
      </c>
      <c r="BK60" s="743"/>
      <c r="BL60" s="814">
        <f t="shared" ca="1" si="152"/>
        <v>0</v>
      </c>
      <c r="BM60" s="814"/>
      <c r="BN60" s="840"/>
      <c r="BO60" s="1481">
        <f t="shared" ca="1" si="162"/>
        <v>0</v>
      </c>
      <c r="BP60" s="1482">
        <f t="shared" ca="1" si="162"/>
        <v>0</v>
      </c>
      <c r="BQ60" s="1482">
        <f t="shared" ca="1" si="162"/>
        <v>0</v>
      </c>
      <c r="BR60" s="1482">
        <f t="shared" ca="1" si="162"/>
        <v>0</v>
      </c>
      <c r="BS60" s="1482">
        <f t="shared" ca="1" si="162"/>
        <v>0</v>
      </c>
      <c r="BT60" s="1482">
        <f t="shared" ca="1" si="162"/>
        <v>0</v>
      </c>
      <c r="BU60" s="1482">
        <f t="shared" ca="1" si="162"/>
        <v>0</v>
      </c>
      <c r="BV60" s="1482">
        <f t="shared" ca="1" si="162"/>
        <v>0</v>
      </c>
      <c r="BW60" s="1482">
        <f t="shared" ca="1" si="162"/>
        <v>0</v>
      </c>
      <c r="BX60" s="1482">
        <f t="shared" ca="1" si="162"/>
        <v>0</v>
      </c>
      <c r="BY60" s="1482">
        <f t="shared" ca="1" si="163"/>
        <v>0</v>
      </c>
      <c r="BZ60" s="1482">
        <f t="shared" ca="1" si="163"/>
        <v>0</v>
      </c>
      <c r="CA60" s="1482">
        <f t="shared" ca="1" si="163"/>
        <v>0</v>
      </c>
      <c r="CB60" s="1482">
        <f t="shared" ca="1" si="163"/>
        <v>0</v>
      </c>
      <c r="CC60" s="1482">
        <f t="shared" ca="1" si="163"/>
        <v>0</v>
      </c>
      <c r="CD60" s="1482">
        <f t="shared" ca="1" si="163"/>
        <v>0</v>
      </c>
      <c r="CE60" s="1482">
        <f t="shared" ca="1" si="163"/>
        <v>0</v>
      </c>
      <c r="CF60" s="1482">
        <f t="shared" ca="1" si="163"/>
        <v>0</v>
      </c>
      <c r="CG60" s="1482">
        <f t="shared" ca="1" si="163"/>
        <v>0</v>
      </c>
      <c r="CH60" s="1482">
        <f t="shared" ca="1" si="163"/>
        <v>0</v>
      </c>
      <c r="CI60" s="1482">
        <f t="shared" ca="1" si="164"/>
        <v>0</v>
      </c>
      <c r="CJ60" s="1482">
        <f t="shared" ca="1" si="164"/>
        <v>0</v>
      </c>
      <c r="CK60" s="1482">
        <f t="shared" ca="1" si="164"/>
        <v>0</v>
      </c>
      <c r="CL60" s="1482">
        <f t="shared" ca="1" si="164"/>
        <v>0</v>
      </c>
      <c r="CM60" s="1482">
        <f t="shared" ca="1" si="164"/>
        <v>0</v>
      </c>
      <c r="CN60" s="1482">
        <f t="shared" ca="1" si="164"/>
        <v>0</v>
      </c>
      <c r="CO60" s="1482">
        <f t="shared" ca="1" si="164"/>
        <v>0</v>
      </c>
      <c r="CP60" s="1482">
        <f t="shared" ca="1" si="164"/>
        <v>0</v>
      </c>
      <c r="CQ60" s="1482">
        <f t="shared" ca="1" si="164"/>
        <v>0</v>
      </c>
      <c r="CR60" s="1482">
        <f t="shared" ca="1" si="164"/>
        <v>0</v>
      </c>
      <c r="CS60" s="1482">
        <f t="shared" ca="1" si="165"/>
        <v>0</v>
      </c>
      <c r="CT60" s="1482">
        <f t="shared" ca="1" si="165"/>
        <v>0</v>
      </c>
      <c r="CU60" s="1482">
        <f t="shared" ca="1" si="165"/>
        <v>0</v>
      </c>
      <c r="CV60" s="1482">
        <f t="shared" ca="1" si="165"/>
        <v>0</v>
      </c>
      <c r="CW60" s="1482">
        <f t="shared" ca="1" si="165"/>
        <v>0</v>
      </c>
      <c r="CX60" s="1482">
        <f t="shared" ca="1" si="165"/>
        <v>0</v>
      </c>
      <c r="CY60" s="1482">
        <f t="shared" ca="1" si="165"/>
        <v>0</v>
      </c>
      <c r="CZ60" s="1482">
        <f t="shared" ca="1" si="165"/>
        <v>0</v>
      </c>
      <c r="DA60" s="1482">
        <f t="shared" ca="1" si="165"/>
        <v>0</v>
      </c>
      <c r="DB60" s="1482">
        <f t="shared" ca="1" si="165"/>
        <v>0</v>
      </c>
      <c r="DC60" s="1482">
        <f t="shared" ca="1" si="165"/>
        <v>0</v>
      </c>
      <c r="DD60" s="1482">
        <f t="shared" ca="1" si="165"/>
        <v>0</v>
      </c>
      <c r="DE60" s="1482">
        <f t="shared" ca="1" si="165"/>
        <v>0</v>
      </c>
      <c r="DF60" s="1482">
        <f t="shared" ca="1" si="165"/>
        <v>0</v>
      </c>
      <c r="DH60" s="838">
        <f t="shared" ca="1" si="123"/>
        <v>0</v>
      </c>
    </row>
    <row r="61" spans="1:112" s="1484" customFormat="1" ht="12.75" hidden="1" customHeight="1" outlineLevel="1">
      <c r="C61" s="746" t="s">
        <v>809</v>
      </c>
      <c r="D61" s="521" t="str">
        <f>INDEX(Modules[Module], MATCH($C61, Modules[Code], 0))</f>
        <v>Geothermal</v>
      </c>
      <c r="E61" s="521"/>
      <c r="F61" s="743"/>
      <c r="G61" s="1017">
        <f t="shared" ca="1" si="153"/>
        <v>0</v>
      </c>
      <c r="H61" s="1017">
        <f t="shared" ca="1" si="153"/>
        <v>0</v>
      </c>
      <c r="I61" s="1017">
        <f t="shared" ca="1" si="153"/>
        <v>0</v>
      </c>
      <c r="J61" s="1017">
        <f t="shared" ca="1" si="153"/>
        <v>0</v>
      </c>
      <c r="K61" s="1017">
        <f t="shared" ca="1" si="153"/>
        <v>0</v>
      </c>
      <c r="L61" s="1017">
        <f t="shared" ca="1" si="153"/>
        <v>0</v>
      </c>
      <c r="M61" s="1017">
        <f t="shared" ca="1" si="153"/>
        <v>0</v>
      </c>
      <c r="N61" s="1017">
        <f t="shared" ca="1" si="153"/>
        <v>0</v>
      </c>
      <c r="O61" s="1017">
        <f t="shared" ca="1" si="153"/>
        <v>0</v>
      </c>
      <c r="P61" s="1017">
        <f t="shared" ca="1" si="153"/>
        <v>0</v>
      </c>
      <c r="Q61" s="1019">
        <f t="shared" ca="1" si="154"/>
        <v>0</v>
      </c>
      <c r="R61" s="743"/>
      <c r="S61" s="1026">
        <f t="shared" ca="1" si="155"/>
        <v>0</v>
      </c>
      <c r="T61" s="1026">
        <f t="shared" ca="1" si="155"/>
        <v>0</v>
      </c>
      <c r="U61" s="1026">
        <f t="shared" ca="1" si="155"/>
        <v>0</v>
      </c>
      <c r="V61" s="1026">
        <f t="shared" ca="1" si="155"/>
        <v>0</v>
      </c>
      <c r="W61" s="1026">
        <f t="shared" ca="1" si="155"/>
        <v>0</v>
      </c>
      <c r="X61" s="1026">
        <f t="shared" ca="1" si="156"/>
        <v>0</v>
      </c>
      <c r="Y61" s="1026">
        <f t="shared" ca="1" si="156"/>
        <v>0</v>
      </c>
      <c r="Z61" s="1026">
        <f t="shared" ca="1" si="156"/>
        <v>0</v>
      </c>
      <c r="AA61" s="1026">
        <f t="shared" ca="1" si="155"/>
        <v>0</v>
      </c>
      <c r="AB61" s="1026">
        <f t="shared" ca="1" si="155"/>
        <v>0</v>
      </c>
      <c r="AC61" s="1026">
        <f t="shared" ca="1" si="155"/>
        <v>0</v>
      </c>
      <c r="AD61" s="1026">
        <f t="shared" ca="1" si="155"/>
        <v>0</v>
      </c>
      <c r="AE61" s="1026">
        <f t="shared" ca="1" si="155"/>
        <v>0</v>
      </c>
      <c r="AF61" s="1026">
        <f t="shared" ca="1" si="155"/>
        <v>0</v>
      </c>
      <c r="AG61" s="1026">
        <f t="shared" ca="1" si="155"/>
        <v>0</v>
      </c>
      <c r="AH61" s="1026">
        <f t="shared" ca="1" si="155"/>
        <v>0</v>
      </c>
      <c r="AI61" s="1026">
        <f t="shared" ca="1" si="155"/>
        <v>0</v>
      </c>
      <c r="AJ61" s="1026">
        <f t="shared" ca="1" si="155"/>
        <v>0</v>
      </c>
      <c r="AK61" s="1027">
        <f t="shared" ca="1" si="157"/>
        <v>0</v>
      </c>
      <c r="AL61" s="743"/>
      <c r="AM61" s="1038">
        <f t="shared" ca="1" si="158"/>
        <v>0</v>
      </c>
      <c r="AN61" s="1038">
        <f t="shared" ca="1" si="158"/>
        <v>0</v>
      </c>
      <c r="AO61" s="1038">
        <f t="shared" ca="1" si="158"/>
        <v>0</v>
      </c>
      <c r="AP61" s="1038">
        <f t="shared" ca="1" si="158"/>
        <v>0</v>
      </c>
      <c r="AQ61" s="1038">
        <f t="shared" ca="1" si="158"/>
        <v>0</v>
      </c>
      <c r="AR61" s="1038">
        <f t="shared" ca="1" si="158"/>
        <v>0</v>
      </c>
      <c r="AS61" s="1038">
        <f t="shared" ca="1" si="158"/>
        <v>0</v>
      </c>
      <c r="AT61" s="1038">
        <f t="shared" ca="1" si="158"/>
        <v>0</v>
      </c>
      <c r="AU61" s="1038">
        <f t="shared" ca="1" si="158"/>
        <v>0</v>
      </c>
      <c r="AV61" s="1038">
        <f t="shared" ca="1" si="155"/>
        <v>0</v>
      </c>
      <c r="AW61" s="1038">
        <f t="shared" ca="1" si="155"/>
        <v>0</v>
      </c>
      <c r="AX61" s="1038">
        <f t="shared" ca="1" si="155"/>
        <v>0</v>
      </c>
      <c r="AY61" s="1038">
        <f t="shared" ca="1" si="155"/>
        <v>0</v>
      </c>
      <c r="AZ61" s="1038">
        <f t="shared" ca="1" si="155"/>
        <v>0</v>
      </c>
      <c r="BA61" s="1038">
        <f t="shared" ca="1" si="155"/>
        <v>0</v>
      </c>
      <c r="BB61" s="1038">
        <f t="shared" ca="1" si="155"/>
        <v>0</v>
      </c>
      <c r="BC61" s="1038">
        <f t="shared" ca="1" si="155"/>
        <v>0</v>
      </c>
      <c r="BD61" s="1038">
        <f t="shared" ca="1" si="155"/>
        <v>0</v>
      </c>
      <c r="BE61" s="1038">
        <f t="shared" ca="1" si="155"/>
        <v>0</v>
      </c>
      <c r="BF61" s="979">
        <f t="shared" ca="1" si="159"/>
        <v>0</v>
      </c>
      <c r="BG61" s="743"/>
      <c r="BH61" s="1032">
        <f t="shared" ca="1" si="160"/>
        <v>0</v>
      </c>
      <c r="BI61" s="1032">
        <f t="shared" ca="1" si="160"/>
        <v>0</v>
      </c>
      <c r="BJ61" s="1034">
        <f t="shared" ca="1" si="161"/>
        <v>0</v>
      </c>
      <c r="BK61" s="743"/>
      <c r="BL61" s="814">
        <f t="shared" ca="1" si="152"/>
        <v>0</v>
      </c>
      <c r="BM61" s="814"/>
      <c r="BN61" s="840"/>
      <c r="BO61" s="1481">
        <f t="shared" ca="1" si="162"/>
        <v>0</v>
      </c>
      <c r="BP61" s="1482">
        <f t="shared" ca="1" si="162"/>
        <v>0</v>
      </c>
      <c r="BQ61" s="1482">
        <f t="shared" ca="1" si="162"/>
        <v>0</v>
      </c>
      <c r="BR61" s="1482">
        <f t="shared" ca="1" si="162"/>
        <v>0</v>
      </c>
      <c r="BS61" s="1482">
        <f t="shared" ca="1" si="162"/>
        <v>0</v>
      </c>
      <c r="BT61" s="1482">
        <f t="shared" ca="1" si="162"/>
        <v>0</v>
      </c>
      <c r="BU61" s="1482">
        <f t="shared" ca="1" si="162"/>
        <v>0</v>
      </c>
      <c r="BV61" s="1482">
        <f t="shared" ca="1" si="162"/>
        <v>0</v>
      </c>
      <c r="BW61" s="1482">
        <f t="shared" ca="1" si="162"/>
        <v>0</v>
      </c>
      <c r="BX61" s="1482">
        <f t="shared" ca="1" si="162"/>
        <v>0</v>
      </c>
      <c r="BY61" s="1482">
        <f t="shared" ca="1" si="163"/>
        <v>0</v>
      </c>
      <c r="BZ61" s="1482">
        <f t="shared" ca="1" si="163"/>
        <v>0</v>
      </c>
      <c r="CA61" s="1482">
        <f t="shared" ca="1" si="163"/>
        <v>0</v>
      </c>
      <c r="CB61" s="1482">
        <f t="shared" ca="1" si="163"/>
        <v>0</v>
      </c>
      <c r="CC61" s="1482">
        <f t="shared" ca="1" si="163"/>
        <v>0</v>
      </c>
      <c r="CD61" s="1482">
        <f t="shared" ca="1" si="163"/>
        <v>0</v>
      </c>
      <c r="CE61" s="1482">
        <f t="shared" ca="1" si="163"/>
        <v>0</v>
      </c>
      <c r="CF61" s="1482">
        <f t="shared" ca="1" si="163"/>
        <v>0</v>
      </c>
      <c r="CG61" s="1482">
        <f t="shared" ca="1" si="163"/>
        <v>0</v>
      </c>
      <c r="CH61" s="1482">
        <f t="shared" ca="1" si="163"/>
        <v>0</v>
      </c>
      <c r="CI61" s="1482">
        <f t="shared" ca="1" si="164"/>
        <v>0</v>
      </c>
      <c r="CJ61" s="1482">
        <f t="shared" ca="1" si="164"/>
        <v>0</v>
      </c>
      <c r="CK61" s="1482">
        <f t="shared" ca="1" si="164"/>
        <v>0</v>
      </c>
      <c r="CL61" s="1482">
        <f t="shared" ca="1" si="164"/>
        <v>0</v>
      </c>
      <c r="CM61" s="1482">
        <f t="shared" ca="1" si="164"/>
        <v>0</v>
      </c>
      <c r="CN61" s="1482">
        <f t="shared" ca="1" si="164"/>
        <v>0</v>
      </c>
      <c r="CO61" s="1482">
        <f t="shared" ca="1" si="164"/>
        <v>0</v>
      </c>
      <c r="CP61" s="1482">
        <f t="shared" ca="1" si="164"/>
        <v>0</v>
      </c>
      <c r="CQ61" s="1482">
        <f t="shared" ca="1" si="164"/>
        <v>0</v>
      </c>
      <c r="CR61" s="1482">
        <f t="shared" ca="1" si="164"/>
        <v>0</v>
      </c>
      <c r="CS61" s="1482">
        <f t="shared" ca="1" si="165"/>
        <v>0</v>
      </c>
      <c r="CT61" s="1482">
        <f t="shared" ca="1" si="165"/>
        <v>0</v>
      </c>
      <c r="CU61" s="1482">
        <f t="shared" ca="1" si="165"/>
        <v>0</v>
      </c>
      <c r="CV61" s="1482">
        <f t="shared" ca="1" si="165"/>
        <v>0</v>
      </c>
      <c r="CW61" s="1482">
        <f t="shared" ca="1" si="165"/>
        <v>0</v>
      </c>
      <c r="CX61" s="1482">
        <f t="shared" ca="1" si="165"/>
        <v>0</v>
      </c>
      <c r="CY61" s="1482">
        <f t="shared" ca="1" si="165"/>
        <v>0</v>
      </c>
      <c r="CZ61" s="1482">
        <f t="shared" ca="1" si="165"/>
        <v>0</v>
      </c>
      <c r="DA61" s="1482">
        <f t="shared" ca="1" si="165"/>
        <v>0</v>
      </c>
      <c r="DB61" s="1482">
        <f t="shared" ca="1" si="165"/>
        <v>0</v>
      </c>
      <c r="DC61" s="1482">
        <f t="shared" ca="1" si="165"/>
        <v>0</v>
      </c>
      <c r="DD61" s="1482">
        <f t="shared" ca="1" si="165"/>
        <v>0</v>
      </c>
      <c r="DE61" s="1482">
        <f t="shared" ca="1" si="165"/>
        <v>0</v>
      </c>
      <c r="DF61" s="1482">
        <f t="shared" ca="1" si="165"/>
        <v>0</v>
      </c>
      <c r="DH61" s="838">
        <f t="shared" ca="1" si="123"/>
        <v>0</v>
      </c>
    </row>
    <row r="62" spans="1:112" s="743" customFormat="1" ht="12.75" hidden="1" customHeight="1" outlineLevel="1">
      <c r="A62" s="1484"/>
      <c r="B62" s="1484"/>
      <c r="C62" s="746" t="s">
        <v>810</v>
      </c>
      <c r="D62" s="1010" t="str">
        <f>INDEX(Modules[Module], MATCH($C62, Modules[Code], 0))</f>
        <v>Tidal [UNUSED - See III.c]</v>
      </c>
      <c r="E62" s="1010"/>
      <c r="G62" s="1022">
        <f t="shared" ca="1" si="153"/>
        <v>0</v>
      </c>
      <c r="H62" s="1022">
        <f t="shared" ca="1" si="153"/>
        <v>0</v>
      </c>
      <c r="I62" s="1022">
        <f t="shared" ca="1" si="153"/>
        <v>0</v>
      </c>
      <c r="J62" s="1022">
        <f t="shared" ca="1" si="153"/>
        <v>0</v>
      </c>
      <c r="K62" s="1022">
        <f t="shared" ca="1" si="153"/>
        <v>0</v>
      </c>
      <c r="L62" s="1022">
        <f t="shared" ca="1" si="153"/>
        <v>0</v>
      </c>
      <c r="M62" s="1022">
        <f t="shared" ca="1" si="153"/>
        <v>0</v>
      </c>
      <c r="N62" s="1022">
        <f t="shared" ca="1" si="153"/>
        <v>0</v>
      </c>
      <c r="O62" s="1022">
        <f t="shared" ca="1" si="153"/>
        <v>0</v>
      </c>
      <c r="P62" s="1022">
        <f t="shared" ca="1" si="153"/>
        <v>0</v>
      </c>
      <c r="Q62" s="1020">
        <f t="shared" ca="1" si="154"/>
        <v>0</v>
      </c>
      <c r="S62" s="1031">
        <f t="shared" ca="1" si="155"/>
        <v>0</v>
      </c>
      <c r="T62" s="1031">
        <f t="shared" ca="1" si="155"/>
        <v>0</v>
      </c>
      <c r="U62" s="1031">
        <f t="shared" ca="1" si="155"/>
        <v>0</v>
      </c>
      <c r="V62" s="1031">
        <f t="shared" ca="1" si="155"/>
        <v>0</v>
      </c>
      <c r="W62" s="1031">
        <f t="shared" ca="1" si="155"/>
        <v>0</v>
      </c>
      <c r="X62" s="1031">
        <f t="shared" ca="1" si="156"/>
        <v>0</v>
      </c>
      <c r="Y62" s="1031">
        <f t="shared" ca="1" si="156"/>
        <v>0</v>
      </c>
      <c r="Z62" s="1031">
        <f t="shared" ca="1" si="156"/>
        <v>0</v>
      </c>
      <c r="AA62" s="1031">
        <f t="shared" ca="1" si="155"/>
        <v>0</v>
      </c>
      <c r="AB62" s="1031">
        <f t="shared" ca="1" si="155"/>
        <v>0</v>
      </c>
      <c r="AC62" s="1031">
        <f t="shared" ca="1" si="155"/>
        <v>0</v>
      </c>
      <c r="AD62" s="1031">
        <f t="shared" ca="1" si="155"/>
        <v>0</v>
      </c>
      <c r="AE62" s="1031">
        <f t="shared" ca="1" si="155"/>
        <v>0</v>
      </c>
      <c r="AF62" s="1031">
        <f t="shared" ca="1" si="155"/>
        <v>0</v>
      </c>
      <c r="AG62" s="1031">
        <f t="shared" ca="1" si="155"/>
        <v>0</v>
      </c>
      <c r="AH62" s="1031">
        <f t="shared" ca="1" si="155"/>
        <v>0</v>
      </c>
      <c r="AI62" s="1031">
        <f t="shared" ca="1" si="155"/>
        <v>0</v>
      </c>
      <c r="AJ62" s="1031">
        <f t="shared" ca="1" si="155"/>
        <v>0</v>
      </c>
      <c r="AK62" s="1030">
        <f t="shared" ca="1" si="157"/>
        <v>0</v>
      </c>
      <c r="AM62" s="1042">
        <f t="shared" ca="1" si="158"/>
        <v>0</v>
      </c>
      <c r="AN62" s="1042">
        <f t="shared" ca="1" si="158"/>
        <v>0</v>
      </c>
      <c r="AO62" s="1042">
        <f t="shared" ca="1" si="158"/>
        <v>0</v>
      </c>
      <c r="AP62" s="1042">
        <f t="shared" ca="1" si="158"/>
        <v>0</v>
      </c>
      <c r="AQ62" s="1042">
        <f t="shared" ca="1" si="158"/>
        <v>0</v>
      </c>
      <c r="AR62" s="1042">
        <f t="shared" ca="1" si="158"/>
        <v>0</v>
      </c>
      <c r="AS62" s="1042">
        <f t="shared" ca="1" si="158"/>
        <v>0</v>
      </c>
      <c r="AT62" s="1042">
        <f t="shared" ca="1" si="158"/>
        <v>0</v>
      </c>
      <c r="AU62" s="1042">
        <f t="shared" ca="1" si="158"/>
        <v>0</v>
      </c>
      <c r="AV62" s="1042">
        <f t="shared" ca="1" si="155"/>
        <v>0</v>
      </c>
      <c r="AW62" s="1042">
        <f t="shared" ca="1" si="155"/>
        <v>0</v>
      </c>
      <c r="AX62" s="1042">
        <f t="shared" ca="1" si="155"/>
        <v>0</v>
      </c>
      <c r="AY62" s="1042">
        <f t="shared" ca="1" si="155"/>
        <v>0</v>
      </c>
      <c r="AZ62" s="1042">
        <f t="shared" ca="1" si="155"/>
        <v>0</v>
      </c>
      <c r="BA62" s="1042">
        <f t="shared" ca="1" si="155"/>
        <v>0</v>
      </c>
      <c r="BB62" s="1042">
        <f t="shared" ca="1" si="155"/>
        <v>0</v>
      </c>
      <c r="BC62" s="1042">
        <f t="shared" ca="1" si="155"/>
        <v>0</v>
      </c>
      <c r="BD62" s="1042">
        <f t="shared" ca="1" si="155"/>
        <v>0</v>
      </c>
      <c r="BE62" s="1042">
        <f t="shared" ca="1" si="155"/>
        <v>0</v>
      </c>
      <c r="BF62" s="1012">
        <f t="shared" ca="1" si="159"/>
        <v>0</v>
      </c>
      <c r="BH62" s="1036">
        <f t="shared" ca="1" si="160"/>
        <v>0</v>
      </c>
      <c r="BI62" s="1036">
        <f t="shared" ca="1" si="160"/>
        <v>0</v>
      </c>
      <c r="BJ62" s="1035">
        <f t="shared" ca="1" si="161"/>
        <v>0</v>
      </c>
      <c r="BL62" s="814">
        <f t="shared" ca="1" si="152"/>
        <v>0</v>
      </c>
      <c r="BM62" s="814"/>
      <c r="BN62" s="840"/>
      <c r="BO62" s="1485">
        <f t="shared" ca="1" si="162"/>
        <v>0</v>
      </c>
      <c r="BP62" s="1486">
        <f t="shared" ca="1" si="162"/>
        <v>0</v>
      </c>
      <c r="BQ62" s="1486">
        <f t="shared" ca="1" si="162"/>
        <v>0</v>
      </c>
      <c r="BR62" s="1486">
        <f t="shared" ca="1" si="162"/>
        <v>0</v>
      </c>
      <c r="BS62" s="1486">
        <f t="shared" ca="1" si="162"/>
        <v>0</v>
      </c>
      <c r="BT62" s="1486">
        <f t="shared" ca="1" si="162"/>
        <v>0</v>
      </c>
      <c r="BU62" s="1486">
        <f t="shared" ca="1" si="162"/>
        <v>0</v>
      </c>
      <c r="BV62" s="1486">
        <f t="shared" ca="1" si="162"/>
        <v>0</v>
      </c>
      <c r="BW62" s="1486">
        <f t="shared" ca="1" si="162"/>
        <v>0</v>
      </c>
      <c r="BX62" s="1486">
        <f t="shared" ca="1" si="162"/>
        <v>0</v>
      </c>
      <c r="BY62" s="1486">
        <f t="shared" ca="1" si="163"/>
        <v>0</v>
      </c>
      <c r="BZ62" s="1486">
        <f t="shared" ca="1" si="163"/>
        <v>0</v>
      </c>
      <c r="CA62" s="1486">
        <f t="shared" ca="1" si="163"/>
        <v>0</v>
      </c>
      <c r="CB62" s="1486">
        <f t="shared" ca="1" si="163"/>
        <v>0</v>
      </c>
      <c r="CC62" s="1486">
        <f t="shared" ca="1" si="163"/>
        <v>0</v>
      </c>
      <c r="CD62" s="1486">
        <f t="shared" ca="1" si="163"/>
        <v>0</v>
      </c>
      <c r="CE62" s="1486">
        <f t="shared" ca="1" si="163"/>
        <v>0</v>
      </c>
      <c r="CF62" s="1486">
        <f t="shared" ca="1" si="163"/>
        <v>0</v>
      </c>
      <c r="CG62" s="1486">
        <f t="shared" ca="1" si="163"/>
        <v>0</v>
      </c>
      <c r="CH62" s="1486">
        <f t="shared" ca="1" si="163"/>
        <v>0</v>
      </c>
      <c r="CI62" s="1486">
        <f t="shared" ca="1" si="164"/>
        <v>0</v>
      </c>
      <c r="CJ62" s="1486">
        <f t="shared" ca="1" si="164"/>
        <v>0</v>
      </c>
      <c r="CK62" s="1486">
        <f t="shared" ca="1" si="164"/>
        <v>0</v>
      </c>
      <c r="CL62" s="1486">
        <f t="shared" ca="1" si="164"/>
        <v>0</v>
      </c>
      <c r="CM62" s="1486">
        <f t="shared" ca="1" si="164"/>
        <v>0</v>
      </c>
      <c r="CN62" s="1486">
        <f t="shared" ca="1" si="164"/>
        <v>0</v>
      </c>
      <c r="CO62" s="1486">
        <f t="shared" ca="1" si="164"/>
        <v>0</v>
      </c>
      <c r="CP62" s="1486">
        <f t="shared" ca="1" si="164"/>
        <v>0</v>
      </c>
      <c r="CQ62" s="1486">
        <f t="shared" ca="1" si="164"/>
        <v>0</v>
      </c>
      <c r="CR62" s="1486">
        <f t="shared" ca="1" si="164"/>
        <v>0</v>
      </c>
      <c r="CS62" s="1486">
        <f t="shared" ca="1" si="165"/>
        <v>0</v>
      </c>
      <c r="CT62" s="1486">
        <f t="shared" ca="1" si="165"/>
        <v>0</v>
      </c>
      <c r="CU62" s="1486">
        <f t="shared" ca="1" si="165"/>
        <v>0</v>
      </c>
      <c r="CV62" s="1486">
        <f t="shared" ca="1" si="165"/>
        <v>0</v>
      </c>
      <c r="CW62" s="1486">
        <f t="shared" ca="1" si="165"/>
        <v>0</v>
      </c>
      <c r="CX62" s="1486">
        <f t="shared" ca="1" si="165"/>
        <v>0</v>
      </c>
      <c r="CY62" s="1486">
        <f t="shared" ca="1" si="165"/>
        <v>0</v>
      </c>
      <c r="CZ62" s="1486">
        <f t="shared" ca="1" si="165"/>
        <v>0</v>
      </c>
      <c r="DA62" s="1486">
        <f t="shared" ca="1" si="165"/>
        <v>0</v>
      </c>
      <c r="DB62" s="1486">
        <f t="shared" ca="1" si="165"/>
        <v>0</v>
      </c>
      <c r="DC62" s="1486">
        <f t="shared" ca="1" si="165"/>
        <v>0</v>
      </c>
      <c r="DD62" s="1486">
        <f t="shared" ca="1" si="165"/>
        <v>0</v>
      </c>
      <c r="DE62" s="1486">
        <f t="shared" ca="1" si="165"/>
        <v>0</v>
      </c>
      <c r="DF62" s="1486">
        <f t="shared" ca="1" si="165"/>
        <v>0</v>
      </c>
      <c r="DH62" s="838">
        <f t="shared" ca="1" si="123"/>
        <v>0</v>
      </c>
    </row>
    <row r="63" spans="1:112" s="743" customFormat="1" ht="15.75" collapsed="1">
      <c r="A63" s="22"/>
      <c r="B63" s="753"/>
      <c r="C63" s="744" t="s">
        <v>76</v>
      </c>
      <c r="D63" s="517" t="str">
        <f>INDEX(Workstreams[Workstream], MATCH($C63, Workstreams[Code], 0))</f>
        <v>National renewable power generation</v>
      </c>
      <c r="E63" s="512"/>
      <c r="G63" s="958">
        <f t="shared" ref="G63:P63" ca="1" si="166">SUM(G57:G62)</f>
        <v>0</v>
      </c>
      <c r="H63" s="958">
        <f t="shared" ca="1" si="166"/>
        <v>0</v>
      </c>
      <c r="I63" s="958">
        <f t="shared" ca="1" si="166"/>
        <v>0</v>
      </c>
      <c r="J63" s="958">
        <f t="shared" ca="1" si="166"/>
        <v>0</v>
      </c>
      <c r="K63" s="958">
        <f t="shared" ca="1" si="166"/>
        <v>0</v>
      </c>
      <c r="L63" s="958">
        <f t="shared" ca="1" si="166"/>
        <v>0</v>
      </c>
      <c r="M63" s="958">
        <f t="shared" ca="1" si="166"/>
        <v>0</v>
      </c>
      <c r="N63" s="958">
        <f t="shared" ca="1" si="166"/>
        <v>0</v>
      </c>
      <c r="O63" s="958">
        <f t="shared" ca="1" si="166"/>
        <v>0</v>
      </c>
      <c r="P63" s="958">
        <f t="shared" ca="1" si="166"/>
        <v>0</v>
      </c>
      <c r="Q63" s="1021">
        <f t="shared" ca="1" si="154"/>
        <v>0</v>
      </c>
      <c r="S63" s="970">
        <f t="shared" ref="S63:AJ63" ca="1" si="167">SUM(S57:S62)</f>
        <v>0</v>
      </c>
      <c r="T63" s="970">
        <f t="shared" ca="1" si="167"/>
        <v>49.307048168493147</v>
      </c>
      <c r="U63" s="970">
        <f t="shared" ca="1" si="167"/>
        <v>0</v>
      </c>
      <c r="V63" s="970">
        <f t="shared" ca="1" si="167"/>
        <v>0</v>
      </c>
      <c r="W63" s="970">
        <f t="shared" ca="1" si="167"/>
        <v>0</v>
      </c>
      <c r="X63" s="970">
        <f t="shared" ca="1" si="167"/>
        <v>0</v>
      </c>
      <c r="Y63" s="970">
        <f t="shared" ca="1" si="167"/>
        <v>0</v>
      </c>
      <c r="Z63" s="970">
        <f t="shared" ca="1" si="167"/>
        <v>0</v>
      </c>
      <c r="AA63" s="970">
        <f t="shared" ca="1" si="167"/>
        <v>0</v>
      </c>
      <c r="AB63" s="970">
        <f t="shared" ca="1" si="167"/>
        <v>0</v>
      </c>
      <c r="AC63" s="970">
        <f t="shared" ca="1" si="167"/>
        <v>0</v>
      </c>
      <c r="AD63" s="970">
        <f t="shared" ca="1" si="167"/>
        <v>0</v>
      </c>
      <c r="AE63" s="970">
        <f ca="1">SUM(AE57:AE62)</f>
        <v>0</v>
      </c>
      <c r="AF63" s="970">
        <f t="shared" ca="1" si="167"/>
        <v>0</v>
      </c>
      <c r="AG63" s="970">
        <f t="shared" ca="1" si="167"/>
        <v>0</v>
      </c>
      <c r="AH63" s="970">
        <f ca="1">SUM(AH57:AH62)</f>
        <v>0</v>
      </c>
      <c r="AI63" s="970">
        <f t="shared" ca="1" si="167"/>
        <v>0</v>
      </c>
      <c r="AJ63" s="970">
        <f t="shared" ca="1" si="167"/>
        <v>0</v>
      </c>
      <c r="AK63" s="970">
        <f t="shared" ca="1" si="157"/>
        <v>49.307048168493147</v>
      </c>
      <c r="AM63" s="976">
        <f t="shared" ref="AM63:BE63" ca="1" si="168">SUM(AM57:AM62)</f>
        <v>0</v>
      </c>
      <c r="AN63" s="976">
        <f t="shared" ca="1" si="168"/>
        <v>0</v>
      </c>
      <c r="AO63" s="976">
        <f t="shared" ca="1" si="168"/>
        <v>0</v>
      </c>
      <c r="AP63" s="976">
        <f t="shared" ca="1" si="168"/>
        <v>0</v>
      </c>
      <c r="AQ63" s="976">
        <f t="shared" ca="1" si="168"/>
        <v>0</v>
      </c>
      <c r="AR63" s="976">
        <f t="shared" ca="1" si="168"/>
        <v>0</v>
      </c>
      <c r="AS63" s="976">
        <f t="shared" ca="1" si="168"/>
        <v>0</v>
      </c>
      <c r="AT63" s="976">
        <f t="shared" ca="1" si="168"/>
        <v>0</v>
      </c>
      <c r="AU63" s="976">
        <f t="shared" ca="1" si="168"/>
        <v>0</v>
      </c>
      <c r="AV63" s="976">
        <f t="shared" ca="1" si="168"/>
        <v>0</v>
      </c>
      <c r="AW63" s="976">
        <f t="shared" ca="1" si="168"/>
        <v>0</v>
      </c>
      <c r="AX63" s="976">
        <f t="shared" ca="1" si="168"/>
        <v>-43.456130099999996</v>
      </c>
      <c r="AY63" s="976">
        <f t="shared" ca="1" si="168"/>
        <v>-0.12508561643835608</v>
      </c>
      <c r="AZ63" s="976">
        <f t="shared" ca="1" si="168"/>
        <v>-0.39610445205479383</v>
      </c>
      <c r="BA63" s="976">
        <f t="shared" ca="1" si="168"/>
        <v>0</v>
      </c>
      <c r="BB63" s="976">
        <f t="shared" ca="1" si="168"/>
        <v>-5.3297280000000011</v>
      </c>
      <c r="BC63" s="976">
        <f t="shared" ca="1" si="168"/>
        <v>0</v>
      </c>
      <c r="BD63" s="976">
        <f t="shared" ca="1" si="168"/>
        <v>0</v>
      </c>
      <c r="BE63" s="976">
        <f t="shared" ca="1" si="168"/>
        <v>0</v>
      </c>
      <c r="BF63" s="976">
        <f t="shared" ca="1" si="159"/>
        <v>-49.307048168493147</v>
      </c>
      <c r="BH63" s="990">
        <f ca="1">SUM(BH57:BH62)</f>
        <v>0</v>
      </c>
      <c r="BI63" s="990">
        <f ca="1">SUM(BI57:BI62)</f>
        <v>0</v>
      </c>
      <c r="BJ63" s="990">
        <f t="shared" ca="1" si="161"/>
        <v>0</v>
      </c>
      <c r="BL63" s="515">
        <f t="shared" ca="1" si="152"/>
        <v>0</v>
      </c>
      <c r="BM63" s="515"/>
      <c r="BN63" s="840"/>
      <c r="BO63" s="1482">
        <f t="shared" ref="BO63:DF63" ca="1" si="169">SUM(BO57:BO62)</f>
        <v>0</v>
      </c>
      <c r="BP63" s="1482">
        <f t="shared" ca="1" si="169"/>
        <v>0</v>
      </c>
      <c r="BQ63" s="1482">
        <f t="shared" ca="1" si="169"/>
        <v>0</v>
      </c>
      <c r="BR63" s="1482">
        <f t="shared" ca="1" si="169"/>
        <v>0</v>
      </c>
      <c r="BS63" s="1482">
        <f t="shared" ca="1" si="169"/>
        <v>0</v>
      </c>
      <c r="BT63" s="1482">
        <f t="shared" ca="1" si="169"/>
        <v>0</v>
      </c>
      <c r="BU63" s="1482">
        <f t="shared" ca="1" si="169"/>
        <v>0</v>
      </c>
      <c r="BV63" s="1482">
        <f t="shared" ca="1" si="169"/>
        <v>0</v>
      </c>
      <c r="BW63" s="1482">
        <f t="shared" ca="1" si="169"/>
        <v>0</v>
      </c>
      <c r="BX63" s="1482">
        <f t="shared" ca="1" si="169"/>
        <v>0</v>
      </c>
      <c r="BY63" s="1482">
        <f t="shared" ca="1" si="169"/>
        <v>0</v>
      </c>
      <c r="BZ63" s="1482">
        <f t="shared" ca="1" si="169"/>
        <v>0</v>
      </c>
      <c r="CA63" s="1482">
        <f t="shared" ca="1" si="169"/>
        <v>0</v>
      </c>
      <c r="CB63" s="1482">
        <f t="shared" ca="1" si="169"/>
        <v>0</v>
      </c>
      <c r="CC63" s="1482">
        <f t="shared" ca="1" si="169"/>
        <v>0</v>
      </c>
      <c r="CD63" s="1482">
        <f t="shared" ca="1" si="169"/>
        <v>0</v>
      </c>
      <c r="CE63" s="1482">
        <f t="shared" ca="1" si="169"/>
        <v>0</v>
      </c>
      <c r="CF63" s="1482">
        <f t="shared" ca="1" si="169"/>
        <v>0</v>
      </c>
      <c r="CG63" s="1482">
        <f t="shared" ca="1" si="169"/>
        <v>0</v>
      </c>
      <c r="CH63" s="1482">
        <f t="shared" ca="1" si="169"/>
        <v>0</v>
      </c>
      <c r="CI63" s="1482">
        <f t="shared" ca="1" si="169"/>
        <v>0</v>
      </c>
      <c r="CJ63" s="1482">
        <f t="shared" ca="1" si="169"/>
        <v>0</v>
      </c>
      <c r="CK63" s="1482">
        <f t="shared" ca="1" si="169"/>
        <v>0</v>
      </c>
      <c r="CL63" s="1482">
        <f t="shared" ca="1" si="169"/>
        <v>0</v>
      </c>
      <c r="CM63" s="1482">
        <f t="shared" ca="1" si="169"/>
        <v>0</v>
      </c>
      <c r="CN63" s="1482">
        <f t="shared" ca="1" si="169"/>
        <v>0</v>
      </c>
      <c r="CO63" s="1482">
        <f t="shared" ca="1" si="169"/>
        <v>0</v>
      </c>
      <c r="CP63" s="1482">
        <f t="shared" ca="1" si="169"/>
        <v>0</v>
      </c>
      <c r="CQ63" s="1482">
        <f t="shared" ca="1" si="169"/>
        <v>0</v>
      </c>
      <c r="CR63" s="1482">
        <f t="shared" ca="1" si="169"/>
        <v>0</v>
      </c>
      <c r="CS63" s="1482">
        <f t="shared" ca="1" si="169"/>
        <v>0</v>
      </c>
      <c r="CT63" s="1482">
        <f t="shared" ca="1" si="169"/>
        <v>0</v>
      </c>
      <c r="CU63" s="1482">
        <f t="shared" ca="1" si="169"/>
        <v>0</v>
      </c>
      <c r="CV63" s="1482">
        <f t="shared" ca="1" si="169"/>
        <v>0</v>
      </c>
      <c r="CW63" s="1482">
        <f t="shared" ca="1" si="169"/>
        <v>0</v>
      </c>
      <c r="CX63" s="1482">
        <f t="shared" ca="1" si="169"/>
        <v>0</v>
      </c>
      <c r="CY63" s="1482">
        <f t="shared" ca="1" si="169"/>
        <v>0</v>
      </c>
      <c r="CZ63" s="1482">
        <f t="shared" ca="1" si="169"/>
        <v>0</v>
      </c>
      <c r="DA63" s="1482">
        <f t="shared" ca="1" si="169"/>
        <v>0</v>
      </c>
      <c r="DB63" s="1482">
        <f t="shared" ca="1" si="169"/>
        <v>0</v>
      </c>
      <c r="DC63" s="1482">
        <f t="shared" ca="1" si="169"/>
        <v>0</v>
      </c>
      <c r="DD63" s="1482">
        <f t="shared" ca="1" si="169"/>
        <v>0</v>
      </c>
      <c r="DE63" s="1482">
        <f t="shared" ca="1" si="169"/>
        <v>0</v>
      </c>
      <c r="DF63" s="1482">
        <f t="shared" ca="1" si="169"/>
        <v>0</v>
      </c>
      <c r="DH63" s="838">
        <f t="shared" ca="1" si="123"/>
        <v>0</v>
      </c>
    </row>
    <row r="64" spans="1:112" s="743" customFormat="1" ht="12.75" hidden="1" customHeight="1" outlineLevel="1">
      <c r="A64" s="22"/>
      <c r="B64" s="22"/>
      <c r="C64" s="751"/>
      <c r="D64" s="512"/>
      <c r="E64" s="512"/>
      <c r="G64" s="958"/>
      <c r="H64" s="958"/>
      <c r="I64" s="958"/>
      <c r="J64" s="958"/>
      <c r="K64" s="960"/>
      <c r="L64" s="958"/>
      <c r="M64" s="958"/>
      <c r="N64" s="958"/>
      <c r="O64" s="958"/>
      <c r="P64" s="958"/>
      <c r="Q64" s="958"/>
      <c r="S64" s="970"/>
      <c r="T64" s="970"/>
      <c r="U64" s="970"/>
      <c r="V64" s="970"/>
      <c r="W64" s="970"/>
      <c r="X64" s="970"/>
      <c r="Y64" s="970"/>
      <c r="Z64" s="970"/>
      <c r="AA64" s="970"/>
      <c r="AB64" s="970"/>
      <c r="AC64" s="970"/>
      <c r="AD64" s="970"/>
      <c r="AE64" s="970"/>
      <c r="AF64" s="970"/>
      <c r="AG64" s="970"/>
      <c r="AH64" s="970"/>
      <c r="AI64" s="970"/>
      <c r="AJ64" s="970"/>
      <c r="AK64" s="970"/>
      <c r="AM64" s="976"/>
      <c r="AN64" s="976"/>
      <c r="AO64" s="976"/>
      <c r="AP64" s="976"/>
      <c r="AQ64" s="976"/>
      <c r="AR64" s="976"/>
      <c r="AS64" s="976"/>
      <c r="AT64" s="976"/>
      <c r="AU64" s="976"/>
      <c r="AV64" s="976"/>
      <c r="AW64" s="976"/>
      <c r="AX64" s="976"/>
      <c r="AY64" s="976"/>
      <c r="AZ64" s="976"/>
      <c r="BA64" s="976"/>
      <c r="BB64" s="976"/>
      <c r="BC64" s="976"/>
      <c r="BD64" s="976"/>
      <c r="BE64" s="976"/>
      <c r="BF64" s="976"/>
      <c r="BH64" s="990"/>
      <c r="BI64" s="990"/>
      <c r="BJ64" s="990"/>
      <c r="BL64" s="515"/>
      <c r="BM64" s="515"/>
      <c r="BN64" s="22"/>
      <c r="BO64" s="1482"/>
      <c r="BP64" s="1482"/>
      <c r="BQ64" s="1482"/>
      <c r="BR64" s="1482"/>
      <c r="BS64" s="1482"/>
      <c r="BT64" s="1482"/>
      <c r="BU64" s="1482"/>
      <c r="BV64" s="1482"/>
      <c r="BW64" s="1482"/>
      <c r="BX64" s="1482"/>
      <c r="BY64" s="1482"/>
      <c r="BZ64" s="1482"/>
      <c r="CA64" s="1482"/>
      <c r="CB64" s="1482"/>
      <c r="CC64" s="1482"/>
      <c r="CD64" s="1482"/>
      <c r="CE64" s="1482"/>
      <c r="CF64" s="1482"/>
      <c r="CG64" s="1482"/>
      <c r="CH64" s="1482"/>
      <c r="CI64" s="1482"/>
      <c r="CJ64" s="1482"/>
      <c r="CK64" s="1482"/>
      <c r="CL64" s="1482"/>
      <c r="CM64" s="1482"/>
      <c r="CN64" s="1482"/>
      <c r="CO64" s="1482"/>
      <c r="CP64" s="1482"/>
      <c r="CQ64" s="1482"/>
      <c r="CR64" s="1482"/>
      <c r="CS64" s="1482"/>
      <c r="CT64" s="1482"/>
      <c r="CU64" s="1482"/>
      <c r="CV64" s="1482"/>
      <c r="CW64" s="1482"/>
      <c r="CX64" s="1482"/>
      <c r="CY64" s="1482"/>
      <c r="CZ64" s="1482"/>
      <c r="DA64" s="1482"/>
      <c r="DB64" s="1482"/>
      <c r="DC64" s="1482"/>
      <c r="DD64" s="1482"/>
      <c r="DE64" s="1482"/>
      <c r="DF64" s="1482"/>
      <c r="DH64" s="838">
        <f t="shared" si="123"/>
        <v>0</v>
      </c>
    </row>
    <row r="65" spans="1:112" s="1484" customFormat="1" ht="12.75" hidden="1" customHeight="1" outlineLevel="1">
      <c r="C65" s="746" t="s">
        <v>976</v>
      </c>
      <c r="D65" s="521" t="str">
        <f>INDEX(Modules[Module], MATCH($C65, Modules[Code], 0))</f>
        <v>Distributed solar PV</v>
      </c>
      <c r="E65" s="521"/>
      <c r="G65" s="1604">
        <f t="shared" ref="G65:P67" ca="1" si="170">IFERROR(INDEX(INDIRECT($C65&amp;".Outputs["&amp;this.Year&amp;"]"), MATCH(G$5, INDIRECT($C65&amp;".Outputs[Vector]"), 0)), 0)</f>
        <v>0</v>
      </c>
      <c r="H65" s="1604">
        <f t="shared" ca="1" si="170"/>
        <v>0</v>
      </c>
      <c r="I65" s="1604">
        <f t="shared" ca="1" si="170"/>
        <v>0</v>
      </c>
      <c r="J65" s="1604">
        <f t="shared" ca="1" si="170"/>
        <v>0</v>
      </c>
      <c r="K65" s="1605">
        <f t="shared" ca="1" si="170"/>
        <v>0</v>
      </c>
      <c r="L65" s="1604">
        <f t="shared" ca="1" si="170"/>
        <v>0</v>
      </c>
      <c r="M65" s="1604">
        <f t="shared" ca="1" si="170"/>
        <v>0</v>
      </c>
      <c r="N65" s="1604">
        <f t="shared" ca="1" si="170"/>
        <v>0</v>
      </c>
      <c r="O65" s="1604">
        <f t="shared" ca="1" si="170"/>
        <v>0</v>
      </c>
      <c r="P65" s="1604">
        <f t="shared" ca="1" si="170"/>
        <v>0</v>
      </c>
      <c r="Q65" s="963">
        <f ca="1">SUM(G65:P65)</f>
        <v>0</v>
      </c>
      <c r="S65" s="1606">
        <f t="shared" ref="S65:BE67" ca="1" si="171">IFERROR(INDEX(INDIRECT($C65&amp;".Outputs["&amp;this.Year&amp;"]"), MATCH(S$5, INDIRECT($C65&amp;".Outputs[Vector]"), 0)), 0)</f>
        <v>0</v>
      </c>
      <c r="T65" s="1606">
        <f t="shared" ca="1" si="171"/>
        <v>0</v>
      </c>
      <c r="U65" s="1606">
        <f t="shared" ca="1" si="171"/>
        <v>0</v>
      </c>
      <c r="V65" s="1606">
        <f t="shared" ca="1" si="171"/>
        <v>0</v>
      </c>
      <c r="W65" s="1606">
        <f t="shared" ca="1" si="171"/>
        <v>0</v>
      </c>
      <c r="X65" s="1606">
        <f t="shared" ref="X65:Z67" ca="1" si="172">IFERROR(INDEX(INDIRECT($C65&amp;".Outputs["&amp;this.Year&amp;"]"), MATCH(X$5, INDIRECT($C65&amp;".Outputs[Vector]"), 0)), 0)</f>
        <v>0</v>
      </c>
      <c r="Y65" s="1606">
        <f t="shared" ca="1" si="172"/>
        <v>0</v>
      </c>
      <c r="Z65" s="1606">
        <f t="shared" ca="1" si="172"/>
        <v>0</v>
      </c>
      <c r="AA65" s="1606">
        <f t="shared" ca="1" si="171"/>
        <v>0</v>
      </c>
      <c r="AB65" s="1606">
        <f t="shared" ca="1" si="171"/>
        <v>0</v>
      </c>
      <c r="AC65" s="1606">
        <f t="shared" ca="1" si="171"/>
        <v>0</v>
      </c>
      <c r="AD65" s="1606">
        <f t="shared" ca="1" si="171"/>
        <v>0</v>
      </c>
      <c r="AE65" s="1606">
        <f t="shared" ca="1" si="171"/>
        <v>0</v>
      </c>
      <c r="AF65" s="1606">
        <f t="shared" ca="1" si="171"/>
        <v>0</v>
      </c>
      <c r="AG65" s="1606">
        <f t="shared" ca="1" si="171"/>
        <v>0</v>
      </c>
      <c r="AH65" s="1606">
        <f t="shared" ca="1" si="171"/>
        <v>0</v>
      </c>
      <c r="AI65" s="1606">
        <f t="shared" ca="1" si="171"/>
        <v>0</v>
      </c>
      <c r="AJ65" s="1606">
        <f t="shared" ca="1" si="171"/>
        <v>0</v>
      </c>
      <c r="AK65" s="972">
        <f ca="1">SUM(S65:AJ65)</f>
        <v>0</v>
      </c>
      <c r="AM65" s="1607">
        <f t="shared" ref="AM65:AU67" ca="1" si="173">IFERROR(INDEX(INDIRECT($C65&amp;".Outputs["&amp;this.Year&amp;"]"), MATCH(AM$5, INDIRECT($C65&amp;".Outputs[Vector]"), 0)), 0)</f>
        <v>0</v>
      </c>
      <c r="AN65" s="1607">
        <f t="shared" ca="1" si="173"/>
        <v>0</v>
      </c>
      <c r="AO65" s="1607">
        <f t="shared" ca="1" si="173"/>
        <v>0</v>
      </c>
      <c r="AP65" s="1607">
        <f t="shared" ca="1" si="173"/>
        <v>0</v>
      </c>
      <c r="AQ65" s="1607">
        <f t="shared" ca="1" si="173"/>
        <v>0</v>
      </c>
      <c r="AR65" s="1607">
        <f t="shared" ca="1" si="173"/>
        <v>0</v>
      </c>
      <c r="AS65" s="1607">
        <f t="shared" ca="1" si="173"/>
        <v>0</v>
      </c>
      <c r="AT65" s="1607">
        <f t="shared" ca="1" si="173"/>
        <v>0</v>
      </c>
      <c r="AU65" s="1607">
        <f t="shared" ca="1" si="173"/>
        <v>0</v>
      </c>
      <c r="AV65" s="1607">
        <f t="shared" ca="1" si="171"/>
        <v>0</v>
      </c>
      <c r="AW65" s="1607">
        <f t="shared" ca="1" si="171"/>
        <v>0</v>
      </c>
      <c r="AX65" s="1607">
        <f t="shared" ca="1" si="171"/>
        <v>0</v>
      </c>
      <c r="AY65" s="1607">
        <f t="shared" ca="1" si="171"/>
        <v>0</v>
      </c>
      <c r="AZ65" s="1607">
        <f t="shared" ca="1" si="171"/>
        <v>0</v>
      </c>
      <c r="BA65" s="1607">
        <f t="shared" ca="1" si="171"/>
        <v>0</v>
      </c>
      <c r="BB65" s="1607">
        <f t="shared" ca="1" si="171"/>
        <v>0</v>
      </c>
      <c r="BC65" s="1607">
        <f t="shared" ca="1" si="171"/>
        <v>0</v>
      </c>
      <c r="BD65" s="1607">
        <f t="shared" ca="1" si="171"/>
        <v>0</v>
      </c>
      <c r="BE65" s="1607">
        <f t="shared" ca="1" si="171"/>
        <v>0</v>
      </c>
      <c r="BF65" s="979">
        <f ca="1">SUM(AM65:BE65)</f>
        <v>0</v>
      </c>
      <c r="BH65" s="1608">
        <f t="shared" ref="BH65:BI67" ca="1" si="174">IFERROR(INDEX(INDIRECT($C65&amp;".Outputs["&amp;this.Year&amp;"]"), MATCH(BH$5, INDIRECT($C65&amp;".Outputs[Vector]"), 0)), 0)</f>
        <v>0</v>
      </c>
      <c r="BI65" s="1608">
        <f t="shared" ca="1" si="174"/>
        <v>0</v>
      </c>
      <c r="BJ65" s="992">
        <f ca="1">SUM(BH65:BI65)</f>
        <v>0</v>
      </c>
      <c r="BL65" s="814">
        <f t="shared" ref="BL65:BL70" ca="1" si="175">Q65+AK65+BF65+BJ65</f>
        <v>0</v>
      </c>
      <c r="BM65" s="814"/>
      <c r="BO65" s="1602">
        <f t="shared" ref="BO65:DF67" ca="1" si="176">IFERROR(SUMIFS(INDIRECT($C65&amp;".Emissions["&amp;this.Year&amp;"]"), INDIRECT($C65&amp;".Emissions[GHG]"), BO$6, INDIRECT($C65&amp;".Emissions[IPCC Sector]"), BO$5),0)</f>
        <v>0</v>
      </c>
      <c r="BP65" s="1602">
        <f t="shared" ca="1" si="176"/>
        <v>0</v>
      </c>
      <c r="BQ65" s="1602">
        <f t="shared" ca="1" si="176"/>
        <v>0</v>
      </c>
      <c r="BR65" s="1602">
        <f t="shared" ca="1" si="176"/>
        <v>0</v>
      </c>
      <c r="BS65" s="1602">
        <f t="shared" ca="1" si="176"/>
        <v>0</v>
      </c>
      <c r="BT65" s="1602">
        <f t="shared" ca="1" si="176"/>
        <v>0</v>
      </c>
      <c r="BU65" s="1602">
        <f t="shared" ca="1" si="176"/>
        <v>0</v>
      </c>
      <c r="BV65" s="1602">
        <f t="shared" ca="1" si="176"/>
        <v>0</v>
      </c>
      <c r="BW65" s="1602">
        <f t="shared" ca="1" si="176"/>
        <v>0</v>
      </c>
      <c r="BX65" s="1602">
        <f t="shared" ca="1" si="176"/>
        <v>0</v>
      </c>
      <c r="BY65" s="1602">
        <f t="shared" ca="1" si="176"/>
        <v>0</v>
      </c>
      <c r="BZ65" s="1602">
        <f t="shared" ca="1" si="176"/>
        <v>0</v>
      </c>
      <c r="CA65" s="1602">
        <f t="shared" ca="1" si="176"/>
        <v>0</v>
      </c>
      <c r="CB65" s="1602">
        <f t="shared" ca="1" si="176"/>
        <v>0</v>
      </c>
      <c r="CC65" s="1602">
        <f t="shared" ca="1" si="176"/>
        <v>0</v>
      </c>
      <c r="CD65" s="1602">
        <f t="shared" ca="1" si="176"/>
        <v>0</v>
      </c>
      <c r="CE65" s="1602">
        <f t="shared" ca="1" si="176"/>
        <v>0</v>
      </c>
      <c r="CF65" s="1602">
        <f t="shared" ca="1" si="176"/>
        <v>0</v>
      </c>
      <c r="CG65" s="1602">
        <f t="shared" ca="1" si="176"/>
        <v>0</v>
      </c>
      <c r="CH65" s="1602">
        <f t="shared" ca="1" si="176"/>
        <v>0</v>
      </c>
      <c r="CI65" s="1602">
        <f t="shared" ca="1" si="176"/>
        <v>0</v>
      </c>
      <c r="CJ65" s="1602">
        <f t="shared" ca="1" si="176"/>
        <v>0</v>
      </c>
      <c r="CK65" s="1602">
        <f t="shared" ca="1" si="176"/>
        <v>0</v>
      </c>
      <c r="CL65" s="1602">
        <f t="shared" ca="1" si="176"/>
        <v>0</v>
      </c>
      <c r="CM65" s="1602">
        <f t="shared" ca="1" si="176"/>
        <v>0</v>
      </c>
      <c r="CN65" s="1602">
        <f t="shared" ca="1" si="176"/>
        <v>0</v>
      </c>
      <c r="CO65" s="1602">
        <f t="shared" ca="1" si="176"/>
        <v>0</v>
      </c>
      <c r="CP65" s="1602">
        <f t="shared" ca="1" si="176"/>
        <v>0</v>
      </c>
      <c r="CQ65" s="1602">
        <f t="shared" ca="1" si="176"/>
        <v>0</v>
      </c>
      <c r="CR65" s="1602">
        <f t="shared" ca="1" si="176"/>
        <v>0</v>
      </c>
      <c r="CS65" s="1602">
        <f t="shared" ca="1" si="176"/>
        <v>0</v>
      </c>
      <c r="CT65" s="1602">
        <f t="shared" ca="1" si="176"/>
        <v>0</v>
      </c>
      <c r="CU65" s="1602">
        <f t="shared" ca="1" si="176"/>
        <v>0</v>
      </c>
      <c r="CV65" s="1602">
        <f t="shared" ca="1" si="176"/>
        <v>0</v>
      </c>
      <c r="CW65" s="1602">
        <f t="shared" ca="1" si="176"/>
        <v>0</v>
      </c>
      <c r="CX65" s="1602">
        <f t="shared" ca="1" si="176"/>
        <v>0</v>
      </c>
      <c r="CY65" s="1602">
        <f t="shared" ca="1" si="176"/>
        <v>0</v>
      </c>
      <c r="CZ65" s="1602">
        <f t="shared" ca="1" si="176"/>
        <v>0</v>
      </c>
      <c r="DA65" s="1602">
        <f t="shared" ca="1" si="176"/>
        <v>0</v>
      </c>
      <c r="DB65" s="1602">
        <f t="shared" ca="1" si="176"/>
        <v>0</v>
      </c>
      <c r="DC65" s="1602">
        <f t="shared" ca="1" si="176"/>
        <v>0</v>
      </c>
      <c r="DD65" s="1602">
        <f t="shared" ca="1" si="176"/>
        <v>0</v>
      </c>
      <c r="DE65" s="1602">
        <f t="shared" ca="1" si="176"/>
        <v>0</v>
      </c>
      <c r="DF65" s="1602">
        <f t="shared" ca="1" si="176"/>
        <v>0</v>
      </c>
      <c r="DH65" s="1603">
        <f t="shared" ca="1" si="123"/>
        <v>0</v>
      </c>
    </row>
    <row r="66" spans="1:112" s="1484" customFormat="1" ht="12.75" hidden="1" customHeight="1" outlineLevel="1">
      <c r="C66" s="746" t="s">
        <v>1329</v>
      </c>
      <c r="D66" s="521" t="str">
        <f>INDEX(Modules[Module], MATCH($C66, Modules[Code], 0))</f>
        <v>Distributed solar thermal</v>
      </c>
      <c r="E66" s="521"/>
      <c r="G66" s="1604">
        <f t="shared" ca="1" si="170"/>
        <v>0</v>
      </c>
      <c r="H66" s="1604">
        <f t="shared" ca="1" si="170"/>
        <v>0</v>
      </c>
      <c r="I66" s="1604">
        <f t="shared" ca="1" si="170"/>
        <v>0</v>
      </c>
      <c r="J66" s="1604">
        <f t="shared" ca="1" si="170"/>
        <v>0</v>
      </c>
      <c r="K66" s="1605">
        <f t="shared" ca="1" si="170"/>
        <v>0</v>
      </c>
      <c r="L66" s="1604">
        <f t="shared" ca="1" si="170"/>
        <v>0</v>
      </c>
      <c r="M66" s="1604">
        <f t="shared" ca="1" si="170"/>
        <v>0</v>
      </c>
      <c r="N66" s="1604">
        <f t="shared" ca="1" si="170"/>
        <v>0</v>
      </c>
      <c r="O66" s="1604">
        <f t="shared" ca="1" si="170"/>
        <v>0</v>
      </c>
      <c r="P66" s="1604">
        <f t="shared" ca="1" si="170"/>
        <v>0</v>
      </c>
      <c r="Q66" s="963">
        <f ca="1">SUM(G66:P66)</f>
        <v>0</v>
      </c>
      <c r="S66" s="1606">
        <f t="shared" ca="1" si="171"/>
        <v>0</v>
      </c>
      <c r="T66" s="1606">
        <f t="shared" ca="1" si="171"/>
        <v>0</v>
      </c>
      <c r="U66" s="1606">
        <f t="shared" ca="1" si="171"/>
        <v>0</v>
      </c>
      <c r="V66" s="1606">
        <f t="shared" ca="1" si="171"/>
        <v>0</v>
      </c>
      <c r="W66" s="1606">
        <f t="shared" ca="1" si="171"/>
        <v>0</v>
      </c>
      <c r="X66" s="1606">
        <f t="shared" ca="1" si="172"/>
        <v>0</v>
      </c>
      <c r="Y66" s="1606">
        <f t="shared" ca="1" si="172"/>
        <v>0</v>
      </c>
      <c r="Z66" s="1606">
        <f t="shared" ca="1" si="172"/>
        <v>0</v>
      </c>
      <c r="AA66" s="1606">
        <f t="shared" ca="1" si="171"/>
        <v>0</v>
      </c>
      <c r="AB66" s="1606">
        <f t="shared" ca="1" si="171"/>
        <v>0</v>
      </c>
      <c r="AC66" s="1606">
        <f t="shared" ca="1" si="171"/>
        <v>0</v>
      </c>
      <c r="AD66" s="1606">
        <f t="shared" ca="1" si="171"/>
        <v>0</v>
      </c>
      <c r="AE66" s="1606">
        <f t="shared" ca="1" si="171"/>
        <v>0</v>
      </c>
      <c r="AF66" s="1606">
        <f t="shared" ca="1" si="171"/>
        <v>0</v>
      </c>
      <c r="AG66" s="1606">
        <f t="shared" ca="1" si="171"/>
        <v>0</v>
      </c>
      <c r="AH66" s="1606">
        <f t="shared" ca="1" si="171"/>
        <v>0</v>
      </c>
      <c r="AI66" s="1606">
        <f t="shared" ca="1" si="171"/>
        <v>0</v>
      </c>
      <c r="AJ66" s="1606">
        <f t="shared" ca="1" si="171"/>
        <v>0</v>
      </c>
      <c r="AK66" s="972">
        <f ca="1">SUM(S66:AJ66)</f>
        <v>0</v>
      </c>
      <c r="AM66" s="1607">
        <f t="shared" ca="1" si="173"/>
        <v>0</v>
      </c>
      <c r="AN66" s="1607">
        <f t="shared" ca="1" si="173"/>
        <v>0</v>
      </c>
      <c r="AO66" s="1607">
        <f t="shared" ca="1" si="173"/>
        <v>0</v>
      </c>
      <c r="AP66" s="1607">
        <f t="shared" ca="1" si="173"/>
        <v>0</v>
      </c>
      <c r="AQ66" s="1607">
        <f t="shared" ca="1" si="173"/>
        <v>0</v>
      </c>
      <c r="AR66" s="1607">
        <f t="shared" ca="1" si="173"/>
        <v>0</v>
      </c>
      <c r="AS66" s="1607">
        <f t="shared" ca="1" si="173"/>
        <v>0</v>
      </c>
      <c r="AT66" s="1607">
        <f t="shared" ca="1" si="173"/>
        <v>0</v>
      </c>
      <c r="AU66" s="1607">
        <f t="shared" ca="1" si="173"/>
        <v>0</v>
      </c>
      <c r="AV66" s="1607">
        <f t="shared" ca="1" si="171"/>
        <v>0</v>
      </c>
      <c r="AW66" s="1607">
        <f t="shared" ca="1" si="171"/>
        <v>0</v>
      </c>
      <c r="AX66" s="1607">
        <f t="shared" ca="1" si="171"/>
        <v>0</v>
      </c>
      <c r="AY66" s="1607">
        <f t="shared" ca="1" si="171"/>
        <v>0</v>
      </c>
      <c r="AZ66" s="1607">
        <f t="shared" ca="1" si="171"/>
        <v>0</v>
      </c>
      <c r="BA66" s="1607">
        <f t="shared" ca="1" si="171"/>
        <v>0</v>
      </c>
      <c r="BB66" s="1607">
        <f t="shared" ca="1" si="171"/>
        <v>0</v>
      </c>
      <c r="BC66" s="1607">
        <f t="shared" ca="1" si="171"/>
        <v>0</v>
      </c>
      <c r="BD66" s="1607">
        <f t="shared" ca="1" si="171"/>
        <v>0</v>
      </c>
      <c r="BE66" s="1607">
        <f t="shared" ca="1" si="171"/>
        <v>0</v>
      </c>
      <c r="BF66" s="979">
        <f ca="1">SUM(AM66:BE66)</f>
        <v>0</v>
      </c>
      <c r="BH66" s="1608">
        <f t="shared" ca="1" si="174"/>
        <v>0</v>
      </c>
      <c r="BI66" s="1608">
        <f t="shared" ca="1" si="174"/>
        <v>0</v>
      </c>
      <c r="BJ66" s="992">
        <f ca="1">SUM(BH66:BI66)</f>
        <v>0</v>
      </c>
      <c r="BL66" s="814">
        <f t="shared" ca="1" si="175"/>
        <v>0</v>
      </c>
      <c r="BM66" s="814"/>
      <c r="BO66" s="1602">
        <f t="shared" ca="1" si="176"/>
        <v>0</v>
      </c>
      <c r="BP66" s="1602">
        <f t="shared" ca="1" si="176"/>
        <v>0</v>
      </c>
      <c r="BQ66" s="1602">
        <f t="shared" ca="1" si="176"/>
        <v>0</v>
      </c>
      <c r="BR66" s="1602">
        <f t="shared" ca="1" si="176"/>
        <v>0</v>
      </c>
      <c r="BS66" s="1602">
        <f t="shared" ca="1" si="176"/>
        <v>0</v>
      </c>
      <c r="BT66" s="1602">
        <f t="shared" ca="1" si="176"/>
        <v>0</v>
      </c>
      <c r="BU66" s="1602">
        <f t="shared" ca="1" si="176"/>
        <v>0</v>
      </c>
      <c r="BV66" s="1602">
        <f t="shared" ca="1" si="176"/>
        <v>0</v>
      </c>
      <c r="BW66" s="1602">
        <f t="shared" ca="1" si="176"/>
        <v>0</v>
      </c>
      <c r="BX66" s="1602">
        <f t="shared" ca="1" si="176"/>
        <v>0</v>
      </c>
      <c r="BY66" s="1602">
        <f t="shared" ca="1" si="176"/>
        <v>0</v>
      </c>
      <c r="BZ66" s="1602">
        <f t="shared" ca="1" si="176"/>
        <v>0</v>
      </c>
      <c r="CA66" s="1602">
        <f t="shared" ca="1" si="176"/>
        <v>0</v>
      </c>
      <c r="CB66" s="1602">
        <f t="shared" ca="1" si="176"/>
        <v>0</v>
      </c>
      <c r="CC66" s="1602">
        <f t="shared" ca="1" si="176"/>
        <v>0</v>
      </c>
      <c r="CD66" s="1602">
        <f t="shared" ca="1" si="176"/>
        <v>0</v>
      </c>
      <c r="CE66" s="1602">
        <f t="shared" ca="1" si="176"/>
        <v>0</v>
      </c>
      <c r="CF66" s="1602">
        <f t="shared" ca="1" si="176"/>
        <v>0</v>
      </c>
      <c r="CG66" s="1602">
        <f t="shared" ca="1" si="176"/>
        <v>0</v>
      </c>
      <c r="CH66" s="1602">
        <f t="shared" ca="1" si="176"/>
        <v>0</v>
      </c>
      <c r="CI66" s="1602">
        <f t="shared" ca="1" si="176"/>
        <v>0</v>
      </c>
      <c r="CJ66" s="1602">
        <f t="shared" ca="1" si="176"/>
        <v>0</v>
      </c>
      <c r="CK66" s="1602">
        <f t="shared" ca="1" si="176"/>
        <v>0</v>
      </c>
      <c r="CL66" s="1602">
        <f t="shared" ca="1" si="176"/>
        <v>0</v>
      </c>
      <c r="CM66" s="1602">
        <f t="shared" ca="1" si="176"/>
        <v>0</v>
      </c>
      <c r="CN66" s="1602">
        <f t="shared" ca="1" si="176"/>
        <v>0</v>
      </c>
      <c r="CO66" s="1602">
        <f t="shared" ca="1" si="176"/>
        <v>0</v>
      </c>
      <c r="CP66" s="1602">
        <f t="shared" ca="1" si="176"/>
        <v>0</v>
      </c>
      <c r="CQ66" s="1602">
        <f t="shared" ca="1" si="176"/>
        <v>0</v>
      </c>
      <c r="CR66" s="1602">
        <f t="shared" ca="1" si="176"/>
        <v>0</v>
      </c>
      <c r="CS66" s="1602">
        <f t="shared" ca="1" si="176"/>
        <v>0</v>
      </c>
      <c r="CT66" s="1602">
        <f t="shared" ca="1" si="176"/>
        <v>0</v>
      </c>
      <c r="CU66" s="1602">
        <f t="shared" ca="1" si="176"/>
        <v>0</v>
      </c>
      <c r="CV66" s="1602">
        <f t="shared" ca="1" si="176"/>
        <v>0</v>
      </c>
      <c r="CW66" s="1602">
        <f t="shared" ca="1" si="176"/>
        <v>0</v>
      </c>
      <c r="CX66" s="1602">
        <f t="shared" ca="1" si="176"/>
        <v>0</v>
      </c>
      <c r="CY66" s="1602">
        <f t="shared" ca="1" si="176"/>
        <v>0</v>
      </c>
      <c r="CZ66" s="1602">
        <f t="shared" ca="1" si="176"/>
        <v>0</v>
      </c>
      <c r="DA66" s="1602">
        <f t="shared" ca="1" si="176"/>
        <v>0</v>
      </c>
      <c r="DB66" s="1602">
        <f t="shared" ca="1" si="176"/>
        <v>0</v>
      </c>
      <c r="DC66" s="1602">
        <f t="shared" ca="1" si="176"/>
        <v>0</v>
      </c>
      <c r="DD66" s="1602">
        <f t="shared" ca="1" si="176"/>
        <v>0</v>
      </c>
      <c r="DE66" s="1602">
        <f t="shared" ca="1" si="176"/>
        <v>0</v>
      </c>
      <c r="DF66" s="1602">
        <f t="shared" ca="1" si="176"/>
        <v>0</v>
      </c>
      <c r="DH66" s="1603">
        <f t="shared" ca="1" si="123"/>
        <v>0</v>
      </c>
    </row>
    <row r="67" spans="1:112" s="1484" customFormat="1" ht="12.75" hidden="1" customHeight="1" outlineLevel="1">
      <c r="C67" s="746" t="s">
        <v>1597</v>
      </c>
      <c r="D67" s="1010" t="str">
        <f>INDEX(Modules[Module], MATCH($C67, Modules[Code], 0))</f>
        <v>Micro wind</v>
      </c>
      <c r="E67" s="1010"/>
      <c r="F67" s="743"/>
      <c r="G67" s="1022">
        <f t="shared" ca="1" si="170"/>
        <v>0</v>
      </c>
      <c r="H67" s="1022">
        <f t="shared" ca="1" si="170"/>
        <v>0</v>
      </c>
      <c r="I67" s="1022">
        <f t="shared" ca="1" si="170"/>
        <v>0</v>
      </c>
      <c r="J67" s="1022">
        <f t="shared" ca="1" si="170"/>
        <v>0</v>
      </c>
      <c r="K67" s="1022">
        <f t="shared" ca="1" si="170"/>
        <v>0</v>
      </c>
      <c r="L67" s="1022">
        <f t="shared" ca="1" si="170"/>
        <v>0</v>
      </c>
      <c r="M67" s="1022">
        <f t="shared" ca="1" si="170"/>
        <v>0</v>
      </c>
      <c r="N67" s="1022">
        <f t="shared" ca="1" si="170"/>
        <v>0</v>
      </c>
      <c r="O67" s="1022">
        <f t="shared" ca="1" si="170"/>
        <v>0</v>
      </c>
      <c r="P67" s="1022">
        <f t="shared" ca="1" si="170"/>
        <v>0</v>
      </c>
      <c r="Q67" s="1020">
        <f ca="1">SUM(G67:P67)</f>
        <v>0</v>
      </c>
      <c r="R67" s="743"/>
      <c r="S67" s="1031">
        <f t="shared" ca="1" si="171"/>
        <v>0</v>
      </c>
      <c r="T67" s="1031">
        <f t="shared" ca="1" si="171"/>
        <v>0</v>
      </c>
      <c r="U67" s="1031">
        <f t="shared" ca="1" si="171"/>
        <v>0</v>
      </c>
      <c r="V67" s="1031">
        <f t="shared" ca="1" si="171"/>
        <v>0</v>
      </c>
      <c r="W67" s="1031">
        <f t="shared" ca="1" si="171"/>
        <v>0</v>
      </c>
      <c r="X67" s="1031">
        <f t="shared" ca="1" si="172"/>
        <v>0</v>
      </c>
      <c r="Y67" s="1031">
        <f t="shared" ca="1" si="172"/>
        <v>0</v>
      </c>
      <c r="Z67" s="1031">
        <f t="shared" ca="1" si="172"/>
        <v>0</v>
      </c>
      <c r="AA67" s="1031">
        <f t="shared" ca="1" si="171"/>
        <v>0</v>
      </c>
      <c r="AB67" s="1031">
        <f t="shared" ca="1" si="171"/>
        <v>0</v>
      </c>
      <c r="AC67" s="1031">
        <f t="shared" ca="1" si="171"/>
        <v>0</v>
      </c>
      <c r="AD67" s="1031">
        <f t="shared" ca="1" si="171"/>
        <v>0</v>
      </c>
      <c r="AE67" s="1031">
        <f t="shared" ca="1" si="171"/>
        <v>0</v>
      </c>
      <c r="AF67" s="1031">
        <f t="shared" ca="1" si="171"/>
        <v>0</v>
      </c>
      <c r="AG67" s="1031">
        <f t="shared" ca="1" si="171"/>
        <v>0</v>
      </c>
      <c r="AH67" s="1031">
        <f t="shared" ca="1" si="171"/>
        <v>0</v>
      </c>
      <c r="AI67" s="1031">
        <f t="shared" ca="1" si="171"/>
        <v>0</v>
      </c>
      <c r="AJ67" s="1031">
        <f t="shared" ca="1" si="171"/>
        <v>0</v>
      </c>
      <c r="AK67" s="1030">
        <f ca="1">SUM(S67:AJ67)</f>
        <v>0</v>
      </c>
      <c r="AL67" s="743"/>
      <c r="AM67" s="1042">
        <f t="shared" ca="1" si="173"/>
        <v>0</v>
      </c>
      <c r="AN67" s="1042">
        <f t="shared" ca="1" si="173"/>
        <v>0</v>
      </c>
      <c r="AO67" s="1042">
        <f t="shared" ca="1" si="173"/>
        <v>0</v>
      </c>
      <c r="AP67" s="1042">
        <f t="shared" ca="1" si="173"/>
        <v>0</v>
      </c>
      <c r="AQ67" s="1042">
        <f t="shared" ca="1" si="173"/>
        <v>0</v>
      </c>
      <c r="AR67" s="1042">
        <f t="shared" ca="1" si="173"/>
        <v>0</v>
      </c>
      <c r="AS67" s="1042">
        <f t="shared" ca="1" si="173"/>
        <v>0</v>
      </c>
      <c r="AT67" s="1042">
        <f t="shared" ca="1" si="173"/>
        <v>0</v>
      </c>
      <c r="AU67" s="1042">
        <f t="shared" ca="1" si="173"/>
        <v>0</v>
      </c>
      <c r="AV67" s="1042">
        <f t="shared" ca="1" si="171"/>
        <v>0</v>
      </c>
      <c r="AW67" s="1042">
        <f t="shared" ca="1" si="171"/>
        <v>0</v>
      </c>
      <c r="AX67" s="1042">
        <f t="shared" ca="1" si="171"/>
        <v>0</v>
      </c>
      <c r="AY67" s="1042">
        <f t="shared" ca="1" si="171"/>
        <v>0</v>
      </c>
      <c r="AZ67" s="1042">
        <f t="shared" ca="1" si="171"/>
        <v>0</v>
      </c>
      <c r="BA67" s="1042">
        <f t="shared" ca="1" si="171"/>
        <v>0</v>
      </c>
      <c r="BB67" s="1042">
        <f t="shared" ca="1" si="171"/>
        <v>0</v>
      </c>
      <c r="BC67" s="1042">
        <f t="shared" ca="1" si="171"/>
        <v>0</v>
      </c>
      <c r="BD67" s="1042">
        <f t="shared" ca="1" si="171"/>
        <v>0</v>
      </c>
      <c r="BE67" s="1042">
        <f t="shared" ca="1" si="171"/>
        <v>0</v>
      </c>
      <c r="BF67" s="1012">
        <f ca="1">SUM(AM67:BE67)</f>
        <v>0</v>
      </c>
      <c r="BG67" s="743"/>
      <c r="BH67" s="1036">
        <f t="shared" ca="1" si="174"/>
        <v>0</v>
      </c>
      <c r="BI67" s="1036">
        <f t="shared" ca="1" si="174"/>
        <v>0</v>
      </c>
      <c r="BJ67" s="1035">
        <f ca="1">SUM(BH67:BI67)</f>
        <v>0</v>
      </c>
      <c r="BK67" s="743"/>
      <c r="BL67" s="814">
        <f t="shared" ca="1" si="175"/>
        <v>0</v>
      </c>
      <c r="BM67" s="814"/>
      <c r="BN67" s="840"/>
      <c r="BO67" s="1485">
        <f t="shared" ca="1" si="176"/>
        <v>0</v>
      </c>
      <c r="BP67" s="1486">
        <f t="shared" ca="1" si="176"/>
        <v>0</v>
      </c>
      <c r="BQ67" s="1486">
        <f t="shared" ca="1" si="176"/>
        <v>0</v>
      </c>
      <c r="BR67" s="1486">
        <f t="shared" ca="1" si="176"/>
        <v>0</v>
      </c>
      <c r="BS67" s="1486">
        <f t="shared" ca="1" si="176"/>
        <v>0</v>
      </c>
      <c r="BT67" s="1486">
        <f t="shared" ca="1" si="176"/>
        <v>0</v>
      </c>
      <c r="BU67" s="1486">
        <f t="shared" ca="1" si="176"/>
        <v>0</v>
      </c>
      <c r="BV67" s="1486">
        <f t="shared" ca="1" si="176"/>
        <v>0</v>
      </c>
      <c r="BW67" s="1486">
        <f t="shared" ca="1" si="176"/>
        <v>0</v>
      </c>
      <c r="BX67" s="1486">
        <f t="shared" ca="1" si="176"/>
        <v>0</v>
      </c>
      <c r="BY67" s="1486">
        <f t="shared" ca="1" si="176"/>
        <v>0</v>
      </c>
      <c r="BZ67" s="1486">
        <f t="shared" ca="1" si="176"/>
        <v>0</v>
      </c>
      <c r="CA67" s="1486">
        <f t="shared" ca="1" si="176"/>
        <v>0</v>
      </c>
      <c r="CB67" s="1486">
        <f t="shared" ca="1" si="176"/>
        <v>0</v>
      </c>
      <c r="CC67" s="1486">
        <f t="shared" ca="1" si="176"/>
        <v>0</v>
      </c>
      <c r="CD67" s="1486">
        <f t="shared" ca="1" si="176"/>
        <v>0</v>
      </c>
      <c r="CE67" s="1486">
        <f t="shared" ca="1" si="176"/>
        <v>0</v>
      </c>
      <c r="CF67" s="1486">
        <f t="shared" ca="1" si="176"/>
        <v>0</v>
      </c>
      <c r="CG67" s="1486">
        <f t="shared" ca="1" si="176"/>
        <v>0</v>
      </c>
      <c r="CH67" s="1486">
        <f t="shared" ca="1" si="176"/>
        <v>0</v>
      </c>
      <c r="CI67" s="1486">
        <f t="shared" ca="1" si="176"/>
        <v>0</v>
      </c>
      <c r="CJ67" s="1486">
        <f t="shared" ca="1" si="176"/>
        <v>0</v>
      </c>
      <c r="CK67" s="1486">
        <f t="shared" ca="1" si="176"/>
        <v>0</v>
      </c>
      <c r="CL67" s="1486">
        <f t="shared" ca="1" si="176"/>
        <v>0</v>
      </c>
      <c r="CM67" s="1486">
        <f t="shared" ca="1" si="176"/>
        <v>0</v>
      </c>
      <c r="CN67" s="1486">
        <f t="shared" ca="1" si="176"/>
        <v>0</v>
      </c>
      <c r="CO67" s="1486">
        <f t="shared" ca="1" si="176"/>
        <v>0</v>
      </c>
      <c r="CP67" s="1486">
        <f t="shared" ca="1" si="176"/>
        <v>0</v>
      </c>
      <c r="CQ67" s="1486">
        <f t="shared" ca="1" si="176"/>
        <v>0</v>
      </c>
      <c r="CR67" s="1486">
        <f t="shared" ca="1" si="176"/>
        <v>0</v>
      </c>
      <c r="CS67" s="1486">
        <f t="shared" ca="1" si="176"/>
        <v>0</v>
      </c>
      <c r="CT67" s="1486">
        <f t="shared" ca="1" si="176"/>
        <v>0</v>
      </c>
      <c r="CU67" s="1486">
        <f t="shared" ca="1" si="176"/>
        <v>0</v>
      </c>
      <c r="CV67" s="1486">
        <f t="shared" ca="1" si="176"/>
        <v>0</v>
      </c>
      <c r="CW67" s="1486">
        <f t="shared" ca="1" si="176"/>
        <v>0</v>
      </c>
      <c r="CX67" s="1486">
        <f t="shared" ca="1" si="176"/>
        <v>0</v>
      </c>
      <c r="CY67" s="1486">
        <f t="shared" ca="1" si="176"/>
        <v>0</v>
      </c>
      <c r="CZ67" s="1486">
        <f t="shared" ca="1" si="176"/>
        <v>0</v>
      </c>
      <c r="DA67" s="1486">
        <f t="shared" ca="1" si="176"/>
        <v>0</v>
      </c>
      <c r="DB67" s="1486">
        <f t="shared" ca="1" si="176"/>
        <v>0</v>
      </c>
      <c r="DC67" s="1486">
        <f t="shared" ca="1" si="176"/>
        <v>0</v>
      </c>
      <c r="DD67" s="1486">
        <f t="shared" ca="1" si="176"/>
        <v>0</v>
      </c>
      <c r="DE67" s="1486">
        <f t="shared" ca="1" si="176"/>
        <v>0</v>
      </c>
      <c r="DF67" s="1486">
        <f t="shared" ca="1" si="176"/>
        <v>0</v>
      </c>
      <c r="DH67" s="838">
        <f t="shared" ca="1" si="123"/>
        <v>0</v>
      </c>
    </row>
    <row r="68" spans="1:112" s="743" customFormat="1" ht="15.75" collapsed="1">
      <c r="A68" s="22"/>
      <c r="B68" s="753"/>
      <c r="C68" s="744" t="s">
        <v>77</v>
      </c>
      <c r="D68" s="517" t="str">
        <f>INDEX(Workstreams[Workstream], MATCH($C68, Workstreams[Code], 0))</f>
        <v>Distributed renewable power generation</v>
      </c>
      <c r="E68" s="512"/>
      <c r="G68" s="1021">
        <f ca="1">SUM(G65:G67)</f>
        <v>0</v>
      </c>
      <c r="H68" s="1021">
        <f t="shared" ref="H68:P68" ca="1" si="177">SUM(H65:H67)</f>
        <v>0</v>
      </c>
      <c r="I68" s="1021">
        <f t="shared" ca="1" si="177"/>
        <v>0</v>
      </c>
      <c r="J68" s="1021">
        <f t="shared" ca="1" si="177"/>
        <v>0</v>
      </c>
      <c r="K68" s="1021">
        <f t="shared" ca="1" si="177"/>
        <v>0</v>
      </c>
      <c r="L68" s="1021">
        <f t="shared" ca="1" si="177"/>
        <v>0</v>
      </c>
      <c r="M68" s="1021">
        <f t="shared" ca="1" si="177"/>
        <v>0</v>
      </c>
      <c r="N68" s="1021">
        <f t="shared" ca="1" si="177"/>
        <v>0</v>
      </c>
      <c r="O68" s="1021">
        <f t="shared" ca="1" si="177"/>
        <v>0</v>
      </c>
      <c r="P68" s="1021">
        <f t="shared" ca="1" si="177"/>
        <v>0</v>
      </c>
      <c r="Q68" s="1021">
        <f ca="1">SUM(G68:P68)</f>
        <v>0</v>
      </c>
      <c r="S68" s="970">
        <f t="shared" ref="S68:AJ68" ca="1" si="178">SUM(S65:S67)</f>
        <v>0</v>
      </c>
      <c r="T68" s="970">
        <f t="shared" ca="1" si="178"/>
        <v>0</v>
      </c>
      <c r="U68" s="970">
        <f t="shared" ca="1" si="178"/>
        <v>0</v>
      </c>
      <c r="V68" s="970">
        <f t="shared" ca="1" si="178"/>
        <v>0</v>
      </c>
      <c r="W68" s="970">
        <f t="shared" ca="1" si="178"/>
        <v>0</v>
      </c>
      <c r="X68" s="970">
        <f t="shared" ca="1" si="178"/>
        <v>0</v>
      </c>
      <c r="Y68" s="970">
        <f t="shared" ca="1" si="178"/>
        <v>0</v>
      </c>
      <c r="Z68" s="970">
        <f t="shared" ca="1" si="178"/>
        <v>0</v>
      </c>
      <c r="AA68" s="970">
        <f t="shared" ca="1" si="178"/>
        <v>0</v>
      </c>
      <c r="AB68" s="970">
        <f t="shared" ca="1" si="178"/>
        <v>0</v>
      </c>
      <c r="AC68" s="970">
        <f t="shared" ca="1" si="178"/>
        <v>0</v>
      </c>
      <c r="AD68" s="970">
        <f t="shared" ca="1" si="178"/>
        <v>0</v>
      </c>
      <c r="AE68" s="970">
        <f ca="1">SUM(AE65:AE67)</f>
        <v>0</v>
      </c>
      <c r="AF68" s="970">
        <f t="shared" ca="1" si="178"/>
        <v>0</v>
      </c>
      <c r="AG68" s="970">
        <f t="shared" ca="1" si="178"/>
        <v>0</v>
      </c>
      <c r="AH68" s="970">
        <f ca="1">SUM(AH65:AH67)</f>
        <v>0</v>
      </c>
      <c r="AI68" s="970">
        <f t="shared" ca="1" si="178"/>
        <v>0</v>
      </c>
      <c r="AJ68" s="970">
        <f t="shared" ca="1" si="178"/>
        <v>0</v>
      </c>
      <c r="AK68" s="970">
        <f ca="1">SUM(S68:AJ68)</f>
        <v>0</v>
      </c>
      <c r="AM68" s="976">
        <f t="shared" ref="AM68:BE68" ca="1" si="179">SUM(AM65:AM67)</f>
        <v>0</v>
      </c>
      <c r="AN68" s="976">
        <f t="shared" ca="1" si="179"/>
        <v>0</v>
      </c>
      <c r="AO68" s="976">
        <f t="shared" ca="1" si="179"/>
        <v>0</v>
      </c>
      <c r="AP68" s="976">
        <f t="shared" ca="1" si="179"/>
        <v>0</v>
      </c>
      <c r="AQ68" s="976">
        <f t="shared" ca="1" si="179"/>
        <v>0</v>
      </c>
      <c r="AR68" s="976">
        <f t="shared" ca="1" si="179"/>
        <v>0</v>
      </c>
      <c r="AS68" s="976">
        <f t="shared" ca="1" si="179"/>
        <v>0</v>
      </c>
      <c r="AT68" s="976">
        <f t="shared" ca="1" si="179"/>
        <v>0</v>
      </c>
      <c r="AU68" s="976">
        <f t="shared" ca="1" si="179"/>
        <v>0</v>
      </c>
      <c r="AV68" s="976">
        <f t="shared" ca="1" si="179"/>
        <v>0</v>
      </c>
      <c r="AW68" s="976">
        <f t="shared" ca="1" si="179"/>
        <v>0</v>
      </c>
      <c r="AX68" s="976">
        <f t="shared" ca="1" si="179"/>
        <v>0</v>
      </c>
      <c r="AY68" s="976">
        <f t="shared" ca="1" si="179"/>
        <v>0</v>
      </c>
      <c r="AZ68" s="976">
        <f t="shared" ca="1" si="179"/>
        <v>0</v>
      </c>
      <c r="BA68" s="976">
        <f t="shared" ca="1" si="179"/>
        <v>0</v>
      </c>
      <c r="BB68" s="976">
        <f t="shared" ca="1" si="179"/>
        <v>0</v>
      </c>
      <c r="BC68" s="976">
        <f t="shared" ca="1" si="179"/>
        <v>0</v>
      </c>
      <c r="BD68" s="976">
        <f t="shared" ca="1" si="179"/>
        <v>0</v>
      </c>
      <c r="BE68" s="976">
        <f t="shared" ca="1" si="179"/>
        <v>0</v>
      </c>
      <c r="BF68" s="976">
        <f ca="1">SUM(AM68:BE68)</f>
        <v>0</v>
      </c>
      <c r="BH68" s="990">
        <f ca="1">SUM(BH65:BH67)</f>
        <v>0</v>
      </c>
      <c r="BI68" s="990">
        <f ca="1">SUM(BI65:BI67)</f>
        <v>0</v>
      </c>
      <c r="BJ68" s="990">
        <f ca="1">SUM(BH68:BI68)</f>
        <v>0</v>
      </c>
      <c r="BL68" s="515">
        <f t="shared" ca="1" si="175"/>
        <v>0</v>
      </c>
      <c r="BM68" s="515"/>
      <c r="BN68" s="840"/>
      <c r="BO68" s="1482">
        <f ca="1">SUM(BO65:BO67)</f>
        <v>0</v>
      </c>
      <c r="BP68" s="1482">
        <f t="shared" ref="BP68:DF68" ca="1" si="180">SUM(BP65:BP67)</f>
        <v>0</v>
      </c>
      <c r="BQ68" s="1482">
        <f t="shared" ca="1" si="180"/>
        <v>0</v>
      </c>
      <c r="BR68" s="1482">
        <f t="shared" ca="1" si="180"/>
        <v>0</v>
      </c>
      <c r="BS68" s="1482">
        <f t="shared" ca="1" si="180"/>
        <v>0</v>
      </c>
      <c r="BT68" s="1482">
        <f t="shared" ca="1" si="180"/>
        <v>0</v>
      </c>
      <c r="BU68" s="1482">
        <f t="shared" ca="1" si="180"/>
        <v>0</v>
      </c>
      <c r="BV68" s="1482">
        <f t="shared" ca="1" si="180"/>
        <v>0</v>
      </c>
      <c r="BW68" s="1482">
        <f t="shared" ca="1" si="180"/>
        <v>0</v>
      </c>
      <c r="BX68" s="1482">
        <f t="shared" ca="1" si="180"/>
        <v>0</v>
      </c>
      <c r="BY68" s="1482">
        <f t="shared" ca="1" si="180"/>
        <v>0</v>
      </c>
      <c r="BZ68" s="1482">
        <f t="shared" ca="1" si="180"/>
        <v>0</v>
      </c>
      <c r="CA68" s="1482">
        <f t="shared" ca="1" si="180"/>
        <v>0</v>
      </c>
      <c r="CB68" s="1482">
        <f t="shared" ca="1" si="180"/>
        <v>0</v>
      </c>
      <c r="CC68" s="1482">
        <f t="shared" ca="1" si="180"/>
        <v>0</v>
      </c>
      <c r="CD68" s="1482">
        <f t="shared" ca="1" si="180"/>
        <v>0</v>
      </c>
      <c r="CE68" s="1482">
        <f t="shared" ca="1" si="180"/>
        <v>0</v>
      </c>
      <c r="CF68" s="1482">
        <f t="shared" ca="1" si="180"/>
        <v>0</v>
      </c>
      <c r="CG68" s="1482">
        <f t="shared" ca="1" si="180"/>
        <v>0</v>
      </c>
      <c r="CH68" s="1482">
        <f t="shared" ca="1" si="180"/>
        <v>0</v>
      </c>
      <c r="CI68" s="1482">
        <f t="shared" ca="1" si="180"/>
        <v>0</v>
      </c>
      <c r="CJ68" s="1482">
        <f t="shared" ca="1" si="180"/>
        <v>0</v>
      </c>
      <c r="CK68" s="1482">
        <f t="shared" ca="1" si="180"/>
        <v>0</v>
      </c>
      <c r="CL68" s="1482">
        <f t="shared" ca="1" si="180"/>
        <v>0</v>
      </c>
      <c r="CM68" s="1482">
        <f t="shared" ca="1" si="180"/>
        <v>0</v>
      </c>
      <c r="CN68" s="1482">
        <f t="shared" ca="1" si="180"/>
        <v>0</v>
      </c>
      <c r="CO68" s="1482">
        <f t="shared" ca="1" si="180"/>
        <v>0</v>
      </c>
      <c r="CP68" s="1482">
        <f t="shared" ca="1" si="180"/>
        <v>0</v>
      </c>
      <c r="CQ68" s="1482">
        <f t="shared" ca="1" si="180"/>
        <v>0</v>
      </c>
      <c r="CR68" s="1482">
        <f t="shared" ca="1" si="180"/>
        <v>0</v>
      </c>
      <c r="CS68" s="1482">
        <f t="shared" ca="1" si="180"/>
        <v>0</v>
      </c>
      <c r="CT68" s="1482">
        <f t="shared" ca="1" si="180"/>
        <v>0</v>
      </c>
      <c r="CU68" s="1482">
        <f t="shared" ca="1" si="180"/>
        <v>0</v>
      </c>
      <c r="CV68" s="1482">
        <f t="shared" ca="1" si="180"/>
        <v>0</v>
      </c>
      <c r="CW68" s="1482">
        <f t="shared" ca="1" si="180"/>
        <v>0</v>
      </c>
      <c r="CX68" s="1482">
        <f t="shared" ca="1" si="180"/>
        <v>0</v>
      </c>
      <c r="CY68" s="1482">
        <f t="shared" ca="1" si="180"/>
        <v>0</v>
      </c>
      <c r="CZ68" s="1482">
        <f t="shared" ca="1" si="180"/>
        <v>0</v>
      </c>
      <c r="DA68" s="1482">
        <f t="shared" ca="1" si="180"/>
        <v>0</v>
      </c>
      <c r="DB68" s="1482">
        <f t="shared" ca="1" si="180"/>
        <v>0</v>
      </c>
      <c r="DC68" s="1482">
        <f t="shared" ca="1" si="180"/>
        <v>0</v>
      </c>
      <c r="DD68" s="1482">
        <f t="shared" ca="1" si="180"/>
        <v>0</v>
      </c>
      <c r="DE68" s="1482">
        <f t="shared" ca="1" si="180"/>
        <v>0</v>
      </c>
      <c r="DF68" s="1482">
        <f t="shared" ca="1" si="180"/>
        <v>0</v>
      </c>
      <c r="DH68" s="838">
        <f t="shared" ca="1" si="123"/>
        <v>0</v>
      </c>
    </row>
    <row r="69" spans="1:112" s="743" customFormat="1" ht="12.75" hidden="1" customHeight="1" outlineLevel="1">
      <c r="A69" s="22"/>
      <c r="B69" s="22"/>
      <c r="C69" s="751"/>
      <c r="D69" s="512"/>
      <c r="E69" s="512"/>
      <c r="G69" s="958"/>
      <c r="H69" s="958"/>
      <c r="I69" s="958"/>
      <c r="J69" s="958"/>
      <c r="K69" s="960"/>
      <c r="L69" s="958"/>
      <c r="M69" s="958"/>
      <c r="N69" s="958"/>
      <c r="O69" s="958"/>
      <c r="P69" s="958"/>
      <c r="Q69" s="958"/>
      <c r="S69" s="970"/>
      <c r="T69" s="970"/>
      <c r="U69" s="970"/>
      <c r="V69" s="970"/>
      <c r="W69" s="970"/>
      <c r="X69" s="970"/>
      <c r="Y69" s="970"/>
      <c r="Z69" s="970"/>
      <c r="AA69" s="970"/>
      <c r="AB69" s="970"/>
      <c r="AC69" s="970"/>
      <c r="AD69" s="970"/>
      <c r="AE69" s="970"/>
      <c r="AF69" s="970"/>
      <c r="AG69" s="970"/>
      <c r="AH69" s="970"/>
      <c r="AI69" s="970"/>
      <c r="AJ69" s="970"/>
      <c r="AK69" s="970"/>
      <c r="AM69" s="976"/>
      <c r="AN69" s="976"/>
      <c r="AO69" s="976"/>
      <c r="AP69" s="976"/>
      <c r="AQ69" s="976"/>
      <c r="AR69" s="976"/>
      <c r="AS69" s="976"/>
      <c r="AT69" s="976"/>
      <c r="AU69" s="976"/>
      <c r="AV69" s="976"/>
      <c r="AW69" s="976"/>
      <c r="AX69" s="976"/>
      <c r="AY69" s="976"/>
      <c r="AZ69" s="976"/>
      <c r="BA69" s="976"/>
      <c r="BB69" s="976"/>
      <c r="BC69" s="976"/>
      <c r="BD69" s="976"/>
      <c r="BE69" s="976"/>
      <c r="BF69" s="976"/>
      <c r="BH69" s="990"/>
      <c r="BI69" s="990"/>
      <c r="BJ69" s="990"/>
      <c r="BL69" s="515">
        <f t="shared" si="175"/>
        <v>0</v>
      </c>
      <c r="BM69" s="515"/>
      <c r="BN69" s="22"/>
      <c r="BO69" s="1482"/>
      <c r="BP69" s="1482"/>
      <c r="BQ69" s="1482"/>
      <c r="BR69" s="1482"/>
      <c r="BS69" s="1482"/>
      <c r="BT69" s="1482"/>
      <c r="BU69" s="1482"/>
      <c r="BV69" s="1482"/>
      <c r="BW69" s="1482"/>
      <c r="BX69" s="1482"/>
      <c r="BY69" s="1482"/>
      <c r="BZ69" s="1482"/>
      <c r="CA69" s="1482"/>
      <c r="CB69" s="1482"/>
      <c r="CC69" s="1482"/>
      <c r="CD69" s="1482"/>
      <c r="CE69" s="1482"/>
      <c r="CF69" s="1482"/>
      <c r="CG69" s="1482"/>
      <c r="CH69" s="1482"/>
      <c r="CI69" s="1482"/>
      <c r="CJ69" s="1482"/>
      <c r="CK69" s="1482"/>
      <c r="CL69" s="1482"/>
      <c r="CM69" s="1482"/>
      <c r="CN69" s="1482"/>
      <c r="CO69" s="1482"/>
      <c r="CP69" s="1482"/>
      <c r="CQ69" s="1482"/>
      <c r="CR69" s="1482"/>
      <c r="CS69" s="1482"/>
      <c r="CT69" s="1482"/>
      <c r="CU69" s="1482"/>
      <c r="CV69" s="1482"/>
      <c r="CW69" s="1482"/>
      <c r="CX69" s="1482"/>
      <c r="CY69" s="1482"/>
      <c r="CZ69" s="1482"/>
      <c r="DA69" s="1482"/>
      <c r="DB69" s="1482"/>
      <c r="DC69" s="1482"/>
      <c r="DD69" s="1482"/>
      <c r="DE69" s="1482"/>
      <c r="DF69" s="1482"/>
      <c r="DH69" s="838">
        <f t="shared" si="123"/>
        <v>0</v>
      </c>
    </row>
    <row r="70" spans="1:112" s="1491" customFormat="1" ht="12.75" hidden="1" customHeight="1" outlineLevel="1">
      <c r="C70" s="1534" t="s">
        <v>1718</v>
      </c>
      <c r="D70" s="1535" t="s">
        <v>1340</v>
      </c>
      <c r="E70" s="1535"/>
      <c r="F70" s="1957"/>
      <c r="G70" s="1070"/>
      <c r="H70" s="1070"/>
      <c r="I70" s="1070"/>
      <c r="J70" s="1070"/>
      <c r="K70" s="1071"/>
      <c r="L70" s="1070"/>
      <c r="M70" s="1070"/>
      <c r="N70" s="1070"/>
      <c r="O70" s="1070"/>
      <c r="P70" s="1070"/>
      <c r="Q70" s="1070"/>
      <c r="R70" s="1957"/>
      <c r="S70" s="1072"/>
      <c r="T70" s="1072"/>
      <c r="U70" s="1072"/>
      <c r="V70" s="1072"/>
      <c r="W70" s="1072"/>
      <c r="X70" s="1072"/>
      <c r="Y70" s="1072"/>
      <c r="Z70" s="1072"/>
      <c r="AA70" s="1072"/>
      <c r="AB70" s="1072">
        <f ca="1">AB$40+AB$46+AB$51+AB$99+AB$55+AB$63+AB$68</f>
        <v>-9.1268154005470734</v>
      </c>
      <c r="AC70" s="1072"/>
      <c r="AD70" s="1072"/>
      <c r="AE70" s="1072"/>
      <c r="AF70" s="1072"/>
      <c r="AG70" s="1072"/>
      <c r="AH70" s="1072"/>
      <c r="AI70" s="1072"/>
      <c r="AJ70" s="1072"/>
      <c r="AK70" s="1072"/>
      <c r="AL70" s="1957"/>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957"/>
      <c r="BH70" s="1074"/>
      <c r="BI70" s="1074"/>
      <c r="BJ70" s="1074">
        <f>SUM(BH70:BI70)</f>
        <v>0</v>
      </c>
      <c r="BK70" s="1957"/>
      <c r="BL70" s="1536">
        <f t="shared" si="175"/>
        <v>0</v>
      </c>
      <c r="BM70" s="1536"/>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1963"/>
      <c r="CO70" s="1963"/>
      <c r="CP70" s="1963"/>
      <c r="CQ70" s="1963"/>
      <c r="CR70" s="1963"/>
      <c r="CS70" s="1963"/>
      <c r="CT70" s="1963"/>
      <c r="CU70" s="1963"/>
      <c r="CV70" s="1963"/>
      <c r="CW70" s="1963"/>
      <c r="CX70" s="1963"/>
      <c r="CY70" s="1963"/>
      <c r="CZ70" s="1963"/>
      <c r="DA70" s="1963"/>
      <c r="DB70" s="1963"/>
      <c r="DC70" s="1963"/>
      <c r="DD70" s="1963"/>
      <c r="DE70" s="1963"/>
      <c r="DF70" s="1963"/>
      <c r="DH70" s="1962">
        <f t="shared" si="123"/>
        <v>0</v>
      </c>
    </row>
    <row r="71" spans="1:112" s="1484" customFormat="1" ht="12.75" hidden="1" customHeight="1" outlineLevel="1">
      <c r="C71" s="746" t="s">
        <v>1338</v>
      </c>
      <c r="D71" s="1010" t="str">
        <f>INDEX(Modules[Module], MATCH($C71, Modules[Code], 0))</f>
        <v>District heating effective demand</v>
      </c>
      <c r="E71" s="1010"/>
      <c r="F71" s="743"/>
      <c r="G71" s="1022">
        <f t="shared" ref="G71:P71" ca="1" si="181">IFERROR(INDEX(INDIRECT($C71&amp;".Outputs["&amp;this.Year&amp;"]"), MATCH(G$5, INDIRECT($C71&amp;".Outputs[Vector]"), 0)), 0)</f>
        <v>0</v>
      </c>
      <c r="H71" s="1022">
        <f t="shared" ca="1" si="181"/>
        <v>0</v>
      </c>
      <c r="I71" s="1022">
        <f t="shared" ca="1" si="181"/>
        <v>0</v>
      </c>
      <c r="J71" s="1022">
        <f t="shared" ca="1" si="181"/>
        <v>0</v>
      </c>
      <c r="K71" s="1022">
        <f t="shared" ca="1" si="181"/>
        <v>0</v>
      </c>
      <c r="L71" s="1022">
        <f t="shared" ca="1" si="181"/>
        <v>0</v>
      </c>
      <c r="M71" s="1022">
        <f t="shared" ca="1" si="181"/>
        <v>0</v>
      </c>
      <c r="N71" s="1022">
        <f t="shared" ca="1" si="181"/>
        <v>0</v>
      </c>
      <c r="O71" s="1022">
        <f t="shared" ca="1" si="181"/>
        <v>0</v>
      </c>
      <c r="P71" s="1022">
        <f t="shared" ca="1" si="181"/>
        <v>0</v>
      </c>
      <c r="Q71" s="1020">
        <f ca="1">SUM(G71:P71)</f>
        <v>0</v>
      </c>
      <c r="R71" s="743"/>
      <c r="S71" s="1031">
        <f t="shared" ref="S71:BE71" ca="1" si="182">IFERROR(INDEX(INDIRECT($C71&amp;".Outputs["&amp;this.Year&amp;"]"), MATCH(S$5, INDIRECT($C71&amp;".Outputs[Vector]"), 0)), 0)</f>
        <v>0</v>
      </c>
      <c r="T71" s="1031">
        <f t="shared" ca="1" si="182"/>
        <v>-1.3038307715067248</v>
      </c>
      <c r="U71" s="1031">
        <f t="shared" ca="1" si="182"/>
        <v>0</v>
      </c>
      <c r="V71" s="1031">
        <f t="shared" ca="1" si="182"/>
        <v>0</v>
      </c>
      <c r="W71" s="1031">
        <f t="shared" ca="1" si="182"/>
        <v>0</v>
      </c>
      <c r="X71" s="1031">
        <f ca="1">IFERROR(INDEX(INDIRECT($C71&amp;".Outputs["&amp;this.Year&amp;"]"), MATCH(X$5, INDIRECT($C71&amp;".Outputs[Vector]"), 0)), 0)</f>
        <v>0</v>
      </c>
      <c r="Y71" s="1031">
        <f ca="1">IFERROR(INDEX(INDIRECT($C71&amp;".Outputs["&amp;this.Year&amp;"]"), MATCH(Y$5, INDIRECT($C71&amp;".Outputs[Vector]"), 0)), 0)</f>
        <v>0</v>
      </c>
      <c r="Z71" s="1031">
        <f ca="1">IFERROR(INDEX(INDIRECT($C71&amp;".Outputs["&amp;this.Year&amp;"]"), MATCH(Z$5, INDIRECT($C71&amp;".Outputs[Vector]"), 0)), 0)</f>
        <v>0</v>
      </c>
      <c r="AA71" s="1031">
        <f t="shared" ca="1" si="182"/>
        <v>0</v>
      </c>
      <c r="AB71" s="1031">
        <f t="shared" ca="1" si="182"/>
        <v>9.1268154005470734</v>
      </c>
      <c r="AC71" s="1031">
        <f t="shared" ca="1" si="182"/>
        <v>0</v>
      </c>
      <c r="AD71" s="1031">
        <f t="shared" ca="1" si="182"/>
        <v>0</v>
      </c>
      <c r="AE71" s="1031">
        <f t="shared" ca="1" si="182"/>
        <v>0</v>
      </c>
      <c r="AF71" s="1031">
        <f t="shared" ca="1" si="182"/>
        <v>0</v>
      </c>
      <c r="AG71" s="1031">
        <f t="shared" ca="1" si="182"/>
        <v>0</v>
      </c>
      <c r="AH71" s="1031">
        <f t="shared" ca="1" si="182"/>
        <v>0</v>
      </c>
      <c r="AI71" s="1031">
        <f t="shared" ca="1" si="182"/>
        <v>0</v>
      </c>
      <c r="AJ71" s="1031">
        <f t="shared" ca="1" si="182"/>
        <v>0</v>
      </c>
      <c r="AK71" s="1030">
        <f ca="1">SUM(S71:AJ71)</f>
        <v>7.8229846290403486</v>
      </c>
      <c r="AL71" s="743"/>
      <c r="AM71" s="1042">
        <f t="shared" ref="AM71:AU71" ca="1" si="183">IFERROR(INDEX(INDIRECT($C71&amp;".Outputs["&amp;this.Year&amp;"]"), MATCH(AM$5, INDIRECT($C71&amp;".Outputs[Vector]"), 0)), 0)</f>
        <v>0</v>
      </c>
      <c r="AN71" s="1042">
        <f t="shared" ca="1" si="183"/>
        <v>0</v>
      </c>
      <c r="AO71" s="1042">
        <f t="shared" ca="1" si="183"/>
        <v>0</v>
      </c>
      <c r="AP71" s="1042">
        <f t="shared" ca="1" si="183"/>
        <v>0</v>
      </c>
      <c r="AQ71" s="1042">
        <f t="shared" ca="1" si="183"/>
        <v>0</v>
      </c>
      <c r="AR71" s="1042">
        <f t="shared" ca="1" si="183"/>
        <v>0</v>
      </c>
      <c r="AS71" s="1042">
        <f t="shared" ca="1" si="183"/>
        <v>0</v>
      </c>
      <c r="AT71" s="1042">
        <f t="shared" ca="1" si="183"/>
        <v>0</v>
      </c>
      <c r="AU71" s="1042">
        <f t="shared" ca="1" si="183"/>
        <v>0</v>
      </c>
      <c r="AV71" s="1042">
        <f t="shared" ca="1" si="182"/>
        <v>0</v>
      </c>
      <c r="AW71" s="1042">
        <f t="shared" ca="1" si="182"/>
        <v>0</v>
      </c>
      <c r="AX71" s="1042">
        <f t="shared" ca="1" si="182"/>
        <v>0</v>
      </c>
      <c r="AY71" s="1042">
        <f t="shared" ca="1" si="182"/>
        <v>0</v>
      </c>
      <c r="AZ71" s="1042">
        <f t="shared" ca="1" si="182"/>
        <v>0</v>
      </c>
      <c r="BA71" s="1042">
        <f t="shared" ca="1" si="182"/>
        <v>0</v>
      </c>
      <c r="BB71" s="1042">
        <f t="shared" ca="1" si="182"/>
        <v>0</v>
      </c>
      <c r="BC71" s="1042">
        <f t="shared" ca="1" si="182"/>
        <v>0</v>
      </c>
      <c r="BD71" s="1042">
        <f t="shared" ca="1" si="182"/>
        <v>0</v>
      </c>
      <c r="BE71" s="1042">
        <f t="shared" ca="1" si="182"/>
        <v>0</v>
      </c>
      <c r="BF71" s="1012">
        <f ca="1">SUM(AM71:BE71)</f>
        <v>0</v>
      </c>
      <c r="BG71" s="743"/>
      <c r="BH71" s="1036">
        <f ca="1">IFERROR(INDEX(INDIRECT($C71&amp;".Outputs["&amp;this.Year&amp;"]"), MATCH(BH$5, INDIRECT($C71&amp;".Outputs[Vector]"), 0)), 0)</f>
        <v>-7.8229846290403486</v>
      </c>
      <c r="BI71" s="1036">
        <f ca="1">IFERROR(INDEX(INDIRECT($C71&amp;".Outputs["&amp;this.Year&amp;"]"), MATCH(BI$5, INDIRECT($C71&amp;".Outputs[Vector]"), 0)), 0)</f>
        <v>0</v>
      </c>
      <c r="BJ71" s="1035">
        <f ca="1">SUM(BH71:BI71)</f>
        <v>-7.8229846290403486</v>
      </c>
      <c r="BK71" s="743"/>
      <c r="BL71" s="814">
        <f ca="1">Q71+AK71+BF71+BJ71</f>
        <v>0</v>
      </c>
      <c r="BM71" s="814"/>
      <c r="BN71" s="840"/>
      <c r="BO71" s="1485">
        <f t="shared" ref="BO71:DF71" ca="1" si="184">IFERROR(SUMIFS(INDIRECT($C71&amp;".Emissions["&amp;this.Year&amp;"]"), INDIRECT($C71&amp;".Emissions[GHG]"), BO$6, INDIRECT($C71&amp;".Emissions[IPCC Sector]"), BO$5),0)</f>
        <v>0</v>
      </c>
      <c r="BP71" s="1486">
        <f t="shared" ca="1" si="184"/>
        <v>0</v>
      </c>
      <c r="BQ71" s="1486">
        <f t="shared" ca="1" si="184"/>
        <v>0</v>
      </c>
      <c r="BR71" s="1486">
        <f t="shared" ca="1" si="184"/>
        <v>0</v>
      </c>
      <c r="BS71" s="1486">
        <f t="shared" ca="1" si="184"/>
        <v>0</v>
      </c>
      <c r="BT71" s="1486">
        <f t="shared" ca="1" si="184"/>
        <v>0</v>
      </c>
      <c r="BU71" s="1486">
        <f t="shared" ca="1" si="184"/>
        <v>0</v>
      </c>
      <c r="BV71" s="1486">
        <f t="shared" ca="1" si="184"/>
        <v>0</v>
      </c>
      <c r="BW71" s="1486">
        <f t="shared" ca="1" si="184"/>
        <v>0</v>
      </c>
      <c r="BX71" s="1486">
        <f t="shared" ca="1" si="184"/>
        <v>0</v>
      </c>
      <c r="BY71" s="1486">
        <f t="shared" ca="1" si="184"/>
        <v>0</v>
      </c>
      <c r="BZ71" s="1486">
        <f t="shared" ca="1" si="184"/>
        <v>0</v>
      </c>
      <c r="CA71" s="1486">
        <f t="shared" ca="1" si="184"/>
        <v>0</v>
      </c>
      <c r="CB71" s="1486">
        <f t="shared" ca="1" si="184"/>
        <v>0</v>
      </c>
      <c r="CC71" s="1486">
        <f t="shared" ca="1" si="184"/>
        <v>0</v>
      </c>
      <c r="CD71" s="1486">
        <f t="shared" ca="1" si="184"/>
        <v>0</v>
      </c>
      <c r="CE71" s="1486">
        <f t="shared" ca="1" si="184"/>
        <v>0</v>
      </c>
      <c r="CF71" s="1486">
        <f t="shared" ca="1" si="184"/>
        <v>0</v>
      </c>
      <c r="CG71" s="1486">
        <f t="shared" ca="1" si="184"/>
        <v>0</v>
      </c>
      <c r="CH71" s="1486">
        <f t="shared" ca="1" si="184"/>
        <v>0</v>
      </c>
      <c r="CI71" s="1486">
        <f t="shared" ca="1" si="184"/>
        <v>0</v>
      </c>
      <c r="CJ71" s="1486">
        <f t="shared" ca="1" si="184"/>
        <v>0</v>
      </c>
      <c r="CK71" s="1486">
        <f t="shared" ca="1" si="184"/>
        <v>0</v>
      </c>
      <c r="CL71" s="1486">
        <f t="shared" ca="1" si="184"/>
        <v>0</v>
      </c>
      <c r="CM71" s="1486">
        <f t="shared" ca="1" si="184"/>
        <v>0</v>
      </c>
      <c r="CN71" s="1486">
        <f t="shared" ca="1" si="184"/>
        <v>0</v>
      </c>
      <c r="CO71" s="1486">
        <f t="shared" ca="1" si="184"/>
        <v>0</v>
      </c>
      <c r="CP71" s="1486">
        <f t="shared" ca="1" si="184"/>
        <v>0</v>
      </c>
      <c r="CQ71" s="1486">
        <f t="shared" ca="1" si="184"/>
        <v>0</v>
      </c>
      <c r="CR71" s="1486">
        <f t="shared" ca="1" si="184"/>
        <v>0</v>
      </c>
      <c r="CS71" s="1486">
        <f t="shared" ca="1" si="184"/>
        <v>0</v>
      </c>
      <c r="CT71" s="1486">
        <f t="shared" ca="1" si="184"/>
        <v>0</v>
      </c>
      <c r="CU71" s="1486">
        <f t="shared" ca="1" si="184"/>
        <v>0</v>
      </c>
      <c r="CV71" s="1486">
        <f t="shared" ca="1" si="184"/>
        <v>0</v>
      </c>
      <c r="CW71" s="1486">
        <f t="shared" ca="1" si="184"/>
        <v>0</v>
      </c>
      <c r="CX71" s="1486">
        <f t="shared" ca="1" si="184"/>
        <v>0</v>
      </c>
      <c r="CY71" s="1486">
        <f t="shared" ca="1" si="184"/>
        <v>0</v>
      </c>
      <c r="CZ71" s="1486">
        <f t="shared" ca="1" si="184"/>
        <v>0</v>
      </c>
      <c r="DA71" s="1486">
        <f t="shared" ca="1" si="184"/>
        <v>0</v>
      </c>
      <c r="DB71" s="1486">
        <f t="shared" ca="1" si="184"/>
        <v>0</v>
      </c>
      <c r="DC71" s="1486">
        <f t="shared" ca="1" si="184"/>
        <v>0</v>
      </c>
      <c r="DD71" s="1486">
        <f t="shared" ca="1" si="184"/>
        <v>0</v>
      </c>
      <c r="DE71" s="1486">
        <f t="shared" ca="1" si="184"/>
        <v>0</v>
      </c>
      <c r="DF71" s="1486">
        <f t="shared" ca="1" si="184"/>
        <v>0</v>
      </c>
      <c r="DH71" s="838">
        <f t="shared" ca="1" si="123"/>
        <v>0</v>
      </c>
    </row>
    <row r="72" spans="1:112" s="743" customFormat="1" ht="15.75" collapsed="1">
      <c r="A72" s="22"/>
      <c r="B72" s="753"/>
      <c r="C72" s="744" t="s">
        <v>1336</v>
      </c>
      <c r="D72" s="517" t="str">
        <f>INDEX(Workstreams[Workstream], MATCH($C72, Workstreams[Code], 0))</f>
        <v>District heating</v>
      </c>
      <c r="E72" s="512"/>
      <c r="G72" s="1021">
        <f ca="1">G71</f>
        <v>0</v>
      </c>
      <c r="H72" s="1021">
        <f t="shared" ref="H72:P72" ca="1" si="185">H71</f>
        <v>0</v>
      </c>
      <c r="I72" s="1021">
        <f t="shared" ca="1" si="185"/>
        <v>0</v>
      </c>
      <c r="J72" s="1021">
        <f t="shared" ca="1" si="185"/>
        <v>0</v>
      </c>
      <c r="K72" s="1021">
        <f t="shared" ca="1" si="185"/>
        <v>0</v>
      </c>
      <c r="L72" s="1021">
        <f t="shared" ca="1" si="185"/>
        <v>0</v>
      </c>
      <c r="M72" s="1021">
        <f t="shared" ca="1" si="185"/>
        <v>0</v>
      </c>
      <c r="N72" s="1021">
        <f t="shared" ca="1" si="185"/>
        <v>0</v>
      </c>
      <c r="O72" s="1021">
        <f t="shared" ca="1" si="185"/>
        <v>0</v>
      </c>
      <c r="P72" s="1021">
        <f t="shared" ca="1" si="185"/>
        <v>0</v>
      </c>
      <c r="Q72" s="1021">
        <f ca="1">SUM(G72:P72)</f>
        <v>0</v>
      </c>
      <c r="S72" s="970">
        <f t="shared" ref="S72:AJ72" ca="1" si="186">S71</f>
        <v>0</v>
      </c>
      <c r="T72" s="970">
        <f t="shared" ca="1" si="186"/>
        <v>-1.3038307715067248</v>
      </c>
      <c r="U72" s="970">
        <f t="shared" ca="1" si="186"/>
        <v>0</v>
      </c>
      <c r="V72" s="970">
        <f t="shared" ca="1" si="186"/>
        <v>0</v>
      </c>
      <c r="W72" s="970">
        <f t="shared" ca="1" si="186"/>
        <v>0</v>
      </c>
      <c r="X72" s="970">
        <f t="shared" ca="1" si="186"/>
        <v>0</v>
      </c>
      <c r="Y72" s="970">
        <f t="shared" ca="1" si="186"/>
        <v>0</v>
      </c>
      <c r="Z72" s="970">
        <f t="shared" ca="1" si="186"/>
        <v>0</v>
      </c>
      <c r="AA72" s="970">
        <f t="shared" ca="1" si="186"/>
        <v>0</v>
      </c>
      <c r="AB72" s="970">
        <f t="shared" ca="1" si="186"/>
        <v>9.1268154005470734</v>
      </c>
      <c r="AC72" s="970">
        <f t="shared" ca="1" si="186"/>
        <v>0</v>
      </c>
      <c r="AD72" s="970">
        <f ca="1">AD71</f>
        <v>0</v>
      </c>
      <c r="AE72" s="970">
        <f ca="1">AE71</f>
        <v>0</v>
      </c>
      <c r="AF72" s="970">
        <f t="shared" ca="1" si="186"/>
        <v>0</v>
      </c>
      <c r="AG72" s="970">
        <f t="shared" ca="1" si="186"/>
        <v>0</v>
      </c>
      <c r="AH72" s="970">
        <f ca="1">AH71</f>
        <v>0</v>
      </c>
      <c r="AI72" s="970">
        <f ca="1">AI71</f>
        <v>0</v>
      </c>
      <c r="AJ72" s="970">
        <f t="shared" ca="1" si="186"/>
        <v>0</v>
      </c>
      <c r="AK72" s="970">
        <f ca="1">SUM(S72:AJ72)</f>
        <v>7.8229846290403486</v>
      </c>
      <c r="AM72" s="976">
        <f ca="1">AM71</f>
        <v>0</v>
      </c>
      <c r="AN72" s="976">
        <f t="shared" ref="AN72:BE72" ca="1" si="187">AN71</f>
        <v>0</v>
      </c>
      <c r="AO72" s="976">
        <f t="shared" ca="1" si="187"/>
        <v>0</v>
      </c>
      <c r="AP72" s="976">
        <f t="shared" ca="1" si="187"/>
        <v>0</v>
      </c>
      <c r="AQ72" s="976">
        <f t="shared" ca="1" si="187"/>
        <v>0</v>
      </c>
      <c r="AR72" s="976">
        <f t="shared" ca="1" si="187"/>
        <v>0</v>
      </c>
      <c r="AS72" s="976">
        <f t="shared" ca="1" si="187"/>
        <v>0</v>
      </c>
      <c r="AT72" s="976">
        <f t="shared" ca="1" si="187"/>
        <v>0</v>
      </c>
      <c r="AU72" s="976">
        <f t="shared" ca="1" si="187"/>
        <v>0</v>
      </c>
      <c r="AV72" s="976">
        <f t="shared" ca="1" si="187"/>
        <v>0</v>
      </c>
      <c r="AW72" s="976">
        <f t="shared" ca="1" si="187"/>
        <v>0</v>
      </c>
      <c r="AX72" s="976">
        <f t="shared" ca="1" si="187"/>
        <v>0</v>
      </c>
      <c r="AY72" s="976">
        <f t="shared" ca="1" si="187"/>
        <v>0</v>
      </c>
      <c r="AZ72" s="976">
        <f t="shared" ca="1" si="187"/>
        <v>0</v>
      </c>
      <c r="BA72" s="976">
        <f t="shared" ca="1" si="187"/>
        <v>0</v>
      </c>
      <c r="BB72" s="976">
        <f t="shared" ca="1" si="187"/>
        <v>0</v>
      </c>
      <c r="BC72" s="976">
        <f t="shared" ca="1" si="187"/>
        <v>0</v>
      </c>
      <c r="BD72" s="976">
        <f t="shared" ca="1" si="187"/>
        <v>0</v>
      </c>
      <c r="BE72" s="976">
        <f t="shared" ca="1" si="187"/>
        <v>0</v>
      </c>
      <c r="BF72" s="976">
        <f ca="1">SUM(AM72:BE72)</f>
        <v>0</v>
      </c>
      <c r="BH72" s="990">
        <f ca="1">BH71</f>
        <v>-7.8229846290403486</v>
      </c>
      <c r="BI72" s="990">
        <f ca="1">BI71</f>
        <v>0</v>
      </c>
      <c r="BJ72" s="990">
        <f ca="1">SUM(BH72:BI72)</f>
        <v>-7.8229846290403486</v>
      </c>
      <c r="BL72" s="515">
        <f ca="1">Q72+AK72+BF72+BJ72</f>
        <v>0</v>
      </c>
      <c r="BM72" s="515"/>
      <c r="BN72" s="840"/>
      <c r="BO72" s="1482">
        <f t="shared" ref="BO72:DF72" ca="1" si="188">BO71</f>
        <v>0</v>
      </c>
      <c r="BP72" s="1482">
        <f t="shared" ca="1" si="188"/>
        <v>0</v>
      </c>
      <c r="BQ72" s="1482">
        <f t="shared" ca="1" si="188"/>
        <v>0</v>
      </c>
      <c r="BR72" s="1482">
        <f t="shared" ca="1" si="188"/>
        <v>0</v>
      </c>
      <c r="BS72" s="1482">
        <f t="shared" ca="1" si="188"/>
        <v>0</v>
      </c>
      <c r="BT72" s="1482">
        <f t="shared" ca="1" si="188"/>
        <v>0</v>
      </c>
      <c r="BU72" s="1482">
        <f t="shared" ca="1" si="188"/>
        <v>0</v>
      </c>
      <c r="BV72" s="1482">
        <f t="shared" ca="1" si="188"/>
        <v>0</v>
      </c>
      <c r="BW72" s="1482">
        <f t="shared" ca="1" si="188"/>
        <v>0</v>
      </c>
      <c r="BX72" s="1482">
        <f t="shared" ca="1" si="188"/>
        <v>0</v>
      </c>
      <c r="BY72" s="1482">
        <f t="shared" ca="1" si="188"/>
        <v>0</v>
      </c>
      <c r="BZ72" s="1482">
        <f t="shared" ca="1" si="188"/>
        <v>0</v>
      </c>
      <c r="CA72" s="1482">
        <f t="shared" ca="1" si="188"/>
        <v>0</v>
      </c>
      <c r="CB72" s="1482">
        <f t="shared" ca="1" si="188"/>
        <v>0</v>
      </c>
      <c r="CC72" s="1482">
        <f t="shared" ca="1" si="188"/>
        <v>0</v>
      </c>
      <c r="CD72" s="1482">
        <f t="shared" ca="1" si="188"/>
        <v>0</v>
      </c>
      <c r="CE72" s="1482">
        <f t="shared" ca="1" si="188"/>
        <v>0</v>
      </c>
      <c r="CF72" s="1482">
        <f t="shared" ca="1" si="188"/>
        <v>0</v>
      </c>
      <c r="CG72" s="1482">
        <f t="shared" ca="1" si="188"/>
        <v>0</v>
      </c>
      <c r="CH72" s="1482">
        <f t="shared" ca="1" si="188"/>
        <v>0</v>
      </c>
      <c r="CI72" s="1482">
        <f t="shared" ca="1" si="188"/>
        <v>0</v>
      </c>
      <c r="CJ72" s="1482">
        <f t="shared" ca="1" si="188"/>
        <v>0</v>
      </c>
      <c r="CK72" s="1482">
        <f t="shared" ca="1" si="188"/>
        <v>0</v>
      </c>
      <c r="CL72" s="1482">
        <f t="shared" ca="1" si="188"/>
        <v>0</v>
      </c>
      <c r="CM72" s="1482">
        <f t="shared" ca="1" si="188"/>
        <v>0</v>
      </c>
      <c r="CN72" s="1482">
        <f t="shared" ca="1" si="188"/>
        <v>0</v>
      </c>
      <c r="CO72" s="1482">
        <f t="shared" ca="1" si="188"/>
        <v>0</v>
      </c>
      <c r="CP72" s="1482">
        <f t="shared" ca="1" si="188"/>
        <v>0</v>
      </c>
      <c r="CQ72" s="1482">
        <f t="shared" ca="1" si="188"/>
        <v>0</v>
      </c>
      <c r="CR72" s="1482">
        <f t="shared" ca="1" si="188"/>
        <v>0</v>
      </c>
      <c r="CS72" s="1482">
        <f t="shared" ca="1" si="188"/>
        <v>0</v>
      </c>
      <c r="CT72" s="1482">
        <f t="shared" ca="1" si="188"/>
        <v>0</v>
      </c>
      <c r="CU72" s="1482">
        <f t="shared" ca="1" si="188"/>
        <v>0</v>
      </c>
      <c r="CV72" s="1482">
        <f t="shared" ca="1" si="188"/>
        <v>0</v>
      </c>
      <c r="CW72" s="1482">
        <f t="shared" ca="1" si="188"/>
        <v>0</v>
      </c>
      <c r="CX72" s="1482">
        <f t="shared" ca="1" si="188"/>
        <v>0</v>
      </c>
      <c r="CY72" s="1482">
        <f t="shared" ca="1" si="188"/>
        <v>0</v>
      </c>
      <c r="CZ72" s="1482">
        <f t="shared" ca="1" si="188"/>
        <v>0</v>
      </c>
      <c r="DA72" s="1482">
        <f t="shared" ca="1" si="188"/>
        <v>0</v>
      </c>
      <c r="DB72" s="1482">
        <f t="shared" ca="1" si="188"/>
        <v>0</v>
      </c>
      <c r="DC72" s="1482">
        <f t="shared" ca="1" si="188"/>
        <v>0</v>
      </c>
      <c r="DD72" s="1482">
        <f t="shared" ca="1" si="188"/>
        <v>0</v>
      </c>
      <c r="DE72" s="1482">
        <f t="shared" ca="1" si="188"/>
        <v>0</v>
      </c>
      <c r="DF72" s="1482">
        <f t="shared" ca="1" si="188"/>
        <v>0</v>
      </c>
      <c r="DH72" s="838">
        <f t="shared" ca="1" si="123"/>
        <v>0</v>
      </c>
    </row>
    <row r="73" spans="1:112" s="743" customFormat="1" ht="12.75" hidden="1" customHeight="1" outlineLevel="1">
      <c r="A73" s="22"/>
      <c r="B73" s="22"/>
      <c r="C73" s="751"/>
      <c r="D73" s="512"/>
      <c r="E73" s="512"/>
      <c r="G73" s="958"/>
      <c r="H73" s="958"/>
      <c r="I73" s="958"/>
      <c r="J73" s="958"/>
      <c r="K73" s="960"/>
      <c r="L73" s="958"/>
      <c r="M73" s="958"/>
      <c r="N73" s="958"/>
      <c r="O73" s="958"/>
      <c r="P73" s="958"/>
      <c r="Q73" s="958"/>
      <c r="S73" s="970"/>
      <c r="T73" s="970"/>
      <c r="U73" s="970"/>
      <c r="V73" s="970"/>
      <c r="W73" s="970"/>
      <c r="X73" s="970"/>
      <c r="Y73" s="970"/>
      <c r="Z73" s="970"/>
      <c r="AA73" s="970"/>
      <c r="AB73" s="970"/>
      <c r="AC73" s="970"/>
      <c r="AD73" s="970"/>
      <c r="AE73" s="970"/>
      <c r="AF73" s="970"/>
      <c r="AG73" s="970"/>
      <c r="AH73" s="970"/>
      <c r="AI73" s="970"/>
      <c r="AJ73" s="970"/>
      <c r="AK73" s="970"/>
      <c r="AM73" s="976"/>
      <c r="AN73" s="976"/>
      <c r="AO73" s="976"/>
      <c r="AP73" s="976"/>
      <c r="AQ73" s="976"/>
      <c r="AR73" s="976"/>
      <c r="AS73" s="976"/>
      <c r="AT73" s="976"/>
      <c r="AU73" s="976"/>
      <c r="AV73" s="976"/>
      <c r="AW73" s="976"/>
      <c r="AX73" s="976"/>
      <c r="AY73" s="976"/>
      <c r="AZ73" s="976"/>
      <c r="BA73" s="976"/>
      <c r="BB73" s="976"/>
      <c r="BC73" s="976"/>
      <c r="BD73" s="976"/>
      <c r="BE73" s="976"/>
      <c r="BF73" s="976"/>
      <c r="BH73" s="990"/>
      <c r="BI73" s="990"/>
      <c r="BJ73" s="990"/>
      <c r="BL73" s="515"/>
      <c r="BM73" s="515"/>
      <c r="BN73" s="22"/>
      <c r="BO73" s="1482"/>
      <c r="BP73" s="1482"/>
      <c r="BQ73" s="1482"/>
      <c r="BR73" s="1482"/>
      <c r="BS73" s="1482"/>
      <c r="BT73" s="1482"/>
      <c r="BU73" s="1482"/>
      <c r="BV73" s="1482"/>
      <c r="BW73" s="1482"/>
      <c r="BX73" s="1482"/>
      <c r="BY73" s="1482"/>
      <c r="BZ73" s="1482"/>
      <c r="CA73" s="1482"/>
      <c r="CB73" s="1482"/>
      <c r="CC73" s="1482"/>
      <c r="CD73" s="1482"/>
      <c r="CE73" s="1482"/>
      <c r="CF73" s="1482"/>
      <c r="CG73" s="1482"/>
      <c r="CH73" s="1482"/>
      <c r="CI73" s="1482"/>
      <c r="CJ73" s="1482"/>
      <c r="CK73" s="1482"/>
      <c r="CL73" s="1482"/>
      <c r="CM73" s="1482"/>
      <c r="CN73" s="1482"/>
      <c r="CO73" s="1482"/>
      <c r="CP73" s="1482"/>
      <c r="CQ73" s="1482"/>
      <c r="CR73" s="1482"/>
      <c r="CS73" s="1482"/>
      <c r="CT73" s="1482"/>
      <c r="CU73" s="1482"/>
      <c r="CV73" s="1482"/>
      <c r="CW73" s="1482"/>
      <c r="CX73" s="1482"/>
      <c r="CY73" s="1482"/>
      <c r="CZ73" s="1482"/>
      <c r="DA73" s="1482"/>
      <c r="DB73" s="1482"/>
      <c r="DC73" s="1482"/>
      <c r="DD73" s="1482"/>
      <c r="DE73" s="1482"/>
      <c r="DF73" s="1482"/>
      <c r="DH73" s="838">
        <f t="shared" si="123"/>
        <v>0</v>
      </c>
    </row>
    <row r="74" spans="1:112" s="1488" customFormat="1" ht="12.75" hidden="1" customHeight="1" outlineLevel="1">
      <c r="C74" s="1048" t="s">
        <v>1719</v>
      </c>
      <c r="D74" s="1049" t="s">
        <v>1334</v>
      </c>
      <c r="E74" s="1049"/>
      <c r="F74" s="743"/>
      <c r="G74" s="1050"/>
      <c r="H74" s="1050"/>
      <c r="I74" s="1050"/>
      <c r="J74" s="1050"/>
      <c r="K74" s="1051"/>
      <c r="L74" s="1050"/>
      <c r="M74" s="1050"/>
      <c r="N74" s="1050"/>
      <c r="O74" s="1050"/>
      <c r="P74" s="1050"/>
      <c r="Q74" s="1050"/>
      <c r="R74" s="743"/>
      <c r="S74" s="1052">
        <f ca="1">S$40+S$46+S$51+S$99+S$55+S$93+S$63+S$68+S$72</f>
        <v>-398.92590619421691</v>
      </c>
      <c r="T74" s="1052">
        <f ca="1">T$40+T$46+T$51+T$99+T$55+T$93+T$63+T$68+T$72</f>
        <v>18.091822212974641</v>
      </c>
      <c r="U74" s="1052"/>
      <c r="V74" s="1052"/>
      <c r="W74" s="1052"/>
      <c r="X74" s="1052"/>
      <c r="Y74" s="1052"/>
      <c r="Z74" s="1052"/>
      <c r="AA74" s="1052"/>
      <c r="AB74" s="1052"/>
      <c r="AC74" s="1052"/>
      <c r="AD74" s="1052"/>
      <c r="AE74" s="1052"/>
      <c r="AF74" s="1052"/>
      <c r="AG74" s="1052"/>
      <c r="AH74" s="1052"/>
      <c r="AI74" s="1052"/>
      <c r="AJ74" s="1052"/>
      <c r="AK74" s="1052"/>
      <c r="AL74" s="743"/>
      <c r="AM74" s="1053"/>
      <c r="AN74" s="1053"/>
      <c r="AO74" s="1053"/>
      <c r="AP74" s="1053"/>
      <c r="AQ74" s="1053"/>
      <c r="AR74" s="1053"/>
      <c r="AS74" s="1053"/>
      <c r="AT74" s="1053"/>
      <c r="AU74" s="1053"/>
      <c r="AV74" s="1053"/>
      <c r="AW74" s="1053"/>
      <c r="AX74" s="1053"/>
      <c r="AY74" s="1053"/>
      <c r="AZ74" s="1053"/>
      <c r="BA74" s="1053"/>
      <c r="BB74" s="1053"/>
      <c r="BC74" s="1053"/>
      <c r="BD74" s="1053"/>
      <c r="BE74" s="1053"/>
      <c r="BF74" s="1053"/>
      <c r="BG74" s="743"/>
      <c r="BH74" s="1054"/>
      <c r="BI74" s="1054"/>
      <c r="BJ74" s="1054">
        <f>SUM(BH74:BI74)</f>
        <v>0</v>
      </c>
      <c r="BK74" s="743"/>
      <c r="BL74" s="852">
        <f t="shared" ref="BL74:BL80" si="189">Q74+AK74+BF74+BJ74</f>
        <v>0</v>
      </c>
      <c r="BM74" s="852"/>
      <c r="BO74" s="1490"/>
      <c r="BP74" s="1490"/>
      <c r="BQ74" s="1490"/>
      <c r="BR74" s="1490"/>
      <c r="BS74" s="1490"/>
      <c r="BT74" s="1490"/>
      <c r="BU74" s="1490"/>
      <c r="BV74" s="1490"/>
      <c r="BW74" s="1490"/>
      <c r="BX74" s="1490"/>
      <c r="BY74" s="1490"/>
      <c r="BZ74" s="1490"/>
      <c r="CA74" s="1490"/>
      <c r="CB74" s="1490"/>
      <c r="CC74" s="1490"/>
      <c r="CD74" s="1490"/>
      <c r="CE74" s="1490"/>
      <c r="CF74" s="1490"/>
      <c r="CG74" s="1490"/>
      <c r="CH74" s="1490"/>
      <c r="CI74" s="1490"/>
      <c r="CJ74" s="1490"/>
      <c r="CK74" s="1490"/>
      <c r="CL74" s="1490"/>
      <c r="CM74" s="1490"/>
      <c r="CN74" s="1490"/>
      <c r="CO74" s="1490"/>
      <c r="CP74" s="1490"/>
      <c r="CQ74" s="1490"/>
      <c r="CR74" s="1490"/>
      <c r="CS74" s="1490"/>
      <c r="CT74" s="1490"/>
      <c r="CU74" s="1490"/>
      <c r="CV74" s="1490"/>
      <c r="CW74" s="1490"/>
      <c r="CX74" s="1490"/>
      <c r="CY74" s="1490"/>
      <c r="CZ74" s="1490"/>
      <c r="DA74" s="1490"/>
      <c r="DB74" s="1490"/>
      <c r="DC74" s="1490"/>
      <c r="DD74" s="1490"/>
      <c r="DE74" s="1490"/>
      <c r="DF74" s="1490"/>
      <c r="DH74" s="838">
        <f t="shared" si="123"/>
        <v>0</v>
      </c>
    </row>
    <row r="75" spans="1:112" s="1484" customFormat="1" ht="12.75" hidden="1" customHeight="1" outlineLevel="1">
      <c r="C75" s="746" t="s">
        <v>756</v>
      </c>
      <c r="D75" s="1010" t="str">
        <f>INDEX(Modules[Module], MATCH($C75, Modules[Code], 0))</f>
        <v>Nuclear power</v>
      </c>
      <c r="E75" s="1010"/>
      <c r="F75" s="743"/>
      <c r="G75" s="1022">
        <f t="shared" ref="G75:P75" ca="1" si="190">IFERROR(INDEX(INDIRECT($C75&amp;".Outputs["&amp;this.Year&amp;"]"), MATCH(G$5, INDIRECT($C75&amp;".Outputs[Vector]"), 0)), 0)</f>
        <v>0</v>
      </c>
      <c r="H75" s="1022">
        <f t="shared" ca="1" si="190"/>
        <v>0</v>
      </c>
      <c r="I75" s="1022">
        <f t="shared" ca="1" si="190"/>
        <v>0</v>
      </c>
      <c r="J75" s="1022">
        <f t="shared" ca="1" si="190"/>
        <v>0</v>
      </c>
      <c r="K75" s="1022">
        <f t="shared" ca="1" si="190"/>
        <v>0</v>
      </c>
      <c r="L75" s="1022">
        <f t="shared" ca="1" si="190"/>
        <v>0</v>
      </c>
      <c r="M75" s="1022">
        <f t="shared" ca="1" si="190"/>
        <v>0</v>
      </c>
      <c r="N75" s="1022">
        <f t="shared" ca="1" si="190"/>
        <v>0</v>
      </c>
      <c r="O75" s="1022">
        <f t="shared" ca="1" si="190"/>
        <v>0</v>
      </c>
      <c r="P75" s="1022">
        <f t="shared" ca="1" si="190"/>
        <v>0</v>
      </c>
      <c r="Q75" s="1020">
        <f ca="1">SUM(G75:P75)</f>
        <v>0</v>
      </c>
      <c r="R75" s="743"/>
      <c r="S75" s="1031">
        <f t="shared" ref="S75:BE75" ca="1" si="191">IFERROR(INDEX(INDIRECT($C75&amp;".Outputs["&amp;this.Year&amp;"]"), MATCH(S$5, INDIRECT($C75&amp;".Outputs[Vector]"), 0)), 0)</f>
        <v>0</v>
      </c>
      <c r="T75" s="1031">
        <f t="shared" ca="1" si="191"/>
        <v>8.4153600000000051</v>
      </c>
      <c r="U75" s="1031">
        <f t="shared" ca="1" si="191"/>
        <v>0</v>
      </c>
      <c r="V75" s="1031">
        <f t="shared" ca="1" si="191"/>
        <v>0</v>
      </c>
      <c r="W75" s="1031">
        <f t="shared" ca="1" si="191"/>
        <v>0</v>
      </c>
      <c r="X75" s="1031">
        <f ca="1">IFERROR(INDEX(INDIRECT($C75&amp;".Outputs["&amp;this.Year&amp;"]"), MATCH(X$5, INDIRECT($C75&amp;".Outputs[Vector]"), 0)), 0)</f>
        <v>0</v>
      </c>
      <c r="Y75" s="1031">
        <f ca="1">IFERROR(INDEX(INDIRECT($C75&amp;".Outputs["&amp;this.Year&amp;"]"), MATCH(Y$5, INDIRECT($C75&amp;".Outputs[Vector]"), 0)), 0)</f>
        <v>0</v>
      </c>
      <c r="Z75" s="1031">
        <f ca="1">IFERROR(INDEX(INDIRECT($C75&amp;".Outputs["&amp;this.Year&amp;"]"), MATCH(Z$5, INDIRECT($C75&amp;".Outputs[Vector]"), 0)), 0)</f>
        <v>0</v>
      </c>
      <c r="AA75" s="1031">
        <f t="shared" ca="1" si="191"/>
        <v>0</v>
      </c>
      <c r="AB75" s="1031">
        <f t="shared" ca="1" si="191"/>
        <v>0</v>
      </c>
      <c r="AC75" s="1031">
        <f t="shared" ca="1" si="191"/>
        <v>0</v>
      </c>
      <c r="AD75" s="1031">
        <f t="shared" ca="1" si="191"/>
        <v>0</v>
      </c>
      <c r="AE75" s="1031">
        <f t="shared" ca="1" si="191"/>
        <v>0</v>
      </c>
      <c r="AF75" s="1031">
        <f t="shared" ca="1" si="191"/>
        <v>0</v>
      </c>
      <c r="AG75" s="1031">
        <f t="shared" ca="1" si="191"/>
        <v>0</v>
      </c>
      <c r="AH75" s="1031">
        <f t="shared" ca="1" si="191"/>
        <v>0</v>
      </c>
      <c r="AI75" s="1031">
        <f t="shared" ca="1" si="191"/>
        <v>0</v>
      </c>
      <c r="AJ75" s="1031">
        <f t="shared" ca="1" si="191"/>
        <v>0</v>
      </c>
      <c r="AK75" s="1030">
        <f ca="1">SUM(S75:AJ75)</f>
        <v>8.4153600000000051</v>
      </c>
      <c r="AL75" s="743"/>
      <c r="AM75" s="1042">
        <f t="shared" ref="AM75:AU75" ca="1" si="192">IFERROR(INDEX(INDIRECT($C75&amp;".Outputs["&amp;this.Year&amp;"]"), MATCH(AM$5, INDIRECT($C75&amp;".Outputs[Vector]"), 0)), 0)</f>
        <v>0</v>
      </c>
      <c r="AN75" s="1042">
        <f t="shared" ca="1" si="192"/>
        <v>0</v>
      </c>
      <c r="AO75" s="1042">
        <f t="shared" ca="1" si="192"/>
        <v>0</v>
      </c>
      <c r="AP75" s="1042">
        <f t="shared" ca="1" si="192"/>
        <v>0</v>
      </c>
      <c r="AQ75" s="1042">
        <f t="shared" ca="1" si="192"/>
        <v>0</v>
      </c>
      <c r="AR75" s="1042">
        <f t="shared" ca="1" si="192"/>
        <v>0</v>
      </c>
      <c r="AS75" s="1042">
        <f t="shared" ca="1" si="192"/>
        <v>0</v>
      </c>
      <c r="AT75" s="1042">
        <f t="shared" ca="1" si="192"/>
        <v>0</v>
      </c>
      <c r="AU75" s="1042">
        <f t="shared" ca="1" si="192"/>
        <v>0</v>
      </c>
      <c r="AV75" s="1042">
        <f t="shared" ca="1" si="191"/>
        <v>-25.713600000000014</v>
      </c>
      <c r="AW75" s="1042">
        <f t="shared" ca="1" si="191"/>
        <v>0</v>
      </c>
      <c r="AX75" s="1042">
        <f t="shared" ca="1" si="191"/>
        <v>0</v>
      </c>
      <c r="AY75" s="1042">
        <f t="shared" ca="1" si="191"/>
        <v>0</v>
      </c>
      <c r="AZ75" s="1042">
        <f t="shared" ca="1" si="191"/>
        <v>0</v>
      </c>
      <c r="BA75" s="1042">
        <f t="shared" ca="1" si="191"/>
        <v>0</v>
      </c>
      <c r="BB75" s="1042">
        <f t="shared" ca="1" si="191"/>
        <v>0</v>
      </c>
      <c r="BC75" s="1042">
        <f t="shared" ca="1" si="191"/>
        <v>0</v>
      </c>
      <c r="BD75" s="1042">
        <f t="shared" ca="1" si="191"/>
        <v>0</v>
      </c>
      <c r="BE75" s="1042">
        <f t="shared" ca="1" si="191"/>
        <v>0</v>
      </c>
      <c r="BF75" s="1012">
        <f ca="1">SUM(AM75:BE75)</f>
        <v>-25.713600000000014</v>
      </c>
      <c r="BG75" s="743"/>
      <c r="BH75" s="1036">
        <f ca="1">IFERROR(INDEX(INDIRECT($C75&amp;".Outputs["&amp;this.Year&amp;"]"), MATCH(BH$5, INDIRECT($C75&amp;".Outputs[Vector]"), 0)), 0)</f>
        <v>16.456704000000009</v>
      </c>
      <c r="BI75" s="1036">
        <f ca="1">IFERROR(INDEX(INDIRECT($C75&amp;".Outputs["&amp;this.Year&amp;"]"), MATCH(BI$5, INDIRECT($C75&amp;".Outputs[Vector]"), 0)), 0)</f>
        <v>0.84153600000000051</v>
      </c>
      <c r="BJ75" s="1035">
        <f ca="1">SUM(BH75:BI75)</f>
        <v>17.29824000000001</v>
      </c>
      <c r="BK75" s="743"/>
      <c r="BL75" s="814">
        <f t="shared" ca="1" si="189"/>
        <v>0</v>
      </c>
      <c r="BM75" s="814"/>
      <c r="BN75" s="840"/>
      <c r="BO75" s="1485">
        <f t="shared" ref="BO75:DF75" ca="1" si="193">IFERROR(SUMIFS(INDIRECT($C75&amp;".Emissions["&amp;this.Year&amp;"]"), INDIRECT($C75&amp;".Emissions[GHG]"), BO$6, INDIRECT($C75&amp;".Emissions[IPCC Sector]"), BO$5),0)</f>
        <v>0</v>
      </c>
      <c r="BP75" s="1486">
        <f t="shared" ca="1" si="193"/>
        <v>0</v>
      </c>
      <c r="BQ75" s="1486">
        <f t="shared" ca="1" si="193"/>
        <v>0</v>
      </c>
      <c r="BR75" s="1486">
        <f t="shared" ca="1" si="193"/>
        <v>0</v>
      </c>
      <c r="BS75" s="1486">
        <f t="shared" ca="1" si="193"/>
        <v>0</v>
      </c>
      <c r="BT75" s="1486">
        <f t="shared" ca="1" si="193"/>
        <v>0</v>
      </c>
      <c r="BU75" s="1486">
        <f t="shared" ca="1" si="193"/>
        <v>0</v>
      </c>
      <c r="BV75" s="1486">
        <f t="shared" ca="1" si="193"/>
        <v>0</v>
      </c>
      <c r="BW75" s="1486">
        <f t="shared" ca="1" si="193"/>
        <v>0</v>
      </c>
      <c r="BX75" s="1486">
        <f t="shared" ca="1" si="193"/>
        <v>0</v>
      </c>
      <c r="BY75" s="1486">
        <f t="shared" ca="1" si="193"/>
        <v>0</v>
      </c>
      <c r="BZ75" s="1486">
        <f t="shared" ca="1" si="193"/>
        <v>0</v>
      </c>
      <c r="CA75" s="1486">
        <f t="shared" ca="1" si="193"/>
        <v>0</v>
      </c>
      <c r="CB75" s="1486">
        <f t="shared" ca="1" si="193"/>
        <v>0</v>
      </c>
      <c r="CC75" s="1486">
        <f t="shared" ca="1" si="193"/>
        <v>0</v>
      </c>
      <c r="CD75" s="1486">
        <f t="shared" ca="1" si="193"/>
        <v>0</v>
      </c>
      <c r="CE75" s="1486">
        <f t="shared" ca="1" si="193"/>
        <v>0</v>
      </c>
      <c r="CF75" s="1486">
        <f t="shared" ca="1" si="193"/>
        <v>0</v>
      </c>
      <c r="CG75" s="1486">
        <f t="shared" ca="1" si="193"/>
        <v>0</v>
      </c>
      <c r="CH75" s="1486">
        <f t="shared" ca="1" si="193"/>
        <v>0</v>
      </c>
      <c r="CI75" s="1486">
        <f t="shared" ca="1" si="193"/>
        <v>0</v>
      </c>
      <c r="CJ75" s="1486">
        <f t="shared" ca="1" si="193"/>
        <v>0</v>
      </c>
      <c r="CK75" s="1486">
        <f t="shared" ca="1" si="193"/>
        <v>0</v>
      </c>
      <c r="CL75" s="1486">
        <f t="shared" ca="1" si="193"/>
        <v>0</v>
      </c>
      <c r="CM75" s="1486">
        <f t="shared" ca="1" si="193"/>
        <v>0</v>
      </c>
      <c r="CN75" s="1486">
        <f t="shared" ca="1" si="193"/>
        <v>0</v>
      </c>
      <c r="CO75" s="1486">
        <f t="shared" ca="1" si="193"/>
        <v>0</v>
      </c>
      <c r="CP75" s="1486">
        <f t="shared" ca="1" si="193"/>
        <v>0</v>
      </c>
      <c r="CQ75" s="1486">
        <f t="shared" ca="1" si="193"/>
        <v>0</v>
      </c>
      <c r="CR75" s="1486">
        <f t="shared" ca="1" si="193"/>
        <v>0</v>
      </c>
      <c r="CS75" s="1486">
        <f t="shared" ca="1" si="193"/>
        <v>0</v>
      </c>
      <c r="CT75" s="1486">
        <f t="shared" ca="1" si="193"/>
        <v>0</v>
      </c>
      <c r="CU75" s="1486">
        <f t="shared" ca="1" si="193"/>
        <v>0</v>
      </c>
      <c r="CV75" s="1486">
        <f t="shared" ca="1" si="193"/>
        <v>0</v>
      </c>
      <c r="CW75" s="1486">
        <f t="shared" ca="1" si="193"/>
        <v>0</v>
      </c>
      <c r="CX75" s="1486">
        <f t="shared" ca="1" si="193"/>
        <v>0</v>
      </c>
      <c r="CY75" s="1486">
        <f t="shared" ca="1" si="193"/>
        <v>0</v>
      </c>
      <c r="CZ75" s="1486">
        <f t="shared" ca="1" si="193"/>
        <v>0</v>
      </c>
      <c r="DA75" s="1486">
        <f t="shared" ca="1" si="193"/>
        <v>0</v>
      </c>
      <c r="DB75" s="1486">
        <f t="shared" ca="1" si="193"/>
        <v>0</v>
      </c>
      <c r="DC75" s="1486">
        <f t="shared" ca="1" si="193"/>
        <v>0</v>
      </c>
      <c r="DD75" s="1486">
        <f t="shared" ca="1" si="193"/>
        <v>0</v>
      </c>
      <c r="DE75" s="1486">
        <f t="shared" ca="1" si="193"/>
        <v>0</v>
      </c>
      <c r="DF75" s="1486">
        <f t="shared" ca="1" si="193"/>
        <v>0</v>
      </c>
      <c r="DH75" s="838">
        <f t="shared" ca="1" si="123"/>
        <v>0</v>
      </c>
    </row>
    <row r="76" spans="1:112" s="743" customFormat="1" ht="15.75" collapsed="1">
      <c r="A76" s="22"/>
      <c r="B76" s="753"/>
      <c r="C76" s="744" t="s">
        <v>75</v>
      </c>
      <c r="D76" s="517" t="str">
        <f>INDEX(Workstreams[Workstream], MATCH($C76, Workstreams[Code], 0))</f>
        <v>Nuclear power generation</v>
      </c>
      <c r="E76" s="512"/>
      <c r="G76" s="1021">
        <f ca="1">G75</f>
        <v>0</v>
      </c>
      <c r="H76" s="1021">
        <f t="shared" ref="H76:P76" ca="1" si="194">H75</f>
        <v>0</v>
      </c>
      <c r="I76" s="1021">
        <f t="shared" ca="1" si="194"/>
        <v>0</v>
      </c>
      <c r="J76" s="1021">
        <f t="shared" ca="1" si="194"/>
        <v>0</v>
      </c>
      <c r="K76" s="1021">
        <f t="shared" ca="1" si="194"/>
        <v>0</v>
      </c>
      <c r="L76" s="1021">
        <f t="shared" ca="1" si="194"/>
        <v>0</v>
      </c>
      <c r="M76" s="1021">
        <f t="shared" ca="1" si="194"/>
        <v>0</v>
      </c>
      <c r="N76" s="1021">
        <f t="shared" ca="1" si="194"/>
        <v>0</v>
      </c>
      <c r="O76" s="1021">
        <f t="shared" ca="1" si="194"/>
        <v>0</v>
      </c>
      <c r="P76" s="1021">
        <f t="shared" ca="1" si="194"/>
        <v>0</v>
      </c>
      <c r="Q76" s="1021">
        <f ca="1">SUM(G76:P76)</f>
        <v>0</v>
      </c>
      <c r="S76" s="970">
        <f t="shared" ref="S76:AJ76" ca="1" si="195">S75</f>
        <v>0</v>
      </c>
      <c r="T76" s="970">
        <f t="shared" ca="1" si="195"/>
        <v>8.4153600000000051</v>
      </c>
      <c r="U76" s="970">
        <f t="shared" ca="1" si="195"/>
        <v>0</v>
      </c>
      <c r="V76" s="970">
        <f t="shared" ca="1" si="195"/>
        <v>0</v>
      </c>
      <c r="W76" s="970">
        <f t="shared" ca="1" si="195"/>
        <v>0</v>
      </c>
      <c r="X76" s="970">
        <f t="shared" ca="1" si="195"/>
        <v>0</v>
      </c>
      <c r="Y76" s="970">
        <f t="shared" ca="1" si="195"/>
        <v>0</v>
      </c>
      <c r="Z76" s="970">
        <f t="shared" ca="1" si="195"/>
        <v>0</v>
      </c>
      <c r="AA76" s="970">
        <f t="shared" ca="1" si="195"/>
        <v>0</v>
      </c>
      <c r="AB76" s="970">
        <f t="shared" ca="1" si="195"/>
        <v>0</v>
      </c>
      <c r="AC76" s="970">
        <f t="shared" ca="1" si="195"/>
        <v>0</v>
      </c>
      <c r="AD76" s="970">
        <f ca="1">AD75</f>
        <v>0</v>
      </c>
      <c r="AE76" s="970">
        <f ca="1">AE75</f>
        <v>0</v>
      </c>
      <c r="AF76" s="970">
        <f t="shared" ca="1" si="195"/>
        <v>0</v>
      </c>
      <c r="AG76" s="970">
        <f ca="1">AG75</f>
        <v>0</v>
      </c>
      <c r="AH76" s="970">
        <f ca="1">AH75</f>
        <v>0</v>
      </c>
      <c r="AI76" s="970">
        <f ca="1">AI75</f>
        <v>0</v>
      </c>
      <c r="AJ76" s="970">
        <f t="shared" ca="1" si="195"/>
        <v>0</v>
      </c>
      <c r="AK76" s="970">
        <f ca="1">SUM(S76:AJ76)</f>
        <v>8.4153600000000051</v>
      </c>
      <c r="AM76" s="976">
        <f ca="1">AM75</f>
        <v>0</v>
      </c>
      <c r="AN76" s="976">
        <f t="shared" ref="AN76:BE76" ca="1" si="196">AN75</f>
        <v>0</v>
      </c>
      <c r="AO76" s="976">
        <f t="shared" ca="1" si="196"/>
        <v>0</v>
      </c>
      <c r="AP76" s="976">
        <f t="shared" ca="1" si="196"/>
        <v>0</v>
      </c>
      <c r="AQ76" s="976">
        <f t="shared" ca="1" si="196"/>
        <v>0</v>
      </c>
      <c r="AR76" s="976">
        <f t="shared" ca="1" si="196"/>
        <v>0</v>
      </c>
      <c r="AS76" s="976">
        <f t="shared" ca="1" si="196"/>
        <v>0</v>
      </c>
      <c r="AT76" s="976">
        <f t="shared" ca="1" si="196"/>
        <v>0</v>
      </c>
      <c r="AU76" s="976">
        <f t="shared" ca="1" si="196"/>
        <v>0</v>
      </c>
      <c r="AV76" s="976">
        <f t="shared" ca="1" si="196"/>
        <v>-25.713600000000014</v>
      </c>
      <c r="AW76" s="976">
        <f t="shared" ca="1" si="196"/>
        <v>0</v>
      </c>
      <c r="AX76" s="976">
        <f t="shared" ca="1" si="196"/>
        <v>0</v>
      </c>
      <c r="AY76" s="976">
        <f t="shared" ca="1" si="196"/>
        <v>0</v>
      </c>
      <c r="AZ76" s="976">
        <f t="shared" ca="1" si="196"/>
        <v>0</v>
      </c>
      <c r="BA76" s="976">
        <f t="shared" ca="1" si="196"/>
        <v>0</v>
      </c>
      <c r="BB76" s="976">
        <f t="shared" ca="1" si="196"/>
        <v>0</v>
      </c>
      <c r="BC76" s="976">
        <f t="shared" ca="1" si="196"/>
        <v>0</v>
      </c>
      <c r="BD76" s="976">
        <f t="shared" ca="1" si="196"/>
        <v>0</v>
      </c>
      <c r="BE76" s="976">
        <f t="shared" ca="1" si="196"/>
        <v>0</v>
      </c>
      <c r="BF76" s="976">
        <f ca="1">SUM(AM76:BE76)</f>
        <v>-25.713600000000014</v>
      </c>
      <c r="BH76" s="990">
        <f ca="1">BH75</f>
        <v>16.456704000000009</v>
      </c>
      <c r="BI76" s="990">
        <f ca="1">BI75</f>
        <v>0.84153600000000051</v>
      </c>
      <c r="BJ76" s="990">
        <f ca="1">SUM(BH76:BI76)</f>
        <v>17.29824000000001</v>
      </c>
      <c r="BL76" s="515">
        <f t="shared" ca="1" si="189"/>
        <v>0</v>
      </c>
      <c r="BM76" s="515"/>
      <c r="BN76" s="840"/>
      <c r="BO76" s="1482">
        <f t="shared" ref="BO76:DF76" ca="1" si="197">BO75</f>
        <v>0</v>
      </c>
      <c r="BP76" s="1482">
        <f t="shared" ca="1" si="197"/>
        <v>0</v>
      </c>
      <c r="BQ76" s="1482">
        <f t="shared" ca="1" si="197"/>
        <v>0</v>
      </c>
      <c r="BR76" s="1482">
        <f t="shared" ca="1" si="197"/>
        <v>0</v>
      </c>
      <c r="BS76" s="1482">
        <f t="shared" ca="1" si="197"/>
        <v>0</v>
      </c>
      <c r="BT76" s="1482">
        <f t="shared" ca="1" si="197"/>
        <v>0</v>
      </c>
      <c r="BU76" s="1482">
        <f t="shared" ca="1" si="197"/>
        <v>0</v>
      </c>
      <c r="BV76" s="1482">
        <f t="shared" ca="1" si="197"/>
        <v>0</v>
      </c>
      <c r="BW76" s="1482">
        <f t="shared" ca="1" si="197"/>
        <v>0</v>
      </c>
      <c r="BX76" s="1482">
        <f t="shared" ca="1" si="197"/>
        <v>0</v>
      </c>
      <c r="BY76" s="1482">
        <f t="shared" ca="1" si="197"/>
        <v>0</v>
      </c>
      <c r="BZ76" s="1482">
        <f t="shared" ca="1" si="197"/>
        <v>0</v>
      </c>
      <c r="CA76" s="1482">
        <f t="shared" ca="1" si="197"/>
        <v>0</v>
      </c>
      <c r="CB76" s="1482">
        <f t="shared" ca="1" si="197"/>
        <v>0</v>
      </c>
      <c r="CC76" s="1482">
        <f t="shared" ca="1" si="197"/>
        <v>0</v>
      </c>
      <c r="CD76" s="1482">
        <f t="shared" ca="1" si="197"/>
        <v>0</v>
      </c>
      <c r="CE76" s="1482">
        <f t="shared" ca="1" si="197"/>
        <v>0</v>
      </c>
      <c r="CF76" s="1482">
        <f t="shared" ca="1" si="197"/>
        <v>0</v>
      </c>
      <c r="CG76" s="1482">
        <f t="shared" ca="1" si="197"/>
        <v>0</v>
      </c>
      <c r="CH76" s="1482">
        <f t="shared" ca="1" si="197"/>
        <v>0</v>
      </c>
      <c r="CI76" s="1482">
        <f t="shared" ca="1" si="197"/>
        <v>0</v>
      </c>
      <c r="CJ76" s="1482">
        <f t="shared" ca="1" si="197"/>
        <v>0</v>
      </c>
      <c r="CK76" s="1482">
        <f t="shared" ca="1" si="197"/>
        <v>0</v>
      </c>
      <c r="CL76" s="1482">
        <f t="shared" ca="1" si="197"/>
        <v>0</v>
      </c>
      <c r="CM76" s="1482">
        <f t="shared" ca="1" si="197"/>
        <v>0</v>
      </c>
      <c r="CN76" s="1482">
        <f t="shared" ca="1" si="197"/>
        <v>0</v>
      </c>
      <c r="CO76" s="1482">
        <f t="shared" ca="1" si="197"/>
        <v>0</v>
      </c>
      <c r="CP76" s="1482">
        <f t="shared" ca="1" si="197"/>
        <v>0</v>
      </c>
      <c r="CQ76" s="1482">
        <f t="shared" ca="1" si="197"/>
        <v>0</v>
      </c>
      <c r="CR76" s="1482">
        <f t="shared" ca="1" si="197"/>
        <v>0</v>
      </c>
      <c r="CS76" s="1482">
        <f t="shared" ca="1" si="197"/>
        <v>0</v>
      </c>
      <c r="CT76" s="1482">
        <f t="shared" ca="1" si="197"/>
        <v>0</v>
      </c>
      <c r="CU76" s="1482">
        <f t="shared" ca="1" si="197"/>
        <v>0</v>
      </c>
      <c r="CV76" s="1482">
        <f t="shared" ca="1" si="197"/>
        <v>0</v>
      </c>
      <c r="CW76" s="1482">
        <f t="shared" ca="1" si="197"/>
        <v>0</v>
      </c>
      <c r="CX76" s="1482">
        <f t="shared" ca="1" si="197"/>
        <v>0</v>
      </c>
      <c r="CY76" s="1482">
        <f t="shared" ca="1" si="197"/>
        <v>0</v>
      </c>
      <c r="CZ76" s="1482">
        <f t="shared" ca="1" si="197"/>
        <v>0</v>
      </c>
      <c r="DA76" s="1482">
        <f t="shared" ca="1" si="197"/>
        <v>0</v>
      </c>
      <c r="DB76" s="1482">
        <f t="shared" ca="1" si="197"/>
        <v>0</v>
      </c>
      <c r="DC76" s="1482">
        <f t="shared" ca="1" si="197"/>
        <v>0</v>
      </c>
      <c r="DD76" s="1482">
        <f t="shared" ca="1" si="197"/>
        <v>0</v>
      </c>
      <c r="DE76" s="1482">
        <f t="shared" ca="1" si="197"/>
        <v>0</v>
      </c>
      <c r="DF76" s="1482">
        <f t="shared" ca="1" si="197"/>
        <v>0</v>
      </c>
      <c r="DH76" s="838">
        <f t="shared" ca="1" si="123"/>
        <v>0</v>
      </c>
    </row>
    <row r="77" spans="1:112" s="743" customFormat="1" ht="12.75" hidden="1" customHeight="1" outlineLevel="1">
      <c r="A77" s="22"/>
      <c r="B77" s="22"/>
      <c r="C77" s="751"/>
      <c r="D77" s="512"/>
      <c r="E77" s="512"/>
      <c r="G77" s="958"/>
      <c r="H77" s="958"/>
      <c r="I77" s="958"/>
      <c r="J77" s="958"/>
      <c r="K77" s="960"/>
      <c r="L77" s="958"/>
      <c r="M77" s="958"/>
      <c r="N77" s="958"/>
      <c r="O77" s="958"/>
      <c r="P77" s="958"/>
      <c r="Q77" s="958"/>
      <c r="S77" s="970"/>
      <c r="T77" s="970"/>
      <c r="U77" s="970"/>
      <c r="V77" s="970"/>
      <c r="W77" s="970"/>
      <c r="X77" s="970"/>
      <c r="Y77" s="970"/>
      <c r="Z77" s="970"/>
      <c r="AA77" s="970"/>
      <c r="AB77" s="970"/>
      <c r="AC77" s="970"/>
      <c r="AD77" s="970"/>
      <c r="AE77" s="970"/>
      <c r="AF77" s="970"/>
      <c r="AG77" s="970"/>
      <c r="AH77" s="970"/>
      <c r="AI77" s="970"/>
      <c r="AJ77" s="970"/>
      <c r="AK77" s="970"/>
      <c r="AM77" s="976"/>
      <c r="AN77" s="976"/>
      <c r="AO77" s="976"/>
      <c r="AP77" s="976"/>
      <c r="AQ77" s="976"/>
      <c r="AR77" s="976"/>
      <c r="AS77" s="976"/>
      <c r="AT77" s="976"/>
      <c r="AU77" s="976"/>
      <c r="AV77" s="976"/>
      <c r="AW77" s="976"/>
      <c r="AX77" s="976"/>
      <c r="AY77" s="976"/>
      <c r="AZ77" s="976"/>
      <c r="BA77" s="976"/>
      <c r="BB77" s="976"/>
      <c r="BC77" s="976"/>
      <c r="BD77" s="976"/>
      <c r="BE77" s="976"/>
      <c r="BF77" s="976"/>
      <c r="BH77" s="990"/>
      <c r="BI77" s="990"/>
      <c r="BJ77" s="990"/>
      <c r="BL77" s="515">
        <f t="shared" si="189"/>
        <v>0</v>
      </c>
      <c r="BM77" s="515"/>
      <c r="BN77" s="22"/>
      <c r="BO77" s="1482"/>
      <c r="BP77" s="1482"/>
      <c r="BQ77" s="1482"/>
      <c r="BR77" s="1482"/>
      <c r="BS77" s="1482"/>
      <c r="BT77" s="1482"/>
      <c r="BU77" s="1482"/>
      <c r="BV77" s="1482"/>
      <c r="BW77" s="1482"/>
      <c r="BX77" s="1482"/>
      <c r="BY77" s="1482"/>
      <c r="BZ77" s="1482"/>
      <c r="CA77" s="1482"/>
      <c r="CB77" s="1482"/>
      <c r="CC77" s="1482"/>
      <c r="CD77" s="1482"/>
      <c r="CE77" s="1482"/>
      <c r="CF77" s="1482"/>
      <c r="CG77" s="1482"/>
      <c r="CH77" s="1482"/>
      <c r="CI77" s="1482"/>
      <c r="CJ77" s="1482"/>
      <c r="CK77" s="1482"/>
      <c r="CL77" s="1482"/>
      <c r="CM77" s="1482"/>
      <c r="CN77" s="1482"/>
      <c r="CO77" s="1482"/>
      <c r="CP77" s="1482"/>
      <c r="CQ77" s="1482"/>
      <c r="CR77" s="1482"/>
      <c r="CS77" s="1482"/>
      <c r="CT77" s="1482"/>
      <c r="CU77" s="1482"/>
      <c r="CV77" s="1482"/>
      <c r="CW77" s="1482"/>
      <c r="CX77" s="1482"/>
      <c r="CY77" s="1482"/>
      <c r="CZ77" s="1482"/>
      <c r="DA77" s="1482"/>
      <c r="DB77" s="1482"/>
      <c r="DC77" s="1482"/>
      <c r="DD77" s="1482"/>
      <c r="DE77" s="1482"/>
      <c r="DF77" s="1482"/>
      <c r="DH77" s="838">
        <f t="shared" si="123"/>
        <v>0</v>
      </c>
    </row>
    <row r="78" spans="1:112" s="1488" customFormat="1" ht="12.75" hidden="1" customHeight="1" outlineLevel="1">
      <c r="C78" s="1048" t="s">
        <v>1720</v>
      </c>
      <c r="D78" s="1049" t="s">
        <v>1334</v>
      </c>
      <c r="E78" s="1049"/>
      <c r="F78" s="743"/>
      <c r="G78" s="1050"/>
      <c r="H78" s="1050"/>
      <c r="I78" s="1050"/>
      <c r="J78" s="1050"/>
      <c r="K78" s="1051"/>
      <c r="L78" s="1050"/>
      <c r="M78" s="1050"/>
      <c r="N78" s="1050"/>
      <c r="O78" s="1050"/>
      <c r="P78" s="1050"/>
      <c r="Q78" s="1050"/>
      <c r="R78" s="743"/>
      <c r="S78" s="1052">
        <f ca="1">S$74+S$76</f>
        <v>-398.92590619421691</v>
      </c>
      <c r="T78" s="1052">
        <f ca="1">T$74+T$76</f>
        <v>26.507182212974648</v>
      </c>
      <c r="U78" s="1052"/>
      <c r="V78" s="1052"/>
      <c r="W78" s="1052"/>
      <c r="X78" s="1052"/>
      <c r="Y78" s="1052"/>
      <c r="Z78" s="1052"/>
      <c r="AA78" s="1052"/>
      <c r="AB78" s="1052"/>
      <c r="AC78" s="1052"/>
      <c r="AD78" s="1052"/>
      <c r="AE78" s="1052"/>
      <c r="AF78" s="1052"/>
      <c r="AG78" s="1052"/>
      <c r="AH78" s="1052"/>
      <c r="AI78" s="1052"/>
      <c r="AJ78" s="1052"/>
      <c r="AK78" s="1052"/>
      <c r="AL78" s="743"/>
      <c r="AM78" s="1053"/>
      <c r="AN78" s="1053"/>
      <c r="AO78" s="1053"/>
      <c r="AP78" s="1053"/>
      <c r="AQ78" s="1053"/>
      <c r="AR78" s="1053"/>
      <c r="AS78" s="1053"/>
      <c r="AT78" s="1053"/>
      <c r="AU78" s="1053"/>
      <c r="AV78" s="1053"/>
      <c r="AW78" s="1053"/>
      <c r="AX78" s="1053"/>
      <c r="AY78" s="1053"/>
      <c r="AZ78" s="1053"/>
      <c r="BA78" s="1053"/>
      <c r="BB78" s="1053"/>
      <c r="BC78" s="1053"/>
      <c r="BD78" s="1053"/>
      <c r="BE78" s="1053"/>
      <c r="BF78" s="1053"/>
      <c r="BG78" s="743"/>
      <c r="BH78" s="1054"/>
      <c r="BI78" s="1054"/>
      <c r="BJ78" s="1054"/>
      <c r="BK78" s="743"/>
      <c r="BL78" s="852">
        <f t="shared" si="189"/>
        <v>0</v>
      </c>
      <c r="BM78" s="852"/>
      <c r="BO78" s="1490"/>
      <c r="BP78" s="1490"/>
      <c r="BQ78" s="1490"/>
      <c r="BR78" s="1490"/>
      <c r="BS78" s="1490"/>
      <c r="BT78" s="1490"/>
      <c r="BU78" s="1490"/>
      <c r="BV78" s="1490"/>
      <c r="BW78" s="1490"/>
      <c r="BX78" s="1490"/>
      <c r="BY78" s="1490"/>
      <c r="BZ78" s="1490"/>
      <c r="CA78" s="1490"/>
      <c r="CB78" s="1490"/>
      <c r="CC78" s="1490"/>
      <c r="CD78" s="1490"/>
      <c r="CE78" s="1490"/>
      <c r="CF78" s="1490"/>
      <c r="CG78" s="1490"/>
      <c r="CH78" s="1490"/>
      <c r="CI78" s="1490"/>
      <c r="CJ78" s="1490"/>
      <c r="CK78" s="1490"/>
      <c r="CL78" s="1490"/>
      <c r="CM78" s="1490"/>
      <c r="CN78" s="1490"/>
      <c r="CO78" s="1490"/>
      <c r="CP78" s="1490"/>
      <c r="CQ78" s="1490"/>
      <c r="CR78" s="1490"/>
      <c r="CS78" s="1490"/>
      <c r="CT78" s="1490"/>
      <c r="CU78" s="1490"/>
      <c r="CV78" s="1490"/>
      <c r="CW78" s="1490"/>
      <c r="CX78" s="1490"/>
      <c r="CY78" s="1490"/>
      <c r="CZ78" s="1490"/>
      <c r="DA78" s="1490"/>
      <c r="DB78" s="1490"/>
      <c r="DC78" s="1490"/>
      <c r="DD78" s="1490"/>
      <c r="DE78" s="1490"/>
      <c r="DF78" s="1490"/>
      <c r="DH78" s="838">
        <f t="shared" si="123"/>
        <v>0</v>
      </c>
    </row>
    <row r="79" spans="1:112" s="1484" customFormat="1" ht="12.75" hidden="1" customHeight="1" outlineLevel="1">
      <c r="C79" s="746" t="s">
        <v>878</v>
      </c>
      <c r="D79" s="521" t="str">
        <f>INDEX(Modules[Module], MATCH($C79, Modules[Code], 0))</f>
        <v>Combustion + CCS</v>
      </c>
      <c r="E79" s="521"/>
      <c r="F79" s="743"/>
      <c r="G79" s="2013">
        <f t="shared" ref="G79:P79" ca="1" si="198">IFERROR(INDEX(INDIRECT($C79&amp;".Outputs["&amp;this.Year&amp;"]"), MATCH(G$5, INDIRECT($C79&amp;".Outputs[Vector]"), 0)), 0)</f>
        <v>0</v>
      </c>
      <c r="H79" s="2013">
        <f t="shared" ca="1" si="198"/>
        <v>0</v>
      </c>
      <c r="I79" s="2013">
        <f t="shared" ca="1" si="198"/>
        <v>0</v>
      </c>
      <c r="J79" s="2013">
        <f t="shared" ca="1" si="198"/>
        <v>0</v>
      </c>
      <c r="K79" s="2013">
        <f t="shared" ca="1" si="198"/>
        <v>0</v>
      </c>
      <c r="L79" s="2013">
        <f t="shared" ca="1" si="198"/>
        <v>0</v>
      </c>
      <c r="M79" s="2013">
        <f t="shared" ca="1" si="198"/>
        <v>0</v>
      </c>
      <c r="N79" s="2013">
        <f t="shared" ca="1" si="198"/>
        <v>0</v>
      </c>
      <c r="O79" s="2013">
        <f t="shared" ca="1" si="198"/>
        <v>0</v>
      </c>
      <c r="P79" s="2013">
        <f t="shared" ca="1" si="198"/>
        <v>0</v>
      </c>
      <c r="Q79" s="2014">
        <f ca="1">SUM(G79:P79)</f>
        <v>0</v>
      </c>
      <c r="R79" s="743"/>
      <c r="S79" s="2015">
        <f t="shared" ref="S79:BE79" ca="1" si="199">IFERROR(INDEX(INDIRECT($C79&amp;".Outputs["&amp;this.Year&amp;"]"), MATCH(S$5, INDIRECT($C79&amp;".Outputs[Vector]"), 0)), 0)</f>
        <v>0</v>
      </c>
      <c r="T79" s="2015">
        <f t="shared" ca="1" si="199"/>
        <v>9.4883184000000043</v>
      </c>
      <c r="U79" s="2015">
        <f t="shared" ca="1" si="199"/>
        <v>-27.791639568632682</v>
      </c>
      <c r="V79" s="2015">
        <f t="shared" ca="1" si="199"/>
        <v>0</v>
      </c>
      <c r="W79" s="2015">
        <f t="shared" ca="1" si="199"/>
        <v>0</v>
      </c>
      <c r="X79" s="2015">
        <f ca="1">IFERROR(INDEX(INDIRECT($C79&amp;".Outputs["&amp;this.Year&amp;"]"), MATCH(X$5, INDIRECT($C79&amp;".Outputs[Vector]"), 0)), 0)</f>
        <v>0</v>
      </c>
      <c r="Y79" s="2015">
        <f ca="1">IFERROR(INDEX(INDIRECT($C79&amp;".Outputs["&amp;this.Year&amp;"]"), MATCH(Y$5, INDIRECT($C79&amp;".Outputs[Vector]"), 0)), 0)</f>
        <v>0</v>
      </c>
      <c r="Z79" s="2015">
        <f ca="1">IFERROR(INDEX(INDIRECT($C79&amp;".Outputs["&amp;this.Year&amp;"]"), MATCH(Z$5, INDIRECT($C79&amp;".Outputs[Vector]"), 0)), 0)</f>
        <v>0</v>
      </c>
      <c r="AA79" s="2015">
        <f t="shared" ca="1" si="199"/>
        <v>0</v>
      </c>
      <c r="AB79" s="2015">
        <f t="shared" ca="1" si="199"/>
        <v>0</v>
      </c>
      <c r="AC79" s="2015">
        <f t="shared" ca="1" si="199"/>
        <v>0</v>
      </c>
      <c r="AD79" s="2015">
        <f t="shared" ca="1" si="199"/>
        <v>0</v>
      </c>
      <c r="AE79" s="2015">
        <f t="shared" ca="1" si="199"/>
        <v>0</v>
      </c>
      <c r="AF79" s="2015">
        <f t="shared" ca="1" si="199"/>
        <v>0</v>
      </c>
      <c r="AG79" s="2015">
        <f t="shared" ca="1" si="199"/>
        <v>0</v>
      </c>
      <c r="AH79" s="2015">
        <f t="shared" ca="1" si="199"/>
        <v>0</v>
      </c>
      <c r="AI79" s="2015">
        <f t="shared" ca="1" si="199"/>
        <v>0</v>
      </c>
      <c r="AJ79" s="2015">
        <f t="shared" ca="1" si="199"/>
        <v>0</v>
      </c>
      <c r="AK79" s="2016">
        <f ca="1">SUM(S79:AJ79)</f>
        <v>-18.303321168632678</v>
      </c>
      <c r="AL79" s="743"/>
      <c r="AM79" s="2017">
        <f t="shared" ref="AM79:AU79" ca="1" si="200">IFERROR(INDEX(INDIRECT($C79&amp;".Outputs["&amp;this.Year&amp;"]"), MATCH(AM$5, INDIRECT($C79&amp;".Outputs[Vector]"), 0)), 0)</f>
        <v>0</v>
      </c>
      <c r="AN79" s="2017">
        <f t="shared" ca="1" si="200"/>
        <v>0</v>
      </c>
      <c r="AO79" s="2017">
        <f t="shared" ca="1" si="200"/>
        <v>0</v>
      </c>
      <c r="AP79" s="2017">
        <f t="shared" ca="1" si="200"/>
        <v>0</v>
      </c>
      <c r="AQ79" s="2017">
        <f t="shared" ca="1" si="200"/>
        <v>0</v>
      </c>
      <c r="AR79" s="2017">
        <f t="shared" ca="1" si="200"/>
        <v>0</v>
      </c>
      <c r="AS79" s="2017">
        <f t="shared" ca="1" si="200"/>
        <v>0</v>
      </c>
      <c r="AT79" s="2017">
        <f t="shared" ca="1" si="200"/>
        <v>0</v>
      </c>
      <c r="AU79" s="2017">
        <f t="shared" ca="1" si="200"/>
        <v>0</v>
      </c>
      <c r="AV79" s="2017">
        <f t="shared" ca="1" si="199"/>
        <v>0</v>
      </c>
      <c r="AW79" s="2017">
        <f t="shared" ca="1" si="199"/>
        <v>0</v>
      </c>
      <c r="AX79" s="2017">
        <f t="shared" ca="1" si="199"/>
        <v>0</v>
      </c>
      <c r="AY79" s="2017">
        <f t="shared" ca="1" si="199"/>
        <v>0</v>
      </c>
      <c r="AZ79" s="2017">
        <f t="shared" ca="1" si="199"/>
        <v>0</v>
      </c>
      <c r="BA79" s="2017">
        <f t="shared" ca="1" si="199"/>
        <v>0</v>
      </c>
      <c r="BB79" s="2017">
        <f t="shared" ca="1" si="199"/>
        <v>0</v>
      </c>
      <c r="BC79" s="2017">
        <f t="shared" ca="1" si="199"/>
        <v>0</v>
      </c>
      <c r="BD79" s="2017">
        <f t="shared" ca="1" si="199"/>
        <v>0</v>
      </c>
      <c r="BE79" s="2017">
        <f t="shared" ca="1" si="199"/>
        <v>0</v>
      </c>
      <c r="BF79" s="2018">
        <f ca="1">SUM(AM79:BE79)</f>
        <v>0</v>
      </c>
      <c r="BG79" s="743"/>
      <c r="BH79" s="2019">
        <f ca="1">IFERROR(INDEX(INDIRECT($C79&amp;".Outputs["&amp;this.Year&amp;"]"), MATCH(BH$5, INDIRECT($C79&amp;".Outputs[Vector]"), 0)), 0)</f>
        <v>14.969587676740785</v>
      </c>
      <c r="BI79" s="2019">
        <f ca="1">IFERROR(INDEX(INDIRECT($C79&amp;".Outputs["&amp;this.Year&amp;"]"), MATCH(BI$5, INDIRECT($C79&amp;".Outputs[Vector]"), 0)), 0)</f>
        <v>3.3337334918918931</v>
      </c>
      <c r="BJ79" s="2020">
        <f ca="1">SUM(BH79:BI79)</f>
        <v>18.303321168632678</v>
      </c>
      <c r="BK79" s="743"/>
      <c r="BL79" s="814">
        <f t="shared" ca="1" si="189"/>
        <v>0</v>
      </c>
      <c r="BM79" s="814"/>
      <c r="BN79" s="840"/>
      <c r="BO79" s="1481">
        <f t="shared" ref="BO79:DF79" ca="1" si="201">IFERROR(SUMIFS(INDIRECT($C79&amp;".Emissions["&amp;this.Year&amp;"]"), INDIRECT($C79&amp;".Emissions[GHG]"), BO$6, INDIRECT($C79&amp;".Emissions[IPCC Sector]"), BO$5),0)</f>
        <v>8.5598249871388639</v>
      </c>
      <c r="BP79" s="1482">
        <f t="shared" ca="1" si="201"/>
        <v>2.5145672495359397E-2</v>
      </c>
      <c r="BQ79" s="1482">
        <f t="shared" ca="1" si="201"/>
        <v>7.5827324665560872E-2</v>
      </c>
      <c r="BR79" s="1482">
        <f t="shared" ca="1" si="201"/>
        <v>0</v>
      </c>
      <c r="BS79" s="1482">
        <f t="shared" ca="1" si="201"/>
        <v>0</v>
      </c>
      <c r="BT79" s="1482">
        <f t="shared" ca="1" si="201"/>
        <v>0</v>
      </c>
      <c r="BU79" s="1482">
        <f t="shared" ca="1" si="201"/>
        <v>0</v>
      </c>
      <c r="BV79" s="1482">
        <f t="shared" ca="1" si="201"/>
        <v>0</v>
      </c>
      <c r="BW79" s="1482">
        <f t="shared" ca="1" si="201"/>
        <v>0</v>
      </c>
      <c r="BX79" s="1482">
        <f t="shared" ca="1" si="201"/>
        <v>0</v>
      </c>
      <c r="BY79" s="1482">
        <f t="shared" ca="1" si="201"/>
        <v>0</v>
      </c>
      <c r="BZ79" s="1482">
        <f t="shared" ca="1" si="201"/>
        <v>0</v>
      </c>
      <c r="CA79" s="1482">
        <f t="shared" ca="1" si="201"/>
        <v>0</v>
      </c>
      <c r="CB79" s="1482">
        <f t="shared" ca="1" si="201"/>
        <v>0</v>
      </c>
      <c r="CC79" s="1482">
        <f t="shared" ca="1" si="201"/>
        <v>0</v>
      </c>
      <c r="CD79" s="1482">
        <f t="shared" ca="1" si="201"/>
        <v>0</v>
      </c>
      <c r="CE79" s="1482">
        <f t="shared" ca="1" si="201"/>
        <v>0</v>
      </c>
      <c r="CF79" s="1482">
        <f t="shared" ca="1" si="201"/>
        <v>0</v>
      </c>
      <c r="CG79" s="1482">
        <f t="shared" ca="1" si="201"/>
        <v>0</v>
      </c>
      <c r="CH79" s="1482">
        <f t="shared" ca="1" si="201"/>
        <v>0</v>
      </c>
      <c r="CI79" s="1482">
        <f t="shared" ca="1" si="201"/>
        <v>0</v>
      </c>
      <c r="CJ79" s="1482">
        <f t="shared" ca="1" si="201"/>
        <v>0</v>
      </c>
      <c r="CK79" s="1482">
        <f t="shared" ca="1" si="201"/>
        <v>0</v>
      </c>
      <c r="CL79" s="1482">
        <f t="shared" ca="1" si="201"/>
        <v>0</v>
      </c>
      <c r="CM79" s="1482">
        <f t="shared" ca="1" si="201"/>
        <v>0</v>
      </c>
      <c r="CN79" s="1482">
        <f t="shared" ca="1" si="201"/>
        <v>0</v>
      </c>
      <c r="CO79" s="1482">
        <f t="shared" ca="1" si="201"/>
        <v>0</v>
      </c>
      <c r="CP79" s="1482">
        <f t="shared" ca="1" si="201"/>
        <v>0</v>
      </c>
      <c r="CQ79" s="1482">
        <f t="shared" ca="1" si="201"/>
        <v>0</v>
      </c>
      <c r="CR79" s="1482">
        <f t="shared" ca="1" si="201"/>
        <v>0</v>
      </c>
      <c r="CS79" s="1482">
        <f t="shared" ca="1" si="201"/>
        <v>0</v>
      </c>
      <c r="CT79" s="1482">
        <f t="shared" ca="1" si="201"/>
        <v>0</v>
      </c>
      <c r="CU79" s="1482">
        <f t="shared" ca="1" si="201"/>
        <v>0</v>
      </c>
      <c r="CV79" s="1482">
        <f t="shared" ca="1" si="201"/>
        <v>0</v>
      </c>
      <c r="CW79" s="1482">
        <f t="shared" ca="1" si="201"/>
        <v>0</v>
      </c>
      <c r="CX79" s="1482">
        <f t="shared" ca="1" si="201"/>
        <v>0</v>
      </c>
      <c r="CY79" s="1482">
        <f t="shared" ca="1" si="201"/>
        <v>0</v>
      </c>
      <c r="CZ79" s="1482">
        <f t="shared" ca="1" si="201"/>
        <v>0</v>
      </c>
      <c r="DA79" s="1482">
        <f t="shared" ca="1" si="201"/>
        <v>0</v>
      </c>
      <c r="DB79" s="1482">
        <f t="shared" ca="1" si="201"/>
        <v>0</v>
      </c>
      <c r="DC79" s="1482">
        <f t="shared" ca="1" si="201"/>
        <v>-7.7038424884249777</v>
      </c>
      <c r="DD79" s="1482">
        <f t="shared" ca="1" si="201"/>
        <v>0</v>
      </c>
      <c r="DE79" s="1482">
        <f t="shared" ca="1" si="201"/>
        <v>0</v>
      </c>
      <c r="DF79" s="1482">
        <f t="shared" ca="1" si="201"/>
        <v>0</v>
      </c>
      <c r="DH79" s="838">
        <f t="shared" ca="1" si="123"/>
        <v>0.95695549587480588</v>
      </c>
    </row>
    <row r="80" spans="1:112" s="1491" customFormat="1" ht="12.75" hidden="1" customHeight="1" outlineLevel="1">
      <c r="C80" s="1534" t="s">
        <v>1721</v>
      </c>
      <c r="D80" s="1049" t="s">
        <v>1334</v>
      </c>
      <c r="E80" s="1535"/>
      <c r="F80" s="1957"/>
      <c r="G80" s="1070"/>
      <c r="H80" s="1070"/>
      <c r="I80" s="1070"/>
      <c r="J80" s="1070"/>
      <c r="K80" s="1071"/>
      <c r="L80" s="1070"/>
      <c r="M80" s="1070"/>
      <c r="N80" s="1070"/>
      <c r="O80" s="1070"/>
      <c r="P80" s="1070"/>
      <c r="Q80" s="1070"/>
      <c r="R80" s="1957"/>
      <c r="S80" s="1072">
        <f ca="1">S78+S79</f>
        <v>-398.92590619421691</v>
      </c>
      <c r="T80" s="1072">
        <f ca="1">T78+T79</f>
        <v>35.995500612974652</v>
      </c>
      <c r="U80" s="1072"/>
      <c r="V80" s="1072"/>
      <c r="W80" s="1072"/>
      <c r="X80" s="1072"/>
      <c r="Y80" s="1072"/>
      <c r="Z80" s="1072"/>
      <c r="AA80" s="1072"/>
      <c r="AB80" s="1072"/>
      <c r="AC80" s="1072"/>
      <c r="AD80" s="1072"/>
      <c r="AE80" s="1072"/>
      <c r="AF80" s="1072"/>
      <c r="AG80" s="1072"/>
      <c r="AH80" s="1072"/>
      <c r="AI80" s="1072"/>
      <c r="AJ80" s="1072"/>
      <c r="AK80" s="1072"/>
      <c r="AL80" s="1957"/>
      <c r="AM80" s="1073"/>
      <c r="AN80" s="1073"/>
      <c r="AO80" s="1073"/>
      <c r="AP80" s="1073"/>
      <c r="AQ80" s="1073"/>
      <c r="AR80" s="1073"/>
      <c r="AS80" s="1073"/>
      <c r="AT80" s="1073"/>
      <c r="AU80" s="1073"/>
      <c r="AV80" s="1073"/>
      <c r="AW80" s="1073"/>
      <c r="AX80" s="1073"/>
      <c r="AY80" s="1073"/>
      <c r="AZ80" s="1073"/>
      <c r="BA80" s="1073"/>
      <c r="BB80" s="1073"/>
      <c r="BC80" s="1073"/>
      <c r="BD80" s="1073"/>
      <c r="BE80" s="1073"/>
      <c r="BF80" s="1073"/>
      <c r="BG80" s="1957"/>
      <c r="BH80" s="1074"/>
      <c r="BI80" s="1074"/>
      <c r="BJ80" s="1074"/>
      <c r="BK80" s="1957"/>
      <c r="BL80" s="1536">
        <f t="shared" si="189"/>
        <v>0</v>
      </c>
      <c r="BM80" s="1536"/>
      <c r="BO80" s="1963"/>
      <c r="BP80" s="1963"/>
      <c r="BQ80" s="1963"/>
      <c r="BR80" s="1963"/>
      <c r="BS80" s="1963"/>
      <c r="BT80" s="1963"/>
      <c r="BU80" s="1963"/>
      <c r="BV80" s="1963"/>
      <c r="BW80" s="1963"/>
      <c r="BX80" s="1963"/>
      <c r="BY80" s="1963"/>
      <c r="BZ80" s="1963"/>
      <c r="CA80" s="1963"/>
      <c r="CB80" s="1963"/>
      <c r="CC80" s="1963"/>
      <c r="CD80" s="1963"/>
      <c r="CE80" s="1963"/>
      <c r="CF80" s="1963"/>
      <c r="CG80" s="1963"/>
      <c r="CH80" s="1963"/>
      <c r="CI80" s="1963"/>
      <c r="CJ80" s="1963"/>
      <c r="CK80" s="1963"/>
      <c r="CL80" s="1963"/>
      <c r="CM80" s="1963"/>
      <c r="CN80" s="1963"/>
      <c r="CO80" s="1963"/>
      <c r="CP80" s="1963"/>
      <c r="CQ80" s="1963"/>
      <c r="CR80" s="1963"/>
      <c r="CS80" s="1963"/>
      <c r="CT80" s="1963"/>
      <c r="CU80" s="1963"/>
      <c r="CV80" s="1963"/>
      <c r="CW80" s="1963"/>
      <c r="CX80" s="1963"/>
      <c r="CY80" s="1963"/>
      <c r="CZ80" s="1963"/>
      <c r="DA80" s="1963"/>
      <c r="DB80" s="1963"/>
      <c r="DC80" s="1963"/>
      <c r="DD80" s="1963"/>
      <c r="DE80" s="1963"/>
      <c r="DF80" s="1963"/>
      <c r="DH80" s="1962">
        <f t="shared" si="123"/>
        <v>0</v>
      </c>
    </row>
    <row r="81" spans="1:112" s="1484" customFormat="1" ht="12.75" hidden="1" customHeight="1" outlineLevel="1">
      <c r="C81" s="746" t="s">
        <v>742</v>
      </c>
      <c r="D81" s="521" t="str">
        <f>INDEX(Modules[Module], MATCH($C81, Modules[Code], 0))</f>
        <v>Conventional thermal plant</v>
      </c>
      <c r="E81" s="521"/>
      <c r="F81" s="743"/>
      <c r="G81" s="1022">
        <f t="shared" ref="G81:P81" ca="1" si="202">IFERROR(INDEX(INDIRECT($C81&amp;".Outputs["&amp;this.Year&amp;"]"), MATCH(G$5, INDIRECT($C81&amp;".Outputs[Vector]"), 0)), 0)</f>
        <v>0</v>
      </c>
      <c r="H81" s="1022">
        <f t="shared" ca="1" si="202"/>
        <v>0</v>
      </c>
      <c r="I81" s="1022">
        <f t="shared" ca="1" si="202"/>
        <v>0</v>
      </c>
      <c r="J81" s="1022">
        <f t="shared" ca="1" si="202"/>
        <v>0</v>
      </c>
      <c r="K81" s="1022">
        <f t="shared" ca="1" si="202"/>
        <v>0</v>
      </c>
      <c r="L81" s="1022">
        <f t="shared" ca="1" si="202"/>
        <v>0</v>
      </c>
      <c r="M81" s="1022">
        <f t="shared" ca="1" si="202"/>
        <v>0</v>
      </c>
      <c r="N81" s="1022">
        <f t="shared" ca="1" si="202"/>
        <v>0</v>
      </c>
      <c r="O81" s="1022">
        <f t="shared" ca="1" si="202"/>
        <v>0</v>
      </c>
      <c r="P81" s="1022">
        <f t="shared" ca="1" si="202"/>
        <v>0</v>
      </c>
      <c r="Q81" s="1020">
        <f ca="1">SUM(G81:P81)</f>
        <v>0</v>
      </c>
      <c r="R81" s="743"/>
      <c r="S81" s="1031">
        <f t="shared" ref="S81:BE81" ca="1" si="203">IFERROR(INDEX(INDIRECT($C81&amp;".Outputs["&amp;this.Year&amp;"]"), MATCH(S$5, INDIRECT($C81&amp;".Outputs[Vector]"), 0)), 0)</f>
        <v>0</v>
      </c>
      <c r="T81" s="1031">
        <f t="shared" ca="1" si="203"/>
        <v>362.93040558124227</v>
      </c>
      <c r="U81" s="1031">
        <f t="shared" ca="1" si="203"/>
        <v>-20.638670399999999</v>
      </c>
      <c r="V81" s="1031">
        <f t="shared" ca="1" si="203"/>
        <v>0</v>
      </c>
      <c r="W81" s="1031">
        <f t="shared" ca="1" si="203"/>
        <v>-726.34373151373427</v>
      </c>
      <c r="X81" s="1031">
        <f ca="1">IFERROR(INDEX(INDIRECT($C81&amp;".Outputs["&amp;this.Year&amp;"]"), MATCH(X$5, INDIRECT($C81&amp;".Outputs[Vector]"), 0)), 0)</f>
        <v>0</v>
      </c>
      <c r="Y81" s="1031">
        <f ca="1">IFERROR(INDEX(INDIRECT($C81&amp;".Outputs["&amp;this.Year&amp;"]"), MATCH(Y$5, INDIRECT($C81&amp;".Outputs[Vector]"), 0)), 0)</f>
        <v>0</v>
      </c>
      <c r="Z81" s="1031">
        <f ca="1">IFERROR(INDEX(INDIRECT($C81&amp;".Outputs["&amp;this.Year&amp;"]"), MATCH(Z$5, INDIRECT($C81&amp;".Outputs[Vector]"), 0)), 0)</f>
        <v>0</v>
      </c>
      <c r="AA81" s="1031">
        <f t="shared" ca="1" si="203"/>
        <v>0</v>
      </c>
      <c r="AB81" s="1031">
        <f t="shared" ca="1" si="203"/>
        <v>0</v>
      </c>
      <c r="AC81" s="1031">
        <f t="shared" ca="1" si="203"/>
        <v>0</v>
      </c>
      <c r="AD81" s="1031">
        <f t="shared" ca="1" si="203"/>
        <v>0</v>
      </c>
      <c r="AE81" s="1031">
        <f t="shared" ca="1" si="203"/>
        <v>0</v>
      </c>
      <c r="AF81" s="1031">
        <f t="shared" ca="1" si="203"/>
        <v>0</v>
      </c>
      <c r="AG81" s="1031">
        <f t="shared" ca="1" si="203"/>
        <v>0</v>
      </c>
      <c r="AH81" s="1031">
        <f t="shared" ca="1" si="203"/>
        <v>0</v>
      </c>
      <c r="AI81" s="1031">
        <f t="shared" ca="1" si="203"/>
        <v>0</v>
      </c>
      <c r="AJ81" s="1031">
        <f t="shared" ca="1" si="203"/>
        <v>0</v>
      </c>
      <c r="AK81" s="1030">
        <f ca="1">SUM(S81:AJ81)</f>
        <v>-384.05199633249202</v>
      </c>
      <c r="AL81" s="743"/>
      <c r="AM81" s="1042">
        <f t="shared" ref="AM81:AU81" ca="1" si="204">IFERROR(INDEX(INDIRECT($C81&amp;".Outputs["&amp;this.Year&amp;"]"), MATCH(AM$5, INDIRECT($C81&amp;".Outputs[Vector]"), 0)), 0)</f>
        <v>0</v>
      </c>
      <c r="AN81" s="1042">
        <f t="shared" ca="1" si="204"/>
        <v>0</v>
      </c>
      <c r="AO81" s="1042">
        <f t="shared" ca="1" si="204"/>
        <v>0</v>
      </c>
      <c r="AP81" s="1042">
        <f t="shared" ca="1" si="204"/>
        <v>0</v>
      </c>
      <c r="AQ81" s="1042">
        <f t="shared" ca="1" si="204"/>
        <v>0</v>
      </c>
      <c r="AR81" s="1042">
        <f t="shared" ca="1" si="204"/>
        <v>0</v>
      </c>
      <c r="AS81" s="1042">
        <f t="shared" ca="1" si="204"/>
        <v>0</v>
      </c>
      <c r="AT81" s="1042">
        <f t="shared" ca="1" si="204"/>
        <v>0</v>
      </c>
      <c r="AU81" s="1042">
        <f t="shared" ca="1" si="204"/>
        <v>0</v>
      </c>
      <c r="AV81" s="1042">
        <f t="shared" ca="1" si="203"/>
        <v>0</v>
      </c>
      <c r="AW81" s="1042">
        <f t="shared" ca="1" si="203"/>
        <v>0</v>
      </c>
      <c r="AX81" s="1042">
        <f t="shared" ca="1" si="203"/>
        <v>0</v>
      </c>
      <c r="AY81" s="1042">
        <f t="shared" ca="1" si="203"/>
        <v>0</v>
      </c>
      <c r="AZ81" s="1042">
        <f t="shared" ca="1" si="203"/>
        <v>0</v>
      </c>
      <c r="BA81" s="1042">
        <f t="shared" ca="1" si="203"/>
        <v>0</v>
      </c>
      <c r="BB81" s="1042">
        <f t="shared" ca="1" si="203"/>
        <v>0</v>
      </c>
      <c r="BC81" s="1042">
        <f t="shared" ca="1" si="203"/>
        <v>0</v>
      </c>
      <c r="BD81" s="1042">
        <f t="shared" ca="1" si="203"/>
        <v>0</v>
      </c>
      <c r="BE81" s="1042">
        <f t="shared" ca="1" si="203"/>
        <v>0</v>
      </c>
      <c r="BF81" s="1012">
        <f ca="1">SUM(AM81:BE81)</f>
        <v>0</v>
      </c>
      <c r="BG81" s="743"/>
      <c r="BH81" s="1036">
        <f ca="1">IFERROR(INDEX(INDIRECT($C81&amp;".Outputs["&amp;this.Year&amp;"]"), MATCH(BH$5, INDIRECT($C81&amp;".Outputs[Vector]"), 0)), 0)</f>
        <v>376.58700151686713</v>
      </c>
      <c r="BI81" s="1036">
        <f ca="1">IFERROR(INDEX(INDIRECT($C81&amp;".Outputs["&amp;this.Year&amp;"]"), MATCH(BI$5, INDIRECT($C81&amp;".Outputs[Vector]"), 0)), 0)</f>
        <v>7.4649948156248458</v>
      </c>
      <c r="BJ81" s="1035">
        <f ca="1">SUM(BH81:BI81)</f>
        <v>384.05199633249197</v>
      </c>
      <c r="BK81" s="743"/>
      <c r="BL81" s="814">
        <f t="shared" ref="BL81:BL87" ca="1" si="205">Q81+AK81+BF81+BJ81</f>
        <v>0</v>
      </c>
      <c r="BM81" s="814"/>
      <c r="BN81" s="840"/>
      <c r="BO81" s="1485">
        <f t="shared" ref="BO81:DF81" ca="1" si="206">IFERROR(SUMIFS(INDIRECT($C81&amp;".Emissions["&amp;this.Year&amp;"]"), INDIRECT($C81&amp;".Emissions[GHG]"), BO$6, INDIRECT($C81&amp;".Emissions[IPCC Sector]"), BO$5),0)</f>
        <v>140.00395708172709</v>
      </c>
      <c r="BP81" s="1486">
        <f t="shared" ca="1" si="206"/>
        <v>0.28656771399957681</v>
      </c>
      <c r="BQ81" s="1486">
        <f t="shared" ca="1" si="206"/>
        <v>0.34444402175044547</v>
      </c>
      <c r="BR81" s="1486">
        <f t="shared" ca="1" si="206"/>
        <v>0</v>
      </c>
      <c r="BS81" s="1486">
        <f t="shared" ca="1" si="206"/>
        <v>0</v>
      </c>
      <c r="BT81" s="1486">
        <f t="shared" ca="1" si="206"/>
        <v>0</v>
      </c>
      <c r="BU81" s="1486">
        <f t="shared" ca="1" si="206"/>
        <v>0</v>
      </c>
      <c r="BV81" s="1486">
        <f t="shared" ca="1" si="206"/>
        <v>0</v>
      </c>
      <c r="BW81" s="1486">
        <f t="shared" ca="1" si="206"/>
        <v>0</v>
      </c>
      <c r="BX81" s="1486">
        <f t="shared" ca="1" si="206"/>
        <v>0</v>
      </c>
      <c r="BY81" s="1486">
        <f t="shared" ca="1" si="206"/>
        <v>0</v>
      </c>
      <c r="BZ81" s="1486">
        <f t="shared" ca="1" si="206"/>
        <v>0</v>
      </c>
      <c r="CA81" s="1486">
        <f t="shared" ca="1" si="206"/>
        <v>0</v>
      </c>
      <c r="CB81" s="1486">
        <f t="shared" ca="1" si="206"/>
        <v>0</v>
      </c>
      <c r="CC81" s="1486">
        <f t="shared" ca="1" si="206"/>
        <v>0</v>
      </c>
      <c r="CD81" s="1486">
        <f t="shared" ca="1" si="206"/>
        <v>0</v>
      </c>
      <c r="CE81" s="1486">
        <f t="shared" ca="1" si="206"/>
        <v>0</v>
      </c>
      <c r="CF81" s="1486">
        <f t="shared" ca="1" si="206"/>
        <v>0</v>
      </c>
      <c r="CG81" s="1486">
        <f t="shared" ca="1" si="206"/>
        <v>0</v>
      </c>
      <c r="CH81" s="1486">
        <f t="shared" ca="1" si="206"/>
        <v>0</v>
      </c>
      <c r="CI81" s="1486">
        <f t="shared" ca="1" si="206"/>
        <v>0</v>
      </c>
      <c r="CJ81" s="1486">
        <f t="shared" ca="1" si="206"/>
        <v>0</v>
      </c>
      <c r="CK81" s="1486">
        <f t="shared" ca="1" si="206"/>
        <v>0</v>
      </c>
      <c r="CL81" s="1486">
        <f t="shared" ca="1" si="206"/>
        <v>0</v>
      </c>
      <c r="CM81" s="1486">
        <f t="shared" ca="1" si="206"/>
        <v>0</v>
      </c>
      <c r="CN81" s="1486">
        <f t="shared" ca="1" si="206"/>
        <v>0</v>
      </c>
      <c r="CO81" s="1486">
        <f t="shared" ca="1" si="206"/>
        <v>0</v>
      </c>
      <c r="CP81" s="1486">
        <f t="shared" ca="1" si="206"/>
        <v>0</v>
      </c>
      <c r="CQ81" s="1486">
        <f t="shared" ca="1" si="206"/>
        <v>0</v>
      </c>
      <c r="CR81" s="1486">
        <f t="shared" ca="1" si="206"/>
        <v>0</v>
      </c>
      <c r="CS81" s="1486">
        <f t="shared" ca="1" si="206"/>
        <v>0</v>
      </c>
      <c r="CT81" s="1486">
        <f t="shared" ca="1" si="206"/>
        <v>0</v>
      </c>
      <c r="CU81" s="1486">
        <f t="shared" ca="1" si="206"/>
        <v>0</v>
      </c>
      <c r="CV81" s="1486">
        <f t="shared" ca="1" si="206"/>
        <v>0</v>
      </c>
      <c r="CW81" s="1486">
        <f t="shared" ca="1" si="206"/>
        <v>0</v>
      </c>
      <c r="CX81" s="1486">
        <f t="shared" ca="1" si="206"/>
        <v>0</v>
      </c>
      <c r="CY81" s="1486">
        <f t="shared" ca="1" si="206"/>
        <v>0</v>
      </c>
      <c r="CZ81" s="1486">
        <f t="shared" ca="1" si="206"/>
        <v>0</v>
      </c>
      <c r="DA81" s="1486">
        <f t="shared" ca="1" si="206"/>
        <v>0</v>
      </c>
      <c r="DB81" s="1486">
        <f t="shared" ca="1" si="206"/>
        <v>0</v>
      </c>
      <c r="DC81" s="1486">
        <f t="shared" ca="1" si="206"/>
        <v>0</v>
      </c>
      <c r="DD81" s="1486">
        <f t="shared" ca="1" si="206"/>
        <v>0</v>
      </c>
      <c r="DE81" s="1486">
        <f t="shared" ca="1" si="206"/>
        <v>0</v>
      </c>
      <c r="DF81" s="1486">
        <f t="shared" ca="1" si="206"/>
        <v>0</v>
      </c>
      <c r="DH81" s="838">
        <f t="shared" ca="1" si="123"/>
        <v>140.6349688174771</v>
      </c>
    </row>
    <row r="82" spans="1:112" s="743" customFormat="1" ht="15.75" collapsed="1">
      <c r="A82" s="22"/>
      <c r="B82" s="753"/>
      <c r="C82" s="744" t="s">
        <v>74</v>
      </c>
      <c r="D82" s="517" t="str">
        <f>INDEX(Workstreams[Workstream], MATCH($C82, Workstreams[Code], 0))</f>
        <v>Hydrocarbon fuel power generation</v>
      </c>
      <c r="E82" s="512"/>
      <c r="G82" s="1021">
        <f t="shared" ref="G82:P82" ca="1" si="207">G79+G81</f>
        <v>0</v>
      </c>
      <c r="H82" s="1021">
        <f t="shared" ca="1" si="207"/>
        <v>0</v>
      </c>
      <c r="I82" s="1021">
        <f t="shared" ca="1" si="207"/>
        <v>0</v>
      </c>
      <c r="J82" s="1021">
        <f t="shared" ca="1" si="207"/>
        <v>0</v>
      </c>
      <c r="K82" s="1021">
        <f t="shared" ca="1" si="207"/>
        <v>0</v>
      </c>
      <c r="L82" s="1021">
        <f t="shared" ca="1" si="207"/>
        <v>0</v>
      </c>
      <c r="M82" s="1021">
        <f t="shared" ca="1" si="207"/>
        <v>0</v>
      </c>
      <c r="N82" s="1021">
        <f t="shared" ca="1" si="207"/>
        <v>0</v>
      </c>
      <c r="O82" s="1021">
        <f t="shared" ca="1" si="207"/>
        <v>0</v>
      </c>
      <c r="P82" s="1021">
        <f t="shared" ca="1" si="207"/>
        <v>0</v>
      </c>
      <c r="Q82" s="1021">
        <f ca="1">SUM(G82:P82)</f>
        <v>0</v>
      </c>
      <c r="S82" s="970">
        <f t="shared" ref="S82:AJ82" ca="1" si="208">S79+S81</f>
        <v>0</v>
      </c>
      <c r="T82" s="970">
        <f t="shared" ca="1" si="208"/>
        <v>372.41872398124229</v>
      </c>
      <c r="U82" s="970">
        <f t="shared" ca="1" si="208"/>
        <v>-48.430309968632685</v>
      </c>
      <c r="V82" s="970">
        <f t="shared" ca="1" si="208"/>
        <v>0</v>
      </c>
      <c r="W82" s="970">
        <f t="shared" ca="1" si="208"/>
        <v>-726.34373151373427</v>
      </c>
      <c r="X82" s="970">
        <f t="shared" ca="1" si="208"/>
        <v>0</v>
      </c>
      <c r="Y82" s="970">
        <f t="shared" ca="1" si="208"/>
        <v>0</v>
      </c>
      <c r="Z82" s="970">
        <f t="shared" ca="1" si="208"/>
        <v>0</v>
      </c>
      <c r="AA82" s="970">
        <f t="shared" ca="1" si="208"/>
        <v>0</v>
      </c>
      <c r="AB82" s="970">
        <f t="shared" ca="1" si="208"/>
        <v>0</v>
      </c>
      <c r="AC82" s="970">
        <f t="shared" ca="1" si="208"/>
        <v>0</v>
      </c>
      <c r="AD82" s="970">
        <f ca="1">AD79+AD81</f>
        <v>0</v>
      </c>
      <c r="AE82" s="970">
        <f ca="1">AE79+AE81</f>
        <v>0</v>
      </c>
      <c r="AF82" s="970">
        <f t="shared" ca="1" si="208"/>
        <v>0</v>
      </c>
      <c r="AG82" s="970">
        <f t="shared" ca="1" si="208"/>
        <v>0</v>
      </c>
      <c r="AH82" s="970">
        <f ca="1">AH79+AH81</f>
        <v>0</v>
      </c>
      <c r="AI82" s="970">
        <f t="shared" ca="1" si="208"/>
        <v>0</v>
      </c>
      <c r="AJ82" s="970">
        <f t="shared" ca="1" si="208"/>
        <v>0</v>
      </c>
      <c r="AK82" s="970">
        <f ca="1">SUM(S82:AJ82)</f>
        <v>-402.35531750112466</v>
      </c>
      <c r="AM82" s="976">
        <f t="shared" ref="AM82:BE82" ca="1" si="209">AM79+AM81</f>
        <v>0</v>
      </c>
      <c r="AN82" s="976">
        <f t="shared" ca="1" si="209"/>
        <v>0</v>
      </c>
      <c r="AO82" s="976">
        <f t="shared" ca="1" si="209"/>
        <v>0</v>
      </c>
      <c r="AP82" s="976">
        <f t="shared" ca="1" si="209"/>
        <v>0</v>
      </c>
      <c r="AQ82" s="976">
        <f t="shared" ca="1" si="209"/>
        <v>0</v>
      </c>
      <c r="AR82" s="976">
        <f t="shared" ca="1" si="209"/>
        <v>0</v>
      </c>
      <c r="AS82" s="976">
        <f t="shared" ca="1" si="209"/>
        <v>0</v>
      </c>
      <c r="AT82" s="976">
        <f t="shared" ca="1" si="209"/>
        <v>0</v>
      </c>
      <c r="AU82" s="976">
        <f t="shared" ca="1" si="209"/>
        <v>0</v>
      </c>
      <c r="AV82" s="976">
        <f t="shared" ca="1" si="209"/>
        <v>0</v>
      </c>
      <c r="AW82" s="976">
        <f t="shared" ca="1" si="209"/>
        <v>0</v>
      </c>
      <c r="AX82" s="976">
        <f t="shared" ca="1" si="209"/>
        <v>0</v>
      </c>
      <c r="AY82" s="976">
        <f t="shared" ca="1" si="209"/>
        <v>0</v>
      </c>
      <c r="AZ82" s="976">
        <f t="shared" ca="1" si="209"/>
        <v>0</v>
      </c>
      <c r="BA82" s="976">
        <f t="shared" ca="1" si="209"/>
        <v>0</v>
      </c>
      <c r="BB82" s="976">
        <f t="shared" ca="1" si="209"/>
        <v>0</v>
      </c>
      <c r="BC82" s="976">
        <f t="shared" ca="1" si="209"/>
        <v>0</v>
      </c>
      <c r="BD82" s="976">
        <f t="shared" ca="1" si="209"/>
        <v>0</v>
      </c>
      <c r="BE82" s="976">
        <f t="shared" ca="1" si="209"/>
        <v>0</v>
      </c>
      <c r="BF82" s="976">
        <f ca="1">SUM(AM82:BE82)</f>
        <v>0</v>
      </c>
      <c r="BH82" s="990">
        <f ca="1">BH79+BH81</f>
        <v>391.55658919360792</v>
      </c>
      <c r="BI82" s="990">
        <f ca="1">BI79+BI81</f>
        <v>10.79872830751674</v>
      </c>
      <c r="BJ82" s="990">
        <f ca="1">SUM(BH82:BI82)</f>
        <v>402.35531750112466</v>
      </c>
      <c r="BL82" s="515">
        <f t="shared" ca="1" si="205"/>
        <v>0</v>
      </c>
      <c r="BM82" s="515"/>
      <c r="BN82" s="840"/>
      <c r="BO82" s="1482">
        <f t="shared" ref="BO82:DF82" ca="1" si="210">BO79+BO81</f>
        <v>148.56378206886595</v>
      </c>
      <c r="BP82" s="1482">
        <f t="shared" ca="1" si="210"/>
        <v>0.31171338649493618</v>
      </c>
      <c r="BQ82" s="1482">
        <f t="shared" ca="1" si="210"/>
        <v>0.42027134641600633</v>
      </c>
      <c r="BR82" s="1482">
        <f t="shared" ca="1" si="210"/>
        <v>0</v>
      </c>
      <c r="BS82" s="1482">
        <f t="shared" ca="1" si="210"/>
        <v>0</v>
      </c>
      <c r="BT82" s="1482">
        <f t="shared" ca="1" si="210"/>
        <v>0</v>
      </c>
      <c r="BU82" s="1482">
        <f t="shared" ca="1" si="210"/>
        <v>0</v>
      </c>
      <c r="BV82" s="1482">
        <f t="shared" ca="1" si="210"/>
        <v>0</v>
      </c>
      <c r="BW82" s="1482">
        <f t="shared" ca="1" si="210"/>
        <v>0</v>
      </c>
      <c r="BX82" s="1482">
        <f t="shared" ca="1" si="210"/>
        <v>0</v>
      </c>
      <c r="BY82" s="1482">
        <f t="shared" ca="1" si="210"/>
        <v>0</v>
      </c>
      <c r="BZ82" s="1482">
        <f t="shared" ca="1" si="210"/>
        <v>0</v>
      </c>
      <c r="CA82" s="1482">
        <f t="shared" ca="1" si="210"/>
        <v>0</v>
      </c>
      <c r="CB82" s="1482">
        <f t="shared" ca="1" si="210"/>
        <v>0</v>
      </c>
      <c r="CC82" s="1482">
        <f t="shared" ca="1" si="210"/>
        <v>0</v>
      </c>
      <c r="CD82" s="1482">
        <f t="shared" ca="1" si="210"/>
        <v>0</v>
      </c>
      <c r="CE82" s="1482">
        <f t="shared" ca="1" si="210"/>
        <v>0</v>
      </c>
      <c r="CF82" s="1482">
        <f t="shared" ca="1" si="210"/>
        <v>0</v>
      </c>
      <c r="CG82" s="1482">
        <f t="shared" ca="1" si="210"/>
        <v>0</v>
      </c>
      <c r="CH82" s="1482">
        <f t="shared" ca="1" si="210"/>
        <v>0</v>
      </c>
      <c r="CI82" s="1482">
        <f t="shared" ca="1" si="210"/>
        <v>0</v>
      </c>
      <c r="CJ82" s="1482">
        <f t="shared" ca="1" si="210"/>
        <v>0</v>
      </c>
      <c r="CK82" s="1482">
        <f t="shared" ca="1" si="210"/>
        <v>0</v>
      </c>
      <c r="CL82" s="1482">
        <f t="shared" ca="1" si="210"/>
        <v>0</v>
      </c>
      <c r="CM82" s="1482">
        <f t="shared" ca="1" si="210"/>
        <v>0</v>
      </c>
      <c r="CN82" s="1482">
        <f t="shared" ca="1" si="210"/>
        <v>0</v>
      </c>
      <c r="CO82" s="1482">
        <f t="shared" ca="1" si="210"/>
        <v>0</v>
      </c>
      <c r="CP82" s="1482">
        <f t="shared" ca="1" si="210"/>
        <v>0</v>
      </c>
      <c r="CQ82" s="1482">
        <f t="shared" ca="1" si="210"/>
        <v>0</v>
      </c>
      <c r="CR82" s="1482">
        <f t="shared" ca="1" si="210"/>
        <v>0</v>
      </c>
      <c r="CS82" s="1482">
        <f t="shared" ca="1" si="210"/>
        <v>0</v>
      </c>
      <c r="CT82" s="1482">
        <f t="shared" ca="1" si="210"/>
        <v>0</v>
      </c>
      <c r="CU82" s="1482">
        <f t="shared" ca="1" si="210"/>
        <v>0</v>
      </c>
      <c r="CV82" s="1482">
        <f t="shared" ca="1" si="210"/>
        <v>0</v>
      </c>
      <c r="CW82" s="1482">
        <f t="shared" ca="1" si="210"/>
        <v>0</v>
      </c>
      <c r="CX82" s="1482">
        <f t="shared" ca="1" si="210"/>
        <v>0</v>
      </c>
      <c r="CY82" s="1482">
        <f t="shared" ca="1" si="210"/>
        <v>0</v>
      </c>
      <c r="CZ82" s="1482">
        <f t="shared" ca="1" si="210"/>
        <v>0</v>
      </c>
      <c r="DA82" s="1482">
        <f t="shared" ca="1" si="210"/>
        <v>0</v>
      </c>
      <c r="DB82" s="1482">
        <f t="shared" ca="1" si="210"/>
        <v>0</v>
      </c>
      <c r="DC82" s="1482">
        <f t="shared" ca="1" si="210"/>
        <v>-7.7038424884249777</v>
      </c>
      <c r="DD82" s="1482">
        <f t="shared" ca="1" si="210"/>
        <v>0</v>
      </c>
      <c r="DE82" s="1482">
        <f t="shared" ca="1" si="210"/>
        <v>0</v>
      </c>
      <c r="DF82" s="1482">
        <f t="shared" ca="1" si="210"/>
        <v>0</v>
      </c>
      <c r="DH82" s="838">
        <f t="shared" ca="1" si="123"/>
        <v>141.59192431335191</v>
      </c>
    </row>
    <row r="83" spans="1:112" s="743" customFormat="1" ht="6" customHeight="1">
      <c r="C83" s="516"/>
      <c r="D83" s="517"/>
      <c r="E83" s="509"/>
      <c r="G83" s="958"/>
      <c r="H83" s="958"/>
      <c r="I83" s="958"/>
      <c r="J83" s="958"/>
      <c r="K83" s="960"/>
      <c r="L83" s="958"/>
      <c r="M83" s="958"/>
      <c r="N83" s="958"/>
      <c r="O83" s="958"/>
      <c r="P83" s="958"/>
      <c r="Q83" s="958"/>
      <c r="S83" s="970"/>
      <c r="T83" s="970"/>
      <c r="U83" s="970"/>
      <c r="V83" s="970"/>
      <c r="W83" s="970"/>
      <c r="X83" s="970"/>
      <c r="Y83" s="970"/>
      <c r="Z83" s="970"/>
      <c r="AA83" s="970"/>
      <c r="AB83" s="970"/>
      <c r="AC83" s="970"/>
      <c r="AD83" s="970"/>
      <c r="AE83" s="970"/>
      <c r="AF83" s="970"/>
      <c r="AG83" s="970"/>
      <c r="AH83" s="970"/>
      <c r="AI83" s="970"/>
      <c r="AJ83" s="970"/>
      <c r="AK83" s="970"/>
      <c r="AM83" s="976"/>
      <c r="AN83" s="976"/>
      <c r="AO83" s="976"/>
      <c r="AP83" s="976"/>
      <c r="AQ83" s="976"/>
      <c r="AR83" s="976"/>
      <c r="AS83" s="976"/>
      <c r="AT83" s="976"/>
      <c r="AU83" s="976"/>
      <c r="AV83" s="976"/>
      <c r="AW83" s="976"/>
      <c r="AX83" s="976"/>
      <c r="AY83" s="976"/>
      <c r="AZ83" s="976"/>
      <c r="BA83" s="976"/>
      <c r="BB83" s="976"/>
      <c r="BC83" s="976"/>
      <c r="BD83" s="976"/>
      <c r="BE83" s="976"/>
      <c r="BF83" s="976">
        <f>SUM(AM83:BE83)</f>
        <v>0</v>
      </c>
      <c r="BH83" s="990"/>
      <c r="BI83" s="990"/>
      <c r="BJ83" s="990"/>
      <c r="BL83" s="515">
        <f t="shared" si="205"/>
        <v>0</v>
      </c>
      <c r="BM83" s="515"/>
      <c r="BO83" s="1482"/>
      <c r="BP83" s="1482"/>
      <c r="BQ83" s="1482"/>
      <c r="BR83" s="1482"/>
      <c r="BS83" s="1482"/>
      <c r="BT83" s="1482"/>
      <c r="BU83" s="1482"/>
      <c r="BV83" s="1482"/>
      <c r="BW83" s="1482"/>
      <c r="BX83" s="1482"/>
      <c r="BY83" s="1482"/>
      <c r="BZ83" s="1482"/>
      <c r="CA83" s="1482"/>
      <c r="CB83" s="1482"/>
      <c r="CC83" s="1482"/>
      <c r="CD83" s="1482"/>
      <c r="CE83" s="1482"/>
      <c r="CF83" s="1482"/>
      <c r="CG83" s="1482"/>
      <c r="CH83" s="1482"/>
      <c r="CI83" s="1482"/>
      <c r="CJ83" s="1482"/>
      <c r="CK83" s="1482"/>
      <c r="CL83" s="1482"/>
      <c r="CM83" s="1482"/>
      <c r="CN83" s="1482"/>
      <c r="CO83" s="1482"/>
      <c r="CP83" s="1482"/>
      <c r="CQ83" s="1482"/>
      <c r="CR83" s="1482"/>
      <c r="CS83" s="1482"/>
      <c r="CT83" s="1482"/>
      <c r="CU83" s="1482"/>
      <c r="CV83" s="1482"/>
      <c r="CW83" s="1482"/>
      <c r="CX83" s="1482"/>
      <c r="CY83" s="1482"/>
      <c r="CZ83" s="1482"/>
      <c r="DA83" s="1482"/>
      <c r="DB83" s="1482"/>
      <c r="DC83" s="1482"/>
      <c r="DD83" s="1482"/>
      <c r="DE83" s="1482"/>
      <c r="DF83" s="1482"/>
      <c r="DH83" s="838"/>
    </row>
    <row r="84" spans="1:112" s="743" customFormat="1" ht="15.75">
      <c r="B84" s="753"/>
      <c r="C84" s="2051" t="s">
        <v>1816</v>
      </c>
      <c r="D84" s="643" t="s">
        <v>249</v>
      </c>
      <c r="E84" s="644"/>
      <c r="G84" s="1075">
        <f t="shared" ref="G84:P84" ca="1" si="211">G$51+G$55+G$63+G$68+G$72+G$76+G$82+G$46</f>
        <v>0</v>
      </c>
      <c r="H84" s="1075">
        <f t="shared" ca="1" si="211"/>
        <v>0</v>
      </c>
      <c r="I84" s="1075">
        <f t="shared" ca="1" si="211"/>
        <v>34.022575614759518</v>
      </c>
      <c r="J84" s="1075">
        <f t="shared" ca="1" si="211"/>
        <v>0</v>
      </c>
      <c r="K84" s="1076">
        <f t="shared" ca="1" si="211"/>
        <v>0</v>
      </c>
      <c r="L84" s="1075">
        <f t="shared" ca="1" si="211"/>
        <v>0</v>
      </c>
      <c r="M84" s="1075">
        <f t="shared" ca="1" si="211"/>
        <v>0</v>
      </c>
      <c r="N84" s="1075">
        <f t="shared" ca="1" si="211"/>
        <v>0</v>
      </c>
      <c r="O84" s="1075">
        <f t="shared" ca="1" si="211"/>
        <v>0</v>
      </c>
      <c r="P84" s="1075">
        <f t="shared" ca="1" si="211"/>
        <v>0</v>
      </c>
      <c r="Q84" s="1023">
        <f ca="1">SUM(G84:P84)</f>
        <v>34.022575614759518</v>
      </c>
      <c r="S84" s="1014">
        <f t="shared" ref="S84:AJ84" ca="1" si="212">S$51+S$55+S$63+S$68+S$72+S$76+S$82+S$46</f>
        <v>-10.93521946912859</v>
      </c>
      <c r="T84" s="1014">
        <f t="shared" ca="1" si="212"/>
        <v>428.83730137822874</v>
      </c>
      <c r="U84" s="1014">
        <f t="shared" ca="1" si="212"/>
        <v>-49.338193695892755</v>
      </c>
      <c r="V84" s="1014">
        <f t="shared" ca="1" si="212"/>
        <v>-48.189714655721055</v>
      </c>
      <c r="W84" s="1014">
        <f t="shared" ca="1" si="212"/>
        <v>-752.39290277757755</v>
      </c>
      <c r="X84" s="1014">
        <f t="shared" ca="1" si="212"/>
        <v>201.68666933356513</v>
      </c>
      <c r="Y84" s="1014">
        <f t="shared" ca="1" si="212"/>
        <v>333.08789440544865</v>
      </c>
      <c r="Z84" s="1014">
        <f t="shared" ca="1" si="212"/>
        <v>255.12576641104135</v>
      </c>
      <c r="AA84" s="1014">
        <f t="shared" ca="1" si="212"/>
        <v>0</v>
      </c>
      <c r="AB84" s="1014">
        <f t="shared" ca="1" si="212"/>
        <v>8.4874077414584725</v>
      </c>
      <c r="AC84" s="1014">
        <f t="shared" ca="1" si="212"/>
        <v>0</v>
      </c>
      <c r="AD84" s="1014">
        <f t="shared" ca="1" si="212"/>
        <v>29.548733569197832</v>
      </c>
      <c r="AE84" s="1014">
        <f t="shared" ca="1" si="212"/>
        <v>1.4299306702169821</v>
      </c>
      <c r="AF84" s="1014">
        <f t="shared" ca="1" si="212"/>
        <v>46.590464281644856</v>
      </c>
      <c r="AG84" s="1014">
        <f t="shared" ca="1" si="212"/>
        <v>44.318418705558379</v>
      </c>
      <c r="AH84" s="1014">
        <f t="shared" ca="1" si="212"/>
        <v>16.949513130720788</v>
      </c>
      <c r="AI84" s="1014">
        <f t="shared" ca="1" si="212"/>
        <v>0</v>
      </c>
      <c r="AJ84" s="1014">
        <f t="shared" ca="1" si="212"/>
        <v>0</v>
      </c>
      <c r="AK84" s="1014">
        <f ca="1">SUM(S84:AJ84)</f>
        <v>505.20606902876131</v>
      </c>
      <c r="AM84" s="1015">
        <f t="shared" ref="AM84:BE84" ca="1" si="213">AM$51+AM$55+AM$63+AM$68+AM$72+AM$76+AM$82+AM$46</f>
        <v>-124.39544583847987</v>
      </c>
      <c r="AN84" s="1015">
        <f t="shared" ca="1" si="213"/>
        <v>-333.08789440544865</v>
      </c>
      <c r="AO84" s="1015">
        <f t="shared" ca="1" si="213"/>
        <v>-255.12576641104135</v>
      </c>
      <c r="AP84" s="1015">
        <f t="shared" ca="1" si="213"/>
        <v>0</v>
      </c>
      <c r="AQ84" s="1015">
        <f t="shared" ca="1" si="213"/>
        <v>0</v>
      </c>
      <c r="AR84" s="1015">
        <f t="shared" ca="1" si="213"/>
        <v>0</v>
      </c>
      <c r="AS84" s="1015">
        <f t="shared" ca="1" si="213"/>
        <v>0</v>
      </c>
      <c r="AT84" s="1015">
        <f t="shared" ca="1" si="213"/>
        <v>0</v>
      </c>
      <c r="AU84" s="1015">
        <f t="shared" ca="1" si="213"/>
        <v>0</v>
      </c>
      <c r="AV84" s="1015">
        <f t="shared" ca="1" si="213"/>
        <v>-25.713600000000014</v>
      </c>
      <c r="AW84" s="1015">
        <f t="shared" ca="1" si="213"/>
        <v>0</v>
      </c>
      <c r="AX84" s="1015">
        <f t="shared" ca="1" si="213"/>
        <v>-43.456130099999996</v>
      </c>
      <c r="AY84" s="1015">
        <f t="shared" ca="1" si="213"/>
        <v>-0.12508561643835608</v>
      </c>
      <c r="AZ84" s="1015">
        <f t="shared" ca="1" si="213"/>
        <v>-0.39610445205479383</v>
      </c>
      <c r="BA84" s="1015">
        <f t="shared" ca="1" si="213"/>
        <v>0</v>
      </c>
      <c r="BB84" s="1015">
        <f t="shared" ca="1" si="213"/>
        <v>-5.3297280000000011</v>
      </c>
      <c r="BC84" s="1015">
        <f t="shared" ca="1" si="213"/>
        <v>0</v>
      </c>
      <c r="BD84" s="1015">
        <f t="shared" ca="1" si="213"/>
        <v>-30.978664239414815</v>
      </c>
      <c r="BE84" s="1015">
        <f t="shared" ca="1" si="213"/>
        <v>-185.14961961300929</v>
      </c>
      <c r="BF84" s="1015">
        <f ca="1">SUM(AM84:BE84)</f>
        <v>-1003.7580386758873</v>
      </c>
      <c r="BH84" s="1016">
        <f ca="1">BH$51+BH$55+BH$63+BH$68+BH$72+BH$76+BH$82+BH$46</f>
        <v>400.1903085645676</v>
      </c>
      <c r="BI84" s="1016">
        <f ca="1">BI$51+BI$55+BI$63+BI$68+BI$72+BI$76+BI$82+BI$46</f>
        <v>64.339085467798782</v>
      </c>
      <c r="BJ84" s="1016">
        <f ca="1">SUM(BH84:BI84)</f>
        <v>464.52939403236638</v>
      </c>
      <c r="BL84" s="518">
        <f t="shared" ca="1" si="205"/>
        <v>0</v>
      </c>
      <c r="BM84" s="518"/>
      <c r="BO84" s="1487">
        <f t="shared" ref="BO84:DE84" ca="1" si="214">BO$51+BO$55+BO$63+BO$68+BO$72+BO$76+BO$82+BO$46</f>
        <v>165.65337715163952</v>
      </c>
      <c r="BP84" s="1487">
        <f t="shared" ca="1" si="214"/>
        <v>0.33706742889297697</v>
      </c>
      <c r="BQ84" s="1487">
        <f t="shared" ca="1" si="214"/>
        <v>0.64968176149265089</v>
      </c>
      <c r="BR84" s="1487">
        <f t="shared" ca="1" si="214"/>
        <v>0</v>
      </c>
      <c r="BS84" s="1487">
        <f t="shared" ca="1" si="214"/>
        <v>1.7378757152393487</v>
      </c>
      <c r="BT84" s="1487">
        <f t="shared" ca="1" si="214"/>
        <v>2.6403129612517775</v>
      </c>
      <c r="BU84" s="1487">
        <f t="shared" ca="1" si="214"/>
        <v>0</v>
      </c>
      <c r="BV84" s="1487">
        <f t="shared" ca="1" si="214"/>
        <v>0</v>
      </c>
      <c r="BW84" s="1487">
        <f t="shared" ca="1" si="214"/>
        <v>0</v>
      </c>
      <c r="BX84" s="1487">
        <f t="shared" ca="1" si="214"/>
        <v>0</v>
      </c>
      <c r="BY84" s="1487">
        <f t="shared" ca="1" si="214"/>
        <v>0</v>
      </c>
      <c r="BZ84" s="1487">
        <f t="shared" ca="1" si="214"/>
        <v>0</v>
      </c>
      <c r="CA84" s="1487">
        <f t="shared" ca="1" si="214"/>
        <v>0</v>
      </c>
      <c r="CB84" s="1487">
        <f t="shared" ca="1" si="214"/>
        <v>0</v>
      </c>
      <c r="CC84" s="1487">
        <f t="shared" ca="1" si="214"/>
        <v>0</v>
      </c>
      <c r="CD84" s="1487">
        <f t="shared" ca="1" si="214"/>
        <v>0</v>
      </c>
      <c r="CE84" s="1487">
        <f t="shared" ca="1" si="214"/>
        <v>0</v>
      </c>
      <c r="CF84" s="1487">
        <f t="shared" ca="1" si="214"/>
        <v>17.259237833227761</v>
      </c>
      <c r="CG84" s="1487">
        <f t="shared" ca="1" si="214"/>
        <v>21.273853386951814</v>
      </c>
      <c r="CH84" s="1487">
        <f t="shared" ca="1" si="214"/>
        <v>0</v>
      </c>
      <c r="CI84" s="1487">
        <f t="shared" ca="1" si="214"/>
        <v>12.147672011448611</v>
      </c>
      <c r="CJ84" s="1487">
        <f t="shared" ca="1" si="214"/>
        <v>0</v>
      </c>
      <c r="CK84" s="1487">
        <f t="shared" ca="1" si="214"/>
        <v>0</v>
      </c>
      <c r="CL84" s="1487">
        <f t="shared" ca="1" si="214"/>
        <v>0</v>
      </c>
      <c r="CM84" s="1487">
        <f t="shared" ca="1" si="214"/>
        <v>0</v>
      </c>
      <c r="CN84" s="1487">
        <f t="shared" ca="1" si="214"/>
        <v>20.286556560714121</v>
      </c>
      <c r="CO84" s="1487">
        <f t="shared" ca="1" si="214"/>
        <v>1.4460528354156756</v>
      </c>
      <c r="CP84" s="1487">
        <f t="shared" ca="1" si="214"/>
        <v>0</v>
      </c>
      <c r="CQ84" s="1487">
        <f t="shared" ca="1" si="214"/>
        <v>0</v>
      </c>
      <c r="CR84" s="1487">
        <f t="shared" ca="1" si="214"/>
        <v>0</v>
      </c>
      <c r="CS84" s="1487">
        <f t="shared" ca="1" si="214"/>
        <v>0</v>
      </c>
      <c r="CT84" s="1487">
        <f t="shared" ca="1" si="214"/>
        <v>0</v>
      </c>
      <c r="CU84" s="1487">
        <f t="shared" ca="1" si="214"/>
        <v>0</v>
      </c>
      <c r="CV84" s="1487">
        <f t="shared" ca="1" si="214"/>
        <v>0</v>
      </c>
      <c r="CW84" s="1487">
        <f t="shared" ca="1" si="214"/>
        <v>0</v>
      </c>
      <c r="CX84" s="1487">
        <f t="shared" ca="1" si="214"/>
        <v>0</v>
      </c>
      <c r="CY84" s="1487">
        <f t="shared" ca="1" si="214"/>
        <v>0</v>
      </c>
      <c r="CZ84" s="1487">
        <f t="shared" ca="1" si="214"/>
        <v>0</v>
      </c>
      <c r="DA84" s="1487">
        <f t="shared" ca="1" si="214"/>
        <v>0</v>
      </c>
      <c r="DB84" s="1487">
        <f t="shared" ca="1" si="214"/>
        <v>0</v>
      </c>
      <c r="DC84" s="1487">
        <f t="shared" ca="1" si="214"/>
        <v>-7.7038424884249777</v>
      </c>
      <c r="DD84" s="1487">
        <f t="shared" ca="1" si="214"/>
        <v>0</v>
      </c>
      <c r="DE84" s="1487">
        <f t="shared" ca="1" si="214"/>
        <v>0</v>
      </c>
      <c r="DF84" s="1487">
        <f ca="1">DF$51+DF$99+DF$55+DF$63+DF$68+DF$76+DF$82+DF$46</f>
        <v>0</v>
      </c>
      <c r="DH84" s="835">
        <f ca="1">SUM(BO84:DF84)</f>
        <v>235.72784515784923</v>
      </c>
    </row>
    <row r="85" spans="1:112" s="743" customFormat="1" ht="6" customHeight="1">
      <c r="C85" s="516"/>
      <c r="D85" s="517"/>
      <c r="E85" s="509"/>
      <c r="G85" s="958"/>
      <c r="H85" s="958"/>
      <c r="I85" s="958"/>
      <c r="J85" s="958"/>
      <c r="K85" s="960"/>
      <c r="L85" s="958"/>
      <c r="M85" s="958"/>
      <c r="N85" s="958"/>
      <c r="O85" s="958"/>
      <c r="P85" s="958"/>
      <c r="Q85" s="958"/>
      <c r="S85" s="970"/>
      <c r="T85" s="970"/>
      <c r="U85" s="970"/>
      <c r="V85" s="970"/>
      <c r="W85" s="970"/>
      <c r="X85" s="970"/>
      <c r="Y85" s="970"/>
      <c r="Z85" s="970"/>
      <c r="AA85" s="970"/>
      <c r="AB85" s="970"/>
      <c r="AC85" s="970"/>
      <c r="AD85" s="970"/>
      <c r="AE85" s="970"/>
      <c r="AF85" s="970"/>
      <c r="AG85" s="970"/>
      <c r="AH85" s="970"/>
      <c r="AI85" s="970"/>
      <c r="AJ85" s="970"/>
      <c r="AK85" s="970"/>
      <c r="AM85" s="976"/>
      <c r="AN85" s="976"/>
      <c r="AO85" s="976"/>
      <c r="AP85" s="976"/>
      <c r="AQ85" s="976"/>
      <c r="AR85" s="976"/>
      <c r="AS85" s="976"/>
      <c r="AT85" s="976"/>
      <c r="AU85" s="976"/>
      <c r="AV85" s="976"/>
      <c r="AW85" s="976"/>
      <c r="AX85" s="976"/>
      <c r="AY85" s="976"/>
      <c r="AZ85" s="976"/>
      <c r="BA85" s="976"/>
      <c r="BB85" s="976"/>
      <c r="BC85" s="976"/>
      <c r="BD85" s="976"/>
      <c r="BE85" s="976"/>
      <c r="BF85" s="976"/>
      <c r="BH85" s="990"/>
      <c r="BI85" s="990"/>
      <c r="BJ85" s="990"/>
      <c r="BL85" s="515">
        <f t="shared" si="205"/>
        <v>0</v>
      </c>
      <c r="BM85" s="515"/>
      <c r="BO85" s="1482"/>
      <c r="BP85" s="1482"/>
      <c r="BQ85" s="1482"/>
      <c r="BR85" s="1482"/>
      <c r="BS85" s="1482"/>
      <c r="BT85" s="1482"/>
      <c r="BU85" s="1482"/>
      <c r="BV85" s="1482"/>
      <c r="BW85" s="1482"/>
      <c r="BX85" s="1482"/>
      <c r="BY85" s="1482"/>
      <c r="BZ85" s="1482"/>
      <c r="CA85" s="1482"/>
      <c r="CB85" s="1482"/>
      <c r="CC85" s="1482"/>
      <c r="CD85" s="1482"/>
      <c r="CE85" s="1482"/>
      <c r="CF85" s="1482"/>
      <c r="CG85" s="1482"/>
      <c r="CH85" s="1482"/>
      <c r="CI85" s="1482"/>
      <c r="CJ85" s="1482"/>
      <c r="CK85" s="1482"/>
      <c r="CL85" s="1482"/>
      <c r="CM85" s="1482"/>
      <c r="CN85" s="1482"/>
      <c r="CO85" s="1482"/>
      <c r="CP85" s="1482"/>
      <c r="CQ85" s="1482"/>
      <c r="CR85" s="1482"/>
      <c r="CS85" s="1482"/>
      <c r="CT85" s="1482"/>
      <c r="CU85" s="1482"/>
      <c r="CV85" s="1482"/>
      <c r="CW85" s="1482"/>
      <c r="CX85" s="1482"/>
      <c r="CY85" s="1482"/>
      <c r="CZ85" s="1482"/>
      <c r="DA85" s="1482"/>
      <c r="DB85" s="1482"/>
      <c r="DC85" s="1482"/>
      <c r="DD85" s="1482"/>
      <c r="DE85" s="1482"/>
      <c r="DF85" s="1482"/>
      <c r="DH85" s="838"/>
    </row>
    <row r="86" spans="1:112" s="743" customFormat="1" ht="24" customHeight="1">
      <c r="C86" s="501" t="s">
        <v>987</v>
      </c>
      <c r="D86" s="501"/>
      <c r="E86" s="639"/>
      <c r="G86" s="957"/>
      <c r="H86" s="957"/>
      <c r="I86" s="957"/>
      <c r="J86" s="957"/>
      <c r="K86" s="957"/>
      <c r="L86" s="957"/>
      <c r="M86" s="957"/>
      <c r="N86" s="957"/>
      <c r="O86" s="957"/>
      <c r="P86" s="957"/>
      <c r="Q86" s="957"/>
      <c r="S86" s="973"/>
      <c r="T86" s="973"/>
      <c r="U86" s="973"/>
      <c r="V86" s="973"/>
      <c r="W86" s="973"/>
      <c r="X86" s="969"/>
      <c r="Y86" s="969"/>
      <c r="Z86" s="969"/>
      <c r="AA86" s="973"/>
      <c r="AB86" s="973"/>
      <c r="AC86" s="973"/>
      <c r="AD86" s="973"/>
      <c r="AE86" s="973"/>
      <c r="AF86" s="973"/>
      <c r="AG86" s="973"/>
      <c r="AH86" s="973"/>
      <c r="AI86" s="973"/>
      <c r="AJ86" s="973"/>
      <c r="AK86" s="973"/>
      <c r="AM86" s="980"/>
      <c r="AN86" s="980"/>
      <c r="AO86" s="980"/>
      <c r="AP86" s="980"/>
      <c r="AQ86" s="980"/>
      <c r="AR86" s="980"/>
      <c r="AS86" s="980"/>
      <c r="AT86" s="980"/>
      <c r="AU86" s="980"/>
      <c r="AV86" s="980"/>
      <c r="AW86" s="975"/>
      <c r="AX86" s="975"/>
      <c r="AY86" s="975"/>
      <c r="AZ86" s="975"/>
      <c r="BA86" s="975"/>
      <c r="BB86" s="975"/>
      <c r="BC86" s="975"/>
      <c r="BD86" s="975"/>
      <c r="BE86" s="975"/>
      <c r="BF86" s="980"/>
      <c r="BH86" s="993"/>
      <c r="BI86" s="993"/>
      <c r="BJ86" s="993"/>
      <c r="BL86" s="514">
        <f t="shared" si="205"/>
        <v>0</v>
      </c>
      <c r="BM86" s="514"/>
      <c r="BO86" s="1482"/>
      <c r="BP86" s="1482"/>
      <c r="BQ86" s="1482"/>
      <c r="BR86" s="1482"/>
      <c r="BS86" s="1482"/>
      <c r="BT86" s="1482"/>
      <c r="BU86" s="1482"/>
      <c r="BV86" s="1482"/>
      <c r="BW86" s="1482"/>
      <c r="BX86" s="1482"/>
      <c r="BY86" s="1482"/>
      <c r="BZ86" s="1482"/>
      <c r="CA86" s="1482"/>
      <c r="CB86" s="1482"/>
      <c r="CC86" s="1482"/>
      <c r="CD86" s="1482"/>
      <c r="CE86" s="1482"/>
      <c r="CF86" s="1482"/>
      <c r="CG86" s="1482"/>
      <c r="CH86" s="1482"/>
      <c r="CI86" s="1482"/>
      <c r="CJ86" s="1482"/>
      <c r="CK86" s="1482"/>
      <c r="CL86" s="1482"/>
      <c r="CM86" s="1482"/>
      <c r="CN86" s="1482"/>
      <c r="CO86" s="1482"/>
      <c r="CP86" s="1482"/>
      <c r="CQ86" s="1482"/>
      <c r="CR86" s="1482"/>
      <c r="CS86" s="1482"/>
      <c r="CT86" s="1482"/>
      <c r="CU86" s="1482"/>
      <c r="CV86" s="1482"/>
      <c r="CW86" s="1482"/>
      <c r="CX86" s="1482"/>
      <c r="CY86" s="1482"/>
      <c r="CZ86" s="1482"/>
      <c r="DA86" s="1482"/>
      <c r="DB86" s="1482"/>
      <c r="DC86" s="1482"/>
      <c r="DD86" s="1482"/>
      <c r="DE86" s="1482"/>
      <c r="DF86" s="1482"/>
      <c r="DH86" s="838"/>
    </row>
    <row r="87" spans="1:112" s="743" customFormat="1" ht="6" customHeight="1">
      <c r="C87" s="520"/>
      <c r="D87" s="38"/>
      <c r="E87" s="509"/>
      <c r="G87" s="958"/>
      <c r="H87" s="958"/>
      <c r="I87" s="958"/>
      <c r="J87" s="958"/>
      <c r="K87" s="960"/>
      <c r="L87" s="958"/>
      <c r="M87" s="958"/>
      <c r="N87" s="958"/>
      <c r="O87" s="958"/>
      <c r="P87" s="958"/>
      <c r="Q87" s="958"/>
      <c r="S87" s="970"/>
      <c r="T87" s="970"/>
      <c r="U87" s="970"/>
      <c r="V87" s="970"/>
      <c r="W87" s="970"/>
      <c r="X87" s="970"/>
      <c r="Y87" s="970"/>
      <c r="Z87" s="970"/>
      <c r="AA87" s="970"/>
      <c r="AB87" s="970"/>
      <c r="AC87" s="970"/>
      <c r="AD87" s="970"/>
      <c r="AE87" s="970"/>
      <c r="AF87" s="970"/>
      <c r="AG87" s="970"/>
      <c r="AH87" s="970"/>
      <c r="AI87" s="970"/>
      <c r="AJ87" s="970"/>
      <c r="AK87" s="970"/>
      <c r="AM87" s="976"/>
      <c r="AN87" s="976"/>
      <c r="AO87" s="976"/>
      <c r="AP87" s="976"/>
      <c r="AQ87" s="976"/>
      <c r="AR87" s="976"/>
      <c r="AS87" s="976"/>
      <c r="AT87" s="976"/>
      <c r="AU87" s="976"/>
      <c r="AV87" s="976"/>
      <c r="AW87" s="976"/>
      <c r="AX87" s="976"/>
      <c r="AY87" s="976"/>
      <c r="AZ87" s="976"/>
      <c r="BA87" s="976"/>
      <c r="BB87" s="976"/>
      <c r="BC87" s="976"/>
      <c r="BD87" s="976"/>
      <c r="BE87" s="976"/>
      <c r="BF87" s="976"/>
      <c r="BH87" s="990"/>
      <c r="BI87" s="990"/>
      <c r="BJ87" s="990"/>
      <c r="BL87" s="515">
        <f t="shared" si="205"/>
        <v>0</v>
      </c>
      <c r="BM87" s="515"/>
      <c r="BO87" s="1482"/>
      <c r="BP87" s="1482"/>
      <c r="BQ87" s="1482"/>
      <c r="BR87" s="1482"/>
      <c r="BS87" s="1482"/>
      <c r="BT87" s="1482"/>
      <c r="BU87" s="1482"/>
      <c r="BV87" s="1482"/>
      <c r="BW87" s="1482"/>
      <c r="BX87" s="1482"/>
      <c r="BY87" s="1482"/>
      <c r="BZ87" s="1482"/>
      <c r="CA87" s="1482"/>
      <c r="CB87" s="1482"/>
      <c r="CC87" s="1482"/>
      <c r="CD87" s="1482"/>
      <c r="CE87" s="1482"/>
      <c r="CF87" s="1482"/>
      <c r="CG87" s="1482"/>
      <c r="CH87" s="1482"/>
      <c r="CI87" s="1482"/>
      <c r="CJ87" s="1482"/>
      <c r="CK87" s="1482"/>
      <c r="CL87" s="1482"/>
      <c r="CM87" s="1482"/>
      <c r="CN87" s="1482"/>
      <c r="CO87" s="1482"/>
      <c r="CP87" s="1482"/>
      <c r="CQ87" s="1482"/>
      <c r="CR87" s="1482"/>
      <c r="CS87" s="1482"/>
      <c r="CT87" s="1482"/>
      <c r="CU87" s="1482"/>
      <c r="CV87" s="1482"/>
      <c r="CW87" s="1482"/>
      <c r="CX87" s="1482"/>
      <c r="CY87" s="1482"/>
      <c r="CZ87" s="1482"/>
      <c r="DA87" s="1482"/>
      <c r="DB87" s="1482"/>
      <c r="DC87" s="1482"/>
      <c r="DD87" s="1482"/>
      <c r="DE87" s="1482"/>
      <c r="DF87" s="1482"/>
      <c r="DH87" s="838"/>
    </row>
    <row r="88" spans="1:112" s="743" customFormat="1" hidden="1" outlineLevel="1">
      <c r="A88" s="1488"/>
      <c r="B88" s="1488"/>
      <c r="C88" s="850"/>
      <c r="D88" s="851"/>
      <c r="E88" s="851"/>
      <c r="G88" s="961"/>
      <c r="H88" s="961"/>
      <c r="I88" s="961"/>
      <c r="J88" s="961"/>
      <c r="K88" s="962"/>
      <c r="L88" s="961"/>
      <c r="M88" s="961"/>
      <c r="N88" s="961"/>
      <c r="O88" s="961"/>
      <c r="P88" s="961"/>
      <c r="Q88" s="961"/>
      <c r="S88" s="971"/>
      <c r="T88" s="971"/>
      <c r="U88" s="971"/>
      <c r="V88" s="971"/>
      <c r="W88" s="971"/>
      <c r="X88" s="971"/>
      <c r="Y88" s="971"/>
      <c r="Z88" s="971"/>
      <c r="AA88" s="971"/>
      <c r="AB88" s="971"/>
      <c r="AC88" s="971"/>
      <c r="AD88" s="971"/>
      <c r="AE88" s="971"/>
      <c r="AF88" s="971"/>
      <c r="AG88" s="971"/>
      <c r="AH88" s="971"/>
      <c r="AI88" s="971"/>
      <c r="AJ88" s="971"/>
      <c r="AK88" s="971"/>
      <c r="AM88" s="978"/>
      <c r="AN88" s="978"/>
      <c r="AO88" s="978"/>
      <c r="AP88" s="978"/>
      <c r="AQ88" s="978"/>
      <c r="AR88" s="978"/>
      <c r="AS88" s="978"/>
      <c r="AT88" s="978"/>
      <c r="AU88" s="978"/>
      <c r="AV88" s="978"/>
      <c r="AW88" s="978"/>
      <c r="AX88" s="978"/>
      <c r="AY88" s="978"/>
      <c r="AZ88" s="978"/>
      <c r="BA88" s="978"/>
      <c r="BB88" s="978"/>
      <c r="BC88" s="978"/>
      <c r="BD88" s="978"/>
      <c r="BE88" s="978"/>
      <c r="BF88" s="978"/>
      <c r="BH88" s="991"/>
      <c r="BI88" s="991"/>
      <c r="BJ88" s="991"/>
      <c r="BL88" s="852"/>
      <c r="BM88" s="852"/>
      <c r="BN88" s="1488"/>
      <c r="BO88" s="1490"/>
      <c r="BP88" s="1482"/>
      <c r="BQ88" s="1482"/>
      <c r="BR88" s="1482"/>
      <c r="BS88" s="1482"/>
      <c r="BT88" s="1482"/>
      <c r="BU88" s="1482"/>
      <c r="BV88" s="1482"/>
      <c r="BW88" s="1482"/>
      <c r="BX88" s="1482"/>
      <c r="BY88" s="1482"/>
      <c r="BZ88" s="1482"/>
      <c r="CA88" s="1482"/>
      <c r="CB88" s="1482"/>
      <c r="CC88" s="1482"/>
      <c r="CD88" s="1482"/>
      <c r="CE88" s="1482"/>
      <c r="CF88" s="1482"/>
      <c r="CG88" s="1482"/>
      <c r="CH88" s="1482"/>
      <c r="CI88" s="1482"/>
      <c r="CJ88" s="1482"/>
      <c r="CK88" s="1482"/>
      <c r="CL88" s="1482"/>
      <c r="CM88" s="1482"/>
      <c r="CN88" s="1482"/>
      <c r="CO88" s="1482"/>
      <c r="CP88" s="1482"/>
      <c r="CQ88" s="1482"/>
      <c r="CR88" s="1482"/>
      <c r="CS88" s="1482"/>
      <c r="CT88" s="1482"/>
      <c r="CU88" s="1482"/>
      <c r="CV88" s="1482"/>
      <c r="CW88" s="1482"/>
      <c r="CX88" s="1482"/>
      <c r="CY88" s="1482"/>
      <c r="CZ88" s="1482"/>
      <c r="DA88" s="1482"/>
      <c r="DB88" s="1482"/>
      <c r="DC88" s="1482"/>
      <c r="DD88" s="1482"/>
      <c r="DE88" s="1482"/>
      <c r="DF88" s="1482"/>
      <c r="DH88" s="838"/>
    </row>
    <row r="89" spans="1:112" s="1484" customFormat="1" hidden="1" outlineLevel="1">
      <c r="C89" s="522" t="s">
        <v>774</v>
      </c>
      <c r="D89" s="521" t="str">
        <f>INDEX(Modules[Module], MATCH($C89, Modules[Code], 0))</f>
        <v>Electricity imports / exports</v>
      </c>
      <c r="E89" s="521"/>
      <c r="F89" s="743"/>
      <c r="G89" s="1017">
        <f t="shared" ref="G89:P89" ca="1" si="215">IFERROR(INDEX(INDIRECT($C89&amp;".Outputs["&amp;this.Year&amp;"]"), MATCH(G$5, INDIRECT($C89&amp;".Outputs[Vector]"), 0)), 0)</f>
        <v>0</v>
      </c>
      <c r="H89" s="1017">
        <f t="shared" ca="1" si="215"/>
        <v>0</v>
      </c>
      <c r="I89" s="1017">
        <f t="shared" ca="1" si="215"/>
        <v>0</v>
      </c>
      <c r="J89" s="1017">
        <f t="shared" ca="1" si="215"/>
        <v>0</v>
      </c>
      <c r="K89" s="1017">
        <f t="shared" ca="1" si="215"/>
        <v>0</v>
      </c>
      <c r="L89" s="1017">
        <f t="shared" ca="1" si="215"/>
        <v>0</v>
      </c>
      <c r="M89" s="1017">
        <f t="shared" ca="1" si="215"/>
        <v>0</v>
      </c>
      <c r="N89" s="1017">
        <f t="shared" ca="1" si="215"/>
        <v>0</v>
      </c>
      <c r="O89" s="1017">
        <f t="shared" ca="1" si="215"/>
        <v>0</v>
      </c>
      <c r="P89" s="1017">
        <f t="shared" ca="1" si="215"/>
        <v>0</v>
      </c>
      <c r="Q89" s="1019">
        <f ca="1">SUM(G89:P89)</f>
        <v>0</v>
      </c>
      <c r="R89" s="743"/>
      <c r="S89" s="1026">
        <f t="shared" ref="S89:AJ89" ca="1" si="216">IFERROR(INDEX(INDIRECT($C89&amp;".Outputs["&amp;this.Year&amp;"]"), MATCH(S$5, INDIRECT($C89&amp;".Outputs[Vector]"), 0)), 0)</f>
        <v>0</v>
      </c>
      <c r="T89" s="1026">
        <f t="shared" ca="1" si="216"/>
        <v>0</v>
      </c>
      <c r="U89" s="1026">
        <f t="shared" ca="1" si="216"/>
        <v>0</v>
      </c>
      <c r="V89" s="1026">
        <f t="shared" ca="1" si="216"/>
        <v>0</v>
      </c>
      <c r="W89" s="1026">
        <f t="shared" ca="1" si="216"/>
        <v>0</v>
      </c>
      <c r="X89" s="1026">
        <f ca="1">IFERROR(INDEX(INDIRECT($C89&amp;".Outputs["&amp;this.Year&amp;"]"), MATCH(X$5, INDIRECT($C89&amp;".Outputs[Vector]"), 0)), 0)</f>
        <v>0</v>
      </c>
      <c r="Y89" s="1026">
        <f ca="1">IFERROR(INDEX(INDIRECT($C89&amp;".Outputs["&amp;this.Year&amp;"]"), MATCH(Y$5, INDIRECT($C89&amp;".Outputs[Vector]"), 0)), 0)</f>
        <v>0</v>
      </c>
      <c r="Z89" s="1026">
        <f ca="1">IFERROR(INDEX(INDIRECT($C89&amp;".Outputs["&amp;this.Year&amp;"]"), MATCH(Z$5, INDIRECT($C89&amp;".Outputs[Vector]"), 0)), 0)</f>
        <v>0</v>
      </c>
      <c r="AA89" s="1026">
        <f t="shared" ca="1" si="216"/>
        <v>0</v>
      </c>
      <c r="AB89" s="1026">
        <f t="shared" ca="1" si="216"/>
        <v>0</v>
      </c>
      <c r="AC89" s="1026">
        <f t="shared" ca="1" si="216"/>
        <v>0</v>
      </c>
      <c r="AD89" s="1026">
        <f t="shared" ca="1" si="216"/>
        <v>0</v>
      </c>
      <c r="AE89" s="1026">
        <f t="shared" ca="1" si="216"/>
        <v>0</v>
      </c>
      <c r="AF89" s="1026">
        <f t="shared" ca="1" si="216"/>
        <v>0</v>
      </c>
      <c r="AG89" s="1026">
        <f t="shared" ca="1" si="216"/>
        <v>0</v>
      </c>
      <c r="AH89" s="1026">
        <f t="shared" ca="1" si="216"/>
        <v>0</v>
      </c>
      <c r="AI89" s="1026">
        <f t="shared" ca="1" si="216"/>
        <v>0</v>
      </c>
      <c r="AJ89" s="1026">
        <f t="shared" ca="1" si="216"/>
        <v>0</v>
      </c>
      <c r="AK89" s="1027">
        <f ca="1">SUM(S89:AJ89)</f>
        <v>0</v>
      </c>
      <c r="AL89" s="743"/>
      <c r="AM89" s="1038">
        <f t="shared" ref="AM89:AU89" ca="1" si="217">IFERROR(INDEX(INDIRECT($C89&amp;".Outputs["&amp;this.Year&amp;"]"), MATCH(AM$5, INDIRECT($C89&amp;".Outputs[Vector]"), 0)), 0)</f>
        <v>0</v>
      </c>
      <c r="AN89" s="1038">
        <f t="shared" ca="1" si="217"/>
        <v>0</v>
      </c>
      <c r="AO89" s="1038">
        <f t="shared" ca="1" si="217"/>
        <v>0</v>
      </c>
      <c r="AP89" s="1038">
        <f t="shared" ca="1" si="217"/>
        <v>0</v>
      </c>
      <c r="AQ89" s="1038">
        <f t="shared" ca="1" si="217"/>
        <v>0</v>
      </c>
      <c r="AR89" s="1038">
        <f t="shared" ca="1" si="217"/>
        <v>0</v>
      </c>
      <c r="AS89" s="1038">
        <f t="shared" ca="1" si="217"/>
        <v>0</v>
      </c>
      <c r="AT89" s="1038">
        <f t="shared" ca="1" si="217"/>
        <v>0</v>
      </c>
      <c r="AU89" s="1038">
        <f t="shared" ca="1" si="217"/>
        <v>0</v>
      </c>
      <c r="AV89" s="1038">
        <f t="shared" ref="AV89:BE89" ca="1" si="218">IFERROR(INDEX(INDIRECT($C89&amp;".Outputs["&amp;this.Year&amp;"]"), MATCH(AV$5, INDIRECT($C89&amp;".Outputs[Vector]"), 0)), 0)</f>
        <v>0</v>
      </c>
      <c r="AW89" s="1038">
        <f t="shared" ca="1" si="218"/>
        <v>0</v>
      </c>
      <c r="AX89" s="1038">
        <f t="shared" ca="1" si="218"/>
        <v>0</v>
      </c>
      <c r="AY89" s="1038">
        <f t="shared" ca="1" si="218"/>
        <v>0</v>
      </c>
      <c r="AZ89" s="1038">
        <f t="shared" ca="1" si="218"/>
        <v>0</v>
      </c>
      <c r="BA89" s="1038">
        <f t="shared" ca="1" si="218"/>
        <v>0</v>
      </c>
      <c r="BB89" s="1038">
        <f t="shared" ca="1" si="218"/>
        <v>0</v>
      </c>
      <c r="BC89" s="1038">
        <f t="shared" ca="1" si="218"/>
        <v>0</v>
      </c>
      <c r="BD89" s="1038">
        <f t="shared" ca="1" si="218"/>
        <v>0</v>
      </c>
      <c r="BE89" s="1038">
        <f t="shared" ca="1" si="218"/>
        <v>0</v>
      </c>
      <c r="BF89" s="979">
        <f ca="1">SUM(AM89:BE89)</f>
        <v>0</v>
      </c>
      <c r="BG89" s="743"/>
      <c r="BH89" s="1032">
        <f ca="1">IFERROR(INDEX(INDIRECT($C89&amp;".Outputs["&amp;this.Year&amp;"]"), MATCH(BH$5, INDIRECT($C89&amp;".Outputs[Vector]"), 0)), 0)</f>
        <v>0</v>
      </c>
      <c r="BI89" s="1032">
        <f ca="1">IFERROR(INDEX(INDIRECT($C89&amp;".Outputs["&amp;this.Year&amp;"]"), MATCH(BI$5, INDIRECT($C89&amp;".Outputs[Vector]"), 0)), 0)</f>
        <v>0</v>
      </c>
      <c r="BJ89" s="1034">
        <f ca="1">SUM(BH89:BI89)</f>
        <v>0</v>
      </c>
      <c r="BK89" s="743"/>
      <c r="BL89" s="814">
        <f t="shared" ref="BL89:BL94" ca="1" si="219">Q89+AK89+BF89+BJ89</f>
        <v>0</v>
      </c>
      <c r="BM89" s="814"/>
      <c r="BO89" s="1481">
        <f t="shared" ref="BO89:DF89" ca="1" si="220">IFERROR(SUMIFS(INDIRECT($C89&amp;".Emissions["&amp;this.Year&amp;"]"), INDIRECT($C89&amp;".Emissions[GHG]"), BO$6, INDIRECT($C89&amp;".Emissions[IPCC Sector]"), BO$5),0)</f>
        <v>0</v>
      </c>
      <c r="BP89" s="1482">
        <f t="shared" ca="1" si="220"/>
        <v>0</v>
      </c>
      <c r="BQ89" s="1482">
        <f t="shared" ca="1" si="220"/>
        <v>0</v>
      </c>
      <c r="BR89" s="1482">
        <f t="shared" ca="1" si="220"/>
        <v>0</v>
      </c>
      <c r="BS89" s="1482">
        <f t="shared" ca="1" si="220"/>
        <v>0</v>
      </c>
      <c r="BT89" s="1482">
        <f t="shared" ca="1" si="220"/>
        <v>0</v>
      </c>
      <c r="BU89" s="1482">
        <f t="shared" ca="1" si="220"/>
        <v>0</v>
      </c>
      <c r="BV89" s="1482">
        <f t="shared" ca="1" si="220"/>
        <v>0</v>
      </c>
      <c r="BW89" s="1482">
        <f t="shared" ca="1" si="220"/>
        <v>0</v>
      </c>
      <c r="BX89" s="1482">
        <f t="shared" ca="1" si="220"/>
        <v>0</v>
      </c>
      <c r="BY89" s="1482">
        <f t="shared" ca="1" si="220"/>
        <v>0</v>
      </c>
      <c r="BZ89" s="1482">
        <f t="shared" ca="1" si="220"/>
        <v>0</v>
      </c>
      <c r="CA89" s="1482">
        <f t="shared" ca="1" si="220"/>
        <v>0</v>
      </c>
      <c r="CB89" s="1482">
        <f t="shared" ca="1" si="220"/>
        <v>0</v>
      </c>
      <c r="CC89" s="1482">
        <f t="shared" ca="1" si="220"/>
        <v>0</v>
      </c>
      <c r="CD89" s="1482">
        <f t="shared" ca="1" si="220"/>
        <v>0</v>
      </c>
      <c r="CE89" s="1482">
        <f t="shared" ca="1" si="220"/>
        <v>0</v>
      </c>
      <c r="CF89" s="1482">
        <f t="shared" ca="1" si="220"/>
        <v>0</v>
      </c>
      <c r="CG89" s="1482">
        <f t="shared" ca="1" si="220"/>
        <v>0</v>
      </c>
      <c r="CH89" s="1482">
        <f t="shared" ca="1" si="220"/>
        <v>0</v>
      </c>
      <c r="CI89" s="1482">
        <f t="shared" ca="1" si="220"/>
        <v>0</v>
      </c>
      <c r="CJ89" s="1482">
        <f t="shared" ca="1" si="220"/>
        <v>0</v>
      </c>
      <c r="CK89" s="1482">
        <f t="shared" ca="1" si="220"/>
        <v>0</v>
      </c>
      <c r="CL89" s="1482">
        <f t="shared" ca="1" si="220"/>
        <v>0</v>
      </c>
      <c r="CM89" s="1482">
        <f t="shared" ca="1" si="220"/>
        <v>0</v>
      </c>
      <c r="CN89" s="1482">
        <f t="shared" ca="1" si="220"/>
        <v>0</v>
      </c>
      <c r="CO89" s="1482">
        <f t="shared" ca="1" si="220"/>
        <v>0</v>
      </c>
      <c r="CP89" s="1482">
        <f t="shared" ca="1" si="220"/>
        <v>0</v>
      </c>
      <c r="CQ89" s="1482">
        <f t="shared" ca="1" si="220"/>
        <v>0</v>
      </c>
      <c r="CR89" s="1482">
        <f t="shared" ca="1" si="220"/>
        <v>0</v>
      </c>
      <c r="CS89" s="1482">
        <f t="shared" ca="1" si="220"/>
        <v>0</v>
      </c>
      <c r="CT89" s="1482">
        <f t="shared" ca="1" si="220"/>
        <v>0</v>
      </c>
      <c r="CU89" s="1482">
        <f t="shared" ca="1" si="220"/>
        <v>0</v>
      </c>
      <c r="CV89" s="1482">
        <f t="shared" ca="1" si="220"/>
        <v>0</v>
      </c>
      <c r="CW89" s="1482">
        <f t="shared" ca="1" si="220"/>
        <v>0</v>
      </c>
      <c r="CX89" s="1482">
        <f t="shared" ca="1" si="220"/>
        <v>0</v>
      </c>
      <c r="CY89" s="1482">
        <f t="shared" ca="1" si="220"/>
        <v>0</v>
      </c>
      <c r="CZ89" s="1482">
        <f t="shared" ca="1" si="220"/>
        <v>0</v>
      </c>
      <c r="DA89" s="1482">
        <f t="shared" ca="1" si="220"/>
        <v>0</v>
      </c>
      <c r="DB89" s="1482">
        <f t="shared" ca="1" si="220"/>
        <v>0</v>
      </c>
      <c r="DC89" s="1482">
        <f t="shared" ca="1" si="220"/>
        <v>0</v>
      </c>
      <c r="DD89" s="1482">
        <f t="shared" ca="1" si="220"/>
        <v>0</v>
      </c>
      <c r="DE89" s="1482">
        <f t="shared" ca="1" si="220"/>
        <v>0</v>
      </c>
      <c r="DF89" s="1482">
        <f t="shared" ca="1" si="220"/>
        <v>0</v>
      </c>
      <c r="DH89" s="838"/>
    </row>
    <row r="90" spans="1:112" s="1488" customFormat="1" ht="12.75" hidden="1" customHeight="1" outlineLevel="1">
      <c r="C90" s="1048" t="s">
        <v>1722</v>
      </c>
      <c r="D90" s="1049" t="s">
        <v>1335</v>
      </c>
      <c r="E90" s="1049"/>
      <c r="F90" s="743"/>
      <c r="G90" s="1070"/>
      <c r="H90" s="1070"/>
      <c r="I90" s="1070"/>
      <c r="J90" s="1070"/>
      <c r="K90" s="1071"/>
      <c r="L90" s="1070"/>
      <c r="M90" s="1070"/>
      <c r="N90" s="1070"/>
      <c r="O90" s="1070"/>
      <c r="P90" s="1070"/>
      <c r="Q90" s="1070"/>
      <c r="R90" s="743"/>
      <c r="S90" s="1072">
        <f ca="1">S$40+$S46+S$51+S$99+S$55+S$89</f>
        <v>-398.92590619421691</v>
      </c>
      <c r="T90" s="1072">
        <f ca="1">T$40+$S46+T$51+T$99+T$55+T$89</f>
        <v>0</v>
      </c>
      <c r="U90" s="1072"/>
      <c r="V90" s="1072"/>
      <c r="W90" s="1072"/>
      <c r="X90" s="1072"/>
      <c r="Y90" s="1072"/>
      <c r="Z90" s="1072"/>
      <c r="AA90" s="1072"/>
      <c r="AB90" s="1072"/>
      <c r="AC90" s="1072"/>
      <c r="AD90" s="1072"/>
      <c r="AE90" s="1072"/>
      <c r="AF90" s="1072"/>
      <c r="AG90" s="1072"/>
      <c r="AH90" s="1072"/>
      <c r="AI90" s="1072"/>
      <c r="AJ90" s="1072"/>
      <c r="AK90" s="1072"/>
      <c r="AL90" s="74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743"/>
      <c r="BH90" s="1074"/>
      <c r="BI90" s="1074"/>
      <c r="BJ90" s="1074"/>
      <c r="BK90" s="743"/>
      <c r="BL90" s="852">
        <f t="shared" si="219"/>
        <v>0</v>
      </c>
      <c r="BM90" s="852"/>
      <c r="BO90" s="1490"/>
      <c r="BP90" s="1490"/>
      <c r="BQ90" s="1490"/>
      <c r="BR90" s="1490"/>
      <c r="BS90" s="1490"/>
      <c r="BT90" s="1490"/>
      <c r="BU90" s="1490"/>
      <c r="BV90" s="1490"/>
      <c r="BW90" s="1490"/>
      <c r="BX90" s="1490"/>
      <c r="BY90" s="1490"/>
      <c r="BZ90" s="1490"/>
      <c r="CA90" s="1490"/>
      <c r="CB90" s="1490"/>
      <c r="CC90" s="1490"/>
      <c r="CD90" s="1490"/>
      <c r="CE90" s="1490"/>
      <c r="CF90" s="1490"/>
      <c r="CG90" s="1490"/>
      <c r="CH90" s="1490"/>
      <c r="CI90" s="1490"/>
      <c r="CJ90" s="1490"/>
      <c r="CK90" s="1490"/>
      <c r="CL90" s="1490"/>
      <c r="CM90" s="1490"/>
      <c r="CN90" s="1490"/>
      <c r="CO90" s="1490"/>
      <c r="CP90" s="1490"/>
      <c r="CQ90" s="1490"/>
      <c r="CR90" s="1490"/>
      <c r="CS90" s="1490"/>
      <c r="CT90" s="1490"/>
      <c r="CU90" s="1490"/>
      <c r="CV90" s="1490"/>
      <c r="CW90" s="1490"/>
      <c r="CX90" s="1490"/>
      <c r="CY90" s="1490"/>
      <c r="CZ90" s="1490"/>
      <c r="DA90" s="1490"/>
      <c r="DB90" s="1490"/>
      <c r="DC90" s="1490"/>
      <c r="DD90" s="1490"/>
      <c r="DE90" s="1490"/>
      <c r="DF90" s="1490"/>
      <c r="DH90" s="838"/>
    </row>
    <row r="91" spans="1:112" s="1484" customFormat="1" hidden="1" outlineLevel="1">
      <c r="C91" s="522" t="s">
        <v>784</v>
      </c>
      <c r="D91" s="521" t="str">
        <f>INDEX(Modules[Module], MATCH($C91, Modules[Code], 0))</f>
        <v>Electricity grid distribution</v>
      </c>
      <c r="E91" s="521"/>
      <c r="F91" s="743"/>
      <c r="G91" s="1017">
        <f t="shared" ref="G91:P92" ca="1" si="221">IFERROR(INDEX(INDIRECT($C91&amp;".Outputs["&amp;this.Year&amp;"]"), MATCH(G$5, INDIRECT($C91&amp;".Outputs[Vector]"), 0)), 0)</f>
        <v>0</v>
      </c>
      <c r="H91" s="1017">
        <f t="shared" ca="1" si="221"/>
        <v>0</v>
      </c>
      <c r="I91" s="1017">
        <f t="shared" ca="1" si="221"/>
        <v>0</v>
      </c>
      <c r="J91" s="1017">
        <f t="shared" ca="1" si="221"/>
        <v>0</v>
      </c>
      <c r="K91" s="1017">
        <f t="shared" ca="1" si="221"/>
        <v>0</v>
      </c>
      <c r="L91" s="1017">
        <f t="shared" ca="1" si="221"/>
        <v>0</v>
      </c>
      <c r="M91" s="1017">
        <f t="shared" ca="1" si="221"/>
        <v>0</v>
      </c>
      <c r="N91" s="1017">
        <f t="shared" ca="1" si="221"/>
        <v>0</v>
      </c>
      <c r="O91" s="1017">
        <f t="shared" ca="1" si="221"/>
        <v>0</v>
      </c>
      <c r="P91" s="1017">
        <f t="shared" ca="1" si="221"/>
        <v>0</v>
      </c>
      <c r="Q91" s="1019">
        <f ca="1">SUM(G91:P91)</f>
        <v>0</v>
      </c>
      <c r="R91" s="743"/>
      <c r="S91" s="1026">
        <f t="shared" ref="S91:AJ92" ca="1" si="222">IFERROR(INDEX(INDIRECT($C91&amp;".Outputs["&amp;this.Year&amp;"]"), MATCH(S$5, INDIRECT($C91&amp;".Outputs[Vector]"), 0)), 0)</f>
        <v>0</v>
      </c>
      <c r="T91" s="1026">
        <f t="shared" ca="1" si="222"/>
        <v>-29.911395184011781</v>
      </c>
      <c r="U91" s="1026">
        <f t="shared" ca="1" si="222"/>
        <v>0</v>
      </c>
      <c r="V91" s="1026">
        <f t="shared" ca="1" si="222"/>
        <v>0</v>
      </c>
      <c r="W91" s="1026">
        <f t="shared" ca="1" si="222"/>
        <v>0</v>
      </c>
      <c r="X91" s="1026">
        <f t="shared" ref="X91:Z92" ca="1" si="223">IFERROR(INDEX(INDIRECT($C91&amp;".Outputs["&amp;this.Year&amp;"]"), MATCH(X$5, INDIRECT($C91&amp;".Outputs[Vector]"), 0)), 0)</f>
        <v>0</v>
      </c>
      <c r="Y91" s="1026">
        <f t="shared" ca="1" si="223"/>
        <v>0</v>
      </c>
      <c r="Z91" s="1026">
        <f t="shared" ca="1" si="223"/>
        <v>0</v>
      </c>
      <c r="AA91" s="1026">
        <f t="shared" ca="1" si="222"/>
        <v>0</v>
      </c>
      <c r="AB91" s="1026">
        <f t="shared" ca="1" si="222"/>
        <v>0</v>
      </c>
      <c r="AC91" s="1026">
        <f t="shared" ca="1" si="222"/>
        <v>0</v>
      </c>
      <c r="AD91" s="1026">
        <f t="shared" ca="1" si="222"/>
        <v>0</v>
      </c>
      <c r="AE91" s="1026">
        <f t="shared" ca="1" si="222"/>
        <v>0</v>
      </c>
      <c r="AF91" s="1026">
        <f t="shared" ca="1" si="222"/>
        <v>0</v>
      </c>
      <c r="AG91" s="1026">
        <f t="shared" ca="1" si="222"/>
        <v>0</v>
      </c>
      <c r="AH91" s="1026">
        <f t="shared" ca="1" si="222"/>
        <v>0</v>
      </c>
      <c r="AI91" s="1026">
        <f t="shared" ca="1" si="222"/>
        <v>0</v>
      </c>
      <c r="AJ91" s="1026">
        <f t="shared" ca="1" si="222"/>
        <v>0</v>
      </c>
      <c r="AK91" s="1027">
        <f ca="1">SUM(S91:AJ91)</f>
        <v>-29.911395184011781</v>
      </c>
      <c r="AL91" s="743"/>
      <c r="AM91" s="1038">
        <f t="shared" ref="AM91:AU92" ca="1" si="224">IFERROR(INDEX(INDIRECT($C91&amp;".Outputs["&amp;this.Year&amp;"]"), MATCH(AM$5, INDIRECT($C91&amp;".Outputs[Vector]"), 0)), 0)</f>
        <v>0</v>
      </c>
      <c r="AN91" s="1038">
        <f t="shared" ca="1" si="224"/>
        <v>0</v>
      </c>
      <c r="AO91" s="1038">
        <f t="shared" ca="1" si="224"/>
        <v>0</v>
      </c>
      <c r="AP91" s="1038">
        <f t="shared" ca="1" si="224"/>
        <v>0</v>
      </c>
      <c r="AQ91" s="1038">
        <f t="shared" ca="1" si="224"/>
        <v>0</v>
      </c>
      <c r="AR91" s="1038">
        <f t="shared" ca="1" si="224"/>
        <v>0</v>
      </c>
      <c r="AS91" s="1038">
        <f t="shared" ca="1" si="224"/>
        <v>0</v>
      </c>
      <c r="AT91" s="1038">
        <f t="shared" ca="1" si="224"/>
        <v>0</v>
      </c>
      <c r="AU91" s="1038">
        <f t="shared" ca="1" si="224"/>
        <v>0</v>
      </c>
      <c r="AV91" s="1038">
        <f t="shared" ref="AV91:BE92" ca="1" si="225">IFERROR(INDEX(INDIRECT($C91&amp;".Outputs["&amp;this.Year&amp;"]"), MATCH(AV$5, INDIRECT($C91&amp;".Outputs[Vector]"), 0)), 0)</f>
        <v>0</v>
      </c>
      <c r="AW91" s="1038">
        <f t="shared" ca="1" si="225"/>
        <v>0</v>
      </c>
      <c r="AX91" s="1038">
        <f t="shared" ca="1" si="225"/>
        <v>0</v>
      </c>
      <c r="AY91" s="1038">
        <f t="shared" ca="1" si="225"/>
        <v>0</v>
      </c>
      <c r="AZ91" s="1038">
        <f t="shared" ca="1" si="225"/>
        <v>0</v>
      </c>
      <c r="BA91" s="1038">
        <f t="shared" ca="1" si="225"/>
        <v>0</v>
      </c>
      <c r="BB91" s="1038">
        <f t="shared" ca="1" si="225"/>
        <v>0</v>
      </c>
      <c r="BC91" s="1038">
        <f t="shared" ca="1" si="225"/>
        <v>0</v>
      </c>
      <c r="BD91" s="1038">
        <f t="shared" ca="1" si="225"/>
        <v>0</v>
      </c>
      <c r="BE91" s="1038">
        <f t="shared" ca="1" si="225"/>
        <v>0</v>
      </c>
      <c r="BF91" s="979">
        <f ca="1">SUM(AM91:BE91)</f>
        <v>0</v>
      </c>
      <c r="BG91" s="743"/>
      <c r="BH91" s="1032">
        <f ca="1">IFERROR(INDEX(INDIRECT($C91&amp;".Outputs["&amp;this.Year&amp;"]"), MATCH(BH$5, INDIRECT($C91&amp;".Outputs[Vector]"), 0)), 0)</f>
        <v>0</v>
      </c>
      <c r="BI91" s="1032">
        <f ca="1">IFERROR(INDEX(INDIRECT($C91&amp;".Outputs["&amp;this.Year&amp;"]"), MATCH(BI$5, INDIRECT($C91&amp;".Outputs[Vector]"), 0)), 0)</f>
        <v>29.911395184011777</v>
      </c>
      <c r="BJ91" s="1034">
        <f ca="1">SUM(BH91:BI91)</f>
        <v>29.911395184011777</v>
      </c>
      <c r="BK91" s="743"/>
      <c r="BL91" s="852">
        <f t="shared" ca="1" si="219"/>
        <v>0</v>
      </c>
      <c r="BM91" s="814"/>
      <c r="BO91" s="1481">
        <f t="shared" ref="BO91:BX92" ca="1" si="226">IFERROR(SUMIFS(INDIRECT($C91&amp;".Emissions["&amp;this.Year&amp;"]"), INDIRECT($C91&amp;".Emissions[GHG]"), BO$6, INDIRECT($C91&amp;".Emissions[IPCC Sector]"), BO$5),0)</f>
        <v>0</v>
      </c>
      <c r="BP91" s="1482">
        <f t="shared" ca="1" si="226"/>
        <v>0</v>
      </c>
      <c r="BQ91" s="1482">
        <f t="shared" ca="1" si="226"/>
        <v>0</v>
      </c>
      <c r="BR91" s="1482">
        <f t="shared" ca="1" si="226"/>
        <v>0</v>
      </c>
      <c r="BS91" s="1482">
        <f t="shared" ca="1" si="226"/>
        <v>0</v>
      </c>
      <c r="BT91" s="1482">
        <f t="shared" ca="1" si="226"/>
        <v>0</v>
      </c>
      <c r="BU91" s="1482">
        <f t="shared" ca="1" si="226"/>
        <v>0</v>
      </c>
      <c r="BV91" s="1482">
        <f t="shared" ca="1" si="226"/>
        <v>0</v>
      </c>
      <c r="BW91" s="1482">
        <f t="shared" ca="1" si="226"/>
        <v>0</v>
      </c>
      <c r="BX91" s="1482">
        <f t="shared" ca="1" si="226"/>
        <v>0</v>
      </c>
      <c r="BY91" s="1482">
        <f t="shared" ref="BY91:CH92" ca="1" si="227">IFERROR(SUMIFS(INDIRECT($C91&amp;".Emissions["&amp;this.Year&amp;"]"), INDIRECT($C91&amp;".Emissions[GHG]"), BY$6, INDIRECT($C91&amp;".Emissions[IPCC Sector]"), BY$5),0)</f>
        <v>0</v>
      </c>
      <c r="BZ91" s="1482">
        <f t="shared" ca="1" si="227"/>
        <v>0</v>
      </c>
      <c r="CA91" s="1482">
        <f t="shared" ca="1" si="227"/>
        <v>0</v>
      </c>
      <c r="CB91" s="1482">
        <f t="shared" ca="1" si="227"/>
        <v>0</v>
      </c>
      <c r="CC91" s="1482">
        <f t="shared" ca="1" si="227"/>
        <v>0</v>
      </c>
      <c r="CD91" s="1482">
        <f t="shared" ca="1" si="227"/>
        <v>0</v>
      </c>
      <c r="CE91" s="1482">
        <f t="shared" ca="1" si="227"/>
        <v>0</v>
      </c>
      <c r="CF91" s="1482">
        <f t="shared" ca="1" si="227"/>
        <v>0</v>
      </c>
      <c r="CG91" s="1482">
        <f t="shared" ca="1" si="227"/>
        <v>0</v>
      </c>
      <c r="CH91" s="1482">
        <f t="shared" ca="1" si="227"/>
        <v>0</v>
      </c>
      <c r="CI91" s="1482">
        <f t="shared" ref="CI91:CR92" ca="1" si="228">IFERROR(SUMIFS(INDIRECT($C91&amp;".Emissions["&amp;this.Year&amp;"]"), INDIRECT($C91&amp;".Emissions[GHG]"), CI$6, INDIRECT($C91&amp;".Emissions[IPCC Sector]"), CI$5),0)</f>
        <v>0</v>
      </c>
      <c r="CJ91" s="1482">
        <f t="shared" ca="1" si="228"/>
        <v>0</v>
      </c>
      <c r="CK91" s="1482">
        <f t="shared" ca="1" si="228"/>
        <v>0</v>
      </c>
      <c r="CL91" s="1482">
        <f t="shared" ca="1" si="228"/>
        <v>0</v>
      </c>
      <c r="CM91" s="1482">
        <f t="shared" ca="1" si="228"/>
        <v>0</v>
      </c>
      <c r="CN91" s="1482">
        <f t="shared" ca="1" si="228"/>
        <v>0</v>
      </c>
      <c r="CO91" s="1482">
        <f t="shared" ca="1" si="228"/>
        <v>0</v>
      </c>
      <c r="CP91" s="1482">
        <f t="shared" ca="1" si="228"/>
        <v>0</v>
      </c>
      <c r="CQ91" s="1482">
        <f t="shared" ca="1" si="228"/>
        <v>0</v>
      </c>
      <c r="CR91" s="1482">
        <f t="shared" ca="1" si="228"/>
        <v>0</v>
      </c>
      <c r="CS91" s="1482">
        <f t="shared" ref="CS91:DF92" ca="1" si="229">IFERROR(SUMIFS(INDIRECT($C91&amp;".Emissions["&amp;this.Year&amp;"]"), INDIRECT($C91&amp;".Emissions[GHG]"), CS$6, INDIRECT($C91&amp;".Emissions[IPCC Sector]"), CS$5),0)</f>
        <v>0</v>
      </c>
      <c r="CT91" s="1482">
        <f t="shared" ca="1" si="229"/>
        <v>0</v>
      </c>
      <c r="CU91" s="1482">
        <f t="shared" ca="1" si="229"/>
        <v>0</v>
      </c>
      <c r="CV91" s="1482">
        <f t="shared" ca="1" si="229"/>
        <v>0</v>
      </c>
      <c r="CW91" s="1482">
        <f t="shared" ca="1" si="229"/>
        <v>0</v>
      </c>
      <c r="CX91" s="1482">
        <f t="shared" ca="1" si="229"/>
        <v>0</v>
      </c>
      <c r="CY91" s="1482">
        <f t="shared" ca="1" si="229"/>
        <v>0</v>
      </c>
      <c r="CZ91" s="1482">
        <f t="shared" ca="1" si="229"/>
        <v>0</v>
      </c>
      <c r="DA91" s="1482">
        <f t="shared" ca="1" si="229"/>
        <v>0</v>
      </c>
      <c r="DB91" s="1482">
        <f t="shared" ca="1" si="229"/>
        <v>0</v>
      </c>
      <c r="DC91" s="1482">
        <f t="shared" ca="1" si="229"/>
        <v>0</v>
      </c>
      <c r="DD91" s="1482">
        <f t="shared" ca="1" si="229"/>
        <v>0</v>
      </c>
      <c r="DE91" s="1482">
        <f t="shared" ca="1" si="229"/>
        <v>0</v>
      </c>
      <c r="DF91" s="1482">
        <f t="shared" ca="1" si="229"/>
        <v>0</v>
      </c>
      <c r="DH91" s="838"/>
    </row>
    <row r="92" spans="1:112" s="1484" customFormat="1" hidden="1" outlineLevel="1">
      <c r="C92" s="522" t="s">
        <v>796</v>
      </c>
      <c r="D92" s="1010" t="str">
        <f>INDEX(Modules[Module], MATCH($C92, Modules[Code], 0))</f>
        <v>Storage, demand shifting, backup</v>
      </c>
      <c r="E92" s="1010"/>
      <c r="F92" s="743"/>
      <c r="G92" s="1022">
        <f t="shared" ca="1" si="221"/>
        <v>0</v>
      </c>
      <c r="H92" s="1022">
        <f t="shared" ca="1" si="221"/>
        <v>0</v>
      </c>
      <c r="I92" s="1022">
        <f t="shared" ca="1" si="221"/>
        <v>0</v>
      </c>
      <c r="J92" s="1022">
        <f t="shared" ca="1" si="221"/>
        <v>0</v>
      </c>
      <c r="K92" s="1022">
        <f t="shared" ca="1" si="221"/>
        <v>0</v>
      </c>
      <c r="L92" s="1022">
        <f t="shared" ca="1" si="221"/>
        <v>0</v>
      </c>
      <c r="M92" s="1022">
        <f t="shared" ca="1" si="221"/>
        <v>0</v>
      </c>
      <c r="N92" s="1022">
        <f t="shared" ca="1" si="221"/>
        <v>0</v>
      </c>
      <c r="O92" s="1022">
        <f t="shared" ca="1" si="221"/>
        <v>0</v>
      </c>
      <c r="P92" s="1022">
        <f t="shared" ca="1" si="221"/>
        <v>0</v>
      </c>
      <c r="Q92" s="1020">
        <f ca="1">SUM(G92:P92)</f>
        <v>0</v>
      </c>
      <c r="R92" s="743"/>
      <c r="S92" s="1031">
        <f t="shared" ca="1" si="222"/>
        <v>0</v>
      </c>
      <c r="T92" s="1031">
        <f t="shared" ca="1" si="222"/>
        <v>0</v>
      </c>
      <c r="U92" s="1031">
        <f t="shared" ca="1" si="222"/>
        <v>0</v>
      </c>
      <c r="V92" s="1031">
        <f t="shared" ca="1" si="222"/>
        <v>0</v>
      </c>
      <c r="W92" s="1031">
        <f t="shared" ca="1" si="222"/>
        <v>0</v>
      </c>
      <c r="X92" s="1031">
        <f t="shared" ca="1" si="223"/>
        <v>0</v>
      </c>
      <c r="Y92" s="1031">
        <f t="shared" ca="1" si="223"/>
        <v>0</v>
      </c>
      <c r="Z92" s="1031">
        <f t="shared" ca="1" si="223"/>
        <v>0</v>
      </c>
      <c r="AA92" s="1031">
        <f t="shared" ca="1" si="222"/>
        <v>0</v>
      </c>
      <c r="AB92" s="1031">
        <f t="shared" ca="1" si="222"/>
        <v>0</v>
      </c>
      <c r="AC92" s="1031">
        <f t="shared" ca="1" si="222"/>
        <v>0</v>
      </c>
      <c r="AD92" s="1031">
        <f t="shared" ca="1" si="222"/>
        <v>0</v>
      </c>
      <c r="AE92" s="1031">
        <f t="shared" ca="1" si="222"/>
        <v>0</v>
      </c>
      <c r="AF92" s="1031">
        <f t="shared" ca="1" si="222"/>
        <v>0</v>
      </c>
      <c r="AG92" s="1031">
        <f t="shared" ca="1" si="222"/>
        <v>0</v>
      </c>
      <c r="AH92" s="1031">
        <f t="shared" ca="1" si="222"/>
        <v>0</v>
      </c>
      <c r="AI92" s="1031">
        <f t="shared" ca="1" si="222"/>
        <v>0</v>
      </c>
      <c r="AJ92" s="1031">
        <f t="shared" ca="1" si="222"/>
        <v>0</v>
      </c>
      <c r="AK92" s="1030">
        <f ca="1">SUM(S92:AJ92)</f>
        <v>0</v>
      </c>
      <c r="AL92" s="743"/>
      <c r="AM92" s="1042">
        <f t="shared" ca="1" si="224"/>
        <v>0</v>
      </c>
      <c r="AN92" s="1042">
        <f t="shared" ca="1" si="224"/>
        <v>0</v>
      </c>
      <c r="AO92" s="1042">
        <f t="shared" ca="1" si="224"/>
        <v>0</v>
      </c>
      <c r="AP92" s="1042">
        <f t="shared" ca="1" si="224"/>
        <v>0</v>
      </c>
      <c r="AQ92" s="1042">
        <f t="shared" ca="1" si="224"/>
        <v>0</v>
      </c>
      <c r="AR92" s="1042">
        <f t="shared" ca="1" si="224"/>
        <v>0</v>
      </c>
      <c r="AS92" s="1042">
        <f t="shared" ca="1" si="224"/>
        <v>0</v>
      </c>
      <c r="AT92" s="1042">
        <f t="shared" ca="1" si="224"/>
        <v>0</v>
      </c>
      <c r="AU92" s="1042">
        <f t="shared" ca="1" si="224"/>
        <v>0</v>
      </c>
      <c r="AV92" s="1042">
        <f t="shared" ca="1" si="225"/>
        <v>0</v>
      </c>
      <c r="AW92" s="1042">
        <f t="shared" ca="1" si="225"/>
        <v>0</v>
      </c>
      <c r="AX92" s="1042">
        <f t="shared" ca="1" si="225"/>
        <v>0</v>
      </c>
      <c r="AY92" s="1042">
        <f t="shared" ca="1" si="225"/>
        <v>0</v>
      </c>
      <c r="AZ92" s="1042">
        <f t="shared" ca="1" si="225"/>
        <v>0</v>
      </c>
      <c r="BA92" s="1042">
        <f t="shared" ca="1" si="225"/>
        <v>0</v>
      </c>
      <c r="BB92" s="1042">
        <f t="shared" ca="1" si="225"/>
        <v>0</v>
      </c>
      <c r="BC92" s="1042">
        <f t="shared" ca="1" si="225"/>
        <v>0</v>
      </c>
      <c r="BD92" s="1042">
        <f t="shared" ca="1" si="225"/>
        <v>0</v>
      </c>
      <c r="BE92" s="1042">
        <f t="shared" ca="1" si="225"/>
        <v>0</v>
      </c>
      <c r="BF92" s="1012">
        <f ca="1">SUM(AM92:BE92)</f>
        <v>0</v>
      </c>
      <c r="BG92" s="743"/>
      <c r="BH92" s="1036">
        <f ca="1">IFERROR(INDEX(INDIRECT($C92&amp;".Outputs["&amp;this.Year&amp;"]"), MATCH(BH$5, INDIRECT($C92&amp;".Outputs[Vector]"), 0)), 0)</f>
        <v>0</v>
      </c>
      <c r="BI92" s="1036">
        <f ca="1">IFERROR(INDEX(INDIRECT($C92&amp;".Outputs["&amp;this.Year&amp;"]"), MATCH(BI$5, INDIRECT($C92&amp;".Outputs[Vector]"), 0)), 0)</f>
        <v>0</v>
      </c>
      <c r="BJ92" s="1035">
        <f ca="1">SUM(BH92:BI92)</f>
        <v>0</v>
      </c>
      <c r="BK92" s="743"/>
      <c r="BL92" s="852">
        <f t="shared" ca="1" si="219"/>
        <v>0</v>
      </c>
      <c r="BM92" s="814"/>
      <c r="BO92" s="1485">
        <f t="shared" ca="1" si="226"/>
        <v>0</v>
      </c>
      <c r="BP92" s="1486">
        <f t="shared" ca="1" si="226"/>
        <v>0</v>
      </c>
      <c r="BQ92" s="1486">
        <f t="shared" ca="1" si="226"/>
        <v>0</v>
      </c>
      <c r="BR92" s="1486">
        <f t="shared" ca="1" si="226"/>
        <v>0</v>
      </c>
      <c r="BS92" s="1486">
        <f t="shared" ca="1" si="226"/>
        <v>0</v>
      </c>
      <c r="BT92" s="1486">
        <f t="shared" ca="1" si="226"/>
        <v>0</v>
      </c>
      <c r="BU92" s="1486">
        <f t="shared" ca="1" si="226"/>
        <v>0</v>
      </c>
      <c r="BV92" s="1486">
        <f t="shared" ca="1" si="226"/>
        <v>0</v>
      </c>
      <c r="BW92" s="1486">
        <f t="shared" ca="1" si="226"/>
        <v>0</v>
      </c>
      <c r="BX92" s="1486">
        <f t="shared" ca="1" si="226"/>
        <v>0</v>
      </c>
      <c r="BY92" s="1486">
        <f t="shared" ca="1" si="227"/>
        <v>0</v>
      </c>
      <c r="BZ92" s="1486">
        <f t="shared" ca="1" si="227"/>
        <v>0</v>
      </c>
      <c r="CA92" s="1486">
        <f t="shared" ca="1" si="227"/>
        <v>0</v>
      </c>
      <c r="CB92" s="1486">
        <f t="shared" ca="1" si="227"/>
        <v>0</v>
      </c>
      <c r="CC92" s="1486">
        <f t="shared" ca="1" si="227"/>
        <v>0</v>
      </c>
      <c r="CD92" s="1486">
        <f t="shared" ca="1" si="227"/>
        <v>0</v>
      </c>
      <c r="CE92" s="1486">
        <f t="shared" ca="1" si="227"/>
        <v>0</v>
      </c>
      <c r="CF92" s="1486">
        <f t="shared" ca="1" si="227"/>
        <v>0</v>
      </c>
      <c r="CG92" s="1486">
        <f t="shared" ca="1" si="227"/>
        <v>0</v>
      </c>
      <c r="CH92" s="1486">
        <f t="shared" ca="1" si="227"/>
        <v>0</v>
      </c>
      <c r="CI92" s="1486">
        <f t="shared" ca="1" si="228"/>
        <v>0</v>
      </c>
      <c r="CJ92" s="1486">
        <f t="shared" ca="1" si="228"/>
        <v>0</v>
      </c>
      <c r="CK92" s="1486">
        <f t="shared" ca="1" si="228"/>
        <v>0</v>
      </c>
      <c r="CL92" s="1486">
        <f t="shared" ca="1" si="228"/>
        <v>0</v>
      </c>
      <c r="CM92" s="1486">
        <f t="shared" ca="1" si="228"/>
        <v>0</v>
      </c>
      <c r="CN92" s="1486">
        <f t="shared" ca="1" si="228"/>
        <v>0</v>
      </c>
      <c r="CO92" s="1486">
        <f t="shared" ca="1" si="228"/>
        <v>0</v>
      </c>
      <c r="CP92" s="1486">
        <f t="shared" ca="1" si="228"/>
        <v>0</v>
      </c>
      <c r="CQ92" s="1486">
        <f t="shared" ca="1" si="228"/>
        <v>0</v>
      </c>
      <c r="CR92" s="1486">
        <f t="shared" ca="1" si="228"/>
        <v>0</v>
      </c>
      <c r="CS92" s="1486">
        <f t="shared" ca="1" si="229"/>
        <v>0</v>
      </c>
      <c r="CT92" s="1486">
        <f t="shared" ca="1" si="229"/>
        <v>0</v>
      </c>
      <c r="CU92" s="1486">
        <f t="shared" ca="1" si="229"/>
        <v>0</v>
      </c>
      <c r="CV92" s="1486">
        <f t="shared" ca="1" si="229"/>
        <v>0</v>
      </c>
      <c r="CW92" s="1486">
        <f t="shared" ca="1" si="229"/>
        <v>0</v>
      </c>
      <c r="CX92" s="1486">
        <f t="shared" ca="1" si="229"/>
        <v>0</v>
      </c>
      <c r="CY92" s="1486">
        <f t="shared" ca="1" si="229"/>
        <v>0</v>
      </c>
      <c r="CZ92" s="1486">
        <f t="shared" ca="1" si="229"/>
        <v>0</v>
      </c>
      <c r="DA92" s="1486">
        <f t="shared" ca="1" si="229"/>
        <v>0</v>
      </c>
      <c r="DB92" s="1486">
        <f t="shared" ca="1" si="229"/>
        <v>0</v>
      </c>
      <c r="DC92" s="1486">
        <f t="shared" ca="1" si="229"/>
        <v>0</v>
      </c>
      <c r="DD92" s="1486">
        <f t="shared" ca="1" si="229"/>
        <v>0</v>
      </c>
      <c r="DE92" s="1486">
        <f t="shared" ca="1" si="229"/>
        <v>0</v>
      </c>
      <c r="DF92" s="1486">
        <f t="shared" ca="1" si="229"/>
        <v>0</v>
      </c>
      <c r="DH92" s="838"/>
    </row>
    <row r="93" spans="1:112" s="22" customFormat="1" ht="12.75" customHeight="1" collapsed="1">
      <c r="B93" s="753"/>
      <c r="C93" s="744" t="s">
        <v>673</v>
      </c>
      <c r="D93" s="517" t="str">
        <f>INDEX(Workstreams[Workstream], MATCH($C93, Workstreams[Code], 0))</f>
        <v>Electricity distribution, storage, and balancing</v>
      </c>
      <c r="E93" s="512"/>
      <c r="F93" s="743"/>
      <c r="G93" s="958">
        <f t="shared" ref="G93:P93" ca="1" si="230">G$89+G$91+G$92</f>
        <v>0</v>
      </c>
      <c r="H93" s="958">
        <f t="shared" ca="1" si="230"/>
        <v>0</v>
      </c>
      <c r="I93" s="958">
        <f t="shared" ca="1" si="230"/>
        <v>0</v>
      </c>
      <c r="J93" s="958">
        <f t="shared" ca="1" si="230"/>
        <v>0</v>
      </c>
      <c r="K93" s="960">
        <f t="shared" ca="1" si="230"/>
        <v>0</v>
      </c>
      <c r="L93" s="958">
        <f t="shared" ca="1" si="230"/>
        <v>0</v>
      </c>
      <c r="M93" s="958">
        <f t="shared" ca="1" si="230"/>
        <v>0</v>
      </c>
      <c r="N93" s="958">
        <f t="shared" ca="1" si="230"/>
        <v>0</v>
      </c>
      <c r="O93" s="958">
        <f t="shared" ca="1" si="230"/>
        <v>0</v>
      </c>
      <c r="P93" s="958">
        <f t="shared" ca="1" si="230"/>
        <v>0</v>
      </c>
      <c r="Q93" s="1021">
        <f ca="1">SUM(G93:P93)</f>
        <v>0</v>
      </c>
      <c r="R93" s="743"/>
      <c r="S93" s="970">
        <f t="shared" ref="S93:AJ93" ca="1" si="231">S$89+S$91+S$92</f>
        <v>0</v>
      </c>
      <c r="T93" s="970">
        <f t="shared" ca="1" si="231"/>
        <v>-29.911395184011781</v>
      </c>
      <c r="U93" s="970">
        <f t="shared" ca="1" si="231"/>
        <v>0</v>
      </c>
      <c r="V93" s="970">
        <f t="shared" ca="1" si="231"/>
        <v>0</v>
      </c>
      <c r="W93" s="970">
        <f t="shared" ca="1" si="231"/>
        <v>0</v>
      </c>
      <c r="X93" s="970">
        <f ca="1">X$89+X$91+X$92</f>
        <v>0</v>
      </c>
      <c r="Y93" s="970">
        <f ca="1">Y$89+Y$91+Y$92</f>
        <v>0</v>
      </c>
      <c r="Z93" s="970">
        <f ca="1">Z$89+Z$91+Z$92</f>
        <v>0</v>
      </c>
      <c r="AA93" s="970">
        <f t="shared" ca="1" si="231"/>
        <v>0</v>
      </c>
      <c r="AB93" s="970">
        <f t="shared" ca="1" si="231"/>
        <v>0</v>
      </c>
      <c r="AC93" s="970">
        <f t="shared" ca="1" si="231"/>
        <v>0</v>
      </c>
      <c r="AD93" s="970">
        <f t="shared" ca="1" si="231"/>
        <v>0</v>
      </c>
      <c r="AE93" s="970">
        <f t="shared" ca="1" si="231"/>
        <v>0</v>
      </c>
      <c r="AF93" s="970">
        <f t="shared" ca="1" si="231"/>
        <v>0</v>
      </c>
      <c r="AG93" s="970">
        <f t="shared" ca="1" si="231"/>
        <v>0</v>
      </c>
      <c r="AH93" s="970">
        <f t="shared" ca="1" si="231"/>
        <v>0</v>
      </c>
      <c r="AI93" s="970">
        <f t="shared" ca="1" si="231"/>
        <v>0</v>
      </c>
      <c r="AJ93" s="970">
        <f t="shared" ca="1" si="231"/>
        <v>0</v>
      </c>
      <c r="AK93" s="970">
        <f ca="1">SUM(S93:AJ93)</f>
        <v>-29.911395184011781</v>
      </c>
      <c r="AL93" s="743"/>
      <c r="AM93" s="976">
        <f t="shared" ref="AM93:BE93" ca="1" si="232">AM$89+AM$91+AM$92</f>
        <v>0</v>
      </c>
      <c r="AN93" s="976">
        <f t="shared" ca="1" si="232"/>
        <v>0</v>
      </c>
      <c r="AO93" s="976">
        <f t="shared" ca="1" si="232"/>
        <v>0</v>
      </c>
      <c r="AP93" s="976">
        <f t="shared" ca="1" si="232"/>
        <v>0</v>
      </c>
      <c r="AQ93" s="976">
        <f t="shared" ca="1" si="232"/>
        <v>0</v>
      </c>
      <c r="AR93" s="976">
        <f t="shared" ca="1" si="232"/>
        <v>0</v>
      </c>
      <c r="AS93" s="976">
        <f t="shared" ca="1" si="232"/>
        <v>0</v>
      </c>
      <c r="AT93" s="976">
        <f t="shared" ca="1" si="232"/>
        <v>0</v>
      </c>
      <c r="AU93" s="976">
        <f t="shared" ca="1" si="232"/>
        <v>0</v>
      </c>
      <c r="AV93" s="976">
        <f t="shared" ca="1" si="232"/>
        <v>0</v>
      </c>
      <c r="AW93" s="976">
        <f t="shared" ca="1" si="232"/>
        <v>0</v>
      </c>
      <c r="AX93" s="976">
        <f t="shared" ca="1" si="232"/>
        <v>0</v>
      </c>
      <c r="AY93" s="976">
        <f t="shared" ca="1" si="232"/>
        <v>0</v>
      </c>
      <c r="AZ93" s="976">
        <f t="shared" ca="1" si="232"/>
        <v>0</v>
      </c>
      <c r="BA93" s="976">
        <f t="shared" ca="1" si="232"/>
        <v>0</v>
      </c>
      <c r="BB93" s="976">
        <f t="shared" ca="1" si="232"/>
        <v>0</v>
      </c>
      <c r="BC93" s="976">
        <f t="shared" ca="1" si="232"/>
        <v>0</v>
      </c>
      <c r="BD93" s="976">
        <f t="shared" ca="1" si="232"/>
        <v>0</v>
      </c>
      <c r="BE93" s="976">
        <f t="shared" ca="1" si="232"/>
        <v>0</v>
      </c>
      <c r="BF93" s="976">
        <f ca="1">SUM(AM93:BE93)</f>
        <v>0</v>
      </c>
      <c r="BG93" s="743"/>
      <c r="BH93" s="990">
        <f ca="1">BH$89+BH$91+BH$92</f>
        <v>0</v>
      </c>
      <c r="BI93" s="990">
        <f ca="1">BI$89+BI$91+BI$92</f>
        <v>29.911395184011777</v>
      </c>
      <c r="BJ93" s="990">
        <f ca="1">SUM(BH93:BI93)</f>
        <v>29.911395184011777</v>
      </c>
      <c r="BK93" s="743"/>
      <c r="BL93" s="515">
        <f t="shared" ca="1" si="219"/>
        <v>0</v>
      </c>
      <c r="BM93" s="515"/>
      <c r="BN93" s="840"/>
      <c r="BO93" s="1482">
        <f t="shared" ref="BO93:DF93" ca="1" si="233">BO$89+BO$91+BO$92</f>
        <v>0</v>
      </c>
      <c r="BP93" s="1482">
        <f t="shared" ca="1" si="233"/>
        <v>0</v>
      </c>
      <c r="BQ93" s="1482">
        <f t="shared" ca="1" si="233"/>
        <v>0</v>
      </c>
      <c r="BR93" s="1482">
        <f t="shared" ca="1" si="233"/>
        <v>0</v>
      </c>
      <c r="BS93" s="1482">
        <f t="shared" ca="1" si="233"/>
        <v>0</v>
      </c>
      <c r="BT93" s="1482">
        <f t="shared" ca="1" si="233"/>
        <v>0</v>
      </c>
      <c r="BU93" s="1482">
        <f t="shared" ca="1" si="233"/>
        <v>0</v>
      </c>
      <c r="BV93" s="1482">
        <f t="shared" ca="1" si="233"/>
        <v>0</v>
      </c>
      <c r="BW93" s="1482">
        <f t="shared" ca="1" si="233"/>
        <v>0</v>
      </c>
      <c r="BX93" s="1482">
        <f t="shared" ca="1" si="233"/>
        <v>0</v>
      </c>
      <c r="BY93" s="1482">
        <f t="shared" ca="1" si="233"/>
        <v>0</v>
      </c>
      <c r="BZ93" s="1482">
        <f t="shared" ca="1" si="233"/>
        <v>0</v>
      </c>
      <c r="CA93" s="1482">
        <f t="shared" ca="1" si="233"/>
        <v>0</v>
      </c>
      <c r="CB93" s="1482">
        <f t="shared" ca="1" si="233"/>
        <v>0</v>
      </c>
      <c r="CC93" s="1482">
        <f t="shared" ca="1" si="233"/>
        <v>0</v>
      </c>
      <c r="CD93" s="1482">
        <f t="shared" ca="1" si="233"/>
        <v>0</v>
      </c>
      <c r="CE93" s="1482">
        <f t="shared" ca="1" si="233"/>
        <v>0</v>
      </c>
      <c r="CF93" s="1482">
        <f t="shared" ca="1" si="233"/>
        <v>0</v>
      </c>
      <c r="CG93" s="1482">
        <f t="shared" ca="1" si="233"/>
        <v>0</v>
      </c>
      <c r="CH93" s="1482">
        <f t="shared" ca="1" si="233"/>
        <v>0</v>
      </c>
      <c r="CI93" s="1482">
        <f t="shared" ca="1" si="233"/>
        <v>0</v>
      </c>
      <c r="CJ93" s="1482">
        <f t="shared" ca="1" si="233"/>
        <v>0</v>
      </c>
      <c r="CK93" s="1482">
        <f t="shared" ca="1" si="233"/>
        <v>0</v>
      </c>
      <c r="CL93" s="1482">
        <f t="shared" ca="1" si="233"/>
        <v>0</v>
      </c>
      <c r="CM93" s="1482">
        <f t="shared" ca="1" si="233"/>
        <v>0</v>
      </c>
      <c r="CN93" s="1482">
        <f t="shared" ca="1" si="233"/>
        <v>0</v>
      </c>
      <c r="CO93" s="1482">
        <f t="shared" ca="1" si="233"/>
        <v>0</v>
      </c>
      <c r="CP93" s="1482">
        <f t="shared" ca="1" si="233"/>
        <v>0</v>
      </c>
      <c r="CQ93" s="1482">
        <f t="shared" ca="1" si="233"/>
        <v>0</v>
      </c>
      <c r="CR93" s="1482">
        <f t="shared" ca="1" si="233"/>
        <v>0</v>
      </c>
      <c r="CS93" s="1482">
        <f t="shared" ca="1" si="233"/>
        <v>0</v>
      </c>
      <c r="CT93" s="1482">
        <f t="shared" ca="1" si="233"/>
        <v>0</v>
      </c>
      <c r="CU93" s="1482">
        <f t="shared" ca="1" si="233"/>
        <v>0</v>
      </c>
      <c r="CV93" s="1482">
        <f t="shared" ca="1" si="233"/>
        <v>0</v>
      </c>
      <c r="CW93" s="1482">
        <f t="shared" ca="1" si="233"/>
        <v>0</v>
      </c>
      <c r="CX93" s="1482">
        <f t="shared" ca="1" si="233"/>
        <v>0</v>
      </c>
      <c r="CY93" s="1482">
        <f t="shared" ca="1" si="233"/>
        <v>0</v>
      </c>
      <c r="CZ93" s="1482">
        <f t="shared" ca="1" si="233"/>
        <v>0</v>
      </c>
      <c r="DA93" s="1482">
        <f t="shared" ca="1" si="233"/>
        <v>0</v>
      </c>
      <c r="DB93" s="1482">
        <f t="shared" ca="1" si="233"/>
        <v>0</v>
      </c>
      <c r="DC93" s="1482">
        <f t="shared" ca="1" si="233"/>
        <v>0</v>
      </c>
      <c r="DD93" s="1482">
        <f t="shared" ca="1" si="233"/>
        <v>0</v>
      </c>
      <c r="DE93" s="1482">
        <f t="shared" ca="1" si="233"/>
        <v>0</v>
      </c>
      <c r="DF93" s="1482">
        <f t="shared" ca="1" si="233"/>
        <v>0</v>
      </c>
      <c r="DH93" s="838">
        <f t="shared" ref="DH93:DH104" ca="1" si="234">SUM(BO93:DF93)</f>
        <v>0</v>
      </c>
    </row>
    <row r="94" spans="1:112" s="743" customFormat="1" ht="12.75" hidden="1" customHeight="1" outlineLevel="1">
      <c r="A94" s="22"/>
      <c r="B94" s="22"/>
      <c r="C94" s="751"/>
      <c r="D94" s="512"/>
      <c r="E94" s="512"/>
      <c r="G94" s="958"/>
      <c r="H94" s="958"/>
      <c r="I94" s="958"/>
      <c r="J94" s="958"/>
      <c r="K94" s="960"/>
      <c r="L94" s="958"/>
      <c r="M94" s="958"/>
      <c r="N94" s="958"/>
      <c r="O94" s="958"/>
      <c r="P94" s="958"/>
      <c r="Q94" s="958"/>
      <c r="S94" s="970"/>
      <c r="T94" s="970"/>
      <c r="U94" s="970"/>
      <c r="V94" s="970"/>
      <c r="W94" s="970"/>
      <c r="X94" s="970"/>
      <c r="Y94" s="970"/>
      <c r="Z94" s="970"/>
      <c r="AA94" s="970"/>
      <c r="AB94" s="970"/>
      <c r="AC94" s="970"/>
      <c r="AD94" s="970"/>
      <c r="AE94" s="970"/>
      <c r="AF94" s="970"/>
      <c r="AG94" s="970"/>
      <c r="AH94" s="970"/>
      <c r="AI94" s="970"/>
      <c r="AJ94" s="970"/>
      <c r="AK94" s="970"/>
      <c r="AM94" s="976"/>
      <c r="AN94" s="976"/>
      <c r="AO94" s="976"/>
      <c r="AP94" s="976"/>
      <c r="AQ94" s="976"/>
      <c r="AR94" s="976"/>
      <c r="AS94" s="976"/>
      <c r="AT94" s="976"/>
      <c r="AU94" s="976"/>
      <c r="AV94" s="976"/>
      <c r="AW94" s="976"/>
      <c r="AX94" s="976"/>
      <c r="AY94" s="976"/>
      <c r="AZ94" s="976"/>
      <c r="BA94" s="976"/>
      <c r="BB94" s="976"/>
      <c r="BC94" s="976"/>
      <c r="BD94" s="976"/>
      <c r="BE94" s="976"/>
      <c r="BF94" s="976"/>
      <c r="BH94" s="990"/>
      <c r="BI94" s="990"/>
      <c r="BJ94" s="990"/>
      <c r="BL94" s="515">
        <f t="shared" si="219"/>
        <v>0</v>
      </c>
      <c r="BM94" s="515"/>
      <c r="BN94" s="840"/>
      <c r="BO94" s="1482"/>
      <c r="BP94" s="1482"/>
      <c r="BQ94" s="1482"/>
      <c r="BR94" s="1482"/>
      <c r="BS94" s="1482"/>
      <c r="BT94" s="1482"/>
      <c r="BU94" s="1482"/>
      <c r="BV94" s="1482"/>
      <c r="BW94" s="1482"/>
      <c r="BX94" s="1482"/>
      <c r="BY94" s="1482"/>
      <c r="BZ94" s="1482"/>
      <c r="CA94" s="1482"/>
      <c r="CB94" s="1482"/>
      <c r="CC94" s="1482"/>
      <c r="CD94" s="1482"/>
      <c r="CE94" s="1482"/>
      <c r="CF94" s="1482"/>
      <c r="CG94" s="1482"/>
      <c r="CH94" s="1482"/>
      <c r="CI94" s="1482"/>
      <c r="CJ94" s="1482"/>
      <c r="CK94" s="1482"/>
      <c r="CL94" s="1482"/>
      <c r="CM94" s="1482"/>
      <c r="CN94" s="1482"/>
      <c r="CO94" s="1482"/>
      <c r="CP94" s="1482"/>
      <c r="CQ94" s="1482"/>
      <c r="CR94" s="1482"/>
      <c r="CS94" s="1482"/>
      <c r="CT94" s="1482"/>
      <c r="CU94" s="1482"/>
      <c r="CV94" s="1482"/>
      <c r="CW94" s="1482"/>
      <c r="CX94" s="1482"/>
      <c r="CY94" s="1482"/>
      <c r="CZ94" s="1482"/>
      <c r="DA94" s="1482"/>
      <c r="DB94" s="1482"/>
      <c r="DC94" s="1482"/>
      <c r="DD94" s="1482"/>
      <c r="DE94" s="1482"/>
      <c r="DF94" s="1482"/>
      <c r="DH94" s="838">
        <f t="shared" si="234"/>
        <v>0</v>
      </c>
    </row>
    <row r="95" spans="1:112" s="1491" customFormat="1" ht="12.75" hidden="1" customHeight="1" outlineLevel="1">
      <c r="C95" s="1534" t="s">
        <v>1723</v>
      </c>
      <c r="D95" s="1535" t="s">
        <v>1665</v>
      </c>
      <c r="E95" s="1535"/>
      <c r="G95" s="1070"/>
      <c r="H95" s="1070"/>
      <c r="I95" s="1070"/>
      <c r="J95" s="1070"/>
      <c r="K95" s="1071"/>
      <c r="L95" s="1070"/>
      <c r="M95" s="1070"/>
      <c r="N95" s="1070"/>
      <c r="O95" s="1070"/>
      <c r="P95" s="1070"/>
      <c r="Q95" s="1070"/>
      <c r="S95" s="1072"/>
      <c r="T95" s="1072"/>
      <c r="U95" s="1072">
        <f ca="1">(U$40+U$84+U$93)</f>
        <v>-113.11419496727213</v>
      </c>
      <c r="V95" s="1072">
        <f ca="1">(V$40+V$84+V$93)</f>
        <v>-816.14496810350909</v>
      </c>
      <c r="W95" s="1072">
        <f ca="1">(W$40+W$84+W$93)</f>
        <v>-1487.4018427806232</v>
      </c>
      <c r="X95" s="1072"/>
      <c r="Y95" s="1072"/>
      <c r="Z95" s="1072"/>
      <c r="AA95" s="1072"/>
      <c r="AB95" s="1072"/>
      <c r="AC95" s="1072">
        <f t="shared" ref="AC95:AH95" ca="1" si="235">(AC$40+AC$84+AC$93)</f>
        <v>0</v>
      </c>
      <c r="AD95" s="1072">
        <f t="shared" ca="1" si="235"/>
        <v>29.548733569197832</v>
      </c>
      <c r="AE95" s="1072">
        <f t="shared" ca="1" si="235"/>
        <v>1.4299306702169821</v>
      </c>
      <c r="AF95" s="1072">
        <f t="shared" ca="1" si="235"/>
        <v>46.590464281644856</v>
      </c>
      <c r="AG95" s="1072">
        <f t="shared" ca="1" si="235"/>
        <v>44.318418705558379</v>
      </c>
      <c r="AH95" s="1072">
        <f t="shared" ca="1" si="235"/>
        <v>16.949513130720788</v>
      </c>
      <c r="AI95" s="1072"/>
      <c r="AJ95" s="1072"/>
      <c r="AK95" s="1072"/>
      <c r="AM95" s="1073"/>
      <c r="AN95" s="1073"/>
      <c r="AO95" s="1073"/>
      <c r="AP95" s="1073"/>
      <c r="AQ95" s="1073"/>
      <c r="AR95" s="1073"/>
      <c r="AS95" s="1073"/>
      <c r="AT95" s="1073"/>
      <c r="AU95" s="1073"/>
      <c r="AV95" s="1073"/>
      <c r="AW95" s="1073"/>
      <c r="AX95" s="1073"/>
      <c r="AY95" s="1073"/>
      <c r="AZ95" s="1073"/>
      <c r="BA95" s="1073"/>
      <c r="BB95" s="1073"/>
      <c r="BC95" s="1073"/>
      <c r="BD95" s="1073"/>
      <c r="BE95" s="1073">
        <f ca="1">BE40+BE46+BE51</f>
        <v>-185.14961961300929</v>
      </c>
      <c r="BF95" s="1073">
        <f ca="1">SUM(AM95:BE95)</f>
        <v>-185.14961961300929</v>
      </c>
      <c r="BH95" s="1074"/>
      <c r="BI95" s="1074"/>
      <c r="BJ95" s="1074"/>
      <c r="BL95" s="1536"/>
      <c r="BM95" s="1536"/>
      <c r="BN95" s="1537"/>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8"/>
      <c r="CP95" s="1538"/>
      <c r="CQ95" s="1538"/>
      <c r="CR95" s="1538"/>
      <c r="CS95" s="1538"/>
      <c r="CT95" s="1538"/>
      <c r="CU95" s="1538"/>
      <c r="CV95" s="1538"/>
      <c r="CW95" s="1538"/>
      <c r="CX95" s="1538"/>
      <c r="CY95" s="1538"/>
      <c r="CZ95" s="1538"/>
      <c r="DA95" s="1538"/>
      <c r="DB95" s="1538"/>
      <c r="DC95" s="1538"/>
      <c r="DD95" s="1538"/>
      <c r="DE95" s="1538"/>
      <c r="DF95" s="1538"/>
      <c r="DH95" s="1537">
        <f t="shared" si="234"/>
        <v>0</v>
      </c>
    </row>
    <row r="96" spans="1:112" s="1957" customFormat="1" ht="12.75" hidden="1" customHeight="1" outlineLevel="1">
      <c r="A96" s="1954"/>
      <c r="B96" s="1954"/>
      <c r="C96" s="1955" t="s">
        <v>963</v>
      </c>
      <c r="D96" s="1956" t="str">
        <f>INDEX(Modules[Module], MATCH($C96, Modules[Code], 0))</f>
        <v>Biomatter to fuel conversion</v>
      </c>
      <c r="E96" s="1956"/>
      <c r="G96" s="1061">
        <f t="shared" ref="G96:P96" ca="1" si="236">IFERROR(INDEX(INDIRECT($C96&amp;".Outputs["&amp;this.Year&amp;"]"), MATCH(G$5, INDIRECT($C96&amp;".Outputs[Vector]"), 0)), 0)</f>
        <v>0</v>
      </c>
      <c r="H96" s="1061">
        <f t="shared" ca="1" si="236"/>
        <v>0</v>
      </c>
      <c r="I96" s="1061">
        <f t="shared" ca="1" si="236"/>
        <v>0</v>
      </c>
      <c r="J96" s="1061">
        <f t="shared" ca="1" si="236"/>
        <v>0</v>
      </c>
      <c r="K96" s="1061">
        <f t="shared" ca="1" si="236"/>
        <v>0</v>
      </c>
      <c r="L96" s="1061">
        <f t="shared" ca="1" si="236"/>
        <v>0</v>
      </c>
      <c r="M96" s="1061">
        <f t="shared" ca="1" si="236"/>
        <v>0</v>
      </c>
      <c r="N96" s="1061">
        <f t="shared" ca="1" si="236"/>
        <v>0</v>
      </c>
      <c r="O96" s="1061">
        <f t="shared" ca="1" si="236"/>
        <v>0</v>
      </c>
      <c r="P96" s="1061">
        <f t="shared" ca="1" si="236"/>
        <v>0</v>
      </c>
      <c r="Q96" s="1062">
        <f ca="1">SUM(G96:P96)</f>
        <v>0</v>
      </c>
      <c r="S96" s="1063">
        <f t="shared" ref="S96:AJ96" ca="1" si="237">IFERROR(INDEX(INDIRECT($C96&amp;".Outputs["&amp;this.Year&amp;"]"), MATCH(S$5, INDIRECT($C96&amp;".Outputs[Vector]"), 0)), 0)</f>
        <v>0</v>
      </c>
      <c r="T96" s="1063">
        <f t="shared" ca="1" si="237"/>
        <v>0</v>
      </c>
      <c r="U96" s="1063">
        <f t="shared" ca="1" si="237"/>
        <v>41.931417853480369</v>
      </c>
      <c r="V96" s="1063">
        <f t="shared" ca="1" si="237"/>
        <v>19.354467992053877</v>
      </c>
      <c r="W96" s="1063">
        <f t="shared" ca="1" si="237"/>
        <v>52.404248095167496</v>
      </c>
      <c r="X96" s="1063">
        <f t="shared" ca="1" si="237"/>
        <v>0</v>
      </c>
      <c r="Y96" s="1063">
        <f t="shared" ca="1" si="237"/>
        <v>0</v>
      </c>
      <c r="Z96" s="1063">
        <f t="shared" ca="1" si="237"/>
        <v>0</v>
      </c>
      <c r="AA96" s="1063">
        <f t="shared" ca="1" si="237"/>
        <v>0</v>
      </c>
      <c r="AB96" s="1063">
        <f t="shared" ca="1" si="237"/>
        <v>0</v>
      </c>
      <c r="AC96" s="1063">
        <f t="shared" ca="1" si="237"/>
        <v>0</v>
      </c>
      <c r="AD96" s="1063">
        <f t="shared" ca="1" si="237"/>
        <v>-29.548733569197832</v>
      </c>
      <c r="AE96" s="1063">
        <f t="shared" ca="1" si="237"/>
        <v>-1.4299306702169821</v>
      </c>
      <c r="AF96" s="1063">
        <f t="shared" ca="1" si="237"/>
        <v>-46.590464281644856</v>
      </c>
      <c r="AG96" s="1063">
        <f t="shared" ca="1" si="237"/>
        <v>-44.318418705558379</v>
      </c>
      <c r="AH96" s="1063">
        <f t="shared" ca="1" si="237"/>
        <v>-16.949513130720788</v>
      </c>
      <c r="AI96" s="1063">
        <f t="shared" ca="1" si="237"/>
        <v>0</v>
      </c>
      <c r="AJ96" s="1063">
        <f t="shared" ca="1" si="237"/>
        <v>0</v>
      </c>
      <c r="AK96" s="1064">
        <f ca="1">SUM(S96:AJ96)</f>
        <v>-25.146926416637093</v>
      </c>
      <c r="AM96" s="1065">
        <f t="shared" ref="AM96:BE96" ca="1" si="238">IFERROR(INDEX(INDIRECT($C96&amp;".Outputs["&amp;this.Year&amp;"]"), MATCH(AM$5, INDIRECT($C96&amp;".Outputs[Vector]"), 0)), 0)</f>
        <v>0</v>
      </c>
      <c r="AN96" s="1065">
        <f t="shared" ca="1" si="238"/>
        <v>0</v>
      </c>
      <c r="AO96" s="1065">
        <f t="shared" ca="1" si="238"/>
        <v>0</v>
      </c>
      <c r="AP96" s="1065">
        <f t="shared" ca="1" si="238"/>
        <v>0</v>
      </c>
      <c r="AQ96" s="1065">
        <f t="shared" ca="1" si="238"/>
        <v>0</v>
      </c>
      <c r="AR96" s="1065">
        <f t="shared" ca="1" si="238"/>
        <v>0</v>
      </c>
      <c r="AS96" s="1065">
        <f t="shared" ca="1" si="238"/>
        <v>0</v>
      </c>
      <c r="AT96" s="1065">
        <f t="shared" ca="1" si="238"/>
        <v>0</v>
      </c>
      <c r="AU96" s="1065">
        <f t="shared" ca="1" si="238"/>
        <v>0</v>
      </c>
      <c r="AV96" s="1065">
        <f t="shared" ca="1" si="238"/>
        <v>0</v>
      </c>
      <c r="AW96" s="1065">
        <f t="shared" ca="1" si="238"/>
        <v>0</v>
      </c>
      <c r="AX96" s="1065">
        <f t="shared" ca="1" si="238"/>
        <v>0</v>
      </c>
      <c r="AY96" s="1065">
        <f t="shared" ca="1" si="238"/>
        <v>0</v>
      </c>
      <c r="AZ96" s="1065">
        <f t="shared" ca="1" si="238"/>
        <v>0</v>
      </c>
      <c r="BA96" s="1065">
        <f t="shared" ca="1" si="238"/>
        <v>0</v>
      </c>
      <c r="BB96" s="1065">
        <f t="shared" ca="1" si="238"/>
        <v>0</v>
      </c>
      <c r="BC96" s="1065">
        <f t="shared" ca="1" si="238"/>
        <v>0</v>
      </c>
      <c r="BD96" s="1065">
        <f t="shared" ca="1" si="238"/>
        <v>0</v>
      </c>
      <c r="BE96" s="1065">
        <f t="shared" ca="1" si="238"/>
        <v>0</v>
      </c>
      <c r="BF96" s="1066">
        <f ca="1">SUM(AM96:BE96)</f>
        <v>0</v>
      </c>
      <c r="BH96" s="1067">
        <f ca="1">IFERROR(INDEX(INDIRECT($C96&amp;".Outputs["&amp;this.Year&amp;"]"), MATCH(BH$5, INDIRECT($C96&amp;".Outputs[Vector]"), 0)), 0)</f>
        <v>25.146926416637086</v>
      </c>
      <c r="BI96" s="1067">
        <f ca="1">IFERROR(INDEX(INDIRECT($C96&amp;".Outputs["&amp;this.Year&amp;"]"), MATCH(BI$5, INDIRECT($C96&amp;".Outputs[Vector]"), 0)), 0)</f>
        <v>0</v>
      </c>
      <c r="BJ96" s="1068">
        <f ca="1">SUM(BH96:BI96)</f>
        <v>25.146926416637086</v>
      </c>
      <c r="BL96" s="1958">
        <f ca="1">Q96+AK96+BF96+BJ96</f>
        <v>0</v>
      </c>
      <c r="BM96" s="1958"/>
      <c r="BN96" s="1959"/>
      <c r="BO96" s="1960">
        <f t="shared" ref="BO96:DF96" ca="1" si="239">IFERROR(SUMIFS(INDIRECT($C96&amp;".Emissions["&amp;this.Year&amp;"]"), INDIRECT($C96&amp;".Emissions[GHG]"), BO$6, INDIRECT($C96&amp;".Emissions[IPCC Sector]"), BO$5),0)</f>
        <v>0</v>
      </c>
      <c r="BP96" s="1961">
        <f t="shared" ca="1" si="239"/>
        <v>0</v>
      </c>
      <c r="BQ96" s="1961">
        <f t="shared" ca="1" si="239"/>
        <v>0</v>
      </c>
      <c r="BR96" s="1961">
        <f t="shared" ca="1" si="239"/>
        <v>0</v>
      </c>
      <c r="BS96" s="1961">
        <f t="shared" ca="1" si="239"/>
        <v>0</v>
      </c>
      <c r="BT96" s="1961">
        <f t="shared" ca="1" si="239"/>
        <v>0</v>
      </c>
      <c r="BU96" s="1961">
        <f t="shared" ca="1" si="239"/>
        <v>0</v>
      </c>
      <c r="BV96" s="1961">
        <f t="shared" ca="1" si="239"/>
        <v>0</v>
      </c>
      <c r="BW96" s="1961">
        <f t="shared" ca="1" si="239"/>
        <v>0</v>
      </c>
      <c r="BX96" s="1961">
        <f t="shared" ca="1" si="239"/>
        <v>0</v>
      </c>
      <c r="BY96" s="1961">
        <f t="shared" ca="1" si="239"/>
        <v>0</v>
      </c>
      <c r="BZ96" s="1961">
        <f t="shared" ca="1" si="239"/>
        <v>0</v>
      </c>
      <c r="CA96" s="1961">
        <f t="shared" ca="1" si="239"/>
        <v>0</v>
      </c>
      <c r="CB96" s="1961">
        <f t="shared" ca="1" si="239"/>
        <v>0</v>
      </c>
      <c r="CC96" s="1961">
        <f t="shared" ca="1" si="239"/>
        <v>0</v>
      </c>
      <c r="CD96" s="1961">
        <f t="shared" ca="1" si="239"/>
        <v>0</v>
      </c>
      <c r="CE96" s="1961">
        <f t="shared" ca="1" si="239"/>
        <v>0</v>
      </c>
      <c r="CF96" s="1961">
        <f t="shared" ca="1" si="239"/>
        <v>0</v>
      </c>
      <c r="CG96" s="1961">
        <f t="shared" ca="1" si="239"/>
        <v>0</v>
      </c>
      <c r="CH96" s="1961">
        <f t="shared" ca="1" si="239"/>
        <v>0</v>
      </c>
      <c r="CI96" s="1961">
        <f t="shared" ca="1" si="239"/>
        <v>0</v>
      </c>
      <c r="CJ96" s="1961">
        <f t="shared" ca="1" si="239"/>
        <v>0</v>
      </c>
      <c r="CK96" s="1961">
        <f t="shared" ca="1" si="239"/>
        <v>0</v>
      </c>
      <c r="CL96" s="1961">
        <f t="shared" ca="1" si="239"/>
        <v>0</v>
      </c>
      <c r="CM96" s="1961">
        <f t="shared" ca="1" si="239"/>
        <v>0</v>
      </c>
      <c r="CN96" s="1961">
        <f t="shared" ca="1" si="239"/>
        <v>0</v>
      </c>
      <c r="CO96" s="1961">
        <f t="shared" ca="1" si="239"/>
        <v>0</v>
      </c>
      <c r="CP96" s="1961">
        <f t="shared" ca="1" si="239"/>
        <v>0</v>
      </c>
      <c r="CQ96" s="1961">
        <f t="shared" ca="1" si="239"/>
        <v>0</v>
      </c>
      <c r="CR96" s="1961">
        <f t="shared" ca="1" si="239"/>
        <v>0</v>
      </c>
      <c r="CS96" s="1961">
        <f t="shared" ca="1" si="239"/>
        <v>0</v>
      </c>
      <c r="CT96" s="1961">
        <f t="shared" ca="1" si="239"/>
        <v>0</v>
      </c>
      <c r="CU96" s="1961">
        <f t="shared" ca="1" si="239"/>
        <v>0</v>
      </c>
      <c r="CV96" s="1961">
        <f t="shared" ca="1" si="239"/>
        <v>0</v>
      </c>
      <c r="CW96" s="1961">
        <f t="shared" ca="1" si="239"/>
        <v>0</v>
      </c>
      <c r="CX96" s="1961">
        <f t="shared" ca="1" si="239"/>
        <v>0</v>
      </c>
      <c r="CY96" s="1961">
        <f t="shared" ca="1" si="239"/>
        <v>-27.395875346396238</v>
      </c>
      <c r="CZ96" s="1961">
        <f t="shared" ca="1" si="239"/>
        <v>0</v>
      </c>
      <c r="DA96" s="1961">
        <f t="shared" ca="1" si="239"/>
        <v>0</v>
      </c>
      <c r="DB96" s="1961">
        <f t="shared" ca="1" si="239"/>
        <v>0</v>
      </c>
      <c r="DC96" s="1961">
        <f t="shared" ca="1" si="239"/>
        <v>0</v>
      </c>
      <c r="DD96" s="1961">
        <f t="shared" ca="1" si="239"/>
        <v>0</v>
      </c>
      <c r="DE96" s="1961">
        <f t="shared" ca="1" si="239"/>
        <v>0</v>
      </c>
      <c r="DF96" s="1961">
        <f t="shared" ca="1" si="239"/>
        <v>0</v>
      </c>
      <c r="DH96" s="1962">
        <f t="shared" ca="1" si="234"/>
        <v>-27.395875346396238</v>
      </c>
    </row>
    <row r="97" spans="1:112" s="1491" customFormat="1" ht="12.75" hidden="1" customHeight="1" outlineLevel="1">
      <c r="C97" s="1534" t="s">
        <v>1724</v>
      </c>
      <c r="D97" s="1535" t="s">
        <v>1665</v>
      </c>
      <c r="E97" s="1535"/>
      <c r="G97" s="1070"/>
      <c r="H97" s="1070"/>
      <c r="I97" s="1070"/>
      <c r="J97" s="1070"/>
      <c r="K97" s="1071"/>
      <c r="L97" s="1070"/>
      <c r="M97" s="1070"/>
      <c r="N97" s="1070"/>
      <c r="O97" s="1070"/>
      <c r="P97" s="1070"/>
      <c r="Q97" s="1070"/>
      <c r="S97" s="1072"/>
      <c r="T97" s="1072"/>
      <c r="U97" s="1072">
        <f ca="1">U$95+U$96</f>
        <v>-71.182777113791758</v>
      </c>
      <c r="V97" s="1072">
        <f ca="1">V$95+V$96</f>
        <v>-796.79050011145523</v>
      </c>
      <c r="W97" s="1072">
        <f ca="1">W$95+W$96</f>
        <v>-1434.9975946854556</v>
      </c>
      <c r="X97" s="1072"/>
      <c r="Y97" s="1072"/>
      <c r="Z97" s="1072"/>
      <c r="AA97" s="1072"/>
      <c r="AB97" s="1072"/>
      <c r="AC97" s="1072">
        <f t="shared" ref="AC97:AH97" ca="1" si="240">AC$95+AC$96</f>
        <v>0</v>
      </c>
      <c r="AD97" s="1072">
        <f t="shared" ca="1" si="240"/>
        <v>0</v>
      </c>
      <c r="AE97" s="1072">
        <f t="shared" ca="1" si="240"/>
        <v>0</v>
      </c>
      <c r="AF97" s="1072">
        <f t="shared" ca="1" si="240"/>
        <v>0</v>
      </c>
      <c r="AG97" s="1072">
        <f t="shared" ca="1" si="240"/>
        <v>0</v>
      </c>
      <c r="AH97" s="1072">
        <f t="shared" ca="1" si="240"/>
        <v>0</v>
      </c>
      <c r="AI97" s="1072"/>
      <c r="AJ97" s="1072"/>
      <c r="AK97" s="1072"/>
      <c r="AM97" s="1073"/>
      <c r="AN97" s="1073"/>
      <c r="AO97" s="1073"/>
      <c r="AP97" s="1073"/>
      <c r="AQ97" s="1073"/>
      <c r="AR97" s="1073"/>
      <c r="AS97" s="1073"/>
      <c r="AT97" s="1073"/>
      <c r="AU97" s="1073"/>
      <c r="AV97" s="1073"/>
      <c r="AW97" s="1073"/>
      <c r="AX97" s="1073"/>
      <c r="AY97" s="1073"/>
      <c r="AZ97" s="1073"/>
      <c r="BA97" s="1073"/>
      <c r="BB97" s="1073"/>
      <c r="BC97" s="1073"/>
      <c r="BD97" s="1073"/>
      <c r="BE97" s="1073">
        <f ca="1">BE42+BE49+BE53</f>
        <v>-152.56545549193058</v>
      </c>
      <c r="BF97" s="1073">
        <f ca="1">SUM(AM97:BE97)</f>
        <v>-152.56545549193058</v>
      </c>
      <c r="BH97" s="1074"/>
      <c r="BI97" s="1074"/>
      <c r="BJ97" s="1074"/>
      <c r="BL97" s="1536"/>
      <c r="BM97" s="1536"/>
      <c r="BN97" s="1537"/>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8"/>
      <c r="CP97" s="1538"/>
      <c r="CQ97" s="1538"/>
      <c r="CR97" s="1538"/>
      <c r="CS97" s="1538"/>
      <c r="CT97" s="1538"/>
      <c r="CU97" s="1538"/>
      <c r="CV97" s="1538"/>
      <c r="CW97" s="1538"/>
      <c r="CX97" s="1538"/>
      <c r="CY97" s="1538"/>
      <c r="CZ97" s="1538"/>
      <c r="DA97" s="1538"/>
      <c r="DB97" s="1538"/>
      <c r="DC97" s="1538"/>
      <c r="DD97" s="1538"/>
      <c r="DE97" s="1538"/>
      <c r="DF97" s="1538"/>
      <c r="DH97" s="1537">
        <f>SUM(BO97:DF97)</f>
        <v>0</v>
      </c>
    </row>
    <row r="98" spans="1:112" s="743" customFormat="1" ht="12.75" hidden="1" customHeight="1" outlineLevel="1">
      <c r="A98" s="1484"/>
      <c r="B98" s="1484"/>
      <c r="C98" s="746" t="s">
        <v>1695</v>
      </c>
      <c r="D98" s="1010" t="str">
        <f>INDEX(Modules[Module], MATCH($C98, Modules[Code], 0))</f>
        <v>Bioenergy imports</v>
      </c>
      <c r="E98" s="1010"/>
      <c r="G98" s="1022">
        <f t="shared" ref="G98:P98" ca="1" si="241">IFERROR(INDEX(INDIRECT($C98&amp;".Outputs["&amp;this.Year&amp;"]"), MATCH(G$5, INDIRECT($C98&amp;".Outputs[Vector]"), 0)), 0)</f>
        <v>0</v>
      </c>
      <c r="H98" s="1022">
        <f t="shared" ca="1" si="241"/>
        <v>0</v>
      </c>
      <c r="I98" s="1022">
        <f t="shared" ca="1" si="241"/>
        <v>0</v>
      </c>
      <c r="J98" s="1022">
        <f t="shared" ca="1" si="241"/>
        <v>0</v>
      </c>
      <c r="K98" s="1022">
        <f t="shared" ca="1" si="241"/>
        <v>0</v>
      </c>
      <c r="L98" s="1022">
        <f t="shared" ca="1" si="241"/>
        <v>0</v>
      </c>
      <c r="M98" s="1022">
        <f t="shared" ca="1" si="241"/>
        <v>0</v>
      </c>
      <c r="N98" s="1022">
        <f t="shared" ca="1" si="241"/>
        <v>0</v>
      </c>
      <c r="O98" s="1022">
        <f t="shared" ca="1" si="241"/>
        <v>0</v>
      </c>
      <c r="P98" s="1022">
        <f t="shared" ca="1" si="241"/>
        <v>0</v>
      </c>
      <c r="Q98" s="1020">
        <f ca="1">SUM(G98:P98)</f>
        <v>0</v>
      </c>
      <c r="S98" s="1031">
        <f t="shared" ref="S98:AJ98" ca="1" si="242">IFERROR(INDEX(INDIRECT($C98&amp;".Outputs["&amp;this.Year&amp;"]"), MATCH(S$5, INDIRECT($C98&amp;".Outputs[Vector]"), 0)), 0)</f>
        <v>0</v>
      </c>
      <c r="T98" s="1031">
        <f t="shared" ca="1" si="242"/>
        <v>0</v>
      </c>
      <c r="U98" s="1031">
        <f t="shared" ca="1" si="242"/>
        <v>2.0447162790697675</v>
      </c>
      <c r="V98" s="1031">
        <f t="shared" ca="1" si="242"/>
        <v>-0.18391627906976743</v>
      </c>
      <c r="W98" s="1031">
        <f t="shared" ca="1" si="242"/>
        <v>0</v>
      </c>
      <c r="X98" s="1031">
        <f t="shared" ca="1" si="242"/>
        <v>0</v>
      </c>
      <c r="Y98" s="1031">
        <f t="shared" ca="1" si="242"/>
        <v>0</v>
      </c>
      <c r="Z98" s="1031">
        <f t="shared" ca="1" si="242"/>
        <v>0</v>
      </c>
      <c r="AA98" s="1031">
        <f t="shared" ca="1" si="242"/>
        <v>0</v>
      </c>
      <c r="AB98" s="1031">
        <f t="shared" ca="1" si="242"/>
        <v>0</v>
      </c>
      <c r="AC98" s="1031">
        <f t="shared" ca="1" si="242"/>
        <v>0</v>
      </c>
      <c r="AD98" s="1031">
        <f t="shared" ca="1" si="242"/>
        <v>0</v>
      </c>
      <c r="AE98" s="1031">
        <f t="shared" ca="1" si="242"/>
        <v>0</v>
      </c>
      <c r="AF98" s="1031">
        <f t="shared" ca="1" si="242"/>
        <v>0</v>
      </c>
      <c r="AG98" s="1031">
        <f t="shared" ca="1" si="242"/>
        <v>0</v>
      </c>
      <c r="AH98" s="1031">
        <f t="shared" ca="1" si="242"/>
        <v>0</v>
      </c>
      <c r="AI98" s="1031">
        <f t="shared" ca="1" si="242"/>
        <v>0</v>
      </c>
      <c r="AJ98" s="1031">
        <f t="shared" ca="1" si="242"/>
        <v>0</v>
      </c>
      <c r="AK98" s="1030">
        <f ca="1">SUM(S98:AJ98)</f>
        <v>1.8608</v>
      </c>
      <c r="AM98" s="1042">
        <f t="shared" ref="AM98:BE98" ca="1" si="243">IFERROR(INDEX(INDIRECT($C98&amp;".Outputs["&amp;this.Year&amp;"]"), MATCH(AM$5, INDIRECT($C98&amp;".Outputs[Vector]"), 0)), 0)</f>
        <v>0</v>
      </c>
      <c r="AN98" s="1042">
        <f t="shared" ca="1" si="243"/>
        <v>0</v>
      </c>
      <c r="AO98" s="1042">
        <f t="shared" ca="1" si="243"/>
        <v>0</v>
      </c>
      <c r="AP98" s="1042">
        <f t="shared" ca="1" si="243"/>
        <v>-1.8608</v>
      </c>
      <c r="AQ98" s="1042">
        <f t="shared" ca="1" si="243"/>
        <v>0</v>
      </c>
      <c r="AR98" s="1042">
        <f t="shared" ca="1" si="243"/>
        <v>0</v>
      </c>
      <c r="AS98" s="1042">
        <f t="shared" ca="1" si="243"/>
        <v>0</v>
      </c>
      <c r="AT98" s="1042">
        <f t="shared" ca="1" si="243"/>
        <v>0</v>
      </c>
      <c r="AU98" s="1042">
        <f t="shared" ca="1" si="243"/>
        <v>0</v>
      </c>
      <c r="AV98" s="1042">
        <f t="shared" ca="1" si="243"/>
        <v>0</v>
      </c>
      <c r="AW98" s="1042">
        <f t="shared" ca="1" si="243"/>
        <v>0</v>
      </c>
      <c r="AX98" s="1042">
        <f t="shared" ca="1" si="243"/>
        <v>0</v>
      </c>
      <c r="AY98" s="1042">
        <f t="shared" ca="1" si="243"/>
        <v>0</v>
      </c>
      <c r="AZ98" s="1042">
        <f t="shared" ca="1" si="243"/>
        <v>0</v>
      </c>
      <c r="BA98" s="1042">
        <f t="shared" ca="1" si="243"/>
        <v>0</v>
      </c>
      <c r="BB98" s="1042">
        <f t="shared" ca="1" si="243"/>
        <v>0</v>
      </c>
      <c r="BC98" s="1042">
        <f t="shared" ca="1" si="243"/>
        <v>0</v>
      </c>
      <c r="BD98" s="1042">
        <f t="shared" ca="1" si="243"/>
        <v>0</v>
      </c>
      <c r="BE98" s="1042">
        <f t="shared" ca="1" si="243"/>
        <v>0</v>
      </c>
      <c r="BF98" s="1012">
        <f ca="1">SUM(AM98:BE98)</f>
        <v>-1.8608</v>
      </c>
      <c r="BH98" s="1036">
        <f ca="1">IFERROR(INDEX(INDIRECT($C98&amp;".Outputs["&amp;this.Year&amp;"]"), MATCH(BH$5, INDIRECT($C98&amp;".Outputs[Vector]"), 0)), 0)</f>
        <v>0</v>
      </c>
      <c r="BI98" s="1036">
        <f ca="1">IFERROR(INDEX(INDIRECT($C98&amp;".Outputs["&amp;this.Year&amp;"]"), MATCH(BI$5, INDIRECT($C98&amp;".Outputs[Vector]"), 0)), 0)</f>
        <v>0</v>
      </c>
      <c r="BJ98" s="1035">
        <f ca="1">SUM(BH98:BI98)</f>
        <v>0</v>
      </c>
      <c r="BL98" s="814">
        <f ca="1">Q98+AK98+BF98+BJ98</f>
        <v>0</v>
      </c>
      <c r="BM98" s="814"/>
      <c r="BN98" s="840"/>
      <c r="BO98" s="1485">
        <f t="shared" ref="BO98:DF98" ca="1" si="244">IFERROR(SUMIFS(INDIRECT($C98&amp;".Emissions["&amp;this.Year&amp;"]"), INDIRECT($C98&amp;".Emissions[GHG]"), BO$6, INDIRECT($C98&amp;".Emissions[IPCC Sector]"), BO$5),0)</f>
        <v>0</v>
      </c>
      <c r="BP98" s="1486">
        <f t="shared" ca="1" si="244"/>
        <v>0</v>
      </c>
      <c r="BQ98" s="1486">
        <f t="shared" ca="1" si="244"/>
        <v>0</v>
      </c>
      <c r="BR98" s="1486">
        <f t="shared" ca="1" si="244"/>
        <v>0</v>
      </c>
      <c r="BS98" s="1486">
        <f t="shared" ca="1" si="244"/>
        <v>0</v>
      </c>
      <c r="BT98" s="1486">
        <f t="shared" ca="1" si="244"/>
        <v>0</v>
      </c>
      <c r="BU98" s="1486">
        <f t="shared" ca="1" si="244"/>
        <v>0</v>
      </c>
      <c r="BV98" s="1486">
        <f t="shared" ca="1" si="244"/>
        <v>0</v>
      </c>
      <c r="BW98" s="1486">
        <f t="shared" ca="1" si="244"/>
        <v>0</v>
      </c>
      <c r="BX98" s="1486">
        <f t="shared" ca="1" si="244"/>
        <v>0</v>
      </c>
      <c r="BY98" s="1486">
        <f t="shared" ca="1" si="244"/>
        <v>0</v>
      </c>
      <c r="BZ98" s="1486">
        <f t="shared" ca="1" si="244"/>
        <v>0</v>
      </c>
      <c r="CA98" s="1486">
        <f t="shared" ca="1" si="244"/>
        <v>0</v>
      </c>
      <c r="CB98" s="1486">
        <f t="shared" ca="1" si="244"/>
        <v>0</v>
      </c>
      <c r="CC98" s="1486">
        <f t="shared" ca="1" si="244"/>
        <v>0</v>
      </c>
      <c r="CD98" s="1486">
        <f t="shared" ca="1" si="244"/>
        <v>0</v>
      </c>
      <c r="CE98" s="1486">
        <f t="shared" ca="1" si="244"/>
        <v>0</v>
      </c>
      <c r="CF98" s="1486">
        <f t="shared" ca="1" si="244"/>
        <v>0</v>
      </c>
      <c r="CG98" s="1486">
        <f t="shared" ca="1" si="244"/>
        <v>0</v>
      </c>
      <c r="CH98" s="1486">
        <f t="shared" ca="1" si="244"/>
        <v>0</v>
      </c>
      <c r="CI98" s="1486">
        <f t="shared" ca="1" si="244"/>
        <v>0</v>
      </c>
      <c r="CJ98" s="1486">
        <f t="shared" ca="1" si="244"/>
        <v>0</v>
      </c>
      <c r="CK98" s="1486">
        <f t="shared" ca="1" si="244"/>
        <v>0</v>
      </c>
      <c r="CL98" s="1486">
        <f t="shared" ca="1" si="244"/>
        <v>0</v>
      </c>
      <c r="CM98" s="1486">
        <f t="shared" ca="1" si="244"/>
        <v>0</v>
      </c>
      <c r="CN98" s="1486">
        <f t="shared" ca="1" si="244"/>
        <v>0</v>
      </c>
      <c r="CO98" s="1486">
        <f t="shared" ca="1" si="244"/>
        <v>0</v>
      </c>
      <c r="CP98" s="1486">
        <f t="shared" ca="1" si="244"/>
        <v>0</v>
      </c>
      <c r="CQ98" s="1486">
        <f t="shared" ca="1" si="244"/>
        <v>0</v>
      </c>
      <c r="CR98" s="1486">
        <f t="shared" ca="1" si="244"/>
        <v>0</v>
      </c>
      <c r="CS98" s="1486">
        <f t="shared" ca="1" si="244"/>
        <v>0</v>
      </c>
      <c r="CT98" s="1486">
        <f t="shared" ca="1" si="244"/>
        <v>0</v>
      </c>
      <c r="CU98" s="1486">
        <f t="shared" ca="1" si="244"/>
        <v>0</v>
      </c>
      <c r="CV98" s="1486">
        <f t="shared" ca="1" si="244"/>
        <v>0</v>
      </c>
      <c r="CW98" s="1486">
        <f t="shared" ca="1" si="244"/>
        <v>0</v>
      </c>
      <c r="CX98" s="1486">
        <f t="shared" ca="1" si="244"/>
        <v>0</v>
      </c>
      <c r="CY98" s="1486">
        <f t="shared" ca="1" si="244"/>
        <v>-0.58379354418604645</v>
      </c>
      <c r="CZ98" s="1486">
        <f t="shared" ca="1" si="244"/>
        <v>0</v>
      </c>
      <c r="DA98" s="1486">
        <f t="shared" ca="1" si="244"/>
        <v>0</v>
      </c>
      <c r="DB98" s="1486">
        <f t="shared" ca="1" si="244"/>
        <v>0</v>
      </c>
      <c r="DC98" s="1486">
        <f t="shared" ca="1" si="244"/>
        <v>0</v>
      </c>
      <c r="DD98" s="1486">
        <f t="shared" ca="1" si="244"/>
        <v>0</v>
      </c>
      <c r="DE98" s="1486">
        <f t="shared" ca="1" si="244"/>
        <v>0</v>
      </c>
      <c r="DF98" s="1486">
        <f t="shared" ca="1" si="244"/>
        <v>0</v>
      </c>
      <c r="DH98" s="838">
        <f ca="1">SUM(BO98:DF98)</f>
        <v>-0.58379354418604645</v>
      </c>
    </row>
    <row r="99" spans="1:112" s="743" customFormat="1" ht="15.75" collapsed="1">
      <c r="A99" s="22"/>
      <c r="B99" s="753"/>
      <c r="C99" s="744" t="s">
        <v>671</v>
      </c>
      <c r="D99" s="517" t="str">
        <f>INDEX(Workstreams[Workstream], MATCH($C99, Workstreams[Code], 0))</f>
        <v>Bioenergy</v>
      </c>
      <c r="E99" s="512"/>
      <c r="G99" s="1021">
        <f ca="1">G$96+G98</f>
        <v>0</v>
      </c>
      <c r="H99" s="1021">
        <f t="shared" ref="H99:P99" ca="1" si="245">H$96+H98</f>
        <v>0</v>
      </c>
      <c r="I99" s="1021">
        <f t="shared" ca="1" si="245"/>
        <v>0</v>
      </c>
      <c r="J99" s="1021">
        <f t="shared" ca="1" si="245"/>
        <v>0</v>
      </c>
      <c r="K99" s="1021">
        <f t="shared" ca="1" si="245"/>
        <v>0</v>
      </c>
      <c r="L99" s="1021">
        <f t="shared" ca="1" si="245"/>
        <v>0</v>
      </c>
      <c r="M99" s="1021">
        <f t="shared" ca="1" si="245"/>
        <v>0</v>
      </c>
      <c r="N99" s="1021">
        <f t="shared" ca="1" si="245"/>
        <v>0</v>
      </c>
      <c r="O99" s="1021">
        <f t="shared" ca="1" si="245"/>
        <v>0</v>
      </c>
      <c r="P99" s="1021">
        <f t="shared" ca="1" si="245"/>
        <v>0</v>
      </c>
      <c r="Q99" s="1021">
        <f ca="1">SUM(G99:P99)</f>
        <v>0</v>
      </c>
      <c r="S99" s="970">
        <f t="shared" ref="S99:AJ99" ca="1" si="246">S$96+S98</f>
        <v>0</v>
      </c>
      <c r="T99" s="970">
        <f t="shared" ca="1" si="246"/>
        <v>0</v>
      </c>
      <c r="U99" s="970">
        <f t="shared" ca="1" si="246"/>
        <v>43.976134132550136</v>
      </c>
      <c r="V99" s="970">
        <f t="shared" ca="1" si="246"/>
        <v>19.170551712984111</v>
      </c>
      <c r="W99" s="970">
        <f t="shared" ca="1" si="246"/>
        <v>52.404248095167496</v>
      </c>
      <c r="X99" s="970">
        <f t="shared" ca="1" si="246"/>
        <v>0</v>
      </c>
      <c r="Y99" s="970">
        <f t="shared" ca="1" si="246"/>
        <v>0</v>
      </c>
      <c r="Z99" s="970">
        <f t="shared" ca="1" si="246"/>
        <v>0</v>
      </c>
      <c r="AA99" s="970">
        <f t="shared" ca="1" si="246"/>
        <v>0</v>
      </c>
      <c r="AB99" s="970">
        <f t="shared" ca="1" si="246"/>
        <v>0</v>
      </c>
      <c r="AC99" s="970">
        <f t="shared" ca="1" si="246"/>
        <v>0</v>
      </c>
      <c r="AD99" s="970">
        <f ca="1">AD$96+AD98</f>
        <v>-29.548733569197832</v>
      </c>
      <c r="AE99" s="970">
        <f ca="1">AE$96+AE98</f>
        <v>-1.4299306702169821</v>
      </c>
      <c r="AF99" s="970">
        <f t="shared" ca="1" si="246"/>
        <v>-46.590464281644856</v>
      </c>
      <c r="AG99" s="970">
        <f t="shared" ca="1" si="246"/>
        <v>-44.318418705558379</v>
      </c>
      <c r="AH99" s="970">
        <f ca="1">AH$96+AH98</f>
        <v>-16.949513130720788</v>
      </c>
      <c r="AI99" s="970">
        <f t="shared" ca="1" si="246"/>
        <v>0</v>
      </c>
      <c r="AJ99" s="970">
        <f t="shared" ca="1" si="246"/>
        <v>0</v>
      </c>
      <c r="AK99" s="970">
        <f ca="1">SUM(S99:AJ99)</f>
        <v>-23.286126416637082</v>
      </c>
      <c r="AM99" s="976">
        <f t="shared" ref="AM99:BE99" ca="1" si="247">AM$96+AM98</f>
        <v>0</v>
      </c>
      <c r="AN99" s="976">
        <f t="shared" ca="1" si="247"/>
        <v>0</v>
      </c>
      <c r="AO99" s="976">
        <f t="shared" ca="1" si="247"/>
        <v>0</v>
      </c>
      <c r="AP99" s="976">
        <f t="shared" ca="1" si="247"/>
        <v>-1.8608</v>
      </c>
      <c r="AQ99" s="976">
        <f t="shared" ca="1" si="247"/>
        <v>0</v>
      </c>
      <c r="AR99" s="976">
        <f t="shared" ca="1" si="247"/>
        <v>0</v>
      </c>
      <c r="AS99" s="976">
        <f t="shared" ca="1" si="247"/>
        <v>0</v>
      </c>
      <c r="AT99" s="976">
        <f t="shared" ca="1" si="247"/>
        <v>0</v>
      </c>
      <c r="AU99" s="976">
        <f t="shared" ca="1" si="247"/>
        <v>0</v>
      </c>
      <c r="AV99" s="976">
        <f t="shared" ca="1" si="247"/>
        <v>0</v>
      </c>
      <c r="AW99" s="976">
        <f t="shared" ca="1" si="247"/>
        <v>0</v>
      </c>
      <c r="AX99" s="976">
        <f t="shared" ca="1" si="247"/>
        <v>0</v>
      </c>
      <c r="AY99" s="976">
        <f t="shared" ca="1" si="247"/>
        <v>0</v>
      </c>
      <c r="AZ99" s="976">
        <f t="shared" ca="1" si="247"/>
        <v>0</v>
      </c>
      <c r="BA99" s="976">
        <f t="shared" ca="1" si="247"/>
        <v>0</v>
      </c>
      <c r="BB99" s="976">
        <f t="shared" ca="1" si="247"/>
        <v>0</v>
      </c>
      <c r="BC99" s="976">
        <f t="shared" ca="1" si="247"/>
        <v>0</v>
      </c>
      <c r="BD99" s="976">
        <f t="shared" ca="1" si="247"/>
        <v>0</v>
      </c>
      <c r="BE99" s="976">
        <f t="shared" ca="1" si="247"/>
        <v>0</v>
      </c>
      <c r="BF99" s="976">
        <f ca="1">SUM(AM99:BE99)</f>
        <v>-1.8608</v>
      </c>
      <c r="BH99" s="990">
        <f ca="1">BH$96+BH98</f>
        <v>25.146926416637086</v>
      </c>
      <c r="BI99" s="990">
        <f ca="1">BI$96+BI98</f>
        <v>0</v>
      </c>
      <c r="BJ99" s="990">
        <f ca="1">SUM(BH99:BI99)</f>
        <v>25.146926416637086</v>
      </c>
      <c r="BL99" s="515">
        <f ca="1">Q99+AK99+BF99+BJ99</f>
        <v>0</v>
      </c>
      <c r="BM99" s="515"/>
      <c r="BN99" s="840"/>
      <c r="BO99" s="1482">
        <f t="shared" ref="BO99:DF99" ca="1" si="248">BO$96+BO98</f>
        <v>0</v>
      </c>
      <c r="BP99" s="1482">
        <f t="shared" ca="1" si="248"/>
        <v>0</v>
      </c>
      <c r="BQ99" s="1482">
        <f t="shared" ca="1" si="248"/>
        <v>0</v>
      </c>
      <c r="BR99" s="1482">
        <f t="shared" ca="1" si="248"/>
        <v>0</v>
      </c>
      <c r="BS99" s="1482">
        <f t="shared" ca="1" si="248"/>
        <v>0</v>
      </c>
      <c r="BT99" s="1482">
        <f t="shared" ca="1" si="248"/>
        <v>0</v>
      </c>
      <c r="BU99" s="1482">
        <f t="shared" ca="1" si="248"/>
        <v>0</v>
      </c>
      <c r="BV99" s="1482">
        <f t="shared" ca="1" si="248"/>
        <v>0</v>
      </c>
      <c r="BW99" s="1482">
        <f t="shared" ca="1" si="248"/>
        <v>0</v>
      </c>
      <c r="BX99" s="1482">
        <f t="shared" ca="1" si="248"/>
        <v>0</v>
      </c>
      <c r="BY99" s="1482">
        <f t="shared" ca="1" si="248"/>
        <v>0</v>
      </c>
      <c r="BZ99" s="1482">
        <f t="shared" ca="1" si="248"/>
        <v>0</v>
      </c>
      <c r="CA99" s="1482">
        <f t="shared" ca="1" si="248"/>
        <v>0</v>
      </c>
      <c r="CB99" s="1482">
        <f t="shared" ca="1" si="248"/>
        <v>0</v>
      </c>
      <c r="CC99" s="1482">
        <f t="shared" ca="1" si="248"/>
        <v>0</v>
      </c>
      <c r="CD99" s="1482">
        <f t="shared" ca="1" si="248"/>
        <v>0</v>
      </c>
      <c r="CE99" s="1482">
        <f t="shared" ca="1" si="248"/>
        <v>0</v>
      </c>
      <c r="CF99" s="1482">
        <f t="shared" ca="1" si="248"/>
        <v>0</v>
      </c>
      <c r="CG99" s="1482">
        <f t="shared" ca="1" si="248"/>
        <v>0</v>
      </c>
      <c r="CH99" s="1482">
        <f t="shared" ca="1" si="248"/>
        <v>0</v>
      </c>
      <c r="CI99" s="1482">
        <f t="shared" ca="1" si="248"/>
        <v>0</v>
      </c>
      <c r="CJ99" s="1482">
        <f t="shared" ca="1" si="248"/>
        <v>0</v>
      </c>
      <c r="CK99" s="1482">
        <f t="shared" ca="1" si="248"/>
        <v>0</v>
      </c>
      <c r="CL99" s="1482">
        <f t="shared" ca="1" si="248"/>
        <v>0</v>
      </c>
      <c r="CM99" s="1482">
        <f t="shared" ca="1" si="248"/>
        <v>0</v>
      </c>
      <c r="CN99" s="1482">
        <f t="shared" ca="1" si="248"/>
        <v>0</v>
      </c>
      <c r="CO99" s="1482">
        <f t="shared" ca="1" si="248"/>
        <v>0</v>
      </c>
      <c r="CP99" s="1482">
        <f t="shared" ca="1" si="248"/>
        <v>0</v>
      </c>
      <c r="CQ99" s="1482">
        <f t="shared" ca="1" si="248"/>
        <v>0</v>
      </c>
      <c r="CR99" s="1482">
        <f t="shared" ca="1" si="248"/>
        <v>0</v>
      </c>
      <c r="CS99" s="1482">
        <f t="shared" ca="1" si="248"/>
        <v>0</v>
      </c>
      <c r="CT99" s="1482">
        <f t="shared" ca="1" si="248"/>
        <v>0</v>
      </c>
      <c r="CU99" s="1482">
        <f t="shared" ca="1" si="248"/>
        <v>0</v>
      </c>
      <c r="CV99" s="1482">
        <f t="shared" ca="1" si="248"/>
        <v>0</v>
      </c>
      <c r="CW99" s="1482">
        <f t="shared" ca="1" si="248"/>
        <v>0</v>
      </c>
      <c r="CX99" s="1482">
        <f t="shared" ca="1" si="248"/>
        <v>0</v>
      </c>
      <c r="CY99" s="1482">
        <f t="shared" ca="1" si="248"/>
        <v>-27.979668890582285</v>
      </c>
      <c r="CZ99" s="1482">
        <f t="shared" ca="1" si="248"/>
        <v>0</v>
      </c>
      <c r="DA99" s="1482">
        <f t="shared" ca="1" si="248"/>
        <v>0</v>
      </c>
      <c r="DB99" s="1482">
        <f t="shared" ca="1" si="248"/>
        <v>0</v>
      </c>
      <c r="DC99" s="1482">
        <f t="shared" ca="1" si="248"/>
        <v>0</v>
      </c>
      <c r="DD99" s="1482">
        <f t="shared" ca="1" si="248"/>
        <v>0</v>
      </c>
      <c r="DE99" s="1482">
        <f t="shared" ca="1" si="248"/>
        <v>0</v>
      </c>
      <c r="DF99" s="1482">
        <f t="shared" ca="1" si="248"/>
        <v>0</v>
      </c>
      <c r="DH99" s="838">
        <f t="shared" ca="1" si="234"/>
        <v>-27.979668890582285</v>
      </c>
    </row>
    <row r="100" spans="1:112" s="22" customFormat="1" ht="12.75" hidden="1" customHeight="1" outlineLevel="1">
      <c r="B100" s="753"/>
      <c r="C100" s="744"/>
      <c r="D100" s="517"/>
      <c r="E100" s="512"/>
      <c r="F100" s="743"/>
      <c r="G100" s="958"/>
      <c r="H100" s="958"/>
      <c r="I100" s="958"/>
      <c r="J100" s="958"/>
      <c r="K100" s="960"/>
      <c r="L100" s="958"/>
      <c r="M100" s="958"/>
      <c r="N100" s="958"/>
      <c r="O100" s="958"/>
      <c r="P100" s="958"/>
      <c r="Q100" s="1021"/>
      <c r="R100" s="743"/>
      <c r="S100" s="970"/>
      <c r="T100" s="970"/>
      <c r="U100" s="970"/>
      <c r="V100" s="970"/>
      <c r="W100" s="970"/>
      <c r="X100" s="970"/>
      <c r="Y100" s="970"/>
      <c r="Z100" s="970"/>
      <c r="AA100" s="970"/>
      <c r="AB100" s="970"/>
      <c r="AC100" s="970"/>
      <c r="AD100" s="970"/>
      <c r="AE100" s="970"/>
      <c r="AF100" s="970"/>
      <c r="AG100" s="970"/>
      <c r="AH100" s="970"/>
      <c r="AI100" s="970"/>
      <c r="AJ100" s="970"/>
      <c r="AK100" s="970"/>
      <c r="AL100" s="743"/>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743"/>
      <c r="BH100" s="990"/>
      <c r="BI100" s="990"/>
      <c r="BJ100" s="990"/>
      <c r="BK100" s="743"/>
      <c r="BL100" s="515"/>
      <c r="BM100" s="515"/>
      <c r="BO100" s="1482"/>
      <c r="BP100" s="1482"/>
      <c r="BQ100" s="1482"/>
      <c r="BR100" s="1482"/>
      <c r="BS100" s="1482"/>
      <c r="BT100" s="1482"/>
      <c r="BU100" s="1482"/>
      <c r="BV100" s="1482"/>
      <c r="BW100" s="1482"/>
      <c r="BX100" s="1482"/>
      <c r="BY100" s="1482"/>
      <c r="BZ100" s="1482"/>
      <c r="CA100" s="1482"/>
      <c r="CB100" s="1482"/>
      <c r="CC100" s="1482"/>
      <c r="CD100" s="1482"/>
      <c r="CE100" s="1482"/>
      <c r="CF100" s="1482"/>
      <c r="CG100" s="1482"/>
      <c r="CH100" s="1482"/>
      <c r="CI100" s="1482"/>
      <c r="CJ100" s="1482"/>
      <c r="CK100" s="1482"/>
      <c r="CL100" s="1482"/>
      <c r="CM100" s="1482"/>
      <c r="CN100" s="1482"/>
      <c r="CO100" s="1482"/>
      <c r="CP100" s="1482"/>
      <c r="CQ100" s="1482"/>
      <c r="CR100" s="1482"/>
      <c r="CS100" s="1482"/>
      <c r="CT100" s="1482"/>
      <c r="CU100" s="1482"/>
      <c r="CV100" s="1482"/>
      <c r="CW100" s="1482"/>
      <c r="CX100" s="1482"/>
      <c r="CY100" s="1482"/>
      <c r="CZ100" s="1482"/>
      <c r="DA100" s="1482"/>
      <c r="DB100" s="1482"/>
      <c r="DC100" s="1482"/>
      <c r="DD100" s="1482"/>
      <c r="DE100" s="1482"/>
      <c r="DF100" s="1482"/>
      <c r="DH100" s="838">
        <f t="shared" si="234"/>
        <v>0</v>
      </c>
    </row>
    <row r="101" spans="1:112" s="1488" customFormat="1" ht="12.75" hidden="1" customHeight="1" outlineLevel="1">
      <c r="C101" s="1048" t="s">
        <v>1725</v>
      </c>
      <c r="D101" s="851" t="s">
        <v>1224</v>
      </c>
      <c r="E101" s="851"/>
      <c r="G101" s="1070"/>
      <c r="H101" s="1070"/>
      <c r="I101" s="1070"/>
      <c r="J101" s="1070"/>
      <c r="K101" s="1071"/>
      <c r="L101" s="1070"/>
      <c r="M101" s="1070"/>
      <c r="N101" s="1070"/>
      <c r="O101" s="1070"/>
      <c r="P101" s="1070"/>
      <c r="Q101" s="1478"/>
      <c r="R101" s="1491"/>
      <c r="S101" s="1072">
        <f ca="1">(S$40+S$84+S$93+S$99)</f>
        <v>-398.92590619421691</v>
      </c>
      <c r="T101" s="1072">
        <f ca="1">(T$40+T$84+T$93+T$99)</f>
        <v>398.92590619421696</v>
      </c>
      <c r="U101" s="1072">
        <f ca="1">(U$40+U$84+U$93+U$99)</f>
        <v>-69.138060834721983</v>
      </c>
      <c r="V101" s="1072">
        <f ca="1">(V$40+V$84+V$93+V$99)</f>
        <v>-796.97441639052499</v>
      </c>
      <c r="W101" s="1072">
        <f ca="1">(W$40+W$84+W$93+W$99)</f>
        <v>-1434.9975946854556</v>
      </c>
      <c r="X101" s="1072"/>
      <c r="Y101" s="1072"/>
      <c r="Z101" s="1072"/>
      <c r="AA101" s="1072"/>
      <c r="AB101" s="1072"/>
      <c r="AC101" s="1072"/>
      <c r="AD101" s="1072"/>
      <c r="AE101" s="1072"/>
      <c r="AF101" s="1072"/>
      <c r="AG101" s="1072"/>
      <c r="AH101" s="1072"/>
      <c r="AI101" s="1072"/>
      <c r="AJ101" s="1072"/>
      <c r="AK101" s="1072"/>
      <c r="AL101" s="1491"/>
      <c r="AM101" s="1073"/>
      <c r="AN101" s="1073"/>
      <c r="AO101" s="1073"/>
      <c r="AP101" s="1073"/>
      <c r="AQ101" s="1073"/>
      <c r="AR101" s="1073"/>
      <c r="AS101" s="1073"/>
      <c r="AT101" s="1073"/>
      <c r="AU101" s="1073"/>
      <c r="AV101" s="1073"/>
      <c r="AW101" s="1073"/>
      <c r="AX101" s="1073"/>
      <c r="AY101" s="1073"/>
      <c r="AZ101" s="1073"/>
      <c r="BA101" s="1073"/>
      <c r="BB101" s="1073"/>
      <c r="BC101" s="1073"/>
      <c r="BD101" s="1073"/>
      <c r="BE101" s="1073"/>
      <c r="BF101" s="1073"/>
      <c r="BG101" s="1491"/>
      <c r="BH101" s="1074"/>
      <c r="BI101" s="1074"/>
      <c r="BJ101" s="1074"/>
      <c r="BL101" s="852"/>
      <c r="BM101" s="852"/>
      <c r="BO101" s="1490"/>
      <c r="BP101" s="1490"/>
      <c r="BQ101" s="1490"/>
      <c r="BR101" s="1490"/>
      <c r="BS101" s="1490"/>
      <c r="BT101" s="1490"/>
      <c r="BU101" s="1490"/>
      <c r="BV101" s="1490"/>
      <c r="BW101" s="1490"/>
      <c r="BX101" s="1490"/>
      <c r="BY101" s="1490"/>
      <c r="BZ101" s="1490"/>
      <c r="CA101" s="1490"/>
      <c r="CB101" s="1490"/>
      <c r="CC101" s="1490"/>
      <c r="CD101" s="1490"/>
      <c r="CE101" s="1490"/>
      <c r="CF101" s="1490"/>
      <c r="CG101" s="1490"/>
      <c r="CH101" s="1490"/>
      <c r="CI101" s="1490"/>
      <c r="CJ101" s="1490"/>
      <c r="CK101" s="1490"/>
      <c r="CL101" s="1490"/>
      <c r="CM101" s="1490"/>
      <c r="CN101" s="1490"/>
      <c r="CO101" s="1490"/>
      <c r="CP101" s="1490"/>
      <c r="CQ101" s="1490"/>
      <c r="CR101" s="1490"/>
      <c r="CS101" s="1490"/>
      <c r="CT101" s="1490"/>
      <c r="CU101" s="1490"/>
      <c r="CV101" s="1490"/>
      <c r="CW101" s="1490"/>
      <c r="CX101" s="1490"/>
      <c r="CY101" s="1490"/>
      <c r="CZ101" s="1490"/>
      <c r="DA101" s="1490"/>
      <c r="DB101" s="1490"/>
      <c r="DC101" s="1490"/>
      <c r="DD101" s="1490"/>
      <c r="DE101" s="1490"/>
      <c r="DF101" s="1490"/>
      <c r="DH101" s="838">
        <f t="shared" si="234"/>
        <v>0</v>
      </c>
    </row>
    <row r="102" spans="1:112" s="1484" customFormat="1" ht="12.75" hidden="1" customHeight="1" outlineLevel="1">
      <c r="B102" s="1492"/>
      <c r="C102" s="522" t="s">
        <v>1013</v>
      </c>
      <c r="D102" s="521" t="str">
        <f>INDEX(Modules[Module], MATCH($C102, Modules[Code], 0))</f>
        <v>Fossil fuel transfers</v>
      </c>
      <c r="E102" s="521"/>
      <c r="F102" s="743"/>
      <c r="G102" s="963">
        <f t="shared" ref="G102:P102" ca="1" si="249">IFERROR(INDEX(INDIRECT($C102&amp;".Outputs["&amp;this.Year&amp;"]"), MATCH(G$5, INDIRECT($C102&amp;".Outputs[Vector]"), 0)), 0)</f>
        <v>0</v>
      </c>
      <c r="H102" s="963">
        <f t="shared" ca="1" si="249"/>
        <v>0</v>
      </c>
      <c r="I102" s="963">
        <f t="shared" ca="1" si="249"/>
        <v>0</v>
      </c>
      <c r="J102" s="963">
        <f t="shared" ca="1" si="249"/>
        <v>0</v>
      </c>
      <c r="K102" s="964">
        <f t="shared" ca="1" si="249"/>
        <v>0</v>
      </c>
      <c r="L102" s="963">
        <f t="shared" ca="1" si="249"/>
        <v>0</v>
      </c>
      <c r="M102" s="963">
        <f t="shared" ca="1" si="249"/>
        <v>0</v>
      </c>
      <c r="N102" s="963">
        <f t="shared" ca="1" si="249"/>
        <v>0</v>
      </c>
      <c r="O102" s="963">
        <f t="shared" ca="1" si="249"/>
        <v>0</v>
      </c>
      <c r="P102" s="963">
        <f t="shared" ca="1" si="249"/>
        <v>0</v>
      </c>
      <c r="Q102" s="1096">
        <f ca="1">SUM(G102:P102)</f>
        <v>0</v>
      </c>
      <c r="R102" s="743"/>
      <c r="S102" s="972">
        <f t="shared" ref="S102:AJ102" ca="1" si="250">IFERROR(INDEX(INDIRECT($C102&amp;".Outputs["&amp;this.Year&amp;"]"), MATCH(S$5, INDIRECT($C102&amp;".Outputs[Vector]"), 0)), 0)</f>
        <v>0</v>
      </c>
      <c r="T102" s="972">
        <f t="shared" ca="1" si="250"/>
        <v>0</v>
      </c>
      <c r="U102" s="972">
        <f t="shared" ca="1" si="250"/>
        <v>69.138060834721983</v>
      </c>
      <c r="V102" s="972">
        <f t="shared" ca="1" si="250"/>
        <v>796.97441639052499</v>
      </c>
      <c r="W102" s="972">
        <f t="shared" ca="1" si="250"/>
        <v>1434.9975946854556</v>
      </c>
      <c r="X102" s="972">
        <f t="shared" ca="1" si="250"/>
        <v>-69.138060834721983</v>
      </c>
      <c r="Y102" s="972">
        <f t="shared" ca="1" si="250"/>
        <v>-796.97441639052499</v>
      </c>
      <c r="Z102" s="972">
        <f t="shared" ca="1" si="250"/>
        <v>-1451.5364589777621</v>
      </c>
      <c r="AA102" s="972">
        <f t="shared" ca="1" si="250"/>
        <v>0</v>
      </c>
      <c r="AB102" s="972">
        <f t="shared" ca="1" si="250"/>
        <v>0</v>
      </c>
      <c r="AC102" s="972">
        <f t="shared" ca="1" si="250"/>
        <v>0</v>
      </c>
      <c r="AD102" s="972">
        <f t="shared" ca="1" si="250"/>
        <v>0</v>
      </c>
      <c r="AE102" s="972">
        <f t="shared" ca="1" si="250"/>
        <v>0</v>
      </c>
      <c r="AF102" s="972">
        <f t="shared" ca="1" si="250"/>
        <v>0</v>
      </c>
      <c r="AG102" s="972">
        <f t="shared" ca="1" si="250"/>
        <v>0</v>
      </c>
      <c r="AH102" s="972">
        <f t="shared" ca="1" si="250"/>
        <v>0</v>
      </c>
      <c r="AI102" s="972">
        <f t="shared" ca="1" si="250"/>
        <v>0</v>
      </c>
      <c r="AJ102" s="972">
        <f t="shared" ca="1" si="250"/>
        <v>0</v>
      </c>
      <c r="AK102" s="972">
        <f ca="1">SUM(S102:AJ102)</f>
        <v>-16.538864292306698</v>
      </c>
      <c r="AL102" s="743"/>
      <c r="AM102" s="979">
        <f t="shared" ref="AM102:BE102" ca="1" si="251">IFERROR(INDEX(INDIRECT($C102&amp;".Outputs["&amp;this.Year&amp;"]"), MATCH(AM$5, INDIRECT($C102&amp;".Outputs[Vector]"), 0)), 0)</f>
        <v>0</v>
      </c>
      <c r="AN102" s="979">
        <f t="shared" ca="1" si="251"/>
        <v>0</v>
      </c>
      <c r="AO102" s="979">
        <f t="shared" ca="1" si="251"/>
        <v>0</v>
      </c>
      <c r="AP102" s="979">
        <f t="shared" ca="1" si="251"/>
        <v>0</v>
      </c>
      <c r="AQ102" s="979">
        <f t="shared" ca="1" si="251"/>
        <v>0</v>
      </c>
      <c r="AR102" s="979">
        <f t="shared" ca="1" si="251"/>
        <v>0</v>
      </c>
      <c r="AS102" s="979">
        <f t="shared" ca="1" si="251"/>
        <v>0</v>
      </c>
      <c r="AT102" s="979">
        <f t="shared" ca="1" si="251"/>
        <v>0</v>
      </c>
      <c r="AU102" s="979">
        <f t="shared" ca="1" si="251"/>
        <v>0</v>
      </c>
      <c r="AV102" s="979">
        <f t="shared" ca="1" si="251"/>
        <v>0</v>
      </c>
      <c r="AW102" s="979">
        <f t="shared" ca="1" si="251"/>
        <v>0</v>
      </c>
      <c r="AX102" s="979">
        <f t="shared" ca="1" si="251"/>
        <v>0</v>
      </c>
      <c r="AY102" s="979">
        <f t="shared" ca="1" si="251"/>
        <v>0</v>
      </c>
      <c r="AZ102" s="979">
        <f t="shared" ca="1" si="251"/>
        <v>0</v>
      </c>
      <c r="BA102" s="979">
        <f t="shared" ca="1" si="251"/>
        <v>0</v>
      </c>
      <c r="BB102" s="979">
        <f t="shared" ca="1" si="251"/>
        <v>0</v>
      </c>
      <c r="BC102" s="979">
        <f t="shared" ca="1" si="251"/>
        <v>0</v>
      </c>
      <c r="BD102" s="979">
        <f t="shared" ca="1" si="251"/>
        <v>0</v>
      </c>
      <c r="BE102" s="979">
        <f t="shared" ca="1" si="251"/>
        <v>0</v>
      </c>
      <c r="BF102" s="979">
        <f ca="1">SUM(AM102:BE102)</f>
        <v>0</v>
      </c>
      <c r="BG102" s="743"/>
      <c r="BH102" s="992">
        <f ca="1">IFERROR(INDEX(INDIRECT($C102&amp;".Outputs["&amp;this.Year&amp;"]"), MATCH(BH$5, INDIRECT($C102&amp;".Outputs[Vector]"), 0)), 0)</f>
        <v>0</v>
      </c>
      <c r="BI102" s="992">
        <f ca="1">IFERROR(INDEX(INDIRECT($C102&amp;".Outputs["&amp;this.Year&amp;"]"), MATCH(BI$5, INDIRECT($C102&amp;".Outputs[Vector]"), 0)), 0)</f>
        <v>16.538864292306567</v>
      </c>
      <c r="BJ102" s="992">
        <f ca="1">SUM(BH102:BI102)</f>
        <v>16.538864292306567</v>
      </c>
      <c r="BK102" s="743"/>
      <c r="BL102" s="515">
        <f t="shared" ref="BL102:BL109" ca="1" si="252">Q102+AK102+BF102+BJ102</f>
        <v>-1.3145040611561853E-13</v>
      </c>
      <c r="BM102" s="814"/>
      <c r="BO102" s="1481">
        <f t="shared" ref="BO102:BX103" ca="1" si="253">IFERROR(SUMIFS(INDIRECT($C102&amp;".Emissions["&amp;this.Year&amp;"]"), INDIRECT($C102&amp;".Emissions[GHG]"), BO$6, INDIRECT($C102&amp;".Emissions[IPCC Sector]"), BO$5),0)</f>
        <v>0</v>
      </c>
      <c r="BP102" s="1482">
        <f t="shared" ca="1" si="253"/>
        <v>0</v>
      </c>
      <c r="BQ102" s="1482">
        <f t="shared" ca="1" si="253"/>
        <v>0</v>
      </c>
      <c r="BR102" s="1482">
        <f t="shared" ca="1" si="253"/>
        <v>0</v>
      </c>
      <c r="BS102" s="1482">
        <f t="shared" ca="1" si="253"/>
        <v>0</v>
      </c>
      <c r="BT102" s="1482">
        <f t="shared" ca="1" si="253"/>
        <v>6.2926112266222987</v>
      </c>
      <c r="BU102" s="1482">
        <f t="shared" ca="1" si="253"/>
        <v>0</v>
      </c>
      <c r="BV102" s="1482">
        <f t="shared" ca="1" si="253"/>
        <v>0</v>
      </c>
      <c r="BW102" s="1482">
        <f t="shared" ca="1" si="253"/>
        <v>0</v>
      </c>
      <c r="BX102" s="1482">
        <f t="shared" ca="1" si="253"/>
        <v>0</v>
      </c>
      <c r="BY102" s="1482">
        <f t="shared" ref="BY102:CH103" ca="1" si="254">IFERROR(SUMIFS(INDIRECT($C102&amp;".Emissions["&amp;this.Year&amp;"]"), INDIRECT($C102&amp;".Emissions[GHG]"), BY$6, INDIRECT($C102&amp;".Emissions[IPCC Sector]"), BY$5),0)</f>
        <v>0</v>
      </c>
      <c r="BZ102" s="1482">
        <f t="shared" ca="1" si="254"/>
        <v>0</v>
      </c>
      <c r="CA102" s="1482">
        <f t="shared" ca="1" si="254"/>
        <v>0</v>
      </c>
      <c r="CB102" s="1482">
        <f t="shared" ca="1" si="254"/>
        <v>0</v>
      </c>
      <c r="CC102" s="1482">
        <f t="shared" ca="1" si="254"/>
        <v>0</v>
      </c>
      <c r="CD102" s="1482">
        <f t="shared" ca="1" si="254"/>
        <v>0</v>
      </c>
      <c r="CE102" s="1482">
        <f t="shared" ca="1" si="254"/>
        <v>0</v>
      </c>
      <c r="CF102" s="1482">
        <f t="shared" ca="1" si="254"/>
        <v>0</v>
      </c>
      <c r="CG102" s="1482">
        <f t="shared" ca="1" si="254"/>
        <v>0</v>
      </c>
      <c r="CH102" s="1482">
        <f t="shared" ca="1" si="254"/>
        <v>0</v>
      </c>
      <c r="CI102" s="1482">
        <f t="shared" ref="CI102:CR103" ca="1" si="255">IFERROR(SUMIFS(INDIRECT($C102&amp;".Emissions["&amp;this.Year&amp;"]"), INDIRECT($C102&amp;".Emissions[GHG]"), CI$6, INDIRECT($C102&amp;".Emissions[IPCC Sector]"), CI$5),0)</f>
        <v>0</v>
      </c>
      <c r="CJ102" s="1482">
        <f t="shared" ca="1" si="255"/>
        <v>0</v>
      </c>
      <c r="CK102" s="1482">
        <f t="shared" ca="1" si="255"/>
        <v>0</v>
      </c>
      <c r="CL102" s="1482">
        <f t="shared" ca="1" si="255"/>
        <v>0</v>
      </c>
      <c r="CM102" s="1482">
        <f t="shared" ca="1" si="255"/>
        <v>0</v>
      </c>
      <c r="CN102" s="1482">
        <f t="shared" ca="1" si="255"/>
        <v>0</v>
      </c>
      <c r="CO102" s="1482">
        <f t="shared" ca="1" si="255"/>
        <v>0</v>
      </c>
      <c r="CP102" s="1482">
        <f t="shared" ca="1" si="255"/>
        <v>0</v>
      </c>
      <c r="CQ102" s="1482">
        <f t="shared" ca="1" si="255"/>
        <v>0</v>
      </c>
      <c r="CR102" s="1482">
        <f t="shared" ca="1" si="255"/>
        <v>0</v>
      </c>
      <c r="CS102" s="1482">
        <f t="shared" ref="CS102:DF103" ca="1" si="256">IFERROR(SUMIFS(INDIRECT($C102&amp;".Emissions["&amp;this.Year&amp;"]"), INDIRECT($C102&amp;".Emissions[GHG]"), CS$6, INDIRECT($C102&amp;".Emissions[IPCC Sector]"), CS$5),0)</f>
        <v>0</v>
      </c>
      <c r="CT102" s="1482">
        <f t="shared" ca="1" si="256"/>
        <v>0</v>
      </c>
      <c r="CU102" s="1482">
        <f t="shared" ca="1" si="256"/>
        <v>0</v>
      </c>
      <c r="CV102" s="1482">
        <f t="shared" ca="1" si="256"/>
        <v>0</v>
      </c>
      <c r="CW102" s="1482">
        <f t="shared" ca="1" si="256"/>
        <v>0</v>
      </c>
      <c r="CX102" s="1482">
        <f t="shared" ca="1" si="256"/>
        <v>0</v>
      </c>
      <c r="CY102" s="1482">
        <f t="shared" ca="1" si="256"/>
        <v>0</v>
      </c>
      <c r="CZ102" s="1482">
        <f t="shared" ca="1" si="256"/>
        <v>0</v>
      </c>
      <c r="DA102" s="1482">
        <f t="shared" ca="1" si="256"/>
        <v>0</v>
      </c>
      <c r="DB102" s="1482">
        <f t="shared" ca="1" si="256"/>
        <v>0</v>
      </c>
      <c r="DC102" s="1482">
        <f t="shared" ca="1" si="256"/>
        <v>0</v>
      </c>
      <c r="DD102" s="1482">
        <f t="shared" ca="1" si="256"/>
        <v>0</v>
      </c>
      <c r="DE102" s="1482">
        <f t="shared" ca="1" si="256"/>
        <v>0</v>
      </c>
      <c r="DF102" s="1482">
        <f t="shared" ca="1" si="256"/>
        <v>0</v>
      </c>
      <c r="DH102" s="838">
        <f t="shared" ca="1" si="234"/>
        <v>6.2926112266222987</v>
      </c>
    </row>
    <row r="103" spans="1:112" s="1484" customFormat="1" ht="12.75" hidden="1" customHeight="1" outlineLevel="1">
      <c r="B103" s="1492" t="s">
        <v>798</v>
      </c>
      <c r="C103" s="522" t="s">
        <v>1014</v>
      </c>
      <c r="D103" s="1010" t="str">
        <f>INDEX(Modules[Module], MATCH($C103, Modules[Code], 0))</f>
        <v>Balancing imports</v>
      </c>
      <c r="E103" s="1010"/>
      <c r="F103" s="743"/>
      <c r="G103" s="1102"/>
      <c r="H103" s="1102"/>
      <c r="I103" s="1102"/>
      <c r="J103" s="1102"/>
      <c r="K103" s="1103"/>
      <c r="L103" s="1102"/>
      <c r="M103" s="1102"/>
      <c r="N103" s="1102"/>
      <c r="O103" s="1102"/>
      <c r="P103" s="1102"/>
      <c r="Q103" s="1104">
        <f>SUM(G103:P103)</f>
        <v>0</v>
      </c>
      <c r="R103" s="743"/>
      <c r="S103" s="1105"/>
      <c r="T103" s="1105">
        <f ca="1">-(T$101+S$101)</f>
        <v>-5.6843418860808015E-14</v>
      </c>
      <c r="U103" s="1105"/>
      <c r="V103" s="1105"/>
      <c r="W103" s="1105"/>
      <c r="X103" s="1105">
        <f ca="1">-(X$40+X$84+X$93+X$99+X$102)</f>
        <v>-132.54860849884315</v>
      </c>
      <c r="Y103" s="1105">
        <f ca="1">-(Y$40+Y$84+Y$93+Y$99+Y$102)</f>
        <v>463.88652198507634</v>
      </c>
      <c r="Z103" s="1105">
        <f ca="1">-(Z$40+Z$84+Z$93+Z$99+Z$102)</f>
        <v>1196.4106925667206</v>
      </c>
      <c r="AA103" s="1105"/>
      <c r="AB103" s="1105"/>
      <c r="AC103" s="1105"/>
      <c r="AD103" s="1105"/>
      <c r="AE103" s="1105"/>
      <c r="AF103" s="1105"/>
      <c r="AG103" s="1105"/>
      <c r="AH103" s="1105"/>
      <c r="AI103" s="1105"/>
      <c r="AJ103" s="1105"/>
      <c r="AK103" s="1105">
        <f ca="1">SUM(S103:AJ103)</f>
        <v>1527.7486060529536</v>
      </c>
      <c r="AL103" s="743"/>
      <c r="AM103" s="1012"/>
      <c r="AN103" s="1012"/>
      <c r="AO103" s="1012"/>
      <c r="AP103" s="1012"/>
      <c r="AQ103" s="1012">
        <f ca="1">-T103</f>
        <v>5.6843418860808015E-14</v>
      </c>
      <c r="AR103" s="1012">
        <f>-V103</f>
        <v>0</v>
      </c>
      <c r="AS103" s="1012">
        <f ca="1">-X103</f>
        <v>132.54860849884315</v>
      </c>
      <c r="AT103" s="1012">
        <f ca="1">-Y103</f>
        <v>-463.88652198507634</v>
      </c>
      <c r="AU103" s="1012">
        <f ca="1">-Z103</f>
        <v>-1196.4106925667206</v>
      </c>
      <c r="AV103" s="1012"/>
      <c r="AW103" s="1012"/>
      <c r="AX103" s="1012"/>
      <c r="AY103" s="1012"/>
      <c r="AZ103" s="1012"/>
      <c r="BA103" s="1012"/>
      <c r="BB103" s="1012"/>
      <c r="BC103" s="1012"/>
      <c r="BD103" s="1012"/>
      <c r="BE103" s="1012"/>
      <c r="BF103" s="1012">
        <f ca="1">SUM(AM103:BE103)</f>
        <v>-1527.7486060529536</v>
      </c>
      <c r="BG103" s="743"/>
      <c r="BH103" s="1106"/>
      <c r="BI103" s="1106"/>
      <c r="BJ103" s="1106">
        <f>SUM(BH103:BI103)</f>
        <v>0</v>
      </c>
      <c r="BK103" s="743"/>
      <c r="BL103" s="515">
        <f t="shared" ca="1" si="252"/>
        <v>0</v>
      </c>
      <c r="BM103" s="814"/>
      <c r="BO103" s="1485">
        <f t="shared" ca="1" si="253"/>
        <v>0</v>
      </c>
      <c r="BP103" s="1486">
        <f t="shared" ca="1" si="253"/>
        <v>0</v>
      </c>
      <c r="BQ103" s="1486">
        <f t="shared" ca="1" si="253"/>
        <v>0</v>
      </c>
      <c r="BR103" s="1486">
        <f t="shared" ca="1" si="253"/>
        <v>0</v>
      </c>
      <c r="BS103" s="1486">
        <f t="shared" ca="1" si="253"/>
        <v>0</v>
      </c>
      <c r="BT103" s="1486">
        <f t="shared" ca="1" si="253"/>
        <v>0</v>
      </c>
      <c r="BU103" s="1486">
        <f t="shared" ca="1" si="253"/>
        <v>0</v>
      </c>
      <c r="BV103" s="1486">
        <f t="shared" ca="1" si="253"/>
        <v>0</v>
      </c>
      <c r="BW103" s="1486">
        <f t="shared" ca="1" si="253"/>
        <v>0</v>
      </c>
      <c r="BX103" s="1486">
        <f t="shared" ca="1" si="253"/>
        <v>0</v>
      </c>
      <c r="BY103" s="1486">
        <f t="shared" ca="1" si="254"/>
        <v>0</v>
      </c>
      <c r="BZ103" s="1486">
        <f t="shared" ca="1" si="254"/>
        <v>0</v>
      </c>
      <c r="CA103" s="1486">
        <f t="shared" ca="1" si="254"/>
        <v>0</v>
      </c>
      <c r="CB103" s="1486">
        <f t="shared" ca="1" si="254"/>
        <v>0</v>
      </c>
      <c r="CC103" s="1486">
        <f t="shared" ca="1" si="254"/>
        <v>0</v>
      </c>
      <c r="CD103" s="1486">
        <f t="shared" ca="1" si="254"/>
        <v>0</v>
      </c>
      <c r="CE103" s="1486">
        <f t="shared" ca="1" si="254"/>
        <v>0</v>
      </c>
      <c r="CF103" s="1486">
        <f t="shared" ca="1" si="254"/>
        <v>0</v>
      </c>
      <c r="CG103" s="1486">
        <f t="shared" ca="1" si="254"/>
        <v>0</v>
      </c>
      <c r="CH103" s="1486">
        <f t="shared" ca="1" si="254"/>
        <v>0</v>
      </c>
      <c r="CI103" s="1486">
        <f t="shared" ca="1" si="255"/>
        <v>0</v>
      </c>
      <c r="CJ103" s="1486">
        <f t="shared" ca="1" si="255"/>
        <v>0</v>
      </c>
      <c r="CK103" s="1486">
        <f t="shared" ca="1" si="255"/>
        <v>0</v>
      </c>
      <c r="CL103" s="1486">
        <f t="shared" ca="1" si="255"/>
        <v>0</v>
      </c>
      <c r="CM103" s="1486">
        <f t="shared" ca="1" si="255"/>
        <v>0</v>
      </c>
      <c r="CN103" s="1486">
        <f t="shared" ca="1" si="255"/>
        <v>0</v>
      </c>
      <c r="CO103" s="1486">
        <f t="shared" ca="1" si="255"/>
        <v>0</v>
      </c>
      <c r="CP103" s="1486">
        <f t="shared" ca="1" si="255"/>
        <v>0</v>
      </c>
      <c r="CQ103" s="1486">
        <f t="shared" ca="1" si="255"/>
        <v>0</v>
      </c>
      <c r="CR103" s="1486">
        <f t="shared" ca="1" si="255"/>
        <v>0</v>
      </c>
      <c r="CS103" s="1486">
        <f t="shared" ca="1" si="256"/>
        <v>0</v>
      </c>
      <c r="CT103" s="1486">
        <f t="shared" ca="1" si="256"/>
        <v>0</v>
      </c>
      <c r="CU103" s="1486">
        <f t="shared" ca="1" si="256"/>
        <v>0</v>
      </c>
      <c r="CV103" s="1486">
        <f t="shared" ca="1" si="256"/>
        <v>0</v>
      </c>
      <c r="CW103" s="1486">
        <f t="shared" ca="1" si="256"/>
        <v>0</v>
      </c>
      <c r="CX103" s="1486">
        <f t="shared" ca="1" si="256"/>
        <v>0</v>
      </c>
      <c r="CY103" s="1486">
        <f t="shared" ca="1" si="256"/>
        <v>0</v>
      </c>
      <c r="CZ103" s="1486">
        <f t="shared" ca="1" si="256"/>
        <v>0</v>
      </c>
      <c r="DA103" s="1486">
        <f t="shared" ca="1" si="256"/>
        <v>0</v>
      </c>
      <c r="DB103" s="1486">
        <f t="shared" ca="1" si="256"/>
        <v>0</v>
      </c>
      <c r="DC103" s="1486">
        <f t="shared" ca="1" si="256"/>
        <v>0</v>
      </c>
      <c r="DD103" s="1486">
        <f t="shared" ca="1" si="256"/>
        <v>0</v>
      </c>
      <c r="DE103" s="1486">
        <f t="shared" ca="1" si="256"/>
        <v>0</v>
      </c>
      <c r="DF103" s="1486">
        <f t="shared" ca="1" si="256"/>
        <v>0</v>
      </c>
      <c r="DH103" s="838">
        <f t="shared" ca="1" si="234"/>
        <v>0</v>
      </c>
    </row>
    <row r="104" spans="1:112" s="743" customFormat="1" ht="15.75" collapsed="1">
      <c r="B104" s="753" t="s">
        <v>798</v>
      </c>
      <c r="C104" s="516" t="s">
        <v>1012</v>
      </c>
      <c r="D104" s="517" t="str">
        <f>INDEX(Workstreams[Workstream], MATCH($C104, Workstreams[Code], 0))</f>
        <v>Transfers</v>
      </c>
      <c r="E104" s="509"/>
      <c r="G104" s="1021">
        <f ca="1">SUM(G102:G103)</f>
        <v>0</v>
      </c>
      <c r="H104" s="1021">
        <f t="shared" ref="H104:P104" ca="1" si="257">SUM(H102:H103)</f>
        <v>0</v>
      </c>
      <c r="I104" s="1021">
        <f t="shared" ca="1" si="257"/>
        <v>0</v>
      </c>
      <c r="J104" s="1021">
        <f t="shared" ca="1" si="257"/>
        <v>0</v>
      </c>
      <c r="K104" s="1021">
        <f t="shared" ca="1" si="257"/>
        <v>0</v>
      </c>
      <c r="L104" s="1021">
        <f t="shared" ca="1" si="257"/>
        <v>0</v>
      </c>
      <c r="M104" s="1021">
        <f t="shared" ca="1" si="257"/>
        <v>0</v>
      </c>
      <c r="N104" s="1021">
        <f t="shared" ca="1" si="257"/>
        <v>0</v>
      </c>
      <c r="O104" s="1021">
        <f t="shared" ca="1" si="257"/>
        <v>0</v>
      </c>
      <c r="P104" s="1021">
        <f t="shared" ca="1" si="257"/>
        <v>0</v>
      </c>
      <c r="Q104" s="1021">
        <f ca="1">SUM(G104:P104)</f>
        <v>0</v>
      </c>
      <c r="S104" s="970">
        <f t="shared" ref="S104:AJ104" ca="1" si="258">SUM(S102:S103)</f>
        <v>0</v>
      </c>
      <c r="T104" s="970">
        <f t="shared" ca="1" si="258"/>
        <v>-5.6843418860808015E-14</v>
      </c>
      <c r="U104" s="970">
        <f t="shared" ca="1" si="258"/>
        <v>69.138060834721983</v>
      </c>
      <c r="V104" s="970">
        <f t="shared" ca="1" si="258"/>
        <v>796.97441639052499</v>
      </c>
      <c r="W104" s="970">
        <f t="shared" ca="1" si="258"/>
        <v>1434.9975946854556</v>
      </c>
      <c r="X104" s="970">
        <f t="shared" ca="1" si="258"/>
        <v>-201.68666933356513</v>
      </c>
      <c r="Y104" s="970">
        <f t="shared" ca="1" si="258"/>
        <v>-333.08789440544865</v>
      </c>
      <c r="Z104" s="970">
        <f t="shared" ca="1" si="258"/>
        <v>-255.12576641104147</v>
      </c>
      <c r="AA104" s="970">
        <f t="shared" ca="1" si="258"/>
        <v>0</v>
      </c>
      <c r="AB104" s="970">
        <f t="shared" ca="1" si="258"/>
        <v>0</v>
      </c>
      <c r="AC104" s="970">
        <f t="shared" ca="1" si="258"/>
        <v>0</v>
      </c>
      <c r="AD104" s="970">
        <f ca="1">SUM(AD102:AD103)</f>
        <v>0</v>
      </c>
      <c r="AE104" s="970">
        <f ca="1">SUM(AE102:AE103)</f>
        <v>0</v>
      </c>
      <c r="AF104" s="970">
        <f t="shared" ca="1" si="258"/>
        <v>0</v>
      </c>
      <c r="AG104" s="970">
        <f ca="1">SUM(AG102:AG103)</f>
        <v>0</v>
      </c>
      <c r="AH104" s="970">
        <f ca="1">SUM(AH102:AH103)</f>
        <v>0</v>
      </c>
      <c r="AI104" s="970">
        <f ca="1">SUM(AI102:AI103)</f>
        <v>0</v>
      </c>
      <c r="AJ104" s="970">
        <f t="shared" ca="1" si="258"/>
        <v>0</v>
      </c>
      <c r="AK104" s="970">
        <f ca="1">SUM(S104:AJ104)</f>
        <v>1511.2097417606474</v>
      </c>
      <c r="AM104" s="976">
        <f t="shared" ref="AM104:BE104" ca="1" si="259">SUM(AM102:AM103)</f>
        <v>0</v>
      </c>
      <c r="AN104" s="976">
        <f t="shared" ca="1" si="259"/>
        <v>0</v>
      </c>
      <c r="AO104" s="976">
        <f t="shared" ca="1" si="259"/>
        <v>0</v>
      </c>
      <c r="AP104" s="976">
        <f t="shared" ca="1" si="259"/>
        <v>0</v>
      </c>
      <c r="AQ104" s="976">
        <f t="shared" ca="1" si="259"/>
        <v>5.6843418860808015E-14</v>
      </c>
      <c r="AR104" s="976">
        <f t="shared" ca="1" si="259"/>
        <v>0</v>
      </c>
      <c r="AS104" s="976">
        <f t="shared" ca="1" si="259"/>
        <v>132.54860849884315</v>
      </c>
      <c r="AT104" s="976">
        <f t="shared" ca="1" si="259"/>
        <v>-463.88652198507634</v>
      </c>
      <c r="AU104" s="976">
        <f t="shared" ca="1" si="259"/>
        <v>-1196.4106925667206</v>
      </c>
      <c r="AV104" s="976">
        <f t="shared" ca="1" si="259"/>
        <v>0</v>
      </c>
      <c r="AW104" s="976">
        <f t="shared" ca="1" si="259"/>
        <v>0</v>
      </c>
      <c r="AX104" s="976">
        <f t="shared" ca="1" si="259"/>
        <v>0</v>
      </c>
      <c r="AY104" s="976">
        <f t="shared" ca="1" si="259"/>
        <v>0</v>
      </c>
      <c r="AZ104" s="976">
        <f t="shared" ca="1" si="259"/>
        <v>0</v>
      </c>
      <c r="BA104" s="976">
        <f t="shared" ca="1" si="259"/>
        <v>0</v>
      </c>
      <c r="BB104" s="976">
        <f t="shared" ca="1" si="259"/>
        <v>0</v>
      </c>
      <c r="BC104" s="976">
        <f t="shared" ca="1" si="259"/>
        <v>0</v>
      </c>
      <c r="BD104" s="976">
        <f t="shared" ca="1" si="259"/>
        <v>0</v>
      </c>
      <c r="BE104" s="976">
        <f t="shared" ca="1" si="259"/>
        <v>0</v>
      </c>
      <c r="BF104" s="976">
        <f ca="1">SUM(AM104:BE104)</f>
        <v>-1527.7486060529536</v>
      </c>
      <c r="BH104" s="990">
        <f ca="1">SUM(BH102:BH103)</f>
        <v>0</v>
      </c>
      <c r="BI104" s="990">
        <f ca="1">SUM(BI102:BI103)</f>
        <v>16.538864292306567</v>
      </c>
      <c r="BJ104" s="990">
        <f ca="1">SUM(BH104:BI104)</f>
        <v>16.538864292306567</v>
      </c>
      <c r="BL104" s="515">
        <f t="shared" ca="1" si="252"/>
        <v>3.2329694477084558E-13</v>
      </c>
      <c r="BM104" s="515"/>
      <c r="BN104" s="840"/>
      <c r="BO104" s="1482">
        <f t="shared" ref="BO104:DF104" ca="1" si="260">SUM(BO102:BO103)</f>
        <v>0</v>
      </c>
      <c r="BP104" s="1482">
        <f t="shared" ca="1" si="260"/>
        <v>0</v>
      </c>
      <c r="BQ104" s="1482">
        <f t="shared" ca="1" si="260"/>
        <v>0</v>
      </c>
      <c r="BR104" s="1482">
        <f t="shared" ca="1" si="260"/>
        <v>0</v>
      </c>
      <c r="BS104" s="1482">
        <f t="shared" ca="1" si="260"/>
        <v>0</v>
      </c>
      <c r="BT104" s="1482">
        <f t="shared" ca="1" si="260"/>
        <v>6.2926112266222987</v>
      </c>
      <c r="BU104" s="1482">
        <f t="shared" ca="1" si="260"/>
        <v>0</v>
      </c>
      <c r="BV104" s="1482">
        <f t="shared" ca="1" si="260"/>
        <v>0</v>
      </c>
      <c r="BW104" s="1482">
        <f t="shared" ca="1" si="260"/>
        <v>0</v>
      </c>
      <c r="BX104" s="1482">
        <f t="shared" ca="1" si="260"/>
        <v>0</v>
      </c>
      <c r="BY104" s="1482">
        <f t="shared" ca="1" si="260"/>
        <v>0</v>
      </c>
      <c r="BZ104" s="1482">
        <f t="shared" ca="1" si="260"/>
        <v>0</v>
      </c>
      <c r="CA104" s="1482">
        <f t="shared" ca="1" si="260"/>
        <v>0</v>
      </c>
      <c r="CB104" s="1482">
        <f t="shared" ca="1" si="260"/>
        <v>0</v>
      </c>
      <c r="CC104" s="1482">
        <f t="shared" ca="1" si="260"/>
        <v>0</v>
      </c>
      <c r="CD104" s="1482">
        <f t="shared" ca="1" si="260"/>
        <v>0</v>
      </c>
      <c r="CE104" s="1482">
        <f t="shared" ca="1" si="260"/>
        <v>0</v>
      </c>
      <c r="CF104" s="1482">
        <f t="shared" ca="1" si="260"/>
        <v>0</v>
      </c>
      <c r="CG104" s="1482">
        <f t="shared" ca="1" si="260"/>
        <v>0</v>
      </c>
      <c r="CH104" s="1482">
        <f t="shared" ca="1" si="260"/>
        <v>0</v>
      </c>
      <c r="CI104" s="1482">
        <f t="shared" ca="1" si="260"/>
        <v>0</v>
      </c>
      <c r="CJ104" s="1482">
        <f t="shared" ca="1" si="260"/>
        <v>0</v>
      </c>
      <c r="CK104" s="1482">
        <f t="shared" ca="1" si="260"/>
        <v>0</v>
      </c>
      <c r="CL104" s="1482">
        <f t="shared" ca="1" si="260"/>
        <v>0</v>
      </c>
      <c r="CM104" s="1482">
        <f t="shared" ca="1" si="260"/>
        <v>0</v>
      </c>
      <c r="CN104" s="1482">
        <f t="shared" ca="1" si="260"/>
        <v>0</v>
      </c>
      <c r="CO104" s="1482">
        <f t="shared" ca="1" si="260"/>
        <v>0</v>
      </c>
      <c r="CP104" s="1482">
        <f t="shared" ca="1" si="260"/>
        <v>0</v>
      </c>
      <c r="CQ104" s="1482">
        <f t="shared" ca="1" si="260"/>
        <v>0</v>
      </c>
      <c r="CR104" s="1482">
        <f t="shared" ca="1" si="260"/>
        <v>0</v>
      </c>
      <c r="CS104" s="1482">
        <f t="shared" ca="1" si="260"/>
        <v>0</v>
      </c>
      <c r="CT104" s="1482">
        <f t="shared" ca="1" si="260"/>
        <v>0</v>
      </c>
      <c r="CU104" s="1482">
        <f t="shared" ca="1" si="260"/>
        <v>0</v>
      </c>
      <c r="CV104" s="1482">
        <f t="shared" ca="1" si="260"/>
        <v>0</v>
      </c>
      <c r="CW104" s="1482">
        <f t="shared" ca="1" si="260"/>
        <v>0</v>
      </c>
      <c r="CX104" s="1482">
        <f t="shared" ca="1" si="260"/>
        <v>0</v>
      </c>
      <c r="CY104" s="1482">
        <f t="shared" ca="1" si="260"/>
        <v>0</v>
      </c>
      <c r="CZ104" s="1482">
        <f t="shared" ca="1" si="260"/>
        <v>0</v>
      </c>
      <c r="DA104" s="1482">
        <f t="shared" ca="1" si="260"/>
        <v>0</v>
      </c>
      <c r="DB104" s="1482">
        <f t="shared" ca="1" si="260"/>
        <v>0</v>
      </c>
      <c r="DC104" s="1482">
        <f t="shared" ca="1" si="260"/>
        <v>0</v>
      </c>
      <c r="DD104" s="1482">
        <f t="shared" ca="1" si="260"/>
        <v>0</v>
      </c>
      <c r="DE104" s="1482">
        <f t="shared" ca="1" si="260"/>
        <v>0</v>
      </c>
      <c r="DF104" s="1482">
        <f t="shared" ca="1" si="260"/>
        <v>0</v>
      </c>
      <c r="DH104" s="838">
        <f t="shared" ca="1" si="234"/>
        <v>6.2926112266222987</v>
      </c>
    </row>
    <row r="105" spans="1:112" s="743" customFormat="1" ht="6" customHeight="1">
      <c r="C105" s="508"/>
      <c r="D105" s="509"/>
      <c r="E105" s="509"/>
      <c r="G105" s="958"/>
      <c r="H105" s="958"/>
      <c r="I105" s="958"/>
      <c r="J105" s="958"/>
      <c r="K105" s="960"/>
      <c r="L105" s="958"/>
      <c r="M105" s="958"/>
      <c r="N105" s="958"/>
      <c r="O105" s="958"/>
      <c r="P105" s="958"/>
      <c r="Q105" s="958"/>
      <c r="S105" s="970"/>
      <c r="T105" s="970"/>
      <c r="U105" s="970"/>
      <c r="V105" s="970"/>
      <c r="W105" s="970"/>
      <c r="X105" s="970"/>
      <c r="Y105" s="970"/>
      <c r="Z105" s="970"/>
      <c r="AA105" s="970"/>
      <c r="AB105" s="970"/>
      <c r="AC105" s="970"/>
      <c r="AD105" s="970"/>
      <c r="AE105" s="970"/>
      <c r="AF105" s="970"/>
      <c r="AG105" s="970"/>
      <c r="AH105" s="970"/>
      <c r="AI105" s="970"/>
      <c r="AJ105" s="970"/>
      <c r="AK105" s="970"/>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H105" s="990"/>
      <c r="BI105" s="990"/>
      <c r="BJ105" s="990"/>
      <c r="BL105" s="515">
        <f t="shared" si="252"/>
        <v>0</v>
      </c>
      <c r="BM105" s="515"/>
      <c r="BO105" s="1482"/>
      <c r="BP105" s="1482"/>
      <c r="BQ105" s="1482"/>
      <c r="BR105" s="1482"/>
      <c r="BS105" s="1482"/>
      <c r="BT105" s="1482"/>
      <c r="BU105" s="1482"/>
      <c r="BV105" s="1482"/>
      <c r="BW105" s="1482"/>
      <c r="BX105" s="1482"/>
      <c r="BY105" s="1482"/>
      <c r="BZ105" s="1482"/>
      <c r="CA105" s="1482"/>
      <c r="CB105" s="1482"/>
      <c r="CC105" s="1482"/>
      <c r="CD105" s="1482"/>
      <c r="CE105" s="1482"/>
      <c r="CF105" s="1482"/>
      <c r="CG105" s="1482"/>
      <c r="CH105" s="1482"/>
      <c r="CI105" s="1482"/>
      <c r="CJ105" s="1482"/>
      <c r="CK105" s="1482"/>
      <c r="CL105" s="1482"/>
      <c r="CM105" s="1482"/>
      <c r="CN105" s="1482"/>
      <c r="CO105" s="1482"/>
      <c r="CP105" s="1482"/>
      <c r="CQ105" s="1482"/>
      <c r="CR105" s="1482"/>
      <c r="CS105" s="1482"/>
      <c r="CT105" s="1482"/>
      <c r="CU105" s="1482"/>
      <c r="CV105" s="1482"/>
      <c r="CW105" s="1482"/>
      <c r="CX105" s="1482"/>
      <c r="CY105" s="1482"/>
      <c r="CZ105" s="1482"/>
      <c r="DA105" s="1482"/>
      <c r="DB105" s="1482"/>
      <c r="DC105" s="1482"/>
      <c r="DD105" s="1482"/>
      <c r="DE105" s="1482"/>
      <c r="DF105" s="1482"/>
      <c r="DH105" s="838"/>
    </row>
    <row r="106" spans="1:112" s="743" customFormat="1" ht="15.75">
      <c r="B106" s="753"/>
      <c r="C106" s="2051" t="s">
        <v>1817</v>
      </c>
      <c r="D106" s="643" t="s">
        <v>1016</v>
      </c>
      <c r="E106" s="644"/>
      <c r="G106" s="1075">
        <f t="shared" ref="G106:P106" ca="1" si="261">G$93+G$99+G$104</f>
        <v>0</v>
      </c>
      <c r="H106" s="1075">
        <f t="shared" ca="1" si="261"/>
        <v>0</v>
      </c>
      <c r="I106" s="1075">
        <f t="shared" ca="1" si="261"/>
        <v>0</v>
      </c>
      <c r="J106" s="1075">
        <f t="shared" ca="1" si="261"/>
        <v>0</v>
      </c>
      <c r="K106" s="1076">
        <f t="shared" ca="1" si="261"/>
        <v>0</v>
      </c>
      <c r="L106" s="1075">
        <f t="shared" ca="1" si="261"/>
        <v>0</v>
      </c>
      <c r="M106" s="1075">
        <f t="shared" ca="1" si="261"/>
        <v>0</v>
      </c>
      <c r="N106" s="1075">
        <f t="shared" ca="1" si="261"/>
        <v>0</v>
      </c>
      <c r="O106" s="1075">
        <f t="shared" ca="1" si="261"/>
        <v>0</v>
      </c>
      <c r="P106" s="1075">
        <f t="shared" ca="1" si="261"/>
        <v>0</v>
      </c>
      <c r="Q106" s="1023">
        <f ca="1">SUM(G106:P106)</f>
        <v>0</v>
      </c>
      <c r="S106" s="1014">
        <f t="shared" ref="S106:AJ106" ca="1" si="262">S$93+S$99+S$104</f>
        <v>0</v>
      </c>
      <c r="T106" s="1014">
        <f t="shared" ca="1" si="262"/>
        <v>-29.911395184011838</v>
      </c>
      <c r="U106" s="1014">
        <f t="shared" ca="1" si="262"/>
        <v>113.11419496727211</v>
      </c>
      <c r="V106" s="1014">
        <f t="shared" ca="1" si="262"/>
        <v>816.14496810350909</v>
      </c>
      <c r="W106" s="1014">
        <f t="shared" ca="1" si="262"/>
        <v>1487.4018427806232</v>
      </c>
      <c r="X106" s="1014">
        <f t="shared" ca="1" si="262"/>
        <v>-201.68666933356513</v>
      </c>
      <c r="Y106" s="1014">
        <f t="shared" ca="1" si="262"/>
        <v>-333.08789440544865</v>
      </c>
      <c r="Z106" s="1014">
        <f t="shared" ca="1" si="262"/>
        <v>-255.12576641104147</v>
      </c>
      <c r="AA106" s="1014">
        <f t="shared" ca="1" si="262"/>
        <v>0</v>
      </c>
      <c r="AB106" s="1014">
        <f t="shared" ca="1" si="262"/>
        <v>0</v>
      </c>
      <c r="AC106" s="1014">
        <f t="shared" ca="1" si="262"/>
        <v>0</v>
      </c>
      <c r="AD106" s="1014">
        <f t="shared" ca="1" si="262"/>
        <v>-29.548733569197832</v>
      </c>
      <c r="AE106" s="1014">
        <f t="shared" ca="1" si="262"/>
        <v>-1.4299306702169821</v>
      </c>
      <c r="AF106" s="1014">
        <f t="shared" ca="1" si="262"/>
        <v>-46.590464281644856</v>
      </c>
      <c r="AG106" s="1014">
        <f t="shared" ca="1" si="262"/>
        <v>-44.318418705558379</v>
      </c>
      <c r="AH106" s="1014">
        <f t="shared" ca="1" si="262"/>
        <v>-16.949513130720788</v>
      </c>
      <c r="AI106" s="1014">
        <f t="shared" ca="1" si="262"/>
        <v>0</v>
      </c>
      <c r="AJ106" s="1014">
        <f t="shared" ca="1" si="262"/>
        <v>0</v>
      </c>
      <c r="AK106" s="1014">
        <f ca="1">SUM(S106:AJ106)</f>
        <v>1458.0122201599986</v>
      </c>
      <c r="AM106" s="1015">
        <f t="shared" ref="AM106:BE106" ca="1" si="263">AM$93+AM$99+AM$104</f>
        <v>0</v>
      </c>
      <c r="AN106" s="1015">
        <f t="shared" ca="1" si="263"/>
        <v>0</v>
      </c>
      <c r="AO106" s="1015">
        <f t="shared" ca="1" si="263"/>
        <v>0</v>
      </c>
      <c r="AP106" s="1015">
        <f t="shared" ca="1" si="263"/>
        <v>-1.8608</v>
      </c>
      <c r="AQ106" s="1015">
        <f t="shared" ca="1" si="263"/>
        <v>5.6843418860808015E-14</v>
      </c>
      <c r="AR106" s="1015">
        <f t="shared" ca="1" si="263"/>
        <v>0</v>
      </c>
      <c r="AS106" s="1015">
        <f t="shared" ca="1" si="263"/>
        <v>132.54860849884315</v>
      </c>
      <c r="AT106" s="1015">
        <f t="shared" ca="1" si="263"/>
        <v>-463.88652198507634</v>
      </c>
      <c r="AU106" s="1015">
        <f t="shared" ca="1" si="263"/>
        <v>-1196.4106925667206</v>
      </c>
      <c r="AV106" s="1015">
        <f t="shared" ca="1" si="263"/>
        <v>0</v>
      </c>
      <c r="AW106" s="1015">
        <f t="shared" ca="1" si="263"/>
        <v>0</v>
      </c>
      <c r="AX106" s="1015">
        <f t="shared" ca="1" si="263"/>
        <v>0</v>
      </c>
      <c r="AY106" s="1015">
        <f t="shared" ca="1" si="263"/>
        <v>0</v>
      </c>
      <c r="AZ106" s="1015">
        <f t="shared" ca="1" si="263"/>
        <v>0</v>
      </c>
      <c r="BA106" s="1015">
        <f t="shared" ca="1" si="263"/>
        <v>0</v>
      </c>
      <c r="BB106" s="1015">
        <f t="shared" ca="1" si="263"/>
        <v>0</v>
      </c>
      <c r="BC106" s="1015">
        <f t="shared" ca="1" si="263"/>
        <v>0</v>
      </c>
      <c r="BD106" s="1015">
        <f t="shared" ca="1" si="263"/>
        <v>0</v>
      </c>
      <c r="BE106" s="1015">
        <f t="shared" ca="1" si="263"/>
        <v>0</v>
      </c>
      <c r="BF106" s="1015">
        <f ca="1">SUM(AM106:BE106)</f>
        <v>-1529.6094060529538</v>
      </c>
      <c r="BH106" s="1016">
        <f ca="1">BH$93+BH$99+BH$104</f>
        <v>25.146926416637086</v>
      </c>
      <c r="BI106" s="1016">
        <f ca="1">BI$93+BI$99+BI$104</f>
        <v>46.450259476318344</v>
      </c>
      <c r="BJ106" s="1016">
        <f ca="1">SUM(BH106:BI106)</f>
        <v>71.597185892955423</v>
      </c>
      <c r="BL106" s="518">
        <f t="shared" ca="1" si="252"/>
        <v>2.5579538487363607E-13</v>
      </c>
      <c r="BM106" s="518"/>
      <c r="BO106" s="1487">
        <f t="shared" ref="BO106:DE106" ca="1" si="264">BO$93+BO$99+BO$104</f>
        <v>0</v>
      </c>
      <c r="BP106" s="1487">
        <f t="shared" ca="1" si="264"/>
        <v>0</v>
      </c>
      <c r="BQ106" s="1487">
        <f t="shared" ca="1" si="264"/>
        <v>0</v>
      </c>
      <c r="BR106" s="1487">
        <f t="shared" ca="1" si="264"/>
        <v>0</v>
      </c>
      <c r="BS106" s="1487">
        <f t="shared" ca="1" si="264"/>
        <v>0</v>
      </c>
      <c r="BT106" s="1487">
        <f t="shared" ca="1" si="264"/>
        <v>6.2926112266222987</v>
      </c>
      <c r="BU106" s="1487">
        <f t="shared" ca="1" si="264"/>
        <v>0</v>
      </c>
      <c r="BV106" s="1487">
        <f t="shared" ca="1" si="264"/>
        <v>0</v>
      </c>
      <c r="BW106" s="1487">
        <f t="shared" ca="1" si="264"/>
        <v>0</v>
      </c>
      <c r="BX106" s="1487">
        <f t="shared" ca="1" si="264"/>
        <v>0</v>
      </c>
      <c r="BY106" s="1487">
        <f t="shared" ca="1" si="264"/>
        <v>0</v>
      </c>
      <c r="BZ106" s="1487">
        <f t="shared" ca="1" si="264"/>
        <v>0</v>
      </c>
      <c r="CA106" s="1487">
        <f t="shared" ca="1" si="264"/>
        <v>0</v>
      </c>
      <c r="CB106" s="1487">
        <f t="shared" ca="1" si="264"/>
        <v>0</v>
      </c>
      <c r="CC106" s="1487">
        <f t="shared" ca="1" si="264"/>
        <v>0</v>
      </c>
      <c r="CD106" s="1487">
        <f t="shared" ca="1" si="264"/>
        <v>0</v>
      </c>
      <c r="CE106" s="1487">
        <f t="shared" ca="1" si="264"/>
        <v>0</v>
      </c>
      <c r="CF106" s="1487">
        <f t="shared" ca="1" si="264"/>
        <v>0</v>
      </c>
      <c r="CG106" s="1487">
        <f t="shared" ca="1" si="264"/>
        <v>0</v>
      </c>
      <c r="CH106" s="1487">
        <f t="shared" ca="1" si="264"/>
        <v>0</v>
      </c>
      <c r="CI106" s="1487">
        <f t="shared" ca="1" si="264"/>
        <v>0</v>
      </c>
      <c r="CJ106" s="1487">
        <f t="shared" ca="1" si="264"/>
        <v>0</v>
      </c>
      <c r="CK106" s="1487">
        <f t="shared" ca="1" si="264"/>
        <v>0</v>
      </c>
      <c r="CL106" s="1487">
        <f t="shared" ca="1" si="264"/>
        <v>0</v>
      </c>
      <c r="CM106" s="1487">
        <f t="shared" ca="1" si="264"/>
        <v>0</v>
      </c>
      <c r="CN106" s="1487">
        <f t="shared" ca="1" si="264"/>
        <v>0</v>
      </c>
      <c r="CO106" s="1487">
        <f t="shared" ca="1" si="264"/>
        <v>0</v>
      </c>
      <c r="CP106" s="1487">
        <f t="shared" ca="1" si="264"/>
        <v>0</v>
      </c>
      <c r="CQ106" s="1487">
        <f t="shared" ca="1" si="264"/>
        <v>0</v>
      </c>
      <c r="CR106" s="1487">
        <f t="shared" ca="1" si="264"/>
        <v>0</v>
      </c>
      <c r="CS106" s="1487">
        <f t="shared" ca="1" si="264"/>
        <v>0</v>
      </c>
      <c r="CT106" s="1487">
        <f t="shared" ca="1" si="264"/>
        <v>0</v>
      </c>
      <c r="CU106" s="1487">
        <f t="shared" ca="1" si="264"/>
        <v>0</v>
      </c>
      <c r="CV106" s="1487">
        <f t="shared" ca="1" si="264"/>
        <v>0</v>
      </c>
      <c r="CW106" s="1487">
        <f t="shared" ca="1" si="264"/>
        <v>0</v>
      </c>
      <c r="CX106" s="1487">
        <f t="shared" ca="1" si="264"/>
        <v>0</v>
      </c>
      <c r="CY106" s="1487">
        <f t="shared" ca="1" si="264"/>
        <v>-27.979668890582285</v>
      </c>
      <c r="CZ106" s="1487">
        <f t="shared" ca="1" si="264"/>
        <v>0</v>
      </c>
      <c r="DA106" s="1487">
        <f t="shared" ca="1" si="264"/>
        <v>0</v>
      </c>
      <c r="DB106" s="1487">
        <f t="shared" ca="1" si="264"/>
        <v>0</v>
      </c>
      <c r="DC106" s="1487">
        <f t="shared" ca="1" si="264"/>
        <v>0</v>
      </c>
      <c r="DD106" s="1487">
        <f t="shared" ca="1" si="264"/>
        <v>0</v>
      </c>
      <c r="DE106" s="1487">
        <f t="shared" ca="1" si="264"/>
        <v>0</v>
      </c>
      <c r="DF106" s="1487">
        <f ca="1">DF$93+DF$104</f>
        <v>0</v>
      </c>
      <c r="DH106" s="835">
        <f ca="1">SUM(BO106:DF106)</f>
        <v>-21.687057663959987</v>
      </c>
    </row>
    <row r="107" spans="1:112" s="743" customFormat="1">
      <c r="C107" s="508"/>
      <c r="D107" s="509"/>
      <c r="E107" s="509"/>
      <c r="G107" s="958"/>
      <c r="H107" s="958"/>
      <c r="I107" s="958"/>
      <c r="J107" s="958"/>
      <c r="K107" s="960"/>
      <c r="L107" s="958"/>
      <c r="M107" s="958"/>
      <c r="N107" s="958"/>
      <c r="O107" s="958"/>
      <c r="P107" s="958"/>
      <c r="Q107" s="958"/>
      <c r="S107" s="970"/>
      <c r="T107" s="970"/>
      <c r="U107" s="970"/>
      <c r="V107" s="970"/>
      <c r="W107" s="970"/>
      <c r="X107" s="970"/>
      <c r="Y107" s="970"/>
      <c r="Z107" s="970"/>
      <c r="AA107" s="970"/>
      <c r="AB107" s="970"/>
      <c r="AC107" s="970"/>
      <c r="AD107" s="970"/>
      <c r="AE107" s="970"/>
      <c r="AF107" s="970"/>
      <c r="AG107" s="970"/>
      <c r="AH107" s="970"/>
      <c r="AI107" s="970"/>
      <c r="AJ107" s="970"/>
      <c r="AK107" s="970"/>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H107" s="990"/>
      <c r="BI107" s="990"/>
      <c r="BJ107" s="990"/>
      <c r="BL107" s="515">
        <f t="shared" si="252"/>
        <v>0</v>
      </c>
      <c r="BM107" s="515"/>
      <c r="BO107" s="1482"/>
      <c r="BP107" s="1482"/>
      <c r="BQ107" s="1482"/>
      <c r="BR107" s="1482"/>
      <c r="BS107" s="1482"/>
      <c r="BT107" s="1482"/>
      <c r="BU107" s="1482"/>
      <c r="BV107" s="1482"/>
      <c r="BW107" s="1482"/>
      <c r="BX107" s="1482"/>
      <c r="BY107" s="1482"/>
      <c r="BZ107" s="1482"/>
      <c r="CA107" s="1482"/>
      <c r="CB107" s="1482"/>
      <c r="CC107" s="1482"/>
      <c r="CD107" s="1482"/>
      <c r="CE107" s="1482"/>
      <c r="CF107" s="1482"/>
      <c r="CG107" s="1482"/>
      <c r="CH107" s="1482"/>
      <c r="CI107" s="1482"/>
      <c r="CJ107" s="1482"/>
      <c r="CK107" s="1482"/>
      <c r="CL107" s="1482"/>
      <c r="CM107" s="1482"/>
      <c r="CN107" s="1482"/>
      <c r="CO107" s="1482"/>
      <c r="CP107" s="1482"/>
      <c r="CQ107" s="1482"/>
      <c r="CR107" s="1482"/>
      <c r="CS107" s="1482"/>
      <c r="CT107" s="1482"/>
      <c r="CU107" s="1482"/>
      <c r="CV107" s="1482"/>
      <c r="CW107" s="1482"/>
      <c r="CX107" s="1482"/>
      <c r="CY107" s="1482"/>
      <c r="CZ107" s="1482"/>
      <c r="DA107" s="1482"/>
      <c r="DB107" s="1482"/>
      <c r="DC107" s="1482"/>
      <c r="DD107" s="1482"/>
      <c r="DE107" s="1482"/>
      <c r="DF107" s="1482"/>
      <c r="DH107" s="838"/>
    </row>
    <row r="108" spans="1:112" s="743" customFormat="1" ht="13.5" thickBot="1">
      <c r="C108" s="508"/>
      <c r="D108" s="509"/>
      <c r="E108" s="509"/>
      <c r="G108" s="958"/>
      <c r="H108" s="958"/>
      <c r="I108" s="958"/>
      <c r="J108" s="958"/>
      <c r="K108" s="960"/>
      <c r="L108" s="958"/>
      <c r="M108" s="958"/>
      <c r="N108" s="958"/>
      <c r="O108" s="958"/>
      <c r="P108" s="958"/>
      <c r="Q108" s="958"/>
      <c r="S108" s="970"/>
      <c r="T108" s="970"/>
      <c r="U108" s="970"/>
      <c r="V108" s="970"/>
      <c r="W108" s="970"/>
      <c r="X108" s="970"/>
      <c r="Y108" s="970"/>
      <c r="Z108" s="970"/>
      <c r="AA108" s="970"/>
      <c r="AB108" s="970"/>
      <c r="AC108" s="970"/>
      <c r="AD108" s="970"/>
      <c r="AE108" s="970"/>
      <c r="AF108" s="970"/>
      <c r="AG108" s="970"/>
      <c r="AH108" s="970"/>
      <c r="AI108" s="970"/>
      <c r="AJ108" s="970"/>
      <c r="AK108" s="970"/>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H108" s="990"/>
      <c r="BI108" s="990"/>
      <c r="BJ108" s="990"/>
      <c r="BL108" s="515">
        <f t="shared" si="252"/>
        <v>0</v>
      </c>
      <c r="BM108" s="515"/>
      <c r="BO108" s="1482"/>
      <c r="BP108" s="1482"/>
      <c r="BQ108" s="1482"/>
      <c r="BR108" s="1482"/>
      <c r="BS108" s="1482"/>
      <c r="BT108" s="1482"/>
      <c r="BU108" s="1482"/>
      <c r="BV108" s="1482"/>
      <c r="BW108" s="1482"/>
      <c r="BX108" s="1482"/>
      <c r="BY108" s="1482"/>
      <c r="BZ108" s="1482"/>
      <c r="CA108" s="1482"/>
      <c r="CB108" s="1482"/>
      <c r="CC108" s="1482"/>
      <c r="CD108" s="1482"/>
      <c r="CE108" s="1482"/>
      <c r="CF108" s="1482"/>
      <c r="CG108" s="1482"/>
      <c r="CH108" s="1482"/>
      <c r="CI108" s="1482"/>
      <c r="CJ108" s="1482"/>
      <c r="CK108" s="1482"/>
      <c r="CL108" s="1482"/>
      <c r="CM108" s="1482"/>
      <c r="CN108" s="1482"/>
      <c r="CO108" s="1482"/>
      <c r="CP108" s="1482"/>
      <c r="CQ108" s="1482"/>
      <c r="CR108" s="1482"/>
      <c r="CS108" s="1482"/>
      <c r="CT108" s="1482"/>
      <c r="CU108" s="1482"/>
      <c r="CV108" s="1482"/>
      <c r="CW108" s="1482"/>
      <c r="CX108" s="1482"/>
      <c r="CY108" s="1482"/>
      <c r="CZ108" s="1482"/>
      <c r="DA108" s="1482"/>
      <c r="DB108" s="1482"/>
      <c r="DC108" s="1482"/>
      <c r="DD108" s="1482"/>
      <c r="DE108" s="1482"/>
      <c r="DF108" s="1482"/>
      <c r="DH108" s="838"/>
    </row>
    <row r="109" spans="1:112" s="743" customFormat="1" ht="24" customHeight="1" thickBot="1">
      <c r="C109" s="608" t="s">
        <v>593</v>
      </c>
      <c r="D109" s="608"/>
      <c r="E109" s="608"/>
      <c r="G109" s="1098">
        <f t="shared" ref="G109:P109" ca="1" si="265">G$40+G$84+G$106</f>
        <v>651.04611206371885</v>
      </c>
      <c r="H109" s="1098">
        <f t="shared" ca="1" si="265"/>
        <v>193.5794282147545</v>
      </c>
      <c r="I109" s="1098">
        <f t="shared" ca="1" si="265"/>
        <v>467.14436497577742</v>
      </c>
      <c r="J109" s="1098">
        <f t="shared" ca="1" si="265"/>
        <v>356.10824416990909</v>
      </c>
      <c r="K109" s="1098">
        <f t="shared" ca="1" si="265"/>
        <v>16.278078430943093</v>
      </c>
      <c r="L109" s="1098">
        <f t="shared" ca="1" si="265"/>
        <v>12.657847240047854</v>
      </c>
      <c r="M109" s="1098">
        <f t="shared" ca="1" si="265"/>
        <v>23.688791719453825</v>
      </c>
      <c r="N109" s="1098">
        <f t="shared" ca="1" si="265"/>
        <v>208.13218382871563</v>
      </c>
      <c r="O109" s="1098">
        <f t="shared" ca="1" si="265"/>
        <v>68.605814160198818</v>
      </c>
      <c r="P109" s="1098">
        <f t="shared" ca="1" si="265"/>
        <v>0</v>
      </c>
      <c r="Q109" s="1098">
        <f ca="1">SUM(G109:P109)</f>
        <v>1997.2408648035191</v>
      </c>
      <c r="S109" s="1099">
        <f t="shared" ref="S109:AJ109" ca="1" si="266">S$40+S$84+S$106</f>
        <v>-398.92590619421691</v>
      </c>
      <c r="T109" s="1099">
        <f t="shared" ca="1" si="266"/>
        <v>398.92590619421691</v>
      </c>
      <c r="U109" s="1099">
        <f t="shared" ca="1" si="266"/>
        <v>0</v>
      </c>
      <c r="V109" s="1099">
        <f t="shared" ca="1" si="266"/>
        <v>0</v>
      </c>
      <c r="W109" s="1099">
        <f t="shared" ca="1" si="266"/>
        <v>0</v>
      </c>
      <c r="X109" s="1099">
        <f t="shared" ca="1" si="266"/>
        <v>0</v>
      </c>
      <c r="Y109" s="1099">
        <f t="shared" ca="1" si="266"/>
        <v>0</v>
      </c>
      <c r="Z109" s="1099">
        <f t="shared" ca="1" si="266"/>
        <v>0</v>
      </c>
      <c r="AA109" s="1099">
        <f t="shared" ca="1" si="266"/>
        <v>0</v>
      </c>
      <c r="AB109" s="1099">
        <f t="shared" ca="1" si="266"/>
        <v>0</v>
      </c>
      <c r="AC109" s="1099">
        <f t="shared" ca="1" si="266"/>
        <v>0</v>
      </c>
      <c r="AD109" s="1099">
        <f t="shared" ca="1" si="266"/>
        <v>0</v>
      </c>
      <c r="AE109" s="1099">
        <f t="shared" ca="1" si="266"/>
        <v>0</v>
      </c>
      <c r="AF109" s="1099">
        <f t="shared" ca="1" si="266"/>
        <v>0</v>
      </c>
      <c r="AG109" s="1099">
        <f t="shared" ca="1" si="266"/>
        <v>0</v>
      </c>
      <c r="AH109" s="1099">
        <f t="shared" ca="1" si="266"/>
        <v>0</v>
      </c>
      <c r="AI109" s="1099">
        <f t="shared" ca="1" si="266"/>
        <v>0</v>
      </c>
      <c r="AJ109" s="1099">
        <f t="shared" ca="1" si="266"/>
        <v>0</v>
      </c>
      <c r="AK109" s="1099">
        <f ca="1">SUM(S109:AJ109)</f>
        <v>0</v>
      </c>
      <c r="AM109" s="1100">
        <f t="shared" ref="AM109:BE109" ca="1" si="267">AM$40+AM$84+AM$106</f>
        <v>-124.39544583847987</v>
      </c>
      <c r="AN109" s="1100">
        <f t="shared" ca="1" si="267"/>
        <v>-333.08789440544865</v>
      </c>
      <c r="AO109" s="1100">
        <f t="shared" ca="1" si="267"/>
        <v>-255.12576641104135</v>
      </c>
      <c r="AP109" s="1100">
        <f t="shared" ca="1" si="267"/>
        <v>-1.8608</v>
      </c>
      <c r="AQ109" s="1100">
        <f t="shared" ca="1" si="267"/>
        <v>5.6843418860808015E-14</v>
      </c>
      <c r="AR109" s="1100">
        <f t="shared" ca="1" si="267"/>
        <v>0</v>
      </c>
      <c r="AS109" s="1100">
        <f t="shared" ca="1" si="267"/>
        <v>132.54860849884315</v>
      </c>
      <c r="AT109" s="1100">
        <f t="shared" ca="1" si="267"/>
        <v>-463.88652198507634</v>
      </c>
      <c r="AU109" s="1100">
        <f t="shared" ca="1" si="267"/>
        <v>-1196.4106925667206</v>
      </c>
      <c r="AV109" s="1100">
        <f t="shared" ca="1" si="267"/>
        <v>-25.713600000000014</v>
      </c>
      <c r="AW109" s="1100">
        <f t="shared" ca="1" si="267"/>
        <v>0</v>
      </c>
      <c r="AX109" s="1100">
        <f t="shared" ca="1" si="267"/>
        <v>-43.456130099999996</v>
      </c>
      <c r="AY109" s="1100">
        <f t="shared" ca="1" si="267"/>
        <v>-0.12508561643835608</v>
      </c>
      <c r="AZ109" s="1100">
        <f t="shared" ca="1" si="267"/>
        <v>-0.39610445205479383</v>
      </c>
      <c r="BA109" s="1100">
        <f t="shared" ca="1" si="267"/>
        <v>0</v>
      </c>
      <c r="BB109" s="1100">
        <f t="shared" ca="1" si="267"/>
        <v>-5.3297280000000011</v>
      </c>
      <c r="BC109" s="1100">
        <f t="shared" ca="1" si="267"/>
        <v>0</v>
      </c>
      <c r="BD109" s="1100">
        <f t="shared" ca="1" si="267"/>
        <v>-30.978664239414815</v>
      </c>
      <c r="BE109" s="1100">
        <f t="shared" ca="1" si="267"/>
        <v>-185.14961961300929</v>
      </c>
      <c r="BF109" s="1100">
        <f ca="1">SUM(AM109:BE109)</f>
        <v>-2533.3674447288408</v>
      </c>
      <c r="BH109" s="1101">
        <f ca="1">BH$40+BH$84+BH$106</f>
        <v>425.33723498120469</v>
      </c>
      <c r="BI109" s="1101">
        <f ca="1">BI$40+BI$84+BI$106</f>
        <v>110.78934494411712</v>
      </c>
      <c r="BJ109" s="1101">
        <f ca="1">SUM(BH109:BI109)</f>
        <v>536.12657992532183</v>
      </c>
      <c r="BL109" s="514">
        <f t="shared" ca="1" si="252"/>
        <v>0</v>
      </c>
      <c r="BM109" s="514"/>
      <c r="BO109" s="1493">
        <f t="shared" ref="BO109:DF109" ca="1" si="268">BO$40+BO$84+BO$106</f>
        <v>443.34234436850306</v>
      </c>
      <c r="BP109" s="1493">
        <f t="shared" ca="1" si="268"/>
        <v>0.81875231948657801</v>
      </c>
      <c r="BQ109" s="1493">
        <f t="shared" ca="1" si="268"/>
        <v>3.3247612736209078</v>
      </c>
      <c r="BR109" s="1493">
        <f t="shared" ca="1" si="268"/>
        <v>0</v>
      </c>
      <c r="BS109" s="1493">
        <f t="shared" ca="1" si="268"/>
        <v>1.7378757152393487</v>
      </c>
      <c r="BT109" s="1493">
        <f t="shared" ca="1" si="268"/>
        <v>8.9329241878740753</v>
      </c>
      <c r="BU109" s="1493">
        <f t="shared" ca="1" si="268"/>
        <v>0</v>
      </c>
      <c r="BV109" s="1493">
        <f t="shared" ca="1" si="268"/>
        <v>0</v>
      </c>
      <c r="BW109" s="1493">
        <f t="shared" ca="1" si="268"/>
        <v>14.455784691934292</v>
      </c>
      <c r="BX109" s="1493">
        <f t="shared" ca="1" si="268"/>
        <v>0.11089586505811078</v>
      </c>
      <c r="BY109" s="1493">
        <f t="shared" ca="1" si="268"/>
        <v>2.7608825103244943</v>
      </c>
      <c r="BZ109" s="1493">
        <f t="shared" ca="1" si="268"/>
        <v>7.1928273268020186</v>
      </c>
      <c r="CA109" s="1493">
        <f t="shared" ca="1" si="268"/>
        <v>0</v>
      </c>
      <c r="CB109" s="1493">
        <f t="shared" ca="1" si="268"/>
        <v>0</v>
      </c>
      <c r="CC109" s="1493">
        <f t="shared" ca="1" si="268"/>
        <v>0</v>
      </c>
      <c r="CD109" s="1493">
        <f t="shared" ca="1" si="268"/>
        <v>0</v>
      </c>
      <c r="CE109" s="1493">
        <f t="shared" ca="1" si="268"/>
        <v>0</v>
      </c>
      <c r="CF109" s="1493">
        <f t="shared" ca="1" si="268"/>
        <v>17.259237833227761</v>
      </c>
      <c r="CG109" s="1493">
        <f t="shared" ca="1" si="268"/>
        <v>21.273853386951814</v>
      </c>
      <c r="CH109" s="1493">
        <f t="shared" ca="1" si="268"/>
        <v>0</v>
      </c>
      <c r="CI109" s="1493">
        <f t="shared" ca="1" si="268"/>
        <v>12.147672011448611</v>
      </c>
      <c r="CJ109" s="1493">
        <f t="shared" ca="1" si="268"/>
        <v>0</v>
      </c>
      <c r="CK109" s="1493">
        <f t="shared" ca="1" si="268"/>
        <v>0</v>
      </c>
      <c r="CL109" s="1493">
        <f t="shared" ca="1" si="268"/>
        <v>0</v>
      </c>
      <c r="CM109" s="1493">
        <f t="shared" ca="1" si="268"/>
        <v>0</v>
      </c>
      <c r="CN109" s="1493">
        <f t="shared" ca="1" si="268"/>
        <v>20.286556560714121</v>
      </c>
      <c r="CO109" s="1493">
        <f t="shared" ca="1" si="268"/>
        <v>1.4460528354156756</v>
      </c>
      <c r="CP109" s="1493">
        <f t="shared" ca="1" si="268"/>
        <v>0</v>
      </c>
      <c r="CQ109" s="1493">
        <f t="shared" ca="1" si="268"/>
        <v>0</v>
      </c>
      <c r="CR109" s="1493">
        <f t="shared" ca="1" si="268"/>
        <v>0</v>
      </c>
      <c r="CS109" s="1493">
        <f t="shared" ca="1" si="268"/>
        <v>0</v>
      </c>
      <c r="CT109" s="1493">
        <f t="shared" ca="1" si="268"/>
        <v>0</v>
      </c>
      <c r="CU109" s="1493">
        <f t="shared" ca="1" si="268"/>
        <v>69.184499497228614</v>
      </c>
      <c r="CV109" s="1493">
        <f t="shared" ca="1" si="268"/>
        <v>8.6134428750860983E-2</v>
      </c>
      <c r="CW109" s="1493">
        <f t="shared" ca="1" si="268"/>
        <v>1.2447709112649461</v>
      </c>
      <c r="CX109" s="1493">
        <f t="shared" ca="1" si="268"/>
        <v>0</v>
      </c>
      <c r="CY109" s="1493">
        <f t="shared" ca="1" si="268"/>
        <v>-27.979668890582285</v>
      </c>
      <c r="CZ109" s="1493">
        <f t="shared" ca="1" si="268"/>
        <v>0</v>
      </c>
      <c r="DA109" s="1493">
        <f t="shared" ca="1" si="268"/>
        <v>0</v>
      </c>
      <c r="DB109" s="1493">
        <f t="shared" ca="1" si="268"/>
        <v>0</v>
      </c>
      <c r="DC109" s="1493">
        <f t="shared" ca="1" si="268"/>
        <v>-7.7038424884249777</v>
      </c>
      <c r="DD109" s="1493">
        <f t="shared" ca="1" si="268"/>
        <v>0</v>
      </c>
      <c r="DE109" s="1493">
        <f t="shared" ca="1" si="268"/>
        <v>0</v>
      </c>
      <c r="DF109" s="1493">
        <f t="shared" ca="1" si="268"/>
        <v>0</v>
      </c>
      <c r="DH109" s="835">
        <f ca="1">SUM(BO109:DF109)</f>
        <v>589.92231434483813</v>
      </c>
    </row>
    <row r="110" spans="1:112" s="743" customFormat="1">
      <c r="C110" s="508"/>
      <c r="D110" s="509"/>
      <c r="E110" s="509"/>
      <c r="G110" s="995"/>
      <c r="H110" s="995"/>
      <c r="I110" s="995"/>
      <c r="J110" s="995"/>
      <c r="K110" s="996"/>
      <c r="L110" s="995"/>
      <c r="M110" s="995"/>
      <c r="N110" s="995"/>
      <c r="O110" s="995"/>
      <c r="P110" s="995"/>
      <c r="Q110" s="995"/>
      <c r="S110" s="998"/>
      <c r="T110" s="998"/>
      <c r="U110" s="998"/>
      <c r="V110" s="998"/>
      <c r="W110" s="998"/>
      <c r="X110" s="998"/>
      <c r="Y110" s="998"/>
      <c r="Z110" s="998"/>
      <c r="AA110" s="998"/>
      <c r="AB110" s="998"/>
      <c r="AC110" s="998"/>
      <c r="AD110" s="998"/>
      <c r="AE110" s="998"/>
      <c r="AF110" s="998"/>
      <c r="AG110" s="998"/>
      <c r="AH110" s="998"/>
      <c r="AI110" s="998"/>
      <c r="AJ110" s="998"/>
      <c r="AK110" s="998"/>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H110" s="1002"/>
      <c r="BI110" s="1002"/>
      <c r="BJ110" s="1002"/>
      <c r="BL110" s="515"/>
      <c r="BM110" s="515"/>
      <c r="BO110" s="1494"/>
      <c r="BP110" s="1494"/>
      <c r="BQ110" s="1494"/>
      <c r="BR110" s="1494"/>
      <c r="BS110" s="1494"/>
      <c r="BT110" s="1494"/>
      <c r="BU110" s="1494"/>
      <c r="BV110" s="1494"/>
      <c r="BW110" s="1494"/>
      <c r="BX110" s="1494"/>
      <c r="BY110" s="1494"/>
      <c r="BZ110" s="1494"/>
      <c r="CA110" s="1494"/>
      <c r="CB110" s="1494"/>
      <c r="CC110" s="1494"/>
      <c r="CD110" s="1494"/>
      <c r="CE110" s="1494"/>
      <c r="CF110" s="1494"/>
      <c r="CG110" s="1494"/>
      <c r="CH110" s="1494"/>
      <c r="CI110" s="1494"/>
      <c r="CJ110" s="1494"/>
      <c r="CK110" s="1494"/>
      <c r="CL110" s="1494"/>
      <c r="CM110" s="1494"/>
      <c r="CN110" s="1494"/>
      <c r="CO110" s="1494"/>
      <c r="CP110" s="1494"/>
      <c r="CQ110" s="1494"/>
      <c r="CR110" s="1494"/>
      <c r="CS110" s="1494"/>
      <c r="CT110" s="1494"/>
      <c r="CU110" s="1494"/>
      <c r="CV110" s="1494"/>
      <c r="CW110" s="1494"/>
      <c r="CX110" s="1494"/>
      <c r="CY110" s="1494"/>
      <c r="CZ110" s="1494"/>
      <c r="DA110" s="1494"/>
      <c r="DB110" s="1494"/>
      <c r="DC110" s="1494"/>
      <c r="DD110" s="1494"/>
      <c r="DE110" s="1494"/>
      <c r="DF110" s="1494"/>
    </row>
    <row r="111" spans="1:112">
      <c r="G111" s="515"/>
      <c r="H111" s="515"/>
      <c r="I111" s="515"/>
      <c r="J111" s="515"/>
      <c r="K111" s="519"/>
      <c r="L111" s="515"/>
      <c r="M111" s="515"/>
      <c r="N111" s="515"/>
      <c r="O111" s="515"/>
      <c r="P111" s="515"/>
      <c r="Q111" s="515"/>
      <c r="S111" s="515"/>
      <c r="T111" s="515"/>
      <c r="U111" s="515"/>
      <c r="V111" s="515"/>
      <c r="W111" s="515"/>
      <c r="X111" s="515"/>
      <c r="Y111" s="515"/>
      <c r="Z111" s="515"/>
      <c r="AA111" s="515"/>
      <c r="AB111" s="515"/>
      <c r="AC111" s="515"/>
      <c r="AD111" s="515"/>
      <c r="AE111" s="515"/>
      <c r="AF111" s="515"/>
      <c r="AG111" s="515"/>
      <c r="AH111" s="515"/>
      <c r="AI111" s="515"/>
      <c r="AJ111" s="515"/>
      <c r="AK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H111" s="515"/>
      <c r="BI111" s="515"/>
      <c r="BJ111" s="515"/>
      <c r="BL111" s="515"/>
      <c r="BM111" s="515"/>
    </row>
    <row r="112" spans="1:112">
      <c r="G112" s="515"/>
      <c r="H112" s="515"/>
      <c r="I112" s="515"/>
      <c r="J112" s="515"/>
      <c r="K112" s="519"/>
      <c r="L112" s="515"/>
      <c r="M112" s="515"/>
      <c r="N112" s="515"/>
      <c r="O112" s="515"/>
      <c r="P112" s="515"/>
      <c r="Q112" s="515"/>
      <c r="S112" s="515"/>
      <c r="T112" s="515"/>
      <c r="U112" s="515"/>
      <c r="V112" s="515"/>
      <c r="W112" s="515"/>
      <c r="X112" s="515"/>
      <c r="Y112" s="515"/>
      <c r="Z112" s="515"/>
      <c r="AA112" s="515"/>
      <c r="AB112" s="515"/>
      <c r="AC112" s="515"/>
      <c r="AD112" s="515"/>
      <c r="AE112" s="515"/>
      <c r="AF112" s="515"/>
      <c r="AG112" s="515"/>
      <c r="AH112" s="515"/>
      <c r="AI112" s="515"/>
      <c r="AJ112" s="515"/>
      <c r="AK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H112" s="515"/>
      <c r="BI112" s="515"/>
      <c r="BJ112" s="515"/>
      <c r="BL112" s="515"/>
      <c r="BM112" s="515"/>
      <c r="DF112" s="20" t="s">
        <v>2428</v>
      </c>
      <c r="DH112" s="2293">
        <f ca="1">SUM(DH63,DH68,DH76,DH82)</f>
        <v>141.59192431335191</v>
      </c>
    </row>
    <row r="113" spans="2:112">
      <c r="B113" s="121" t="s">
        <v>798</v>
      </c>
      <c r="C113" s="1095" t="s">
        <v>1017</v>
      </c>
      <c r="G113" s="515"/>
      <c r="H113" s="515"/>
      <c r="I113" s="515"/>
      <c r="J113" s="515"/>
      <c r="K113" s="519"/>
      <c r="L113" s="515"/>
      <c r="M113" s="515"/>
      <c r="N113" s="515"/>
      <c r="O113" s="515"/>
      <c r="P113" s="515"/>
      <c r="Q113" s="515"/>
      <c r="S113" s="515"/>
      <c r="T113" s="515"/>
      <c r="U113" s="515"/>
      <c r="V113" s="515"/>
      <c r="W113" s="515"/>
      <c r="X113" s="515"/>
      <c r="Y113" s="515"/>
      <c r="Z113" s="515"/>
      <c r="AA113" s="515"/>
      <c r="AB113" s="515"/>
      <c r="AC113" s="515"/>
      <c r="AD113" s="515"/>
      <c r="AE113" s="515"/>
      <c r="AF113" s="515"/>
      <c r="AG113" s="515"/>
      <c r="AH113" s="515"/>
      <c r="AI113" s="515"/>
      <c r="AJ113" s="515"/>
      <c r="AK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H113" s="515"/>
      <c r="BI113" s="515"/>
      <c r="BJ113" s="515"/>
      <c r="BL113" s="515"/>
      <c r="BM113" s="515"/>
      <c r="DF113" s="20" t="s">
        <v>2429</v>
      </c>
      <c r="DH113" s="2293">
        <f ca="1">T109-MIN(T103,0)-T72</f>
        <v>400.2297369657237</v>
      </c>
    </row>
    <row r="114" spans="2:112" ht="15.75">
      <c r="B114" s="3"/>
      <c r="G114" s="515"/>
      <c r="H114" s="515"/>
      <c r="I114" s="515"/>
      <c r="J114" s="515"/>
      <c r="K114" s="519"/>
      <c r="L114" s="515"/>
      <c r="M114" s="515"/>
      <c r="N114" s="515"/>
      <c r="O114" s="515"/>
      <c r="P114" s="515"/>
      <c r="Q114" s="515"/>
      <c r="S114" s="515"/>
      <c r="T114" s="515"/>
      <c r="U114" s="515"/>
      <c r="V114" s="515"/>
      <c r="W114" s="515"/>
      <c r="X114" s="515"/>
      <c r="Y114" s="515"/>
      <c r="Z114" s="515"/>
      <c r="AA114" s="515"/>
      <c r="AB114" s="515"/>
      <c r="AC114" s="515"/>
      <c r="AD114" s="515"/>
      <c r="AE114" s="515"/>
      <c r="AF114" s="515"/>
      <c r="AG114" s="515"/>
      <c r="AH114" s="515"/>
      <c r="AI114" s="515"/>
      <c r="AJ114" s="515"/>
      <c r="AK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H114" s="515"/>
      <c r="BI114" s="515"/>
      <c r="BJ114" s="515"/>
      <c r="BL114" s="515"/>
      <c r="BM114" s="515"/>
      <c r="DF114" s="20" t="s">
        <v>2430</v>
      </c>
      <c r="DH114" s="121">
        <f ca="1">DH112/DH113</f>
        <v>0.35377662186425207</v>
      </c>
    </row>
    <row r="115" spans="2:112">
      <c r="G115" s="515"/>
      <c r="H115" s="515"/>
      <c r="I115" s="515"/>
      <c r="J115" s="515"/>
      <c r="K115" s="519"/>
      <c r="L115" s="515"/>
      <c r="M115" s="515"/>
      <c r="N115" s="515"/>
      <c r="O115" s="515"/>
      <c r="P115" s="515"/>
      <c r="Q115" s="515"/>
      <c r="S115" s="515"/>
      <c r="T115" s="515"/>
      <c r="U115" s="515"/>
      <c r="V115" s="515"/>
      <c r="W115" s="515"/>
      <c r="X115" s="515"/>
      <c r="Y115" s="515"/>
      <c r="Z115" s="515"/>
      <c r="AA115" s="515"/>
      <c r="AB115" s="515"/>
      <c r="AC115" s="515"/>
      <c r="AD115" s="515"/>
      <c r="AE115" s="515"/>
      <c r="AF115" s="515"/>
      <c r="AG115" s="515"/>
      <c r="AH115" s="515"/>
      <c r="AI115" s="515"/>
      <c r="AJ115" s="515"/>
      <c r="AK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H115" s="515"/>
      <c r="BI115" s="515"/>
      <c r="BJ115" s="515"/>
      <c r="BL115" s="515"/>
      <c r="BM115" s="515"/>
    </row>
    <row r="116" spans="2:112" ht="15.75">
      <c r="B116" s="3"/>
      <c r="G116" s="515"/>
      <c r="H116" s="515"/>
      <c r="I116" s="515"/>
      <c r="J116" s="515"/>
      <c r="K116" s="519"/>
      <c r="L116" s="515"/>
      <c r="M116" s="515"/>
      <c r="N116" s="515"/>
      <c r="O116" s="515"/>
      <c r="P116" s="515"/>
      <c r="Q116" s="515"/>
      <c r="S116" s="515"/>
      <c r="T116" s="515"/>
      <c r="U116" s="515"/>
      <c r="V116" s="515"/>
      <c r="W116" s="515"/>
      <c r="X116" s="515"/>
      <c r="Y116" s="515"/>
      <c r="Z116" s="515"/>
      <c r="AA116" s="515"/>
      <c r="AB116" s="515"/>
      <c r="AC116" s="515"/>
      <c r="AD116" s="515"/>
      <c r="AE116" s="515"/>
      <c r="AF116" s="515"/>
      <c r="AG116" s="515"/>
      <c r="AH116" s="515"/>
      <c r="AI116" s="515"/>
      <c r="AJ116" s="515"/>
      <c r="AK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H116" s="515"/>
      <c r="BI116" s="515"/>
      <c r="BJ116" s="515"/>
      <c r="BL116" s="515"/>
      <c r="BM116" s="515"/>
    </row>
    <row r="117" spans="2:112" ht="15.75">
      <c r="B117" s="3"/>
      <c r="G117" s="515"/>
      <c r="H117" s="515"/>
      <c r="I117" s="515"/>
      <c r="J117" s="515"/>
      <c r="K117" s="519"/>
      <c r="L117" s="515"/>
      <c r="M117" s="515"/>
      <c r="N117" s="515"/>
      <c r="O117" s="515"/>
      <c r="P117" s="515"/>
      <c r="Q117" s="515"/>
      <c r="S117" s="515"/>
      <c r="T117" s="515"/>
      <c r="U117" s="515"/>
      <c r="V117" s="515"/>
      <c r="W117" s="515"/>
      <c r="X117" s="515"/>
      <c r="Y117" s="515"/>
      <c r="Z117" s="515"/>
      <c r="AA117" s="515"/>
      <c r="AB117" s="515"/>
      <c r="AC117" s="515"/>
      <c r="AD117" s="515"/>
      <c r="AE117" s="515"/>
      <c r="AF117" s="515"/>
      <c r="AG117" s="515"/>
      <c r="AH117" s="515"/>
      <c r="AI117" s="515"/>
      <c r="AJ117" s="515"/>
      <c r="AK117" s="515"/>
      <c r="AM117" s="515"/>
      <c r="AN117" s="515"/>
      <c r="AO117" s="515"/>
      <c r="AP117" s="515"/>
      <c r="AQ117" s="515"/>
      <c r="AR117" s="515"/>
      <c r="AS117" s="515"/>
      <c r="AT117" s="515"/>
      <c r="AU117" s="515"/>
      <c r="AV117" s="515"/>
      <c r="AW117" s="515"/>
      <c r="AX117" s="515"/>
      <c r="AY117" s="515"/>
      <c r="AZ117" s="515"/>
      <c r="BA117" s="515"/>
      <c r="BB117" s="515"/>
      <c r="BC117" s="515"/>
      <c r="BD117" s="515"/>
      <c r="BE117" s="515"/>
      <c r="BF117" s="515"/>
      <c r="BH117" s="515"/>
      <c r="BI117" s="515"/>
      <c r="BJ117" s="515"/>
      <c r="BL117" s="515"/>
      <c r="BM117" s="515"/>
    </row>
    <row r="118" spans="2:112" ht="15.75">
      <c r="B118" s="3"/>
      <c r="G118" s="515"/>
      <c r="H118" s="515"/>
      <c r="I118" s="515"/>
      <c r="J118" s="515"/>
      <c r="K118" s="519"/>
      <c r="L118" s="515"/>
      <c r="M118" s="515"/>
      <c r="N118" s="515"/>
      <c r="O118" s="515"/>
      <c r="P118" s="515"/>
      <c r="Q118" s="515"/>
      <c r="S118" s="515"/>
      <c r="T118" s="515"/>
      <c r="U118" s="515"/>
      <c r="V118" s="515"/>
      <c r="W118" s="515"/>
      <c r="X118" s="515"/>
      <c r="Y118" s="515"/>
      <c r="Z118" s="515"/>
      <c r="AA118" s="515"/>
      <c r="AB118" s="515"/>
      <c r="AC118" s="515"/>
      <c r="AD118" s="515"/>
      <c r="AE118" s="515"/>
      <c r="AF118" s="515"/>
      <c r="AG118" s="515"/>
      <c r="AH118" s="515"/>
      <c r="AI118" s="515"/>
      <c r="AJ118" s="515"/>
      <c r="AK118" s="515"/>
      <c r="AM118" s="515"/>
      <c r="AN118" s="515"/>
      <c r="AO118" s="515"/>
      <c r="AP118" s="515"/>
      <c r="AQ118" s="515"/>
      <c r="AR118" s="515"/>
      <c r="AS118" s="515"/>
      <c r="AT118" s="515"/>
      <c r="AU118" s="515"/>
      <c r="AV118" s="515"/>
      <c r="AW118" s="515"/>
      <c r="AX118" s="515"/>
      <c r="AY118" s="515"/>
      <c r="AZ118" s="515"/>
      <c r="BA118" s="515"/>
      <c r="BB118" s="515"/>
      <c r="BC118" s="515"/>
      <c r="BD118" s="515"/>
      <c r="BE118" s="515"/>
      <c r="BF118" s="515"/>
      <c r="BH118" s="515"/>
      <c r="BI118" s="515"/>
      <c r="BJ118" s="515"/>
      <c r="BL118" s="515"/>
      <c r="BM118" s="515"/>
    </row>
    <row r="119" spans="2:112" ht="15.75">
      <c r="B119" s="3"/>
      <c r="G119" s="515"/>
      <c r="H119" s="515"/>
      <c r="I119" s="515"/>
      <c r="J119" s="515"/>
      <c r="K119" s="519"/>
      <c r="L119" s="515"/>
      <c r="M119" s="515"/>
      <c r="N119" s="515"/>
      <c r="O119" s="515"/>
      <c r="P119" s="515"/>
      <c r="Q119" s="515"/>
      <c r="S119" s="515"/>
      <c r="T119" s="515"/>
      <c r="U119" s="515"/>
      <c r="V119" s="515"/>
      <c r="W119" s="515"/>
      <c r="X119" s="515"/>
      <c r="Y119" s="515"/>
      <c r="Z119" s="515"/>
      <c r="AA119" s="515"/>
      <c r="AB119" s="515"/>
      <c r="AC119" s="515"/>
      <c r="AD119" s="515"/>
      <c r="AE119" s="515"/>
      <c r="AF119" s="515"/>
      <c r="AG119" s="515"/>
      <c r="AH119" s="515"/>
      <c r="AI119" s="515"/>
      <c r="AJ119" s="515"/>
      <c r="AK119" s="515"/>
      <c r="AM119" s="515"/>
      <c r="AN119" s="515"/>
      <c r="AO119" s="515"/>
      <c r="AP119" s="515"/>
      <c r="AQ119" s="515"/>
      <c r="AR119" s="515"/>
      <c r="AS119" s="515"/>
      <c r="AT119" s="515"/>
      <c r="AU119" s="515"/>
      <c r="AV119" s="515"/>
      <c r="AW119" s="515"/>
      <c r="AX119" s="515"/>
      <c r="AY119" s="515"/>
      <c r="AZ119" s="515"/>
      <c r="BA119" s="515"/>
      <c r="BB119" s="515"/>
      <c r="BC119" s="515"/>
      <c r="BD119" s="515"/>
      <c r="BE119" s="515"/>
      <c r="BF119" s="515"/>
      <c r="BH119" s="515"/>
      <c r="BI119" s="515"/>
      <c r="BJ119" s="515"/>
      <c r="BL119" s="515"/>
      <c r="BM119" s="515"/>
    </row>
    <row r="120" spans="2:112" ht="15.75">
      <c r="B120" s="3"/>
      <c r="G120" s="515"/>
      <c r="H120" s="515"/>
      <c r="I120" s="515"/>
      <c r="J120" s="515"/>
      <c r="K120" s="519"/>
      <c r="L120" s="515"/>
      <c r="M120" s="515"/>
      <c r="N120" s="515"/>
      <c r="O120" s="515"/>
      <c r="P120" s="515"/>
      <c r="Q120" s="515"/>
      <c r="S120" s="515"/>
      <c r="T120" s="515"/>
      <c r="U120" s="515"/>
      <c r="V120" s="515"/>
      <c r="W120" s="515"/>
      <c r="X120" s="515"/>
      <c r="Y120" s="515"/>
      <c r="Z120" s="515"/>
      <c r="AA120" s="515"/>
      <c r="AB120" s="515"/>
      <c r="AC120" s="515"/>
      <c r="AD120" s="515"/>
      <c r="AE120" s="515"/>
      <c r="AF120" s="515"/>
      <c r="AG120" s="515"/>
      <c r="AH120" s="515"/>
      <c r="AI120" s="515"/>
      <c r="AJ120" s="515"/>
      <c r="AK120" s="515"/>
      <c r="AM120" s="515"/>
      <c r="AN120" s="515"/>
      <c r="AO120" s="515"/>
      <c r="AP120" s="515"/>
      <c r="AQ120" s="515"/>
      <c r="AR120" s="515"/>
      <c r="AS120" s="515"/>
      <c r="AT120" s="515"/>
      <c r="AU120" s="515"/>
      <c r="AV120" s="515"/>
      <c r="AW120" s="515"/>
      <c r="AX120" s="515"/>
      <c r="AY120" s="515"/>
      <c r="AZ120" s="515"/>
      <c r="BA120" s="515"/>
      <c r="BB120" s="515"/>
      <c r="BC120" s="515"/>
      <c r="BD120" s="515"/>
      <c r="BE120" s="515"/>
      <c r="BF120" s="515"/>
      <c r="BH120" s="515"/>
      <c r="BI120" s="515"/>
      <c r="BJ120" s="515"/>
      <c r="BL120" s="515"/>
      <c r="BM120" s="515"/>
    </row>
    <row r="121" spans="2:112" ht="15.75">
      <c r="B121" s="3"/>
      <c r="G121" s="515"/>
      <c r="H121" s="515"/>
      <c r="I121" s="515"/>
      <c r="J121" s="515"/>
      <c r="K121" s="519"/>
      <c r="L121" s="515"/>
      <c r="M121" s="515"/>
      <c r="N121" s="515"/>
      <c r="O121" s="515"/>
      <c r="P121" s="515"/>
      <c r="Q121" s="515"/>
      <c r="S121" s="515"/>
      <c r="T121" s="515"/>
      <c r="U121" s="515"/>
      <c r="V121" s="515"/>
      <c r="W121" s="515"/>
      <c r="X121" s="515"/>
      <c r="Y121" s="515"/>
      <c r="Z121" s="515"/>
      <c r="AA121" s="515"/>
      <c r="AB121" s="515"/>
      <c r="AC121" s="515"/>
      <c r="AD121" s="515"/>
      <c r="AE121" s="515"/>
      <c r="AF121" s="515"/>
      <c r="AG121" s="515"/>
      <c r="AH121" s="515"/>
      <c r="AI121" s="515"/>
      <c r="AJ121" s="515"/>
      <c r="AK121" s="515"/>
      <c r="AM121" s="515"/>
      <c r="AN121" s="515"/>
      <c r="AO121" s="515"/>
      <c r="AP121" s="515"/>
      <c r="AQ121" s="515"/>
      <c r="AR121" s="515"/>
      <c r="AS121" s="515"/>
      <c r="AT121" s="515"/>
      <c r="AU121" s="515"/>
      <c r="AV121" s="515"/>
      <c r="AW121" s="515"/>
      <c r="AX121" s="515"/>
      <c r="AY121" s="515"/>
      <c r="AZ121" s="515"/>
      <c r="BA121" s="515"/>
      <c r="BB121" s="515"/>
      <c r="BC121" s="515"/>
      <c r="BD121" s="515"/>
      <c r="BE121" s="515"/>
      <c r="BF121" s="515"/>
      <c r="BH121" s="515"/>
      <c r="BI121" s="515"/>
      <c r="BJ121" s="515"/>
      <c r="BL121" s="515"/>
      <c r="BM121" s="515"/>
    </row>
    <row r="122" spans="2:112">
      <c r="G122" s="515"/>
      <c r="H122" s="515"/>
      <c r="I122" s="515"/>
      <c r="J122" s="515"/>
      <c r="K122" s="519"/>
      <c r="L122" s="515"/>
      <c r="M122" s="515"/>
      <c r="N122" s="515"/>
      <c r="O122" s="515"/>
      <c r="P122" s="515"/>
      <c r="Q122" s="515"/>
      <c r="S122" s="515"/>
      <c r="T122" s="515"/>
      <c r="U122" s="515"/>
      <c r="V122" s="515"/>
      <c r="W122" s="515"/>
      <c r="X122" s="515"/>
      <c r="Y122" s="515"/>
      <c r="Z122" s="515"/>
      <c r="AA122" s="515"/>
      <c r="AB122" s="515"/>
      <c r="AC122" s="515"/>
      <c r="AD122" s="515"/>
      <c r="AE122" s="515"/>
      <c r="AF122" s="515"/>
      <c r="AG122" s="515"/>
      <c r="AH122" s="515"/>
      <c r="AI122" s="515"/>
      <c r="AJ122" s="515"/>
      <c r="AK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H122" s="515"/>
      <c r="BI122" s="515"/>
      <c r="BJ122" s="515"/>
      <c r="BL122" s="515"/>
      <c r="BM122" s="515"/>
    </row>
    <row r="123" spans="2:112" ht="24" customHeight="1">
      <c r="G123" s="515"/>
      <c r="H123" s="515"/>
      <c r="I123" s="515"/>
      <c r="J123" s="515"/>
      <c r="K123" s="519"/>
      <c r="L123" s="515"/>
      <c r="M123" s="515"/>
      <c r="N123" s="515"/>
      <c r="O123" s="515"/>
      <c r="P123" s="515"/>
      <c r="Q123" s="515"/>
      <c r="S123" s="515"/>
      <c r="T123" s="515"/>
      <c r="U123" s="515"/>
      <c r="V123" s="515"/>
      <c r="W123" s="515"/>
      <c r="X123" s="515"/>
      <c r="Y123" s="515"/>
      <c r="Z123" s="515"/>
      <c r="AA123" s="515"/>
      <c r="AB123" s="515"/>
      <c r="AC123" s="515"/>
      <c r="AD123" s="515"/>
      <c r="AE123" s="515"/>
      <c r="AF123" s="515"/>
      <c r="AG123" s="515"/>
      <c r="AH123" s="515"/>
      <c r="AI123" s="515"/>
      <c r="AJ123" s="515"/>
      <c r="AK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H123" s="515"/>
      <c r="BI123" s="515"/>
      <c r="BJ123" s="515"/>
      <c r="BL123" s="515"/>
      <c r="BM123" s="515"/>
    </row>
    <row r="124" spans="2:112">
      <c r="G124" s="515"/>
      <c r="H124" s="515"/>
      <c r="I124" s="515"/>
      <c r="J124" s="515"/>
      <c r="K124" s="519"/>
      <c r="L124" s="515"/>
      <c r="M124" s="515"/>
      <c r="N124" s="515"/>
      <c r="O124" s="515"/>
      <c r="P124" s="515"/>
      <c r="Q124" s="515"/>
      <c r="S124" s="515"/>
      <c r="T124" s="515"/>
      <c r="U124" s="515"/>
      <c r="V124" s="515"/>
      <c r="W124" s="515"/>
      <c r="X124" s="515"/>
      <c r="Y124" s="515"/>
      <c r="Z124" s="515"/>
      <c r="AA124" s="515"/>
      <c r="AB124" s="515"/>
      <c r="AC124" s="515"/>
      <c r="AD124" s="515"/>
      <c r="AE124" s="515"/>
      <c r="AF124" s="515"/>
      <c r="AG124" s="515"/>
      <c r="AH124" s="515"/>
      <c r="AI124" s="515"/>
      <c r="AJ124" s="515"/>
      <c r="AK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H124" s="515"/>
      <c r="BI124" s="515"/>
      <c r="BJ124" s="515"/>
      <c r="BL124" s="515"/>
      <c r="BM124" s="515"/>
    </row>
    <row r="125" spans="2:112">
      <c r="C125" s="520"/>
      <c r="D125" s="38"/>
      <c r="G125" s="515"/>
      <c r="H125" s="515"/>
      <c r="I125" s="515"/>
      <c r="J125" s="515"/>
      <c r="K125" s="519"/>
      <c r="L125" s="515"/>
      <c r="M125" s="515"/>
      <c r="N125" s="515"/>
      <c r="O125" s="515"/>
      <c r="P125" s="515"/>
      <c r="Q125" s="515"/>
      <c r="S125" s="515"/>
      <c r="T125" s="515"/>
      <c r="U125" s="515"/>
      <c r="V125" s="515"/>
      <c r="W125" s="515"/>
      <c r="X125" s="515"/>
      <c r="Y125" s="515"/>
      <c r="Z125" s="515"/>
      <c r="AA125" s="515"/>
      <c r="AB125" s="515"/>
      <c r="AC125" s="515"/>
      <c r="AD125" s="515"/>
      <c r="AE125" s="515"/>
      <c r="AF125" s="515"/>
      <c r="AG125" s="515"/>
      <c r="AH125" s="515"/>
      <c r="AI125" s="515"/>
      <c r="AJ125" s="515"/>
      <c r="AK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H125" s="515"/>
      <c r="BI125" s="515"/>
      <c r="BJ125" s="515"/>
      <c r="BL125" s="515"/>
      <c r="BM125" s="515"/>
    </row>
    <row r="126" spans="2:112">
      <c r="G126" s="515"/>
      <c r="H126" s="515"/>
      <c r="I126" s="515"/>
      <c r="J126" s="515"/>
      <c r="K126" s="519"/>
      <c r="L126" s="515"/>
      <c r="M126" s="515"/>
      <c r="N126" s="515"/>
      <c r="O126" s="515"/>
      <c r="P126" s="515"/>
      <c r="Q126" s="515"/>
      <c r="S126" s="515"/>
      <c r="T126" s="515"/>
      <c r="U126" s="515"/>
      <c r="V126" s="515"/>
      <c r="W126" s="515"/>
      <c r="X126" s="515"/>
      <c r="Y126" s="515"/>
      <c r="Z126" s="515"/>
      <c r="AA126" s="515"/>
      <c r="AB126" s="515"/>
      <c r="AC126" s="515"/>
      <c r="AD126" s="515"/>
      <c r="AE126" s="515"/>
      <c r="AF126" s="515"/>
      <c r="AG126" s="515"/>
      <c r="AH126" s="515"/>
      <c r="AI126" s="515"/>
      <c r="AJ126" s="515"/>
      <c r="AK126" s="515"/>
      <c r="AM126" s="515"/>
      <c r="AN126" s="515"/>
      <c r="AO126" s="515"/>
      <c r="AP126" s="515"/>
      <c r="AQ126" s="515"/>
      <c r="AR126" s="515"/>
      <c r="AS126" s="515"/>
      <c r="AT126" s="515"/>
      <c r="AU126" s="515"/>
      <c r="AV126" s="515"/>
      <c r="AW126" s="515"/>
      <c r="AX126" s="515"/>
      <c r="AY126" s="515"/>
      <c r="AZ126" s="515"/>
      <c r="BA126" s="515"/>
      <c r="BB126" s="515"/>
      <c r="BC126" s="515"/>
      <c r="BD126" s="515"/>
      <c r="BE126" s="515"/>
      <c r="BF126" s="515"/>
      <c r="BH126" s="515"/>
      <c r="BI126" s="515"/>
      <c r="BJ126" s="515"/>
      <c r="BL126" s="515"/>
      <c r="BM126" s="515"/>
    </row>
    <row r="127" spans="2:112">
      <c r="G127" s="515"/>
      <c r="H127" s="515"/>
      <c r="I127" s="515"/>
      <c r="J127" s="515"/>
      <c r="K127" s="519"/>
      <c r="L127" s="515"/>
      <c r="M127" s="515"/>
      <c r="N127" s="515"/>
      <c r="O127" s="515"/>
      <c r="P127" s="515"/>
      <c r="Q127" s="515"/>
      <c r="S127" s="515"/>
      <c r="T127" s="515"/>
      <c r="U127" s="515"/>
      <c r="V127" s="515"/>
      <c r="W127" s="515"/>
      <c r="X127" s="515"/>
      <c r="Y127" s="515"/>
      <c r="Z127" s="515"/>
      <c r="AA127" s="515"/>
      <c r="AB127" s="515"/>
      <c r="AC127" s="515"/>
      <c r="AD127" s="515"/>
      <c r="AE127" s="515"/>
      <c r="AF127" s="515"/>
      <c r="AG127" s="515"/>
      <c r="AH127" s="515"/>
      <c r="AI127" s="515"/>
      <c r="AJ127" s="515"/>
      <c r="AK127" s="515"/>
      <c r="AM127" s="515"/>
      <c r="AN127" s="515"/>
      <c r="AO127" s="515"/>
      <c r="AP127" s="515"/>
      <c r="AQ127" s="515"/>
      <c r="AR127" s="515"/>
      <c r="AS127" s="515"/>
      <c r="AT127" s="515"/>
      <c r="AU127" s="515"/>
      <c r="AV127" s="515"/>
      <c r="AW127" s="515"/>
      <c r="AX127" s="515"/>
      <c r="AY127" s="515"/>
      <c r="AZ127" s="515"/>
      <c r="BA127" s="515"/>
      <c r="BB127" s="515"/>
      <c r="BC127" s="515"/>
      <c r="BD127" s="515"/>
      <c r="BE127" s="515"/>
      <c r="BF127" s="515"/>
      <c r="BH127" s="515"/>
      <c r="BI127" s="515"/>
      <c r="BJ127" s="515"/>
      <c r="BL127" s="515"/>
      <c r="BM127" s="515"/>
    </row>
    <row r="128" spans="2:112">
      <c r="G128" s="515"/>
      <c r="H128" s="515"/>
      <c r="I128" s="515"/>
      <c r="J128" s="515"/>
      <c r="K128" s="519"/>
      <c r="L128" s="515"/>
      <c r="M128" s="515"/>
      <c r="N128" s="515"/>
      <c r="O128" s="515"/>
      <c r="P128" s="515"/>
      <c r="Q128" s="515"/>
      <c r="S128" s="515"/>
      <c r="T128" s="515"/>
      <c r="U128" s="515"/>
      <c r="V128" s="515"/>
      <c r="W128" s="515"/>
      <c r="X128" s="515"/>
      <c r="Y128" s="515"/>
      <c r="Z128" s="515"/>
      <c r="AA128" s="515"/>
      <c r="AB128" s="515"/>
      <c r="AC128" s="515"/>
      <c r="AD128" s="515"/>
      <c r="AE128" s="515"/>
      <c r="AF128" s="515"/>
      <c r="AG128" s="515"/>
      <c r="AH128" s="515"/>
      <c r="AI128" s="515"/>
      <c r="AJ128" s="515"/>
      <c r="AK128" s="515"/>
      <c r="AM128" s="515"/>
      <c r="AN128" s="515"/>
      <c r="AO128" s="515"/>
      <c r="AP128" s="515"/>
      <c r="AQ128" s="515"/>
      <c r="AR128" s="515"/>
      <c r="AS128" s="515"/>
      <c r="AT128" s="515"/>
      <c r="AU128" s="515"/>
      <c r="AV128" s="515"/>
      <c r="AW128" s="515"/>
      <c r="AX128" s="515"/>
      <c r="AY128" s="515"/>
      <c r="AZ128" s="515"/>
      <c r="BA128" s="515"/>
      <c r="BB128" s="515"/>
      <c r="BC128" s="515"/>
      <c r="BD128" s="515"/>
      <c r="BE128" s="515"/>
      <c r="BF128" s="515"/>
      <c r="BH128" s="515"/>
      <c r="BI128" s="515"/>
      <c r="BJ128" s="515"/>
      <c r="BL128" s="515"/>
      <c r="BM128" s="515"/>
    </row>
    <row r="129" spans="7:65">
      <c r="G129" s="515"/>
      <c r="H129" s="515"/>
      <c r="I129" s="515"/>
      <c r="J129" s="515"/>
      <c r="K129" s="519"/>
      <c r="L129" s="515"/>
      <c r="M129" s="515"/>
      <c r="N129" s="515"/>
      <c r="O129" s="515"/>
      <c r="P129" s="515"/>
      <c r="Q129" s="515"/>
      <c r="S129" s="515"/>
      <c r="T129" s="515"/>
      <c r="U129" s="515"/>
      <c r="V129" s="515"/>
      <c r="W129" s="515"/>
      <c r="X129" s="515"/>
      <c r="Y129" s="515"/>
      <c r="Z129" s="515"/>
      <c r="AA129" s="515"/>
      <c r="AB129" s="515"/>
      <c r="AC129" s="515"/>
      <c r="AD129" s="515"/>
      <c r="AE129" s="515"/>
      <c r="AF129" s="515"/>
      <c r="AG129" s="515"/>
      <c r="AH129" s="515"/>
      <c r="AI129" s="515"/>
      <c r="AJ129" s="515"/>
      <c r="AK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H129" s="515"/>
      <c r="BI129" s="515"/>
      <c r="BJ129" s="515"/>
      <c r="BL129" s="515"/>
      <c r="BM129" s="515"/>
    </row>
    <row r="130" spans="7:65">
      <c r="G130" s="515"/>
      <c r="H130" s="515"/>
      <c r="I130" s="515"/>
      <c r="J130" s="515"/>
      <c r="K130" s="519"/>
      <c r="L130" s="515"/>
      <c r="M130" s="515"/>
      <c r="N130" s="515"/>
      <c r="O130" s="515"/>
      <c r="P130" s="515"/>
      <c r="Q130" s="515"/>
      <c r="S130" s="515"/>
      <c r="T130" s="515"/>
      <c r="U130" s="515"/>
      <c r="V130" s="515"/>
      <c r="W130" s="515"/>
      <c r="X130" s="515"/>
      <c r="Y130" s="515"/>
      <c r="Z130" s="515"/>
      <c r="AA130" s="515"/>
      <c r="AB130" s="515"/>
      <c r="AC130" s="515"/>
      <c r="AD130" s="515"/>
      <c r="AE130" s="515"/>
      <c r="AF130" s="515"/>
      <c r="AG130" s="515"/>
      <c r="AH130" s="515"/>
      <c r="AI130" s="515"/>
      <c r="AJ130" s="515"/>
      <c r="AK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H130" s="515"/>
      <c r="BI130" s="515"/>
      <c r="BJ130" s="515"/>
      <c r="BL130" s="515"/>
      <c r="BM130" s="515"/>
    </row>
    <row r="131" spans="7:65">
      <c r="G131" s="515"/>
      <c r="H131" s="515"/>
      <c r="I131" s="515"/>
      <c r="J131" s="515"/>
      <c r="K131" s="519"/>
      <c r="L131" s="515"/>
      <c r="M131" s="515"/>
      <c r="N131" s="515"/>
      <c r="O131" s="515"/>
      <c r="P131" s="515"/>
      <c r="Q131" s="515"/>
      <c r="S131" s="515"/>
      <c r="T131" s="515"/>
      <c r="U131" s="515"/>
      <c r="V131" s="515"/>
      <c r="W131" s="515"/>
      <c r="X131" s="515"/>
      <c r="Y131" s="515"/>
      <c r="Z131" s="515"/>
      <c r="AA131" s="515"/>
      <c r="AB131" s="515"/>
      <c r="AC131" s="515"/>
      <c r="AD131" s="515"/>
      <c r="AE131" s="515"/>
      <c r="AF131" s="515"/>
      <c r="AG131" s="515"/>
      <c r="AH131" s="515"/>
      <c r="AI131" s="515"/>
      <c r="AJ131" s="515"/>
      <c r="AK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H131" s="515"/>
      <c r="BI131" s="515"/>
      <c r="BJ131" s="515"/>
      <c r="BL131" s="515"/>
      <c r="BM131" s="515"/>
    </row>
    <row r="132" spans="7:65">
      <c r="G132" s="515"/>
      <c r="H132" s="515"/>
      <c r="I132" s="515"/>
      <c r="J132" s="515"/>
      <c r="K132" s="519"/>
      <c r="L132" s="515"/>
      <c r="M132" s="515"/>
      <c r="N132" s="515"/>
      <c r="O132" s="515"/>
      <c r="P132" s="515"/>
      <c r="Q132" s="515"/>
      <c r="S132" s="515"/>
      <c r="T132" s="515"/>
      <c r="U132" s="515"/>
      <c r="V132" s="515"/>
      <c r="W132" s="515"/>
      <c r="X132" s="515"/>
      <c r="Y132" s="515"/>
      <c r="Z132" s="515"/>
      <c r="AA132" s="515"/>
      <c r="AB132" s="515"/>
      <c r="AC132" s="515"/>
      <c r="AD132" s="515"/>
      <c r="AE132" s="515"/>
      <c r="AF132" s="515"/>
      <c r="AG132" s="515"/>
      <c r="AH132" s="515"/>
      <c r="AI132" s="515"/>
      <c r="AJ132" s="515"/>
      <c r="AK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H132" s="515"/>
      <c r="BI132" s="515"/>
      <c r="BJ132" s="515"/>
      <c r="BL132" s="515"/>
      <c r="BM132" s="515"/>
    </row>
    <row r="133" spans="7:65">
      <c r="G133" s="515"/>
      <c r="H133" s="515"/>
      <c r="I133" s="515"/>
      <c r="J133" s="515"/>
      <c r="K133" s="519"/>
      <c r="L133" s="515"/>
      <c r="M133" s="515"/>
      <c r="N133" s="515"/>
      <c r="O133" s="515"/>
      <c r="P133" s="515"/>
      <c r="Q133" s="515"/>
      <c r="S133" s="515"/>
      <c r="T133" s="515"/>
      <c r="U133" s="515"/>
      <c r="V133" s="515"/>
      <c r="W133" s="515"/>
      <c r="X133" s="515"/>
      <c r="Y133" s="515"/>
      <c r="Z133" s="515"/>
      <c r="AA133" s="515"/>
      <c r="AB133" s="515"/>
      <c r="AC133" s="515"/>
      <c r="AD133" s="515"/>
      <c r="AE133" s="515"/>
      <c r="AF133" s="515"/>
      <c r="AG133" s="515"/>
      <c r="AH133" s="515"/>
      <c r="AI133" s="515"/>
      <c r="AJ133" s="515"/>
      <c r="AK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H133" s="515"/>
      <c r="BI133" s="515"/>
      <c r="BJ133" s="515"/>
      <c r="BL133" s="515"/>
      <c r="BM133" s="515"/>
    </row>
    <row r="134" spans="7:65">
      <c r="G134" s="515"/>
      <c r="H134" s="515"/>
      <c r="I134" s="515"/>
      <c r="J134" s="515"/>
      <c r="K134" s="519"/>
      <c r="L134" s="515"/>
      <c r="M134" s="515"/>
      <c r="N134" s="515"/>
      <c r="O134" s="515"/>
      <c r="P134" s="515"/>
      <c r="Q134" s="515"/>
      <c r="S134" s="515"/>
      <c r="T134" s="515"/>
      <c r="U134" s="515"/>
      <c r="V134" s="515"/>
      <c r="W134" s="515"/>
      <c r="X134" s="515"/>
      <c r="Y134" s="515"/>
      <c r="Z134" s="515"/>
      <c r="AA134" s="515"/>
      <c r="AB134" s="515"/>
      <c r="AC134" s="515"/>
      <c r="AD134" s="515"/>
      <c r="AE134" s="515"/>
      <c r="AF134" s="515"/>
      <c r="AG134" s="515"/>
      <c r="AH134" s="515"/>
      <c r="AI134" s="515"/>
      <c r="AJ134" s="515"/>
      <c r="AK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H134" s="515"/>
      <c r="BI134" s="515"/>
      <c r="BJ134" s="515"/>
      <c r="BL134" s="515"/>
      <c r="BM134" s="515"/>
    </row>
    <row r="135" spans="7:65">
      <c r="G135" s="515"/>
      <c r="H135" s="515"/>
      <c r="I135" s="515"/>
      <c r="J135" s="515"/>
      <c r="K135" s="519"/>
      <c r="L135" s="515"/>
      <c r="M135" s="515"/>
      <c r="N135" s="515"/>
      <c r="O135" s="515"/>
      <c r="P135" s="515"/>
      <c r="Q135" s="515"/>
      <c r="S135" s="515"/>
      <c r="T135" s="515"/>
      <c r="U135" s="515"/>
      <c r="V135" s="515"/>
      <c r="W135" s="515"/>
      <c r="X135" s="515"/>
      <c r="Y135" s="515"/>
      <c r="Z135" s="515"/>
      <c r="AA135" s="515"/>
      <c r="AB135" s="515"/>
      <c r="AC135" s="515"/>
      <c r="AD135" s="515"/>
      <c r="AE135" s="515"/>
      <c r="AF135" s="515"/>
      <c r="AG135" s="515"/>
      <c r="AH135" s="515"/>
      <c r="AI135" s="515"/>
      <c r="AJ135" s="515"/>
      <c r="AK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H135" s="515"/>
      <c r="BI135" s="515"/>
      <c r="BJ135" s="515"/>
      <c r="BL135" s="515"/>
      <c r="BM135" s="515"/>
    </row>
    <row r="136" spans="7:65">
      <c r="G136" s="515"/>
      <c r="H136" s="515"/>
      <c r="I136" s="515"/>
      <c r="J136" s="515"/>
      <c r="K136" s="519"/>
      <c r="L136" s="515"/>
      <c r="M136" s="515"/>
      <c r="N136" s="515"/>
      <c r="O136" s="515"/>
      <c r="P136" s="515"/>
      <c r="Q136" s="515"/>
      <c r="S136" s="515"/>
      <c r="T136" s="515"/>
      <c r="U136" s="515"/>
      <c r="V136" s="515"/>
      <c r="W136" s="515"/>
      <c r="X136" s="515"/>
      <c r="Y136" s="515"/>
      <c r="Z136" s="515"/>
      <c r="AA136" s="515"/>
      <c r="AB136" s="515"/>
      <c r="AC136" s="515"/>
      <c r="AD136" s="515"/>
      <c r="AE136" s="515"/>
      <c r="AF136" s="515"/>
      <c r="AG136" s="515"/>
      <c r="AH136" s="515"/>
      <c r="AI136" s="515"/>
      <c r="AJ136" s="515"/>
      <c r="AK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H136" s="515"/>
      <c r="BI136" s="515"/>
      <c r="BJ136" s="515"/>
      <c r="BL136" s="515"/>
      <c r="BM136" s="515"/>
    </row>
    <row r="137" spans="7:65">
      <c r="G137" s="515"/>
      <c r="H137" s="515"/>
      <c r="I137" s="515"/>
      <c r="J137" s="515"/>
      <c r="K137" s="519"/>
      <c r="L137" s="515"/>
      <c r="M137" s="515"/>
      <c r="N137" s="515"/>
      <c r="O137" s="515"/>
      <c r="P137" s="515"/>
      <c r="Q137" s="515"/>
      <c r="S137" s="515"/>
      <c r="T137" s="515"/>
      <c r="U137" s="515"/>
      <c r="V137" s="515"/>
      <c r="W137" s="515"/>
      <c r="X137" s="515"/>
      <c r="Y137" s="515"/>
      <c r="Z137" s="515"/>
      <c r="AA137" s="515"/>
      <c r="AB137" s="515"/>
      <c r="AC137" s="515"/>
      <c r="AD137" s="515"/>
      <c r="AE137" s="515"/>
      <c r="AF137" s="515"/>
      <c r="AG137" s="515"/>
      <c r="AH137" s="515"/>
      <c r="AI137" s="515"/>
      <c r="AJ137" s="515"/>
      <c r="AK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H137" s="515"/>
      <c r="BI137" s="515"/>
      <c r="BJ137" s="515"/>
      <c r="BL137" s="515"/>
      <c r="BM137" s="515"/>
    </row>
    <row r="138" spans="7:65">
      <c r="G138" s="515"/>
      <c r="H138" s="515"/>
      <c r="I138" s="515"/>
      <c r="J138" s="515"/>
      <c r="K138" s="519"/>
      <c r="L138" s="515"/>
      <c r="M138" s="515"/>
      <c r="N138" s="515"/>
      <c r="O138" s="515"/>
      <c r="P138" s="515"/>
      <c r="Q138" s="515"/>
      <c r="S138" s="515"/>
      <c r="T138" s="515"/>
      <c r="U138" s="515"/>
      <c r="V138" s="515"/>
      <c r="W138" s="515"/>
      <c r="X138" s="515"/>
      <c r="Y138" s="515"/>
      <c r="Z138" s="515"/>
      <c r="AA138" s="515"/>
      <c r="AB138" s="515"/>
      <c r="AC138" s="515"/>
      <c r="AD138" s="515"/>
      <c r="AE138" s="515"/>
      <c r="AF138" s="515"/>
      <c r="AG138" s="515"/>
      <c r="AH138" s="515"/>
      <c r="AI138" s="515"/>
      <c r="AJ138" s="515"/>
      <c r="AK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H138" s="515"/>
      <c r="BI138" s="515"/>
      <c r="BJ138" s="515"/>
      <c r="BL138" s="515"/>
      <c r="BM138" s="515"/>
    </row>
    <row r="139" spans="7:65">
      <c r="G139" s="515"/>
      <c r="H139" s="515"/>
      <c r="I139" s="515"/>
      <c r="J139" s="515"/>
      <c r="K139" s="519"/>
      <c r="L139" s="515"/>
      <c r="M139" s="515"/>
      <c r="N139" s="515"/>
      <c r="O139" s="515"/>
      <c r="P139" s="515"/>
      <c r="Q139" s="515"/>
      <c r="S139" s="515"/>
      <c r="T139" s="515"/>
      <c r="U139" s="515"/>
      <c r="V139" s="515"/>
      <c r="W139" s="515"/>
      <c r="X139" s="515"/>
      <c r="Y139" s="515"/>
      <c r="Z139" s="515"/>
      <c r="AA139" s="515"/>
      <c r="AB139" s="515"/>
      <c r="AC139" s="515"/>
      <c r="AD139" s="515"/>
      <c r="AE139" s="515"/>
      <c r="AF139" s="515"/>
      <c r="AG139" s="515"/>
      <c r="AH139" s="515"/>
      <c r="AI139" s="515"/>
      <c r="AJ139" s="515"/>
      <c r="AK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H139" s="515"/>
      <c r="BI139" s="515"/>
      <c r="BJ139" s="515"/>
      <c r="BL139" s="515"/>
      <c r="BM139" s="515"/>
    </row>
    <row r="140" spans="7:65">
      <c r="G140" s="515"/>
      <c r="H140" s="515"/>
      <c r="I140" s="515"/>
      <c r="J140" s="515"/>
      <c r="K140" s="519"/>
      <c r="L140" s="515"/>
      <c r="M140" s="515"/>
      <c r="N140" s="515"/>
      <c r="O140" s="515"/>
      <c r="P140" s="515"/>
      <c r="Q140" s="515"/>
      <c r="S140" s="515"/>
      <c r="T140" s="515"/>
      <c r="U140" s="515"/>
      <c r="V140" s="515"/>
      <c r="W140" s="515"/>
      <c r="X140" s="515"/>
      <c r="Y140" s="515"/>
      <c r="Z140" s="515"/>
      <c r="AA140" s="515"/>
      <c r="AB140" s="515"/>
      <c r="AC140" s="515"/>
      <c r="AD140" s="515"/>
      <c r="AE140" s="515"/>
      <c r="AF140" s="515"/>
      <c r="AG140" s="515"/>
      <c r="AH140" s="515"/>
      <c r="AI140" s="515"/>
      <c r="AJ140" s="515"/>
      <c r="AK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H140" s="515"/>
      <c r="BI140" s="515"/>
      <c r="BJ140" s="515"/>
      <c r="BL140" s="515"/>
      <c r="BM140" s="515"/>
    </row>
    <row r="141" spans="7:65">
      <c r="G141" s="515"/>
      <c r="H141" s="515"/>
      <c r="I141" s="515"/>
      <c r="J141" s="515"/>
      <c r="K141" s="519"/>
      <c r="L141" s="515"/>
      <c r="M141" s="515"/>
      <c r="N141" s="515"/>
      <c r="O141" s="515"/>
      <c r="P141" s="515"/>
      <c r="Q141" s="515"/>
      <c r="S141" s="515"/>
      <c r="T141" s="515"/>
      <c r="U141" s="515"/>
      <c r="V141" s="515"/>
      <c r="W141" s="515"/>
      <c r="X141" s="515"/>
      <c r="Y141" s="515"/>
      <c r="Z141" s="515"/>
      <c r="AA141" s="515"/>
      <c r="AB141" s="515"/>
      <c r="AC141" s="515"/>
      <c r="AD141" s="515"/>
      <c r="AE141" s="515"/>
      <c r="AF141" s="515"/>
      <c r="AG141" s="515"/>
      <c r="AH141" s="515"/>
      <c r="AI141" s="515"/>
      <c r="AJ141" s="515"/>
      <c r="AK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H141" s="515"/>
      <c r="BI141" s="515"/>
      <c r="BJ141" s="515"/>
      <c r="BL141" s="515"/>
      <c r="BM141" s="515"/>
    </row>
    <row r="142" spans="7:65">
      <c r="G142" s="515"/>
      <c r="H142" s="515"/>
      <c r="I142" s="515"/>
      <c r="J142" s="515"/>
      <c r="K142" s="519"/>
      <c r="L142" s="515"/>
      <c r="M142" s="515"/>
      <c r="N142" s="515"/>
      <c r="O142" s="515"/>
      <c r="P142" s="515"/>
      <c r="Q142" s="515"/>
      <c r="S142" s="515"/>
      <c r="T142" s="515"/>
      <c r="U142" s="515"/>
      <c r="V142" s="515"/>
      <c r="W142" s="515"/>
      <c r="X142" s="515"/>
      <c r="Y142" s="515"/>
      <c r="Z142" s="515"/>
      <c r="AA142" s="515"/>
      <c r="AB142" s="515"/>
      <c r="AC142" s="515"/>
      <c r="AD142" s="515"/>
      <c r="AE142" s="515"/>
      <c r="AF142" s="515"/>
      <c r="AG142" s="515"/>
      <c r="AH142" s="515"/>
      <c r="AI142" s="515"/>
      <c r="AJ142" s="515"/>
      <c r="AK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H142" s="515"/>
      <c r="BI142" s="515"/>
      <c r="BJ142" s="515"/>
      <c r="BL142" s="515"/>
      <c r="BM142" s="515"/>
    </row>
    <row r="143" spans="7:65">
      <c r="G143" s="515"/>
      <c r="H143" s="515"/>
      <c r="I143" s="515"/>
      <c r="J143" s="515"/>
      <c r="K143" s="519"/>
      <c r="L143" s="515"/>
      <c r="M143" s="515"/>
      <c r="N143" s="515"/>
      <c r="O143" s="515"/>
      <c r="P143" s="515"/>
      <c r="Q143" s="515"/>
      <c r="S143" s="515"/>
      <c r="T143" s="515"/>
      <c r="U143" s="515"/>
      <c r="V143" s="515"/>
      <c r="W143" s="515"/>
      <c r="X143" s="515"/>
      <c r="Y143" s="515"/>
      <c r="Z143" s="515"/>
      <c r="AA143" s="515"/>
      <c r="AB143" s="515"/>
      <c r="AC143" s="515"/>
      <c r="AD143" s="515"/>
      <c r="AE143" s="515"/>
      <c r="AF143" s="515"/>
      <c r="AG143" s="515"/>
      <c r="AH143" s="515"/>
      <c r="AI143" s="515"/>
      <c r="AJ143" s="515"/>
      <c r="AK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H143" s="515"/>
      <c r="BI143" s="515"/>
      <c r="BJ143" s="515"/>
      <c r="BL143" s="515"/>
      <c r="BM143" s="515"/>
    </row>
    <row r="144" spans="7:65">
      <c r="G144" s="515"/>
      <c r="H144" s="515"/>
      <c r="I144" s="515"/>
      <c r="J144" s="515"/>
      <c r="K144" s="519"/>
      <c r="L144" s="515"/>
      <c r="M144" s="515"/>
      <c r="N144" s="515"/>
      <c r="O144" s="515"/>
      <c r="P144" s="515"/>
      <c r="Q144" s="515"/>
      <c r="S144" s="515"/>
      <c r="T144" s="515"/>
      <c r="U144" s="515"/>
      <c r="V144" s="515"/>
      <c r="W144" s="515"/>
      <c r="X144" s="515"/>
      <c r="Y144" s="515"/>
      <c r="Z144" s="515"/>
      <c r="AA144" s="515"/>
      <c r="AB144" s="515"/>
      <c r="AC144" s="515"/>
      <c r="AD144" s="515"/>
      <c r="AE144" s="515"/>
      <c r="AF144" s="515"/>
      <c r="AG144" s="515"/>
      <c r="AH144" s="515"/>
      <c r="AI144" s="515"/>
      <c r="AJ144" s="515"/>
      <c r="AK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H144" s="515"/>
      <c r="BI144" s="515"/>
      <c r="BJ144" s="515"/>
      <c r="BL144" s="515"/>
      <c r="BM144" s="515"/>
    </row>
    <row r="145" spans="7:65">
      <c r="G145" s="515"/>
      <c r="H145" s="515"/>
      <c r="I145" s="515"/>
      <c r="J145" s="515"/>
      <c r="K145" s="519"/>
      <c r="L145" s="515"/>
      <c r="M145" s="515"/>
      <c r="N145" s="515"/>
      <c r="O145" s="515"/>
      <c r="P145" s="515"/>
      <c r="Q145" s="515"/>
      <c r="S145" s="515"/>
      <c r="T145" s="515"/>
      <c r="U145" s="515"/>
      <c r="V145" s="515"/>
      <c r="W145" s="515"/>
      <c r="X145" s="515"/>
      <c r="Y145" s="515"/>
      <c r="Z145" s="515"/>
      <c r="AA145" s="515"/>
      <c r="AB145" s="515"/>
      <c r="AC145" s="515"/>
      <c r="AD145" s="515"/>
      <c r="AE145" s="515"/>
      <c r="AF145" s="515"/>
      <c r="AG145" s="515"/>
      <c r="AH145" s="515"/>
      <c r="AI145" s="515"/>
      <c r="AJ145" s="515"/>
      <c r="AK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H145" s="515"/>
      <c r="BI145" s="515"/>
      <c r="BJ145" s="515"/>
      <c r="BL145" s="515"/>
      <c r="BM145" s="515"/>
    </row>
    <row r="146" spans="7:65">
      <c r="G146" s="515"/>
      <c r="H146" s="515"/>
      <c r="I146" s="515"/>
      <c r="J146" s="515"/>
      <c r="K146" s="519"/>
      <c r="L146" s="515"/>
      <c r="M146" s="515"/>
      <c r="N146" s="515"/>
      <c r="O146" s="515"/>
      <c r="P146" s="515"/>
      <c r="Q146" s="515"/>
      <c r="S146" s="515"/>
      <c r="T146" s="515"/>
      <c r="U146" s="515"/>
      <c r="V146" s="515"/>
      <c r="W146" s="515"/>
      <c r="X146" s="515"/>
      <c r="Y146" s="515"/>
      <c r="Z146" s="515"/>
      <c r="AA146" s="515"/>
      <c r="AB146" s="515"/>
      <c r="AC146" s="515"/>
      <c r="AD146" s="515"/>
      <c r="AE146" s="515"/>
      <c r="AF146" s="515"/>
      <c r="AG146" s="515"/>
      <c r="AH146" s="515"/>
      <c r="AI146" s="515"/>
      <c r="AJ146" s="515"/>
      <c r="AK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H146" s="515"/>
      <c r="BI146" s="515"/>
      <c r="BJ146" s="515"/>
      <c r="BL146" s="515"/>
      <c r="BM146" s="515"/>
    </row>
    <row r="147" spans="7:65">
      <c r="G147" s="515"/>
      <c r="H147" s="515"/>
      <c r="I147" s="515"/>
      <c r="J147" s="515"/>
      <c r="K147" s="519"/>
      <c r="L147" s="515"/>
      <c r="M147" s="515"/>
      <c r="N147" s="515"/>
      <c r="O147" s="515"/>
      <c r="P147" s="515"/>
      <c r="Q147" s="515"/>
      <c r="S147" s="515"/>
      <c r="T147" s="515"/>
      <c r="U147" s="515"/>
      <c r="V147" s="515"/>
      <c r="W147" s="515"/>
      <c r="X147" s="515"/>
      <c r="Y147" s="515"/>
      <c r="Z147" s="515"/>
      <c r="AA147" s="515"/>
      <c r="AB147" s="515"/>
      <c r="AC147" s="515"/>
      <c r="AD147" s="515"/>
      <c r="AE147" s="515"/>
      <c r="AF147" s="515"/>
      <c r="AG147" s="515"/>
      <c r="AH147" s="515"/>
      <c r="AI147" s="515"/>
      <c r="AJ147" s="515"/>
      <c r="AK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H147" s="515"/>
      <c r="BI147" s="515"/>
      <c r="BJ147" s="515"/>
      <c r="BL147" s="515"/>
      <c r="BM147" s="515"/>
    </row>
    <row r="148" spans="7:65">
      <c r="G148" s="515"/>
      <c r="H148" s="515"/>
      <c r="I148" s="515"/>
      <c r="J148" s="515"/>
      <c r="K148" s="519"/>
      <c r="L148" s="515"/>
      <c r="M148" s="515"/>
      <c r="N148" s="515"/>
      <c r="O148" s="515"/>
      <c r="P148" s="515"/>
      <c r="Q148" s="515"/>
      <c r="S148" s="515"/>
      <c r="T148" s="515"/>
      <c r="U148" s="515"/>
      <c r="V148" s="515"/>
      <c r="W148" s="515"/>
      <c r="X148" s="515"/>
      <c r="Y148" s="515"/>
      <c r="Z148" s="515"/>
      <c r="AA148" s="515"/>
      <c r="AB148" s="515"/>
      <c r="AC148" s="515"/>
      <c r="AD148" s="515"/>
      <c r="AE148" s="515"/>
      <c r="AF148" s="515"/>
      <c r="AG148" s="515"/>
      <c r="AH148" s="515"/>
      <c r="AI148" s="515"/>
      <c r="AJ148" s="515"/>
      <c r="AK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H148" s="515"/>
      <c r="BI148" s="515"/>
      <c r="BJ148" s="515"/>
      <c r="BL148" s="515"/>
      <c r="BM148" s="515"/>
    </row>
  </sheetData>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worksheet>
</file>

<file path=xl/worksheets/sheet59.xml><?xml version="1.0" encoding="utf-8"?>
<worksheet xmlns="http://schemas.openxmlformats.org/spreadsheetml/2006/main" xmlns:r="http://schemas.openxmlformats.org/officeDocument/2006/relationships">
  <sheetPr codeName="Sheet11">
    <tabColor theme="6" tint="0.39997558519241921"/>
    <pageSetUpPr autoPageBreaks="0"/>
  </sheetPr>
  <dimension ref="A1:DH148"/>
  <sheetViews>
    <sheetView showGridLines="0" zoomScale="80" zoomScaleNormal="80" workbookViewId="0">
      <pane xSplit="5" ySplit="5" topLeftCell="F6" activePane="bottomRight" state="frozen"/>
      <selection pane="topRight"/>
      <selection pane="bottomLeft"/>
      <selection pane="bottomRight"/>
    </sheetView>
  </sheetViews>
  <sheetFormatPr defaultRowHeight="12.75" outlineLevelRow="2" outlineLevelCol="2"/>
  <cols>
    <col min="1" max="1" width="1.7109375" style="121" customWidth="1"/>
    <col min="2" max="2" width="1.5703125" style="121" customWidth="1"/>
    <col min="3" max="3" width="4.42578125" style="508" customWidth="1"/>
    <col min="4" max="4" width="3.85546875" style="509" customWidth="1"/>
    <col min="5" max="5" width="41.7109375" style="509" customWidth="1"/>
    <col min="6" max="6" width="1.140625" style="121" customWidth="1" outlineLevel="1"/>
    <col min="7" max="10" width="10" style="509" customWidth="1" outlineLevel="2"/>
    <col min="11" max="11" width="10" style="530" customWidth="1" outlineLevel="2"/>
    <col min="12" max="16" width="10" style="509" customWidth="1" outlineLevel="2"/>
    <col min="17" max="17" width="10" style="509" customWidth="1" outlineLevel="1"/>
    <col min="18" max="18" width="1.140625" style="121" customWidth="1" outlineLevel="1"/>
    <col min="19" max="36" width="10" style="509" customWidth="1" outlineLevel="2"/>
    <col min="37" max="37" width="10" style="509" customWidth="1" outlineLevel="1"/>
    <col min="38" max="38" width="1.140625" style="121" customWidth="1" outlineLevel="1"/>
    <col min="39" max="57" width="10" style="509" customWidth="1" outlineLevel="2"/>
    <col min="58" max="58" width="10" style="509" customWidth="1" outlineLevel="1"/>
    <col min="59" max="59" width="1.140625" style="121" customWidth="1" outlineLevel="1"/>
    <col min="60" max="61" width="10" style="509" customWidth="1" outlineLevel="2"/>
    <col min="62" max="62" width="10" style="509" customWidth="1" outlineLevel="1"/>
    <col min="63" max="63" width="1.140625" style="121" customWidth="1" outlineLevel="1"/>
    <col min="64" max="64" width="11" style="509" customWidth="1" outlineLevel="1"/>
    <col min="65" max="65" width="5.28515625" style="509" customWidth="1"/>
    <col min="66" max="66" width="9.140625" style="121"/>
    <col min="67" max="110" width="7.5703125" style="121" customWidth="1"/>
    <col min="111" max="111" width="2.5703125" style="121" customWidth="1"/>
    <col min="112" max="16384" width="9.140625" style="121"/>
  </cols>
  <sheetData>
    <row r="1" spans="1:112" ht="6" customHeight="1"/>
    <row r="2" spans="1:112" ht="21" customHeight="1">
      <c r="D2" s="495"/>
      <c r="E2" s="965">
        <v>2035</v>
      </c>
      <c r="G2" s="121"/>
      <c r="H2" s="121"/>
      <c r="I2" s="121"/>
      <c r="J2" s="121"/>
      <c r="K2" s="121"/>
      <c r="L2" s="121"/>
      <c r="M2" s="121"/>
      <c r="N2" s="121"/>
      <c r="O2" s="121"/>
      <c r="P2" s="121"/>
      <c r="Q2" s="121"/>
      <c r="S2" s="121"/>
      <c r="T2" s="121"/>
      <c r="U2" s="121"/>
      <c r="V2" s="121"/>
      <c r="W2" s="121"/>
      <c r="X2" s="121"/>
      <c r="Y2" s="121"/>
      <c r="Z2" s="121"/>
      <c r="AA2" s="121"/>
      <c r="AB2" s="121"/>
      <c r="AC2" s="121"/>
      <c r="AD2" s="121"/>
      <c r="AE2" s="121"/>
      <c r="AF2" s="121"/>
      <c r="AG2" s="121"/>
      <c r="AH2" s="121"/>
      <c r="AI2" s="121"/>
      <c r="AJ2" s="121"/>
      <c r="AK2" s="121"/>
      <c r="AM2" s="121"/>
      <c r="AN2" s="121"/>
      <c r="AO2" s="121"/>
      <c r="AP2" s="121"/>
      <c r="AQ2" s="121"/>
      <c r="AR2" s="121"/>
      <c r="AS2" s="121"/>
      <c r="AT2" s="121"/>
      <c r="AU2" s="121"/>
      <c r="AV2" s="121"/>
      <c r="AW2" s="121"/>
      <c r="AX2" s="121"/>
      <c r="AY2" s="121"/>
      <c r="AZ2" s="121"/>
      <c r="BA2" s="121"/>
      <c r="BB2" s="121"/>
      <c r="BC2" s="121"/>
      <c r="BD2" s="121"/>
      <c r="BE2" s="121"/>
      <c r="BF2" s="121"/>
      <c r="BH2" s="121"/>
      <c r="BI2" s="121"/>
      <c r="BJ2" s="121"/>
      <c r="BL2" s="121"/>
      <c r="BM2" s="681"/>
    </row>
    <row r="3" spans="1:112" ht="39" customHeight="1">
      <c r="A3" s="754"/>
      <c r="B3" s="754"/>
      <c r="C3" s="754"/>
      <c r="D3" s="500"/>
      <c r="E3" s="808" t="str">
        <f>Preferences.EnergyUnits</f>
        <v>TWh</v>
      </c>
      <c r="G3" s="994" t="s">
        <v>751</v>
      </c>
      <c r="H3" s="994"/>
      <c r="I3" s="994"/>
      <c r="J3" s="994"/>
      <c r="K3" s="994"/>
      <c r="L3" s="994"/>
      <c r="M3" s="994"/>
      <c r="N3" s="994"/>
      <c r="O3" s="994"/>
      <c r="P3" s="994"/>
      <c r="Q3" s="994"/>
      <c r="S3" s="1133" t="s">
        <v>689</v>
      </c>
      <c r="T3" s="1134"/>
      <c r="U3" s="1134"/>
      <c r="V3" s="1134"/>
      <c r="W3" s="1134"/>
      <c r="X3" s="1138"/>
      <c r="Y3" s="1134"/>
      <c r="Z3" s="1134"/>
      <c r="AA3" s="1134"/>
      <c r="AB3" s="1134"/>
      <c r="AC3" s="1134"/>
      <c r="AD3" s="1134"/>
      <c r="AE3" s="1134"/>
      <c r="AF3" s="1134"/>
      <c r="AG3" s="1134"/>
      <c r="AH3" s="1134"/>
      <c r="AI3" s="1134"/>
      <c r="AJ3" s="1134"/>
      <c r="AK3" s="1137"/>
      <c r="AM3" s="1135" t="s">
        <v>1063</v>
      </c>
      <c r="AN3" s="1136"/>
      <c r="AO3" s="1136"/>
      <c r="AP3" s="1139"/>
      <c r="AQ3" s="1136"/>
      <c r="AR3" s="1136"/>
      <c r="AS3" s="1136"/>
      <c r="AT3" s="1136"/>
      <c r="AU3" s="1136"/>
      <c r="AV3" s="1136"/>
      <c r="AW3" s="1136"/>
      <c r="AX3" s="1136"/>
      <c r="AY3" s="1136"/>
      <c r="AZ3" s="1136"/>
      <c r="BA3" s="1136"/>
      <c r="BB3" s="1136"/>
      <c r="BC3" s="1136"/>
      <c r="BD3" s="1136"/>
      <c r="BE3" s="1136"/>
      <c r="BF3" s="1140"/>
      <c r="BH3" s="1025" t="s">
        <v>944</v>
      </c>
      <c r="BI3" s="1003"/>
      <c r="BJ3" s="1003"/>
      <c r="BL3" s="504"/>
      <c r="BM3" s="504"/>
      <c r="BN3" s="754"/>
      <c r="BO3" s="1142" t="s">
        <v>1067</v>
      </c>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3"/>
      <c r="CM3" s="1143"/>
      <c r="CN3" s="1143"/>
      <c r="CO3" s="1143"/>
      <c r="CP3" s="1143"/>
      <c r="CQ3" s="1143"/>
      <c r="CR3" s="1143"/>
      <c r="CS3" s="1143"/>
      <c r="CT3" s="1143"/>
      <c r="CU3" s="1143"/>
      <c r="CV3" s="1143"/>
      <c r="CW3" s="1143"/>
      <c r="CX3" s="1143"/>
      <c r="CY3" s="1143"/>
      <c r="CZ3" s="1143"/>
      <c r="DA3" s="1143"/>
      <c r="DB3" s="1143"/>
      <c r="DC3" s="1280"/>
      <c r="DD3" s="1280"/>
      <c r="DE3" s="1280"/>
      <c r="DF3" s="1280"/>
    </row>
    <row r="4" spans="1:112" ht="36.75" customHeight="1">
      <c r="C4" s="505"/>
      <c r="D4" s="505"/>
      <c r="G4" s="966" t="str">
        <f>INDEX(Vectors[Description], MATCH(G$5,Vectors[Code],FALSE))</f>
        <v>Heating and cooling</v>
      </c>
      <c r="H4" s="966" t="str">
        <f>INDEX(Vectors[Description], MATCH(H$5,Vectors[Code],FALSE))</f>
        <v>Lighting &amp; appliances</v>
      </c>
      <c r="I4" s="966" t="str">
        <f>INDEX(Vectors[Description], MATCH(I$5,Vectors[Code],FALSE))</f>
        <v>Industry</v>
      </c>
      <c r="J4" s="966" t="str">
        <f>INDEX(Vectors[Description], MATCH(J$5,Vectors[Code],FALSE))</f>
        <v>Road transport</v>
      </c>
      <c r="K4" s="966" t="str">
        <f>INDEX(Vectors[Description], MATCH(K$5,Vectors[Code],FALSE))</f>
        <v>Rail transport</v>
      </c>
      <c r="L4" s="966" t="str">
        <f>INDEX(Vectors[Description], MATCH(L$5,Vectors[Code],FALSE))</f>
        <v>Domestic aviation</v>
      </c>
      <c r="M4" s="966" t="str">
        <f>INDEX(Vectors[Description], MATCH(M$5,Vectors[Code],FALSE))</f>
        <v>National navigation</v>
      </c>
      <c r="N4" s="966" t="str">
        <f>INDEX(Vectors[Description], MATCH(N$5,Vectors[Code],FALSE))</f>
        <v>International aviation</v>
      </c>
      <c r="O4" s="966" t="str">
        <f>INDEX(Vectors[Description], MATCH(O$5,Vectors[Code],FALSE))</f>
        <v>International shipping</v>
      </c>
      <c r="P4" s="966" t="str">
        <f>INDEX(Vectors[Description], MATCH(P$5,Vectors[Code],FALSE))</f>
        <v>Food consumption [UNUSED]</v>
      </c>
      <c r="Q4" s="983" t="s">
        <v>949</v>
      </c>
      <c r="S4" s="967" t="str">
        <f>INDEX(Vectors[Description], MATCH(S$5,Vectors[Code],FALSE))</f>
        <v>Electricity (delivered to end user)</v>
      </c>
      <c r="T4" s="967" t="str">
        <f>INDEX(Vectors[Description], MATCH(T$5,Vectors[Code],FALSE))</f>
        <v>Electricity (supplied to grid)</v>
      </c>
      <c r="U4" s="967" t="str">
        <f>INDEX(Vectors[Description], MATCH(U$5,Vectors[Code],FALSE))</f>
        <v>Solid hydrocarbons</v>
      </c>
      <c r="V4" s="967" t="str">
        <f>INDEX(Vectors[Description], MATCH(V$5,Vectors[Code],FALSE))</f>
        <v>Liquid hydrocarbons</v>
      </c>
      <c r="W4" s="967" t="str">
        <f>INDEX(Vectors[Description], MATCH(W$5,Vectors[Code],FALSE))</f>
        <v>Gaseous hydrocarbons</v>
      </c>
      <c r="X4" s="967" t="str">
        <f>INDEX(Vectors[Description], MATCH(X$5,Vectors[Code],FALSE))</f>
        <v>Coal and fossil waste</v>
      </c>
      <c r="Y4" s="967" t="str">
        <f>INDEX(Vectors[Description], MATCH(Y$5,Vectors[Code],FALSE))</f>
        <v>Oil and petroleum products</v>
      </c>
      <c r="Z4" s="967" t="str">
        <f>INDEX(Vectors[Description], MATCH(Z$5,Vectors[Code],FALSE))</f>
        <v>Natural gas</v>
      </c>
      <c r="AA4" s="967" t="str">
        <f>INDEX(Vectors[Description], MATCH(AA$5,Vectors[Code],FALSE))</f>
        <v>Blast furnace gas</v>
      </c>
      <c r="AB4" s="967" t="str">
        <f>INDEX(Vectors[Description], MATCH(AB$5,Vectors[Code],FALSE))</f>
        <v>Heat transport</v>
      </c>
      <c r="AC4" s="967" t="str">
        <f>INDEX(Vectors[Description], MATCH(AC$5,Vectors[Code],FALSE))</f>
        <v>Edible biomatter</v>
      </c>
      <c r="AD4" s="967" t="str">
        <f>INDEX(Vectors[Description], MATCH(AD$5,Vectors[Code],FALSE))</f>
        <v>Energy crops (second generation)</v>
      </c>
      <c r="AE4" s="967" t="str">
        <f>INDEX(Vectors[Description], MATCH(AE$5,Vectors[Code],FALSE))</f>
        <v>Energy crops (first generation)</v>
      </c>
      <c r="AF4" s="967" t="str">
        <f>INDEX(Vectors[Description], MATCH(AF$5,Vectors[Code],FALSE))</f>
        <v>Dry biomatter and waste</v>
      </c>
      <c r="AG4" s="967" t="str">
        <f>INDEX(Vectors[Description], MATCH(AG$5,Vectors[Code],FALSE))</f>
        <v>Wet biomatter and waste</v>
      </c>
      <c r="AH4" s="967" t="str">
        <f>INDEX(Vectors[Description], MATCH(AH$5,Vectors[Code],FALSE))</f>
        <v>Gaseous waste</v>
      </c>
      <c r="AI4" s="967" t="str">
        <f>INDEX(Vectors[Description], MATCH(AI$5,Vectors[Code],FALSE))</f>
        <v>Domestic solar thermal</v>
      </c>
      <c r="AJ4" s="967" t="str">
        <f>INDEX(Vectors[Description], MATCH(AJ$5,Vectors[Code],FALSE))</f>
        <v>H2</v>
      </c>
      <c r="AK4" s="997" t="s">
        <v>685</v>
      </c>
      <c r="AM4" s="981" t="str">
        <f>INDEX(Vectors[Description], MATCH(AM$5,Vectors[Code],FALSE))</f>
        <v>Coal reserves</v>
      </c>
      <c r="AN4" s="981" t="str">
        <f>INDEX(Vectors[Description], MATCH(AN$5,Vectors[Code],FALSE))</f>
        <v>Oil reserves</v>
      </c>
      <c r="AO4" s="981" t="str">
        <f>INDEX(Vectors[Description], MATCH(AO$5,Vectors[Code],FALSE))</f>
        <v>Gas reserves</v>
      </c>
      <c r="AP4" s="981" t="str">
        <f>INDEX(Vectors[Description], MATCH(AP$5,Vectors[Code],FALSE))</f>
        <v>Biomatter exports (imports)</v>
      </c>
      <c r="AQ4" s="981" t="str">
        <f>INDEX(Vectors[Description], MATCH(AQ$5,Vectors[Code],FALSE))</f>
        <v>Electricity exports (imports)</v>
      </c>
      <c r="AR4" s="981" t="str">
        <f>INDEX(Vectors[Description], MATCH(AR$5,Vectors[Code],FALSE))</f>
        <v>Petroleum products exports</v>
      </c>
      <c r="AS4" s="981" t="str">
        <f>INDEX(Vectors[Description], MATCH(AS$5,Vectors[Code],FALSE))</f>
        <v>Coal exports (imports)</v>
      </c>
      <c r="AT4" s="981" t="str">
        <f>INDEX(Vectors[Description], MATCH(AT$5,Vectors[Code],FALSE))</f>
        <v>Oil and petroleum products exports (imports)</v>
      </c>
      <c r="AU4" s="981" t="str">
        <f>INDEX(Vectors[Description], MATCH(AU$5,Vectors[Code],FALSE))</f>
        <v>Gas exports (imports)</v>
      </c>
      <c r="AV4" s="981" t="str">
        <f>INDEX(Vectors[Description], MATCH(AV$5,Vectors[Code],FALSE))</f>
        <v>Nuclear fission</v>
      </c>
      <c r="AW4" s="981" t="str">
        <f>INDEX(Vectors[Description], MATCH(AW$5,Vectors[Code],FALSE))</f>
        <v>Solar</v>
      </c>
      <c r="AX4" s="981" t="str">
        <f>INDEX(Vectors[Description], MATCH(AX$5,Vectors[Code],FALSE))</f>
        <v>Wind</v>
      </c>
      <c r="AY4" s="981" t="str">
        <f>INDEX(Vectors[Description], MATCH(AY$5,Vectors[Code],FALSE))</f>
        <v>Tidal</v>
      </c>
      <c r="AZ4" s="981" t="str">
        <f>INDEX(Vectors[Description], MATCH(AZ$5,Vectors[Code],FALSE))</f>
        <v>Wave</v>
      </c>
      <c r="BA4" s="981" t="str">
        <f>INDEX(Vectors[Description], MATCH(BA$5,Vectors[Code],FALSE))</f>
        <v>Geothermal</v>
      </c>
      <c r="BB4" s="981" t="str">
        <f>INDEX(Vectors[Description], MATCH(BB$5,Vectors[Code],FALSE))</f>
        <v>Hydro</v>
      </c>
      <c r="BC4" s="981" t="str">
        <f>INDEX(Vectors[Description], MATCH(BC$5,Vectors[Code],FALSE))</f>
        <v>Environmental heat</v>
      </c>
      <c r="BD4" s="981" t="str">
        <f>INDEX(Vectors[Description], MATCH(BD$5,Vectors[Code],FALSE))</f>
        <v>Agriculture</v>
      </c>
      <c r="BE4" s="981" t="str">
        <f>INDEX(Vectors[Description], MATCH(BE$5,Vectors[Code],FALSE))</f>
        <v>Waste</v>
      </c>
      <c r="BF4" s="999" t="s">
        <v>686</v>
      </c>
      <c r="BH4" s="986" t="str">
        <f>INDEX(Vectors[Description], MATCH(BH$5,Vectors[Code],FALSE))</f>
        <v>Conversion losses</v>
      </c>
      <c r="BI4" s="986" t="str">
        <f>INDEX(Vectors[Description], MATCH(BI$5,Vectors[Code],FALSE))</f>
        <v>Distribution losses and own use</v>
      </c>
      <c r="BJ4" s="1001" t="s">
        <v>943</v>
      </c>
      <c r="BL4" s="507" t="str">
        <f>INDEX(Vectors[Description], MATCH(BL$5,Vectors[Code],FALSE))</f>
        <v>Unallocated</v>
      </c>
      <c r="BM4" s="507"/>
      <c r="BO4" s="1151" t="str">
        <f>INDEX(IPCC[Sector_description], MATCH(BO$5, IPCC[Sector_code], 0))</f>
        <v>Fuel Combustion</v>
      </c>
      <c r="BP4" s="1152"/>
      <c r="BQ4" s="1152"/>
      <c r="BR4" s="1153"/>
      <c r="BS4" s="1151" t="str">
        <f>INDEX(IPCC[Sector_description], MATCH(BS$5, IPCC[Sector_code], 0))</f>
        <v>Fugitive Emissions from Fuels</v>
      </c>
      <c r="BT4" s="1152"/>
      <c r="BU4" s="1152"/>
      <c r="BV4" s="1153"/>
      <c r="BW4" s="1151" t="str">
        <f>INDEX(IPCC[Sector_description], MATCH(BW$5, IPCC[Sector_code], 0))</f>
        <v>Industrial Processes</v>
      </c>
      <c r="BX4" s="1152"/>
      <c r="BY4" s="1152"/>
      <c r="BZ4" s="1153"/>
      <c r="CA4" s="1151" t="str">
        <f>INDEX(IPCC[Sector_description], MATCH(CA$5, IPCC[Sector_code], 0))</f>
        <v>Solvent and Other Product Use</v>
      </c>
      <c r="CB4" s="1152"/>
      <c r="CC4" s="1152"/>
      <c r="CD4" s="1153"/>
      <c r="CE4" s="1151" t="str">
        <f>INDEX(IPCC[Sector_description], MATCH(CE$5, IPCC[Sector_code], 0))</f>
        <v>Agriculture</v>
      </c>
      <c r="CF4" s="1152"/>
      <c r="CG4" s="1152"/>
      <c r="CH4" s="1153"/>
      <c r="CI4" s="1151" t="str">
        <f>INDEX(IPCC[Sector_description], MATCH(CI$5, IPCC[Sector_code], 0))</f>
        <v>Land Use, Land-Use Change and Forestry</v>
      </c>
      <c r="CJ4" s="1152"/>
      <c r="CK4" s="1152"/>
      <c r="CL4" s="1153"/>
      <c r="CM4" s="1151" t="str">
        <f>INDEX(IPCC[Sector_description], MATCH(CM$5, IPCC[Sector_code], 0))</f>
        <v>Waste</v>
      </c>
      <c r="CN4" s="1152"/>
      <c r="CO4" s="1152"/>
      <c r="CP4" s="1153"/>
      <c r="CQ4" s="1151" t="str">
        <f>INDEX(IPCC[Sector_description], MATCH(CQ$5, IPCC[Sector_code], 0))</f>
        <v>Other</v>
      </c>
      <c r="CR4" s="1152"/>
      <c r="CS4" s="1152"/>
      <c r="CT4" s="1153"/>
      <c r="CU4" s="1151" t="str">
        <f>INDEX(IPCC[Sector_description], MATCH(CU$5, IPCC[Sector_code], 0))</f>
        <v>International Aviation and Shipping</v>
      </c>
      <c r="CV4" s="1152"/>
      <c r="CW4" s="1152"/>
      <c r="CX4" s="1153"/>
      <c r="CY4" s="1151" t="str">
        <f>INDEX(IPCC[Sector_description], MATCH(CY$5, IPCC[Sector_code], 0))</f>
        <v>Bioenergy credit</v>
      </c>
      <c r="CZ4" s="1152"/>
      <c r="DA4" s="1152"/>
      <c r="DB4" s="1153"/>
      <c r="DC4" s="1151" t="str">
        <f>INDEX(IPCC[Sector_description], MATCH(DC$5, IPCC[Sector_code], 0))</f>
        <v>Carbon capture</v>
      </c>
      <c r="DD4" s="1152"/>
      <c r="DE4" s="1152"/>
      <c r="DF4" s="1153"/>
      <c r="DH4" s="1479" t="s">
        <v>148</v>
      </c>
    </row>
    <row r="5" spans="1:112">
      <c r="D5" s="951" t="s">
        <v>200</v>
      </c>
      <c r="G5" s="984" t="s">
        <v>6</v>
      </c>
      <c r="H5" s="984" t="s">
        <v>57</v>
      </c>
      <c r="I5" s="984" t="s">
        <v>13</v>
      </c>
      <c r="J5" s="984" t="s">
        <v>36</v>
      </c>
      <c r="K5" s="984" t="s">
        <v>37</v>
      </c>
      <c r="L5" s="984" t="s">
        <v>38</v>
      </c>
      <c r="M5" s="984" t="s">
        <v>39</v>
      </c>
      <c r="N5" s="984" t="s">
        <v>966</v>
      </c>
      <c r="O5" s="984" t="s">
        <v>967</v>
      </c>
      <c r="P5" s="984" t="s">
        <v>40</v>
      </c>
      <c r="Q5" s="984"/>
      <c r="S5" s="985" t="s">
        <v>45</v>
      </c>
      <c r="T5" s="985" t="s">
        <v>46</v>
      </c>
      <c r="U5" s="985" t="s">
        <v>47</v>
      </c>
      <c r="V5" s="985" t="s">
        <v>49</v>
      </c>
      <c r="W5" s="985" t="s">
        <v>50</v>
      </c>
      <c r="X5" s="985" t="s">
        <v>64</v>
      </c>
      <c r="Y5" s="985" t="s">
        <v>65</v>
      </c>
      <c r="Z5" s="985" t="s">
        <v>66</v>
      </c>
      <c r="AA5" s="985" t="s">
        <v>108</v>
      </c>
      <c r="AB5" s="985" t="s">
        <v>753</v>
      </c>
      <c r="AC5" s="985" t="s">
        <v>754</v>
      </c>
      <c r="AD5" s="985" t="s">
        <v>1801</v>
      </c>
      <c r="AE5" s="985" t="s">
        <v>2291</v>
      </c>
      <c r="AF5" s="985" t="s">
        <v>755</v>
      </c>
      <c r="AG5" s="985" t="s">
        <v>929</v>
      </c>
      <c r="AH5" s="985" t="s">
        <v>2294</v>
      </c>
      <c r="AI5" s="985" t="s">
        <v>1331</v>
      </c>
      <c r="AJ5" s="985" t="s">
        <v>1476</v>
      </c>
      <c r="AK5" s="985"/>
      <c r="AM5" s="982" t="s">
        <v>999</v>
      </c>
      <c r="AN5" s="982" t="s">
        <v>1000</v>
      </c>
      <c r="AO5" s="982" t="s">
        <v>1001</v>
      </c>
      <c r="AP5" s="982" t="s">
        <v>59</v>
      </c>
      <c r="AQ5" s="982" t="s">
        <v>60</v>
      </c>
      <c r="AR5" s="982" t="s">
        <v>799</v>
      </c>
      <c r="AS5" s="982" t="s">
        <v>991</v>
      </c>
      <c r="AT5" s="982" t="s">
        <v>992</v>
      </c>
      <c r="AU5" s="982" t="s">
        <v>993</v>
      </c>
      <c r="AV5" s="982" t="s">
        <v>7</v>
      </c>
      <c r="AW5" s="982" t="s">
        <v>33</v>
      </c>
      <c r="AX5" s="982" t="s">
        <v>8</v>
      </c>
      <c r="AY5" s="982" t="s">
        <v>9</v>
      </c>
      <c r="AZ5" s="982" t="s">
        <v>10</v>
      </c>
      <c r="BA5" s="982" t="s">
        <v>11</v>
      </c>
      <c r="BB5" s="982" t="s">
        <v>12</v>
      </c>
      <c r="BC5" s="982" t="s">
        <v>104</v>
      </c>
      <c r="BD5" s="982" t="s">
        <v>1027</v>
      </c>
      <c r="BE5" s="982" t="s">
        <v>54</v>
      </c>
      <c r="BF5" s="982"/>
      <c r="BH5" s="987" t="s">
        <v>34</v>
      </c>
      <c r="BI5" s="987" t="s">
        <v>35</v>
      </c>
      <c r="BJ5" s="987"/>
      <c r="BL5" s="502" t="s">
        <v>61</v>
      </c>
      <c r="BM5" s="502"/>
      <c r="BO5" s="1154" t="s">
        <v>1065</v>
      </c>
      <c r="BP5" s="1155" t="s">
        <v>1065</v>
      </c>
      <c r="BQ5" s="1155" t="s">
        <v>1065</v>
      </c>
      <c r="BR5" s="1156" t="s">
        <v>1065</v>
      </c>
      <c r="BS5" s="1154" t="s">
        <v>1064</v>
      </c>
      <c r="BT5" s="1155" t="s">
        <v>1064</v>
      </c>
      <c r="BU5" s="1155" t="s">
        <v>1064</v>
      </c>
      <c r="BV5" s="1156" t="s">
        <v>1064</v>
      </c>
      <c r="BW5" s="1154">
        <v>2</v>
      </c>
      <c r="BX5" s="1155">
        <v>2</v>
      </c>
      <c r="BY5" s="1155">
        <v>2</v>
      </c>
      <c r="BZ5" s="1156">
        <v>2</v>
      </c>
      <c r="CA5" s="1154">
        <v>3</v>
      </c>
      <c r="CB5" s="1155">
        <v>3</v>
      </c>
      <c r="CC5" s="1155">
        <v>3</v>
      </c>
      <c r="CD5" s="1156">
        <v>3</v>
      </c>
      <c r="CE5" s="1154">
        <v>4</v>
      </c>
      <c r="CF5" s="1155">
        <v>4</v>
      </c>
      <c r="CG5" s="1155">
        <v>4</v>
      </c>
      <c r="CH5" s="1156">
        <v>4</v>
      </c>
      <c r="CI5" s="1154">
        <v>5</v>
      </c>
      <c r="CJ5" s="1155">
        <v>5</v>
      </c>
      <c r="CK5" s="1155">
        <v>5</v>
      </c>
      <c r="CL5" s="1156">
        <v>5</v>
      </c>
      <c r="CM5" s="1154">
        <v>6</v>
      </c>
      <c r="CN5" s="1155">
        <v>6</v>
      </c>
      <c r="CO5" s="1155">
        <v>6</v>
      </c>
      <c r="CP5" s="1156">
        <v>6</v>
      </c>
      <c r="CQ5" s="1154">
        <v>7</v>
      </c>
      <c r="CR5" s="1155">
        <v>7</v>
      </c>
      <c r="CS5" s="1155">
        <v>7</v>
      </c>
      <c r="CT5" s="1156">
        <v>7</v>
      </c>
      <c r="CU5" s="1154" t="s">
        <v>1050</v>
      </c>
      <c r="CV5" s="1155" t="s">
        <v>1050</v>
      </c>
      <c r="CW5" s="1155" t="s">
        <v>1050</v>
      </c>
      <c r="CX5" s="1156" t="s">
        <v>1050</v>
      </c>
      <c r="CY5" s="1154" t="s">
        <v>1051</v>
      </c>
      <c r="CZ5" s="1155" t="s">
        <v>1051</v>
      </c>
      <c r="DA5" s="1155" t="s">
        <v>1051</v>
      </c>
      <c r="DB5" s="1156" t="s">
        <v>1051</v>
      </c>
      <c r="DC5" s="1154" t="s">
        <v>1078</v>
      </c>
      <c r="DD5" s="1155" t="s">
        <v>1078</v>
      </c>
      <c r="DE5" s="1155" t="s">
        <v>1078</v>
      </c>
      <c r="DF5" s="1156" t="s">
        <v>1078</v>
      </c>
    </row>
    <row r="6" spans="1:112" ht="15.75" customHeight="1">
      <c r="G6" s="955"/>
      <c r="H6" s="955"/>
      <c r="I6" s="955"/>
      <c r="J6" s="955"/>
      <c r="K6" s="956"/>
      <c r="L6" s="955"/>
      <c r="M6" s="955"/>
      <c r="N6" s="955"/>
      <c r="O6" s="955"/>
      <c r="P6" s="955"/>
      <c r="Q6" s="955"/>
      <c r="S6" s="968"/>
      <c r="T6" s="968"/>
      <c r="U6" s="968"/>
      <c r="V6" s="968"/>
      <c r="W6" s="968"/>
      <c r="X6" s="968"/>
      <c r="Y6" s="968"/>
      <c r="Z6" s="968"/>
      <c r="AA6" s="968"/>
      <c r="AB6" s="968"/>
      <c r="AC6" s="968"/>
      <c r="AD6" s="968"/>
      <c r="AE6" s="968"/>
      <c r="AF6" s="968"/>
      <c r="AG6" s="968"/>
      <c r="AH6" s="968"/>
      <c r="AI6" s="968"/>
      <c r="AJ6" s="968"/>
      <c r="AK6" s="968"/>
      <c r="AM6" s="974"/>
      <c r="AN6" s="974"/>
      <c r="AO6" s="974"/>
      <c r="AP6" s="974"/>
      <c r="AQ6" s="974"/>
      <c r="AR6" s="974"/>
      <c r="AS6" s="974"/>
      <c r="AT6" s="974"/>
      <c r="AU6" s="974"/>
      <c r="AV6" s="974"/>
      <c r="AW6" s="974"/>
      <c r="AX6" s="974"/>
      <c r="AY6" s="974"/>
      <c r="AZ6" s="974"/>
      <c r="BA6" s="974"/>
      <c r="BB6" s="974"/>
      <c r="BC6" s="974"/>
      <c r="BD6" s="974"/>
      <c r="BE6" s="974"/>
      <c r="BF6" s="974"/>
      <c r="BH6" s="988"/>
      <c r="BI6" s="988"/>
      <c r="BJ6" s="988"/>
      <c r="BL6" s="511"/>
      <c r="BM6" s="511"/>
      <c r="BO6" s="1144" t="s">
        <v>1055</v>
      </c>
      <c r="BP6" s="1144" t="s">
        <v>1056</v>
      </c>
      <c r="BQ6" s="1144" t="s">
        <v>1057</v>
      </c>
      <c r="BR6" s="1144" t="s">
        <v>1058</v>
      </c>
      <c r="BS6" s="1144" t="s">
        <v>1055</v>
      </c>
      <c r="BT6" s="1144" t="s">
        <v>1056</v>
      </c>
      <c r="BU6" s="1144" t="s">
        <v>1057</v>
      </c>
      <c r="BV6" s="1144" t="s">
        <v>1058</v>
      </c>
      <c r="BW6" s="1144" t="s">
        <v>1055</v>
      </c>
      <c r="BX6" s="1144" t="s">
        <v>1056</v>
      </c>
      <c r="BY6" s="1144" t="s">
        <v>1057</v>
      </c>
      <c r="BZ6" s="1144" t="s">
        <v>1058</v>
      </c>
      <c r="CA6" s="1144" t="s">
        <v>1055</v>
      </c>
      <c r="CB6" s="1144" t="s">
        <v>1056</v>
      </c>
      <c r="CC6" s="1144" t="s">
        <v>1057</v>
      </c>
      <c r="CD6" s="1144" t="s">
        <v>1058</v>
      </c>
      <c r="CE6" s="1144" t="s">
        <v>1055</v>
      </c>
      <c r="CF6" s="1144" t="s">
        <v>1056</v>
      </c>
      <c r="CG6" s="1144" t="s">
        <v>1057</v>
      </c>
      <c r="CH6" s="1144" t="s">
        <v>1058</v>
      </c>
      <c r="CI6" s="1144" t="s">
        <v>1055</v>
      </c>
      <c r="CJ6" s="1144" t="s">
        <v>1056</v>
      </c>
      <c r="CK6" s="1144" t="s">
        <v>1057</v>
      </c>
      <c r="CL6" s="1144" t="s">
        <v>1058</v>
      </c>
      <c r="CM6" s="1144" t="s">
        <v>1055</v>
      </c>
      <c r="CN6" s="1144" t="s">
        <v>1056</v>
      </c>
      <c r="CO6" s="1144" t="s">
        <v>1057</v>
      </c>
      <c r="CP6" s="1144" t="s">
        <v>1058</v>
      </c>
      <c r="CQ6" s="1144" t="s">
        <v>1055</v>
      </c>
      <c r="CR6" s="1144" t="s">
        <v>1056</v>
      </c>
      <c r="CS6" s="1144" t="s">
        <v>1057</v>
      </c>
      <c r="CT6" s="1144" t="s">
        <v>1058</v>
      </c>
      <c r="CU6" s="1144" t="s">
        <v>1055</v>
      </c>
      <c r="CV6" s="1144" t="s">
        <v>1056</v>
      </c>
      <c r="CW6" s="1144" t="s">
        <v>1057</v>
      </c>
      <c r="CX6" s="1144" t="s">
        <v>1058</v>
      </c>
      <c r="CY6" s="1144" t="s">
        <v>1055</v>
      </c>
      <c r="CZ6" s="1144" t="s">
        <v>1056</v>
      </c>
      <c r="DA6" s="1144" t="s">
        <v>1057</v>
      </c>
      <c r="DB6" s="1144" t="s">
        <v>1058</v>
      </c>
      <c r="DC6" s="1144" t="s">
        <v>1055</v>
      </c>
      <c r="DD6" s="1144" t="s">
        <v>1056</v>
      </c>
      <c r="DE6" s="1144" t="s">
        <v>1057</v>
      </c>
      <c r="DF6" s="1144" t="s">
        <v>1058</v>
      </c>
    </row>
    <row r="7" spans="1:112" ht="18" customHeight="1">
      <c r="C7" s="501" t="s">
        <v>592</v>
      </c>
      <c r="D7" s="501"/>
      <c r="E7" s="639"/>
      <c r="G7" s="957"/>
      <c r="H7" s="957"/>
      <c r="I7" s="957"/>
      <c r="J7" s="957"/>
      <c r="K7" s="957"/>
      <c r="L7" s="957"/>
      <c r="M7" s="957"/>
      <c r="N7" s="957"/>
      <c r="O7" s="957"/>
      <c r="P7" s="957"/>
      <c r="Q7" s="957"/>
      <c r="S7" s="969"/>
      <c r="T7" s="969"/>
      <c r="U7" s="969"/>
      <c r="V7" s="969"/>
      <c r="W7" s="969"/>
      <c r="X7" s="969"/>
      <c r="Y7" s="969"/>
      <c r="Z7" s="969"/>
      <c r="AA7" s="969"/>
      <c r="AB7" s="969"/>
      <c r="AC7" s="969"/>
      <c r="AD7" s="969"/>
      <c r="AE7" s="969"/>
      <c r="AF7" s="969"/>
      <c r="AG7" s="969"/>
      <c r="AH7" s="969"/>
      <c r="AI7" s="969"/>
      <c r="AJ7" s="969"/>
      <c r="AK7" s="969"/>
      <c r="AM7" s="975"/>
      <c r="AN7" s="975"/>
      <c r="AO7" s="975"/>
      <c r="AP7" s="975"/>
      <c r="AQ7" s="975"/>
      <c r="AR7" s="975"/>
      <c r="AS7" s="975"/>
      <c r="AT7" s="975"/>
      <c r="AU7" s="975"/>
      <c r="AV7" s="975"/>
      <c r="AW7" s="975"/>
      <c r="AX7" s="975"/>
      <c r="AY7" s="975"/>
      <c r="AZ7" s="975"/>
      <c r="BA7" s="975"/>
      <c r="BB7" s="975"/>
      <c r="BC7" s="975"/>
      <c r="BD7" s="975"/>
      <c r="BE7" s="975"/>
      <c r="BF7" s="975"/>
      <c r="BH7" s="989"/>
      <c r="BI7" s="989"/>
      <c r="BJ7" s="989"/>
      <c r="BL7" s="514"/>
      <c r="BM7" s="514"/>
      <c r="BO7" s="1145"/>
      <c r="BP7" s="1145"/>
      <c r="BQ7" s="1145"/>
      <c r="BR7" s="1145"/>
      <c r="BS7" s="1145"/>
      <c r="BT7" s="1145"/>
      <c r="BU7" s="1145"/>
      <c r="BV7" s="1145"/>
      <c r="BW7" s="1145"/>
      <c r="BX7" s="1145"/>
      <c r="BY7" s="1145"/>
      <c r="BZ7" s="1145"/>
      <c r="CA7" s="1145"/>
      <c r="CB7" s="1145"/>
      <c r="CC7" s="1145"/>
      <c r="CD7" s="1145"/>
      <c r="CE7" s="1145"/>
      <c r="CF7" s="1145"/>
      <c r="CG7" s="1145"/>
      <c r="CH7" s="1145"/>
      <c r="CI7" s="1145"/>
      <c r="CJ7" s="1145"/>
      <c r="CK7" s="1145"/>
      <c r="CL7" s="1145"/>
      <c r="CM7" s="1145"/>
      <c r="CN7" s="1145"/>
      <c r="CO7" s="1145"/>
      <c r="CP7" s="1145"/>
      <c r="CQ7" s="1145"/>
      <c r="CR7" s="1145"/>
      <c r="CS7" s="1145"/>
      <c r="CT7" s="1145"/>
      <c r="CU7" s="1145"/>
      <c r="CV7" s="1145"/>
      <c r="CW7" s="1145"/>
      <c r="CX7" s="1145"/>
      <c r="CY7" s="1145"/>
      <c r="CZ7" s="1145"/>
      <c r="DA7" s="1145"/>
      <c r="DB7" s="1145"/>
      <c r="DC7" s="1145"/>
      <c r="DD7" s="1145"/>
      <c r="DE7" s="1145"/>
      <c r="DF7" s="1145"/>
    </row>
    <row r="8" spans="1:112" ht="6" hidden="1" customHeight="1" outlineLevel="1">
      <c r="G8" s="958"/>
      <c r="H8" s="958"/>
      <c r="I8" s="958"/>
      <c r="J8" s="958"/>
      <c r="K8" s="959"/>
      <c r="L8" s="958"/>
      <c r="M8" s="958"/>
      <c r="N8" s="958"/>
      <c r="O8" s="958"/>
      <c r="P8" s="958"/>
      <c r="Q8" s="958"/>
      <c r="S8" s="970"/>
      <c r="T8" s="970"/>
      <c r="U8" s="970"/>
      <c r="V8" s="970"/>
      <c r="W8" s="970"/>
      <c r="X8" s="970"/>
      <c r="Y8" s="970"/>
      <c r="Z8" s="970"/>
      <c r="AA8" s="970"/>
      <c r="AB8" s="970"/>
      <c r="AC8" s="970"/>
      <c r="AD8" s="970"/>
      <c r="AE8" s="970"/>
      <c r="AF8" s="970"/>
      <c r="AG8" s="970"/>
      <c r="AH8" s="970"/>
      <c r="AI8" s="970"/>
      <c r="AJ8" s="970"/>
      <c r="AK8" s="970"/>
      <c r="AM8" s="976"/>
      <c r="AN8" s="976"/>
      <c r="AO8" s="976"/>
      <c r="AP8" s="976"/>
      <c r="AQ8" s="976"/>
      <c r="AR8" s="976"/>
      <c r="AS8" s="976"/>
      <c r="AT8" s="976"/>
      <c r="AU8" s="976"/>
      <c r="AV8" s="976"/>
      <c r="AW8" s="976"/>
      <c r="AX8" s="976"/>
      <c r="AY8" s="976"/>
      <c r="AZ8" s="976"/>
      <c r="BA8" s="976"/>
      <c r="BB8" s="976"/>
      <c r="BC8" s="976"/>
      <c r="BD8" s="976"/>
      <c r="BE8" s="976"/>
      <c r="BF8" s="976"/>
      <c r="BH8" s="990"/>
      <c r="BI8" s="990"/>
      <c r="BJ8" s="990"/>
      <c r="BL8" s="515"/>
      <c r="BM8" s="515"/>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1146"/>
      <c r="DA8" s="1146"/>
      <c r="DB8" s="1146"/>
      <c r="DC8" s="1146"/>
      <c r="DD8" s="1146"/>
      <c r="DE8" s="1146"/>
      <c r="DF8" s="1146"/>
    </row>
    <row r="9" spans="1:112" s="743" customFormat="1" ht="10.5" hidden="1" customHeight="1" outlineLevel="2">
      <c r="A9" s="1480"/>
      <c r="B9" s="1480"/>
      <c r="C9" s="746" t="s">
        <v>829</v>
      </c>
      <c r="D9" s="1480" t="str">
        <f>INDEX(Modules[Module], MATCH($C9, Modules[Code], 0))</f>
        <v>Domestic space heating and hot water</v>
      </c>
      <c r="E9" s="521"/>
      <c r="G9" s="1017">
        <f ca="1">IFERROR(INDEX(INDIRECT($C9&amp;".Outputs["&amp;this.Year&amp;"]"), MATCH(G$5, INDIRECT($C9&amp;".Outputs[Vector]"), 0)), 0)</f>
        <v>525.81856649402687</v>
      </c>
      <c r="H9" s="1017">
        <f t="shared" ref="G9:P13" ca="1" si="0">IFERROR(INDEX(INDIRECT($C9&amp;".Outputs["&amp;this.Year&amp;"]"), MATCH(H$5, INDIRECT($C9&amp;".Outputs[Vector]"), 0)), 0)</f>
        <v>0</v>
      </c>
      <c r="I9" s="1017">
        <f t="shared" ca="1" si="0"/>
        <v>0</v>
      </c>
      <c r="J9" s="1017">
        <f t="shared" ca="1" si="0"/>
        <v>0</v>
      </c>
      <c r="K9" s="1017">
        <f t="shared" ca="1" si="0"/>
        <v>0</v>
      </c>
      <c r="L9" s="1017">
        <f t="shared" ca="1" si="0"/>
        <v>0</v>
      </c>
      <c r="M9" s="1017">
        <f t="shared" ca="1" si="0"/>
        <v>0</v>
      </c>
      <c r="N9" s="1017">
        <f t="shared" ca="1" si="0"/>
        <v>0</v>
      </c>
      <c r="O9" s="1017">
        <f t="shared" ca="1" si="0"/>
        <v>0</v>
      </c>
      <c r="P9" s="1017">
        <f t="shared" ca="1" si="0"/>
        <v>0</v>
      </c>
      <c r="Q9" s="1019">
        <f t="shared" ref="Q9:Q15" ca="1" si="1">SUM(G9:P9)</f>
        <v>525.81856649402687</v>
      </c>
      <c r="S9" s="1026">
        <f t="shared" ref="S9:BE13" ca="1" si="2">IFERROR(INDEX(INDIRECT($C9&amp;".Outputs["&amp;this.Year&amp;"]"), MATCH(S$5, INDIRECT($C9&amp;".Outputs[Vector]"), 0)), 0)</f>
        <v>-50.119573365491696</v>
      </c>
      <c r="T9" s="1026">
        <f t="shared" ca="1" si="2"/>
        <v>0</v>
      </c>
      <c r="U9" s="1026">
        <f t="shared" ca="1" si="2"/>
        <v>-4.7181460500666326</v>
      </c>
      <c r="V9" s="1026">
        <f t="shared" ca="1" si="2"/>
        <v>-4.2317392407814118</v>
      </c>
      <c r="W9" s="1026">
        <f t="shared" ca="1" si="2"/>
        <v>-466.74910783768712</v>
      </c>
      <c r="X9" s="1026">
        <f t="shared" ref="X9:Z10" ca="1" si="3">IFERROR(INDEX(INDIRECT($C9&amp;".Outputs["&amp;this.Year&amp;"]"), MATCH(X$5, INDIRECT($C9&amp;".Outputs[Vector]"), 0)), 0)</f>
        <v>0</v>
      </c>
      <c r="Y9" s="1026">
        <f t="shared" ca="1" si="3"/>
        <v>0</v>
      </c>
      <c r="Z9" s="1026">
        <f t="shared" ca="1" si="3"/>
        <v>0</v>
      </c>
      <c r="AA9" s="1026">
        <f t="shared" ca="1" si="2"/>
        <v>0</v>
      </c>
      <c r="AB9" s="1026">
        <f t="shared" ca="1" si="2"/>
        <v>0</v>
      </c>
      <c r="AC9" s="1026">
        <f t="shared" ca="1" si="2"/>
        <v>0</v>
      </c>
      <c r="AD9" s="1026">
        <f t="shared" ca="1" si="2"/>
        <v>0</v>
      </c>
      <c r="AE9" s="1026">
        <f t="shared" ca="1" si="2"/>
        <v>0</v>
      </c>
      <c r="AF9" s="1026">
        <f t="shared" ca="1" si="2"/>
        <v>0</v>
      </c>
      <c r="AG9" s="1026">
        <f t="shared" ca="1" si="2"/>
        <v>0</v>
      </c>
      <c r="AH9" s="1026">
        <f t="shared" ca="1" si="2"/>
        <v>0</v>
      </c>
      <c r="AI9" s="1026">
        <f t="shared" ca="1" si="2"/>
        <v>0</v>
      </c>
      <c r="AJ9" s="1026">
        <f t="shared" ca="1" si="2"/>
        <v>0</v>
      </c>
      <c r="AK9" s="1027">
        <f t="shared" ref="AK9:AK15" ca="1" si="4">SUM(S9:AJ9)</f>
        <v>-525.81856649402687</v>
      </c>
      <c r="AM9" s="1038">
        <f t="shared" ref="AM9:AU10" ca="1" si="5">IFERROR(INDEX(INDIRECT($C9&amp;".Outputs["&amp;this.Year&amp;"]"), MATCH(AM$5, INDIRECT($C9&amp;".Outputs[Vector]"), 0)), 0)</f>
        <v>0</v>
      </c>
      <c r="AN9" s="1038">
        <f t="shared" ca="1" si="5"/>
        <v>0</v>
      </c>
      <c r="AO9" s="1038">
        <f t="shared" ca="1" si="5"/>
        <v>0</v>
      </c>
      <c r="AP9" s="1038">
        <f t="shared" ca="1" si="5"/>
        <v>0</v>
      </c>
      <c r="AQ9" s="1038">
        <f t="shared" ca="1" si="5"/>
        <v>0</v>
      </c>
      <c r="AR9" s="1038">
        <f t="shared" ca="1" si="5"/>
        <v>0</v>
      </c>
      <c r="AS9" s="1038">
        <f t="shared" ca="1" si="5"/>
        <v>0</v>
      </c>
      <c r="AT9" s="1038">
        <f t="shared" ca="1" si="5"/>
        <v>0</v>
      </c>
      <c r="AU9" s="1038">
        <f t="shared" ca="1" si="5"/>
        <v>0</v>
      </c>
      <c r="AV9" s="1038">
        <f t="shared" ca="1" si="2"/>
        <v>0</v>
      </c>
      <c r="AW9" s="1038">
        <f t="shared" ca="1" si="2"/>
        <v>0</v>
      </c>
      <c r="AX9" s="1038">
        <f t="shared" ca="1" si="2"/>
        <v>0</v>
      </c>
      <c r="AY9" s="1038">
        <f t="shared" ca="1" si="2"/>
        <v>0</v>
      </c>
      <c r="AZ9" s="1038">
        <f t="shared" ca="1" si="2"/>
        <v>0</v>
      </c>
      <c r="BA9" s="1038">
        <f t="shared" ca="1" si="2"/>
        <v>0</v>
      </c>
      <c r="BB9" s="1038">
        <f t="shared" ca="1" si="2"/>
        <v>0</v>
      </c>
      <c r="BC9" s="1038">
        <f t="shared" ca="1" si="2"/>
        <v>0</v>
      </c>
      <c r="BD9" s="1038">
        <f t="shared" ca="1" si="2"/>
        <v>0</v>
      </c>
      <c r="BE9" s="1038">
        <f t="shared" ca="1" si="2"/>
        <v>0</v>
      </c>
      <c r="BF9" s="977">
        <f t="shared" ref="BF9:BF15" ca="1" si="6">SUM(AM9:BE9)</f>
        <v>0</v>
      </c>
      <c r="BH9" s="1032">
        <f t="shared" ref="BH9:BI13" ca="1" si="7">IFERROR(INDEX(INDIRECT($C9&amp;".Outputs["&amp;this.Year&amp;"]"), MATCH(BH$5, INDIRECT($C9&amp;".Outputs[Vector]"), 0)), 0)</f>
        <v>0</v>
      </c>
      <c r="BI9" s="1032">
        <f t="shared" ca="1" si="7"/>
        <v>0</v>
      </c>
      <c r="BJ9" s="1034">
        <f t="shared" ref="BJ9:BJ15" ca="1" si="8">SUM(BH9:BI9)</f>
        <v>0</v>
      </c>
      <c r="BL9" s="524">
        <f t="shared" ref="BL9:BL44" ca="1" si="9">Q9+AK9+BF9+BJ9</f>
        <v>0</v>
      </c>
      <c r="BM9" s="524"/>
      <c r="BN9" s="840"/>
      <c r="BO9" s="1481">
        <f t="shared" ref="BO9:BX10" ca="1" si="10">IFERROR(SUMIFS(INDIRECT($C9&amp;".Emissions["&amp;this.Year&amp;"]"), INDIRECT($C9&amp;".Emissions[GHG]"), BO$6, INDIRECT($C9&amp;".Emissions[IPCC Sector]"), BO$5),0)</f>
        <v>88.392959635750302</v>
      </c>
      <c r="BP9" s="1482">
        <f t="shared" ca="1" si="10"/>
        <v>0.1777349812978771</v>
      </c>
      <c r="BQ9" s="1482">
        <f t="shared" ca="1" si="10"/>
        <v>0.21706203390655926</v>
      </c>
      <c r="BR9" s="1482">
        <f t="shared" ca="1" si="10"/>
        <v>0</v>
      </c>
      <c r="BS9" s="1482">
        <f t="shared" ca="1" si="10"/>
        <v>0</v>
      </c>
      <c r="BT9" s="1482">
        <f t="shared" ca="1" si="10"/>
        <v>0</v>
      </c>
      <c r="BU9" s="1482">
        <f t="shared" ca="1" si="10"/>
        <v>0</v>
      </c>
      <c r="BV9" s="1482">
        <f t="shared" ca="1" si="10"/>
        <v>0</v>
      </c>
      <c r="BW9" s="1482">
        <f t="shared" ca="1" si="10"/>
        <v>0</v>
      </c>
      <c r="BX9" s="1482">
        <f t="shared" ca="1" si="10"/>
        <v>0</v>
      </c>
      <c r="BY9" s="1482">
        <f t="shared" ref="BY9:CH10" ca="1" si="11">IFERROR(SUMIFS(INDIRECT($C9&amp;".Emissions["&amp;this.Year&amp;"]"), INDIRECT($C9&amp;".Emissions[GHG]"), BY$6, INDIRECT($C9&amp;".Emissions[IPCC Sector]"), BY$5),0)</f>
        <v>0</v>
      </c>
      <c r="BZ9" s="1482">
        <f t="shared" ca="1" si="11"/>
        <v>0</v>
      </c>
      <c r="CA9" s="1482">
        <f t="shared" ca="1" si="11"/>
        <v>0</v>
      </c>
      <c r="CB9" s="1482">
        <f t="shared" ca="1" si="11"/>
        <v>0</v>
      </c>
      <c r="CC9" s="1482">
        <f t="shared" ca="1" si="11"/>
        <v>0</v>
      </c>
      <c r="CD9" s="1482">
        <f t="shared" ca="1" si="11"/>
        <v>0</v>
      </c>
      <c r="CE9" s="1482">
        <f t="shared" ca="1" si="11"/>
        <v>0</v>
      </c>
      <c r="CF9" s="1482">
        <f t="shared" ca="1" si="11"/>
        <v>0</v>
      </c>
      <c r="CG9" s="1482">
        <f t="shared" ca="1" si="11"/>
        <v>0</v>
      </c>
      <c r="CH9" s="1482">
        <f t="shared" ca="1" si="11"/>
        <v>0</v>
      </c>
      <c r="CI9" s="1482">
        <f t="shared" ref="CI9:CR10" ca="1" si="12">IFERROR(SUMIFS(INDIRECT($C9&amp;".Emissions["&amp;this.Year&amp;"]"), INDIRECT($C9&amp;".Emissions[GHG]"), CI$6, INDIRECT($C9&amp;".Emissions[IPCC Sector]"), CI$5),0)</f>
        <v>0</v>
      </c>
      <c r="CJ9" s="1482">
        <f t="shared" ca="1" si="12"/>
        <v>0</v>
      </c>
      <c r="CK9" s="1482">
        <f t="shared" ca="1" si="12"/>
        <v>0</v>
      </c>
      <c r="CL9" s="1482">
        <f t="shared" ca="1" si="12"/>
        <v>0</v>
      </c>
      <c r="CM9" s="1482">
        <f t="shared" ca="1" si="12"/>
        <v>0</v>
      </c>
      <c r="CN9" s="1482">
        <f t="shared" ca="1" si="12"/>
        <v>0</v>
      </c>
      <c r="CO9" s="1482">
        <f t="shared" ca="1" si="12"/>
        <v>0</v>
      </c>
      <c r="CP9" s="1482">
        <f t="shared" ca="1" si="12"/>
        <v>0</v>
      </c>
      <c r="CQ9" s="1482">
        <f t="shared" ca="1" si="12"/>
        <v>0</v>
      </c>
      <c r="CR9" s="1482">
        <f t="shared" ca="1" si="12"/>
        <v>0</v>
      </c>
      <c r="CS9" s="1482">
        <f t="shared" ref="CS9:DF10" ca="1" si="13">IFERROR(SUMIFS(INDIRECT($C9&amp;".Emissions["&amp;this.Year&amp;"]"), INDIRECT($C9&amp;".Emissions[GHG]"), CS$6, INDIRECT($C9&amp;".Emissions[IPCC Sector]"), CS$5),0)</f>
        <v>0</v>
      </c>
      <c r="CT9" s="1482">
        <f t="shared" ca="1" si="13"/>
        <v>0</v>
      </c>
      <c r="CU9" s="1482">
        <f t="shared" ca="1" si="13"/>
        <v>0</v>
      </c>
      <c r="CV9" s="1482">
        <f t="shared" ca="1" si="13"/>
        <v>0</v>
      </c>
      <c r="CW9" s="1482">
        <f t="shared" ca="1" si="13"/>
        <v>0</v>
      </c>
      <c r="CX9" s="1482">
        <f t="shared" ca="1" si="13"/>
        <v>0</v>
      </c>
      <c r="CY9" s="1482">
        <f t="shared" ca="1" si="13"/>
        <v>0</v>
      </c>
      <c r="CZ9" s="1482">
        <f t="shared" ca="1" si="13"/>
        <v>0</v>
      </c>
      <c r="DA9" s="1482">
        <f t="shared" ca="1" si="13"/>
        <v>0</v>
      </c>
      <c r="DB9" s="1482">
        <f t="shared" ca="1" si="13"/>
        <v>0</v>
      </c>
      <c r="DC9" s="1482">
        <f t="shared" ca="1" si="13"/>
        <v>0</v>
      </c>
      <c r="DD9" s="1482">
        <f t="shared" ca="1" si="13"/>
        <v>0</v>
      </c>
      <c r="DE9" s="1482">
        <f t="shared" ca="1" si="13"/>
        <v>0</v>
      </c>
      <c r="DF9" s="1482">
        <f t="shared" ca="1" si="13"/>
        <v>0</v>
      </c>
      <c r="DH9" s="838"/>
    </row>
    <row r="10" spans="1:112" s="743" customFormat="1" ht="10.5" hidden="1" customHeight="1" outlineLevel="2">
      <c r="A10" s="1483"/>
      <c r="B10" s="1483"/>
      <c r="C10" s="1009" t="s">
        <v>898</v>
      </c>
      <c r="D10" s="1483" t="str">
        <f>INDEX(Modules[Module], MATCH($C10, Modules[Code], 0))</f>
        <v>Domestic hot water [UNUSED - See IX.a]</v>
      </c>
      <c r="E10" s="1006"/>
      <c r="G10" s="1018">
        <f t="shared" ca="1" si="0"/>
        <v>0</v>
      </c>
      <c r="H10" s="1018">
        <f t="shared" ca="1" si="0"/>
        <v>0</v>
      </c>
      <c r="I10" s="1018">
        <f t="shared" ca="1" si="0"/>
        <v>0</v>
      </c>
      <c r="J10" s="1018">
        <f t="shared" ca="1" si="0"/>
        <v>0</v>
      </c>
      <c r="K10" s="1018">
        <f t="shared" ca="1" si="0"/>
        <v>0</v>
      </c>
      <c r="L10" s="1018">
        <f t="shared" ca="1" si="0"/>
        <v>0</v>
      </c>
      <c r="M10" s="1018">
        <f t="shared" ca="1" si="0"/>
        <v>0</v>
      </c>
      <c r="N10" s="1018">
        <f t="shared" ca="1" si="0"/>
        <v>0</v>
      </c>
      <c r="O10" s="1018">
        <f t="shared" ca="1" si="0"/>
        <v>0</v>
      </c>
      <c r="P10" s="1018">
        <f t="shared" ca="1" si="0"/>
        <v>0</v>
      </c>
      <c r="Q10" s="1024">
        <f t="shared" ca="1" si="1"/>
        <v>0</v>
      </c>
      <c r="S10" s="1028">
        <f t="shared" ca="1" si="2"/>
        <v>0</v>
      </c>
      <c r="T10" s="1028">
        <f t="shared" ca="1" si="2"/>
        <v>0</v>
      </c>
      <c r="U10" s="1028">
        <f t="shared" ca="1" si="2"/>
        <v>0</v>
      </c>
      <c r="V10" s="1028">
        <f t="shared" ca="1" si="2"/>
        <v>0</v>
      </c>
      <c r="W10" s="1028">
        <f t="shared" ca="1" si="2"/>
        <v>0</v>
      </c>
      <c r="X10" s="1028">
        <f t="shared" ca="1" si="3"/>
        <v>0</v>
      </c>
      <c r="Y10" s="1028">
        <f t="shared" ca="1" si="3"/>
        <v>0</v>
      </c>
      <c r="Z10" s="1028">
        <f t="shared" ca="1" si="3"/>
        <v>0</v>
      </c>
      <c r="AA10" s="1028">
        <f t="shared" ca="1" si="2"/>
        <v>0</v>
      </c>
      <c r="AB10" s="1028">
        <f t="shared" ca="1" si="2"/>
        <v>0</v>
      </c>
      <c r="AC10" s="1028">
        <f t="shared" ca="1" si="2"/>
        <v>0</v>
      </c>
      <c r="AD10" s="1028">
        <f t="shared" ca="1" si="2"/>
        <v>0</v>
      </c>
      <c r="AE10" s="1028">
        <f t="shared" ca="1" si="2"/>
        <v>0</v>
      </c>
      <c r="AF10" s="1028">
        <f t="shared" ca="1" si="2"/>
        <v>0</v>
      </c>
      <c r="AG10" s="1028">
        <f t="shared" ca="1" si="2"/>
        <v>0</v>
      </c>
      <c r="AH10" s="1028">
        <f t="shared" ca="1" si="2"/>
        <v>0</v>
      </c>
      <c r="AI10" s="1028">
        <f t="shared" ca="1" si="2"/>
        <v>0</v>
      </c>
      <c r="AJ10" s="1028">
        <f t="shared" ca="1" si="2"/>
        <v>0</v>
      </c>
      <c r="AK10" s="1029">
        <f t="shared" ca="1" si="4"/>
        <v>0</v>
      </c>
      <c r="AM10" s="1039">
        <f t="shared" ca="1" si="5"/>
        <v>0</v>
      </c>
      <c r="AN10" s="1039">
        <f t="shared" ca="1" si="5"/>
        <v>0</v>
      </c>
      <c r="AO10" s="1039">
        <f t="shared" ca="1" si="5"/>
        <v>0</v>
      </c>
      <c r="AP10" s="1039">
        <f t="shared" ca="1" si="5"/>
        <v>0</v>
      </c>
      <c r="AQ10" s="1039">
        <f t="shared" ca="1" si="5"/>
        <v>0</v>
      </c>
      <c r="AR10" s="1039">
        <f t="shared" ca="1" si="5"/>
        <v>0</v>
      </c>
      <c r="AS10" s="1039">
        <f t="shared" ca="1" si="5"/>
        <v>0</v>
      </c>
      <c r="AT10" s="1039">
        <f t="shared" ca="1" si="5"/>
        <v>0</v>
      </c>
      <c r="AU10" s="1039">
        <f t="shared" ca="1" si="5"/>
        <v>0</v>
      </c>
      <c r="AV10" s="1039">
        <f t="shared" ca="1" si="2"/>
        <v>0</v>
      </c>
      <c r="AW10" s="1039">
        <f t="shared" ca="1" si="2"/>
        <v>0</v>
      </c>
      <c r="AX10" s="1039">
        <f t="shared" ca="1" si="2"/>
        <v>0</v>
      </c>
      <c r="AY10" s="1039">
        <f t="shared" ca="1" si="2"/>
        <v>0</v>
      </c>
      <c r="AZ10" s="1039">
        <f t="shared" ca="1" si="2"/>
        <v>0</v>
      </c>
      <c r="BA10" s="1039">
        <f t="shared" ca="1" si="2"/>
        <v>0</v>
      </c>
      <c r="BB10" s="1039">
        <f t="shared" ca="1" si="2"/>
        <v>0</v>
      </c>
      <c r="BC10" s="1039">
        <f t="shared" ca="1" si="2"/>
        <v>0</v>
      </c>
      <c r="BD10" s="1039">
        <f t="shared" ca="1" si="2"/>
        <v>0</v>
      </c>
      <c r="BE10" s="1039">
        <f t="shared" ca="1" si="2"/>
        <v>0</v>
      </c>
      <c r="BF10" s="1008">
        <f t="shared" ca="1" si="6"/>
        <v>0</v>
      </c>
      <c r="BH10" s="1033">
        <f t="shared" ca="1" si="7"/>
        <v>0</v>
      </c>
      <c r="BI10" s="1033">
        <f t="shared" ca="1" si="7"/>
        <v>0</v>
      </c>
      <c r="BJ10" s="1044">
        <f t="shared" ca="1" si="8"/>
        <v>0</v>
      </c>
      <c r="BL10" s="1007">
        <f t="shared" ca="1" si="9"/>
        <v>0</v>
      </c>
      <c r="BM10" s="1007"/>
      <c r="BN10" s="840"/>
      <c r="BO10" s="1481">
        <f t="shared" ca="1" si="10"/>
        <v>0</v>
      </c>
      <c r="BP10" s="1482">
        <f t="shared" ca="1" si="10"/>
        <v>0</v>
      </c>
      <c r="BQ10" s="1482">
        <f t="shared" ca="1" si="10"/>
        <v>0</v>
      </c>
      <c r="BR10" s="1482">
        <f t="shared" ca="1" si="10"/>
        <v>0</v>
      </c>
      <c r="BS10" s="1482">
        <f t="shared" ca="1" si="10"/>
        <v>0</v>
      </c>
      <c r="BT10" s="1482">
        <f t="shared" ca="1" si="10"/>
        <v>0</v>
      </c>
      <c r="BU10" s="1482">
        <f t="shared" ca="1" si="10"/>
        <v>0</v>
      </c>
      <c r="BV10" s="1482">
        <f t="shared" ca="1" si="10"/>
        <v>0</v>
      </c>
      <c r="BW10" s="1482">
        <f t="shared" ca="1" si="10"/>
        <v>0</v>
      </c>
      <c r="BX10" s="1482">
        <f t="shared" ca="1" si="10"/>
        <v>0</v>
      </c>
      <c r="BY10" s="1482">
        <f t="shared" ca="1" si="11"/>
        <v>0</v>
      </c>
      <c r="BZ10" s="1482">
        <f t="shared" ca="1" si="11"/>
        <v>0</v>
      </c>
      <c r="CA10" s="1482">
        <f t="shared" ca="1" si="11"/>
        <v>0</v>
      </c>
      <c r="CB10" s="1482">
        <f t="shared" ca="1" si="11"/>
        <v>0</v>
      </c>
      <c r="CC10" s="1482">
        <f t="shared" ca="1" si="11"/>
        <v>0</v>
      </c>
      <c r="CD10" s="1482">
        <f t="shared" ca="1" si="11"/>
        <v>0</v>
      </c>
      <c r="CE10" s="1482">
        <f t="shared" ca="1" si="11"/>
        <v>0</v>
      </c>
      <c r="CF10" s="1482">
        <f t="shared" ca="1" si="11"/>
        <v>0</v>
      </c>
      <c r="CG10" s="1482">
        <f t="shared" ca="1" si="11"/>
        <v>0</v>
      </c>
      <c r="CH10" s="1482">
        <f t="shared" ca="1" si="11"/>
        <v>0</v>
      </c>
      <c r="CI10" s="1482">
        <f t="shared" ca="1" si="12"/>
        <v>0</v>
      </c>
      <c r="CJ10" s="1482">
        <f t="shared" ca="1" si="12"/>
        <v>0</v>
      </c>
      <c r="CK10" s="1482">
        <f t="shared" ca="1" si="12"/>
        <v>0</v>
      </c>
      <c r="CL10" s="1482">
        <f t="shared" ca="1" si="12"/>
        <v>0</v>
      </c>
      <c r="CM10" s="1482">
        <f t="shared" ca="1" si="12"/>
        <v>0</v>
      </c>
      <c r="CN10" s="1482">
        <f t="shared" ca="1" si="12"/>
        <v>0</v>
      </c>
      <c r="CO10" s="1482">
        <f t="shared" ca="1" si="12"/>
        <v>0</v>
      </c>
      <c r="CP10" s="1482">
        <f t="shared" ca="1" si="12"/>
        <v>0</v>
      </c>
      <c r="CQ10" s="1482">
        <f t="shared" ca="1" si="12"/>
        <v>0</v>
      </c>
      <c r="CR10" s="1482">
        <f t="shared" ca="1" si="12"/>
        <v>0</v>
      </c>
      <c r="CS10" s="1482">
        <f t="shared" ca="1" si="13"/>
        <v>0</v>
      </c>
      <c r="CT10" s="1482">
        <f t="shared" ca="1" si="13"/>
        <v>0</v>
      </c>
      <c r="CU10" s="1482">
        <f t="shared" ca="1" si="13"/>
        <v>0</v>
      </c>
      <c r="CV10" s="1482">
        <f t="shared" ca="1" si="13"/>
        <v>0</v>
      </c>
      <c r="CW10" s="1482">
        <f t="shared" ca="1" si="13"/>
        <v>0</v>
      </c>
      <c r="CX10" s="1482">
        <f t="shared" ca="1" si="13"/>
        <v>0</v>
      </c>
      <c r="CY10" s="1482">
        <f t="shared" ca="1" si="13"/>
        <v>0</v>
      </c>
      <c r="CZ10" s="1482">
        <f t="shared" ca="1" si="13"/>
        <v>0</v>
      </c>
      <c r="DA10" s="1482">
        <f t="shared" ca="1" si="13"/>
        <v>0</v>
      </c>
      <c r="DB10" s="1482">
        <f t="shared" ca="1" si="13"/>
        <v>0</v>
      </c>
      <c r="DC10" s="1482">
        <f t="shared" ca="1" si="13"/>
        <v>0</v>
      </c>
      <c r="DD10" s="1482">
        <f t="shared" ca="1" si="13"/>
        <v>0</v>
      </c>
      <c r="DE10" s="1482">
        <f t="shared" ca="1" si="13"/>
        <v>0</v>
      </c>
      <c r="DF10" s="1482">
        <f t="shared" ca="1" si="13"/>
        <v>0</v>
      </c>
      <c r="DH10" s="838"/>
    </row>
    <row r="11" spans="1:112" s="743" customFormat="1" ht="12.75" hidden="1" customHeight="1" outlineLevel="1">
      <c r="A11" s="1484"/>
      <c r="B11" s="1484"/>
      <c r="C11" s="746"/>
      <c r="D11" s="1484" t="s">
        <v>947</v>
      </c>
      <c r="E11" s="521"/>
      <c r="G11" s="1019">
        <f ca="1">SUM(G9:G10)</f>
        <v>525.81856649402687</v>
      </c>
      <c r="H11" s="1019">
        <f t="shared" ref="H11:P11" ca="1" si="14">SUM(H9:H10)</f>
        <v>0</v>
      </c>
      <c r="I11" s="1019">
        <f t="shared" ca="1" si="14"/>
        <v>0</v>
      </c>
      <c r="J11" s="1019">
        <f t="shared" ca="1" si="14"/>
        <v>0</v>
      </c>
      <c r="K11" s="1019">
        <f t="shared" ca="1" si="14"/>
        <v>0</v>
      </c>
      <c r="L11" s="1019">
        <f t="shared" ca="1" si="14"/>
        <v>0</v>
      </c>
      <c r="M11" s="1019">
        <f t="shared" ca="1" si="14"/>
        <v>0</v>
      </c>
      <c r="N11" s="1019">
        <f t="shared" ca="1" si="14"/>
        <v>0</v>
      </c>
      <c r="O11" s="1019">
        <f t="shared" ca="1" si="14"/>
        <v>0</v>
      </c>
      <c r="P11" s="1019">
        <f t="shared" ca="1" si="14"/>
        <v>0</v>
      </c>
      <c r="Q11" s="1019">
        <f t="shared" ca="1" si="1"/>
        <v>525.81856649402687</v>
      </c>
      <c r="S11" s="1027">
        <f ca="1">SUM(S9:S10)</f>
        <v>-50.119573365491696</v>
      </c>
      <c r="T11" s="1027">
        <f t="shared" ref="T11:AJ11" ca="1" si="15">SUM(T9:T10)</f>
        <v>0</v>
      </c>
      <c r="U11" s="1027">
        <f t="shared" ca="1" si="15"/>
        <v>-4.7181460500666326</v>
      </c>
      <c r="V11" s="1027">
        <f t="shared" ca="1" si="15"/>
        <v>-4.2317392407814118</v>
      </c>
      <c r="W11" s="1027">
        <f t="shared" ca="1" si="15"/>
        <v>-466.74910783768712</v>
      </c>
      <c r="X11" s="1027">
        <f ca="1">SUM(X9:X10)</f>
        <v>0</v>
      </c>
      <c r="Y11" s="1027">
        <f ca="1">SUM(Y9:Y10)</f>
        <v>0</v>
      </c>
      <c r="Z11" s="1027">
        <f ca="1">SUM(Z9:Z10)</f>
        <v>0</v>
      </c>
      <c r="AA11" s="1027">
        <f t="shared" ca="1" si="15"/>
        <v>0</v>
      </c>
      <c r="AB11" s="1027">
        <f t="shared" ca="1" si="15"/>
        <v>0</v>
      </c>
      <c r="AC11" s="1027">
        <f t="shared" ca="1" si="15"/>
        <v>0</v>
      </c>
      <c r="AD11" s="1027">
        <f ca="1">SUM(AD9:AD10)</f>
        <v>0</v>
      </c>
      <c r="AE11" s="1027">
        <f ca="1">SUM(AE9:AE10)</f>
        <v>0</v>
      </c>
      <c r="AF11" s="1027">
        <f t="shared" ca="1" si="15"/>
        <v>0</v>
      </c>
      <c r="AG11" s="1027">
        <f ca="1">SUM(AG9:AG10)</f>
        <v>0</v>
      </c>
      <c r="AH11" s="1027">
        <f ca="1">SUM(AH9:AH10)</f>
        <v>0</v>
      </c>
      <c r="AI11" s="1027">
        <f ca="1">SUM(AI9:AI10)</f>
        <v>0</v>
      </c>
      <c r="AJ11" s="1027">
        <f t="shared" ca="1" si="15"/>
        <v>0</v>
      </c>
      <c r="AK11" s="1027">
        <f t="shared" ca="1" si="4"/>
        <v>-525.81856649402687</v>
      </c>
      <c r="AM11" s="1040">
        <f t="shared" ref="AM11:BE11" ca="1" si="16">SUM(AM9:AM10)</f>
        <v>0</v>
      </c>
      <c r="AN11" s="1040">
        <f t="shared" ca="1" si="16"/>
        <v>0</v>
      </c>
      <c r="AO11" s="1040">
        <f t="shared" ca="1" si="16"/>
        <v>0</v>
      </c>
      <c r="AP11" s="1040">
        <f t="shared" ca="1" si="16"/>
        <v>0</v>
      </c>
      <c r="AQ11" s="1040">
        <f t="shared" ca="1" si="16"/>
        <v>0</v>
      </c>
      <c r="AR11" s="1040">
        <f t="shared" ca="1" si="16"/>
        <v>0</v>
      </c>
      <c r="AS11" s="1040">
        <f t="shared" ca="1" si="16"/>
        <v>0</v>
      </c>
      <c r="AT11" s="1040">
        <f t="shared" ca="1" si="16"/>
        <v>0</v>
      </c>
      <c r="AU11" s="1040">
        <f t="shared" ca="1" si="16"/>
        <v>0</v>
      </c>
      <c r="AV11" s="1040">
        <f t="shared" ca="1" si="16"/>
        <v>0</v>
      </c>
      <c r="AW11" s="1040">
        <f t="shared" ca="1" si="16"/>
        <v>0</v>
      </c>
      <c r="AX11" s="1040">
        <f t="shared" ca="1" si="16"/>
        <v>0</v>
      </c>
      <c r="AY11" s="1040">
        <f t="shared" ca="1" si="16"/>
        <v>0</v>
      </c>
      <c r="AZ11" s="1040">
        <f t="shared" ca="1" si="16"/>
        <v>0</v>
      </c>
      <c r="BA11" s="1040">
        <f t="shared" ca="1" si="16"/>
        <v>0</v>
      </c>
      <c r="BB11" s="1040">
        <f t="shared" ca="1" si="16"/>
        <v>0</v>
      </c>
      <c r="BC11" s="1040">
        <f t="shared" ca="1" si="16"/>
        <v>0</v>
      </c>
      <c r="BD11" s="1040">
        <f t="shared" ca="1" si="16"/>
        <v>0</v>
      </c>
      <c r="BE11" s="1040">
        <f t="shared" ca="1" si="16"/>
        <v>0</v>
      </c>
      <c r="BF11" s="979">
        <f t="shared" ca="1" si="6"/>
        <v>0</v>
      </c>
      <c r="BH11" s="1034">
        <f ca="1">SUM(BH9:BH10)</f>
        <v>0</v>
      </c>
      <c r="BI11" s="1034">
        <f ca="1">SUM(BI9:BI10)</f>
        <v>0</v>
      </c>
      <c r="BJ11" s="1034">
        <f t="shared" ca="1" si="8"/>
        <v>0</v>
      </c>
      <c r="BL11" s="814">
        <f t="shared" ca="1" si="9"/>
        <v>0</v>
      </c>
      <c r="BM11" s="814"/>
      <c r="BN11" s="840"/>
      <c r="BO11" s="1481">
        <f t="shared" ref="BO11:DF11" ca="1" si="17">SUM(BO9:BO10)</f>
        <v>88.392959635750302</v>
      </c>
      <c r="BP11" s="1482">
        <f t="shared" ca="1" si="17"/>
        <v>0.1777349812978771</v>
      </c>
      <c r="BQ11" s="1482">
        <f t="shared" ca="1" si="17"/>
        <v>0.21706203390655926</v>
      </c>
      <c r="BR11" s="1482">
        <f t="shared" ca="1" si="17"/>
        <v>0</v>
      </c>
      <c r="BS11" s="1482">
        <f t="shared" ca="1" si="17"/>
        <v>0</v>
      </c>
      <c r="BT11" s="1482">
        <f t="shared" ca="1" si="17"/>
        <v>0</v>
      </c>
      <c r="BU11" s="1482">
        <f t="shared" ca="1" si="17"/>
        <v>0</v>
      </c>
      <c r="BV11" s="1482">
        <f t="shared" ca="1" si="17"/>
        <v>0</v>
      </c>
      <c r="BW11" s="1482">
        <f t="shared" ca="1" si="17"/>
        <v>0</v>
      </c>
      <c r="BX11" s="1482">
        <f t="shared" ca="1" si="17"/>
        <v>0</v>
      </c>
      <c r="BY11" s="1482">
        <f t="shared" ca="1" si="17"/>
        <v>0</v>
      </c>
      <c r="BZ11" s="1482">
        <f t="shared" ca="1" si="17"/>
        <v>0</v>
      </c>
      <c r="CA11" s="1482">
        <f t="shared" ca="1" si="17"/>
        <v>0</v>
      </c>
      <c r="CB11" s="1482">
        <f t="shared" ca="1" si="17"/>
        <v>0</v>
      </c>
      <c r="CC11" s="1482">
        <f t="shared" ca="1" si="17"/>
        <v>0</v>
      </c>
      <c r="CD11" s="1482">
        <f t="shared" ca="1" si="17"/>
        <v>0</v>
      </c>
      <c r="CE11" s="1482">
        <f t="shared" ca="1" si="17"/>
        <v>0</v>
      </c>
      <c r="CF11" s="1482">
        <f t="shared" ca="1" si="17"/>
        <v>0</v>
      </c>
      <c r="CG11" s="1482">
        <f t="shared" ca="1" si="17"/>
        <v>0</v>
      </c>
      <c r="CH11" s="1482">
        <f t="shared" ca="1" si="17"/>
        <v>0</v>
      </c>
      <c r="CI11" s="1482">
        <f t="shared" ca="1" si="17"/>
        <v>0</v>
      </c>
      <c r="CJ11" s="1482">
        <f t="shared" ca="1" si="17"/>
        <v>0</v>
      </c>
      <c r="CK11" s="1482">
        <f t="shared" ca="1" si="17"/>
        <v>0</v>
      </c>
      <c r="CL11" s="1482">
        <f t="shared" ca="1" si="17"/>
        <v>0</v>
      </c>
      <c r="CM11" s="1482">
        <f t="shared" ca="1" si="17"/>
        <v>0</v>
      </c>
      <c r="CN11" s="1482">
        <f t="shared" ca="1" si="17"/>
        <v>0</v>
      </c>
      <c r="CO11" s="1482">
        <f t="shared" ca="1" si="17"/>
        <v>0</v>
      </c>
      <c r="CP11" s="1482">
        <f t="shared" ca="1" si="17"/>
        <v>0</v>
      </c>
      <c r="CQ11" s="1482">
        <f t="shared" ca="1" si="17"/>
        <v>0</v>
      </c>
      <c r="CR11" s="1482">
        <f t="shared" ca="1" si="17"/>
        <v>0</v>
      </c>
      <c r="CS11" s="1482">
        <f t="shared" ca="1" si="17"/>
        <v>0</v>
      </c>
      <c r="CT11" s="1482">
        <f t="shared" ca="1" si="17"/>
        <v>0</v>
      </c>
      <c r="CU11" s="1482">
        <f t="shared" ca="1" si="17"/>
        <v>0</v>
      </c>
      <c r="CV11" s="1482">
        <f t="shared" ca="1" si="17"/>
        <v>0</v>
      </c>
      <c r="CW11" s="1482">
        <f t="shared" ca="1" si="17"/>
        <v>0</v>
      </c>
      <c r="CX11" s="1482">
        <f t="shared" ca="1" si="17"/>
        <v>0</v>
      </c>
      <c r="CY11" s="1482">
        <f t="shared" ca="1" si="17"/>
        <v>0</v>
      </c>
      <c r="CZ11" s="1482">
        <f t="shared" ca="1" si="17"/>
        <v>0</v>
      </c>
      <c r="DA11" s="1482">
        <f t="shared" ca="1" si="17"/>
        <v>0</v>
      </c>
      <c r="DB11" s="1482">
        <f t="shared" ca="1" si="17"/>
        <v>0</v>
      </c>
      <c r="DC11" s="1482">
        <f t="shared" ca="1" si="17"/>
        <v>0</v>
      </c>
      <c r="DD11" s="1482">
        <f t="shared" ca="1" si="17"/>
        <v>0</v>
      </c>
      <c r="DE11" s="1482">
        <f t="shared" ca="1" si="17"/>
        <v>0</v>
      </c>
      <c r="DF11" s="1482">
        <f t="shared" ca="1" si="17"/>
        <v>0</v>
      </c>
      <c r="DH11" s="838"/>
    </row>
    <row r="12" spans="1:112" s="743" customFormat="1" ht="10.5" hidden="1" customHeight="1" outlineLevel="2">
      <c r="A12" s="1480"/>
      <c r="B12" s="1480"/>
      <c r="C12" s="746" t="s">
        <v>945</v>
      </c>
      <c r="D12" s="1480" t="str">
        <f>INDEX(Modules[Module], MATCH($C12, Modules[Code], 0))</f>
        <v>Commercial heating and cooling</v>
      </c>
      <c r="E12" s="1006"/>
      <c r="G12" s="1017">
        <f t="shared" ca="1" si="0"/>
        <v>147.9743955514835</v>
      </c>
      <c r="H12" s="1017">
        <f t="shared" ca="1" si="0"/>
        <v>0</v>
      </c>
      <c r="I12" s="1017">
        <f t="shared" ca="1" si="0"/>
        <v>0</v>
      </c>
      <c r="J12" s="1017">
        <f t="shared" ca="1" si="0"/>
        <v>0</v>
      </c>
      <c r="K12" s="1017">
        <f t="shared" ca="1" si="0"/>
        <v>0</v>
      </c>
      <c r="L12" s="1017">
        <f t="shared" ca="1" si="0"/>
        <v>0</v>
      </c>
      <c r="M12" s="1017">
        <f t="shared" ca="1" si="0"/>
        <v>0</v>
      </c>
      <c r="N12" s="1017">
        <f t="shared" ca="1" si="0"/>
        <v>0</v>
      </c>
      <c r="O12" s="1017">
        <f t="shared" ca="1" si="0"/>
        <v>0</v>
      </c>
      <c r="P12" s="1017">
        <f t="shared" ca="1" si="0"/>
        <v>0</v>
      </c>
      <c r="Q12" s="1019">
        <f t="shared" ca="1" si="1"/>
        <v>147.9743955514835</v>
      </c>
      <c r="S12" s="1026">
        <f t="shared" ca="1" si="2"/>
        <v>-29.8685026844813</v>
      </c>
      <c r="T12" s="1026">
        <f t="shared" ca="1" si="2"/>
        <v>0</v>
      </c>
      <c r="U12" s="1026">
        <f t="shared" ca="1" si="2"/>
        <v>0</v>
      </c>
      <c r="V12" s="1026">
        <f t="shared" ca="1" si="2"/>
        <v>-2.0201266217880871</v>
      </c>
      <c r="W12" s="1026">
        <f t="shared" ca="1" si="2"/>
        <v>-116.0857662452141</v>
      </c>
      <c r="X12" s="1026">
        <f t="shared" ref="X12:Z13" ca="1" si="18">IFERROR(INDEX(INDIRECT($C12&amp;".Outputs["&amp;this.Year&amp;"]"), MATCH(X$5, INDIRECT($C12&amp;".Outputs[Vector]"), 0)), 0)</f>
        <v>0</v>
      </c>
      <c r="Y12" s="1026">
        <f t="shared" ca="1" si="18"/>
        <v>0</v>
      </c>
      <c r="Z12" s="1026">
        <f t="shared" ca="1" si="18"/>
        <v>0</v>
      </c>
      <c r="AA12" s="1026">
        <f t="shared" ca="1" si="2"/>
        <v>0</v>
      </c>
      <c r="AB12" s="1026">
        <f t="shared" ca="1" si="2"/>
        <v>0</v>
      </c>
      <c r="AC12" s="1026">
        <f t="shared" ca="1" si="2"/>
        <v>0</v>
      </c>
      <c r="AD12" s="1026">
        <f t="shared" ca="1" si="2"/>
        <v>0</v>
      </c>
      <c r="AE12" s="1026">
        <f t="shared" ca="1" si="2"/>
        <v>0</v>
      </c>
      <c r="AF12" s="1026">
        <f t="shared" ca="1" si="2"/>
        <v>0</v>
      </c>
      <c r="AG12" s="1026">
        <f t="shared" ca="1" si="2"/>
        <v>0</v>
      </c>
      <c r="AH12" s="1026">
        <f t="shared" ca="1" si="2"/>
        <v>0</v>
      </c>
      <c r="AI12" s="1026">
        <f t="shared" ca="1" si="2"/>
        <v>0</v>
      </c>
      <c r="AJ12" s="1026">
        <f t="shared" ca="1" si="2"/>
        <v>0</v>
      </c>
      <c r="AK12" s="1027">
        <f t="shared" ca="1" si="4"/>
        <v>-147.9743955514835</v>
      </c>
      <c r="AM12" s="1038">
        <f t="shared" ref="AM12:AU13" ca="1" si="19">IFERROR(INDEX(INDIRECT($C12&amp;".Outputs["&amp;this.Year&amp;"]"), MATCH(AM$5, INDIRECT($C12&amp;".Outputs[Vector]"), 0)), 0)</f>
        <v>0</v>
      </c>
      <c r="AN12" s="1038">
        <f t="shared" ca="1" si="19"/>
        <v>0</v>
      </c>
      <c r="AO12" s="1038">
        <f t="shared" ca="1" si="19"/>
        <v>0</v>
      </c>
      <c r="AP12" s="1038">
        <f t="shared" ca="1" si="19"/>
        <v>0</v>
      </c>
      <c r="AQ12" s="1038">
        <f t="shared" ca="1" si="19"/>
        <v>0</v>
      </c>
      <c r="AR12" s="1038">
        <f t="shared" ca="1" si="19"/>
        <v>0</v>
      </c>
      <c r="AS12" s="1038">
        <f t="shared" ca="1" si="19"/>
        <v>0</v>
      </c>
      <c r="AT12" s="1038">
        <f t="shared" ca="1" si="19"/>
        <v>0</v>
      </c>
      <c r="AU12" s="1038">
        <f t="shared" ca="1" si="19"/>
        <v>0</v>
      </c>
      <c r="AV12" s="1038">
        <f t="shared" ca="1" si="2"/>
        <v>0</v>
      </c>
      <c r="AW12" s="1038">
        <f t="shared" ca="1" si="2"/>
        <v>0</v>
      </c>
      <c r="AX12" s="1038">
        <f t="shared" ca="1" si="2"/>
        <v>0</v>
      </c>
      <c r="AY12" s="1038">
        <f t="shared" ca="1" si="2"/>
        <v>0</v>
      </c>
      <c r="AZ12" s="1038">
        <f t="shared" ca="1" si="2"/>
        <v>0</v>
      </c>
      <c r="BA12" s="1038">
        <f t="shared" ca="1" si="2"/>
        <v>0</v>
      </c>
      <c r="BB12" s="1038">
        <f t="shared" ca="1" si="2"/>
        <v>0</v>
      </c>
      <c r="BC12" s="1038">
        <f t="shared" ca="1" si="2"/>
        <v>0</v>
      </c>
      <c r="BD12" s="1038">
        <f t="shared" ca="1" si="2"/>
        <v>0</v>
      </c>
      <c r="BE12" s="1038">
        <f t="shared" ca="1" si="2"/>
        <v>0</v>
      </c>
      <c r="BF12" s="977">
        <f t="shared" ca="1" si="6"/>
        <v>0</v>
      </c>
      <c r="BH12" s="1032">
        <f t="shared" ca="1" si="7"/>
        <v>0</v>
      </c>
      <c r="BI12" s="1032">
        <f t="shared" ca="1" si="7"/>
        <v>0</v>
      </c>
      <c r="BJ12" s="1034">
        <f t="shared" ca="1" si="8"/>
        <v>0</v>
      </c>
      <c r="BL12" s="524">
        <f t="shared" ca="1" si="9"/>
        <v>0</v>
      </c>
      <c r="BM12" s="524"/>
      <c r="BN12" s="840"/>
      <c r="BO12" s="1481">
        <f t="shared" ref="BO12:BX13" ca="1" si="20">IFERROR(SUMIFS(INDIRECT($C12&amp;".Emissions["&amp;this.Year&amp;"]"), INDIRECT($C12&amp;".Emissions[GHG]"), BO$6, INDIRECT($C12&amp;".Emissions[IPCC Sector]"), BO$5),0)</f>
        <v>21.864812644566413</v>
      </c>
      <c r="BP12" s="1482">
        <f t="shared" ca="1" si="20"/>
        <v>4.34441381429264E-2</v>
      </c>
      <c r="BQ12" s="1482">
        <f t="shared" ca="1" si="20"/>
        <v>5.5136572465139151E-2</v>
      </c>
      <c r="BR12" s="1482">
        <f t="shared" ca="1" si="20"/>
        <v>0</v>
      </c>
      <c r="BS12" s="1482">
        <f t="shared" ca="1" si="20"/>
        <v>0</v>
      </c>
      <c r="BT12" s="1482">
        <f t="shared" ca="1" si="20"/>
        <v>0</v>
      </c>
      <c r="BU12" s="1482">
        <f t="shared" ca="1" si="20"/>
        <v>0</v>
      </c>
      <c r="BV12" s="1482">
        <f t="shared" ca="1" si="20"/>
        <v>0</v>
      </c>
      <c r="BW12" s="1482">
        <f t="shared" ca="1" si="20"/>
        <v>0</v>
      </c>
      <c r="BX12" s="1482">
        <f t="shared" ca="1" si="20"/>
        <v>0</v>
      </c>
      <c r="BY12" s="1482">
        <f t="shared" ref="BY12:CH13" ca="1" si="21">IFERROR(SUMIFS(INDIRECT($C12&amp;".Emissions["&amp;this.Year&amp;"]"), INDIRECT($C12&amp;".Emissions[GHG]"), BY$6, INDIRECT($C12&amp;".Emissions[IPCC Sector]"), BY$5),0)</f>
        <v>0</v>
      </c>
      <c r="BZ12" s="1482">
        <f t="shared" ca="1" si="21"/>
        <v>0</v>
      </c>
      <c r="CA12" s="1482">
        <f t="shared" ca="1" si="21"/>
        <v>0</v>
      </c>
      <c r="CB12" s="1482">
        <f t="shared" ca="1" si="21"/>
        <v>0</v>
      </c>
      <c r="CC12" s="1482">
        <f t="shared" ca="1" si="21"/>
        <v>0</v>
      </c>
      <c r="CD12" s="1482">
        <f t="shared" ca="1" si="21"/>
        <v>0</v>
      </c>
      <c r="CE12" s="1482">
        <f t="shared" ca="1" si="21"/>
        <v>0</v>
      </c>
      <c r="CF12" s="1482">
        <f t="shared" ca="1" si="21"/>
        <v>0</v>
      </c>
      <c r="CG12" s="1482">
        <f t="shared" ca="1" si="21"/>
        <v>0</v>
      </c>
      <c r="CH12" s="1482">
        <f t="shared" ca="1" si="21"/>
        <v>0</v>
      </c>
      <c r="CI12" s="1482">
        <f t="shared" ref="CI12:CR13" ca="1" si="22">IFERROR(SUMIFS(INDIRECT($C12&amp;".Emissions["&amp;this.Year&amp;"]"), INDIRECT($C12&amp;".Emissions[GHG]"), CI$6, INDIRECT($C12&amp;".Emissions[IPCC Sector]"), CI$5),0)</f>
        <v>0</v>
      </c>
      <c r="CJ12" s="1482">
        <f t="shared" ca="1" si="22"/>
        <v>0</v>
      </c>
      <c r="CK12" s="1482">
        <f t="shared" ca="1" si="22"/>
        <v>0</v>
      </c>
      <c r="CL12" s="1482">
        <f t="shared" ca="1" si="22"/>
        <v>0</v>
      </c>
      <c r="CM12" s="1482">
        <f t="shared" ca="1" si="22"/>
        <v>0</v>
      </c>
      <c r="CN12" s="1482">
        <f t="shared" ca="1" si="22"/>
        <v>0</v>
      </c>
      <c r="CO12" s="1482">
        <f t="shared" ca="1" si="22"/>
        <v>0</v>
      </c>
      <c r="CP12" s="1482">
        <f t="shared" ca="1" si="22"/>
        <v>0</v>
      </c>
      <c r="CQ12" s="1482">
        <f t="shared" ca="1" si="22"/>
        <v>0</v>
      </c>
      <c r="CR12" s="1482">
        <f t="shared" ca="1" si="22"/>
        <v>0</v>
      </c>
      <c r="CS12" s="1482">
        <f t="shared" ref="CS12:DF13" ca="1" si="23">IFERROR(SUMIFS(INDIRECT($C12&amp;".Emissions["&amp;this.Year&amp;"]"), INDIRECT($C12&amp;".Emissions[GHG]"), CS$6, INDIRECT($C12&amp;".Emissions[IPCC Sector]"), CS$5),0)</f>
        <v>0</v>
      </c>
      <c r="CT12" s="1482">
        <f t="shared" ca="1" si="23"/>
        <v>0</v>
      </c>
      <c r="CU12" s="1482">
        <f t="shared" ca="1" si="23"/>
        <v>0</v>
      </c>
      <c r="CV12" s="1482">
        <f t="shared" ca="1" si="23"/>
        <v>0</v>
      </c>
      <c r="CW12" s="1482">
        <f t="shared" ca="1" si="23"/>
        <v>0</v>
      </c>
      <c r="CX12" s="1482">
        <f t="shared" ca="1" si="23"/>
        <v>0</v>
      </c>
      <c r="CY12" s="1482">
        <f t="shared" ca="1" si="23"/>
        <v>0</v>
      </c>
      <c r="CZ12" s="1482">
        <f t="shared" ca="1" si="23"/>
        <v>0</v>
      </c>
      <c r="DA12" s="1482">
        <f t="shared" ca="1" si="23"/>
        <v>0</v>
      </c>
      <c r="DB12" s="1482">
        <f t="shared" ca="1" si="23"/>
        <v>0</v>
      </c>
      <c r="DC12" s="1482">
        <f t="shared" ca="1" si="23"/>
        <v>0</v>
      </c>
      <c r="DD12" s="1482">
        <f t="shared" ca="1" si="23"/>
        <v>0</v>
      </c>
      <c r="DE12" s="1482">
        <f t="shared" ca="1" si="23"/>
        <v>0</v>
      </c>
      <c r="DF12" s="1482">
        <f t="shared" ca="1" si="23"/>
        <v>0</v>
      </c>
      <c r="DH12" s="838"/>
    </row>
    <row r="13" spans="1:112" s="743" customFormat="1" ht="10.5" hidden="1" customHeight="1" outlineLevel="2">
      <c r="A13" s="1483"/>
      <c r="B13" s="1483"/>
      <c r="C13" s="1009" t="s">
        <v>946</v>
      </c>
      <c r="D13" s="1483" t="str">
        <f>INDEX(Modules[Module], MATCH($C13, Modules[Code], 0))</f>
        <v>Commercial hot water [UNUSED - See IX.c]</v>
      </c>
      <c r="E13" s="1006"/>
      <c r="G13" s="1018">
        <f t="shared" ca="1" si="0"/>
        <v>0</v>
      </c>
      <c r="H13" s="1018">
        <f t="shared" ca="1" si="0"/>
        <v>0</v>
      </c>
      <c r="I13" s="1018">
        <f t="shared" ca="1" si="0"/>
        <v>0</v>
      </c>
      <c r="J13" s="1018">
        <f t="shared" ca="1" si="0"/>
        <v>0</v>
      </c>
      <c r="K13" s="1018">
        <f t="shared" ca="1" si="0"/>
        <v>0</v>
      </c>
      <c r="L13" s="1018">
        <f t="shared" ca="1" si="0"/>
        <v>0</v>
      </c>
      <c r="M13" s="1018">
        <f t="shared" ca="1" si="0"/>
        <v>0</v>
      </c>
      <c r="N13" s="1018">
        <f t="shared" ca="1" si="0"/>
        <v>0</v>
      </c>
      <c r="O13" s="1018">
        <f t="shared" ca="1" si="0"/>
        <v>0</v>
      </c>
      <c r="P13" s="1018">
        <f t="shared" ca="1" si="0"/>
        <v>0</v>
      </c>
      <c r="Q13" s="1024">
        <f t="shared" ca="1" si="1"/>
        <v>0</v>
      </c>
      <c r="S13" s="1028">
        <f t="shared" ca="1" si="2"/>
        <v>0</v>
      </c>
      <c r="T13" s="1028">
        <f t="shared" ca="1" si="2"/>
        <v>0</v>
      </c>
      <c r="U13" s="1028">
        <f t="shared" ca="1" si="2"/>
        <v>0</v>
      </c>
      <c r="V13" s="1028">
        <f t="shared" ca="1" si="2"/>
        <v>0</v>
      </c>
      <c r="W13" s="1028">
        <f t="shared" ca="1" si="2"/>
        <v>0</v>
      </c>
      <c r="X13" s="1028">
        <f t="shared" ca="1" si="18"/>
        <v>0</v>
      </c>
      <c r="Y13" s="1028">
        <f t="shared" ca="1" si="18"/>
        <v>0</v>
      </c>
      <c r="Z13" s="1028">
        <f t="shared" ca="1" si="18"/>
        <v>0</v>
      </c>
      <c r="AA13" s="1028">
        <f t="shared" ca="1" si="2"/>
        <v>0</v>
      </c>
      <c r="AB13" s="1028">
        <f t="shared" ca="1" si="2"/>
        <v>0</v>
      </c>
      <c r="AC13" s="1028">
        <f t="shared" ca="1" si="2"/>
        <v>0</v>
      </c>
      <c r="AD13" s="1028">
        <f t="shared" ca="1" si="2"/>
        <v>0</v>
      </c>
      <c r="AE13" s="1028">
        <f t="shared" ca="1" si="2"/>
        <v>0</v>
      </c>
      <c r="AF13" s="1028">
        <f t="shared" ca="1" si="2"/>
        <v>0</v>
      </c>
      <c r="AG13" s="1028">
        <f t="shared" ca="1" si="2"/>
        <v>0</v>
      </c>
      <c r="AH13" s="1028">
        <f t="shared" ca="1" si="2"/>
        <v>0</v>
      </c>
      <c r="AI13" s="1028">
        <f t="shared" ca="1" si="2"/>
        <v>0</v>
      </c>
      <c r="AJ13" s="1028">
        <f t="shared" ca="1" si="2"/>
        <v>0</v>
      </c>
      <c r="AK13" s="1029">
        <f t="shared" ca="1" si="4"/>
        <v>0</v>
      </c>
      <c r="AM13" s="1039">
        <f t="shared" ca="1" si="19"/>
        <v>0</v>
      </c>
      <c r="AN13" s="1039">
        <f t="shared" ca="1" si="19"/>
        <v>0</v>
      </c>
      <c r="AO13" s="1039">
        <f t="shared" ca="1" si="19"/>
        <v>0</v>
      </c>
      <c r="AP13" s="1039">
        <f t="shared" ca="1" si="19"/>
        <v>0</v>
      </c>
      <c r="AQ13" s="1039">
        <f t="shared" ca="1" si="19"/>
        <v>0</v>
      </c>
      <c r="AR13" s="1039">
        <f t="shared" ca="1" si="19"/>
        <v>0</v>
      </c>
      <c r="AS13" s="1039">
        <f t="shared" ca="1" si="19"/>
        <v>0</v>
      </c>
      <c r="AT13" s="1039">
        <f t="shared" ca="1" si="19"/>
        <v>0</v>
      </c>
      <c r="AU13" s="1039">
        <f t="shared" ca="1" si="19"/>
        <v>0</v>
      </c>
      <c r="AV13" s="1039">
        <f t="shared" ca="1" si="2"/>
        <v>0</v>
      </c>
      <c r="AW13" s="1039">
        <f t="shared" ca="1" si="2"/>
        <v>0</v>
      </c>
      <c r="AX13" s="1039">
        <f t="shared" ca="1" si="2"/>
        <v>0</v>
      </c>
      <c r="AY13" s="1039">
        <f t="shared" ca="1" si="2"/>
        <v>0</v>
      </c>
      <c r="AZ13" s="1039">
        <f t="shared" ca="1" si="2"/>
        <v>0</v>
      </c>
      <c r="BA13" s="1039">
        <f t="shared" ca="1" si="2"/>
        <v>0</v>
      </c>
      <c r="BB13" s="1039">
        <f t="shared" ca="1" si="2"/>
        <v>0</v>
      </c>
      <c r="BC13" s="1039">
        <f t="shared" ca="1" si="2"/>
        <v>0</v>
      </c>
      <c r="BD13" s="1039">
        <f t="shared" ca="1" si="2"/>
        <v>0</v>
      </c>
      <c r="BE13" s="1039">
        <f t="shared" ca="1" si="2"/>
        <v>0</v>
      </c>
      <c r="BF13" s="1008">
        <f t="shared" ca="1" si="6"/>
        <v>0</v>
      </c>
      <c r="BH13" s="1033">
        <f t="shared" ca="1" si="7"/>
        <v>0</v>
      </c>
      <c r="BI13" s="1033">
        <f t="shared" ca="1" si="7"/>
        <v>0</v>
      </c>
      <c r="BJ13" s="1044">
        <f t="shared" ca="1" si="8"/>
        <v>0</v>
      </c>
      <c r="BL13" s="1007">
        <f t="shared" ca="1" si="9"/>
        <v>0</v>
      </c>
      <c r="BM13" s="1007"/>
      <c r="BN13" s="840"/>
      <c r="BO13" s="1481">
        <f t="shared" ca="1" si="20"/>
        <v>0</v>
      </c>
      <c r="BP13" s="1482">
        <f t="shared" ca="1" si="20"/>
        <v>0</v>
      </c>
      <c r="BQ13" s="1482">
        <f t="shared" ca="1" si="20"/>
        <v>0</v>
      </c>
      <c r="BR13" s="1482">
        <f t="shared" ca="1" si="20"/>
        <v>0</v>
      </c>
      <c r="BS13" s="1482">
        <f t="shared" ca="1" si="20"/>
        <v>0</v>
      </c>
      <c r="BT13" s="1482">
        <f t="shared" ca="1" si="20"/>
        <v>0</v>
      </c>
      <c r="BU13" s="1482">
        <f t="shared" ca="1" si="20"/>
        <v>0</v>
      </c>
      <c r="BV13" s="1482">
        <f t="shared" ca="1" si="20"/>
        <v>0</v>
      </c>
      <c r="BW13" s="1482">
        <f t="shared" ca="1" si="20"/>
        <v>0</v>
      </c>
      <c r="BX13" s="1482">
        <f t="shared" ca="1" si="20"/>
        <v>0</v>
      </c>
      <c r="BY13" s="1482">
        <f t="shared" ca="1" si="21"/>
        <v>0</v>
      </c>
      <c r="BZ13" s="1482">
        <f t="shared" ca="1" si="21"/>
        <v>0</v>
      </c>
      <c r="CA13" s="1482">
        <f t="shared" ca="1" si="21"/>
        <v>0</v>
      </c>
      <c r="CB13" s="1482">
        <f t="shared" ca="1" si="21"/>
        <v>0</v>
      </c>
      <c r="CC13" s="1482">
        <f t="shared" ca="1" si="21"/>
        <v>0</v>
      </c>
      <c r="CD13" s="1482">
        <f t="shared" ca="1" si="21"/>
        <v>0</v>
      </c>
      <c r="CE13" s="1482">
        <f t="shared" ca="1" si="21"/>
        <v>0</v>
      </c>
      <c r="CF13" s="1482">
        <f t="shared" ca="1" si="21"/>
        <v>0</v>
      </c>
      <c r="CG13" s="1482">
        <f t="shared" ca="1" si="21"/>
        <v>0</v>
      </c>
      <c r="CH13" s="1482">
        <f t="shared" ca="1" si="21"/>
        <v>0</v>
      </c>
      <c r="CI13" s="1482">
        <f t="shared" ca="1" si="22"/>
        <v>0</v>
      </c>
      <c r="CJ13" s="1482">
        <f t="shared" ca="1" si="22"/>
        <v>0</v>
      </c>
      <c r="CK13" s="1482">
        <f t="shared" ca="1" si="22"/>
        <v>0</v>
      </c>
      <c r="CL13" s="1482">
        <f t="shared" ca="1" si="22"/>
        <v>0</v>
      </c>
      <c r="CM13" s="1482">
        <f t="shared" ca="1" si="22"/>
        <v>0</v>
      </c>
      <c r="CN13" s="1482">
        <f t="shared" ca="1" si="22"/>
        <v>0</v>
      </c>
      <c r="CO13" s="1482">
        <f t="shared" ca="1" si="22"/>
        <v>0</v>
      </c>
      <c r="CP13" s="1482">
        <f t="shared" ca="1" si="22"/>
        <v>0</v>
      </c>
      <c r="CQ13" s="1482">
        <f t="shared" ca="1" si="22"/>
        <v>0</v>
      </c>
      <c r="CR13" s="1482">
        <f t="shared" ca="1" si="22"/>
        <v>0</v>
      </c>
      <c r="CS13" s="1482">
        <f t="shared" ca="1" si="23"/>
        <v>0</v>
      </c>
      <c r="CT13" s="1482">
        <f t="shared" ca="1" si="23"/>
        <v>0</v>
      </c>
      <c r="CU13" s="1482">
        <f t="shared" ca="1" si="23"/>
        <v>0</v>
      </c>
      <c r="CV13" s="1482">
        <f t="shared" ca="1" si="23"/>
        <v>0</v>
      </c>
      <c r="CW13" s="1482">
        <f t="shared" ca="1" si="23"/>
        <v>0</v>
      </c>
      <c r="CX13" s="1482">
        <f t="shared" ca="1" si="23"/>
        <v>0</v>
      </c>
      <c r="CY13" s="1482">
        <f t="shared" ca="1" si="23"/>
        <v>0</v>
      </c>
      <c r="CZ13" s="1482">
        <f t="shared" ca="1" si="23"/>
        <v>0</v>
      </c>
      <c r="DA13" s="1482">
        <f t="shared" ca="1" si="23"/>
        <v>0</v>
      </c>
      <c r="DB13" s="1482">
        <f t="shared" ca="1" si="23"/>
        <v>0</v>
      </c>
      <c r="DC13" s="1482">
        <f t="shared" ca="1" si="23"/>
        <v>0</v>
      </c>
      <c r="DD13" s="1482">
        <f t="shared" ca="1" si="23"/>
        <v>0</v>
      </c>
      <c r="DE13" s="1482">
        <f t="shared" ca="1" si="23"/>
        <v>0</v>
      </c>
      <c r="DF13" s="1482">
        <f t="shared" ca="1" si="23"/>
        <v>0</v>
      </c>
      <c r="DH13" s="838"/>
    </row>
    <row r="14" spans="1:112" s="743" customFormat="1" ht="12.75" hidden="1" customHeight="1" outlineLevel="1">
      <c r="A14" s="1484"/>
      <c r="B14" s="1484"/>
      <c r="C14" s="746"/>
      <c r="D14" s="1010" t="s">
        <v>948</v>
      </c>
      <c r="E14" s="1010"/>
      <c r="G14" s="1020">
        <f ca="1">SUM(G12:G13)</f>
        <v>147.9743955514835</v>
      </c>
      <c r="H14" s="1020">
        <f t="shared" ref="H14:P14" ca="1" si="24">SUM(H12:H13)</f>
        <v>0</v>
      </c>
      <c r="I14" s="1020">
        <f t="shared" ca="1" si="24"/>
        <v>0</v>
      </c>
      <c r="J14" s="1020">
        <f t="shared" ca="1" si="24"/>
        <v>0</v>
      </c>
      <c r="K14" s="1020">
        <f t="shared" ca="1" si="24"/>
        <v>0</v>
      </c>
      <c r="L14" s="1020">
        <f t="shared" ca="1" si="24"/>
        <v>0</v>
      </c>
      <c r="M14" s="1020">
        <f t="shared" ca="1" si="24"/>
        <v>0</v>
      </c>
      <c r="N14" s="1020">
        <f t="shared" ca="1" si="24"/>
        <v>0</v>
      </c>
      <c r="O14" s="1020">
        <f t="shared" ca="1" si="24"/>
        <v>0</v>
      </c>
      <c r="P14" s="1020">
        <f t="shared" ca="1" si="24"/>
        <v>0</v>
      </c>
      <c r="Q14" s="1020">
        <f t="shared" ca="1" si="1"/>
        <v>147.9743955514835</v>
      </c>
      <c r="S14" s="1030">
        <f t="shared" ref="S14:AJ14" ca="1" si="25">SUM(S12:S13)</f>
        <v>-29.8685026844813</v>
      </c>
      <c r="T14" s="1030">
        <f t="shared" ca="1" si="25"/>
        <v>0</v>
      </c>
      <c r="U14" s="1030">
        <f t="shared" ca="1" si="25"/>
        <v>0</v>
      </c>
      <c r="V14" s="1030">
        <f t="shared" ca="1" si="25"/>
        <v>-2.0201266217880871</v>
      </c>
      <c r="W14" s="1030">
        <f t="shared" ca="1" si="25"/>
        <v>-116.0857662452141</v>
      </c>
      <c r="X14" s="1030">
        <f ca="1">SUM(X12:X13)</f>
        <v>0</v>
      </c>
      <c r="Y14" s="1030">
        <f ca="1">SUM(Y12:Y13)</f>
        <v>0</v>
      </c>
      <c r="Z14" s="1030">
        <f ca="1">SUM(Z12:Z13)</f>
        <v>0</v>
      </c>
      <c r="AA14" s="1030">
        <f t="shared" ca="1" si="25"/>
        <v>0</v>
      </c>
      <c r="AB14" s="1030">
        <f t="shared" ca="1" si="25"/>
        <v>0</v>
      </c>
      <c r="AC14" s="1030">
        <f t="shared" ca="1" si="25"/>
        <v>0</v>
      </c>
      <c r="AD14" s="1030">
        <f ca="1">SUM(AD12:AD13)</f>
        <v>0</v>
      </c>
      <c r="AE14" s="1030">
        <f ca="1">SUM(AE12:AE13)</f>
        <v>0</v>
      </c>
      <c r="AF14" s="1030">
        <f t="shared" ca="1" si="25"/>
        <v>0</v>
      </c>
      <c r="AG14" s="1030">
        <f ca="1">SUM(AG12:AG13)</f>
        <v>0</v>
      </c>
      <c r="AH14" s="1030">
        <f ca="1">SUM(AH12:AH13)</f>
        <v>0</v>
      </c>
      <c r="AI14" s="1030">
        <f ca="1">SUM(AI12:AI13)</f>
        <v>0</v>
      </c>
      <c r="AJ14" s="1030">
        <f t="shared" ca="1" si="25"/>
        <v>0</v>
      </c>
      <c r="AK14" s="1030">
        <f t="shared" ca="1" si="4"/>
        <v>-147.9743955514835</v>
      </c>
      <c r="AM14" s="1041">
        <f t="shared" ref="AM14:AS14" ca="1" si="26">SUM(AM12:AM13)</f>
        <v>0</v>
      </c>
      <c r="AN14" s="1041">
        <f t="shared" ca="1" si="26"/>
        <v>0</v>
      </c>
      <c r="AO14" s="1041">
        <f t="shared" ca="1" si="26"/>
        <v>0</v>
      </c>
      <c r="AP14" s="1041">
        <f t="shared" ca="1" si="26"/>
        <v>0</v>
      </c>
      <c r="AQ14" s="1041">
        <f t="shared" ca="1" si="26"/>
        <v>0</v>
      </c>
      <c r="AR14" s="1041">
        <f t="shared" ca="1" si="26"/>
        <v>0</v>
      </c>
      <c r="AS14" s="1041">
        <f t="shared" ca="1" si="26"/>
        <v>0</v>
      </c>
      <c r="AT14" s="1041">
        <f t="shared" ref="AT14:BE14" ca="1" si="27">SUM(AT12:AT13)</f>
        <v>0</v>
      </c>
      <c r="AU14" s="1041">
        <f t="shared" ca="1" si="27"/>
        <v>0</v>
      </c>
      <c r="AV14" s="1041">
        <f t="shared" ca="1" si="27"/>
        <v>0</v>
      </c>
      <c r="AW14" s="1041">
        <f t="shared" ca="1" si="27"/>
        <v>0</v>
      </c>
      <c r="AX14" s="1041">
        <f t="shared" ca="1" si="27"/>
        <v>0</v>
      </c>
      <c r="AY14" s="1041">
        <f t="shared" ca="1" si="27"/>
        <v>0</v>
      </c>
      <c r="AZ14" s="1041">
        <f t="shared" ca="1" si="27"/>
        <v>0</v>
      </c>
      <c r="BA14" s="1041">
        <f t="shared" ca="1" si="27"/>
        <v>0</v>
      </c>
      <c r="BB14" s="1041">
        <f t="shared" ca="1" si="27"/>
        <v>0</v>
      </c>
      <c r="BC14" s="1041">
        <f t="shared" ca="1" si="27"/>
        <v>0</v>
      </c>
      <c r="BD14" s="1041">
        <f t="shared" ca="1" si="27"/>
        <v>0</v>
      </c>
      <c r="BE14" s="1041">
        <f t="shared" ca="1" si="27"/>
        <v>0</v>
      </c>
      <c r="BF14" s="1012">
        <f t="shared" ca="1" si="6"/>
        <v>0</v>
      </c>
      <c r="BH14" s="1035">
        <f ca="1">SUM(BH12:BH13)</f>
        <v>0</v>
      </c>
      <c r="BI14" s="1035">
        <f ca="1">SUM(BI12:BI13)</f>
        <v>0</v>
      </c>
      <c r="BJ14" s="1035">
        <f t="shared" ca="1" si="8"/>
        <v>0</v>
      </c>
      <c r="BL14" s="814">
        <f t="shared" ca="1" si="9"/>
        <v>0</v>
      </c>
      <c r="BM14" s="814"/>
      <c r="BN14" s="840"/>
      <c r="BO14" s="1485">
        <f t="shared" ref="BO14:DF14" ca="1" si="28">SUM(BO12:BO13)</f>
        <v>21.864812644566413</v>
      </c>
      <c r="BP14" s="1486">
        <f t="shared" ca="1" si="28"/>
        <v>4.34441381429264E-2</v>
      </c>
      <c r="BQ14" s="1486">
        <f t="shared" ca="1" si="28"/>
        <v>5.5136572465139151E-2</v>
      </c>
      <c r="BR14" s="1486">
        <f t="shared" ca="1" si="28"/>
        <v>0</v>
      </c>
      <c r="BS14" s="1486">
        <f t="shared" ca="1" si="28"/>
        <v>0</v>
      </c>
      <c r="BT14" s="1486">
        <f t="shared" ca="1" si="28"/>
        <v>0</v>
      </c>
      <c r="BU14" s="1486">
        <f t="shared" ca="1" si="28"/>
        <v>0</v>
      </c>
      <c r="BV14" s="1486">
        <f t="shared" ca="1" si="28"/>
        <v>0</v>
      </c>
      <c r="BW14" s="1486">
        <f t="shared" ca="1" si="28"/>
        <v>0</v>
      </c>
      <c r="BX14" s="1486">
        <f t="shared" ca="1" si="28"/>
        <v>0</v>
      </c>
      <c r="BY14" s="1486">
        <f t="shared" ca="1" si="28"/>
        <v>0</v>
      </c>
      <c r="BZ14" s="1486">
        <f t="shared" ca="1" si="28"/>
        <v>0</v>
      </c>
      <c r="CA14" s="1486">
        <f t="shared" ca="1" si="28"/>
        <v>0</v>
      </c>
      <c r="CB14" s="1486">
        <f t="shared" ca="1" si="28"/>
        <v>0</v>
      </c>
      <c r="CC14" s="1486">
        <f t="shared" ca="1" si="28"/>
        <v>0</v>
      </c>
      <c r="CD14" s="1486">
        <f t="shared" ca="1" si="28"/>
        <v>0</v>
      </c>
      <c r="CE14" s="1486">
        <f t="shared" ca="1" si="28"/>
        <v>0</v>
      </c>
      <c r="CF14" s="1486">
        <f t="shared" ca="1" si="28"/>
        <v>0</v>
      </c>
      <c r="CG14" s="1486">
        <f t="shared" ca="1" si="28"/>
        <v>0</v>
      </c>
      <c r="CH14" s="1486">
        <f t="shared" ca="1" si="28"/>
        <v>0</v>
      </c>
      <c r="CI14" s="1486">
        <f t="shared" ca="1" si="28"/>
        <v>0</v>
      </c>
      <c r="CJ14" s="1486">
        <f t="shared" ca="1" si="28"/>
        <v>0</v>
      </c>
      <c r="CK14" s="1486">
        <f t="shared" ca="1" si="28"/>
        <v>0</v>
      </c>
      <c r="CL14" s="1486">
        <f t="shared" ca="1" si="28"/>
        <v>0</v>
      </c>
      <c r="CM14" s="1486">
        <f t="shared" ca="1" si="28"/>
        <v>0</v>
      </c>
      <c r="CN14" s="1486">
        <f t="shared" ca="1" si="28"/>
        <v>0</v>
      </c>
      <c r="CO14" s="1486">
        <f t="shared" ca="1" si="28"/>
        <v>0</v>
      </c>
      <c r="CP14" s="1486">
        <f t="shared" ca="1" si="28"/>
        <v>0</v>
      </c>
      <c r="CQ14" s="1486">
        <f t="shared" ca="1" si="28"/>
        <v>0</v>
      </c>
      <c r="CR14" s="1486">
        <f t="shared" ca="1" si="28"/>
        <v>0</v>
      </c>
      <c r="CS14" s="1486">
        <f t="shared" ca="1" si="28"/>
        <v>0</v>
      </c>
      <c r="CT14" s="1486">
        <f t="shared" ca="1" si="28"/>
        <v>0</v>
      </c>
      <c r="CU14" s="1486">
        <f t="shared" ca="1" si="28"/>
        <v>0</v>
      </c>
      <c r="CV14" s="1486">
        <f t="shared" ca="1" si="28"/>
        <v>0</v>
      </c>
      <c r="CW14" s="1486">
        <f t="shared" ca="1" si="28"/>
        <v>0</v>
      </c>
      <c r="CX14" s="1486">
        <f t="shared" ca="1" si="28"/>
        <v>0</v>
      </c>
      <c r="CY14" s="1486">
        <f t="shared" ca="1" si="28"/>
        <v>0</v>
      </c>
      <c r="CZ14" s="1486">
        <f t="shared" ca="1" si="28"/>
        <v>0</v>
      </c>
      <c r="DA14" s="1486">
        <f t="shared" ca="1" si="28"/>
        <v>0</v>
      </c>
      <c r="DB14" s="1486">
        <f t="shared" ca="1" si="28"/>
        <v>0</v>
      </c>
      <c r="DC14" s="1486">
        <f t="shared" ca="1" si="28"/>
        <v>0</v>
      </c>
      <c r="DD14" s="1486">
        <f t="shared" ca="1" si="28"/>
        <v>0</v>
      </c>
      <c r="DE14" s="1486">
        <f t="shared" ca="1" si="28"/>
        <v>0</v>
      </c>
      <c r="DF14" s="1486">
        <f t="shared" ca="1" si="28"/>
        <v>0</v>
      </c>
      <c r="DH14" s="838"/>
    </row>
    <row r="15" spans="1:112" s="743" customFormat="1" ht="15.75" collapsed="1">
      <c r="A15" s="22"/>
      <c r="B15" s="753"/>
      <c r="C15" s="744" t="s">
        <v>676</v>
      </c>
      <c r="D15" s="517" t="str">
        <f>INDEX(Workstreams[Workstream], MATCH($C15, Workstreams[Code], 0))</f>
        <v>Heating</v>
      </c>
      <c r="E15" s="512"/>
      <c r="G15" s="1021">
        <f t="shared" ref="G15:P15" ca="1" si="29">G14+G11</f>
        <v>673.79296204551042</v>
      </c>
      <c r="H15" s="1021">
        <f t="shared" ca="1" si="29"/>
        <v>0</v>
      </c>
      <c r="I15" s="1021">
        <f t="shared" ca="1" si="29"/>
        <v>0</v>
      </c>
      <c r="J15" s="1021">
        <f t="shared" ca="1" si="29"/>
        <v>0</v>
      </c>
      <c r="K15" s="1021">
        <f t="shared" ca="1" si="29"/>
        <v>0</v>
      </c>
      <c r="L15" s="1021">
        <f t="shared" ca="1" si="29"/>
        <v>0</v>
      </c>
      <c r="M15" s="1021">
        <f t="shared" ca="1" si="29"/>
        <v>0</v>
      </c>
      <c r="N15" s="1021">
        <f t="shared" ca="1" si="29"/>
        <v>0</v>
      </c>
      <c r="O15" s="1021">
        <f t="shared" ca="1" si="29"/>
        <v>0</v>
      </c>
      <c r="P15" s="1021">
        <f t="shared" ca="1" si="29"/>
        <v>0</v>
      </c>
      <c r="Q15" s="1021">
        <f t="shared" ca="1" si="1"/>
        <v>673.79296204551042</v>
      </c>
      <c r="S15" s="970">
        <f t="shared" ref="S15:Z15" ca="1" si="30">S14+S11</f>
        <v>-79.988076049972989</v>
      </c>
      <c r="T15" s="970">
        <f t="shared" ca="1" si="30"/>
        <v>0</v>
      </c>
      <c r="U15" s="970">
        <f t="shared" ca="1" si="30"/>
        <v>-4.7181460500666326</v>
      </c>
      <c r="V15" s="970">
        <f t="shared" ca="1" si="30"/>
        <v>-6.2518658625694989</v>
      </c>
      <c r="W15" s="970">
        <f t="shared" ca="1" si="30"/>
        <v>-582.83487408290125</v>
      </c>
      <c r="X15" s="970">
        <f t="shared" ca="1" si="30"/>
        <v>0</v>
      </c>
      <c r="Y15" s="970">
        <f t="shared" ca="1" si="30"/>
        <v>0</v>
      </c>
      <c r="Z15" s="970">
        <f t="shared" ca="1" si="30"/>
        <v>0</v>
      </c>
      <c r="AA15" s="970">
        <f t="shared" ref="AA15:AJ15" ca="1" si="31">AA14+AA11</f>
        <v>0</v>
      </c>
      <c r="AB15" s="970">
        <f t="shared" ca="1" si="31"/>
        <v>0</v>
      </c>
      <c r="AC15" s="970">
        <f t="shared" ca="1" si="31"/>
        <v>0</v>
      </c>
      <c r="AD15" s="970">
        <f ca="1">AD14+AD11</f>
        <v>0</v>
      </c>
      <c r="AE15" s="970">
        <f ca="1">AE14+AE11</f>
        <v>0</v>
      </c>
      <c r="AF15" s="970">
        <f t="shared" ca="1" si="31"/>
        <v>0</v>
      </c>
      <c r="AG15" s="970">
        <f ca="1">AG14+AG11</f>
        <v>0</v>
      </c>
      <c r="AH15" s="970">
        <f ca="1">AH14+AH11</f>
        <v>0</v>
      </c>
      <c r="AI15" s="970">
        <f ca="1">AI14+AI11</f>
        <v>0</v>
      </c>
      <c r="AJ15" s="970">
        <f t="shared" ca="1" si="31"/>
        <v>0</v>
      </c>
      <c r="AK15" s="970">
        <f t="shared" ca="1" si="4"/>
        <v>-673.79296204551042</v>
      </c>
      <c r="AM15" s="976">
        <f t="shared" ref="AM15:AS15" ca="1" si="32">AM14+AM11</f>
        <v>0</v>
      </c>
      <c r="AN15" s="976">
        <f t="shared" ca="1" si="32"/>
        <v>0</v>
      </c>
      <c r="AO15" s="976">
        <f t="shared" ca="1" si="32"/>
        <v>0</v>
      </c>
      <c r="AP15" s="976">
        <f t="shared" ca="1" si="32"/>
        <v>0</v>
      </c>
      <c r="AQ15" s="976">
        <f t="shared" ca="1" si="32"/>
        <v>0</v>
      </c>
      <c r="AR15" s="976">
        <f t="shared" ca="1" si="32"/>
        <v>0</v>
      </c>
      <c r="AS15" s="976">
        <f t="shared" ca="1" si="32"/>
        <v>0</v>
      </c>
      <c r="AT15" s="976">
        <f t="shared" ref="AT15:BE15" ca="1" si="33">AT14+AT11</f>
        <v>0</v>
      </c>
      <c r="AU15" s="976">
        <f t="shared" ca="1" si="33"/>
        <v>0</v>
      </c>
      <c r="AV15" s="976">
        <f t="shared" ca="1" si="33"/>
        <v>0</v>
      </c>
      <c r="AW15" s="976">
        <f t="shared" ca="1" si="33"/>
        <v>0</v>
      </c>
      <c r="AX15" s="976">
        <f t="shared" ca="1" si="33"/>
        <v>0</v>
      </c>
      <c r="AY15" s="976">
        <f t="shared" ca="1" si="33"/>
        <v>0</v>
      </c>
      <c r="AZ15" s="976">
        <f t="shared" ca="1" si="33"/>
        <v>0</v>
      </c>
      <c r="BA15" s="976">
        <f t="shared" ca="1" si="33"/>
        <v>0</v>
      </c>
      <c r="BB15" s="976">
        <f t="shared" ca="1" si="33"/>
        <v>0</v>
      </c>
      <c r="BC15" s="976">
        <f t="shared" ca="1" si="33"/>
        <v>0</v>
      </c>
      <c r="BD15" s="976">
        <f t="shared" ca="1" si="33"/>
        <v>0</v>
      </c>
      <c r="BE15" s="976">
        <f t="shared" ca="1" si="33"/>
        <v>0</v>
      </c>
      <c r="BF15" s="976">
        <f t="shared" ca="1" si="6"/>
        <v>0</v>
      </c>
      <c r="BH15" s="990">
        <f ca="1">BH14+BH11</f>
        <v>0</v>
      </c>
      <c r="BI15" s="990">
        <f ca="1">BI14+BI11</f>
        <v>0</v>
      </c>
      <c r="BJ15" s="990">
        <f t="shared" ca="1" si="8"/>
        <v>0</v>
      </c>
      <c r="BL15" s="515">
        <f t="shared" ca="1" si="9"/>
        <v>0</v>
      </c>
      <c r="BM15" s="515"/>
      <c r="BN15" s="840"/>
      <c r="BO15" s="1482">
        <f t="shared" ref="BO15:DF15" ca="1" si="34">BO14+BO11</f>
        <v>110.25777228031671</v>
      </c>
      <c r="BP15" s="1482">
        <f t="shared" ca="1" si="34"/>
        <v>0.22117911944080348</v>
      </c>
      <c r="BQ15" s="1482">
        <f t="shared" ca="1" si="34"/>
        <v>0.2721986063716984</v>
      </c>
      <c r="BR15" s="1482">
        <f t="shared" ca="1" si="34"/>
        <v>0</v>
      </c>
      <c r="BS15" s="1482">
        <f t="shared" ca="1" si="34"/>
        <v>0</v>
      </c>
      <c r="BT15" s="1482">
        <f t="shared" ca="1" si="34"/>
        <v>0</v>
      </c>
      <c r="BU15" s="1482">
        <f t="shared" ca="1" si="34"/>
        <v>0</v>
      </c>
      <c r="BV15" s="1482">
        <f t="shared" ca="1" si="34"/>
        <v>0</v>
      </c>
      <c r="BW15" s="1482">
        <f t="shared" ca="1" si="34"/>
        <v>0</v>
      </c>
      <c r="BX15" s="1482">
        <f t="shared" ca="1" si="34"/>
        <v>0</v>
      </c>
      <c r="BY15" s="1482">
        <f t="shared" ca="1" si="34"/>
        <v>0</v>
      </c>
      <c r="BZ15" s="1482">
        <f t="shared" ca="1" si="34"/>
        <v>0</v>
      </c>
      <c r="CA15" s="1482">
        <f t="shared" ca="1" si="34"/>
        <v>0</v>
      </c>
      <c r="CB15" s="1482">
        <f t="shared" ca="1" si="34"/>
        <v>0</v>
      </c>
      <c r="CC15" s="1482">
        <f t="shared" ca="1" si="34"/>
        <v>0</v>
      </c>
      <c r="CD15" s="1482">
        <f t="shared" ca="1" si="34"/>
        <v>0</v>
      </c>
      <c r="CE15" s="1482">
        <f t="shared" ca="1" si="34"/>
        <v>0</v>
      </c>
      <c r="CF15" s="1482">
        <f t="shared" ca="1" si="34"/>
        <v>0</v>
      </c>
      <c r="CG15" s="1482">
        <f t="shared" ca="1" si="34"/>
        <v>0</v>
      </c>
      <c r="CH15" s="1482">
        <f t="shared" ca="1" si="34"/>
        <v>0</v>
      </c>
      <c r="CI15" s="1482">
        <f t="shared" ca="1" si="34"/>
        <v>0</v>
      </c>
      <c r="CJ15" s="1482">
        <f t="shared" ca="1" si="34"/>
        <v>0</v>
      </c>
      <c r="CK15" s="1482">
        <f t="shared" ca="1" si="34"/>
        <v>0</v>
      </c>
      <c r="CL15" s="1482">
        <f t="shared" ca="1" si="34"/>
        <v>0</v>
      </c>
      <c r="CM15" s="1482">
        <f t="shared" ca="1" si="34"/>
        <v>0</v>
      </c>
      <c r="CN15" s="1482">
        <f t="shared" ca="1" si="34"/>
        <v>0</v>
      </c>
      <c r="CO15" s="1482">
        <f t="shared" ca="1" si="34"/>
        <v>0</v>
      </c>
      <c r="CP15" s="1482">
        <f t="shared" ca="1" si="34"/>
        <v>0</v>
      </c>
      <c r="CQ15" s="1482">
        <f t="shared" ca="1" si="34"/>
        <v>0</v>
      </c>
      <c r="CR15" s="1482">
        <f t="shared" ca="1" si="34"/>
        <v>0</v>
      </c>
      <c r="CS15" s="1482">
        <f t="shared" ca="1" si="34"/>
        <v>0</v>
      </c>
      <c r="CT15" s="1482">
        <f t="shared" ca="1" si="34"/>
        <v>0</v>
      </c>
      <c r="CU15" s="1482">
        <f t="shared" ca="1" si="34"/>
        <v>0</v>
      </c>
      <c r="CV15" s="1482">
        <f t="shared" ca="1" si="34"/>
        <v>0</v>
      </c>
      <c r="CW15" s="1482">
        <f t="shared" ca="1" si="34"/>
        <v>0</v>
      </c>
      <c r="CX15" s="1482">
        <f t="shared" ca="1" si="34"/>
        <v>0</v>
      </c>
      <c r="CY15" s="1482">
        <f t="shared" ca="1" si="34"/>
        <v>0</v>
      </c>
      <c r="CZ15" s="1482">
        <f t="shared" ca="1" si="34"/>
        <v>0</v>
      </c>
      <c r="DA15" s="1482">
        <f t="shared" ca="1" si="34"/>
        <v>0</v>
      </c>
      <c r="DB15" s="1482">
        <f t="shared" ca="1" si="34"/>
        <v>0</v>
      </c>
      <c r="DC15" s="1482">
        <f t="shared" ca="1" si="34"/>
        <v>0</v>
      </c>
      <c r="DD15" s="1482">
        <f t="shared" ca="1" si="34"/>
        <v>0</v>
      </c>
      <c r="DE15" s="1482">
        <f t="shared" ca="1" si="34"/>
        <v>0</v>
      </c>
      <c r="DF15" s="1482">
        <f t="shared" ca="1" si="34"/>
        <v>0</v>
      </c>
      <c r="DH15" s="838">
        <f t="shared" ref="DH15:DH38" ca="1" si="35">SUM(BO15:DF15)</f>
        <v>110.75115000612922</v>
      </c>
    </row>
    <row r="16" spans="1:112" s="743" customFormat="1" hidden="1" outlineLevel="1">
      <c r="A16" s="1484"/>
      <c r="B16" s="1484"/>
      <c r="C16" s="746"/>
      <c r="D16" s="521"/>
      <c r="E16" s="521"/>
      <c r="G16" s="1019"/>
      <c r="H16" s="1019"/>
      <c r="I16" s="1019"/>
      <c r="J16" s="1019"/>
      <c r="K16" s="1019"/>
      <c r="L16" s="1019"/>
      <c r="M16" s="1019"/>
      <c r="N16" s="1019"/>
      <c r="O16" s="1019"/>
      <c r="P16" s="1019"/>
      <c r="Q16" s="1019"/>
      <c r="S16" s="1027"/>
      <c r="T16" s="1027"/>
      <c r="U16" s="1027"/>
      <c r="V16" s="1027"/>
      <c r="W16" s="1027"/>
      <c r="X16" s="1027"/>
      <c r="Y16" s="1027"/>
      <c r="Z16" s="1027"/>
      <c r="AA16" s="1027"/>
      <c r="AB16" s="1027"/>
      <c r="AC16" s="1027"/>
      <c r="AD16" s="1027"/>
      <c r="AE16" s="1027"/>
      <c r="AF16" s="1027"/>
      <c r="AG16" s="1027"/>
      <c r="AH16" s="1027"/>
      <c r="AI16" s="1027"/>
      <c r="AJ16" s="1027"/>
      <c r="AK16" s="1027"/>
      <c r="AM16" s="1040"/>
      <c r="AN16" s="1040"/>
      <c r="AO16" s="1040"/>
      <c r="AP16" s="1040"/>
      <c r="AQ16" s="1040"/>
      <c r="AR16" s="1040"/>
      <c r="AS16" s="1040"/>
      <c r="AT16" s="1040"/>
      <c r="AU16" s="1040"/>
      <c r="AV16" s="1040"/>
      <c r="AW16" s="1040"/>
      <c r="AX16" s="1040"/>
      <c r="AY16" s="1040"/>
      <c r="AZ16" s="1040"/>
      <c r="BA16" s="1040"/>
      <c r="BB16" s="1040"/>
      <c r="BC16" s="1040"/>
      <c r="BD16" s="1040"/>
      <c r="BE16" s="1040"/>
      <c r="BF16" s="979"/>
      <c r="BH16" s="1034"/>
      <c r="BI16" s="1034"/>
      <c r="BJ16" s="1034"/>
      <c r="BL16" s="814">
        <f t="shared" si="9"/>
        <v>0</v>
      </c>
      <c r="BM16" s="814"/>
      <c r="BN16" s="1484"/>
      <c r="BO16" s="1481"/>
      <c r="BP16" s="1482"/>
      <c r="BQ16" s="1482"/>
      <c r="BR16" s="1482"/>
      <c r="BS16" s="1482"/>
      <c r="BT16" s="1482"/>
      <c r="BU16" s="1482"/>
      <c r="BV16" s="1482"/>
      <c r="BW16" s="1482"/>
      <c r="BX16" s="1482"/>
      <c r="BY16" s="1482"/>
      <c r="BZ16" s="1482"/>
      <c r="CA16" s="1482"/>
      <c r="CB16" s="1482"/>
      <c r="CC16" s="1482"/>
      <c r="CD16" s="1482"/>
      <c r="CE16" s="1482"/>
      <c r="CF16" s="1482"/>
      <c r="CG16" s="1482"/>
      <c r="CH16" s="1482"/>
      <c r="CI16" s="1482"/>
      <c r="CJ16" s="1482"/>
      <c r="CK16" s="1482"/>
      <c r="CL16" s="1482"/>
      <c r="CM16" s="1482"/>
      <c r="CN16" s="1482"/>
      <c r="CO16" s="1482"/>
      <c r="CP16" s="1482"/>
      <c r="CQ16" s="1482"/>
      <c r="CR16" s="1482"/>
      <c r="CS16" s="1482"/>
      <c r="CT16" s="1482"/>
      <c r="CU16" s="1482"/>
      <c r="CV16" s="1482"/>
      <c r="CW16" s="1482"/>
      <c r="CX16" s="1482"/>
      <c r="CY16" s="1482"/>
      <c r="CZ16" s="1482"/>
      <c r="DA16" s="1482"/>
      <c r="DB16" s="1482"/>
      <c r="DC16" s="1482"/>
      <c r="DD16" s="1482"/>
      <c r="DE16" s="1482"/>
      <c r="DF16" s="1482"/>
      <c r="DH16" s="838">
        <f t="shared" si="35"/>
        <v>0</v>
      </c>
    </row>
    <row r="17" spans="1:112" s="743" customFormat="1" ht="12.75" hidden="1" customHeight="1" outlineLevel="1">
      <c r="A17" s="1484"/>
      <c r="B17" s="1484"/>
      <c r="C17" s="746" t="s">
        <v>950</v>
      </c>
      <c r="D17" s="1480" t="str">
        <f>INDEX(Modules[Module], MATCH($C17, Modules[Code], 0))</f>
        <v>Domestic lighting, appliances, and cooking</v>
      </c>
      <c r="E17" s="1006"/>
      <c r="G17" s="1017">
        <f t="shared" ref="G17:P18" ca="1" si="36">IFERROR(INDEX(INDIRECT($C17&amp;".Outputs["&amp;this.Year&amp;"]"), MATCH(G$5, INDIRECT($C17&amp;".Outputs[Vector]"), 0)), 0)</f>
        <v>0</v>
      </c>
      <c r="H17" s="1017">
        <f t="shared" ca="1" si="36"/>
        <v>104.71146201375916</v>
      </c>
      <c r="I17" s="1017">
        <f t="shared" ca="1" si="36"/>
        <v>0</v>
      </c>
      <c r="J17" s="1017">
        <f t="shared" ca="1" si="36"/>
        <v>0</v>
      </c>
      <c r="K17" s="1017">
        <f t="shared" ca="1" si="36"/>
        <v>0</v>
      </c>
      <c r="L17" s="1017">
        <f t="shared" ca="1" si="36"/>
        <v>0</v>
      </c>
      <c r="M17" s="1017">
        <f t="shared" ca="1" si="36"/>
        <v>0</v>
      </c>
      <c r="N17" s="1017">
        <f t="shared" ca="1" si="36"/>
        <v>0</v>
      </c>
      <c r="O17" s="1017">
        <f t="shared" ca="1" si="36"/>
        <v>0</v>
      </c>
      <c r="P17" s="1017">
        <f t="shared" ca="1" si="36"/>
        <v>0</v>
      </c>
      <c r="Q17" s="1019">
        <f ca="1">SUM(G17:P17)</f>
        <v>104.71146201375916</v>
      </c>
      <c r="S17" s="1026">
        <f t="shared" ref="S17:BE18" ca="1" si="37">IFERROR(INDEX(INDIRECT($C17&amp;".Outputs["&amp;this.Year&amp;"]"), MATCH(S$5, INDIRECT($C17&amp;".Outputs[Vector]"), 0)), 0)</f>
        <v>-96.680012008671881</v>
      </c>
      <c r="T17" s="1026">
        <f t="shared" ca="1" si="37"/>
        <v>0</v>
      </c>
      <c r="U17" s="1026">
        <f t="shared" ca="1" si="37"/>
        <v>0</v>
      </c>
      <c r="V17" s="1026">
        <f t="shared" ca="1" si="37"/>
        <v>0</v>
      </c>
      <c r="W17" s="1026">
        <f t="shared" ca="1" si="37"/>
        <v>-8.0314500050872866</v>
      </c>
      <c r="X17" s="1026">
        <f t="shared" ref="X17:Z18" ca="1" si="38">IFERROR(INDEX(INDIRECT($C17&amp;".Outputs["&amp;this.Year&amp;"]"), MATCH(X$5, INDIRECT($C17&amp;".Outputs[Vector]"), 0)), 0)</f>
        <v>0</v>
      </c>
      <c r="Y17" s="1026">
        <f t="shared" ca="1" si="38"/>
        <v>0</v>
      </c>
      <c r="Z17" s="1026">
        <f t="shared" ca="1" si="38"/>
        <v>0</v>
      </c>
      <c r="AA17" s="1026">
        <f t="shared" ca="1" si="37"/>
        <v>0</v>
      </c>
      <c r="AB17" s="1026">
        <f t="shared" ca="1" si="37"/>
        <v>0</v>
      </c>
      <c r="AC17" s="1026">
        <f t="shared" ca="1" si="37"/>
        <v>0</v>
      </c>
      <c r="AD17" s="1026">
        <f t="shared" ca="1" si="37"/>
        <v>0</v>
      </c>
      <c r="AE17" s="1026">
        <f t="shared" ca="1" si="37"/>
        <v>0</v>
      </c>
      <c r="AF17" s="1026">
        <f t="shared" ca="1" si="37"/>
        <v>0</v>
      </c>
      <c r="AG17" s="1026">
        <f t="shared" ca="1" si="37"/>
        <v>0</v>
      </c>
      <c r="AH17" s="1026">
        <f t="shared" ca="1" si="37"/>
        <v>0</v>
      </c>
      <c r="AI17" s="1026">
        <f t="shared" ca="1" si="37"/>
        <v>0</v>
      </c>
      <c r="AJ17" s="1026">
        <f t="shared" ca="1" si="37"/>
        <v>0</v>
      </c>
      <c r="AK17" s="1027">
        <f ca="1">SUM(S17:AJ17)</f>
        <v>-104.71146201375916</v>
      </c>
      <c r="AM17" s="1038">
        <f t="shared" ref="AM17:AU18" ca="1" si="39">IFERROR(INDEX(INDIRECT($C17&amp;".Outputs["&amp;this.Year&amp;"]"), MATCH(AM$5, INDIRECT($C17&amp;".Outputs[Vector]"), 0)), 0)</f>
        <v>0</v>
      </c>
      <c r="AN17" s="1038">
        <f t="shared" ca="1" si="39"/>
        <v>0</v>
      </c>
      <c r="AO17" s="1038">
        <f t="shared" ca="1" si="39"/>
        <v>0</v>
      </c>
      <c r="AP17" s="1038">
        <f t="shared" ca="1" si="39"/>
        <v>0</v>
      </c>
      <c r="AQ17" s="1038">
        <f t="shared" ca="1" si="39"/>
        <v>0</v>
      </c>
      <c r="AR17" s="1038">
        <f t="shared" ca="1" si="39"/>
        <v>0</v>
      </c>
      <c r="AS17" s="1038">
        <f t="shared" ca="1" si="39"/>
        <v>0</v>
      </c>
      <c r="AT17" s="1038">
        <f t="shared" ca="1" si="39"/>
        <v>0</v>
      </c>
      <c r="AU17" s="1038">
        <f t="shared" ca="1" si="39"/>
        <v>0</v>
      </c>
      <c r="AV17" s="1038">
        <f t="shared" ca="1" si="37"/>
        <v>0</v>
      </c>
      <c r="AW17" s="1038">
        <f t="shared" ca="1" si="37"/>
        <v>0</v>
      </c>
      <c r="AX17" s="1038">
        <f t="shared" ca="1" si="37"/>
        <v>0</v>
      </c>
      <c r="AY17" s="1038">
        <f t="shared" ca="1" si="37"/>
        <v>0</v>
      </c>
      <c r="AZ17" s="1038">
        <f t="shared" ca="1" si="37"/>
        <v>0</v>
      </c>
      <c r="BA17" s="1038">
        <f t="shared" ca="1" si="37"/>
        <v>0</v>
      </c>
      <c r="BB17" s="1038">
        <f t="shared" ca="1" si="37"/>
        <v>0</v>
      </c>
      <c r="BC17" s="1038">
        <f t="shared" ca="1" si="37"/>
        <v>0</v>
      </c>
      <c r="BD17" s="1038">
        <f t="shared" ca="1" si="37"/>
        <v>0</v>
      </c>
      <c r="BE17" s="1038">
        <f t="shared" ca="1" si="37"/>
        <v>0</v>
      </c>
      <c r="BF17" s="979">
        <f ca="1">SUM(AM17:BE17)</f>
        <v>0</v>
      </c>
      <c r="BH17" s="1032">
        <f ca="1">IFERROR(INDEX(INDIRECT($C17&amp;".Outputs["&amp;this.Year&amp;"]"), MATCH(BH$5, INDIRECT($C17&amp;".Outputs[Vector]"), 0)), 0)</f>
        <v>0</v>
      </c>
      <c r="BI17" s="1032">
        <f ca="1">IFERROR(INDEX(INDIRECT($C17&amp;".Outputs["&amp;this.Year&amp;"]"), MATCH(BI$5, INDIRECT($C17&amp;".Outputs[Vector]"), 0)), 0)</f>
        <v>0</v>
      </c>
      <c r="BJ17" s="1034">
        <f ca="1">SUM(BH17:BI17)</f>
        <v>0</v>
      </c>
      <c r="BL17" s="814">
        <f t="shared" ca="1" si="9"/>
        <v>0</v>
      </c>
      <c r="BM17" s="814"/>
      <c r="BN17" s="840"/>
      <c r="BO17" s="1481">
        <f t="shared" ref="BO17:BX18" ca="1" si="40">IFERROR(SUMIFS(INDIRECT($C17&amp;".Emissions["&amp;this.Year&amp;"]"), INDIRECT($C17&amp;".Emissions[GHG]"), BO$6, INDIRECT($C17&amp;".Emissions[IPCC Sector]"), BO$5),0)</f>
        <v>1.4777868009360604</v>
      </c>
      <c r="BP17" s="1482">
        <f t="shared" ca="1" si="40"/>
        <v>2.9622025224271234E-3</v>
      </c>
      <c r="BQ17" s="1482">
        <f t="shared" ca="1" si="40"/>
        <v>3.1859928248847542E-3</v>
      </c>
      <c r="BR17" s="1482">
        <f t="shared" ca="1" si="40"/>
        <v>0</v>
      </c>
      <c r="BS17" s="1482">
        <f t="shared" ca="1" si="40"/>
        <v>0</v>
      </c>
      <c r="BT17" s="1482">
        <f t="shared" ca="1" si="40"/>
        <v>0</v>
      </c>
      <c r="BU17" s="1482">
        <f t="shared" ca="1" si="40"/>
        <v>0</v>
      </c>
      <c r="BV17" s="1482">
        <f t="shared" ca="1" si="40"/>
        <v>0</v>
      </c>
      <c r="BW17" s="1482">
        <f t="shared" ca="1" si="40"/>
        <v>0</v>
      </c>
      <c r="BX17" s="1482">
        <f t="shared" ca="1" si="40"/>
        <v>0</v>
      </c>
      <c r="BY17" s="1482">
        <f t="shared" ref="BY17:CH18" ca="1" si="41">IFERROR(SUMIFS(INDIRECT($C17&amp;".Emissions["&amp;this.Year&amp;"]"), INDIRECT($C17&amp;".Emissions[GHG]"), BY$6, INDIRECT($C17&amp;".Emissions[IPCC Sector]"), BY$5),0)</f>
        <v>0</v>
      </c>
      <c r="BZ17" s="1482">
        <f t="shared" ca="1" si="41"/>
        <v>0</v>
      </c>
      <c r="CA17" s="1482">
        <f t="shared" ca="1" si="41"/>
        <v>0</v>
      </c>
      <c r="CB17" s="1482">
        <f t="shared" ca="1" si="41"/>
        <v>0</v>
      </c>
      <c r="CC17" s="1482">
        <f t="shared" ca="1" si="41"/>
        <v>0</v>
      </c>
      <c r="CD17" s="1482">
        <f t="shared" ca="1" si="41"/>
        <v>0</v>
      </c>
      <c r="CE17" s="1482">
        <f t="shared" ca="1" si="41"/>
        <v>0</v>
      </c>
      <c r="CF17" s="1482">
        <f t="shared" ca="1" si="41"/>
        <v>0</v>
      </c>
      <c r="CG17" s="1482">
        <f t="shared" ca="1" si="41"/>
        <v>0</v>
      </c>
      <c r="CH17" s="1482">
        <f t="shared" ca="1" si="41"/>
        <v>0</v>
      </c>
      <c r="CI17" s="1482">
        <f t="shared" ref="CI17:CR18" ca="1" si="42">IFERROR(SUMIFS(INDIRECT($C17&amp;".Emissions["&amp;this.Year&amp;"]"), INDIRECT($C17&amp;".Emissions[GHG]"), CI$6, INDIRECT($C17&amp;".Emissions[IPCC Sector]"), CI$5),0)</f>
        <v>0</v>
      </c>
      <c r="CJ17" s="1482">
        <f t="shared" ca="1" si="42"/>
        <v>0</v>
      </c>
      <c r="CK17" s="1482">
        <f t="shared" ca="1" si="42"/>
        <v>0</v>
      </c>
      <c r="CL17" s="1482">
        <f t="shared" ca="1" si="42"/>
        <v>0</v>
      </c>
      <c r="CM17" s="1482">
        <f t="shared" ca="1" si="42"/>
        <v>0</v>
      </c>
      <c r="CN17" s="1482">
        <f t="shared" ca="1" si="42"/>
        <v>0</v>
      </c>
      <c r="CO17" s="1482">
        <f t="shared" ca="1" si="42"/>
        <v>0</v>
      </c>
      <c r="CP17" s="1482">
        <f t="shared" ca="1" si="42"/>
        <v>0</v>
      </c>
      <c r="CQ17" s="1482">
        <f t="shared" ca="1" si="42"/>
        <v>0</v>
      </c>
      <c r="CR17" s="1482">
        <f t="shared" ca="1" si="42"/>
        <v>0</v>
      </c>
      <c r="CS17" s="1482">
        <f t="shared" ref="CS17:DF18" ca="1" si="43">IFERROR(SUMIFS(INDIRECT($C17&amp;".Emissions["&amp;this.Year&amp;"]"), INDIRECT($C17&amp;".Emissions[GHG]"), CS$6, INDIRECT($C17&amp;".Emissions[IPCC Sector]"), CS$5),0)</f>
        <v>0</v>
      </c>
      <c r="CT17" s="1482">
        <f t="shared" ca="1" si="43"/>
        <v>0</v>
      </c>
      <c r="CU17" s="1482">
        <f t="shared" ca="1" si="43"/>
        <v>0</v>
      </c>
      <c r="CV17" s="1482">
        <f t="shared" ca="1" si="43"/>
        <v>0</v>
      </c>
      <c r="CW17" s="1482">
        <f t="shared" ca="1" si="43"/>
        <v>0</v>
      </c>
      <c r="CX17" s="1482">
        <f t="shared" ca="1" si="43"/>
        <v>0</v>
      </c>
      <c r="CY17" s="1482">
        <f t="shared" ca="1" si="43"/>
        <v>0</v>
      </c>
      <c r="CZ17" s="1482">
        <f t="shared" ca="1" si="43"/>
        <v>0</v>
      </c>
      <c r="DA17" s="1482">
        <f t="shared" ca="1" si="43"/>
        <v>0</v>
      </c>
      <c r="DB17" s="1482">
        <f t="shared" ca="1" si="43"/>
        <v>0</v>
      </c>
      <c r="DC17" s="1482">
        <f t="shared" ca="1" si="43"/>
        <v>0</v>
      </c>
      <c r="DD17" s="1482">
        <f t="shared" ca="1" si="43"/>
        <v>0</v>
      </c>
      <c r="DE17" s="1482">
        <f t="shared" ca="1" si="43"/>
        <v>0</v>
      </c>
      <c r="DF17" s="1482">
        <f t="shared" ca="1" si="43"/>
        <v>0</v>
      </c>
      <c r="DH17" s="838">
        <f t="shared" ca="1" si="35"/>
        <v>1.4839349962833723</v>
      </c>
    </row>
    <row r="18" spans="1:112" s="743" customFormat="1" ht="12.75" hidden="1" customHeight="1" outlineLevel="1">
      <c r="A18" s="1484"/>
      <c r="B18" s="1484"/>
      <c r="C18" s="746" t="s">
        <v>951</v>
      </c>
      <c r="D18" s="1010" t="str">
        <f>INDEX(Modules[Module], MATCH($C18, Modules[Code], 0))</f>
        <v>Commercial lighting, appliances, and catering</v>
      </c>
      <c r="E18" s="1010"/>
      <c r="G18" s="1022">
        <f t="shared" ca="1" si="36"/>
        <v>0</v>
      </c>
      <c r="H18" s="1022">
        <f t="shared" ca="1" si="36"/>
        <v>93.452614877783446</v>
      </c>
      <c r="I18" s="1022">
        <f t="shared" ca="1" si="36"/>
        <v>0</v>
      </c>
      <c r="J18" s="1022">
        <f t="shared" ca="1" si="36"/>
        <v>0</v>
      </c>
      <c r="K18" s="1022">
        <f t="shared" ca="1" si="36"/>
        <v>0</v>
      </c>
      <c r="L18" s="1022">
        <f t="shared" ca="1" si="36"/>
        <v>0</v>
      </c>
      <c r="M18" s="1022">
        <f t="shared" ca="1" si="36"/>
        <v>0</v>
      </c>
      <c r="N18" s="1022">
        <f t="shared" ca="1" si="36"/>
        <v>0</v>
      </c>
      <c r="O18" s="1022">
        <f t="shared" ca="1" si="36"/>
        <v>0</v>
      </c>
      <c r="P18" s="1022">
        <f t="shared" ca="1" si="36"/>
        <v>0</v>
      </c>
      <c r="Q18" s="1020">
        <f ca="1">SUM(G18:P18)</f>
        <v>93.452614877783446</v>
      </c>
      <c r="S18" s="1031">
        <f t="shared" ca="1" si="37"/>
        <v>-84.424440928461848</v>
      </c>
      <c r="T18" s="1031">
        <f t="shared" ca="1" si="37"/>
        <v>0</v>
      </c>
      <c r="U18" s="1031">
        <f t="shared" ca="1" si="37"/>
        <v>0</v>
      </c>
      <c r="V18" s="1031">
        <f t="shared" ca="1" si="37"/>
        <v>0</v>
      </c>
      <c r="W18" s="1031">
        <f t="shared" ca="1" si="37"/>
        <v>-9.0281739493215998</v>
      </c>
      <c r="X18" s="1031">
        <f t="shared" ca="1" si="38"/>
        <v>0</v>
      </c>
      <c r="Y18" s="1031">
        <f t="shared" ca="1" si="38"/>
        <v>0</v>
      </c>
      <c r="Z18" s="1031">
        <f t="shared" ca="1" si="38"/>
        <v>0</v>
      </c>
      <c r="AA18" s="1031">
        <f t="shared" ca="1" si="37"/>
        <v>0</v>
      </c>
      <c r="AB18" s="1031">
        <f t="shared" ca="1" si="37"/>
        <v>0</v>
      </c>
      <c r="AC18" s="1031">
        <f t="shared" ca="1" si="37"/>
        <v>0</v>
      </c>
      <c r="AD18" s="1031">
        <f t="shared" ca="1" si="37"/>
        <v>0</v>
      </c>
      <c r="AE18" s="1031">
        <f t="shared" ca="1" si="37"/>
        <v>0</v>
      </c>
      <c r="AF18" s="1031">
        <f t="shared" ca="1" si="37"/>
        <v>0</v>
      </c>
      <c r="AG18" s="1031">
        <f t="shared" ca="1" si="37"/>
        <v>0</v>
      </c>
      <c r="AH18" s="1031">
        <f t="shared" ca="1" si="37"/>
        <v>0</v>
      </c>
      <c r="AI18" s="1031">
        <f t="shared" ca="1" si="37"/>
        <v>0</v>
      </c>
      <c r="AJ18" s="1031">
        <f t="shared" ca="1" si="37"/>
        <v>0</v>
      </c>
      <c r="AK18" s="1030">
        <f ca="1">SUM(S18:AJ18)</f>
        <v>-93.452614877783446</v>
      </c>
      <c r="AM18" s="1042">
        <f t="shared" ca="1" si="39"/>
        <v>0</v>
      </c>
      <c r="AN18" s="1042">
        <f t="shared" ca="1" si="39"/>
        <v>0</v>
      </c>
      <c r="AO18" s="1042">
        <f t="shared" ca="1" si="39"/>
        <v>0</v>
      </c>
      <c r="AP18" s="1042">
        <f t="shared" ca="1" si="39"/>
        <v>0</v>
      </c>
      <c r="AQ18" s="1042">
        <f t="shared" ca="1" si="39"/>
        <v>0</v>
      </c>
      <c r="AR18" s="1042">
        <f t="shared" ca="1" si="39"/>
        <v>0</v>
      </c>
      <c r="AS18" s="1042">
        <f t="shared" ca="1" si="39"/>
        <v>0</v>
      </c>
      <c r="AT18" s="1042">
        <f t="shared" ca="1" si="39"/>
        <v>0</v>
      </c>
      <c r="AU18" s="1042">
        <f t="shared" ca="1" si="39"/>
        <v>0</v>
      </c>
      <c r="AV18" s="1042">
        <f t="shared" ca="1" si="37"/>
        <v>0</v>
      </c>
      <c r="AW18" s="1042">
        <f t="shared" ca="1" si="37"/>
        <v>0</v>
      </c>
      <c r="AX18" s="1042">
        <f t="shared" ca="1" si="37"/>
        <v>0</v>
      </c>
      <c r="AY18" s="1042">
        <f t="shared" ca="1" si="37"/>
        <v>0</v>
      </c>
      <c r="AZ18" s="1042">
        <f t="shared" ca="1" si="37"/>
        <v>0</v>
      </c>
      <c r="BA18" s="1042">
        <f t="shared" ca="1" si="37"/>
        <v>0</v>
      </c>
      <c r="BB18" s="1042">
        <f t="shared" ca="1" si="37"/>
        <v>0</v>
      </c>
      <c r="BC18" s="1042">
        <f t="shared" ca="1" si="37"/>
        <v>0</v>
      </c>
      <c r="BD18" s="1042">
        <f t="shared" ca="1" si="37"/>
        <v>0</v>
      </c>
      <c r="BE18" s="1042">
        <f t="shared" ca="1" si="37"/>
        <v>0</v>
      </c>
      <c r="BF18" s="1012">
        <f ca="1">SUM(AM18:BE18)</f>
        <v>0</v>
      </c>
      <c r="BH18" s="1036">
        <f ca="1">IFERROR(INDEX(INDIRECT($C18&amp;".Outputs["&amp;this.Year&amp;"]"), MATCH(BH$5, INDIRECT($C18&amp;".Outputs[Vector]"), 0)), 0)</f>
        <v>0</v>
      </c>
      <c r="BI18" s="1036">
        <f ca="1">IFERROR(INDEX(INDIRECT($C18&amp;".Outputs["&amp;this.Year&amp;"]"), MATCH(BI$5, INDIRECT($C18&amp;".Outputs[Vector]"), 0)), 0)</f>
        <v>0</v>
      </c>
      <c r="BJ18" s="1035">
        <f ca="1">SUM(BH18:BI18)</f>
        <v>0</v>
      </c>
      <c r="BL18" s="814">
        <f t="shared" ca="1" si="9"/>
        <v>0</v>
      </c>
      <c r="BM18" s="814"/>
      <c r="BN18" s="840"/>
      <c r="BO18" s="1485">
        <f t="shared" ca="1" si="40"/>
        <v>1.6611840066751742</v>
      </c>
      <c r="BP18" s="1486">
        <f t="shared" ca="1" si="40"/>
        <v>3.3298196002778504E-3</v>
      </c>
      <c r="BQ18" s="1486">
        <f t="shared" ca="1" si="40"/>
        <v>3.5813828643807221E-3</v>
      </c>
      <c r="BR18" s="1486">
        <f t="shared" ca="1" si="40"/>
        <v>0</v>
      </c>
      <c r="BS18" s="1486">
        <f t="shared" ca="1" si="40"/>
        <v>0</v>
      </c>
      <c r="BT18" s="1486">
        <f t="shared" ca="1" si="40"/>
        <v>0</v>
      </c>
      <c r="BU18" s="1486">
        <f t="shared" ca="1" si="40"/>
        <v>0</v>
      </c>
      <c r="BV18" s="1486">
        <f t="shared" ca="1" si="40"/>
        <v>0</v>
      </c>
      <c r="BW18" s="1486">
        <f t="shared" ca="1" si="40"/>
        <v>0</v>
      </c>
      <c r="BX18" s="1486">
        <f t="shared" ca="1" si="40"/>
        <v>0</v>
      </c>
      <c r="BY18" s="1486">
        <f t="shared" ca="1" si="41"/>
        <v>0</v>
      </c>
      <c r="BZ18" s="1486">
        <f t="shared" ca="1" si="41"/>
        <v>0</v>
      </c>
      <c r="CA18" s="1486">
        <f t="shared" ca="1" si="41"/>
        <v>0</v>
      </c>
      <c r="CB18" s="1486">
        <f t="shared" ca="1" si="41"/>
        <v>0</v>
      </c>
      <c r="CC18" s="1486">
        <f t="shared" ca="1" si="41"/>
        <v>0</v>
      </c>
      <c r="CD18" s="1486">
        <f t="shared" ca="1" si="41"/>
        <v>0</v>
      </c>
      <c r="CE18" s="1486">
        <f t="shared" ca="1" si="41"/>
        <v>0</v>
      </c>
      <c r="CF18" s="1486">
        <f t="shared" ca="1" si="41"/>
        <v>0</v>
      </c>
      <c r="CG18" s="1486">
        <f t="shared" ca="1" si="41"/>
        <v>0</v>
      </c>
      <c r="CH18" s="1486">
        <f t="shared" ca="1" si="41"/>
        <v>0</v>
      </c>
      <c r="CI18" s="1486">
        <f t="shared" ca="1" si="42"/>
        <v>0</v>
      </c>
      <c r="CJ18" s="1486">
        <f t="shared" ca="1" si="42"/>
        <v>0</v>
      </c>
      <c r="CK18" s="1486">
        <f t="shared" ca="1" si="42"/>
        <v>0</v>
      </c>
      <c r="CL18" s="1486">
        <f t="shared" ca="1" si="42"/>
        <v>0</v>
      </c>
      <c r="CM18" s="1486">
        <f t="shared" ca="1" si="42"/>
        <v>0</v>
      </c>
      <c r="CN18" s="1486">
        <f t="shared" ca="1" si="42"/>
        <v>0</v>
      </c>
      <c r="CO18" s="1486">
        <f t="shared" ca="1" si="42"/>
        <v>0</v>
      </c>
      <c r="CP18" s="1486">
        <f t="shared" ca="1" si="42"/>
        <v>0</v>
      </c>
      <c r="CQ18" s="1486">
        <f t="shared" ca="1" si="42"/>
        <v>0</v>
      </c>
      <c r="CR18" s="1486">
        <f t="shared" ca="1" si="42"/>
        <v>0</v>
      </c>
      <c r="CS18" s="1486">
        <f t="shared" ca="1" si="43"/>
        <v>0</v>
      </c>
      <c r="CT18" s="1486">
        <f t="shared" ca="1" si="43"/>
        <v>0</v>
      </c>
      <c r="CU18" s="1486">
        <f t="shared" ca="1" si="43"/>
        <v>0</v>
      </c>
      <c r="CV18" s="1486">
        <f t="shared" ca="1" si="43"/>
        <v>0</v>
      </c>
      <c r="CW18" s="1486">
        <f t="shared" ca="1" si="43"/>
        <v>0</v>
      </c>
      <c r="CX18" s="1486">
        <f t="shared" ca="1" si="43"/>
        <v>0</v>
      </c>
      <c r="CY18" s="1486">
        <f t="shared" ca="1" si="43"/>
        <v>0</v>
      </c>
      <c r="CZ18" s="1486">
        <f t="shared" ca="1" si="43"/>
        <v>0</v>
      </c>
      <c r="DA18" s="1486">
        <f t="shared" ca="1" si="43"/>
        <v>0</v>
      </c>
      <c r="DB18" s="1486">
        <f t="shared" ca="1" si="43"/>
        <v>0</v>
      </c>
      <c r="DC18" s="1486">
        <f t="shared" ca="1" si="43"/>
        <v>0</v>
      </c>
      <c r="DD18" s="1486">
        <f t="shared" ca="1" si="43"/>
        <v>0</v>
      </c>
      <c r="DE18" s="1486">
        <f t="shared" ca="1" si="43"/>
        <v>0</v>
      </c>
      <c r="DF18" s="1486">
        <f t="shared" ca="1" si="43"/>
        <v>0</v>
      </c>
      <c r="DH18" s="838">
        <f t="shared" ca="1" si="35"/>
        <v>1.6680952091398327</v>
      </c>
    </row>
    <row r="19" spans="1:112" s="743" customFormat="1" ht="15.75" collapsed="1">
      <c r="A19" s="22"/>
      <c r="B19" s="753"/>
      <c r="C19" s="744" t="s">
        <v>677</v>
      </c>
      <c r="D19" s="517" t="str">
        <f>INDEX(Workstreams[Workstream], MATCH($C19, Workstreams[Code], 0))</f>
        <v>Lighting and appliances</v>
      </c>
      <c r="E19" s="512"/>
      <c r="G19" s="1021">
        <f ca="1">G17+G18</f>
        <v>0</v>
      </c>
      <c r="H19" s="1021">
        <f t="shared" ref="H19:P19" ca="1" si="44">H17+H18</f>
        <v>198.16407689154261</v>
      </c>
      <c r="I19" s="1021">
        <f t="shared" ca="1" si="44"/>
        <v>0</v>
      </c>
      <c r="J19" s="1021">
        <f t="shared" ca="1" si="44"/>
        <v>0</v>
      </c>
      <c r="K19" s="1021">
        <f t="shared" ca="1" si="44"/>
        <v>0</v>
      </c>
      <c r="L19" s="1021">
        <f t="shared" ca="1" si="44"/>
        <v>0</v>
      </c>
      <c r="M19" s="1021">
        <f t="shared" ca="1" si="44"/>
        <v>0</v>
      </c>
      <c r="N19" s="1021">
        <f t="shared" ca="1" si="44"/>
        <v>0</v>
      </c>
      <c r="O19" s="1021">
        <f t="shared" ca="1" si="44"/>
        <v>0</v>
      </c>
      <c r="P19" s="1021">
        <f t="shared" ca="1" si="44"/>
        <v>0</v>
      </c>
      <c r="Q19" s="1021">
        <f ca="1">SUM(G19:P19)</f>
        <v>198.16407689154261</v>
      </c>
      <c r="S19" s="970">
        <f ca="1">S17+S18</f>
        <v>-181.10445293713371</v>
      </c>
      <c r="T19" s="970">
        <f t="shared" ref="T19:AJ19" ca="1" si="45">T17+T18</f>
        <v>0</v>
      </c>
      <c r="U19" s="970">
        <f t="shared" ca="1" si="45"/>
        <v>0</v>
      </c>
      <c r="V19" s="970">
        <f t="shared" ca="1" si="45"/>
        <v>0</v>
      </c>
      <c r="W19" s="970">
        <f t="shared" ca="1" si="45"/>
        <v>-17.059623954408885</v>
      </c>
      <c r="X19" s="970">
        <f ca="1">X17+X18</f>
        <v>0</v>
      </c>
      <c r="Y19" s="970">
        <f ca="1">Y17+Y18</f>
        <v>0</v>
      </c>
      <c r="Z19" s="970">
        <f ca="1">Z17+Z18</f>
        <v>0</v>
      </c>
      <c r="AA19" s="970">
        <f t="shared" ca="1" si="45"/>
        <v>0</v>
      </c>
      <c r="AB19" s="970">
        <f t="shared" ca="1" si="45"/>
        <v>0</v>
      </c>
      <c r="AC19" s="970">
        <f t="shared" ca="1" si="45"/>
        <v>0</v>
      </c>
      <c r="AD19" s="970">
        <f ca="1">AD17+AD18</f>
        <v>0</v>
      </c>
      <c r="AE19" s="970">
        <f ca="1">AE17+AE18</f>
        <v>0</v>
      </c>
      <c r="AF19" s="970">
        <f t="shared" ca="1" si="45"/>
        <v>0</v>
      </c>
      <c r="AG19" s="970">
        <f ca="1">AG17+AG18</f>
        <v>0</v>
      </c>
      <c r="AH19" s="970">
        <f ca="1">AH17+AH18</f>
        <v>0</v>
      </c>
      <c r="AI19" s="970">
        <f ca="1">AI17+AI18</f>
        <v>0</v>
      </c>
      <c r="AJ19" s="970">
        <f t="shared" ca="1" si="45"/>
        <v>0</v>
      </c>
      <c r="AK19" s="970">
        <f ca="1">SUM(S19:AJ19)</f>
        <v>-198.16407689154261</v>
      </c>
      <c r="AM19" s="976">
        <f t="shared" ref="AM19:BE19" ca="1" si="46">AM17+AM18</f>
        <v>0</v>
      </c>
      <c r="AN19" s="976">
        <f t="shared" ca="1" si="46"/>
        <v>0</v>
      </c>
      <c r="AO19" s="976">
        <f t="shared" ca="1" si="46"/>
        <v>0</v>
      </c>
      <c r="AP19" s="976">
        <f t="shared" ca="1" si="46"/>
        <v>0</v>
      </c>
      <c r="AQ19" s="976">
        <f t="shared" ca="1" si="46"/>
        <v>0</v>
      </c>
      <c r="AR19" s="976">
        <f t="shared" ca="1" si="46"/>
        <v>0</v>
      </c>
      <c r="AS19" s="976">
        <f t="shared" ca="1" si="46"/>
        <v>0</v>
      </c>
      <c r="AT19" s="976">
        <f t="shared" ca="1" si="46"/>
        <v>0</v>
      </c>
      <c r="AU19" s="976">
        <f t="shared" ca="1" si="46"/>
        <v>0</v>
      </c>
      <c r="AV19" s="976">
        <f t="shared" ca="1" si="46"/>
        <v>0</v>
      </c>
      <c r="AW19" s="976">
        <f t="shared" ca="1" si="46"/>
        <v>0</v>
      </c>
      <c r="AX19" s="976">
        <f t="shared" ca="1" si="46"/>
        <v>0</v>
      </c>
      <c r="AY19" s="976">
        <f t="shared" ca="1" si="46"/>
        <v>0</v>
      </c>
      <c r="AZ19" s="976">
        <f t="shared" ca="1" si="46"/>
        <v>0</v>
      </c>
      <c r="BA19" s="976">
        <f t="shared" ca="1" si="46"/>
        <v>0</v>
      </c>
      <c r="BB19" s="976">
        <f t="shared" ca="1" si="46"/>
        <v>0</v>
      </c>
      <c r="BC19" s="976">
        <f t="shared" ca="1" si="46"/>
        <v>0</v>
      </c>
      <c r="BD19" s="976">
        <f t="shared" ca="1" si="46"/>
        <v>0</v>
      </c>
      <c r="BE19" s="976">
        <f t="shared" ca="1" si="46"/>
        <v>0</v>
      </c>
      <c r="BF19" s="976">
        <f ca="1">SUM(AM19:BE19)</f>
        <v>0</v>
      </c>
      <c r="BH19" s="990">
        <f ca="1">BH17+BH18</f>
        <v>0</v>
      </c>
      <c r="BI19" s="990">
        <f ca="1">BI17+BI18</f>
        <v>0</v>
      </c>
      <c r="BJ19" s="990">
        <f ca="1">SUM(BH19:BI19)</f>
        <v>0</v>
      </c>
      <c r="BL19" s="515">
        <f t="shared" ca="1" si="9"/>
        <v>0</v>
      </c>
      <c r="BM19" s="515"/>
      <c r="BN19" s="840"/>
      <c r="BO19" s="1482">
        <f t="shared" ref="BO19:DF19" ca="1" si="47">BO17+BO18</f>
        <v>3.1389708076112344</v>
      </c>
      <c r="BP19" s="1482">
        <f t="shared" ca="1" si="47"/>
        <v>6.2920221227049742E-3</v>
      </c>
      <c r="BQ19" s="1482">
        <f t="shared" ca="1" si="47"/>
        <v>6.7673756892654762E-3</v>
      </c>
      <c r="BR19" s="1482">
        <f t="shared" ca="1" si="47"/>
        <v>0</v>
      </c>
      <c r="BS19" s="1482">
        <f t="shared" ca="1" si="47"/>
        <v>0</v>
      </c>
      <c r="BT19" s="1482">
        <f t="shared" ca="1" si="47"/>
        <v>0</v>
      </c>
      <c r="BU19" s="1482">
        <f t="shared" ca="1" si="47"/>
        <v>0</v>
      </c>
      <c r="BV19" s="1482">
        <f t="shared" ca="1" si="47"/>
        <v>0</v>
      </c>
      <c r="BW19" s="1482">
        <f t="shared" ca="1" si="47"/>
        <v>0</v>
      </c>
      <c r="BX19" s="1482">
        <f t="shared" ca="1" si="47"/>
        <v>0</v>
      </c>
      <c r="BY19" s="1482">
        <f t="shared" ca="1" si="47"/>
        <v>0</v>
      </c>
      <c r="BZ19" s="1482">
        <f t="shared" ca="1" si="47"/>
        <v>0</v>
      </c>
      <c r="CA19" s="1482">
        <f t="shared" ca="1" si="47"/>
        <v>0</v>
      </c>
      <c r="CB19" s="1482">
        <f t="shared" ca="1" si="47"/>
        <v>0</v>
      </c>
      <c r="CC19" s="1482">
        <f t="shared" ca="1" si="47"/>
        <v>0</v>
      </c>
      <c r="CD19" s="1482">
        <f t="shared" ca="1" si="47"/>
        <v>0</v>
      </c>
      <c r="CE19" s="1482">
        <f t="shared" ca="1" si="47"/>
        <v>0</v>
      </c>
      <c r="CF19" s="1482">
        <f t="shared" ca="1" si="47"/>
        <v>0</v>
      </c>
      <c r="CG19" s="1482">
        <f t="shared" ca="1" si="47"/>
        <v>0</v>
      </c>
      <c r="CH19" s="1482">
        <f t="shared" ca="1" si="47"/>
        <v>0</v>
      </c>
      <c r="CI19" s="1482">
        <f t="shared" ca="1" si="47"/>
        <v>0</v>
      </c>
      <c r="CJ19" s="1482">
        <f t="shared" ca="1" si="47"/>
        <v>0</v>
      </c>
      <c r="CK19" s="1482">
        <f t="shared" ca="1" si="47"/>
        <v>0</v>
      </c>
      <c r="CL19" s="1482">
        <f t="shared" ca="1" si="47"/>
        <v>0</v>
      </c>
      <c r="CM19" s="1482">
        <f t="shared" ca="1" si="47"/>
        <v>0</v>
      </c>
      <c r="CN19" s="1482">
        <f t="shared" ca="1" si="47"/>
        <v>0</v>
      </c>
      <c r="CO19" s="1482">
        <f t="shared" ca="1" si="47"/>
        <v>0</v>
      </c>
      <c r="CP19" s="1482">
        <f t="shared" ca="1" si="47"/>
        <v>0</v>
      </c>
      <c r="CQ19" s="1482">
        <f t="shared" ca="1" si="47"/>
        <v>0</v>
      </c>
      <c r="CR19" s="1482">
        <f t="shared" ca="1" si="47"/>
        <v>0</v>
      </c>
      <c r="CS19" s="1482">
        <f t="shared" ca="1" si="47"/>
        <v>0</v>
      </c>
      <c r="CT19" s="1482">
        <f t="shared" ca="1" si="47"/>
        <v>0</v>
      </c>
      <c r="CU19" s="1482">
        <f t="shared" ca="1" si="47"/>
        <v>0</v>
      </c>
      <c r="CV19" s="1482">
        <f t="shared" ca="1" si="47"/>
        <v>0</v>
      </c>
      <c r="CW19" s="1482">
        <f t="shared" ca="1" si="47"/>
        <v>0</v>
      </c>
      <c r="CX19" s="1482">
        <f t="shared" ca="1" si="47"/>
        <v>0</v>
      </c>
      <c r="CY19" s="1482">
        <f t="shared" ca="1" si="47"/>
        <v>0</v>
      </c>
      <c r="CZ19" s="1482">
        <f t="shared" ca="1" si="47"/>
        <v>0</v>
      </c>
      <c r="DA19" s="1482">
        <f t="shared" ca="1" si="47"/>
        <v>0</v>
      </c>
      <c r="DB19" s="1482">
        <f t="shared" ca="1" si="47"/>
        <v>0</v>
      </c>
      <c r="DC19" s="1482">
        <f t="shared" ca="1" si="47"/>
        <v>0</v>
      </c>
      <c r="DD19" s="1482">
        <f t="shared" ca="1" si="47"/>
        <v>0</v>
      </c>
      <c r="DE19" s="1482">
        <f t="shared" ca="1" si="47"/>
        <v>0</v>
      </c>
      <c r="DF19" s="1482">
        <f t="shared" ca="1" si="47"/>
        <v>0</v>
      </c>
      <c r="DH19" s="838">
        <f t="shared" ca="1" si="35"/>
        <v>3.152030205423205</v>
      </c>
    </row>
    <row r="20" spans="1:112" s="743" customFormat="1" ht="12.75" hidden="1" customHeight="1" outlineLevel="1">
      <c r="A20" s="1484"/>
      <c r="B20" s="1484"/>
      <c r="C20" s="746"/>
      <c r="D20" s="521"/>
      <c r="E20" s="521"/>
      <c r="G20" s="1019"/>
      <c r="H20" s="1019"/>
      <c r="I20" s="1019"/>
      <c r="J20" s="1019"/>
      <c r="K20" s="1019"/>
      <c r="L20" s="1019"/>
      <c r="M20" s="1019"/>
      <c r="N20" s="1019"/>
      <c r="O20" s="1019"/>
      <c r="P20" s="1019"/>
      <c r="Q20" s="1019"/>
      <c r="S20" s="1027"/>
      <c r="T20" s="1027"/>
      <c r="U20" s="1027"/>
      <c r="V20" s="1027"/>
      <c r="W20" s="1027"/>
      <c r="X20" s="1027"/>
      <c r="Y20" s="1027"/>
      <c r="Z20" s="1027"/>
      <c r="AA20" s="1027"/>
      <c r="AB20" s="1027"/>
      <c r="AC20" s="1027"/>
      <c r="AD20" s="1027"/>
      <c r="AE20" s="1027"/>
      <c r="AF20" s="1027"/>
      <c r="AG20" s="1027"/>
      <c r="AH20" s="1027"/>
      <c r="AI20" s="1027"/>
      <c r="AJ20" s="1027"/>
      <c r="AK20" s="1027"/>
      <c r="AM20" s="1040"/>
      <c r="AN20" s="1040"/>
      <c r="AO20" s="1040"/>
      <c r="AP20" s="1040"/>
      <c r="AQ20" s="1040"/>
      <c r="AR20" s="1040"/>
      <c r="AS20" s="1040"/>
      <c r="AT20" s="1040"/>
      <c r="AU20" s="1040"/>
      <c r="AV20" s="1040"/>
      <c r="AW20" s="1040"/>
      <c r="AX20" s="1040"/>
      <c r="AY20" s="1040"/>
      <c r="AZ20" s="1040"/>
      <c r="BA20" s="1040"/>
      <c r="BB20" s="1040"/>
      <c r="BC20" s="1040"/>
      <c r="BD20" s="1040"/>
      <c r="BE20" s="1040"/>
      <c r="BF20" s="979"/>
      <c r="BH20" s="1034"/>
      <c r="BI20" s="1034"/>
      <c r="BJ20" s="1034"/>
      <c r="BL20" s="814">
        <f t="shared" si="9"/>
        <v>0</v>
      </c>
      <c r="BM20" s="814"/>
      <c r="BN20" s="1484"/>
      <c r="BO20" s="1481"/>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H20" s="838">
        <f t="shared" si="35"/>
        <v>0</v>
      </c>
    </row>
    <row r="21" spans="1:112" s="743" customFormat="1" ht="12.75" hidden="1" customHeight="1" outlineLevel="1">
      <c r="A21" s="1484"/>
      <c r="B21" s="1484"/>
      <c r="C21" s="746" t="s">
        <v>900</v>
      </c>
      <c r="D21" s="1010" t="str">
        <f>INDEX(Modules[Module], MATCH($C21, Modules[Code], 0))</f>
        <v>Industrial processes</v>
      </c>
      <c r="E21" s="1010"/>
      <c r="G21" s="1022">
        <f t="shared" ref="G21:P21" ca="1" si="48">IFERROR(INDEX(INDIRECT($C21&amp;".Outputs["&amp;this.Year&amp;"]"), MATCH(G$5, INDIRECT($C21&amp;".Outputs[Vector]"), 0)), 0)</f>
        <v>0</v>
      </c>
      <c r="H21" s="1022">
        <f t="shared" ca="1" si="48"/>
        <v>0</v>
      </c>
      <c r="I21" s="1022">
        <f t="shared" ca="1" si="48"/>
        <v>439.96834440269697</v>
      </c>
      <c r="J21" s="1022">
        <f t="shared" ca="1" si="48"/>
        <v>0</v>
      </c>
      <c r="K21" s="1022">
        <f t="shared" ca="1" si="48"/>
        <v>0</v>
      </c>
      <c r="L21" s="1022">
        <f t="shared" ca="1" si="48"/>
        <v>0</v>
      </c>
      <c r="M21" s="1022">
        <f t="shared" ca="1" si="48"/>
        <v>0</v>
      </c>
      <c r="N21" s="1022">
        <f t="shared" ca="1" si="48"/>
        <v>0</v>
      </c>
      <c r="O21" s="1022">
        <f t="shared" ca="1" si="48"/>
        <v>0</v>
      </c>
      <c r="P21" s="1022">
        <f t="shared" ca="1" si="48"/>
        <v>0</v>
      </c>
      <c r="Q21" s="1020">
        <f ca="1">SUM(G21:P21)</f>
        <v>439.96834440269697</v>
      </c>
      <c r="S21" s="1031">
        <f t="shared" ref="S21:BE21" ca="1" si="49">IFERROR(INDEX(INDIRECT($C21&amp;".Outputs["&amp;this.Year&amp;"]"), MATCH(S$5, INDIRECT($C21&amp;".Outputs[Vector]"), 0)), 0)</f>
        <v>-123.15012245970406</v>
      </c>
      <c r="T21" s="1031">
        <f t="shared" ca="1" si="49"/>
        <v>0</v>
      </c>
      <c r="U21" s="1031">
        <f t="shared" ca="1" si="49"/>
        <v>-58.740094310131191</v>
      </c>
      <c r="V21" s="1031">
        <f t="shared" ca="1" si="49"/>
        <v>-87.887396023962168</v>
      </c>
      <c r="W21" s="1031">
        <f t="shared" ca="1" si="49"/>
        <v>-161.5691595153109</v>
      </c>
      <c r="X21" s="1031">
        <f ca="1">IFERROR(INDEX(INDIRECT($C21&amp;".Outputs["&amp;this.Year&amp;"]"), MATCH(X$5, INDIRECT($C21&amp;".Outputs[Vector]"), 0)), 0)</f>
        <v>0</v>
      </c>
      <c r="Y21" s="1031">
        <f ca="1">IFERROR(INDEX(INDIRECT($C21&amp;".Outputs["&amp;this.Year&amp;"]"), MATCH(Y$5, INDIRECT($C21&amp;".Outputs[Vector]"), 0)), 0)</f>
        <v>0</v>
      </c>
      <c r="Z21" s="1031">
        <f ca="1">IFERROR(INDEX(INDIRECT($C21&amp;".Outputs["&amp;this.Year&amp;"]"), MATCH(Z$5, INDIRECT($C21&amp;".Outputs[Vector]"), 0)), 0)</f>
        <v>0</v>
      </c>
      <c r="AA21" s="1031">
        <f t="shared" ca="1" si="49"/>
        <v>0</v>
      </c>
      <c r="AB21" s="1031">
        <f t="shared" ca="1" si="49"/>
        <v>-8.6215720935886129</v>
      </c>
      <c r="AC21" s="1031">
        <f t="shared" ca="1" si="49"/>
        <v>0</v>
      </c>
      <c r="AD21" s="1031">
        <f t="shared" ca="1" si="49"/>
        <v>0</v>
      </c>
      <c r="AE21" s="1031">
        <f t="shared" ca="1" si="49"/>
        <v>0</v>
      </c>
      <c r="AF21" s="1031">
        <f t="shared" ca="1" si="49"/>
        <v>0</v>
      </c>
      <c r="AG21" s="1031">
        <f t="shared" ca="1" si="49"/>
        <v>0</v>
      </c>
      <c r="AH21" s="1031">
        <f t="shared" ca="1" si="49"/>
        <v>0</v>
      </c>
      <c r="AI21" s="1031">
        <f t="shared" ca="1" si="49"/>
        <v>0</v>
      </c>
      <c r="AJ21" s="1031">
        <f t="shared" ca="1" si="49"/>
        <v>0</v>
      </c>
      <c r="AK21" s="1030">
        <f ca="1">SUM(S21:AJ21)</f>
        <v>-439.96834440269691</v>
      </c>
      <c r="AM21" s="1042">
        <f t="shared" ref="AM21:AU21" ca="1" si="50">IFERROR(INDEX(INDIRECT($C21&amp;".Outputs["&amp;this.Year&amp;"]"), MATCH(AM$5, INDIRECT($C21&amp;".Outputs[Vector]"), 0)), 0)</f>
        <v>0</v>
      </c>
      <c r="AN21" s="1042">
        <f t="shared" ca="1" si="50"/>
        <v>0</v>
      </c>
      <c r="AO21" s="1042">
        <f t="shared" ca="1" si="50"/>
        <v>0</v>
      </c>
      <c r="AP21" s="1042">
        <f t="shared" ca="1" si="50"/>
        <v>0</v>
      </c>
      <c r="AQ21" s="1042">
        <f t="shared" ca="1" si="50"/>
        <v>0</v>
      </c>
      <c r="AR21" s="1042">
        <f t="shared" ca="1" si="50"/>
        <v>0</v>
      </c>
      <c r="AS21" s="1042">
        <f t="shared" ca="1" si="50"/>
        <v>0</v>
      </c>
      <c r="AT21" s="1042">
        <f t="shared" ca="1" si="50"/>
        <v>0</v>
      </c>
      <c r="AU21" s="1042">
        <f t="shared" ca="1" si="50"/>
        <v>0</v>
      </c>
      <c r="AV21" s="1042">
        <f t="shared" ca="1" si="49"/>
        <v>0</v>
      </c>
      <c r="AW21" s="1042">
        <f t="shared" ca="1" si="49"/>
        <v>0</v>
      </c>
      <c r="AX21" s="1042">
        <f t="shared" ca="1" si="49"/>
        <v>0</v>
      </c>
      <c r="AY21" s="1042">
        <f t="shared" ca="1" si="49"/>
        <v>0</v>
      </c>
      <c r="AZ21" s="1042">
        <f t="shared" ca="1" si="49"/>
        <v>0</v>
      </c>
      <c r="BA21" s="1042">
        <f t="shared" ca="1" si="49"/>
        <v>0</v>
      </c>
      <c r="BB21" s="1042">
        <f t="shared" ca="1" si="49"/>
        <v>0</v>
      </c>
      <c r="BC21" s="1042">
        <f t="shared" ca="1" si="49"/>
        <v>0</v>
      </c>
      <c r="BD21" s="1042">
        <f t="shared" ca="1" si="49"/>
        <v>0</v>
      </c>
      <c r="BE21" s="1042">
        <f t="shared" ca="1" si="49"/>
        <v>0</v>
      </c>
      <c r="BF21" s="1012">
        <f ca="1">SUM(AM21:BE21)</f>
        <v>0</v>
      </c>
      <c r="BH21" s="1036">
        <f ca="1">IFERROR(INDEX(INDIRECT($C21&amp;".Outputs["&amp;this.Year&amp;"]"), MATCH(BH$5, INDIRECT($C21&amp;".Outputs[Vector]"), 0)), 0)</f>
        <v>0</v>
      </c>
      <c r="BI21" s="1036">
        <f ca="1">IFERROR(INDEX(INDIRECT($C21&amp;".Outputs["&amp;this.Year&amp;"]"), MATCH(BI$5, INDIRECT($C21&amp;".Outputs[Vector]"), 0)), 0)</f>
        <v>0</v>
      </c>
      <c r="BJ21" s="1035">
        <f ca="1">SUM(BH21:BI21)</f>
        <v>0</v>
      </c>
      <c r="BL21" s="814">
        <f t="shared" ca="1" si="9"/>
        <v>5.6843418860808015E-14</v>
      </c>
      <c r="BM21" s="814"/>
      <c r="BN21" s="840"/>
      <c r="BO21" s="1485">
        <f t="shared" ref="BO21:DF21" ca="1" si="51">IFERROR(SUMIFS(INDIRECT($C21&amp;".Emissions["&amp;this.Year&amp;"]"), INDIRECT($C21&amp;".Emissions[GHG]"), BO$6, INDIRECT($C21&amp;".Emissions[IPCC Sector]"), BO$5),0)</f>
        <v>69.792523404328151</v>
      </c>
      <c r="BP21" s="1486">
        <f t="shared" ca="1" si="51"/>
        <v>0.14009327866766813</v>
      </c>
      <c r="BQ21" s="1486">
        <f t="shared" ca="1" si="51"/>
        <v>0.61967916763900055</v>
      </c>
      <c r="BR21" s="1486">
        <f t="shared" ca="1" si="51"/>
        <v>0</v>
      </c>
      <c r="BS21" s="1486">
        <f t="shared" ca="1" si="51"/>
        <v>0</v>
      </c>
      <c r="BT21" s="1486">
        <f t="shared" ca="1" si="51"/>
        <v>0</v>
      </c>
      <c r="BU21" s="1486">
        <f t="shared" ca="1" si="51"/>
        <v>0</v>
      </c>
      <c r="BV21" s="1486">
        <f t="shared" ca="1" si="51"/>
        <v>0</v>
      </c>
      <c r="BW21" s="1486">
        <f t="shared" ca="1" si="51"/>
        <v>14.483371402442046</v>
      </c>
      <c r="BX21" s="1486">
        <f t="shared" ca="1" si="51"/>
        <v>0.11054373314941748</v>
      </c>
      <c r="BY21" s="1486">
        <f t="shared" ca="1" si="51"/>
        <v>2.7605748765693696</v>
      </c>
      <c r="BZ21" s="1486">
        <f t="shared" ca="1" si="51"/>
        <v>6.6085926650517584</v>
      </c>
      <c r="CA21" s="1486">
        <f t="shared" ca="1" si="51"/>
        <v>0</v>
      </c>
      <c r="CB21" s="1486">
        <f t="shared" ca="1" si="51"/>
        <v>0</v>
      </c>
      <c r="CC21" s="1486">
        <f t="shared" ca="1" si="51"/>
        <v>0</v>
      </c>
      <c r="CD21" s="1486">
        <f t="shared" ca="1" si="51"/>
        <v>0</v>
      </c>
      <c r="CE21" s="1486">
        <f t="shared" ca="1" si="51"/>
        <v>0</v>
      </c>
      <c r="CF21" s="1486">
        <f t="shared" ca="1" si="51"/>
        <v>0</v>
      </c>
      <c r="CG21" s="1486">
        <f t="shared" ca="1" si="51"/>
        <v>0</v>
      </c>
      <c r="CH21" s="1486">
        <f t="shared" ca="1" si="51"/>
        <v>0</v>
      </c>
      <c r="CI21" s="1486">
        <f t="shared" ca="1" si="51"/>
        <v>0</v>
      </c>
      <c r="CJ21" s="1486">
        <f t="shared" ca="1" si="51"/>
        <v>0</v>
      </c>
      <c r="CK21" s="1486">
        <f t="shared" ca="1" si="51"/>
        <v>0</v>
      </c>
      <c r="CL21" s="1486">
        <f t="shared" ca="1" si="51"/>
        <v>0</v>
      </c>
      <c r="CM21" s="1486">
        <f t="shared" ca="1" si="51"/>
        <v>0</v>
      </c>
      <c r="CN21" s="1486">
        <f t="shared" ca="1" si="51"/>
        <v>0</v>
      </c>
      <c r="CO21" s="1486">
        <f t="shared" ca="1" si="51"/>
        <v>0</v>
      </c>
      <c r="CP21" s="1486">
        <f t="shared" ca="1" si="51"/>
        <v>0</v>
      </c>
      <c r="CQ21" s="1486">
        <f t="shared" ca="1" si="51"/>
        <v>0</v>
      </c>
      <c r="CR21" s="1486">
        <f t="shared" ca="1" si="51"/>
        <v>0</v>
      </c>
      <c r="CS21" s="1486">
        <f t="shared" ca="1" si="51"/>
        <v>0</v>
      </c>
      <c r="CT21" s="1486">
        <f t="shared" ca="1" si="51"/>
        <v>0</v>
      </c>
      <c r="CU21" s="1486">
        <f t="shared" ca="1" si="51"/>
        <v>0</v>
      </c>
      <c r="CV21" s="1486">
        <f t="shared" ca="1" si="51"/>
        <v>0</v>
      </c>
      <c r="CW21" s="1486">
        <f t="shared" ca="1" si="51"/>
        <v>0</v>
      </c>
      <c r="CX21" s="1486">
        <f t="shared" ca="1" si="51"/>
        <v>0</v>
      </c>
      <c r="CY21" s="1486">
        <f t="shared" ca="1" si="51"/>
        <v>0</v>
      </c>
      <c r="CZ21" s="1486">
        <f t="shared" ca="1" si="51"/>
        <v>0</v>
      </c>
      <c r="DA21" s="1486">
        <f t="shared" ca="1" si="51"/>
        <v>0</v>
      </c>
      <c r="DB21" s="1486">
        <f t="shared" ca="1" si="51"/>
        <v>0</v>
      </c>
      <c r="DC21" s="1486">
        <f t="shared" ca="1" si="51"/>
        <v>0</v>
      </c>
      <c r="DD21" s="1486">
        <f t="shared" ca="1" si="51"/>
        <v>0</v>
      </c>
      <c r="DE21" s="1486">
        <f t="shared" ca="1" si="51"/>
        <v>0</v>
      </c>
      <c r="DF21" s="1486">
        <f t="shared" ca="1" si="51"/>
        <v>0</v>
      </c>
      <c r="DH21" s="838">
        <f t="shared" ca="1" si="35"/>
        <v>94.515378527847403</v>
      </c>
    </row>
    <row r="22" spans="1:112" s="743" customFormat="1" ht="15.75" collapsed="1">
      <c r="A22" s="22"/>
      <c r="B22" s="753"/>
      <c r="C22" s="744" t="s">
        <v>678</v>
      </c>
      <c r="D22" s="517" t="str">
        <f>INDEX(Workstreams[Workstream], MATCH($C22, Workstreams[Code], 0))</f>
        <v>Industry</v>
      </c>
      <c r="E22" s="512"/>
      <c r="G22" s="1021">
        <f ca="1">G21</f>
        <v>0</v>
      </c>
      <c r="H22" s="1021">
        <f t="shared" ref="H22:P22" ca="1" si="52">H21</f>
        <v>0</v>
      </c>
      <c r="I22" s="1021">
        <f t="shared" ca="1" si="52"/>
        <v>439.96834440269697</v>
      </c>
      <c r="J22" s="1021">
        <f t="shared" ca="1" si="52"/>
        <v>0</v>
      </c>
      <c r="K22" s="1021">
        <f t="shared" ca="1" si="52"/>
        <v>0</v>
      </c>
      <c r="L22" s="1021">
        <f t="shared" ca="1" si="52"/>
        <v>0</v>
      </c>
      <c r="M22" s="1021">
        <f t="shared" ca="1" si="52"/>
        <v>0</v>
      </c>
      <c r="N22" s="1021">
        <f t="shared" ca="1" si="52"/>
        <v>0</v>
      </c>
      <c r="O22" s="1021">
        <f t="shared" ca="1" si="52"/>
        <v>0</v>
      </c>
      <c r="P22" s="1021">
        <f t="shared" ca="1" si="52"/>
        <v>0</v>
      </c>
      <c r="Q22" s="1021">
        <f ca="1">SUM(G22:P22)</f>
        <v>439.96834440269697</v>
      </c>
      <c r="S22" s="970">
        <f t="shared" ref="S22:Z22" ca="1" si="53">S21</f>
        <v>-123.15012245970406</v>
      </c>
      <c r="T22" s="970">
        <f t="shared" ca="1" si="53"/>
        <v>0</v>
      </c>
      <c r="U22" s="970">
        <f t="shared" ca="1" si="53"/>
        <v>-58.740094310131191</v>
      </c>
      <c r="V22" s="970">
        <f t="shared" ca="1" si="53"/>
        <v>-87.887396023962168</v>
      </c>
      <c r="W22" s="970">
        <f t="shared" ca="1" si="53"/>
        <v>-161.5691595153109</v>
      </c>
      <c r="X22" s="970">
        <f t="shared" ca="1" si="53"/>
        <v>0</v>
      </c>
      <c r="Y22" s="970">
        <f t="shared" ca="1" si="53"/>
        <v>0</v>
      </c>
      <c r="Z22" s="970">
        <f t="shared" ca="1" si="53"/>
        <v>0</v>
      </c>
      <c r="AA22" s="970">
        <f t="shared" ref="AA22:AJ22" ca="1" si="54">AA21</f>
        <v>0</v>
      </c>
      <c r="AB22" s="970">
        <f t="shared" ca="1" si="54"/>
        <v>-8.6215720935886129</v>
      </c>
      <c r="AC22" s="970">
        <f t="shared" ca="1" si="54"/>
        <v>0</v>
      </c>
      <c r="AD22" s="970">
        <f ca="1">AD21</f>
        <v>0</v>
      </c>
      <c r="AE22" s="970">
        <f ca="1">AE21</f>
        <v>0</v>
      </c>
      <c r="AF22" s="970">
        <f t="shared" ca="1" si="54"/>
        <v>0</v>
      </c>
      <c r="AG22" s="970">
        <f ca="1">AG21</f>
        <v>0</v>
      </c>
      <c r="AH22" s="970">
        <f ca="1">AH21</f>
        <v>0</v>
      </c>
      <c r="AI22" s="970">
        <f ca="1">AI21</f>
        <v>0</v>
      </c>
      <c r="AJ22" s="970">
        <f t="shared" ca="1" si="54"/>
        <v>0</v>
      </c>
      <c r="AK22" s="970">
        <f ca="1">SUM(S22:AJ22)</f>
        <v>-439.96834440269691</v>
      </c>
      <c r="AM22" s="976">
        <f t="shared" ref="AM22:BE22" ca="1" si="55">AM21</f>
        <v>0</v>
      </c>
      <c r="AN22" s="976">
        <f t="shared" ca="1" si="55"/>
        <v>0</v>
      </c>
      <c r="AO22" s="976">
        <f t="shared" ca="1" si="55"/>
        <v>0</v>
      </c>
      <c r="AP22" s="976">
        <f t="shared" ca="1" si="55"/>
        <v>0</v>
      </c>
      <c r="AQ22" s="976">
        <f t="shared" ca="1" si="55"/>
        <v>0</v>
      </c>
      <c r="AR22" s="976">
        <f t="shared" ca="1" si="55"/>
        <v>0</v>
      </c>
      <c r="AS22" s="976">
        <f t="shared" ca="1" si="55"/>
        <v>0</v>
      </c>
      <c r="AT22" s="976">
        <f t="shared" ca="1" si="55"/>
        <v>0</v>
      </c>
      <c r="AU22" s="976">
        <f t="shared" ca="1" si="55"/>
        <v>0</v>
      </c>
      <c r="AV22" s="976">
        <f t="shared" ca="1" si="55"/>
        <v>0</v>
      </c>
      <c r="AW22" s="976">
        <f t="shared" ca="1" si="55"/>
        <v>0</v>
      </c>
      <c r="AX22" s="976">
        <f t="shared" ca="1" si="55"/>
        <v>0</v>
      </c>
      <c r="AY22" s="976">
        <f t="shared" ca="1" si="55"/>
        <v>0</v>
      </c>
      <c r="AZ22" s="976">
        <f t="shared" ca="1" si="55"/>
        <v>0</v>
      </c>
      <c r="BA22" s="976">
        <f t="shared" ca="1" si="55"/>
        <v>0</v>
      </c>
      <c r="BB22" s="976">
        <f t="shared" ca="1" si="55"/>
        <v>0</v>
      </c>
      <c r="BC22" s="976">
        <f t="shared" ca="1" si="55"/>
        <v>0</v>
      </c>
      <c r="BD22" s="976">
        <f t="shared" ca="1" si="55"/>
        <v>0</v>
      </c>
      <c r="BE22" s="976">
        <f t="shared" ca="1" si="55"/>
        <v>0</v>
      </c>
      <c r="BF22" s="976">
        <f ca="1">SUM(AM22:BE22)</f>
        <v>0</v>
      </c>
      <c r="BH22" s="990">
        <f ca="1">BH21</f>
        <v>0</v>
      </c>
      <c r="BI22" s="990">
        <f ca="1">BI21</f>
        <v>0</v>
      </c>
      <c r="BJ22" s="990">
        <f ca="1">SUM(BH22:BI22)</f>
        <v>0</v>
      </c>
      <c r="BL22" s="515">
        <f t="shared" ca="1" si="9"/>
        <v>5.6843418860808015E-14</v>
      </c>
      <c r="BM22" s="515"/>
      <c r="BN22" s="840"/>
      <c r="BO22" s="1482">
        <f t="shared" ref="BO22:DF22" ca="1" si="56">BO21</f>
        <v>69.792523404328151</v>
      </c>
      <c r="BP22" s="1482">
        <f t="shared" ca="1" si="56"/>
        <v>0.14009327866766813</v>
      </c>
      <c r="BQ22" s="1482">
        <f t="shared" ca="1" si="56"/>
        <v>0.61967916763900055</v>
      </c>
      <c r="BR22" s="1482">
        <f t="shared" ca="1" si="56"/>
        <v>0</v>
      </c>
      <c r="BS22" s="1482">
        <f t="shared" ca="1" si="56"/>
        <v>0</v>
      </c>
      <c r="BT22" s="1482">
        <f t="shared" ca="1" si="56"/>
        <v>0</v>
      </c>
      <c r="BU22" s="1482">
        <f t="shared" ca="1" si="56"/>
        <v>0</v>
      </c>
      <c r="BV22" s="1482">
        <f t="shared" ca="1" si="56"/>
        <v>0</v>
      </c>
      <c r="BW22" s="1482">
        <f t="shared" ca="1" si="56"/>
        <v>14.483371402442046</v>
      </c>
      <c r="BX22" s="1482">
        <f t="shared" ca="1" si="56"/>
        <v>0.11054373314941748</v>
      </c>
      <c r="BY22" s="1482">
        <f t="shared" ca="1" si="56"/>
        <v>2.7605748765693696</v>
      </c>
      <c r="BZ22" s="1482">
        <f t="shared" ca="1" si="56"/>
        <v>6.6085926650517584</v>
      </c>
      <c r="CA22" s="1482">
        <f t="shared" ca="1" si="56"/>
        <v>0</v>
      </c>
      <c r="CB22" s="1482">
        <f t="shared" ca="1" si="56"/>
        <v>0</v>
      </c>
      <c r="CC22" s="1482">
        <f t="shared" ca="1" si="56"/>
        <v>0</v>
      </c>
      <c r="CD22" s="1482">
        <f t="shared" ca="1" si="56"/>
        <v>0</v>
      </c>
      <c r="CE22" s="1482">
        <f t="shared" ca="1" si="56"/>
        <v>0</v>
      </c>
      <c r="CF22" s="1482">
        <f t="shared" ca="1" si="56"/>
        <v>0</v>
      </c>
      <c r="CG22" s="1482">
        <f t="shared" ca="1" si="56"/>
        <v>0</v>
      </c>
      <c r="CH22" s="1482">
        <f t="shared" ca="1" si="56"/>
        <v>0</v>
      </c>
      <c r="CI22" s="1482">
        <f t="shared" ca="1" si="56"/>
        <v>0</v>
      </c>
      <c r="CJ22" s="1482">
        <f t="shared" ca="1" si="56"/>
        <v>0</v>
      </c>
      <c r="CK22" s="1482">
        <f t="shared" ca="1" si="56"/>
        <v>0</v>
      </c>
      <c r="CL22" s="1482">
        <f t="shared" ca="1" si="56"/>
        <v>0</v>
      </c>
      <c r="CM22" s="1482">
        <f t="shared" ca="1" si="56"/>
        <v>0</v>
      </c>
      <c r="CN22" s="1482">
        <f t="shared" ca="1" si="56"/>
        <v>0</v>
      </c>
      <c r="CO22" s="1482">
        <f t="shared" ca="1" si="56"/>
        <v>0</v>
      </c>
      <c r="CP22" s="1482">
        <f t="shared" ca="1" si="56"/>
        <v>0</v>
      </c>
      <c r="CQ22" s="1482">
        <f t="shared" ca="1" si="56"/>
        <v>0</v>
      </c>
      <c r="CR22" s="1482">
        <f t="shared" ca="1" si="56"/>
        <v>0</v>
      </c>
      <c r="CS22" s="1482">
        <f t="shared" ca="1" si="56"/>
        <v>0</v>
      </c>
      <c r="CT22" s="1482">
        <f t="shared" ca="1" si="56"/>
        <v>0</v>
      </c>
      <c r="CU22" s="1482">
        <f t="shared" ca="1" si="56"/>
        <v>0</v>
      </c>
      <c r="CV22" s="1482">
        <f t="shared" ca="1" si="56"/>
        <v>0</v>
      </c>
      <c r="CW22" s="1482">
        <f t="shared" ca="1" si="56"/>
        <v>0</v>
      </c>
      <c r="CX22" s="1482">
        <f t="shared" ca="1" si="56"/>
        <v>0</v>
      </c>
      <c r="CY22" s="1482">
        <f t="shared" ca="1" si="56"/>
        <v>0</v>
      </c>
      <c r="CZ22" s="1482">
        <f t="shared" ca="1" si="56"/>
        <v>0</v>
      </c>
      <c r="DA22" s="1482">
        <f t="shared" ca="1" si="56"/>
        <v>0</v>
      </c>
      <c r="DB22" s="1482">
        <f t="shared" ca="1" si="56"/>
        <v>0</v>
      </c>
      <c r="DC22" s="1482">
        <f t="shared" ca="1" si="56"/>
        <v>0</v>
      </c>
      <c r="DD22" s="1482">
        <f t="shared" ca="1" si="56"/>
        <v>0</v>
      </c>
      <c r="DE22" s="1482">
        <f t="shared" ca="1" si="56"/>
        <v>0</v>
      </c>
      <c r="DF22" s="1482">
        <f t="shared" ca="1" si="56"/>
        <v>0</v>
      </c>
      <c r="DH22" s="838">
        <f t="shared" ca="1" si="35"/>
        <v>94.515378527847403</v>
      </c>
    </row>
    <row r="23" spans="1:112" s="743" customFormat="1" ht="12.75" hidden="1" customHeight="1" outlineLevel="1">
      <c r="A23" s="22"/>
      <c r="B23" s="22"/>
      <c r="C23" s="751"/>
      <c r="D23" s="512"/>
      <c r="E23" s="512"/>
      <c r="G23" s="1021"/>
      <c r="H23" s="1021"/>
      <c r="I23" s="1021"/>
      <c r="J23" s="1021"/>
      <c r="K23" s="1021"/>
      <c r="L23" s="1021"/>
      <c r="M23" s="1021"/>
      <c r="N23" s="1021"/>
      <c r="O23" s="1021"/>
      <c r="P23" s="1021"/>
      <c r="Q23" s="1021"/>
      <c r="S23" s="970"/>
      <c r="T23" s="970"/>
      <c r="U23" s="970"/>
      <c r="V23" s="970"/>
      <c r="W23" s="970"/>
      <c r="X23" s="970"/>
      <c r="Y23" s="970"/>
      <c r="Z23" s="970"/>
      <c r="AA23" s="970"/>
      <c r="AB23" s="970"/>
      <c r="AC23" s="970"/>
      <c r="AD23" s="970"/>
      <c r="AE23" s="970"/>
      <c r="AF23" s="970"/>
      <c r="AG23" s="970"/>
      <c r="AH23" s="970"/>
      <c r="AI23" s="970"/>
      <c r="AJ23" s="970"/>
      <c r="AK23" s="970"/>
      <c r="AM23" s="976"/>
      <c r="AN23" s="976"/>
      <c r="AO23" s="976"/>
      <c r="AP23" s="976"/>
      <c r="AQ23" s="976"/>
      <c r="AR23" s="976"/>
      <c r="AS23" s="976"/>
      <c r="AT23" s="976"/>
      <c r="AU23" s="976"/>
      <c r="AV23" s="976"/>
      <c r="AW23" s="976"/>
      <c r="AX23" s="976"/>
      <c r="AY23" s="976"/>
      <c r="AZ23" s="976"/>
      <c r="BA23" s="976"/>
      <c r="BB23" s="976"/>
      <c r="BC23" s="976"/>
      <c r="BD23" s="976"/>
      <c r="BE23" s="976"/>
      <c r="BF23" s="976"/>
      <c r="BH23" s="990"/>
      <c r="BI23" s="990"/>
      <c r="BJ23" s="990"/>
      <c r="BL23" s="515">
        <f t="shared" si="9"/>
        <v>0</v>
      </c>
      <c r="BM23" s="515"/>
      <c r="BN23" s="22"/>
      <c r="BO23" s="1482"/>
      <c r="BP23" s="1482"/>
      <c r="BQ23" s="1482"/>
      <c r="BR23" s="1482"/>
      <c r="BS23" s="1482"/>
      <c r="BT23" s="1482"/>
      <c r="BU23" s="1482"/>
      <c r="BV23" s="1482"/>
      <c r="BW23" s="1482"/>
      <c r="BX23" s="1482"/>
      <c r="BY23" s="1482"/>
      <c r="BZ23" s="1482"/>
      <c r="CA23" s="1482"/>
      <c r="CB23" s="1482"/>
      <c r="CC23" s="1482"/>
      <c r="CD23" s="1482"/>
      <c r="CE23" s="1482"/>
      <c r="CF23" s="1482"/>
      <c r="CG23" s="1482"/>
      <c r="CH23" s="1482"/>
      <c r="CI23" s="1482"/>
      <c r="CJ23" s="1482"/>
      <c r="CK23" s="1482"/>
      <c r="CL23" s="1482"/>
      <c r="CM23" s="1482"/>
      <c r="CN23" s="1482"/>
      <c r="CO23" s="1482"/>
      <c r="CP23" s="1482"/>
      <c r="CQ23" s="1482"/>
      <c r="CR23" s="1482"/>
      <c r="CS23" s="1482"/>
      <c r="CT23" s="1482"/>
      <c r="CU23" s="1482"/>
      <c r="CV23" s="1482"/>
      <c r="CW23" s="1482"/>
      <c r="CX23" s="1482"/>
      <c r="CY23" s="1482"/>
      <c r="CZ23" s="1482"/>
      <c r="DA23" s="1482"/>
      <c r="DB23" s="1482"/>
      <c r="DC23" s="1482"/>
      <c r="DD23" s="1482"/>
      <c r="DE23" s="1482"/>
      <c r="DF23" s="1482"/>
      <c r="DH23" s="838">
        <f t="shared" si="35"/>
        <v>0</v>
      </c>
    </row>
    <row r="24" spans="1:112" s="743" customFormat="1" ht="12.75" hidden="1" customHeight="1" outlineLevel="1">
      <c r="A24" s="1484"/>
      <c r="B24" s="1484"/>
      <c r="C24" s="746" t="s">
        <v>903</v>
      </c>
      <c r="D24" s="523" t="str">
        <f>INDEX(Modules[Module], MATCH($C24, Modules[Code], 0))</f>
        <v>Domestic passenger transport</v>
      </c>
      <c r="E24" s="1006"/>
      <c r="G24" s="1017">
        <f t="shared" ref="G24:P27" ca="1" si="57">IFERROR(INDEX(INDIRECT($C24&amp;".Outputs["&amp;this.Year&amp;"]"), MATCH(G$5, INDIRECT($C24&amp;".Outputs[Vector]"), 0)), 0)</f>
        <v>0</v>
      </c>
      <c r="H24" s="1017">
        <f t="shared" ca="1" si="57"/>
        <v>0</v>
      </c>
      <c r="I24" s="1017">
        <f t="shared" ca="1" si="57"/>
        <v>0</v>
      </c>
      <c r="J24" s="1017">
        <f t="shared" ca="1" si="57"/>
        <v>235.12410384951022</v>
      </c>
      <c r="K24" s="1017">
        <f t="shared" ca="1" si="57"/>
        <v>12.718469127219112</v>
      </c>
      <c r="L24" s="1017">
        <f t="shared" ca="1" si="57"/>
        <v>13.331077116581312</v>
      </c>
      <c r="M24" s="1017">
        <f t="shared" ca="1" si="57"/>
        <v>0</v>
      </c>
      <c r="N24" s="1017">
        <f t="shared" ca="1" si="57"/>
        <v>0</v>
      </c>
      <c r="O24" s="1017">
        <f t="shared" ca="1" si="57"/>
        <v>0</v>
      </c>
      <c r="P24" s="1017">
        <f t="shared" ca="1" si="57"/>
        <v>0</v>
      </c>
      <c r="Q24" s="1019">
        <f ca="1">SUM(G24:P24)</f>
        <v>261.17365009331064</v>
      </c>
      <c r="S24" s="1026">
        <f t="shared" ref="S24:BE30" ca="1" si="58">IFERROR(INDEX(INDIRECT($C24&amp;".Outputs["&amp;this.Year&amp;"]"), MATCH(S$5, INDIRECT($C24&amp;".Outputs[Vector]"), 0)), 0)</f>
        <v>-14.575652426580135</v>
      </c>
      <c r="T24" s="1026">
        <f t="shared" ca="1" si="58"/>
        <v>0</v>
      </c>
      <c r="U24" s="1026">
        <f t="shared" ca="1" si="58"/>
        <v>0</v>
      </c>
      <c r="V24" s="1026">
        <f t="shared" ca="1" si="58"/>
        <v>-246.59799766673052</v>
      </c>
      <c r="W24" s="1026">
        <f t="shared" ca="1" si="58"/>
        <v>0</v>
      </c>
      <c r="X24" s="1026">
        <f t="shared" ref="X24:Z27" ca="1" si="59">IFERROR(INDEX(INDIRECT($C24&amp;".Outputs["&amp;this.Year&amp;"]"), MATCH(X$5, INDIRECT($C24&amp;".Outputs[Vector]"), 0)), 0)</f>
        <v>0</v>
      </c>
      <c r="Y24" s="1026">
        <f t="shared" ca="1" si="59"/>
        <v>0</v>
      </c>
      <c r="Z24" s="1026">
        <f t="shared" ca="1" si="59"/>
        <v>0</v>
      </c>
      <c r="AA24" s="1026">
        <f t="shared" ca="1" si="58"/>
        <v>0</v>
      </c>
      <c r="AB24" s="1026">
        <f t="shared" ca="1" si="58"/>
        <v>0</v>
      </c>
      <c r="AC24" s="1026">
        <f t="shared" ca="1" si="58"/>
        <v>0</v>
      </c>
      <c r="AD24" s="1026">
        <f t="shared" ca="1" si="58"/>
        <v>0</v>
      </c>
      <c r="AE24" s="1026">
        <f t="shared" ca="1" si="58"/>
        <v>0</v>
      </c>
      <c r="AF24" s="1026">
        <f t="shared" ca="1" si="58"/>
        <v>0</v>
      </c>
      <c r="AG24" s="1026">
        <f t="shared" ca="1" si="58"/>
        <v>0</v>
      </c>
      <c r="AH24" s="1026">
        <f t="shared" ca="1" si="58"/>
        <v>0</v>
      </c>
      <c r="AI24" s="1026">
        <f t="shared" ca="1" si="58"/>
        <v>0</v>
      </c>
      <c r="AJ24" s="1026">
        <f t="shared" ca="1" si="58"/>
        <v>0</v>
      </c>
      <c r="AK24" s="1027">
        <f t="shared" ref="AK24:AK32" ca="1" si="60">SUM(S24:AJ24)</f>
        <v>-261.17365009331064</v>
      </c>
      <c r="AM24" s="1038">
        <f t="shared" ref="AM24:AU27" ca="1" si="61">IFERROR(INDEX(INDIRECT($C24&amp;".Outputs["&amp;this.Year&amp;"]"), MATCH(AM$5, INDIRECT($C24&amp;".Outputs[Vector]"), 0)), 0)</f>
        <v>0</v>
      </c>
      <c r="AN24" s="1038">
        <f t="shared" ca="1" si="61"/>
        <v>0</v>
      </c>
      <c r="AO24" s="1038">
        <f t="shared" ca="1" si="61"/>
        <v>0</v>
      </c>
      <c r="AP24" s="1038">
        <f t="shared" ca="1" si="61"/>
        <v>0</v>
      </c>
      <c r="AQ24" s="1038">
        <f t="shared" ca="1" si="61"/>
        <v>0</v>
      </c>
      <c r="AR24" s="1038">
        <f t="shared" ca="1" si="61"/>
        <v>0</v>
      </c>
      <c r="AS24" s="1038">
        <f t="shared" ca="1" si="61"/>
        <v>0</v>
      </c>
      <c r="AT24" s="1038">
        <f t="shared" ca="1" si="61"/>
        <v>0</v>
      </c>
      <c r="AU24" s="1038">
        <f t="shared" ca="1" si="61"/>
        <v>0</v>
      </c>
      <c r="AV24" s="1038">
        <f t="shared" ca="1" si="58"/>
        <v>0</v>
      </c>
      <c r="AW24" s="1038">
        <f t="shared" ca="1" si="58"/>
        <v>0</v>
      </c>
      <c r="AX24" s="1038">
        <f t="shared" ca="1" si="58"/>
        <v>0</v>
      </c>
      <c r="AY24" s="1038">
        <f t="shared" ca="1" si="58"/>
        <v>0</v>
      </c>
      <c r="AZ24" s="1038">
        <f t="shared" ca="1" si="58"/>
        <v>0</v>
      </c>
      <c r="BA24" s="1038">
        <f t="shared" ca="1" si="58"/>
        <v>0</v>
      </c>
      <c r="BB24" s="1038">
        <f t="shared" ca="1" si="58"/>
        <v>0</v>
      </c>
      <c r="BC24" s="1038">
        <f t="shared" ca="1" si="58"/>
        <v>0</v>
      </c>
      <c r="BD24" s="1038">
        <f t="shared" ca="1" si="58"/>
        <v>0</v>
      </c>
      <c r="BE24" s="1038">
        <f t="shared" ca="1" si="58"/>
        <v>0</v>
      </c>
      <c r="BF24" s="979">
        <f t="shared" ref="BF24:BF32" ca="1" si="62">SUM(AM24:BE24)</f>
        <v>0</v>
      </c>
      <c r="BH24" s="1032">
        <f t="shared" ref="BH24:BI30" ca="1" si="63">IFERROR(INDEX(INDIRECT($C24&amp;".Outputs["&amp;this.Year&amp;"]"), MATCH(BH$5, INDIRECT($C24&amp;".Outputs[Vector]"), 0)), 0)</f>
        <v>0</v>
      </c>
      <c r="BI24" s="1032">
        <f t="shared" ca="1" si="63"/>
        <v>0</v>
      </c>
      <c r="BJ24" s="1034">
        <f t="shared" ref="BJ24:BJ32" ca="1" si="64">SUM(BH24:BI24)</f>
        <v>0</v>
      </c>
      <c r="BL24" s="814">
        <f t="shared" ca="1" si="9"/>
        <v>0</v>
      </c>
      <c r="BM24" s="814"/>
      <c r="BN24" s="840"/>
      <c r="BO24" s="1481">
        <f t="shared" ref="BO24:BX27" ca="1" si="65">IFERROR(SUMIFS(INDIRECT($C24&amp;".Emissions["&amp;this.Year&amp;"]"), INDIRECT($C24&amp;".Emissions[GHG]"), BO$6, INDIRECT($C24&amp;".Emissions[IPCC Sector]"), BO$5),0)</f>
        <v>61.64949941668263</v>
      </c>
      <c r="BP24" s="1482">
        <f t="shared" ca="1" si="65"/>
        <v>7.6753383396886615E-2</v>
      </c>
      <c r="BQ24" s="1482">
        <f t="shared" ca="1" si="65"/>
        <v>1.1092008199178462</v>
      </c>
      <c r="BR24" s="1482">
        <f t="shared" ca="1" si="65"/>
        <v>0</v>
      </c>
      <c r="BS24" s="1482">
        <f t="shared" ca="1" si="65"/>
        <v>0</v>
      </c>
      <c r="BT24" s="1482">
        <f t="shared" ca="1" si="65"/>
        <v>0</v>
      </c>
      <c r="BU24" s="1482">
        <f t="shared" ca="1" si="65"/>
        <v>0</v>
      </c>
      <c r="BV24" s="1482">
        <f t="shared" ca="1" si="65"/>
        <v>0</v>
      </c>
      <c r="BW24" s="1482">
        <f t="shared" ca="1" si="65"/>
        <v>0</v>
      </c>
      <c r="BX24" s="1482">
        <f t="shared" ca="1" si="65"/>
        <v>0</v>
      </c>
      <c r="BY24" s="1482">
        <f t="shared" ref="BY24:CH27" ca="1" si="66">IFERROR(SUMIFS(INDIRECT($C24&amp;".Emissions["&amp;this.Year&amp;"]"), INDIRECT($C24&amp;".Emissions[GHG]"), BY$6, INDIRECT($C24&amp;".Emissions[IPCC Sector]"), BY$5),0)</f>
        <v>0</v>
      </c>
      <c r="BZ24" s="1482">
        <f t="shared" ca="1" si="66"/>
        <v>0</v>
      </c>
      <c r="CA24" s="1482">
        <f t="shared" ca="1" si="66"/>
        <v>0</v>
      </c>
      <c r="CB24" s="1482">
        <f t="shared" ca="1" si="66"/>
        <v>0</v>
      </c>
      <c r="CC24" s="1482">
        <f t="shared" ca="1" si="66"/>
        <v>0</v>
      </c>
      <c r="CD24" s="1482">
        <f t="shared" ca="1" si="66"/>
        <v>0</v>
      </c>
      <c r="CE24" s="1482">
        <f t="shared" ca="1" si="66"/>
        <v>0</v>
      </c>
      <c r="CF24" s="1482">
        <f t="shared" ca="1" si="66"/>
        <v>0</v>
      </c>
      <c r="CG24" s="1482">
        <f t="shared" ca="1" si="66"/>
        <v>0</v>
      </c>
      <c r="CH24" s="1482">
        <f t="shared" ca="1" si="66"/>
        <v>0</v>
      </c>
      <c r="CI24" s="1482">
        <f t="shared" ref="CI24:CR27" ca="1" si="67">IFERROR(SUMIFS(INDIRECT($C24&amp;".Emissions["&amp;this.Year&amp;"]"), INDIRECT($C24&amp;".Emissions[GHG]"), CI$6, INDIRECT($C24&amp;".Emissions[IPCC Sector]"), CI$5),0)</f>
        <v>0</v>
      </c>
      <c r="CJ24" s="1482">
        <f t="shared" ca="1" si="67"/>
        <v>0</v>
      </c>
      <c r="CK24" s="1482">
        <f t="shared" ca="1" si="67"/>
        <v>0</v>
      </c>
      <c r="CL24" s="1482">
        <f t="shared" ca="1" si="67"/>
        <v>0</v>
      </c>
      <c r="CM24" s="1482">
        <f t="shared" ca="1" si="67"/>
        <v>0</v>
      </c>
      <c r="CN24" s="1482">
        <f t="shared" ca="1" si="67"/>
        <v>0</v>
      </c>
      <c r="CO24" s="1482">
        <f t="shared" ca="1" si="67"/>
        <v>0</v>
      </c>
      <c r="CP24" s="1482">
        <f t="shared" ca="1" si="67"/>
        <v>0</v>
      </c>
      <c r="CQ24" s="1482">
        <f t="shared" ca="1" si="67"/>
        <v>0</v>
      </c>
      <c r="CR24" s="1482">
        <f t="shared" ca="1" si="67"/>
        <v>0</v>
      </c>
      <c r="CS24" s="1482">
        <f t="shared" ref="CS24:DF27" ca="1" si="68">IFERROR(SUMIFS(INDIRECT($C24&amp;".Emissions["&amp;this.Year&amp;"]"), INDIRECT($C24&amp;".Emissions[GHG]"), CS$6, INDIRECT($C24&amp;".Emissions[IPCC Sector]"), CS$5),0)</f>
        <v>0</v>
      </c>
      <c r="CT24" s="1482">
        <f t="shared" ca="1" si="68"/>
        <v>0</v>
      </c>
      <c r="CU24" s="1482">
        <f t="shared" ca="1" si="68"/>
        <v>0</v>
      </c>
      <c r="CV24" s="1482">
        <f t="shared" ca="1" si="68"/>
        <v>0</v>
      </c>
      <c r="CW24" s="1482">
        <f t="shared" ca="1" si="68"/>
        <v>0</v>
      </c>
      <c r="CX24" s="1482">
        <f t="shared" ca="1" si="68"/>
        <v>0</v>
      </c>
      <c r="CY24" s="1482">
        <f t="shared" ca="1" si="68"/>
        <v>0</v>
      </c>
      <c r="CZ24" s="1482">
        <f t="shared" ca="1" si="68"/>
        <v>0</v>
      </c>
      <c r="DA24" s="1482">
        <f t="shared" ca="1" si="68"/>
        <v>0</v>
      </c>
      <c r="DB24" s="1482">
        <f t="shared" ca="1" si="68"/>
        <v>0</v>
      </c>
      <c r="DC24" s="1482">
        <f t="shared" ca="1" si="68"/>
        <v>0</v>
      </c>
      <c r="DD24" s="1482">
        <f t="shared" ca="1" si="68"/>
        <v>0</v>
      </c>
      <c r="DE24" s="1482">
        <f t="shared" ca="1" si="68"/>
        <v>0</v>
      </c>
      <c r="DF24" s="1482">
        <f t="shared" ca="1" si="68"/>
        <v>0</v>
      </c>
      <c r="DH24" s="838">
        <f t="shared" ca="1" si="35"/>
        <v>62.835453619997359</v>
      </c>
    </row>
    <row r="25" spans="1:112" s="743" customFormat="1" ht="12.75" hidden="1" customHeight="1" outlineLevel="1">
      <c r="A25" s="1484"/>
      <c r="B25" s="1484"/>
      <c r="C25" s="746" t="s">
        <v>916</v>
      </c>
      <c r="D25" s="523" t="str">
        <f>INDEX(Modules[Module], MATCH($C25, Modules[Code], 0))</f>
        <v>Domestic freight</v>
      </c>
      <c r="E25" s="1006"/>
      <c r="G25" s="1017">
        <f t="shared" ca="1" si="57"/>
        <v>0</v>
      </c>
      <c r="H25" s="1017">
        <f t="shared" ca="1" si="57"/>
        <v>0</v>
      </c>
      <c r="I25" s="1017">
        <f t="shared" ca="1" si="57"/>
        <v>0</v>
      </c>
      <c r="J25" s="1017">
        <f t="shared" ca="1" si="57"/>
        <v>115.73130849547454</v>
      </c>
      <c r="K25" s="1017">
        <f t="shared" ca="1" si="57"/>
        <v>3.1419753852003232</v>
      </c>
      <c r="L25" s="1017">
        <f t="shared" ca="1" si="57"/>
        <v>0</v>
      </c>
      <c r="M25" s="1017">
        <f t="shared" ca="1" si="57"/>
        <v>23.384829464713203</v>
      </c>
      <c r="N25" s="1017">
        <f t="shared" ca="1" si="57"/>
        <v>0</v>
      </c>
      <c r="O25" s="1017">
        <f t="shared" ca="1" si="57"/>
        <v>0</v>
      </c>
      <c r="P25" s="1017">
        <f t="shared" ca="1" si="57"/>
        <v>0</v>
      </c>
      <c r="Q25" s="1019">
        <f ca="1">SUM(G25:P25)</f>
        <v>142.25811334538807</v>
      </c>
      <c r="S25" s="1026">
        <f t="shared" ca="1" si="58"/>
        <v>-0.131928331009913</v>
      </c>
      <c r="T25" s="1026">
        <f t="shared" ca="1" si="58"/>
        <v>0</v>
      </c>
      <c r="U25" s="1026">
        <f t="shared" ca="1" si="58"/>
        <v>0</v>
      </c>
      <c r="V25" s="1026">
        <f t="shared" ca="1" si="58"/>
        <v>-142.12618501437814</v>
      </c>
      <c r="W25" s="1026">
        <f t="shared" ca="1" si="58"/>
        <v>0</v>
      </c>
      <c r="X25" s="1026">
        <f t="shared" ca="1" si="59"/>
        <v>0</v>
      </c>
      <c r="Y25" s="1026">
        <f t="shared" ca="1" si="59"/>
        <v>0</v>
      </c>
      <c r="Z25" s="1026">
        <f t="shared" ca="1" si="59"/>
        <v>0</v>
      </c>
      <c r="AA25" s="1026">
        <f t="shared" ca="1" si="58"/>
        <v>0</v>
      </c>
      <c r="AB25" s="1026">
        <f t="shared" ca="1" si="58"/>
        <v>0</v>
      </c>
      <c r="AC25" s="1026">
        <f t="shared" ca="1" si="58"/>
        <v>0</v>
      </c>
      <c r="AD25" s="1026">
        <f t="shared" ca="1" si="58"/>
        <v>0</v>
      </c>
      <c r="AE25" s="1026">
        <f t="shared" ca="1" si="58"/>
        <v>0</v>
      </c>
      <c r="AF25" s="1026">
        <f t="shared" ca="1" si="58"/>
        <v>0</v>
      </c>
      <c r="AG25" s="1026">
        <f t="shared" ca="1" si="58"/>
        <v>0</v>
      </c>
      <c r="AH25" s="1026">
        <f t="shared" ca="1" si="58"/>
        <v>0</v>
      </c>
      <c r="AI25" s="1026">
        <f t="shared" ca="1" si="58"/>
        <v>0</v>
      </c>
      <c r="AJ25" s="1026">
        <f t="shared" ca="1" si="58"/>
        <v>0</v>
      </c>
      <c r="AK25" s="1027">
        <f t="shared" ca="1" si="60"/>
        <v>-142.25811334538804</v>
      </c>
      <c r="AM25" s="1038">
        <f t="shared" ca="1" si="61"/>
        <v>0</v>
      </c>
      <c r="AN25" s="1038">
        <f t="shared" ca="1" si="61"/>
        <v>0</v>
      </c>
      <c r="AO25" s="1038">
        <f t="shared" ca="1" si="61"/>
        <v>0</v>
      </c>
      <c r="AP25" s="1038">
        <f t="shared" ca="1" si="61"/>
        <v>0</v>
      </c>
      <c r="AQ25" s="1038">
        <f t="shared" ca="1" si="61"/>
        <v>0</v>
      </c>
      <c r="AR25" s="1038">
        <f t="shared" ca="1" si="61"/>
        <v>0</v>
      </c>
      <c r="AS25" s="1038">
        <f t="shared" ca="1" si="61"/>
        <v>0</v>
      </c>
      <c r="AT25" s="1038">
        <f t="shared" ca="1" si="61"/>
        <v>0</v>
      </c>
      <c r="AU25" s="1038">
        <f t="shared" ca="1" si="61"/>
        <v>0</v>
      </c>
      <c r="AV25" s="1038">
        <f t="shared" ca="1" si="58"/>
        <v>0</v>
      </c>
      <c r="AW25" s="1038">
        <f t="shared" ca="1" si="58"/>
        <v>0</v>
      </c>
      <c r="AX25" s="1038">
        <f t="shared" ca="1" si="58"/>
        <v>0</v>
      </c>
      <c r="AY25" s="1038">
        <f t="shared" ca="1" si="58"/>
        <v>0</v>
      </c>
      <c r="AZ25" s="1038">
        <f t="shared" ca="1" si="58"/>
        <v>0</v>
      </c>
      <c r="BA25" s="1038">
        <f t="shared" ca="1" si="58"/>
        <v>0</v>
      </c>
      <c r="BB25" s="1038">
        <f t="shared" ca="1" si="58"/>
        <v>0</v>
      </c>
      <c r="BC25" s="1038">
        <f t="shared" ca="1" si="58"/>
        <v>0</v>
      </c>
      <c r="BD25" s="1038">
        <f t="shared" ca="1" si="58"/>
        <v>0</v>
      </c>
      <c r="BE25" s="1038">
        <f t="shared" ca="1" si="58"/>
        <v>0</v>
      </c>
      <c r="BF25" s="979">
        <f t="shared" ca="1" si="62"/>
        <v>0</v>
      </c>
      <c r="BH25" s="1032">
        <f t="shared" ca="1" si="63"/>
        <v>0</v>
      </c>
      <c r="BI25" s="1032">
        <f t="shared" ca="1" si="63"/>
        <v>0</v>
      </c>
      <c r="BJ25" s="1034">
        <f t="shared" ca="1" si="64"/>
        <v>0</v>
      </c>
      <c r="BL25" s="814">
        <f t="shared" ca="1" si="9"/>
        <v>2.8421709430404007E-14</v>
      </c>
      <c r="BM25" s="814"/>
      <c r="BN25" s="840"/>
      <c r="BO25" s="1481">
        <f t="shared" ca="1" si="65"/>
        <v>35.531546253594534</v>
      </c>
      <c r="BP25" s="1482">
        <f t="shared" ca="1" si="65"/>
        <v>4.4236634816022011E-2</v>
      </c>
      <c r="BQ25" s="1482">
        <f t="shared" ca="1" si="65"/>
        <v>0.63928532446073638</v>
      </c>
      <c r="BR25" s="1482">
        <f t="shared" ca="1" si="65"/>
        <v>0</v>
      </c>
      <c r="BS25" s="1482">
        <f t="shared" ca="1" si="65"/>
        <v>0</v>
      </c>
      <c r="BT25" s="1482">
        <f t="shared" ca="1" si="65"/>
        <v>0</v>
      </c>
      <c r="BU25" s="1482">
        <f t="shared" ca="1" si="65"/>
        <v>0</v>
      </c>
      <c r="BV25" s="1482">
        <f t="shared" ca="1" si="65"/>
        <v>0</v>
      </c>
      <c r="BW25" s="1482">
        <f t="shared" ca="1" si="65"/>
        <v>0</v>
      </c>
      <c r="BX25" s="1482">
        <f t="shared" ca="1" si="65"/>
        <v>0</v>
      </c>
      <c r="BY25" s="1482">
        <f t="shared" ca="1" si="66"/>
        <v>0</v>
      </c>
      <c r="BZ25" s="1482">
        <f t="shared" ca="1" si="66"/>
        <v>0</v>
      </c>
      <c r="CA25" s="1482">
        <f t="shared" ca="1" si="66"/>
        <v>0</v>
      </c>
      <c r="CB25" s="1482">
        <f t="shared" ca="1" si="66"/>
        <v>0</v>
      </c>
      <c r="CC25" s="1482">
        <f t="shared" ca="1" si="66"/>
        <v>0</v>
      </c>
      <c r="CD25" s="1482">
        <f t="shared" ca="1" si="66"/>
        <v>0</v>
      </c>
      <c r="CE25" s="1482">
        <f t="shared" ca="1" si="66"/>
        <v>0</v>
      </c>
      <c r="CF25" s="1482">
        <f t="shared" ca="1" si="66"/>
        <v>0</v>
      </c>
      <c r="CG25" s="1482">
        <f t="shared" ca="1" si="66"/>
        <v>0</v>
      </c>
      <c r="CH25" s="1482">
        <f t="shared" ca="1" si="66"/>
        <v>0</v>
      </c>
      <c r="CI25" s="1482">
        <f t="shared" ca="1" si="67"/>
        <v>0</v>
      </c>
      <c r="CJ25" s="1482">
        <f t="shared" ca="1" si="67"/>
        <v>0</v>
      </c>
      <c r="CK25" s="1482">
        <f t="shared" ca="1" si="67"/>
        <v>0</v>
      </c>
      <c r="CL25" s="1482">
        <f t="shared" ca="1" si="67"/>
        <v>0</v>
      </c>
      <c r="CM25" s="1482">
        <f t="shared" ca="1" si="67"/>
        <v>0</v>
      </c>
      <c r="CN25" s="1482">
        <f t="shared" ca="1" si="67"/>
        <v>0</v>
      </c>
      <c r="CO25" s="1482">
        <f t="shared" ca="1" si="67"/>
        <v>0</v>
      </c>
      <c r="CP25" s="1482">
        <f t="shared" ca="1" si="67"/>
        <v>0</v>
      </c>
      <c r="CQ25" s="1482">
        <f t="shared" ca="1" si="67"/>
        <v>0</v>
      </c>
      <c r="CR25" s="1482">
        <f t="shared" ca="1" si="67"/>
        <v>0</v>
      </c>
      <c r="CS25" s="1482">
        <f t="shared" ca="1" si="68"/>
        <v>0</v>
      </c>
      <c r="CT25" s="1482">
        <f t="shared" ca="1" si="68"/>
        <v>0</v>
      </c>
      <c r="CU25" s="1482">
        <f t="shared" ca="1" si="68"/>
        <v>0</v>
      </c>
      <c r="CV25" s="1482">
        <f t="shared" ca="1" si="68"/>
        <v>0</v>
      </c>
      <c r="CW25" s="1482">
        <f t="shared" ca="1" si="68"/>
        <v>0</v>
      </c>
      <c r="CX25" s="1482">
        <f t="shared" ca="1" si="68"/>
        <v>0</v>
      </c>
      <c r="CY25" s="1482">
        <f t="shared" ca="1" si="68"/>
        <v>0</v>
      </c>
      <c r="CZ25" s="1482">
        <f t="shared" ca="1" si="68"/>
        <v>0</v>
      </c>
      <c r="DA25" s="1482">
        <f t="shared" ca="1" si="68"/>
        <v>0</v>
      </c>
      <c r="DB25" s="1482">
        <f t="shared" ca="1" si="68"/>
        <v>0</v>
      </c>
      <c r="DC25" s="1482">
        <f t="shared" ca="1" si="68"/>
        <v>0</v>
      </c>
      <c r="DD25" s="1482">
        <f t="shared" ca="1" si="68"/>
        <v>0</v>
      </c>
      <c r="DE25" s="1482">
        <f t="shared" ca="1" si="68"/>
        <v>0</v>
      </c>
      <c r="DF25" s="1482">
        <f t="shared" ca="1" si="68"/>
        <v>0</v>
      </c>
      <c r="DH25" s="838">
        <f t="shared" ca="1" si="35"/>
        <v>36.215068212871294</v>
      </c>
    </row>
    <row r="26" spans="1:112" s="743" customFormat="1" ht="10.5" hidden="1" customHeight="1" outlineLevel="2">
      <c r="A26" s="1480"/>
      <c r="B26" s="1480"/>
      <c r="C26" s="746" t="s">
        <v>919</v>
      </c>
      <c r="D26" s="523" t="str">
        <f>INDEX(Modules[Module], MATCH($C26, Modules[Code], 0))</f>
        <v>International aviation</v>
      </c>
      <c r="E26" s="1006"/>
      <c r="G26" s="1017">
        <f t="shared" ca="1" si="57"/>
        <v>0</v>
      </c>
      <c r="H26" s="1017">
        <f t="shared" ca="1" si="57"/>
        <v>0</v>
      </c>
      <c r="I26" s="1017">
        <f t="shared" ca="1" si="57"/>
        <v>0</v>
      </c>
      <c r="J26" s="1017">
        <f t="shared" ca="1" si="57"/>
        <v>0</v>
      </c>
      <c r="K26" s="1017">
        <f t="shared" ca="1" si="57"/>
        <v>0</v>
      </c>
      <c r="L26" s="1017">
        <f t="shared" ca="1" si="57"/>
        <v>0</v>
      </c>
      <c r="M26" s="1017">
        <f t="shared" ca="1" si="57"/>
        <v>0</v>
      </c>
      <c r="N26" s="1017">
        <f t="shared" ca="1" si="57"/>
        <v>212.05653906435825</v>
      </c>
      <c r="O26" s="1017">
        <f t="shared" ca="1" si="57"/>
        <v>0</v>
      </c>
      <c r="P26" s="1017">
        <f t="shared" ca="1" si="57"/>
        <v>0</v>
      </c>
      <c r="Q26" s="1019">
        <f t="shared" ref="Q26:Q32" ca="1" si="69">SUM(G26:P26)</f>
        <v>212.05653906435825</v>
      </c>
      <c r="S26" s="1026">
        <f t="shared" ca="1" si="58"/>
        <v>0</v>
      </c>
      <c r="T26" s="1026">
        <f t="shared" ca="1" si="58"/>
        <v>0</v>
      </c>
      <c r="U26" s="1026">
        <f t="shared" ca="1" si="58"/>
        <v>0</v>
      </c>
      <c r="V26" s="1026">
        <f t="shared" ca="1" si="58"/>
        <v>-212.05653906435825</v>
      </c>
      <c r="W26" s="1026">
        <f t="shared" ca="1" si="58"/>
        <v>0</v>
      </c>
      <c r="X26" s="1026">
        <f t="shared" ca="1" si="59"/>
        <v>0</v>
      </c>
      <c r="Y26" s="1026">
        <f t="shared" ca="1" si="59"/>
        <v>0</v>
      </c>
      <c r="Z26" s="1026">
        <f t="shared" ca="1" si="59"/>
        <v>0</v>
      </c>
      <c r="AA26" s="1026">
        <f t="shared" ca="1" si="58"/>
        <v>0</v>
      </c>
      <c r="AB26" s="1026">
        <f t="shared" ca="1" si="58"/>
        <v>0</v>
      </c>
      <c r="AC26" s="1026">
        <f t="shared" ca="1" si="58"/>
        <v>0</v>
      </c>
      <c r="AD26" s="1026">
        <f t="shared" ca="1" si="58"/>
        <v>0</v>
      </c>
      <c r="AE26" s="1026">
        <f t="shared" ca="1" si="58"/>
        <v>0</v>
      </c>
      <c r="AF26" s="1026">
        <f t="shared" ca="1" si="58"/>
        <v>0</v>
      </c>
      <c r="AG26" s="1026">
        <f t="shared" ca="1" si="58"/>
        <v>0</v>
      </c>
      <c r="AH26" s="1026">
        <f t="shared" ca="1" si="58"/>
        <v>0</v>
      </c>
      <c r="AI26" s="1026">
        <f t="shared" ca="1" si="58"/>
        <v>0</v>
      </c>
      <c r="AJ26" s="1026">
        <f t="shared" ca="1" si="58"/>
        <v>0</v>
      </c>
      <c r="AK26" s="1027">
        <f t="shared" ca="1" si="60"/>
        <v>-212.05653906435825</v>
      </c>
      <c r="AM26" s="1038">
        <f t="shared" ca="1" si="61"/>
        <v>0</v>
      </c>
      <c r="AN26" s="1038">
        <f t="shared" ca="1" si="61"/>
        <v>0</v>
      </c>
      <c r="AO26" s="1038">
        <f t="shared" ca="1" si="61"/>
        <v>0</v>
      </c>
      <c r="AP26" s="1038">
        <f t="shared" ca="1" si="61"/>
        <v>0</v>
      </c>
      <c r="AQ26" s="1038">
        <f t="shared" ca="1" si="61"/>
        <v>0</v>
      </c>
      <c r="AR26" s="1038">
        <f t="shared" ca="1" si="61"/>
        <v>0</v>
      </c>
      <c r="AS26" s="1038">
        <f t="shared" ca="1" si="61"/>
        <v>0</v>
      </c>
      <c r="AT26" s="1038">
        <f t="shared" ca="1" si="61"/>
        <v>0</v>
      </c>
      <c r="AU26" s="1038">
        <f t="shared" ca="1" si="61"/>
        <v>0</v>
      </c>
      <c r="AV26" s="1038">
        <f t="shared" ca="1" si="58"/>
        <v>0</v>
      </c>
      <c r="AW26" s="1038">
        <f t="shared" ca="1" si="58"/>
        <v>0</v>
      </c>
      <c r="AX26" s="1038">
        <f t="shared" ca="1" si="58"/>
        <v>0</v>
      </c>
      <c r="AY26" s="1038">
        <f t="shared" ca="1" si="58"/>
        <v>0</v>
      </c>
      <c r="AZ26" s="1038">
        <f t="shared" ca="1" si="58"/>
        <v>0</v>
      </c>
      <c r="BA26" s="1038">
        <f t="shared" ca="1" si="58"/>
        <v>0</v>
      </c>
      <c r="BB26" s="1038">
        <f t="shared" ca="1" si="58"/>
        <v>0</v>
      </c>
      <c r="BC26" s="1038">
        <f t="shared" ca="1" si="58"/>
        <v>0</v>
      </c>
      <c r="BD26" s="1038">
        <f t="shared" ca="1" si="58"/>
        <v>0</v>
      </c>
      <c r="BE26" s="1038">
        <f t="shared" ca="1" si="58"/>
        <v>0</v>
      </c>
      <c r="BF26" s="977">
        <f t="shared" ca="1" si="62"/>
        <v>0</v>
      </c>
      <c r="BH26" s="1032">
        <f t="shared" ca="1" si="63"/>
        <v>0</v>
      </c>
      <c r="BI26" s="1032">
        <f t="shared" ca="1" si="63"/>
        <v>0</v>
      </c>
      <c r="BJ26" s="1034">
        <f t="shared" ca="1" si="64"/>
        <v>0</v>
      </c>
      <c r="BL26" s="524">
        <f t="shared" ca="1" si="9"/>
        <v>0</v>
      </c>
      <c r="BM26" s="524"/>
      <c r="BN26" s="840"/>
      <c r="BO26" s="1481">
        <f t="shared" ca="1" si="65"/>
        <v>0</v>
      </c>
      <c r="BP26" s="1482">
        <f t="shared" ca="1" si="65"/>
        <v>0</v>
      </c>
      <c r="BQ26" s="1482">
        <f t="shared" ca="1" si="65"/>
        <v>0</v>
      </c>
      <c r="BR26" s="1482">
        <f t="shared" ca="1" si="65"/>
        <v>0</v>
      </c>
      <c r="BS26" s="1482">
        <f t="shared" ca="1" si="65"/>
        <v>0</v>
      </c>
      <c r="BT26" s="1482">
        <f t="shared" ca="1" si="65"/>
        <v>0</v>
      </c>
      <c r="BU26" s="1482">
        <f t="shared" ca="1" si="65"/>
        <v>0</v>
      </c>
      <c r="BV26" s="1482">
        <f t="shared" ca="1" si="65"/>
        <v>0</v>
      </c>
      <c r="BW26" s="1482">
        <f t="shared" ca="1" si="65"/>
        <v>0</v>
      </c>
      <c r="BX26" s="1482">
        <f t="shared" ca="1" si="65"/>
        <v>0</v>
      </c>
      <c r="BY26" s="1482">
        <f t="shared" ca="1" si="66"/>
        <v>0</v>
      </c>
      <c r="BZ26" s="1482">
        <f t="shared" ca="1" si="66"/>
        <v>0</v>
      </c>
      <c r="CA26" s="1482">
        <f t="shared" ca="1" si="66"/>
        <v>0</v>
      </c>
      <c r="CB26" s="1482">
        <f t="shared" ca="1" si="66"/>
        <v>0</v>
      </c>
      <c r="CC26" s="1482">
        <f t="shared" ca="1" si="66"/>
        <v>0</v>
      </c>
      <c r="CD26" s="1482">
        <f t="shared" ca="1" si="66"/>
        <v>0</v>
      </c>
      <c r="CE26" s="1482">
        <f t="shared" ca="1" si="66"/>
        <v>0</v>
      </c>
      <c r="CF26" s="1482">
        <f t="shared" ca="1" si="66"/>
        <v>0</v>
      </c>
      <c r="CG26" s="1482">
        <f t="shared" ca="1" si="66"/>
        <v>0</v>
      </c>
      <c r="CH26" s="1482">
        <f t="shared" ca="1" si="66"/>
        <v>0</v>
      </c>
      <c r="CI26" s="1482">
        <f t="shared" ca="1" si="67"/>
        <v>0</v>
      </c>
      <c r="CJ26" s="1482">
        <f t="shared" ca="1" si="67"/>
        <v>0</v>
      </c>
      <c r="CK26" s="1482">
        <f t="shared" ca="1" si="67"/>
        <v>0</v>
      </c>
      <c r="CL26" s="1482">
        <f t="shared" ca="1" si="67"/>
        <v>0</v>
      </c>
      <c r="CM26" s="1482">
        <f t="shared" ca="1" si="67"/>
        <v>0</v>
      </c>
      <c r="CN26" s="1482">
        <f t="shared" ca="1" si="67"/>
        <v>0</v>
      </c>
      <c r="CO26" s="1482">
        <f t="shared" ca="1" si="67"/>
        <v>0</v>
      </c>
      <c r="CP26" s="1482">
        <f t="shared" ca="1" si="67"/>
        <v>0</v>
      </c>
      <c r="CQ26" s="1482">
        <f t="shared" ca="1" si="67"/>
        <v>0</v>
      </c>
      <c r="CR26" s="1482">
        <f t="shared" ca="1" si="67"/>
        <v>0</v>
      </c>
      <c r="CS26" s="1482">
        <f t="shared" ca="1" si="68"/>
        <v>0</v>
      </c>
      <c r="CT26" s="1482">
        <f t="shared" ca="1" si="68"/>
        <v>0</v>
      </c>
      <c r="CU26" s="1482">
        <f t="shared" ca="1" si="68"/>
        <v>53.014134766089562</v>
      </c>
      <c r="CV26" s="1482">
        <f t="shared" ca="1" si="68"/>
        <v>6.600238849716912E-2</v>
      </c>
      <c r="CW26" s="1482">
        <f t="shared" ca="1" si="68"/>
        <v>0.95383291520886704</v>
      </c>
      <c r="CX26" s="1482">
        <f t="shared" ca="1" si="68"/>
        <v>0</v>
      </c>
      <c r="CY26" s="1482">
        <f t="shared" ca="1" si="68"/>
        <v>0</v>
      </c>
      <c r="CZ26" s="1482">
        <f t="shared" ca="1" si="68"/>
        <v>0</v>
      </c>
      <c r="DA26" s="1482">
        <f t="shared" ca="1" si="68"/>
        <v>0</v>
      </c>
      <c r="DB26" s="1482">
        <f t="shared" ca="1" si="68"/>
        <v>0</v>
      </c>
      <c r="DC26" s="1482">
        <f t="shared" ca="1" si="68"/>
        <v>0</v>
      </c>
      <c r="DD26" s="1482">
        <f t="shared" ca="1" si="68"/>
        <v>0</v>
      </c>
      <c r="DE26" s="1482">
        <f t="shared" ca="1" si="68"/>
        <v>0</v>
      </c>
      <c r="DF26" s="1482">
        <f t="shared" ca="1" si="68"/>
        <v>0</v>
      </c>
      <c r="DH26" s="838">
        <f t="shared" ca="1" si="35"/>
        <v>54.033970069795593</v>
      </c>
    </row>
    <row r="27" spans="1:112" s="743" customFormat="1" ht="10.5" hidden="1" customHeight="1" outlineLevel="2">
      <c r="A27" s="1483"/>
      <c r="B27" s="1483"/>
      <c r="C27" s="1009" t="s">
        <v>954</v>
      </c>
      <c r="D27" s="1005" t="str">
        <f>INDEX(Modules[Module], MATCH($C27, Modules[Code], 0))</f>
        <v>Domestic aviation [UNUSED - see XII.a]</v>
      </c>
      <c r="E27" s="1006"/>
      <c r="G27" s="1018">
        <f t="shared" ca="1" si="57"/>
        <v>0</v>
      </c>
      <c r="H27" s="1018">
        <f t="shared" ca="1" si="57"/>
        <v>0</v>
      </c>
      <c r="I27" s="1018">
        <f t="shared" ca="1" si="57"/>
        <v>0</v>
      </c>
      <c r="J27" s="1018">
        <f t="shared" ca="1" si="57"/>
        <v>0</v>
      </c>
      <c r="K27" s="1018">
        <f t="shared" ca="1" si="57"/>
        <v>0</v>
      </c>
      <c r="L27" s="1018">
        <f t="shared" ca="1" si="57"/>
        <v>0</v>
      </c>
      <c r="M27" s="1018">
        <f t="shared" ca="1" si="57"/>
        <v>0</v>
      </c>
      <c r="N27" s="1018">
        <f t="shared" ca="1" si="57"/>
        <v>0</v>
      </c>
      <c r="O27" s="1018">
        <f t="shared" ca="1" si="57"/>
        <v>0</v>
      </c>
      <c r="P27" s="1018">
        <f t="shared" ca="1" si="57"/>
        <v>0</v>
      </c>
      <c r="Q27" s="1024">
        <f t="shared" ca="1" si="69"/>
        <v>0</v>
      </c>
      <c r="S27" s="1028">
        <f t="shared" ca="1" si="58"/>
        <v>0</v>
      </c>
      <c r="T27" s="1028">
        <f t="shared" ca="1" si="58"/>
        <v>0</v>
      </c>
      <c r="U27" s="1028">
        <f t="shared" ca="1" si="58"/>
        <v>0</v>
      </c>
      <c r="V27" s="1028">
        <f t="shared" ca="1" si="58"/>
        <v>0</v>
      </c>
      <c r="W27" s="1028">
        <f t="shared" ca="1" si="58"/>
        <v>0</v>
      </c>
      <c r="X27" s="1028">
        <f t="shared" ca="1" si="59"/>
        <v>0</v>
      </c>
      <c r="Y27" s="1028">
        <f t="shared" ca="1" si="59"/>
        <v>0</v>
      </c>
      <c r="Z27" s="1028">
        <f t="shared" ca="1" si="59"/>
        <v>0</v>
      </c>
      <c r="AA27" s="1028">
        <f t="shared" ca="1" si="58"/>
        <v>0</v>
      </c>
      <c r="AB27" s="1028">
        <f t="shared" ca="1" si="58"/>
        <v>0</v>
      </c>
      <c r="AC27" s="1028">
        <f t="shared" ca="1" si="58"/>
        <v>0</v>
      </c>
      <c r="AD27" s="1028">
        <f t="shared" ca="1" si="58"/>
        <v>0</v>
      </c>
      <c r="AE27" s="1028">
        <f t="shared" ca="1" si="58"/>
        <v>0</v>
      </c>
      <c r="AF27" s="1028">
        <f t="shared" ca="1" si="58"/>
        <v>0</v>
      </c>
      <c r="AG27" s="1028">
        <f t="shared" ca="1" si="58"/>
        <v>0</v>
      </c>
      <c r="AH27" s="1028">
        <f t="shared" ca="1" si="58"/>
        <v>0</v>
      </c>
      <c r="AI27" s="1028">
        <f t="shared" ca="1" si="58"/>
        <v>0</v>
      </c>
      <c r="AJ27" s="1028">
        <f t="shared" ca="1" si="58"/>
        <v>0</v>
      </c>
      <c r="AK27" s="1029">
        <f t="shared" ca="1" si="60"/>
        <v>0</v>
      </c>
      <c r="AM27" s="1039">
        <f t="shared" ca="1" si="61"/>
        <v>0</v>
      </c>
      <c r="AN27" s="1039">
        <f t="shared" ca="1" si="61"/>
        <v>0</v>
      </c>
      <c r="AO27" s="1039">
        <f t="shared" ca="1" si="61"/>
        <v>0</v>
      </c>
      <c r="AP27" s="1039">
        <f t="shared" ca="1" si="61"/>
        <v>0</v>
      </c>
      <c r="AQ27" s="1039">
        <f t="shared" ca="1" si="61"/>
        <v>0</v>
      </c>
      <c r="AR27" s="1039">
        <f t="shared" ca="1" si="61"/>
        <v>0</v>
      </c>
      <c r="AS27" s="1039">
        <f t="shared" ca="1" si="61"/>
        <v>0</v>
      </c>
      <c r="AT27" s="1039">
        <f t="shared" ca="1" si="61"/>
        <v>0</v>
      </c>
      <c r="AU27" s="1039">
        <f t="shared" ca="1" si="61"/>
        <v>0</v>
      </c>
      <c r="AV27" s="1039">
        <f t="shared" ca="1" si="58"/>
        <v>0</v>
      </c>
      <c r="AW27" s="1039">
        <f t="shared" ca="1" si="58"/>
        <v>0</v>
      </c>
      <c r="AX27" s="1039">
        <f t="shared" ca="1" si="58"/>
        <v>0</v>
      </c>
      <c r="AY27" s="1039">
        <f t="shared" ca="1" si="58"/>
        <v>0</v>
      </c>
      <c r="AZ27" s="1039">
        <f t="shared" ca="1" si="58"/>
        <v>0</v>
      </c>
      <c r="BA27" s="1039">
        <f t="shared" ca="1" si="58"/>
        <v>0</v>
      </c>
      <c r="BB27" s="1039">
        <f t="shared" ca="1" si="58"/>
        <v>0</v>
      </c>
      <c r="BC27" s="1039">
        <f t="shared" ca="1" si="58"/>
        <v>0</v>
      </c>
      <c r="BD27" s="1039">
        <f t="shared" ca="1" si="58"/>
        <v>0</v>
      </c>
      <c r="BE27" s="1039">
        <f t="shared" ca="1" si="58"/>
        <v>0</v>
      </c>
      <c r="BF27" s="1008">
        <f t="shared" ca="1" si="62"/>
        <v>0</v>
      </c>
      <c r="BH27" s="1033">
        <f t="shared" ca="1" si="63"/>
        <v>0</v>
      </c>
      <c r="BI27" s="1033">
        <f t="shared" ca="1" si="63"/>
        <v>0</v>
      </c>
      <c r="BJ27" s="1044">
        <f t="shared" ca="1" si="64"/>
        <v>0</v>
      </c>
      <c r="BL27" s="1007">
        <f t="shared" ca="1" si="9"/>
        <v>0</v>
      </c>
      <c r="BM27" s="1007"/>
      <c r="BN27" s="840"/>
      <c r="BO27" s="1481">
        <f t="shared" ca="1" si="65"/>
        <v>0</v>
      </c>
      <c r="BP27" s="1482">
        <f t="shared" ca="1" si="65"/>
        <v>0</v>
      </c>
      <c r="BQ27" s="1482">
        <f t="shared" ca="1" si="65"/>
        <v>0</v>
      </c>
      <c r="BR27" s="1482">
        <f t="shared" ca="1" si="65"/>
        <v>0</v>
      </c>
      <c r="BS27" s="1482">
        <f t="shared" ca="1" si="65"/>
        <v>0</v>
      </c>
      <c r="BT27" s="1482">
        <f t="shared" ca="1" si="65"/>
        <v>0</v>
      </c>
      <c r="BU27" s="1482">
        <f t="shared" ca="1" si="65"/>
        <v>0</v>
      </c>
      <c r="BV27" s="1482">
        <f t="shared" ca="1" si="65"/>
        <v>0</v>
      </c>
      <c r="BW27" s="1482">
        <f t="shared" ca="1" si="65"/>
        <v>0</v>
      </c>
      <c r="BX27" s="1482">
        <f t="shared" ca="1" si="65"/>
        <v>0</v>
      </c>
      <c r="BY27" s="1482">
        <f t="shared" ca="1" si="66"/>
        <v>0</v>
      </c>
      <c r="BZ27" s="1482">
        <f t="shared" ca="1" si="66"/>
        <v>0</v>
      </c>
      <c r="CA27" s="1482">
        <f t="shared" ca="1" si="66"/>
        <v>0</v>
      </c>
      <c r="CB27" s="1482">
        <f t="shared" ca="1" si="66"/>
        <v>0</v>
      </c>
      <c r="CC27" s="1482">
        <f t="shared" ca="1" si="66"/>
        <v>0</v>
      </c>
      <c r="CD27" s="1482">
        <f t="shared" ca="1" si="66"/>
        <v>0</v>
      </c>
      <c r="CE27" s="1482">
        <f t="shared" ca="1" si="66"/>
        <v>0</v>
      </c>
      <c r="CF27" s="1482">
        <f t="shared" ca="1" si="66"/>
        <v>0</v>
      </c>
      <c r="CG27" s="1482">
        <f t="shared" ca="1" si="66"/>
        <v>0</v>
      </c>
      <c r="CH27" s="1482">
        <f t="shared" ca="1" si="66"/>
        <v>0</v>
      </c>
      <c r="CI27" s="1482">
        <f t="shared" ca="1" si="67"/>
        <v>0</v>
      </c>
      <c r="CJ27" s="1482">
        <f t="shared" ca="1" si="67"/>
        <v>0</v>
      </c>
      <c r="CK27" s="1482">
        <f t="shared" ca="1" si="67"/>
        <v>0</v>
      </c>
      <c r="CL27" s="1482">
        <f t="shared" ca="1" si="67"/>
        <v>0</v>
      </c>
      <c r="CM27" s="1482">
        <f t="shared" ca="1" si="67"/>
        <v>0</v>
      </c>
      <c r="CN27" s="1482">
        <f t="shared" ca="1" si="67"/>
        <v>0</v>
      </c>
      <c r="CO27" s="1482">
        <f t="shared" ca="1" si="67"/>
        <v>0</v>
      </c>
      <c r="CP27" s="1482">
        <f t="shared" ca="1" si="67"/>
        <v>0</v>
      </c>
      <c r="CQ27" s="1482">
        <f t="shared" ca="1" si="67"/>
        <v>0</v>
      </c>
      <c r="CR27" s="1482">
        <f t="shared" ca="1" si="67"/>
        <v>0</v>
      </c>
      <c r="CS27" s="1482">
        <f t="shared" ca="1" si="68"/>
        <v>0</v>
      </c>
      <c r="CT27" s="1482">
        <f t="shared" ca="1" si="68"/>
        <v>0</v>
      </c>
      <c r="CU27" s="1482">
        <f t="shared" ca="1" si="68"/>
        <v>0</v>
      </c>
      <c r="CV27" s="1482">
        <f t="shared" ca="1" si="68"/>
        <v>0</v>
      </c>
      <c r="CW27" s="1482">
        <f t="shared" ca="1" si="68"/>
        <v>0</v>
      </c>
      <c r="CX27" s="1482">
        <f t="shared" ca="1" si="68"/>
        <v>0</v>
      </c>
      <c r="CY27" s="1482">
        <f t="shared" ca="1" si="68"/>
        <v>0</v>
      </c>
      <c r="CZ27" s="1482">
        <f t="shared" ca="1" si="68"/>
        <v>0</v>
      </c>
      <c r="DA27" s="1482">
        <f t="shared" ca="1" si="68"/>
        <v>0</v>
      </c>
      <c r="DB27" s="1482">
        <f t="shared" ca="1" si="68"/>
        <v>0</v>
      </c>
      <c r="DC27" s="1482">
        <f t="shared" ca="1" si="68"/>
        <v>0</v>
      </c>
      <c r="DD27" s="1482">
        <f t="shared" ca="1" si="68"/>
        <v>0</v>
      </c>
      <c r="DE27" s="1482">
        <f t="shared" ca="1" si="68"/>
        <v>0</v>
      </c>
      <c r="DF27" s="1482">
        <f t="shared" ca="1" si="68"/>
        <v>0</v>
      </c>
      <c r="DH27" s="838">
        <f t="shared" ca="1" si="35"/>
        <v>0</v>
      </c>
    </row>
    <row r="28" spans="1:112" s="743" customFormat="1" ht="10.5" hidden="1" customHeight="1" outlineLevel="1">
      <c r="A28" s="1484"/>
      <c r="B28" s="1484"/>
      <c r="C28" s="746"/>
      <c r="D28" s="523" t="s">
        <v>960</v>
      </c>
      <c r="E28" s="1006"/>
      <c r="G28" s="1019">
        <f ca="1">SUM(G26:G27)</f>
        <v>0</v>
      </c>
      <c r="H28" s="1019">
        <f t="shared" ref="H28:P28" ca="1" si="70">SUM(H26:H27)</f>
        <v>0</v>
      </c>
      <c r="I28" s="1019">
        <f t="shared" ca="1" si="70"/>
        <v>0</v>
      </c>
      <c r="J28" s="1019">
        <f t="shared" ca="1" si="70"/>
        <v>0</v>
      </c>
      <c r="K28" s="1019">
        <f t="shared" ca="1" si="70"/>
        <v>0</v>
      </c>
      <c r="L28" s="1019">
        <f t="shared" ca="1" si="70"/>
        <v>0</v>
      </c>
      <c r="M28" s="1019">
        <f t="shared" ca="1" si="70"/>
        <v>0</v>
      </c>
      <c r="N28" s="1019">
        <f t="shared" ca="1" si="70"/>
        <v>212.05653906435825</v>
      </c>
      <c r="O28" s="1019">
        <f t="shared" ca="1" si="70"/>
        <v>0</v>
      </c>
      <c r="P28" s="1019">
        <f t="shared" ca="1" si="70"/>
        <v>0</v>
      </c>
      <c r="Q28" s="1019">
        <f t="shared" ca="1" si="69"/>
        <v>212.05653906435825</v>
      </c>
      <c r="S28" s="1027">
        <f t="shared" ref="S28:Z28" ca="1" si="71">SUM(S26:S27)</f>
        <v>0</v>
      </c>
      <c r="T28" s="1027">
        <f t="shared" ca="1" si="71"/>
        <v>0</v>
      </c>
      <c r="U28" s="1027">
        <f t="shared" ca="1" si="71"/>
        <v>0</v>
      </c>
      <c r="V28" s="1027">
        <f t="shared" ca="1" si="71"/>
        <v>-212.05653906435825</v>
      </c>
      <c r="W28" s="1027">
        <f t="shared" ca="1" si="71"/>
        <v>0</v>
      </c>
      <c r="X28" s="1027">
        <f t="shared" ca="1" si="71"/>
        <v>0</v>
      </c>
      <c r="Y28" s="1027">
        <f t="shared" ca="1" si="71"/>
        <v>0</v>
      </c>
      <c r="Z28" s="1027">
        <f t="shared" ca="1" si="71"/>
        <v>0</v>
      </c>
      <c r="AA28" s="1027">
        <f t="shared" ref="AA28:AJ28" ca="1" si="72">SUM(AA26:AA27)</f>
        <v>0</v>
      </c>
      <c r="AB28" s="1027">
        <f t="shared" ca="1" si="72"/>
        <v>0</v>
      </c>
      <c r="AC28" s="1027">
        <f t="shared" ca="1" si="72"/>
        <v>0</v>
      </c>
      <c r="AD28" s="1027">
        <f ca="1">SUM(AD26:AD27)</f>
        <v>0</v>
      </c>
      <c r="AE28" s="1027">
        <f ca="1">SUM(AE26:AE27)</f>
        <v>0</v>
      </c>
      <c r="AF28" s="1027">
        <f t="shared" ca="1" si="72"/>
        <v>0</v>
      </c>
      <c r="AG28" s="1027">
        <f ca="1">SUM(AG26:AG27)</f>
        <v>0</v>
      </c>
      <c r="AH28" s="1027">
        <f ca="1">SUM(AH26:AH27)</f>
        <v>0</v>
      </c>
      <c r="AI28" s="1027">
        <f ca="1">SUM(AI26:AI27)</f>
        <v>0</v>
      </c>
      <c r="AJ28" s="1027">
        <f t="shared" ca="1" si="72"/>
        <v>0</v>
      </c>
      <c r="AK28" s="1027">
        <f t="shared" ca="1" si="60"/>
        <v>-212.05653906435825</v>
      </c>
      <c r="AM28" s="1040">
        <f t="shared" ref="AM28:BE28" ca="1" si="73">SUM(AM26:AM27)</f>
        <v>0</v>
      </c>
      <c r="AN28" s="1040">
        <f t="shared" ca="1" si="73"/>
        <v>0</v>
      </c>
      <c r="AO28" s="1040">
        <f t="shared" ca="1" si="73"/>
        <v>0</v>
      </c>
      <c r="AP28" s="1040">
        <f t="shared" ca="1" si="73"/>
        <v>0</v>
      </c>
      <c r="AQ28" s="1040">
        <f t="shared" ca="1" si="73"/>
        <v>0</v>
      </c>
      <c r="AR28" s="1040">
        <f t="shared" ca="1" si="73"/>
        <v>0</v>
      </c>
      <c r="AS28" s="1040">
        <f t="shared" ca="1" si="73"/>
        <v>0</v>
      </c>
      <c r="AT28" s="1040">
        <f t="shared" ca="1" si="73"/>
        <v>0</v>
      </c>
      <c r="AU28" s="1040">
        <f t="shared" ca="1" si="73"/>
        <v>0</v>
      </c>
      <c r="AV28" s="1040">
        <f t="shared" ca="1" si="73"/>
        <v>0</v>
      </c>
      <c r="AW28" s="1040">
        <f t="shared" ca="1" si="73"/>
        <v>0</v>
      </c>
      <c r="AX28" s="1040">
        <f t="shared" ca="1" si="73"/>
        <v>0</v>
      </c>
      <c r="AY28" s="1040">
        <f t="shared" ca="1" si="73"/>
        <v>0</v>
      </c>
      <c r="AZ28" s="1040">
        <f t="shared" ca="1" si="73"/>
        <v>0</v>
      </c>
      <c r="BA28" s="1040">
        <f t="shared" ca="1" si="73"/>
        <v>0</v>
      </c>
      <c r="BB28" s="1040">
        <f t="shared" ca="1" si="73"/>
        <v>0</v>
      </c>
      <c r="BC28" s="1040">
        <f t="shared" ca="1" si="73"/>
        <v>0</v>
      </c>
      <c r="BD28" s="1040">
        <f t="shared" ca="1" si="73"/>
        <v>0</v>
      </c>
      <c r="BE28" s="1040">
        <f t="shared" ca="1" si="73"/>
        <v>0</v>
      </c>
      <c r="BF28" s="977">
        <f t="shared" ca="1" si="62"/>
        <v>0</v>
      </c>
      <c r="BH28" s="1034">
        <f ca="1">SUM(BH26:BH27)</f>
        <v>0</v>
      </c>
      <c r="BI28" s="1034">
        <f ca="1">SUM(BI26:BI27)</f>
        <v>0</v>
      </c>
      <c r="BJ28" s="1034">
        <f t="shared" ca="1" si="64"/>
        <v>0</v>
      </c>
      <c r="BL28" s="524">
        <f t="shared" ca="1" si="9"/>
        <v>0</v>
      </c>
      <c r="BM28" s="524"/>
      <c r="BN28" s="840"/>
      <c r="BO28" s="1481">
        <f t="shared" ref="BO28:DF28" ca="1" si="74">SUM(BO26:BO27)</f>
        <v>0</v>
      </c>
      <c r="BP28" s="1482">
        <f t="shared" ca="1" si="74"/>
        <v>0</v>
      </c>
      <c r="BQ28" s="1482">
        <f t="shared" ca="1" si="74"/>
        <v>0</v>
      </c>
      <c r="BR28" s="1482">
        <f t="shared" ca="1" si="74"/>
        <v>0</v>
      </c>
      <c r="BS28" s="1482">
        <f t="shared" ca="1" si="74"/>
        <v>0</v>
      </c>
      <c r="BT28" s="1482">
        <f t="shared" ca="1" si="74"/>
        <v>0</v>
      </c>
      <c r="BU28" s="1482">
        <f t="shared" ca="1" si="74"/>
        <v>0</v>
      </c>
      <c r="BV28" s="1482">
        <f t="shared" ca="1" si="74"/>
        <v>0</v>
      </c>
      <c r="BW28" s="1482">
        <f t="shared" ca="1" si="74"/>
        <v>0</v>
      </c>
      <c r="BX28" s="1482">
        <f t="shared" ca="1" si="74"/>
        <v>0</v>
      </c>
      <c r="BY28" s="1482">
        <f t="shared" ca="1" si="74"/>
        <v>0</v>
      </c>
      <c r="BZ28" s="1482">
        <f t="shared" ca="1" si="74"/>
        <v>0</v>
      </c>
      <c r="CA28" s="1482">
        <f t="shared" ca="1" si="74"/>
        <v>0</v>
      </c>
      <c r="CB28" s="1482">
        <f t="shared" ca="1" si="74"/>
        <v>0</v>
      </c>
      <c r="CC28" s="1482">
        <f t="shared" ca="1" si="74"/>
        <v>0</v>
      </c>
      <c r="CD28" s="1482">
        <f t="shared" ca="1" si="74"/>
        <v>0</v>
      </c>
      <c r="CE28" s="1482">
        <f t="shared" ca="1" si="74"/>
        <v>0</v>
      </c>
      <c r="CF28" s="1482">
        <f t="shared" ca="1" si="74"/>
        <v>0</v>
      </c>
      <c r="CG28" s="1482">
        <f t="shared" ca="1" si="74"/>
        <v>0</v>
      </c>
      <c r="CH28" s="1482">
        <f t="shared" ca="1" si="74"/>
        <v>0</v>
      </c>
      <c r="CI28" s="1482">
        <f t="shared" ca="1" si="74"/>
        <v>0</v>
      </c>
      <c r="CJ28" s="1482">
        <f t="shared" ca="1" si="74"/>
        <v>0</v>
      </c>
      <c r="CK28" s="1482">
        <f t="shared" ca="1" si="74"/>
        <v>0</v>
      </c>
      <c r="CL28" s="1482">
        <f t="shared" ca="1" si="74"/>
        <v>0</v>
      </c>
      <c r="CM28" s="1482">
        <f t="shared" ca="1" si="74"/>
        <v>0</v>
      </c>
      <c r="CN28" s="1482">
        <f t="shared" ca="1" si="74"/>
        <v>0</v>
      </c>
      <c r="CO28" s="1482">
        <f t="shared" ca="1" si="74"/>
        <v>0</v>
      </c>
      <c r="CP28" s="1482">
        <f t="shared" ca="1" si="74"/>
        <v>0</v>
      </c>
      <c r="CQ28" s="1482">
        <f t="shared" ca="1" si="74"/>
        <v>0</v>
      </c>
      <c r="CR28" s="1482">
        <f t="shared" ca="1" si="74"/>
        <v>0</v>
      </c>
      <c r="CS28" s="1482">
        <f t="shared" ca="1" si="74"/>
        <v>0</v>
      </c>
      <c r="CT28" s="1482">
        <f t="shared" ca="1" si="74"/>
        <v>0</v>
      </c>
      <c r="CU28" s="1482">
        <f t="shared" ca="1" si="74"/>
        <v>53.014134766089562</v>
      </c>
      <c r="CV28" s="1482">
        <f t="shared" ca="1" si="74"/>
        <v>6.600238849716912E-2</v>
      </c>
      <c r="CW28" s="1482">
        <f t="shared" ca="1" si="74"/>
        <v>0.95383291520886704</v>
      </c>
      <c r="CX28" s="1482">
        <f t="shared" ca="1" si="74"/>
        <v>0</v>
      </c>
      <c r="CY28" s="1482">
        <f t="shared" ca="1" si="74"/>
        <v>0</v>
      </c>
      <c r="CZ28" s="1482">
        <f t="shared" ca="1" si="74"/>
        <v>0</v>
      </c>
      <c r="DA28" s="1482">
        <f t="shared" ca="1" si="74"/>
        <v>0</v>
      </c>
      <c r="DB28" s="1482">
        <f t="shared" ca="1" si="74"/>
        <v>0</v>
      </c>
      <c r="DC28" s="1482">
        <f t="shared" ca="1" si="74"/>
        <v>0</v>
      </c>
      <c r="DD28" s="1482">
        <f t="shared" ca="1" si="74"/>
        <v>0</v>
      </c>
      <c r="DE28" s="1482">
        <f t="shared" ca="1" si="74"/>
        <v>0</v>
      </c>
      <c r="DF28" s="1482">
        <f t="shared" ca="1" si="74"/>
        <v>0</v>
      </c>
      <c r="DH28" s="838">
        <f t="shared" ca="1" si="35"/>
        <v>54.033970069795593</v>
      </c>
    </row>
    <row r="29" spans="1:112" s="743" customFormat="1" ht="12.75" hidden="1" customHeight="1" outlineLevel="2">
      <c r="A29" s="1480"/>
      <c r="B29" s="1480"/>
      <c r="C29" s="746" t="s">
        <v>957</v>
      </c>
      <c r="D29" s="523" t="str">
        <f>INDEX(Modules[Module], MATCH($C29, Modules[Code], 0))</f>
        <v>International shipping (maritime bunkers)</v>
      </c>
      <c r="E29" s="1006"/>
      <c r="G29" s="1017">
        <f t="shared" ref="G29:P30" ca="1" si="75">IFERROR(INDEX(INDIRECT($C29&amp;".Outputs["&amp;this.Year&amp;"]"), MATCH(G$5, INDIRECT($C29&amp;".Outputs[Vector]"), 0)), 0)</f>
        <v>0</v>
      </c>
      <c r="H29" s="1017">
        <f t="shared" ca="1" si="75"/>
        <v>0</v>
      </c>
      <c r="I29" s="1017">
        <f t="shared" ca="1" si="75"/>
        <v>0</v>
      </c>
      <c r="J29" s="1017">
        <f t="shared" ca="1" si="75"/>
        <v>0</v>
      </c>
      <c r="K29" s="1017">
        <f t="shared" ca="1" si="75"/>
        <v>0</v>
      </c>
      <c r="L29" s="1017">
        <f t="shared" ca="1" si="75"/>
        <v>0</v>
      </c>
      <c r="M29" s="1017">
        <f t="shared" ca="1" si="75"/>
        <v>0</v>
      </c>
      <c r="N29" s="1017">
        <f t="shared" ca="1" si="75"/>
        <v>0</v>
      </c>
      <c r="O29" s="1017">
        <f t="shared" ca="1" si="75"/>
        <v>80.11820802344954</v>
      </c>
      <c r="P29" s="1017">
        <f t="shared" ca="1" si="75"/>
        <v>0</v>
      </c>
      <c r="Q29" s="1019">
        <f t="shared" ca="1" si="69"/>
        <v>80.11820802344954</v>
      </c>
      <c r="S29" s="1026">
        <f t="shared" ca="1" si="58"/>
        <v>0</v>
      </c>
      <c r="T29" s="1026">
        <f t="shared" ca="1" si="58"/>
        <v>0</v>
      </c>
      <c r="U29" s="1026">
        <f t="shared" ca="1" si="58"/>
        <v>0</v>
      </c>
      <c r="V29" s="1026">
        <f t="shared" ca="1" si="58"/>
        <v>-80.11820802344954</v>
      </c>
      <c r="W29" s="1026">
        <f t="shared" ca="1" si="58"/>
        <v>0</v>
      </c>
      <c r="X29" s="1026">
        <f t="shared" ref="X29:Z30" ca="1" si="76">IFERROR(INDEX(INDIRECT($C29&amp;".Outputs["&amp;this.Year&amp;"]"), MATCH(X$5, INDIRECT($C29&amp;".Outputs[Vector]"), 0)), 0)</f>
        <v>0</v>
      </c>
      <c r="Y29" s="1026">
        <f t="shared" ca="1" si="76"/>
        <v>0</v>
      </c>
      <c r="Z29" s="1026">
        <f t="shared" ca="1" si="76"/>
        <v>0</v>
      </c>
      <c r="AA29" s="1026">
        <f t="shared" ca="1" si="58"/>
        <v>0</v>
      </c>
      <c r="AB29" s="1026">
        <f t="shared" ca="1" si="58"/>
        <v>0</v>
      </c>
      <c r="AC29" s="1026">
        <f t="shared" ca="1" si="58"/>
        <v>0</v>
      </c>
      <c r="AD29" s="1026">
        <f t="shared" ca="1" si="58"/>
        <v>0</v>
      </c>
      <c r="AE29" s="1026">
        <f t="shared" ca="1" si="58"/>
        <v>0</v>
      </c>
      <c r="AF29" s="1026">
        <f t="shared" ca="1" si="58"/>
        <v>0</v>
      </c>
      <c r="AG29" s="1026">
        <f t="shared" ca="1" si="58"/>
        <v>0</v>
      </c>
      <c r="AH29" s="1026">
        <f t="shared" ca="1" si="58"/>
        <v>0</v>
      </c>
      <c r="AI29" s="1026">
        <f t="shared" ca="1" si="58"/>
        <v>0</v>
      </c>
      <c r="AJ29" s="1026">
        <f t="shared" ca="1" si="58"/>
        <v>0</v>
      </c>
      <c r="AK29" s="1027">
        <f t="shared" ca="1" si="60"/>
        <v>-80.11820802344954</v>
      </c>
      <c r="AM29" s="1038">
        <f t="shared" ref="AM29:AU30" ca="1" si="77">IFERROR(INDEX(INDIRECT($C29&amp;".Outputs["&amp;this.Year&amp;"]"), MATCH(AM$5, INDIRECT($C29&amp;".Outputs[Vector]"), 0)), 0)</f>
        <v>0</v>
      </c>
      <c r="AN29" s="1038">
        <f t="shared" ca="1" si="77"/>
        <v>0</v>
      </c>
      <c r="AO29" s="1038">
        <f t="shared" ca="1" si="77"/>
        <v>0</v>
      </c>
      <c r="AP29" s="1038">
        <f t="shared" ca="1" si="77"/>
        <v>0</v>
      </c>
      <c r="AQ29" s="1038">
        <f t="shared" ca="1" si="77"/>
        <v>0</v>
      </c>
      <c r="AR29" s="1038">
        <f t="shared" ca="1" si="77"/>
        <v>0</v>
      </c>
      <c r="AS29" s="1038">
        <f t="shared" ca="1" si="77"/>
        <v>0</v>
      </c>
      <c r="AT29" s="1038">
        <f t="shared" ca="1" si="77"/>
        <v>0</v>
      </c>
      <c r="AU29" s="1038">
        <f t="shared" ca="1" si="77"/>
        <v>0</v>
      </c>
      <c r="AV29" s="1038">
        <f t="shared" ca="1" si="58"/>
        <v>0</v>
      </c>
      <c r="AW29" s="1038">
        <f t="shared" ca="1" si="58"/>
        <v>0</v>
      </c>
      <c r="AX29" s="1038">
        <f t="shared" ca="1" si="58"/>
        <v>0</v>
      </c>
      <c r="AY29" s="1038">
        <f t="shared" ca="1" si="58"/>
        <v>0</v>
      </c>
      <c r="AZ29" s="1038">
        <f t="shared" ca="1" si="58"/>
        <v>0</v>
      </c>
      <c r="BA29" s="1038">
        <f t="shared" ca="1" si="58"/>
        <v>0</v>
      </c>
      <c r="BB29" s="1038">
        <f t="shared" ca="1" si="58"/>
        <v>0</v>
      </c>
      <c r="BC29" s="1038">
        <f t="shared" ca="1" si="58"/>
        <v>0</v>
      </c>
      <c r="BD29" s="1038">
        <f t="shared" ca="1" si="58"/>
        <v>0</v>
      </c>
      <c r="BE29" s="1038">
        <f t="shared" ca="1" si="58"/>
        <v>0</v>
      </c>
      <c r="BF29" s="979">
        <f t="shared" ca="1" si="62"/>
        <v>0</v>
      </c>
      <c r="BH29" s="1032">
        <f t="shared" ca="1" si="63"/>
        <v>0</v>
      </c>
      <c r="BI29" s="1032">
        <f t="shared" ca="1" si="63"/>
        <v>0</v>
      </c>
      <c r="BJ29" s="1034">
        <f t="shared" ca="1" si="64"/>
        <v>0</v>
      </c>
      <c r="BL29" s="814">
        <f t="shared" ca="1" si="9"/>
        <v>0</v>
      </c>
      <c r="BM29" s="814"/>
      <c r="BN29" s="840"/>
      <c r="BO29" s="1481">
        <f t="shared" ref="BO29:BX30" ca="1" si="78">IFERROR(SUMIFS(INDIRECT($C29&amp;".Emissions["&amp;this.Year&amp;"]"), INDIRECT($C29&amp;".Emissions[GHG]"), BO$6, INDIRECT($C29&amp;".Emissions[IPCC Sector]"), BO$5),0)</f>
        <v>0</v>
      </c>
      <c r="BP29" s="1482">
        <f t="shared" ca="1" si="78"/>
        <v>0</v>
      </c>
      <c r="BQ29" s="1482">
        <f t="shared" ca="1" si="78"/>
        <v>0</v>
      </c>
      <c r="BR29" s="1482">
        <f t="shared" ca="1" si="78"/>
        <v>0</v>
      </c>
      <c r="BS29" s="1482">
        <f t="shared" ca="1" si="78"/>
        <v>0</v>
      </c>
      <c r="BT29" s="1482">
        <f t="shared" ca="1" si="78"/>
        <v>0</v>
      </c>
      <c r="BU29" s="1482">
        <f t="shared" ca="1" si="78"/>
        <v>0</v>
      </c>
      <c r="BV29" s="1482">
        <f t="shared" ca="1" si="78"/>
        <v>0</v>
      </c>
      <c r="BW29" s="1482">
        <f t="shared" ca="1" si="78"/>
        <v>0</v>
      </c>
      <c r="BX29" s="1482">
        <f t="shared" ca="1" si="78"/>
        <v>0</v>
      </c>
      <c r="BY29" s="1482">
        <f t="shared" ref="BY29:CH30" ca="1" si="79">IFERROR(SUMIFS(INDIRECT($C29&amp;".Emissions["&amp;this.Year&amp;"]"), INDIRECT($C29&amp;".Emissions[GHG]"), BY$6, INDIRECT($C29&amp;".Emissions[IPCC Sector]"), BY$5),0)</f>
        <v>0</v>
      </c>
      <c r="BZ29" s="1482">
        <f t="shared" ca="1" si="79"/>
        <v>0</v>
      </c>
      <c r="CA29" s="1482">
        <f t="shared" ca="1" si="79"/>
        <v>0</v>
      </c>
      <c r="CB29" s="1482">
        <f t="shared" ca="1" si="79"/>
        <v>0</v>
      </c>
      <c r="CC29" s="1482">
        <f t="shared" ca="1" si="79"/>
        <v>0</v>
      </c>
      <c r="CD29" s="1482">
        <f t="shared" ca="1" si="79"/>
        <v>0</v>
      </c>
      <c r="CE29" s="1482">
        <f t="shared" ca="1" si="79"/>
        <v>0</v>
      </c>
      <c r="CF29" s="1482">
        <f t="shared" ca="1" si="79"/>
        <v>0</v>
      </c>
      <c r="CG29" s="1482">
        <f t="shared" ca="1" si="79"/>
        <v>0</v>
      </c>
      <c r="CH29" s="1482">
        <f t="shared" ca="1" si="79"/>
        <v>0</v>
      </c>
      <c r="CI29" s="1482">
        <f t="shared" ref="CI29:CR30" ca="1" si="80">IFERROR(SUMIFS(INDIRECT($C29&amp;".Emissions["&amp;this.Year&amp;"]"), INDIRECT($C29&amp;".Emissions[GHG]"), CI$6, INDIRECT($C29&amp;".Emissions[IPCC Sector]"), CI$5),0)</f>
        <v>0</v>
      </c>
      <c r="CJ29" s="1482">
        <f t="shared" ca="1" si="80"/>
        <v>0</v>
      </c>
      <c r="CK29" s="1482">
        <f t="shared" ca="1" si="80"/>
        <v>0</v>
      </c>
      <c r="CL29" s="1482">
        <f t="shared" ca="1" si="80"/>
        <v>0</v>
      </c>
      <c r="CM29" s="1482">
        <f t="shared" ca="1" si="80"/>
        <v>0</v>
      </c>
      <c r="CN29" s="1482">
        <f t="shared" ca="1" si="80"/>
        <v>0</v>
      </c>
      <c r="CO29" s="1482">
        <f t="shared" ca="1" si="80"/>
        <v>0</v>
      </c>
      <c r="CP29" s="1482">
        <f t="shared" ca="1" si="80"/>
        <v>0</v>
      </c>
      <c r="CQ29" s="1482">
        <f t="shared" ca="1" si="80"/>
        <v>0</v>
      </c>
      <c r="CR29" s="1482">
        <f t="shared" ca="1" si="80"/>
        <v>0</v>
      </c>
      <c r="CS29" s="1482">
        <f t="shared" ref="CS29:DF30" ca="1" si="81">IFERROR(SUMIFS(INDIRECT($C29&amp;".Emissions["&amp;this.Year&amp;"]"), INDIRECT($C29&amp;".Emissions[GHG]"), CS$6, INDIRECT($C29&amp;".Emissions[IPCC Sector]"), CS$5),0)</f>
        <v>0</v>
      </c>
      <c r="CT29" s="1482">
        <f t="shared" ca="1" si="81"/>
        <v>0</v>
      </c>
      <c r="CU29" s="1482">
        <f t="shared" ca="1" si="81"/>
        <v>20.029552005862385</v>
      </c>
      <c r="CV29" s="1482">
        <f t="shared" ca="1" si="81"/>
        <v>2.4936713175611365E-2</v>
      </c>
      <c r="CW29" s="1482">
        <f t="shared" ca="1" si="81"/>
        <v>0.3603726829528438</v>
      </c>
      <c r="CX29" s="1482">
        <f t="shared" ca="1" si="81"/>
        <v>0</v>
      </c>
      <c r="CY29" s="1482">
        <f t="shared" ca="1" si="81"/>
        <v>0</v>
      </c>
      <c r="CZ29" s="1482">
        <f t="shared" ca="1" si="81"/>
        <v>0</v>
      </c>
      <c r="DA29" s="1482">
        <f t="shared" ca="1" si="81"/>
        <v>0</v>
      </c>
      <c r="DB29" s="1482">
        <f t="shared" ca="1" si="81"/>
        <v>0</v>
      </c>
      <c r="DC29" s="1482">
        <f t="shared" ca="1" si="81"/>
        <v>0</v>
      </c>
      <c r="DD29" s="1482">
        <f t="shared" ca="1" si="81"/>
        <v>0</v>
      </c>
      <c r="DE29" s="1482">
        <f t="shared" ca="1" si="81"/>
        <v>0</v>
      </c>
      <c r="DF29" s="1482">
        <f t="shared" ca="1" si="81"/>
        <v>0</v>
      </c>
      <c r="DH29" s="838">
        <f t="shared" ca="1" si="35"/>
        <v>20.414861401990841</v>
      </c>
    </row>
    <row r="30" spans="1:112" s="743" customFormat="1" ht="10.5" hidden="1" customHeight="1" outlineLevel="2">
      <c r="A30" s="1483"/>
      <c r="B30" s="1483"/>
      <c r="C30" s="1009" t="s">
        <v>959</v>
      </c>
      <c r="D30" s="1005" t="str">
        <f>INDEX(Modules[Module], MATCH($C30, Modules[Code], 0))</f>
        <v>National navigation [UNUSED - see XII.a]</v>
      </c>
      <c r="E30" s="1006"/>
      <c r="G30" s="1018">
        <f t="shared" ca="1" si="75"/>
        <v>0</v>
      </c>
      <c r="H30" s="1018">
        <f t="shared" ca="1" si="75"/>
        <v>0</v>
      </c>
      <c r="I30" s="1018">
        <f t="shared" ca="1" si="75"/>
        <v>0</v>
      </c>
      <c r="J30" s="1018">
        <f t="shared" ca="1" si="75"/>
        <v>0</v>
      </c>
      <c r="K30" s="1018">
        <f t="shared" ca="1" si="75"/>
        <v>0</v>
      </c>
      <c r="L30" s="1018">
        <f t="shared" ca="1" si="75"/>
        <v>0</v>
      </c>
      <c r="M30" s="1018">
        <f t="shared" ca="1" si="75"/>
        <v>0</v>
      </c>
      <c r="N30" s="1018">
        <f t="shared" ca="1" si="75"/>
        <v>0</v>
      </c>
      <c r="O30" s="1018">
        <f t="shared" ca="1" si="75"/>
        <v>0</v>
      </c>
      <c r="P30" s="1018">
        <f t="shared" ca="1" si="75"/>
        <v>0</v>
      </c>
      <c r="Q30" s="1024">
        <f t="shared" ca="1" si="69"/>
        <v>0</v>
      </c>
      <c r="S30" s="1028">
        <f t="shared" ca="1" si="58"/>
        <v>0</v>
      </c>
      <c r="T30" s="1028">
        <f t="shared" ca="1" si="58"/>
        <v>0</v>
      </c>
      <c r="U30" s="1028">
        <f t="shared" ca="1" si="58"/>
        <v>0</v>
      </c>
      <c r="V30" s="1028">
        <f t="shared" ca="1" si="58"/>
        <v>0</v>
      </c>
      <c r="W30" s="1028">
        <f t="shared" ca="1" si="58"/>
        <v>0</v>
      </c>
      <c r="X30" s="1028">
        <f t="shared" ca="1" si="76"/>
        <v>0</v>
      </c>
      <c r="Y30" s="1028">
        <f t="shared" ca="1" si="76"/>
        <v>0</v>
      </c>
      <c r="Z30" s="1028">
        <f t="shared" ca="1" si="76"/>
        <v>0</v>
      </c>
      <c r="AA30" s="1028">
        <f t="shared" ca="1" si="58"/>
        <v>0</v>
      </c>
      <c r="AB30" s="1028">
        <f t="shared" ca="1" si="58"/>
        <v>0</v>
      </c>
      <c r="AC30" s="1028">
        <f t="shared" ca="1" si="58"/>
        <v>0</v>
      </c>
      <c r="AD30" s="1028">
        <f t="shared" ca="1" si="58"/>
        <v>0</v>
      </c>
      <c r="AE30" s="1028">
        <f t="shared" ca="1" si="58"/>
        <v>0</v>
      </c>
      <c r="AF30" s="1028">
        <f t="shared" ca="1" si="58"/>
        <v>0</v>
      </c>
      <c r="AG30" s="1028">
        <f t="shared" ca="1" si="58"/>
        <v>0</v>
      </c>
      <c r="AH30" s="1028">
        <f t="shared" ca="1" si="58"/>
        <v>0</v>
      </c>
      <c r="AI30" s="1028">
        <f t="shared" ca="1" si="58"/>
        <v>0</v>
      </c>
      <c r="AJ30" s="1028">
        <f t="shared" ca="1" si="58"/>
        <v>0</v>
      </c>
      <c r="AK30" s="1029">
        <f t="shared" ca="1" si="60"/>
        <v>0</v>
      </c>
      <c r="AM30" s="1039">
        <f t="shared" ca="1" si="77"/>
        <v>0</v>
      </c>
      <c r="AN30" s="1039">
        <f t="shared" ca="1" si="77"/>
        <v>0</v>
      </c>
      <c r="AO30" s="1039">
        <f t="shared" ca="1" si="77"/>
        <v>0</v>
      </c>
      <c r="AP30" s="1039">
        <f t="shared" ca="1" si="77"/>
        <v>0</v>
      </c>
      <c r="AQ30" s="1039">
        <f t="shared" ca="1" si="77"/>
        <v>0</v>
      </c>
      <c r="AR30" s="1039">
        <f t="shared" ca="1" si="77"/>
        <v>0</v>
      </c>
      <c r="AS30" s="1039">
        <f t="shared" ca="1" si="77"/>
        <v>0</v>
      </c>
      <c r="AT30" s="1039">
        <f t="shared" ca="1" si="77"/>
        <v>0</v>
      </c>
      <c r="AU30" s="1039">
        <f t="shared" ca="1" si="77"/>
        <v>0</v>
      </c>
      <c r="AV30" s="1039">
        <f t="shared" ca="1" si="58"/>
        <v>0</v>
      </c>
      <c r="AW30" s="1039">
        <f t="shared" ca="1" si="58"/>
        <v>0</v>
      </c>
      <c r="AX30" s="1039">
        <f t="shared" ca="1" si="58"/>
        <v>0</v>
      </c>
      <c r="AY30" s="1039">
        <f t="shared" ca="1" si="58"/>
        <v>0</v>
      </c>
      <c r="AZ30" s="1039">
        <f t="shared" ca="1" si="58"/>
        <v>0</v>
      </c>
      <c r="BA30" s="1039">
        <f t="shared" ca="1" si="58"/>
        <v>0</v>
      </c>
      <c r="BB30" s="1039">
        <f t="shared" ca="1" si="58"/>
        <v>0</v>
      </c>
      <c r="BC30" s="1039">
        <f t="shared" ca="1" si="58"/>
        <v>0</v>
      </c>
      <c r="BD30" s="1039">
        <f t="shared" ca="1" si="58"/>
        <v>0</v>
      </c>
      <c r="BE30" s="1039">
        <f t="shared" ca="1" si="58"/>
        <v>0</v>
      </c>
      <c r="BF30" s="1008">
        <f t="shared" ca="1" si="62"/>
        <v>0</v>
      </c>
      <c r="BH30" s="1033">
        <f t="shared" ca="1" si="63"/>
        <v>0</v>
      </c>
      <c r="BI30" s="1033">
        <f t="shared" ca="1" si="63"/>
        <v>0</v>
      </c>
      <c r="BJ30" s="1044">
        <f t="shared" ca="1" si="64"/>
        <v>0</v>
      </c>
      <c r="BL30" s="1007">
        <f t="shared" ca="1" si="9"/>
        <v>0</v>
      </c>
      <c r="BM30" s="1007"/>
      <c r="BN30" s="840"/>
      <c r="BO30" s="1481">
        <f t="shared" ca="1" si="78"/>
        <v>0</v>
      </c>
      <c r="BP30" s="1482">
        <f t="shared" ca="1" si="78"/>
        <v>0</v>
      </c>
      <c r="BQ30" s="1482">
        <f t="shared" ca="1" si="78"/>
        <v>0</v>
      </c>
      <c r="BR30" s="1482">
        <f t="shared" ca="1" si="78"/>
        <v>0</v>
      </c>
      <c r="BS30" s="1482">
        <f t="shared" ca="1" si="78"/>
        <v>0</v>
      </c>
      <c r="BT30" s="1482">
        <f t="shared" ca="1" si="78"/>
        <v>0</v>
      </c>
      <c r="BU30" s="1482">
        <f t="shared" ca="1" si="78"/>
        <v>0</v>
      </c>
      <c r="BV30" s="1482">
        <f t="shared" ca="1" si="78"/>
        <v>0</v>
      </c>
      <c r="BW30" s="1482">
        <f t="shared" ca="1" si="78"/>
        <v>0</v>
      </c>
      <c r="BX30" s="1482">
        <f t="shared" ca="1" si="78"/>
        <v>0</v>
      </c>
      <c r="BY30" s="1482">
        <f t="shared" ca="1" si="79"/>
        <v>0</v>
      </c>
      <c r="BZ30" s="1482">
        <f t="shared" ca="1" si="79"/>
        <v>0</v>
      </c>
      <c r="CA30" s="1482">
        <f t="shared" ca="1" si="79"/>
        <v>0</v>
      </c>
      <c r="CB30" s="1482">
        <f t="shared" ca="1" si="79"/>
        <v>0</v>
      </c>
      <c r="CC30" s="1482">
        <f t="shared" ca="1" si="79"/>
        <v>0</v>
      </c>
      <c r="CD30" s="1482">
        <f t="shared" ca="1" si="79"/>
        <v>0</v>
      </c>
      <c r="CE30" s="1482">
        <f t="shared" ca="1" si="79"/>
        <v>0</v>
      </c>
      <c r="CF30" s="1482">
        <f t="shared" ca="1" si="79"/>
        <v>0</v>
      </c>
      <c r="CG30" s="1482">
        <f t="shared" ca="1" si="79"/>
        <v>0</v>
      </c>
      <c r="CH30" s="1482">
        <f t="shared" ca="1" si="79"/>
        <v>0</v>
      </c>
      <c r="CI30" s="1482">
        <f t="shared" ca="1" si="80"/>
        <v>0</v>
      </c>
      <c r="CJ30" s="1482">
        <f t="shared" ca="1" si="80"/>
        <v>0</v>
      </c>
      <c r="CK30" s="1482">
        <f t="shared" ca="1" si="80"/>
        <v>0</v>
      </c>
      <c r="CL30" s="1482">
        <f t="shared" ca="1" si="80"/>
        <v>0</v>
      </c>
      <c r="CM30" s="1482">
        <f t="shared" ca="1" si="80"/>
        <v>0</v>
      </c>
      <c r="CN30" s="1482">
        <f t="shared" ca="1" si="80"/>
        <v>0</v>
      </c>
      <c r="CO30" s="1482">
        <f t="shared" ca="1" si="80"/>
        <v>0</v>
      </c>
      <c r="CP30" s="1482">
        <f t="shared" ca="1" si="80"/>
        <v>0</v>
      </c>
      <c r="CQ30" s="1482">
        <f t="shared" ca="1" si="80"/>
        <v>0</v>
      </c>
      <c r="CR30" s="1482">
        <f t="shared" ca="1" si="80"/>
        <v>0</v>
      </c>
      <c r="CS30" s="1482">
        <f t="shared" ca="1" si="81"/>
        <v>0</v>
      </c>
      <c r="CT30" s="1482">
        <f t="shared" ca="1" si="81"/>
        <v>0</v>
      </c>
      <c r="CU30" s="1482">
        <f t="shared" ca="1" si="81"/>
        <v>0</v>
      </c>
      <c r="CV30" s="1482">
        <f t="shared" ca="1" si="81"/>
        <v>0</v>
      </c>
      <c r="CW30" s="1482">
        <f t="shared" ca="1" si="81"/>
        <v>0</v>
      </c>
      <c r="CX30" s="1482">
        <f t="shared" ca="1" si="81"/>
        <v>0</v>
      </c>
      <c r="CY30" s="1482">
        <f t="shared" ca="1" si="81"/>
        <v>0</v>
      </c>
      <c r="CZ30" s="1482">
        <f t="shared" ca="1" si="81"/>
        <v>0</v>
      </c>
      <c r="DA30" s="1482">
        <f t="shared" ca="1" si="81"/>
        <v>0</v>
      </c>
      <c r="DB30" s="1482">
        <f t="shared" ca="1" si="81"/>
        <v>0</v>
      </c>
      <c r="DC30" s="1482">
        <f t="shared" ca="1" si="81"/>
        <v>0</v>
      </c>
      <c r="DD30" s="1482">
        <f t="shared" ca="1" si="81"/>
        <v>0</v>
      </c>
      <c r="DE30" s="1482">
        <f t="shared" ca="1" si="81"/>
        <v>0</v>
      </c>
      <c r="DF30" s="1482">
        <f t="shared" ca="1" si="81"/>
        <v>0</v>
      </c>
      <c r="DH30" s="838">
        <f t="shared" ca="1" si="35"/>
        <v>0</v>
      </c>
    </row>
    <row r="31" spans="1:112" s="743" customFormat="1" ht="11.25" hidden="1" customHeight="1" outlineLevel="1">
      <c r="A31" s="1484"/>
      <c r="B31" s="1484"/>
      <c r="C31" s="746"/>
      <c r="D31" s="1011" t="s">
        <v>961</v>
      </c>
      <c r="E31" s="1010"/>
      <c r="G31" s="1020">
        <f ca="1">SUM(G29:G30)</f>
        <v>0</v>
      </c>
      <c r="H31" s="1020">
        <f t="shared" ref="H31:P31" ca="1" si="82">SUM(H29:H30)</f>
        <v>0</v>
      </c>
      <c r="I31" s="1020">
        <f t="shared" ca="1" si="82"/>
        <v>0</v>
      </c>
      <c r="J31" s="1020">
        <f t="shared" ca="1" si="82"/>
        <v>0</v>
      </c>
      <c r="K31" s="1020">
        <f t="shared" ca="1" si="82"/>
        <v>0</v>
      </c>
      <c r="L31" s="1020">
        <f t="shared" ca="1" si="82"/>
        <v>0</v>
      </c>
      <c r="M31" s="1020">
        <f t="shared" ca="1" si="82"/>
        <v>0</v>
      </c>
      <c r="N31" s="1020">
        <f t="shared" ca="1" si="82"/>
        <v>0</v>
      </c>
      <c r="O31" s="1020">
        <f t="shared" ca="1" si="82"/>
        <v>80.11820802344954</v>
      </c>
      <c r="P31" s="1020">
        <f t="shared" ca="1" si="82"/>
        <v>0</v>
      </c>
      <c r="Q31" s="1020">
        <f t="shared" ca="1" si="69"/>
        <v>80.11820802344954</v>
      </c>
      <c r="S31" s="1030">
        <f t="shared" ref="S31:Z31" ca="1" si="83">SUM(S29:S30)</f>
        <v>0</v>
      </c>
      <c r="T31" s="1030">
        <f t="shared" ca="1" si="83"/>
        <v>0</v>
      </c>
      <c r="U31" s="1030">
        <f t="shared" ca="1" si="83"/>
        <v>0</v>
      </c>
      <c r="V31" s="1030">
        <f t="shared" ca="1" si="83"/>
        <v>-80.11820802344954</v>
      </c>
      <c r="W31" s="1030">
        <f t="shared" ca="1" si="83"/>
        <v>0</v>
      </c>
      <c r="X31" s="1132">
        <f t="shared" ca="1" si="83"/>
        <v>0</v>
      </c>
      <c r="Y31" s="1132">
        <f t="shared" ca="1" si="83"/>
        <v>0</v>
      </c>
      <c r="Z31" s="1132">
        <f t="shared" ca="1" si="83"/>
        <v>0</v>
      </c>
      <c r="AA31" s="1030">
        <f t="shared" ref="AA31:AJ31" ca="1" si="84">SUM(AA29:AA30)</f>
        <v>0</v>
      </c>
      <c r="AB31" s="1030">
        <f t="shared" ca="1" si="84"/>
        <v>0</v>
      </c>
      <c r="AC31" s="1030">
        <f t="shared" ca="1" si="84"/>
        <v>0</v>
      </c>
      <c r="AD31" s="1030">
        <f ca="1">SUM(AD29:AD30)</f>
        <v>0</v>
      </c>
      <c r="AE31" s="1030">
        <f ca="1">SUM(AE29:AE30)</f>
        <v>0</v>
      </c>
      <c r="AF31" s="1030">
        <f t="shared" ca="1" si="84"/>
        <v>0</v>
      </c>
      <c r="AG31" s="1030">
        <f ca="1">SUM(AG29:AG30)</f>
        <v>0</v>
      </c>
      <c r="AH31" s="1030">
        <f ca="1">SUM(AH29:AH30)</f>
        <v>0</v>
      </c>
      <c r="AI31" s="1030">
        <f ca="1">SUM(AI29:AI30)</f>
        <v>0</v>
      </c>
      <c r="AJ31" s="1030">
        <f t="shared" ca="1" si="84"/>
        <v>0</v>
      </c>
      <c r="AK31" s="1030">
        <f t="shared" ca="1" si="60"/>
        <v>-80.11820802344954</v>
      </c>
      <c r="AM31" s="1043">
        <f t="shared" ref="AM31:BE31" ca="1" si="85">SUM(AM29:AM30)</f>
        <v>0</v>
      </c>
      <c r="AN31" s="1043">
        <f t="shared" ca="1" si="85"/>
        <v>0</v>
      </c>
      <c r="AO31" s="1043">
        <f t="shared" ca="1" si="85"/>
        <v>0</v>
      </c>
      <c r="AP31" s="1043">
        <f t="shared" ca="1" si="85"/>
        <v>0</v>
      </c>
      <c r="AQ31" s="1043">
        <f t="shared" ca="1" si="85"/>
        <v>0</v>
      </c>
      <c r="AR31" s="1043">
        <f t="shared" ca="1" si="85"/>
        <v>0</v>
      </c>
      <c r="AS31" s="1043">
        <f t="shared" ca="1" si="85"/>
        <v>0</v>
      </c>
      <c r="AT31" s="1043">
        <f t="shared" ca="1" si="85"/>
        <v>0</v>
      </c>
      <c r="AU31" s="1043">
        <f t="shared" ca="1" si="85"/>
        <v>0</v>
      </c>
      <c r="AV31" s="1043">
        <f t="shared" ca="1" si="85"/>
        <v>0</v>
      </c>
      <c r="AW31" s="1043">
        <f t="shared" ca="1" si="85"/>
        <v>0</v>
      </c>
      <c r="AX31" s="1043">
        <f t="shared" ca="1" si="85"/>
        <v>0</v>
      </c>
      <c r="AY31" s="1043">
        <f t="shared" ca="1" si="85"/>
        <v>0</v>
      </c>
      <c r="AZ31" s="1043">
        <f t="shared" ca="1" si="85"/>
        <v>0</v>
      </c>
      <c r="BA31" s="1043">
        <f t="shared" ca="1" si="85"/>
        <v>0</v>
      </c>
      <c r="BB31" s="1043">
        <f t="shared" ca="1" si="85"/>
        <v>0</v>
      </c>
      <c r="BC31" s="1043">
        <f t="shared" ca="1" si="85"/>
        <v>0</v>
      </c>
      <c r="BD31" s="1043">
        <f t="shared" ca="1" si="85"/>
        <v>0</v>
      </c>
      <c r="BE31" s="1043">
        <f t="shared" ca="1" si="85"/>
        <v>0</v>
      </c>
      <c r="BF31" s="1013">
        <f t="shared" ca="1" si="62"/>
        <v>0</v>
      </c>
      <c r="BH31" s="1037">
        <f ca="1">SUM(BH29:BH30)</f>
        <v>0</v>
      </c>
      <c r="BI31" s="1037">
        <f ca="1">SUM(BI29:BI30)</f>
        <v>0</v>
      </c>
      <c r="BJ31" s="1035">
        <f t="shared" ca="1" si="64"/>
        <v>0</v>
      </c>
      <c r="BL31" s="524">
        <f t="shared" ca="1" si="9"/>
        <v>0</v>
      </c>
      <c r="BM31" s="524"/>
      <c r="BN31" s="1484"/>
      <c r="BO31" s="1485">
        <f t="shared" ref="BO31:DF31" ca="1" si="86">SUM(BO29:BO30)</f>
        <v>0</v>
      </c>
      <c r="BP31" s="1486">
        <f t="shared" ca="1" si="86"/>
        <v>0</v>
      </c>
      <c r="BQ31" s="1486">
        <f t="shared" ca="1" si="86"/>
        <v>0</v>
      </c>
      <c r="BR31" s="1486">
        <f t="shared" ca="1" si="86"/>
        <v>0</v>
      </c>
      <c r="BS31" s="1486">
        <f t="shared" ca="1" si="86"/>
        <v>0</v>
      </c>
      <c r="BT31" s="1486">
        <f t="shared" ca="1" si="86"/>
        <v>0</v>
      </c>
      <c r="BU31" s="1486">
        <f t="shared" ca="1" si="86"/>
        <v>0</v>
      </c>
      <c r="BV31" s="1486">
        <f t="shared" ca="1" si="86"/>
        <v>0</v>
      </c>
      <c r="BW31" s="1486">
        <f t="shared" ca="1" si="86"/>
        <v>0</v>
      </c>
      <c r="BX31" s="1486">
        <f t="shared" ca="1" si="86"/>
        <v>0</v>
      </c>
      <c r="BY31" s="1486">
        <f t="shared" ca="1" si="86"/>
        <v>0</v>
      </c>
      <c r="BZ31" s="1486">
        <f t="shared" ca="1" si="86"/>
        <v>0</v>
      </c>
      <c r="CA31" s="1486">
        <f t="shared" ca="1" si="86"/>
        <v>0</v>
      </c>
      <c r="CB31" s="1486">
        <f t="shared" ca="1" si="86"/>
        <v>0</v>
      </c>
      <c r="CC31" s="1486">
        <f t="shared" ca="1" si="86"/>
        <v>0</v>
      </c>
      <c r="CD31" s="1486">
        <f t="shared" ca="1" si="86"/>
        <v>0</v>
      </c>
      <c r="CE31" s="1486">
        <f t="shared" ca="1" si="86"/>
        <v>0</v>
      </c>
      <c r="CF31" s="1486">
        <f t="shared" ca="1" si="86"/>
        <v>0</v>
      </c>
      <c r="CG31" s="1486">
        <f t="shared" ca="1" si="86"/>
        <v>0</v>
      </c>
      <c r="CH31" s="1486">
        <f t="shared" ca="1" si="86"/>
        <v>0</v>
      </c>
      <c r="CI31" s="1486">
        <f t="shared" ca="1" si="86"/>
        <v>0</v>
      </c>
      <c r="CJ31" s="1486">
        <f t="shared" ca="1" si="86"/>
        <v>0</v>
      </c>
      <c r="CK31" s="1486">
        <f t="shared" ca="1" si="86"/>
        <v>0</v>
      </c>
      <c r="CL31" s="1486">
        <f t="shared" ca="1" si="86"/>
        <v>0</v>
      </c>
      <c r="CM31" s="1486">
        <f t="shared" ca="1" si="86"/>
        <v>0</v>
      </c>
      <c r="CN31" s="1486">
        <f t="shared" ca="1" si="86"/>
        <v>0</v>
      </c>
      <c r="CO31" s="1486">
        <f t="shared" ca="1" si="86"/>
        <v>0</v>
      </c>
      <c r="CP31" s="1486">
        <f t="shared" ca="1" si="86"/>
        <v>0</v>
      </c>
      <c r="CQ31" s="1486">
        <f t="shared" ca="1" si="86"/>
        <v>0</v>
      </c>
      <c r="CR31" s="1486">
        <f t="shared" ca="1" si="86"/>
        <v>0</v>
      </c>
      <c r="CS31" s="1486">
        <f t="shared" ca="1" si="86"/>
        <v>0</v>
      </c>
      <c r="CT31" s="1486">
        <f t="shared" ca="1" si="86"/>
        <v>0</v>
      </c>
      <c r="CU31" s="1486">
        <f t="shared" ca="1" si="86"/>
        <v>20.029552005862385</v>
      </c>
      <c r="CV31" s="1486">
        <f t="shared" ca="1" si="86"/>
        <v>2.4936713175611365E-2</v>
      </c>
      <c r="CW31" s="1486">
        <f t="shared" ca="1" si="86"/>
        <v>0.3603726829528438</v>
      </c>
      <c r="CX31" s="1486">
        <f t="shared" ca="1" si="86"/>
        <v>0</v>
      </c>
      <c r="CY31" s="1486">
        <f t="shared" ca="1" si="86"/>
        <v>0</v>
      </c>
      <c r="CZ31" s="1486">
        <f t="shared" ca="1" si="86"/>
        <v>0</v>
      </c>
      <c r="DA31" s="1486">
        <f t="shared" ca="1" si="86"/>
        <v>0</v>
      </c>
      <c r="DB31" s="1486">
        <f t="shared" ca="1" si="86"/>
        <v>0</v>
      </c>
      <c r="DC31" s="1486">
        <f t="shared" ca="1" si="86"/>
        <v>0</v>
      </c>
      <c r="DD31" s="1486">
        <f t="shared" ca="1" si="86"/>
        <v>0</v>
      </c>
      <c r="DE31" s="1486">
        <f t="shared" ca="1" si="86"/>
        <v>0</v>
      </c>
      <c r="DF31" s="1486">
        <f t="shared" ca="1" si="86"/>
        <v>0</v>
      </c>
      <c r="DH31" s="838">
        <f t="shared" ca="1" si="35"/>
        <v>20.414861401990841</v>
      </c>
    </row>
    <row r="32" spans="1:112" s="743" customFormat="1" ht="15.75" collapsed="1">
      <c r="A32" s="22"/>
      <c r="B32" s="753"/>
      <c r="C32" s="744" t="s">
        <v>679</v>
      </c>
      <c r="D32" s="517" t="str">
        <f>INDEX(Workstreams[Workstream], MATCH($C32, Workstreams[Code], 0))</f>
        <v>Transport</v>
      </c>
      <c r="E32" s="512"/>
      <c r="G32" s="1021">
        <f t="shared" ref="G32:P32" ca="1" si="87">G24+G25+G28+G31</f>
        <v>0</v>
      </c>
      <c r="H32" s="1021">
        <f t="shared" ca="1" si="87"/>
        <v>0</v>
      </c>
      <c r="I32" s="1021">
        <f t="shared" ca="1" si="87"/>
        <v>0</v>
      </c>
      <c r="J32" s="1021">
        <f t="shared" ca="1" si="87"/>
        <v>350.85541234498476</v>
      </c>
      <c r="K32" s="1021">
        <f t="shared" ca="1" si="87"/>
        <v>15.860444512419436</v>
      </c>
      <c r="L32" s="1021">
        <f t="shared" ca="1" si="87"/>
        <v>13.331077116581312</v>
      </c>
      <c r="M32" s="1021">
        <f t="shared" ca="1" si="87"/>
        <v>23.384829464713203</v>
      </c>
      <c r="N32" s="1021">
        <f t="shared" ca="1" si="87"/>
        <v>212.05653906435825</v>
      </c>
      <c r="O32" s="1021">
        <f t="shared" ca="1" si="87"/>
        <v>80.11820802344954</v>
      </c>
      <c r="P32" s="1021">
        <f t="shared" ca="1" si="87"/>
        <v>0</v>
      </c>
      <c r="Q32" s="1021">
        <f t="shared" ca="1" si="69"/>
        <v>695.60651052650655</v>
      </c>
      <c r="S32" s="970">
        <f t="shared" ref="S32:Z32" ca="1" si="88">S24+S25+S28+S31</f>
        <v>-14.707580757590048</v>
      </c>
      <c r="T32" s="970">
        <f t="shared" ca="1" si="88"/>
        <v>0</v>
      </c>
      <c r="U32" s="970">
        <f t="shared" ca="1" si="88"/>
        <v>0</v>
      </c>
      <c r="V32" s="970">
        <f t="shared" ca="1" si="88"/>
        <v>-680.89892976891656</v>
      </c>
      <c r="W32" s="970">
        <f t="shared" ca="1" si="88"/>
        <v>0</v>
      </c>
      <c r="X32" s="970">
        <f t="shared" ca="1" si="88"/>
        <v>0</v>
      </c>
      <c r="Y32" s="970">
        <f t="shared" ca="1" si="88"/>
        <v>0</v>
      </c>
      <c r="Z32" s="970">
        <f t="shared" ca="1" si="88"/>
        <v>0</v>
      </c>
      <c r="AA32" s="970">
        <f t="shared" ref="AA32:AJ32" ca="1" si="89">AA24+AA25+AA28+AA31</f>
        <v>0</v>
      </c>
      <c r="AB32" s="970">
        <f t="shared" ca="1" si="89"/>
        <v>0</v>
      </c>
      <c r="AC32" s="970">
        <f t="shared" ca="1" si="89"/>
        <v>0</v>
      </c>
      <c r="AD32" s="970">
        <f ca="1">AD24+AD25+AD28+AD31</f>
        <v>0</v>
      </c>
      <c r="AE32" s="970">
        <f ca="1">AE24+AE25+AE28+AE31</f>
        <v>0</v>
      </c>
      <c r="AF32" s="970">
        <f t="shared" ca="1" si="89"/>
        <v>0</v>
      </c>
      <c r="AG32" s="970">
        <f ca="1">AG24+AG25+AG28+AG31</f>
        <v>0</v>
      </c>
      <c r="AH32" s="970">
        <f ca="1">AH24+AH25+AH28+AH31</f>
        <v>0</v>
      </c>
      <c r="AI32" s="970">
        <f ca="1">AI24+AI25+AI28+AI31</f>
        <v>0</v>
      </c>
      <c r="AJ32" s="970">
        <f t="shared" ca="1" si="89"/>
        <v>0</v>
      </c>
      <c r="AK32" s="970">
        <f t="shared" ca="1" si="60"/>
        <v>-695.60651052650655</v>
      </c>
      <c r="AM32" s="976">
        <f t="shared" ref="AM32:AS32" ca="1" si="90">AM24+AM25+AM28+AM31</f>
        <v>0</v>
      </c>
      <c r="AN32" s="976">
        <f t="shared" ca="1" si="90"/>
        <v>0</v>
      </c>
      <c r="AO32" s="976">
        <f t="shared" ca="1" si="90"/>
        <v>0</v>
      </c>
      <c r="AP32" s="976">
        <f t="shared" ca="1" si="90"/>
        <v>0</v>
      </c>
      <c r="AQ32" s="976">
        <f t="shared" ca="1" si="90"/>
        <v>0</v>
      </c>
      <c r="AR32" s="976">
        <f t="shared" ca="1" si="90"/>
        <v>0</v>
      </c>
      <c r="AS32" s="976">
        <f t="shared" ca="1" si="90"/>
        <v>0</v>
      </c>
      <c r="AT32" s="976">
        <f t="shared" ref="AT32:BE32" ca="1" si="91">AT24+AT25+AT28+AT31</f>
        <v>0</v>
      </c>
      <c r="AU32" s="976">
        <f t="shared" ca="1" si="91"/>
        <v>0</v>
      </c>
      <c r="AV32" s="976">
        <f t="shared" ca="1" si="91"/>
        <v>0</v>
      </c>
      <c r="AW32" s="976">
        <f t="shared" ca="1" si="91"/>
        <v>0</v>
      </c>
      <c r="AX32" s="976">
        <f t="shared" ca="1" si="91"/>
        <v>0</v>
      </c>
      <c r="AY32" s="976">
        <f t="shared" ca="1" si="91"/>
        <v>0</v>
      </c>
      <c r="AZ32" s="976">
        <f t="shared" ca="1" si="91"/>
        <v>0</v>
      </c>
      <c r="BA32" s="976">
        <f t="shared" ca="1" si="91"/>
        <v>0</v>
      </c>
      <c r="BB32" s="976">
        <f t="shared" ca="1" si="91"/>
        <v>0</v>
      </c>
      <c r="BC32" s="976">
        <f t="shared" ca="1" si="91"/>
        <v>0</v>
      </c>
      <c r="BD32" s="976">
        <f t="shared" ca="1" si="91"/>
        <v>0</v>
      </c>
      <c r="BE32" s="976">
        <f t="shared" ca="1" si="91"/>
        <v>0</v>
      </c>
      <c r="BF32" s="976">
        <f t="shared" ca="1" si="62"/>
        <v>0</v>
      </c>
      <c r="BH32" s="990">
        <f ca="1">BH24+BH25+BH28+BH31</f>
        <v>0</v>
      </c>
      <c r="BI32" s="990">
        <f ca="1">BI24+BI25+BI28+BI31</f>
        <v>0</v>
      </c>
      <c r="BJ32" s="990">
        <f t="shared" ca="1" si="64"/>
        <v>0</v>
      </c>
      <c r="BL32" s="515">
        <f t="shared" ca="1" si="9"/>
        <v>0</v>
      </c>
      <c r="BM32" s="515"/>
      <c r="BN32" s="840"/>
      <c r="BO32" s="1482">
        <f t="shared" ref="BO32:DF32" ca="1" si="92">BO24+BO25+BO28+BO31</f>
        <v>97.181045670277172</v>
      </c>
      <c r="BP32" s="1482">
        <f t="shared" ca="1" si="92"/>
        <v>0.12099001821290863</v>
      </c>
      <c r="BQ32" s="1482">
        <f t="shared" ca="1" si="92"/>
        <v>1.7484861443785826</v>
      </c>
      <c r="BR32" s="1482">
        <f t="shared" ca="1" si="92"/>
        <v>0</v>
      </c>
      <c r="BS32" s="1482">
        <f t="shared" ca="1" si="92"/>
        <v>0</v>
      </c>
      <c r="BT32" s="1482">
        <f t="shared" ca="1" si="92"/>
        <v>0</v>
      </c>
      <c r="BU32" s="1482">
        <f t="shared" ca="1" si="92"/>
        <v>0</v>
      </c>
      <c r="BV32" s="1482">
        <f t="shared" ca="1" si="92"/>
        <v>0</v>
      </c>
      <c r="BW32" s="1482">
        <f t="shared" ca="1" si="92"/>
        <v>0</v>
      </c>
      <c r="BX32" s="1482">
        <f t="shared" ca="1" si="92"/>
        <v>0</v>
      </c>
      <c r="BY32" s="1482">
        <f t="shared" ca="1" si="92"/>
        <v>0</v>
      </c>
      <c r="BZ32" s="1482">
        <f t="shared" ca="1" si="92"/>
        <v>0</v>
      </c>
      <c r="CA32" s="1482">
        <f t="shared" ca="1" si="92"/>
        <v>0</v>
      </c>
      <c r="CB32" s="1482">
        <f t="shared" ca="1" si="92"/>
        <v>0</v>
      </c>
      <c r="CC32" s="1482">
        <f t="shared" ca="1" si="92"/>
        <v>0</v>
      </c>
      <c r="CD32" s="1482">
        <f t="shared" ca="1" si="92"/>
        <v>0</v>
      </c>
      <c r="CE32" s="1482">
        <f t="shared" ca="1" si="92"/>
        <v>0</v>
      </c>
      <c r="CF32" s="1482">
        <f t="shared" ca="1" si="92"/>
        <v>0</v>
      </c>
      <c r="CG32" s="1482">
        <f t="shared" ca="1" si="92"/>
        <v>0</v>
      </c>
      <c r="CH32" s="1482">
        <f t="shared" ca="1" si="92"/>
        <v>0</v>
      </c>
      <c r="CI32" s="1482">
        <f t="shared" ca="1" si="92"/>
        <v>0</v>
      </c>
      <c r="CJ32" s="1482">
        <f t="shared" ca="1" si="92"/>
        <v>0</v>
      </c>
      <c r="CK32" s="1482">
        <f t="shared" ca="1" si="92"/>
        <v>0</v>
      </c>
      <c r="CL32" s="1482">
        <f t="shared" ca="1" si="92"/>
        <v>0</v>
      </c>
      <c r="CM32" s="1482">
        <f t="shared" ca="1" si="92"/>
        <v>0</v>
      </c>
      <c r="CN32" s="1482">
        <f t="shared" ca="1" si="92"/>
        <v>0</v>
      </c>
      <c r="CO32" s="1482">
        <f t="shared" ca="1" si="92"/>
        <v>0</v>
      </c>
      <c r="CP32" s="1482">
        <f t="shared" ca="1" si="92"/>
        <v>0</v>
      </c>
      <c r="CQ32" s="1482">
        <f t="shared" ca="1" si="92"/>
        <v>0</v>
      </c>
      <c r="CR32" s="1482">
        <f t="shared" ca="1" si="92"/>
        <v>0</v>
      </c>
      <c r="CS32" s="1482">
        <f t="shared" ca="1" si="92"/>
        <v>0</v>
      </c>
      <c r="CT32" s="1482">
        <f t="shared" ca="1" si="92"/>
        <v>0</v>
      </c>
      <c r="CU32" s="1482">
        <f t="shared" ca="1" si="92"/>
        <v>73.04368677195194</v>
      </c>
      <c r="CV32" s="1482">
        <f t="shared" ca="1" si="92"/>
        <v>9.0939101672780492E-2</v>
      </c>
      <c r="CW32" s="1482">
        <f t="shared" ca="1" si="92"/>
        <v>1.3142055981617109</v>
      </c>
      <c r="CX32" s="1482">
        <f t="shared" ca="1" si="92"/>
        <v>0</v>
      </c>
      <c r="CY32" s="1482">
        <f t="shared" ca="1" si="92"/>
        <v>0</v>
      </c>
      <c r="CZ32" s="1482">
        <f t="shared" ca="1" si="92"/>
        <v>0</v>
      </c>
      <c r="DA32" s="1482">
        <f t="shared" ca="1" si="92"/>
        <v>0</v>
      </c>
      <c r="DB32" s="1482">
        <f t="shared" ca="1" si="92"/>
        <v>0</v>
      </c>
      <c r="DC32" s="1482">
        <f t="shared" ca="1" si="92"/>
        <v>0</v>
      </c>
      <c r="DD32" s="1482">
        <f t="shared" ca="1" si="92"/>
        <v>0</v>
      </c>
      <c r="DE32" s="1482">
        <f t="shared" ca="1" si="92"/>
        <v>0</v>
      </c>
      <c r="DF32" s="1482">
        <f t="shared" ca="1" si="92"/>
        <v>0</v>
      </c>
      <c r="DH32" s="838">
        <f t="shared" ca="1" si="35"/>
        <v>173.4993533046551</v>
      </c>
    </row>
    <row r="33" spans="1:112" s="743" customFormat="1" ht="12.75" hidden="1" customHeight="1" outlineLevel="1">
      <c r="A33" s="22"/>
      <c r="B33" s="22"/>
      <c r="C33" s="751"/>
      <c r="D33" s="512"/>
      <c r="E33" s="512"/>
      <c r="G33" s="1021"/>
      <c r="H33" s="1021"/>
      <c r="I33" s="1021"/>
      <c r="J33" s="1021"/>
      <c r="K33" s="1021"/>
      <c r="L33" s="1021"/>
      <c r="M33" s="1021"/>
      <c r="N33" s="1021"/>
      <c r="O33" s="1021"/>
      <c r="P33" s="1021"/>
      <c r="Q33" s="1021"/>
      <c r="S33" s="970"/>
      <c r="T33" s="970"/>
      <c r="U33" s="970"/>
      <c r="V33" s="970"/>
      <c r="W33" s="970"/>
      <c r="X33" s="970"/>
      <c r="Y33" s="970"/>
      <c r="Z33" s="970"/>
      <c r="AA33" s="970"/>
      <c r="AB33" s="970"/>
      <c r="AC33" s="970"/>
      <c r="AD33" s="970"/>
      <c r="AE33" s="970"/>
      <c r="AF33" s="970"/>
      <c r="AG33" s="970"/>
      <c r="AH33" s="970"/>
      <c r="AI33" s="970"/>
      <c r="AJ33" s="970"/>
      <c r="AK33" s="970"/>
      <c r="AM33" s="976"/>
      <c r="AN33" s="976"/>
      <c r="AO33" s="976"/>
      <c r="AP33" s="976"/>
      <c r="AQ33" s="976"/>
      <c r="AR33" s="976"/>
      <c r="AS33" s="976"/>
      <c r="AT33" s="976"/>
      <c r="AU33" s="976"/>
      <c r="AV33" s="976"/>
      <c r="AW33" s="976"/>
      <c r="AX33" s="976"/>
      <c r="AY33" s="976"/>
      <c r="AZ33" s="976"/>
      <c r="BA33" s="976"/>
      <c r="BB33" s="976"/>
      <c r="BC33" s="976"/>
      <c r="BD33" s="976"/>
      <c r="BE33" s="976"/>
      <c r="BF33" s="976"/>
      <c r="BH33" s="990"/>
      <c r="BI33" s="990"/>
      <c r="BJ33" s="990"/>
      <c r="BL33" s="515">
        <f t="shared" si="9"/>
        <v>0</v>
      </c>
      <c r="BM33" s="515"/>
      <c r="BN33" s="22"/>
      <c r="BO33" s="1482"/>
      <c r="BP33" s="1482"/>
      <c r="BQ33" s="1482"/>
      <c r="BR33" s="1482"/>
      <c r="BS33" s="1482"/>
      <c r="BT33" s="1482"/>
      <c r="BU33" s="1482"/>
      <c r="BV33" s="1482"/>
      <c r="BW33" s="1482"/>
      <c r="BX33" s="1482"/>
      <c r="BY33" s="1482"/>
      <c r="BZ33" s="1482"/>
      <c r="CA33" s="1482"/>
      <c r="CB33" s="1482"/>
      <c r="CC33" s="1482"/>
      <c r="CD33" s="1482"/>
      <c r="CE33" s="1482"/>
      <c r="CF33" s="1482"/>
      <c r="CG33" s="1482"/>
      <c r="CH33" s="1482"/>
      <c r="CI33" s="1482"/>
      <c r="CJ33" s="1482"/>
      <c r="CK33" s="1482"/>
      <c r="CL33" s="1482"/>
      <c r="CM33" s="1482"/>
      <c r="CN33" s="1482"/>
      <c r="CO33" s="1482"/>
      <c r="CP33" s="1482"/>
      <c r="CQ33" s="1482"/>
      <c r="CR33" s="1482"/>
      <c r="CS33" s="1482"/>
      <c r="CT33" s="1482"/>
      <c r="CU33" s="1482"/>
      <c r="CV33" s="1482"/>
      <c r="CW33" s="1482"/>
      <c r="CX33" s="1482"/>
      <c r="CY33" s="1482"/>
      <c r="CZ33" s="1482"/>
      <c r="DA33" s="1482"/>
      <c r="DB33" s="1482"/>
      <c r="DC33" s="1482"/>
      <c r="DD33" s="1482"/>
      <c r="DE33" s="1482"/>
      <c r="DF33" s="1482"/>
      <c r="DH33" s="838">
        <f t="shared" si="35"/>
        <v>0</v>
      </c>
    </row>
    <row r="34" spans="1:112" s="743" customFormat="1" ht="12.75" hidden="1" customHeight="1" outlineLevel="1">
      <c r="A34" s="1484"/>
      <c r="B34" s="1484"/>
      <c r="C34" s="746" t="s">
        <v>930</v>
      </c>
      <c r="D34" s="1010" t="str">
        <f>INDEX(Modules[Module], MATCH($C34, Modules[Code], 0))</f>
        <v>Food consumption [UNUSED]</v>
      </c>
      <c r="E34" s="1010"/>
      <c r="G34" s="1022">
        <f t="shared" ref="G34:P34" ca="1" si="93">IFERROR(INDEX(INDIRECT($C34&amp;".Outputs["&amp;this.Year&amp;"]"), MATCH(G$5, INDIRECT($C34&amp;".Outputs[Vector]"), 0)), 0)</f>
        <v>0</v>
      </c>
      <c r="H34" s="1022">
        <f t="shared" ca="1" si="93"/>
        <v>0</v>
      </c>
      <c r="I34" s="1022">
        <f t="shared" ca="1" si="93"/>
        <v>0</v>
      </c>
      <c r="J34" s="1022">
        <f t="shared" ca="1" si="93"/>
        <v>0</v>
      </c>
      <c r="K34" s="1022">
        <f t="shared" ca="1" si="93"/>
        <v>0</v>
      </c>
      <c r="L34" s="1022">
        <f t="shared" ca="1" si="93"/>
        <v>0</v>
      </c>
      <c r="M34" s="1022">
        <f t="shared" ca="1" si="93"/>
        <v>0</v>
      </c>
      <c r="N34" s="1022">
        <f t="shared" ca="1" si="93"/>
        <v>0</v>
      </c>
      <c r="O34" s="1022">
        <f t="shared" ca="1" si="93"/>
        <v>0</v>
      </c>
      <c r="P34" s="1022">
        <f t="shared" ca="1" si="93"/>
        <v>0</v>
      </c>
      <c r="Q34" s="1020">
        <f ca="1">SUM(G34:P34)</f>
        <v>0</v>
      </c>
      <c r="S34" s="1031">
        <f t="shared" ref="S34:BE34" ca="1" si="94">IFERROR(INDEX(INDIRECT($C34&amp;".Outputs["&amp;this.Year&amp;"]"), MATCH(S$5, INDIRECT($C34&amp;".Outputs[Vector]"), 0)), 0)</f>
        <v>0</v>
      </c>
      <c r="T34" s="1031">
        <f t="shared" ca="1" si="94"/>
        <v>0</v>
      </c>
      <c r="U34" s="1031">
        <f t="shared" ca="1" si="94"/>
        <v>0</v>
      </c>
      <c r="V34" s="1031">
        <f t="shared" ca="1" si="94"/>
        <v>0</v>
      </c>
      <c r="W34" s="1031">
        <f t="shared" ca="1" si="94"/>
        <v>0</v>
      </c>
      <c r="X34" s="1031">
        <f ca="1">IFERROR(INDEX(INDIRECT($C34&amp;".Outputs["&amp;this.Year&amp;"]"), MATCH(X$5, INDIRECT($C34&amp;".Outputs[Vector]"), 0)), 0)</f>
        <v>0</v>
      </c>
      <c r="Y34" s="1031">
        <f ca="1">IFERROR(INDEX(INDIRECT($C34&amp;".Outputs["&amp;this.Year&amp;"]"), MATCH(Y$5, INDIRECT($C34&amp;".Outputs[Vector]"), 0)), 0)</f>
        <v>0</v>
      </c>
      <c r="Z34" s="1031">
        <f ca="1">IFERROR(INDEX(INDIRECT($C34&amp;".Outputs["&amp;this.Year&amp;"]"), MATCH(Z$5, INDIRECT($C34&amp;".Outputs[Vector]"), 0)), 0)</f>
        <v>0</v>
      </c>
      <c r="AA34" s="1031">
        <f t="shared" ca="1" si="94"/>
        <v>0</v>
      </c>
      <c r="AB34" s="1031">
        <f t="shared" ca="1" si="94"/>
        <v>0</v>
      </c>
      <c r="AC34" s="1031">
        <f t="shared" ca="1" si="94"/>
        <v>0</v>
      </c>
      <c r="AD34" s="1031">
        <f t="shared" ca="1" si="94"/>
        <v>0</v>
      </c>
      <c r="AE34" s="1031">
        <f t="shared" ca="1" si="94"/>
        <v>0</v>
      </c>
      <c r="AF34" s="1031">
        <f t="shared" ca="1" si="94"/>
        <v>0</v>
      </c>
      <c r="AG34" s="1031">
        <f t="shared" ca="1" si="94"/>
        <v>0</v>
      </c>
      <c r="AH34" s="1031">
        <f t="shared" ca="1" si="94"/>
        <v>0</v>
      </c>
      <c r="AI34" s="1031">
        <f t="shared" ca="1" si="94"/>
        <v>0</v>
      </c>
      <c r="AJ34" s="1031">
        <f t="shared" ca="1" si="94"/>
        <v>0</v>
      </c>
      <c r="AK34" s="1030">
        <f ca="1">SUM(S34:AJ34)</f>
        <v>0</v>
      </c>
      <c r="AM34" s="1042">
        <f t="shared" ref="AM34:AU34" ca="1" si="95">IFERROR(INDEX(INDIRECT($C34&amp;".Outputs["&amp;this.Year&amp;"]"), MATCH(AM$5, INDIRECT($C34&amp;".Outputs[Vector]"), 0)), 0)</f>
        <v>0</v>
      </c>
      <c r="AN34" s="1042">
        <f t="shared" ca="1" si="95"/>
        <v>0</v>
      </c>
      <c r="AO34" s="1042">
        <f t="shared" ca="1" si="95"/>
        <v>0</v>
      </c>
      <c r="AP34" s="1042">
        <f t="shared" ca="1" si="95"/>
        <v>0</v>
      </c>
      <c r="AQ34" s="1042">
        <f t="shared" ca="1" si="95"/>
        <v>0</v>
      </c>
      <c r="AR34" s="1042">
        <f t="shared" ca="1" si="95"/>
        <v>0</v>
      </c>
      <c r="AS34" s="1042">
        <f t="shared" ca="1" si="95"/>
        <v>0</v>
      </c>
      <c r="AT34" s="1042">
        <f t="shared" ca="1" si="95"/>
        <v>0</v>
      </c>
      <c r="AU34" s="1042">
        <f t="shared" ca="1" si="95"/>
        <v>0</v>
      </c>
      <c r="AV34" s="1042">
        <f t="shared" ca="1" si="94"/>
        <v>0</v>
      </c>
      <c r="AW34" s="1042">
        <f t="shared" ca="1" si="94"/>
        <v>0</v>
      </c>
      <c r="AX34" s="1042">
        <f t="shared" ca="1" si="94"/>
        <v>0</v>
      </c>
      <c r="AY34" s="1042">
        <f t="shared" ca="1" si="94"/>
        <v>0</v>
      </c>
      <c r="AZ34" s="1042">
        <f t="shared" ca="1" si="94"/>
        <v>0</v>
      </c>
      <c r="BA34" s="1042">
        <f t="shared" ca="1" si="94"/>
        <v>0</v>
      </c>
      <c r="BB34" s="1042">
        <f t="shared" ca="1" si="94"/>
        <v>0</v>
      </c>
      <c r="BC34" s="1042">
        <f t="shared" ca="1" si="94"/>
        <v>0</v>
      </c>
      <c r="BD34" s="1042">
        <f t="shared" ca="1" si="94"/>
        <v>0</v>
      </c>
      <c r="BE34" s="1042">
        <f t="shared" ca="1" si="94"/>
        <v>0</v>
      </c>
      <c r="BF34" s="1012">
        <f ca="1">SUM(AM34:BE34)</f>
        <v>0</v>
      </c>
      <c r="BH34" s="1036">
        <f ca="1">IFERROR(INDEX(INDIRECT($C34&amp;".Outputs["&amp;this.Year&amp;"]"), MATCH(BH$5, INDIRECT($C34&amp;".Outputs[Vector]"), 0)), 0)</f>
        <v>0</v>
      </c>
      <c r="BI34" s="1036">
        <f ca="1">IFERROR(INDEX(INDIRECT($C34&amp;".Outputs["&amp;this.Year&amp;"]"), MATCH(BI$5, INDIRECT($C34&amp;".Outputs[Vector]"), 0)), 0)</f>
        <v>0</v>
      </c>
      <c r="BJ34" s="1035">
        <f ca="1">SUM(BH34:BI34)</f>
        <v>0</v>
      </c>
      <c r="BL34" s="814">
        <f t="shared" ca="1" si="9"/>
        <v>0</v>
      </c>
      <c r="BM34" s="814"/>
      <c r="BN34" s="840"/>
      <c r="BO34" s="1485">
        <f t="shared" ref="BO34:DF34" ca="1" si="96">IFERROR(SUMIFS(INDIRECT($C34&amp;".Emissions["&amp;this.Year&amp;"]"), INDIRECT($C34&amp;".Emissions[GHG]"), BO$6, INDIRECT($C34&amp;".Emissions[IPCC Sector]"), BO$5),0)</f>
        <v>0</v>
      </c>
      <c r="BP34" s="1486">
        <f t="shared" ca="1" si="96"/>
        <v>0</v>
      </c>
      <c r="BQ34" s="1486">
        <f t="shared" ca="1" si="96"/>
        <v>0</v>
      </c>
      <c r="BR34" s="1486">
        <f t="shared" ca="1" si="96"/>
        <v>0</v>
      </c>
      <c r="BS34" s="1486">
        <f t="shared" ca="1" si="96"/>
        <v>0</v>
      </c>
      <c r="BT34" s="1486">
        <f t="shared" ca="1" si="96"/>
        <v>0</v>
      </c>
      <c r="BU34" s="1486">
        <f t="shared" ca="1" si="96"/>
        <v>0</v>
      </c>
      <c r="BV34" s="1486">
        <f t="shared" ca="1" si="96"/>
        <v>0</v>
      </c>
      <c r="BW34" s="1486">
        <f t="shared" ca="1" si="96"/>
        <v>0</v>
      </c>
      <c r="BX34" s="1486">
        <f t="shared" ca="1" si="96"/>
        <v>0</v>
      </c>
      <c r="BY34" s="1486">
        <f t="shared" ca="1" si="96"/>
        <v>0</v>
      </c>
      <c r="BZ34" s="1486">
        <f t="shared" ca="1" si="96"/>
        <v>0</v>
      </c>
      <c r="CA34" s="1486">
        <f t="shared" ca="1" si="96"/>
        <v>0</v>
      </c>
      <c r="CB34" s="1486">
        <f t="shared" ca="1" si="96"/>
        <v>0</v>
      </c>
      <c r="CC34" s="1486">
        <f t="shared" ca="1" si="96"/>
        <v>0</v>
      </c>
      <c r="CD34" s="1486">
        <f t="shared" ca="1" si="96"/>
        <v>0</v>
      </c>
      <c r="CE34" s="1486">
        <f t="shared" ca="1" si="96"/>
        <v>0</v>
      </c>
      <c r="CF34" s="1486">
        <f t="shared" ca="1" si="96"/>
        <v>0</v>
      </c>
      <c r="CG34" s="1486">
        <f t="shared" ca="1" si="96"/>
        <v>0</v>
      </c>
      <c r="CH34" s="1486">
        <f t="shared" ca="1" si="96"/>
        <v>0</v>
      </c>
      <c r="CI34" s="1486">
        <f t="shared" ca="1" si="96"/>
        <v>0</v>
      </c>
      <c r="CJ34" s="1486">
        <f t="shared" ca="1" si="96"/>
        <v>0</v>
      </c>
      <c r="CK34" s="1486">
        <f t="shared" ca="1" si="96"/>
        <v>0</v>
      </c>
      <c r="CL34" s="1486">
        <f t="shared" ca="1" si="96"/>
        <v>0</v>
      </c>
      <c r="CM34" s="1486">
        <f t="shared" ca="1" si="96"/>
        <v>0</v>
      </c>
      <c r="CN34" s="1486">
        <f t="shared" ca="1" si="96"/>
        <v>0</v>
      </c>
      <c r="CO34" s="1486">
        <f t="shared" ca="1" si="96"/>
        <v>0</v>
      </c>
      <c r="CP34" s="1486">
        <f t="shared" ca="1" si="96"/>
        <v>0</v>
      </c>
      <c r="CQ34" s="1486">
        <f t="shared" ca="1" si="96"/>
        <v>0</v>
      </c>
      <c r="CR34" s="1486">
        <f t="shared" ca="1" si="96"/>
        <v>0</v>
      </c>
      <c r="CS34" s="1486">
        <f t="shared" ca="1" si="96"/>
        <v>0</v>
      </c>
      <c r="CT34" s="1486">
        <f t="shared" ca="1" si="96"/>
        <v>0</v>
      </c>
      <c r="CU34" s="1486">
        <f t="shared" ca="1" si="96"/>
        <v>0</v>
      </c>
      <c r="CV34" s="1486">
        <f t="shared" ca="1" si="96"/>
        <v>0</v>
      </c>
      <c r="CW34" s="1486">
        <f t="shared" ca="1" si="96"/>
        <v>0</v>
      </c>
      <c r="CX34" s="1486">
        <f t="shared" ca="1" si="96"/>
        <v>0</v>
      </c>
      <c r="CY34" s="1486">
        <f t="shared" ca="1" si="96"/>
        <v>0</v>
      </c>
      <c r="CZ34" s="1486">
        <f t="shared" ca="1" si="96"/>
        <v>0</v>
      </c>
      <c r="DA34" s="1486">
        <f t="shared" ca="1" si="96"/>
        <v>0</v>
      </c>
      <c r="DB34" s="1486">
        <f t="shared" ca="1" si="96"/>
        <v>0</v>
      </c>
      <c r="DC34" s="1486">
        <f t="shared" ca="1" si="96"/>
        <v>0</v>
      </c>
      <c r="DD34" s="1486">
        <f t="shared" ca="1" si="96"/>
        <v>0</v>
      </c>
      <c r="DE34" s="1486">
        <f t="shared" ca="1" si="96"/>
        <v>0</v>
      </c>
      <c r="DF34" s="1486">
        <f t="shared" ca="1" si="96"/>
        <v>0</v>
      </c>
      <c r="DH34" s="838">
        <f t="shared" ca="1" si="35"/>
        <v>0</v>
      </c>
    </row>
    <row r="35" spans="1:112" s="743" customFormat="1" ht="15.75" collapsed="1">
      <c r="A35" s="22"/>
      <c r="B35" s="753"/>
      <c r="C35" s="744" t="s">
        <v>680</v>
      </c>
      <c r="D35" s="517" t="str">
        <f>INDEX(Workstreams[Workstream], MATCH($C35, Workstreams[Code], 0))</f>
        <v>Food consumption [UNUSED]</v>
      </c>
      <c r="E35" s="512"/>
      <c r="G35" s="1021">
        <f ca="1">G34</f>
        <v>0</v>
      </c>
      <c r="H35" s="1021">
        <f t="shared" ref="H35:P35" ca="1" si="97">H34</f>
        <v>0</v>
      </c>
      <c r="I35" s="1021">
        <f t="shared" ca="1" si="97"/>
        <v>0</v>
      </c>
      <c r="J35" s="1021">
        <f t="shared" ca="1" si="97"/>
        <v>0</v>
      </c>
      <c r="K35" s="1021">
        <f t="shared" ca="1" si="97"/>
        <v>0</v>
      </c>
      <c r="L35" s="1021">
        <f t="shared" ca="1" si="97"/>
        <v>0</v>
      </c>
      <c r="M35" s="1021">
        <f t="shared" ca="1" si="97"/>
        <v>0</v>
      </c>
      <c r="N35" s="1021">
        <f t="shared" ca="1" si="97"/>
        <v>0</v>
      </c>
      <c r="O35" s="1021">
        <f t="shared" ca="1" si="97"/>
        <v>0</v>
      </c>
      <c r="P35" s="1021">
        <f t="shared" ca="1" si="97"/>
        <v>0</v>
      </c>
      <c r="Q35" s="1021">
        <f ca="1">SUM(G35:P35)</f>
        <v>0</v>
      </c>
      <c r="S35" s="970">
        <f ca="1">S34</f>
        <v>0</v>
      </c>
      <c r="T35" s="970">
        <f t="shared" ref="T35:AJ35" ca="1" si="98">T34</f>
        <v>0</v>
      </c>
      <c r="U35" s="970">
        <f t="shared" ca="1" si="98"/>
        <v>0</v>
      </c>
      <c r="V35" s="970">
        <f t="shared" ca="1" si="98"/>
        <v>0</v>
      </c>
      <c r="W35" s="970">
        <f t="shared" ca="1" si="98"/>
        <v>0</v>
      </c>
      <c r="X35" s="970">
        <f ca="1">X34</f>
        <v>0</v>
      </c>
      <c r="Y35" s="970">
        <f ca="1">Y34</f>
        <v>0</v>
      </c>
      <c r="Z35" s="970">
        <f ca="1">Z34</f>
        <v>0</v>
      </c>
      <c r="AA35" s="970">
        <f t="shared" ca="1" si="98"/>
        <v>0</v>
      </c>
      <c r="AB35" s="970">
        <f t="shared" ca="1" si="98"/>
        <v>0</v>
      </c>
      <c r="AC35" s="970">
        <f t="shared" ca="1" si="98"/>
        <v>0</v>
      </c>
      <c r="AD35" s="970">
        <f ca="1">AD34</f>
        <v>0</v>
      </c>
      <c r="AE35" s="970">
        <f ca="1">AE34</f>
        <v>0</v>
      </c>
      <c r="AF35" s="970">
        <f t="shared" ca="1" si="98"/>
        <v>0</v>
      </c>
      <c r="AG35" s="970">
        <f ca="1">AG34</f>
        <v>0</v>
      </c>
      <c r="AH35" s="970">
        <f ca="1">AH34</f>
        <v>0</v>
      </c>
      <c r="AI35" s="970">
        <f ca="1">AI34</f>
        <v>0</v>
      </c>
      <c r="AJ35" s="970">
        <f t="shared" ca="1" si="98"/>
        <v>0</v>
      </c>
      <c r="AK35" s="970">
        <f ca="1">SUM(S35:AJ35)</f>
        <v>0</v>
      </c>
      <c r="AM35" s="976">
        <f t="shared" ref="AM35:BE35" ca="1" si="99">AM34</f>
        <v>0</v>
      </c>
      <c r="AN35" s="976">
        <f t="shared" ca="1" si="99"/>
        <v>0</v>
      </c>
      <c r="AO35" s="976">
        <f t="shared" ca="1" si="99"/>
        <v>0</v>
      </c>
      <c r="AP35" s="976">
        <f t="shared" ca="1" si="99"/>
        <v>0</v>
      </c>
      <c r="AQ35" s="976">
        <f t="shared" ca="1" si="99"/>
        <v>0</v>
      </c>
      <c r="AR35" s="976">
        <f t="shared" ca="1" si="99"/>
        <v>0</v>
      </c>
      <c r="AS35" s="976">
        <f t="shared" ca="1" si="99"/>
        <v>0</v>
      </c>
      <c r="AT35" s="976">
        <f t="shared" ca="1" si="99"/>
        <v>0</v>
      </c>
      <c r="AU35" s="976">
        <f t="shared" ca="1" si="99"/>
        <v>0</v>
      </c>
      <c r="AV35" s="976">
        <f t="shared" ca="1" si="99"/>
        <v>0</v>
      </c>
      <c r="AW35" s="976">
        <f t="shared" ca="1" si="99"/>
        <v>0</v>
      </c>
      <c r="AX35" s="976">
        <f t="shared" ca="1" si="99"/>
        <v>0</v>
      </c>
      <c r="AY35" s="976">
        <f t="shared" ca="1" si="99"/>
        <v>0</v>
      </c>
      <c r="AZ35" s="976">
        <f t="shared" ca="1" si="99"/>
        <v>0</v>
      </c>
      <c r="BA35" s="976">
        <f t="shared" ca="1" si="99"/>
        <v>0</v>
      </c>
      <c r="BB35" s="976">
        <f t="shared" ca="1" si="99"/>
        <v>0</v>
      </c>
      <c r="BC35" s="976">
        <f t="shared" ca="1" si="99"/>
        <v>0</v>
      </c>
      <c r="BD35" s="976">
        <f t="shared" ca="1" si="99"/>
        <v>0</v>
      </c>
      <c r="BE35" s="976">
        <f t="shared" ca="1" si="99"/>
        <v>0</v>
      </c>
      <c r="BF35" s="976">
        <f ca="1">SUM(AM35:BE35)</f>
        <v>0</v>
      </c>
      <c r="BH35" s="990">
        <f ca="1">BH34</f>
        <v>0</v>
      </c>
      <c r="BI35" s="990">
        <f ca="1">BI34</f>
        <v>0</v>
      </c>
      <c r="BJ35" s="990">
        <f ca="1">SUM(BH35:BI35)</f>
        <v>0</v>
      </c>
      <c r="BL35" s="515">
        <f t="shared" ca="1" si="9"/>
        <v>0</v>
      </c>
      <c r="BM35" s="515"/>
      <c r="BN35" s="840"/>
      <c r="BO35" s="1482">
        <f t="shared" ref="BO35:DF35" ca="1" si="100">BO34</f>
        <v>0</v>
      </c>
      <c r="BP35" s="1482">
        <f t="shared" ca="1" si="100"/>
        <v>0</v>
      </c>
      <c r="BQ35" s="1482">
        <f t="shared" ca="1" si="100"/>
        <v>0</v>
      </c>
      <c r="BR35" s="1482">
        <f t="shared" ca="1" si="100"/>
        <v>0</v>
      </c>
      <c r="BS35" s="1482">
        <f t="shared" ca="1" si="100"/>
        <v>0</v>
      </c>
      <c r="BT35" s="1482">
        <f t="shared" ca="1" si="100"/>
        <v>0</v>
      </c>
      <c r="BU35" s="1482">
        <f t="shared" ca="1" si="100"/>
        <v>0</v>
      </c>
      <c r="BV35" s="1482">
        <f t="shared" ca="1" si="100"/>
        <v>0</v>
      </c>
      <c r="BW35" s="1482">
        <f t="shared" ca="1" si="100"/>
        <v>0</v>
      </c>
      <c r="BX35" s="1482">
        <f t="shared" ca="1" si="100"/>
        <v>0</v>
      </c>
      <c r="BY35" s="1482">
        <f t="shared" ca="1" si="100"/>
        <v>0</v>
      </c>
      <c r="BZ35" s="1482">
        <f t="shared" ca="1" si="100"/>
        <v>0</v>
      </c>
      <c r="CA35" s="1482">
        <f t="shared" ca="1" si="100"/>
        <v>0</v>
      </c>
      <c r="CB35" s="1482">
        <f t="shared" ca="1" si="100"/>
        <v>0</v>
      </c>
      <c r="CC35" s="1482">
        <f t="shared" ca="1" si="100"/>
        <v>0</v>
      </c>
      <c r="CD35" s="1482">
        <f t="shared" ca="1" si="100"/>
        <v>0</v>
      </c>
      <c r="CE35" s="1482">
        <f t="shared" ca="1" si="100"/>
        <v>0</v>
      </c>
      <c r="CF35" s="1482">
        <f t="shared" ca="1" si="100"/>
        <v>0</v>
      </c>
      <c r="CG35" s="1482">
        <f t="shared" ca="1" si="100"/>
        <v>0</v>
      </c>
      <c r="CH35" s="1482">
        <f t="shared" ca="1" si="100"/>
        <v>0</v>
      </c>
      <c r="CI35" s="1482">
        <f t="shared" ca="1" si="100"/>
        <v>0</v>
      </c>
      <c r="CJ35" s="1482">
        <f t="shared" ca="1" si="100"/>
        <v>0</v>
      </c>
      <c r="CK35" s="1482">
        <f t="shared" ca="1" si="100"/>
        <v>0</v>
      </c>
      <c r="CL35" s="1482">
        <f t="shared" ca="1" si="100"/>
        <v>0</v>
      </c>
      <c r="CM35" s="1482">
        <f t="shared" ca="1" si="100"/>
        <v>0</v>
      </c>
      <c r="CN35" s="1482">
        <f t="shared" ca="1" si="100"/>
        <v>0</v>
      </c>
      <c r="CO35" s="1482">
        <f t="shared" ca="1" si="100"/>
        <v>0</v>
      </c>
      <c r="CP35" s="1482">
        <f t="shared" ca="1" si="100"/>
        <v>0</v>
      </c>
      <c r="CQ35" s="1482">
        <f t="shared" ca="1" si="100"/>
        <v>0</v>
      </c>
      <c r="CR35" s="1482">
        <f t="shared" ca="1" si="100"/>
        <v>0</v>
      </c>
      <c r="CS35" s="1482">
        <f t="shared" ca="1" si="100"/>
        <v>0</v>
      </c>
      <c r="CT35" s="1482">
        <f t="shared" ca="1" si="100"/>
        <v>0</v>
      </c>
      <c r="CU35" s="1482">
        <f t="shared" ca="1" si="100"/>
        <v>0</v>
      </c>
      <c r="CV35" s="1482">
        <f t="shared" ca="1" si="100"/>
        <v>0</v>
      </c>
      <c r="CW35" s="1482">
        <f t="shared" ca="1" si="100"/>
        <v>0</v>
      </c>
      <c r="CX35" s="1482">
        <f t="shared" ca="1" si="100"/>
        <v>0</v>
      </c>
      <c r="CY35" s="1482">
        <f t="shared" ca="1" si="100"/>
        <v>0</v>
      </c>
      <c r="CZ35" s="1482">
        <f t="shared" ca="1" si="100"/>
        <v>0</v>
      </c>
      <c r="DA35" s="1482">
        <f t="shared" ca="1" si="100"/>
        <v>0</v>
      </c>
      <c r="DB35" s="1482">
        <f t="shared" ca="1" si="100"/>
        <v>0</v>
      </c>
      <c r="DC35" s="1482">
        <f t="shared" ca="1" si="100"/>
        <v>0</v>
      </c>
      <c r="DD35" s="1482">
        <f t="shared" ca="1" si="100"/>
        <v>0</v>
      </c>
      <c r="DE35" s="1482">
        <f t="shared" ca="1" si="100"/>
        <v>0</v>
      </c>
      <c r="DF35" s="1482">
        <f t="shared" ca="1" si="100"/>
        <v>0</v>
      </c>
      <c r="DH35" s="838">
        <f t="shared" ca="1" si="35"/>
        <v>0</v>
      </c>
    </row>
    <row r="36" spans="1:112" s="743" customFormat="1" ht="12.75" hidden="1" customHeight="1" outlineLevel="1">
      <c r="A36" s="22"/>
      <c r="B36" s="22"/>
      <c r="C36" s="751"/>
      <c r="D36" s="512"/>
      <c r="E36" s="512"/>
      <c r="G36" s="1021"/>
      <c r="H36" s="1021"/>
      <c r="I36" s="1021"/>
      <c r="J36" s="1021"/>
      <c r="K36" s="1021"/>
      <c r="L36" s="1021"/>
      <c r="M36" s="1021"/>
      <c r="N36" s="1021"/>
      <c r="O36" s="1021"/>
      <c r="P36" s="1021"/>
      <c r="Q36" s="1021"/>
      <c r="S36" s="970"/>
      <c r="T36" s="970"/>
      <c r="U36" s="970"/>
      <c r="V36" s="970"/>
      <c r="W36" s="970"/>
      <c r="X36" s="970"/>
      <c r="Y36" s="970"/>
      <c r="Z36" s="970"/>
      <c r="AA36" s="970"/>
      <c r="AB36" s="970"/>
      <c r="AC36" s="970"/>
      <c r="AD36" s="970"/>
      <c r="AE36" s="970"/>
      <c r="AF36" s="970"/>
      <c r="AG36" s="970"/>
      <c r="AH36" s="970"/>
      <c r="AI36" s="970"/>
      <c r="AJ36" s="970"/>
      <c r="AK36" s="970"/>
      <c r="AM36" s="976"/>
      <c r="AN36" s="976"/>
      <c r="AO36" s="976"/>
      <c r="AP36" s="976"/>
      <c r="AQ36" s="976"/>
      <c r="AR36" s="976"/>
      <c r="AS36" s="976"/>
      <c r="AT36" s="976"/>
      <c r="AU36" s="976"/>
      <c r="AV36" s="976"/>
      <c r="AW36" s="976"/>
      <c r="AX36" s="976"/>
      <c r="AY36" s="976"/>
      <c r="AZ36" s="976"/>
      <c r="BA36" s="976"/>
      <c r="BB36" s="976"/>
      <c r="BC36" s="976"/>
      <c r="BD36" s="976"/>
      <c r="BE36" s="976"/>
      <c r="BF36" s="976"/>
      <c r="BH36" s="990"/>
      <c r="BI36" s="990"/>
      <c r="BJ36" s="990"/>
      <c r="BL36" s="515">
        <f t="shared" si="9"/>
        <v>0</v>
      </c>
      <c r="BM36" s="515"/>
      <c r="BN36" s="22"/>
      <c r="BO36" s="1481"/>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H36" s="838">
        <f t="shared" si="35"/>
        <v>0</v>
      </c>
    </row>
    <row r="37" spans="1:112" s="743" customFormat="1" ht="12.75" hidden="1" customHeight="1" outlineLevel="1">
      <c r="A37" s="1484"/>
      <c r="B37" s="1484"/>
      <c r="C37" s="746" t="s">
        <v>962</v>
      </c>
      <c r="D37" s="1010" t="str">
        <f>INDEX(Modules[Module], MATCH($C37, Modules[Code], 0))</f>
        <v>Geosequestration</v>
      </c>
      <c r="E37" s="1010"/>
      <c r="G37" s="1022">
        <f t="shared" ref="G37:P37" ca="1" si="101">IFERROR(INDEX(INDIRECT($C37&amp;".Outputs["&amp;this.Year&amp;"]"), MATCH(G$5, INDIRECT($C37&amp;".Outputs[Vector]"), 0)), 0)</f>
        <v>0</v>
      </c>
      <c r="H37" s="1022">
        <f t="shared" ca="1" si="101"/>
        <v>0</v>
      </c>
      <c r="I37" s="1022">
        <f t="shared" ca="1" si="101"/>
        <v>0</v>
      </c>
      <c r="J37" s="1022">
        <f t="shared" ca="1" si="101"/>
        <v>0</v>
      </c>
      <c r="K37" s="1022">
        <f t="shared" ca="1" si="101"/>
        <v>0</v>
      </c>
      <c r="L37" s="1022">
        <f t="shared" ca="1" si="101"/>
        <v>0</v>
      </c>
      <c r="M37" s="1022">
        <f t="shared" ca="1" si="101"/>
        <v>0</v>
      </c>
      <c r="N37" s="1022">
        <f t="shared" ca="1" si="101"/>
        <v>0</v>
      </c>
      <c r="O37" s="1022">
        <f t="shared" ca="1" si="101"/>
        <v>0</v>
      </c>
      <c r="P37" s="1022">
        <f t="shared" ca="1" si="101"/>
        <v>0</v>
      </c>
      <c r="Q37" s="1020">
        <f ca="1">SUM(G37:P37)</f>
        <v>0</v>
      </c>
      <c r="S37" s="1031">
        <f t="shared" ref="S37:BE37" ca="1" si="102">IFERROR(INDEX(INDIRECT($C37&amp;".Outputs["&amp;this.Year&amp;"]"), MATCH(S$5, INDIRECT($C37&amp;".Outputs[Vector]"), 0)), 0)</f>
        <v>0</v>
      </c>
      <c r="T37" s="1031">
        <f t="shared" ca="1" si="102"/>
        <v>0</v>
      </c>
      <c r="U37" s="1031">
        <f t="shared" ca="1" si="102"/>
        <v>0</v>
      </c>
      <c r="V37" s="1031">
        <f t="shared" ca="1" si="102"/>
        <v>0</v>
      </c>
      <c r="W37" s="1031">
        <f t="shared" ca="1" si="102"/>
        <v>0</v>
      </c>
      <c r="X37" s="1031">
        <f ca="1">IFERROR(INDEX(INDIRECT($C37&amp;".Outputs["&amp;this.Year&amp;"]"), MATCH(X$5, INDIRECT($C37&amp;".Outputs[Vector]"), 0)), 0)</f>
        <v>0</v>
      </c>
      <c r="Y37" s="1031">
        <f ca="1">IFERROR(INDEX(INDIRECT($C37&amp;".Outputs["&amp;this.Year&amp;"]"), MATCH(Y$5, INDIRECT($C37&amp;".Outputs[Vector]"), 0)), 0)</f>
        <v>0</v>
      </c>
      <c r="Z37" s="1031">
        <f ca="1">IFERROR(INDEX(INDIRECT($C37&amp;".Outputs["&amp;this.Year&amp;"]"), MATCH(Z$5, INDIRECT($C37&amp;".Outputs[Vector]"), 0)), 0)</f>
        <v>0</v>
      </c>
      <c r="AA37" s="1031">
        <f t="shared" ca="1" si="102"/>
        <v>0</v>
      </c>
      <c r="AB37" s="1031">
        <f t="shared" ca="1" si="102"/>
        <v>0</v>
      </c>
      <c r="AC37" s="1031">
        <f t="shared" ca="1" si="102"/>
        <v>0</v>
      </c>
      <c r="AD37" s="1031">
        <f t="shared" ca="1" si="102"/>
        <v>0</v>
      </c>
      <c r="AE37" s="1031">
        <f t="shared" ca="1" si="102"/>
        <v>0</v>
      </c>
      <c r="AF37" s="1031">
        <f t="shared" ca="1" si="102"/>
        <v>0</v>
      </c>
      <c r="AG37" s="1031">
        <f t="shared" ca="1" si="102"/>
        <v>0</v>
      </c>
      <c r="AH37" s="1031">
        <f t="shared" ca="1" si="102"/>
        <v>0</v>
      </c>
      <c r="AI37" s="1031">
        <f t="shared" ca="1" si="102"/>
        <v>0</v>
      </c>
      <c r="AJ37" s="1031">
        <f t="shared" ca="1" si="102"/>
        <v>0</v>
      </c>
      <c r="AK37" s="1030">
        <f ca="1">SUM(S37:AJ37)</f>
        <v>0</v>
      </c>
      <c r="AM37" s="1042">
        <f t="shared" ref="AM37:AU37" ca="1" si="103">IFERROR(INDEX(INDIRECT($C37&amp;".Outputs["&amp;this.Year&amp;"]"), MATCH(AM$5, INDIRECT($C37&amp;".Outputs[Vector]"), 0)), 0)</f>
        <v>0</v>
      </c>
      <c r="AN37" s="1042">
        <f t="shared" ca="1" si="103"/>
        <v>0</v>
      </c>
      <c r="AO37" s="1042">
        <f t="shared" ca="1" si="103"/>
        <v>0</v>
      </c>
      <c r="AP37" s="1042">
        <f t="shared" ca="1" si="103"/>
        <v>0</v>
      </c>
      <c r="AQ37" s="1042">
        <f t="shared" ca="1" si="103"/>
        <v>0</v>
      </c>
      <c r="AR37" s="1042">
        <f t="shared" ca="1" si="103"/>
        <v>0</v>
      </c>
      <c r="AS37" s="1042">
        <f t="shared" ca="1" si="103"/>
        <v>0</v>
      </c>
      <c r="AT37" s="1042">
        <f t="shared" ca="1" si="103"/>
        <v>0</v>
      </c>
      <c r="AU37" s="1042">
        <f t="shared" ca="1" si="103"/>
        <v>0</v>
      </c>
      <c r="AV37" s="1042">
        <f t="shared" ca="1" si="102"/>
        <v>0</v>
      </c>
      <c r="AW37" s="1042">
        <f t="shared" ca="1" si="102"/>
        <v>0</v>
      </c>
      <c r="AX37" s="1042">
        <f t="shared" ca="1" si="102"/>
        <v>0</v>
      </c>
      <c r="AY37" s="1042">
        <f t="shared" ca="1" si="102"/>
        <v>0</v>
      </c>
      <c r="AZ37" s="1042">
        <f t="shared" ca="1" si="102"/>
        <v>0</v>
      </c>
      <c r="BA37" s="1042">
        <f t="shared" ca="1" si="102"/>
        <v>0</v>
      </c>
      <c r="BB37" s="1042">
        <f t="shared" ca="1" si="102"/>
        <v>0</v>
      </c>
      <c r="BC37" s="1042">
        <f t="shared" ca="1" si="102"/>
        <v>0</v>
      </c>
      <c r="BD37" s="1042">
        <f t="shared" ca="1" si="102"/>
        <v>0</v>
      </c>
      <c r="BE37" s="1042">
        <f t="shared" ca="1" si="102"/>
        <v>0</v>
      </c>
      <c r="BF37" s="1012">
        <f ca="1">SUM(AM37:BE37)</f>
        <v>0</v>
      </c>
      <c r="BH37" s="1036">
        <f ca="1">IFERROR(INDEX(INDIRECT($C37&amp;".Outputs["&amp;this.Year&amp;"]"), MATCH(BH$5, INDIRECT($C37&amp;".Outputs[Vector]"), 0)), 0)</f>
        <v>0</v>
      </c>
      <c r="BI37" s="1036">
        <f ca="1">IFERROR(INDEX(INDIRECT($C37&amp;".Outputs["&amp;this.Year&amp;"]"), MATCH(BI$5, INDIRECT($C37&amp;".Outputs[Vector]"), 0)), 0)</f>
        <v>0</v>
      </c>
      <c r="BJ37" s="1035">
        <f ca="1">SUM(BH37:BI37)</f>
        <v>0</v>
      </c>
      <c r="BL37" s="814">
        <f t="shared" ca="1" si="9"/>
        <v>0</v>
      </c>
      <c r="BM37" s="814"/>
      <c r="BN37" s="840"/>
      <c r="BO37" s="1485">
        <f t="shared" ref="BO37:DF37" ca="1" si="104">IFERROR(SUMIFS(INDIRECT($C37&amp;".Emissions["&amp;this.Year&amp;"]"), INDIRECT($C37&amp;".Emissions[GHG]"), BO$6, INDIRECT($C37&amp;".Emissions[IPCC Sector]"), BO$5),0)</f>
        <v>0</v>
      </c>
      <c r="BP37" s="1486">
        <f t="shared" ca="1" si="104"/>
        <v>0</v>
      </c>
      <c r="BQ37" s="1486">
        <f t="shared" ca="1" si="104"/>
        <v>0</v>
      </c>
      <c r="BR37" s="1486">
        <f t="shared" ca="1" si="104"/>
        <v>0</v>
      </c>
      <c r="BS37" s="1486">
        <f t="shared" ca="1" si="104"/>
        <v>0</v>
      </c>
      <c r="BT37" s="1486">
        <f t="shared" ca="1" si="104"/>
        <v>0</v>
      </c>
      <c r="BU37" s="1486">
        <f t="shared" ca="1" si="104"/>
        <v>0</v>
      </c>
      <c r="BV37" s="1486">
        <f t="shared" ca="1" si="104"/>
        <v>0</v>
      </c>
      <c r="BW37" s="1486">
        <f t="shared" ca="1" si="104"/>
        <v>0</v>
      </c>
      <c r="BX37" s="1486">
        <f t="shared" ca="1" si="104"/>
        <v>0</v>
      </c>
      <c r="BY37" s="1486">
        <f t="shared" ca="1" si="104"/>
        <v>0</v>
      </c>
      <c r="BZ37" s="1486">
        <f t="shared" ca="1" si="104"/>
        <v>0</v>
      </c>
      <c r="CA37" s="1486">
        <f t="shared" ca="1" si="104"/>
        <v>0</v>
      </c>
      <c r="CB37" s="1486">
        <f t="shared" ca="1" si="104"/>
        <v>0</v>
      </c>
      <c r="CC37" s="1486">
        <f t="shared" ca="1" si="104"/>
        <v>0</v>
      </c>
      <c r="CD37" s="1486">
        <f t="shared" ca="1" si="104"/>
        <v>0</v>
      </c>
      <c r="CE37" s="1486">
        <f t="shared" ca="1" si="104"/>
        <v>0</v>
      </c>
      <c r="CF37" s="1486">
        <f t="shared" ca="1" si="104"/>
        <v>0</v>
      </c>
      <c r="CG37" s="1486">
        <f t="shared" ca="1" si="104"/>
        <v>0</v>
      </c>
      <c r="CH37" s="1486">
        <f t="shared" ca="1" si="104"/>
        <v>0</v>
      </c>
      <c r="CI37" s="1486">
        <f t="shared" ca="1" si="104"/>
        <v>0</v>
      </c>
      <c r="CJ37" s="1486">
        <f t="shared" ca="1" si="104"/>
        <v>0</v>
      </c>
      <c r="CK37" s="1486">
        <f t="shared" ca="1" si="104"/>
        <v>0</v>
      </c>
      <c r="CL37" s="1486">
        <f t="shared" ca="1" si="104"/>
        <v>0</v>
      </c>
      <c r="CM37" s="1486">
        <f t="shared" ca="1" si="104"/>
        <v>0</v>
      </c>
      <c r="CN37" s="1486">
        <f t="shared" ca="1" si="104"/>
        <v>0</v>
      </c>
      <c r="CO37" s="1486">
        <f t="shared" ca="1" si="104"/>
        <v>0</v>
      </c>
      <c r="CP37" s="1486">
        <f t="shared" ca="1" si="104"/>
        <v>0</v>
      </c>
      <c r="CQ37" s="1486">
        <f t="shared" ca="1" si="104"/>
        <v>0</v>
      </c>
      <c r="CR37" s="1486">
        <f t="shared" ca="1" si="104"/>
        <v>0</v>
      </c>
      <c r="CS37" s="1486">
        <f t="shared" ca="1" si="104"/>
        <v>0</v>
      </c>
      <c r="CT37" s="1486">
        <f t="shared" ca="1" si="104"/>
        <v>0</v>
      </c>
      <c r="CU37" s="1486">
        <f t="shared" ca="1" si="104"/>
        <v>0</v>
      </c>
      <c r="CV37" s="1486">
        <f t="shared" ca="1" si="104"/>
        <v>0</v>
      </c>
      <c r="CW37" s="1486">
        <f t="shared" ca="1" si="104"/>
        <v>0</v>
      </c>
      <c r="CX37" s="1486">
        <f t="shared" ca="1" si="104"/>
        <v>0</v>
      </c>
      <c r="CY37" s="1486">
        <f t="shared" ca="1" si="104"/>
        <v>0</v>
      </c>
      <c r="CZ37" s="1486">
        <f t="shared" ca="1" si="104"/>
        <v>0</v>
      </c>
      <c r="DA37" s="1486">
        <f t="shared" ca="1" si="104"/>
        <v>0</v>
      </c>
      <c r="DB37" s="1486">
        <f t="shared" ca="1" si="104"/>
        <v>0</v>
      </c>
      <c r="DC37" s="1486">
        <f t="shared" ca="1" si="104"/>
        <v>0</v>
      </c>
      <c r="DD37" s="1486">
        <f t="shared" ca="1" si="104"/>
        <v>0</v>
      </c>
      <c r="DE37" s="1486">
        <f t="shared" ca="1" si="104"/>
        <v>0</v>
      </c>
      <c r="DF37" s="1486">
        <f t="shared" ca="1" si="104"/>
        <v>0</v>
      </c>
      <c r="DH37" s="838">
        <f t="shared" ca="1" si="35"/>
        <v>0</v>
      </c>
    </row>
    <row r="38" spans="1:112" s="743" customFormat="1" ht="15.75" collapsed="1">
      <c r="A38" s="22"/>
      <c r="B38" s="753"/>
      <c r="C38" s="744" t="s">
        <v>675</v>
      </c>
      <c r="D38" s="517" t="str">
        <f>INDEX(Workstreams[Workstream], MATCH($C38, Workstreams[Code], 0))</f>
        <v>Geosequestration</v>
      </c>
      <c r="E38" s="512"/>
      <c r="G38" s="1021">
        <f ca="1">G37</f>
        <v>0</v>
      </c>
      <c r="H38" s="1021">
        <f t="shared" ref="H38:P38" ca="1" si="105">H37</f>
        <v>0</v>
      </c>
      <c r="I38" s="1021">
        <f t="shared" ca="1" si="105"/>
        <v>0</v>
      </c>
      <c r="J38" s="1021">
        <f t="shared" ca="1" si="105"/>
        <v>0</v>
      </c>
      <c r="K38" s="1021">
        <f t="shared" ca="1" si="105"/>
        <v>0</v>
      </c>
      <c r="L38" s="1021">
        <f t="shared" ca="1" si="105"/>
        <v>0</v>
      </c>
      <c r="M38" s="1021">
        <f t="shared" ca="1" si="105"/>
        <v>0</v>
      </c>
      <c r="N38" s="1021">
        <f t="shared" ca="1" si="105"/>
        <v>0</v>
      </c>
      <c r="O38" s="1021">
        <f t="shared" ca="1" si="105"/>
        <v>0</v>
      </c>
      <c r="P38" s="1021">
        <f t="shared" ca="1" si="105"/>
        <v>0</v>
      </c>
      <c r="Q38" s="1021">
        <f ca="1">SUM(G38:P38)</f>
        <v>0</v>
      </c>
      <c r="S38" s="970">
        <f t="shared" ref="S38:AJ38" ca="1" si="106">S37</f>
        <v>0</v>
      </c>
      <c r="T38" s="970">
        <f t="shared" ca="1" si="106"/>
        <v>0</v>
      </c>
      <c r="U38" s="970">
        <f t="shared" ca="1" si="106"/>
        <v>0</v>
      </c>
      <c r="V38" s="970">
        <f t="shared" ca="1" si="106"/>
        <v>0</v>
      </c>
      <c r="W38" s="970">
        <f t="shared" ca="1" si="106"/>
        <v>0</v>
      </c>
      <c r="X38" s="970">
        <f ca="1">X37</f>
        <v>0</v>
      </c>
      <c r="Y38" s="970">
        <f ca="1">Y37</f>
        <v>0</v>
      </c>
      <c r="Z38" s="970">
        <f ca="1">Z37</f>
        <v>0</v>
      </c>
      <c r="AA38" s="970">
        <f t="shared" ca="1" si="106"/>
        <v>0</v>
      </c>
      <c r="AB38" s="970">
        <f t="shared" ca="1" si="106"/>
        <v>0</v>
      </c>
      <c r="AC38" s="970">
        <f t="shared" ca="1" si="106"/>
        <v>0</v>
      </c>
      <c r="AD38" s="970">
        <f ca="1">AD37</f>
        <v>0</v>
      </c>
      <c r="AE38" s="970">
        <f ca="1">AE37</f>
        <v>0</v>
      </c>
      <c r="AF38" s="970">
        <f t="shared" ca="1" si="106"/>
        <v>0</v>
      </c>
      <c r="AG38" s="970">
        <f ca="1">AG37</f>
        <v>0</v>
      </c>
      <c r="AH38" s="970">
        <f ca="1">AH37</f>
        <v>0</v>
      </c>
      <c r="AI38" s="970">
        <f ca="1">AI37</f>
        <v>0</v>
      </c>
      <c r="AJ38" s="970">
        <f t="shared" ca="1" si="106"/>
        <v>0</v>
      </c>
      <c r="AK38" s="970">
        <f ca="1">SUM(S38:AJ38)</f>
        <v>0</v>
      </c>
      <c r="AM38" s="976">
        <f t="shared" ref="AM38:AS38" ca="1" si="107">AM37</f>
        <v>0</v>
      </c>
      <c r="AN38" s="976">
        <f t="shared" ca="1" si="107"/>
        <v>0</v>
      </c>
      <c r="AO38" s="976">
        <f t="shared" ca="1" si="107"/>
        <v>0</v>
      </c>
      <c r="AP38" s="976">
        <f t="shared" ca="1" si="107"/>
        <v>0</v>
      </c>
      <c r="AQ38" s="976">
        <f t="shared" ca="1" si="107"/>
        <v>0</v>
      </c>
      <c r="AR38" s="976">
        <f t="shared" ca="1" si="107"/>
        <v>0</v>
      </c>
      <c r="AS38" s="976">
        <f t="shared" ca="1" si="107"/>
        <v>0</v>
      </c>
      <c r="AT38" s="976">
        <f t="shared" ref="AT38:BE38" ca="1" si="108">AT37</f>
        <v>0</v>
      </c>
      <c r="AU38" s="976">
        <f t="shared" ca="1" si="108"/>
        <v>0</v>
      </c>
      <c r="AV38" s="976">
        <f t="shared" ca="1" si="108"/>
        <v>0</v>
      </c>
      <c r="AW38" s="976">
        <f t="shared" ca="1" si="108"/>
        <v>0</v>
      </c>
      <c r="AX38" s="976">
        <f t="shared" ca="1" si="108"/>
        <v>0</v>
      </c>
      <c r="AY38" s="976">
        <f t="shared" ca="1" si="108"/>
        <v>0</v>
      </c>
      <c r="AZ38" s="976">
        <f t="shared" ca="1" si="108"/>
        <v>0</v>
      </c>
      <c r="BA38" s="976">
        <f t="shared" ca="1" si="108"/>
        <v>0</v>
      </c>
      <c r="BB38" s="976">
        <f t="shared" ca="1" si="108"/>
        <v>0</v>
      </c>
      <c r="BC38" s="976">
        <f t="shared" ca="1" si="108"/>
        <v>0</v>
      </c>
      <c r="BD38" s="976">
        <f t="shared" ca="1" si="108"/>
        <v>0</v>
      </c>
      <c r="BE38" s="976">
        <f t="shared" ca="1" si="108"/>
        <v>0</v>
      </c>
      <c r="BF38" s="976">
        <f ca="1">SUM(AM38:BE38)</f>
        <v>0</v>
      </c>
      <c r="BH38" s="990">
        <f ca="1">BH37</f>
        <v>0</v>
      </c>
      <c r="BI38" s="990">
        <f ca="1">BI37</f>
        <v>0</v>
      </c>
      <c r="BJ38" s="990">
        <f ca="1">SUM(BH38:BI38)</f>
        <v>0</v>
      </c>
      <c r="BL38" s="515">
        <f t="shared" ca="1" si="9"/>
        <v>0</v>
      </c>
      <c r="BM38" s="515"/>
      <c r="BN38" s="840"/>
      <c r="BO38" s="1482">
        <f t="shared" ref="BO38:DF38" ca="1" si="109">BO37</f>
        <v>0</v>
      </c>
      <c r="BP38" s="1482">
        <f t="shared" ca="1" si="109"/>
        <v>0</v>
      </c>
      <c r="BQ38" s="1482">
        <f t="shared" ca="1" si="109"/>
        <v>0</v>
      </c>
      <c r="BR38" s="1482">
        <f t="shared" ca="1" si="109"/>
        <v>0</v>
      </c>
      <c r="BS38" s="1482">
        <f t="shared" ca="1" si="109"/>
        <v>0</v>
      </c>
      <c r="BT38" s="1482">
        <f t="shared" ca="1" si="109"/>
        <v>0</v>
      </c>
      <c r="BU38" s="1482">
        <f t="shared" ca="1" si="109"/>
        <v>0</v>
      </c>
      <c r="BV38" s="1482">
        <f t="shared" ca="1" si="109"/>
        <v>0</v>
      </c>
      <c r="BW38" s="1482">
        <f t="shared" ca="1" si="109"/>
        <v>0</v>
      </c>
      <c r="BX38" s="1482">
        <f t="shared" ca="1" si="109"/>
        <v>0</v>
      </c>
      <c r="BY38" s="1482">
        <f t="shared" ca="1" si="109"/>
        <v>0</v>
      </c>
      <c r="BZ38" s="1482">
        <f t="shared" ca="1" si="109"/>
        <v>0</v>
      </c>
      <c r="CA38" s="1482">
        <f t="shared" ca="1" si="109"/>
        <v>0</v>
      </c>
      <c r="CB38" s="1482">
        <f t="shared" ca="1" si="109"/>
        <v>0</v>
      </c>
      <c r="CC38" s="1482">
        <f t="shared" ca="1" si="109"/>
        <v>0</v>
      </c>
      <c r="CD38" s="1482">
        <f t="shared" ca="1" si="109"/>
        <v>0</v>
      </c>
      <c r="CE38" s="1482">
        <f t="shared" ca="1" si="109"/>
        <v>0</v>
      </c>
      <c r="CF38" s="1482">
        <f t="shared" ca="1" si="109"/>
        <v>0</v>
      </c>
      <c r="CG38" s="1482">
        <f t="shared" ca="1" si="109"/>
        <v>0</v>
      </c>
      <c r="CH38" s="1482">
        <f t="shared" ca="1" si="109"/>
        <v>0</v>
      </c>
      <c r="CI38" s="1482">
        <f t="shared" ca="1" si="109"/>
        <v>0</v>
      </c>
      <c r="CJ38" s="1482">
        <f t="shared" ca="1" si="109"/>
        <v>0</v>
      </c>
      <c r="CK38" s="1482">
        <f t="shared" ca="1" si="109"/>
        <v>0</v>
      </c>
      <c r="CL38" s="1482">
        <f t="shared" ca="1" si="109"/>
        <v>0</v>
      </c>
      <c r="CM38" s="1482">
        <f t="shared" ca="1" si="109"/>
        <v>0</v>
      </c>
      <c r="CN38" s="1482">
        <f t="shared" ca="1" si="109"/>
        <v>0</v>
      </c>
      <c r="CO38" s="1482">
        <f t="shared" ca="1" si="109"/>
        <v>0</v>
      </c>
      <c r="CP38" s="1482">
        <f t="shared" ca="1" si="109"/>
        <v>0</v>
      </c>
      <c r="CQ38" s="1482">
        <f t="shared" ca="1" si="109"/>
        <v>0</v>
      </c>
      <c r="CR38" s="1482">
        <f t="shared" ca="1" si="109"/>
        <v>0</v>
      </c>
      <c r="CS38" s="1482">
        <f t="shared" ca="1" si="109"/>
        <v>0</v>
      </c>
      <c r="CT38" s="1482">
        <f t="shared" ca="1" si="109"/>
        <v>0</v>
      </c>
      <c r="CU38" s="1482">
        <f t="shared" ca="1" si="109"/>
        <v>0</v>
      </c>
      <c r="CV38" s="1482">
        <f t="shared" ca="1" si="109"/>
        <v>0</v>
      </c>
      <c r="CW38" s="1482">
        <f t="shared" ca="1" si="109"/>
        <v>0</v>
      </c>
      <c r="CX38" s="1482">
        <f t="shared" ca="1" si="109"/>
        <v>0</v>
      </c>
      <c r="CY38" s="1482">
        <f t="shared" ca="1" si="109"/>
        <v>0</v>
      </c>
      <c r="CZ38" s="1482">
        <f t="shared" ca="1" si="109"/>
        <v>0</v>
      </c>
      <c r="DA38" s="1482">
        <f t="shared" ca="1" si="109"/>
        <v>0</v>
      </c>
      <c r="DB38" s="1482">
        <f t="shared" ca="1" si="109"/>
        <v>0</v>
      </c>
      <c r="DC38" s="1482">
        <f t="shared" ca="1" si="109"/>
        <v>0</v>
      </c>
      <c r="DD38" s="1482">
        <f t="shared" ca="1" si="109"/>
        <v>0</v>
      </c>
      <c r="DE38" s="1482">
        <f t="shared" ca="1" si="109"/>
        <v>0</v>
      </c>
      <c r="DF38" s="1482">
        <f t="shared" ca="1" si="109"/>
        <v>0</v>
      </c>
      <c r="DH38" s="838">
        <f t="shared" ca="1" si="35"/>
        <v>0</v>
      </c>
    </row>
    <row r="39" spans="1:112" s="743" customFormat="1" ht="6" customHeight="1">
      <c r="C39" s="516"/>
      <c r="D39" s="517"/>
      <c r="E39" s="509"/>
      <c r="G39" s="1021"/>
      <c r="H39" s="1021"/>
      <c r="I39" s="1021"/>
      <c r="J39" s="1021"/>
      <c r="K39" s="1021"/>
      <c r="L39" s="1021"/>
      <c r="M39" s="1021"/>
      <c r="N39" s="1021"/>
      <c r="O39" s="1021"/>
      <c r="P39" s="1021"/>
      <c r="Q39" s="1021"/>
      <c r="S39" s="970"/>
      <c r="T39" s="970"/>
      <c r="U39" s="970"/>
      <c r="V39" s="970"/>
      <c r="W39" s="970"/>
      <c r="X39" s="970"/>
      <c r="Y39" s="970"/>
      <c r="Z39" s="970"/>
      <c r="AA39" s="970"/>
      <c r="AB39" s="970"/>
      <c r="AC39" s="970"/>
      <c r="AD39" s="970"/>
      <c r="AE39" s="970"/>
      <c r="AF39" s="970"/>
      <c r="AG39" s="970"/>
      <c r="AH39" s="970"/>
      <c r="AI39" s="970"/>
      <c r="AJ39" s="970"/>
      <c r="AK39" s="970"/>
      <c r="AM39" s="976"/>
      <c r="AN39" s="976"/>
      <c r="AO39" s="976"/>
      <c r="AP39" s="976"/>
      <c r="AQ39" s="976"/>
      <c r="AR39" s="976"/>
      <c r="AS39" s="976"/>
      <c r="AT39" s="976"/>
      <c r="AU39" s="976"/>
      <c r="AV39" s="976"/>
      <c r="AW39" s="976"/>
      <c r="AX39" s="976"/>
      <c r="AY39" s="976"/>
      <c r="AZ39" s="976"/>
      <c r="BA39" s="976"/>
      <c r="BB39" s="976"/>
      <c r="BC39" s="976"/>
      <c r="BD39" s="976"/>
      <c r="BE39" s="976"/>
      <c r="BF39" s="976">
        <f>SUM(AM39:BE39)</f>
        <v>0</v>
      </c>
      <c r="BH39" s="990"/>
      <c r="BI39" s="990"/>
      <c r="BJ39" s="990"/>
      <c r="BL39" s="515">
        <f t="shared" si="9"/>
        <v>0</v>
      </c>
      <c r="BM39" s="515"/>
      <c r="BO39" s="1482"/>
      <c r="BP39" s="1482"/>
      <c r="BQ39" s="1482"/>
      <c r="BR39" s="1482"/>
      <c r="BS39" s="1482"/>
      <c r="BT39" s="1482"/>
      <c r="BU39" s="1482"/>
      <c r="BV39" s="1482"/>
      <c r="BW39" s="1482"/>
      <c r="BX39" s="1482"/>
      <c r="BY39" s="1482"/>
      <c r="BZ39" s="1482"/>
      <c r="CA39" s="1482"/>
      <c r="CB39" s="1482"/>
      <c r="CC39" s="1482"/>
      <c r="CD39" s="1482"/>
      <c r="CE39" s="1482"/>
      <c r="CF39" s="1482"/>
      <c r="CG39" s="1482"/>
      <c r="CH39" s="1482"/>
      <c r="CI39" s="1482"/>
      <c r="CJ39" s="1482"/>
      <c r="CK39" s="1482"/>
      <c r="CL39" s="1482"/>
      <c r="CM39" s="1482"/>
      <c r="CN39" s="1482"/>
      <c r="CO39" s="1482"/>
      <c r="CP39" s="1482"/>
      <c r="CQ39" s="1482"/>
      <c r="CR39" s="1482"/>
      <c r="CS39" s="1482"/>
      <c r="CT39" s="1482"/>
      <c r="CU39" s="1482"/>
      <c r="CV39" s="1482"/>
      <c r="CW39" s="1482"/>
      <c r="CX39" s="1482"/>
      <c r="CY39" s="1482"/>
      <c r="CZ39" s="1482"/>
      <c r="DA39" s="1482"/>
      <c r="DB39" s="1482"/>
      <c r="DC39" s="1482"/>
      <c r="DD39" s="1482"/>
      <c r="DE39" s="1482"/>
      <c r="DF39" s="1482"/>
      <c r="DH39" s="838"/>
    </row>
    <row r="40" spans="1:112" s="743" customFormat="1" ht="15.75">
      <c r="B40" s="753"/>
      <c r="C40" s="2051" t="s">
        <v>1815</v>
      </c>
      <c r="D40" s="643" t="s">
        <v>619</v>
      </c>
      <c r="E40" s="644"/>
      <c r="G40" s="1023">
        <f t="shared" ref="G40:Q40" ca="1" si="110">G$15+G$19+G$22+G$32+G$35+G$38</f>
        <v>673.79296204551042</v>
      </c>
      <c r="H40" s="1023">
        <f t="shared" ca="1" si="110"/>
        <v>198.16407689154261</v>
      </c>
      <c r="I40" s="1023">
        <f t="shared" ca="1" si="110"/>
        <v>439.96834440269697</v>
      </c>
      <c r="J40" s="1023">
        <f t="shared" ca="1" si="110"/>
        <v>350.85541234498476</v>
      </c>
      <c r="K40" s="1023">
        <f t="shared" ca="1" si="110"/>
        <v>15.860444512419436</v>
      </c>
      <c r="L40" s="1023">
        <f t="shared" ca="1" si="110"/>
        <v>13.331077116581312</v>
      </c>
      <c r="M40" s="1023">
        <f t="shared" ca="1" si="110"/>
        <v>23.384829464713203</v>
      </c>
      <c r="N40" s="1023">
        <f t="shared" ca="1" si="110"/>
        <v>212.05653906435825</v>
      </c>
      <c r="O40" s="1023">
        <f t="shared" ca="1" si="110"/>
        <v>80.11820802344954</v>
      </c>
      <c r="P40" s="1023">
        <f t="shared" ca="1" si="110"/>
        <v>0</v>
      </c>
      <c r="Q40" s="1023">
        <f t="shared" ca="1" si="110"/>
        <v>2007.5318938662567</v>
      </c>
      <c r="S40" s="1014">
        <f t="shared" ref="S40:AJ40" ca="1" si="111">S$15+S$19+S$22+S$32+S$35+S$38</f>
        <v>-398.95023220440078</v>
      </c>
      <c r="T40" s="1014">
        <f t="shared" ca="1" si="111"/>
        <v>0</v>
      </c>
      <c r="U40" s="1014">
        <f t="shared" ca="1" si="111"/>
        <v>-63.45824036019782</v>
      </c>
      <c r="V40" s="1014">
        <f t="shared" ca="1" si="111"/>
        <v>-775.03819165544826</v>
      </c>
      <c r="W40" s="1014">
        <f t="shared" ca="1" si="111"/>
        <v>-761.46365755262104</v>
      </c>
      <c r="X40" s="1014">
        <f ca="1">X$15+X$19+X$22+X$32+X$35+X$38</f>
        <v>0</v>
      </c>
      <c r="Y40" s="1014">
        <f ca="1">Y$15+Y$19+Y$22+Y$32+Y$35+Y$38</f>
        <v>0</v>
      </c>
      <c r="Z40" s="1014">
        <f ca="1">Z$15+Z$19+Z$22+Z$32+Z$35+Z$38</f>
        <v>0</v>
      </c>
      <c r="AA40" s="1014">
        <f t="shared" ca="1" si="111"/>
        <v>0</v>
      </c>
      <c r="AB40" s="1014">
        <f t="shared" ca="1" si="111"/>
        <v>-8.6215720935886129</v>
      </c>
      <c r="AC40" s="1014">
        <f t="shared" ca="1" si="111"/>
        <v>0</v>
      </c>
      <c r="AD40" s="1014">
        <f t="shared" ca="1" si="111"/>
        <v>0</v>
      </c>
      <c r="AE40" s="1014">
        <f t="shared" ca="1" si="111"/>
        <v>0</v>
      </c>
      <c r="AF40" s="1014">
        <f t="shared" ca="1" si="111"/>
        <v>0</v>
      </c>
      <c r="AG40" s="1014">
        <f t="shared" ca="1" si="111"/>
        <v>0</v>
      </c>
      <c r="AH40" s="1014">
        <f t="shared" ca="1" si="111"/>
        <v>0</v>
      </c>
      <c r="AI40" s="1014">
        <f t="shared" ca="1" si="111"/>
        <v>0</v>
      </c>
      <c r="AJ40" s="1014">
        <f t="shared" ca="1" si="111"/>
        <v>0</v>
      </c>
      <c r="AK40" s="1014">
        <f ca="1">SUM(S40:AJ40)</f>
        <v>-2007.5318938662565</v>
      </c>
      <c r="AM40" s="1015">
        <f t="shared" ref="AM40:BE40" ca="1" si="112">AM$15+AM$19+AM$22+AM$32+AM$35+AM$38</f>
        <v>0</v>
      </c>
      <c r="AN40" s="1015">
        <f t="shared" ca="1" si="112"/>
        <v>0</v>
      </c>
      <c r="AO40" s="1015">
        <f t="shared" ca="1" si="112"/>
        <v>0</v>
      </c>
      <c r="AP40" s="1015">
        <f t="shared" ca="1" si="112"/>
        <v>0</v>
      </c>
      <c r="AQ40" s="1015">
        <f t="shared" ca="1" si="112"/>
        <v>0</v>
      </c>
      <c r="AR40" s="1015">
        <f t="shared" ca="1" si="112"/>
        <v>0</v>
      </c>
      <c r="AS40" s="1015">
        <f t="shared" ca="1" si="112"/>
        <v>0</v>
      </c>
      <c r="AT40" s="1015">
        <f t="shared" ca="1" si="112"/>
        <v>0</v>
      </c>
      <c r="AU40" s="1015">
        <f t="shared" ca="1" si="112"/>
        <v>0</v>
      </c>
      <c r="AV40" s="1015">
        <f t="shared" ca="1" si="112"/>
        <v>0</v>
      </c>
      <c r="AW40" s="1015">
        <f t="shared" ca="1" si="112"/>
        <v>0</v>
      </c>
      <c r="AX40" s="1015">
        <f t="shared" ca="1" si="112"/>
        <v>0</v>
      </c>
      <c r="AY40" s="1015">
        <f t="shared" ca="1" si="112"/>
        <v>0</v>
      </c>
      <c r="AZ40" s="1015">
        <f t="shared" ca="1" si="112"/>
        <v>0</v>
      </c>
      <c r="BA40" s="1015">
        <f t="shared" ca="1" si="112"/>
        <v>0</v>
      </c>
      <c r="BB40" s="1015">
        <f t="shared" ca="1" si="112"/>
        <v>0</v>
      </c>
      <c r="BC40" s="1015">
        <f t="shared" ca="1" si="112"/>
        <v>0</v>
      </c>
      <c r="BD40" s="1015">
        <f t="shared" ca="1" si="112"/>
        <v>0</v>
      </c>
      <c r="BE40" s="1015">
        <f t="shared" ca="1" si="112"/>
        <v>0</v>
      </c>
      <c r="BF40" s="1015">
        <f ca="1">SUM(AM40:BE40)</f>
        <v>0</v>
      </c>
      <c r="BH40" s="1016">
        <f ca="1">BH$15+BH$19+BH$22+BH$32+BH$35+BH$38</f>
        <v>0</v>
      </c>
      <c r="BI40" s="1016">
        <f ca="1">BI$15+BI$19+BI$22+BI$32+BI$35+BI$38</f>
        <v>0</v>
      </c>
      <c r="BJ40" s="1016">
        <f ca="1">SUM(BH40:BI40)</f>
        <v>0</v>
      </c>
      <c r="BL40" s="518">
        <f t="shared" ca="1" si="9"/>
        <v>2.2737367544323206E-13</v>
      </c>
      <c r="BM40" s="518"/>
      <c r="BO40" s="1487">
        <f t="shared" ref="BO40:DF40" ca="1" si="113">BO$15+BO$19+BO$22+BO$32+BO$35+BO$38</f>
        <v>280.37031216253325</v>
      </c>
      <c r="BP40" s="1487">
        <f t="shared" ca="1" si="113"/>
        <v>0.48855443844408519</v>
      </c>
      <c r="BQ40" s="1487">
        <f t="shared" ca="1" si="113"/>
        <v>2.6471312940785472</v>
      </c>
      <c r="BR40" s="1487">
        <f t="shared" ca="1" si="113"/>
        <v>0</v>
      </c>
      <c r="BS40" s="1487">
        <f t="shared" ca="1" si="113"/>
        <v>0</v>
      </c>
      <c r="BT40" s="1487">
        <f t="shared" ca="1" si="113"/>
        <v>0</v>
      </c>
      <c r="BU40" s="1487">
        <f t="shared" ca="1" si="113"/>
        <v>0</v>
      </c>
      <c r="BV40" s="1487">
        <f t="shared" ca="1" si="113"/>
        <v>0</v>
      </c>
      <c r="BW40" s="1487">
        <f t="shared" ca="1" si="113"/>
        <v>14.483371402442046</v>
      </c>
      <c r="BX40" s="1487">
        <f t="shared" ca="1" si="113"/>
        <v>0.11054373314941748</v>
      </c>
      <c r="BY40" s="1487">
        <f t="shared" ca="1" si="113"/>
        <v>2.7605748765693696</v>
      </c>
      <c r="BZ40" s="1487">
        <f t="shared" ca="1" si="113"/>
        <v>6.6085926650517584</v>
      </c>
      <c r="CA40" s="1487">
        <f t="shared" ca="1" si="113"/>
        <v>0</v>
      </c>
      <c r="CB40" s="1487">
        <f t="shared" ca="1" si="113"/>
        <v>0</v>
      </c>
      <c r="CC40" s="1487">
        <f t="shared" ca="1" si="113"/>
        <v>0</v>
      </c>
      <c r="CD40" s="1487">
        <f t="shared" ca="1" si="113"/>
        <v>0</v>
      </c>
      <c r="CE40" s="1487">
        <f t="shared" ca="1" si="113"/>
        <v>0</v>
      </c>
      <c r="CF40" s="1487">
        <f t="shared" ca="1" si="113"/>
        <v>0</v>
      </c>
      <c r="CG40" s="1487">
        <f t="shared" ca="1" si="113"/>
        <v>0</v>
      </c>
      <c r="CH40" s="1487">
        <f t="shared" ca="1" si="113"/>
        <v>0</v>
      </c>
      <c r="CI40" s="1487">
        <f t="shared" ca="1" si="113"/>
        <v>0</v>
      </c>
      <c r="CJ40" s="1487">
        <f t="shared" ca="1" si="113"/>
        <v>0</v>
      </c>
      <c r="CK40" s="1487">
        <f t="shared" ca="1" si="113"/>
        <v>0</v>
      </c>
      <c r="CL40" s="1487">
        <f t="shared" ca="1" si="113"/>
        <v>0</v>
      </c>
      <c r="CM40" s="1487">
        <f t="shared" ca="1" si="113"/>
        <v>0</v>
      </c>
      <c r="CN40" s="1487">
        <f t="shared" ca="1" si="113"/>
        <v>0</v>
      </c>
      <c r="CO40" s="1487">
        <f t="shared" ca="1" si="113"/>
        <v>0</v>
      </c>
      <c r="CP40" s="1487">
        <f t="shared" ca="1" si="113"/>
        <v>0</v>
      </c>
      <c r="CQ40" s="1487">
        <f t="shared" ca="1" si="113"/>
        <v>0</v>
      </c>
      <c r="CR40" s="1487">
        <f t="shared" ca="1" si="113"/>
        <v>0</v>
      </c>
      <c r="CS40" s="1487">
        <f t="shared" ca="1" si="113"/>
        <v>0</v>
      </c>
      <c r="CT40" s="1487">
        <f t="shared" ca="1" si="113"/>
        <v>0</v>
      </c>
      <c r="CU40" s="1487">
        <f t="shared" ca="1" si="113"/>
        <v>73.04368677195194</v>
      </c>
      <c r="CV40" s="1487">
        <f t="shared" ca="1" si="113"/>
        <v>9.0939101672780492E-2</v>
      </c>
      <c r="CW40" s="1487">
        <f t="shared" ca="1" si="113"/>
        <v>1.3142055981617109</v>
      </c>
      <c r="CX40" s="1487">
        <f t="shared" ca="1" si="113"/>
        <v>0</v>
      </c>
      <c r="CY40" s="1487">
        <f t="shared" ca="1" si="113"/>
        <v>0</v>
      </c>
      <c r="CZ40" s="1487">
        <f t="shared" ca="1" si="113"/>
        <v>0</v>
      </c>
      <c r="DA40" s="1487">
        <f t="shared" ca="1" si="113"/>
        <v>0</v>
      </c>
      <c r="DB40" s="1487">
        <f t="shared" ca="1" si="113"/>
        <v>0</v>
      </c>
      <c r="DC40" s="1487">
        <f t="shared" ca="1" si="113"/>
        <v>0</v>
      </c>
      <c r="DD40" s="1487">
        <f t="shared" ca="1" si="113"/>
        <v>0</v>
      </c>
      <c r="DE40" s="1487">
        <f t="shared" ca="1" si="113"/>
        <v>0</v>
      </c>
      <c r="DF40" s="1487">
        <f t="shared" ca="1" si="113"/>
        <v>0</v>
      </c>
      <c r="DH40" s="835">
        <f ca="1">SUM(BO40:DF40)</f>
        <v>381.9179120440549</v>
      </c>
    </row>
    <row r="41" spans="1:112" s="743" customFormat="1" ht="6" customHeight="1">
      <c r="C41" s="509"/>
      <c r="D41" s="509"/>
      <c r="E41" s="509"/>
      <c r="G41" s="958"/>
      <c r="H41" s="958"/>
      <c r="I41" s="958"/>
      <c r="J41" s="958"/>
      <c r="K41" s="960"/>
      <c r="L41" s="958"/>
      <c r="M41" s="958"/>
      <c r="N41" s="958"/>
      <c r="O41" s="958"/>
      <c r="P41" s="958"/>
      <c r="Q41" s="958"/>
      <c r="S41" s="970"/>
      <c r="T41" s="970"/>
      <c r="U41" s="970"/>
      <c r="V41" s="970"/>
      <c r="W41" s="970"/>
      <c r="X41" s="970"/>
      <c r="Y41" s="970"/>
      <c r="Z41" s="970"/>
      <c r="AA41" s="970"/>
      <c r="AB41" s="970"/>
      <c r="AC41" s="970"/>
      <c r="AD41" s="970"/>
      <c r="AE41" s="970"/>
      <c r="AF41" s="970"/>
      <c r="AG41" s="970"/>
      <c r="AH41" s="970"/>
      <c r="AI41" s="970"/>
      <c r="AJ41" s="970"/>
      <c r="AK41" s="970"/>
      <c r="AM41" s="976"/>
      <c r="AN41" s="976"/>
      <c r="AO41" s="976"/>
      <c r="AP41" s="976"/>
      <c r="AQ41" s="976"/>
      <c r="AR41" s="976"/>
      <c r="AS41" s="976"/>
      <c r="AT41" s="976"/>
      <c r="AU41" s="976"/>
      <c r="AV41" s="976"/>
      <c r="AW41" s="976"/>
      <c r="AX41" s="976"/>
      <c r="AY41" s="976"/>
      <c r="AZ41" s="976"/>
      <c r="BA41" s="976"/>
      <c r="BB41" s="976"/>
      <c r="BC41" s="976"/>
      <c r="BD41" s="976"/>
      <c r="BE41" s="976"/>
      <c r="BF41" s="976"/>
      <c r="BH41" s="990"/>
      <c r="BI41" s="990"/>
      <c r="BJ41" s="990"/>
      <c r="BL41" s="515">
        <f t="shared" si="9"/>
        <v>0</v>
      </c>
      <c r="BM41" s="515"/>
      <c r="BO41" s="1482"/>
      <c r="BP41" s="1482"/>
      <c r="BQ41" s="1482"/>
      <c r="BR41" s="1482"/>
      <c r="BS41" s="1482"/>
      <c r="BT41" s="1482"/>
      <c r="BU41" s="1482"/>
      <c r="BV41" s="1482"/>
      <c r="BW41" s="1482"/>
      <c r="BX41" s="1482"/>
      <c r="BY41" s="1482"/>
      <c r="BZ41" s="1482"/>
      <c r="CA41" s="1482"/>
      <c r="CB41" s="1482"/>
      <c r="CC41" s="1482"/>
      <c r="CD41" s="1482"/>
      <c r="CE41" s="1482"/>
      <c r="CF41" s="1482"/>
      <c r="CG41" s="1482"/>
      <c r="CH41" s="1482"/>
      <c r="CI41" s="1482"/>
      <c r="CJ41" s="1482"/>
      <c r="CK41" s="1482"/>
      <c r="CL41" s="1482"/>
      <c r="CM41" s="1482"/>
      <c r="CN41" s="1482"/>
      <c r="CO41" s="1482"/>
      <c r="CP41" s="1482"/>
      <c r="CQ41" s="1482"/>
      <c r="CR41" s="1482"/>
      <c r="CS41" s="1482"/>
      <c r="CT41" s="1482"/>
      <c r="CU41" s="1482"/>
      <c r="CV41" s="1482"/>
      <c r="CW41" s="1482"/>
      <c r="CX41" s="1482"/>
      <c r="CY41" s="1482"/>
      <c r="CZ41" s="1482"/>
      <c r="DA41" s="1482"/>
      <c r="DB41" s="1482"/>
      <c r="DC41" s="1482"/>
      <c r="DD41" s="1482"/>
      <c r="DE41" s="1482"/>
      <c r="DF41" s="1482"/>
      <c r="DH41" s="838"/>
    </row>
    <row r="42" spans="1:112" s="743" customFormat="1" ht="24" customHeight="1">
      <c r="C42" s="501" t="s">
        <v>72</v>
      </c>
      <c r="D42" s="501"/>
      <c r="E42" s="639"/>
      <c r="G42" s="957"/>
      <c r="H42" s="957"/>
      <c r="I42" s="957"/>
      <c r="J42" s="957"/>
      <c r="K42" s="957"/>
      <c r="L42" s="957"/>
      <c r="M42" s="957"/>
      <c r="N42" s="957"/>
      <c r="O42" s="957"/>
      <c r="P42" s="957"/>
      <c r="Q42" s="957"/>
      <c r="S42" s="969"/>
      <c r="T42" s="969"/>
      <c r="U42" s="969"/>
      <c r="V42" s="969"/>
      <c r="W42" s="969"/>
      <c r="X42" s="969"/>
      <c r="Y42" s="969"/>
      <c r="Z42" s="969"/>
      <c r="AA42" s="969"/>
      <c r="AB42" s="969"/>
      <c r="AC42" s="969"/>
      <c r="AD42" s="969"/>
      <c r="AE42" s="969"/>
      <c r="AF42" s="969"/>
      <c r="AG42" s="969"/>
      <c r="AH42" s="969"/>
      <c r="AI42" s="969"/>
      <c r="AJ42" s="969"/>
      <c r="AK42" s="969"/>
      <c r="AM42" s="975"/>
      <c r="AN42" s="975"/>
      <c r="AO42" s="975"/>
      <c r="AP42" s="975"/>
      <c r="AQ42" s="975"/>
      <c r="AR42" s="975"/>
      <c r="AS42" s="975"/>
      <c r="AT42" s="975"/>
      <c r="AU42" s="975"/>
      <c r="AV42" s="975"/>
      <c r="AW42" s="975"/>
      <c r="AX42" s="975"/>
      <c r="AY42" s="975"/>
      <c r="AZ42" s="975"/>
      <c r="BA42" s="975"/>
      <c r="BB42" s="975"/>
      <c r="BC42" s="975"/>
      <c r="BD42" s="975"/>
      <c r="BE42" s="975"/>
      <c r="BF42" s="975"/>
      <c r="BH42" s="989"/>
      <c r="BI42" s="989"/>
      <c r="BJ42" s="989"/>
      <c r="BL42" s="514">
        <f t="shared" si="9"/>
        <v>0</v>
      </c>
      <c r="BM42" s="514"/>
      <c r="BO42" s="1482"/>
      <c r="BP42" s="1482"/>
      <c r="BQ42" s="1482"/>
      <c r="BR42" s="1482"/>
      <c r="BS42" s="1482"/>
      <c r="BT42" s="1482"/>
      <c r="BU42" s="1482"/>
      <c r="BV42" s="1482"/>
      <c r="BW42" s="1482"/>
      <c r="BX42" s="1482"/>
      <c r="BY42" s="1482"/>
      <c r="BZ42" s="1482"/>
      <c r="CA42" s="1482"/>
      <c r="CB42" s="1482"/>
      <c r="CC42" s="1482"/>
      <c r="CD42" s="1482"/>
      <c r="CE42" s="1482"/>
      <c r="CF42" s="1482"/>
      <c r="CG42" s="1482"/>
      <c r="CH42" s="1482"/>
      <c r="CI42" s="1482"/>
      <c r="CJ42" s="1482"/>
      <c r="CK42" s="1482"/>
      <c r="CL42" s="1482"/>
      <c r="CM42" s="1482"/>
      <c r="CN42" s="1482"/>
      <c r="CO42" s="1482"/>
      <c r="CP42" s="1482"/>
      <c r="CQ42" s="1482"/>
      <c r="CR42" s="1482"/>
      <c r="CS42" s="1482"/>
      <c r="CT42" s="1482"/>
      <c r="CU42" s="1482"/>
      <c r="CV42" s="1482"/>
      <c r="CW42" s="1482"/>
      <c r="CX42" s="1482"/>
      <c r="CY42" s="1482"/>
      <c r="CZ42" s="1482"/>
      <c r="DA42" s="1482"/>
      <c r="DB42" s="1482"/>
      <c r="DC42" s="1482"/>
      <c r="DD42" s="1482"/>
      <c r="DE42" s="1482"/>
      <c r="DF42" s="1482"/>
      <c r="DH42" s="838"/>
    </row>
    <row r="43" spans="1:112" s="743" customFormat="1" ht="12.75" hidden="1" customHeight="1" outlineLevel="1">
      <c r="A43" s="22"/>
      <c r="B43" s="22"/>
      <c r="C43" s="751"/>
      <c r="D43" s="512"/>
      <c r="E43" s="512"/>
      <c r="G43" s="958"/>
      <c r="H43" s="958"/>
      <c r="I43" s="958"/>
      <c r="J43" s="958"/>
      <c r="K43" s="960"/>
      <c r="L43" s="958"/>
      <c r="M43" s="958"/>
      <c r="N43" s="958"/>
      <c r="O43" s="958"/>
      <c r="P43" s="958"/>
      <c r="Q43" s="958"/>
      <c r="S43" s="970"/>
      <c r="T43" s="970"/>
      <c r="U43" s="970"/>
      <c r="V43" s="970"/>
      <c r="W43" s="970"/>
      <c r="X43" s="970"/>
      <c r="Y43" s="970"/>
      <c r="Z43" s="970"/>
      <c r="AA43" s="970"/>
      <c r="AB43" s="970"/>
      <c r="AC43" s="970"/>
      <c r="AD43" s="970"/>
      <c r="AE43" s="970"/>
      <c r="AF43" s="970"/>
      <c r="AG43" s="970"/>
      <c r="AH43" s="970"/>
      <c r="AI43" s="970"/>
      <c r="AJ43" s="970"/>
      <c r="AK43" s="970"/>
      <c r="AM43" s="976"/>
      <c r="AN43" s="976"/>
      <c r="AO43" s="976"/>
      <c r="AP43" s="976"/>
      <c r="AQ43" s="976"/>
      <c r="AR43" s="976"/>
      <c r="AS43" s="976"/>
      <c r="AT43" s="976"/>
      <c r="AU43" s="976"/>
      <c r="AV43" s="976"/>
      <c r="AW43" s="976"/>
      <c r="AX43" s="976"/>
      <c r="AY43" s="976"/>
      <c r="AZ43" s="976"/>
      <c r="BA43" s="976"/>
      <c r="BB43" s="976"/>
      <c r="BC43" s="976"/>
      <c r="BD43" s="976"/>
      <c r="BE43" s="976"/>
      <c r="BF43" s="976"/>
      <c r="BH43" s="990"/>
      <c r="BI43" s="990"/>
      <c r="BJ43" s="990"/>
      <c r="BL43" s="515">
        <f t="shared" si="9"/>
        <v>0</v>
      </c>
      <c r="BM43" s="515"/>
      <c r="BN43" s="22"/>
      <c r="BO43" s="1482"/>
      <c r="BP43" s="1482"/>
      <c r="BQ43" s="1482"/>
      <c r="BR43" s="1482"/>
      <c r="BS43" s="1482"/>
      <c r="BT43" s="1482"/>
      <c r="BU43" s="1482"/>
      <c r="BV43" s="1482"/>
      <c r="BW43" s="1482"/>
      <c r="BX43" s="1482"/>
      <c r="BY43" s="1482"/>
      <c r="BZ43" s="1482"/>
      <c r="CA43" s="1482"/>
      <c r="CB43" s="1482"/>
      <c r="CC43" s="1482"/>
      <c r="CD43" s="1482"/>
      <c r="CE43" s="1482"/>
      <c r="CF43" s="1482"/>
      <c r="CG43" s="1482"/>
      <c r="CH43" s="1482"/>
      <c r="CI43" s="1482"/>
      <c r="CJ43" s="1482"/>
      <c r="CK43" s="1482"/>
      <c r="CL43" s="1482"/>
      <c r="CM43" s="1482"/>
      <c r="CN43" s="1482"/>
      <c r="CO43" s="1482"/>
      <c r="CP43" s="1482"/>
      <c r="CQ43" s="1482"/>
      <c r="CR43" s="1482"/>
      <c r="CS43" s="1482"/>
      <c r="CT43" s="1482"/>
      <c r="CU43" s="1482"/>
      <c r="CV43" s="1482"/>
      <c r="CW43" s="1482"/>
      <c r="CX43" s="1482"/>
      <c r="CY43" s="1482"/>
      <c r="CZ43" s="1482"/>
      <c r="DA43" s="1482"/>
      <c r="DB43" s="1482"/>
      <c r="DC43" s="1482"/>
      <c r="DD43" s="1482"/>
      <c r="DE43" s="1482"/>
      <c r="DF43" s="1482"/>
      <c r="DH43" s="838"/>
    </row>
    <row r="44" spans="1:112" s="1491" customFormat="1" ht="12.75" hidden="1" customHeight="1" outlineLevel="1">
      <c r="C44" s="1534" t="s">
        <v>1925</v>
      </c>
      <c r="D44" s="1535" t="s">
        <v>1926</v>
      </c>
      <c r="E44" s="1535"/>
      <c r="F44" s="1957"/>
      <c r="G44" s="1070"/>
      <c r="H44" s="1070"/>
      <c r="I44" s="1070"/>
      <c r="J44" s="1070"/>
      <c r="K44" s="1071"/>
      <c r="L44" s="1070"/>
      <c r="M44" s="1070"/>
      <c r="N44" s="1070"/>
      <c r="O44" s="1070"/>
      <c r="P44" s="1070"/>
      <c r="Q44" s="1070"/>
      <c r="R44" s="1957"/>
      <c r="S44" s="1072"/>
      <c r="T44" s="1072"/>
      <c r="U44" s="1072"/>
      <c r="V44" s="1072"/>
      <c r="W44" s="1072"/>
      <c r="X44" s="1072"/>
      <c r="Y44" s="1072"/>
      <c r="Z44" s="1072"/>
      <c r="AA44" s="1072"/>
      <c r="AB44" s="1072"/>
      <c r="AC44" s="1072"/>
      <c r="AD44" s="1072"/>
      <c r="AE44" s="1072"/>
      <c r="AF44" s="1072"/>
      <c r="AG44" s="1072"/>
      <c r="AH44" s="1072"/>
      <c r="AI44" s="1072"/>
      <c r="AJ44" s="1072">
        <f ca="1">AJ$40</f>
        <v>0</v>
      </c>
      <c r="AK44" s="1072"/>
      <c r="AL44" s="1957"/>
      <c r="AM44" s="1073"/>
      <c r="AN44" s="1073"/>
      <c r="AO44" s="1073"/>
      <c r="AP44" s="1073"/>
      <c r="AQ44" s="1073"/>
      <c r="AR44" s="1073"/>
      <c r="AS44" s="1073"/>
      <c r="AT44" s="1073"/>
      <c r="AU44" s="1073"/>
      <c r="AV44" s="1073"/>
      <c r="AW44" s="1073"/>
      <c r="AX44" s="1073"/>
      <c r="AY44" s="1073"/>
      <c r="AZ44" s="1073"/>
      <c r="BA44" s="1073"/>
      <c r="BB44" s="1073"/>
      <c r="BC44" s="1073"/>
      <c r="BD44" s="1073"/>
      <c r="BE44" s="1073"/>
      <c r="BF44" s="1073"/>
      <c r="BG44" s="1957"/>
      <c r="BH44" s="1074"/>
      <c r="BI44" s="1074"/>
      <c r="BJ44" s="1074"/>
      <c r="BK44" s="1957"/>
      <c r="BL44" s="1536">
        <f t="shared" si="9"/>
        <v>0</v>
      </c>
      <c r="BM44" s="1536"/>
      <c r="BO44" s="1963"/>
      <c r="BP44" s="1963"/>
      <c r="BQ44" s="1963"/>
      <c r="BR44" s="1963"/>
      <c r="BS44" s="1963"/>
      <c r="BT44" s="1963"/>
      <c r="BU44" s="1963"/>
      <c r="BV44" s="1963"/>
      <c r="BW44" s="1963"/>
      <c r="BX44" s="1963"/>
      <c r="BY44" s="1963"/>
      <c r="BZ44" s="1963"/>
      <c r="CA44" s="1963"/>
      <c r="CB44" s="1963"/>
      <c r="CC44" s="1963"/>
      <c r="CD44" s="1963"/>
      <c r="CE44" s="1963"/>
      <c r="CF44" s="1963"/>
      <c r="CG44" s="1963"/>
      <c r="CH44" s="1963"/>
      <c r="CI44" s="1963"/>
      <c r="CJ44" s="1963"/>
      <c r="CK44" s="1963"/>
      <c r="CL44" s="1963"/>
      <c r="CM44" s="1963"/>
      <c r="CN44" s="1963"/>
      <c r="CO44" s="1963"/>
      <c r="CP44" s="1963"/>
      <c r="CQ44" s="1963"/>
      <c r="CR44" s="1963"/>
      <c r="CS44" s="1963"/>
      <c r="CT44" s="1963"/>
      <c r="CU44" s="1963"/>
      <c r="CV44" s="1963"/>
      <c r="CW44" s="1963"/>
      <c r="CX44" s="1963"/>
      <c r="CY44" s="1963"/>
      <c r="CZ44" s="1963"/>
      <c r="DA44" s="1963"/>
      <c r="DB44" s="1963"/>
      <c r="DC44" s="1963"/>
      <c r="DD44" s="1963"/>
      <c r="DE44" s="1963"/>
      <c r="DF44" s="1963"/>
      <c r="DH44" s="1962">
        <f>SUM(BO44:DF44)</f>
        <v>0</v>
      </c>
    </row>
    <row r="45" spans="1:112" s="743" customFormat="1" ht="12.75" hidden="1" customHeight="1" outlineLevel="1">
      <c r="A45" s="22"/>
      <c r="B45" s="22"/>
      <c r="C45" s="746" t="s">
        <v>981</v>
      </c>
      <c r="D45" s="1010" t="str">
        <f>INDEX(Modules[Module], MATCH($C45, Modules[Code], 0))</f>
        <v>H2 Production</v>
      </c>
      <c r="E45" s="1069"/>
      <c r="G45" s="1022">
        <f t="shared" ref="G45:P45" ca="1" si="114">IFERROR(INDEX(INDIRECT($C45&amp;".Outputs["&amp;this.Year&amp;"]"), MATCH(G$5, INDIRECT($C45&amp;".Outputs[Vector]"), 0)), 0)</f>
        <v>0</v>
      </c>
      <c r="H45" s="1022">
        <f t="shared" ca="1" si="114"/>
        <v>0</v>
      </c>
      <c r="I45" s="1022">
        <f t="shared" ca="1" si="114"/>
        <v>0</v>
      </c>
      <c r="J45" s="1022">
        <f t="shared" ca="1" si="114"/>
        <v>0</v>
      </c>
      <c r="K45" s="1022">
        <f t="shared" ca="1" si="114"/>
        <v>0</v>
      </c>
      <c r="L45" s="1022">
        <f t="shared" ca="1" si="114"/>
        <v>0</v>
      </c>
      <c r="M45" s="1022">
        <f t="shared" ca="1" si="114"/>
        <v>0</v>
      </c>
      <c r="N45" s="1022">
        <f t="shared" ca="1" si="114"/>
        <v>0</v>
      </c>
      <c r="O45" s="1022">
        <f t="shared" ca="1" si="114"/>
        <v>0</v>
      </c>
      <c r="P45" s="1022">
        <f t="shared" ca="1" si="114"/>
        <v>0</v>
      </c>
      <c r="Q45" s="1020">
        <f ca="1">SUM(G45:P45)</f>
        <v>0</v>
      </c>
      <c r="S45" s="1031">
        <f t="shared" ref="S45:AJ45" ca="1" si="115">IFERROR(INDEX(INDIRECT($C45&amp;".Outputs["&amp;this.Year&amp;"]"), MATCH(S$5, INDIRECT($C45&amp;".Outputs[Vector]"), 0)), 0)</f>
        <v>0</v>
      </c>
      <c r="T45" s="1031">
        <f t="shared" ca="1" si="115"/>
        <v>0</v>
      </c>
      <c r="U45" s="1031">
        <f t="shared" ca="1" si="115"/>
        <v>0</v>
      </c>
      <c r="V45" s="1031">
        <f t="shared" ca="1" si="115"/>
        <v>0</v>
      </c>
      <c r="W45" s="1031">
        <f t="shared" ca="1" si="115"/>
        <v>0</v>
      </c>
      <c r="X45" s="1031">
        <f ca="1">IFERROR(INDEX(INDIRECT($C45&amp;".Outputs["&amp;this.Year&amp;"]"), MATCH(X$5, INDIRECT($C45&amp;".Outputs[Vector]"), 0)), 0)</f>
        <v>0</v>
      </c>
      <c r="Y45" s="1031">
        <f ca="1">IFERROR(INDEX(INDIRECT($C45&amp;".Outputs["&amp;this.Year&amp;"]"), MATCH(Y$5, INDIRECT($C45&amp;".Outputs[Vector]"), 0)), 0)</f>
        <v>0</v>
      </c>
      <c r="Z45" s="1031">
        <f ca="1">IFERROR(INDEX(INDIRECT($C45&amp;".Outputs["&amp;this.Year&amp;"]"), MATCH(Z$5, INDIRECT($C45&amp;".Outputs[Vector]"), 0)), 0)</f>
        <v>0</v>
      </c>
      <c r="AA45" s="1031">
        <f t="shared" ca="1" si="115"/>
        <v>0</v>
      </c>
      <c r="AB45" s="1031">
        <f t="shared" ca="1" si="115"/>
        <v>0</v>
      </c>
      <c r="AC45" s="1031">
        <f t="shared" ca="1" si="115"/>
        <v>0</v>
      </c>
      <c r="AD45" s="1031">
        <f t="shared" ca="1" si="115"/>
        <v>0</v>
      </c>
      <c r="AE45" s="1031">
        <f t="shared" ca="1" si="115"/>
        <v>0</v>
      </c>
      <c r="AF45" s="1031">
        <f t="shared" ca="1" si="115"/>
        <v>0</v>
      </c>
      <c r="AG45" s="1031">
        <f t="shared" ca="1" si="115"/>
        <v>0</v>
      </c>
      <c r="AH45" s="1031">
        <f t="shared" ca="1" si="115"/>
        <v>0</v>
      </c>
      <c r="AI45" s="1031">
        <f t="shared" ca="1" si="115"/>
        <v>0</v>
      </c>
      <c r="AJ45" s="1031">
        <f t="shared" ca="1" si="115"/>
        <v>0</v>
      </c>
      <c r="AK45" s="1030">
        <f ca="1">SUM(S45:AJ45)</f>
        <v>0</v>
      </c>
      <c r="AM45" s="1042">
        <f t="shared" ref="AM45:AU45" ca="1" si="116">IFERROR(INDEX(INDIRECT($C45&amp;".Outputs["&amp;this.Year&amp;"]"), MATCH(AM$5, INDIRECT($C45&amp;".Outputs[Vector]"), 0)), 0)</f>
        <v>0</v>
      </c>
      <c r="AN45" s="1042">
        <f t="shared" ca="1" si="116"/>
        <v>0</v>
      </c>
      <c r="AO45" s="1042">
        <f t="shared" ca="1" si="116"/>
        <v>0</v>
      </c>
      <c r="AP45" s="1042">
        <f t="shared" ca="1" si="116"/>
        <v>0</v>
      </c>
      <c r="AQ45" s="1042">
        <f t="shared" ca="1" si="116"/>
        <v>0</v>
      </c>
      <c r="AR45" s="1042">
        <f t="shared" ca="1" si="116"/>
        <v>0</v>
      </c>
      <c r="AS45" s="1042">
        <f t="shared" ca="1" si="116"/>
        <v>0</v>
      </c>
      <c r="AT45" s="1042">
        <f t="shared" ca="1" si="116"/>
        <v>0</v>
      </c>
      <c r="AU45" s="1042">
        <f t="shared" ca="1" si="116"/>
        <v>0</v>
      </c>
      <c r="AV45" s="1042">
        <f t="shared" ref="AV45:BE45" ca="1" si="117">IFERROR(INDEX(INDIRECT($C45&amp;".Outputs["&amp;this.Year&amp;"]"), MATCH(AV$5, INDIRECT($C45&amp;".Outputs[Vector]"), 0)), 0)</f>
        <v>0</v>
      </c>
      <c r="AW45" s="1042">
        <f t="shared" ca="1" si="117"/>
        <v>0</v>
      </c>
      <c r="AX45" s="1042">
        <f t="shared" ca="1" si="117"/>
        <v>0</v>
      </c>
      <c r="AY45" s="1042">
        <f t="shared" ca="1" si="117"/>
        <v>0</v>
      </c>
      <c r="AZ45" s="1042">
        <f t="shared" ca="1" si="117"/>
        <v>0</v>
      </c>
      <c r="BA45" s="1042">
        <f t="shared" ca="1" si="117"/>
        <v>0</v>
      </c>
      <c r="BB45" s="1042">
        <f t="shared" ca="1" si="117"/>
        <v>0</v>
      </c>
      <c r="BC45" s="1042">
        <f t="shared" ca="1" si="117"/>
        <v>0</v>
      </c>
      <c r="BD45" s="1042">
        <f t="shared" ca="1" si="117"/>
        <v>0</v>
      </c>
      <c r="BE45" s="1042">
        <f t="shared" ca="1" si="117"/>
        <v>0</v>
      </c>
      <c r="BF45" s="1012">
        <f ca="1">SUM(AM45:BE45)</f>
        <v>0</v>
      </c>
      <c r="BH45" s="1036">
        <f ca="1">IFERROR(INDEX(INDIRECT($C45&amp;".Outputs["&amp;this.Year&amp;"]"), MATCH(BH$5, INDIRECT($C45&amp;".Outputs[Vector]"), 0)), 0)</f>
        <v>0</v>
      </c>
      <c r="BI45" s="1036">
        <f ca="1">IFERROR(INDEX(INDIRECT($C45&amp;".Outputs["&amp;this.Year&amp;"]"), MATCH(BI$5, INDIRECT($C45&amp;".Outputs[Vector]"), 0)), 0)</f>
        <v>0</v>
      </c>
      <c r="BJ45" s="1035">
        <f ca="1">SUM(BH45:BI45)</f>
        <v>0</v>
      </c>
      <c r="BL45" s="515"/>
      <c r="BM45" s="515"/>
      <c r="BN45" s="840"/>
      <c r="BO45" s="1485">
        <f t="shared" ref="BO45:DF45" ca="1" si="118">IFERROR(SUMIFS(INDIRECT($C45&amp;".Emissions["&amp;this.Year&amp;"]"), INDIRECT($C45&amp;".Emissions[GHG]"), BO$6, INDIRECT($C45&amp;".Emissions[IPCC Sector]"), BO$5),0)</f>
        <v>0</v>
      </c>
      <c r="BP45" s="1486">
        <f t="shared" ca="1" si="118"/>
        <v>0</v>
      </c>
      <c r="BQ45" s="1486">
        <f t="shared" ca="1" si="118"/>
        <v>0</v>
      </c>
      <c r="BR45" s="1486">
        <f t="shared" ca="1" si="118"/>
        <v>0</v>
      </c>
      <c r="BS45" s="1486">
        <f t="shared" ca="1" si="118"/>
        <v>0</v>
      </c>
      <c r="BT45" s="1486">
        <f t="shared" ca="1" si="118"/>
        <v>0</v>
      </c>
      <c r="BU45" s="1486">
        <f t="shared" ca="1" si="118"/>
        <v>0</v>
      </c>
      <c r="BV45" s="1486">
        <f t="shared" ca="1" si="118"/>
        <v>0</v>
      </c>
      <c r="BW45" s="1486">
        <f t="shared" ca="1" si="118"/>
        <v>0</v>
      </c>
      <c r="BX45" s="1486">
        <f t="shared" ca="1" si="118"/>
        <v>0</v>
      </c>
      <c r="BY45" s="1486">
        <f t="shared" ca="1" si="118"/>
        <v>0</v>
      </c>
      <c r="BZ45" s="1486">
        <f t="shared" ca="1" si="118"/>
        <v>0</v>
      </c>
      <c r="CA45" s="1486">
        <f t="shared" ca="1" si="118"/>
        <v>0</v>
      </c>
      <c r="CB45" s="1486">
        <f t="shared" ca="1" si="118"/>
        <v>0</v>
      </c>
      <c r="CC45" s="1486">
        <f t="shared" ca="1" si="118"/>
        <v>0</v>
      </c>
      <c r="CD45" s="1486">
        <f t="shared" ca="1" si="118"/>
        <v>0</v>
      </c>
      <c r="CE45" s="1486">
        <f t="shared" ca="1" si="118"/>
        <v>0</v>
      </c>
      <c r="CF45" s="1486">
        <f t="shared" ca="1" si="118"/>
        <v>0</v>
      </c>
      <c r="CG45" s="1486">
        <f t="shared" ca="1" si="118"/>
        <v>0</v>
      </c>
      <c r="CH45" s="1486">
        <f t="shared" ca="1" si="118"/>
        <v>0</v>
      </c>
      <c r="CI45" s="1486">
        <f t="shared" ca="1" si="118"/>
        <v>0</v>
      </c>
      <c r="CJ45" s="1486">
        <f t="shared" ca="1" si="118"/>
        <v>0</v>
      </c>
      <c r="CK45" s="1486">
        <f t="shared" ca="1" si="118"/>
        <v>0</v>
      </c>
      <c r="CL45" s="1486">
        <f t="shared" ca="1" si="118"/>
        <v>0</v>
      </c>
      <c r="CM45" s="1486">
        <f t="shared" ca="1" si="118"/>
        <v>0</v>
      </c>
      <c r="CN45" s="1486">
        <f t="shared" ca="1" si="118"/>
        <v>0</v>
      </c>
      <c r="CO45" s="1486">
        <f t="shared" ca="1" si="118"/>
        <v>0</v>
      </c>
      <c r="CP45" s="1486">
        <f t="shared" ca="1" si="118"/>
        <v>0</v>
      </c>
      <c r="CQ45" s="1486">
        <f t="shared" ca="1" si="118"/>
        <v>0</v>
      </c>
      <c r="CR45" s="1486">
        <f t="shared" ca="1" si="118"/>
        <v>0</v>
      </c>
      <c r="CS45" s="1486">
        <f t="shared" ca="1" si="118"/>
        <v>0</v>
      </c>
      <c r="CT45" s="1486">
        <f t="shared" ca="1" si="118"/>
        <v>0</v>
      </c>
      <c r="CU45" s="1486">
        <f t="shared" ca="1" si="118"/>
        <v>0</v>
      </c>
      <c r="CV45" s="1486">
        <f t="shared" ca="1" si="118"/>
        <v>0</v>
      </c>
      <c r="CW45" s="1486">
        <f t="shared" ca="1" si="118"/>
        <v>0</v>
      </c>
      <c r="CX45" s="1486">
        <f t="shared" ca="1" si="118"/>
        <v>0</v>
      </c>
      <c r="CY45" s="1486">
        <f t="shared" ca="1" si="118"/>
        <v>0</v>
      </c>
      <c r="CZ45" s="1486">
        <f t="shared" ca="1" si="118"/>
        <v>0</v>
      </c>
      <c r="DA45" s="1486">
        <f t="shared" ca="1" si="118"/>
        <v>0</v>
      </c>
      <c r="DB45" s="1486">
        <f t="shared" ca="1" si="118"/>
        <v>0</v>
      </c>
      <c r="DC45" s="1486">
        <f t="shared" ca="1" si="118"/>
        <v>0</v>
      </c>
      <c r="DD45" s="1486">
        <f t="shared" ca="1" si="118"/>
        <v>0</v>
      </c>
      <c r="DE45" s="1486">
        <f t="shared" ca="1" si="118"/>
        <v>0</v>
      </c>
      <c r="DF45" s="1486">
        <f t="shared" ca="1" si="118"/>
        <v>0</v>
      </c>
      <c r="DH45" s="838"/>
    </row>
    <row r="46" spans="1:112" s="743" customFormat="1" ht="15.75" collapsed="1">
      <c r="A46" s="22"/>
      <c r="B46" s="753"/>
      <c r="C46" s="744" t="s">
        <v>674</v>
      </c>
      <c r="D46" s="517" t="str">
        <f>INDEX(Workstreams[Workstream], MATCH($C46, Workstreams[Code], 0))</f>
        <v>H2 Production</v>
      </c>
      <c r="E46" s="512"/>
      <c r="G46" s="1021">
        <f ca="1">G45</f>
        <v>0</v>
      </c>
      <c r="H46" s="1021">
        <f t="shared" ref="H46:P46" ca="1" si="119">H45</f>
        <v>0</v>
      </c>
      <c r="I46" s="1021">
        <f t="shared" ca="1" si="119"/>
        <v>0</v>
      </c>
      <c r="J46" s="1021">
        <f t="shared" ca="1" si="119"/>
        <v>0</v>
      </c>
      <c r="K46" s="1021">
        <f t="shared" ca="1" si="119"/>
        <v>0</v>
      </c>
      <c r="L46" s="1021">
        <f t="shared" ca="1" si="119"/>
        <v>0</v>
      </c>
      <c r="M46" s="1021">
        <f t="shared" ca="1" si="119"/>
        <v>0</v>
      </c>
      <c r="N46" s="1021">
        <f t="shared" ca="1" si="119"/>
        <v>0</v>
      </c>
      <c r="O46" s="1021">
        <f t="shared" ca="1" si="119"/>
        <v>0</v>
      </c>
      <c r="P46" s="1021">
        <f t="shared" ca="1" si="119"/>
        <v>0</v>
      </c>
      <c r="Q46" s="1021">
        <f ca="1">SUM(G46:P46)</f>
        <v>0</v>
      </c>
      <c r="S46" s="970">
        <f t="shared" ref="S46:AJ46" ca="1" si="120">S45</f>
        <v>0</v>
      </c>
      <c r="T46" s="970">
        <f t="shared" ca="1" si="120"/>
        <v>0</v>
      </c>
      <c r="U46" s="970">
        <f t="shared" ca="1" si="120"/>
        <v>0</v>
      </c>
      <c r="V46" s="970">
        <f t="shared" ca="1" si="120"/>
        <v>0</v>
      </c>
      <c r="W46" s="970">
        <f t="shared" ca="1" si="120"/>
        <v>0</v>
      </c>
      <c r="X46" s="970">
        <f t="shared" ca="1" si="120"/>
        <v>0</v>
      </c>
      <c r="Y46" s="970">
        <f t="shared" ca="1" si="120"/>
        <v>0</v>
      </c>
      <c r="Z46" s="970">
        <f t="shared" ca="1" si="120"/>
        <v>0</v>
      </c>
      <c r="AA46" s="970">
        <f t="shared" ca="1" si="120"/>
        <v>0</v>
      </c>
      <c r="AB46" s="970">
        <f t="shared" ca="1" si="120"/>
        <v>0</v>
      </c>
      <c r="AC46" s="970">
        <f t="shared" ca="1" si="120"/>
        <v>0</v>
      </c>
      <c r="AD46" s="970">
        <f ca="1">AD45</f>
        <v>0</v>
      </c>
      <c r="AE46" s="970">
        <f ca="1">AE45</f>
        <v>0</v>
      </c>
      <c r="AF46" s="970">
        <f t="shared" ca="1" si="120"/>
        <v>0</v>
      </c>
      <c r="AG46" s="970">
        <f ca="1">AG45</f>
        <v>0</v>
      </c>
      <c r="AH46" s="970">
        <f ca="1">AH45</f>
        <v>0</v>
      </c>
      <c r="AI46" s="970">
        <f ca="1">AI45</f>
        <v>0</v>
      </c>
      <c r="AJ46" s="970">
        <f t="shared" ca="1" si="120"/>
        <v>0</v>
      </c>
      <c r="AK46" s="970">
        <f ca="1">SUM(S46:AJ46)</f>
        <v>0</v>
      </c>
      <c r="AM46" s="976">
        <f ca="1">AM45</f>
        <v>0</v>
      </c>
      <c r="AN46" s="976">
        <f t="shared" ref="AN46:BE46" ca="1" si="121">AN45</f>
        <v>0</v>
      </c>
      <c r="AO46" s="976">
        <f t="shared" ca="1" si="121"/>
        <v>0</v>
      </c>
      <c r="AP46" s="976">
        <f t="shared" ca="1" si="121"/>
        <v>0</v>
      </c>
      <c r="AQ46" s="976">
        <f t="shared" ca="1" si="121"/>
        <v>0</v>
      </c>
      <c r="AR46" s="976">
        <f t="shared" ca="1" si="121"/>
        <v>0</v>
      </c>
      <c r="AS46" s="976">
        <f t="shared" ca="1" si="121"/>
        <v>0</v>
      </c>
      <c r="AT46" s="976">
        <f t="shared" ca="1" si="121"/>
        <v>0</v>
      </c>
      <c r="AU46" s="976">
        <f t="shared" ca="1" si="121"/>
        <v>0</v>
      </c>
      <c r="AV46" s="976">
        <f t="shared" ca="1" si="121"/>
        <v>0</v>
      </c>
      <c r="AW46" s="976">
        <f t="shared" ca="1" si="121"/>
        <v>0</v>
      </c>
      <c r="AX46" s="976">
        <f t="shared" ca="1" si="121"/>
        <v>0</v>
      </c>
      <c r="AY46" s="976">
        <f t="shared" ca="1" si="121"/>
        <v>0</v>
      </c>
      <c r="AZ46" s="976">
        <f t="shared" ca="1" si="121"/>
        <v>0</v>
      </c>
      <c r="BA46" s="976">
        <f t="shared" ca="1" si="121"/>
        <v>0</v>
      </c>
      <c r="BB46" s="976">
        <f t="shared" ca="1" si="121"/>
        <v>0</v>
      </c>
      <c r="BC46" s="976">
        <f t="shared" ca="1" si="121"/>
        <v>0</v>
      </c>
      <c r="BD46" s="976">
        <f t="shared" ca="1" si="121"/>
        <v>0</v>
      </c>
      <c r="BE46" s="976">
        <f t="shared" ca="1" si="121"/>
        <v>0</v>
      </c>
      <c r="BF46" s="976">
        <f ca="1">SUM(AM46:BE46)</f>
        <v>0</v>
      </c>
      <c r="BH46" s="990">
        <f ca="1">BH45</f>
        <v>0</v>
      </c>
      <c r="BI46" s="990">
        <f ca="1">BI45</f>
        <v>0</v>
      </c>
      <c r="BJ46" s="990">
        <f ca="1">SUM(BH46:BI46)</f>
        <v>0</v>
      </c>
      <c r="BL46" s="515">
        <f ca="1">Q46+AK46+BF46+BJ46</f>
        <v>0</v>
      </c>
      <c r="BM46" s="515"/>
      <c r="BN46" s="840"/>
      <c r="BO46" s="1482">
        <f t="shared" ref="BO46:DF46" ca="1" si="122">BO45</f>
        <v>0</v>
      </c>
      <c r="BP46" s="1482">
        <f t="shared" ca="1" si="122"/>
        <v>0</v>
      </c>
      <c r="BQ46" s="1482">
        <f t="shared" ca="1" si="122"/>
        <v>0</v>
      </c>
      <c r="BR46" s="1482">
        <f t="shared" ca="1" si="122"/>
        <v>0</v>
      </c>
      <c r="BS46" s="1482">
        <f t="shared" ca="1" si="122"/>
        <v>0</v>
      </c>
      <c r="BT46" s="1482">
        <f t="shared" ca="1" si="122"/>
        <v>0</v>
      </c>
      <c r="BU46" s="1482">
        <f t="shared" ca="1" si="122"/>
        <v>0</v>
      </c>
      <c r="BV46" s="1482">
        <f t="shared" ca="1" si="122"/>
        <v>0</v>
      </c>
      <c r="BW46" s="1482">
        <f t="shared" ca="1" si="122"/>
        <v>0</v>
      </c>
      <c r="BX46" s="1482">
        <f t="shared" ca="1" si="122"/>
        <v>0</v>
      </c>
      <c r="BY46" s="1482">
        <f t="shared" ca="1" si="122"/>
        <v>0</v>
      </c>
      <c r="BZ46" s="1482">
        <f t="shared" ca="1" si="122"/>
        <v>0</v>
      </c>
      <c r="CA46" s="1482">
        <f t="shared" ca="1" si="122"/>
        <v>0</v>
      </c>
      <c r="CB46" s="1482">
        <f t="shared" ca="1" si="122"/>
        <v>0</v>
      </c>
      <c r="CC46" s="1482">
        <f t="shared" ca="1" si="122"/>
        <v>0</v>
      </c>
      <c r="CD46" s="1482">
        <f t="shared" ca="1" si="122"/>
        <v>0</v>
      </c>
      <c r="CE46" s="1482">
        <f t="shared" ca="1" si="122"/>
        <v>0</v>
      </c>
      <c r="CF46" s="1482">
        <f t="shared" ca="1" si="122"/>
        <v>0</v>
      </c>
      <c r="CG46" s="1482">
        <f t="shared" ca="1" si="122"/>
        <v>0</v>
      </c>
      <c r="CH46" s="1482">
        <f t="shared" ca="1" si="122"/>
        <v>0</v>
      </c>
      <c r="CI46" s="1482">
        <f t="shared" ca="1" si="122"/>
        <v>0</v>
      </c>
      <c r="CJ46" s="1482">
        <f t="shared" ca="1" si="122"/>
        <v>0</v>
      </c>
      <c r="CK46" s="1482">
        <f t="shared" ca="1" si="122"/>
        <v>0</v>
      </c>
      <c r="CL46" s="1482">
        <f t="shared" ca="1" si="122"/>
        <v>0</v>
      </c>
      <c r="CM46" s="1482">
        <f t="shared" ca="1" si="122"/>
        <v>0</v>
      </c>
      <c r="CN46" s="1482">
        <f t="shared" ca="1" si="122"/>
        <v>0</v>
      </c>
      <c r="CO46" s="1482">
        <f t="shared" ca="1" si="122"/>
        <v>0</v>
      </c>
      <c r="CP46" s="1482">
        <f t="shared" ca="1" si="122"/>
        <v>0</v>
      </c>
      <c r="CQ46" s="1482">
        <f t="shared" ca="1" si="122"/>
        <v>0</v>
      </c>
      <c r="CR46" s="1482">
        <f t="shared" ca="1" si="122"/>
        <v>0</v>
      </c>
      <c r="CS46" s="1482">
        <f t="shared" ca="1" si="122"/>
        <v>0</v>
      </c>
      <c r="CT46" s="1482">
        <f t="shared" ca="1" si="122"/>
        <v>0</v>
      </c>
      <c r="CU46" s="1482">
        <f t="shared" ca="1" si="122"/>
        <v>0</v>
      </c>
      <c r="CV46" s="1482">
        <f t="shared" ca="1" si="122"/>
        <v>0</v>
      </c>
      <c r="CW46" s="1482">
        <f t="shared" ca="1" si="122"/>
        <v>0</v>
      </c>
      <c r="CX46" s="1482">
        <f t="shared" ca="1" si="122"/>
        <v>0</v>
      </c>
      <c r="CY46" s="1482">
        <f t="shared" ca="1" si="122"/>
        <v>0</v>
      </c>
      <c r="CZ46" s="1482">
        <f t="shared" ca="1" si="122"/>
        <v>0</v>
      </c>
      <c r="DA46" s="1482">
        <f t="shared" ca="1" si="122"/>
        <v>0</v>
      </c>
      <c r="DB46" s="1482">
        <f t="shared" ca="1" si="122"/>
        <v>0</v>
      </c>
      <c r="DC46" s="1482">
        <f t="shared" ca="1" si="122"/>
        <v>0</v>
      </c>
      <c r="DD46" s="1482">
        <f t="shared" ca="1" si="122"/>
        <v>0</v>
      </c>
      <c r="DE46" s="1482">
        <f t="shared" ca="1" si="122"/>
        <v>0</v>
      </c>
      <c r="DF46" s="1482">
        <f t="shared" ca="1" si="122"/>
        <v>0</v>
      </c>
      <c r="DH46" s="838">
        <f t="shared" ref="DH46:DH82" ca="1" si="123">SUM(BO46:DF46)</f>
        <v>0</v>
      </c>
    </row>
    <row r="47" spans="1:112" s="743" customFormat="1" hidden="1" outlineLevel="1">
      <c r="C47" s="508"/>
      <c r="D47" s="509"/>
      <c r="E47" s="509"/>
      <c r="G47" s="958"/>
      <c r="H47" s="958"/>
      <c r="I47" s="958"/>
      <c r="J47" s="958"/>
      <c r="K47" s="960"/>
      <c r="L47" s="958"/>
      <c r="M47" s="958"/>
      <c r="N47" s="958"/>
      <c r="O47" s="958"/>
      <c r="P47" s="958"/>
      <c r="Q47" s="958"/>
      <c r="S47" s="970"/>
      <c r="T47" s="970"/>
      <c r="U47" s="970"/>
      <c r="V47" s="970"/>
      <c r="W47" s="970"/>
      <c r="X47" s="970"/>
      <c r="Y47" s="970"/>
      <c r="Z47" s="970"/>
      <c r="AA47" s="970"/>
      <c r="AB47" s="970"/>
      <c r="AC47" s="970"/>
      <c r="AD47" s="970"/>
      <c r="AE47" s="970"/>
      <c r="AF47" s="970"/>
      <c r="AG47" s="970"/>
      <c r="AH47" s="970"/>
      <c r="AI47" s="970"/>
      <c r="AJ47" s="970"/>
      <c r="AK47" s="970"/>
      <c r="AM47" s="976"/>
      <c r="AN47" s="976"/>
      <c r="AO47" s="976"/>
      <c r="AP47" s="976"/>
      <c r="AQ47" s="976"/>
      <c r="AR47" s="976"/>
      <c r="AS47" s="976"/>
      <c r="AT47" s="976"/>
      <c r="AU47" s="976"/>
      <c r="AV47" s="976"/>
      <c r="AW47" s="976"/>
      <c r="AX47" s="976"/>
      <c r="AY47" s="976"/>
      <c r="AZ47" s="976"/>
      <c r="BA47" s="976"/>
      <c r="BB47" s="976"/>
      <c r="BC47" s="976"/>
      <c r="BD47" s="976"/>
      <c r="BE47" s="976"/>
      <c r="BF47" s="976"/>
      <c r="BH47" s="990"/>
      <c r="BI47" s="990"/>
      <c r="BJ47" s="990"/>
      <c r="BL47" s="515">
        <f>Q47+AK47+BF47+BJ47</f>
        <v>0</v>
      </c>
      <c r="BM47" s="515"/>
      <c r="BO47" s="1482"/>
      <c r="BP47" s="1482"/>
      <c r="BQ47" s="1482"/>
      <c r="BR47" s="1482"/>
      <c r="BS47" s="1482"/>
      <c r="BT47" s="1482"/>
      <c r="BU47" s="1482"/>
      <c r="BV47" s="1482"/>
      <c r="BW47" s="1482"/>
      <c r="BX47" s="1482"/>
      <c r="BY47" s="1482"/>
      <c r="BZ47" s="1482"/>
      <c r="CA47" s="1482"/>
      <c r="CB47" s="1482"/>
      <c r="CC47" s="1482"/>
      <c r="CD47" s="1482"/>
      <c r="CE47" s="1482"/>
      <c r="CF47" s="1482"/>
      <c r="CG47" s="1482"/>
      <c r="CH47" s="1482"/>
      <c r="CI47" s="1482"/>
      <c r="CJ47" s="1482"/>
      <c r="CK47" s="1482"/>
      <c r="CL47" s="1482"/>
      <c r="CM47" s="1482"/>
      <c r="CN47" s="1482"/>
      <c r="CO47" s="1482"/>
      <c r="CP47" s="1482"/>
      <c r="CQ47" s="1482"/>
      <c r="CR47" s="1482"/>
      <c r="CS47" s="1482"/>
      <c r="CT47" s="1482"/>
      <c r="CU47" s="1482"/>
      <c r="CV47" s="1482"/>
      <c r="CW47" s="1482"/>
      <c r="CX47" s="1482"/>
      <c r="CY47" s="1482"/>
      <c r="CZ47" s="1482"/>
      <c r="DA47" s="1482"/>
      <c r="DB47" s="1482"/>
      <c r="DC47" s="1482"/>
      <c r="DD47" s="1482"/>
      <c r="DE47" s="1482"/>
      <c r="DF47" s="1482"/>
      <c r="DH47" s="838">
        <f t="shared" si="123"/>
        <v>0</v>
      </c>
    </row>
    <row r="48" spans="1:112" s="743" customFormat="1" hidden="1" outlineLevel="1">
      <c r="A48" s="1484"/>
      <c r="B48" s="1484"/>
      <c r="C48" s="746" t="s">
        <v>2280</v>
      </c>
      <c r="D48" s="521" t="str">
        <f>INDEX(Modules[Module], MATCH($C48, Modules[Code], 0))</f>
        <v>Marine algae</v>
      </c>
      <c r="E48" s="521"/>
      <c r="G48" s="1017">
        <f t="shared" ref="G48:P49" ca="1" si="124">IFERROR(INDEX(INDIRECT($C48&amp;".Outputs["&amp;this.Year&amp;"]"), MATCH(G$5, INDIRECT($C48&amp;".Outputs[Vector]"), 0)), 0)</f>
        <v>0</v>
      </c>
      <c r="H48" s="1017">
        <f t="shared" ca="1" si="124"/>
        <v>0</v>
      </c>
      <c r="I48" s="1017">
        <f t="shared" ca="1" si="124"/>
        <v>0</v>
      </c>
      <c r="J48" s="1017">
        <f t="shared" ca="1" si="124"/>
        <v>0</v>
      </c>
      <c r="K48" s="1017">
        <f t="shared" ca="1" si="124"/>
        <v>0</v>
      </c>
      <c r="L48" s="1017">
        <f t="shared" ca="1" si="124"/>
        <v>0</v>
      </c>
      <c r="M48" s="1017">
        <f t="shared" ca="1" si="124"/>
        <v>0</v>
      </c>
      <c r="N48" s="1017">
        <f t="shared" ca="1" si="124"/>
        <v>0</v>
      </c>
      <c r="O48" s="1017">
        <f t="shared" ca="1" si="124"/>
        <v>0</v>
      </c>
      <c r="P48" s="1017">
        <f t="shared" ca="1" si="124"/>
        <v>0</v>
      </c>
      <c r="Q48" s="1019">
        <f ca="1">SUM(G48:P48)</f>
        <v>0</v>
      </c>
      <c r="S48" s="1026">
        <f t="shared" ref="S48:BE49" ca="1" si="125">IFERROR(INDEX(INDIRECT($C48&amp;".Outputs["&amp;this.Year&amp;"]"), MATCH(S$5, INDIRECT($C48&amp;".Outputs[Vector]"), 0)), 0)</f>
        <v>0</v>
      </c>
      <c r="T48" s="1026">
        <f t="shared" ca="1" si="125"/>
        <v>0</v>
      </c>
      <c r="U48" s="1026">
        <f t="shared" ca="1" si="125"/>
        <v>0</v>
      </c>
      <c r="V48" s="1026">
        <f t="shared" ca="1" si="125"/>
        <v>0</v>
      </c>
      <c r="W48" s="1026">
        <f t="shared" ca="1" si="125"/>
        <v>0</v>
      </c>
      <c r="X48" s="1026">
        <f t="shared" ref="X48:Z50" ca="1" si="126">IFERROR(INDEX(INDIRECT($C48&amp;".Outputs["&amp;this.Year&amp;"]"), MATCH(X$5, INDIRECT($C48&amp;".Outputs[Vector]"), 0)), 0)</f>
        <v>0</v>
      </c>
      <c r="Y48" s="1026">
        <f t="shared" ca="1" si="126"/>
        <v>0</v>
      </c>
      <c r="Z48" s="1026">
        <f t="shared" ca="1" si="126"/>
        <v>0</v>
      </c>
      <c r="AA48" s="1026">
        <f t="shared" ca="1" si="125"/>
        <v>0</v>
      </c>
      <c r="AB48" s="1026">
        <f t="shared" ca="1" si="125"/>
        <v>0</v>
      </c>
      <c r="AC48" s="1026">
        <f t="shared" ca="1" si="125"/>
        <v>0</v>
      </c>
      <c r="AD48" s="1026">
        <f t="shared" ca="1" si="125"/>
        <v>0</v>
      </c>
      <c r="AE48" s="1026">
        <f t="shared" ca="1" si="125"/>
        <v>0</v>
      </c>
      <c r="AF48" s="1026">
        <f t="shared" ca="1" si="125"/>
        <v>0</v>
      </c>
      <c r="AG48" s="1026">
        <f t="shared" ca="1" si="125"/>
        <v>0</v>
      </c>
      <c r="AH48" s="1026">
        <f t="shared" ca="1" si="125"/>
        <v>0</v>
      </c>
      <c r="AI48" s="1026">
        <f t="shared" ca="1" si="125"/>
        <v>0</v>
      </c>
      <c r="AJ48" s="1026">
        <f t="shared" ca="1" si="125"/>
        <v>0</v>
      </c>
      <c r="AK48" s="1027">
        <f ca="1">SUM(S48:AJ48)</f>
        <v>0</v>
      </c>
      <c r="AM48" s="1038">
        <f t="shared" ref="AM48:AU50" ca="1" si="127">IFERROR(INDEX(INDIRECT($C48&amp;".Outputs["&amp;this.Year&amp;"]"), MATCH(AM$5, INDIRECT($C48&amp;".Outputs[Vector]"), 0)), 0)</f>
        <v>0</v>
      </c>
      <c r="AN48" s="1038">
        <f t="shared" ca="1" si="127"/>
        <v>0</v>
      </c>
      <c r="AO48" s="1038">
        <f t="shared" ca="1" si="127"/>
        <v>0</v>
      </c>
      <c r="AP48" s="1038">
        <f t="shared" ca="1" si="127"/>
        <v>0</v>
      </c>
      <c r="AQ48" s="1038">
        <f t="shared" ca="1" si="127"/>
        <v>0</v>
      </c>
      <c r="AR48" s="1038">
        <f t="shared" ca="1" si="127"/>
        <v>0</v>
      </c>
      <c r="AS48" s="1038">
        <f t="shared" ca="1" si="127"/>
        <v>0</v>
      </c>
      <c r="AT48" s="1038">
        <f t="shared" ca="1" si="127"/>
        <v>0</v>
      </c>
      <c r="AU48" s="1038">
        <f t="shared" ca="1" si="127"/>
        <v>0</v>
      </c>
      <c r="AV48" s="1038">
        <f t="shared" ca="1" si="125"/>
        <v>0</v>
      </c>
      <c r="AW48" s="1038">
        <f t="shared" ca="1" si="125"/>
        <v>0</v>
      </c>
      <c r="AX48" s="1038">
        <f t="shared" ca="1" si="125"/>
        <v>0</v>
      </c>
      <c r="AY48" s="1038">
        <f t="shared" ca="1" si="125"/>
        <v>0</v>
      </c>
      <c r="AZ48" s="1038">
        <f t="shared" ca="1" si="125"/>
        <v>0</v>
      </c>
      <c r="BA48" s="1038">
        <f t="shared" ca="1" si="125"/>
        <v>0</v>
      </c>
      <c r="BB48" s="1038">
        <f t="shared" ca="1" si="125"/>
        <v>0</v>
      </c>
      <c r="BC48" s="1038">
        <f t="shared" ca="1" si="125"/>
        <v>0</v>
      </c>
      <c r="BD48" s="1038">
        <f t="shared" ca="1" si="125"/>
        <v>0</v>
      </c>
      <c r="BE48" s="1038">
        <f t="shared" ca="1" si="125"/>
        <v>0</v>
      </c>
      <c r="BF48" s="979">
        <f ca="1">SUM(AM48:BE48)</f>
        <v>0</v>
      </c>
      <c r="BH48" s="1032">
        <f t="shared" ref="BH48:BI50" ca="1" si="128">IFERROR(INDEX(INDIRECT($C48&amp;".Outputs["&amp;this.Year&amp;"]"), MATCH(BH$5, INDIRECT($C48&amp;".Outputs[Vector]"), 0)), 0)</f>
        <v>0</v>
      </c>
      <c r="BI48" s="1032">
        <f t="shared" ca="1" si="128"/>
        <v>0</v>
      </c>
      <c r="BJ48" s="1034">
        <f ca="1">SUM(BH48:BI48)</f>
        <v>0</v>
      </c>
      <c r="BL48" s="814"/>
      <c r="BM48" s="814"/>
      <c r="BN48" s="840"/>
      <c r="BO48" s="1481">
        <f t="shared" ref="BO48:BX50" ca="1" si="129">IFERROR(SUMIFS(INDIRECT($C48&amp;".Emissions["&amp;this.Year&amp;"]"), INDIRECT($C48&amp;".Emissions[GHG]"), BO$6, INDIRECT($C48&amp;".Emissions[IPCC Sector]"), BO$5),0)</f>
        <v>0</v>
      </c>
      <c r="BP48" s="1482">
        <f t="shared" ca="1" si="129"/>
        <v>0</v>
      </c>
      <c r="BQ48" s="1482">
        <f t="shared" ca="1" si="129"/>
        <v>0</v>
      </c>
      <c r="BR48" s="1482">
        <f t="shared" ca="1" si="129"/>
        <v>0</v>
      </c>
      <c r="BS48" s="1482">
        <f t="shared" ca="1" si="129"/>
        <v>0</v>
      </c>
      <c r="BT48" s="1482">
        <f t="shared" ca="1" si="129"/>
        <v>0</v>
      </c>
      <c r="BU48" s="1482">
        <f t="shared" ca="1" si="129"/>
        <v>0</v>
      </c>
      <c r="BV48" s="1482">
        <f t="shared" ca="1" si="129"/>
        <v>0</v>
      </c>
      <c r="BW48" s="1482">
        <f t="shared" ca="1" si="129"/>
        <v>0</v>
      </c>
      <c r="BX48" s="1482">
        <f t="shared" ca="1" si="129"/>
        <v>0</v>
      </c>
      <c r="BY48" s="1482">
        <f t="shared" ref="BY48:CH50" ca="1" si="130">IFERROR(SUMIFS(INDIRECT($C48&amp;".Emissions["&amp;this.Year&amp;"]"), INDIRECT($C48&amp;".Emissions[GHG]"), BY$6, INDIRECT($C48&amp;".Emissions[IPCC Sector]"), BY$5),0)</f>
        <v>0</v>
      </c>
      <c r="BZ48" s="1482">
        <f t="shared" ca="1" si="130"/>
        <v>0</v>
      </c>
      <c r="CA48" s="1482">
        <f t="shared" ca="1" si="130"/>
        <v>0</v>
      </c>
      <c r="CB48" s="1482">
        <f t="shared" ca="1" si="130"/>
        <v>0</v>
      </c>
      <c r="CC48" s="1482">
        <f t="shared" ca="1" si="130"/>
        <v>0</v>
      </c>
      <c r="CD48" s="1482">
        <f t="shared" ca="1" si="130"/>
        <v>0</v>
      </c>
      <c r="CE48" s="1482">
        <f t="shared" ca="1" si="130"/>
        <v>0</v>
      </c>
      <c r="CF48" s="1482">
        <f t="shared" ca="1" si="130"/>
        <v>0</v>
      </c>
      <c r="CG48" s="1482">
        <f t="shared" ca="1" si="130"/>
        <v>0</v>
      </c>
      <c r="CH48" s="1482">
        <f t="shared" ca="1" si="130"/>
        <v>0</v>
      </c>
      <c r="CI48" s="1482">
        <f t="shared" ref="CI48:CR50" ca="1" si="131">IFERROR(SUMIFS(INDIRECT($C48&amp;".Emissions["&amp;this.Year&amp;"]"), INDIRECT($C48&amp;".Emissions[GHG]"), CI$6, INDIRECT($C48&amp;".Emissions[IPCC Sector]"), CI$5),0)</f>
        <v>0</v>
      </c>
      <c r="CJ48" s="1482">
        <f t="shared" ca="1" si="131"/>
        <v>0</v>
      </c>
      <c r="CK48" s="1482">
        <f t="shared" ca="1" si="131"/>
        <v>0</v>
      </c>
      <c r="CL48" s="1482">
        <f t="shared" ca="1" si="131"/>
        <v>0</v>
      </c>
      <c r="CM48" s="1482">
        <f t="shared" ca="1" si="131"/>
        <v>0</v>
      </c>
      <c r="CN48" s="1482">
        <f t="shared" ca="1" si="131"/>
        <v>0</v>
      </c>
      <c r="CO48" s="1482">
        <f t="shared" ca="1" si="131"/>
        <v>0</v>
      </c>
      <c r="CP48" s="1482">
        <f t="shared" ca="1" si="131"/>
        <v>0</v>
      </c>
      <c r="CQ48" s="1482">
        <f t="shared" ca="1" si="131"/>
        <v>0</v>
      </c>
      <c r="CR48" s="1482">
        <f t="shared" ca="1" si="131"/>
        <v>0</v>
      </c>
      <c r="CS48" s="1482">
        <f t="shared" ref="CS48:DF50" ca="1" si="132">IFERROR(SUMIFS(INDIRECT($C48&amp;".Emissions["&amp;this.Year&amp;"]"), INDIRECT($C48&amp;".Emissions[GHG]"), CS$6, INDIRECT($C48&amp;".Emissions[IPCC Sector]"), CS$5),0)</f>
        <v>0</v>
      </c>
      <c r="CT48" s="1482">
        <f t="shared" ca="1" si="132"/>
        <v>0</v>
      </c>
      <c r="CU48" s="1482">
        <f t="shared" ca="1" si="132"/>
        <v>0</v>
      </c>
      <c r="CV48" s="1482">
        <f t="shared" ca="1" si="132"/>
        <v>0</v>
      </c>
      <c r="CW48" s="1482">
        <f t="shared" ca="1" si="132"/>
        <v>0</v>
      </c>
      <c r="CX48" s="1482">
        <f t="shared" ca="1" si="132"/>
        <v>0</v>
      </c>
      <c r="CY48" s="1482">
        <f t="shared" ca="1" si="132"/>
        <v>0</v>
      </c>
      <c r="CZ48" s="1482">
        <f t="shared" ca="1" si="132"/>
        <v>0</v>
      </c>
      <c r="DA48" s="1482">
        <f t="shared" ca="1" si="132"/>
        <v>0</v>
      </c>
      <c r="DB48" s="1482">
        <f t="shared" ca="1" si="132"/>
        <v>0</v>
      </c>
      <c r="DC48" s="1482">
        <f t="shared" ca="1" si="132"/>
        <v>0</v>
      </c>
      <c r="DD48" s="1482">
        <f t="shared" ca="1" si="132"/>
        <v>0</v>
      </c>
      <c r="DE48" s="1482">
        <f t="shared" ca="1" si="132"/>
        <v>0</v>
      </c>
      <c r="DF48" s="1482">
        <f t="shared" ca="1" si="132"/>
        <v>0</v>
      </c>
      <c r="DH48" s="838">
        <f ca="1">SUM(BO48:DF48)</f>
        <v>0</v>
      </c>
    </row>
    <row r="49" spans="1:112" s="743" customFormat="1" hidden="1" outlineLevel="1">
      <c r="A49" s="1484"/>
      <c r="B49" s="1484"/>
      <c r="C49" s="746" t="s">
        <v>965</v>
      </c>
      <c r="D49" s="521" t="str">
        <f>INDEX(Modules[Module], MATCH($C49, Modules[Code], 0))</f>
        <v>Waste arising</v>
      </c>
      <c r="E49" s="521"/>
      <c r="G49" s="1017">
        <f t="shared" ca="1" si="124"/>
        <v>0</v>
      </c>
      <c r="H49" s="1017">
        <f t="shared" ca="1" si="124"/>
        <v>0</v>
      </c>
      <c r="I49" s="1017">
        <f t="shared" ca="1" si="124"/>
        <v>0</v>
      </c>
      <c r="J49" s="1017">
        <f t="shared" ca="1" si="124"/>
        <v>0</v>
      </c>
      <c r="K49" s="1017">
        <f t="shared" ca="1" si="124"/>
        <v>0</v>
      </c>
      <c r="L49" s="1017">
        <f t="shared" ca="1" si="124"/>
        <v>0</v>
      </c>
      <c r="M49" s="1017">
        <f t="shared" ca="1" si="124"/>
        <v>0</v>
      </c>
      <c r="N49" s="1017">
        <f t="shared" ca="1" si="124"/>
        <v>0</v>
      </c>
      <c r="O49" s="1017">
        <f t="shared" ca="1" si="124"/>
        <v>0</v>
      </c>
      <c r="P49" s="1017">
        <f t="shared" ca="1" si="124"/>
        <v>0</v>
      </c>
      <c r="Q49" s="1019">
        <f ca="1">SUM(G49:P49)</f>
        <v>0</v>
      </c>
      <c r="S49" s="1026">
        <f t="shared" ca="1" si="125"/>
        <v>0</v>
      </c>
      <c r="T49" s="1026">
        <f t="shared" ca="1" si="125"/>
        <v>0</v>
      </c>
      <c r="U49" s="1026">
        <f t="shared" ca="1" si="125"/>
        <v>0</v>
      </c>
      <c r="V49" s="1026">
        <f t="shared" ca="1" si="125"/>
        <v>0</v>
      </c>
      <c r="W49" s="1026">
        <f t="shared" ca="1" si="125"/>
        <v>0</v>
      </c>
      <c r="X49" s="1026">
        <f t="shared" ca="1" si="126"/>
        <v>82.863116003477103</v>
      </c>
      <c r="Y49" s="1026">
        <f t="shared" ca="1" si="126"/>
        <v>0</v>
      </c>
      <c r="Z49" s="1026">
        <f t="shared" ca="1" si="126"/>
        <v>0</v>
      </c>
      <c r="AA49" s="1026">
        <f t="shared" ca="1" si="125"/>
        <v>0</v>
      </c>
      <c r="AB49" s="1026">
        <f t="shared" ca="1" si="125"/>
        <v>0</v>
      </c>
      <c r="AC49" s="1026">
        <f t="shared" ca="1" si="125"/>
        <v>0</v>
      </c>
      <c r="AD49" s="1026">
        <f t="shared" ca="1" si="125"/>
        <v>0</v>
      </c>
      <c r="AE49" s="1026">
        <f t="shared" ca="1" si="125"/>
        <v>0</v>
      </c>
      <c r="AF49" s="1026">
        <f t="shared" ca="1" si="125"/>
        <v>45.028848478892606</v>
      </c>
      <c r="AG49" s="1026">
        <f t="shared" ca="1" si="125"/>
        <v>19.711382566696319</v>
      </c>
      <c r="AH49" s="1026">
        <f t="shared" ca="1" si="125"/>
        <v>17.17420033669308</v>
      </c>
      <c r="AI49" s="1026">
        <f t="shared" ca="1" si="125"/>
        <v>0</v>
      </c>
      <c r="AJ49" s="1026">
        <f t="shared" ca="1" si="125"/>
        <v>0</v>
      </c>
      <c r="AK49" s="1027">
        <f ca="1">SUM(S49:AJ49)</f>
        <v>164.77754738575911</v>
      </c>
      <c r="AM49" s="1038">
        <f t="shared" ca="1" si="127"/>
        <v>0</v>
      </c>
      <c r="AN49" s="1038">
        <f t="shared" ca="1" si="127"/>
        <v>0</v>
      </c>
      <c r="AO49" s="1038">
        <f t="shared" ca="1" si="127"/>
        <v>0</v>
      </c>
      <c r="AP49" s="1038">
        <f t="shared" ca="1" si="127"/>
        <v>0</v>
      </c>
      <c r="AQ49" s="1038">
        <f t="shared" ca="1" si="127"/>
        <v>0</v>
      </c>
      <c r="AR49" s="1038">
        <f t="shared" ca="1" si="127"/>
        <v>0</v>
      </c>
      <c r="AS49" s="1038">
        <f t="shared" ca="1" si="127"/>
        <v>0</v>
      </c>
      <c r="AT49" s="1038">
        <f t="shared" ca="1" si="127"/>
        <v>0</v>
      </c>
      <c r="AU49" s="1038">
        <f t="shared" ca="1" si="127"/>
        <v>0</v>
      </c>
      <c r="AV49" s="1038">
        <f t="shared" ca="1" si="125"/>
        <v>0</v>
      </c>
      <c r="AW49" s="1038">
        <f t="shared" ca="1" si="125"/>
        <v>0</v>
      </c>
      <c r="AX49" s="1038">
        <f t="shared" ca="1" si="125"/>
        <v>0</v>
      </c>
      <c r="AY49" s="1038">
        <f t="shared" ca="1" si="125"/>
        <v>0</v>
      </c>
      <c r="AZ49" s="1038">
        <f t="shared" ca="1" si="125"/>
        <v>0</v>
      </c>
      <c r="BA49" s="1038">
        <f t="shared" ca="1" si="125"/>
        <v>0</v>
      </c>
      <c r="BB49" s="1038">
        <f t="shared" ca="1" si="125"/>
        <v>0</v>
      </c>
      <c r="BC49" s="1038">
        <f t="shared" ca="1" si="125"/>
        <v>0</v>
      </c>
      <c r="BD49" s="1038">
        <f t="shared" ca="1" si="125"/>
        <v>0</v>
      </c>
      <c r="BE49" s="1038">
        <f t="shared" ca="1" si="125"/>
        <v>-164.77754738575911</v>
      </c>
      <c r="BF49" s="979">
        <f ca="1">SUM(AM49:BE49)</f>
        <v>-164.77754738575911</v>
      </c>
      <c r="BH49" s="1032">
        <f t="shared" ca="1" si="128"/>
        <v>0</v>
      </c>
      <c r="BI49" s="1032">
        <f t="shared" ca="1" si="128"/>
        <v>0</v>
      </c>
      <c r="BJ49" s="1034">
        <f ca="1">SUM(BH49:BI49)</f>
        <v>0</v>
      </c>
      <c r="BL49" s="814"/>
      <c r="BM49" s="814"/>
      <c r="BN49" s="840"/>
      <c r="BO49" s="1481">
        <f t="shared" ca="1" si="129"/>
        <v>0</v>
      </c>
      <c r="BP49" s="1482">
        <f t="shared" ca="1" si="129"/>
        <v>0</v>
      </c>
      <c r="BQ49" s="1482">
        <f t="shared" ca="1" si="129"/>
        <v>0</v>
      </c>
      <c r="BR49" s="1482">
        <f t="shared" ca="1" si="129"/>
        <v>0</v>
      </c>
      <c r="BS49" s="1482">
        <f t="shared" ca="1" si="129"/>
        <v>0</v>
      </c>
      <c r="BT49" s="1482">
        <f t="shared" ca="1" si="129"/>
        <v>0</v>
      </c>
      <c r="BU49" s="1482">
        <f t="shared" ca="1" si="129"/>
        <v>0</v>
      </c>
      <c r="BV49" s="1482">
        <f t="shared" ca="1" si="129"/>
        <v>0</v>
      </c>
      <c r="BW49" s="1482">
        <f t="shared" ca="1" si="129"/>
        <v>0</v>
      </c>
      <c r="BX49" s="1482">
        <f t="shared" ca="1" si="129"/>
        <v>0</v>
      </c>
      <c r="BY49" s="1482">
        <f t="shared" ca="1" si="130"/>
        <v>0</v>
      </c>
      <c r="BZ49" s="1482">
        <f t="shared" ca="1" si="130"/>
        <v>0</v>
      </c>
      <c r="CA49" s="1482">
        <f t="shared" ca="1" si="130"/>
        <v>0</v>
      </c>
      <c r="CB49" s="1482">
        <f t="shared" ca="1" si="130"/>
        <v>0</v>
      </c>
      <c r="CC49" s="1482">
        <f t="shared" ca="1" si="130"/>
        <v>0</v>
      </c>
      <c r="CD49" s="1482">
        <f t="shared" ca="1" si="130"/>
        <v>0</v>
      </c>
      <c r="CE49" s="1482">
        <f t="shared" ca="1" si="130"/>
        <v>0</v>
      </c>
      <c r="CF49" s="1482">
        <f t="shared" ca="1" si="130"/>
        <v>0</v>
      </c>
      <c r="CG49" s="1482">
        <f t="shared" ca="1" si="130"/>
        <v>0</v>
      </c>
      <c r="CH49" s="1482">
        <f t="shared" ca="1" si="130"/>
        <v>0</v>
      </c>
      <c r="CI49" s="1482">
        <f t="shared" ca="1" si="131"/>
        <v>0</v>
      </c>
      <c r="CJ49" s="1482">
        <f t="shared" ca="1" si="131"/>
        <v>0</v>
      </c>
      <c r="CK49" s="1482">
        <f t="shared" ca="1" si="131"/>
        <v>0</v>
      </c>
      <c r="CL49" s="1482">
        <f t="shared" ca="1" si="131"/>
        <v>0</v>
      </c>
      <c r="CM49" s="1482">
        <f t="shared" ca="1" si="131"/>
        <v>0</v>
      </c>
      <c r="CN49" s="1482">
        <f t="shared" ca="1" si="131"/>
        <v>20.566156027308367</v>
      </c>
      <c r="CO49" s="1482">
        <f t="shared" ca="1" si="131"/>
        <v>1.4809373450379677</v>
      </c>
      <c r="CP49" s="1482">
        <f t="shared" ca="1" si="131"/>
        <v>0</v>
      </c>
      <c r="CQ49" s="1482">
        <f t="shared" ca="1" si="131"/>
        <v>0</v>
      </c>
      <c r="CR49" s="1482">
        <f t="shared" ca="1" si="131"/>
        <v>0</v>
      </c>
      <c r="CS49" s="1482">
        <f t="shared" ca="1" si="132"/>
        <v>0</v>
      </c>
      <c r="CT49" s="1482">
        <f t="shared" ca="1" si="132"/>
        <v>0</v>
      </c>
      <c r="CU49" s="1482">
        <f t="shared" ca="1" si="132"/>
        <v>0</v>
      </c>
      <c r="CV49" s="1482">
        <f t="shared" ca="1" si="132"/>
        <v>0</v>
      </c>
      <c r="CW49" s="1482">
        <f t="shared" ca="1" si="132"/>
        <v>0</v>
      </c>
      <c r="CX49" s="1482">
        <f t="shared" ca="1" si="132"/>
        <v>0</v>
      </c>
      <c r="CY49" s="1482">
        <f t="shared" ca="1" si="132"/>
        <v>0</v>
      </c>
      <c r="CZ49" s="1482">
        <f t="shared" ca="1" si="132"/>
        <v>0</v>
      </c>
      <c r="DA49" s="1482">
        <f t="shared" ca="1" si="132"/>
        <v>0</v>
      </c>
      <c r="DB49" s="1482">
        <f t="shared" ca="1" si="132"/>
        <v>0</v>
      </c>
      <c r="DC49" s="1482">
        <f t="shared" ca="1" si="132"/>
        <v>0</v>
      </c>
      <c r="DD49" s="1482">
        <f t="shared" ca="1" si="132"/>
        <v>0</v>
      </c>
      <c r="DE49" s="1482">
        <f t="shared" ca="1" si="132"/>
        <v>0</v>
      </c>
      <c r="DF49" s="1482">
        <f t="shared" ca="1" si="132"/>
        <v>0</v>
      </c>
      <c r="DH49" s="838">
        <f t="shared" ca="1" si="123"/>
        <v>22.047093372346335</v>
      </c>
    </row>
    <row r="50" spans="1:112" s="743" customFormat="1" ht="12.75" hidden="1" customHeight="1" outlineLevel="1">
      <c r="A50" s="1484"/>
      <c r="B50" s="1484"/>
      <c r="C50" s="746" t="s">
        <v>924</v>
      </c>
      <c r="D50" s="1010" t="str">
        <f>INDEX(Modules[Module], MATCH($C50, Modules[Code], 0))</f>
        <v>Agriculture and land use</v>
      </c>
      <c r="E50" s="1010"/>
      <c r="G50" s="1022">
        <f t="shared" ref="G50:P50" ca="1" si="133">IFERROR(INDEX(INDIRECT($C50&amp;".Outputs["&amp;this.Year&amp;"]"), MATCH(G$5, INDIRECT($C50&amp;".Outputs[Vector]"), 0)), 0)</f>
        <v>0</v>
      </c>
      <c r="H50" s="1022">
        <f t="shared" ca="1" si="133"/>
        <v>0</v>
      </c>
      <c r="I50" s="1022">
        <f t="shared" ca="1" si="133"/>
        <v>10.875032360635611</v>
      </c>
      <c r="J50" s="1022">
        <f t="shared" ca="1" si="133"/>
        <v>0</v>
      </c>
      <c r="K50" s="1022">
        <f t="shared" ca="1" si="133"/>
        <v>0</v>
      </c>
      <c r="L50" s="1022">
        <f t="shared" ca="1" si="133"/>
        <v>0</v>
      </c>
      <c r="M50" s="1022">
        <f t="shared" ca="1" si="133"/>
        <v>0</v>
      </c>
      <c r="N50" s="1022">
        <f t="shared" ca="1" si="133"/>
        <v>0</v>
      </c>
      <c r="O50" s="1022">
        <f t="shared" ca="1" si="133"/>
        <v>0</v>
      </c>
      <c r="P50" s="1022">
        <f t="shared" ca="1" si="133"/>
        <v>0</v>
      </c>
      <c r="Q50" s="1020">
        <f ca="1">SUM(G50:P50)</f>
        <v>10.875032360635611</v>
      </c>
      <c r="S50" s="1031">
        <f t="shared" ref="S50:AJ50" ca="1" si="134">IFERROR(INDEX(INDIRECT($C50&amp;".Outputs["&amp;this.Year&amp;"]"), MATCH(S$5, INDIRECT($C50&amp;".Outputs[Vector]"), 0)), 0)</f>
        <v>-4.350012944254245</v>
      </c>
      <c r="T50" s="1031">
        <f t="shared" ca="1" si="134"/>
        <v>0</v>
      </c>
      <c r="U50" s="1031">
        <f t="shared" ca="1" si="134"/>
        <v>-0.87000258885084891</v>
      </c>
      <c r="V50" s="1031">
        <f t="shared" ca="1" si="134"/>
        <v>-3.5887606790097517</v>
      </c>
      <c r="W50" s="1031">
        <f t="shared" ca="1" si="134"/>
        <v>-2.066256148520766</v>
      </c>
      <c r="X50" s="1031">
        <f t="shared" ca="1" si="126"/>
        <v>0</v>
      </c>
      <c r="Y50" s="1031">
        <f t="shared" ca="1" si="126"/>
        <v>0</v>
      </c>
      <c r="Z50" s="1031">
        <f t="shared" ca="1" si="126"/>
        <v>0</v>
      </c>
      <c r="AA50" s="1031">
        <f t="shared" ca="1" si="134"/>
        <v>0</v>
      </c>
      <c r="AB50" s="1031">
        <f t="shared" ca="1" si="134"/>
        <v>0</v>
      </c>
      <c r="AC50" s="1031">
        <f t="shared" ca="1" si="134"/>
        <v>0</v>
      </c>
      <c r="AD50" s="1031">
        <f t="shared" ca="1" si="134"/>
        <v>41.568038881692388</v>
      </c>
      <c r="AE50" s="1031">
        <f t="shared" ca="1" si="134"/>
        <v>1.4946016514365559</v>
      </c>
      <c r="AF50" s="1031">
        <f t="shared" ca="1" si="134"/>
        <v>9.0656960949762713</v>
      </c>
      <c r="AG50" s="1031">
        <f t="shared" ca="1" si="134"/>
        <v>25.701077978713542</v>
      </c>
      <c r="AH50" s="1031">
        <f t="shared" ca="1" si="134"/>
        <v>0</v>
      </c>
      <c r="AI50" s="1031">
        <f t="shared" ca="1" si="134"/>
        <v>0</v>
      </c>
      <c r="AJ50" s="1031">
        <f t="shared" ca="1" si="134"/>
        <v>0</v>
      </c>
      <c r="AK50" s="1030">
        <f ca="1">SUM(S50:AJ50)</f>
        <v>66.954382246183144</v>
      </c>
      <c r="AM50" s="1042">
        <f t="shared" ca="1" si="127"/>
        <v>0</v>
      </c>
      <c r="AN50" s="1042">
        <f t="shared" ca="1" si="127"/>
        <v>0</v>
      </c>
      <c r="AO50" s="1042">
        <f t="shared" ca="1" si="127"/>
        <v>0</v>
      </c>
      <c r="AP50" s="1042">
        <f t="shared" ca="1" si="127"/>
        <v>0</v>
      </c>
      <c r="AQ50" s="1042">
        <f t="shared" ca="1" si="127"/>
        <v>0</v>
      </c>
      <c r="AR50" s="1042">
        <f t="shared" ca="1" si="127"/>
        <v>0</v>
      </c>
      <c r="AS50" s="1042">
        <f t="shared" ca="1" si="127"/>
        <v>0</v>
      </c>
      <c r="AT50" s="1042">
        <f t="shared" ca="1" si="127"/>
        <v>0</v>
      </c>
      <c r="AU50" s="1042">
        <f t="shared" ca="1" si="127"/>
        <v>0</v>
      </c>
      <c r="AV50" s="1042">
        <f t="shared" ref="AV50:BE50" ca="1" si="135">IFERROR(INDEX(INDIRECT($C50&amp;".Outputs["&amp;this.Year&amp;"]"), MATCH(AV$5, INDIRECT($C50&amp;".Outputs[Vector]"), 0)), 0)</f>
        <v>0</v>
      </c>
      <c r="AW50" s="1042">
        <f t="shared" ca="1" si="135"/>
        <v>0</v>
      </c>
      <c r="AX50" s="1042">
        <f t="shared" ca="1" si="135"/>
        <v>0</v>
      </c>
      <c r="AY50" s="1042">
        <f t="shared" ca="1" si="135"/>
        <v>0</v>
      </c>
      <c r="AZ50" s="1042">
        <f t="shared" ca="1" si="135"/>
        <v>0</v>
      </c>
      <c r="BA50" s="1042">
        <f t="shared" ca="1" si="135"/>
        <v>0</v>
      </c>
      <c r="BB50" s="1042">
        <f t="shared" ca="1" si="135"/>
        <v>0</v>
      </c>
      <c r="BC50" s="1042">
        <f t="shared" ca="1" si="135"/>
        <v>0</v>
      </c>
      <c r="BD50" s="1042">
        <f t="shared" ca="1" si="135"/>
        <v>-43.062640533128942</v>
      </c>
      <c r="BE50" s="1042">
        <f t="shared" ca="1" si="135"/>
        <v>-34.766774073689817</v>
      </c>
      <c r="BF50" s="1012">
        <f ca="1">SUM(AM50:BE50)</f>
        <v>-77.829414606818759</v>
      </c>
      <c r="BH50" s="1036">
        <f t="shared" ca="1" si="128"/>
        <v>0</v>
      </c>
      <c r="BI50" s="1036">
        <f t="shared" ca="1" si="128"/>
        <v>0</v>
      </c>
      <c r="BJ50" s="1035">
        <f ca="1">SUM(BH50:BI50)</f>
        <v>0</v>
      </c>
      <c r="BL50" s="814">
        <f ca="1">Q50+AK50+BF50+BJ50</f>
        <v>0</v>
      </c>
      <c r="BM50" s="814"/>
      <c r="BN50" s="840"/>
      <c r="BO50" s="1485">
        <f t="shared" ca="1" si="129"/>
        <v>1.5453420984463202</v>
      </c>
      <c r="BP50" s="1486">
        <f t="shared" ca="1" si="129"/>
        <v>2.6662578966488086E-3</v>
      </c>
      <c r="BQ50" s="1486">
        <f t="shared" ca="1" si="129"/>
        <v>1.9335686261603806E-2</v>
      </c>
      <c r="BR50" s="1486">
        <f t="shared" ca="1" si="129"/>
        <v>0</v>
      </c>
      <c r="BS50" s="1486">
        <f t="shared" ca="1" si="129"/>
        <v>0</v>
      </c>
      <c r="BT50" s="1486">
        <f t="shared" ca="1" si="129"/>
        <v>0</v>
      </c>
      <c r="BU50" s="1486">
        <f t="shared" ca="1" si="129"/>
        <v>0</v>
      </c>
      <c r="BV50" s="1486">
        <f t="shared" ca="1" si="129"/>
        <v>0</v>
      </c>
      <c r="BW50" s="1486">
        <f t="shared" ca="1" si="129"/>
        <v>0</v>
      </c>
      <c r="BX50" s="1486">
        <f t="shared" ca="1" si="129"/>
        <v>0</v>
      </c>
      <c r="BY50" s="1486">
        <f t="shared" ca="1" si="130"/>
        <v>0</v>
      </c>
      <c r="BZ50" s="1486">
        <f t="shared" ca="1" si="130"/>
        <v>0</v>
      </c>
      <c r="CA50" s="1486">
        <f t="shared" ca="1" si="130"/>
        <v>0</v>
      </c>
      <c r="CB50" s="1486">
        <f t="shared" ca="1" si="130"/>
        <v>0</v>
      </c>
      <c r="CC50" s="1486">
        <f t="shared" ca="1" si="130"/>
        <v>0</v>
      </c>
      <c r="CD50" s="1486">
        <f t="shared" ca="1" si="130"/>
        <v>0</v>
      </c>
      <c r="CE50" s="1486">
        <f t="shared" ca="1" si="130"/>
        <v>0</v>
      </c>
      <c r="CF50" s="1486">
        <f t="shared" ca="1" si="130"/>
        <v>17.198478545174765</v>
      </c>
      <c r="CG50" s="1486">
        <f t="shared" ca="1" si="130"/>
        <v>21.202342275437385</v>
      </c>
      <c r="CH50" s="1486">
        <f t="shared" ca="1" si="130"/>
        <v>0</v>
      </c>
      <c r="CI50" s="1486">
        <f t="shared" ca="1" si="131"/>
        <v>11.724919775119625</v>
      </c>
      <c r="CJ50" s="1486">
        <f t="shared" ca="1" si="131"/>
        <v>0</v>
      </c>
      <c r="CK50" s="1486">
        <f t="shared" ca="1" si="131"/>
        <v>0</v>
      </c>
      <c r="CL50" s="1486">
        <f t="shared" ca="1" si="131"/>
        <v>0</v>
      </c>
      <c r="CM50" s="1486">
        <f t="shared" ca="1" si="131"/>
        <v>0</v>
      </c>
      <c r="CN50" s="1486">
        <f t="shared" ca="1" si="131"/>
        <v>0</v>
      </c>
      <c r="CO50" s="1486">
        <f t="shared" ca="1" si="131"/>
        <v>0</v>
      </c>
      <c r="CP50" s="1486">
        <f t="shared" ca="1" si="131"/>
        <v>0</v>
      </c>
      <c r="CQ50" s="1486">
        <f t="shared" ca="1" si="131"/>
        <v>0</v>
      </c>
      <c r="CR50" s="1486">
        <f t="shared" ca="1" si="131"/>
        <v>0</v>
      </c>
      <c r="CS50" s="1486">
        <f t="shared" ca="1" si="132"/>
        <v>0</v>
      </c>
      <c r="CT50" s="1486">
        <f t="shared" ca="1" si="132"/>
        <v>0</v>
      </c>
      <c r="CU50" s="1486">
        <f t="shared" ca="1" si="132"/>
        <v>0</v>
      </c>
      <c r="CV50" s="1486">
        <f t="shared" ca="1" si="132"/>
        <v>0</v>
      </c>
      <c r="CW50" s="1486">
        <f t="shared" ca="1" si="132"/>
        <v>0</v>
      </c>
      <c r="CX50" s="1486">
        <f t="shared" ca="1" si="132"/>
        <v>0</v>
      </c>
      <c r="CY50" s="1486">
        <f t="shared" ca="1" si="132"/>
        <v>0</v>
      </c>
      <c r="CZ50" s="1486">
        <f t="shared" ca="1" si="132"/>
        <v>0</v>
      </c>
      <c r="DA50" s="1486">
        <f t="shared" ca="1" si="132"/>
        <v>0</v>
      </c>
      <c r="DB50" s="1486">
        <f t="shared" ca="1" si="132"/>
        <v>0</v>
      </c>
      <c r="DC50" s="1486">
        <f t="shared" ca="1" si="132"/>
        <v>0</v>
      </c>
      <c r="DD50" s="1486">
        <f t="shared" ca="1" si="132"/>
        <v>0</v>
      </c>
      <c r="DE50" s="1486">
        <f t="shared" ca="1" si="132"/>
        <v>0</v>
      </c>
      <c r="DF50" s="1486">
        <f t="shared" ca="1" si="132"/>
        <v>0</v>
      </c>
      <c r="DH50" s="838">
        <f t="shared" ca="1" si="123"/>
        <v>51.693084638336352</v>
      </c>
    </row>
    <row r="51" spans="1:112" s="743" customFormat="1" ht="15.75" collapsed="1">
      <c r="A51" s="22"/>
      <c r="B51" s="753"/>
      <c r="C51" s="744" t="s">
        <v>672</v>
      </c>
      <c r="D51" s="517" t="str">
        <f>INDEX(Workstreams[Workstream], MATCH($C51, Workstreams[Code], 0))</f>
        <v>Agriculture and waste</v>
      </c>
      <c r="E51" s="512"/>
      <c r="G51" s="1021">
        <f ca="1">SUM(G48:G50)</f>
        <v>0</v>
      </c>
      <c r="H51" s="1021">
        <f t="shared" ref="H51:P51" ca="1" si="136">SUM(H48:H50)</f>
        <v>0</v>
      </c>
      <c r="I51" s="1021">
        <f t="shared" ca="1" si="136"/>
        <v>10.875032360635611</v>
      </c>
      <c r="J51" s="1021">
        <f t="shared" ca="1" si="136"/>
        <v>0</v>
      </c>
      <c r="K51" s="1021">
        <f t="shared" ca="1" si="136"/>
        <v>0</v>
      </c>
      <c r="L51" s="1021">
        <f t="shared" ca="1" si="136"/>
        <v>0</v>
      </c>
      <c r="M51" s="1021">
        <f t="shared" ca="1" si="136"/>
        <v>0</v>
      </c>
      <c r="N51" s="1021">
        <f t="shared" ca="1" si="136"/>
        <v>0</v>
      </c>
      <c r="O51" s="1021">
        <f t="shared" ca="1" si="136"/>
        <v>0</v>
      </c>
      <c r="P51" s="1021">
        <f t="shared" ca="1" si="136"/>
        <v>0</v>
      </c>
      <c r="Q51" s="1021">
        <f ca="1">SUM(G51:P51)</f>
        <v>10.875032360635611</v>
      </c>
      <c r="S51" s="970">
        <f t="shared" ref="S51:AJ51" ca="1" si="137">SUM(S48:S50)</f>
        <v>-4.350012944254245</v>
      </c>
      <c r="T51" s="970">
        <f t="shared" ca="1" si="137"/>
        <v>0</v>
      </c>
      <c r="U51" s="970">
        <f t="shared" ca="1" si="137"/>
        <v>-0.87000258885084891</v>
      </c>
      <c r="V51" s="970">
        <f t="shared" ca="1" si="137"/>
        <v>-3.5887606790097517</v>
      </c>
      <c r="W51" s="970">
        <f t="shared" ca="1" si="137"/>
        <v>-2.066256148520766</v>
      </c>
      <c r="X51" s="970">
        <f t="shared" ca="1" si="137"/>
        <v>82.863116003477103</v>
      </c>
      <c r="Y51" s="970">
        <f t="shared" ca="1" si="137"/>
        <v>0</v>
      </c>
      <c r="Z51" s="970">
        <f t="shared" ca="1" si="137"/>
        <v>0</v>
      </c>
      <c r="AA51" s="970">
        <f t="shared" ca="1" si="137"/>
        <v>0</v>
      </c>
      <c r="AB51" s="970">
        <f t="shared" ca="1" si="137"/>
        <v>0</v>
      </c>
      <c r="AC51" s="970">
        <f t="shared" ca="1" si="137"/>
        <v>0</v>
      </c>
      <c r="AD51" s="970">
        <f t="shared" ca="1" si="137"/>
        <v>41.568038881692388</v>
      </c>
      <c r="AE51" s="970">
        <f ca="1">SUM(AE48:AE50)</f>
        <v>1.4946016514365559</v>
      </c>
      <c r="AF51" s="970">
        <f t="shared" ca="1" si="137"/>
        <v>54.094544573868873</v>
      </c>
      <c r="AG51" s="970">
        <f t="shared" ca="1" si="137"/>
        <v>45.412460545409857</v>
      </c>
      <c r="AH51" s="970">
        <f ca="1">SUM(AH48:AH50)</f>
        <v>17.17420033669308</v>
      </c>
      <c r="AI51" s="970">
        <f t="shared" ca="1" si="137"/>
        <v>0</v>
      </c>
      <c r="AJ51" s="970">
        <f t="shared" ca="1" si="137"/>
        <v>0</v>
      </c>
      <c r="AK51" s="970">
        <f ca="1">SUM(S51:AJ51)</f>
        <v>231.73192963194225</v>
      </c>
      <c r="AM51" s="976">
        <f t="shared" ref="AM51:BE51" ca="1" si="138">SUM(AM48:AM50)</f>
        <v>0</v>
      </c>
      <c r="AN51" s="976">
        <f t="shared" ca="1" si="138"/>
        <v>0</v>
      </c>
      <c r="AO51" s="976">
        <f t="shared" ca="1" si="138"/>
        <v>0</v>
      </c>
      <c r="AP51" s="976">
        <f t="shared" ca="1" si="138"/>
        <v>0</v>
      </c>
      <c r="AQ51" s="976">
        <f t="shared" ca="1" si="138"/>
        <v>0</v>
      </c>
      <c r="AR51" s="976">
        <f t="shared" ca="1" si="138"/>
        <v>0</v>
      </c>
      <c r="AS51" s="976">
        <f t="shared" ca="1" si="138"/>
        <v>0</v>
      </c>
      <c r="AT51" s="976">
        <f t="shared" ca="1" si="138"/>
        <v>0</v>
      </c>
      <c r="AU51" s="976">
        <f t="shared" ca="1" si="138"/>
        <v>0</v>
      </c>
      <c r="AV51" s="976">
        <f t="shared" ca="1" si="138"/>
        <v>0</v>
      </c>
      <c r="AW51" s="976">
        <f t="shared" ca="1" si="138"/>
        <v>0</v>
      </c>
      <c r="AX51" s="976">
        <f t="shared" ca="1" si="138"/>
        <v>0</v>
      </c>
      <c r="AY51" s="976">
        <f t="shared" ca="1" si="138"/>
        <v>0</v>
      </c>
      <c r="AZ51" s="976">
        <f t="shared" ca="1" si="138"/>
        <v>0</v>
      </c>
      <c r="BA51" s="976">
        <f t="shared" ca="1" si="138"/>
        <v>0</v>
      </c>
      <c r="BB51" s="976">
        <f t="shared" ca="1" si="138"/>
        <v>0</v>
      </c>
      <c r="BC51" s="976">
        <f t="shared" ca="1" si="138"/>
        <v>0</v>
      </c>
      <c r="BD51" s="976">
        <f t="shared" ca="1" si="138"/>
        <v>-43.062640533128942</v>
      </c>
      <c r="BE51" s="976">
        <f t="shared" ca="1" si="138"/>
        <v>-199.54432145944892</v>
      </c>
      <c r="BF51" s="976">
        <f ca="1">SUM(AM51:BE51)</f>
        <v>-242.60696199257785</v>
      </c>
      <c r="BH51" s="990">
        <f ca="1">SUM(BH48:BH50)</f>
        <v>0</v>
      </c>
      <c r="BI51" s="990">
        <f ca="1">SUM(BI48:BI50)</f>
        <v>0</v>
      </c>
      <c r="BJ51" s="990">
        <f ca="1">SUM(BH51:BI51)</f>
        <v>0</v>
      </c>
      <c r="BL51" s="515">
        <f ca="1">Q51+AK51+BF51+BJ51</f>
        <v>0</v>
      </c>
      <c r="BM51" s="515"/>
      <c r="BN51" s="840"/>
      <c r="BO51" s="1482">
        <f t="shared" ref="BO51:DF51" ca="1" si="139">SUM(BO48:BO50)</f>
        <v>1.5453420984463202</v>
      </c>
      <c r="BP51" s="1482">
        <f t="shared" ca="1" si="139"/>
        <v>2.6662578966488086E-3</v>
      </c>
      <c r="BQ51" s="1482">
        <f t="shared" ca="1" si="139"/>
        <v>1.9335686261603806E-2</v>
      </c>
      <c r="BR51" s="1482">
        <f t="shared" ca="1" si="139"/>
        <v>0</v>
      </c>
      <c r="BS51" s="1482">
        <f t="shared" ca="1" si="139"/>
        <v>0</v>
      </c>
      <c r="BT51" s="1482">
        <f t="shared" ca="1" si="139"/>
        <v>0</v>
      </c>
      <c r="BU51" s="1482">
        <f t="shared" ca="1" si="139"/>
        <v>0</v>
      </c>
      <c r="BV51" s="1482">
        <f t="shared" ca="1" si="139"/>
        <v>0</v>
      </c>
      <c r="BW51" s="1482">
        <f t="shared" ca="1" si="139"/>
        <v>0</v>
      </c>
      <c r="BX51" s="1482">
        <f t="shared" ca="1" si="139"/>
        <v>0</v>
      </c>
      <c r="BY51" s="1482">
        <f t="shared" ca="1" si="139"/>
        <v>0</v>
      </c>
      <c r="BZ51" s="1482">
        <f t="shared" ca="1" si="139"/>
        <v>0</v>
      </c>
      <c r="CA51" s="1482">
        <f t="shared" ca="1" si="139"/>
        <v>0</v>
      </c>
      <c r="CB51" s="1482">
        <f t="shared" ca="1" si="139"/>
        <v>0</v>
      </c>
      <c r="CC51" s="1482">
        <f t="shared" ca="1" si="139"/>
        <v>0</v>
      </c>
      <c r="CD51" s="1482">
        <f t="shared" ca="1" si="139"/>
        <v>0</v>
      </c>
      <c r="CE51" s="1482">
        <f t="shared" ca="1" si="139"/>
        <v>0</v>
      </c>
      <c r="CF51" s="1482">
        <f t="shared" ca="1" si="139"/>
        <v>17.198478545174765</v>
      </c>
      <c r="CG51" s="1482">
        <f t="shared" ca="1" si="139"/>
        <v>21.202342275437385</v>
      </c>
      <c r="CH51" s="1482">
        <f t="shared" ca="1" si="139"/>
        <v>0</v>
      </c>
      <c r="CI51" s="1482">
        <f t="shared" ca="1" si="139"/>
        <v>11.724919775119625</v>
      </c>
      <c r="CJ51" s="1482">
        <f t="shared" ca="1" si="139"/>
        <v>0</v>
      </c>
      <c r="CK51" s="1482">
        <f t="shared" ca="1" si="139"/>
        <v>0</v>
      </c>
      <c r="CL51" s="1482">
        <f t="shared" ca="1" si="139"/>
        <v>0</v>
      </c>
      <c r="CM51" s="1482">
        <f t="shared" ca="1" si="139"/>
        <v>0</v>
      </c>
      <c r="CN51" s="1482">
        <f t="shared" ca="1" si="139"/>
        <v>20.566156027308367</v>
      </c>
      <c r="CO51" s="1482">
        <f t="shared" ca="1" si="139"/>
        <v>1.4809373450379677</v>
      </c>
      <c r="CP51" s="1482">
        <f t="shared" ca="1" si="139"/>
        <v>0</v>
      </c>
      <c r="CQ51" s="1482">
        <f t="shared" ca="1" si="139"/>
        <v>0</v>
      </c>
      <c r="CR51" s="1482">
        <f t="shared" ca="1" si="139"/>
        <v>0</v>
      </c>
      <c r="CS51" s="1482">
        <f t="shared" ca="1" si="139"/>
        <v>0</v>
      </c>
      <c r="CT51" s="1482">
        <f t="shared" ca="1" si="139"/>
        <v>0</v>
      </c>
      <c r="CU51" s="1482">
        <f t="shared" ca="1" si="139"/>
        <v>0</v>
      </c>
      <c r="CV51" s="1482">
        <f t="shared" ca="1" si="139"/>
        <v>0</v>
      </c>
      <c r="CW51" s="1482">
        <f t="shared" ca="1" si="139"/>
        <v>0</v>
      </c>
      <c r="CX51" s="1482">
        <f t="shared" ca="1" si="139"/>
        <v>0</v>
      </c>
      <c r="CY51" s="1482">
        <f t="shared" ca="1" si="139"/>
        <v>0</v>
      </c>
      <c r="CZ51" s="1482">
        <f t="shared" ca="1" si="139"/>
        <v>0</v>
      </c>
      <c r="DA51" s="1482">
        <f t="shared" ca="1" si="139"/>
        <v>0</v>
      </c>
      <c r="DB51" s="1482">
        <f t="shared" ca="1" si="139"/>
        <v>0</v>
      </c>
      <c r="DC51" s="1482">
        <f t="shared" ca="1" si="139"/>
        <v>0</v>
      </c>
      <c r="DD51" s="1482">
        <f t="shared" ca="1" si="139"/>
        <v>0</v>
      </c>
      <c r="DE51" s="1482">
        <f t="shared" ca="1" si="139"/>
        <v>0</v>
      </c>
      <c r="DF51" s="1482">
        <f t="shared" ca="1" si="139"/>
        <v>0</v>
      </c>
      <c r="DH51" s="838">
        <f t="shared" ca="1" si="123"/>
        <v>73.740178010682683</v>
      </c>
    </row>
    <row r="52" spans="1:112" s="743" customFormat="1" ht="12.75" hidden="1" customHeight="1" outlineLevel="1">
      <c r="A52" s="22"/>
      <c r="B52" s="22"/>
      <c r="C52" s="751"/>
      <c r="D52" s="512"/>
      <c r="E52" s="512"/>
      <c r="G52" s="958"/>
      <c r="H52" s="958"/>
      <c r="I52" s="958"/>
      <c r="J52" s="958"/>
      <c r="K52" s="960"/>
      <c r="L52" s="958"/>
      <c r="M52" s="958"/>
      <c r="N52" s="958"/>
      <c r="O52" s="958"/>
      <c r="P52" s="958"/>
      <c r="Q52" s="958"/>
      <c r="S52" s="970"/>
      <c r="T52" s="970"/>
      <c r="U52" s="970"/>
      <c r="V52" s="970"/>
      <c r="W52" s="970"/>
      <c r="X52" s="970"/>
      <c r="Y52" s="970"/>
      <c r="Z52" s="970"/>
      <c r="AA52" s="970"/>
      <c r="AB52" s="970"/>
      <c r="AC52" s="970"/>
      <c r="AD52" s="970"/>
      <c r="AE52" s="970"/>
      <c r="AF52" s="970"/>
      <c r="AG52" s="970"/>
      <c r="AH52" s="970"/>
      <c r="AI52" s="970"/>
      <c r="AJ52" s="970"/>
      <c r="AK52" s="970"/>
      <c r="AM52" s="976"/>
      <c r="AN52" s="976"/>
      <c r="AO52" s="976"/>
      <c r="AP52" s="976"/>
      <c r="AQ52" s="976"/>
      <c r="AR52" s="976"/>
      <c r="AS52" s="976"/>
      <c r="AT52" s="976"/>
      <c r="AU52" s="976"/>
      <c r="AV52" s="976"/>
      <c r="AW52" s="976"/>
      <c r="AX52" s="976"/>
      <c r="AY52" s="976"/>
      <c r="AZ52" s="976"/>
      <c r="BA52" s="976"/>
      <c r="BB52" s="976"/>
      <c r="BC52" s="976"/>
      <c r="BD52" s="976"/>
      <c r="BE52" s="976"/>
      <c r="BF52" s="976"/>
      <c r="BH52" s="990"/>
      <c r="BI52" s="990"/>
      <c r="BJ52" s="990"/>
      <c r="BL52" s="515">
        <f>Q52+AK52+BF52+BJ52</f>
        <v>0</v>
      </c>
      <c r="BM52" s="515"/>
      <c r="BN52" s="22"/>
      <c r="BO52" s="1482"/>
      <c r="BP52" s="1482"/>
      <c r="BQ52" s="1482"/>
      <c r="BR52" s="1482"/>
      <c r="BS52" s="1482"/>
      <c r="BT52" s="1482"/>
      <c r="BU52" s="1482"/>
      <c r="BV52" s="1482"/>
      <c r="BW52" s="1482"/>
      <c r="BX52" s="1482"/>
      <c r="BY52" s="1482"/>
      <c r="BZ52" s="1482"/>
      <c r="CA52" s="1482"/>
      <c r="CB52" s="1482"/>
      <c r="CC52" s="1482"/>
      <c r="CD52" s="1482"/>
      <c r="CE52" s="1482"/>
      <c r="CF52" s="1482"/>
      <c r="CG52" s="1482"/>
      <c r="CH52" s="1482"/>
      <c r="CI52" s="1482"/>
      <c r="CJ52" s="1482"/>
      <c r="CK52" s="1482"/>
      <c r="CL52" s="1482"/>
      <c r="CM52" s="1482"/>
      <c r="CN52" s="1482"/>
      <c r="CO52" s="1482"/>
      <c r="CP52" s="1482"/>
      <c r="CQ52" s="1482"/>
      <c r="CR52" s="1482"/>
      <c r="CS52" s="1482"/>
      <c r="CT52" s="1482"/>
      <c r="CU52" s="1482"/>
      <c r="CV52" s="1482"/>
      <c r="CW52" s="1482"/>
      <c r="CX52" s="1482"/>
      <c r="CY52" s="1482"/>
      <c r="CZ52" s="1482"/>
      <c r="DA52" s="1482"/>
      <c r="DB52" s="1482"/>
      <c r="DC52" s="1482"/>
      <c r="DD52" s="1482"/>
      <c r="DE52" s="1482"/>
      <c r="DF52" s="1482"/>
      <c r="DH52" s="838">
        <f t="shared" si="123"/>
        <v>0</v>
      </c>
    </row>
    <row r="53" spans="1:112" s="743" customFormat="1" hidden="1" outlineLevel="1">
      <c r="A53" s="1484"/>
      <c r="B53" s="1484"/>
      <c r="C53" s="522" t="s">
        <v>971</v>
      </c>
      <c r="D53" s="521" t="str">
        <f>INDEX(Modules[Module], MATCH($C53, Modules[Code], 0))</f>
        <v>Petroleum refineries</v>
      </c>
      <c r="E53" s="521"/>
      <c r="G53" s="1017">
        <f t="shared" ref="G53:P54" ca="1" si="140">IFERROR(INDEX(INDIRECT($C53&amp;".Outputs["&amp;this.Year&amp;"]"), MATCH(G$5, INDIRECT($C53&amp;".Outputs[Vector]"), 0)), 0)</f>
        <v>0</v>
      </c>
      <c r="H53" s="1017">
        <f t="shared" ca="1" si="140"/>
        <v>0</v>
      </c>
      <c r="I53" s="1017">
        <f t="shared" ca="1" si="140"/>
        <v>0</v>
      </c>
      <c r="J53" s="1017">
        <f t="shared" ca="1" si="140"/>
        <v>0</v>
      </c>
      <c r="K53" s="1017">
        <f t="shared" ca="1" si="140"/>
        <v>0</v>
      </c>
      <c r="L53" s="1017">
        <f t="shared" ca="1" si="140"/>
        <v>0</v>
      </c>
      <c r="M53" s="1017">
        <f t="shared" ca="1" si="140"/>
        <v>0</v>
      </c>
      <c r="N53" s="1017">
        <f t="shared" ca="1" si="140"/>
        <v>0</v>
      </c>
      <c r="O53" s="1017">
        <f t="shared" ca="1" si="140"/>
        <v>0</v>
      </c>
      <c r="P53" s="1017">
        <f t="shared" ca="1" si="140"/>
        <v>0</v>
      </c>
      <c r="Q53" s="1019">
        <f ca="1">SUM(G53:P53)</f>
        <v>0</v>
      </c>
      <c r="S53" s="1026">
        <f t="shared" ref="S53:BE54" ca="1" si="141">IFERROR(INDEX(INDIRECT($C53&amp;".Outputs["&amp;this.Year&amp;"]"), MATCH(S$5, INDIRECT($C53&amp;".Outputs[Vector]"), 0)), 0)</f>
        <v>-5.295964515221196</v>
      </c>
      <c r="T53" s="1026">
        <f t="shared" ca="1" si="141"/>
        <v>0</v>
      </c>
      <c r="U53" s="1026">
        <f t="shared" ca="1" si="141"/>
        <v>0</v>
      </c>
      <c r="V53" s="1026">
        <f t="shared" ca="1" si="141"/>
        <v>-43.40777116773706</v>
      </c>
      <c r="W53" s="1026">
        <f t="shared" ca="1" si="141"/>
        <v>-1.9310654458147363</v>
      </c>
      <c r="X53" s="1026">
        <f t="shared" ref="X53:Z54" ca="1" si="142">IFERROR(INDEX(INDIRECT($C53&amp;".Outputs["&amp;this.Year&amp;"]"), MATCH(X$5, INDIRECT($C53&amp;".Outputs[Vector]"), 0)), 0)</f>
        <v>0</v>
      </c>
      <c r="Y53" s="1026">
        <f t="shared" ca="1" si="142"/>
        <v>0</v>
      </c>
      <c r="Z53" s="1026">
        <f t="shared" ca="1" si="142"/>
        <v>0</v>
      </c>
      <c r="AA53" s="1026">
        <f t="shared" ca="1" si="141"/>
        <v>0</v>
      </c>
      <c r="AB53" s="1026">
        <f t="shared" ca="1" si="141"/>
        <v>-0.62191018839317858</v>
      </c>
      <c r="AC53" s="1026">
        <f t="shared" ca="1" si="141"/>
        <v>0</v>
      </c>
      <c r="AD53" s="1026">
        <f t="shared" ca="1" si="141"/>
        <v>0</v>
      </c>
      <c r="AE53" s="1026">
        <f t="shared" ca="1" si="141"/>
        <v>0</v>
      </c>
      <c r="AF53" s="1026">
        <f t="shared" ca="1" si="141"/>
        <v>0</v>
      </c>
      <c r="AG53" s="1026">
        <f t="shared" ca="1" si="141"/>
        <v>0</v>
      </c>
      <c r="AH53" s="1026">
        <f t="shared" ca="1" si="141"/>
        <v>0</v>
      </c>
      <c r="AI53" s="1026">
        <f t="shared" ca="1" si="141"/>
        <v>0</v>
      </c>
      <c r="AJ53" s="1026">
        <f t="shared" ca="1" si="141"/>
        <v>0</v>
      </c>
      <c r="AK53" s="1027">
        <f ca="1">SUM(S53:AJ53)</f>
        <v>-51.256711317166172</v>
      </c>
      <c r="AM53" s="1038">
        <f t="shared" ref="AM53:AU54" ca="1" si="143">IFERROR(INDEX(INDIRECT($C53&amp;".Outputs["&amp;this.Year&amp;"]"), MATCH(AM$5, INDIRECT($C53&amp;".Outputs[Vector]"), 0)), 0)</f>
        <v>0</v>
      </c>
      <c r="AN53" s="1038">
        <f t="shared" ca="1" si="143"/>
        <v>0</v>
      </c>
      <c r="AO53" s="1038">
        <f t="shared" ca="1" si="143"/>
        <v>0</v>
      </c>
      <c r="AP53" s="1038">
        <f t="shared" ca="1" si="143"/>
        <v>0</v>
      </c>
      <c r="AQ53" s="1038">
        <f t="shared" ca="1" si="143"/>
        <v>0</v>
      </c>
      <c r="AR53" s="1038">
        <f t="shared" ca="1" si="143"/>
        <v>0</v>
      </c>
      <c r="AS53" s="1038">
        <f t="shared" ca="1" si="143"/>
        <v>0</v>
      </c>
      <c r="AT53" s="1038">
        <f t="shared" ca="1" si="143"/>
        <v>0</v>
      </c>
      <c r="AU53" s="1038">
        <f t="shared" ca="1" si="143"/>
        <v>0</v>
      </c>
      <c r="AV53" s="1038">
        <f t="shared" ca="1" si="141"/>
        <v>0</v>
      </c>
      <c r="AW53" s="1038">
        <f t="shared" ca="1" si="141"/>
        <v>0</v>
      </c>
      <c r="AX53" s="1038">
        <f t="shared" ca="1" si="141"/>
        <v>0</v>
      </c>
      <c r="AY53" s="1038">
        <f t="shared" ca="1" si="141"/>
        <v>0</v>
      </c>
      <c r="AZ53" s="1038">
        <f t="shared" ca="1" si="141"/>
        <v>0</v>
      </c>
      <c r="BA53" s="1038">
        <f t="shared" ca="1" si="141"/>
        <v>0</v>
      </c>
      <c r="BB53" s="1038">
        <f t="shared" ca="1" si="141"/>
        <v>0</v>
      </c>
      <c r="BC53" s="1038">
        <f t="shared" ca="1" si="141"/>
        <v>0</v>
      </c>
      <c r="BD53" s="1038">
        <f t="shared" ca="1" si="141"/>
        <v>0</v>
      </c>
      <c r="BE53" s="1038">
        <f t="shared" ca="1" si="141"/>
        <v>0</v>
      </c>
      <c r="BF53" s="979">
        <f ca="1">SUM(AM53:BE53)</f>
        <v>0</v>
      </c>
      <c r="BH53" s="1032">
        <f ca="1">IFERROR(INDEX(INDIRECT($C53&amp;".Outputs["&amp;this.Year&amp;"]"), MATCH(BH$5, INDIRECT($C53&amp;".Outputs[Vector]"), 0)), 0)</f>
        <v>0</v>
      </c>
      <c r="BI53" s="1032">
        <f ca="1">IFERROR(INDEX(INDIRECT($C53&amp;".Outputs["&amp;this.Year&amp;"]"), MATCH(BI$5, INDIRECT($C53&amp;".Outputs[Vector]"), 0)), 0)</f>
        <v>51.256711317166172</v>
      </c>
      <c r="BJ53" s="1034">
        <f ca="1">SUM(BH53:BI53)</f>
        <v>51.256711317166172</v>
      </c>
      <c r="BL53" s="814">
        <f ca="1">Q53+AK53+BF53+BJ53</f>
        <v>0</v>
      </c>
      <c r="BM53" s="814"/>
      <c r="BN53" s="840"/>
      <c r="BO53" s="1481">
        <f t="shared" ref="BO53:BX54" ca="1" si="144">IFERROR(SUMIFS(INDIRECT($C53&amp;".Emissions["&amp;this.Year&amp;"]"), INDIRECT($C53&amp;".Emissions[GHG]"), BO$6, INDIRECT($C53&amp;".Emissions[IPCC Sector]"), BO$5),0)</f>
        <v>11.207258833964177</v>
      </c>
      <c r="BP53" s="1482">
        <f t="shared" ca="1" si="144"/>
        <v>1.4222851863375775E-2</v>
      </c>
      <c r="BQ53" s="1482">
        <f t="shared" ca="1" si="144"/>
        <v>0.19601472105293236</v>
      </c>
      <c r="BR53" s="1482">
        <f t="shared" ca="1" si="144"/>
        <v>0</v>
      </c>
      <c r="BS53" s="1482">
        <f t="shared" ca="1" si="144"/>
        <v>0</v>
      </c>
      <c r="BT53" s="1482">
        <f t="shared" ca="1" si="144"/>
        <v>0</v>
      </c>
      <c r="BU53" s="1482">
        <f t="shared" ca="1" si="144"/>
        <v>0</v>
      </c>
      <c r="BV53" s="1482">
        <f t="shared" ca="1" si="144"/>
        <v>0</v>
      </c>
      <c r="BW53" s="1482">
        <f t="shared" ca="1" si="144"/>
        <v>0</v>
      </c>
      <c r="BX53" s="1482">
        <f t="shared" ca="1" si="144"/>
        <v>0</v>
      </c>
      <c r="BY53" s="1482">
        <f t="shared" ref="BY53:CH54" ca="1" si="145">IFERROR(SUMIFS(INDIRECT($C53&amp;".Emissions["&amp;this.Year&amp;"]"), INDIRECT($C53&amp;".Emissions[GHG]"), BY$6, INDIRECT($C53&amp;".Emissions[IPCC Sector]"), BY$5),0)</f>
        <v>0</v>
      </c>
      <c r="BZ53" s="1482">
        <f t="shared" ca="1" si="145"/>
        <v>0</v>
      </c>
      <c r="CA53" s="1482">
        <f t="shared" ca="1" si="145"/>
        <v>0</v>
      </c>
      <c r="CB53" s="1482">
        <f t="shared" ca="1" si="145"/>
        <v>0</v>
      </c>
      <c r="CC53" s="1482">
        <f t="shared" ca="1" si="145"/>
        <v>0</v>
      </c>
      <c r="CD53" s="1482">
        <f t="shared" ca="1" si="145"/>
        <v>0</v>
      </c>
      <c r="CE53" s="1482">
        <f t="shared" ca="1" si="145"/>
        <v>0</v>
      </c>
      <c r="CF53" s="1482">
        <f t="shared" ca="1" si="145"/>
        <v>0</v>
      </c>
      <c r="CG53" s="1482">
        <f t="shared" ca="1" si="145"/>
        <v>0</v>
      </c>
      <c r="CH53" s="1482">
        <f t="shared" ca="1" si="145"/>
        <v>0</v>
      </c>
      <c r="CI53" s="1482">
        <f t="shared" ref="CI53:CR54" ca="1" si="146">IFERROR(SUMIFS(INDIRECT($C53&amp;".Emissions["&amp;this.Year&amp;"]"), INDIRECT($C53&amp;".Emissions[GHG]"), CI$6, INDIRECT($C53&amp;".Emissions[IPCC Sector]"), CI$5),0)</f>
        <v>0</v>
      </c>
      <c r="CJ53" s="1482">
        <f t="shared" ca="1" si="146"/>
        <v>0</v>
      </c>
      <c r="CK53" s="1482">
        <f t="shared" ca="1" si="146"/>
        <v>0</v>
      </c>
      <c r="CL53" s="1482">
        <f t="shared" ca="1" si="146"/>
        <v>0</v>
      </c>
      <c r="CM53" s="1482">
        <f t="shared" ca="1" si="146"/>
        <v>0</v>
      </c>
      <c r="CN53" s="1482">
        <f t="shared" ca="1" si="146"/>
        <v>0</v>
      </c>
      <c r="CO53" s="1482">
        <f t="shared" ca="1" si="146"/>
        <v>0</v>
      </c>
      <c r="CP53" s="1482">
        <f t="shared" ca="1" si="146"/>
        <v>0</v>
      </c>
      <c r="CQ53" s="1482">
        <f t="shared" ca="1" si="146"/>
        <v>0</v>
      </c>
      <c r="CR53" s="1482">
        <f t="shared" ca="1" si="146"/>
        <v>0</v>
      </c>
      <c r="CS53" s="1482">
        <f t="shared" ref="CS53:DF54" ca="1" si="147">IFERROR(SUMIFS(INDIRECT($C53&amp;".Emissions["&amp;this.Year&amp;"]"), INDIRECT($C53&amp;".Emissions[GHG]"), CS$6, INDIRECT($C53&amp;".Emissions[IPCC Sector]"), CS$5),0)</f>
        <v>0</v>
      </c>
      <c r="CT53" s="1482">
        <f t="shared" ca="1" si="147"/>
        <v>0</v>
      </c>
      <c r="CU53" s="1482">
        <f t="shared" ca="1" si="147"/>
        <v>0</v>
      </c>
      <c r="CV53" s="1482">
        <f t="shared" ca="1" si="147"/>
        <v>0</v>
      </c>
      <c r="CW53" s="1482">
        <f t="shared" ca="1" si="147"/>
        <v>0</v>
      </c>
      <c r="CX53" s="1482">
        <f t="shared" ca="1" si="147"/>
        <v>0</v>
      </c>
      <c r="CY53" s="1482">
        <f t="shared" ca="1" si="147"/>
        <v>0</v>
      </c>
      <c r="CZ53" s="1482">
        <f t="shared" ca="1" si="147"/>
        <v>0</v>
      </c>
      <c r="DA53" s="1482">
        <f t="shared" ca="1" si="147"/>
        <v>0</v>
      </c>
      <c r="DB53" s="1482">
        <f t="shared" ca="1" si="147"/>
        <v>0</v>
      </c>
      <c r="DC53" s="1482">
        <f t="shared" ca="1" si="147"/>
        <v>0</v>
      </c>
      <c r="DD53" s="1482">
        <f t="shared" ca="1" si="147"/>
        <v>0</v>
      </c>
      <c r="DE53" s="1482">
        <f t="shared" ca="1" si="147"/>
        <v>0</v>
      </c>
      <c r="DF53" s="1482">
        <f t="shared" ca="1" si="147"/>
        <v>0</v>
      </c>
      <c r="DH53" s="838">
        <f t="shared" ca="1" si="123"/>
        <v>11.417496406880487</v>
      </c>
    </row>
    <row r="54" spans="1:112" s="743" customFormat="1" hidden="1" outlineLevel="1">
      <c r="A54" s="1484"/>
      <c r="B54" s="1484"/>
      <c r="C54" s="522" t="s">
        <v>989</v>
      </c>
      <c r="D54" s="1010" t="str">
        <f>INDEX(Modules[Module], MATCH($C54, Modules[Code], 0))</f>
        <v>Indigenous fossil-fuel production</v>
      </c>
      <c r="E54" s="1010"/>
      <c r="G54" s="1022">
        <f t="shared" ca="1" si="140"/>
        <v>0</v>
      </c>
      <c r="H54" s="1022">
        <f t="shared" ca="1" si="140"/>
        <v>0</v>
      </c>
      <c r="I54" s="1022">
        <f t="shared" ca="1" si="140"/>
        <v>18.68514869896239</v>
      </c>
      <c r="J54" s="1022">
        <f t="shared" ca="1" si="140"/>
        <v>0</v>
      </c>
      <c r="K54" s="1022">
        <f t="shared" ca="1" si="140"/>
        <v>0</v>
      </c>
      <c r="L54" s="1022">
        <f t="shared" ca="1" si="140"/>
        <v>0</v>
      </c>
      <c r="M54" s="1022">
        <f t="shared" ca="1" si="140"/>
        <v>0</v>
      </c>
      <c r="N54" s="1022">
        <f t="shared" ca="1" si="140"/>
        <v>0</v>
      </c>
      <c r="O54" s="1022">
        <f t="shared" ca="1" si="140"/>
        <v>0</v>
      </c>
      <c r="P54" s="1022">
        <f t="shared" ca="1" si="140"/>
        <v>0</v>
      </c>
      <c r="Q54" s="1020">
        <f ca="1">SUM(G54:P54)</f>
        <v>18.68514869896239</v>
      </c>
      <c r="S54" s="1031">
        <f t="shared" ca="1" si="141"/>
        <v>-1.1349638681411904</v>
      </c>
      <c r="T54" s="1031">
        <f t="shared" ca="1" si="141"/>
        <v>0</v>
      </c>
      <c r="U54" s="1031">
        <f t="shared" ca="1" si="141"/>
        <v>-4.4692473051785787E-2</v>
      </c>
      <c r="V54" s="1031">
        <f t="shared" ca="1" si="141"/>
        <v>0</v>
      </c>
      <c r="W54" s="1031">
        <f t="shared" ca="1" si="141"/>
        <v>-17.505492357769416</v>
      </c>
      <c r="X54" s="1031">
        <f t="shared" ca="1" si="142"/>
        <v>124.39544583847987</v>
      </c>
      <c r="Y54" s="1031">
        <f t="shared" ca="1" si="142"/>
        <v>264.59138956080642</v>
      </c>
      <c r="Z54" s="1031">
        <f t="shared" ca="1" si="142"/>
        <v>202.66146618133868</v>
      </c>
      <c r="AA54" s="1031">
        <f t="shared" ca="1" si="141"/>
        <v>0</v>
      </c>
      <c r="AB54" s="1031">
        <f t="shared" ca="1" si="141"/>
        <v>0</v>
      </c>
      <c r="AC54" s="1031">
        <f t="shared" ca="1" si="141"/>
        <v>0</v>
      </c>
      <c r="AD54" s="1031">
        <f t="shared" ca="1" si="141"/>
        <v>0</v>
      </c>
      <c r="AE54" s="1031">
        <f t="shared" ca="1" si="141"/>
        <v>0</v>
      </c>
      <c r="AF54" s="1031">
        <f t="shared" ca="1" si="141"/>
        <v>0</v>
      </c>
      <c r="AG54" s="1031">
        <f t="shared" ca="1" si="141"/>
        <v>0</v>
      </c>
      <c r="AH54" s="1031">
        <f t="shared" ca="1" si="141"/>
        <v>0</v>
      </c>
      <c r="AI54" s="1031">
        <f t="shared" ca="1" si="141"/>
        <v>0</v>
      </c>
      <c r="AJ54" s="1031">
        <f t="shared" ca="1" si="141"/>
        <v>0</v>
      </c>
      <c r="AK54" s="1030">
        <f ca="1">SUM(S54:AJ54)</f>
        <v>572.96315288166261</v>
      </c>
      <c r="AM54" s="1042">
        <f t="shared" ca="1" si="143"/>
        <v>-124.39544583847987</v>
      </c>
      <c r="AN54" s="1042">
        <f t="shared" ca="1" si="143"/>
        <v>-264.59138956080642</v>
      </c>
      <c r="AO54" s="1042">
        <f t="shared" ca="1" si="143"/>
        <v>-202.66146618133868</v>
      </c>
      <c r="AP54" s="1042">
        <f t="shared" ca="1" si="143"/>
        <v>0</v>
      </c>
      <c r="AQ54" s="1042">
        <f t="shared" ca="1" si="143"/>
        <v>0</v>
      </c>
      <c r="AR54" s="1042">
        <f t="shared" ca="1" si="143"/>
        <v>0</v>
      </c>
      <c r="AS54" s="1042">
        <f t="shared" ca="1" si="143"/>
        <v>0</v>
      </c>
      <c r="AT54" s="1042">
        <f t="shared" ca="1" si="143"/>
        <v>0</v>
      </c>
      <c r="AU54" s="1042">
        <f t="shared" ca="1" si="143"/>
        <v>0</v>
      </c>
      <c r="AV54" s="1042">
        <f t="shared" ca="1" si="141"/>
        <v>0</v>
      </c>
      <c r="AW54" s="1042">
        <f t="shared" ca="1" si="141"/>
        <v>0</v>
      </c>
      <c r="AX54" s="1042">
        <f t="shared" ca="1" si="141"/>
        <v>0</v>
      </c>
      <c r="AY54" s="1042">
        <f t="shared" ca="1" si="141"/>
        <v>0</v>
      </c>
      <c r="AZ54" s="1042">
        <f t="shared" ca="1" si="141"/>
        <v>0</v>
      </c>
      <c r="BA54" s="1042">
        <f t="shared" ca="1" si="141"/>
        <v>0</v>
      </c>
      <c r="BB54" s="1042">
        <f t="shared" ca="1" si="141"/>
        <v>0</v>
      </c>
      <c r="BC54" s="1042">
        <f t="shared" ca="1" si="141"/>
        <v>0</v>
      </c>
      <c r="BD54" s="1042">
        <f t="shared" ca="1" si="141"/>
        <v>0</v>
      </c>
      <c r="BE54" s="1042">
        <f t="shared" ca="1" si="141"/>
        <v>0</v>
      </c>
      <c r="BF54" s="1012">
        <f ca="1">SUM(AM54:BE54)</f>
        <v>-591.648301580625</v>
      </c>
      <c r="BH54" s="1036">
        <f ca="1">IFERROR(INDEX(INDIRECT($C54&amp;".Outputs["&amp;this.Year&amp;"]"), MATCH(BH$5, INDIRECT($C54&amp;".Outputs[Vector]"), 0)), 0)</f>
        <v>0</v>
      </c>
      <c r="BI54" s="1036">
        <f ca="1">IFERROR(INDEX(INDIRECT($C54&amp;".Outputs["&amp;this.Year&amp;"]"), MATCH(BI$5, INDIRECT($C54&amp;".Outputs[Vector]"), 0)), 0)</f>
        <v>0</v>
      </c>
      <c r="BJ54" s="1035">
        <f ca="1">SUM(BH54:BI54)</f>
        <v>0</v>
      </c>
      <c r="BL54" s="814"/>
      <c r="BM54" s="814"/>
      <c r="BN54" s="840"/>
      <c r="BO54" s="1485">
        <f t="shared" ca="1" si="144"/>
        <v>3.2042665938295718</v>
      </c>
      <c r="BP54" s="1486">
        <f t="shared" ca="1" si="144"/>
        <v>6.4229065929934511E-3</v>
      </c>
      <c r="BQ54" s="1486">
        <f t="shared" ca="1" si="144"/>
        <v>6.9081483002098017E-3</v>
      </c>
      <c r="BR54" s="1486">
        <f t="shared" ca="1" si="144"/>
        <v>0</v>
      </c>
      <c r="BS54" s="1486">
        <f t="shared" ca="1" si="144"/>
        <v>1.3804973344946569</v>
      </c>
      <c r="BT54" s="1486">
        <f t="shared" ca="1" si="144"/>
        <v>2.6403129612517775</v>
      </c>
      <c r="BU54" s="1486">
        <f t="shared" ca="1" si="144"/>
        <v>0</v>
      </c>
      <c r="BV54" s="1486">
        <f t="shared" ca="1" si="144"/>
        <v>0</v>
      </c>
      <c r="BW54" s="1486">
        <f t="shared" ca="1" si="144"/>
        <v>0</v>
      </c>
      <c r="BX54" s="1486">
        <f t="shared" ca="1" si="144"/>
        <v>0</v>
      </c>
      <c r="BY54" s="1486">
        <f t="shared" ca="1" si="145"/>
        <v>0</v>
      </c>
      <c r="BZ54" s="1486">
        <f t="shared" ca="1" si="145"/>
        <v>0</v>
      </c>
      <c r="CA54" s="1486">
        <f t="shared" ca="1" si="145"/>
        <v>0</v>
      </c>
      <c r="CB54" s="1486">
        <f t="shared" ca="1" si="145"/>
        <v>0</v>
      </c>
      <c r="CC54" s="1486">
        <f t="shared" ca="1" si="145"/>
        <v>0</v>
      </c>
      <c r="CD54" s="1486">
        <f t="shared" ca="1" si="145"/>
        <v>0</v>
      </c>
      <c r="CE54" s="1486">
        <f t="shared" ca="1" si="145"/>
        <v>0</v>
      </c>
      <c r="CF54" s="1486">
        <f t="shared" ca="1" si="145"/>
        <v>0</v>
      </c>
      <c r="CG54" s="1486">
        <f t="shared" ca="1" si="145"/>
        <v>0</v>
      </c>
      <c r="CH54" s="1486">
        <f t="shared" ca="1" si="145"/>
        <v>0</v>
      </c>
      <c r="CI54" s="1486">
        <f t="shared" ca="1" si="146"/>
        <v>0</v>
      </c>
      <c r="CJ54" s="1486">
        <f t="shared" ca="1" si="146"/>
        <v>0</v>
      </c>
      <c r="CK54" s="1486">
        <f t="shared" ca="1" si="146"/>
        <v>0</v>
      </c>
      <c r="CL54" s="1486">
        <f t="shared" ca="1" si="146"/>
        <v>0</v>
      </c>
      <c r="CM54" s="1486">
        <f t="shared" ca="1" si="146"/>
        <v>0</v>
      </c>
      <c r="CN54" s="1486">
        <f t="shared" ca="1" si="146"/>
        <v>0</v>
      </c>
      <c r="CO54" s="1486">
        <f t="shared" ca="1" si="146"/>
        <v>0</v>
      </c>
      <c r="CP54" s="1486">
        <f t="shared" ca="1" si="146"/>
        <v>0</v>
      </c>
      <c r="CQ54" s="1486">
        <f t="shared" ca="1" si="146"/>
        <v>0</v>
      </c>
      <c r="CR54" s="1486">
        <f t="shared" ca="1" si="146"/>
        <v>0</v>
      </c>
      <c r="CS54" s="1486">
        <f t="shared" ca="1" si="147"/>
        <v>0</v>
      </c>
      <c r="CT54" s="1486">
        <f t="shared" ca="1" si="147"/>
        <v>0</v>
      </c>
      <c r="CU54" s="1486">
        <f t="shared" ca="1" si="147"/>
        <v>0</v>
      </c>
      <c r="CV54" s="1486">
        <f t="shared" ca="1" si="147"/>
        <v>0</v>
      </c>
      <c r="CW54" s="1486">
        <f t="shared" ca="1" si="147"/>
        <v>0</v>
      </c>
      <c r="CX54" s="1486">
        <f t="shared" ca="1" si="147"/>
        <v>0</v>
      </c>
      <c r="CY54" s="1486">
        <f t="shared" ca="1" si="147"/>
        <v>0</v>
      </c>
      <c r="CZ54" s="1486">
        <f t="shared" ca="1" si="147"/>
        <v>0</v>
      </c>
      <c r="DA54" s="1486">
        <f t="shared" ca="1" si="147"/>
        <v>0</v>
      </c>
      <c r="DB54" s="1486">
        <f t="shared" ca="1" si="147"/>
        <v>0</v>
      </c>
      <c r="DC54" s="1486">
        <f t="shared" ca="1" si="147"/>
        <v>0</v>
      </c>
      <c r="DD54" s="1486">
        <f t="shared" ca="1" si="147"/>
        <v>0</v>
      </c>
      <c r="DE54" s="1486">
        <f t="shared" ca="1" si="147"/>
        <v>0</v>
      </c>
      <c r="DF54" s="1486">
        <f t="shared" ca="1" si="147"/>
        <v>0</v>
      </c>
      <c r="DH54" s="838">
        <f t="shared" ca="1" si="123"/>
        <v>7.2384079444692091</v>
      </c>
    </row>
    <row r="55" spans="1:112" s="743" customFormat="1" ht="15.75" collapsed="1">
      <c r="A55" s="1488"/>
      <c r="B55" s="1489"/>
      <c r="C55" s="744" t="s">
        <v>969</v>
      </c>
      <c r="D55" s="517" t="str">
        <f>INDEX(Workstreams[Workstream], MATCH($C55, Workstreams[Code], 0))</f>
        <v>Fossil fuel production</v>
      </c>
      <c r="E55" s="512"/>
      <c r="G55" s="1021">
        <f ca="1">SUM(G53:G54)</f>
        <v>0</v>
      </c>
      <c r="H55" s="1021">
        <f t="shared" ref="H55:P55" ca="1" si="148">SUM(H53:H54)</f>
        <v>0</v>
      </c>
      <c r="I55" s="1021">
        <f t="shared" ca="1" si="148"/>
        <v>18.68514869896239</v>
      </c>
      <c r="J55" s="1021">
        <f t="shared" ca="1" si="148"/>
        <v>0</v>
      </c>
      <c r="K55" s="1021">
        <f t="shared" ca="1" si="148"/>
        <v>0</v>
      </c>
      <c r="L55" s="1021">
        <f t="shared" ca="1" si="148"/>
        <v>0</v>
      </c>
      <c r="M55" s="1021">
        <f t="shared" ca="1" si="148"/>
        <v>0</v>
      </c>
      <c r="N55" s="1021">
        <f t="shared" ca="1" si="148"/>
        <v>0</v>
      </c>
      <c r="O55" s="1021">
        <f t="shared" ca="1" si="148"/>
        <v>0</v>
      </c>
      <c r="P55" s="1021">
        <f t="shared" ca="1" si="148"/>
        <v>0</v>
      </c>
      <c r="Q55" s="1021">
        <f ca="1">SUM(G55:P55)</f>
        <v>18.68514869896239</v>
      </c>
      <c r="S55" s="970">
        <f t="shared" ref="S55:AJ55" ca="1" si="149">SUM(S53:S54)</f>
        <v>-6.4309283833623869</v>
      </c>
      <c r="T55" s="970">
        <f t="shared" ca="1" si="149"/>
        <v>0</v>
      </c>
      <c r="U55" s="970">
        <f t="shared" ca="1" si="149"/>
        <v>-4.4692473051785787E-2</v>
      </c>
      <c r="V55" s="970">
        <f t="shared" ca="1" si="149"/>
        <v>-43.40777116773706</v>
      </c>
      <c r="W55" s="970">
        <f t="shared" ca="1" si="149"/>
        <v>-19.436557803584151</v>
      </c>
      <c r="X55" s="970">
        <f ca="1">SUM(X53:X54)</f>
        <v>124.39544583847987</v>
      </c>
      <c r="Y55" s="970">
        <f ca="1">SUM(Y53:Y54)</f>
        <v>264.59138956080642</v>
      </c>
      <c r="Z55" s="970">
        <f ca="1">SUM(Z53:Z54)</f>
        <v>202.66146618133868</v>
      </c>
      <c r="AA55" s="970">
        <f t="shared" ca="1" si="149"/>
        <v>0</v>
      </c>
      <c r="AB55" s="970">
        <f t="shared" ca="1" si="149"/>
        <v>-0.62191018839317858</v>
      </c>
      <c r="AC55" s="970">
        <f t="shared" ca="1" si="149"/>
        <v>0</v>
      </c>
      <c r="AD55" s="970">
        <f ca="1">SUM(AD53:AD54)</f>
        <v>0</v>
      </c>
      <c r="AE55" s="970">
        <f ca="1">SUM(AE53:AE54)</f>
        <v>0</v>
      </c>
      <c r="AF55" s="970">
        <f t="shared" ca="1" si="149"/>
        <v>0</v>
      </c>
      <c r="AG55" s="970">
        <f ca="1">SUM(AG53:AG54)</f>
        <v>0</v>
      </c>
      <c r="AH55" s="970">
        <f ca="1">SUM(AH53:AH54)</f>
        <v>0</v>
      </c>
      <c r="AI55" s="970">
        <f ca="1">SUM(AI53:AI54)</f>
        <v>0</v>
      </c>
      <c r="AJ55" s="970">
        <f t="shared" ca="1" si="149"/>
        <v>0</v>
      </c>
      <c r="AK55" s="970">
        <f ca="1">SUM(S55:AJ55)</f>
        <v>521.70644156449646</v>
      </c>
      <c r="AM55" s="976">
        <f t="shared" ref="AM55:BE55" ca="1" si="150">SUM(AM53:AM54)</f>
        <v>-124.39544583847987</v>
      </c>
      <c r="AN55" s="976">
        <f t="shared" ca="1" si="150"/>
        <v>-264.59138956080642</v>
      </c>
      <c r="AO55" s="976">
        <f t="shared" ca="1" si="150"/>
        <v>-202.66146618133868</v>
      </c>
      <c r="AP55" s="976">
        <f t="shared" ca="1" si="150"/>
        <v>0</v>
      </c>
      <c r="AQ55" s="976">
        <f t="shared" ca="1" si="150"/>
        <v>0</v>
      </c>
      <c r="AR55" s="976">
        <f t="shared" ca="1" si="150"/>
        <v>0</v>
      </c>
      <c r="AS55" s="976">
        <f t="shared" ca="1" si="150"/>
        <v>0</v>
      </c>
      <c r="AT55" s="976">
        <f t="shared" ca="1" si="150"/>
        <v>0</v>
      </c>
      <c r="AU55" s="976">
        <f t="shared" ca="1" si="150"/>
        <v>0</v>
      </c>
      <c r="AV55" s="976">
        <f t="shared" ca="1" si="150"/>
        <v>0</v>
      </c>
      <c r="AW55" s="976">
        <f t="shared" ca="1" si="150"/>
        <v>0</v>
      </c>
      <c r="AX55" s="976">
        <f t="shared" ca="1" si="150"/>
        <v>0</v>
      </c>
      <c r="AY55" s="976">
        <f t="shared" ca="1" si="150"/>
        <v>0</v>
      </c>
      <c r="AZ55" s="976">
        <f t="shared" ca="1" si="150"/>
        <v>0</v>
      </c>
      <c r="BA55" s="976">
        <f t="shared" ca="1" si="150"/>
        <v>0</v>
      </c>
      <c r="BB55" s="976">
        <f t="shared" ca="1" si="150"/>
        <v>0</v>
      </c>
      <c r="BC55" s="976">
        <f t="shared" ca="1" si="150"/>
        <v>0</v>
      </c>
      <c r="BD55" s="976">
        <f t="shared" ca="1" si="150"/>
        <v>0</v>
      </c>
      <c r="BE55" s="976">
        <f t="shared" ca="1" si="150"/>
        <v>0</v>
      </c>
      <c r="BF55" s="976">
        <f ca="1">SUM(AM55:BE55)</f>
        <v>-591.648301580625</v>
      </c>
      <c r="BH55" s="990">
        <f ca="1">SUM(BH53:BH54)</f>
        <v>0</v>
      </c>
      <c r="BI55" s="990">
        <f ca="1">SUM(BI53:BI54)</f>
        <v>51.256711317166172</v>
      </c>
      <c r="BJ55" s="990">
        <f ca="1">SUM(BH55:BI55)</f>
        <v>51.256711317166172</v>
      </c>
      <c r="BL55" s="515">
        <f ca="1">Q55+AK55+BF55+BJ55</f>
        <v>0</v>
      </c>
      <c r="BM55" s="852"/>
      <c r="BN55" s="840"/>
      <c r="BO55" s="1481">
        <f t="shared" ref="BO55:DF55" ca="1" si="151">SUM(BO53:BO54)</f>
        <v>14.411525427793748</v>
      </c>
      <c r="BP55" s="1482">
        <f t="shared" ca="1" si="151"/>
        <v>2.0645758456369227E-2</v>
      </c>
      <c r="BQ55" s="1482">
        <f t="shared" ca="1" si="151"/>
        <v>0.20292286935314216</v>
      </c>
      <c r="BR55" s="1482">
        <f t="shared" ca="1" si="151"/>
        <v>0</v>
      </c>
      <c r="BS55" s="1482">
        <f t="shared" ca="1" si="151"/>
        <v>1.3804973344946569</v>
      </c>
      <c r="BT55" s="1482">
        <f t="shared" ca="1" si="151"/>
        <v>2.6403129612517775</v>
      </c>
      <c r="BU55" s="1482">
        <f t="shared" ca="1" si="151"/>
        <v>0</v>
      </c>
      <c r="BV55" s="1482">
        <f t="shared" ca="1" si="151"/>
        <v>0</v>
      </c>
      <c r="BW55" s="1482">
        <f t="shared" ca="1" si="151"/>
        <v>0</v>
      </c>
      <c r="BX55" s="1482">
        <f t="shared" ca="1" si="151"/>
        <v>0</v>
      </c>
      <c r="BY55" s="1482">
        <f t="shared" ca="1" si="151"/>
        <v>0</v>
      </c>
      <c r="BZ55" s="1482">
        <f t="shared" ca="1" si="151"/>
        <v>0</v>
      </c>
      <c r="CA55" s="1482">
        <f t="shared" ca="1" si="151"/>
        <v>0</v>
      </c>
      <c r="CB55" s="1482">
        <f t="shared" ca="1" si="151"/>
        <v>0</v>
      </c>
      <c r="CC55" s="1482">
        <f t="shared" ca="1" si="151"/>
        <v>0</v>
      </c>
      <c r="CD55" s="1482">
        <f t="shared" ca="1" si="151"/>
        <v>0</v>
      </c>
      <c r="CE55" s="1482">
        <f t="shared" ca="1" si="151"/>
        <v>0</v>
      </c>
      <c r="CF55" s="1482">
        <f t="shared" ca="1" si="151"/>
        <v>0</v>
      </c>
      <c r="CG55" s="1482">
        <f t="shared" ca="1" si="151"/>
        <v>0</v>
      </c>
      <c r="CH55" s="1482">
        <f t="shared" ca="1" si="151"/>
        <v>0</v>
      </c>
      <c r="CI55" s="1482">
        <f t="shared" ca="1" si="151"/>
        <v>0</v>
      </c>
      <c r="CJ55" s="1482">
        <f t="shared" ca="1" si="151"/>
        <v>0</v>
      </c>
      <c r="CK55" s="1482">
        <f t="shared" ca="1" si="151"/>
        <v>0</v>
      </c>
      <c r="CL55" s="1482">
        <f t="shared" ca="1" si="151"/>
        <v>0</v>
      </c>
      <c r="CM55" s="1482">
        <f t="shared" ca="1" si="151"/>
        <v>0</v>
      </c>
      <c r="CN55" s="1482">
        <f t="shared" ca="1" si="151"/>
        <v>0</v>
      </c>
      <c r="CO55" s="1482">
        <f t="shared" ca="1" si="151"/>
        <v>0</v>
      </c>
      <c r="CP55" s="1482">
        <f t="shared" ca="1" si="151"/>
        <v>0</v>
      </c>
      <c r="CQ55" s="1482">
        <f t="shared" ca="1" si="151"/>
        <v>0</v>
      </c>
      <c r="CR55" s="1482">
        <f t="shared" ca="1" si="151"/>
        <v>0</v>
      </c>
      <c r="CS55" s="1482">
        <f t="shared" ca="1" si="151"/>
        <v>0</v>
      </c>
      <c r="CT55" s="1482">
        <f t="shared" ca="1" si="151"/>
        <v>0</v>
      </c>
      <c r="CU55" s="1482">
        <f t="shared" ca="1" si="151"/>
        <v>0</v>
      </c>
      <c r="CV55" s="1482">
        <f t="shared" ca="1" si="151"/>
        <v>0</v>
      </c>
      <c r="CW55" s="1482">
        <f t="shared" ca="1" si="151"/>
        <v>0</v>
      </c>
      <c r="CX55" s="1482">
        <f t="shared" ca="1" si="151"/>
        <v>0</v>
      </c>
      <c r="CY55" s="1482">
        <f t="shared" ca="1" si="151"/>
        <v>0</v>
      </c>
      <c r="CZ55" s="1482">
        <f t="shared" ca="1" si="151"/>
        <v>0</v>
      </c>
      <c r="DA55" s="1482">
        <f t="shared" ca="1" si="151"/>
        <v>0</v>
      </c>
      <c r="DB55" s="1482">
        <f t="shared" ca="1" si="151"/>
        <v>0</v>
      </c>
      <c r="DC55" s="1482">
        <f t="shared" ca="1" si="151"/>
        <v>0</v>
      </c>
      <c r="DD55" s="1482">
        <f t="shared" ca="1" si="151"/>
        <v>0</v>
      </c>
      <c r="DE55" s="1482">
        <f t="shared" ca="1" si="151"/>
        <v>0</v>
      </c>
      <c r="DF55" s="1482">
        <f t="shared" ca="1" si="151"/>
        <v>0</v>
      </c>
      <c r="DH55" s="838">
        <f t="shared" ca="1" si="123"/>
        <v>18.655904351349694</v>
      </c>
    </row>
    <row r="56" spans="1:112" s="743" customFormat="1" hidden="1" outlineLevel="1">
      <c r="C56" s="520"/>
      <c r="D56" s="38"/>
      <c r="E56" s="509"/>
      <c r="G56" s="958"/>
      <c r="H56" s="958"/>
      <c r="I56" s="958"/>
      <c r="J56" s="958"/>
      <c r="K56" s="960"/>
      <c r="L56" s="958"/>
      <c r="M56" s="958"/>
      <c r="N56" s="958"/>
      <c r="O56" s="958"/>
      <c r="P56" s="958"/>
      <c r="Q56" s="958"/>
      <c r="S56" s="970"/>
      <c r="T56" s="970"/>
      <c r="U56" s="970"/>
      <c r="V56" s="970"/>
      <c r="W56" s="970"/>
      <c r="X56" s="970"/>
      <c r="Y56" s="970"/>
      <c r="Z56" s="970"/>
      <c r="AA56" s="970"/>
      <c r="AB56" s="970"/>
      <c r="AC56" s="970"/>
      <c r="AD56" s="970"/>
      <c r="AE56" s="970"/>
      <c r="AF56" s="970"/>
      <c r="AG56" s="970"/>
      <c r="AH56" s="970"/>
      <c r="AI56" s="970"/>
      <c r="AJ56" s="970"/>
      <c r="AK56" s="970"/>
      <c r="AM56" s="976"/>
      <c r="AN56" s="976"/>
      <c r="AO56" s="976"/>
      <c r="AP56" s="976"/>
      <c r="AQ56" s="976"/>
      <c r="AR56" s="976"/>
      <c r="AS56" s="976"/>
      <c r="AT56" s="976"/>
      <c r="AU56" s="976"/>
      <c r="AV56" s="976"/>
      <c r="AW56" s="976"/>
      <c r="AX56" s="976"/>
      <c r="AY56" s="976"/>
      <c r="AZ56" s="976"/>
      <c r="BA56" s="976"/>
      <c r="BB56" s="976"/>
      <c r="BC56" s="976"/>
      <c r="BD56" s="976"/>
      <c r="BE56" s="976"/>
      <c r="BF56" s="976"/>
      <c r="BH56" s="990"/>
      <c r="BI56" s="990"/>
      <c r="BJ56" s="990"/>
      <c r="BL56" s="515">
        <f t="shared" ref="BL56:BL63" si="152">Q56+AK56+BF56+BJ56</f>
        <v>0</v>
      </c>
      <c r="BM56" s="515"/>
      <c r="BO56" s="1482"/>
      <c r="BP56" s="1482"/>
      <c r="BQ56" s="1482"/>
      <c r="BR56" s="1482"/>
      <c r="BS56" s="1482"/>
      <c r="BT56" s="1482"/>
      <c r="BU56" s="1482"/>
      <c r="BV56" s="1482"/>
      <c r="BW56" s="1482"/>
      <c r="BX56" s="1482"/>
      <c r="BY56" s="1482"/>
      <c r="BZ56" s="1482"/>
      <c r="CA56" s="1482"/>
      <c r="CB56" s="1482"/>
      <c r="CC56" s="1482"/>
      <c r="CD56" s="1482"/>
      <c r="CE56" s="1482"/>
      <c r="CF56" s="1482"/>
      <c r="CG56" s="1482"/>
      <c r="CH56" s="1482"/>
      <c r="CI56" s="1482"/>
      <c r="CJ56" s="1482"/>
      <c r="CK56" s="1482"/>
      <c r="CL56" s="1482"/>
      <c r="CM56" s="1482"/>
      <c r="CN56" s="1482"/>
      <c r="CO56" s="1482"/>
      <c r="CP56" s="1482"/>
      <c r="CQ56" s="1482"/>
      <c r="CR56" s="1482"/>
      <c r="CS56" s="1482"/>
      <c r="CT56" s="1482"/>
      <c r="CU56" s="1482"/>
      <c r="CV56" s="1482"/>
      <c r="CW56" s="1482"/>
      <c r="CX56" s="1482"/>
      <c r="CY56" s="1482"/>
      <c r="CZ56" s="1482"/>
      <c r="DA56" s="1482"/>
      <c r="DB56" s="1482"/>
      <c r="DC56" s="1482"/>
      <c r="DD56" s="1482"/>
      <c r="DE56" s="1482"/>
      <c r="DF56" s="1482"/>
      <c r="DH56" s="838">
        <f t="shared" si="123"/>
        <v>0</v>
      </c>
    </row>
    <row r="57" spans="1:112" s="1484" customFormat="1" ht="12.75" hidden="1" customHeight="1" outlineLevel="1">
      <c r="C57" s="746" t="s">
        <v>1730</v>
      </c>
      <c r="D57" s="521" t="str">
        <f>INDEX(Modules[Module], MATCH($C57, Modules[Code], 0))</f>
        <v>Onshore wind</v>
      </c>
      <c r="E57" s="521"/>
      <c r="F57" s="743"/>
      <c r="G57" s="1017">
        <f t="shared" ref="G57:P62" ca="1" si="153">IFERROR(INDEX(INDIRECT($C57&amp;".Outputs["&amp;this.Year&amp;"]"), MATCH(G$5, INDIRECT($C57&amp;".Outputs[Vector]"), 0)), 0)</f>
        <v>0</v>
      </c>
      <c r="H57" s="1017">
        <f t="shared" ca="1" si="153"/>
        <v>0</v>
      </c>
      <c r="I57" s="1017">
        <f t="shared" ca="1" si="153"/>
        <v>0</v>
      </c>
      <c r="J57" s="1017">
        <f t="shared" ca="1" si="153"/>
        <v>0</v>
      </c>
      <c r="K57" s="1017">
        <f t="shared" ca="1" si="153"/>
        <v>0</v>
      </c>
      <c r="L57" s="1017">
        <f t="shared" ca="1" si="153"/>
        <v>0</v>
      </c>
      <c r="M57" s="1017">
        <f t="shared" ca="1" si="153"/>
        <v>0</v>
      </c>
      <c r="N57" s="1017">
        <f t="shared" ca="1" si="153"/>
        <v>0</v>
      </c>
      <c r="O57" s="1017">
        <f t="shared" ca="1" si="153"/>
        <v>0</v>
      </c>
      <c r="P57" s="1017">
        <f t="shared" ca="1" si="153"/>
        <v>0</v>
      </c>
      <c r="Q57" s="1019">
        <f t="shared" ref="Q57:Q63" ca="1" si="154">SUM(G57:P57)</f>
        <v>0</v>
      </c>
      <c r="R57" s="743"/>
      <c r="S57" s="1026">
        <f t="shared" ref="S57:BE62" ca="1" si="155">IFERROR(INDEX(INDIRECT($C57&amp;".Outputs["&amp;this.Year&amp;"]"), MATCH(S$5, INDIRECT($C57&amp;".Outputs[Vector]"), 0)), 0)</f>
        <v>0</v>
      </c>
      <c r="T57" s="1026">
        <f t="shared" ca="1" si="155"/>
        <v>14.551735319999997</v>
      </c>
      <c r="U57" s="1026">
        <f t="shared" ca="1" si="155"/>
        <v>0</v>
      </c>
      <c r="V57" s="1026">
        <f t="shared" ca="1" si="155"/>
        <v>0</v>
      </c>
      <c r="W57" s="1026">
        <f t="shared" ca="1" si="155"/>
        <v>0</v>
      </c>
      <c r="X57" s="1026">
        <f t="shared" ref="X57:Z62" ca="1" si="156">IFERROR(INDEX(INDIRECT($C57&amp;".Outputs["&amp;this.Year&amp;"]"), MATCH(X$5, INDIRECT($C57&amp;".Outputs[Vector]"), 0)), 0)</f>
        <v>0</v>
      </c>
      <c r="Y57" s="1026">
        <f t="shared" ca="1" si="156"/>
        <v>0</v>
      </c>
      <c r="Z57" s="1026">
        <f t="shared" ca="1" si="156"/>
        <v>0</v>
      </c>
      <c r="AA57" s="1026">
        <f t="shared" ca="1" si="155"/>
        <v>0</v>
      </c>
      <c r="AB57" s="1026">
        <f t="shared" ca="1" si="155"/>
        <v>0</v>
      </c>
      <c r="AC57" s="1026">
        <f t="shared" ca="1" si="155"/>
        <v>0</v>
      </c>
      <c r="AD57" s="1026">
        <f t="shared" ca="1" si="155"/>
        <v>0</v>
      </c>
      <c r="AE57" s="1026">
        <f t="shared" ca="1" si="155"/>
        <v>0</v>
      </c>
      <c r="AF57" s="1026">
        <f t="shared" ca="1" si="155"/>
        <v>0</v>
      </c>
      <c r="AG57" s="1026">
        <f t="shared" ca="1" si="155"/>
        <v>0</v>
      </c>
      <c r="AH57" s="1026">
        <f t="shared" ca="1" si="155"/>
        <v>0</v>
      </c>
      <c r="AI57" s="1026">
        <f t="shared" ca="1" si="155"/>
        <v>0</v>
      </c>
      <c r="AJ57" s="1026">
        <f t="shared" ca="1" si="155"/>
        <v>0</v>
      </c>
      <c r="AK57" s="1027">
        <f t="shared" ref="AK57:AK63" ca="1" si="157">SUM(S57:AJ57)</f>
        <v>14.551735319999997</v>
      </c>
      <c r="AL57" s="743"/>
      <c r="AM57" s="1038">
        <f t="shared" ref="AM57:AU62" ca="1" si="158">IFERROR(INDEX(INDIRECT($C57&amp;".Outputs["&amp;this.Year&amp;"]"), MATCH(AM$5, INDIRECT($C57&amp;".Outputs[Vector]"), 0)), 0)</f>
        <v>0</v>
      </c>
      <c r="AN57" s="1038">
        <f t="shared" ca="1" si="158"/>
        <v>0</v>
      </c>
      <c r="AO57" s="1038">
        <f t="shared" ca="1" si="158"/>
        <v>0</v>
      </c>
      <c r="AP57" s="1038">
        <f t="shared" ca="1" si="158"/>
        <v>0</v>
      </c>
      <c r="AQ57" s="1038">
        <f t="shared" ca="1" si="158"/>
        <v>0</v>
      </c>
      <c r="AR57" s="1038">
        <f t="shared" ca="1" si="158"/>
        <v>0</v>
      </c>
      <c r="AS57" s="1038">
        <f t="shared" ca="1" si="158"/>
        <v>0</v>
      </c>
      <c r="AT57" s="1038">
        <f t="shared" ca="1" si="158"/>
        <v>0</v>
      </c>
      <c r="AU57" s="1038">
        <f t="shared" ca="1" si="158"/>
        <v>0</v>
      </c>
      <c r="AV57" s="1038">
        <f t="shared" ca="1" si="155"/>
        <v>0</v>
      </c>
      <c r="AW57" s="1038">
        <f t="shared" ca="1" si="155"/>
        <v>0</v>
      </c>
      <c r="AX57" s="1038">
        <f t="shared" ca="1" si="155"/>
        <v>-14.551735319999997</v>
      </c>
      <c r="AY57" s="1038">
        <f t="shared" ca="1" si="155"/>
        <v>0</v>
      </c>
      <c r="AZ57" s="1038">
        <f t="shared" ca="1" si="155"/>
        <v>0</v>
      </c>
      <c r="BA57" s="1038">
        <f t="shared" ca="1" si="155"/>
        <v>0</v>
      </c>
      <c r="BB57" s="1038">
        <f t="shared" ca="1" si="155"/>
        <v>0</v>
      </c>
      <c r="BC57" s="1038">
        <f t="shared" ca="1" si="155"/>
        <v>0</v>
      </c>
      <c r="BD57" s="1038">
        <f t="shared" ca="1" si="155"/>
        <v>0</v>
      </c>
      <c r="BE57" s="1038">
        <f t="shared" ca="1" si="155"/>
        <v>0</v>
      </c>
      <c r="BF57" s="979">
        <f t="shared" ref="BF57:BF63" ca="1" si="159">SUM(AM57:BE57)</f>
        <v>-14.551735319999997</v>
      </c>
      <c r="BG57" s="743"/>
      <c r="BH57" s="1032">
        <f t="shared" ref="BH57:BI62" ca="1" si="160">IFERROR(INDEX(INDIRECT($C57&amp;".Outputs["&amp;this.Year&amp;"]"), MATCH(BH$5, INDIRECT($C57&amp;".Outputs[Vector]"), 0)), 0)</f>
        <v>0</v>
      </c>
      <c r="BI57" s="1032">
        <f t="shared" ca="1" si="160"/>
        <v>0</v>
      </c>
      <c r="BJ57" s="1034">
        <f t="shared" ref="BJ57:BJ63" ca="1" si="161">SUM(BH57:BI57)</f>
        <v>0</v>
      </c>
      <c r="BK57" s="743"/>
      <c r="BL57" s="814">
        <f t="shared" ca="1" si="152"/>
        <v>0</v>
      </c>
      <c r="BM57" s="814"/>
      <c r="BN57" s="840"/>
      <c r="BO57" s="1481">
        <f t="shared" ref="BO57:BX62" ca="1" si="162">IFERROR(SUMIFS(INDIRECT($C57&amp;".Emissions["&amp;this.Year&amp;"]"), INDIRECT($C57&amp;".Emissions[GHG]"), BO$6, INDIRECT($C57&amp;".Emissions[IPCC Sector]"), BO$5),0)</f>
        <v>0</v>
      </c>
      <c r="BP57" s="1482">
        <f t="shared" ca="1" si="162"/>
        <v>0</v>
      </c>
      <c r="BQ57" s="1482">
        <f t="shared" ca="1" si="162"/>
        <v>0</v>
      </c>
      <c r="BR57" s="1482">
        <f t="shared" ca="1" si="162"/>
        <v>0</v>
      </c>
      <c r="BS57" s="1482">
        <f t="shared" ca="1" si="162"/>
        <v>0</v>
      </c>
      <c r="BT57" s="1482">
        <f t="shared" ca="1" si="162"/>
        <v>0</v>
      </c>
      <c r="BU57" s="1482">
        <f t="shared" ca="1" si="162"/>
        <v>0</v>
      </c>
      <c r="BV57" s="1482">
        <f t="shared" ca="1" si="162"/>
        <v>0</v>
      </c>
      <c r="BW57" s="1482">
        <f t="shared" ca="1" si="162"/>
        <v>0</v>
      </c>
      <c r="BX57" s="1482">
        <f t="shared" ca="1" si="162"/>
        <v>0</v>
      </c>
      <c r="BY57" s="1482">
        <f t="shared" ref="BY57:CH62" ca="1" si="163">IFERROR(SUMIFS(INDIRECT($C57&amp;".Emissions["&amp;this.Year&amp;"]"), INDIRECT($C57&amp;".Emissions[GHG]"), BY$6, INDIRECT($C57&amp;".Emissions[IPCC Sector]"), BY$5),0)</f>
        <v>0</v>
      </c>
      <c r="BZ57" s="1482">
        <f t="shared" ca="1" si="163"/>
        <v>0</v>
      </c>
      <c r="CA57" s="1482">
        <f t="shared" ca="1" si="163"/>
        <v>0</v>
      </c>
      <c r="CB57" s="1482">
        <f t="shared" ca="1" si="163"/>
        <v>0</v>
      </c>
      <c r="CC57" s="1482">
        <f t="shared" ca="1" si="163"/>
        <v>0</v>
      </c>
      <c r="CD57" s="1482">
        <f t="shared" ca="1" si="163"/>
        <v>0</v>
      </c>
      <c r="CE57" s="1482">
        <f t="shared" ca="1" si="163"/>
        <v>0</v>
      </c>
      <c r="CF57" s="1482">
        <f t="shared" ca="1" si="163"/>
        <v>0</v>
      </c>
      <c r="CG57" s="1482">
        <f t="shared" ca="1" si="163"/>
        <v>0</v>
      </c>
      <c r="CH57" s="1482">
        <f t="shared" ca="1" si="163"/>
        <v>0</v>
      </c>
      <c r="CI57" s="1482">
        <f t="shared" ref="CI57:CR62" ca="1" si="164">IFERROR(SUMIFS(INDIRECT($C57&amp;".Emissions["&amp;this.Year&amp;"]"), INDIRECT($C57&amp;".Emissions[GHG]"), CI$6, INDIRECT($C57&amp;".Emissions[IPCC Sector]"), CI$5),0)</f>
        <v>0</v>
      </c>
      <c r="CJ57" s="1482">
        <f t="shared" ca="1" si="164"/>
        <v>0</v>
      </c>
      <c r="CK57" s="1482">
        <f t="shared" ca="1" si="164"/>
        <v>0</v>
      </c>
      <c r="CL57" s="1482">
        <f t="shared" ca="1" si="164"/>
        <v>0</v>
      </c>
      <c r="CM57" s="1482">
        <f t="shared" ca="1" si="164"/>
        <v>0</v>
      </c>
      <c r="CN57" s="1482">
        <f t="shared" ca="1" si="164"/>
        <v>0</v>
      </c>
      <c r="CO57" s="1482">
        <f t="shared" ca="1" si="164"/>
        <v>0</v>
      </c>
      <c r="CP57" s="1482">
        <f t="shared" ca="1" si="164"/>
        <v>0</v>
      </c>
      <c r="CQ57" s="1482">
        <f t="shared" ca="1" si="164"/>
        <v>0</v>
      </c>
      <c r="CR57" s="1482">
        <f t="shared" ca="1" si="164"/>
        <v>0</v>
      </c>
      <c r="CS57" s="1482">
        <f t="shared" ref="CS57:DF62" ca="1" si="165">IFERROR(SUMIFS(INDIRECT($C57&amp;".Emissions["&amp;this.Year&amp;"]"), INDIRECT($C57&amp;".Emissions[GHG]"), CS$6, INDIRECT($C57&amp;".Emissions[IPCC Sector]"), CS$5),0)</f>
        <v>0</v>
      </c>
      <c r="CT57" s="1482">
        <f t="shared" ca="1" si="165"/>
        <v>0</v>
      </c>
      <c r="CU57" s="1482">
        <f t="shared" ca="1" si="165"/>
        <v>0</v>
      </c>
      <c r="CV57" s="1482">
        <f t="shared" ca="1" si="165"/>
        <v>0</v>
      </c>
      <c r="CW57" s="1482">
        <f t="shared" ca="1" si="165"/>
        <v>0</v>
      </c>
      <c r="CX57" s="1482">
        <f t="shared" ca="1" si="165"/>
        <v>0</v>
      </c>
      <c r="CY57" s="1482">
        <f t="shared" ca="1" si="165"/>
        <v>0</v>
      </c>
      <c r="CZ57" s="1482">
        <f t="shared" ca="1" si="165"/>
        <v>0</v>
      </c>
      <c r="DA57" s="1482">
        <f t="shared" ca="1" si="165"/>
        <v>0</v>
      </c>
      <c r="DB57" s="1482">
        <f t="shared" ca="1" si="165"/>
        <v>0</v>
      </c>
      <c r="DC57" s="1482">
        <f t="shared" ca="1" si="165"/>
        <v>0</v>
      </c>
      <c r="DD57" s="1482">
        <f t="shared" ca="1" si="165"/>
        <v>0</v>
      </c>
      <c r="DE57" s="1482">
        <f t="shared" ca="1" si="165"/>
        <v>0</v>
      </c>
      <c r="DF57" s="1482">
        <f t="shared" ca="1" si="165"/>
        <v>0</v>
      </c>
      <c r="DH57" s="838">
        <f t="shared" ca="1" si="123"/>
        <v>0</v>
      </c>
    </row>
    <row r="58" spans="1:112" s="1484" customFormat="1" ht="12.75" hidden="1" customHeight="1" outlineLevel="1">
      <c r="C58" s="746" t="s">
        <v>1731</v>
      </c>
      <c r="D58" s="521" t="str">
        <f>INDEX(Modules[Module], MATCH($C58, Modules[Code], 0))</f>
        <v>Offshore wind</v>
      </c>
      <c r="E58" s="521"/>
      <c r="F58" s="743"/>
      <c r="G58" s="1017">
        <f t="shared" ca="1" si="153"/>
        <v>0</v>
      </c>
      <c r="H58" s="1017">
        <f t="shared" ca="1" si="153"/>
        <v>0</v>
      </c>
      <c r="I58" s="1017">
        <f t="shared" ca="1" si="153"/>
        <v>0</v>
      </c>
      <c r="J58" s="1017">
        <f t="shared" ca="1" si="153"/>
        <v>0</v>
      </c>
      <c r="K58" s="1017">
        <f t="shared" ca="1" si="153"/>
        <v>0</v>
      </c>
      <c r="L58" s="1017">
        <f t="shared" ca="1" si="153"/>
        <v>0</v>
      </c>
      <c r="M58" s="1017">
        <f t="shared" ca="1" si="153"/>
        <v>0</v>
      </c>
      <c r="N58" s="1017">
        <f t="shared" ca="1" si="153"/>
        <v>0</v>
      </c>
      <c r="O58" s="1017">
        <f t="shared" ca="1" si="153"/>
        <v>0</v>
      </c>
      <c r="P58" s="1017">
        <f t="shared" ca="1" si="153"/>
        <v>0</v>
      </c>
      <c r="Q58" s="1019">
        <f ca="1">SUM(G58:P58)</f>
        <v>0</v>
      </c>
      <c r="R58" s="743"/>
      <c r="S58" s="1026">
        <f t="shared" ca="1" si="155"/>
        <v>0</v>
      </c>
      <c r="T58" s="1026">
        <f t="shared" ca="1" si="155"/>
        <v>14.002194780000004</v>
      </c>
      <c r="U58" s="1026">
        <f t="shared" ca="1" si="155"/>
        <v>0</v>
      </c>
      <c r="V58" s="1026">
        <f t="shared" ca="1" si="155"/>
        <v>0</v>
      </c>
      <c r="W58" s="1026">
        <f t="shared" ca="1" si="155"/>
        <v>0</v>
      </c>
      <c r="X58" s="1026">
        <f t="shared" ca="1" si="156"/>
        <v>0</v>
      </c>
      <c r="Y58" s="1026">
        <f t="shared" ca="1" si="156"/>
        <v>0</v>
      </c>
      <c r="Z58" s="1026">
        <f t="shared" ca="1" si="156"/>
        <v>0</v>
      </c>
      <c r="AA58" s="1026">
        <f t="shared" ca="1" si="155"/>
        <v>0</v>
      </c>
      <c r="AB58" s="1026">
        <f t="shared" ca="1" si="155"/>
        <v>0</v>
      </c>
      <c r="AC58" s="1026">
        <f t="shared" ca="1" si="155"/>
        <v>0</v>
      </c>
      <c r="AD58" s="1026">
        <f t="shared" ca="1" si="155"/>
        <v>0</v>
      </c>
      <c r="AE58" s="1026">
        <f t="shared" ca="1" si="155"/>
        <v>0</v>
      </c>
      <c r="AF58" s="1026">
        <f t="shared" ca="1" si="155"/>
        <v>0</v>
      </c>
      <c r="AG58" s="1026">
        <f t="shared" ca="1" si="155"/>
        <v>0</v>
      </c>
      <c r="AH58" s="1026">
        <f t="shared" ca="1" si="155"/>
        <v>0</v>
      </c>
      <c r="AI58" s="1026">
        <f t="shared" ca="1" si="155"/>
        <v>0</v>
      </c>
      <c r="AJ58" s="1026">
        <f t="shared" ca="1" si="155"/>
        <v>0</v>
      </c>
      <c r="AK58" s="1027">
        <f ca="1">SUM(S58:AJ58)</f>
        <v>14.002194780000004</v>
      </c>
      <c r="AL58" s="743"/>
      <c r="AM58" s="1038">
        <f t="shared" ca="1" si="158"/>
        <v>0</v>
      </c>
      <c r="AN58" s="1038">
        <f t="shared" ca="1" si="158"/>
        <v>0</v>
      </c>
      <c r="AO58" s="1038">
        <f t="shared" ca="1" si="158"/>
        <v>0</v>
      </c>
      <c r="AP58" s="1038">
        <f t="shared" ca="1" si="158"/>
        <v>0</v>
      </c>
      <c r="AQ58" s="1038">
        <f t="shared" ca="1" si="158"/>
        <v>0</v>
      </c>
      <c r="AR58" s="1038">
        <f t="shared" ca="1" si="158"/>
        <v>0</v>
      </c>
      <c r="AS58" s="1038">
        <f t="shared" ca="1" si="158"/>
        <v>0</v>
      </c>
      <c r="AT58" s="1038">
        <f t="shared" ca="1" si="158"/>
        <v>0</v>
      </c>
      <c r="AU58" s="1038">
        <f t="shared" ca="1" si="158"/>
        <v>0</v>
      </c>
      <c r="AV58" s="1038">
        <f t="shared" ca="1" si="155"/>
        <v>0</v>
      </c>
      <c r="AW58" s="1038">
        <f t="shared" ca="1" si="155"/>
        <v>0</v>
      </c>
      <c r="AX58" s="1038">
        <f t="shared" ca="1" si="155"/>
        <v>-14.002194780000004</v>
      </c>
      <c r="AY58" s="1038">
        <f t="shared" ca="1" si="155"/>
        <v>0</v>
      </c>
      <c r="AZ58" s="1038">
        <f t="shared" ca="1" si="155"/>
        <v>0</v>
      </c>
      <c r="BA58" s="1038">
        <f t="shared" ca="1" si="155"/>
        <v>0</v>
      </c>
      <c r="BB58" s="1038">
        <f t="shared" ca="1" si="155"/>
        <v>0</v>
      </c>
      <c r="BC58" s="1038">
        <f t="shared" ca="1" si="155"/>
        <v>0</v>
      </c>
      <c r="BD58" s="1038">
        <f t="shared" ca="1" si="155"/>
        <v>0</v>
      </c>
      <c r="BE58" s="1038">
        <f t="shared" ca="1" si="155"/>
        <v>0</v>
      </c>
      <c r="BF58" s="979">
        <f ca="1">SUM(AM58:BE58)</f>
        <v>-14.002194780000004</v>
      </c>
      <c r="BG58" s="743"/>
      <c r="BH58" s="1032">
        <f t="shared" ca="1" si="160"/>
        <v>0</v>
      </c>
      <c r="BI58" s="1032">
        <f t="shared" ca="1" si="160"/>
        <v>0</v>
      </c>
      <c r="BJ58" s="1034">
        <f ca="1">SUM(BH58:BI58)</f>
        <v>0</v>
      </c>
      <c r="BK58" s="743"/>
      <c r="BL58" s="814">
        <f ca="1">Q58+AK58+BF58+BJ58</f>
        <v>0</v>
      </c>
      <c r="BM58" s="814"/>
      <c r="BN58" s="840"/>
      <c r="BO58" s="1481">
        <f t="shared" ca="1" si="162"/>
        <v>0</v>
      </c>
      <c r="BP58" s="1482">
        <f t="shared" ca="1" si="162"/>
        <v>0</v>
      </c>
      <c r="BQ58" s="1482">
        <f t="shared" ca="1" si="162"/>
        <v>0</v>
      </c>
      <c r="BR58" s="1482">
        <f t="shared" ca="1" si="162"/>
        <v>0</v>
      </c>
      <c r="BS58" s="1482">
        <f t="shared" ca="1" si="162"/>
        <v>0</v>
      </c>
      <c r="BT58" s="1482">
        <f t="shared" ca="1" si="162"/>
        <v>0</v>
      </c>
      <c r="BU58" s="1482">
        <f t="shared" ca="1" si="162"/>
        <v>0</v>
      </c>
      <c r="BV58" s="1482">
        <f t="shared" ca="1" si="162"/>
        <v>0</v>
      </c>
      <c r="BW58" s="1482">
        <f t="shared" ca="1" si="162"/>
        <v>0</v>
      </c>
      <c r="BX58" s="1482">
        <f t="shared" ca="1" si="162"/>
        <v>0</v>
      </c>
      <c r="BY58" s="1482">
        <f t="shared" ca="1" si="163"/>
        <v>0</v>
      </c>
      <c r="BZ58" s="1482">
        <f t="shared" ca="1" si="163"/>
        <v>0</v>
      </c>
      <c r="CA58" s="1482">
        <f t="shared" ca="1" si="163"/>
        <v>0</v>
      </c>
      <c r="CB58" s="1482">
        <f t="shared" ca="1" si="163"/>
        <v>0</v>
      </c>
      <c r="CC58" s="1482">
        <f t="shared" ca="1" si="163"/>
        <v>0</v>
      </c>
      <c r="CD58" s="1482">
        <f t="shared" ca="1" si="163"/>
        <v>0</v>
      </c>
      <c r="CE58" s="1482">
        <f t="shared" ca="1" si="163"/>
        <v>0</v>
      </c>
      <c r="CF58" s="1482">
        <f t="shared" ca="1" si="163"/>
        <v>0</v>
      </c>
      <c r="CG58" s="1482">
        <f t="shared" ca="1" si="163"/>
        <v>0</v>
      </c>
      <c r="CH58" s="1482">
        <f t="shared" ca="1" si="163"/>
        <v>0</v>
      </c>
      <c r="CI58" s="1482">
        <f t="shared" ca="1" si="164"/>
        <v>0</v>
      </c>
      <c r="CJ58" s="1482">
        <f t="shared" ca="1" si="164"/>
        <v>0</v>
      </c>
      <c r="CK58" s="1482">
        <f t="shared" ca="1" si="164"/>
        <v>0</v>
      </c>
      <c r="CL58" s="1482">
        <f t="shared" ca="1" si="164"/>
        <v>0</v>
      </c>
      <c r="CM58" s="1482">
        <f t="shared" ca="1" si="164"/>
        <v>0</v>
      </c>
      <c r="CN58" s="1482">
        <f t="shared" ca="1" si="164"/>
        <v>0</v>
      </c>
      <c r="CO58" s="1482">
        <f t="shared" ca="1" si="164"/>
        <v>0</v>
      </c>
      <c r="CP58" s="1482">
        <f t="shared" ca="1" si="164"/>
        <v>0</v>
      </c>
      <c r="CQ58" s="1482">
        <f t="shared" ca="1" si="164"/>
        <v>0</v>
      </c>
      <c r="CR58" s="1482">
        <f t="shared" ca="1" si="164"/>
        <v>0</v>
      </c>
      <c r="CS58" s="1482">
        <f t="shared" ca="1" si="165"/>
        <v>0</v>
      </c>
      <c r="CT58" s="1482">
        <f t="shared" ca="1" si="165"/>
        <v>0</v>
      </c>
      <c r="CU58" s="1482">
        <f t="shared" ca="1" si="165"/>
        <v>0</v>
      </c>
      <c r="CV58" s="1482">
        <f t="shared" ca="1" si="165"/>
        <v>0</v>
      </c>
      <c r="CW58" s="1482">
        <f t="shared" ca="1" si="165"/>
        <v>0</v>
      </c>
      <c r="CX58" s="1482">
        <f t="shared" ca="1" si="165"/>
        <v>0</v>
      </c>
      <c r="CY58" s="1482">
        <f t="shared" ca="1" si="165"/>
        <v>0</v>
      </c>
      <c r="CZ58" s="1482">
        <f t="shared" ca="1" si="165"/>
        <v>0</v>
      </c>
      <c r="DA58" s="1482">
        <f t="shared" ca="1" si="165"/>
        <v>0</v>
      </c>
      <c r="DB58" s="1482">
        <f t="shared" ca="1" si="165"/>
        <v>0</v>
      </c>
      <c r="DC58" s="1482">
        <f t="shared" ca="1" si="165"/>
        <v>0</v>
      </c>
      <c r="DD58" s="1482">
        <f t="shared" ca="1" si="165"/>
        <v>0</v>
      </c>
      <c r="DE58" s="1482">
        <f t="shared" ca="1" si="165"/>
        <v>0</v>
      </c>
      <c r="DF58" s="1482">
        <f t="shared" ca="1" si="165"/>
        <v>0</v>
      </c>
      <c r="DH58" s="838">
        <f ca="1">SUM(BO58:DF58)</f>
        <v>0</v>
      </c>
    </row>
    <row r="59" spans="1:112" s="1484" customFormat="1" ht="12.75" hidden="1" customHeight="1" outlineLevel="1">
      <c r="C59" s="746" t="s">
        <v>803</v>
      </c>
      <c r="D59" s="521" t="str">
        <f>INDEX(Modules[Module], MATCH($C59, Modules[Code], 0))</f>
        <v>Hydroelectric</v>
      </c>
      <c r="E59" s="521"/>
      <c r="F59" s="743"/>
      <c r="G59" s="1017">
        <f t="shared" ca="1" si="153"/>
        <v>0</v>
      </c>
      <c r="H59" s="1017">
        <f t="shared" ca="1" si="153"/>
        <v>0</v>
      </c>
      <c r="I59" s="1017">
        <f t="shared" ca="1" si="153"/>
        <v>0</v>
      </c>
      <c r="J59" s="1017">
        <f t="shared" ca="1" si="153"/>
        <v>0</v>
      </c>
      <c r="K59" s="1017">
        <f t="shared" ca="1" si="153"/>
        <v>0</v>
      </c>
      <c r="L59" s="1017">
        <f t="shared" ca="1" si="153"/>
        <v>0</v>
      </c>
      <c r="M59" s="1017">
        <f t="shared" ca="1" si="153"/>
        <v>0</v>
      </c>
      <c r="N59" s="1017">
        <f t="shared" ca="1" si="153"/>
        <v>0</v>
      </c>
      <c r="O59" s="1017">
        <f t="shared" ca="1" si="153"/>
        <v>0</v>
      </c>
      <c r="P59" s="1017">
        <f t="shared" ca="1" si="153"/>
        <v>0</v>
      </c>
      <c r="Q59" s="1019">
        <f t="shared" ca="1" si="154"/>
        <v>0</v>
      </c>
      <c r="R59" s="743"/>
      <c r="S59" s="1026">
        <f t="shared" ca="1" si="155"/>
        <v>0</v>
      </c>
      <c r="T59" s="1026">
        <f t="shared" ca="1" si="155"/>
        <v>5.3297280000000011</v>
      </c>
      <c r="U59" s="1026">
        <f t="shared" ca="1" si="155"/>
        <v>0</v>
      </c>
      <c r="V59" s="1026">
        <f t="shared" ca="1" si="155"/>
        <v>0</v>
      </c>
      <c r="W59" s="1026">
        <f t="shared" ca="1" si="155"/>
        <v>0</v>
      </c>
      <c r="X59" s="1026">
        <f t="shared" ca="1" si="156"/>
        <v>0</v>
      </c>
      <c r="Y59" s="1026">
        <f t="shared" ca="1" si="156"/>
        <v>0</v>
      </c>
      <c r="Z59" s="1026">
        <f t="shared" ca="1" si="156"/>
        <v>0</v>
      </c>
      <c r="AA59" s="1026">
        <f t="shared" ca="1" si="155"/>
        <v>0</v>
      </c>
      <c r="AB59" s="1026">
        <f t="shared" ca="1" si="155"/>
        <v>0</v>
      </c>
      <c r="AC59" s="1026">
        <f t="shared" ca="1" si="155"/>
        <v>0</v>
      </c>
      <c r="AD59" s="1026">
        <f t="shared" ca="1" si="155"/>
        <v>0</v>
      </c>
      <c r="AE59" s="1026">
        <f t="shared" ca="1" si="155"/>
        <v>0</v>
      </c>
      <c r="AF59" s="1026">
        <f t="shared" ca="1" si="155"/>
        <v>0</v>
      </c>
      <c r="AG59" s="1026">
        <f t="shared" ca="1" si="155"/>
        <v>0</v>
      </c>
      <c r="AH59" s="1026">
        <f t="shared" ca="1" si="155"/>
        <v>0</v>
      </c>
      <c r="AI59" s="1026">
        <f t="shared" ca="1" si="155"/>
        <v>0</v>
      </c>
      <c r="AJ59" s="1026">
        <f t="shared" ca="1" si="155"/>
        <v>0</v>
      </c>
      <c r="AK59" s="1027">
        <f t="shared" ca="1" si="157"/>
        <v>5.3297280000000011</v>
      </c>
      <c r="AL59" s="743"/>
      <c r="AM59" s="1038">
        <f t="shared" ca="1" si="158"/>
        <v>0</v>
      </c>
      <c r="AN59" s="1038">
        <f t="shared" ca="1" si="158"/>
        <v>0</v>
      </c>
      <c r="AO59" s="1038">
        <f t="shared" ca="1" si="158"/>
        <v>0</v>
      </c>
      <c r="AP59" s="1038">
        <f t="shared" ca="1" si="158"/>
        <v>0</v>
      </c>
      <c r="AQ59" s="1038">
        <f t="shared" ca="1" si="158"/>
        <v>0</v>
      </c>
      <c r="AR59" s="1038">
        <f t="shared" ca="1" si="158"/>
        <v>0</v>
      </c>
      <c r="AS59" s="1038">
        <f t="shared" ca="1" si="158"/>
        <v>0</v>
      </c>
      <c r="AT59" s="1038">
        <f t="shared" ca="1" si="158"/>
        <v>0</v>
      </c>
      <c r="AU59" s="1038">
        <f t="shared" ca="1" si="158"/>
        <v>0</v>
      </c>
      <c r="AV59" s="1038">
        <f t="shared" ca="1" si="155"/>
        <v>0</v>
      </c>
      <c r="AW59" s="1038">
        <f t="shared" ca="1" si="155"/>
        <v>0</v>
      </c>
      <c r="AX59" s="1038">
        <f t="shared" ca="1" si="155"/>
        <v>0</v>
      </c>
      <c r="AY59" s="1038">
        <f t="shared" ca="1" si="155"/>
        <v>0</v>
      </c>
      <c r="AZ59" s="1038">
        <f t="shared" ca="1" si="155"/>
        <v>0</v>
      </c>
      <c r="BA59" s="1038">
        <f t="shared" ca="1" si="155"/>
        <v>0</v>
      </c>
      <c r="BB59" s="1038">
        <f t="shared" ca="1" si="155"/>
        <v>-5.3297280000000011</v>
      </c>
      <c r="BC59" s="1038">
        <f t="shared" ca="1" si="155"/>
        <v>0</v>
      </c>
      <c r="BD59" s="1038">
        <f t="shared" ca="1" si="155"/>
        <v>0</v>
      </c>
      <c r="BE59" s="1038">
        <f t="shared" ca="1" si="155"/>
        <v>0</v>
      </c>
      <c r="BF59" s="979">
        <f t="shared" ca="1" si="159"/>
        <v>-5.3297280000000011</v>
      </c>
      <c r="BG59" s="743"/>
      <c r="BH59" s="1032">
        <f t="shared" ca="1" si="160"/>
        <v>0</v>
      </c>
      <c r="BI59" s="1032">
        <f t="shared" ca="1" si="160"/>
        <v>0</v>
      </c>
      <c r="BJ59" s="1034">
        <f t="shared" ca="1" si="161"/>
        <v>0</v>
      </c>
      <c r="BK59" s="743"/>
      <c r="BL59" s="814">
        <f t="shared" ca="1" si="152"/>
        <v>0</v>
      </c>
      <c r="BM59" s="814"/>
      <c r="BN59" s="840"/>
      <c r="BO59" s="1481">
        <f t="shared" ca="1" si="162"/>
        <v>0</v>
      </c>
      <c r="BP59" s="1482">
        <f t="shared" ca="1" si="162"/>
        <v>0</v>
      </c>
      <c r="BQ59" s="1482">
        <f t="shared" ca="1" si="162"/>
        <v>0</v>
      </c>
      <c r="BR59" s="1482">
        <f t="shared" ca="1" si="162"/>
        <v>0</v>
      </c>
      <c r="BS59" s="1482">
        <f t="shared" ca="1" si="162"/>
        <v>0</v>
      </c>
      <c r="BT59" s="1482">
        <f t="shared" ca="1" si="162"/>
        <v>0</v>
      </c>
      <c r="BU59" s="1482">
        <f t="shared" ca="1" si="162"/>
        <v>0</v>
      </c>
      <c r="BV59" s="1482">
        <f t="shared" ca="1" si="162"/>
        <v>0</v>
      </c>
      <c r="BW59" s="1482">
        <f t="shared" ca="1" si="162"/>
        <v>0</v>
      </c>
      <c r="BX59" s="1482">
        <f t="shared" ca="1" si="162"/>
        <v>0</v>
      </c>
      <c r="BY59" s="1482">
        <f t="shared" ca="1" si="163"/>
        <v>0</v>
      </c>
      <c r="BZ59" s="1482">
        <f t="shared" ca="1" si="163"/>
        <v>0</v>
      </c>
      <c r="CA59" s="1482">
        <f t="shared" ca="1" si="163"/>
        <v>0</v>
      </c>
      <c r="CB59" s="1482">
        <f t="shared" ca="1" si="163"/>
        <v>0</v>
      </c>
      <c r="CC59" s="1482">
        <f t="shared" ca="1" si="163"/>
        <v>0</v>
      </c>
      <c r="CD59" s="1482">
        <f t="shared" ca="1" si="163"/>
        <v>0</v>
      </c>
      <c r="CE59" s="1482">
        <f t="shared" ca="1" si="163"/>
        <v>0</v>
      </c>
      <c r="CF59" s="1482">
        <f t="shared" ca="1" si="163"/>
        <v>0</v>
      </c>
      <c r="CG59" s="1482">
        <f t="shared" ca="1" si="163"/>
        <v>0</v>
      </c>
      <c r="CH59" s="1482">
        <f t="shared" ca="1" si="163"/>
        <v>0</v>
      </c>
      <c r="CI59" s="1482">
        <f t="shared" ca="1" si="164"/>
        <v>0</v>
      </c>
      <c r="CJ59" s="1482">
        <f t="shared" ca="1" si="164"/>
        <v>0</v>
      </c>
      <c r="CK59" s="1482">
        <f t="shared" ca="1" si="164"/>
        <v>0</v>
      </c>
      <c r="CL59" s="1482">
        <f t="shared" ca="1" si="164"/>
        <v>0</v>
      </c>
      <c r="CM59" s="1482">
        <f t="shared" ca="1" si="164"/>
        <v>0</v>
      </c>
      <c r="CN59" s="1482">
        <f t="shared" ca="1" si="164"/>
        <v>0</v>
      </c>
      <c r="CO59" s="1482">
        <f t="shared" ca="1" si="164"/>
        <v>0</v>
      </c>
      <c r="CP59" s="1482">
        <f t="shared" ca="1" si="164"/>
        <v>0</v>
      </c>
      <c r="CQ59" s="1482">
        <f t="shared" ca="1" si="164"/>
        <v>0</v>
      </c>
      <c r="CR59" s="1482">
        <f t="shared" ca="1" si="164"/>
        <v>0</v>
      </c>
      <c r="CS59" s="1482">
        <f t="shared" ca="1" si="165"/>
        <v>0</v>
      </c>
      <c r="CT59" s="1482">
        <f t="shared" ca="1" si="165"/>
        <v>0</v>
      </c>
      <c r="CU59" s="1482">
        <f t="shared" ca="1" si="165"/>
        <v>0</v>
      </c>
      <c r="CV59" s="1482">
        <f t="shared" ca="1" si="165"/>
        <v>0</v>
      </c>
      <c r="CW59" s="1482">
        <f t="shared" ca="1" si="165"/>
        <v>0</v>
      </c>
      <c r="CX59" s="1482">
        <f t="shared" ca="1" si="165"/>
        <v>0</v>
      </c>
      <c r="CY59" s="1482">
        <f t="shared" ca="1" si="165"/>
        <v>0</v>
      </c>
      <c r="CZ59" s="1482">
        <f t="shared" ca="1" si="165"/>
        <v>0</v>
      </c>
      <c r="DA59" s="1482">
        <f t="shared" ca="1" si="165"/>
        <v>0</v>
      </c>
      <c r="DB59" s="1482">
        <f t="shared" ca="1" si="165"/>
        <v>0</v>
      </c>
      <c r="DC59" s="1482">
        <f t="shared" ca="1" si="165"/>
        <v>0</v>
      </c>
      <c r="DD59" s="1482">
        <f t="shared" ca="1" si="165"/>
        <v>0</v>
      </c>
      <c r="DE59" s="1482">
        <f t="shared" ca="1" si="165"/>
        <v>0</v>
      </c>
      <c r="DF59" s="1482">
        <f t="shared" ca="1" si="165"/>
        <v>0</v>
      </c>
      <c r="DH59" s="838">
        <f t="shared" ca="1" si="123"/>
        <v>0</v>
      </c>
    </row>
    <row r="60" spans="1:112" s="1484" customFormat="1" ht="12.75" hidden="1" customHeight="1" outlineLevel="1">
      <c r="C60" s="746" t="s">
        <v>808</v>
      </c>
      <c r="D60" s="521" t="str">
        <f>INDEX(Modules[Module], MATCH($C60, Modules[Code], 0))</f>
        <v>Wave and Tidal</v>
      </c>
      <c r="E60" s="521"/>
      <c r="F60" s="743"/>
      <c r="G60" s="1017">
        <f t="shared" ca="1" si="153"/>
        <v>0</v>
      </c>
      <c r="H60" s="1017">
        <f t="shared" ca="1" si="153"/>
        <v>0</v>
      </c>
      <c r="I60" s="1017">
        <f t="shared" ca="1" si="153"/>
        <v>0</v>
      </c>
      <c r="J60" s="1017">
        <f t="shared" ca="1" si="153"/>
        <v>0</v>
      </c>
      <c r="K60" s="1017">
        <f t="shared" ca="1" si="153"/>
        <v>0</v>
      </c>
      <c r="L60" s="1017">
        <f t="shared" ca="1" si="153"/>
        <v>0</v>
      </c>
      <c r="M60" s="1017">
        <f t="shared" ca="1" si="153"/>
        <v>0</v>
      </c>
      <c r="N60" s="1017">
        <f t="shared" ca="1" si="153"/>
        <v>0</v>
      </c>
      <c r="O60" s="1017">
        <f t="shared" ca="1" si="153"/>
        <v>0</v>
      </c>
      <c r="P60" s="1017">
        <f t="shared" ca="1" si="153"/>
        <v>0</v>
      </c>
      <c r="Q60" s="1019">
        <f t="shared" ca="1" si="154"/>
        <v>0</v>
      </c>
      <c r="R60" s="743"/>
      <c r="S60" s="1026">
        <f t="shared" ca="1" si="155"/>
        <v>0</v>
      </c>
      <c r="T60" s="1026">
        <f t="shared" ca="1" si="155"/>
        <v>0</v>
      </c>
      <c r="U60" s="1026">
        <f t="shared" ca="1" si="155"/>
        <v>0</v>
      </c>
      <c r="V60" s="1026">
        <f t="shared" ca="1" si="155"/>
        <v>0</v>
      </c>
      <c r="W60" s="1026">
        <f t="shared" ca="1" si="155"/>
        <v>0</v>
      </c>
      <c r="X60" s="1026">
        <f t="shared" ca="1" si="156"/>
        <v>0</v>
      </c>
      <c r="Y60" s="1026">
        <f t="shared" ca="1" si="156"/>
        <v>0</v>
      </c>
      <c r="Z60" s="1026">
        <f t="shared" ca="1" si="156"/>
        <v>0</v>
      </c>
      <c r="AA60" s="1026">
        <f t="shared" ca="1" si="155"/>
        <v>0</v>
      </c>
      <c r="AB60" s="1026">
        <f t="shared" ca="1" si="155"/>
        <v>0</v>
      </c>
      <c r="AC60" s="1026">
        <f t="shared" ca="1" si="155"/>
        <v>0</v>
      </c>
      <c r="AD60" s="1026">
        <f t="shared" ca="1" si="155"/>
        <v>0</v>
      </c>
      <c r="AE60" s="1026">
        <f t="shared" ca="1" si="155"/>
        <v>0</v>
      </c>
      <c r="AF60" s="1026">
        <f t="shared" ca="1" si="155"/>
        <v>0</v>
      </c>
      <c r="AG60" s="1026">
        <f t="shared" ca="1" si="155"/>
        <v>0</v>
      </c>
      <c r="AH60" s="1026">
        <f t="shared" ca="1" si="155"/>
        <v>0</v>
      </c>
      <c r="AI60" s="1026">
        <f t="shared" ca="1" si="155"/>
        <v>0</v>
      </c>
      <c r="AJ60" s="1026">
        <f t="shared" ca="1" si="155"/>
        <v>0</v>
      </c>
      <c r="AK60" s="1027">
        <f t="shared" ca="1" si="157"/>
        <v>0</v>
      </c>
      <c r="AL60" s="743"/>
      <c r="AM60" s="1038">
        <f t="shared" ca="1" si="158"/>
        <v>0</v>
      </c>
      <c r="AN60" s="1038">
        <f t="shared" ca="1" si="158"/>
        <v>0</v>
      </c>
      <c r="AO60" s="1038">
        <f t="shared" ca="1" si="158"/>
        <v>0</v>
      </c>
      <c r="AP60" s="1038">
        <f t="shared" ca="1" si="158"/>
        <v>0</v>
      </c>
      <c r="AQ60" s="1038">
        <f t="shared" ca="1" si="158"/>
        <v>0</v>
      </c>
      <c r="AR60" s="1038">
        <f t="shared" ca="1" si="158"/>
        <v>0</v>
      </c>
      <c r="AS60" s="1038">
        <f t="shared" ca="1" si="158"/>
        <v>0</v>
      </c>
      <c r="AT60" s="1038">
        <f t="shared" ca="1" si="158"/>
        <v>0</v>
      </c>
      <c r="AU60" s="1038">
        <f t="shared" ca="1" si="158"/>
        <v>0</v>
      </c>
      <c r="AV60" s="1038">
        <f t="shared" ca="1" si="155"/>
        <v>0</v>
      </c>
      <c r="AW60" s="1038">
        <f t="shared" ca="1" si="155"/>
        <v>0</v>
      </c>
      <c r="AX60" s="1038">
        <f t="shared" ca="1" si="155"/>
        <v>0</v>
      </c>
      <c r="AY60" s="1038">
        <f t="shared" ca="1" si="155"/>
        <v>0</v>
      </c>
      <c r="AZ60" s="1038">
        <f t="shared" ca="1" si="155"/>
        <v>0</v>
      </c>
      <c r="BA60" s="1038">
        <f t="shared" ca="1" si="155"/>
        <v>0</v>
      </c>
      <c r="BB60" s="1038">
        <f t="shared" ca="1" si="155"/>
        <v>0</v>
      </c>
      <c r="BC60" s="1038">
        <f t="shared" ca="1" si="155"/>
        <v>0</v>
      </c>
      <c r="BD60" s="1038">
        <f t="shared" ca="1" si="155"/>
        <v>0</v>
      </c>
      <c r="BE60" s="1038">
        <f t="shared" ca="1" si="155"/>
        <v>0</v>
      </c>
      <c r="BF60" s="979">
        <f t="shared" ca="1" si="159"/>
        <v>0</v>
      </c>
      <c r="BG60" s="743"/>
      <c r="BH60" s="1032">
        <f t="shared" ca="1" si="160"/>
        <v>0</v>
      </c>
      <c r="BI60" s="1032">
        <f t="shared" ca="1" si="160"/>
        <v>0</v>
      </c>
      <c r="BJ60" s="1034">
        <f t="shared" ca="1" si="161"/>
        <v>0</v>
      </c>
      <c r="BK60" s="743"/>
      <c r="BL60" s="814">
        <f t="shared" ca="1" si="152"/>
        <v>0</v>
      </c>
      <c r="BM60" s="814"/>
      <c r="BN60" s="840"/>
      <c r="BO60" s="1481">
        <f t="shared" ca="1" si="162"/>
        <v>0</v>
      </c>
      <c r="BP60" s="1482">
        <f t="shared" ca="1" si="162"/>
        <v>0</v>
      </c>
      <c r="BQ60" s="1482">
        <f t="shared" ca="1" si="162"/>
        <v>0</v>
      </c>
      <c r="BR60" s="1482">
        <f t="shared" ca="1" si="162"/>
        <v>0</v>
      </c>
      <c r="BS60" s="1482">
        <f t="shared" ca="1" si="162"/>
        <v>0</v>
      </c>
      <c r="BT60" s="1482">
        <f t="shared" ca="1" si="162"/>
        <v>0</v>
      </c>
      <c r="BU60" s="1482">
        <f t="shared" ca="1" si="162"/>
        <v>0</v>
      </c>
      <c r="BV60" s="1482">
        <f t="shared" ca="1" si="162"/>
        <v>0</v>
      </c>
      <c r="BW60" s="1482">
        <f t="shared" ca="1" si="162"/>
        <v>0</v>
      </c>
      <c r="BX60" s="1482">
        <f t="shared" ca="1" si="162"/>
        <v>0</v>
      </c>
      <c r="BY60" s="1482">
        <f t="shared" ca="1" si="163"/>
        <v>0</v>
      </c>
      <c r="BZ60" s="1482">
        <f t="shared" ca="1" si="163"/>
        <v>0</v>
      </c>
      <c r="CA60" s="1482">
        <f t="shared" ca="1" si="163"/>
        <v>0</v>
      </c>
      <c r="CB60" s="1482">
        <f t="shared" ca="1" si="163"/>
        <v>0</v>
      </c>
      <c r="CC60" s="1482">
        <f t="shared" ca="1" si="163"/>
        <v>0</v>
      </c>
      <c r="CD60" s="1482">
        <f t="shared" ca="1" si="163"/>
        <v>0</v>
      </c>
      <c r="CE60" s="1482">
        <f t="shared" ca="1" si="163"/>
        <v>0</v>
      </c>
      <c r="CF60" s="1482">
        <f t="shared" ca="1" si="163"/>
        <v>0</v>
      </c>
      <c r="CG60" s="1482">
        <f t="shared" ca="1" si="163"/>
        <v>0</v>
      </c>
      <c r="CH60" s="1482">
        <f t="shared" ca="1" si="163"/>
        <v>0</v>
      </c>
      <c r="CI60" s="1482">
        <f t="shared" ca="1" si="164"/>
        <v>0</v>
      </c>
      <c r="CJ60" s="1482">
        <f t="shared" ca="1" si="164"/>
        <v>0</v>
      </c>
      <c r="CK60" s="1482">
        <f t="shared" ca="1" si="164"/>
        <v>0</v>
      </c>
      <c r="CL60" s="1482">
        <f t="shared" ca="1" si="164"/>
        <v>0</v>
      </c>
      <c r="CM60" s="1482">
        <f t="shared" ca="1" si="164"/>
        <v>0</v>
      </c>
      <c r="CN60" s="1482">
        <f t="shared" ca="1" si="164"/>
        <v>0</v>
      </c>
      <c r="CO60" s="1482">
        <f t="shared" ca="1" si="164"/>
        <v>0</v>
      </c>
      <c r="CP60" s="1482">
        <f t="shared" ca="1" si="164"/>
        <v>0</v>
      </c>
      <c r="CQ60" s="1482">
        <f t="shared" ca="1" si="164"/>
        <v>0</v>
      </c>
      <c r="CR60" s="1482">
        <f t="shared" ca="1" si="164"/>
        <v>0</v>
      </c>
      <c r="CS60" s="1482">
        <f t="shared" ca="1" si="165"/>
        <v>0</v>
      </c>
      <c r="CT60" s="1482">
        <f t="shared" ca="1" si="165"/>
        <v>0</v>
      </c>
      <c r="CU60" s="1482">
        <f t="shared" ca="1" si="165"/>
        <v>0</v>
      </c>
      <c r="CV60" s="1482">
        <f t="shared" ca="1" si="165"/>
        <v>0</v>
      </c>
      <c r="CW60" s="1482">
        <f t="shared" ca="1" si="165"/>
        <v>0</v>
      </c>
      <c r="CX60" s="1482">
        <f t="shared" ca="1" si="165"/>
        <v>0</v>
      </c>
      <c r="CY60" s="1482">
        <f t="shared" ca="1" si="165"/>
        <v>0</v>
      </c>
      <c r="CZ60" s="1482">
        <f t="shared" ca="1" si="165"/>
        <v>0</v>
      </c>
      <c r="DA60" s="1482">
        <f t="shared" ca="1" si="165"/>
        <v>0</v>
      </c>
      <c r="DB60" s="1482">
        <f t="shared" ca="1" si="165"/>
        <v>0</v>
      </c>
      <c r="DC60" s="1482">
        <f t="shared" ca="1" si="165"/>
        <v>0</v>
      </c>
      <c r="DD60" s="1482">
        <f t="shared" ca="1" si="165"/>
        <v>0</v>
      </c>
      <c r="DE60" s="1482">
        <f t="shared" ca="1" si="165"/>
        <v>0</v>
      </c>
      <c r="DF60" s="1482">
        <f t="shared" ca="1" si="165"/>
        <v>0</v>
      </c>
      <c r="DH60" s="838">
        <f t="shared" ca="1" si="123"/>
        <v>0</v>
      </c>
    </row>
    <row r="61" spans="1:112" s="1484" customFormat="1" ht="12.75" hidden="1" customHeight="1" outlineLevel="1">
      <c r="C61" s="746" t="s">
        <v>809</v>
      </c>
      <c r="D61" s="521" t="str">
        <f>INDEX(Modules[Module], MATCH($C61, Modules[Code], 0))</f>
        <v>Geothermal</v>
      </c>
      <c r="E61" s="521"/>
      <c r="F61" s="743"/>
      <c r="G61" s="1017">
        <f t="shared" ca="1" si="153"/>
        <v>0</v>
      </c>
      <c r="H61" s="1017">
        <f t="shared" ca="1" si="153"/>
        <v>0</v>
      </c>
      <c r="I61" s="1017">
        <f t="shared" ca="1" si="153"/>
        <v>0</v>
      </c>
      <c r="J61" s="1017">
        <f t="shared" ca="1" si="153"/>
        <v>0</v>
      </c>
      <c r="K61" s="1017">
        <f t="shared" ca="1" si="153"/>
        <v>0</v>
      </c>
      <c r="L61" s="1017">
        <f t="shared" ca="1" si="153"/>
        <v>0</v>
      </c>
      <c r="M61" s="1017">
        <f t="shared" ca="1" si="153"/>
        <v>0</v>
      </c>
      <c r="N61" s="1017">
        <f t="shared" ca="1" si="153"/>
        <v>0</v>
      </c>
      <c r="O61" s="1017">
        <f t="shared" ca="1" si="153"/>
        <v>0</v>
      </c>
      <c r="P61" s="1017">
        <f t="shared" ca="1" si="153"/>
        <v>0</v>
      </c>
      <c r="Q61" s="1019">
        <f t="shared" ca="1" si="154"/>
        <v>0</v>
      </c>
      <c r="R61" s="743"/>
      <c r="S61" s="1026">
        <f t="shared" ca="1" si="155"/>
        <v>0</v>
      </c>
      <c r="T61" s="1026">
        <f t="shared" ca="1" si="155"/>
        <v>0</v>
      </c>
      <c r="U61" s="1026">
        <f t="shared" ca="1" si="155"/>
        <v>0</v>
      </c>
      <c r="V61" s="1026">
        <f t="shared" ca="1" si="155"/>
        <v>0</v>
      </c>
      <c r="W61" s="1026">
        <f t="shared" ca="1" si="155"/>
        <v>0</v>
      </c>
      <c r="X61" s="1026">
        <f t="shared" ca="1" si="156"/>
        <v>0</v>
      </c>
      <c r="Y61" s="1026">
        <f t="shared" ca="1" si="156"/>
        <v>0</v>
      </c>
      <c r="Z61" s="1026">
        <f t="shared" ca="1" si="156"/>
        <v>0</v>
      </c>
      <c r="AA61" s="1026">
        <f t="shared" ca="1" si="155"/>
        <v>0</v>
      </c>
      <c r="AB61" s="1026">
        <f t="shared" ca="1" si="155"/>
        <v>0</v>
      </c>
      <c r="AC61" s="1026">
        <f t="shared" ca="1" si="155"/>
        <v>0</v>
      </c>
      <c r="AD61" s="1026">
        <f t="shared" ca="1" si="155"/>
        <v>0</v>
      </c>
      <c r="AE61" s="1026">
        <f t="shared" ca="1" si="155"/>
        <v>0</v>
      </c>
      <c r="AF61" s="1026">
        <f t="shared" ca="1" si="155"/>
        <v>0</v>
      </c>
      <c r="AG61" s="1026">
        <f t="shared" ca="1" si="155"/>
        <v>0</v>
      </c>
      <c r="AH61" s="1026">
        <f t="shared" ca="1" si="155"/>
        <v>0</v>
      </c>
      <c r="AI61" s="1026">
        <f t="shared" ca="1" si="155"/>
        <v>0</v>
      </c>
      <c r="AJ61" s="1026">
        <f t="shared" ca="1" si="155"/>
        <v>0</v>
      </c>
      <c r="AK61" s="1027">
        <f t="shared" ca="1" si="157"/>
        <v>0</v>
      </c>
      <c r="AL61" s="743"/>
      <c r="AM61" s="1038">
        <f t="shared" ca="1" si="158"/>
        <v>0</v>
      </c>
      <c r="AN61" s="1038">
        <f t="shared" ca="1" si="158"/>
        <v>0</v>
      </c>
      <c r="AO61" s="1038">
        <f t="shared" ca="1" si="158"/>
        <v>0</v>
      </c>
      <c r="AP61" s="1038">
        <f t="shared" ca="1" si="158"/>
        <v>0</v>
      </c>
      <c r="AQ61" s="1038">
        <f t="shared" ca="1" si="158"/>
        <v>0</v>
      </c>
      <c r="AR61" s="1038">
        <f t="shared" ca="1" si="158"/>
        <v>0</v>
      </c>
      <c r="AS61" s="1038">
        <f t="shared" ca="1" si="158"/>
        <v>0</v>
      </c>
      <c r="AT61" s="1038">
        <f t="shared" ca="1" si="158"/>
        <v>0</v>
      </c>
      <c r="AU61" s="1038">
        <f t="shared" ca="1" si="158"/>
        <v>0</v>
      </c>
      <c r="AV61" s="1038">
        <f t="shared" ca="1" si="155"/>
        <v>0</v>
      </c>
      <c r="AW61" s="1038">
        <f t="shared" ca="1" si="155"/>
        <v>0</v>
      </c>
      <c r="AX61" s="1038">
        <f t="shared" ca="1" si="155"/>
        <v>0</v>
      </c>
      <c r="AY61" s="1038">
        <f t="shared" ca="1" si="155"/>
        <v>0</v>
      </c>
      <c r="AZ61" s="1038">
        <f t="shared" ca="1" si="155"/>
        <v>0</v>
      </c>
      <c r="BA61" s="1038">
        <f t="shared" ca="1" si="155"/>
        <v>0</v>
      </c>
      <c r="BB61" s="1038">
        <f t="shared" ca="1" si="155"/>
        <v>0</v>
      </c>
      <c r="BC61" s="1038">
        <f t="shared" ca="1" si="155"/>
        <v>0</v>
      </c>
      <c r="BD61" s="1038">
        <f t="shared" ca="1" si="155"/>
        <v>0</v>
      </c>
      <c r="BE61" s="1038">
        <f t="shared" ca="1" si="155"/>
        <v>0</v>
      </c>
      <c r="BF61" s="979">
        <f t="shared" ca="1" si="159"/>
        <v>0</v>
      </c>
      <c r="BG61" s="743"/>
      <c r="BH61" s="1032">
        <f t="shared" ca="1" si="160"/>
        <v>0</v>
      </c>
      <c r="BI61" s="1032">
        <f t="shared" ca="1" si="160"/>
        <v>0</v>
      </c>
      <c r="BJ61" s="1034">
        <f t="shared" ca="1" si="161"/>
        <v>0</v>
      </c>
      <c r="BK61" s="743"/>
      <c r="BL61" s="814">
        <f t="shared" ca="1" si="152"/>
        <v>0</v>
      </c>
      <c r="BM61" s="814"/>
      <c r="BN61" s="840"/>
      <c r="BO61" s="1481">
        <f t="shared" ca="1" si="162"/>
        <v>0</v>
      </c>
      <c r="BP61" s="1482">
        <f t="shared" ca="1" si="162"/>
        <v>0</v>
      </c>
      <c r="BQ61" s="1482">
        <f t="shared" ca="1" si="162"/>
        <v>0</v>
      </c>
      <c r="BR61" s="1482">
        <f t="shared" ca="1" si="162"/>
        <v>0</v>
      </c>
      <c r="BS61" s="1482">
        <f t="shared" ca="1" si="162"/>
        <v>0</v>
      </c>
      <c r="BT61" s="1482">
        <f t="shared" ca="1" si="162"/>
        <v>0</v>
      </c>
      <c r="BU61" s="1482">
        <f t="shared" ca="1" si="162"/>
        <v>0</v>
      </c>
      <c r="BV61" s="1482">
        <f t="shared" ca="1" si="162"/>
        <v>0</v>
      </c>
      <c r="BW61" s="1482">
        <f t="shared" ca="1" si="162"/>
        <v>0</v>
      </c>
      <c r="BX61" s="1482">
        <f t="shared" ca="1" si="162"/>
        <v>0</v>
      </c>
      <c r="BY61" s="1482">
        <f t="shared" ca="1" si="163"/>
        <v>0</v>
      </c>
      <c r="BZ61" s="1482">
        <f t="shared" ca="1" si="163"/>
        <v>0</v>
      </c>
      <c r="CA61" s="1482">
        <f t="shared" ca="1" si="163"/>
        <v>0</v>
      </c>
      <c r="CB61" s="1482">
        <f t="shared" ca="1" si="163"/>
        <v>0</v>
      </c>
      <c r="CC61" s="1482">
        <f t="shared" ca="1" si="163"/>
        <v>0</v>
      </c>
      <c r="CD61" s="1482">
        <f t="shared" ca="1" si="163"/>
        <v>0</v>
      </c>
      <c r="CE61" s="1482">
        <f t="shared" ca="1" si="163"/>
        <v>0</v>
      </c>
      <c r="CF61" s="1482">
        <f t="shared" ca="1" si="163"/>
        <v>0</v>
      </c>
      <c r="CG61" s="1482">
        <f t="shared" ca="1" si="163"/>
        <v>0</v>
      </c>
      <c r="CH61" s="1482">
        <f t="shared" ca="1" si="163"/>
        <v>0</v>
      </c>
      <c r="CI61" s="1482">
        <f t="shared" ca="1" si="164"/>
        <v>0</v>
      </c>
      <c r="CJ61" s="1482">
        <f t="shared" ca="1" si="164"/>
        <v>0</v>
      </c>
      <c r="CK61" s="1482">
        <f t="shared" ca="1" si="164"/>
        <v>0</v>
      </c>
      <c r="CL61" s="1482">
        <f t="shared" ca="1" si="164"/>
        <v>0</v>
      </c>
      <c r="CM61" s="1482">
        <f t="shared" ca="1" si="164"/>
        <v>0</v>
      </c>
      <c r="CN61" s="1482">
        <f t="shared" ca="1" si="164"/>
        <v>0</v>
      </c>
      <c r="CO61" s="1482">
        <f t="shared" ca="1" si="164"/>
        <v>0</v>
      </c>
      <c r="CP61" s="1482">
        <f t="shared" ca="1" si="164"/>
        <v>0</v>
      </c>
      <c r="CQ61" s="1482">
        <f t="shared" ca="1" si="164"/>
        <v>0</v>
      </c>
      <c r="CR61" s="1482">
        <f t="shared" ca="1" si="164"/>
        <v>0</v>
      </c>
      <c r="CS61" s="1482">
        <f t="shared" ca="1" si="165"/>
        <v>0</v>
      </c>
      <c r="CT61" s="1482">
        <f t="shared" ca="1" si="165"/>
        <v>0</v>
      </c>
      <c r="CU61" s="1482">
        <f t="shared" ca="1" si="165"/>
        <v>0</v>
      </c>
      <c r="CV61" s="1482">
        <f t="shared" ca="1" si="165"/>
        <v>0</v>
      </c>
      <c r="CW61" s="1482">
        <f t="shared" ca="1" si="165"/>
        <v>0</v>
      </c>
      <c r="CX61" s="1482">
        <f t="shared" ca="1" si="165"/>
        <v>0</v>
      </c>
      <c r="CY61" s="1482">
        <f t="shared" ca="1" si="165"/>
        <v>0</v>
      </c>
      <c r="CZ61" s="1482">
        <f t="shared" ca="1" si="165"/>
        <v>0</v>
      </c>
      <c r="DA61" s="1482">
        <f t="shared" ca="1" si="165"/>
        <v>0</v>
      </c>
      <c r="DB61" s="1482">
        <f t="shared" ca="1" si="165"/>
        <v>0</v>
      </c>
      <c r="DC61" s="1482">
        <f t="shared" ca="1" si="165"/>
        <v>0</v>
      </c>
      <c r="DD61" s="1482">
        <f t="shared" ca="1" si="165"/>
        <v>0</v>
      </c>
      <c r="DE61" s="1482">
        <f t="shared" ca="1" si="165"/>
        <v>0</v>
      </c>
      <c r="DF61" s="1482">
        <f t="shared" ca="1" si="165"/>
        <v>0</v>
      </c>
      <c r="DH61" s="838">
        <f t="shared" ca="1" si="123"/>
        <v>0</v>
      </c>
    </row>
    <row r="62" spans="1:112" s="743" customFormat="1" ht="12.75" hidden="1" customHeight="1" outlineLevel="1">
      <c r="A62" s="1484"/>
      <c r="B62" s="1484"/>
      <c r="C62" s="746" t="s">
        <v>810</v>
      </c>
      <c r="D62" s="1010" t="str">
        <f>INDEX(Modules[Module], MATCH($C62, Modules[Code], 0))</f>
        <v>Tidal [UNUSED - See III.c]</v>
      </c>
      <c r="E62" s="1010"/>
      <c r="G62" s="1022">
        <f t="shared" ca="1" si="153"/>
        <v>0</v>
      </c>
      <c r="H62" s="1022">
        <f t="shared" ca="1" si="153"/>
        <v>0</v>
      </c>
      <c r="I62" s="1022">
        <f t="shared" ca="1" si="153"/>
        <v>0</v>
      </c>
      <c r="J62" s="1022">
        <f t="shared" ca="1" si="153"/>
        <v>0</v>
      </c>
      <c r="K62" s="1022">
        <f t="shared" ca="1" si="153"/>
        <v>0</v>
      </c>
      <c r="L62" s="1022">
        <f t="shared" ca="1" si="153"/>
        <v>0</v>
      </c>
      <c r="M62" s="1022">
        <f t="shared" ca="1" si="153"/>
        <v>0</v>
      </c>
      <c r="N62" s="1022">
        <f t="shared" ca="1" si="153"/>
        <v>0</v>
      </c>
      <c r="O62" s="1022">
        <f t="shared" ca="1" si="153"/>
        <v>0</v>
      </c>
      <c r="P62" s="1022">
        <f t="shared" ca="1" si="153"/>
        <v>0</v>
      </c>
      <c r="Q62" s="1020">
        <f t="shared" ca="1" si="154"/>
        <v>0</v>
      </c>
      <c r="S62" s="1031">
        <f t="shared" ca="1" si="155"/>
        <v>0</v>
      </c>
      <c r="T62" s="1031">
        <f t="shared" ca="1" si="155"/>
        <v>0</v>
      </c>
      <c r="U62" s="1031">
        <f t="shared" ca="1" si="155"/>
        <v>0</v>
      </c>
      <c r="V62" s="1031">
        <f t="shared" ca="1" si="155"/>
        <v>0</v>
      </c>
      <c r="W62" s="1031">
        <f t="shared" ca="1" si="155"/>
        <v>0</v>
      </c>
      <c r="X62" s="1031">
        <f t="shared" ca="1" si="156"/>
        <v>0</v>
      </c>
      <c r="Y62" s="1031">
        <f t="shared" ca="1" si="156"/>
        <v>0</v>
      </c>
      <c r="Z62" s="1031">
        <f t="shared" ca="1" si="156"/>
        <v>0</v>
      </c>
      <c r="AA62" s="1031">
        <f t="shared" ca="1" si="155"/>
        <v>0</v>
      </c>
      <c r="AB62" s="1031">
        <f t="shared" ca="1" si="155"/>
        <v>0</v>
      </c>
      <c r="AC62" s="1031">
        <f t="shared" ca="1" si="155"/>
        <v>0</v>
      </c>
      <c r="AD62" s="1031">
        <f t="shared" ca="1" si="155"/>
        <v>0</v>
      </c>
      <c r="AE62" s="1031">
        <f t="shared" ca="1" si="155"/>
        <v>0</v>
      </c>
      <c r="AF62" s="1031">
        <f t="shared" ca="1" si="155"/>
        <v>0</v>
      </c>
      <c r="AG62" s="1031">
        <f t="shared" ca="1" si="155"/>
        <v>0</v>
      </c>
      <c r="AH62" s="1031">
        <f t="shared" ca="1" si="155"/>
        <v>0</v>
      </c>
      <c r="AI62" s="1031">
        <f t="shared" ca="1" si="155"/>
        <v>0</v>
      </c>
      <c r="AJ62" s="1031">
        <f t="shared" ca="1" si="155"/>
        <v>0</v>
      </c>
      <c r="AK62" s="1030">
        <f t="shared" ca="1" si="157"/>
        <v>0</v>
      </c>
      <c r="AM62" s="1042">
        <f t="shared" ca="1" si="158"/>
        <v>0</v>
      </c>
      <c r="AN62" s="1042">
        <f t="shared" ca="1" si="158"/>
        <v>0</v>
      </c>
      <c r="AO62" s="1042">
        <f t="shared" ca="1" si="158"/>
        <v>0</v>
      </c>
      <c r="AP62" s="1042">
        <f t="shared" ca="1" si="158"/>
        <v>0</v>
      </c>
      <c r="AQ62" s="1042">
        <f t="shared" ca="1" si="158"/>
        <v>0</v>
      </c>
      <c r="AR62" s="1042">
        <f t="shared" ca="1" si="158"/>
        <v>0</v>
      </c>
      <c r="AS62" s="1042">
        <f t="shared" ca="1" si="158"/>
        <v>0</v>
      </c>
      <c r="AT62" s="1042">
        <f t="shared" ca="1" si="158"/>
        <v>0</v>
      </c>
      <c r="AU62" s="1042">
        <f t="shared" ca="1" si="158"/>
        <v>0</v>
      </c>
      <c r="AV62" s="1042">
        <f t="shared" ca="1" si="155"/>
        <v>0</v>
      </c>
      <c r="AW62" s="1042">
        <f t="shared" ca="1" si="155"/>
        <v>0</v>
      </c>
      <c r="AX62" s="1042">
        <f t="shared" ca="1" si="155"/>
        <v>0</v>
      </c>
      <c r="AY62" s="1042">
        <f t="shared" ca="1" si="155"/>
        <v>0</v>
      </c>
      <c r="AZ62" s="1042">
        <f t="shared" ca="1" si="155"/>
        <v>0</v>
      </c>
      <c r="BA62" s="1042">
        <f t="shared" ca="1" si="155"/>
        <v>0</v>
      </c>
      <c r="BB62" s="1042">
        <f t="shared" ca="1" si="155"/>
        <v>0</v>
      </c>
      <c r="BC62" s="1042">
        <f t="shared" ca="1" si="155"/>
        <v>0</v>
      </c>
      <c r="BD62" s="1042">
        <f t="shared" ca="1" si="155"/>
        <v>0</v>
      </c>
      <c r="BE62" s="1042">
        <f t="shared" ca="1" si="155"/>
        <v>0</v>
      </c>
      <c r="BF62" s="1012">
        <f t="shared" ca="1" si="159"/>
        <v>0</v>
      </c>
      <c r="BH62" s="1036">
        <f t="shared" ca="1" si="160"/>
        <v>0</v>
      </c>
      <c r="BI62" s="1036">
        <f t="shared" ca="1" si="160"/>
        <v>0</v>
      </c>
      <c r="BJ62" s="1035">
        <f t="shared" ca="1" si="161"/>
        <v>0</v>
      </c>
      <c r="BL62" s="814">
        <f t="shared" ca="1" si="152"/>
        <v>0</v>
      </c>
      <c r="BM62" s="814"/>
      <c r="BN62" s="840"/>
      <c r="BO62" s="1485">
        <f t="shared" ca="1" si="162"/>
        <v>0</v>
      </c>
      <c r="BP62" s="1486">
        <f t="shared" ca="1" si="162"/>
        <v>0</v>
      </c>
      <c r="BQ62" s="1486">
        <f t="shared" ca="1" si="162"/>
        <v>0</v>
      </c>
      <c r="BR62" s="1486">
        <f t="shared" ca="1" si="162"/>
        <v>0</v>
      </c>
      <c r="BS62" s="1486">
        <f t="shared" ca="1" si="162"/>
        <v>0</v>
      </c>
      <c r="BT62" s="1486">
        <f t="shared" ca="1" si="162"/>
        <v>0</v>
      </c>
      <c r="BU62" s="1486">
        <f t="shared" ca="1" si="162"/>
        <v>0</v>
      </c>
      <c r="BV62" s="1486">
        <f t="shared" ca="1" si="162"/>
        <v>0</v>
      </c>
      <c r="BW62" s="1486">
        <f t="shared" ca="1" si="162"/>
        <v>0</v>
      </c>
      <c r="BX62" s="1486">
        <f t="shared" ca="1" si="162"/>
        <v>0</v>
      </c>
      <c r="BY62" s="1486">
        <f t="shared" ca="1" si="163"/>
        <v>0</v>
      </c>
      <c r="BZ62" s="1486">
        <f t="shared" ca="1" si="163"/>
        <v>0</v>
      </c>
      <c r="CA62" s="1486">
        <f t="shared" ca="1" si="163"/>
        <v>0</v>
      </c>
      <c r="CB62" s="1486">
        <f t="shared" ca="1" si="163"/>
        <v>0</v>
      </c>
      <c r="CC62" s="1486">
        <f t="shared" ca="1" si="163"/>
        <v>0</v>
      </c>
      <c r="CD62" s="1486">
        <f t="shared" ca="1" si="163"/>
        <v>0</v>
      </c>
      <c r="CE62" s="1486">
        <f t="shared" ca="1" si="163"/>
        <v>0</v>
      </c>
      <c r="CF62" s="1486">
        <f t="shared" ca="1" si="163"/>
        <v>0</v>
      </c>
      <c r="CG62" s="1486">
        <f t="shared" ca="1" si="163"/>
        <v>0</v>
      </c>
      <c r="CH62" s="1486">
        <f t="shared" ca="1" si="163"/>
        <v>0</v>
      </c>
      <c r="CI62" s="1486">
        <f t="shared" ca="1" si="164"/>
        <v>0</v>
      </c>
      <c r="CJ62" s="1486">
        <f t="shared" ca="1" si="164"/>
        <v>0</v>
      </c>
      <c r="CK62" s="1486">
        <f t="shared" ca="1" si="164"/>
        <v>0</v>
      </c>
      <c r="CL62" s="1486">
        <f t="shared" ca="1" si="164"/>
        <v>0</v>
      </c>
      <c r="CM62" s="1486">
        <f t="shared" ca="1" si="164"/>
        <v>0</v>
      </c>
      <c r="CN62" s="1486">
        <f t="shared" ca="1" si="164"/>
        <v>0</v>
      </c>
      <c r="CO62" s="1486">
        <f t="shared" ca="1" si="164"/>
        <v>0</v>
      </c>
      <c r="CP62" s="1486">
        <f t="shared" ca="1" si="164"/>
        <v>0</v>
      </c>
      <c r="CQ62" s="1486">
        <f t="shared" ca="1" si="164"/>
        <v>0</v>
      </c>
      <c r="CR62" s="1486">
        <f t="shared" ca="1" si="164"/>
        <v>0</v>
      </c>
      <c r="CS62" s="1486">
        <f t="shared" ca="1" si="165"/>
        <v>0</v>
      </c>
      <c r="CT62" s="1486">
        <f t="shared" ca="1" si="165"/>
        <v>0</v>
      </c>
      <c r="CU62" s="1486">
        <f t="shared" ca="1" si="165"/>
        <v>0</v>
      </c>
      <c r="CV62" s="1486">
        <f t="shared" ca="1" si="165"/>
        <v>0</v>
      </c>
      <c r="CW62" s="1486">
        <f t="shared" ca="1" si="165"/>
        <v>0</v>
      </c>
      <c r="CX62" s="1486">
        <f t="shared" ca="1" si="165"/>
        <v>0</v>
      </c>
      <c r="CY62" s="1486">
        <f t="shared" ca="1" si="165"/>
        <v>0</v>
      </c>
      <c r="CZ62" s="1486">
        <f t="shared" ca="1" si="165"/>
        <v>0</v>
      </c>
      <c r="DA62" s="1486">
        <f t="shared" ca="1" si="165"/>
        <v>0</v>
      </c>
      <c r="DB62" s="1486">
        <f t="shared" ca="1" si="165"/>
        <v>0</v>
      </c>
      <c r="DC62" s="1486">
        <f t="shared" ca="1" si="165"/>
        <v>0</v>
      </c>
      <c r="DD62" s="1486">
        <f t="shared" ca="1" si="165"/>
        <v>0</v>
      </c>
      <c r="DE62" s="1486">
        <f t="shared" ca="1" si="165"/>
        <v>0</v>
      </c>
      <c r="DF62" s="1486">
        <f t="shared" ca="1" si="165"/>
        <v>0</v>
      </c>
      <c r="DH62" s="838">
        <f t="shared" ca="1" si="123"/>
        <v>0</v>
      </c>
    </row>
    <row r="63" spans="1:112" s="743" customFormat="1" ht="15.75" collapsed="1">
      <c r="A63" s="22"/>
      <c r="B63" s="753"/>
      <c r="C63" s="744" t="s">
        <v>76</v>
      </c>
      <c r="D63" s="517" t="str">
        <f>INDEX(Workstreams[Workstream], MATCH($C63, Workstreams[Code], 0))</f>
        <v>National renewable power generation</v>
      </c>
      <c r="E63" s="512"/>
      <c r="G63" s="958">
        <f t="shared" ref="G63:P63" ca="1" si="166">SUM(G57:G62)</f>
        <v>0</v>
      </c>
      <c r="H63" s="958">
        <f t="shared" ca="1" si="166"/>
        <v>0</v>
      </c>
      <c r="I63" s="958">
        <f t="shared" ca="1" si="166"/>
        <v>0</v>
      </c>
      <c r="J63" s="958">
        <f t="shared" ca="1" si="166"/>
        <v>0</v>
      </c>
      <c r="K63" s="958">
        <f t="shared" ca="1" si="166"/>
        <v>0</v>
      </c>
      <c r="L63" s="958">
        <f t="shared" ca="1" si="166"/>
        <v>0</v>
      </c>
      <c r="M63" s="958">
        <f t="shared" ca="1" si="166"/>
        <v>0</v>
      </c>
      <c r="N63" s="958">
        <f t="shared" ca="1" si="166"/>
        <v>0</v>
      </c>
      <c r="O63" s="958">
        <f t="shared" ca="1" si="166"/>
        <v>0</v>
      </c>
      <c r="P63" s="958">
        <f t="shared" ca="1" si="166"/>
        <v>0</v>
      </c>
      <c r="Q63" s="1021">
        <f t="shared" ca="1" si="154"/>
        <v>0</v>
      </c>
      <c r="S63" s="970">
        <f t="shared" ref="S63:AJ63" ca="1" si="167">SUM(S57:S62)</f>
        <v>0</v>
      </c>
      <c r="T63" s="970">
        <f t="shared" ca="1" si="167"/>
        <v>33.883658100000005</v>
      </c>
      <c r="U63" s="970">
        <f t="shared" ca="1" si="167"/>
        <v>0</v>
      </c>
      <c r="V63" s="970">
        <f t="shared" ca="1" si="167"/>
        <v>0</v>
      </c>
      <c r="W63" s="970">
        <f t="shared" ca="1" si="167"/>
        <v>0</v>
      </c>
      <c r="X63" s="970">
        <f t="shared" ca="1" si="167"/>
        <v>0</v>
      </c>
      <c r="Y63" s="970">
        <f t="shared" ca="1" si="167"/>
        <v>0</v>
      </c>
      <c r="Z63" s="970">
        <f t="shared" ca="1" si="167"/>
        <v>0</v>
      </c>
      <c r="AA63" s="970">
        <f t="shared" ca="1" si="167"/>
        <v>0</v>
      </c>
      <c r="AB63" s="970">
        <f t="shared" ca="1" si="167"/>
        <v>0</v>
      </c>
      <c r="AC63" s="970">
        <f t="shared" ca="1" si="167"/>
        <v>0</v>
      </c>
      <c r="AD63" s="970">
        <f t="shared" ca="1" si="167"/>
        <v>0</v>
      </c>
      <c r="AE63" s="970">
        <f ca="1">SUM(AE57:AE62)</f>
        <v>0</v>
      </c>
      <c r="AF63" s="970">
        <f t="shared" ca="1" si="167"/>
        <v>0</v>
      </c>
      <c r="AG63" s="970">
        <f t="shared" ca="1" si="167"/>
        <v>0</v>
      </c>
      <c r="AH63" s="970">
        <f ca="1">SUM(AH57:AH62)</f>
        <v>0</v>
      </c>
      <c r="AI63" s="970">
        <f t="shared" ca="1" si="167"/>
        <v>0</v>
      </c>
      <c r="AJ63" s="970">
        <f t="shared" ca="1" si="167"/>
        <v>0</v>
      </c>
      <c r="AK63" s="970">
        <f t="shared" ca="1" si="157"/>
        <v>33.883658100000005</v>
      </c>
      <c r="AM63" s="976">
        <f t="shared" ref="AM63:BE63" ca="1" si="168">SUM(AM57:AM62)</f>
        <v>0</v>
      </c>
      <c r="AN63" s="976">
        <f t="shared" ca="1" si="168"/>
        <v>0</v>
      </c>
      <c r="AO63" s="976">
        <f t="shared" ca="1" si="168"/>
        <v>0</v>
      </c>
      <c r="AP63" s="976">
        <f t="shared" ca="1" si="168"/>
        <v>0</v>
      </c>
      <c r="AQ63" s="976">
        <f t="shared" ca="1" si="168"/>
        <v>0</v>
      </c>
      <c r="AR63" s="976">
        <f t="shared" ca="1" si="168"/>
        <v>0</v>
      </c>
      <c r="AS63" s="976">
        <f t="shared" ca="1" si="168"/>
        <v>0</v>
      </c>
      <c r="AT63" s="976">
        <f t="shared" ca="1" si="168"/>
        <v>0</v>
      </c>
      <c r="AU63" s="976">
        <f t="shared" ca="1" si="168"/>
        <v>0</v>
      </c>
      <c r="AV63" s="976">
        <f t="shared" ca="1" si="168"/>
        <v>0</v>
      </c>
      <c r="AW63" s="976">
        <f t="shared" ca="1" si="168"/>
        <v>0</v>
      </c>
      <c r="AX63" s="976">
        <f t="shared" ca="1" si="168"/>
        <v>-28.553930100000002</v>
      </c>
      <c r="AY63" s="976">
        <f t="shared" ca="1" si="168"/>
        <v>0</v>
      </c>
      <c r="AZ63" s="976">
        <f t="shared" ca="1" si="168"/>
        <v>0</v>
      </c>
      <c r="BA63" s="976">
        <f t="shared" ca="1" si="168"/>
        <v>0</v>
      </c>
      <c r="BB63" s="976">
        <f t="shared" ca="1" si="168"/>
        <v>-5.3297280000000011</v>
      </c>
      <c r="BC63" s="976">
        <f t="shared" ca="1" si="168"/>
        <v>0</v>
      </c>
      <c r="BD63" s="976">
        <f t="shared" ca="1" si="168"/>
        <v>0</v>
      </c>
      <c r="BE63" s="976">
        <f t="shared" ca="1" si="168"/>
        <v>0</v>
      </c>
      <c r="BF63" s="976">
        <f t="shared" ca="1" si="159"/>
        <v>-33.883658100000005</v>
      </c>
      <c r="BH63" s="990">
        <f ca="1">SUM(BH57:BH62)</f>
        <v>0</v>
      </c>
      <c r="BI63" s="990">
        <f ca="1">SUM(BI57:BI62)</f>
        <v>0</v>
      </c>
      <c r="BJ63" s="990">
        <f t="shared" ca="1" si="161"/>
        <v>0</v>
      </c>
      <c r="BL63" s="515">
        <f t="shared" ca="1" si="152"/>
        <v>0</v>
      </c>
      <c r="BM63" s="515"/>
      <c r="BN63" s="840"/>
      <c r="BO63" s="1482">
        <f t="shared" ref="BO63:DF63" ca="1" si="169">SUM(BO57:BO62)</f>
        <v>0</v>
      </c>
      <c r="BP63" s="1482">
        <f t="shared" ca="1" si="169"/>
        <v>0</v>
      </c>
      <c r="BQ63" s="1482">
        <f t="shared" ca="1" si="169"/>
        <v>0</v>
      </c>
      <c r="BR63" s="1482">
        <f t="shared" ca="1" si="169"/>
        <v>0</v>
      </c>
      <c r="BS63" s="1482">
        <f t="shared" ca="1" si="169"/>
        <v>0</v>
      </c>
      <c r="BT63" s="1482">
        <f t="shared" ca="1" si="169"/>
        <v>0</v>
      </c>
      <c r="BU63" s="1482">
        <f t="shared" ca="1" si="169"/>
        <v>0</v>
      </c>
      <c r="BV63" s="1482">
        <f t="shared" ca="1" si="169"/>
        <v>0</v>
      </c>
      <c r="BW63" s="1482">
        <f t="shared" ca="1" si="169"/>
        <v>0</v>
      </c>
      <c r="BX63" s="1482">
        <f t="shared" ca="1" si="169"/>
        <v>0</v>
      </c>
      <c r="BY63" s="1482">
        <f t="shared" ca="1" si="169"/>
        <v>0</v>
      </c>
      <c r="BZ63" s="1482">
        <f t="shared" ca="1" si="169"/>
        <v>0</v>
      </c>
      <c r="CA63" s="1482">
        <f t="shared" ca="1" si="169"/>
        <v>0</v>
      </c>
      <c r="CB63" s="1482">
        <f t="shared" ca="1" si="169"/>
        <v>0</v>
      </c>
      <c r="CC63" s="1482">
        <f t="shared" ca="1" si="169"/>
        <v>0</v>
      </c>
      <c r="CD63" s="1482">
        <f t="shared" ca="1" si="169"/>
        <v>0</v>
      </c>
      <c r="CE63" s="1482">
        <f t="shared" ca="1" si="169"/>
        <v>0</v>
      </c>
      <c r="CF63" s="1482">
        <f t="shared" ca="1" si="169"/>
        <v>0</v>
      </c>
      <c r="CG63" s="1482">
        <f t="shared" ca="1" si="169"/>
        <v>0</v>
      </c>
      <c r="CH63" s="1482">
        <f t="shared" ca="1" si="169"/>
        <v>0</v>
      </c>
      <c r="CI63" s="1482">
        <f t="shared" ca="1" si="169"/>
        <v>0</v>
      </c>
      <c r="CJ63" s="1482">
        <f t="shared" ca="1" si="169"/>
        <v>0</v>
      </c>
      <c r="CK63" s="1482">
        <f t="shared" ca="1" si="169"/>
        <v>0</v>
      </c>
      <c r="CL63" s="1482">
        <f t="shared" ca="1" si="169"/>
        <v>0</v>
      </c>
      <c r="CM63" s="1482">
        <f t="shared" ca="1" si="169"/>
        <v>0</v>
      </c>
      <c r="CN63" s="1482">
        <f t="shared" ca="1" si="169"/>
        <v>0</v>
      </c>
      <c r="CO63" s="1482">
        <f t="shared" ca="1" si="169"/>
        <v>0</v>
      </c>
      <c r="CP63" s="1482">
        <f t="shared" ca="1" si="169"/>
        <v>0</v>
      </c>
      <c r="CQ63" s="1482">
        <f t="shared" ca="1" si="169"/>
        <v>0</v>
      </c>
      <c r="CR63" s="1482">
        <f t="shared" ca="1" si="169"/>
        <v>0</v>
      </c>
      <c r="CS63" s="1482">
        <f t="shared" ca="1" si="169"/>
        <v>0</v>
      </c>
      <c r="CT63" s="1482">
        <f t="shared" ca="1" si="169"/>
        <v>0</v>
      </c>
      <c r="CU63" s="1482">
        <f t="shared" ca="1" si="169"/>
        <v>0</v>
      </c>
      <c r="CV63" s="1482">
        <f t="shared" ca="1" si="169"/>
        <v>0</v>
      </c>
      <c r="CW63" s="1482">
        <f t="shared" ca="1" si="169"/>
        <v>0</v>
      </c>
      <c r="CX63" s="1482">
        <f t="shared" ca="1" si="169"/>
        <v>0</v>
      </c>
      <c r="CY63" s="1482">
        <f t="shared" ca="1" si="169"/>
        <v>0</v>
      </c>
      <c r="CZ63" s="1482">
        <f t="shared" ca="1" si="169"/>
        <v>0</v>
      </c>
      <c r="DA63" s="1482">
        <f t="shared" ca="1" si="169"/>
        <v>0</v>
      </c>
      <c r="DB63" s="1482">
        <f t="shared" ca="1" si="169"/>
        <v>0</v>
      </c>
      <c r="DC63" s="1482">
        <f t="shared" ca="1" si="169"/>
        <v>0</v>
      </c>
      <c r="DD63" s="1482">
        <f t="shared" ca="1" si="169"/>
        <v>0</v>
      </c>
      <c r="DE63" s="1482">
        <f t="shared" ca="1" si="169"/>
        <v>0</v>
      </c>
      <c r="DF63" s="1482">
        <f t="shared" ca="1" si="169"/>
        <v>0</v>
      </c>
      <c r="DH63" s="838">
        <f t="shared" ca="1" si="123"/>
        <v>0</v>
      </c>
    </row>
    <row r="64" spans="1:112" s="743" customFormat="1" ht="12.75" hidden="1" customHeight="1" outlineLevel="1">
      <c r="A64" s="22"/>
      <c r="B64" s="22"/>
      <c r="C64" s="751"/>
      <c r="D64" s="512"/>
      <c r="E64" s="512"/>
      <c r="G64" s="958"/>
      <c r="H64" s="958"/>
      <c r="I64" s="958"/>
      <c r="J64" s="958"/>
      <c r="K64" s="960"/>
      <c r="L64" s="958"/>
      <c r="M64" s="958"/>
      <c r="N64" s="958"/>
      <c r="O64" s="958"/>
      <c r="P64" s="958"/>
      <c r="Q64" s="958"/>
      <c r="S64" s="970"/>
      <c r="T64" s="970"/>
      <c r="U64" s="970"/>
      <c r="V64" s="970"/>
      <c r="W64" s="970"/>
      <c r="X64" s="970"/>
      <c r="Y64" s="970"/>
      <c r="Z64" s="970"/>
      <c r="AA64" s="970"/>
      <c r="AB64" s="970"/>
      <c r="AC64" s="970"/>
      <c r="AD64" s="970"/>
      <c r="AE64" s="970"/>
      <c r="AF64" s="970"/>
      <c r="AG64" s="970"/>
      <c r="AH64" s="970"/>
      <c r="AI64" s="970"/>
      <c r="AJ64" s="970"/>
      <c r="AK64" s="970"/>
      <c r="AM64" s="976"/>
      <c r="AN64" s="976"/>
      <c r="AO64" s="976"/>
      <c r="AP64" s="976"/>
      <c r="AQ64" s="976"/>
      <c r="AR64" s="976"/>
      <c r="AS64" s="976"/>
      <c r="AT64" s="976"/>
      <c r="AU64" s="976"/>
      <c r="AV64" s="976"/>
      <c r="AW64" s="976"/>
      <c r="AX64" s="976"/>
      <c r="AY64" s="976"/>
      <c r="AZ64" s="976"/>
      <c r="BA64" s="976"/>
      <c r="BB64" s="976"/>
      <c r="BC64" s="976"/>
      <c r="BD64" s="976"/>
      <c r="BE64" s="976"/>
      <c r="BF64" s="976"/>
      <c r="BH64" s="990"/>
      <c r="BI64" s="990"/>
      <c r="BJ64" s="990"/>
      <c r="BL64" s="515"/>
      <c r="BM64" s="515"/>
      <c r="BN64" s="22"/>
      <c r="BO64" s="1482"/>
      <c r="BP64" s="1482"/>
      <c r="BQ64" s="1482"/>
      <c r="BR64" s="1482"/>
      <c r="BS64" s="1482"/>
      <c r="BT64" s="1482"/>
      <c r="BU64" s="1482"/>
      <c r="BV64" s="1482"/>
      <c r="BW64" s="1482"/>
      <c r="BX64" s="1482"/>
      <c r="BY64" s="1482"/>
      <c r="BZ64" s="1482"/>
      <c r="CA64" s="1482"/>
      <c r="CB64" s="1482"/>
      <c r="CC64" s="1482"/>
      <c r="CD64" s="1482"/>
      <c r="CE64" s="1482"/>
      <c r="CF64" s="1482"/>
      <c r="CG64" s="1482"/>
      <c r="CH64" s="1482"/>
      <c r="CI64" s="1482"/>
      <c r="CJ64" s="1482"/>
      <c r="CK64" s="1482"/>
      <c r="CL64" s="1482"/>
      <c r="CM64" s="1482"/>
      <c r="CN64" s="1482"/>
      <c r="CO64" s="1482"/>
      <c r="CP64" s="1482"/>
      <c r="CQ64" s="1482"/>
      <c r="CR64" s="1482"/>
      <c r="CS64" s="1482"/>
      <c r="CT64" s="1482"/>
      <c r="CU64" s="1482"/>
      <c r="CV64" s="1482"/>
      <c r="CW64" s="1482"/>
      <c r="CX64" s="1482"/>
      <c r="CY64" s="1482"/>
      <c r="CZ64" s="1482"/>
      <c r="DA64" s="1482"/>
      <c r="DB64" s="1482"/>
      <c r="DC64" s="1482"/>
      <c r="DD64" s="1482"/>
      <c r="DE64" s="1482"/>
      <c r="DF64" s="1482"/>
      <c r="DH64" s="838">
        <f t="shared" si="123"/>
        <v>0</v>
      </c>
    </row>
    <row r="65" spans="1:112" s="1484" customFormat="1" ht="12.75" hidden="1" customHeight="1" outlineLevel="1">
      <c r="C65" s="746" t="s">
        <v>976</v>
      </c>
      <c r="D65" s="521" t="str">
        <f>INDEX(Modules[Module], MATCH($C65, Modules[Code], 0))</f>
        <v>Distributed solar PV</v>
      </c>
      <c r="E65" s="521"/>
      <c r="G65" s="1604">
        <f t="shared" ref="G65:P67" ca="1" si="170">IFERROR(INDEX(INDIRECT($C65&amp;".Outputs["&amp;this.Year&amp;"]"), MATCH(G$5, INDIRECT($C65&amp;".Outputs[Vector]"), 0)), 0)</f>
        <v>0</v>
      </c>
      <c r="H65" s="1604">
        <f t="shared" ca="1" si="170"/>
        <v>0</v>
      </c>
      <c r="I65" s="1604">
        <f t="shared" ca="1" si="170"/>
        <v>0</v>
      </c>
      <c r="J65" s="1604">
        <f t="shared" ca="1" si="170"/>
        <v>0</v>
      </c>
      <c r="K65" s="1605">
        <f t="shared" ca="1" si="170"/>
        <v>0</v>
      </c>
      <c r="L65" s="1604">
        <f t="shared" ca="1" si="170"/>
        <v>0</v>
      </c>
      <c r="M65" s="1604">
        <f t="shared" ca="1" si="170"/>
        <v>0</v>
      </c>
      <c r="N65" s="1604">
        <f t="shared" ca="1" si="170"/>
        <v>0</v>
      </c>
      <c r="O65" s="1604">
        <f t="shared" ca="1" si="170"/>
        <v>0</v>
      </c>
      <c r="P65" s="1604">
        <f t="shared" ca="1" si="170"/>
        <v>0</v>
      </c>
      <c r="Q65" s="963">
        <f ca="1">SUM(G65:P65)</f>
        <v>0</v>
      </c>
      <c r="S65" s="1606">
        <f t="shared" ref="S65:BE67" ca="1" si="171">IFERROR(INDEX(INDIRECT($C65&amp;".Outputs["&amp;this.Year&amp;"]"), MATCH(S$5, INDIRECT($C65&amp;".Outputs[Vector]"), 0)), 0)</f>
        <v>0</v>
      </c>
      <c r="T65" s="1606">
        <f t="shared" ca="1" si="171"/>
        <v>0</v>
      </c>
      <c r="U65" s="1606">
        <f t="shared" ca="1" si="171"/>
        <v>0</v>
      </c>
      <c r="V65" s="1606">
        <f t="shared" ca="1" si="171"/>
        <v>0</v>
      </c>
      <c r="W65" s="1606">
        <f t="shared" ca="1" si="171"/>
        <v>0</v>
      </c>
      <c r="X65" s="1606">
        <f t="shared" ref="X65:Z67" ca="1" si="172">IFERROR(INDEX(INDIRECT($C65&amp;".Outputs["&amp;this.Year&amp;"]"), MATCH(X$5, INDIRECT($C65&amp;".Outputs[Vector]"), 0)), 0)</f>
        <v>0</v>
      </c>
      <c r="Y65" s="1606">
        <f t="shared" ca="1" si="172"/>
        <v>0</v>
      </c>
      <c r="Z65" s="1606">
        <f t="shared" ca="1" si="172"/>
        <v>0</v>
      </c>
      <c r="AA65" s="1606">
        <f t="shared" ca="1" si="171"/>
        <v>0</v>
      </c>
      <c r="AB65" s="1606">
        <f t="shared" ca="1" si="171"/>
        <v>0</v>
      </c>
      <c r="AC65" s="1606">
        <f t="shared" ca="1" si="171"/>
        <v>0</v>
      </c>
      <c r="AD65" s="1606">
        <f t="shared" ca="1" si="171"/>
        <v>0</v>
      </c>
      <c r="AE65" s="1606">
        <f t="shared" ca="1" si="171"/>
        <v>0</v>
      </c>
      <c r="AF65" s="1606">
        <f t="shared" ca="1" si="171"/>
        <v>0</v>
      </c>
      <c r="AG65" s="1606">
        <f t="shared" ca="1" si="171"/>
        <v>0</v>
      </c>
      <c r="AH65" s="1606">
        <f t="shared" ca="1" si="171"/>
        <v>0</v>
      </c>
      <c r="AI65" s="1606">
        <f t="shared" ca="1" si="171"/>
        <v>0</v>
      </c>
      <c r="AJ65" s="1606">
        <f t="shared" ca="1" si="171"/>
        <v>0</v>
      </c>
      <c r="AK65" s="972">
        <f ca="1">SUM(S65:AJ65)</f>
        <v>0</v>
      </c>
      <c r="AM65" s="1607">
        <f t="shared" ref="AM65:AU67" ca="1" si="173">IFERROR(INDEX(INDIRECT($C65&amp;".Outputs["&amp;this.Year&amp;"]"), MATCH(AM$5, INDIRECT($C65&amp;".Outputs[Vector]"), 0)), 0)</f>
        <v>0</v>
      </c>
      <c r="AN65" s="1607">
        <f t="shared" ca="1" si="173"/>
        <v>0</v>
      </c>
      <c r="AO65" s="1607">
        <f t="shared" ca="1" si="173"/>
        <v>0</v>
      </c>
      <c r="AP65" s="1607">
        <f t="shared" ca="1" si="173"/>
        <v>0</v>
      </c>
      <c r="AQ65" s="1607">
        <f t="shared" ca="1" si="173"/>
        <v>0</v>
      </c>
      <c r="AR65" s="1607">
        <f t="shared" ca="1" si="173"/>
        <v>0</v>
      </c>
      <c r="AS65" s="1607">
        <f t="shared" ca="1" si="173"/>
        <v>0</v>
      </c>
      <c r="AT65" s="1607">
        <f t="shared" ca="1" si="173"/>
        <v>0</v>
      </c>
      <c r="AU65" s="1607">
        <f t="shared" ca="1" si="173"/>
        <v>0</v>
      </c>
      <c r="AV65" s="1607">
        <f t="shared" ca="1" si="171"/>
        <v>0</v>
      </c>
      <c r="AW65" s="1607">
        <f t="shared" ca="1" si="171"/>
        <v>0</v>
      </c>
      <c r="AX65" s="1607">
        <f t="shared" ca="1" si="171"/>
        <v>0</v>
      </c>
      <c r="AY65" s="1607">
        <f t="shared" ca="1" si="171"/>
        <v>0</v>
      </c>
      <c r="AZ65" s="1607">
        <f t="shared" ca="1" si="171"/>
        <v>0</v>
      </c>
      <c r="BA65" s="1607">
        <f t="shared" ca="1" si="171"/>
        <v>0</v>
      </c>
      <c r="BB65" s="1607">
        <f t="shared" ca="1" si="171"/>
        <v>0</v>
      </c>
      <c r="BC65" s="1607">
        <f t="shared" ca="1" si="171"/>
        <v>0</v>
      </c>
      <c r="BD65" s="1607">
        <f t="shared" ca="1" si="171"/>
        <v>0</v>
      </c>
      <c r="BE65" s="1607">
        <f t="shared" ca="1" si="171"/>
        <v>0</v>
      </c>
      <c r="BF65" s="979">
        <f ca="1">SUM(AM65:BE65)</f>
        <v>0</v>
      </c>
      <c r="BH65" s="1608">
        <f t="shared" ref="BH65:BI67" ca="1" si="174">IFERROR(INDEX(INDIRECT($C65&amp;".Outputs["&amp;this.Year&amp;"]"), MATCH(BH$5, INDIRECT($C65&amp;".Outputs[Vector]"), 0)), 0)</f>
        <v>0</v>
      </c>
      <c r="BI65" s="1608">
        <f t="shared" ca="1" si="174"/>
        <v>0</v>
      </c>
      <c r="BJ65" s="992">
        <f ca="1">SUM(BH65:BI65)</f>
        <v>0</v>
      </c>
      <c r="BL65" s="814">
        <f t="shared" ref="BL65:BL70" ca="1" si="175">Q65+AK65+BF65+BJ65</f>
        <v>0</v>
      </c>
      <c r="BM65" s="814"/>
      <c r="BO65" s="1602">
        <f t="shared" ref="BO65:DF67" ca="1" si="176">IFERROR(SUMIFS(INDIRECT($C65&amp;".Emissions["&amp;this.Year&amp;"]"), INDIRECT($C65&amp;".Emissions[GHG]"), BO$6, INDIRECT($C65&amp;".Emissions[IPCC Sector]"), BO$5),0)</f>
        <v>0</v>
      </c>
      <c r="BP65" s="1602">
        <f t="shared" ca="1" si="176"/>
        <v>0</v>
      </c>
      <c r="BQ65" s="1602">
        <f t="shared" ca="1" si="176"/>
        <v>0</v>
      </c>
      <c r="BR65" s="1602">
        <f t="shared" ca="1" si="176"/>
        <v>0</v>
      </c>
      <c r="BS65" s="1602">
        <f t="shared" ca="1" si="176"/>
        <v>0</v>
      </c>
      <c r="BT65" s="1602">
        <f t="shared" ca="1" si="176"/>
        <v>0</v>
      </c>
      <c r="BU65" s="1602">
        <f t="shared" ca="1" si="176"/>
        <v>0</v>
      </c>
      <c r="BV65" s="1602">
        <f t="shared" ca="1" si="176"/>
        <v>0</v>
      </c>
      <c r="BW65" s="1602">
        <f t="shared" ca="1" si="176"/>
        <v>0</v>
      </c>
      <c r="BX65" s="1602">
        <f t="shared" ca="1" si="176"/>
        <v>0</v>
      </c>
      <c r="BY65" s="1602">
        <f t="shared" ca="1" si="176"/>
        <v>0</v>
      </c>
      <c r="BZ65" s="1602">
        <f t="shared" ca="1" si="176"/>
        <v>0</v>
      </c>
      <c r="CA65" s="1602">
        <f t="shared" ca="1" si="176"/>
        <v>0</v>
      </c>
      <c r="CB65" s="1602">
        <f t="shared" ca="1" si="176"/>
        <v>0</v>
      </c>
      <c r="CC65" s="1602">
        <f t="shared" ca="1" si="176"/>
        <v>0</v>
      </c>
      <c r="CD65" s="1602">
        <f t="shared" ca="1" si="176"/>
        <v>0</v>
      </c>
      <c r="CE65" s="1602">
        <f t="shared" ca="1" si="176"/>
        <v>0</v>
      </c>
      <c r="CF65" s="1602">
        <f t="shared" ca="1" si="176"/>
        <v>0</v>
      </c>
      <c r="CG65" s="1602">
        <f t="shared" ca="1" si="176"/>
        <v>0</v>
      </c>
      <c r="CH65" s="1602">
        <f t="shared" ca="1" si="176"/>
        <v>0</v>
      </c>
      <c r="CI65" s="1602">
        <f t="shared" ca="1" si="176"/>
        <v>0</v>
      </c>
      <c r="CJ65" s="1602">
        <f t="shared" ca="1" si="176"/>
        <v>0</v>
      </c>
      <c r="CK65" s="1602">
        <f t="shared" ca="1" si="176"/>
        <v>0</v>
      </c>
      <c r="CL65" s="1602">
        <f t="shared" ca="1" si="176"/>
        <v>0</v>
      </c>
      <c r="CM65" s="1602">
        <f t="shared" ca="1" si="176"/>
        <v>0</v>
      </c>
      <c r="CN65" s="1602">
        <f t="shared" ca="1" si="176"/>
        <v>0</v>
      </c>
      <c r="CO65" s="1602">
        <f t="shared" ca="1" si="176"/>
        <v>0</v>
      </c>
      <c r="CP65" s="1602">
        <f t="shared" ca="1" si="176"/>
        <v>0</v>
      </c>
      <c r="CQ65" s="1602">
        <f t="shared" ca="1" si="176"/>
        <v>0</v>
      </c>
      <c r="CR65" s="1602">
        <f t="shared" ca="1" si="176"/>
        <v>0</v>
      </c>
      <c r="CS65" s="1602">
        <f t="shared" ca="1" si="176"/>
        <v>0</v>
      </c>
      <c r="CT65" s="1602">
        <f t="shared" ca="1" si="176"/>
        <v>0</v>
      </c>
      <c r="CU65" s="1602">
        <f t="shared" ca="1" si="176"/>
        <v>0</v>
      </c>
      <c r="CV65" s="1602">
        <f t="shared" ca="1" si="176"/>
        <v>0</v>
      </c>
      <c r="CW65" s="1602">
        <f t="shared" ca="1" si="176"/>
        <v>0</v>
      </c>
      <c r="CX65" s="1602">
        <f t="shared" ca="1" si="176"/>
        <v>0</v>
      </c>
      <c r="CY65" s="1602">
        <f t="shared" ca="1" si="176"/>
        <v>0</v>
      </c>
      <c r="CZ65" s="1602">
        <f t="shared" ca="1" si="176"/>
        <v>0</v>
      </c>
      <c r="DA65" s="1602">
        <f t="shared" ca="1" si="176"/>
        <v>0</v>
      </c>
      <c r="DB65" s="1602">
        <f t="shared" ca="1" si="176"/>
        <v>0</v>
      </c>
      <c r="DC65" s="1602">
        <f t="shared" ca="1" si="176"/>
        <v>0</v>
      </c>
      <c r="DD65" s="1602">
        <f t="shared" ca="1" si="176"/>
        <v>0</v>
      </c>
      <c r="DE65" s="1602">
        <f t="shared" ca="1" si="176"/>
        <v>0</v>
      </c>
      <c r="DF65" s="1602">
        <f t="shared" ca="1" si="176"/>
        <v>0</v>
      </c>
      <c r="DH65" s="1603">
        <f t="shared" ca="1" si="123"/>
        <v>0</v>
      </c>
    </row>
    <row r="66" spans="1:112" s="1484" customFormat="1" ht="12.75" hidden="1" customHeight="1" outlineLevel="1">
      <c r="C66" s="746" t="s">
        <v>1329</v>
      </c>
      <c r="D66" s="521" t="str">
        <f>INDEX(Modules[Module], MATCH($C66, Modules[Code], 0))</f>
        <v>Distributed solar thermal</v>
      </c>
      <c r="E66" s="521"/>
      <c r="G66" s="1604">
        <f t="shared" ca="1" si="170"/>
        <v>0</v>
      </c>
      <c r="H66" s="1604">
        <f t="shared" ca="1" si="170"/>
        <v>0</v>
      </c>
      <c r="I66" s="1604">
        <f t="shared" ca="1" si="170"/>
        <v>0</v>
      </c>
      <c r="J66" s="1604">
        <f t="shared" ca="1" si="170"/>
        <v>0</v>
      </c>
      <c r="K66" s="1605">
        <f t="shared" ca="1" si="170"/>
        <v>0</v>
      </c>
      <c r="L66" s="1604">
        <f t="shared" ca="1" si="170"/>
        <v>0</v>
      </c>
      <c r="M66" s="1604">
        <f t="shared" ca="1" si="170"/>
        <v>0</v>
      </c>
      <c r="N66" s="1604">
        <f t="shared" ca="1" si="170"/>
        <v>0</v>
      </c>
      <c r="O66" s="1604">
        <f t="shared" ca="1" si="170"/>
        <v>0</v>
      </c>
      <c r="P66" s="1604">
        <f t="shared" ca="1" si="170"/>
        <v>0</v>
      </c>
      <c r="Q66" s="963">
        <f ca="1">SUM(G66:P66)</f>
        <v>0</v>
      </c>
      <c r="S66" s="1606">
        <f t="shared" ca="1" si="171"/>
        <v>0</v>
      </c>
      <c r="T66" s="1606">
        <f t="shared" ca="1" si="171"/>
        <v>0</v>
      </c>
      <c r="U66" s="1606">
        <f t="shared" ca="1" si="171"/>
        <v>0</v>
      </c>
      <c r="V66" s="1606">
        <f t="shared" ca="1" si="171"/>
        <v>0</v>
      </c>
      <c r="W66" s="1606">
        <f t="shared" ca="1" si="171"/>
        <v>0</v>
      </c>
      <c r="X66" s="1606">
        <f t="shared" ca="1" si="172"/>
        <v>0</v>
      </c>
      <c r="Y66" s="1606">
        <f t="shared" ca="1" si="172"/>
        <v>0</v>
      </c>
      <c r="Z66" s="1606">
        <f t="shared" ca="1" si="172"/>
        <v>0</v>
      </c>
      <c r="AA66" s="1606">
        <f t="shared" ca="1" si="171"/>
        <v>0</v>
      </c>
      <c r="AB66" s="1606">
        <f t="shared" ca="1" si="171"/>
        <v>0</v>
      </c>
      <c r="AC66" s="1606">
        <f t="shared" ca="1" si="171"/>
        <v>0</v>
      </c>
      <c r="AD66" s="1606">
        <f t="shared" ca="1" si="171"/>
        <v>0</v>
      </c>
      <c r="AE66" s="1606">
        <f t="shared" ca="1" si="171"/>
        <v>0</v>
      </c>
      <c r="AF66" s="1606">
        <f t="shared" ca="1" si="171"/>
        <v>0</v>
      </c>
      <c r="AG66" s="1606">
        <f t="shared" ca="1" si="171"/>
        <v>0</v>
      </c>
      <c r="AH66" s="1606">
        <f t="shared" ca="1" si="171"/>
        <v>0</v>
      </c>
      <c r="AI66" s="1606">
        <f t="shared" ca="1" si="171"/>
        <v>0</v>
      </c>
      <c r="AJ66" s="1606">
        <f t="shared" ca="1" si="171"/>
        <v>0</v>
      </c>
      <c r="AK66" s="972">
        <f ca="1">SUM(S66:AJ66)</f>
        <v>0</v>
      </c>
      <c r="AM66" s="1607">
        <f t="shared" ca="1" si="173"/>
        <v>0</v>
      </c>
      <c r="AN66" s="1607">
        <f t="shared" ca="1" si="173"/>
        <v>0</v>
      </c>
      <c r="AO66" s="1607">
        <f t="shared" ca="1" si="173"/>
        <v>0</v>
      </c>
      <c r="AP66" s="1607">
        <f t="shared" ca="1" si="173"/>
        <v>0</v>
      </c>
      <c r="AQ66" s="1607">
        <f t="shared" ca="1" si="173"/>
        <v>0</v>
      </c>
      <c r="AR66" s="1607">
        <f t="shared" ca="1" si="173"/>
        <v>0</v>
      </c>
      <c r="AS66" s="1607">
        <f t="shared" ca="1" si="173"/>
        <v>0</v>
      </c>
      <c r="AT66" s="1607">
        <f t="shared" ca="1" si="173"/>
        <v>0</v>
      </c>
      <c r="AU66" s="1607">
        <f t="shared" ca="1" si="173"/>
        <v>0</v>
      </c>
      <c r="AV66" s="1607">
        <f t="shared" ca="1" si="171"/>
        <v>0</v>
      </c>
      <c r="AW66" s="1607">
        <f t="shared" ca="1" si="171"/>
        <v>0</v>
      </c>
      <c r="AX66" s="1607">
        <f t="shared" ca="1" si="171"/>
        <v>0</v>
      </c>
      <c r="AY66" s="1607">
        <f t="shared" ca="1" si="171"/>
        <v>0</v>
      </c>
      <c r="AZ66" s="1607">
        <f t="shared" ca="1" si="171"/>
        <v>0</v>
      </c>
      <c r="BA66" s="1607">
        <f t="shared" ca="1" si="171"/>
        <v>0</v>
      </c>
      <c r="BB66" s="1607">
        <f t="shared" ca="1" si="171"/>
        <v>0</v>
      </c>
      <c r="BC66" s="1607">
        <f t="shared" ca="1" si="171"/>
        <v>0</v>
      </c>
      <c r="BD66" s="1607">
        <f t="shared" ca="1" si="171"/>
        <v>0</v>
      </c>
      <c r="BE66" s="1607">
        <f t="shared" ca="1" si="171"/>
        <v>0</v>
      </c>
      <c r="BF66" s="979">
        <f ca="1">SUM(AM66:BE66)</f>
        <v>0</v>
      </c>
      <c r="BH66" s="1608">
        <f t="shared" ca="1" si="174"/>
        <v>0</v>
      </c>
      <c r="BI66" s="1608">
        <f t="shared" ca="1" si="174"/>
        <v>0</v>
      </c>
      <c r="BJ66" s="992">
        <f ca="1">SUM(BH66:BI66)</f>
        <v>0</v>
      </c>
      <c r="BL66" s="814">
        <f t="shared" ca="1" si="175"/>
        <v>0</v>
      </c>
      <c r="BM66" s="814"/>
      <c r="BO66" s="1602">
        <f t="shared" ca="1" si="176"/>
        <v>0</v>
      </c>
      <c r="BP66" s="1602">
        <f t="shared" ca="1" si="176"/>
        <v>0</v>
      </c>
      <c r="BQ66" s="1602">
        <f t="shared" ca="1" si="176"/>
        <v>0</v>
      </c>
      <c r="BR66" s="1602">
        <f t="shared" ca="1" si="176"/>
        <v>0</v>
      </c>
      <c r="BS66" s="1602">
        <f t="shared" ca="1" si="176"/>
        <v>0</v>
      </c>
      <c r="BT66" s="1602">
        <f t="shared" ca="1" si="176"/>
        <v>0</v>
      </c>
      <c r="BU66" s="1602">
        <f t="shared" ca="1" si="176"/>
        <v>0</v>
      </c>
      <c r="BV66" s="1602">
        <f t="shared" ca="1" si="176"/>
        <v>0</v>
      </c>
      <c r="BW66" s="1602">
        <f t="shared" ca="1" si="176"/>
        <v>0</v>
      </c>
      <c r="BX66" s="1602">
        <f t="shared" ca="1" si="176"/>
        <v>0</v>
      </c>
      <c r="BY66" s="1602">
        <f t="shared" ca="1" si="176"/>
        <v>0</v>
      </c>
      <c r="BZ66" s="1602">
        <f t="shared" ca="1" si="176"/>
        <v>0</v>
      </c>
      <c r="CA66" s="1602">
        <f t="shared" ca="1" si="176"/>
        <v>0</v>
      </c>
      <c r="CB66" s="1602">
        <f t="shared" ca="1" si="176"/>
        <v>0</v>
      </c>
      <c r="CC66" s="1602">
        <f t="shared" ca="1" si="176"/>
        <v>0</v>
      </c>
      <c r="CD66" s="1602">
        <f t="shared" ca="1" si="176"/>
        <v>0</v>
      </c>
      <c r="CE66" s="1602">
        <f t="shared" ca="1" si="176"/>
        <v>0</v>
      </c>
      <c r="CF66" s="1602">
        <f t="shared" ca="1" si="176"/>
        <v>0</v>
      </c>
      <c r="CG66" s="1602">
        <f t="shared" ca="1" si="176"/>
        <v>0</v>
      </c>
      <c r="CH66" s="1602">
        <f t="shared" ca="1" si="176"/>
        <v>0</v>
      </c>
      <c r="CI66" s="1602">
        <f t="shared" ca="1" si="176"/>
        <v>0</v>
      </c>
      <c r="CJ66" s="1602">
        <f t="shared" ca="1" si="176"/>
        <v>0</v>
      </c>
      <c r="CK66" s="1602">
        <f t="shared" ca="1" si="176"/>
        <v>0</v>
      </c>
      <c r="CL66" s="1602">
        <f t="shared" ca="1" si="176"/>
        <v>0</v>
      </c>
      <c r="CM66" s="1602">
        <f t="shared" ca="1" si="176"/>
        <v>0</v>
      </c>
      <c r="CN66" s="1602">
        <f t="shared" ca="1" si="176"/>
        <v>0</v>
      </c>
      <c r="CO66" s="1602">
        <f t="shared" ca="1" si="176"/>
        <v>0</v>
      </c>
      <c r="CP66" s="1602">
        <f t="shared" ca="1" si="176"/>
        <v>0</v>
      </c>
      <c r="CQ66" s="1602">
        <f t="shared" ca="1" si="176"/>
        <v>0</v>
      </c>
      <c r="CR66" s="1602">
        <f t="shared" ca="1" si="176"/>
        <v>0</v>
      </c>
      <c r="CS66" s="1602">
        <f t="shared" ca="1" si="176"/>
        <v>0</v>
      </c>
      <c r="CT66" s="1602">
        <f t="shared" ca="1" si="176"/>
        <v>0</v>
      </c>
      <c r="CU66" s="1602">
        <f t="shared" ca="1" si="176"/>
        <v>0</v>
      </c>
      <c r="CV66" s="1602">
        <f t="shared" ca="1" si="176"/>
        <v>0</v>
      </c>
      <c r="CW66" s="1602">
        <f t="shared" ca="1" si="176"/>
        <v>0</v>
      </c>
      <c r="CX66" s="1602">
        <f t="shared" ca="1" si="176"/>
        <v>0</v>
      </c>
      <c r="CY66" s="1602">
        <f t="shared" ca="1" si="176"/>
        <v>0</v>
      </c>
      <c r="CZ66" s="1602">
        <f t="shared" ca="1" si="176"/>
        <v>0</v>
      </c>
      <c r="DA66" s="1602">
        <f t="shared" ca="1" si="176"/>
        <v>0</v>
      </c>
      <c r="DB66" s="1602">
        <f t="shared" ca="1" si="176"/>
        <v>0</v>
      </c>
      <c r="DC66" s="1602">
        <f t="shared" ca="1" si="176"/>
        <v>0</v>
      </c>
      <c r="DD66" s="1602">
        <f t="shared" ca="1" si="176"/>
        <v>0</v>
      </c>
      <c r="DE66" s="1602">
        <f t="shared" ca="1" si="176"/>
        <v>0</v>
      </c>
      <c r="DF66" s="1602">
        <f t="shared" ca="1" si="176"/>
        <v>0</v>
      </c>
      <c r="DH66" s="1603">
        <f t="shared" ca="1" si="123"/>
        <v>0</v>
      </c>
    </row>
    <row r="67" spans="1:112" s="1484" customFormat="1" ht="12.75" hidden="1" customHeight="1" outlineLevel="1">
      <c r="C67" s="746" t="s">
        <v>1597</v>
      </c>
      <c r="D67" s="1010" t="str">
        <f>INDEX(Modules[Module], MATCH($C67, Modules[Code], 0))</f>
        <v>Micro wind</v>
      </c>
      <c r="E67" s="1010"/>
      <c r="F67" s="743"/>
      <c r="G67" s="1022">
        <f t="shared" ca="1" si="170"/>
        <v>0</v>
      </c>
      <c r="H67" s="1022">
        <f t="shared" ca="1" si="170"/>
        <v>0</v>
      </c>
      <c r="I67" s="1022">
        <f t="shared" ca="1" si="170"/>
        <v>0</v>
      </c>
      <c r="J67" s="1022">
        <f t="shared" ca="1" si="170"/>
        <v>0</v>
      </c>
      <c r="K67" s="1022">
        <f t="shared" ca="1" si="170"/>
        <v>0</v>
      </c>
      <c r="L67" s="1022">
        <f t="shared" ca="1" si="170"/>
        <v>0</v>
      </c>
      <c r="M67" s="1022">
        <f t="shared" ca="1" si="170"/>
        <v>0</v>
      </c>
      <c r="N67" s="1022">
        <f t="shared" ca="1" si="170"/>
        <v>0</v>
      </c>
      <c r="O67" s="1022">
        <f t="shared" ca="1" si="170"/>
        <v>0</v>
      </c>
      <c r="P67" s="1022">
        <f t="shared" ca="1" si="170"/>
        <v>0</v>
      </c>
      <c r="Q67" s="1020">
        <f ca="1">SUM(G67:P67)</f>
        <v>0</v>
      </c>
      <c r="R67" s="743"/>
      <c r="S67" s="1031">
        <f t="shared" ca="1" si="171"/>
        <v>0</v>
      </c>
      <c r="T67" s="1031">
        <f t="shared" ca="1" si="171"/>
        <v>0</v>
      </c>
      <c r="U67" s="1031">
        <f t="shared" ca="1" si="171"/>
        <v>0</v>
      </c>
      <c r="V67" s="1031">
        <f t="shared" ca="1" si="171"/>
        <v>0</v>
      </c>
      <c r="W67" s="1031">
        <f t="shared" ca="1" si="171"/>
        <v>0</v>
      </c>
      <c r="X67" s="1031">
        <f t="shared" ca="1" si="172"/>
        <v>0</v>
      </c>
      <c r="Y67" s="1031">
        <f t="shared" ca="1" si="172"/>
        <v>0</v>
      </c>
      <c r="Z67" s="1031">
        <f t="shared" ca="1" si="172"/>
        <v>0</v>
      </c>
      <c r="AA67" s="1031">
        <f t="shared" ca="1" si="171"/>
        <v>0</v>
      </c>
      <c r="AB67" s="1031">
        <f t="shared" ca="1" si="171"/>
        <v>0</v>
      </c>
      <c r="AC67" s="1031">
        <f t="shared" ca="1" si="171"/>
        <v>0</v>
      </c>
      <c r="AD67" s="1031">
        <f t="shared" ca="1" si="171"/>
        <v>0</v>
      </c>
      <c r="AE67" s="1031">
        <f t="shared" ca="1" si="171"/>
        <v>0</v>
      </c>
      <c r="AF67" s="1031">
        <f t="shared" ca="1" si="171"/>
        <v>0</v>
      </c>
      <c r="AG67" s="1031">
        <f t="shared" ca="1" si="171"/>
        <v>0</v>
      </c>
      <c r="AH67" s="1031">
        <f t="shared" ca="1" si="171"/>
        <v>0</v>
      </c>
      <c r="AI67" s="1031">
        <f t="shared" ca="1" si="171"/>
        <v>0</v>
      </c>
      <c r="AJ67" s="1031">
        <f t="shared" ca="1" si="171"/>
        <v>0</v>
      </c>
      <c r="AK67" s="1030">
        <f ca="1">SUM(S67:AJ67)</f>
        <v>0</v>
      </c>
      <c r="AL67" s="743"/>
      <c r="AM67" s="1042">
        <f t="shared" ca="1" si="173"/>
        <v>0</v>
      </c>
      <c r="AN67" s="1042">
        <f t="shared" ca="1" si="173"/>
        <v>0</v>
      </c>
      <c r="AO67" s="1042">
        <f t="shared" ca="1" si="173"/>
        <v>0</v>
      </c>
      <c r="AP67" s="1042">
        <f t="shared" ca="1" si="173"/>
        <v>0</v>
      </c>
      <c r="AQ67" s="1042">
        <f t="shared" ca="1" si="173"/>
        <v>0</v>
      </c>
      <c r="AR67" s="1042">
        <f t="shared" ca="1" si="173"/>
        <v>0</v>
      </c>
      <c r="AS67" s="1042">
        <f t="shared" ca="1" si="173"/>
        <v>0</v>
      </c>
      <c r="AT67" s="1042">
        <f t="shared" ca="1" si="173"/>
        <v>0</v>
      </c>
      <c r="AU67" s="1042">
        <f t="shared" ca="1" si="173"/>
        <v>0</v>
      </c>
      <c r="AV67" s="1042">
        <f t="shared" ca="1" si="171"/>
        <v>0</v>
      </c>
      <c r="AW67" s="1042">
        <f t="shared" ca="1" si="171"/>
        <v>0</v>
      </c>
      <c r="AX67" s="1042">
        <f t="shared" ca="1" si="171"/>
        <v>0</v>
      </c>
      <c r="AY67" s="1042">
        <f t="shared" ca="1" si="171"/>
        <v>0</v>
      </c>
      <c r="AZ67" s="1042">
        <f t="shared" ca="1" si="171"/>
        <v>0</v>
      </c>
      <c r="BA67" s="1042">
        <f t="shared" ca="1" si="171"/>
        <v>0</v>
      </c>
      <c r="BB67" s="1042">
        <f t="shared" ca="1" si="171"/>
        <v>0</v>
      </c>
      <c r="BC67" s="1042">
        <f t="shared" ca="1" si="171"/>
        <v>0</v>
      </c>
      <c r="BD67" s="1042">
        <f t="shared" ca="1" si="171"/>
        <v>0</v>
      </c>
      <c r="BE67" s="1042">
        <f t="shared" ca="1" si="171"/>
        <v>0</v>
      </c>
      <c r="BF67" s="1012">
        <f ca="1">SUM(AM67:BE67)</f>
        <v>0</v>
      </c>
      <c r="BG67" s="743"/>
      <c r="BH67" s="1036">
        <f t="shared" ca="1" si="174"/>
        <v>0</v>
      </c>
      <c r="BI67" s="1036">
        <f t="shared" ca="1" si="174"/>
        <v>0</v>
      </c>
      <c r="BJ67" s="1035">
        <f ca="1">SUM(BH67:BI67)</f>
        <v>0</v>
      </c>
      <c r="BK67" s="743"/>
      <c r="BL67" s="814">
        <f t="shared" ca="1" si="175"/>
        <v>0</v>
      </c>
      <c r="BM67" s="814"/>
      <c r="BN67" s="840"/>
      <c r="BO67" s="1485">
        <f t="shared" ca="1" si="176"/>
        <v>0</v>
      </c>
      <c r="BP67" s="1486">
        <f t="shared" ca="1" si="176"/>
        <v>0</v>
      </c>
      <c r="BQ67" s="1486">
        <f t="shared" ca="1" si="176"/>
        <v>0</v>
      </c>
      <c r="BR67" s="1486">
        <f t="shared" ca="1" si="176"/>
        <v>0</v>
      </c>
      <c r="BS67" s="1486">
        <f t="shared" ca="1" si="176"/>
        <v>0</v>
      </c>
      <c r="BT67" s="1486">
        <f t="shared" ca="1" si="176"/>
        <v>0</v>
      </c>
      <c r="BU67" s="1486">
        <f t="shared" ca="1" si="176"/>
        <v>0</v>
      </c>
      <c r="BV67" s="1486">
        <f t="shared" ca="1" si="176"/>
        <v>0</v>
      </c>
      <c r="BW67" s="1486">
        <f t="shared" ca="1" si="176"/>
        <v>0</v>
      </c>
      <c r="BX67" s="1486">
        <f t="shared" ca="1" si="176"/>
        <v>0</v>
      </c>
      <c r="BY67" s="1486">
        <f t="shared" ca="1" si="176"/>
        <v>0</v>
      </c>
      <c r="BZ67" s="1486">
        <f t="shared" ca="1" si="176"/>
        <v>0</v>
      </c>
      <c r="CA67" s="1486">
        <f t="shared" ca="1" si="176"/>
        <v>0</v>
      </c>
      <c r="CB67" s="1486">
        <f t="shared" ca="1" si="176"/>
        <v>0</v>
      </c>
      <c r="CC67" s="1486">
        <f t="shared" ca="1" si="176"/>
        <v>0</v>
      </c>
      <c r="CD67" s="1486">
        <f t="shared" ca="1" si="176"/>
        <v>0</v>
      </c>
      <c r="CE67" s="1486">
        <f t="shared" ca="1" si="176"/>
        <v>0</v>
      </c>
      <c r="CF67" s="1486">
        <f t="shared" ca="1" si="176"/>
        <v>0</v>
      </c>
      <c r="CG67" s="1486">
        <f t="shared" ca="1" si="176"/>
        <v>0</v>
      </c>
      <c r="CH67" s="1486">
        <f t="shared" ca="1" si="176"/>
        <v>0</v>
      </c>
      <c r="CI67" s="1486">
        <f t="shared" ca="1" si="176"/>
        <v>0</v>
      </c>
      <c r="CJ67" s="1486">
        <f t="shared" ca="1" si="176"/>
        <v>0</v>
      </c>
      <c r="CK67" s="1486">
        <f t="shared" ca="1" si="176"/>
        <v>0</v>
      </c>
      <c r="CL67" s="1486">
        <f t="shared" ca="1" si="176"/>
        <v>0</v>
      </c>
      <c r="CM67" s="1486">
        <f t="shared" ca="1" si="176"/>
        <v>0</v>
      </c>
      <c r="CN67" s="1486">
        <f t="shared" ca="1" si="176"/>
        <v>0</v>
      </c>
      <c r="CO67" s="1486">
        <f t="shared" ca="1" si="176"/>
        <v>0</v>
      </c>
      <c r="CP67" s="1486">
        <f t="shared" ca="1" si="176"/>
        <v>0</v>
      </c>
      <c r="CQ67" s="1486">
        <f t="shared" ca="1" si="176"/>
        <v>0</v>
      </c>
      <c r="CR67" s="1486">
        <f t="shared" ca="1" si="176"/>
        <v>0</v>
      </c>
      <c r="CS67" s="1486">
        <f t="shared" ca="1" si="176"/>
        <v>0</v>
      </c>
      <c r="CT67" s="1486">
        <f t="shared" ca="1" si="176"/>
        <v>0</v>
      </c>
      <c r="CU67" s="1486">
        <f t="shared" ca="1" si="176"/>
        <v>0</v>
      </c>
      <c r="CV67" s="1486">
        <f t="shared" ca="1" si="176"/>
        <v>0</v>
      </c>
      <c r="CW67" s="1486">
        <f t="shared" ca="1" si="176"/>
        <v>0</v>
      </c>
      <c r="CX67" s="1486">
        <f t="shared" ca="1" si="176"/>
        <v>0</v>
      </c>
      <c r="CY67" s="1486">
        <f t="shared" ca="1" si="176"/>
        <v>0</v>
      </c>
      <c r="CZ67" s="1486">
        <f t="shared" ca="1" si="176"/>
        <v>0</v>
      </c>
      <c r="DA67" s="1486">
        <f t="shared" ca="1" si="176"/>
        <v>0</v>
      </c>
      <c r="DB67" s="1486">
        <f t="shared" ca="1" si="176"/>
        <v>0</v>
      </c>
      <c r="DC67" s="1486">
        <f t="shared" ca="1" si="176"/>
        <v>0</v>
      </c>
      <c r="DD67" s="1486">
        <f t="shared" ca="1" si="176"/>
        <v>0</v>
      </c>
      <c r="DE67" s="1486">
        <f t="shared" ca="1" si="176"/>
        <v>0</v>
      </c>
      <c r="DF67" s="1486">
        <f t="shared" ca="1" si="176"/>
        <v>0</v>
      </c>
      <c r="DH67" s="838">
        <f t="shared" ca="1" si="123"/>
        <v>0</v>
      </c>
    </row>
    <row r="68" spans="1:112" s="743" customFormat="1" ht="15.75" collapsed="1">
      <c r="A68" s="22"/>
      <c r="B68" s="753"/>
      <c r="C68" s="744" t="s">
        <v>77</v>
      </c>
      <c r="D68" s="517" t="str">
        <f>INDEX(Workstreams[Workstream], MATCH($C68, Workstreams[Code], 0))</f>
        <v>Distributed renewable power generation</v>
      </c>
      <c r="E68" s="512"/>
      <c r="G68" s="1021">
        <f ca="1">SUM(G65:G67)</f>
        <v>0</v>
      </c>
      <c r="H68" s="1021">
        <f t="shared" ref="H68:P68" ca="1" si="177">SUM(H65:H67)</f>
        <v>0</v>
      </c>
      <c r="I68" s="1021">
        <f t="shared" ca="1" si="177"/>
        <v>0</v>
      </c>
      <c r="J68" s="1021">
        <f t="shared" ca="1" si="177"/>
        <v>0</v>
      </c>
      <c r="K68" s="1021">
        <f t="shared" ca="1" si="177"/>
        <v>0</v>
      </c>
      <c r="L68" s="1021">
        <f t="shared" ca="1" si="177"/>
        <v>0</v>
      </c>
      <c r="M68" s="1021">
        <f t="shared" ca="1" si="177"/>
        <v>0</v>
      </c>
      <c r="N68" s="1021">
        <f t="shared" ca="1" si="177"/>
        <v>0</v>
      </c>
      <c r="O68" s="1021">
        <f t="shared" ca="1" si="177"/>
        <v>0</v>
      </c>
      <c r="P68" s="1021">
        <f t="shared" ca="1" si="177"/>
        <v>0</v>
      </c>
      <c r="Q68" s="1021">
        <f ca="1">SUM(G68:P68)</f>
        <v>0</v>
      </c>
      <c r="S68" s="970">
        <f t="shared" ref="S68:AJ68" ca="1" si="178">SUM(S65:S67)</f>
        <v>0</v>
      </c>
      <c r="T68" s="970">
        <f t="shared" ca="1" si="178"/>
        <v>0</v>
      </c>
      <c r="U68" s="970">
        <f t="shared" ca="1" si="178"/>
        <v>0</v>
      </c>
      <c r="V68" s="970">
        <f t="shared" ca="1" si="178"/>
        <v>0</v>
      </c>
      <c r="W68" s="970">
        <f t="shared" ca="1" si="178"/>
        <v>0</v>
      </c>
      <c r="X68" s="970">
        <f t="shared" ca="1" si="178"/>
        <v>0</v>
      </c>
      <c r="Y68" s="970">
        <f t="shared" ca="1" si="178"/>
        <v>0</v>
      </c>
      <c r="Z68" s="970">
        <f t="shared" ca="1" si="178"/>
        <v>0</v>
      </c>
      <c r="AA68" s="970">
        <f t="shared" ca="1" si="178"/>
        <v>0</v>
      </c>
      <c r="AB68" s="970">
        <f t="shared" ca="1" si="178"/>
        <v>0</v>
      </c>
      <c r="AC68" s="970">
        <f t="shared" ca="1" si="178"/>
        <v>0</v>
      </c>
      <c r="AD68" s="970">
        <f t="shared" ca="1" si="178"/>
        <v>0</v>
      </c>
      <c r="AE68" s="970">
        <f ca="1">SUM(AE65:AE67)</f>
        <v>0</v>
      </c>
      <c r="AF68" s="970">
        <f t="shared" ca="1" si="178"/>
        <v>0</v>
      </c>
      <c r="AG68" s="970">
        <f t="shared" ca="1" si="178"/>
        <v>0</v>
      </c>
      <c r="AH68" s="970">
        <f ca="1">SUM(AH65:AH67)</f>
        <v>0</v>
      </c>
      <c r="AI68" s="970">
        <f t="shared" ca="1" si="178"/>
        <v>0</v>
      </c>
      <c r="AJ68" s="970">
        <f t="shared" ca="1" si="178"/>
        <v>0</v>
      </c>
      <c r="AK68" s="970">
        <f ca="1">SUM(S68:AJ68)</f>
        <v>0</v>
      </c>
      <c r="AM68" s="976">
        <f t="shared" ref="AM68:BE68" ca="1" si="179">SUM(AM65:AM67)</f>
        <v>0</v>
      </c>
      <c r="AN68" s="976">
        <f t="shared" ca="1" si="179"/>
        <v>0</v>
      </c>
      <c r="AO68" s="976">
        <f t="shared" ca="1" si="179"/>
        <v>0</v>
      </c>
      <c r="AP68" s="976">
        <f t="shared" ca="1" si="179"/>
        <v>0</v>
      </c>
      <c r="AQ68" s="976">
        <f t="shared" ca="1" si="179"/>
        <v>0</v>
      </c>
      <c r="AR68" s="976">
        <f t="shared" ca="1" si="179"/>
        <v>0</v>
      </c>
      <c r="AS68" s="976">
        <f t="shared" ca="1" si="179"/>
        <v>0</v>
      </c>
      <c r="AT68" s="976">
        <f t="shared" ca="1" si="179"/>
        <v>0</v>
      </c>
      <c r="AU68" s="976">
        <f t="shared" ca="1" si="179"/>
        <v>0</v>
      </c>
      <c r="AV68" s="976">
        <f t="shared" ca="1" si="179"/>
        <v>0</v>
      </c>
      <c r="AW68" s="976">
        <f t="shared" ca="1" si="179"/>
        <v>0</v>
      </c>
      <c r="AX68" s="976">
        <f t="shared" ca="1" si="179"/>
        <v>0</v>
      </c>
      <c r="AY68" s="976">
        <f t="shared" ca="1" si="179"/>
        <v>0</v>
      </c>
      <c r="AZ68" s="976">
        <f t="shared" ca="1" si="179"/>
        <v>0</v>
      </c>
      <c r="BA68" s="976">
        <f t="shared" ca="1" si="179"/>
        <v>0</v>
      </c>
      <c r="BB68" s="976">
        <f t="shared" ca="1" si="179"/>
        <v>0</v>
      </c>
      <c r="BC68" s="976">
        <f t="shared" ca="1" si="179"/>
        <v>0</v>
      </c>
      <c r="BD68" s="976">
        <f t="shared" ca="1" si="179"/>
        <v>0</v>
      </c>
      <c r="BE68" s="976">
        <f t="shared" ca="1" si="179"/>
        <v>0</v>
      </c>
      <c r="BF68" s="976">
        <f ca="1">SUM(AM68:BE68)</f>
        <v>0</v>
      </c>
      <c r="BH68" s="990">
        <f ca="1">SUM(BH65:BH67)</f>
        <v>0</v>
      </c>
      <c r="BI68" s="990">
        <f ca="1">SUM(BI65:BI67)</f>
        <v>0</v>
      </c>
      <c r="BJ68" s="990">
        <f ca="1">SUM(BH68:BI68)</f>
        <v>0</v>
      </c>
      <c r="BL68" s="515">
        <f t="shared" ca="1" si="175"/>
        <v>0</v>
      </c>
      <c r="BM68" s="515"/>
      <c r="BN68" s="840"/>
      <c r="BO68" s="1482">
        <f ca="1">SUM(BO65:BO67)</f>
        <v>0</v>
      </c>
      <c r="BP68" s="1482">
        <f t="shared" ref="BP68:DF68" ca="1" si="180">SUM(BP65:BP67)</f>
        <v>0</v>
      </c>
      <c r="BQ68" s="1482">
        <f t="shared" ca="1" si="180"/>
        <v>0</v>
      </c>
      <c r="BR68" s="1482">
        <f t="shared" ca="1" si="180"/>
        <v>0</v>
      </c>
      <c r="BS68" s="1482">
        <f t="shared" ca="1" si="180"/>
        <v>0</v>
      </c>
      <c r="BT68" s="1482">
        <f t="shared" ca="1" si="180"/>
        <v>0</v>
      </c>
      <c r="BU68" s="1482">
        <f t="shared" ca="1" si="180"/>
        <v>0</v>
      </c>
      <c r="BV68" s="1482">
        <f t="shared" ca="1" si="180"/>
        <v>0</v>
      </c>
      <c r="BW68" s="1482">
        <f t="shared" ca="1" si="180"/>
        <v>0</v>
      </c>
      <c r="BX68" s="1482">
        <f t="shared" ca="1" si="180"/>
        <v>0</v>
      </c>
      <c r="BY68" s="1482">
        <f t="shared" ca="1" si="180"/>
        <v>0</v>
      </c>
      <c r="BZ68" s="1482">
        <f t="shared" ca="1" si="180"/>
        <v>0</v>
      </c>
      <c r="CA68" s="1482">
        <f t="shared" ca="1" si="180"/>
        <v>0</v>
      </c>
      <c r="CB68" s="1482">
        <f t="shared" ca="1" si="180"/>
        <v>0</v>
      </c>
      <c r="CC68" s="1482">
        <f t="shared" ca="1" si="180"/>
        <v>0</v>
      </c>
      <c r="CD68" s="1482">
        <f t="shared" ca="1" si="180"/>
        <v>0</v>
      </c>
      <c r="CE68" s="1482">
        <f t="shared" ca="1" si="180"/>
        <v>0</v>
      </c>
      <c r="CF68" s="1482">
        <f t="shared" ca="1" si="180"/>
        <v>0</v>
      </c>
      <c r="CG68" s="1482">
        <f t="shared" ca="1" si="180"/>
        <v>0</v>
      </c>
      <c r="CH68" s="1482">
        <f t="shared" ca="1" si="180"/>
        <v>0</v>
      </c>
      <c r="CI68" s="1482">
        <f t="shared" ca="1" si="180"/>
        <v>0</v>
      </c>
      <c r="CJ68" s="1482">
        <f t="shared" ca="1" si="180"/>
        <v>0</v>
      </c>
      <c r="CK68" s="1482">
        <f t="shared" ca="1" si="180"/>
        <v>0</v>
      </c>
      <c r="CL68" s="1482">
        <f t="shared" ca="1" si="180"/>
        <v>0</v>
      </c>
      <c r="CM68" s="1482">
        <f t="shared" ca="1" si="180"/>
        <v>0</v>
      </c>
      <c r="CN68" s="1482">
        <f t="shared" ca="1" si="180"/>
        <v>0</v>
      </c>
      <c r="CO68" s="1482">
        <f t="shared" ca="1" si="180"/>
        <v>0</v>
      </c>
      <c r="CP68" s="1482">
        <f t="shared" ca="1" si="180"/>
        <v>0</v>
      </c>
      <c r="CQ68" s="1482">
        <f t="shared" ca="1" si="180"/>
        <v>0</v>
      </c>
      <c r="CR68" s="1482">
        <f t="shared" ca="1" si="180"/>
        <v>0</v>
      </c>
      <c r="CS68" s="1482">
        <f t="shared" ca="1" si="180"/>
        <v>0</v>
      </c>
      <c r="CT68" s="1482">
        <f t="shared" ca="1" si="180"/>
        <v>0</v>
      </c>
      <c r="CU68" s="1482">
        <f t="shared" ca="1" si="180"/>
        <v>0</v>
      </c>
      <c r="CV68" s="1482">
        <f t="shared" ca="1" si="180"/>
        <v>0</v>
      </c>
      <c r="CW68" s="1482">
        <f t="shared" ca="1" si="180"/>
        <v>0</v>
      </c>
      <c r="CX68" s="1482">
        <f t="shared" ca="1" si="180"/>
        <v>0</v>
      </c>
      <c r="CY68" s="1482">
        <f t="shared" ca="1" si="180"/>
        <v>0</v>
      </c>
      <c r="CZ68" s="1482">
        <f t="shared" ca="1" si="180"/>
        <v>0</v>
      </c>
      <c r="DA68" s="1482">
        <f t="shared" ca="1" si="180"/>
        <v>0</v>
      </c>
      <c r="DB68" s="1482">
        <f t="shared" ca="1" si="180"/>
        <v>0</v>
      </c>
      <c r="DC68" s="1482">
        <f t="shared" ca="1" si="180"/>
        <v>0</v>
      </c>
      <c r="DD68" s="1482">
        <f t="shared" ca="1" si="180"/>
        <v>0</v>
      </c>
      <c r="DE68" s="1482">
        <f t="shared" ca="1" si="180"/>
        <v>0</v>
      </c>
      <c r="DF68" s="1482">
        <f t="shared" ca="1" si="180"/>
        <v>0</v>
      </c>
      <c r="DH68" s="838">
        <f t="shared" ca="1" si="123"/>
        <v>0</v>
      </c>
    </row>
    <row r="69" spans="1:112" s="743" customFormat="1" ht="12.75" hidden="1" customHeight="1" outlineLevel="1">
      <c r="A69" s="22"/>
      <c r="B69" s="22"/>
      <c r="C69" s="751"/>
      <c r="D69" s="512"/>
      <c r="E69" s="512"/>
      <c r="G69" s="958"/>
      <c r="H69" s="958"/>
      <c r="I69" s="958"/>
      <c r="J69" s="958"/>
      <c r="K69" s="960"/>
      <c r="L69" s="958"/>
      <c r="M69" s="958"/>
      <c r="N69" s="958"/>
      <c r="O69" s="958"/>
      <c r="P69" s="958"/>
      <c r="Q69" s="958"/>
      <c r="S69" s="970"/>
      <c r="T69" s="970"/>
      <c r="U69" s="970"/>
      <c r="V69" s="970"/>
      <c r="W69" s="970"/>
      <c r="X69" s="970"/>
      <c r="Y69" s="970"/>
      <c r="Z69" s="970"/>
      <c r="AA69" s="970"/>
      <c r="AB69" s="970"/>
      <c r="AC69" s="970"/>
      <c r="AD69" s="970"/>
      <c r="AE69" s="970"/>
      <c r="AF69" s="970"/>
      <c r="AG69" s="970"/>
      <c r="AH69" s="970"/>
      <c r="AI69" s="970"/>
      <c r="AJ69" s="970"/>
      <c r="AK69" s="970"/>
      <c r="AM69" s="976"/>
      <c r="AN69" s="976"/>
      <c r="AO69" s="976"/>
      <c r="AP69" s="976"/>
      <c r="AQ69" s="976"/>
      <c r="AR69" s="976"/>
      <c r="AS69" s="976"/>
      <c r="AT69" s="976"/>
      <c r="AU69" s="976"/>
      <c r="AV69" s="976"/>
      <c r="AW69" s="976"/>
      <c r="AX69" s="976"/>
      <c r="AY69" s="976"/>
      <c r="AZ69" s="976"/>
      <c r="BA69" s="976"/>
      <c r="BB69" s="976"/>
      <c r="BC69" s="976"/>
      <c r="BD69" s="976"/>
      <c r="BE69" s="976"/>
      <c r="BF69" s="976"/>
      <c r="BH69" s="990"/>
      <c r="BI69" s="990"/>
      <c r="BJ69" s="990"/>
      <c r="BL69" s="515">
        <f t="shared" si="175"/>
        <v>0</v>
      </c>
      <c r="BM69" s="515"/>
      <c r="BN69" s="22"/>
      <c r="BO69" s="1482"/>
      <c r="BP69" s="1482"/>
      <c r="BQ69" s="1482"/>
      <c r="BR69" s="1482"/>
      <c r="BS69" s="1482"/>
      <c r="BT69" s="1482"/>
      <c r="BU69" s="1482"/>
      <c r="BV69" s="1482"/>
      <c r="BW69" s="1482"/>
      <c r="BX69" s="1482"/>
      <c r="BY69" s="1482"/>
      <c r="BZ69" s="1482"/>
      <c r="CA69" s="1482"/>
      <c r="CB69" s="1482"/>
      <c r="CC69" s="1482"/>
      <c r="CD69" s="1482"/>
      <c r="CE69" s="1482"/>
      <c r="CF69" s="1482"/>
      <c r="CG69" s="1482"/>
      <c r="CH69" s="1482"/>
      <c r="CI69" s="1482"/>
      <c r="CJ69" s="1482"/>
      <c r="CK69" s="1482"/>
      <c r="CL69" s="1482"/>
      <c r="CM69" s="1482"/>
      <c r="CN69" s="1482"/>
      <c r="CO69" s="1482"/>
      <c r="CP69" s="1482"/>
      <c r="CQ69" s="1482"/>
      <c r="CR69" s="1482"/>
      <c r="CS69" s="1482"/>
      <c r="CT69" s="1482"/>
      <c r="CU69" s="1482"/>
      <c r="CV69" s="1482"/>
      <c r="CW69" s="1482"/>
      <c r="CX69" s="1482"/>
      <c r="CY69" s="1482"/>
      <c r="CZ69" s="1482"/>
      <c r="DA69" s="1482"/>
      <c r="DB69" s="1482"/>
      <c r="DC69" s="1482"/>
      <c r="DD69" s="1482"/>
      <c r="DE69" s="1482"/>
      <c r="DF69" s="1482"/>
      <c r="DH69" s="838">
        <f t="shared" si="123"/>
        <v>0</v>
      </c>
    </row>
    <row r="70" spans="1:112" s="1491" customFormat="1" ht="12.75" hidden="1" customHeight="1" outlineLevel="1">
      <c r="C70" s="1534" t="s">
        <v>1718</v>
      </c>
      <c r="D70" s="1535" t="s">
        <v>1340</v>
      </c>
      <c r="E70" s="1535"/>
      <c r="F70" s="1957"/>
      <c r="G70" s="1070"/>
      <c r="H70" s="1070"/>
      <c r="I70" s="1070"/>
      <c r="J70" s="1070"/>
      <c r="K70" s="1071"/>
      <c r="L70" s="1070"/>
      <c r="M70" s="1070"/>
      <c r="N70" s="1070"/>
      <c r="O70" s="1070"/>
      <c r="P70" s="1070"/>
      <c r="Q70" s="1070"/>
      <c r="R70" s="1957"/>
      <c r="S70" s="1072"/>
      <c r="T70" s="1072"/>
      <c r="U70" s="1072"/>
      <c r="V70" s="1072"/>
      <c r="W70" s="1072"/>
      <c r="X70" s="1072"/>
      <c r="Y70" s="1072"/>
      <c r="Z70" s="1072"/>
      <c r="AA70" s="1072"/>
      <c r="AB70" s="1072">
        <f ca="1">AB$40+AB$46+AB$51+AB$99+AB$55+AB$63+AB$68</f>
        <v>-9.243482281981791</v>
      </c>
      <c r="AC70" s="1072"/>
      <c r="AD70" s="1072"/>
      <c r="AE70" s="1072"/>
      <c r="AF70" s="1072"/>
      <c r="AG70" s="1072"/>
      <c r="AH70" s="1072"/>
      <c r="AI70" s="1072"/>
      <c r="AJ70" s="1072"/>
      <c r="AK70" s="1072"/>
      <c r="AL70" s="1957"/>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957"/>
      <c r="BH70" s="1074"/>
      <c r="BI70" s="1074"/>
      <c r="BJ70" s="1074">
        <f>SUM(BH70:BI70)</f>
        <v>0</v>
      </c>
      <c r="BK70" s="1957"/>
      <c r="BL70" s="1536">
        <f t="shared" si="175"/>
        <v>0</v>
      </c>
      <c r="BM70" s="1536"/>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1963"/>
      <c r="CO70" s="1963"/>
      <c r="CP70" s="1963"/>
      <c r="CQ70" s="1963"/>
      <c r="CR70" s="1963"/>
      <c r="CS70" s="1963"/>
      <c r="CT70" s="1963"/>
      <c r="CU70" s="1963"/>
      <c r="CV70" s="1963"/>
      <c r="CW70" s="1963"/>
      <c r="CX70" s="1963"/>
      <c r="CY70" s="1963"/>
      <c r="CZ70" s="1963"/>
      <c r="DA70" s="1963"/>
      <c r="DB70" s="1963"/>
      <c r="DC70" s="1963"/>
      <c r="DD70" s="1963"/>
      <c r="DE70" s="1963"/>
      <c r="DF70" s="1963"/>
      <c r="DH70" s="1962">
        <f t="shared" si="123"/>
        <v>0</v>
      </c>
    </row>
    <row r="71" spans="1:112" s="1484" customFormat="1" ht="12.75" hidden="1" customHeight="1" outlineLevel="1">
      <c r="C71" s="746" t="s">
        <v>1338</v>
      </c>
      <c r="D71" s="1010" t="str">
        <f>INDEX(Modules[Module], MATCH($C71, Modules[Code], 0))</f>
        <v>District heating effective demand</v>
      </c>
      <c r="E71" s="1010"/>
      <c r="F71" s="743"/>
      <c r="G71" s="1022">
        <f t="shared" ref="G71:P71" ca="1" si="181">IFERROR(INDEX(INDIRECT($C71&amp;".Outputs["&amp;this.Year&amp;"]"), MATCH(G$5, INDIRECT($C71&amp;".Outputs[Vector]"), 0)), 0)</f>
        <v>0</v>
      </c>
      <c r="H71" s="1022">
        <f t="shared" ca="1" si="181"/>
        <v>0</v>
      </c>
      <c r="I71" s="1022">
        <f t="shared" ca="1" si="181"/>
        <v>0</v>
      </c>
      <c r="J71" s="1022">
        <f t="shared" ca="1" si="181"/>
        <v>0</v>
      </c>
      <c r="K71" s="1022">
        <f t="shared" ca="1" si="181"/>
        <v>0</v>
      </c>
      <c r="L71" s="1022">
        <f t="shared" ca="1" si="181"/>
        <v>0</v>
      </c>
      <c r="M71" s="1022">
        <f t="shared" ca="1" si="181"/>
        <v>0</v>
      </c>
      <c r="N71" s="1022">
        <f t="shared" ca="1" si="181"/>
        <v>0</v>
      </c>
      <c r="O71" s="1022">
        <f t="shared" ca="1" si="181"/>
        <v>0</v>
      </c>
      <c r="P71" s="1022">
        <f t="shared" ca="1" si="181"/>
        <v>0</v>
      </c>
      <c r="Q71" s="1020">
        <f ca="1">SUM(G71:P71)</f>
        <v>0</v>
      </c>
      <c r="R71" s="743"/>
      <c r="S71" s="1031">
        <f t="shared" ref="S71:BE71" ca="1" si="182">IFERROR(INDEX(INDIRECT($C71&amp;".Outputs["&amp;this.Year&amp;"]"), MATCH(S$5, INDIRECT($C71&amp;".Outputs[Vector]"), 0)), 0)</f>
        <v>0</v>
      </c>
      <c r="T71" s="1031">
        <f t="shared" ca="1" si="182"/>
        <v>-1.3204974688545417</v>
      </c>
      <c r="U71" s="1031">
        <f t="shared" ca="1" si="182"/>
        <v>0</v>
      </c>
      <c r="V71" s="1031">
        <f t="shared" ca="1" si="182"/>
        <v>0</v>
      </c>
      <c r="W71" s="1031">
        <f t="shared" ca="1" si="182"/>
        <v>0</v>
      </c>
      <c r="X71" s="1031">
        <f ca="1">IFERROR(INDEX(INDIRECT($C71&amp;".Outputs["&amp;this.Year&amp;"]"), MATCH(X$5, INDIRECT($C71&amp;".Outputs[Vector]"), 0)), 0)</f>
        <v>0</v>
      </c>
      <c r="Y71" s="1031">
        <f ca="1">IFERROR(INDEX(INDIRECT($C71&amp;".Outputs["&amp;this.Year&amp;"]"), MATCH(Y$5, INDIRECT($C71&amp;".Outputs[Vector]"), 0)), 0)</f>
        <v>0</v>
      </c>
      <c r="Z71" s="1031">
        <f ca="1">IFERROR(INDEX(INDIRECT($C71&amp;".Outputs["&amp;this.Year&amp;"]"), MATCH(Z$5, INDIRECT($C71&amp;".Outputs[Vector]"), 0)), 0)</f>
        <v>0</v>
      </c>
      <c r="AA71" s="1031">
        <f t="shared" ca="1" si="182"/>
        <v>0</v>
      </c>
      <c r="AB71" s="1031">
        <f t="shared" ca="1" si="182"/>
        <v>9.243482281981791</v>
      </c>
      <c r="AC71" s="1031">
        <f t="shared" ca="1" si="182"/>
        <v>0</v>
      </c>
      <c r="AD71" s="1031">
        <f t="shared" ca="1" si="182"/>
        <v>0</v>
      </c>
      <c r="AE71" s="1031">
        <f t="shared" ca="1" si="182"/>
        <v>0</v>
      </c>
      <c r="AF71" s="1031">
        <f t="shared" ca="1" si="182"/>
        <v>0</v>
      </c>
      <c r="AG71" s="1031">
        <f t="shared" ca="1" si="182"/>
        <v>0</v>
      </c>
      <c r="AH71" s="1031">
        <f t="shared" ca="1" si="182"/>
        <v>0</v>
      </c>
      <c r="AI71" s="1031">
        <f t="shared" ca="1" si="182"/>
        <v>0</v>
      </c>
      <c r="AJ71" s="1031">
        <f t="shared" ca="1" si="182"/>
        <v>0</v>
      </c>
      <c r="AK71" s="1030">
        <f ca="1">SUM(S71:AJ71)</f>
        <v>7.9229848131272496</v>
      </c>
      <c r="AL71" s="743"/>
      <c r="AM71" s="1042">
        <f t="shared" ref="AM71:AU71" ca="1" si="183">IFERROR(INDEX(INDIRECT($C71&amp;".Outputs["&amp;this.Year&amp;"]"), MATCH(AM$5, INDIRECT($C71&amp;".Outputs[Vector]"), 0)), 0)</f>
        <v>0</v>
      </c>
      <c r="AN71" s="1042">
        <f t="shared" ca="1" si="183"/>
        <v>0</v>
      </c>
      <c r="AO71" s="1042">
        <f t="shared" ca="1" si="183"/>
        <v>0</v>
      </c>
      <c r="AP71" s="1042">
        <f t="shared" ca="1" si="183"/>
        <v>0</v>
      </c>
      <c r="AQ71" s="1042">
        <f t="shared" ca="1" si="183"/>
        <v>0</v>
      </c>
      <c r="AR71" s="1042">
        <f t="shared" ca="1" si="183"/>
        <v>0</v>
      </c>
      <c r="AS71" s="1042">
        <f t="shared" ca="1" si="183"/>
        <v>0</v>
      </c>
      <c r="AT71" s="1042">
        <f t="shared" ca="1" si="183"/>
        <v>0</v>
      </c>
      <c r="AU71" s="1042">
        <f t="shared" ca="1" si="183"/>
        <v>0</v>
      </c>
      <c r="AV71" s="1042">
        <f t="shared" ca="1" si="182"/>
        <v>0</v>
      </c>
      <c r="AW71" s="1042">
        <f t="shared" ca="1" si="182"/>
        <v>0</v>
      </c>
      <c r="AX71" s="1042">
        <f t="shared" ca="1" si="182"/>
        <v>0</v>
      </c>
      <c r="AY71" s="1042">
        <f t="shared" ca="1" si="182"/>
        <v>0</v>
      </c>
      <c r="AZ71" s="1042">
        <f t="shared" ca="1" si="182"/>
        <v>0</v>
      </c>
      <c r="BA71" s="1042">
        <f t="shared" ca="1" si="182"/>
        <v>0</v>
      </c>
      <c r="BB71" s="1042">
        <f t="shared" ca="1" si="182"/>
        <v>0</v>
      </c>
      <c r="BC71" s="1042">
        <f t="shared" ca="1" si="182"/>
        <v>0</v>
      </c>
      <c r="BD71" s="1042">
        <f t="shared" ca="1" si="182"/>
        <v>0</v>
      </c>
      <c r="BE71" s="1042">
        <f t="shared" ca="1" si="182"/>
        <v>0</v>
      </c>
      <c r="BF71" s="1012">
        <f ca="1">SUM(AM71:BE71)</f>
        <v>0</v>
      </c>
      <c r="BG71" s="743"/>
      <c r="BH71" s="1036">
        <f ca="1">IFERROR(INDEX(INDIRECT($C71&amp;".Outputs["&amp;this.Year&amp;"]"), MATCH(BH$5, INDIRECT($C71&amp;".Outputs[Vector]"), 0)), 0)</f>
        <v>-7.9229848131272496</v>
      </c>
      <c r="BI71" s="1036">
        <f ca="1">IFERROR(INDEX(INDIRECT($C71&amp;".Outputs["&amp;this.Year&amp;"]"), MATCH(BI$5, INDIRECT($C71&amp;".Outputs[Vector]"), 0)), 0)</f>
        <v>0</v>
      </c>
      <c r="BJ71" s="1035">
        <f ca="1">SUM(BH71:BI71)</f>
        <v>-7.9229848131272496</v>
      </c>
      <c r="BK71" s="743"/>
      <c r="BL71" s="814">
        <f ca="1">Q71+AK71+BF71+BJ71</f>
        <v>0</v>
      </c>
      <c r="BM71" s="814"/>
      <c r="BN71" s="840"/>
      <c r="BO71" s="1485">
        <f t="shared" ref="BO71:DF71" ca="1" si="184">IFERROR(SUMIFS(INDIRECT($C71&amp;".Emissions["&amp;this.Year&amp;"]"), INDIRECT($C71&amp;".Emissions[GHG]"), BO$6, INDIRECT($C71&amp;".Emissions[IPCC Sector]"), BO$5),0)</f>
        <v>0</v>
      </c>
      <c r="BP71" s="1486">
        <f t="shared" ca="1" si="184"/>
        <v>0</v>
      </c>
      <c r="BQ71" s="1486">
        <f t="shared" ca="1" si="184"/>
        <v>0</v>
      </c>
      <c r="BR71" s="1486">
        <f t="shared" ca="1" si="184"/>
        <v>0</v>
      </c>
      <c r="BS71" s="1486">
        <f t="shared" ca="1" si="184"/>
        <v>0</v>
      </c>
      <c r="BT71" s="1486">
        <f t="shared" ca="1" si="184"/>
        <v>0</v>
      </c>
      <c r="BU71" s="1486">
        <f t="shared" ca="1" si="184"/>
        <v>0</v>
      </c>
      <c r="BV71" s="1486">
        <f t="shared" ca="1" si="184"/>
        <v>0</v>
      </c>
      <c r="BW71" s="1486">
        <f t="shared" ca="1" si="184"/>
        <v>0</v>
      </c>
      <c r="BX71" s="1486">
        <f t="shared" ca="1" si="184"/>
        <v>0</v>
      </c>
      <c r="BY71" s="1486">
        <f t="shared" ca="1" si="184"/>
        <v>0</v>
      </c>
      <c r="BZ71" s="1486">
        <f t="shared" ca="1" si="184"/>
        <v>0</v>
      </c>
      <c r="CA71" s="1486">
        <f t="shared" ca="1" si="184"/>
        <v>0</v>
      </c>
      <c r="CB71" s="1486">
        <f t="shared" ca="1" si="184"/>
        <v>0</v>
      </c>
      <c r="CC71" s="1486">
        <f t="shared" ca="1" si="184"/>
        <v>0</v>
      </c>
      <c r="CD71" s="1486">
        <f t="shared" ca="1" si="184"/>
        <v>0</v>
      </c>
      <c r="CE71" s="1486">
        <f t="shared" ca="1" si="184"/>
        <v>0</v>
      </c>
      <c r="CF71" s="1486">
        <f t="shared" ca="1" si="184"/>
        <v>0</v>
      </c>
      <c r="CG71" s="1486">
        <f t="shared" ca="1" si="184"/>
        <v>0</v>
      </c>
      <c r="CH71" s="1486">
        <f t="shared" ca="1" si="184"/>
        <v>0</v>
      </c>
      <c r="CI71" s="1486">
        <f t="shared" ca="1" si="184"/>
        <v>0</v>
      </c>
      <c r="CJ71" s="1486">
        <f t="shared" ca="1" si="184"/>
        <v>0</v>
      </c>
      <c r="CK71" s="1486">
        <f t="shared" ca="1" si="184"/>
        <v>0</v>
      </c>
      <c r="CL71" s="1486">
        <f t="shared" ca="1" si="184"/>
        <v>0</v>
      </c>
      <c r="CM71" s="1486">
        <f t="shared" ca="1" si="184"/>
        <v>0</v>
      </c>
      <c r="CN71" s="1486">
        <f t="shared" ca="1" si="184"/>
        <v>0</v>
      </c>
      <c r="CO71" s="1486">
        <f t="shared" ca="1" si="184"/>
        <v>0</v>
      </c>
      <c r="CP71" s="1486">
        <f t="shared" ca="1" si="184"/>
        <v>0</v>
      </c>
      <c r="CQ71" s="1486">
        <f t="shared" ca="1" si="184"/>
        <v>0</v>
      </c>
      <c r="CR71" s="1486">
        <f t="shared" ca="1" si="184"/>
        <v>0</v>
      </c>
      <c r="CS71" s="1486">
        <f t="shared" ca="1" si="184"/>
        <v>0</v>
      </c>
      <c r="CT71" s="1486">
        <f t="shared" ca="1" si="184"/>
        <v>0</v>
      </c>
      <c r="CU71" s="1486">
        <f t="shared" ca="1" si="184"/>
        <v>0</v>
      </c>
      <c r="CV71" s="1486">
        <f t="shared" ca="1" si="184"/>
        <v>0</v>
      </c>
      <c r="CW71" s="1486">
        <f t="shared" ca="1" si="184"/>
        <v>0</v>
      </c>
      <c r="CX71" s="1486">
        <f t="shared" ca="1" si="184"/>
        <v>0</v>
      </c>
      <c r="CY71" s="1486">
        <f t="shared" ca="1" si="184"/>
        <v>0</v>
      </c>
      <c r="CZ71" s="1486">
        <f t="shared" ca="1" si="184"/>
        <v>0</v>
      </c>
      <c r="DA71" s="1486">
        <f t="shared" ca="1" si="184"/>
        <v>0</v>
      </c>
      <c r="DB71" s="1486">
        <f t="shared" ca="1" si="184"/>
        <v>0</v>
      </c>
      <c r="DC71" s="1486">
        <f t="shared" ca="1" si="184"/>
        <v>0</v>
      </c>
      <c r="DD71" s="1486">
        <f t="shared" ca="1" si="184"/>
        <v>0</v>
      </c>
      <c r="DE71" s="1486">
        <f t="shared" ca="1" si="184"/>
        <v>0</v>
      </c>
      <c r="DF71" s="1486">
        <f t="shared" ca="1" si="184"/>
        <v>0</v>
      </c>
      <c r="DH71" s="838">
        <f t="shared" ca="1" si="123"/>
        <v>0</v>
      </c>
    </row>
    <row r="72" spans="1:112" s="743" customFormat="1" ht="15.75" collapsed="1">
      <c r="A72" s="22"/>
      <c r="B72" s="753"/>
      <c r="C72" s="744" t="s">
        <v>1336</v>
      </c>
      <c r="D72" s="517" t="str">
        <f>INDEX(Workstreams[Workstream], MATCH($C72, Workstreams[Code], 0))</f>
        <v>District heating</v>
      </c>
      <c r="E72" s="512"/>
      <c r="G72" s="1021">
        <f ca="1">G71</f>
        <v>0</v>
      </c>
      <c r="H72" s="1021">
        <f t="shared" ref="H72:P72" ca="1" si="185">H71</f>
        <v>0</v>
      </c>
      <c r="I72" s="1021">
        <f t="shared" ca="1" si="185"/>
        <v>0</v>
      </c>
      <c r="J72" s="1021">
        <f t="shared" ca="1" si="185"/>
        <v>0</v>
      </c>
      <c r="K72" s="1021">
        <f t="shared" ca="1" si="185"/>
        <v>0</v>
      </c>
      <c r="L72" s="1021">
        <f t="shared" ca="1" si="185"/>
        <v>0</v>
      </c>
      <c r="M72" s="1021">
        <f t="shared" ca="1" si="185"/>
        <v>0</v>
      </c>
      <c r="N72" s="1021">
        <f t="shared" ca="1" si="185"/>
        <v>0</v>
      </c>
      <c r="O72" s="1021">
        <f t="shared" ca="1" si="185"/>
        <v>0</v>
      </c>
      <c r="P72" s="1021">
        <f t="shared" ca="1" si="185"/>
        <v>0</v>
      </c>
      <c r="Q72" s="1021">
        <f ca="1">SUM(G72:P72)</f>
        <v>0</v>
      </c>
      <c r="S72" s="970">
        <f t="shared" ref="S72:AJ72" ca="1" si="186">S71</f>
        <v>0</v>
      </c>
      <c r="T72" s="970">
        <f t="shared" ca="1" si="186"/>
        <v>-1.3204974688545417</v>
      </c>
      <c r="U72" s="970">
        <f t="shared" ca="1" si="186"/>
        <v>0</v>
      </c>
      <c r="V72" s="970">
        <f t="shared" ca="1" si="186"/>
        <v>0</v>
      </c>
      <c r="W72" s="970">
        <f t="shared" ca="1" si="186"/>
        <v>0</v>
      </c>
      <c r="X72" s="970">
        <f t="shared" ca="1" si="186"/>
        <v>0</v>
      </c>
      <c r="Y72" s="970">
        <f t="shared" ca="1" si="186"/>
        <v>0</v>
      </c>
      <c r="Z72" s="970">
        <f t="shared" ca="1" si="186"/>
        <v>0</v>
      </c>
      <c r="AA72" s="970">
        <f t="shared" ca="1" si="186"/>
        <v>0</v>
      </c>
      <c r="AB72" s="970">
        <f t="shared" ca="1" si="186"/>
        <v>9.243482281981791</v>
      </c>
      <c r="AC72" s="970">
        <f t="shared" ca="1" si="186"/>
        <v>0</v>
      </c>
      <c r="AD72" s="970">
        <f ca="1">AD71</f>
        <v>0</v>
      </c>
      <c r="AE72" s="970">
        <f ca="1">AE71</f>
        <v>0</v>
      </c>
      <c r="AF72" s="970">
        <f t="shared" ca="1" si="186"/>
        <v>0</v>
      </c>
      <c r="AG72" s="970">
        <f t="shared" ca="1" si="186"/>
        <v>0</v>
      </c>
      <c r="AH72" s="970">
        <f ca="1">AH71</f>
        <v>0</v>
      </c>
      <c r="AI72" s="970">
        <f ca="1">AI71</f>
        <v>0</v>
      </c>
      <c r="AJ72" s="970">
        <f t="shared" ca="1" si="186"/>
        <v>0</v>
      </c>
      <c r="AK72" s="970">
        <f ca="1">SUM(S72:AJ72)</f>
        <v>7.9229848131272496</v>
      </c>
      <c r="AM72" s="976">
        <f ca="1">AM71</f>
        <v>0</v>
      </c>
      <c r="AN72" s="976">
        <f t="shared" ref="AN72:BE72" ca="1" si="187">AN71</f>
        <v>0</v>
      </c>
      <c r="AO72" s="976">
        <f t="shared" ca="1" si="187"/>
        <v>0</v>
      </c>
      <c r="AP72" s="976">
        <f t="shared" ca="1" si="187"/>
        <v>0</v>
      </c>
      <c r="AQ72" s="976">
        <f t="shared" ca="1" si="187"/>
        <v>0</v>
      </c>
      <c r="AR72" s="976">
        <f t="shared" ca="1" si="187"/>
        <v>0</v>
      </c>
      <c r="AS72" s="976">
        <f t="shared" ca="1" si="187"/>
        <v>0</v>
      </c>
      <c r="AT72" s="976">
        <f t="shared" ca="1" si="187"/>
        <v>0</v>
      </c>
      <c r="AU72" s="976">
        <f t="shared" ca="1" si="187"/>
        <v>0</v>
      </c>
      <c r="AV72" s="976">
        <f t="shared" ca="1" si="187"/>
        <v>0</v>
      </c>
      <c r="AW72" s="976">
        <f t="shared" ca="1" si="187"/>
        <v>0</v>
      </c>
      <c r="AX72" s="976">
        <f t="shared" ca="1" si="187"/>
        <v>0</v>
      </c>
      <c r="AY72" s="976">
        <f t="shared" ca="1" si="187"/>
        <v>0</v>
      </c>
      <c r="AZ72" s="976">
        <f t="shared" ca="1" si="187"/>
        <v>0</v>
      </c>
      <c r="BA72" s="976">
        <f t="shared" ca="1" si="187"/>
        <v>0</v>
      </c>
      <c r="BB72" s="976">
        <f t="shared" ca="1" si="187"/>
        <v>0</v>
      </c>
      <c r="BC72" s="976">
        <f t="shared" ca="1" si="187"/>
        <v>0</v>
      </c>
      <c r="BD72" s="976">
        <f t="shared" ca="1" si="187"/>
        <v>0</v>
      </c>
      <c r="BE72" s="976">
        <f t="shared" ca="1" si="187"/>
        <v>0</v>
      </c>
      <c r="BF72" s="976">
        <f ca="1">SUM(AM72:BE72)</f>
        <v>0</v>
      </c>
      <c r="BH72" s="990">
        <f ca="1">BH71</f>
        <v>-7.9229848131272496</v>
      </c>
      <c r="BI72" s="990">
        <f ca="1">BI71</f>
        <v>0</v>
      </c>
      <c r="BJ72" s="990">
        <f ca="1">SUM(BH72:BI72)</f>
        <v>-7.9229848131272496</v>
      </c>
      <c r="BL72" s="515">
        <f ca="1">Q72+AK72+BF72+BJ72</f>
        <v>0</v>
      </c>
      <c r="BM72" s="515"/>
      <c r="BN72" s="840"/>
      <c r="BO72" s="1482">
        <f t="shared" ref="BO72:DF72" ca="1" si="188">BO71</f>
        <v>0</v>
      </c>
      <c r="BP72" s="1482">
        <f t="shared" ca="1" si="188"/>
        <v>0</v>
      </c>
      <c r="BQ72" s="1482">
        <f t="shared" ca="1" si="188"/>
        <v>0</v>
      </c>
      <c r="BR72" s="1482">
        <f t="shared" ca="1" si="188"/>
        <v>0</v>
      </c>
      <c r="BS72" s="1482">
        <f t="shared" ca="1" si="188"/>
        <v>0</v>
      </c>
      <c r="BT72" s="1482">
        <f t="shared" ca="1" si="188"/>
        <v>0</v>
      </c>
      <c r="BU72" s="1482">
        <f t="shared" ca="1" si="188"/>
        <v>0</v>
      </c>
      <c r="BV72" s="1482">
        <f t="shared" ca="1" si="188"/>
        <v>0</v>
      </c>
      <c r="BW72" s="1482">
        <f t="shared" ca="1" si="188"/>
        <v>0</v>
      </c>
      <c r="BX72" s="1482">
        <f t="shared" ca="1" si="188"/>
        <v>0</v>
      </c>
      <c r="BY72" s="1482">
        <f t="shared" ca="1" si="188"/>
        <v>0</v>
      </c>
      <c r="BZ72" s="1482">
        <f t="shared" ca="1" si="188"/>
        <v>0</v>
      </c>
      <c r="CA72" s="1482">
        <f t="shared" ca="1" si="188"/>
        <v>0</v>
      </c>
      <c r="CB72" s="1482">
        <f t="shared" ca="1" si="188"/>
        <v>0</v>
      </c>
      <c r="CC72" s="1482">
        <f t="shared" ca="1" si="188"/>
        <v>0</v>
      </c>
      <c r="CD72" s="1482">
        <f t="shared" ca="1" si="188"/>
        <v>0</v>
      </c>
      <c r="CE72" s="1482">
        <f t="shared" ca="1" si="188"/>
        <v>0</v>
      </c>
      <c r="CF72" s="1482">
        <f t="shared" ca="1" si="188"/>
        <v>0</v>
      </c>
      <c r="CG72" s="1482">
        <f t="shared" ca="1" si="188"/>
        <v>0</v>
      </c>
      <c r="CH72" s="1482">
        <f t="shared" ca="1" si="188"/>
        <v>0</v>
      </c>
      <c r="CI72" s="1482">
        <f t="shared" ca="1" si="188"/>
        <v>0</v>
      </c>
      <c r="CJ72" s="1482">
        <f t="shared" ca="1" si="188"/>
        <v>0</v>
      </c>
      <c r="CK72" s="1482">
        <f t="shared" ca="1" si="188"/>
        <v>0</v>
      </c>
      <c r="CL72" s="1482">
        <f t="shared" ca="1" si="188"/>
        <v>0</v>
      </c>
      <c r="CM72" s="1482">
        <f t="shared" ca="1" si="188"/>
        <v>0</v>
      </c>
      <c r="CN72" s="1482">
        <f t="shared" ca="1" si="188"/>
        <v>0</v>
      </c>
      <c r="CO72" s="1482">
        <f t="shared" ca="1" si="188"/>
        <v>0</v>
      </c>
      <c r="CP72" s="1482">
        <f t="shared" ca="1" si="188"/>
        <v>0</v>
      </c>
      <c r="CQ72" s="1482">
        <f t="shared" ca="1" si="188"/>
        <v>0</v>
      </c>
      <c r="CR72" s="1482">
        <f t="shared" ca="1" si="188"/>
        <v>0</v>
      </c>
      <c r="CS72" s="1482">
        <f t="shared" ca="1" si="188"/>
        <v>0</v>
      </c>
      <c r="CT72" s="1482">
        <f t="shared" ca="1" si="188"/>
        <v>0</v>
      </c>
      <c r="CU72" s="1482">
        <f t="shared" ca="1" si="188"/>
        <v>0</v>
      </c>
      <c r="CV72" s="1482">
        <f t="shared" ca="1" si="188"/>
        <v>0</v>
      </c>
      <c r="CW72" s="1482">
        <f t="shared" ca="1" si="188"/>
        <v>0</v>
      </c>
      <c r="CX72" s="1482">
        <f t="shared" ca="1" si="188"/>
        <v>0</v>
      </c>
      <c r="CY72" s="1482">
        <f t="shared" ca="1" si="188"/>
        <v>0</v>
      </c>
      <c r="CZ72" s="1482">
        <f t="shared" ca="1" si="188"/>
        <v>0</v>
      </c>
      <c r="DA72" s="1482">
        <f t="shared" ca="1" si="188"/>
        <v>0</v>
      </c>
      <c r="DB72" s="1482">
        <f t="shared" ca="1" si="188"/>
        <v>0</v>
      </c>
      <c r="DC72" s="1482">
        <f t="shared" ca="1" si="188"/>
        <v>0</v>
      </c>
      <c r="DD72" s="1482">
        <f t="shared" ca="1" si="188"/>
        <v>0</v>
      </c>
      <c r="DE72" s="1482">
        <f t="shared" ca="1" si="188"/>
        <v>0</v>
      </c>
      <c r="DF72" s="1482">
        <f t="shared" ca="1" si="188"/>
        <v>0</v>
      </c>
      <c r="DH72" s="838">
        <f t="shared" ca="1" si="123"/>
        <v>0</v>
      </c>
    </row>
    <row r="73" spans="1:112" s="743" customFormat="1" ht="12.75" hidden="1" customHeight="1" outlineLevel="1">
      <c r="A73" s="22"/>
      <c r="B73" s="22"/>
      <c r="C73" s="751"/>
      <c r="D73" s="512"/>
      <c r="E73" s="512"/>
      <c r="G73" s="958"/>
      <c r="H73" s="958"/>
      <c r="I73" s="958"/>
      <c r="J73" s="958"/>
      <c r="K73" s="960"/>
      <c r="L73" s="958"/>
      <c r="M73" s="958"/>
      <c r="N73" s="958"/>
      <c r="O73" s="958"/>
      <c r="P73" s="958"/>
      <c r="Q73" s="958"/>
      <c r="S73" s="970"/>
      <c r="T73" s="970"/>
      <c r="U73" s="970"/>
      <c r="V73" s="970"/>
      <c r="W73" s="970"/>
      <c r="X73" s="970"/>
      <c r="Y73" s="970"/>
      <c r="Z73" s="970"/>
      <c r="AA73" s="970"/>
      <c r="AB73" s="970"/>
      <c r="AC73" s="970"/>
      <c r="AD73" s="970"/>
      <c r="AE73" s="970"/>
      <c r="AF73" s="970"/>
      <c r="AG73" s="970"/>
      <c r="AH73" s="970"/>
      <c r="AI73" s="970"/>
      <c r="AJ73" s="970"/>
      <c r="AK73" s="970"/>
      <c r="AM73" s="976"/>
      <c r="AN73" s="976"/>
      <c r="AO73" s="976"/>
      <c r="AP73" s="976"/>
      <c r="AQ73" s="976"/>
      <c r="AR73" s="976"/>
      <c r="AS73" s="976"/>
      <c r="AT73" s="976"/>
      <c r="AU73" s="976"/>
      <c r="AV73" s="976"/>
      <c r="AW73" s="976"/>
      <c r="AX73" s="976"/>
      <c r="AY73" s="976"/>
      <c r="AZ73" s="976"/>
      <c r="BA73" s="976"/>
      <c r="BB73" s="976"/>
      <c r="BC73" s="976"/>
      <c r="BD73" s="976"/>
      <c r="BE73" s="976"/>
      <c r="BF73" s="976"/>
      <c r="BH73" s="990"/>
      <c r="BI73" s="990"/>
      <c r="BJ73" s="990"/>
      <c r="BL73" s="515"/>
      <c r="BM73" s="515"/>
      <c r="BN73" s="22"/>
      <c r="BO73" s="1482"/>
      <c r="BP73" s="1482"/>
      <c r="BQ73" s="1482"/>
      <c r="BR73" s="1482"/>
      <c r="BS73" s="1482"/>
      <c r="BT73" s="1482"/>
      <c r="BU73" s="1482"/>
      <c r="BV73" s="1482"/>
      <c r="BW73" s="1482"/>
      <c r="BX73" s="1482"/>
      <c r="BY73" s="1482"/>
      <c r="BZ73" s="1482"/>
      <c r="CA73" s="1482"/>
      <c r="CB73" s="1482"/>
      <c r="CC73" s="1482"/>
      <c r="CD73" s="1482"/>
      <c r="CE73" s="1482"/>
      <c r="CF73" s="1482"/>
      <c r="CG73" s="1482"/>
      <c r="CH73" s="1482"/>
      <c r="CI73" s="1482"/>
      <c r="CJ73" s="1482"/>
      <c r="CK73" s="1482"/>
      <c r="CL73" s="1482"/>
      <c r="CM73" s="1482"/>
      <c r="CN73" s="1482"/>
      <c r="CO73" s="1482"/>
      <c r="CP73" s="1482"/>
      <c r="CQ73" s="1482"/>
      <c r="CR73" s="1482"/>
      <c r="CS73" s="1482"/>
      <c r="CT73" s="1482"/>
      <c r="CU73" s="1482"/>
      <c r="CV73" s="1482"/>
      <c r="CW73" s="1482"/>
      <c r="CX73" s="1482"/>
      <c r="CY73" s="1482"/>
      <c r="CZ73" s="1482"/>
      <c r="DA73" s="1482"/>
      <c r="DB73" s="1482"/>
      <c r="DC73" s="1482"/>
      <c r="DD73" s="1482"/>
      <c r="DE73" s="1482"/>
      <c r="DF73" s="1482"/>
      <c r="DH73" s="838">
        <f t="shared" si="123"/>
        <v>0</v>
      </c>
    </row>
    <row r="74" spans="1:112" s="1488" customFormat="1" ht="12.75" hidden="1" customHeight="1" outlineLevel="1">
      <c r="C74" s="1048" t="s">
        <v>1719</v>
      </c>
      <c r="D74" s="1049" t="s">
        <v>1334</v>
      </c>
      <c r="E74" s="1049"/>
      <c r="F74" s="743"/>
      <c r="G74" s="1050"/>
      <c r="H74" s="1050"/>
      <c r="I74" s="1050"/>
      <c r="J74" s="1050"/>
      <c r="K74" s="1051"/>
      <c r="L74" s="1050"/>
      <c r="M74" s="1050"/>
      <c r="N74" s="1050"/>
      <c r="O74" s="1050"/>
      <c r="P74" s="1050"/>
      <c r="Q74" s="1050"/>
      <c r="R74" s="743"/>
      <c r="S74" s="1052">
        <f ca="1">S$40+S$46+S$51+S$99+S$55+S$93+S$63+S$68+S$72</f>
        <v>-409.73117353201741</v>
      </c>
      <c r="T74" s="1052">
        <f ca="1">T$40+T$46+T$51+T$99+T$55+T$93+T$63+T$68+T$72</f>
        <v>1.841588378180673</v>
      </c>
      <c r="U74" s="1052"/>
      <c r="V74" s="1052"/>
      <c r="W74" s="1052"/>
      <c r="X74" s="1052"/>
      <c r="Y74" s="1052"/>
      <c r="Z74" s="1052"/>
      <c r="AA74" s="1052"/>
      <c r="AB74" s="1052"/>
      <c r="AC74" s="1052"/>
      <c r="AD74" s="1052"/>
      <c r="AE74" s="1052"/>
      <c r="AF74" s="1052"/>
      <c r="AG74" s="1052"/>
      <c r="AH74" s="1052"/>
      <c r="AI74" s="1052"/>
      <c r="AJ74" s="1052"/>
      <c r="AK74" s="1052"/>
      <c r="AL74" s="743"/>
      <c r="AM74" s="1053"/>
      <c r="AN74" s="1053"/>
      <c r="AO74" s="1053"/>
      <c r="AP74" s="1053"/>
      <c r="AQ74" s="1053"/>
      <c r="AR74" s="1053"/>
      <c r="AS74" s="1053"/>
      <c r="AT74" s="1053"/>
      <c r="AU74" s="1053"/>
      <c r="AV74" s="1053"/>
      <c r="AW74" s="1053"/>
      <c r="AX74" s="1053"/>
      <c r="AY74" s="1053"/>
      <c r="AZ74" s="1053"/>
      <c r="BA74" s="1053"/>
      <c r="BB74" s="1053"/>
      <c r="BC74" s="1053"/>
      <c r="BD74" s="1053"/>
      <c r="BE74" s="1053"/>
      <c r="BF74" s="1053"/>
      <c r="BG74" s="743"/>
      <c r="BH74" s="1054"/>
      <c r="BI74" s="1054"/>
      <c r="BJ74" s="1054">
        <f>SUM(BH74:BI74)</f>
        <v>0</v>
      </c>
      <c r="BK74" s="743"/>
      <c r="BL74" s="852">
        <f t="shared" ref="BL74:BL80" si="189">Q74+AK74+BF74+BJ74</f>
        <v>0</v>
      </c>
      <c r="BM74" s="852"/>
      <c r="BO74" s="1490"/>
      <c r="BP74" s="1490"/>
      <c r="BQ74" s="1490"/>
      <c r="BR74" s="1490"/>
      <c r="BS74" s="1490"/>
      <c r="BT74" s="1490"/>
      <c r="BU74" s="1490"/>
      <c r="BV74" s="1490"/>
      <c r="BW74" s="1490"/>
      <c r="BX74" s="1490"/>
      <c r="BY74" s="1490"/>
      <c r="BZ74" s="1490"/>
      <c r="CA74" s="1490"/>
      <c r="CB74" s="1490"/>
      <c r="CC74" s="1490"/>
      <c r="CD74" s="1490"/>
      <c r="CE74" s="1490"/>
      <c r="CF74" s="1490"/>
      <c r="CG74" s="1490"/>
      <c r="CH74" s="1490"/>
      <c r="CI74" s="1490"/>
      <c r="CJ74" s="1490"/>
      <c r="CK74" s="1490"/>
      <c r="CL74" s="1490"/>
      <c r="CM74" s="1490"/>
      <c r="CN74" s="1490"/>
      <c r="CO74" s="1490"/>
      <c r="CP74" s="1490"/>
      <c r="CQ74" s="1490"/>
      <c r="CR74" s="1490"/>
      <c r="CS74" s="1490"/>
      <c r="CT74" s="1490"/>
      <c r="CU74" s="1490"/>
      <c r="CV74" s="1490"/>
      <c r="CW74" s="1490"/>
      <c r="CX74" s="1490"/>
      <c r="CY74" s="1490"/>
      <c r="CZ74" s="1490"/>
      <c r="DA74" s="1490"/>
      <c r="DB74" s="1490"/>
      <c r="DC74" s="1490"/>
      <c r="DD74" s="1490"/>
      <c r="DE74" s="1490"/>
      <c r="DF74" s="1490"/>
      <c r="DH74" s="838">
        <f t="shared" si="123"/>
        <v>0</v>
      </c>
    </row>
    <row r="75" spans="1:112" s="1484" customFormat="1" ht="12.75" hidden="1" customHeight="1" outlineLevel="1">
      <c r="C75" s="746" t="s">
        <v>756</v>
      </c>
      <c r="D75" s="1010" t="str">
        <f>INDEX(Modules[Module], MATCH($C75, Modules[Code], 0))</f>
        <v>Nuclear power</v>
      </c>
      <c r="E75" s="1010"/>
      <c r="F75" s="743"/>
      <c r="G75" s="1022">
        <f t="shared" ref="G75:P75" ca="1" si="190">IFERROR(INDEX(INDIRECT($C75&amp;".Outputs["&amp;this.Year&amp;"]"), MATCH(G$5, INDIRECT($C75&amp;".Outputs[Vector]"), 0)), 0)</f>
        <v>0</v>
      </c>
      <c r="H75" s="1022">
        <f t="shared" ca="1" si="190"/>
        <v>0</v>
      </c>
      <c r="I75" s="1022">
        <f t="shared" ca="1" si="190"/>
        <v>0</v>
      </c>
      <c r="J75" s="1022">
        <f t="shared" ca="1" si="190"/>
        <v>0</v>
      </c>
      <c r="K75" s="1022">
        <f t="shared" ca="1" si="190"/>
        <v>0</v>
      </c>
      <c r="L75" s="1022">
        <f t="shared" ca="1" si="190"/>
        <v>0</v>
      </c>
      <c r="M75" s="1022">
        <f t="shared" ca="1" si="190"/>
        <v>0</v>
      </c>
      <c r="N75" s="1022">
        <f t="shared" ca="1" si="190"/>
        <v>0</v>
      </c>
      <c r="O75" s="1022">
        <f t="shared" ca="1" si="190"/>
        <v>0</v>
      </c>
      <c r="P75" s="1022">
        <f t="shared" ca="1" si="190"/>
        <v>0</v>
      </c>
      <c r="Q75" s="1020">
        <f ca="1">SUM(G75:P75)</f>
        <v>0</v>
      </c>
      <c r="R75" s="743"/>
      <c r="S75" s="1031">
        <f t="shared" ref="S75:BE75" ca="1" si="191">IFERROR(INDEX(INDIRECT($C75&amp;".Outputs["&amp;this.Year&amp;"]"), MATCH(S$5, INDIRECT($C75&amp;".Outputs[Vector]"), 0)), 0)</f>
        <v>0</v>
      </c>
      <c r="T75" s="1031">
        <f t="shared" ca="1" si="191"/>
        <v>0</v>
      </c>
      <c r="U75" s="1031">
        <f t="shared" ca="1" si="191"/>
        <v>0</v>
      </c>
      <c r="V75" s="1031">
        <f t="shared" ca="1" si="191"/>
        <v>0</v>
      </c>
      <c r="W75" s="1031">
        <f t="shared" ca="1" si="191"/>
        <v>0</v>
      </c>
      <c r="X75" s="1031">
        <f ca="1">IFERROR(INDEX(INDIRECT($C75&amp;".Outputs["&amp;this.Year&amp;"]"), MATCH(X$5, INDIRECT($C75&amp;".Outputs[Vector]"), 0)), 0)</f>
        <v>0</v>
      </c>
      <c r="Y75" s="1031">
        <f ca="1">IFERROR(INDEX(INDIRECT($C75&amp;".Outputs["&amp;this.Year&amp;"]"), MATCH(Y$5, INDIRECT($C75&amp;".Outputs[Vector]"), 0)), 0)</f>
        <v>0</v>
      </c>
      <c r="Z75" s="1031">
        <f ca="1">IFERROR(INDEX(INDIRECT($C75&amp;".Outputs["&amp;this.Year&amp;"]"), MATCH(Z$5, INDIRECT($C75&amp;".Outputs[Vector]"), 0)), 0)</f>
        <v>0</v>
      </c>
      <c r="AA75" s="1031">
        <f t="shared" ca="1" si="191"/>
        <v>0</v>
      </c>
      <c r="AB75" s="1031">
        <f t="shared" ca="1" si="191"/>
        <v>0</v>
      </c>
      <c r="AC75" s="1031">
        <f t="shared" ca="1" si="191"/>
        <v>0</v>
      </c>
      <c r="AD75" s="1031">
        <f t="shared" ca="1" si="191"/>
        <v>0</v>
      </c>
      <c r="AE75" s="1031">
        <f t="shared" ca="1" si="191"/>
        <v>0</v>
      </c>
      <c r="AF75" s="1031">
        <f t="shared" ca="1" si="191"/>
        <v>0</v>
      </c>
      <c r="AG75" s="1031">
        <f t="shared" ca="1" si="191"/>
        <v>0</v>
      </c>
      <c r="AH75" s="1031">
        <f t="shared" ca="1" si="191"/>
        <v>0</v>
      </c>
      <c r="AI75" s="1031">
        <f t="shared" ca="1" si="191"/>
        <v>0</v>
      </c>
      <c r="AJ75" s="1031">
        <f t="shared" ca="1" si="191"/>
        <v>0</v>
      </c>
      <c r="AK75" s="1030">
        <f ca="1">SUM(S75:AJ75)</f>
        <v>0</v>
      </c>
      <c r="AL75" s="743"/>
      <c r="AM75" s="1042">
        <f t="shared" ref="AM75:AU75" ca="1" si="192">IFERROR(INDEX(INDIRECT($C75&amp;".Outputs["&amp;this.Year&amp;"]"), MATCH(AM$5, INDIRECT($C75&amp;".Outputs[Vector]"), 0)), 0)</f>
        <v>0</v>
      </c>
      <c r="AN75" s="1042">
        <f t="shared" ca="1" si="192"/>
        <v>0</v>
      </c>
      <c r="AO75" s="1042">
        <f t="shared" ca="1" si="192"/>
        <v>0</v>
      </c>
      <c r="AP75" s="1042">
        <f t="shared" ca="1" si="192"/>
        <v>0</v>
      </c>
      <c r="AQ75" s="1042">
        <f t="shared" ca="1" si="192"/>
        <v>0</v>
      </c>
      <c r="AR75" s="1042">
        <f t="shared" ca="1" si="192"/>
        <v>0</v>
      </c>
      <c r="AS75" s="1042">
        <f t="shared" ca="1" si="192"/>
        <v>0</v>
      </c>
      <c r="AT75" s="1042">
        <f t="shared" ca="1" si="192"/>
        <v>0</v>
      </c>
      <c r="AU75" s="1042">
        <f t="shared" ca="1" si="192"/>
        <v>0</v>
      </c>
      <c r="AV75" s="1042">
        <f t="shared" ca="1" si="191"/>
        <v>0</v>
      </c>
      <c r="AW75" s="1042">
        <f t="shared" ca="1" si="191"/>
        <v>0</v>
      </c>
      <c r="AX75" s="1042">
        <f t="shared" ca="1" si="191"/>
        <v>0</v>
      </c>
      <c r="AY75" s="1042">
        <f t="shared" ca="1" si="191"/>
        <v>0</v>
      </c>
      <c r="AZ75" s="1042">
        <f t="shared" ca="1" si="191"/>
        <v>0</v>
      </c>
      <c r="BA75" s="1042">
        <f t="shared" ca="1" si="191"/>
        <v>0</v>
      </c>
      <c r="BB75" s="1042">
        <f t="shared" ca="1" si="191"/>
        <v>0</v>
      </c>
      <c r="BC75" s="1042">
        <f t="shared" ca="1" si="191"/>
        <v>0</v>
      </c>
      <c r="BD75" s="1042">
        <f t="shared" ca="1" si="191"/>
        <v>0</v>
      </c>
      <c r="BE75" s="1042">
        <f t="shared" ca="1" si="191"/>
        <v>0</v>
      </c>
      <c r="BF75" s="1012">
        <f ca="1">SUM(AM75:BE75)</f>
        <v>0</v>
      </c>
      <c r="BG75" s="743"/>
      <c r="BH75" s="1036">
        <f ca="1">IFERROR(INDEX(INDIRECT($C75&amp;".Outputs["&amp;this.Year&amp;"]"), MATCH(BH$5, INDIRECT($C75&amp;".Outputs[Vector]"), 0)), 0)</f>
        <v>0</v>
      </c>
      <c r="BI75" s="1036">
        <f ca="1">IFERROR(INDEX(INDIRECT($C75&amp;".Outputs["&amp;this.Year&amp;"]"), MATCH(BI$5, INDIRECT($C75&amp;".Outputs[Vector]"), 0)), 0)</f>
        <v>0</v>
      </c>
      <c r="BJ75" s="1035">
        <f ca="1">SUM(BH75:BI75)</f>
        <v>0</v>
      </c>
      <c r="BK75" s="743"/>
      <c r="BL75" s="814">
        <f t="shared" ca="1" si="189"/>
        <v>0</v>
      </c>
      <c r="BM75" s="814"/>
      <c r="BN75" s="840"/>
      <c r="BO75" s="1485">
        <f t="shared" ref="BO75:DF75" ca="1" si="193">IFERROR(SUMIFS(INDIRECT($C75&amp;".Emissions["&amp;this.Year&amp;"]"), INDIRECT($C75&amp;".Emissions[GHG]"), BO$6, INDIRECT($C75&amp;".Emissions[IPCC Sector]"), BO$5),0)</f>
        <v>0</v>
      </c>
      <c r="BP75" s="1486">
        <f t="shared" ca="1" si="193"/>
        <v>0</v>
      </c>
      <c r="BQ75" s="1486">
        <f t="shared" ca="1" si="193"/>
        <v>0</v>
      </c>
      <c r="BR75" s="1486">
        <f t="shared" ca="1" si="193"/>
        <v>0</v>
      </c>
      <c r="BS75" s="1486">
        <f t="shared" ca="1" si="193"/>
        <v>0</v>
      </c>
      <c r="BT75" s="1486">
        <f t="shared" ca="1" si="193"/>
        <v>0</v>
      </c>
      <c r="BU75" s="1486">
        <f t="shared" ca="1" si="193"/>
        <v>0</v>
      </c>
      <c r="BV75" s="1486">
        <f t="shared" ca="1" si="193"/>
        <v>0</v>
      </c>
      <c r="BW75" s="1486">
        <f t="shared" ca="1" si="193"/>
        <v>0</v>
      </c>
      <c r="BX75" s="1486">
        <f t="shared" ca="1" si="193"/>
        <v>0</v>
      </c>
      <c r="BY75" s="1486">
        <f t="shared" ca="1" si="193"/>
        <v>0</v>
      </c>
      <c r="BZ75" s="1486">
        <f t="shared" ca="1" si="193"/>
        <v>0</v>
      </c>
      <c r="CA75" s="1486">
        <f t="shared" ca="1" si="193"/>
        <v>0</v>
      </c>
      <c r="CB75" s="1486">
        <f t="shared" ca="1" si="193"/>
        <v>0</v>
      </c>
      <c r="CC75" s="1486">
        <f t="shared" ca="1" si="193"/>
        <v>0</v>
      </c>
      <c r="CD75" s="1486">
        <f t="shared" ca="1" si="193"/>
        <v>0</v>
      </c>
      <c r="CE75" s="1486">
        <f t="shared" ca="1" si="193"/>
        <v>0</v>
      </c>
      <c r="CF75" s="1486">
        <f t="shared" ca="1" si="193"/>
        <v>0</v>
      </c>
      <c r="CG75" s="1486">
        <f t="shared" ca="1" si="193"/>
        <v>0</v>
      </c>
      <c r="CH75" s="1486">
        <f t="shared" ca="1" si="193"/>
        <v>0</v>
      </c>
      <c r="CI75" s="1486">
        <f t="shared" ca="1" si="193"/>
        <v>0</v>
      </c>
      <c r="CJ75" s="1486">
        <f t="shared" ca="1" si="193"/>
        <v>0</v>
      </c>
      <c r="CK75" s="1486">
        <f t="shared" ca="1" si="193"/>
        <v>0</v>
      </c>
      <c r="CL75" s="1486">
        <f t="shared" ca="1" si="193"/>
        <v>0</v>
      </c>
      <c r="CM75" s="1486">
        <f t="shared" ca="1" si="193"/>
        <v>0</v>
      </c>
      <c r="CN75" s="1486">
        <f t="shared" ca="1" si="193"/>
        <v>0</v>
      </c>
      <c r="CO75" s="1486">
        <f t="shared" ca="1" si="193"/>
        <v>0</v>
      </c>
      <c r="CP75" s="1486">
        <f t="shared" ca="1" si="193"/>
        <v>0</v>
      </c>
      <c r="CQ75" s="1486">
        <f t="shared" ca="1" si="193"/>
        <v>0</v>
      </c>
      <c r="CR75" s="1486">
        <f t="shared" ca="1" si="193"/>
        <v>0</v>
      </c>
      <c r="CS75" s="1486">
        <f t="shared" ca="1" si="193"/>
        <v>0</v>
      </c>
      <c r="CT75" s="1486">
        <f t="shared" ca="1" si="193"/>
        <v>0</v>
      </c>
      <c r="CU75" s="1486">
        <f t="shared" ca="1" si="193"/>
        <v>0</v>
      </c>
      <c r="CV75" s="1486">
        <f t="shared" ca="1" si="193"/>
        <v>0</v>
      </c>
      <c r="CW75" s="1486">
        <f t="shared" ca="1" si="193"/>
        <v>0</v>
      </c>
      <c r="CX75" s="1486">
        <f t="shared" ca="1" si="193"/>
        <v>0</v>
      </c>
      <c r="CY75" s="1486">
        <f t="shared" ca="1" si="193"/>
        <v>0</v>
      </c>
      <c r="CZ75" s="1486">
        <f t="shared" ca="1" si="193"/>
        <v>0</v>
      </c>
      <c r="DA75" s="1486">
        <f t="shared" ca="1" si="193"/>
        <v>0</v>
      </c>
      <c r="DB75" s="1486">
        <f t="shared" ca="1" si="193"/>
        <v>0</v>
      </c>
      <c r="DC75" s="1486">
        <f t="shared" ca="1" si="193"/>
        <v>0</v>
      </c>
      <c r="DD75" s="1486">
        <f t="shared" ca="1" si="193"/>
        <v>0</v>
      </c>
      <c r="DE75" s="1486">
        <f t="shared" ca="1" si="193"/>
        <v>0</v>
      </c>
      <c r="DF75" s="1486">
        <f t="shared" ca="1" si="193"/>
        <v>0</v>
      </c>
      <c r="DH75" s="838">
        <f t="shared" ca="1" si="123"/>
        <v>0</v>
      </c>
    </row>
    <row r="76" spans="1:112" s="743" customFormat="1" ht="15.75" collapsed="1">
      <c r="A76" s="22"/>
      <c r="B76" s="753"/>
      <c r="C76" s="744" t="s">
        <v>75</v>
      </c>
      <c r="D76" s="517" t="str">
        <f>INDEX(Workstreams[Workstream], MATCH($C76, Workstreams[Code], 0))</f>
        <v>Nuclear power generation</v>
      </c>
      <c r="E76" s="512"/>
      <c r="G76" s="1021">
        <f ca="1">G75</f>
        <v>0</v>
      </c>
      <c r="H76" s="1021">
        <f t="shared" ref="H76:P76" ca="1" si="194">H75</f>
        <v>0</v>
      </c>
      <c r="I76" s="1021">
        <f t="shared" ca="1" si="194"/>
        <v>0</v>
      </c>
      <c r="J76" s="1021">
        <f t="shared" ca="1" si="194"/>
        <v>0</v>
      </c>
      <c r="K76" s="1021">
        <f t="shared" ca="1" si="194"/>
        <v>0</v>
      </c>
      <c r="L76" s="1021">
        <f t="shared" ca="1" si="194"/>
        <v>0</v>
      </c>
      <c r="M76" s="1021">
        <f t="shared" ca="1" si="194"/>
        <v>0</v>
      </c>
      <c r="N76" s="1021">
        <f t="shared" ca="1" si="194"/>
        <v>0</v>
      </c>
      <c r="O76" s="1021">
        <f t="shared" ca="1" si="194"/>
        <v>0</v>
      </c>
      <c r="P76" s="1021">
        <f t="shared" ca="1" si="194"/>
        <v>0</v>
      </c>
      <c r="Q76" s="1021">
        <f ca="1">SUM(G76:P76)</f>
        <v>0</v>
      </c>
      <c r="S76" s="970">
        <f t="shared" ref="S76:AJ76" ca="1" si="195">S75</f>
        <v>0</v>
      </c>
      <c r="T76" s="970">
        <f t="shared" ca="1" si="195"/>
        <v>0</v>
      </c>
      <c r="U76" s="970">
        <f t="shared" ca="1" si="195"/>
        <v>0</v>
      </c>
      <c r="V76" s="970">
        <f t="shared" ca="1" si="195"/>
        <v>0</v>
      </c>
      <c r="W76" s="970">
        <f t="shared" ca="1" si="195"/>
        <v>0</v>
      </c>
      <c r="X76" s="970">
        <f t="shared" ca="1" si="195"/>
        <v>0</v>
      </c>
      <c r="Y76" s="970">
        <f t="shared" ca="1" si="195"/>
        <v>0</v>
      </c>
      <c r="Z76" s="970">
        <f t="shared" ca="1" si="195"/>
        <v>0</v>
      </c>
      <c r="AA76" s="970">
        <f t="shared" ca="1" si="195"/>
        <v>0</v>
      </c>
      <c r="AB76" s="970">
        <f t="shared" ca="1" si="195"/>
        <v>0</v>
      </c>
      <c r="AC76" s="970">
        <f t="shared" ca="1" si="195"/>
        <v>0</v>
      </c>
      <c r="AD76" s="970">
        <f ca="1">AD75</f>
        <v>0</v>
      </c>
      <c r="AE76" s="970">
        <f ca="1">AE75</f>
        <v>0</v>
      </c>
      <c r="AF76" s="970">
        <f t="shared" ca="1" si="195"/>
        <v>0</v>
      </c>
      <c r="AG76" s="970">
        <f ca="1">AG75</f>
        <v>0</v>
      </c>
      <c r="AH76" s="970">
        <f ca="1">AH75</f>
        <v>0</v>
      </c>
      <c r="AI76" s="970">
        <f ca="1">AI75</f>
        <v>0</v>
      </c>
      <c r="AJ76" s="970">
        <f t="shared" ca="1" si="195"/>
        <v>0</v>
      </c>
      <c r="AK76" s="970">
        <f ca="1">SUM(S76:AJ76)</f>
        <v>0</v>
      </c>
      <c r="AM76" s="976">
        <f ca="1">AM75</f>
        <v>0</v>
      </c>
      <c r="AN76" s="976">
        <f t="shared" ref="AN76:BE76" ca="1" si="196">AN75</f>
        <v>0</v>
      </c>
      <c r="AO76" s="976">
        <f t="shared" ca="1" si="196"/>
        <v>0</v>
      </c>
      <c r="AP76" s="976">
        <f t="shared" ca="1" si="196"/>
        <v>0</v>
      </c>
      <c r="AQ76" s="976">
        <f t="shared" ca="1" si="196"/>
        <v>0</v>
      </c>
      <c r="AR76" s="976">
        <f t="shared" ca="1" si="196"/>
        <v>0</v>
      </c>
      <c r="AS76" s="976">
        <f t="shared" ca="1" si="196"/>
        <v>0</v>
      </c>
      <c r="AT76" s="976">
        <f t="shared" ca="1" si="196"/>
        <v>0</v>
      </c>
      <c r="AU76" s="976">
        <f t="shared" ca="1" si="196"/>
        <v>0</v>
      </c>
      <c r="AV76" s="976">
        <f t="shared" ca="1" si="196"/>
        <v>0</v>
      </c>
      <c r="AW76" s="976">
        <f t="shared" ca="1" si="196"/>
        <v>0</v>
      </c>
      <c r="AX76" s="976">
        <f t="shared" ca="1" si="196"/>
        <v>0</v>
      </c>
      <c r="AY76" s="976">
        <f t="shared" ca="1" si="196"/>
        <v>0</v>
      </c>
      <c r="AZ76" s="976">
        <f t="shared" ca="1" si="196"/>
        <v>0</v>
      </c>
      <c r="BA76" s="976">
        <f t="shared" ca="1" si="196"/>
        <v>0</v>
      </c>
      <c r="BB76" s="976">
        <f t="shared" ca="1" si="196"/>
        <v>0</v>
      </c>
      <c r="BC76" s="976">
        <f t="shared" ca="1" si="196"/>
        <v>0</v>
      </c>
      <c r="BD76" s="976">
        <f t="shared" ca="1" si="196"/>
        <v>0</v>
      </c>
      <c r="BE76" s="976">
        <f t="shared" ca="1" si="196"/>
        <v>0</v>
      </c>
      <c r="BF76" s="976">
        <f ca="1">SUM(AM76:BE76)</f>
        <v>0</v>
      </c>
      <c r="BH76" s="990">
        <f ca="1">BH75</f>
        <v>0</v>
      </c>
      <c r="BI76" s="990">
        <f ca="1">BI75</f>
        <v>0</v>
      </c>
      <c r="BJ76" s="990">
        <f ca="1">SUM(BH76:BI76)</f>
        <v>0</v>
      </c>
      <c r="BL76" s="515">
        <f t="shared" ca="1" si="189"/>
        <v>0</v>
      </c>
      <c r="BM76" s="515"/>
      <c r="BN76" s="840"/>
      <c r="BO76" s="1482">
        <f t="shared" ref="BO76:DF76" ca="1" si="197">BO75</f>
        <v>0</v>
      </c>
      <c r="BP76" s="1482">
        <f t="shared" ca="1" si="197"/>
        <v>0</v>
      </c>
      <c r="BQ76" s="1482">
        <f t="shared" ca="1" si="197"/>
        <v>0</v>
      </c>
      <c r="BR76" s="1482">
        <f t="shared" ca="1" si="197"/>
        <v>0</v>
      </c>
      <c r="BS76" s="1482">
        <f t="shared" ca="1" si="197"/>
        <v>0</v>
      </c>
      <c r="BT76" s="1482">
        <f t="shared" ca="1" si="197"/>
        <v>0</v>
      </c>
      <c r="BU76" s="1482">
        <f t="shared" ca="1" si="197"/>
        <v>0</v>
      </c>
      <c r="BV76" s="1482">
        <f t="shared" ca="1" si="197"/>
        <v>0</v>
      </c>
      <c r="BW76" s="1482">
        <f t="shared" ca="1" si="197"/>
        <v>0</v>
      </c>
      <c r="BX76" s="1482">
        <f t="shared" ca="1" si="197"/>
        <v>0</v>
      </c>
      <c r="BY76" s="1482">
        <f t="shared" ca="1" si="197"/>
        <v>0</v>
      </c>
      <c r="BZ76" s="1482">
        <f t="shared" ca="1" si="197"/>
        <v>0</v>
      </c>
      <c r="CA76" s="1482">
        <f t="shared" ca="1" si="197"/>
        <v>0</v>
      </c>
      <c r="CB76" s="1482">
        <f t="shared" ca="1" si="197"/>
        <v>0</v>
      </c>
      <c r="CC76" s="1482">
        <f t="shared" ca="1" si="197"/>
        <v>0</v>
      </c>
      <c r="CD76" s="1482">
        <f t="shared" ca="1" si="197"/>
        <v>0</v>
      </c>
      <c r="CE76" s="1482">
        <f t="shared" ca="1" si="197"/>
        <v>0</v>
      </c>
      <c r="CF76" s="1482">
        <f t="shared" ca="1" si="197"/>
        <v>0</v>
      </c>
      <c r="CG76" s="1482">
        <f t="shared" ca="1" si="197"/>
        <v>0</v>
      </c>
      <c r="CH76" s="1482">
        <f t="shared" ca="1" si="197"/>
        <v>0</v>
      </c>
      <c r="CI76" s="1482">
        <f t="shared" ca="1" si="197"/>
        <v>0</v>
      </c>
      <c r="CJ76" s="1482">
        <f t="shared" ca="1" si="197"/>
        <v>0</v>
      </c>
      <c r="CK76" s="1482">
        <f t="shared" ca="1" si="197"/>
        <v>0</v>
      </c>
      <c r="CL76" s="1482">
        <f t="shared" ca="1" si="197"/>
        <v>0</v>
      </c>
      <c r="CM76" s="1482">
        <f t="shared" ca="1" si="197"/>
        <v>0</v>
      </c>
      <c r="CN76" s="1482">
        <f t="shared" ca="1" si="197"/>
        <v>0</v>
      </c>
      <c r="CO76" s="1482">
        <f t="shared" ca="1" si="197"/>
        <v>0</v>
      </c>
      <c r="CP76" s="1482">
        <f t="shared" ca="1" si="197"/>
        <v>0</v>
      </c>
      <c r="CQ76" s="1482">
        <f t="shared" ca="1" si="197"/>
        <v>0</v>
      </c>
      <c r="CR76" s="1482">
        <f t="shared" ca="1" si="197"/>
        <v>0</v>
      </c>
      <c r="CS76" s="1482">
        <f t="shared" ca="1" si="197"/>
        <v>0</v>
      </c>
      <c r="CT76" s="1482">
        <f t="shared" ca="1" si="197"/>
        <v>0</v>
      </c>
      <c r="CU76" s="1482">
        <f t="shared" ca="1" si="197"/>
        <v>0</v>
      </c>
      <c r="CV76" s="1482">
        <f t="shared" ca="1" si="197"/>
        <v>0</v>
      </c>
      <c r="CW76" s="1482">
        <f t="shared" ca="1" si="197"/>
        <v>0</v>
      </c>
      <c r="CX76" s="1482">
        <f t="shared" ca="1" si="197"/>
        <v>0</v>
      </c>
      <c r="CY76" s="1482">
        <f t="shared" ca="1" si="197"/>
        <v>0</v>
      </c>
      <c r="CZ76" s="1482">
        <f t="shared" ca="1" si="197"/>
        <v>0</v>
      </c>
      <c r="DA76" s="1482">
        <f t="shared" ca="1" si="197"/>
        <v>0</v>
      </c>
      <c r="DB76" s="1482">
        <f t="shared" ca="1" si="197"/>
        <v>0</v>
      </c>
      <c r="DC76" s="1482">
        <f t="shared" ca="1" si="197"/>
        <v>0</v>
      </c>
      <c r="DD76" s="1482">
        <f t="shared" ca="1" si="197"/>
        <v>0</v>
      </c>
      <c r="DE76" s="1482">
        <f t="shared" ca="1" si="197"/>
        <v>0</v>
      </c>
      <c r="DF76" s="1482">
        <f t="shared" ca="1" si="197"/>
        <v>0</v>
      </c>
      <c r="DH76" s="838">
        <f t="shared" ca="1" si="123"/>
        <v>0</v>
      </c>
    </row>
    <row r="77" spans="1:112" s="743" customFormat="1" ht="12.75" hidden="1" customHeight="1" outlineLevel="1">
      <c r="A77" s="22"/>
      <c r="B77" s="22"/>
      <c r="C77" s="751"/>
      <c r="D77" s="512"/>
      <c r="E77" s="512"/>
      <c r="G77" s="958"/>
      <c r="H77" s="958"/>
      <c r="I77" s="958"/>
      <c r="J77" s="958"/>
      <c r="K77" s="960"/>
      <c r="L77" s="958"/>
      <c r="M77" s="958"/>
      <c r="N77" s="958"/>
      <c r="O77" s="958"/>
      <c r="P77" s="958"/>
      <c r="Q77" s="958"/>
      <c r="S77" s="970"/>
      <c r="T77" s="970"/>
      <c r="U77" s="970"/>
      <c r="V77" s="970"/>
      <c r="W77" s="970"/>
      <c r="X77" s="970"/>
      <c r="Y77" s="970"/>
      <c r="Z77" s="970"/>
      <c r="AA77" s="970"/>
      <c r="AB77" s="970"/>
      <c r="AC77" s="970"/>
      <c r="AD77" s="970"/>
      <c r="AE77" s="970"/>
      <c r="AF77" s="970"/>
      <c r="AG77" s="970"/>
      <c r="AH77" s="970"/>
      <c r="AI77" s="970"/>
      <c r="AJ77" s="970"/>
      <c r="AK77" s="970"/>
      <c r="AM77" s="976"/>
      <c r="AN77" s="976"/>
      <c r="AO77" s="976"/>
      <c r="AP77" s="976"/>
      <c r="AQ77" s="976"/>
      <c r="AR77" s="976"/>
      <c r="AS77" s="976"/>
      <c r="AT77" s="976"/>
      <c r="AU77" s="976"/>
      <c r="AV77" s="976"/>
      <c r="AW77" s="976"/>
      <c r="AX77" s="976"/>
      <c r="AY77" s="976"/>
      <c r="AZ77" s="976"/>
      <c r="BA77" s="976"/>
      <c r="BB77" s="976"/>
      <c r="BC77" s="976"/>
      <c r="BD77" s="976"/>
      <c r="BE77" s="976"/>
      <c r="BF77" s="976"/>
      <c r="BH77" s="990"/>
      <c r="BI77" s="990"/>
      <c r="BJ77" s="990"/>
      <c r="BL77" s="515">
        <f t="shared" si="189"/>
        <v>0</v>
      </c>
      <c r="BM77" s="515"/>
      <c r="BN77" s="22"/>
      <c r="BO77" s="1482"/>
      <c r="BP77" s="1482"/>
      <c r="BQ77" s="1482"/>
      <c r="BR77" s="1482"/>
      <c r="BS77" s="1482"/>
      <c r="BT77" s="1482"/>
      <c r="BU77" s="1482"/>
      <c r="BV77" s="1482"/>
      <c r="BW77" s="1482"/>
      <c r="BX77" s="1482"/>
      <c r="BY77" s="1482"/>
      <c r="BZ77" s="1482"/>
      <c r="CA77" s="1482"/>
      <c r="CB77" s="1482"/>
      <c r="CC77" s="1482"/>
      <c r="CD77" s="1482"/>
      <c r="CE77" s="1482"/>
      <c r="CF77" s="1482"/>
      <c r="CG77" s="1482"/>
      <c r="CH77" s="1482"/>
      <c r="CI77" s="1482"/>
      <c r="CJ77" s="1482"/>
      <c r="CK77" s="1482"/>
      <c r="CL77" s="1482"/>
      <c r="CM77" s="1482"/>
      <c r="CN77" s="1482"/>
      <c r="CO77" s="1482"/>
      <c r="CP77" s="1482"/>
      <c r="CQ77" s="1482"/>
      <c r="CR77" s="1482"/>
      <c r="CS77" s="1482"/>
      <c r="CT77" s="1482"/>
      <c r="CU77" s="1482"/>
      <c r="CV77" s="1482"/>
      <c r="CW77" s="1482"/>
      <c r="CX77" s="1482"/>
      <c r="CY77" s="1482"/>
      <c r="CZ77" s="1482"/>
      <c r="DA77" s="1482"/>
      <c r="DB77" s="1482"/>
      <c r="DC77" s="1482"/>
      <c r="DD77" s="1482"/>
      <c r="DE77" s="1482"/>
      <c r="DF77" s="1482"/>
      <c r="DH77" s="838">
        <f t="shared" si="123"/>
        <v>0</v>
      </c>
    </row>
    <row r="78" spans="1:112" s="1488" customFormat="1" ht="12.75" hidden="1" customHeight="1" outlineLevel="1">
      <c r="C78" s="1048" t="s">
        <v>1720</v>
      </c>
      <c r="D78" s="1049" t="s">
        <v>1334</v>
      </c>
      <c r="E78" s="1049"/>
      <c r="F78" s="743"/>
      <c r="G78" s="1050"/>
      <c r="H78" s="1050"/>
      <c r="I78" s="1050"/>
      <c r="J78" s="1050"/>
      <c r="K78" s="1051"/>
      <c r="L78" s="1050"/>
      <c r="M78" s="1050"/>
      <c r="N78" s="1050"/>
      <c r="O78" s="1050"/>
      <c r="P78" s="1050"/>
      <c r="Q78" s="1050"/>
      <c r="R78" s="743"/>
      <c r="S78" s="1052">
        <f ca="1">S$74+S$76</f>
        <v>-409.73117353201741</v>
      </c>
      <c r="T78" s="1052">
        <f ca="1">T$74+T$76</f>
        <v>1.841588378180673</v>
      </c>
      <c r="U78" s="1052"/>
      <c r="V78" s="1052"/>
      <c r="W78" s="1052"/>
      <c r="X78" s="1052"/>
      <c r="Y78" s="1052"/>
      <c r="Z78" s="1052"/>
      <c r="AA78" s="1052"/>
      <c r="AB78" s="1052"/>
      <c r="AC78" s="1052"/>
      <c r="AD78" s="1052"/>
      <c r="AE78" s="1052"/>
      <c r="AF78" s="1052"/>
      <c r="AG78" s="1052"/>
      <c r="AH78" s="1052"/>
      <c r="AI78" s="1052"/>
      <c r="AJ78" s="1052"/>
      <c r="AK78" s="1052"/>
      <c r="AL78" s="743"/>
      <c r="AM78" s="1053"/>
      <c r="AN78" s="1053"/>
      <c r="AO78" s="1053"/>
      <c r="AP78" s="1053"/>
      <c r="AQ78" s="1053"/>
      <c r="AR78" s="1053"/>
      <c r="AS78" s="1053"/>
      <c r="AT78" s="1053"/>
      <c r="AU78" s="1053"/>
      <c r="AV78" s="1053"/>
      <c r="AW78" s="1053"/>
      <c r="AX78" s="1053"/>
      <c r="AY78" s="1053"/>
      <c r="AZ78" s="1053"/>
      <c r="BA78" s="1053"/>
      <c r="BB78" s="1053"/>
      <c r="BC78" s="1053"/>
      <c r="BD78" s="1053"/>
      <c r="BE78" s="1053"/>
      <c r="BF78" s="1053"/>
      <c r="BG78" s="743"/>
      <c r="BH78" s="1054"/>
      <c r="BI78" s="1054"/>
      <c r="BJ78" s="1054"/>
      <c r="BK78" s="743"/>
      <c r="BL78" s="852">
        <f t="shared" si="189"/>
        <v>0</v>
      </c>
      <c r="BM78" s="852"/>
      <c r="BO78" s="1490"/>
      <c r="BP78" s="1490"/>
      <c r="BQ78" s="1490"/>
      <c r="BR78" s="1490"/>
      <c r="BS78" s="1490"/>
      <c r="BT78" s="1490"/>
      <c r="BU78" s="1490"/>
      <c r="BV78" s="1490"/>
      <c r="BW78" s="1490"/>
      <c r="BX78" s="1490"/>
      <c r="BY78" s="1490"/>
      <c r="BZ78" s="1490"/>
      <c r="CA78" s="1490"/>
      <c r="CB78" s="1490"/>
      <c r="CC78" s="1490"/>
      <c r="CD78" s="1490"/>
      <c r="CE78" s="1490"/>
      <c r="CF78" s="1490"/>
      <c r="CG78" s="1490"/>
      <c r="CH78" s="1490"/>
      <c r="CI78" s="1490"/>
      <c r="CJ78" s="1490"/>
      <c r="CK78" s="1490"/>
      <c r="CL78" s="1490"/>
      <c r="CM78" s="1490"/>
      <c r="CN78" s="1490"/>
      <c r="CO78" s="1490"/>
      <c r="CP78" s="1490"/>
      <c r="CQ78" s="1490"/>
      <c r="CR78" s="1490"/>
      <c r="CS78" s="1490"/>
      <c r="CT78" s="1490"/>
      <c r="CU78" s="1490"/>
      <c r="CV78" s="1490"/>
      <c r="CW78" s="1490"/>
      <c r="CX78" s="1490"/>
      <c r="CY78" s="1490"/>
      <c r="CZ78" s="1490"/>
      <c r="DA78" s="1490"/>
      <c r="DB78" s="1490"/>
      <c r="DC78" s="1490"/>
      <c r="DD78" s="1490"/>
      <c r="DE78" s="1490"/>
      <c r="DF78" s="1490"/>
      <c r="DH78" s="838">
        <f t="shared" si="123"/>
        <v>0</v>
      </c>
    </row>
    <row r="79" spans="1:112" s="1484" customFormat="1" ht="12.75" hidden="1" customHeight="1" outlineLevel="1">
      <c r="C79" s="746" t="s">
        <v>878</v>
      </c>
      <c r="D79" s="521" t="str">
        <f>INDEX(Modules[Module], MATCH($C79, Modules[Code], 0))</f>
        <v>Combustion + CCS</v>
      </c>
      <c r="E79" s="521"/>
      <c r="F79" s="743"/>
      <c r="G79" s="2013">
        <f t="shared" ref="G79:P79" ca="1" si="198">IFERROR(INDEX(INDIRECT($C79&amp;".Outputs["&amp;this.Year&amp;"]"), MATCH(G$5, INDIRECT($C79&amp;".Outputs[Vector]"), 0)), 0)</f>
        <v>0</v>
      </c>
      <c r="H79" s="2013">
        <f t="shared" ca="1" si="198"/>
        <v>0</v>
      </c>
      <c r="I79" s="2013">
        <f t="shared" ca="1" si="198"/>
        <v>0</v>
      </c>
      <c r="J79" s="2013">
        <f t="shared" ca="1" si="198"/>
        <v>0</v>
      </c>
      <c r="K79" s="2013">
        <f t="shared" ca="1" si="198"/>
        <v>0</v>
      </c>
      <c r="L79" s="2013">
        <f t="shared" ca="1" si="198"/>
        <v>0</v>
      </c>
      <c r="M79" s="2013">
        <f t="shared" ca="1" si="198"/>
        <v>0</v>
      </c>
      <c r="N79" s="2013">
        <f t="shared" ca="1" si="198"/>
        <v>0</v>
      </c>
      <c r="O79" s="2013">
        <f t="shared" ca="1" si="198"/>
        <v>0</v>
      </c>
      <c r="P79" s="2013">
        <f t="shared" ca="1" si="198"/>
        <v>0</v>
      </c>
      <c r="Q79" s="2014">
        <f ca="1">SUM(G79:P79)</f>
        <v>0</v>
      </c>
      <c r="R79" s="743"/>
      <c r="S79" s="2015">
        <f t="shared" ref="S79:BE79" ca="1" si="199">IFERROR(INDEX(INDIRECT($C79&amp;".Outputs["&amp;this.Year&amp;"]"), MATCH(S$5, INDIRECT($C79&amp;".Outputs[Vector]"), 0)), 0)</f>
        <v>0</v>
      </c>
      <c r="T79" s="2015">
        <f t="shared" ca="1" si="199"/>
        <v>9.5751018000000041</v>
      </c>
      <c r="U79" s="2015">
        <f t="shared" ca="1" si="199"/>
        <v>-27.764435092343948</v>
      </c>
      <c r="V79" s="2015">
        <f t="shared" ca="1" si="199"/>
        <v>0</v>
      </c>
      <c r="W79" s="2015">
        <f t="shared" ca="1" si="199"/>
        <v>0</v>
      </c>
      <c r="X79" s="2015">
        <f ca="1">IFERROR(INDEX(INDIRECT($C79&amp;".Outputs["&amp;this.Year&amp;"]"), MATCH(X$5, INDIRECT($C79&amp;".Outputs[Vector]"), 0)), 0)</f>
        <v>0</v>
      </c>
      <c r="Y79" s="2015">
        <f ca="1">IFERROR(INDEX(INDIRECT($C79&amp;".Outputs["&amp;this.Year&amp;"]"), MATCH(Y$5, INDIRECT($C79&amp;".Outputs[Vector]"), 0)), 0)</f>
        <v>0</v>
      </c>
      <c r="Z79" s="2015">
        <f ca="1">IFERROR(INDEX(INDIRECT($C79&amp;".Outputs["&amp;this.Year&amp;"]"), MATCH(Z$5, INDIRECT($C79&amp;".Outputs[Vector]"), 0)), 0)</f>
        <v>0</v>
      </c>
      <c r="AA79" s="2015">
        <f t="shared" ca="1" si="199"/>
        <v>0</v>
      </c>
      <c r="AB79" s="2015">
        <f t="shared" ca="1" si="199"/>
        <v>0</v>
      </c>
      <c r="AC79" s="2015">
        <f t="shared" ca="1" si="199"/>
        <v>0</v>
      </c>
      <c r="AD79" s="2015">
        <f t="shared" ca="1" si="199"/>
        <v>0</v>
      </c>
      <c r="AE79" s="2015">
        <f t="shared" ca="1" si="199"/>
        <v>0</v>
      </c>
      <c r="AF79" s="2015">
        <f t="shared" ca="1" si="199"/>
        <v>0</v>
      </c>
      <c r="AG79" s="2015">
        <f t="shared" ca="1" si="199"/>
        <v>0</v>
      </c>
      <c r="AH79" s="2015">
        <f t="shared" ca="1" si="199"/>
        <v>0</v>
      </c>
      <c r="AI79" s="2015">
        <f t="shared" ca="1" si="199"/>
        <v>0</v>
      </c>
      <c r="AJ79" s="2015">
        <f t="shared" ca="1" si="199"/>
        <v>0</v>
      </c>
      <c r="AK79" s="2016">
        <f ca="1">SUM(S79:AJ79)</f>
        <v>-18.189333292343946</v>
      </c>
      <c r="AL79" s="743"/>
      <c r="AM79" s="2017">
        <f t="shared" ref="AM79:AU79" ca="1" si="200">IFERROR(INDEX(INDIRECT($C79&amp;".Outputs["&amp;this.Year&amp;"]"), MATCH(AM$5, INDIRECT($C79&amp;".Outputs[Vector]"), 0)), 0)</f>
        <v>0</v>
      </c>
      <c r="AN79" s="2017">
        <f t="shared" ca="1" si="200"/>
        <v>0</v>
      </c>
      <c r="AO79" s="2017">
        <f t="shared" ca="1" si="200"/>
        <v>0</v>
      </c>
      <c r="AP79" s="2017">
        <f t="shared" ca="1" si="200"/>
        <v>0</v>
      </c>
      <c r="AQ79" s="2017">
        <f t="shared" ca="1" si="200"/>
        <v>0</v>
      </c>
      <c r="AR79" s="2017">
        <f t="shared" ca="1" si="200"/>
        <v>0</v>
      </c>
      <c r="AS79" s="2017">
        <f t="shared" ca="1" si="200"/>
        <v>0</v>
      </c>
      <c r="AT79" s="2017">
        <f t="shared" ca="1" si="200"/>
        <v>0</v>
      </c>
      <c r="AU79" s="2017">
        <f t="shared" ca="1" si="200"/>
        <v>0</v>
      </c>
      <c r="AV79" s="2017">
        <f t="shared" ca="1" si="199"/>
        <v>0</v>
      </c>
      <c r="AW79" s="2017">
        <f t="shared" ca="1" si="199"/>
        <v>0</v>
      </c>
      <c r="AX79" s="2017">
        <f t="shared" ca="1" si="199"/>
        <v>0</v>
      </c>
      <c r="AY79" s="2017">
        <f t="shared" ca="1" si="199"/>
        <v>0</v>
      </c>
      <c r="AZ79" s="2017">
        <f t="shared" ca="1" si="199"/>
        <v>0</v>
      </c>
      <c r="BA79" s="2017">
        <f t="shared" ca="1" si="199"/>
        <v>0</v>
      </c>
      <c r="BB79" s="2017">
        <f t="shared" ca="1" si="199"/>
        <v>0</v>
      </c>
      <c r="BC79" s="2017">
        <f t="shared" ca="1" si="199"/>
        <v>0</v>
      </c>
      <c r="BD79" s="2017">
        <f t="shared" ca="1" si="199"/>
        <v>0</v>
      </c>
      <c r="BE79" s="2017">
        <f t="shared" ca="1" si="199"/>
        <v>0</v>
      </c>
      <c r="BF79" s="2018">
        <f ca="1">SUM(AM79:BE79)</f>
        <v>0</v>
      </c>
      <c r="BG79" s="743"/>
      <c r="BH79" s="2019">
        <f ca="1">IFERROR(INDEX(INDIRECT($C79&amp;".Outputs["&amp;this.Year&amp;"]"), MATCH(BH$5, INDIRECT($C79&amp;".Outputs[Vector]"), 0)), 0)</f>
        <v>14.95493435655799</v>
      </c>
      <c r="BI79" s="2019">
        <f ca="1">IFERROR(INDEX(INDIRECT($C79&amp;".Outputs["&amp;this.Year&amp;"]"), MATCH(BI$5, INDIRECT($C79&amp;".Outputs[Vector]"), 0)), 0)</f>
        <v>3.2343989357859542</v>
      </c>
      <c r="BJ79" s="2020">
        <f ca="1">SUM(BH79:BI79)</f>
        <v>18.189333292343946</v>
      </c>
      <c r="BK79" s="743"/>
      <c r="BL79" s="814">
        <f t="shared" ca="1" si="189"/>
        <v>0</v>
      </c>
      <c r="BM79" s="814"/>
      <c r="BN79" s="840"/>
      <c r="BO79" s="1481">
        <f t="shared" ref="BO79:DF79" ca="1" si="201">IFERROR(SUMIFS(INDIRECT($C79&amp;".Emissions["&amp;this.Year&amp;"]"), INDIRECT($C79&amp;".Emissions[GHG]"), BO$6, INDIRECT($C79&amp;".Emissions[IPCC Sector]"), BO$5),0)</f>
        <v>8.5514460084419337</v>
      </c>
      <c r="BP79" s="1482">
        <f t="shared" ca="1" si="201"/>
        <v>2.512105808391113E-2</v>
      </c>
      <c r="BQ79" s="1482">
        <f t="shared" ca="1" si="201"/>
        <v>7.5753099370187121E-2</v>
      </c>
      <c r="BR79" s="1482">
        <f t="shared" ca="1" si="201"/>
        <v>0</v>
      </c>
      <c r="BS79" s="1482">
        <f t="shared" ca="1" si="201"/>
        <v>0</v>
      </c>
      <c r="BT79" s="1482">
        <f t="shared" ca="1" si="201"/>
        <v>0</v>
      </c>
      <c r="BU79" s="1482">
        <f t="shared" ca="1" si="201"/>
        <v>0</v>
      </c>
      <c r="BV79" s="1482">
        <f t="shared" ca="1" si="201"/>
        <v>0</v>
      </c>
      <c r="BW79" s="1482">
        <f t="shared" ca="1" si="201"/>
        <v>0</v>
      </c>
      <c r="BX79" s="1482">
        <f t="shared" ca="1" si="201"/>
        <v>0</v>
      </c>
      <c r="BY79" s="1482">
        <f t="shared" ca="1" si="201"/>
        <v>0</v>
      </c>
      <c r="BZ79" s="1482">
        <f t="shared" ca="1" si="201"/>
        <v>0</v>
      </c>
      <c r="CA79" s="1482">
        <f t="shared" ca="1" si="201"/>
        <v>0</v>
      </c>
      <c r="CB79" s="1482">
        <f t="shared" ca="1" si="201"/>
        <v>0</v>
      </c>
      <c r="CC79" s="1482">
        <f t="shared" ca="1" si="201"/>
        <v>0</v>
      </c>
      <c r="CD79" s="1482">
        <f t="shared" ca="1" si="201"/>
        <v>0</v>
      </c>
      <c r="CE79" s="1482">
        <f t="shared" ca="1" si="201"/>
        <v>0</v>
      </c>
      <c r="CF79" s="1482">
        <f t="shared" ca="1" si="201"/>
        <v>0</v>
      </c>
      <c r="CG79" s="1482">
        <f t="shared" ca="1" si="201"/>
        <v>0</v>
      </c>
      <c r="CH79" s="1482">
        <f t="shared" ca="1" si="201"/>
        <v>0</v>
      </c>
      <c r="CI79" s="1482">
        <f t="shared" ca="1" si="201"/>
        <v>0</v>
      </c>
      <c r="CJ79" s="1482">
        <f t="shared" ca="1" si="201"/>
        <v>0</v>
      </c>
      <c r="CK79" s="1482">
        <f t="shared" ca="1" si="201"/>
        <v>0</v>
      </c>
      <c r="CL79" s="1482">
        <f t="shared" ca="1" si="201"/>
        <v>0</v>
      </c>
      <c r="CM79" s="1482">
        <f t="shared" ca="1" si="201"/>
        <v>0</v>
      </c>
      <c r="CN79" s="1482">
        <f t="shared" ca="1" si="201"/>
        <v>0</v>
      </c>
      <c r="CO79" s="1482">
        <f t="shared" ca="1" si="201"/>
        <v>0</v>
      </c>
      <c r="CP79" s="1482">
        <f t="shared" ca="1" si="201"/>
        <v>0</v>
      </c>
      <c r="CQ79" s="1482">
        <f t="shared" ca="1" si="201"/>
        <v>0</v>
      </c>
      <c r="CR79" s="1482">
        <f t="shared" ca="1" si="201"/>
        <v>0</v>
      </c>
      <c r="CS79" s="1482">
        <f t="shared" ca="1" si="201"/>
        <v>0</v>
      </c>
      <c r="CT79" s="1482">
        <f t="shared" ca="1" si="201"/>
        <v>0</v>
      </c>
      <c r="CU79" s="1482">
        <f t="shared" ca="1" si="201"/>
        <v>0</v>
      </c>
      <c r="CV79" s="1482">
        <f t="shared" ca="1" si="201"/>
        <v>0</v>
      </c>
      <c r="CW79" s="1482">
        <f t="shared" ca="1" si="201"/>
        <v>0</v>
      </c>
      <c r="CX79" s="1482">
        <f t="shared" ca="1" si="201"/>
        <v>0</v>
      </c>
      <c r="CY79" s="1482">
        <f t="shared" ca="1" si="201"/>
        <v>0</v>
      </c>
      <c r="CZ79" s="1482">
        <f t="shared" ca="1" si="201"/>
        <v>0</v>
      </c>
      <c r="DA79" s="1482">
        <f t="shared" ca="1" si="201"/>
        <v>0</v>
      </c>
      <c r="DB79" s="1482">
        <f t="shared" ca="1" si="201"/>
        <v>0</v>
      </c>
      <c r="DC79" s="1482">
        <f t="shared" ca="1" si="201"/>
        <v>-7.6963014075977405</v>
      </c>
      <c r="DD79" s="1482">
        <f t="shared" ca="1" si="201"/>
        <v>0</v>
      </c>
      <c r="DE79" s="1482">
        <f t="shared" ca="1" si="201"/>
        <v>0</v>
      </c>
      <c r="DF79" s="1482">
        <f t="shared" ca="1" si="201"/>
        <v>0</v>
      </c>
      <c r="DH79" s="838">
        <f t="shared" ca="1" si="123"/>
        <v>0.95601875829829197</v>
      </c>
    </row>
    <row r="80" spans="1:112" s="1491" customFormat="1" ht="12.75" hidden="1" customHeight="1" outlineLevel="1">
      <c r="C80" s="1534" t="s">
        <v>1721</v>
      </c>
      <c r="D80" s="1049" t="s">
        <v>1334</v>
      </c>
      <c r="E80" s="1535"/>
      <c r="F80" s="1957"/>
      <c r="G80" s="1070"/>
      <c r="H80" s="1070"/>
      <c r="I80" s="1070"/>
      <c r="J80" s="1070"/>
      <c r="K80" s="1071"/>
      <c r="L80" s="1070"/>
      <c r="M80" s="1070"/>
      <c r="N80" s="1070"/>
      <c r="O80" s="1070"/>
      <c r="P80" s="1070"/>
      <c r="Q80" s="1070"/>
      <c r="R80" s="1957"/>
      <c r="S80" s="1072">
        <f ca="1">S78+S79</f>
        <v>-409.73117353201741</v>
      </c>
      <c r="T80" s="1072">
        <f ca="1">T78+T79</f>
        <v>11.416690178180676</v>
      </c>
      <c r="U80" s="1072"/>
      <c r="V80" s="1072"/>
      <c r="W80" s="1072"/>
      <c r="X80" s="1072"/>
      <c r="Y80" s="1072"/>
      <c r="Z80" s="1072"/>
      <c r="AA80" s="1072"/>
      <c r="AB80" s="1072"/>
      <c r="AC80" s="1072"/>
      <c r="AD80" s="1072"/>
      <c r="AE80" s="1072"/>
      <c r="AF80" s="1072"/>
      <c r="AG80" s="1072"/>
      <c r="AH80" s="1072"/>
      <c r="AI80" s="1072"/>
      <c r="AJ80" s="1072"/>
      <c r="AK80" s="1072"/>
      <c r="AL80" s="1957"/>
      <c r="AM80" s="1073"/>
      <c r="AN80" s="1073"/>
      <c r="AO80" s="1073"/>
      <c r="AP80" s="1073"/>
      <c r="AQ80" s="1073"/>
      <c r="AR80" s="1073"/>
      <c r="AS80" s="1073"/>
      <c r="AT80" s="1073"/>
      <c r="AU80" s="1073"/>
      <c r="AV80" s="1073"/>
      <c r="AW80" s="1073"/>
      <c r="AX80" s="1073"/>
      <c r="AY80" s="1073"/>
      <c r="AZ80" s="1073"/>
      <c r="BA80" s="1073"/>
      <c r="BB80" s="1073"/>
      <c r="BC80" s="1073"/>
      <c r="BD80" s="1073"/>
      <c r="BE80" s="1073"/>
      <c r="BF80" s="1073"/>
      <c r="BG80" s="1957"/>
      <c r="BH80" s="1074"/>
      <c r="BI80" s="1074"/>
      <c r="BJ80" s="1074"/>
      <c r="BK80" s="1957"/>
      <c r="BL80" s="1536">
        <f t="shared" si="189"/>
        <v>0</v>
      </c>
      <c r="BM80" s="1536"/>
      <c r="BO80" s="1963"/>
      <c r="BP80" s="1963"/>
      <c r="BQ80" s="1963"/>
      <c r="BR80" s="1963"/>
      <c r="BS80" s="1963"/>
      <c r="BT80" s="1963"/>
      <c r="BU80" s="1963"/>
      <c r="BV80" s="1963"/>
      <c r="BW80" s="1963"/>
      <c r="BX80" s="1963"/>
      <c r="BY80" s="1963"/>
      <c r="BZ80" s="1963"/>
      <c r="CA80" s="1963"/>
      <c r="CB80" s="1963"/>
      <c r="CC80" s="1963"/>
      <c r="CD80" s="1963"/>
      <c r="CE80" s="1963"/>
      <c r="CF80" s="1963"/>
      <c r="CG80" s="1963"/>
      <c r="CH80" s="1963"/>
      <c r="CI80" s="1963"/>
      <c r="CJ80" s="1963"/>
      <c r="CK80" s="1963"/>
      <c r="CL80" s="1963"/>
      <c r="CM80" s="1963"/>
      <c r="CN80" s="1963"/>
      <c r="CO80" s="1963"/>
      <c r="CP80" s="1963"/>
      <c r="CQ80" s="1963"/>
      <c r="CR80" s="1963"/>
      <c r="CS80" s="1963"/>
      <c r="CT80" s="1963"/>
      <c r="CU80" s="1963"/>
      <c r="CV80" s="1963"/>
      <c r="CW80" s="1963"/>
      <c r="CX80" s="1963"/>
      <c r="CY80" s="1963"/>
      <c r="CZ80" s="1963"/>
      <c r="DA80" s="1963"/>
      <c r="DB80" s="1963"/>
      <c r="DC80" s="1963"/>
      <c r="DD80" s="1963"/>
      <c r="DE80" s="1963"/>
      <c r="DF80" s="1963"/>
      <c r="DH80" s="1962">
        <f t="shared" si="123"/>
        <v>0</v>
      </c>
    </row>
    <row r="81" spans="1:112" s="1484" customFormat="1" ht="12.75" hidden="1" customHeight="1" outlineLevel="1">
      <c r="C81" s="746" t="s">
        <v>742</v>
      </c>
      <c r="D81" s="521" t="str">
        <f>INDEX(Modules[Module], MATCH($C81, Modules[Code], 0))</f>
        <v>Conventional thermal plant</v>
      </c>
      <c r="E81" s="521"/>
      <c r="F81" s="743"/>
      <c r="G81" s="1022">
        <f t="shared" ref="G81:P81" ca="1" si="202">IFERROR(INDEX(INDIRECT($C81&amp;".Outputs["&amp;this.Year&amp;"]"), MATCH(G$5, INDIRECT($C81&amp;".Outputs[Vector]"), 0)), 0)</f>
        <v>0</v>
      </c>
      <c r="H81" s="1022">
        <f t="shared" ca="1" si="202"/>
        <v>0</v>
      </c>
      <c r="I81" s="1022">
        <f t="shared" ca="1" si="202"/>
        <v>0</v>
      </c>
      <c r="J81" s="1022">
        <f t="shared" ca="1" si="202"/>
        <v>0</v>
      </c>
      <c r="K81" s="1022">
        <f t="shared" ca="1" si="202"/>
        <v>0</v>
      </c>
      <c r="L81" s="1022">
        <f t="shared" ca="1" si="202"/>
        <v>0</v>
      </c>
      <c r="M81" s="1022">
        <f t="shared" ca="1" si="202"/>
        <v>0</v>
      </c>
      <c r="N81" s="1022">
        <f t="shared" ca="1" si="202"/>
        <v>0</v>
      </c>
      <c r="O81" s="1022">
        <f t="shared" ca="1" si="202"/>
        <v>0</v>
      </c>
      <c r="P81" s="1022">
        <f t="shared" ca="1" si="202"/>
        <v>0</v>
      </c>
      <c r="Q81" s="1020">
        <f ca="1">SUM(G81:P81)</f>
        <v>0</v>
      </c>
      <c r="R81" s="743"/>
      <c r="S81" s="1031">
        <f t="shared" ref="S81:BE81" ca="1" si="203">IFERROR(INDEX(INDIRECT($C81&amp;".Outputs["&amp;this.Year&amp;"]"), MATCH(S$5, INDIRECT($C81&amp;".Outputs[Vector]"), 0)), 0)</f>
        <v>0</v>
      </c>
      <c r="T81" s="1031">
        <f t="shared" ca="1" si="203"/>
        <v>398.31448335383675</v>
      </c>
      <c r="U81" s="1031">
        <f t="shared" ca="1" si="203"/>
        <v>-20.638670399999999</v>
      </c>
      <c r="V81" s="1031">
        <f t="shared" ca="1" si="203"/>
        <v>0</v>
      </c>
      <c r="W81" s="1031">
        <f t="shared" ca="1" si="203"/>
        <v>-798.52725016982697</v>
      </c>
      <c r="X81" s="1031">
        <f ca="1">IFERROR(INDEX(INDIRECT($C81&amp;".Outputs["&amp;this.Year&amp;"]"), MATCH(X$5, INDIRECT($C81&amp;".Outputs[Vector]"), 0)), 0)</f>
        <v>0</v>
      </c>
      <c r="Y81" s="1031">
        <f ca="1">IFERROR(INDEX(INDIRECT($C81&amp;".Outputs["&amp;this.Year&amp;"]"), MATCH(Y$5, INDIRECT($C81&amp;".Outputs[Vector]"), 0)), 0)</f>
        <v>0</v>
      </c>
      <c r="Z81" s="1031">
        <f ca="1">IFERROR(INDEX(INDIRECT($C81&amp;".Outputs["&amp;this.Year&amp;"]"), MATCH(Z$5, INDIRECT($C81&amp;".Outputs[Vector]"), 0)), 0)</f>
        <v>0</v>
      </c>
      <c r="AA81" s="1031">
        <f t="shared" ca="1" si="203"/>
        <v>0</v>
      </c>
      <c r="AB81" s="1031">
        <f t="shared" ca="1" si="203"/>
        <v>0</v>
      </c>
      <c r="AC81" s="1031">
        <f t="shared" ca="1" si="203"/>
        <v>0</v>
      </c>
      <c r="AD81" s="1031">
        <f t="shared" ca="1" si="203"/>
        <v>0</v>
      </c>
      <c r="AE81" s="1031">
        <f t="shared" ca="1" si="203"/>
        <v>0</v>
      </c>
      <c r="AF81" s="1031">
        <f t="shared" ca="1" si="203"/>
        <v>0</v>
      </c>
      <c r="AG81" s="1031">
        <f t="shared" ca="1" si="203"/>
        <v>0</v>
      </c>
      <c r="AH81" s="1031">
        <f t="shared" ca="1" si="203"/>
        <v>0</v>
      </c>
      <c r="AI81" s="1031">
        <f t="shared" ca="1" si="203"/>
        <v>0</v>
      </c>
      <c r="AJ81" s="1031">
        <f t="shared" ca="1" si="203"/>
        <v>0</v>
      </c>
      <c r="AK81" s="1030">
        <f ca="1">SUM(S81:AJ81)</f>
        <v>-420.85143721599025</v>
      </c>
      <c r="AL81" s="743"/>
      <c r="AM81" s="1042">
        <f t="shared" ref="AM81:AU81" ca="1" si="204">IFERROR(INDEX(INDIRECT($C81&amp;".Outputs["&amp;this.Year&amp;"]"), MATCH(AM$5, INDIRECT($C81&amp;".Outputs[Vector]"), 0)), 0)</f>
        <v>0</v>
      </c>
      <c r="AN81" s="1042">
        <f t="shared" ca="1" si="204"/>
        <v>0</v>
      </c>
      <c r="AO81" s="1042">
        <f t="shared" ca="1" si="204"/>
        <v>0</v>
      </c>
      <c r="AP81" s="1042">
        <f t="shared" ca="1" si="204"/>
        <v>0</v>
      </c>
      <c r="AQ81" s="1042">
        <f t="shared" ca="1" si="204"/>
        <v>0</v>
      </c>
      <c r="AR81" s="1042">
        <f t="shared" ca="1" si="204"/>
        <v>0</v>
      </c>
      <c r="AS81" s="1042">
        <f t="shared" ca="1" si="204"/>
        <v>0</v>
      </c>
      <c r="AT81" s="1042">
        <f t="shared" ca="1" si="204"/>
        <v>0</v>
      </c>
      <c r="AU81" s="1042">
        <f t="shared" ca="1" si="204"/>
        <v>0</v>
      </c>
      <c r="AV81" s="1042">
        <f t="shared" ca="1" si="203"/>
        <v>0</v>
      </c>
      <c r="AW81" s="1042">
        <f t="shared" ca="1" si="203"/>
        <v>0</v>
      </c>
      <c r="AX81" s="1042">
        <f t="shared" ca="1" si="203"/>
        <v>0</v>
      </c>
      <c r="AY81" s="1042">
        <f t="shared" ca="1" si="203"/>
        <v>0</v>
      </c>
      <c r="AZ81" s="1042">
        <f t="shared" ca="1" si="203"/>
        <v>0</v>
      </c>
      <c r="BA81" s="1042">
        <f t="shared" ca="1" si="203"/>
        <v>0</v>
      </c>
      <c r="BB81" s="1042">
        <f t="shared" ca="1" si="203"/>
        <v>0</v>
      </c>
      <c r="BC81" s="1042">
        <f t="shared" ca="1" si="203"/>
        <v>0</v>
      </c>
      <c r="BD81" s="1042">
        <f t="shared" ca="1" si="203"/>
        <v>0</v>
      </c>
      <c r="BE81" s="1042">
        <f t="shared" ca="1" si="203"/>
        <v>0</v>
      </c>
      <c r="BF81" s="1012">
        <f ca="1">SUM(AM81:BE81)</f>
        <v>0</v>
      </c>
      <c r="BG81" s="743"/>
      <c r="BH81" s="1036">
        <f ca="1">IFERROR(INDEX(INDIRECT($C81&amp;".Outputs["&amp;this.Year&amp;"]"), MATCH(BH$5, INDIRECT($C81&amp;".Outputs[Vector]"), 0)), 0)</f>
        <v>412.67876084491348</v>
      </c>
      <c r="BI81" s="1036">
        <f ca="1">IFERROR(INDEX(INDIRECT($C81&amp;".Outputs["&amp;this.Year&amp;"]"), MATCH(BI$5, INDIRECT($C81&amp;".Outputs[Vector]"), 0)), 0)</f>
        <v>8.1726763710767365</v>
      </c>
      <c r="BJ81" s="1035">
        <f ca="1">SUM(BH81:BI81)</f>
        <v>420.85143721599025</v>
      </c>
      <c r="BK81" s="743"/>
      <c r="BL81" s="814">
        <f t="shared" ref="BL81:BL87" ca="1" si="205">Q81+AK81+BF81+BJ81</f>
        <v>0</v>
      </c>
      <c r="BM81" s="814"/>
      <c r="BN81" s="840"/>
      <c r="BO81" s="1485">
        <f t="shared" ref="BO81:DF81" ca="1" si="206">IFERROR(SUMIFS(INDIRECT($C81&amp;".Emissions["&amp;this.Year&amp;"]"), INDIRECT($C81&amp;".Emissions[GHG]"), BO$6, INDIRECT($C81&amp;".Emissions[IPCC Sector]"), BO$5),0)</f>
        <v>153.28572451444813</v>
      </c>
      <c r="BP81" s="1486">
        <f t="shared" ca="1" si="206"/>
        <v>0.31319082699975781</v>
      </c>
      <c r="BQ81" s="1486">
        <f t="shared" ca="1" si="206"/>
        <v>0.37307847410557116</v>
      </c>
      <c r="BR81" s="1486">
        <f t="shared" ca="1" si="206"/>
        <v>0</v>
      </c>
      <c r="BS81" s="1486">
        <f t="shared" ca="1" si="206"/>
        <v>0</v>
      </c>
      <c r="BT81" s="1486">
        <f t="shared" ca="1" si="206"/>
        <v>0</v>
      </c>
      <c r="BU81" s="1486">
        <f t="shared" ca="1" si="206"/>
        <v>0</v>
      </c>
      <c r="BV81" s="1486">
        <f t="shared" ca="1" si="206"/>
        <v>0</v>
      </c>
      <c r="BW81" s="1486">
        <f t="shared" ca="1" si="206"/>
        <v>0</v>
      </c>
      <c r="BX81" s="1486">
        <f t="shared" ca="1" si="206"/>
        <v>0</v>
      </c>
      <c r="BY81" s="1486">
        <f t="shared" ca="1" si="206"/>
        <v>0</v>
      </c>
      <c r="BZ81" s="1486">
        <f t="shared" ca="1" si="206"/>
        <v>0</v>
      </c>
      <c r="CA81" s="1486">
        <f t="shared" ca="1" si="206"/>
        <v>0</v>
      </c>
      <c r="CB81" s="1486">
        <f t="shared" ca="1" si="206"/>
        <v>0</v>
      </c>
      <c r="CC81" s="1486">
        <f t="shared" ca="1" si="206"/>
        <v>0</v>
      </c>
      <c r="CD81" s="1486">
        <f t="shared" ca="1" si="206"/>
        <v>0</v>
      </c>
      <c r="CE81" s="1486">
        <f t="shared" ca="1" si="206"/>
        <v>0</v>
      </c>
      <c r="CF81" s="1486">
        <f t="shared" ca="1" si="206"/>
        <v>0</v>
      </c>
      <c r="CG81" s="1486">
        <f t="shared" ca="1" si="206"/>
        <v>0</v>
      </c>
      <c r="CH81" s="1486">
        <f t="shared" ca="1" si="206"/>
        <v>0</v>
      </c>
      <c r="CI81" s="1486">
        <f t="shared" ca="1" si="206"/>
        <v>0</v>
      </c>
      <c r="CJ81" s="1486">
        <f t="shared" ca="1" si="206"/>
        <v>0</v>
      </c>
      <c r="CK81" s="1486">
        <f t="shared" ca="1" si="206"/>
        <v>0</v>
      </c>
      <c r="CL81" s="1486">
        <f t="shared" ca="1" si="206"/>
        <v>0</v>
      </c>
      <c r="CM81" s="1486">
        <f t="shared" ca="1" si="206"/>
        <v>0</v>
      </c>
      <c r="CN81" s="1486">
        <f t="shared" ca="1" si="206"/>
        <v>0</v>
      </c>
      <c r="CO81" s="1486">
        <f t="shared" ca="1" si="206"/>
        <v>0</v>
      </c>
      <c r="CP81" s="1486">
        <f t="shared" ca="1" si="206"/>
        <v>0</v>
      </c>
      <c r="CQ81" s="1486">
        <f t="shared" ca="1" si="206"/>
        <v>0</v>
      </c>
      <c r="CR81" s="1486">
        <f t="shared" ca="1" si="206"/>
        <v>0</v>
      </c>
      <c r="CS81" s="1486">
        <f t="shared" ca="1" si="206"/>
        <v>0</v>
      </c>
      <c r="CT81" s="1486">
        <f t="shared" ca="1" si="206"/>
        <v>0</v>
      </c>
      <c r="CU81" s="1486">
        <f t="shared" ca="1" si="206"/>
        <v>0</v>
      </c>
      <c r="CV81" s="1486">
        <f t="shared" ca="1" si="206"/>
        <v>0</v>
      </c>
      <c r="CW81" s="1486">
        <f t="shared" ca="1" si="206"/>
        <v>0</v>
      </c>
      <c r="CX81" s="1486">
        <f t="shared" ca="1" si="206"/>
        <v>0</v>
      </c>
      <c r="CY81" s="1486">
        <f t="shared" ca="1" si="206"/>
        <v>0</v>
      </c>
      <c r="CZ81" s="1486">
        <f t="shared" ca="1" si="206"/>
        <v>0</v>
      </c>
      <c r="DA81" s="1486">
        <f t="shared" ca="1" si="206"/>
        <v>0</v>
      </c>
      <c r="DB81" s="1486">
        <f t="shared" ca="1" si="206"/>
        <v>0</v>
      </c>
      <c r="DC81" s="1486">
        <f t="shared" ca="1" si="206"/>
        <v>0</v>
      </c>
      <c r="DD81" s="1486">
        <f t="shared" ca="1" si="206"/>
        <v>0</v>
      </c>
      <c r="DE81" s="1486">
        <f t="shared" ca="1" si="206"/>
        <v>0</v>
      </c>
      <c r="DF81" s="1486">
        <f t="shared" ca="1" si="206"/>
        <v>0</v>
      </c>
      <c r="DH81" s="838">
        <f t="shared" ca="1" si="123"/>
        <v>153.97199381555345</v>
      </c>
    </row>
    <row r="82" spans="1:112" s="743" customFormat="1" ht="15.75" collapsed="1">
      <c r="A82" s="22"/>
      <c r="B82" s="753"/>
      <c r="C82" s="744" t="s">
        <v>74</v>
      </c>
      <c r="D82" s="517" t="str">
        <f>INDEX(Workstreams[Workstream], MATCH($C82, Workstreams[Code], 0))</f>
        <v>Hydrocarbon fuel power generation</v>
      </c>
      <c r="E82" s="512"/>
      <c r="G82" s="1021">
        <f t="shared" ref="G82:P82" ca="1" si="207">G79+G81</f>
        <v>0</v>
      </c>
      <c r="H82" s="1021">
        <f t="shared" ca="1" si="207"/>
        <v>0</v>
      </c>
      <c r="I82" s="1021">
        <f t="shared" ca="1" si="207"/>
        <v>0</v>
      </c>
      <c r="J82" s="1021">
        <f t="shared" ca="1" si="207"/>
        <v>0</v>
      </c>
      <c r="K82" s="1021">
        <f t="shared" ca="1" si="207"/>
        <v>0</v>
      </c>
      <c r="L82" s="1021">
        <f t="shared" ca="1" si="207"/>
        <v>0</v>
      </c>
      <c r="M82" s="1021">
        <f t="shared" ca="1" si="207"/>
        <v>0</v>
      </c>
      <c r="N82" s="1021">
        <f t="shared" ca="1" si="207"/>
        <v>0</v>
      </c>
      <c r="O82" s="1021">
        <f t="shared" ca="1" si="207"/>
        <v>0</v>
      </c>
      <c r="P82" s="1021">
        <f t="shared" ca="1" si="207"/>
        <v>0</v>
      </c>
      <c r="Q82" s="1021">
        <f ca="1">SUM(G82:P82)</f>
        <v>0</v>
      </c>
      <c r="S82" s="970">
        <f t="shared" ref="S82:AJ82" ca="1" si="208">S79+S81</f>
        <v>0</v>
      </c>
      <c r="T82" s="970">
        <f t="shared" ca="1" si="208"/>
        <v>407.88958515383678</v>
      </c>
      <c r="U82" s="970">
        <f t="shared" ca="1" si="208"/>
        <v>-48.403105492343947</v>
      </c>
      <c r="V82" s="970">
        <f t="shared" ca="1" si="208"/>
        <v>0</v>
      </c>
      <c r="W82" s="970">
        <f t="shared" ca="1" si="208"/>
        <v>-798.52725016982697</v>
      </c>
      <c r="X82" s="970">
        <f t="shared" ca="1" si="208"/>
        <v>0</v>
      </c>
      <c r="Y82" s="970">
        <f t="shared" ca="1" si="208"/>
        <v>0</v>
      </c>
      <c r="Z82" s="970">
        <f t="shared" ca="1" si="208"/>
        <v>0</v>
      </c>
      <c r="AA82" s="970">
        <f t="shared" ca="1" si="208"/>
        <v>0</v>
      </c>
      <c r="AB82" s="970">
        <f t="shared" ca="1" si="208"/>
        <v>0</v>
      </c>
      <c r="AC82" s="970">
        <f t="shared" ca="1" si="208"/>
        <v>0</v>
      </c>
      <c r="AD82" s="970">
        <f ca="1">AD79+AD81</f>
        <v>0</v>
      </c>
      <c r="AE82" s="970">
        <f ca="1">AE79+AE81</f>
        <v>0</v>
      </c>
      <c r="AF82" s="970">
        <f t="shared" ca="1" si="208"/>
        <v>0</v>
      </c>
      <c r="AG82" s="970">
        <f t="shared" ca="1" si="208"/>
        <v>0</v>
      </c>
      <c r="AH82" s="970">
        <f ca="1">AH79+AH81</f>
        <v>0</v>
      </c>
      <c r="AI82" s="970">
        <f t="shared" ca="1" si="208"/>
        <v>0</v>
      </c>
      <c r="AJ82" s="970">
        <f t="shared" ca="1" si="208"/>
        <v>0</v>
      </c>
      <c r="AK82" s="970">
        <f ca="1">SUM(S82:AJ82)</f>
        <v>-439.04077050833416</v>
      </c>
      <c r="AM82" s="976">
        <f t="shared" ref="AM82:BE82" ca="1" si="209">AM79+AM81</f>
        <v>0</v>
      </c>
      <c r="AN82" s="976">
        <f t="shared" ca="1" si="209"/>
        <v>0</v>
      </c>
      <c r="AO82" s="976">
        <f t="shared" ca="1" si="209"/>
        <v>0</v>
      </c>
      <c r="AP82" s="976">
        <f t="shared" ca="1" si="209"/>
        <v>0</v>
      </c>
      <c r="AQ82" s="976">
        <f t="shared" ca="1" si="209"/>
        <v>0</v>
      </c>
      <c r="AR82" s="976">
        <f t="shared" ca="1" si="209"/>
        <v>0</v>
      </c>
      <c r="AS82" s="976">
        <f t="shared" ca="1" si="209"/>
        <v>0</v>
      </c>
      <c r="AT82" s="976">
        <f t="shared" ca="1" si="209"/>
        <v>0</v>
      </c>
      <c r="AU82" s="976">
        <f t="shared" ca="1" si="209"/>
        <v>0</v>
      </c>
      <c r="AV82" s="976">
        <f t="shared" ca="1" si="209"/>
        <v>0</v>
      </c>
      <c r="AW82" s="976">
        <f t="shared" ca="1" si="209"/>
        <v>0</v>
      </c>
      <c r="AX82" s="976">
        <f t="shared" ca="1" si="209"/>
        <v>0</v>
      </c>
      <c r="AY82" s="976">
        <f t="shared" ca="1" si="209"/>
        <v>0</v>
      </c>
      <c r="AZ82" s="976">
        <f t="shared" ca="1" si="209"/>
        <v>0</v>
      </c>
      <c r="BA82" s="976">
        <f t="shared" ca="1" si="209"/>
        <v>0</v>
      </c>
      <c r="BB82" s="976">
        <f t="shared" ca="1" si="209"/>
        <v>0</v>
      </c>
      <c r="BC82" s="976">
        <f t="shared" ca="1" si="209"/>
        <v>0</v>
      </c>
      <c r="BD82" s="976">
        <f t="shared" ca="1" si="209"/>
        <v>0</v>
      </c>
      <c r="BE82" s="976">
        <f t="shared" ca="1" si="209"/>
        <v>0</v>
      </c>
      <c r="BF82" s="976">
        <f ca="1">SUM(AM82:BE82)</f>
        <v>0</v>
      </c>
      <c r="BH82" s="990">
        <f ca="1">BH79+BH81</f>
        <v>427.63369520147148</v>
      </c>
      <c r="BI82" s="990">
        <f ca="1">BI79+BI81</f>
        <v>11.407075306862691</v>
      </c>
      <c r="BJ82" s="990">
        <f ca="1">SUM(BH82:BI82)</f>
        <v>439.04077050833416</v>
      </c>
      <c r="BL82" s="515">
        <f t="shared" ca="1" si="205"/>
        <v>0</v>
      </c>
      <c r="BM82" s="515"/>
      <c r="BN82" s="840"/>
      <c r="BO82" s="1482">
        <f t="shared" ref="BO82:DF82" ca="1" si="210">BO79+BO81</f>
        <v>161.83717052289006</v>
      </c>
      <c r="BP82" s="1482">
        <f t="shared" ca="1" si="210"/>
        <v>0.33831188508366894</v>
      </c>
      <c r="BQ82" s="1482">
        <f t="shared" ca="1" si="210"/>
        <v>0.44883157347575831</v>
      </c>
      <c r="BR82" s="1482">
        <f t="shared" ca="1" si="210"/>
        <v>0</v>
      </c>
      <c r="BS82" s="1482">
        <f t="shared" ca="1" si="210"/>
        <v>0</v>
      </c>
      <c r="BT82" s="1482">
        <f t="shared" ca="1" si="210"/>
        <v>0</v>
      </c>
      <c r="BU82" s="1482">
        <f t="shared" ca="1" si="210"/>
        <v>0</v>
      </c>
      <c r="BV82" s="1482">
        <f t="shared" ca="1" si="210"/>
        <v>0</v>
      </c>
      <c r="BW82" s="1482">
        <f t="shared" ca="1" si="210"/>
        <v>0</v>
      </c>
      <c r="BX82" s="1482">
        <f t="shared" ca="1" si="210"/>
        <v>0</v>
      </c>
      <c r="BY82" s="1482">
        <f t="shared" ca="1" si="210"/>
        <v>0</v>
      </c>
      <c r="BZ82" s="1482">
        <f t="shared" ca="1" si="210"/>
        <v>0</v>
      </c>
      <c r="CA82" s="1482">
        <f t="shared" ca="1" si="210"/>
        <v>0</v>
      </c>
      <c r="CB82" s="1482">
        <f t="shared" ca="1" si="210"/>
        <v>0</v>
      </c>
      <c r="CC82" s="1482">
        <f t="shared" ca="1" si="210"/>
        <v>0</v>
      </c>
      <c r="CD82" s="1482">
        <f t="shared" ca="1" si="210"/>
        <v>0</v>
      </c>
      <c r="CE82" s="1482">
        <f t="shared" ca="1" si="210"/>
        <v>0</v>
      </c>
      <c r="CF82" s="1482">
        <f t="shared" ca="1" si="210"/>
        <v>0</v>
      </c>
      <c r="CG82" s="1482">
        <f t="shared" ca="1" si="210"/>
        <v>0</v>
      </c>
      <c r="CH82" s="1482">
        <f t="shared" ca="1" si="210"/>
        <v>0</v>
      </c>
      <c r="CI82" s="1482">
        <f t="shared" ca="1" si="210"/>
        <v>0</v>
      </c>
      <c r="CJ82" s="1482">
        <f t="shared" ca="1" si="210"/>
        <v>0</v>
      </c>
      <c r="CK82" s="1482">
        <f t="shared" ca="1" si="210"/>
        <v>0</v>
      </c>
      <c r="CL82" s="1482">
        <f t="shared" ca="1" si="210"/>
        <v>0</v>
      </c>
      <c r="CM82" s="1482">
        <f t="shared" ca="1" si="210"/>
        <v>0</v>
      </c>
      <c r="CN82" s="1482">
        <f t="shared" ca="1" si="210"/>
        <v>0</v>
      </c>
      <c r="CO82" s="1482">
        <f t="shared" ca="1" si="210"/>
        <v>0</v>
      </c>
      <c r="CP82" s="1482">
        <f t="shared" ca="1" si="210"/>
        <v>0</v>
      </c>
      <c r="CQ82" s="1482">
        <f t="shared" ca="1" si="210"/>
        <v>0</v>
      </c>
      <c r="CR82" s="1482">
        <f t="shared" ca="1" si="210"/>
        <v>0</v>
      </c>
      <c r="CS82" s="1482">
        <f t="shared" ca="1" si="210"/>
        <v>0</v>
      </c>
      <c r="CT82" s="1482">
        <f t="shared" ca="1" si="210"/>
        <v>0</v>
      </c>
      <c r="CU82" s="1482">
        <f t="shared" ca="1" si="210"/>
        <v>0</v>
      </c>
      <c r="CV82" s="1482">
        <f t="shared" ca="1" si="210"/>
        <v>0</v>
      </c>
      <c r="CW82" s="1482">
        <f t="shared" ca="1" si="210"/>
        <v>0</v>
      </c>
      <c r="CX82" s="1482">
        <f t="shared" ca="1" si="210"/>
        <v>0</v>
      </c>
      <c r="CY82" s="1482">
        <f t="shared" ca="1" si="210"/>
        <v>0</v>
      </c>
      <c r="CZ82" s="1482">
        <f t="shared" ca="1" si="210"/>
        <v>0</v>
      </c>
      <c r="DA82" s="1482">
        <f t="shared" ca="1" si="210"/>
        <v>0</v>
      </c>
      <c r="DB82" s="1482">
        <f t="shared" ca="1" si="210"/>
        <v>0</v>
      </c>
      <c r="DC82" s="1482">
        <f t="shared" ca="1" si="210"/>
        <v>-7.6963014075977405</v>
      </c>
      <c r="DD82" s="1482">
        <f t="shared" ca="1" si="210"/>
        <v>0</v>
      </c>
      <c r="DE82" s="1482">
        <f t="shared" ca="1" si="210"/>
        <v>0</v>
      </c>
      <c r="DF82" s="1482">
        <f t="shared" ca="1" si="210"/>
        <v>0</v>
      </c>
      <c r="DH82" s="838">
        <f t="shared" ca="1" si="123"/>
        <v>154.92801257385176</v>
      </c>
    </row>
    <row r="83" spans="1:112" s="743" customFormat="1" ht="6" customHeight="1">
      <c r="C83" s="516"/>
      <c r="D83" s="517"/>
      <c r="E83" s="509"/>
      <c r="G83" s="958"/>
      <c r="H83" s="958"/>
      <c r="I83" s="958"/>
      <c r="J83" s="958"/>
      <c r="K83" s="960"/>
      <c r="L83" s="958"/>
      <c r="M83" s="958"/>
      <c r="N83" s="958"/>
      <c r="O83" s="958"/>
      <c r="P83" s="958"/>
      <c r="Q83" s="958"/>
      <c r="S83" s="970"/>
      <c r="T83" s="970"/>
      <c r="U83" s="970"/>
      <c r="V83" s="970"/>
      <c r="W83" s="970"/>
      <c r="X83" s="970"/>
      <c r="Y83" s="970"/>
      <c r="Z83" s="970"/>
      <c r="AA83" s="970"/>
      <c r="AB83" s="970"/>
      <c r="AC83" s="970"/>
      <c r="AD83" s="970"/>
      <c r="AE83" s="970"/>
      <c r="AF83" s="970"/>
      <c r="AG83" s="970"/>
      <c r="AH83" s="970"/>
      <c r="AI83" s="970"/>
      <c r="AJ83" s="970"/>
      <c r="AK83" s="970"/>
      <c r="AM83" s="976"/>
      <c r="AN83" s="976"/>
      <c r="AO83" s="976"/>
      <c r="AP83" s="976"/>
      <c r="AQ83" s="976"/>
      <c r="AR83" s="976"/>
      <c r="AS83" s="976"/>
      <c r="AT83" s="976"/>
      <c r="AU83" s="976"/>
      <c r="AV83" s="976"/>
      <c r="AW83" s="976"/>
      <c r="AX83" s="976"/>
      <c r="AY83" s="976"/>
      <c r="AZ83" s="976"/>
      <c r="BA83" s="976"/>
      <c r="BB83" s="976"/>
      <c r="BC83" s="976"/>
      <c r="BD83" s="976"/>
      <c r="BE83" s="976"/>
      <c r="BF83" s="976">
        <f>SUM(AM83:BE83)</f>
        <v>0</v>
      </c>
      <c r="BH83" s="990"/>
      <c r="BI83" s="990"/>
      <c r="BJ83" s="990"/>
      <c r="BL83" s="515">
        <f t="shared" si="205"/>
        <v>0</v>
      </c>
      <c r="BM83" s="515"/>
      <c r="BO83" s="1482"/>
      <c r="BP83" s="1482"/>
      <c r="BQ83" s="1482"/>
      <c r="BR83" s="1482"/>
      <c r="BS83" s="1482"/>
      <c r="BT83" s="1482"/>
      <c r="BU83" s="1482"/>
      <c r="BV83" s="1482"/>
      <c r="BW83" s="1482"/>
      <c r="BX83" s="1482"/>
      <c r="BY83" s="1482"/>
      <c r="BZ83" s="1482"/>
      <c r="CA83" s="1482"/>
      <c r="CB83" s="1482"/>
      <c r="CC83" s="1482"/>
      <c r="CD83" s="1482"/>
      <c r="CE83" s="1482"/>
      <c r="CF83" s="1482"/>
      <c r="CG83" s="1482"/>
      <c r="CH83" s="1482"/>
      <c r="CI83" s="1482"/>
      <c r="CJ83" s="1482"/>
      <c r="CK83" s="1482"/>
      <c r="CL83" s="1482"/>
      <c r="CM83" s="1482"/>
      <c r="CN83" s="1482"/>
      <c r="CO83" s="1482"/>
      <c r="CP83" s="1482"/>
      <c r="CQ83" s="1482"/>
      <c r="CR83" s="1482"/>
      <c r="CS83" s="1482"/>
      <c r="CT83" s="1482"/>
      <c r="CU83" s="1482"/>
      <c r="CV83" s="1482"/>
      <c r="CW83" s="1482"/>
      <c r="CX83" s="1482"/>
      <c r="CY83" s="1482"/>
      <c r="CZ83" s="1482"/>
      <c r="DA83" s="1482"/>
      <c r="DB83" s="1482"/>
      <c r="DC83" s="1482"/>
      <c r="DD83" s="1482"/>
      <c r="DE83" s="1482"/>
      <c r="DF83" s="1482"/>
      <c r="DH83" s="838"/>
    </row>
    <row r="84" spans="1:112" s="743" customFormat="1" ht="15.75">
      <c r="B84" s="753"/>
      <c r="C84" s="2051" t="s">
        <v>1816</v>
      </c>
      <c r="D84" s="643" t="s">
        <v>249</v>
      </c>
      <c r="E84" s="644"/>
      <c r="G84" s="1075">
        <f t="shared" ref="G84:P84" ca="1" si="211">G$51+G$55+G$63+G$68+G$72+G$76+G$82+G$46</f>
        <v>0</v>
      </c>
      <c r="H84" s="1075">
        <f t="shared" ca="1" si="211"/>
        <v>0</v>
      </c>
      <c r="I84" s="1075">
        <f t="shared" ca="1" si="211"/>
        <v>29.560181059598001</v>
      </c>
      <c r="J84" s="1075">
        <f t="shared" ca="1" si="211"/>
        <v>0</v>
      </c>
      <c r="K84" s="1076">
        <f t="shared" ca="1" si="211"/>
        <v>0</v>
      </c>
      <c r="L84" s="1075">
        <f t="shared" ca="1" si="211"/>
        <v>0</v>
      </c>
      <c r="M84" s="1075">
        <f t="shared" ca="1" si="211"/>
        <v>0</v>
      </c>
      <c r="N84" s="1075">
        <f t="shared" ca="1" si="211"/>
        <v>0</v>
      </c>
      <c r="O84" s="1075">
        <f t="shared" ca="1" si="211"/>
        <v>0</v>
      </c>
      <c r="P84" s="1075">
        <f t="shared" ca="1" si="211"/>
        <v>0</v>
      </c>
      <c r="Q84" s="1023">
        <f ca="1">SUM(G84:P84)</f>
        <v>29.560181059598001</v>
      </c>
      <c r="S84" s="1014">
        <f t="shared" ref="S84:AJ84" ca="1" si="212">S$51+S$55+S$63+S$68+S$72+S$76+S$82+S$46</f>
        <v>-10.780941327616631</v>
      </c>
      <c r="T84" s="1014">
        <f t="shared" ca="1" si="212"/>
        <v>440.45274578498226</v>
      </c>
      <c r="U84" s="1014">
        <f t="shared" ca="1" si="212"/>
        <v>-49.317800554246581</v>
      </c>
      <c r="V84" s="1014">
        <f t="shared" ca="1" si="212"/>
        <v>-46.996531846746812</v>
      </c>
      <c r="W84" s="1014">
        <f t="shared" ca="1" si="212"/>
        <v>-820.0300641219319</v>
      </c>
      <c r="X84" s="1014">
        <f t="shared" ca="1" si="212"/>
        <v>207.25856184195698</v>
      </c>
      <c r="Y84" s="1014">
        <f t="shared" ca="1" si="212"/>
        <v>264.59138956080642</v>
      </c>
      <c r="Z84" s="1014">
        <f t="shared" ca="1" si="212"/>
        <v>202.66146618133868</v>
      </c>
      <c r="AA84" s="1014">
        <f t="shared" ca="1" si="212"/>
        <v>0</v>
      </c>
      <c r="AB84" s="1014">
        <f t="shared" ca="1" si="212"/>
        <v>8.6215720935886129</v>
      </c>
      <c r="AC84" s="1014">
        <f t="shared" ca="1" si="212"/>
        <v>0</v>
      </c>
      <c r="AD84" s="1014">
        <f t="shared" ca="1" si="212"/>
        <v>41.568038881692388</v>
      </c>
      <c r="AE84" s="1014">
        <f t="shared" ca="1" si="212"/>
        <v>1.4946016514365559</v>
      </c>
      <c r="AF84" s="1014">
        <f t="shared" ca="1" si="212"/>
        <v>54.094544573868873</v>
      </c>
      <c r="AG84" s="1014">
        <f t="shared" ca="1" si="212"/>
        <v>45.412460545409857</v>
      </c>
      <c r="AH84" s="1014">
        <f t="shared" ca="1" si="212"/>
        <v>17.17420033669308</v>
      </c>
      <c r="AI84" s="1014">
        <f t="shared" ca="1" si="212"/>
        <v>0</v>
      </c>
      <c r="AJ84" s="1014">
        <f t="shared" ca="1" si="212"/>
        <v>0</v>
      </c>
      <c r="AK84" s="1014">
        <f ca="1">SUM(S84:AJ84)</f>
        <v>356.20424360123189</v>
      </c>
      <c r="AM84" s="1015">
        <f t="shared" ref="AM84:BE84" ca="1" si="213">AM$51+AM$55+AM$63+AM$68+AM$72+AM$76+AM$82+AM$46</f>
        <v>-124.39544583847987</v>
      </c>
      <c r="AN84" s="1015">
        <f t="shared" ca="1" si="213"/>
        <v>-264.59138956080642</v>
      </c>
      <c r="AO84" s="1015">
        <f t="shared" ca="1" si="213"/>
        <v>-202.66146618133868</v>
      </c>
      <c r="AP84" s="1015">
        <f t="shared" ca="1" si="213"/>
        <v>0</v>
      </c>
      <c r="AQ84" s="1015">
        <f t="shared" ca="1" si="213"/>
        <v>0</v>
      </c>
      <c r="AR84" s="1015">
        <f t="shared" ca="1" si="213"/>
        <v>0</v>
      </c>
      <c r="AS84" s="1015">
        <f t="shared" ca="1" si="213"/>
        <v>0</v>
      </c>
      <c r="AT84" s="1015">
        <f t="shared" ca="1" si="213"/>
        <v>0</v>
      </c>
      <c r="AU84" s="1015">
        <f t="shared" ca="1" si="213"/>
        <v>0</v>
      </c>
      <c r="AV84" s="1015">
        <f t="shared" ca="1" si="213"/>
        <v>0</v>
      </c>
      <c r="AW84" s="1015">
        <f t="shared" ca="1" si="213"/>
        <v>0</v>
      </c>
      <c r="AX84" s="1015">
        <f t="shared" ca="1" si="213"/>
        <v>-28.553930100000002</v>
      </c>
      <c r="AY84" s="1015">
        <f t="shared" ca="1" si="213"/>
        <v>0</v>
      </c>
      <c r="AZ84" s="1015">
        <f t="shared" ca="1" si="213"/>
        <v>0</v>
      </c>
      <c r="BA84" s="1015">
        <f t="shared" ca="1" si="213"/>
        <v>0</v>
      </c>
      <c r="BB84" s="1015">
        <f t="shared" ca="1" si="213"/>
        <v>-5.3297280000000011</v>
      </c>
      <c r="BC84" s="1015">
        <f t="shared" ca="1" si="213"/>
        <v>0</v>
      </c>
      <c r="BD84" s="1015">
        <f t="shared" ca="1" si="213"/>
        <v>-43.062640533128942</v>
      </c>
      <c r="BE84" s="1015">
        <f t="shared" ca="1" si="213"/>
        <v>-199.54432145944892</v>
      </c>
      <c r="BF84" s="1015">
        <f ca="1">SUM(AM84:BE84)</f>
        <v>-868.13892167320296</v>
      </c>
      <c r="BH84" s="1016">
        <f ca="1">BH$51+BH$55+BH$63+BH$68+BH$72+BH$76+BH$82+BH$46</f>
        <v>419.71071038834424</v>
      </c>
      <c r="BI84" s="1016">
        <f ca="1">BI$51+BI$55+BI$63+BI$68+BI$72+BI$76+BI$82+BI$46</f>
        <v>62.663786624028859</v>
      </c>
      <c r="BJ84" s="1016">
        <f ca="1">SUM(BH84:BI84)</f>
        <v>482.37449701237313</v>
      </c>
      <c r="BL84" s="518">
        <f t="shared" ca="1" si="205"/>
        <v>0</v>
      </c>
      <c r="BM84" s="518"/>
      <c r="BO84" s="1487">
        <f t="shared" ref="BO84:DE84" ca="1" si="214">BO$51+BO$55+BO$63+BO$68+BO$72+BO$76+BO$82+BO$46</f>
        <v>177.79403804913014</v>
      </c>
      <c r="BP84" s="1487">
        <f t="shared" ca="1" si="214"/>
        <v>0.36162390143668699</v>
      </c>
      <c r="BQ84" s="1487">
        <f t="shared" ca="1" si="214"/>
        <v>0.67109012909050425</v>
      </c>
      <c r="BR84" s="1487">
        <f t="shared" ca="1" si="214"/>
        <v>0</v>
      </c>
      <c r="BS84" s="1487">
        <f t="shared" ca="1" si="214"/>
        <v>1.3804973344946569</v>
      </c>
      <c r="BT84" s="1487">
        <f t="shared" ca="1" si="214"/>
        <v>2.6403129612517775</v>
      </c>
      <c r="BU84" s="1487">
        <f t="shared" ca="1" si="214"/>
        <v>0</v>
      </c>
      <c r="BV84" s="1487">
        <f t="shared" ca="1" si="214"/>
        <v>0</v>
      </c>
      <c r="BW84" s="1487">
        <f t="shared" ca="1" si="214"/>
        <v>0</v>
      </c>
      <c r="BX84" s="1487">
        <f t="shared" ca="1" si="214"/>
        <v>0</v>
      </c>
      <c r="BY84" s="1487">
        <f t="shared" ca="1" si="214"/>
        <v>0</v>
      </c>
      <c r="BZ84" s="1487">
        <f t="shared" ca="1" si="214"/>
        <v>0</v>
      </c>
      <c r="CA84" s="1487">
        <f t="shared" ca="1" si="214"/>
        <v>0</v>
      </c>
      <c r="CB84" s="1487">
        <f t="shared" ca="1" si="214"/>
        <v>0</v>
      </c>
      <c r="CC84" s="1487">
        <f t="shared" ca="1" si="214"/>
        <v>0</v>
      </c>
      <c r="CD84" s="1487">
        <f t="shared" ca="1" si="214"/>
        <v>0</v>
      </c>
      <c r="CE84" s="1487">
        <f t="shared" ca="1" si="214"/>
        <v>0</v>
      </c>
      <c r="CF84" s="1487">
        <f t="shared" ca="1" si="214"/>
        <v>17.198478545174765</v>
      </c>
      <c r="CG84" s="1487">
        <f t="shared" ca="1" si="214"/>
        <v>21.202342275437385</v>
      </c>
      <c r="CH84" s="1487">
        <f t="shared" ca="1" si="214"/>
        <v>0</v>
      </c>
      <c r="CI84" s="1487">
        <f t="shared" ca="1" si="214"/>
        <v>11.724919775119625</v>
      </c>
      <c r="CJ84" s="1487">
        <f t="shared" ca="1" si="214"/>
        <v>0</v>
      </c>
      <c r="CK84" s="1487">
        <f t="shared" ca="1" si="214"/>
        <v>0</v>
      </c>
      <c r="CL84" s="1487">
        <f t="shared" ca="1" si="214"/>
        <v>0</v>
      </c>
      <c r="CM84" s="1487">
        <f t="shared" ca="1" si="214"/>
        <v>0</v>
      </c>
      <c r="CN84" s="1487">
        <f t="shared" ca="1" si="214"/>
        <v>20.566156027308367</v>
      </c>
      <c r="CO84" s="1487">
        <f t="shared" ca="1" si="214"/>
        <v>1.4809373450379677</v>
      </c>
      <c r="CP84" s="1487">
        <f t="shared" ca="1" si="214"/>
        <v>0</v>
      </c>
      <c r="CQ84" s="1487">
        <f t="shared" ca="1" si="214"/>
        <v>0</v>
      </c>
      <c r="CR84" s="1487">
        <f t="shared" ca="1" si="214"/>
        <v>0</v>
      </c>
      <c r="CS84" s="1487">
        <f t="shared" ca="1" si="214"/>
        <v>0</v>
      </c>
      <c r="CT84" s="1487">
        <f t="shared" ca="1" si="214"/>
        <v>0</v>
      </c>
      <c r="CU84" s="1487">
        <f t="shared" ca="1" si="214"/>
        <v>0</v>
      </c>
      <c r="CV84" s="1487">
        <f t="shared" ca="1" si="214"/>
        <v>0</v>
      </c>
      <c r="CW84" s="1487">
        <f t="shared" ca="1" si="214"/>
        <v>0</v>
      </c>
      <c r="CX84" s="1487">
        <f t="shared" ca="1" si="214"/>
        <v>0</v>
      </c>
      <c r="CY84" s="1487">
        <f t="shared" ca="1" si="214"/>
        <v>0</v>
      </c>
      <c r="CZ84" s="1487">
        <f t="shared" ca="1" si="214"/>
        <v>0</v>
      </c>
      <c r="DA84" s="1487">
        <f t="shared" ca="1" si="214"/>
        <v>0</v>
      </c>
      <c r="DB84" s="1487">
        <f t="shared" ca="1" si="214"/>
        <v>0</v>
      </c>
      <c r="DC84" s="1487">
        <f t="shared" ca="1" si="214"/>
        <v>-7.6963014075977405</v>
      </c>
      <c r="DD84" s="1487">
        <f t="shared" ca="1" si="214"/>
        <v>0</v>
      </c>
      <c r="DE84" s="1487">
        <f t="shared" ca="1" si="214"/>
        <v>0</v>
      </c>
      <c r="DF84" s="1487">
        <f ca="1">DF$51+DF$99+DF$55+DF$63+DF$68+DF$76+DF$82+DF$46</f>
        <v>0</v>
      </c>
      <c r="DH84" s="835">
        <f ca="1">SUM(BO84:DF84)</f>
        <v>247.32409493588418</v>
      </c>
    </row>
    <row r="85" spans="1:112" s="743" customFormat="1" ht="6" customHeight="1">
      <c r="C85" s="516"/>
      <c r="D85" s="517"/>
      <c r="E85" s="509"/>
      <c r="G85" s="958"/>
      <c r="H85" s="958"/>
      <c r="I85" s="958"/>
      <c r="J85" s="958"/>
      <c r="K85" s="960"/>
      <c r="L85" s="958"/>
      <c r="M85" s="958"/>
      <c r="N85" s="958"/>
      <c r="O85" s="958"/>
      <c r="P85" s="958"/>
      <c r="Q85" s="958"/>
      <c r="S85" s="970"/>
      <c r="T85" s="970"/>
      <c r="U85" s="970"/>
      <c r="V85" s="970"/>
      <c r="W85" s="970"/>
      <c r="X85" s="970"/>
      <c r="Y85" s="970"/>
      <c r="Z85" s="970"/>
      <c r="AA85" s="970"/>
      <c r="AB85" s="970"/>
      <c r="AC85" s="970"/>
      <c r="AD85" s="970"/>
      <c r="AE85" s="970"/>
      <c r="AF85" s="970"/>
      <c r="AG85" s="970"/>
      <c r="AH85" s="970"/>
      <c r="AI85" s="970"/>
      <c r="AJ85" s="970"/>
      <c r="AK85" s="970"/>
      <c r="AM85" s="976"/>
      <c r="AN85" s="976"/>
      <c r="AO85" s="976"/>
      <c r="AP85" s="976"/>
      <c r="AQ85" s="976"/>
      <c r="AR85" s="976"/>
      <c r="AS85" s="976"/>
      <c r="AT85" s="976"/>
      <c r="AU85" s="976"/>
      <c r="AV85" s="976"/>
      <c r="AW85" s="976"/>
      <c r="AX85" s="976"/>
      <c r="AY85" s="976"/>
      <c r="AZ85" s="976"/>
      <c r="BA85" s="976"/>
      <c r="BB85" s="976"/>
      <c r="BC85" s="976"/>
      <c r="BD85" s="976"/>
      <c r="BE85" s="976"/>
      <c r="BF85" s="976"/>
      <c r="BH85" s="990"/>
      <c r="BI85" s="990"/>
      <c r="BJ85" s="990"/>
      <c r="BL85" s="515">
        <f t="shared" si="205"/>
        <v>0</v>
      </c>
      <c r="BM85" s="515"/>
      <c r="BO85" s="1482"/>
      <c r="BP85" s="1482"/>
      <c r="BQ85" s="1482"/>
      <c r="BR85" s="1482"/>
      <c r="BS85" s="1482"/>
      <c r="BT85" s="1482"/>
      <c r="BU85" s="1482"/>
      <c r="BV85" s="1482"/>
      <c r="BW85" s="1482"/>
      <c r="BX85" s="1482"/>
      <c r="BY85" s="1482"/>
      <c r="BZ85" s="1482"/>
      <c r="CA85" s="1482"/>
      <c r="CB85" s="1482"/>
      <c r="CC85" s="1482"/>
      <c r="CD85" s="1482"/>
      <c r="CE85" s="1482"/>
      <c r="CF85" s="1482"/>
      <c r="CG85" s="1482"/>
      <c r="CH85" s="1482"/>
      <c r="CI85" s="1482"/>
      <c r="CJ85" s="1482"/>
      <c r="CK85" s="1482"/>
      <c r="CL85" s="1482"/>
      <c r="CM85" s="1482"/>
      <c r="CN85" s="1482"/>
      <c r="CO85" s="1482"/>
      <c r="CP85" s="1482"/>
      <c r="CQ85" s="1482"/>
      <c r="CR85" s="1482"/>
      <c r="CS85" s="1482"/>
      <c r="CT85" s="1482"/>
      <c r="CU85" s="1482"/>
      <c r="CV85" s="1482"/>
      <c r="CW85" s="1482"/>
      <c r="CX85" s="1482"/>
      <c r="CY85" s="1482"/>
      <c r="CZ85" s="1482"/>
      <c r="DA85" s="1482"/>
      <c r="DB85" s="1482"/>
      <c r="DC85" s="1482"/>
      <c r="DD85" s="1482"/>
      <c r="DE85" s="1482"/>
      <c r="DF85" s="1482"/>
      <c r="DH85" s="838"/>
    </row>
    <row r="86" spans="1:112" s="743" customFormat="1" ht="24" customHeight="1">
      <c r="C86" s="501" t="s">
        <v>987</v>
      </c>
      <c r="D86" s="501"/>
      <c r="E86" s="639"/>
      <c r="G86" s="957"/>
      <c r="H86" s="957"/>
      <c r="I86" s="957"/>
      <c r="J86" s="957"/>
      <c r="K86" s="957"/>
      <c r="L86" s="957"/>
      <c r="M86" s="957"/>
      <c r="N86" s="957"/>
      <c r="O86" s="957"/>
      <c r="P86" s="957"/>
      <c r="Q86" s="957"/>
      <c r="S86" s="973"/>
      <c r="T86" s="973"/>
      <c r="U86" s="973"/>
      <c r="V86" s="973"/>
      <c r="W86" s="973"/>
      <c r="X86" s="969"/>
      <c r="Y86" s="969"/>
      <c r="Z86" s="969"/>
      <c r="AA86" s="973"/>
      <c r="AB86" s="973"/>
      <c r="AC86" s="973"/>
      <c r="AD86" s="973"/>
      <c r="AE86" s="973"/>
      <c r="AF86" s="973"/>
      <c r="AG86" s="973"/>
      <c r="AH86" s="973"/>
      <c r="AI86" s="973"/>
      <c r="AJ86" s="973"/>
      <c r="AK86" s="973"/>
      <c r="AM86" s="980"/>
      <c r="AN86" s="980"/>
      <c r="AO86" s="980"/>
      <c r="AP86" s="980"/>
      <c r="AQ86" s="980"/>
      <c r="AR86" s="980"/>
      <c r="AS86" s="980"/>
      <c r="AT86" s="980"/>
      <c r="AU86" s="980"/>
      <c r="AV86" s="980"/>
      <c r="AW86" s="975"/>
      <c r="AX86" s="975"/>
      <c r="AY86" s="975"/>
      <c r="AZ86" s="975"/>
      <c r="BA86" s="975"/>
      <c r="BB86" s="975"/>
      <c r="BC86" s="975"/>
      <c r="BD86" s="975"/>
      <c r="BE86" s="975"/>
      <c r="BF86" s="980"/>
      <c r="BH86" s="993"/>
      <c r="BI86" s="993"/>
      <c r="BJ86" s="993"/>
      <c r="BL86" s="514">
        <f t="shared" si="205"/>
        <v>0</v>
      </c>
      <c r="BM86" s="514"/>
      <c r="BO86" s="1482"/>
      <c r="BP86" s="1482"/>
      <c r="BQ86" s="1482"/>
      <c r="BR86" s="1482"/>
      <c r="BS86" s="1482"/>
      <c r="BT86" s="1482"/>
      <c r="BU86" s="1482"/>
      <c r="BV86" s="1482"/>
      <c r="BW86" s="1482"/>
      <c r="BX86" s="1482"/>
      <c r="BY86" s="1482"/>
      <c r="BZ86" s="1482"/>
      <c r="CA86" s="1482"/>
      <c r="CB86" s="1482"/>
      <c r="CC86" s="1482"/>
      <c r="CD86" s="1482"/>
      <c r="CE86" s="1482"/>
      <c r="CF86" s="1482"/>
      <c r="CG86" s="1482"/>
      <c r="CH86" s="1482"/>
      <c r="CI86" s="1482"/>
      <c r="CJ86" s="1482"/>
      <c r="CK86" s="1482"/>
      <c r="CL86" s="1482"/>
      <c r="CM86" s="1482"/>
      <c r="CN86" s="1482"/>
      <c r="CO86" s="1482"/>
      <c r="CP86" s="1482"/>
      <c r="CQ86" s="1482"/>
      <c r="CR86" s="1482"/>
      <c r="CS86" s="1482"/>
      <c r="CT86" s="1482"/>
      <c r="CU86" s="1482"/>
      <c r="CV86" s="1482"/>
      <c r="CW86" s="1482"/>
      <c r="CX86" s="1482"/>
      <c r="CY86" s="1482"/>
      <c r="CZ86" s="1482"/>
      <c r="DA86" s="1482"/>
      <c r="DB86" s="1482"/>
      <c r="DC86" s="1482"/>
      <c r="DD86" s="1482"/>
      <c r="DE86" s="1482"/>
      <c r="DF86" s="1482"/>
      <c r="DH86" s="838"/>
    </row>
    <row r="87" spans="1:112" s="743" customFormat="1" ht="6" customHeight="1">
      <c r="C87" s="520"/>
      <c r="D87" s="38"/>
      <c r="E87" s="509"/>
      <c r="G87" s="958"/>
      <c r="H87" s="958"/>
      <c r="I87" s="958"/>
      <c r="J87" s="958"/>
      <c r="K87" s="960"/>
      <c r="L87" s="958"/>
      <c r="M87" s="958"/>
      <c r="N87" s="958"/>
      <c r="O87" s="958"/>
      <c r="P87" s="958"/>
      <c r="Q87" s="958"/>
      <c r="S87" s="970"/>
      <c r="T87" s="970"/>
      <c r="U87" s="970"/>
      <c r="V87" s="970"/>
      <c r="W87" s="970"/>
      <c r="X87" s="970"/>
      <c r="Y87" s="970"/>
      <c r="Z87" s="970"/>
      <c r="AA87" s="970"/>
      <c r="AB87" s="970"/>
      <c r="AC87" s="970"/>
      <c r="AD87" s="970"/>
      <c r="AE87" s="970"/>
      <c r="AF87" s="970"/>
      <c r="AG87" s="970"/>
      <c r="AH87" s="970"/>
      <c r="AI87" s="970"/>
      <c r="AJ87" s="970"/>
      <c r="AK87" s="970"/>
      <c r="AM87" s="976"/>
      <c r="AN87" s="976"/>
      <c r="AO87" s="976"/>
      <c r="AP87" s="976"/>
      <c r="AQ87" s="976"/>
      <c r="AR87" s="976"/>
      <c r="AS87" s="976"/>
      <c r="AT87" s="976"/>
      <c r="AU87" s="976"/>
      <c r="AV87" s="976"/>
      <c r="AW87" s="976"/>
      <c r="AX87" s="976"/>
      <c r="AY87" s="976"/>
      <c r="AZ87" s="976"/>
      <c r="BA87" s="976"/>
      <c r="BB87" s="976"/>
      <c r="BC87" s="976"/>
      <c r="BD87" s="976"/>
      <c r="BE87" s="976"/>
      <c r="BF87" s="976"/>
      <c r="BH87" s="990"/>
      <c r="BI87" s="990"/>
      <c r="BJ87" s="990"/>
      <c r="BL87" s="515">
        <f t="shared" si="205"/>
        <v>0</v>
      </c>
      <c r="BM87" s="515"/>
      <c r="BO87" s="1482"/>
      <c r="BP87" s="1482"/>
      <c r="BQ87" s="1482"/>
      <c r="BR87" s="1482"/>
      <c r="BS87" s="1482"/>
      <c r="BT87" s="1482"/>
      <c r="BU87" s="1482"/>
      <c r="BV87" s="1482"/>
      <c r="BW87" s="1482"/>
      <c r="BX87" s="1482"/>
      <c r="BY87" s="1482"/>
      <c r="BZ87" s="1482"/>
      <c r="CA87" s="1482"/>
      <c r="CB87" s="1482"/>
      <c r="CC87" s="1482"/>
      <c r="CD87" s="1482"/>
      <c r="CE87" s="1482"/>
      <c r="CF87" s="1482"/>
      <c r="CG87" s="1482"/>
      <c r="CH87" s="1482"/>
      <c r="CI87" s="1482"/>
      <c r="CJ87" s="1482"/>
      <c r="CK87" s="1482"/>
      <c r="CL87" s="1482"/>
      <c r="CM87" s="1482"/>
      <c r="CN87" s="1482"/>
      <c r="CO87" s="1482"/>
      <c r="CP87" s="1482"/>
      <c r="CQ87" s="1482"/>
      <c r="CR87" s="1482"/>
      <c r="CS87" s="1482"/>
      <c r="CT87" s="1482"/>
      <c r="CU87" s="1482"/>
      <c r="CV87" s="1482"/>
      <c r="CW87" s="1482"/>
      <c r="CX87" s="1482"/>
      <c r="CY87" s="1482"/>
      <c r="CZ87" s="1482"/>
      <c r="DA87" s="1482"/>
      <c r="DB87" s="1482"/>
      <c r="DC87" s="1482"/>
      <c r="DD87" s="1482"/>
      <c r="DE87" s="1482"/>
      <c r="DF87" s="1482"/>
      <c r="DH87" s="838"/>
    </row>
    <row r="88" spans="1:112" s="743" customFormat="1" hidden="1" outlineLevel="1">
      <c r="A88" s="1488"/>
      <c r="B88" s="1488"/>
      <c r="C88" s="850"/>
      <c r="D88" s="851"/>
      <c r="E88" s="851"/>
      <c r="G88" s="961"/>
      <c r="H88" s="961"/>
      <c r="I88" s="961"/>
      <c r="J88" s="961"/>
      <c r="K88" s="962"/>
      <c r="L88" s="961"/>
      <c r="M88" s="961"/>
      <c r="N88" s="961"/>
      <c r="O88" s="961"/>
      <c r="P88" s="961"/>
      <c r="Q88" s="961"/>
      <c r="S88" s="971"/>
      <c r="T88" s="971"/>
      <c r="U88" s="971"/>
      <c r="V88" s="971"/>
      <c r="W88" s="971"/>
      <c r="X88" s="971"/>
      <c r="Y88" s="971"/>
      <c r="Z88" s="971"/>
      <c r="AA88" s="971"/>
      <c r="AB88" s="971"/>
      <c r="AC88" s="971"/>
      <c r="AD88" s="971"/>
      <c r="AE88" s="971"/>
      <c r="AF88" s="971"/>
      <c r="AG88" s="971"/>
      <c r="AH88" s="971"/>
      <c r="AI88" s="971"/>
      <c r="AJ88" s="971"/>
      <c r="AK88" s="971"/>
      <c r="AM88" s="978"/>
      <c r="AN88" s="978"/>
      <c r="AO88" s="978"/>
      <c r="AP88" s="978"/>
      <c r="AQ88" s="978"/>
      <c r="AR88" s="978"/>
      <c r="AS88" s="978"/>
      <c r="AT88" s="978"/>
      <c r="AU88" s="978"/>
      <c r="AV88" s="978"/>
      <c r="AW88" s="978"/>
      <c r="AX88" s="978"/>
      <c r="AY88" s="978"/>
      <c r="AZ88" s="978"/>
      <c r="BA88" s="978"/>
      <c r="BB88" s="978"/>
      <c r="BC88" s="978"/>
      <c r="BD88" s="978"/>
      <c r="BE88" s="978"/>
      <c r="BF88" s="978"/>
      <c r="BH88" s="991"/>
      <c r="BI88" s="991"/>
      <c r="BJ88" s="991"/>
      <c r="BL88" s="852"/>
      <c r="BM88" s="852"/>
      <c r="BN88" s="1488"/>
      <c r="BO88" s="1490"/>
      <c r="BP88" s="1482"/>
      <c r="BQ88" s="1482"/>
      <c r="BR88" s="1482"/>
      <c r="BS88" s="1482"/>
      <c r="BT88" s="1482"/>
      <c r="BU88" s="1482"/>
      <c r="BV88" s="1482"/>
      <c r="BW88" s="1482"/>
      <c r="BX88" s="1482"/>
      <c r="BY88" s="1482"/>
      <c r="BZ88" s="1482"/>
      <c r="CA88" s="1482"/>
      <c r="CB88" s="1482"/>
      <c r="CC88" s="1482"/>
      <c r="CD88" s="1482"/>
      <c r="CE88" s="1482"/>
      <c r="CF88" s="1482"/>
      <c r="CG88" s="1482"/>
      <c r="CH88" s="1482"/>
      <c r="CI88" s="1482"/>
      <c r="CJ88" s="1482"/>
      <c r="CK88" s="1482"/>
      <c r="CL88" s="1482"/>
      <c r="CM88" s="1482"/>
      <c r="CN88" s="1482"/>
      <c r="CO88" s="1482"/>
      <c r="CP88" s="1482"/>
      <c r="CQ88" s="1482"/>
      <c r="CR88" s="1482"/>
      <c r="CS88" s="1482"/>
      <c r="CT88" s="1482"/>
      <c r="CU88" s="1482"/>
      <c r="CV88" s="1482"/>
      <c r="CW88" s="1482"/>
      <c r="CX88" s="1482"/>
      <c r="CY88" s="1482"/>
      <c r="CZ88" s="1482"/>
      <c r="DA88" s="1482"/>
      <c r="DB88" s="1482"/>
      <c r="DC88" s="1482"/>
      <c r="DD88" s="1482"/>
      <c r="DE88" s="1482"/>
      <c r="DF88" s="1482"/>
      <c r="DH88" s="838"/>
    </row>
    <row r="89" spans="1:112" s="1484" customFormat="1" hidden="1" outlineLevel="1">
      <c r="C89" s="522" t="s">
        <v>774</v>
      </c>
      <c r="D89" s="521" t="str">
        <f>INDEX(Modules[Module], MATCH($C89, Modules[Code], 0))</f>
        <v>Electricity imports / exports</v>
      </c>
      <c r="E89" s="521"/>
      <c r="F89" s="743"/>
      <c r="G89" s="1017">
        <f t="shared" ref="G89:P89" ca="1" si="215">IFERROR(INDEX(INDIRECT($C89&amp;".Outputs["&amp;this.Year&amp;"]"), MATCH(G$5, INDIRECT($C89&amp;".Outputs[Vector]"), 0)), 0)</f>
        <v>0</v>
      </c>
      <c r="H89" s="1017">
        <f t="shared" ca="1" si="215"/>
        <v>0</v>
      </c>
      <c r="I89" s="1017">
        <f t="shared" ca="1" si="215"/>
        <v>0</v>
      </c>
      <c r="J89" s="1017">
        <f t="shared" ca="1" si="215"/>
        <v>0</v>
      </c>
      <c r="K89" s="1017">
        <f t="shared" ca="1" si="215"/>
        <v>0</v>
      </c>
      <c r="L89" s="1017">
        <f t="shared" ca="1" si="215"/>
        <v>0</v>
      </c>
      <c r="M89" s="1017">
        <f t="shared" ca="1" si="215"/>
        <v>0</v>
      </c>
      <c r="N89" s="1017">
        <f t="shared" ca="1" si="215"/>
        <v>0</v>
      </c>
      <c r="O89" s="1017">
        <f t="shared" ca="1" si="215"/>
        <v>0</v>
      </c>
      <c r="P89" s="1017">
        <f t="shared" ca="1" si="215"/>
        <v>0</v>
      </c>
      <c r="Q89" s="1019">
        <f ca="1">SUM(G89:P89)</f>
        <v>0</v>
      </c>
      <c r="R89" s="743"/>
      <c r="S89" s="1026">
        <f t="shared" ref="S89:AJ89" ca="1" si="216">IFERROR(INDEX(INDIRECT($C89&amp;".Outputs["&amp;this.Year&amp;"]"), MATCH(S$5, INDIRECT($C89&amp;".Outputs[Vector]"), 0)), 0)</f>
        <v>0</v>
      </c>
      <c r="T89" s="1026">
        <f t="shared" ca="1" si="216"/>
        <v>0</v>
      </c>
      <c r="U89" s="1026">
        <f t="shared" ca="1" si="216"/>
        <v>0</v>
      </c>
      <c r="V89" s="1026">
        <f t="shared" ca="1" si="216"/>
        <v>0</v>
      </c>
      <c r="W89" s="1026">
        <f t="shared" ca="1" si="216"/>
        <v>0</v>
      </c>
      <c r="X89" s="1026">
        <f ca="1">IFERROR(INDEX(INDIRECT($C89&amp;".Outputs["&amp;this.Year&amp;"]"), MATCH(X$5, INDIRECT($C89&amp;".Outputs[Vector]"), 0)), 0)</f>
        <v>0</v>
      </c>
      <c r="Y89" s="1026">
        <f ca="1">IFERROR(INDEX(INDIRECT($C89&amp;".Outputs["&amp;this.Year&amp;"]"), MATCH(Y$5, INDIRECT($C89&amp;".Outputs[Vector]"), 0)), 0)</f>
        <v>0</v>
      </c>
      <c r="Z89" s="1026">
        <f ca="1">IFERROR(INDEX(INDIRECT($C89&amp;".Outputs["&amp;this.Year&amp;"]"), MATCH(Z$5, INDIRECT($C89&amp;".Outputs[Vector]"), 0)), 0)</f>
        <v>0</v>
      </c>
      <c r="AA89" s="1026">
        <f t="shared" ca="1" si="216"/>
        <v>0</v>
      </c>
      <c r="AB89" s="1026">
        <f t="shared" ca="1" si="216"/>
        <v>0</v>
      </c>
      <c r="AC89" s="1026">
        <f t="shared" ca="1" si="216"/>
        <v>0</v>
      </c>
      <c r="AD89" s="1026">
        <f t="shared" ca="1" si="216"/>
        <v>0</v>
      </c>
      <c r="AE89" s="1026">
        <f t="shared" ca="1" si="216"/>
        <v>0</v>
      </c>
      <c r="AF89" s="1026">
        <f t="shared" ca="1" si="216"/>
        <v>0</v>
      </c>
      <c r="AG89" s="1026">
        <f t="shared" ca="1" si="216"/>
        <v>0</v>
      </c>
      <c r="AH89" s="1026">
        <f t="shared" ca="1" si="216"/>
        <v>0</v>
      </c>
      <c r="AI89" s="1026">
        <f t="shared" ca="1" si="216"/>
        <v>0</v>
      </c>
      <c r="AJ89" s="1026">
        <f t="shared" ca="1" si="216"/>
        <v>0</v>
      </c>
      <c r="AK89" s="1027">
        <f ca="1">SUM(S89:AJ89)</f>
        <v>0</v>
      </c>
      <c r="AL89" s="743"/>
      <c r="AM89" s="1038">
        <f t="shared" ref="AM89:AU89" ca="1" si="217">IFERROR(INDEX(INDIRECT($C89&amp;".Outputs["&amp;this.Year&amp;"]"), MATCH(AM$5, INDIRECT($C89&amp;".Outputs[Vector]"), 0)), 0)</f>
        <v>0</v>
      </c>
      <c r="AN89" s="1038">
        <f t="shared" ca="1" si="217"/>
        <v>0</v>
      </c>
      <c r="AO89" s="1038">
        <f t="shared" ca="1" si="217"/>
        <v>0</v>
      </c>
      <c r="AP89" s="1038">
        <f t="shared" ca="1" si="217"/>
        <v>0</v>
      </c>
      <c r="AQ89" s="1038">
        <f t="shared" ca="1" si="217"/>
        <v>0</v>
      </c>
      <c r="AR89" s="1038">
        <f t="shared" ca="1" si="217"/>
        <v>0</v>
      </c>
      <c r="AS89" s="1038">
        <f t="shared" ca="1" si="217"/>
        <v>0</v>
      </c>
      <c r="AT89" s="1038">
        <f t="shared" ca="1" si="217"/>
        <v>0</v>
      </c>
      <c r="AU89" s="1038">
        <f t="shared" ca="1" si="217"/>
        <v>0</v>
      </c>
      <c r="AV89" s="1038">
        <f t="shared" ref="AV89:BE89" ca="1" si="218">IFERROR(INDEX(INDIRECT($C89&amp;".Outputs["&amp;this.Year&amp;"]"), MATCH(AV$5, INDIRECT($C89&amp;".Outputs[Vector]"), 0)), 0)</f>
        <v>0</v>
      </c>
      <c r="AW89" s="1038">
        <f t="shared" ca="1" si="218"/>
        <v>0</v>
      </c>
      <c r="AX89" s="1038">
        <f t="shared" ca="1" si="218"/>
        <v>0</v>
      </c>
      <c r="AY89" s="1038">
        <f t="shared" ca="1" si="218"/>
        <v>0</v>
      </c>
      <c r="AZ89" s="1038">
        <f t="shared" ca="1" si="218"/>
        <v>0</v>
      </c>
      <c r="BA89" s="1038">
        <f t="shared" ca="1" si="218"/>
        <v>0</v>
      </c>
      <c r="BB89" s="1038">
        <f t="shared" ca="1" si="218"/>
        <v>0</v>
      </c>
      <c r="BC89" s="1038">
        <f t="shared" ca="1" si="218"/>
        <v>0</v>
      </c>
      <c r="BD89" s="1038">
        <f t="shared" ca="1" si="218"/>
        <v>0</v>
      </c>
      <c r="BE89" s="1038">
        <f t="shared" ca="1" si="218"/>
        <v>0</v>
      </c>
      <c r="BF89" s="979">
        <f ca="1">SUM(AM89:BE89)</f>
        <v>0</v>
      </c>
      <c r="BG89" s="743"/>
      <c r="BH89" s="1032">
        <f ca="1">IFERROR(INDEX(INDIRECT($C89&amp;".Outputs["&amp;this.Year&amp;"]"), MATCH(BH$5, INDIRECT($C89&amp;".Outputs[Vector]"), 0)), 0)</f>
        <v>0</v>
      </c>
      <c r="BI89" s="1032">
        <f ca="1">IFERROR(INDEX(INDIRECT($C89&amp;".Outputs["&amp;this.Year&amp;"]"), MATCH(BI$5, INDIRECT($C89&amp;".Outputs[Vector]"), 0)), 0)</f>
        <v>0</v>
      </c>
      <c r="BJ89" s="1034">
        <f ca="1">SUM(BH89:BI89)</f>
        <v>0</v>
      </c>
      <c r="BK89" s="743"/>
      <c r="BL89" s="814">
        <f t="shared" ref="BL89:BL94" ca="1" si="219">Q89+AK89+BF89+BJ89</f>
        <v>0</v>
      </c>
      <c r="BM89" s="814"/>
      <c r="BO89" s="1481">
        <f t="shared" ref="BO89:DF89" ca="1" si="220">IFERROR(SUMIFS(INDIRECT($C89&amp;".Emissions["&amp;this.Year&amp;"]"), INDIRECT($C89&amp;".Emissions[GHG]"), BO$6, INDIRECT($C89&amp;".Emissions[IPCC Sector]"), BO$5),0)</f>
        <v>0</v>
      </c>
      <c r="BP89" s="1482">
        <f t="shared" ca="1" si="220"/>
        <v>0</v>
      </c>
      <c r="BQ89" s="1482">
        <f t="shared" ca="1" si="220"/>
        <v>0</v>
      </c>
      <c r="BR89" s="1482">
        <f t="shared" ca="1" si="220"/>
        <v>0</v>
      </c>
      <c r="BS89" s="1482">
        <f t="shared" ca="1" si="220"/>
        <v>0</v>
      </c>
      <c r="BT89" s="1482">
        <f t="shared" ca="1" si="220"/>
        <v>0</v>
      </c>
      <c r="BU89" s="1482">
        <f t="shared" ca="1" si="220"/>
        <v>0</v>
      </c>
      <c r="BV89" s="1482">
        <f t="shared" ca="1" si="220"/>
        <v>0</v>
      </c>
      <c r="BW89" s="1482">
        <f t="shared" ca="1" si="220"/>
        <v>0</v>
      </c>
      <c r="BX89" s="1482">
        <f t="shared" ca="1" si="220"/>
        <v>0</v>
      </c>
      <c r="BY89" s="1482">
        <f t="shared" ca="1" si="220"/>
        <v>0</v>
      </c>
      <c r="BZ89" s="1482">
        <f t="shared" ca="1" si="220"/>
        <v>0</v>
      </c>
      <c r="CA89" s="1482">
        <f t="shared" ca="1" si="220"/>
        <v>0</v>
      </c>
      <c r="CB89" s="1482">
        <f t="shared" ca="1" si="220"/>
        <v>0</v>
      </c>
      <c r="CC89" s="1482">
        <f t="shared" ca="1" si="220"/>
        <v>0</v>
      </c>
      <c r="CD89" s="1482">
        <f t="shared" ca="1" si="220"/>
        <v>0</v>
      </c>
      <c r="CE89" s="1482">
        <f t="shared" ca="1" si="220"/>
        <v>0</v>
      </c>
      <c r="CF89" s="1482">
        <f t="shared" ca="1" si="220"/>
        <v>0</v>
      </c>
      <c r="CG89" s="1482">
        <f t="shared" ca="1" si="220"/>
        <v>0</v>
      </c>
      <c r="CH89" s="1482">
        <f t="shared" ca="1" si="220"/>
        <v>0</v>
      </c>
      <c r="CI89" s="1482">
        <f t="shared" ca="1" si="220"/>
        <v>0</v>
      </c>
      <c r="CJ89" s="1482">
        <f t="shared" ca="1" si="220"/>
        <v>0</v>
      </c>
      <c r="CK89" s="1482">
        <f t="shared" ca="1" si="220"/>
        <v>0</v>
      </c>
      <c r="CL89" s="1482">
        <f t="shared" ca="1" si="220"/>
        <v>0</v>
      </c>
      <c r="CM89" s="1482">
        <f t="shared" ca="1" si="220"/>
        <v>0</v>
      </c>
      <c r="CN89" s="1482">
        <f t="shared" ca="1" si="220"/>
        <v>0</v>
      </c>
      <c r="CO89" s="1482">
        <f t="shared" ca="1" si="220"/>
        <v>0</v>
      </c>
      <c r="CP89" s="1482">
        <f t="shared" ca="1" si="220"/>
        <v>0</v>
      </c>
      <c r="CQ89" s="1482">
        <f t="shared" ca="1" si="220"/>
        <v>0</v>
      </c>
      <c r="CR89" s="1482">
        <f t="shared" ca="1" si="220"/>
        <v>0</v>
      </c>
      <c r="CS89" s="1482">
        <f t="shared" ca="1" si="220"/>
        <v>0</v>
      </c>
      <c r="CT89" s="1482">
        <f t="shared" ca="1" si="220"/>
        <v>0</v>
      </c>
      <c r="CU89" s="1482">
        <f t="shared" ca="1" si="220"/>
        <v>0</v>
      </c>
      <c r="CV89" s="1482">
        <f t="shared" ca="1" si="220"/>
        <v>0</v>
      </c>
      <c r="CW89" s="1482">
        <f t="shared" ca="1" si="220"/>
        <v>0</v>
      </c>
      <c r="CX89" s="1482">
        <f t="shared" ca="1" si="220"/>
        <v>0</v>
      </c>
      <c r="CY89" s="1482">
        <f t="shared" ca="1" si="220"/>
        <v>0</v>
      </c>
      <c r="CZ89" s="1482">
        <f t="shared" ca="1" si="220"/>
        <v>0</v>
      </c>
      <c r="DA89" s="1482">
        <f t="shared" ca="1" si="220"/>
        <v>0</v>
      </c>
      <c r="DB89" s="1482">
        <f t="shared" ca="1" si="220"/>
        <v>0</v>
      </c>
      <c r="DC89" s="1482">
        <f t="shared" ca="1" si="220"/>
        <v>0</v>
      </c>
      <c r="DD89" s="1482">
        <f t="shared" ca="1" si="220"/>
        <v>0</v>
      </c>
      <c r="DE89" s="1482">
        <f t="shared" ca="1" si="220"/>
        <v>0</v>
      </c>
      <c r="DF89" s="1482">
        <f t="shared" ca="1" si="220"/>
        <v>0</v>
      </c>
      <c r="DH89" s="838"/>
    </row>
    <row r="90" spans="1:112" s="1488" customFormat="1" ht="12.75" hidden="1" customHeight="1" outlineLevel="1">
      <c r="C90" s="1048" t="s">
        <v>1722</v>
      </c>
      <c r="D90" s="1049" t="s">
        <v>1335</v>
      </c>
      <c r="E90" s="1049"/>
      <c r="F90" s="743"/>
      <c r="G90" s="1070"/>
      <c r="H90" s="1070"/>
      <c r="I90" s="1070"/>
      <c r="J90" s="1070"/>
      <c r="K90" s="1071"/>
      <c r="L90" s="1070"/>
      <c r="M90" s="1070"/>
      <c r="N90" s="1070"/>
      <c r="O90" s="1070"/>
      <c r="P90" s="1070"/>
      <c r="Q90" s="1070"/>
      <c r="R90" s="743"/>
      <c r="S90" s="1072">
        <f ca="1">S$40+$S46+S$51+S$99+S$55+S$89</f>
        <v>-409.73117353201741</v>
      </c>
      <c r="T90" s="1072">
        <f ca="1">T$40+$S46+T$51+T$99+T$55+T$89</f>
        <v>0</v>
      </c>
      <c r="U90" s="1072"/>
      <c r="V90" s="1072"/>
      <c r="W90" s="1072"/>
      <c r="X90" s="1072"/>
      <c r="Y90" s="1072"/>
      <c r="Z90" s="1072"/>
      <c r="AA90" s="1072"/>
      <c r="AB90" s="1072"/>
      <c r="AC90" s="1072"/>
      <c r="AD90" s="1072"/>
      <c r="AE90" s="1072"/>
      <c r="AF90" s="1072"/>
      <c r="AG90" s="1072"/>
      <c r="AH90" s="1072"/>
      <c r="AI90" s="1072"/>
      <c r="AJ90" s="1072"/>
      <c r="AK90" s="1072"/>
      <c r="AL90" s="74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743"/>
      <c r="BH90" s="1074"/>
      <c r="BI90" s="1074"/>
      <c r="BJ90" s="1074"/>
      <c r="BK90" s="743"/>
      <c r="BL90" s="852">
        <f t="shared" si="219"/>
        <v>0</v>
      </c>
      <c r="BM90" s="852"/>
      <c r="BO90" s="1490"/>
      <c r="BP90" s="1490"/>
      <c r="BQ90" s="1490"/>
      <c r="BR90" s="1490"/>
      <c r="BS90" s="1490"/>
      <c r="BT90" s="1490"/>
      <c r="BU90" s="1490"/>
      <c r="BV90" s="1490"/>
      <c r="BW90" s="1490"/>
      <c r="BX90" s="1490"/>
      <c r="BY90" s="1490"/>
      <c r="BZ90" s="1490"/>
      <c r="CA90" s="1490"/>
      <c r="CB90" s="1490"/>
      <c r="CC90" s="1490"/>
      <c r="CD90" s="1490"/>
      <c r="CE90" s="1490"/>
      <c r="CF90" s="1490"/>
      <c r="CG90" s="1490"/>
      <c r="CH90" s="1490"/>
      <c r="CI90" s="1490"/>
      <c r="CJ90" s="1490"/>
      <c r="CK90" s="1490"/>
      <c r="CL90" s="1490"/>
      <c r="CM90" s="1490"/>
      <c r="CN90" s="1490"/>
      <c r="CO90" s="1490"/>
      <c r="CP90" s="1490"/>
      <c r="CQ90" s="1490"/>
      <c r="CR90" s="1490"/>
      <c r="CS90" s="1490"/>
      <c r="CT90" s="1490"/>
      <c r="CU90" s="1490"/>
      <c r="CV90" s="1490"/>
      <c r="CW90" s="1490"/>
      <c r="CX90" s="1490"/>
      <c r="CY90" s="1490"/>
      <c r="CZ90" s="1490"/>
      <c r="DA90" s="1490"/>
      <c r="DB90" s="1490"/>
      <c r="DC90" s="1490"/>
      <c r="DD90" s="1490"/>
      <c r="DE90" s="1490"/>
      <c r="DF90" s="1490"/>
      <c r="DH90" s="838"/>
    </row>
    <row r="91" spans="1:112" s="1484" customFormat="1" hidden="1" outlineLevel="1">
      <c r="C91" s="522" t="s">
        <v>784</v>
      </c>
      <c r="D91" s="521" t="str">
        <f>INDEX(Modules[Module], MATCH($C91, Modules[Code], 0))</f>
        <v>Electricity grid distribution</v>
      </c>
      <c r="E91" s="521"/>
      <c r="F91" s="743"/>
      <c r="G91" s="1017">
        <f t="shared" ref="G91:P92" ca="1" si="221">IFERROR(INDEX(INDIRECT($C91&amp;".Outputs["&amp;this.Year&amp;"]"), MATCH(G$5, INDIRECT($C91&amp;".Outputs[Vector]"), 0)), 0)</f>
        <v>0</v>
      </c>
      <c r="H91" s="1017">
        <f t="shared" ca="1" si="221"/>
        <v>0</v>
      </c>
      <c r="I91" s="1017">
        <f t="shared" ca="1" si="221"/>
        <v>0</v>
      </c>
      <c r="J91" s="1017">
        <f t="shared" ca="1" si="221"/>
        <v>0</v>
      </c>
      <c r="K91" s="1017">
        <f t="shared" ca="1" si="221"/>
        <v>0</v>
      </c>
      <c r="L91" s="1017">
        <f t="shared" ca="1" si="221"/>
        <v>0</v>
      </c>
      <c r="M91" s="1017">
        <f t="shared" ca="1" si="221"/>
        <v>0</v>
      </c>
      <c r="N91" s="1017">
        <f t="shared" ca="1" si="221"/>
        <v>0</v>
      </c>
      <c r="O91" s="1017">
        <f t="shared" ca="1" si="221"/>
        <v>0</v>
      </c>
      <c r="P91" s="1017">
        <f t="shared" ca="1" si="221"/>
        <v>0</v>
      </c>
      <c r="Q91" s="1019">
        <f ca="1">SUM(G91:P91)</f>
        <v>0</v>
      </c>
      <c r="R91" s="743"/>
      <c r="S91" s="1026">
        <f t="shared" ref="S91:AJ92" ca="1" si="222">IFERROR(INDEX(INDIRECT($C91&amp;".Outputs["&amp;this.Year&amp;"]"), MATCH(S$5, INDIRECT($C91&amp;".Outputs[Vector]"), 0)), 0)</f>
        <v>0</v>
      </c>
      <c r="T91" s="1026">
        <f t="shared" ca="1" si="222"/>
        <v>-30.721572252964791</v>
      </c>
      <c r="U91" s="1026">
        <f t="shared" ca="1" si="222"/>
        <v>0</v>
      </c>
      <c r="V91" s="1026">
        <f t="shared" ca="1" si="222"/>
        <v>0</v>
      </c>
      <c r="W91" s="1026">
        <f t="shared" ca="1" si="222"/>
        <v>0</v>
      </c>
      <c r="X91" s="1026">
        <f t="shared" ref="X91:Z92" ca="1" si="223">IFERROR(INDEX(INDIRECT($C91&amp;".Outputs["&amp;this.Year&amp;"]"), MATCH(X$5, INDIRECT($C91&amp;".Outputs[Vector]"), 0)), 0)</f>
        <v>0</v>
      </c>
      <c r="Y91" s="1026">
        <f t="shared" ca="1" si="223"/>
        <v>0</v>
      </c>
      <c r="Z91" s="1026">
        <f t="shared" ca="1" si="223"/>
        <v>0</v>
      </c>
      <c r="AA91" s="1026">
        <f t="shared" ca="1" si="222"/>
        <v>0</v>
      </c>
      <c r="AB91" s="1026">
        <f t="shared" ca="1" si="222"/>
        <v>0</v>
      </c>
      <c r="AC91" s="1026">
        <f t="shared" ca="1" si="222"/>
        <v>0</v>
      </c>
      <c r="AD91" s="1026">
        <f t="shared" ca="1" si="222"/>
        <v>0</v>
      </c>
      <c r="AE91" s="1026">
        <f t="shared" ca="1" si="222"/>
        <v>0</v>
      </c>
      <c r="AF91" s="1026">
        <f t="shared" ca="1" si="222"/>
        <v>0</v>
      </c>
      <c r="AG91" s="1026">
        <f t="shared" ca="1" si="222"/>
        <v>0</v>
      </c>
      <c r="AH91" s="1026">
        <f t="shared" ca="1" si="222"/>
        <v>0</v>
      </c>
      <c r="AI91" s="1026">
        <f t="shared" ca="1" si="222"/>
        <v>0</v>
      </c>
      <c r="AJ91" s="1026">
        <f t="shared" ca="1" si="222"/>
        <v>0</v>
      </c>
      <c r="AK91" s="1027">
        <f ca="1">SUM(S91:AJ91)</f>
        <v>-30.721572252964791</v>
      </c>
      <c r="AL91" s="743"/>
      <c r="AM91" s="1038">
        <f t="shared" ref="AM91:AU92" ca="1" si="224">IFERROR(INDEX(INDIRECT($C91&amp;".Outputs["&amp;this.Year&amp;"]"), MATCH(AM$5, INDIRECT($C91&amp;".Outputs[Vector]"), 0)), 0)</f>
        <v>0</v>
      </c>
      <c r="AN91" s="1038">
        <f t="shared" ca="1" si="224"/>
        <v>0</v>
      </c>
      <c r="AO91" s="1038">
        <f t="shared" ca="1" si="224"/>
        <v>0</v>
      </c>
      <c r="AP91" s="1038">
        <f t="shared" ca="1" si="224"/>
        <v>0</v>
      </c>
      <c r="AQ91" s="1038">
        <f t="shared" ca="1" si="224"/>
        <v>0</v>
      </c>
      <c r="AR91" s="1038">
        <f t="shared" ca="1" si="224"/>
        <v>0</v>
      </c>
      <c r="AS91" s="1038">
        <f t="shared" ca="1" si="224"/>
        <v>0</v>
      </c>
      <c r="AT91" s="1038">
        <f t="shared" ca="1" si="224"/>
        <v>0</v>
      </c>
      <c r="AU91" s="1038">
        <f t="shared" ca="1" si="224"/>
        <v>0</v>
      </c>
      <c r="AV91" s="1038">
        <f t="shared" ref="AV91:BE92" ca="1" si="225">IFERROR(INDEX(INDIRECT($C91&amp;".Outputs["&amp;this.Year&amp;"]"), MATCH(AV$5, INDIRECT($C91&amp;".Outputs[Vector]"), 0)), 0)</f>
        <v>0</v>
      </c>
      <c r="AW91" s="1038">
        <f t="shared" ca="1" si="225"/>
        <v>0</v>
      </c>
      <c r="AX91" s="1038">
        <f t="shared" ca="1" si="225"/>
        <v>0</v>
      </c>
      <c r="AY91" s="1038">
        <f t="shared" ca="1" si="225"/>
        <v>0</v>
      </c>
      <c r="AZ91" s="1038">
        <f t="shared" ca="1" si="225"/>
        <v>0</v>
      </c>
      <c r="BA91" s="1038">
        <f t="shared" ca="1" si="225"/>
        <v>0</v>
      </c>
      <c r="BB91" s="1038">
        <f t="shared" ca="1" si="225"/>
        <v>0</v>
      </c>
      <c r="BC91" s="1038">
        <f t="shared" ca="1" si="225"/>
        <v>0</v>
      </c>
      <c r="BD91" s="1038">
        <f t="shared" ca="1" si="225"/>
        <v>0</v>
      </c>
      <c r="BE91" s="1038">
        <f t="shared" ca="1" si="225"/>
        <v>0</v>
      </c>
      <c r="BF91" s="979">
        <f ca="1">SUM(AM91:BE91)</f>
        <v>0</v>
      </c>
      <c r="BG91" s="743"/>
      <c r="BH91" s="1032">
        <f ca="1">IFERROR(INDEX(INDIRECT($C91&amp;".Outputs["&amp;this.Year&amp;"]"), MATCH(BH$5, INDIRECT($C91&amp;".Outputs[Vector]"), 0)), 0)</f>
        <v>0</v>
      </c>
      <c r="BI91" s="1032">
        <f ca="1">IFERROR(INDEX(INDIRECT($C91&amp;".Outputs["&amp;this.Year&amp;"]"), MATCH(BI$5, INDIRECT($C91&amp;".Outputs[Vector]"), 0)), 0)</f>
        <v>30.721572252964769</v>
      </c>
      <c r="BJ91" s="1034">
        <f ca="1">SUM(BH91:BI91)</f>
        <v>30.721572252964769</v>
      </c>
      <c r="BK91" s="743"/>
      <c r="BL91" s="852">
        <f t="shared" ca="1" si="219"/>
        <v>0</v>
      </c>
      <c r="BM91" s="814"/>
      <c r="BO91" s="1481">
        <f t="shared" ref="BO91:BX92" ca="1" si="226">IFERROR(SUMIFS(INDIRECT($C91&amp;".Emissions["&amp;this.Year&amp;"]"), INDIRECT($C91&amp;".Emissions[GHG]"), BO$6, INDIRECT($C91&amp;".Emissions[IPCC Sector]"), BO$5),0)</f>
        <v>0</v>
      </c>
      <c r="BP91" s="1482">
        <f t="shared" ca="1" si="226"/>
        <v>0</v>
      </c>
      <c r="BQ91" s="1482">
        <f t="shared" ca="1" si="226"/>
        <v>0</v>
      </c>
      <c r="BR91" s="1482">
        <f t="shared" ca="1" si="226"/>
        <v>0</v>
      </c>
      <c r="BS91" s="1482">
        <f t="shared" ca="1" si="226"/>
        <v>0</v>
      </c>
      <c r="BT91" s="1482">
        <f t="shared" ca="1" si="226"/>
        <v>0</v>
      </c>
      <c r="BU91" s="1482">
        <f t="shared" ca="1" si="226"/>
        <v>0</v>
      </c>
      <c r="BV91" s="1482">
        <f t="shared" ca="1" si="226"/>
        <v>0</v>
      </c>
      <c r="BW91" s="1482">
        <f t="shared" ca="1" si="226"/>
        <v>0</v>
      </c>
      <c r="BX91" s="1482">
        <f t="shared" ca="1" si="226"/>
        <v>0</v>
      </c>
      <c r="BY91" s="1482">
        <f t="shared" ref="BY91:CH92" ca="1" si="227">IFERROR(SUMIFS(INDIRECT($C91&amp;".Emissions["&amp;this.Year&amp;"]"), INDIRECT($C91&amp;".Emissions[GHG]"), BY$6, INDIRECT($C91&amp;".Emissions[IPCC Sector]"), BY$5),0)</f>
        <v>0</v>
      </c>
      <c r="BZ91" s="1482">
        <f t="shared" ca="1" si="227"/>
        <v>0</v>
      </c>
      <c r="CA91" s="1482">
        <f t="shared" ca="1" si="227"/>
        <v>0</v>
      </c>
      <c r="CB91" s="1482">
        <f t="shared" ca="1" si="227"/>
        <v>0</v>
      </c>
      <c r="CC91" s="1482">
        <f t="shared" ca="1" si="227"/>
        <v>0</v>
      </c>
      <c r="CD91" s="1482">
        <f t="shared" ca="1" si="227"/>
        <v>0</v>
      </c>
      <c r="CE91" s="1482">
        <f t="shared" ca="1" si="227"/>
        <v>0</v>
      </c>
      <c r="CF91" s="1482">
        <f t="shared" ca="1" si="227"/>
        <v>0</v>
      </c>
      <c r="CG91" s="1482">
        <f t="shared" ca="1" si="227"/>
        <v>0</v>
      </c>
      <c r="CH91" s="1482">
        <f t="shared" ca="1" si="227"/>
        <v>0</v>
      </c>
      <c r="CI91" s="1482">
        <f t="shared" ref="CI91:CR92" ca="1" si="228">IFERROR(SUMIFS(INDIRECT($C91&amp;".Emissions["&amp;this.Year&amp;"]"), INDIRECT($C91&amp;".Emissions[GHG]"), CI$6, INDIRECT($C91&amp;".Emissions[IPCC Sector]"), CI$5),0)</f>
        <v>0</v>
      </c>
      <c r="CJ91" s="1482">
        <f t="shared" ca="1" si="228"/>
        <v>0</v>
      </c>
      <c r="CK91" s="1482">
        <f t="shared" ca="1" si="228"/>
        <v>0</v>
      </c>
      <c r="CL91" s="1482">
        <f t="shared" ca="1" si="228"/>
        <v>0</v>
      </c>
      <c r="CM91" s="1482">
        <f t="shared" ca="1" si="228"/>
        <v>0</v>
      </c>
      <c r="CN91" s="1482">
        <f t="shared" ca="1" si="228"/>
        <v>0</v>
      </c>
      <c r="CO91" s="1482">
        <f t="shared" ca="1" si="228"/>
        <v>0</v>
      </c>
      <c r="CP91" s="1482">
        <f t="shared" ca="1" si="228"/>
        <v>0</v>
      </c>
      <c r="CQ91" s="1482">
        <f t="shared" ca="1" si="228"/>
        <v>0</v>
      </c>
      <c r="CR91" s="1482">
        <f t="shared" ca="1" si="228"/>
        <v>0</v>
      </c>
      <c r="CS91" s="1482">
        <f t="shared" ref="CS91:DF92" ca="1" si="229">IFERROR(SUMIFS(INDIRECT($C91&amp;".Emissions["&amp;this.Year&amp;"]"), INDIRECT($C91&amp;".Emissions[GHG]"), CS$6, INDIRECT($C91&amp;".Emissions[IPCC Sector]"), CS$5),0)</f>
        <v>0</v>
      </c>
      <c r="CT91" s="1482">
        <f t="shared" ca="1" si="229"/>
        <v>0</v>
      </c>
      <c r="CU91" s="1482">
        <f t="shared" ca="1" si="229"/>
        <v>0</v>
      </c>
      <c r="CV91" s="1482">
        <f t="shared" ca="1" si="229"/>
        <v>0</v>
      </c>
      <c r="CW91" s="1482">
        <f t="shared" ca="1" si="229"/>
        <v>0</v>
      </c>
      <c r="CX91" s="1482">
        <f t="shared" ca="1" si="229"/>
        <v>0</v>
      </c>
      <c r="CY91" s="1482">
        <f t="shared" ca="1" si="229"/>
        <v>0</v>
      </c>
      <c r="CZ91" s="1482">
        <f t="shared" ca="1" si="229"/>
        <v>0</v>
      </c>
      <c r="DA91" s="1482">
        <f t="shared" ca="1" si="229"/>
        <v>0</v>
      </c>
      <c r="DB91" s="1482">
        <f t="shared" ca="1" si="229"/>
        <v>0</v>
      </c>
      <c r="DC91" s="1482">
        <f t="shared" ca="1" si="229"/>
        <v>0</v>
      </c>
      <c r="DD91" s="1482">
        <f t="shared" ca="1" si="229"/>
        <v>0</v>
      </c>
      <c r="DE91" s="1482">
        <f t="shared" ca="1" si="229"/>
        <v>0</v>
      </c>
      <c r="DF91" s="1482">
        <f t="shared" ca="1" si="229"/>
        <v>0</v>
      </c>
      <c r="DH91" s="838"/>
    </row>
    <row r="92" spans="1:112" s="1484" customFormat="1" hidden="1" outlineLevel="1">
      <c r="C92" s="522" t="s">
        <v>796</v>
      </c>
      <c r="D92" s="1010" t="str">
        <f>INDEX(Modules[Module], MATCH($C92, Modules[Code], 0))</f>
        <v>Storage, demand shifting, backup</v>
      </c>
      <c r="E92" s="1010"/>
      <c r="F92" s="743"/>
      <c r="G92" s="1022">
        <f t="shared" ca="1" si="221"/>
        <v>0</v>
      </c>
      <c r="H92" s="1022">
        <f t="shared" ca="1" si="221"/>
        <v>0</v>
      </c>
      <c r="I92" s="1022">
        <f t="shared" ca="1" si="221"/>
        <v>0</v>
      </c>
      <c r="J92" s="1022">
        <f t="shared" ca="1" si="221"/>
        <v>0</v>
      </c>
      <c r="K92" s="1022">
        <f t="shared" ca="1" si="221"/>
        <v>0</v>
      </c>
      <c r="L92" s="1022">
        <f t="shared" ca="1" si="221"/>
        <v>0</v>
      </c>
      <c r="M92" s="1022">
        <f t="shared" ca="1" si="221"/>
        <v>0</v>
      </c>
      <c r="N92" s="1022">
        <f t="shared" ca="1" si="221"/>
        <v>0</v>
      </c>
      <c r="O92" s="1022">
        <f t="shared" ca="1" si="221"/>
        <v>0</v>
      </c>
      <c r="P92" s="1022">
        <f t="shared" ca="1" si="221"/>
        <v>0</v>
      </c>
      <c r="Q92" s="1020">
        <f ca="1">SUM(G92:P92)</f>
        <v>0</v>
      </c>
      <c r="R92" s="743"/>
      <c r="S92" s="1031">
        <f t="shared" ca="1" si="222"/>
        <v>0</v>
      </c>
      <c r="T92" s="1031">
        <f t="shared" ca="1" si="222"/>
        <v>0</v>
      </c>
      <c r="U92" s="1031">
        <f t="shared" ca="1" si="222"/>
        <v>0</v>
      </c>
      <c r="V92" s="1031">
        <f t="shared" ca="1" si="222"/>
        <v>0</v>
      </c>
      <c r="W92" s="1031">
        <f t="shared" ca="1" si="222"/>
        <v>0</v>
      </c>
      <c r="X92" s="1031">
        <f t="shared" ca="1" si="223"/>
        <v>0</v>
      </c>
      <c r="Y92" s="1031">
        <f t="shared" ca="1" si="223"/>
        <v>0</v>
      </c>
      <c r="Z92" s="1031">
        <f t="shared" ca="1" si="223"/>
        <v>0</v>
      </c>
      <c r="AA92" s="1031">
        <f t="shared" ca="1" si="222"/>
        <v>0</v>
      </c>
      <c r="AB92" s="1031">
        <f t="shared" ca="1" si="222"/>
        <v>0</v>
      </c>
      <c r="AC92" s="1031">
        <f t="shared" ca="1" si="222"/>
        <v>0</v>
      </c>
      <c r="AD92" s="1031">
        <f t="shared" ca="1" si="222"/>
        <v>0</v>
      </c>
      <c r="AE92" s="1031">
        <f t="shared" ca="1" si="222"/>
        <v>0</v>
      </c>
      <c r="AF92" s="1031">
        <f t="shared" ca="1" si="222"/>
        <v>0</v>
      </c>
      <c r="AG92" s="1031">
        <f t="shared" ca="1" si="222"/>
        <v>0</v>
      </c>
      <c r="AH92" s="1031">
        <f t="shared" ca="1" si="222"/>
        <v>0</v>
      </c>
      <c r="AI92" s="1031">
        <f t="shared" ca="1" si="222"/>
        <v>0</v>
      </c>
      <c r="AJ92" s="1031">
        <f t="shared" ca="1" si="222"/>
        <v>0</v>
      </c>
      <c r="AK92" s="1030">
        <f ca="1">SUM(S92:AJ92)</f>
        <v>0</v>
      </c>
      <c r="AL92" s="743"/>
      <c r="AM92" s="1042">
        <f t="shared" ca="1" si="224"/>
        <v>0</v>
      </c>
      <c r="AN92" s="1042">
        <f t="shared" ca="1" si="224"/>
        <v>0</v>
      </c>
      <c r="AO92" s="1042">
        <f t="shared" ca="1" si="224"/>
        <v>0</v>
      </c>
      <c r="AP92" s="1042">
        <f t="shared" ca="1" si="224"/>
        <v>0</v>
      </c>
      <c r="AQ92" s="1042">
        <f t="shared" ca="1" si="224"/>
        <v>0</v>
      </c>
      <c r="AR92" s="1042">
        <f t="shared" ca="1" si="224"/>
        <v>0</v>
      </c>
      <c r="AS92" s="1042">
        <f t="shared" ca="1" si="224"/>
        <v>0</v>
      </c>
      <c r="AT92" s="1042">
        <f t="shared" ca="1" si="224"/>
        <v>0</v>
      </c>
      <c r="AU92" s="1042">
        <f t="shared" ca="1" si="224"/>
        <v>0</v>
      </c>
      <c r="AV92" s="1042">
        <f t="shared" ca="1" si="225"/>
        <v>0</v>
      </c>
      <c r="AW92" s="1042">
        <f t="shared" ca="1" si="225"/>
        <v>0</v>
      </c>
      <c r="AX92" s="1042">
        <f t="shared" ca="1" si="225"/>
        <v>0</v>
      </c>
      <c r="AY92" s="1042">
        <f t="shared" ca="1" si="225"/>
        <v>0</v>
      </c>
      <c r="AZ92" s="1042">
        <f t="shared" ca="1" si="225"/>
        <v>0</v>
      </c>
      <c r="BA92" s="1042">
        <f t="shared" ca="1" si="225"/>
        <v>0</v>
      </c>
      <c r="BB92" s="1042">
        <f t="shared" ca="1" si="225"/>
        <v>0</v>
      </c>
      <c r="BC92" s="1042">
        <f t="shared" ca="1" si="225"/>
        <v>0</v>
      </c>
      <c r="BD92" s="1042">
        <f t="shared" ca="1" si="225"/>
        <v>0</v>
      </c>
      <c r="BE92" s="1042">
        <f t="shared" ca="1" si="225"/>
        <v>0</v>
      </c>
      <c r="BF92" s="1012">
        <f ca="1">SUM(AM92:BE92)</f>
        <v>0</v>
      </c>
      <c r="BG92" s="743"/>
      <c r="BH92" s="1036">
        <f ca="1">IFERROR(INDEX(INDIRECT($C92&amp;".Outputs["&amp;this.Year&amp;"]"), MATCH(BH$5, INDIRECT($C92&amp;".Outputs[Vector]"), 0)), 0)</f>
        <v>0</v>
      </c>
      <c r="BI92" s="1036">
        <f ca="1">IFERROR(INDEX(INDIRECT($C92&amp;".Outputs["&amp;this.Year&amp;"]"), MATCH(BI$5, INDIRECT($C92&amp;".Outputs[Vector]"), 0)), 0)</f>
        <v>0</v>
      </c>
      <c r="BJ92" s="1035">
        <f ca="1">SUM(BH92:BI92)</f>
        <v>0</v>
      </c>
      <c r="BK92" s="743"/>
      <c r="BL92" s="852">
        <f t="shared" ca="1" si="219"/>
        <v>0</v>
      </c>
      <c r="BM92" s="814"/>
      <c r="BO92" s="1485">
        <f t="shared" ca="1" si="226"/>
        <v>0</v>
      </c>
      <c r="BP92" s="1486">
        <f t="shared" ca="1" si="226"/>
        <v>0</v>
      </c>
      <c r="BQ92" s="1486">
        <f t="shared" ca="1" si="226"/>
        <v>0</v>
      </c>
      <c r="BR92" s="1486">
        <f t="shared" ca="1" si="226"/>
        <v>0</v>
      </c>
      <c r="BS92" s="1486">
        <f t="shared" ca="1" si="226"/>
        <v>0</v>
      </c>
      <c r="BT92" s="1486">
        <f t="shared" ca="1" si="226"/>
        <v>0</v>
      </c>
      <c r="BU92" s="1486">
        <f t="shared" ca="1" si="226"/>
        <v>0</v>
      </c>
      <c r="BV92" s="1486">
        <f t="shared" ca="1" si="226"/>
        <v>0</v>
      </c>
      <c r="BW92" s="1486">
        <f t="shared" ca="1" si="226"/>
        <v>0</v>
      </c>
      <c r="BX92" s="1486">
        <f t="shared" ca="1" si="226"/>
        <v>0</v>
      </c>
      <c r="BY92" s="1486">
        <f t="shared" ca="1" si="227"/>
        <v>0</v>
      </c>
      <c r="BZ92" s="1486">
        <f t="shared" ca="1" si="227"/>
        <v>0</v>
      </c>
      <c r="CA92" s="1486">
        <f t="shared" ca="1" si="227"/>
        <v>0</v>
      </c>
      <c r="CB92" s="1486">
        <f t="shared" ca="1" si="227"/>
        <v>0</v>
      </c>
      <c r="CC92" s="1486">
        <f t="shared" ca="1" si="227"/>
        <v>0</v>
      </c>
      <c r="CD92" s="1486">
        <f t="shared" ca="1" si="227"/>
        <v>0</v>
      </c>
      <c r="CE92" s="1486">
        <f t="shared" ca="1" si="227"/>
        <v>0</v>
      </c>
      <c r="CF92" s="1486">
        <f t="shared" ca="1" si="227"/>
        <v>0</v>
      </c>
      <c r="CG92" s="1486">
        <f t="shared" ca="1" si="227"/>
        <v>0</v>
      </c>
      <c r="CH92" s="1486">
        <f t="shared" ca="1" si="227"/>
        <v>0</v>
      </c>
      <c r="CI92" s="1486">
        <f t="shared" ca="1" si="228"/>
        <v>0</v>
      </c>
      <c r="CJ92" s="1486">
        <f t="shared" ca="1" si="228"/>
        <v>0</v>
      </c>
      <c r="CK92" s="1486">
        <f t="shared" ca="1" si="228"/>
        <v>0</v>
      </c>
      <c r="CL92" s="1486">
        <f t="shared" ca="1" si="228"/>
        <v>0</v>
      </c>
      <c r="CM92" s="1486">
        <f t="shared" ca="1" si="228"/>
        <v>0</v>
      </c>
      <c r="CN92" s="1486">
        <f t="shared" ca="1" si="228"/>
        <v>0</v>
      </c>
      <c r="CO92" s="1486">
        <f t="shared" ca="1" si="228"/>
        <v>0</v>
      </c>
      <c r="CP92" s="1486">
        <f t="shared" ca="1" si="228"/>
        <v>0</v>
      </c>
      <c r="CQ92" s="1486">
        <f t="shared" ca="1" si="228"/>
        <v>0</v>
      </c>
      <c r="CR92" s="1486">
        <f t="shared" ca="1" si="228"/>
        <v>0</v>
      </c>
      <c r="CS92" s="1486">
        <f t="shared" ca="1" si="229"/>
        <v>0</v>
      </c>
      <c r="CT92" s="1486">
        <f t="shared" ca="1" si="229"/>
        <v>0</v>
      </c>
      <c r="CU92" s="1486">
        <f t="shared" ca="1" si="229"/>
        <v>0</v>
      </c>
      <c r="CV92" s="1486">
        <f t="shared" ca="1" si="229"/>
        <v>0</v>
      </c>
      <c r="CW92" s="1486">
        <f t="shared" ca="1" si="229"/>
        <v>0</v>
      </c>
      <c r="CX92" s="1486">
        <f t="shared" ca="1" si="229"/>
        <v>0</v>
      </c>
      <c r="CY92" s="1486">
        <f t="shared" ca="1" si="229"/>
        <v>0</v>
      </c>
      <c r="CZ92" s="1486">
        <f t="shared" ca="1" si="229"/>
        <v>0</v>
      </c>
      <c r="DA92" s="1486">
        <f t="shared" ca="1" si="229"/>
        <v>0</v>
      </c>
      <c r="DB92" s="1486">
        <f t="shared" ca="1" si="229"/>
        <v>0</v>
      </c>
      <c r="DC92" s="1486">
        <f t="shared" ca="1" si="229"/>
        <v>0</v>
      </c>
      <c r="DD92" s="1486">
        <f t="shared" ca="1" si="229"/>
        <v>0</v>
      </c>
      <c r="DE92" s="1486">
        <f t="shared" ca="1" si="229"/>
        <v>0</v>
      </c>
      <c r="DF92" s="1486">
        <f t="shared" ca="1" si="229"/>
        <v>0</v>
      </c>
      <c r="DH92" s="838"/>
    </row>
    <row r="93" spans="1:112" s="22" customFormat="1" ht="12.75" customHeight="1" collapsed="1">
      <c r="B93" s="753"/>
      <c r="C93" s="744" t="s">
        <v>673</v>
      </c>
      <c r="D93" s="517" t="str">
        <f>INDEX(Workstreams[Workstream], MATCH($C93, Workstreams[Code], 0))</f>
        <v>Electricity distribution, storage, and balancing</v>
      </c>
      <c r="E93" s="512"/>
      <c r="F93" s="743"/>
      <c r="G93" s="958">
        <f t="shared" ref="G93:P93" ca="1" si="230">G$89+G$91+G$92</f>
        <v>0</v>
      </c>
      <c r="H93" s="958">
        <f t="shared" ca="1" si="230"/>
        <v>0</v>
      </c>
      <c r="I93" s="958">
        <f t="shared" ca="1" si="230"/>
        <v>0</v>
      </c>
      <c r="J93" s="958">
        <f t="shared" ca="1" si="230"/>
        <v>0</v>
      </c>
      <c r="K93" s="960">
        <f t="shared" ca="1" si="230"/>
        <v>0</v>
      </c>
      <c r="L93" s="958">
        <f t="shared" ca="1" si="230"/>
        <v>0</v>
      </c>
      <c r="M93" s="958">
        <f t="shared" ca="1" si="230"/>
        <v>0</v>
      </c>
      <c r="N93" s="958">
        <f t="shared" ca="1" si="230"/>
        <v>0</v>
      </c>
      <c r="O93" s="958">
        <f t="shared" ca="1" si="230"/>
        <v>0</v>
      </c>
      <c r="P93" s="958">
        <f t="shared" ca="1" si="230"/>
        <v>0</v>
      </c>
      <c r="Q93" s="1021">
        <f ca="1">SUM(G93:P93)</f>
        <v>0</v>
      </c>
      <c r="R93" s="743"/>
      <c r="S93" s="970">
        <f t="shared" ref="S93:AJ93" ca="1" si="231">S$89+S$91+S$92</f>
        <v>0</v>
      </c>
      <c r="T93" s="970">
        <f t="shared" ca="1" si="231"/>
        <v>-30.721572252964791</v>
      </c>
      <c r="U93" s="970">
        <f t="shared" ca="1" si="231"/>
        <v>0</v>
      </c>
      <c r="V93" s="970">
        <f t="shared" ca="1" si="231"/>
        <v>0</v>
      </c>
      <c r="W93" s="970">
        <f t="shared" ca="1" si="231"/>
        <v>0</v>
      </c>
      <c r="X93" s="970">
        <f ca="1">X$89+X$91+X$92</f>
        <v>0</v>
      </c>
      <c r="Y93" s="970">
        <f ca="1">Y$89+Y$91+Y$92</f>
        <v>0</v>
      </c>
      <c r="Z93" s="970">
        <f ca="1">Z$89+Z$91+Z$92</f>
        <v>0</v>
      </c>
      <c r="AA93" s="970">
        <f t="shared" ca="1" si="231"/>
        <v>0</v>
      </c>
      <c r="AB93" s="970">
        <f t="shared" ca="1" si="231"/>
        <v>0</v>
      </c>
      <c r="AC93" s="970">
        <f t="shared" ca="1" si="231"/>
        <v>0</v>
      </c>
      <c r="AD93" s="970">
        <f t="shared" ca="1" si="231"/>
        <v>0</v>
      </c>
      <c r="AE93" s="970">
        <f t="shared" ca="1" si="231"/>
        <v>0</v>
      </c>
      <c r="AF93" s="970">
        <f t="shared" ca="1" si="231"/>
        <v>0</v>
      </c>
      <c r="AG93" s="970">
        <f t="shared" ca="1" si="231"/>
        <v>0</v>
      </c>
      <c r="AH93" s="970">
        <f t="shared" ca="1" si="231"/>
        <v>0</v>
      </c>
      <c r="AI93" s="970">
        <f t="shared" ca="1" si="231"/>
        <v>0</v>
      </c>
      <c r="AJ93" s="970">
        <f t="shared" ca="1" si="231"/>
        <v>0</v>
      </c>
      <c r="AK93" s="970">
        <f ca="1">SUM(S93:AJ93)</f>
        <v>-30.721572252964791</v>
      </c>
      <c r="AL93" s="743"/>
      <c r="AM93" s="976">
        <f t="shared" ref="AM93:BE93" ca="1" si="232">AM$89+AM$91+AM$92</f>
        <v>0</v>
      </c>
      <c r="AN93" s="976">
        <f t="shared" ca="1" si="232"/>
        <v>0</v>
      </c>
      <c r="AO93" s="976">
        <f t="shared" ca="1" si="232"/>
        <v>0</v>
      </c>
      <c r="AP93" s="976">
        <f t="shared" ca="1" si="232"/>
        <v>0</v>
      </c>
      <c r="AQ93" s="976">
        <f t="shared" ca="1" si="232"/>
        <v>0</v>
      </c>
      <c r="AR93" s="976">
        <f t="shared" ca="1" si="232"/>
        <v>0</v>
      </c>
      <c r="AS93" s="976">
        <f t="shared" ca="1" si="232"/>
        <v>0</v>
      </c>
      <c r="AT93" s="976">
        <f t="shared" ca="1" si="232"/>
        <v>0</v>
      </c>
      <c r="AU93" s="976">
        <f t="shared" ca="1" si="232"/>
        <v>0</v>
      </c>
      <c r="AV93" s="976">
        <f t="shared" ca="1" si="232"/>
        <v>0</v>
      </c>
      <c r="AW93" s="976">
        <f t="shared" ca="1" si="232"/>
        <v>0</v>
      </c>
      <c r="AX93" s="976">
        <f t="shared" ca="1" si="232"/>
        <v>0</v>
      </c>
      <c r="AY93" s="976">
        <f t="shared" ca="1" si="232"/>
        <v>0</v>
      </c>
      <c r="AZ93" s="976">
        <f t="shared" ca="1" si="232"/>
        <v>0</v>
      </c>
      <c r="BA93" s="976">
        <f t="shared" ca="1" si="232"/>
        <v>0</v>
      </c>
      <c r="BB93" s="976">
        <f t="shared" ca="1" si="232"/>
        <v>0</v>
      </c>
      <c r="BC93" s="976">
        <f t="shared" ca="1" si="232"/>
        <v>0</v>
      </c>
      <c r="BD93" s="976">
        <f t="shared" ca="1" si="232"/>
        <v>0</v>
      </c>
      <c r="BE93" s="976">
        <f t="shared" ca="1" si="232"/>
        <v>0</v>
      </c>
      <c r="BF93" s="976">
        <f ca="1">SUM(AM93:BE93)</f>
        <v>0</v>
      </c>
      <c r="BG93" s="743"/>
      <c r="BH93" s="990">
        <f ca="1">BH$89+BH$91+BH$92</f>
        <v>0</v>
      </c>
      <c r="BI93" s="990">
        <f ca="1">BI$89+BI$91+BI$92</f>
        <v>30.721572252964769</v>
      </c>
      <c r="BJ93" s="990">
        <f ca="1">SUM(BH93:BI93)</f>
        <v>30.721572252964769</v>
      </c>
      <c r="BK93" s="743"/>
      <c r="BL93" s="515">
        <f t="shared" ca="1" si="219"/>
        <v>0</v>
      </c>
      <c r="BM93" s="515"/>
      <c r="BN93" s="840"/>
      <c r="BO93" s="1482">
        <f t="shared" ref="BO93:DF93" ca="1" si="233">BO$89+BO$91+BO$92</f>
        <v>0</v>
      </c>
      <c r="BP93" s="1482">
        <f t="shared" ca="1" si="233"/>
        <v>0</v>
      </c>
      <c r="BQ93" s="1482">
        <f t="shared" ca="1" si="233"/>
        <v>0</v>
      </c>
      <c r="BR93" s="1482">
        <f t="shared" ca="1" si="233"/>
        <v>0</v>
      </c>
      <c r="BS93" s="1482">
        <f t="shared" ca="1" si="233"/>
        <v>0</v>
      </c>
      <c r="BT93" s="1482">
        <f t="shared" ca="1" si="233"/>
        <v>0</v>
      </c>
      <c r="BU93" s="1482">
        <f t="shared" ca="1" si="233"/>
        <v>0</v>
      </c>
      <c r="BV93" s="1482">
        <f t="shared" ca="1" si="233"/>
        <v>0</v>
      </c>
      <c r="BW93" s="1482">
        <f t="shared" ca="1" si="233"/>
        <v>0</v>
      </c>
      <c r="BX93" s="1482">
        <f t="shared" ca="1" si="233"/>
        <v>0</v>
      </c>
      <c r="BY93" s="1482">
        <f t="shared" ca="1" si="233"/>
        <v>0</v>
      </c>
      <c r="BZ93" s="1482">
        <f t="shared" ca="1" si="233"/>
        <v>0</v>
      </c>
      <c r="CA93" s="1482">
        <f t="shared" ca="1" si="233"/>
        <v>0</v>
      </c>
      <c r="CB93" s="1482">
        <f t="shared" ca="1" si="233"/>
        <v>0</v>
      </c>
      <c r="CC93" s="1482">
        <f t="shared" ca="1" si="233"/>
        <v>0</v>
      </c>
      <c r="CD93" s="1482">
        <f t="shared" ca="1" si="233"/>
        <v>0</v>
      </c>
      <c r="CE93" s="1482">
        <f t="shared" ca="1" si="233"/>
        <v>0</v>
      </c>
      <c r="CF93" s="1482">
        <f t="shared" ca="1" si="233"/>
        <v>0</v>
      </c>
      <c r="CG93" s="1482">
        <f t="shared" ca="1" si="233"/>
        <v>0</v>
      </c>
      <c r="CH93" s="1482">
        <f t="shared" ca="1" si="233"/>
        <v>0</v>
      </c>
      <c r="CI93" s="1482">
        <f t="shared" ca="1" si="233"/>
        <v>0</v>
      </c>
      <c r="CJ93" s="1482">
        <f t="shared" ca="1" si="233"/>
        <v>0</v>
      </c>
      <c r="CK93" s="1482">
        <f t="shared" ca="1" si="233"/>
        <v>0</v>
      </c>
      <c r="CL93" s="1482">
        <f t="shared" ca="1" si="233"/>
        <v>0</v>
      </c>
      <c r="CM93" s="1482">
        <f t="shared" ca="1" si="233"/>
        <v>0</v>
      </c>
      <c r="CN93" s="1482">
        <f t="shared" ca="1" si="233"/>
        <v>0</v>
      </c>
      <c r="CO93" s="1482">
        <f t="shared" ca="1" si="233"/>
        <v>0</v>
      </c>
      <c r="CP93" s="1482">
        <f t="shared" ca="1" si="233"/>
        <v>0</v>
      </c>
      <c r="CQ93" s="1482">
        <f t="shared" ca="1" si="233"/>
        <v>0</v>
      </c>
      <c r="CR93" s="1482">
        <f t="shared" ca="1" si="233"/>
        <v>0</v>
      </c>
      <c r="CS93" s="1482">
        <f t="shared" ca="1" si="233"/>
        <v>0</v>
      </c>
      <c r="CT93" s="1482">
        <f t="shared" ca="1" si="233"/>
        <v>0</v>
      </c>
      <c r="CU93" s="1482">
        <f t="shared" ca="1" si="233"/>
        <v>0</v>
      </c>
      <c r="CV93" s="1482">
        <f t="shared" ca="1" si="233"/>
        <v>0</v>
      </c>
      <c r="CW93" s="1482">
        <f t="shared" ca="1" si="233"/>
        <v>0</v>
      </c>
      <c r="CX93" s="1482">
        <f t="shared" ca="1" si="233"/>
        <v>0</v>
      </c>
      <c r="CY93" s="1482">
        <f t="shared" ca="1" si="233"/>
        <v>0</v>
      </c>
      <c r="CZ93" s="1482">
        <f t="shared" ca="1" si="233"/>
        <v>0</v>
      </c>
      <c r="DA93" s="1482">
        <f t="shared" ca="1" si="233"/>
        <v>0</v>
      </c>
      <c r="DB93" s="1482">
        <f t="shared" ca="1" si="233"/>
        <v>0</v>
      </c>
      <c r="DC93" s="1482">
        <f t="shared" ca="1" si="233"/>
        <v>0</v>
      </c>
      <c r="DD93" s="1482">
        <f t="shared" ca="1" si="233"/>
        <v>0</v>
      </c>
      <c r="DE93" s="1482">
        <f t="shared" ca="1" si="233"/>
        <v>0</v>
      </c>
      <c r="DF93" s="1482">
        <f t="shared" ca="1" si="233"/>
        <v>0</v>
      </c>
      <c r="DH93" s="838">
        <f t="shared" ref="DH93:DH104" ca="1" si="234">SUM(BO93:DF93)</f>
        <v>0</v>
      </c>
    </row>
    <row r="94" spans="1:112" s="743" customFormat="1" ht="12.75" hidden="1" customHeight="1" outlineLevel="1">
      <c r="A94" s="22"/>
      <c r="B94" s="22"/>
      <c r="C94" s="751"/>
      <c r="D94" s="512"/>
      <c r="E94" s="512"/>
      <c r="G94" s="958"/>
      <c r="H94" s="958"/>
      <c r="I94" s="958"/>
      <c r="J94" s="958"/>
      <c r="K94" s="960"/>
      <c r="L94" s="958"/>
      <c r="M94" s="958"/>
      <c r="N94" s="958"/>
      <c r="O94" s="958"/>
      <c r="P94" s="958"/>
      <c r="Q94" s="958"/>
      <c r="S94" s="970"/>
      <c r="T94" s="970"/>
      <c r="U94" s="970"/>
      <c r="V94" s="970"/>
      <c r="W94" s="970"/>
      <c r="X94" s="970"/>
      <c r="Y94" s="970"/>
      <c r="Z94" s="970"/>
      <c r="AA94" s="970"/>
      <c r="AB94" s="970"/>
      <c r="AC94" s="970"/>
      <c r="AD94" s="970"/>
      <c r="AE94" s="970"/>
      <c r="AF94" s="970"/>
      <c r="AG94" s="970"/>
      <c r="AH94" s="970"/>
      <c r="AI94" s="970"/>
      <c r="AJ94" s="970"/>
      <c r="AK94" s="970"/>
      <c r="AM94" s="976"/>
      <c r="AN94" s="976"/>
      <c r="AO94" s="976"/>
      <c r="AP94" s="976"/>
      <c r="AQ94" s="976"/>
      <c r="AR94" s="976"/>
      <c r="AS94" s="976"/>
      <c r="AT94" s="976"/>
      <c r="AU94" s="976"/>
      <c r="AV94" s="976"/>
      <c r="AW94" s="976"/>
      <c r="AX94" s="976"/>
      <c r="AY94" s="976"/>
      <c r="AZ94" s="976"/>
      <c r="BA94" s="976"/>
      <c r="BB94" s="976"/>
      <c r="BC94" s="976"/>
      <c r="BD94" s="976"/>
      <c r="BE94" s="976"/>
      <c r="BF94" s="976"/>
      <c r="BH94" s="990"/>
      <c r="BI94" s="990"/>
      <c r="BJ94" s="990"/>
      <c r="BL94" s="515">
        <f t="shared" si="219"/>
        <v>0</v>
      </c>
      <c r="BM94" s="515"/>
      <c r="BN94" s="840"/>
      <c r="BO94" s="1482"/>
      <c r="BP94" s="1482"/>
      <c r="BQ94" s="1482"/>
      <c r="BR94" s="1482"/>
      <c r="BS94" s="1482"/>
      <c r="BT94" s="1482"/>
      <c r="BU94" s="1482"/>
      <c r="BV94" s="1482"/>
      <c r="BW94" s="1482"/>
      <c r="BX94" s="1482"/>
      <c r="BY94" s="1482"/>
      <c r="BZ94" s="1482"/>
      <c r="CA94" s="1482"/>
      <c r="CB94" s="1482"/>
      <c r="CC94" s="1482"/>
      <c r="CD94" s="1482"/>
      <c r="CE94" s="1482"/>
      <c r="CF94" s="1482"/>
      <c r="CG94" s="1482"/>
      <c r="CH94" s="1482"/>
      <c r="CI94" s="1482"/>
      <c r="CJ94" s="1482"/>
      <c r="CK94" s="1482"/>
      <c r="CL94" s="1482"/>
      <c r="CM94" s="1482"/>
      <c r="CN94" s="1482"/>
      <c r="CO94" s="1482"/>
      <c r="CP94" s="1482"/>
      <c r="CQ94" s="1482"/>
      <c r="CR94" s="1482"/>
      <c r="CS94" s="1482"/>
      <c r="CT94" s="1482"/>
      <c r="CU94" s="1482"/>
      <c r="CV94" s="1482"/>
      <c r="CW94" s="1482"/>
      <c r="CX94" s="1482"/>
      <c r="CY94" s="1482"/>
      <c r="CZ94" s="1482"/>
      <c r="DA94" s="1482"/>
      <c r="DB94" s="1482"/>
      <c r="DC94" s="1482"/>
      <c r="DD94" s="1482"/>
      <c r="DE94" s="1482"/>
      <c r="DF94" s="1482"/>
      <c r="DH94" s="838">
        <f t="shared" si="234"/>
        <v>0</v>
      </c>
    </row>
    <row r="95" spans="1:112" s="1491" customFormat="1" ht="12.75" hidden="1" customHeight="1" outlineLevel="1">
      <c r="C95" s="1534" t="s">
        <v>1723</v>
      </c>
      <c r="D95" s="1535" t="s">
        <v>1665</v>
      </c>
      <c r="E95" s="1535"/>
      <c r="G95" s="1070"/>
      <c r="H95" s="1070"/>
      <c r="I95" s="1070"/>
      <c r="J95" s="1070"/>
      <c r="K95" s="1071"/>
      <c r="L95" s="1070"/>
      <c r="M95" s="1070"/>
      <c r="N95" s="1070"/>
      <c r="O95" s="1070"/>
      <c r="P95" s="1070"/>
      <c r="Q95" s="1070"/>
      <c r="S95" s="1072"/>
      <c r="T95" s="1072"/>
      <c r="U95" s="1072">
        <f ca="1">(U$40+U$84+U$93)</f>
        <v>-112.77604091444439</v>
      </c>
      <c r="V95" s="1072">
        <f ca="1">(V$40+V$84+V$93)</f>
        <v>-822.03472350219511</v>
      </c>
      <c r="W95" s="1072">
        <f ca="1">(W$40+W$84+W$93)</f>
        <v>-1581.4937216745529</v>
      </c>
      <c r="X95" s="1072"/>
      <c r="Y95" s="1072"/>
      <c r="Z95" s="1072"/>
      <c r="AA95" s="1072"/>
      <c r="AB95" s="1072"/>
      <c r="AC95" s="1072">
        <f t="shared" ref="AC95:AH95" ca="1" si="235">(AC$40+AC$84+AC$93)</f>
        <v>0</v>
      </c>
      <c r="AD95" s="1072">
        <f t="shared" ca="1" si="235"/>
        <v>41.568038881692388</v>
      </c>
      <c r="AE95" s="1072">
        <f t="shared" ca="1" si="235"/>
        <v>1.4946016514365559</v>
      </c>
      <c r="AF95" s="1072">
        <f t="shared" ca="1" si="235"/>
        <v>54.094544573868873</v>
      </c>
      <c r="AG95" s="1072">
        <f t="shared" ca="1" si="235"/>
        <v>45.412460545409857</v>
      </c>
      <c r="AH95" s="1072">
        <f t="shared" ca="1" si="235"/>
        <v>17.17420033669308</v>
      </c>
      <c r="AI95" s="1072"/>
      <c r="AJ95" s="1072"/>
      <c r="AK95" s="1072"/>
      <c r="AM95" s="1073"/>
      <c r="AN95" s="1073"/>
      <c r="AO95" s="1073"/>
      <c r="AP95" s="1073"/>
      <c r="AQ95" s="1073"/>
      <c r="AR95" s="1073"/>
      <c r="AS95" s="1073"/>
      <c r="AT95" s="1073"/>
      <c r="AU95" s="1073"/>
      <c r="AV95" s="1073"/>
      <c r="AW95" s="1073"/>
      <c r="AX95" s="1073"/>
      <c r="AY95" s="1073"/>
      <c r="AZ95" s="1073"/>
      <c r="BA95" s="1073"/>
      <c r="BB95" s="1073"/>
      <c r="BC95" s="1073"/>
      <c r="BD95" s="1073"/>
      <c r="BE95" s="1073">
        <f ca="1">BE40+BE46+BE51</f>
        <v>-199.54432145944892</v>
      </c>
      <c r="BF95" s="1073">
        <f ca="1">SUM(AM95:BE95)</f>
        <v>-199.54432145944892</v>
      </c>
      <c r="BH95" s="1074"/>
      <c r="BI95" s="1074"/>
      <c r="BJ95" s="1074"/>
      <c r="BL95" s="1536"/>
      <c r="BM95" s="1536"/>
      <c r="BN95" s="1537"/>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8"/>
      <c r="CP95" s="1538"/>
      <c r="CQ95" s="1538"/>
      <c r="CR95" s="1538"/>
      <c r="CS95" s="1538"/>
      <c r="CT95" s="1538"/>
      <c r="CU95" s="1538"/>
      <c r="CV95" s="1538"/>
      <c r="CW95" s="1538"/>
      <c r="CX95" s="1538"/>
      <c r="CY95" s="1538"/>
      <c r="CZ95" s="1538"/>
      <c r="DA95" s="1538"/>
      <c r="DB95" s="1538"/>
      <c r="DC95" s="1538"/>
      <c r="DD95" s="1538"/>
      <c r="DE95" s="1538"/>
      <c r="DF95" s="1538"/>
      <c r="DH95" s="1537">
        <f t="shared" si="234"/>
        <v>0</v>
      </c>
    </row>
    <row r="96" spans="1:112" s="1957" customFormat="1" ht="12.75" hidden="1" customHeight="1" outlineLevel="1">
      <c r="A96" s="1954"/>
      <c r="B96" s="1954"/>
      <c r="C96" s="1955" t="s">
        <v>963</v>
      </c>
      <c r="D96" s="1956" t="str">
        <f>INDEX(Modules[Module], MATCH($C96, Modules[Code], 0))</f>
        <v>Biomatter to fuel conversion</v>
      </c>
      <c r="E96" s="1956"/>
      <c r="G96" s="1061">
        <f t="shared" ref="G96:P96" ca="1" si="236">IFERROR(INDEX(INDIRECT($C96&amp;".Outputs["&amp;this.Year&amp;"]"), MATCH(G$5, INDIRECT($C96&amp;".Outputs[Vector]"), 0)), 0)</f>
        <v>0</v>
      </c>
      <c r="H96" s="1061">
        <f t="shared" ca="1" si="236"/>
        <v>0</v>
      </c>
      <c r="I96" s="1061">
        <f t="shared" ca="1" si="236"/>
        <v>0</v>
      </c>
      <c r="J96" s="1061">
        <f t="shared" ca="1" si="236"/>
        <v>0</v>
      </c>
      <c r="K96" s="1061">
        <f t="shared" ca="1" si="236"/>
        <v>0</v>
      </c>
      <c r="L96" s="1061">
        <f t="shared" ca="1" si="236"/>
        <v>0</v>
      </c>
      <c r="M96" s="1061">
        <f t="shared" ca="1" si="236"/>
        <v>0</v>
      </c>
      <c r="N96" s="1061">
        <f t="shared" ca="1" si="236"/>
        <v>0</v>
      </c>
      <c r="O96" s="1061">
        <f t="shared" ca="1" si="236"/>
        <v>0</v>
      </c>
      <c r="P96" s="1061">
        <f t="shared" ca="1" si="236"/>
        <v>0</v>
      </c>
      <c r="Q96" s="1062">
        <f ca="1">SUM(G96:P96)</f>
        <v>0</v>
      </c>
      <c r="S96" s="1063">
        <f t="shared" ref="S96:AJ96" ca="1" si="237">IFERROR(INDEX(INDIRECT($C96&amp;".Outputs["&amp;this.Year&amp;"]"), MATCH(S$5, INDIRECT($C96&amp;".Outputs[Vector]"), 0)), 0)</f>
        <v>0</v>
      </c>
      <c r="T96" s="1063">
        <f t="shared" ca="1" si="237"/>
        <v>0</v>
      </c>
      <c r="U96" s="1063">
        <f t="shared" ca="1" si="237"/>
        <v>48.685090116481987</v>
      </c>
      <c r="V96" s="1063">
        <f t="shared" ca="1" si="237"/>
        <v>27.066871396228461</v>
      </c>
      <c r="W96" s="1063">
        <f t="shared" ca="1" si="237"/>
        <v>53.504168773020965</v>
      </c>
      <c r="X96" s="1063">
        <f t="shared" ca="1" si="237"/>
        <v>0</v>
      </c>
      <c r="Y96" s="1063">
        <f t="shared" ca="1" si="237"/>
        <v>0</v>
      </c>
      <c r="Z96" s="1063">
        <f t="shared" ca="1" si="237"/>
        <v>0</v>
      </c>
      <c r="AA96" s="1063">
        <f t="shared" ca="1" si="237"/>
        <v>0</v>
      </c>
      <c r="AB96" s="1063">
        <f t="shared" ca="1" si="237"/>
        <v>0</v>
      </c>
      <c r="AC96" s="1063">
        <f t="shared" ca="1" si="237"/>
        <v>0</v>
      </c>
      <c r="AD96" s="1063">
        <f t="shared" ca="1" si="237"/>
        <v>-41.568038881692388</v>
      </c>
      <c r="AE96" s="1063">
        <f t="shared" ca="1" si="237"/>
        <v>-1.4946016514365559</v>
      </c>
      <c r="AF96" s="1063">
        <f t="shared" ca="1" si="237"/>
        <v>-54.094544573868873</v>
      </c>
      <c r="AG96" s="1063">
        <f t="shared" ca="1" si="237"/>
        <v>-45.412460545409857</v>
      </c>
      <c r="AH96" s="1063">
        <f t="shared" ca="1" si="237"/>
        <v>-17.17420033669308</v>
      </c>
      <c r="AI96" s="1063">
        <f t="shared" ca="1" si="237"/>
        <v>0</v>
      </c>
      <c r="AJ96" s="1063">
        <f t="shared" ca="1" si="237"/>
        <v>0</v>
      </c>
      <c r="AK96" s="1064">
        <f ca="1">SUM(S96:AJ96)</f>
        <v>-30.487715703369336</v>
      </c>
      <c r="AM96" s="1065">
        <f t="shared" ref="AM96:BE96" ca="1" si="238">IFERROR(INDEX(INDIRECT($C96&amp;".Outputs["&amp;this.Year&amp;"]"), MATCH(AM$5, INDIRECT($C96&amp;".Outputs[Vector]"), 0)), 0)</f>
        <v>0</v>
      </c>
      <c r="AN96" s="1065">
        <f t="shared" ca="1" si="238"/>
        <v>0</v>
      </c>
      <c r="AO96" s="1065">
        <f t="shared" ca="1" si="238"/>
        <v>0</v>
      </c>
      <c r="AP96" s="1065">
        <f t="shared" ca="1" si="238"/>
        <v>0</v>
      </c>
      <c r="AQ96" s="1065">
        <f t="shared" ca="1" si="238"/>
        <v>0</v>
      </c>
      <c r="AR96" s="1065">
        <f t="shared" ca="1" si="238"/>
        <v>0</v>
      </c>
      <c r="AS96" s="1065">
        <f t="shared" ca="1" si="238"/>
        <v>0</v>
      </c>
      <c r="AT96" s="1065">
        <f t="shared" ca="1" si="238"/>
        <v>0</v>
      </c>
      <c r="AU96" s="1065">
        <f t="shared" ca="1" si="238"/>
        <v>0</v>
      </c>
      <c r="AV96" s="1065">
        <f t="shared" ca="1" si="238"/>
        <v>0</v>
      </c>
      <c r="AW96" s="1065">
        <f t="shared" ca="1" si="238"/>
        <v>0</v>
      </c>
      <c r="AX96" s="1065">
        <f t="shared" ca="1" si="238"/>
        <v>0</v>
      </c>
      <c r="AY96" s="1065">
        <f t="shared" ca="1" si="238"/>
        <v>0</v>
      </c>
      <c r="AZ96" s="1065">
        <f t="shared" ca="1" si="238"/>
        <v>0</v>
      </c>
      <c r="BA96" s="1065">
        <f t="shared" ca="1" si="238"/>
        <v>0</v>
      </c>
      <c r="BB96" s="1065">
        <f t="shared" ca="1" si="238"/>
        <v>0</v>
      </c>
      <c r="BC96" s="1065">
        <f t="shared" ca="1" si="238"/>
        <v>0</v>
      </c>
      <c r="BD96" s="1065">
        <f t="shared" ca="1" si="238"/>
        <v>0</v>
      </c>
      <c r="BE96" s="1065">
        <f t="shared" ca="1" si="238"/>
        <v>0</v>
      </c>
      <c r="BF96" s="1066">
        <f ca="1">SUM(AM96:BE96)</f>
        <v>0</v>
      </c>
      <c r="BH96" s="1067">
        <f ca="1">IFERROR(INDEX(INDIRECT($C96&amp;".Outputs["&amp;this.Year&amp;"]"), MATCH(BH$5, INDIRECT($C96&amp;".Outputs[Vector]"), 0)), 0)</f>
        <v>30.487715703369361</v>
      </c>
      <c r="BI96" s="1067">
        <f ca="1">IFERROR(INDEX(INDIRECT($C96&amp;".Outputs["&amp;this.Year&amp;"]"), MATCH(BI$5, INDIRECT($C96&amp;".Outputs[Vector]"), 0)), 0)</f>
        <v>0</v>
      </c>
      <c r="BJ96" s="1068">
        <f ca="1">SUM(BH96:BI96)</f>
        <v>30.487715703369361</v>
      </c>
      <c r="BL96" s="1958">
        <f ca="1">Q96+AK96+BF96+BJ96</f>
        <v>0</v>
      </c>
      <c r="BM96" s="1958"/>
      <c r="BN96" s="1959"/>
      <c r="BO96" s="1960">
        <f t="shared" ref="BO96:DF96" ca="1" si="239">IFERROR(SUMIFS(INDIRECT($C96&amp;".Emissions["&amp;this.Year&amp;"]"), INDIRECT($C96&amp;".Emissions[GHG]"), BO$6, INDIRECT($C96&amp;".Emissions[IPCC Sector]"), BO$5),0)</f>
        <v>0</v>
      </c>
      <c r="BP96" s="1961">
        <f t="shared" ca="1" si="239"/>
        <v>0</v>
      </c>
      <c r="BQ96" s="1961">
        <f t="shared" ca="1" si="239"/>
        <v>0</v>
      </c>
      <c r="BR96" s="1961">
        <f t="shared" ca="1" si="239"/>
        <v>0</v>
      </c>
      <c r="BS96" s="1961">
        <f t="shared" ca="1" si="239"/>
        <v>0</v>
      </c>
      <c r="BT96" s="1961">
        <f t="shared" ca="1" si="239"/>
        <v>0</v>
      </c>
      <c r="BU96" s="1961">
        <f t="shared" ca="1" si="239"/>
        <v>0</v>
      </c>
      <c r="BV96" s="1961">
        <f t="shared" ca="1" si="239"/>
        <v>0</v>
      </c>
      <c r="BW96" s="1961">
        <f t="shared" ca="1" si="239"/>
        <v>0</v>
      </c>
      <c r="BX96" s="1961">
        <f t="shared" ca="1" si="239"/>
        <v>0</v>
      </c>
      <c r="BY96" s="1961">
        <f t="shared" ca="1" si="239"/>
        <v>0</v>
      </c>
      <c r="BZ96" s="1961">
        <f t="shared" ca="1" si="239"/>
        <v>0</v>
      </c>
      <c r="CA96" s="1961">
        <f t="shared" ca="1" si="239"/>
        <v>0</v>
      </c>
      <c r="CB96" s="1961">
        <f t="shared" ca="1" si="239"/>
        <v>0</v>
      </c>
      <c r="CC96" s="1961">
        <f t="shared" ca="1" si="239"/>
        <v>0</v>
      </c>
      <c r="CD96" s="1961">
        <f t="shared" ca="1" si="239"/>
        <v>0</v>
      </c>
      <c r="CE96" s="1961">
        <f t="shared" ca="1" si="239"/>
        <v>0</v>
      </c>
      <c r="CF96" s="1961">
        <f t="shared" ca="1" si="239"/>
        <v>0</v>
      </c>
      <c r="CG96" s="1961">
        <f t="shared" ca="1" si="239"/>
        <v>0</v>
      </c>
      <c r="CH96" s="1961">
        <f t="shared" ca="1" si="239"/>
        <v>0</v>
      </c>
      <c r="CI96" s="1961">
        <f t="shared" ca="1" si="239"/>
        <v>0</v>
      </c>
      <c r="CJ96" s="1961">
        <f t="shared" ca="1" si="239"/>
        <v>0</v>
      </c>
      <c r="CK96" s="1961">
        <f t="shared" ca="1" si="239"/>
        <v>0</v>
      </c>
      <c r="CL96" s="1961">
        <f t="shared" ca="1" si="239"/>
        <v>0</v>
      </c>
      <c r="CM96" s="1961">
        <f t="shared" ca="1" si="239"/>
        <v>0</v>
      </c>
      <c r="CN96" s="1961">
        <f t="shared" ca="1" si="239"/>
        <v>0</v>
      </c>
      <c r="CO96" s="1961">
        <f t="shared" ca="1" si="239"/>
        <v>0</v>
      </c>
      <c r="CP96" s="1961">
        <f t="shared" ca="1" si="239"/>
        <v>0</v>
      </c>
      <c r="CQ96" s="1961">
        <f t="shared" ca="1" si="239"/>
        <v>0</v>
      </c>
      <c r="CR96" s="1961">
        <f t="shared" ca="1" si="239"/>
        <v>0</v>
      </c>
      <c r="CS96" s="1961">
        <f t="shared" ca="1" si="239"/>
        <v>0</v>
      </c>
      <c r="CT96" s="1961">
        <f t="shared" ca="1" si="239"/>
        <v>0</v>
      </c>
      <c r="CU96" s="1961">
        <f t="shared" ca="1" si="239"/>
        <v>0</v>
      </c>
      <c r="CV96" s="1961">
        <f t="shared" ca="1" si="239"/>
        <v>0</v>
      </c>
      <c r="CW96" s="1961">
        <f t="shared" ca="1" si="239"/>
        <v>0</v>
      </c>
      <c r="CX96" s="1961">
        <f t="shared" ca="1" si="239"/>
        <v>0</v>
      </c>
      <c r="CY96" s="1961">
        <f t="shared" ca="1" si="239"/>
        <v>-31.606492659169419</v>
      </c>
      <c r="CZ96" s="1961">
        <f t="shared" ca="1" si="239"/>
        <v>0</v>
      </c>
      <c r="DA96" s="1961">
        <f t="shared" ca="1" si="239"/>
        <v>0</v>
      </c>
      <c r="DB96" s="1961">
        <f t="shared" ca="1" si="239"/>
        <v>0</v>
      </c>
      <c r="DC96" s="1961">
        <f t="shared" ca="1" si="239"/>
        <v>0</v>
      </c>
      <c r="DD96" s="1961">
        <f t="shared" ca="1" si="239"/>
        <v>0</v>
      </c>
      <c r="DE96" s="1961">
        <f t="shared" ca="1" si="239"/>
        <v>0</v>
      </c>
      <c r="DF96" s="1961">
        <f t="shared" ca="1" si="239"/>
        <v>0</v>
      </c>
      <c r="DH96" s="1962">
        <f t="shared" ca="1" si="234"/>
        <v>-31.606492659169419</v>
      </c>
    </row>
    <row r="97" spans="1:112" s="1491" customFormat="1" ht="12.75" hidden="1" customHeight="1" outlineLevel="1">
      <c r="C97" s="1534" t="s">
        <v>1724</v>
      </c>
      <c r="D97" s="1535" t="s">
        <v>1665</v>
      </c>
      <c r="E97" s="1535"/>
      <c r="G97" s="1070"/>
      <c r="H97" s="1070"/>
      <c r="I97" s="1070"/>
      <c r="J97" s="1070"/>
      <c r="K97" s="1071"/>
      <c r="L97" s="1070"/>
      <c r="M97" s="1070"/>
      <c r="N97" s="1070"/>
      <c r="O97" s="1070"/>
      <c r="P97" s="1070"/>
      <c r="Q97" s="1070"/>
      <c r="S97" s="1072"/>
      <c r="T97" s="1072"/>
      <c r="U97" s="1072">
        <f ca="1">U$95+U$96</f>
        <v>-64.090950797962407</v>
      </c>
      <c r="V97" s="1072">
        <f ca="1">V$95+V$96</f>
        <v>-794.9678521059667</v>
      </c>
      <c r="W97" s="1072">
        <f ca="1">W$95+W$96</f>
        <v>-1527.9895529015321</v>
      </c>
      <c r="X97" s="1072"/>
      <c r="Y97" s="1072"/>
      <c r="Z97" s="1072"/>
      <c r="AA97" s="1072"/>
      <c r="AB97" s="1072"/>
      <c r="AC97" s="1072">
        <f t="shared" ref="AC97:AH97" ca="1" si="240">AC$95+AC$96</f>
        <v>0</v>
      </c>
      <c r="AD97" s="1072">
        <f t="shared" ca="1" si="240"/>
        <v>0</v>
      </c>
      <c r="AE97" s="1072">
        <f t="shared" ca="1" si="240"/>
        <v>0</v>
      </c>
      <c r="AF97" s="1072">
        <f t="shared" ca="1" si="240"/>
        <v>0</v>
      </c>
      <c r="AG97" s="1072">
        <f t="shared" ca="1" si="240"/>
        <v>0</v>
      </c>
      <c r="AH97" s="1072">
        <f t="shared" ca="1" si="240"/>
        <v>0</v>
      </c>
      <c r="AI97" s="1072"/>
      <c r="AJ97" s="1072"/>
      <c r="AK97" s="1072"/>
      <c r="AM97" s="1073"/>
      <c r="AN97" s="1073"/>
      <c r="AO97" s="1073"/>
      <c r="AP97" s="1073"/>
      <c r="AQ97" s="1073"/>
      <c r="AR97" s="1073"/>
      <c r="AS97" s="1073"/>
      <c r="AT97" s="1073"/>
      <c r="AU97" s="1073"/>
      <c r="AV97" s="1073"/>
      <c r="AW97" s="1073"/>
      <c r="AX97" s="1073"/>
      <c r="AY97" s="1073"/>
      <c r="AZ97" s="1073"/>
      <c r="BA97" s="1073"/>
      <c r="BB97" s="1073"/>
      <c r="BC97" s="1073"/>
      <c r="BD97" s="1073"/>
      <c r="BE97" s="1073">
        <f ca="1">BE42+BE49+BE53</f>
        <v>-164.77754738575911</v>
      </c>
      <c r="BF97" s="1073">
        <f ca="1">SUM(AM97:BE97)</f>
        <v>-164.77754738575911</v>
      </c>
      <c r="BH97" s="1074"/>
      <c r="BI97" s="1074"/>
      <c r="BJ97" s="1074"/>
      <c r="BL97" s="1536"/>
      <c r="BM97" s="1536"/>
      <c r="BN97" s="1537"/>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8"/>
      <c r="CP97" s="1538"/>
      <c r="CQ97" s="1538"/>
      <c r="CR97" s="1538"/>
      <c r="CS97" s="1538"/>
      <c r="CT97" s="1538"/>
      <c r="CU97" s="1538"/>
      <c r="CV97" s="1538"/>
      <c r="CW97" s="1538"/>
      <c r="CX97" s="1538"/>
      <c r="CY97" s="1538"/>
      <c r="CZ97" s="1538"/>
      <c r="DA97" s="1538"/>
      <c r="DB97" s="1538"/>
      <c r="DC97" s="1538"/>
      <c r="DD97" s="1538"/>
      <c r="DE97" s="1538"/>
      <c r="DF97" s="1538"/>
      <c r="DH97" s="1537">
        <f>SUM(BO97:DF97)</f>
        <v>0</v>
      </c>
    </row>
    <row r="98" spans="1:112" s="743" customFormat="1" ht="12.75" hidden="1" customHeight="1" outlineLevel="1">
      <c r="A98" s="1484"/>
      <c r="B98" s="1484"/>
      <c r="C98" s="746" t="s">
        <v>1695</v>
      </c>
      <c r="D98" s="1010" t="str">
        <f>INDEX(Modules[Module], MATCH($C98, Modules[Code], 0))</f>
        <v>Bioenergy imports</v>
      </c>
      <c r="E98" s="1010"/>
      <c r="G98" s="1022">
        <f t="shared" ref="G98:P98" ca="1" si="241">IFERROR(INDEX(INDIRECT($C98&amp;".Outputs["&amp;this.Year&amp;"]"), MATCH(G$5, INDIRECT($C98&amp;".Outputs[Vector]"), 0)), 0)</f>
        <v>0</v>
      </c>
      <c r="H98" s="1022">
        <f t="shared" ca="1" si="241"/>
        <v>0</v>
      </c>
      <c r="I98" s="1022">
        <f t="shared" ca="1" si="241"/>
        <v>0</v>
      </c>
      <c r="J98" s="1022">
        <f t="shared" ca="1" si="241"/>
        <v>0</v>
      </c>
      <c r="K98" s="1022">
        <f t="shared" ca="1" si="241"/>
        <v>0</v>
      </c>
      <c r="L98" s="1022">
        <f t="shared" ca="1" si="241"/>
        <v>0</v>
      </c>
      <c r="M98" s="1022">
        <f t="shared" ca="1" si="241"/>
        <v>0</v>
      </c>
      <c r="N98" s="1022">
        <f t="shared" ca="1" si="241"/>
        <v>0</v>
      </c>
      <c r="O98" s="1022">
        <f t="shared" ca="1" si="241"/>
        <v>0</v>
      </c>
      <c r="P98" s="1022">
        <f t="shared" ca="1" si="241"/>
        <v>0</v>
      </c>
      <c r="Q98" s="1020">
        <f ca="1">SUM(G98:P98)</f>
        <v>0</v>
      </c>
      <c r="S98" s="1031">
        <f t="shared" ref="S98:AJ98" ca="1" si="242">IFERROR(INDEX(INDIRECT($C98&amp;".Outputs["&amp;this.Year&amp;"]"), MATCH(S$5, INDIRECT($C98&amp;".Outputs[Vector]"), 0)), 0)</f>
        <v>0</v>
      </c>
      <c r="T98" s="1031">
        <f t="shared" ca="1" si="242"/>
        <v>0</v>
      </c>
      <c r="U98" s="1031">
        <f t="shared" ca="1" si="242"/>
        <v>1.5335372093023256</v>
      </c>
      <c r="V98" s="1031">
        <f t="shared" ca="1" si="242"/>
        <v>-0.13793720930232556</v>
      </c>
      <c r="W98" s="1031">
        <f t="shared" ca="1" si="242"/>
        <v>0</v>
      </c>
      <c r="X98" s="1031">
        <f t="shared" ca="1" si="242"/>
        <v>0</v>
      </c>
      <c r="Y98" s="1031">
        <f t="shared" ca="1" si="242"/>
        <v>0</v>
      </c>
      <c r="Z98" s="1031">
        <f t="shared" ca="1" si="242"/>
        <v>0</v>
      </c>
      <c r="AA98" s="1031">
        <f t="shared" ca="1" si="242"/>
        <v>0</v>
      </c>
      <c r="AB98" s="1031">
        <f t="shared" ca="1" si="242"/>
        <v>0</v>
      </c>
      <c r="AC98" s="1031">
        <f t="shared" ca="1" si="242"/>
        <v>0</v>
      </c>
      <c r="AD98" s="1031">
        <f t="shared" ca="1" si="242"/>
        <v>0</v>
      </c>
      <c r="AE98" s="1031">
        <f t="shared" ca="1" si="242"/>
        <v>0</v>
      </c>
      <c r="AF98" s="1031">
        <f t="shared" ca="1" si="242"/>
        <v>0</v>
      </c>
      <c r="AG98" s="1031">
        <f t="shared" ca="1" si="242"/>
        <v>0</v>
      </c>
      <c r="AH98" s="1031">
        <f t="shared" ca="1" si="242"/>
        <v>0</v>
      </c>
      <c r="AI98" s="1031">
        <f t="shared" ca="1" si="242"/>
        <v>0</v>
      </c>
      <c r="AJ98" s="1031">
        <f t="shared" ca="1" si="242"/>
        <v>0</v>
      </c>
      <c r="AK98" s="1030">
        <f ca="1">SUM(S98:AJ98)</f>
        <v>1.3956</v>
      </c>
      <c r="AM98" s="1042">
        <f t="shared" ref="AM98:BE98" ca="1" si="243">IFERROR(INDEX(INDIRECT($C98&amp;".Outputs["&amp;this.Year&amp;"]"), MATCH(AM$5, INDIRECT($C98&amp;".Outputs[Vector]"), 0)), 0)</f>
        <v>0</v>
      </c>
      <c r="AN98" s="1042">
        <f t="shared" ca="1" si="243"/>
        <v>0</v>
      </c>
      <c r="AO98" s="1042">
        <f t="shared" ca="1" si="243"/>
        <v>0</v>
      </c>
      <c r="AP98" s="1042">
        <f t="shared" ca="1" si="243"/>
        <v>-1.3956</v>
      </c>
      <c r="AQ98" s="1042">
        <f t="shared" ca="1" si="243"/>
        <v>0</v>
      </c>
      <c r="AR98" s="1042">
        <f t="shared" ca="1" si="243"/>
        <v>0</v>
      </c>
      <c r="AS98" s="1042">
        <f t="shared" ca="1" si="243"/>
        <v>0</v>
      </c>
      <c r="AT98" s="1042">
        <f t="shared" ca="1" si="243"/>
        <v>0</v>
      </c>
      <c r="AU98" s="1042">
        <f t="shared" ca="1" si="243"/>
        <v>0</v>
      </c>
      <c r="AV98" s="1042">
        <f t="shared" ca="1" si="243"/>
        <v>0</v>
      </c>
      <c r="AW98" s="1042">
        <f t="shared" ca="1" si="243"/>
        <v>0</v>
      </c>
      <c r="AX98" s="1042">
        <f t="shared" ca="1" si="243"/>
        <v>0</v>
      </c>
      <c r="AY98" s="1042">
        <f t="shared" ca="1" si="243"/>
        <v>0</v>
      </c>
      <c r="AZ98" s="1042">
        <f t="shared" ca="1" si="243"/>
        <v>0</v>
      </c>
      <c r="BA98" s="1042">
        <f t="shared" ca="1" si="243"/>
        <v>0</v>
      </c>
      <c r="BB98" s="1042">
        <f t="shared" ca="1" si="243"/>
        <v>0</v>
      </c>
      <c r="BC98" s="1042">
        <f t="shared" ca="1" si="243"/>
        <v>0</v>
      </c>
      <c r="BD98" s="1042">
        <f t="shared" ca="1" si="243"/>
        <v>0</v>
      </c>
      <c r="BE98" s="1042">
        <f t="shared" ca="1" si="243"/>
        <v>0</v>
      </c>
      <c r="BF98" s="1012">
        <f ca="1">SUM(AM98:BE98)</f>
        <v>-1.3956</v>
      </c>
      <c r="BH98" s="1036">
        <f ca="1">IFERROR(INDEX(INDIRECT($C98&amp;".Outputs["&amp;this.Year&amp;"]"), MATCH(BH$5, INDIRECT($C98&amp;".Outputs[Vector]"), 0)), 0)</f>
        <v>0</v>
      </c>
      <c r="BI98" s="1036">
        <f ca="1">IFERROR(INDEX(INDIRECT($C98&amp;".Outputs["&amp;this.Year&amp;"]"), MATCH(BI$5, INDIRECT($C98&amp;".Outputs[Vector]"), 0)), 0)</f>
        <v>0</v>
      </c>
      <c r="BJ98" s="1035">
        <f ca="1">SUM(BH98:BI98)</f>
        <v>0</v>
      </c>
      <c r="BL98" s="814">
        <f ca="1">Q98+AK98+BF98+BJ98</f>
        <v>0</v>
      </c>
      <c r="BM98" s="814"/>
      <c r="BN98" s="840"/>
      <c r="BO98" s="1485">
        <f t="shared" ref="BO98:DF98" ca="1" si="244">IFERROR(SUMIFS(INDIRECT($C98&amp;".Emissions["&amp;this.Year&amp;"]"), INDIRECT($C98&amp;".Emissions[GHG]"), BO$6, INDIRECT($C98&amp;".Emissions[IPCC Sector]"), BO$5),0)</f>
        <v>0</v>
      </c>
      <c r="BP98" s="1486">
        <f t="shared" ca="1" si="244"/>
        <v>0</v>
      </c>
      <c r="BQ98" s="1486">
        <f t="shared" ca="1" si="244"/>
        <v>0</v>
      </c>
      <c r="BR98" s="1486">
        <f t="shared" ca="1" si="244"/>
        <v>0</v>
      </c>
      <c r="BS98" s="1486">
        <f t="shared" ca="1" si="244"/>
        <v>0</v>
      </c>
      <c r="BT98" s="1486">
        <f t="shared" ca="1" si="244"/>
        <v>0</v>
      </c>
      <c r="BU98" s="1486">
        <f t="shared" ca="1" si="244"/>
        <v>0</v>
      </c>
      <c r="BV98" s="1486">
        <f t="shared" ca="1" si="244"/>
        <v>0</v>
      </c>
      <c r="BW98" s="1486">
        <f t="shared" ca="1" si="244"/>
        <v>0</v>
      </c>
      <c r="BX98" s="1486">
        <f t="shared" ca="1" si="244"/>
        <v>0</v>
      </c>
      <c r="BY98" s="1486">
        <f t="shared" ca="1" si="244"/>
        <v>0</v>
      </c>
      <c r="BZ98" s="1486">
        <f t="shared" ca="1" si="244"/>
        <v>0</v>
      </c>
      <c r="CA98" s="1486">
        <f t="shared" ca="1" si="244"/>
        <v>0</v>
      </c>
      <c r="CB98" s="1486">
        <f t="shared" ca="1" si="244"/>
        <v>0</v>
      </c>
      <c r="CC98" s="1486">
        <f t="shared" ca="1" si="244"/>
        <v>0</v>
      </c>
      <c r="CD98" s="1486">
        <f t="shared" ca="1" si="244"/>
        <v>0</v>
      </c>
      <c r="CE98" s="1486">
        <f t="shared" ca="1" si="244"/>
        <v>0</v>
      </c>
      <c r="CF98" s="1486">
        <f t="shared" ca="1" si="244"/>
        <v>0</v>
      </c>
      <c r="CG98" s="1486">
        <f t="shared" ca="1" si="244"/>
        <v>0</v>
      </c>
      <c r="CH98" s="1486">
        <f t="shared" ca="1" si="244"/>
        <v>0</v>
      </c>
      <c r="CI98" s="1486">
        <f t="shared" ca="1" si="244"/>
        <v>0</v>
      </c>
      <c r="CJ98" s="1486">
        <f t="shared" ca="1" si="244"/>
        <v>0</v>
      </c>
      <c r="CK98" s="1486">
        <f t="shared" ca="1" si="244"/>
        <v>0</v>
      </c>
      <c r="CL98" s="1486">
        <f t="shared" ca="1" si="244"/>
        <v>0</v>
      </c>
      <c r="CM98" s="1486">
        <f t="shared" ca="1" si="244"/>
        <v>0</v>
      </c>
      <c r="CN98" s="1486">
        <f t="shared" ca="1" si="244"/>
        <v>0</v>
      </c>
      <c r="CO98" s="1486">
        <f t="shared" ca="1" si="244"/>
        <v>0</v>
      </c>
      <c r="CP98" s="1486">
        <f t="shared" ca="1" si="244"/>
        <v>0</v>
      </c>
      <c r="CQ98" s="1486">
        <f t="shared" ca="1" si="244"/>
        <v>0</v>
      </c>
      <c r="CR98" s="1486">
        <f t="shared" ca="1" si="244"/>
        <v>0</v>
      </c>
      <c r="CS98" s="1486">
        <f t="shared" ca="1" si="244"/>
        <v>0</v>
      </c>
      <c r="CT98" s="1486">
        <f t="shared" ca="1" si="244"/>
        <v>0</v>
      </c>
      <c r="CU98" s="1486">
        <f t="shared" ca="1" si="244"/>
        <v>0</v>
      </c>
      <c r="CV98" s="1486">
        <f t="shared" ca="1" si="244"/>
        <v>0</v>
      </c>
      <c r="CW98" s="1486">
        <f t="shared" ca="1" si="244"/>
        <v>0</v>
      </c>
      <c r="CX98" s="1486">
        <f t="shared" ca="1" si="244"/>
        <v>0</v>
      </c>
      <c r="CY98" s="1486">
        <f t="shared" ca="1" si="244"/>
        <v>-0.43784515813953484</v>
      </c>
      <c r="CZ98" s="1486">
        <f t="shared" ca="1" si="244"/>
        <v>0</v>
      </c>
      <c r="DA98" s="1486">
        <f t="shared" ca="1" si="244"/>
        <v>0</v>
      </c>
      <c r="DB98" s="1486">
        <f t="shared" ca="1" si="244"/>
        <v>0</v>
      </c>
      <c r="DC98" s="1486">
        <f t="shared" ca="1" si="244"/>
        <v>0</v>
      </c>
      <c r="DD98" s="1486">
        <f t="shared" ca="1" si="244"/>
        <v>0</v>
      </c>
      <c r="DE98" s="1486">
        <f t="shared" ca="1" si="244"/>
        <v>0</v>
      </c>
      <c r="DF98" s="1486">
        <f t="shared" ca="1" si="244"/>
        <v>0</v>
      </c>
      <c r="DH98" s="838">
        <f ca="1">SUM(BO98:DF98)</f>
        <v>-0.43784515813953484</v>
      </c>
    </row>
    <row r="99" spans="1:112" s="743" customFormat="1" ht="15.75" collapsed="1">
      <c r="A99" s="22"/>
      <c r="B99" s="753"/>
      <c r="C99" s="744" t="s">
        <v>671</v>
      </c>
      <c r="D99" s="517" t="str">
        <f>INDEX(Workstreams[Workstream], MATCH($C99, Workstreams[Code], 0))</f>
        <v>Bioenergy</v>
      </c>
      <c r="E99" s="512"/>
      <c r="G99" s="1021">
        <f ca="1">G$96+G98</f>
        <v>0</v>
      </c>
      <c r="H99" s="1021">
        <f t="shared" ref="H99:P99" ca="1" si="245">H$96+H98</f>
        <v>0</v>
      </c>
      <c r="I99" s="1021">
        <f t="shared" ca="1" si="245"/>
        <v>0</v>
      </c>
      <c r="J99" s="1021">
        <f t="shared" ca="1" si="245"/>
        <v>0</v>
      </c>
      <c r="K99" s="1021">
        <f t="shared" ca="1" si="245"/>
        <v>0</v>
      </c>
      <c r="L99" s="1021">
        <f t="shared" ca="1" si="245"/>
        <v>0</v>
      </c>
      <c r="M99" s="1021">
        <f t="shared" ca="1" si="245"/>
        <v>0</v>
      </c>
      <c r="N99" s="1021">
        <f t="shared" ca="1" si="245"/>
        <v>0</v>
      </c>
      <c r="O99" s="1021">
        <f t="shared" ca="1" si="245"/>
        <v>0</v>
      </c>
      <c r="P99" s="1021">
        <f t="shared" ca="1" si="245"/>
        <v>0</v>
      </c>
      <c r="Q99" s="1021">
        <f ca="1">SUM(G99:P99)</f>
        <v>0</v>
      </c>
      <c r="S99" s="970">
        <f t="shared" ref="S99:AJ99" ca="1" si="246">S$96+S98</f>
        <v>0</v>
      </c>
      <c r="T99" s="970">
        <f t="shared" ca="1" si="246"/>
        <v>0</v>
      </c>
      <c r="U99" s="970">
        <f t="shared" ca="1" si="246"/>
        <v>50.218627325784311</v>
      </c>
      <c r="V99" s="970">
        <f t="shared" ca="1" si="246"/>
        <v>26.928934186926135</v>
      </c>
      <c r="W99" s="970">
        <f t="shared" ca="1" si="246"/>
        <v>53.504168773020965</v>
      </c>
      <c r="X99" s="970">
        <f t="shared" ca="1" si="246"/>
        <v>0</v>
      </c>
      <c r="Y99" s="970">
        <f t="shared" ca="1" si="246"/>
        <v>0</v>
      </c>
      <c r="Z99" s="970">
        <f t="shared" ca="1" si="246"/>
        <v>0</v>
      </c>
      <c r="AA99" s="970">
        <f t="shared" ca="1" si="246"/>
        <v>0</v>
      </c>
      <c r="AB99" s="970">
        <f t="shared" ca="1" si="246"/>
        <v>0</v>
      </c>
      <c r="AC99" s="970">
        <f t="shared" ca="1" si="246"/>
        <v>0</v>
      </c>
      <c r="AD99" s="970">
        <f ca="1">AD$96+AD98</f>
        <v>-41.568038881692388</v>
      </c>
      <c r="AE99" s="970">
        <f ca="1">AE$96+AE98</f>
        <v>-1.4946016514365559</v>
      </c>
      <c r="AF99" s="970">
        <f t="shared" ca="1" si="246"/>
        <v>-54.094544573868873</v>
      </c>
      <c r="AG99" s="970">
        <f t="shared" ca="1" si="246"/>
        <v>-45.412460545409857</v>
      </c>
      <c r="AH99" s="970">
        <f ca="1">AH$96+AH98</f>
        <v>-17.17420033669308</v>
      </c>
      <c r="AI99" s="970">
        <f t="shared" ca="1" si="246"/>
        <v>0</v>
      </c>
      <c r="AJ99" s="970">
        <f t="shared" ca="1" si="246"/>
        <v>0</v>
      </c>
      <c r="AK99" s="970">
        <f ca="1">SUM(S99:AJ99)</f>
        <v>-29.092115703369362</v>
      </c>
      <c r="AM99" s="976">
        <f t="shared" ref="AM99:BE99" ca="1" si="247">AM$96+AM98</f>
        <v>0</v>
      </c>
      <c r="AN99" s="976">
        <f t="shared" ca="1" si="247"/>
        <v>0</v>
      </c>
      <c r="AO99" s="976">
        <f t="shared" ca="1" si="247"/>
        <v>0</v>
      </c>
      <c r="AP99" s="976">
        <f t="shared" ca="1" si="247"/>
        <v>-1.3956</v>
      </c>
      <c r="AQ99" s="976">
        <f t="shared" ca="1" si="247"/>
        <v>0</v>
      </c>
      <c r="AR99" s="976">
        <f t="shared" ca="1" si="247"/>
        <v>0</v>
      </c>
      <c r="AS99" s="976">
        <f t="shared" ca="1" si="247"/>
        <v>0</v>
      </c>
      <c r="AT99" s="976">
        <f t="shared" ca="1" si="247"/>
        <v>0</v>
      </c>
      <c r="AU99" s="976">
        <f t="shared" ca="1" si="247"/>
        <v>0</v>
      </c>
      <c r="AV99" s="976">
        <f t="shared" ca="1" si="247"/>
        <v>0</v>
      </c>
      <c r="AW99" s="976">
        <f t="shared" ca="1" si="247"/>
        <v>0</v>
      </c>
      <c r="AX99" s="976">
        <f t="shared" ca="1" si="247"/>
        <v>0</v>
      </c>
      <c r="AY99" s="976">
        <f t="shared" ca="1" si="247"/>
        <v>0</v>
      </c>
      <c r="AZ99" s="976">
        <f t="shared" ca="1" si="247"/>
        <v>0</v>
      </c>
      <c r="BA99" s="976">
        <f t="shared" ca="1" si="247"/>
        <v>0</v>
      </c>
      <c r="BB99" s="976">
        <f t="shared" ca="1" si="247"/>
        <v>0</v>
      </c>
      <c r="BC99" s="976">
        <f t="shared" ca="1" si="247"/>
        <v>0</v>
      </c>
      <c r="BD99" s="976">
        <f t="shared" ca="1" si="247"/>
        <v>0</v>
      </c>
      <c r="BE99" s="976">
        <f t="shared" ca="1" si="247"/>
        <v>0</v>
      </c>
      <c r="BF99" s="976">
        <f ca="1">SUM(AM99:BE99)</f>
        <v>-1.3956</v>
      </c>
      <c r="BH99" s="990">
        <f ca="1">BH$96+BH98</f>
        <v>30.487715703369361</v>
      </c>
      <c r="BI99" s="990">
        <f ca="1">BI$96+BI98</f>
        <v>0</v>
      </c>
      <c r="BJ99" s="990">
        <f ca="1">SUM(BH99:BI99)</f>
        <v>30.487715703369361</v>
      </c>
      <c r="BL99" s="515">
        <f ca="1">Q99+AK99+BF99+BJ99</f>
        <v>0</v>
      </c>
      <c r="BM99" s="515"/>
      <c r="BN99" s="840"/>
      <c r="BO99" s="1482">
        <f t="shared" ref="BO99:DF99" ca="1" si="248">BO$96+BO98</f>
        <v>0</v>
      </c>
      <c r="BP99" s="1482">
        <f t="shared" ca="1" si="248"/>
        <v>0</v>
      </c>
      <c r="BQ99" s="1482">
        <f t="shared" ca="1" si="248"/>
        <v>0</v>
      </c>
      <c r="BR99" s="1482">
        <f t="shared" ca="1" si="248"/>
        <v>0</v>
      </c>
      <c r="BS99" s="1482">
        <f t="shared" ca="1" si="248"/>
        <v>0</v>
      </c>
      <c r="BT99" s="1482">
        <f t="shared" ca="1" si="248"/>
        <v>0</v>
      </c>
      <c r="BU99" s="1482">
        <f t="shared" ca="1" si="248"/>
        <v>0</v>
      </c>
      <c r="BV99" s="1482">
        <f t="shared" ca="1" si="248"/>
        <v>0</v>
      </c>
      <c r="BW99" s="1482">
        <f t="shared" ca="1" si="248"/>
        <v>0</v>
      </c>
      <c r="BX99" s="1482">
        <f t="shared" ca="1" si="248"/>
        <v>0</v>
      </c>
      <c r="BY99" s="1482">
        <f t="shared" ca="1" si="248"/>
        <v>0</v>
      </c>
      <c r="BZ99" s="1482">
        <f t="shared" ca="1" si="248"/>
        <v>0</v>
      </c>
      <c r="CA99" s="1482">
        <f t="shared" ca="1" si="248"/>
        <v>0</v>
      </c>
      <c r="CB99" s="1482">
        <f t="shared" ca="1" si="248"/>
        <v>0</v>
      </c>
      <c r="CC99" s="1482">
        <f t="shared" ca="1" si="248"/>
        <v>0</v>
      </c>
      <c r="CD99" s="1482">
        <f t="shared" ca="1" si="248"/>
        <v>0</v>
      </c>
      <c r="CE99" s="1482">
        <f t="shared" ca="1" si="248"/>
        <v>0</v>
      </c>
      <c r="CF99" s="1482">
        <f t="shared" ca="1" si="248"/>
        <v>0</v>
      </c>
      <c r="CG99" s="1482">
        <f t="shared" ca="1" si="248"/>
        <v>0</v>
      </c>
      <c r="CH99" s="1482">
        <f t="shared" ca="1" si="248"/>
        <v>0</v>
      </c>
      <c r="CI99" s="1482">
        <f t="shared" ca="1" si="248"/>
        <v>0</v>
      </c>
      <c r="CJ99" s="1482">
        <f t="shared" ca="1" si="248"/>
        <v>0</v>
      </c>
      <c r="CK99" s="1482">
        <f t="shared" ca="1" si="248"/>
        <v>0</v>
      </c>
      <c r="CL99" s="1482">
        <f t="shared" ca="1" si="248"/>
        <v>0</v>
      </c>
      <c r="CM99" s="1482">
        <f t="shared" ca="1" si="248"/>
        <v>0</v>
      </c>
      <c r="CN99" s="1482">
        <f t="shared" ca="1" si="248"/>
        <v>0</v>
      </c>
      <c r="CO99" s="1482">
        <f t="shared" ca="1" si="248"/>
        <v>0</v>
      </c>
      <c r="CP99" s="1482">
        <f t="shared" ca="1" si="248"/>
        <v>0</v>
      </c>
      <c r="CQ99" s="1482">
        <f t="shared" ca="1" si="248"/>
        <v>0</v>
      </c>
      <c r="CR99" s="1482">
        <f t="shared" ca="1" si="248"/>
        <v>0</v>
      </c>
      <c r="CS99" s="1482">
        <f t="shared" ca="1" si="248"/>
        <v>0</v>
      </c>
      <c r="CT99" s="1482">
        <f t="shared" ca="1" si="248"/>
        <v>0</v>
      </c>
      <c r="CU99" s="1482">
        <f t="shared" ca="1" si="248"/>
        <v>0</v>
      </c>
      <c r="CV99" s="1482">
        <f t="shared" ca="1" si="248"/>
        <v>0</v>
      </c>
      <c r="CW99" s="1482">
        <f t="shared" ca="1" si="248"/>
        <v>0</v>
      </c>
      <c r="CX99" s="1482">
        <f t="shared" ca="1" si="248"/>
        <v>0</v>
      </c>
      <c r="CY99" s="1482">
        <f t="shared" ca="1" si="248"/>
        <v>-32.044337817308957</v>
      </c>
      <c r="CZ99" s="1482">
        <f t="shared" ca="1" si="248"/>
        <v>0</v>
      </c>
      <c r="DA99" s="1482">
        <f t="shared" ca="1" si="248"/>
        <v>0</v>
      </c>
      <c r="DB99" s="1482">
        <f t="shared" ca="1" si="248"/>
        <v>0</v>
      </c>
      <c r="DC99" s="1482">
        <f t="shared" ca="1" si="248"/>
        <v>0</v>
      </c>
      <c r="DD99" s="1482">
        <f t="shared" ca="1" si="248"/>
        <v>0</v>
      </c>
      <c r="DE99" s="1482">
        <f t="shared" ca="1" si="248"/>
        <v>0</v>
      </c>
      <c r="DF99" s="1482">
        <f t="shared" ca="1" si="248"/>
        <v>0</v>
      </c>
      <c r="DH99" s="838">
        <f t="shared" ca="1" si="234"/>
        <v>-32.044337817308957</v>
      </c>
    </row>
    <row r="100" spans="1:112" s="22" customFormat="1" ht="12.75" hidden="1" customHeight="1" outlineLevel="1">
      <c r="B100" s="753"/>
      <c r="C100" s="744"/>
      <c r="D100" s="517"/>
      <c r="E100" s="512"/>
      <c r="F100" s="743"/>
      <c r="G100" s="958"/>
      <c r="H100" s="958"/>
      <c r="I100" s="958"/>
      <c r="J100" s="958"/>
      <c r="K100" s="960"/>
      <c r="L100" s="958"/>
      <c r="M100" s="958"/>
      <c r="N100" s="958"/>
      <c r="O100" s="958"/>
      <c r="P100" s="958"/>
      <c r="Q100" s="1021"/>
      <c r="R100" s="743"/>
      <c r="S100" s="970"/>
      <c r="T100" s="970"/>
      <c r="U100" s="970"/>
      <c r="V100" s="970"/>
      <c r="W100" s="970"/>
      <c r="X100" s="970"/>
      <c r="Y100" s="970"/>
      <c r="Z100" s="970"/>
      <c r="AA100" s="970"/>
      <c r="AB100" s="970"/>
      <c r="AC100" s="970"/>
      <c r="AD100" s="970"/>
      <c r="AE100" s="970"/>
      <c r="AF100" s="970"/>
      <c r="AG100" s="970"/>
      <c r="AH100" s="970"/>
      <c r="AI100" s="970"/>
      <c r="AJ100" s="970"/>
      <c r="AK100" s="970"/>
      <c r="AL100" s="743"/>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743"/>
      <c r="BH100" s="990"/>
      <c r="BI100" s="990"/>
      <c r="BJ100" s="990"/>
      <c r="BK100" s="743"/>
      <c r="BL100" s="515"/>
      <c r="BM100" s="515"/>
      <c r="BO100" s="1482"/>
      <c r="BP100" s="1482"/>
      <c r="BQ100" s="1482"/>
      <c r="BR100" s="1482"/>
      <c r="BS100" s="1482"/>
      <c r="BT100" s="1482"/>
      <c r="BU100" s="1482"/>
      <c r="BV100" s="1482"/>
      <c r="BW100" s="1482"/>
      <c r="BX100" s="1482"/>
      <c r="BY100" s="1482"/>
      <c r="BZ100" s="1482"/>
      <c r="CA100" s="1482"/>
      <c r="CB100" s="1482"/>
      <c r="CC100" s="1482"/>
      <c r="CD100" s="1482"/>
      <c r="CE100" s="1482"/>
      <c r="CF100" s="1482"/>
      <c r="CG100" s="1482"/>
      <c r="CH100" s="1482"/>
      <c r="CI100" s="1482"/>
      <c r="CJ100" s="1482"/>
      <c r="CK100" s="1482"/>
      <c r="CL100" s="1482"/>
      <c r="CM100" s="1482"/>
      <c r="CN100" s="1482"/>
      <c r="CO100" s="1482"/>
      <c r="CP100" s="1482"/>
      <c r="CQ100" s="1482"/>
      <c r="CR100" s="1482"/>
      <c r="CS100" s="1482"/>
      <c r="CT100" s="1482"/>
      <c r="CU100" s="1482"/>
      <c r="CV100" s="1482"/>
      <c r="CW100" s="1482"/>
      <c r="CX100" s="1482"/>
      <c r="CY100" s="1482"/>
      <c r="CZ100" s="1482"/>
      <c r="DA100" s="1482"/>
      <c r="DB100" s="1482"/>
      <c r="DC100" s="1482"/>
      <c r="DD100" s="1482"/>
      <c r="DE100" s="1482"/>
      <c r="DF100" s="1482"/>
      <c r="DH100" s="838">
        <f t="shared" si="234"/>
        <v>0</v>
      </c>
    </row>
    <row r="101" spans="1:112" s="1488" customFormat="1" ht="12.75" hidden="1" customHeight="1" outlineLevel="1">
      <c r="C101" s="1048" t="s">
        <v>1725</v>
      </c>
      <c r="D101" s="851" t="s">
        <v>1224</v>
      </c>
      <c r="E101" s="851"/>
      <c r="G101" s="1070"/>
      <c r="H101" s="1070"/>
      <c r="I101" s="1070"/>
      <c r="J101" s="1070"/>
      <c r="K101" s="1071"/>
      <c r="L101" s="1070"/>
      <c r="M101" s="1070"/>
      <c r="N101" s="1070"/>
      <c r="O101" s="1070"/>
      <c r="P101" s="1070"/>
      <c r="Q101" s="1478"/>
      <c r="R101" s="1491"/>
      <c r="S101" s="1072">
        <f ca="1">(S$40+S$84+S$93+S$99)</f>
        <v>-409.73117353201741</v>
      </c>
      <c r="T101" s="1072">
        <f ca="1">(T$40+T$84+T$93+T$99)</f>
        <v>409.73117353201746</v>
      </c>
      <c r="U101" s="1072">
        <f ca="1">(U$40+U$84+U$93+U$99)</f>
        <v>-62.557413588660083</v>
      </c>
      <c r="V101" s="1072">
        <f ca="1">(V$40+V$84+V$93+V$99)</f>
        <v>-795.10578931526902</v>
      </c>
      <c r="W101" s="1072">
        <f ca="1">(W$40+W$84+W$93+W$99)</f>
        <v>-1527.9895529015321</v>
      </c>
      <c r="X101" s="1072"/>
      <c r="Y101" s="1072"/>
      <c r="Z101" s="1072"/>
      <c r="AA101" s="1072"/>
      <c r="AB101" s="1072"/>
      <c r="AC101" s="1072"/>
      <c r="AD101" s="1072"/>
      <c r="AE101" s="1072"/>
      <c r="AF101" s="1072"/>
      <c r="AG101" s="1072"/>
      <c r="AH101" s="1072"/>
      <c r="AI101" s="1072"/>
      <c r="AJ101" s="1072"/>
      <c r="AK101" s="1072"/>
      <c r="AL101" s="1491"/>
      <c r="AM101" s="1073"/>
      <c r="AN101" s="1073"/>
      <c r="AO101" s="1073"/>
      <c r="AP101" s="1073"/>
      <c r="AQ101" s="1073"/>
      <c r="AR101" s="1073"/>
      <c r="AS101" s="1073"/>
      <c r="AT101" s="1073"/>
      <c r="AU101" s="1073"/>
      <c r="AV101" s="1073"/>
      <c r="AW101" s="1073"/>
      <c r="AX101" s="1073"/>
      <c r="AY101" s="1073"/>
      <c r="AZ101" s="1073"/>
      <c r="BA101" s="1073"/>
      <c r="BB101" s="1073"/>
      <c r="BC101" s="1073"/>
      <c r="BD101" s="1073"/>
      <c r="BE101" s="1073"/>
      <c r="BF101" s="1073"/>
      <c r="BG101" s="1491"/>
      <c r="BH101" s="1074"/>
      <c r="BI101" s="1074"/>
      <c r="BJ101" s="1074"/>
      <c r="BL101" s="852"/>
      <c r="BM101" s="852"/>
      <c r="BO101" s="1490"/>
      <c r="BP101" s="1490"/>
      <c r="BQ101" s="1490"/>
      <c r="BR101" s="1490"/>
      <c r="BS101" s="1490"/>
      <c r="BT101" s="1490"/>
      <c r="BU101" s="1490"/>
      <c r="BV101" s="1490"/>
      <c r="BW101" s="1490"/>
      <c r="BX101" s="1490"/>
      <c r="BY101" s="1490"/>
      <c r="BZ101" s="1490"/>
      <c r="CA101" s="1490"/>
      <c r="CB101" s="1490"/>
      <c r="CC101" s="1490"/>
      <c r="CD101" s="1490"/>
      <c r="CE101" s="1490"/>
      <c r="CF101" s="1490"/>
      <c r="CG101" s="1490"/>
      <c r="CH101" s="1490"/>
      <c r="CI101" s="1490"/>
      <c r="CJ101" s="1490"/>
      <c r="CK101" s="1490"/>
      <c r="CL101" s="1490"/>
      <c r="CM101" s="1490"/>
      <c r="CN101" s="1490"/>
      <c r="CO101" s="1490"/>
      <c r="CP101" s="1490"/>
      <c r="CQ101" s="1490"/>
      <c r="CR101" s="1490"/>
      <c r="CS101" s="1490"/>
      <c r="CT101" s="1490"/>
      <c r="CU101" s="1490"/>
      <c r="CV101" s="1490"/>
      <c r="CW101" s="1490"/>
      <c r="CX101" s="1490"/>
      <c r="CY101" s="1490"/>
      <c r="CZ101" s="1490"/>
      <c r="DA101" s="1490"/>
      <c r="DB101" s="1490"/>
      <c r="DC101" s="1490"/>
      <c r="DD101" s="1490"/>
      <c r="DE101" s="1490"/>
      <c r="DF101" s="1490"/>
      <c r="DH101" s="838">
        <f t="shared" si="234"/>
        <v>0</v>
      </c>
    </row>
    <row r="102" spans="1:112" s="1484" customFormat="1" ht="12.75" hidden="1" customHeight="1" outlineLevel="1">
      <c r="B102" s="1492"/>
      <c r="C102" s="522" t="s">
        <v>1013</v>
      </c>
      <c r="D102" s="521" t="str">
        <f>INDEX(Modules[Module], MATCH($C102, Modules[Code], 0))</f>
        <v>Fossil fuel transfers</v>
      </c>
      <c r="E102" s="521"/>
      <c r="F102" s="743"/>
      <c r="G102" s="963">
        <f t="shared" ref="G102:P102" ca="1" si="249">IFERROR(INDEX(INDIRECT($C102&amp;".Outputs["&amp;this.Year&amp;"]"), MATCH(G$5, INDIRECT($C102&amp;".Outputs[Vector]"), 0)), 0)</f>
        <v>0</v>
      </c>
      <c r="H102" s="963">
        <f t="shared" ca="1" si="249"/>
        <v>0</v>
      </c>
      <c r="I102" s="963">
        <f t="shared" ca="1" si="249"/>
        <v>0</v>
      </c>
      <c r="J102" s="963">
        <f t="shared" ca="1" si="249"/>
        <v>0</v>
      </c>
      <c r="K102" s="964">
        <f t="shared" ca="1" si="249"/>
        <v>0</v>
      </c>
      <c r="L102" s="963">
        <f t="shared" ca="1" si="249"/>
        <v>0</v>
      </c>
      <c r="M102" s="963">
        <f t="shared" ca="1" si="249"/>
        <v>0</v>
      </c>
      <c r="N102" s="963">
        <f t="shared" ca="1" si="249"/>
        <v>0</v>
      </c>
      <c r="O102" s="963">
        <f t="shared" ca="1" si="249"/>
        <v>0</v>
      </c>
      <c r="P102" s="963">
        <f t="shared" ca="1" si="249"/>
        <v>0</v>
      </c>
      <c r="Q102" s="1096">
        <f ca="1">SUM(G102:P102)</f>
        <v>0</v>
      </c>
      <c r="R102" s="743"/>
      <c r="S102" s="972">
        <f t="shared" ref="S102:AJ102" ca="1" si="250">IFERROR(INDEX(INDIRECT($C102&amp;".Outputs["&amp;this.Year&amp;"]"), MATCH(S$5, INDIRECT($C102&amp;".Outputs[Vector]"), 0)), 0)</f>
        <v>0</v>
      </c>
      <c r="T102" s="972">
        <f t="shared" ca="1" si="250"/>
        <v>0</v>
      </c>
      <c r="U102" s="972">
        <f t="shared" ca="1" si="250"/>
        <v>62.557413588660083</v>
      </c>
      <c r="V102" s="972">
        <f t="shared" ca="1" si="250"/>
        <v>795.10578931526902</v>
      </c>
      <c r="W102" s="972">
        <f t="shared" ca="1" si="250"/>
        <v>1527.9895529015321</v>
      </c>
      <c r="X102" s="972">
        <f t="shared" ca="1" si="250"/>
        <v>-62.557413588660083</v>
      </c>
      <c r="Y102" s="972">
        <f t="shared" ca="1" si="250"/>
        <v>-795.10578931526902</v>
      </c>
      <c r="Z102" s="972">
        <f t="shared" ca="1" si="250"/>
        <v>-1545.6001830162397</v>
      </c>
      <c r="AA102" s="972">
        <f t="shared" ca="1" si="250"/>
        <v>0</v>
      </c>
      <c r="AB102" s="972">
        <f t="shared" ca="1" si="250"/>
        <v>0</v>
      </c>
      <c r="AC102" s="972">
        <f t="shared" ca="1" si="250"/>
        <v>0</v>
      </c>
      <c r="AD102" s="972">
        <f t="shared" ca="1" si="250"/>
        <v>0</v>
      </c>
      <c r="AE102" s="972">
        <f t="shared" ca="1" si="250"/>
        <v>0</v>
      </c>
      <c r="AF102" s="972">
        <f t="shared" ca="1" si="250"/>
        <v>0</v>
      </c>
      <c r="AG102" s="972">
        <f t="shared" ca="1" si="250"/>
        <v>0</v>
      </c>
      <c r="AH102" s="972">
        <f t="shared" ca="1" si="250"/>
        <v>0</v>
      </c>
      <c r="AI102" s="972">
        <f t="shared" ca="1" si="250"/>
        <v>0</v>
      </c>
      <c r="AJ102" s="972">
        <f t="shared" ca="1" si="250"/>
        <v>0</v>
      </c>
      <c r="AK102" s="972">
        <f ca="1">SUM(S102:AJ102)</f>
        <v>-17.610630114707419</v>
      </c>
      <c r="AL102" s="743"/>
      <c r="AM102" s="979">
        <f t="shared" ref="AM102:BE102" ca="1" si="251">IFERROR(INDEX(INDIRECT($C102&amp;".Outputs["&amp;this.Year&amp;"]"), MATCH(AM$5, INDIRECT($C102&amp;".Outputs[Vector]"), 0)), 0)</f>
        <v>0</v>
      </c>
      <c r="AN102" s="979">
        <f t="shared" ca="1" si="251"/>
        <v>0</v>
      </c>
      <c r="AO102" s="979">
        <f t="shared" ca="1" si="251"/>
        <v>0</v>
      </c>
      <c r="AP102" s="979">
        <f t="shared" ca="1" si="251"/>
        <v>0</v>
      </c>
      <c r="AQ102" s="979">
        <f t="shared" ca="1" si="251"/>
        <v>0</v>
      </c>
      <c r="AR102" s="979">
        <f t="shared" ca="1" si="251"/>
        <v>0</v>
      </c>
      <c r="AS102" s="979">
        <f t="shared" ca="1" si="251"/>
        <v>0</v>
      </c>
      <c r="AT102" s="979">
        <f t="shared" ca="1" si="251"/>
        <v>0</v>
      </c>
      <c r="AU102" s="979">
        <f t="shared" ca="1" si="251"/>
        <v>0</v>
      </c>
      <c r="AV102" s="979">
        <f t="shared" ca="1" si="251"/>
        <v>0</v>
      </c>
      <c r="AW102" s="979">
        <f t="shared" ca="1" si="251"/>
        <v>0</v>
      </c>
      <c r="AX102" s="979">
        <f t="shared" ca="1" si="251"/>
        <v>0</v>
      </c>
      <c r="AY102" s="979">
        <f t="shared" ca="1" si="251"/>
        <v>0</v>
      </c>
      <c r="AZ102" s="979">
        <f t="shared" ca="1" si="251"/>
        <v>0</v>
      </c>
      <c r="BA102" s="979">
        <f t="shared" ca="1" si="251"/>
        <v>0</v>
      </c>
      <c r="BB102" s="979">
        <f t="shared" ca="1" si="251"/>
        <v>0</v>
      </c>
      <c r="BC102" s="979">
        <f t="shared" ca="1" si="251"/>
        <v>0</v>
      </c>
      <c r="BD102" s="979">
        <f t="shared" ca="1" si="251"/>
        <v>0</v>
      </c>
      <c r="BE102" s="979">
        <f t="shared" ca="1" si="251"/>
        <v>0</v>
      </c>
      <c r="BF102" s="979">
        <f ca="1">SUM(AM102:BE102)</f>
        <v>0</v>
      </c>
      <c r="BG102" s="743"/>
      <c r="BH102" s="992">
        <f ca="1">IFERROR(INDEX(INDIRECT($C102&amp;".Outputs["&amp;this.Year&amp;"]"), MATCH(BH$5, INDIRECT($C102&amp;".Outputs[Vector]"), 0)), 0)</f>
        <v>0</v>
      </c>
      <c r="BI102" s="992">
        <f ca="1">IFERROR(INDEX(INDIRECT($C102&amp;".Outputs["&amp;this.Year&amp;"]"), MATCH(BI$5, INDIRECT($C102&amp;".Outputs[Vector]"), 0)), 0)</f>
        <v>17.610630114707575</v>
      </c>
      <c r="BJ102" s="992">
        <f ca="1">SUM(BH102:BI102)</f>
        <v>17.610630114707575</v>
      </c>
      <c r="BK102" s="743"/>
      <c r="BL102" s="515">
        <f t="shared" ref="BL102:BL109" ca="1" si="252">Q102+AK102+BF102+BJ102</f>
        <v>1.5631940186722204E-13</v>
      </c>
      <c r="BM102" s="814"/>
      <c r="BO102" s="1481">
        <f t="shared" ref="BO102:BX103" ca="1" si="253">IFERROR(SUMIFS(INDIRECT($C102&amp;".Emissions["&amp;this.Year&amp;"]"), INDIRECT($C102&amp;".Emissions[GHG]"), BO$6, INDIRECT($C102&amp;".Emissions[IPCC Sector]"), BO$5),0)</f>
        <v>0</v>
      </c>
      <c r="BP102" s="1482">
        <f t="shared" ca="1" si="253"/>
        <v>0</v>
      </c>
      <c r="BQ102" s="1482">
        <f t="shared" ca="1" si="253"/>
        <v>0</v>
      </c>
      <c r="BR102" s="1482">
        <f t="shared" ca="1" si="253"/>
        <v>0</v>
      </c>
      <c r="BS102" s="1482">
        <f t="shared" ca="1" si="253"/>
        <v>0</v>
      </c>
      <c r="BT102" s="1482">
        <f t="shared" ca="1" si="253"/>
        <v>6.700390474771031</v>
      </c>
      <c r="BU102" s="1482">
        <f t="shared" ca="1" si="253"/>
        <v>0</v>
      </c>
      <c r="BV102" s="1482">
        <f t="shared" ca="1" si="253"/>
        <v>0</v>
      </c>
      <c r="BW102" s="1482">
        <f t="shared" ca="1" si="253"/>
        <v>0</v>
      </c>
      <c r="BX102" s="1482">
        <f t="shared" ca="1" si="253"/>
        <v>0</v>
      </c>
      <c r="BY102" s="1482">
        <f t="shared" ref="BY102:CH103" ca="1" si="254">IFERROR(SUMIFS(INDIRECT($C102&amp;".Emissions["&amp;this.Year&amp;"]"), INDIRECT($C102&amp;".Emissions[GHG]"), BY$6, INDIRECT($C102&amp;".Emissions[IPCC Sector]"), BY$5),0)</f>
        <v>0</v>
      </c>
      <c r="BZ102" s="1482">
        <f t="shared" ca="1" si="254"/>
        <v>0</v>
      </c>
      <c r="CA102" s="1482">
        <f t="shared" ca="1" si="254"/>
        <v>0</v>
      </c>
      <c r="CB102" s="1482">
        <f t="shared" ca="1" si="254"/>
        <v>0</v>
      </c>
      <c r="CC102" s="1482">
        <f t="shared" ca="1" si="254"/>
        <v>0</v>
      </c>
      <c r="CD102" s="1482">
        <f t="shared" ca="1" si="254"/>
        <v>0</v>
      </c>
      <c r="CE102" s="1482">
        <f t="shared" ca="1" si="254"/>
        <v>0</v>
      </c>
      <c r="CF102" s="1482">
        <f t="shared" ca="1" si="254"/>
        <v>0</v>
      </c>
      <c r="CG102" s="1482">
        <f t="shared" ca="1" si="254"/>
        <v>0</v>
      </c>
      <c r="CH102" s="1482">
        <f t="shared" ca="1" si="254"/>
        <v>0</v>
      </c>
      <c r="CI102" s="1482">
        <f t="shared" ref="CI102:CR103" ca="1" si="255">IFERROR(SUMIFS(INDIRECT($C102&amp;".Emissions["&amp;this.Year&amp;"]"), INDIRECT($C102&amp;".Emissions[GHG]"), CI$6, INDIRECT($C102&amp;".Emissions[IPCC Sector]"), CI$5),0)</f>
        <v>0</v>
      </c>
      <c r="CJ102" s="1482">
        <f t="shared" ca="1" si="255"/>
        <v>0</v>
      </c>
      <c r="CK102" s="1482">
        <f t="shared" ca="1" si="255"/>
        <v>0</v>
      </c>
      <c r="CL102" s="1482">
        <f t="shared" ca="1" si="255"/>
        <v>0</v>
      </c>
      <c r="CM102" s="1482">
        <f t="shared" ca="1" si="255"/>
        <v>0</v>
      </c>
      <c r="CN102" s="1482">
        <f t="shared" ca="1" si="255"/>
        <v>0</v>
      </c>
      <c r="CO102" s="1482">
        <f t="shared" ca="1" si="255"/>
        <v>0</v>
      </c>
      <c r="CP102" s="1482">
        <f t="shared" ca="1" si="255"/>
        <v>0</v>
      </c>
      <c r="CQ102" s="1482">
        <f t="shared" ca="1" si="255"/>
        <v>0</v>
      </c>
      <c r="CR102" s="1482">
        <f t="shared" ca="1" si="255"/>
        <v>0</v>
      </c>
      <c r="CS102" s="1482">
        <f t="shared" ref="CS102:DF103" ca="1" si="256">IFERROR(SUMIFS(INDIRECT($C102&amp;".Emissions["&amp;this.Year&amp;"]"), INDIRECT($C102&amp;".Emissions[GHG]"), CS$6, INDIRECT($C102&amp;".Emissions[IPCC Sector]"), CS$5),0)</f>
        <v>0</v>
      </c>
      <c r="CT102" s="1482">
        <f t="shared" ca="1" si="256"/>
        <v>0</v>
      </c>
      <c r="CU102" s="1482">
        <f t="shared" ca="1" si="256"/>
        <v>0</v>
      </c>
      <c r="CV102" s="1482">
        <f t="shared" ca="1" si="256"/>
        <v>0</v>
      </c>
      <c r="CW102" s="1482">
        <f t="shared" ca="1" si="256"/>
        <v>0</v>
      </c>
      <c r="CX102" s="1482">
        <f t="shared" ca="1" si="256"/>
        <v>0</v>
      </c>
      <c r="CY102" s="1482">
        <f t="shared" ca="1" si="256"/>
        <v>0</v>
      </c>
      <c r="CZ102" s="1482">
        <f t="shared" ca="1" si="256"/>
        <v>0</v>
      </c>
      <c r="DA102" s="1482">
        <f t="shared" ca="1" si="256"/>
        <v>0</v>
      </c>
      <c r="DB102" s="1482">
        <f t="shared" ca="1" si="256"/>
        <v>0</v>
      </c>
      <c r="DC102" s="1482">
        <f t="shared" ca="1" si="256"/>
        <v>0</v>
      </c>
      <c r="DD102" s="1482">
        <f t="shared" ca="1" si="256"/>
        <v>0</v>
      </c>
      <c r="DE102" s="1482">
        <f t="shared" ca="1" si="256"/>
        <v>0</v>
      </c>
      <c r="DF102" s="1482">
        <f t="shared" ca="1" si="256"/>
        <v>0</v>
      </c>
      <c r="DH102" s="838">
        <f t="shared" ca="1" si="234"/>
        <v>6.700390474771031</v>
      </c>
    </row>
    <row r="103" spans="1:112" s="1484" customFormat="1" ht="12.75" hidden="1" customHeight="1" outlineLevel="1">
      <c r="B103" s="1492" t="s">
        <v>798</v>
      </c>
      <c r="C103" s="522" t="s">
        <v>1014</v>
      </c>
      <c r="D103" s="1010" t="str">
        <f>INDEX(Modules[Module], MATCH($C103, Modules[Code], 0))</f>
        <v>Balancing imports</v>
      </c>
      <c r="E103" s="1010"/>
      <c r="F103" s="743"/>
      <c r="G103" s="1102"/>
      <c r="H103" s="1102"/>
      <c r="I103" s="1102"/>
      <c r="J103" s="1102"/>
      <c r="K103" s="1103"/>
      <c r="L103" s="1102"/>
      <c r="M103" s="1102"/>
      <c r="N103" s="1102"/>
      <c r="O103" s="1102"/>
      <c r="P103" s="1102"/>
      <c r="Q103" s="1104">
        <f>SUM(G103:P103)</f>
        <v>0</v>
      </c>
      <c r="R103" s="743"/>
      <c r="S103" s="1105"/>
      <c r="T103" s="1105">
        <f ca="1">-(T$101+S$101)</f>
        <v>-5.6843418860808015E-14</v>
      </c>
      <c r="U103" s="1105"/>
      <c r="V103" s="1105"/>
      <c r="W103" s="1105"/>
      <c r="X103" s="1105">
        <f ca="1">-(X$40+X$84+X$93+X$99+X$102)</f>
        <v>-144.70114825329688</v>
      </c>
      <c r="Y103" s="1105">
        <f ca="1">-(Y$40+Y$84+Y$93+Y$99+Y$102)</f>
        <v>530.5143997544626</v>
      </c>
      <c r="Z103" s="1105">
        <f ca="1">-(Z$40+Z$84+Z$93+Z$99+Z$102)</f>
        <v>1342.938716834901</v>
      </c>
      <c r="AA103" s="1105"/>
      <c r="AB103" s="1105"/>
      <c r="AC103" s="1105"/>
      <c r="AD103" s="1105"/>
      <c r="AE103" s="1105"/>
      <c r="AF103" s="1105"/>
      <c r="AG103" s="1105"/>
      <c r="AH103" s="1105"/>
      <c r="AI103" s="1105"/>
      <c r="AJ103" s="1105"/>
      <c r="AK103" s="1105">
        <f ca="1">SUM(S103:AJ103)</f>
        <v>1728.7519683360667</v>
      </c>
      <c r="AL103" s="743"/>
      <c r="AM103" s="1012"/>
      <c r="AN103" s="1012"/>
      <c r="AO103" s="1012"/>
      <c r="AP103" s="1012"/>
      <c r="AQ103" s="1012">
        <f ca="1">-T103</f>
        <v>5.6843418860808015E-14</v>
      </c>
      <c r="AR103" s="1012">
        <f>-V103</f>
        <v>0</v>
      </c>
      <c r="AS103" s="1012">
        <f ca="1">-X103</f>
        <v>144.70114825329688</v>
      </c>
      <c r="AT103" s="1012">
        <f ca="1">-Y103</f>
        <v>-530.5143997544626</v>
      </c>
      <c r="AU103" s="1012">
        <f ca="1">-Z103</f>
        <v>-1342.938716834901</v>
      </c>
      <c r="AV103" s="1012"/>
      <c r="AW103" s="1012"/>
      <c r="AX103" s="1012"/>
      <c r="AY103" s="1012"/>
      <c r="AZ103" s="1012"/>
      <c r="BA103" s="1012"/>
      <c r="BB103" s="1012"/>
      <c r="BC103" s="1012"/>
      <c r="BD103" s="1012"/>
      <c r="BE103" s="1012"/>
      <c r="BF103" s="1012">
        <f ca="1">SUM(AM103:BE103)</f>
        <v>-1728.7519683360667</v>
      </c>
      <c r="BG103" s="743"/>
      <c r="BH103" s="1106"/>
      <c r="BI103" s="1106"/>
      <c r="BJ103" s="1106">
        <f>SUM(BH103:BI103)</f>
        <v>0</v>
      </c>
      <c r="BK103" s="743"/>
      <c r="BL103" s="515">
        <f t="shared" ca="1" si="252"/>
        <v>0</v>
      </c>
      <c r="BM103" s="814"/>
      <c r="BO103" s="1485">
        <f t="shared" ca="1" si="253"/>
        <v>0</v>
      </c>
      <c r="BP103" s="1486">
        <f t="shared" ca="1" si="253"/>
        <v>0</v>
      </c>
      <c r="BQ103" s="1486">
        <f t="shared" ca="1" si="253"/>
        <v>0</v>
      </c>
      <c r="BR103" s="1486">
        <f t="shared" ca="1" si="253"/>
        <v>0</v>
      </c>
      <c r="BS103" s="1486">
        <f t="shared" ca="1" si="253"/>
        <v>0</v>
      </c>
      <c r="BT103" s="1486">
        <f t="shared" ca="1" si="253"/>
        <v>0</v>
      </c>
      <c r="BU103" s="1486">
        <f t="shared" ca="1" si="253"/>
        <v>0</v>
      </c>
      <c r="BV103" s="1486">
        <f t="shared" ca="1" si="253"/>
        <v>0</v>
      </c>
      <c r="BW103" s="1486">
        <f t="shared" ca="1" si="253"/>
        <v>0</v>
      </c>
      <c r="BX103" s="1486">
        <f t="shared" ca="1" si="253"/>
        <v>0</v>
      </c>
      <c r="BY103" s="1486">
        <f t="shared" ca="1" si="254"/>
        <v>0</v>
      </c>
      <c r="BZ103" s="1486">
        <f t="shared" ca="1" si="254"/>
        <v>0</v>
      </c>
      <c r="CA103" s="1486">
        <f t="shared" ca="1" si="254"/>
        <v>0</v>
      </c>
      <c r="CB103" s="1486">
        <f t="shared" ca="1" si="254"/>
        <v>0</v>
      </c>
      <c r="CC103" s="1486">
        <f t="shared" ca="1" si="254"/>
        <v>0</v>
      </c>
      <c r="CD103" s="1486">
        <f t="shared" ca="1" si="254"/>
        <v>0</v>
      </c>
      <c r="CE103" s="1486">
        <f t="shared" ca="1" si="254"/>
        <v>0</v>
      </c>
      <c r="CF103" s="1486">
        <f t="shared" ca="1" si="254"/>
        <v>0</v>
      </c>
      <c r="CG103" s="1486">
        <f t="shared" ca="1" si="254"/>
        <v>0</v>
      </c>
      <c r="CH103" s="1486">
        <f t="shared" ca="1" si="254"/>
        <v>0</v>
      </c>
      <c r="CI103" s="1486">
        <f t="shared" ca="1" si="255"/>
        <v>0</v>
      </c>
      <c r="CJ103" s="1486">
        <f t="shared" ca="1" si="255"/>
        <v>0</v>
      </c>
      <c r="CK103" s="1486">
        <f t="shared" ca="1" si="255"/>
        <v>0</v>
      </c>
      <c r="CL103" s="1486">
        <f t="shared" ca="1" si="255"/>
        <v>0</v>
      </c>
      <c r="CM103" s="1486">
        <f t="shared" ca="1" si="255"/>
        <v>0</v>
      </c>
      <c r="CN103" s="1486">
        <f t="shared" ca="1" si="255"/>
        <v>0</v>
      </c>
      <c r="CO103" s="1486">
        <f t="shared" ca="1" si="255"/>
        <v>0</v>
      </c>
      <c r="CP103" s="1486">
        <f t="shared" ca="1" si="255"/>
        <v>0</v>
      </c>
      <c r="CQ103" s="1486">
        <f t="shared" ca="1" si="255"/>
        <v>0</v>
      </c>
      <c r="CR103" s="1486">
        <f t="shared" ca="1" si="255"/>
        <v>0</v>
      </c>
      <c r="CS103" s="1486">
        <f t="shared" ca="1" si="256"/>
        <v>0</v>
      </c>
      <c r="CT103" s="1486">
        <f t="shared" ca="1" si="256"/>
        <v>0</v>
      </c>
      <c r="CU103" s="1486">
        <f t="shared" ca="1" si="256"/>
        <v>0</v>
      </c>
      <c r="CV103" s="1486">
        <f t="shared" ca="1" si="256"/>
        <v>0</v>
      </c>
      <c r="CW103" s="1486">
        <f t="shared" ca="1" si="256"/>
        <v>0</v>
      </c>
      <c r="CX103" s="1486">
        <f t="shared" ca="1" si="256"/>
        <v>0</v>
      </c>
      <c r="CY103" s="1486">
        <f t="shared" ca="1" si="256"/>
        <v>0</v>
      </c>
      <c r="CZ103" s="1486">
        <f t="shared" ca="1" si="256"/>
        <v>0</v>
      </c>
      <c r="DA103" s="1486">
        <f t="shared" ca="1" si="256"/>
        <v>0</v>
      </c>
      <c r="DB103" s="1486">
        <f t="shared" ca="1" si="256"/>
        <v>0</v>
      </c>
      <c r="DC103" s="1486">
        <f t="shared" ca="1" si="256"/>
        <v>0</v>
      </c>
      <c r="DD103" s="1486">
        <f t="shared" ca="1" si="256"/>
        <v>0</v>
      </c>
      <c r="DE103" s="1486">
        <f t="shared" ca="1" si="256"/>
        <v>0</v>
      </c>
      <c r="DF103" s="1486">
        <f t="shared" ca="1" si="256"/>
        <v>0</v>
      </c>
      <c r="DH103" s="838">
        <f t="shared" ca="1" si="234"/>
        <v>0</v>
      </c>
    </row>
    <row r="104" spans="1:112" s="743" customFormat="1" ht="15.75" collapsed="1">
      <c r="B104" s="753" t="s">
        <v>798</v>
      </c>
      <c r="C104" s="516" t="s">
        <v>1012</v>
      </c>
      <c r="D104" s="517" t="str">
        <f>INDEX(Workstreams[Workstream], MATCH($C104, Workstreams[Code], 0))</f>
        <v>Transfers</v>
      </c>
      <c r="E104" s="509"/>
      <c r="G104" s="1021">
        <f ca="1">SUM(G102:G103)</f>
        <v>0</v>
      </c>
      <c r="H104" s="1021">
        <f t="shared" ref="H104:P104" ca="1" si="257">SUM(H102:H103)</f>
        <v>0</v>
      </c>
      <c r="I104" s="1021">
        <f t="shared" ca="1" si="257"/>
        <v>0</v>
      </c>
      <c r="J104" s="1021">
        <f t="shared" ca="1" si="257"/>
        <v>0</v>
      </c>
      <c r="K104" s="1021">
        <f t="shared" ca="1" si="257"/>
        <v>0</v>
      </c>
      <c r="L104" s="1021">
        <f t="shared" ca="1" si="257"/>
        <v>0</v>
      </c>
      <c r="M104" s="1021">
        <f t="shared" ca="1" si="257"/>
        <v>0</v>
      </c>
      <c r="N104" s="1021">
        <f t="shared" ca="1" si="257"/>
        <v>0</v>
      </c>
      <c r="O104" s="1021">
        <f t="shared" ca="1" si="257"/>
        <v>0</v>
      </c>
      <c r="P104" s="1021">
        <f t="shared" ca="1" si="257"/>
        <v>0</v>
      </c>
      <c r="Q104" s="1021">
        <f ca="1">SUM(G104:P104)</f>
        <v>0</v>
      </c>
      <c r="S104" s="970">
        <f t="shared" ref="S104:AJ104" ca="1" si="258">SUM(S102:S103)</f>
        <v>0</v>
      </c>
      <c r="T104" s="970">
        <f t="shared" ca="1" si="258"/>
        <v>-5.6843418860808015E-14</v>
      </c>
      <c r="U104" s="970">
        <f t="shared" ca="1" si="258"/>
        <v>62.557413588660083</v>
      </c>
      <c r="V104" s="970">
        <f t="shared" ca="1" si="258"/>
        <v>795.10578931526902</v>
      </c>
      <c r="W104" s="970">
        <f t="shared" ca="1" si="258"/>
        <v>1527.9895529015321</v>
      </c>
      <c r="X104" s="970">
        <f t="shared" ca="1" si="258"/>
        <v>-207.25856184195698</v>
      </c>
      <c r="Y104" s="970">
        <f t="shared" ca="1" si="258"/>
        <v>-264.59138956080642</v>
      </c>
      <c r="Z104" s="970">
        <f t="shared" ca="1" si="258"/>
        <v>-202.66146618133871</v>
      </c>
      <c r="AA104" s="970">
        <f t="shared" ca="1" si="258"/>
        <v>0</v>
      </c>
      <c r="AB104" s="970">
        <f t="shared" ca="1" si="258"/>
        <v>0</v>
      </c>
      <c r="AC104" s="970">
        <f t="shared" ca="1" si="258"/>
        <v>0</v>
      </c>
      <c r="AD104" s="970">
        <f ca="1">SUM(AD102:AD103)</f>
        <v>0</v>
      </c>
      <c r="AE104" s="970">
        <f ca="1">SUM(AE102:AE103)</f>
        <v>0</v>
      </c>
      <c r="AF104" s="970">
        <f t="shared" ca="1" si="258"/>
        <v>0</v>
      </c>
      <c r="AG104" s="970">
        <f ca="1">SUM(AG102:AG103)</f>
        <v>0</v>
      </c>
      <c r="AH104" s="970">
        <f ca="1">SUM(AH102:AH103)</f>
        <v>0</v>
      </c>
      <c r="AI104" s="970">
        <f ca="1">SUM(AI102:AI103)</f>
        <v>0</v>
      </c>
      <c r="AJ104" s="970">
        <f t="shared" ca="1" si="258"/>
        <v>0</v>
      </c>
      <c r="AK104" s="970">
        <f ca="1">SUM(S104:AJ104)</f>
        <v>1711.1413382213591</v>
      </c>
      <c r="AM104" s="976">
        <f t="shared" ref="AM104:BE104" ca="1" si="259">SUM(AM102:AM103)</f>
        <v>0</v>
      </c>
      <c r="AN104" s="976">
        <f t="shared" ca="1" si="259"/>
        <v>0</v>
      </c>
      <c r="AO104" s="976">
        <f t="shared" ca="1" si="259"/>
        <v>0</v>
      </c>
      <c r="AP104" s="976">
        <f t="shared" ca="1" si="259"/>
        <v>0</v>
      </c>
      <c r="AQ104" s="976">
        <f t="shared" ca="1" si="259"/>
        <v>5.6843418860808015E-14</v>
      </c>
      <c r="AR104" s="976">
        <f t="shared" ca="1" si="259"/>
        <v>0</v>
      </c>
      <c r="AS104" s="976">
        <f t="shared" ca="1" si="259"/>
        <v>144.70114825329688</v>
      </c>
      <c r="AT104" s="976">
        <f t="shared" ca="1" si="259"/>
        <v>-530.5143997544626</v>
      </c>
      <c r="AU104" s="976">
        <f t="shared" ca="1" si="259"/>
        <v>-1342.938716834901</v>
      </c>
      <c r="AV104" s="976">
        <f t="shared" ca="1" si="259"/>
        <v>0</v>
      </c>
      <c r="AW104" s="976">
        <f t="shared" ca="1" si="259"/>
        <v>0</v>
      </c>
      <c r="AX104" s="976">
        <f t="shared" ca="1" si="259"/>
        <v>0</v>
      </c>
      <c r="AY104" s="976">
        <f t="shared" ca="1" si="259"/>
        <v>0</v>
      </c>
      <c r="AZ104" s="976">
        <f t="shared" ca="1" si="259"/>
        <v>0</v>
      </c>
      <c r="BA104" s="976">
        <f t="shared" ca="1" si="259"/>
        <v>0</v>
      </c>
      <c r="BB104" s="976">
        <f t="shared" ca="1" si="259"/>
        <v>0</v>
      </c>
      <c r="BC104" s="976">
        <f t="shared" ca="1" si="259"/>
        <v>0</v>
      </c>
      <c r="BD104" s="976">
        <f t="shared" ca="1" si="259"/>
        <v>0</v>
      </c>
      <c r="BE104" s="976">
        <f t="shared" ca="1" si="259"/>
        <v>0</v>
      </c>
      <c r="BF104" s="976">
        <f ca="1">SUM(AM104:BE104)</f>
        <v>-1728.7519683360667</v>
      </c>
      <c r="BH104" s="990">
        <f ca="1">SUM(BH102:BH103)</f>
        <v>0</v>
      </c>
      <c r="BI104" s="990">
        <f ca="1">SUM(BI102:BI103)</f>
        <v>17.610630114707575</v>
      </c>
      <c r="BJ104" s="990">
        <f ca="1">SUM(BH104:BI104)</f>
        <v>17.610630114707575</v>
      </c>
      <c r="BL104" s="515">
        <f t="shared" ca="1" si="252"/>
        <v>-7.1054273576010019E-14</v>
      </c>
      <c r="BM104" s="515"/>
      <c r="BN104" s="840"/>
      <c r="BO104" s="1482">
        <f t="shared" ref="BO104:DF104" ca="1" si="260">SUM(BO102:BO103)</f>
        <v>0</v>
      </c>
      <c r="BP104" s="1482">
        <f t="shared" ca="1" si="260"/>
        <v>0</v>
      </c>
      <c r="BQ104" s="1482">
        <f t="shared" ca="1" si="260"/>
        <v>0</v>
      </c>
      <c r="BR104" s="1482">
        <f t="shared" ca="1" si="260"/>
        <v>0</v>
      </c>
      <c r="BS104" s="1482">
        <f t="shared" ca="1" si="260"/>
        <v>0</v>
      </c>
      <c r="BT104" s="1482">
        <f t="shared" ca="1" si="260"/>
        <v>6.700390474771031</v>
      </c>
      <c r="BU104" s="1482">
        <f t="shared" ca="1" si="260"/>
        <v>0</v>
      </c>
      <c r="BV104" s="1482">
        <f t="shared" ca="1" si="260"/>
        <v>0</v>
      </c>
      <c r="BW104" s="1482">
        <f t="shared" ca="1" si="260"/>
        <v>0</v>
      </c>
      <c r="BX104" s="1482">
        <f t="shared" ca="1" si="260"/>
        <v>0</v>
      </c>
      <c r="BY104" s="1482">
        <f t="shared" ca="1" si="260"/>
        <v>0</v>
      </c>
      <c r="BZ104" s="1482">
        <f t="shared" ca="1" si="260"/>
        <v>0</v>
      </c>
      <c r="CA104" s="1482">
        <f t="shared" ca="1" si="260"/>
        <v>0</v>
      </c>
      <c r="CB104" s="1482">
        <f t="shared" ca="1" si="260"/>
        <v>0</v>
      </c>
      <c r="CC104" s="1482">
        <f t="shared" ca="1" si="260"/>
        <v>0</v>
      </c>
      <c r="CD104" s="1482">
        <f t="shared" ca="1" si="260"/>
        <v>0</v>
      </c>
      <c r="CE104" s="1482">
        <f t="shared" ca="1" si="260"/>
        <v>0</v>
      </c>
      <c r="CF104" s="1482">
        <f t="shared" ca="1" si="260"/>
        <v>0</v>
      </c>
      <c r="CG104" s="1482">
        <f t="shared" ca="1" si="260"/>
        <v>0</v>
      </c>
      <c r="CH104" s="1482">
        <f t="shared" ca="1" si="260"/>
        <v>0</v>
      </c>
      <c r="CI104" s="1482">
        <f t="shared" ca="1" si="260"/>
        <v>0</v>
      </c>
      <c r="CJ104" s="1482">
        <f t="shared" ca="1" si="260"/>
        <v>0</v>
      </c>
      <c r="CK104" s="1482">
        <f t="shared" ca="1" si="260"/>
        <v>0</v>
      </c>
      <c r="CL104" s="1482">
        <f t="shared" ca="1" si="260"/>
        <v>0</v>
      </c>
      <c r="CM104" s="1482">
        <f t="shared" ca="1" si="260"/>
        <v>0</v>
      </c>
      <c r="CN104" s="1482">
        <f t="shared" ca="1" si="260"/>
        <v>0</v>
      </c>
      <c r="CO104" s="1482">
        <f t="shared" ca="1" si="260"/>
        <v>0</v>
      </c>
      <c r="CP104" s="1482">
        <f t="shared" ca="1" si="260"/>
        <v>0</v>
      </c>
      <c r="CQ104" s="1482">
        <f t="shared" ca="1" si="260"/>
        <v>0</v>
      </c>
      <c r="CR104" s="1482">
        <f t="shared" ca="1" si="260"/>
        <v>0</v>
      </c>
      <c r="CS104" s="1482">
        <f t="shared" ca="1" si="260"/>
        <v>0</v>
      </c>
      <c r="CT104" s="1482">
        <f t="shared" ca="1" si="260"/>
        <v>0</v>
      </c>
      <c r="CU104" s="1482">
        <f t="shared" ca="1" si="260"/>
        <v>0</v>
      </c>
      <c r="CV104" s="1482">
        <f t="shared" ca="1" si="260"/>
        <v>0</v>
      </c>
      <c r="CW104" s="1482">
        <f t="shared" ca="1" si="260"/>
        <v>0</v>
      </c>
      <c r="CX104" s="1482">
        <f t="shared" ca="1" si="260"/>
        <v>0</v>
      </c>
      <c r="CY104" s="1482">
        <f t="shared" ca="1" si="260"/>
        <v>0</v>
      </c>
      <c r="CZ104" s="1482">
        <f t="shared" ca="1" si="260"/>
        <v>0</v>
      </c>
      <c r="DA104" s="1482">
        <f t="shared" ca="1" si="260"/>
        <v>0</v>
      </c>
      <c r="DB104" s="1482">
        <f t="shared" ca="1" si="260"/>
        <v>0</v>
      </c>
      <c r="DC104" s="1482">
        <f t="shared" ca="1" si="260"/>
        <v>0</v>
      </c>
      <c r="DD104" s="1482">
        <f t="shared" ca="1" si="260"/>
        <v>0</v>
      </c>
      <c r="DE104" s="1482">
        <f t="shared" ca="1" si="260"/>
        <v>0</v>
      </c>
      <c r="DF104" s="1482">
        <f t="shared" ca="1" si="260"/>
        <v>0</v>
      </c>
      <c r="DH104" s="838">
        <f t="shared" ca="1" si="234"/>
        <v>6.700390474771031</v>
      </c>
    </row>
    <row r="105" spans="1:112" s="743" customFormat="1" ht="6" customHeight="1">
      <c r="C105" s="508"/>
      <c r="D105" s="509"/>
      <c r="E105" s="509"/>
      <c r="G105" s="958"/>
      <c r="H105" s="958"/>
      <c r="I105" s="958"/>
      <c r="J105" s="958"/>
      <c r="K105" s="960"/>
      <c r="L105" s="958"/>
      <c r="M105" s="958"/>
      <c r="N105" s="958"/>
      <c r="O105" s="958"/>
      <c r="P105" s="958"/>
      <c r="Q105" s="958"/>
      <c r="S105" s="970"/>
      <c r="T105" s="970"/>
      <c r="U105" s="970"/>
      <c r="V105" s="970"/>
      <c r="W105" s="970"/>
      <c r="X105" s="970"/>
      <c r="Y105" s="970"/>
      <c r="Z105" s="970"/>
      <c r="AA105" s="970"/>
      <c r="AB105" s="970"/>
      <c r="AC105" s="970"/>
      <c r="AD105" s="970"/>
      <c r="AE105" s="970"/>
      <c r="AF105" s="970"/>
      <c r="AG105" s="970"/>
      <c r="AH105" s="970"/>
      <c r="AI105" s="970"/>
      <c r="AJ105" s="970"/>
      <c r="AK105" s="970"/>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H105" s="990"/>
      <c r="BI105" s="990"/>
      <c r="BJ105" s="990"/>
      <c r="BL105" s="515">
        <f t="shared" si="252"/>
        <v>0</v>
      </c>
      <c r="BM105" s="515"/>
      <c r="BO105" s="1482"/>
      <c r="BP105" s="1482"/>
      <c r="BQ105" s="1482"/>
      <c r="BR105" s="1482"/>
      <c r="BS105" s="1482"/>
      <c r="BT105" s="1482"/>
      <c r="BU105" s="1482"/>
      <c r="BV105" s="1482"/>
      <c r="BW105" s="1482"/>
      <c r="BX105" s="1482"/>
      <c r="BY105" s="1482"/>
      <c r="BZ105" s="1482"/>
      <c r="CA105" s="1482"/>
      <c r="CB105" s="1482"/>
      <c r="CC105" s="1482"/>
      <c r="CD105" s="1482"/>
      <c r="CE105" s="1482"/>
      <c r="CF105" s="1482"/>
      <c r="CG105" s="1482"/>
      <c r="CH105" s="1482"/>
      <c r="CI105" s="1482"/>
      <c r="CJ105" s="1482"/>
      <c r="CK105" s="1482"/>
      <c r="CL105" s="1482"/>
      <c r="CM105" s="1482"/>
      <c r="CN105" s="1482"/>
      <c r="CO105" s="1482"/>
      <c r="CP105" s="1482"/>
      <c r="CQ105" s="1482"/>
      <c r="CR105" s="1482"/>
      <c r="CS105" s="1482"/>
      <c r="CT105" s="1482"/>
      <c r="CU105" s="1482"/>
      <c r="CV105" s="1482"/>
      <c r="CW105" s="1482"/>
      <c r="CX105" s="1482"/>
      <c r="CY105" s="1482"/>
      <c r="CZ105" s="1482"/>
      <c r="DA105" s="1482"/>
      <c r="DB105" s="1482"/>
      <c r="DC105" s="1482"/>
      <c r="DD105" s="1482"/>
      <c r="DE105" s="1482"/>
      <c r="DF105" s="1482"/>
      <c r="DH105" s="838"/>
    </row>
    <row r="106" spans="1:112" s="743" customFormat="1" ht="15.75">
      <c r="B106" s="753"/>
      <c r="C106" s="2051" t="s">
        <v>1817</v>
      </c>
      <c r="D106" s="643" t="s">
        <v>1016</v>
      </c>
      <c r="E106" s="644"/>
      <c r="G106" s="1075">
        <f t="shared" ref="G106:P106" ca="1" si="261">G$93+G$99+G$104</f>
        <v>0</v>
      </c>
      <c r="H106" s="1075">
        <f t="shared" ca="1" si="261"/>
        <v>0</v>
      </c>
      <c r="I106" s="1075">
        <f t="shared" ca="1" si="261"/>
        <v>0</v>
      </c>
      <c r="J106" s="1075">
        <f t="shared" ca="1" si="261"/>
        <v>0</v>
      </c>
      <c r="K106" s="1076">
        <f t="shared" ca="1" si="261"/>
        <v>0</v>
      </c>
      <c r="L106" s="1075">
        <f t="shared" ca="1" si="261"/>
        <v>0</v>
      </c>
      <c r="M106" s="1075">
        <f t="shared" ca="1" si="261"/>
        <v>0</v>
      </c>
      <c r="N106" s="1075">
        <f t="shared" ca="1" si="261"/>
        <v>0</v>
      </c>
      <c r="O106" s="1075">
        <f t="shared" ca="1" si="261"/>
        <v>0</v>
      </c>
      <c r="P106" s="1075">
        <f t="shared" ca="1" si="261"/>
        <v>0</v>
      </c>
      <c r="Q106" s="1023">
        <f ca="1">SUM(G106:P106)</f>
        <v>0</v>
      </c>
      <c r="S106" s="1014">
        <f t="shared" ref="S106:AJ106" ca="1" si="262">S$93+S$99+S$104</f>
        <v>0</v>
      </c>
      <c r="T106" s="1014">
        <f t="shared" ca="1" si="262"/>
        <v>-30.721572252964847</v>
      </c>
      <c r="U106" s="1014">
        <f t="shared" ca="1" si="262"/>
        <v>112.77604091444439</v>
      </c>
      <c r="V106" s="1014">
        <f t="shared" ca="1" si="262"/>
        <v>822.03472350219511</v>
      </c>
      <c r="W106" s="1014">
        <f t="shared" ca="1" si="262"/>
        <v>1581.4937216745529</v>
      </c>
      <c r="X106" s="1014">
        <f t="shared" ca="1" si="262"/>
        <v>-207.25856184195698</v>
      </c>
      <c r="Y106" s="1014">
        <f t="shared" ca="1" si="262"/>
        <v>-264.59138956080642</v>
      </c>
      <c r="Z106" s="1014">
        <f t="shared" ca="1" si="262"/>
        <v>-202.66146618133871</v>
      </c>
      <c r="AA106" s="1014">
        <f t="shared" ca="1" si="262"/>
        <v>0</v>
      </c>
      <c r="AB106" s="1014">
        <f t="shared" ca="1" si="262"/>
        <v>0</v>
      </c>
      <c r="AC106" s="1014">
        <f t="shared" ca="1" si="262"/>
        <v>0</v>
      </c>
      <c r="AD106" s="1014">
        <f t="shared" ca="1" si="262"/>
        <v>-41.568038881692388</v>
      </c>
      <c r="AE106" s="1014">
        <f t="shared" ca="1" si="262"/>
        <v>-1.4946016514365559</v>
      </c>
      <c r="AF106" s="1014">
        <f t="shared" ca="1" si="262"/>
        <v>-54.094544573868873</v>
      </c>
      <c r="AG106" s="1014">
        <f t="shared" ca="1" si="262"/>
        <v>-45.412460545409857</v>
      </c>
      <c r="AH106" s="1014">
        <f t="shared" ca="1" si="262"/>
        <v>-17.17420033669308</v>
      </c>
      <c r="AI106" s="1014">
        <f t="shared" ca="1" si="262"/>
        <v>0</v>
      </c>
      <c r="AJ106" s="1014">
        <f t="shared" ca="1" si="262"/>
        <v>0</v>
      </c>
      <c r="AK106" s="1014">
        <f ca="1">SUM(S106:AJ106)</f>
        <v>1651.3276502650247</v>
      </c>
      <c r="AM106" s="1015">
        <f t="shared" ref="AM106:BE106" ca="1" si="263">AM$93+AM$99+AM$104</f>
        <v>0</v>
      </c>
      <c r="AN106" s="1015">
        <f t="shared" ca="1" si="263"/>
        <v>0</v>
      </c>
      <c r="AO106" s="1015">
        <f t="shared" ca="1" si="263"/>
        <v>0</v>
      </c>
      <c r="AP106" s="1015">
        <f t="shared" ca="1" si="263"/>
        <v>-1.3956</v>
      </c>
      <c r="AQ106" s="1015">
        <f t="shared" ca="1" si="263"/>
        <v>5.6843418860808015E-14</v>
      </c>
      <c r="AR106" s="1015">
        <f t="shared" ca="1" si="263"/>
        <v>0</v>
      </c>
      <c r="AS106" s="1015">
        <f t="shared" ca="1" si="263"/>
        <v>144.70114825329688</v>
      </c>
      <c r="AT106" s="1015">
        <f t="shared" ca="1" si="263"/>
        <v>-530.5143997544626</v>
      </c>
      <c r="AU106" s="1015">
        <f t="shared" ca="1" si="263"/>
        <v>-1342.938716834901</v>
      </c>
      <c r="AV106" s="1015">
        <f t="shared" ca="1" si="263"/>
        <v>0</v>
      </c>
      <c r="AW106" s="1015">
        <f t="shared" ca="1" si="263"/>
        <v>0</v>
      </c>
      <c r="AX106" s="1015">
        <f t="shared" ca="1" si="263"/>
        <v>0</v>
      </c>
      <c r="AY106" s="1015">
        <f t="shared" ca="1" si="263"/>
        <v>0</v>
      </c>
      <c r="AZ106" s="1015">
        <f t="shared" ca="1" si="263"/>
        <v>0</v>
      </c>
      <c r="BA106" s="1015">
        <f t="shared" ca="1" si="263"/>
        <v>0</v>
      </c>
      <c r="BB106" s="1015">
        <f t="shared" ca="1" si="263"/>
        <v>0</v>
      </c>
      <c r="BC106" s="1015">
        <f t="shared" ca="1" si="263"/>
        <v>0</v>
      </c>
      <c r="BD106" s="1015">
        <f t="shared" ca="1" si="263"/>
        <v>0</v>
      </c>
      <c r="BE106" s="1015">
        <f t="shared" ca="1" si="263"/>
        <v>0</v>
      </c>
      <c r="BF106" s="1015">
        <f ca="1">SUM(AM106:BE106)</f>
        <v>-1730.1475683360668</v>
      </c>
      <c r="BH106" s="1016">
        <f ca="1">BH$93+BH$99+BH$104</f>
        <v>30.487715703369361</v>
      </c>
      <c r="BI106" s="1016">
        <f ca="1">BI$93+BI$99+BI$104</f>
        <v>48.332202367672345</v>
      </c>
      <c r="BJ106" s="1016">
        <f ca="1">SUM(BH106:BI106)</f>
        <v>78.819918071041712</v>
      </c>
      <c r="BL106" s="518">
        <f t="shared" ca="1" si="252"/>
        <v>-4.2632564145606011E-13</v>
      </c>
      <c r="BM106" s="518"/>
      <c r="BO106" s="1487">
        <f t="shared" ref="BO106:DE106" ca="1" si="264">BO$93+BO$99+BO$104</f>
        <v>0</v>
      </c>
      <c r="BP106" s="1487">
        <f t="shared" ca="1" si="264"/>
        <v>0</v>
      </c>
      <c r="BQ106" s="1487">
        <f t="shared" ca="1" si="264"/>
        <v>0</v>
      </c>
      <c r="BR106" s="1487">
        <f t="shared" ca="1" si="264"/>
        <v>0</v>
      </c>
      <c r="BS106" s="1487">
        <f t="shared" ca="1" si="264"/>
        <v>0</v>
      </c>
      <c r="BT106" s="1487">
        <f t="shared" ca="1" si="264"/>
        <v>6.700390474771031</v>
      </c>
      <c r="BU106" s="1487">
        <f t="shared" ca="1" si="264"/>
        <v>0</v>
      </c>
      <c r="BV106" s="1487">
        <f t="shared" ca="1" si="264"/>
        <v>0</v>
      </c>
      <c r="BW106" s="1487">
        <f t="shared" ca="1" si="264"/>
        <v>0</v>
      </c>
      <c r="BX106" s="1487">
        <f t="shared" ca="1" si="264"/>
        <v>0</v>
      </c>
      <c r="BY106" s="1487">
        <f t="shared" ca="1" si="264"/>
        <v>0</v>
      </c>
      <c r="BZ106" s="1487">
        <f t="shared" ca="1" si="264"/>
        <v>0</v>
      </c>
      <c r="CA106" s="1487">
        <f t="shared" ca="1" si="264"/>
        <v>0</v>
      </c>
      <c r="CB106" s="1487">
        <f t="shared" ca="1" si="264"/>
        <v>0</v>
      </c>
      <c r="CC106" s="1487">
        <f t="shared" ca="1" si="264"/>
        <v>0</v>
      </c>
      <c r="CD106" s="1487">
        <f t="shared" ca="1" si="264"/>
        <v>0</v>
      </c>
      <c r="CE106" s="1487">
        <f t="shared" ca="1" si="264"/>
        <v>0</v>
      </c>
      <c r="CF106" s="1487">
        <f t="shared" ca="1" si="264"/>
        <v>0</v>
      </c>
      <c r="CG106" s="1487">
        <f t="shared" ca="1" si="264"/>
        <v>0</v>
      </c>
      <c r="CH106" s="1487">
        <f t="shared" ca="1" si="264"/>
        <v>0</v>
      </c>
      <c r="CI106" s="1487">
        <f t="shared" ca="1" si="264"/>
        <v>0</v>
      </c>
      <c r="CJ106" s="1487">
        <f t="shared" ca="1" si="264"/>
        <v>0</v>
      </c>
      <c r="CK106" s="1487">
        <f t="shared" ca="1" si="264"/>
        <v>0</v>
      </c>
      <c r="CL106" s="1487">
        <f t="shared" ca="1" si="264"/>
        <v>0</v>
      </c>
      <c r="CM106" s="1487">
        <f t="shared" ca="1" si="264"/>
        <v>0</v>
      </c>
      <c r="CN106" s="1487">
        <f t="shared" ca="1" si="264"/>
        <v>0</v>
      </c>
      <c r="CO106" s="1487">
        <f t="shared" ca="1" si="264"/>
        <v>0</v>
      </c>
      <c r="CP106" s="1487">
        <f t="shared" ca="1" si="264"/>
        <v>0</v>
      </c>
      <c r="CQ106" s="1487">
        <f t="shared" ca="1" si="264"/>
        <v>0</v>
      </c>
      <c r="CR106" s="1487">
        <f t="shared" ca="1" si="264"/>
        <v>0</v>
      </c>
      <c r="CS106" s="1487">
        <f t="shared" ca="1" si="264"/>
        <v>0</v>
      </c>
      <c r="CT106" s="1487">
        <f t="shared" ca="1" si="264"/>
        <v>0</v>
      </c>
      <c r="CU106" s="1487">
        <f t="shared" ca="1" si="264"/>
        <v>0</v>
      </c>
      <c r="CV106" s="1487">
        <f t="shared" ca="1" si="264"/>
        <v>0</v>
      </c>
      <c r="CW106" s="1487">
        <f t="shared" ca="1" si="264"/>
        <v>0</v>
      </c>
      <c r="CX106" s="1487">
        <f t="shared" ca="1" si="264"/>
        <v>0</v>
      </c>
      <c r="CY106" s="1487">
        <f t="shared" ca="1" si="264"/>
        <v>-32.044337817308957</v>
      </c>
      <c r="CZ106" s="1487">
        <f t="shared" ca="1" si="264"/>
        <v>0</v>
      </c>
      <c r="DA106" s="1487">
        <f t="shared" ca="1" si="264"/>
        <v>0</v>
      </c>
      <c r="DB106" s="1487">
        <f t="shared" ca="1" si="264"/>
        <v>0</v>
      </c>
      <c r="DC106" s="1487">
        <f t="shared" ca="1" si="264"/>
        <v>0</v>
      </c>
      <c r="DD106" s="1487">
        <f t="shared" ca="1" si="264"/>
        <v>0</v>
      </c>
      <c r="DE106" s="1487">
        <f t="shared" ca="1" si="264"/>
        <v>0</v>
      </c>
      <c r="DF106" s="1487">
        <f ca="1">DF$93+DF$104</f>
        <v>0</v>
      </c>
      <c r="DH106" s="835">
        <f ca="1">SUM(BO106:DF106)</f>
        <v>-25.343947342537927</v>
      </c>
    </row>
    <row r="107" spans="1:112" s="743" customFormat="1">
      <c r="C107" s="508"/>
      <c r="D107" s="509"/>
      <c r="E107" s="509"/>
      <c r="G107" s="958"/>
      <c r="H107" s="958"/>
      <c r="I107" s="958"/>
      <c r="J107" s="958"/>
      <c r="K107" s="960"/>
      <c r="L107" s="958"/>
      <c r="M107" s="958"/>
      <c r="N107" s="958"/>
      <c r="O107" s="958"/>
      <c r="P107" s="958"/>
      <c r="Q107" s="958"/>
      <c r="S107" s="970"/>
      <c r="T107" s="970"/>
      <c r="U107" s="970"/>
      <c r="V107" s="970"/>
      <c r="W107" s="970"/>
      <c r="X107" s="970"/>
      <c r="Y107" s="970"/>
      <c r="Z107" s="970"/>
      <c r="AA107" s="970"/>
      <c r="AB107" s="970"/>
      <c r="AC107" s="970"/>
      <c r="AD107" s="970"/>
      <c r="AE107" s="970"/>
      <c r="AF107" s="970"/>
      <c r="AG107" s="970"/>
      <c r="AH107" s="970"/>
      <c r="AI107" s="970"/>
      <c r="AJ107" s="970"/>
      <c r="AK107" s="970"/>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H107" s="990"/>
      <c r="BI107" s="990"/>
      <c r="BJ107" s="990"/>
      <c r="BL107" s="515">
        <f t="shared" si="252"/>
        <v>0</v>
      </c>
      <c r="BM107" s="515"/>
      <c r="BO107" s="1482"/>
      <c r="BP107" s="1482"/>
      <c r="BQ107" s="1482"/>
      <c r="BR107" s="1482"/>
      <c r="BS107" s="1482"/>
      <c r="BT107" s="1482"/>
      <c r="BU107" s="1482"/>
      <c r="BV107" s="1482"/>
      <c r="BW107" s="1482"/>
      <c r="BX107" s="1482"/>
      <c r="BY107" s="1482"/>
      <c r="BZ107" s="1482"/>
      <c r="CA107" s="1482"/>
      <c r="CB107" s="1482"/>
      <c r="CC107" s="1482"/>
      <c r="CD107" s="1482"/>
      <c r="CE107" s="1482"/>
      <c r="CF107" s="1482"/>
      <c r="CG107" s="1482"/>
      <c r="CH107" s="1482"/>
      <c r="CI107" s="1482"/>
      <c r="CJ107" s="1482"/>
      <c r="CK107" s="1482"/>
      <c r="CL107" s="1482"/>
      <c r="CM107" s="1482"/>
      <c r="CN107" s="1482"/>
      <c r="CO107" s="1482"/>
      <c r="CP107" s="1482"/>
      <c r="CQ107" s="1482"/>
      <c r="CR107" s="1482"/>
      <c r="CS107" s="1482"/>
      <c r="CT107" s="1482"/>
      <c r="CU107" s="1482"/>
      <c r="CV107" s="1482"/>
      <c r="CW107" s="1482"/>
      <c r="CX107" s="1482"/>
      <c r="CY107" s="1482"/>
      <c r="CZ107" s="1482"/>
      <c r="DA107" s="1482"/>
      <c r="DB107" s="1482"/>
      <c r="DC107" s="1482"/>
      <c r="DD107" s="1482"/>
      <c r="DE107" s="1482"/>
      <c r="DF107" s="1482"/>
      <c r="DH107" s="838"/>
    </row>
    <row r="108" spans="1:112" s="743" customFormat="1" ht="13.5" thickBot="1">
      <c r="C108" s="508"/>
      <c r="D108" s="509"/>
      <c r="E108" s="509"/>
      <c r="G108" s="958"/>
      <c r="H108" s="958"/>
      <c r="I108" s="958"/>
      <c r="J108" s="958"/>
      <c r="K108" s="960"/>
      <c r="L108" s="958"/>
      <c r="M108" s="958"/>
      <c r="N108" s="958"/>
      <c r="O108" s="958"/>
      <c r="P108" s="958"/>
      <c r="Q108" s="958"/>
      <c r="S108" s="970"/>
      <c r="T108" s="970"/>
      <c r="U108" s="970"/>
      <c r="V108" s="970"/>
      <c r="W108" s="970"/>
      <c r="X108" s="970"/>
      <c r="Y108" s="970"/>
      <c r="Z108" s="970"/>
      <c r="AA108" s="970"/>
      <c r="AB108" s="970"/>
      <c r="AC108" s="970"/>
      <c r="AD108" s="970"/>
      <c r="AE108" s="970"/>
      <c r="AF108" s="970"/>
      <c r="AG108" s="970"/>
      <c r="AH108" s="970"/>
      <c r="AI108" s="970"/>
      <c r="AJ108" s="970"/>
      <c r="AK108" s="970"/>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H108" s="990"/>
      <c r="BI108" s="990"/>
      <c r="BJ108" s="990"/>
      <c r="BL108" s="515">
        <f t="shared" si="252"/>
        <v>0</v>
      </c>
      <c r="BM108" s="515"/>
      <c r="BO108" s="1482"/>
      <c r="BP108" s="1482"/>
      <c r="BQ108" s="1482"/>
      <c r="BR108" s="1482"/>
      <c r="BS108" s="1482"/>
      <c r="BT108" s="1482"/>
      <c r="BU108" s="1482"/>
      <c r="BV108" s="1482"/>
      <c r="BW108" s="1482"/>
      <c r="BX108" s="1482"/>
      <c r="BY108" s="1482"/>
      <c r="BZ108" s="1482"/>
      <c r="CA108" s="1482"/>
      <c r="CB108" s="1482"/>
      <c r="CC108" s="1482"/>
      <c r="CD108" s="1482"/>
      <c r="CE108" s="1482"/>
      <c r="CF108" s="1482"/>
      <c r="CG108" s="1482"/>
      <c r="CH108" s="1482"/>
      <c r="CI108" s="1482"/>
      <c r="CJ108" s="1482"/>
      <c r="CK108" s="1482"/>
      <c r="CL108" s="1482"/>
      <c r="CM108" s="1482"/>
      <c r="CN108" s="1482"/>
      <c r="CO108" s="1482"/>
      <c r="CP108" s="1482"/>
      <c r="CQ108" s="1482"/>
      <c r="CR108" s="1482"/>
      <c r="CS108" s="1482"/>
      <c r="CT108" s="1482"/>
      <c r="CU108" s="1482"/>
      <c r="CV108" s="1482"/>
      <c r="CW108" s="1482"/>
      <c r="CX108" s="1482"/>
      <c r="CY108" s="1482"/>
      <c r="CZ108" s="1482"/>
      <c r="DA108" s="1482"/>
      <c r="DB108" s="1482"/>
      <c r="DC108" s="1482"/>
      <c r="DD108" s="1482"/>
      <c r="DE108" s="1482"/>
      <c r="DF108" s="1482"/>
      <c r="DH108" s="838"/>
    </row>
    <row r="109" spans="1:112" s="743" customFormat="1" ht="24" customHeight="1" thickBot="1">
      <c r="C109" s="608" t="s">
        <v>593</v>
      </c>
      <c r="D109" s="608"/>
      <c r="E109" s="608"/>
      <c r="G109" s="1098">
        <f t="shared" ref="G109:P109" ca="1" si="265">G$40+G$84+G$106</f>
        <v>673.79296204551042</v>
      </c>
      <c r="H109" s="1098">
        <f t="shared" ca="1" si="265"/>
        <v>198.16407689154261</v>
      </c>
      <c r="I109" s="1098">
        <f t="shared" ca="1" si="265"/>
        <v>469.52852546229497</v>
      </c>
      <c r="J109" s="1098">
        <f t="shared" ca="1" si="265"/>
        <v>350.85541234498476</v>
      </c>
      <c r="K109" s="1098">
        <f t="shared" ca="1" si="265"/>
        <v>15.860444512419436</v>
      </c>
      <c r="L109" s="1098">
        <f t="shared" ca="1" si="265"/>
        <v>13.331077116581312</v>
      </c>
      <c r="M109" s="1098">
        <f t="shared" ca="1" si="265"/>
        <v>23.384829464713203</v>
      </c>
      <c r="N109" s="1098">
        <f t="shared" ca="1" si="265"/>
        <v>212.05653906435825</v>
      </c>
      <c r="O109" s="1098">
        <f t="shared" ca="1" si="265"/>
        <v>80.11820802344954</v>
      </c>
      <c r="P109" s="1098">
        <f t="shared" ca="1" si="265"/>
        <v>0</v>
      </c>
      <c r="Q109" s="1098">
        <f ca="1">SUM(G109:P109)</f>
        <v>2037.0920749258546</v>
      </c>
      <c r="S109" s="1099">
        <f t="shared" ref="S109:AJ109" ca="1" si="266">S$40+S$84+S$106</f>
        <v>-409.73117353201741</v>
      </c>
      <c r="T109" s="1099">
        <f t="shared" ca="1" si="266"/>
        <v>409.73117353201741</v>
      </c>
      <c r="U109" s="1099">
        <f t="shared" ca="1" si="266"/>
        <v>0</v>
      </c>
      <c r="V109" s="1099">
        <f t="shared" ca="1" si="266"/>
        <v>0</v>
      </c>
      <c r="W109" s="1099">
        <f t="shared" ca="1" si="266"/>
        <v>0</v>
      </c>
      <c r="X109" s="1099">
        <f t="shared" ca="1" si="266"/>
        <v>0</v>
      </c>
      <c r="Y109" s="1099">
        <f t="shared" ca="1" si="266"/>
        <v>0</v>
      </c>
      <c r="Z109" s="1099">
        <f t="shared" ca="1" si="266"/>
        <v>0</v>
      </c>
      <c r="AA109" s="1099">
        <f t="shared" ca="1" si="266"/>
        <v>0</v>
      </c>
      <c r="AB109" s="1099">
        <f t="shared" ca="1" si="266"/>
        <v>0</v>
      </c>
      <c r="AC109" s="1099">
        <f t="shared" ca="1" si="266"/>
        <v>0</v>
      </c>
      <c r="AD109" s="1099">
        <f t="shared" ca="1" si="266"/>
        <v>0</v>
      </c>
      <c r="AE109" s="1099">
        <f t="shared" ca="1" si="266"/>
        <v>0</v>
      </c>
      <c r="AF109" s="1099">
        <f t="shared" ca="1" si="266"/>
        <v>0</v>
      </c>
      <c r="AG109" s="1099">
        <f t="shared" ca="1" si="266"/>
        <v>0</v>
      </c>
      <c r="AH109" s="1099">
        <f t="shared" ca="1" si="266"/>
        <v>0</v>
      </c>
      <c r="AI109" s="1099">
        <f t="shared" ca="1" si="266"/>
        <v>0</v>
      </c>
      <c r="AJ109" s="1099">
        <f t="shared" ca="1" si="266"/>
        <v>0</v>
      </c>
      <c r="AK109" s="1099">
        <f ca="1">SUM(S109:AJ109)</f>
        <v>0</v>
      </c>
      <c r="AM109" s="1100">
        <f t="shared" ref="AM109:BE109" ca="1" si="267">AM$40+AM$84+AM$106</f>
        <v>-124.39544583847987</v>
      </c>
      <c r="AN109" s="1100">
        <f t="shared" ca="1" si="267"/>
        <v>-264.59138956080642</v>
      </c>
      <c r="AO109" s="1100">
        <f t="shared" ca="1" si="267"/>
        <v>-202.66146618133868</v>
      </c>
      <c r="AP109" s="1100">
        <f t="shared" ca="1" si="267"/>
        <v>-1.3956</v>
      </c>
      <c r="AQ109" s="1100">
        <f t="shared" ca="1" si="267"/>
        <v>5.6843418860808015E-14</v>
      </c>
      <c r="AR109" s="1100">
        <f t="shared" ca="1" si="267"/>
        <v>0</v>
      </c>
      <c r="AS109" s="1100">
        <f t="shared" ca="1" si="267"/>
        <v>144.70114825329688</v>
      </c>
      <c r="AT109" s="1100">
        <f t="shared" ca="1" si="267"/>
        <v>-530.5143997544626</v>
      </c>
      <c r="AU109" s="1100">
        <f t="shared" ca="1" si="267"/>
        <v>-1342.938716834901</v>
      </c>
      <c r="AV109" s="1100">
        <f t="shared" ca="1" si="267"/>
        <v>0</v>
      </c>
      <c r="AW109" s="1100">
        <f t="shared" ca="1" si="267"/>
        <v>0</v>
      </c>
      <c r="AX109" s="1100">
        <f t="shared" ca="1" si="267"/>
        <v>-28.553930100000002</v>
      </c>
      <c r="AY109" s="1100">
        <f t="shared" ca="1" si="267"/>
        <v>0</v>
      </c>
      <c r="AZ109" s="1100">
        <f t="shared" ca="1" si="267"/>
        <v>0</v>
      </c>
      <c r="BA109" s="1100">
        <f t="shared" ca="1" si="267"/>
        <v>0</v>
      </c>
      <c r="BB109" s="1100">
        <f t="shared" ca="1" si="267"/>
        <v>-5.3297280000000011</v>
      </c>
      <c r="BC109" s="1100">
        <f t="shared" ca="1" si="267"/>
        <v>0</v>
      </c>
      <c r="BD109" s="1100">
        <f t="shared" ca="1" si="267"/>
        <v>-43.062640533128942</v>
      </c>
      <c r="BE109" s="1100">
        <f t="shared" ca="1" si="267"/>
        <v>-199.54432145944892</v>
      </c>
      <c r="BF109" s="1100">
        <f ca="1">SUM(AM109:BE109)</f>
        <v>-2598.2864900092695</v>
      </c>
      <c r="BH109" s="1101">
        <f ca="1">BH$40+BH$84+BH$106</f>
        <v>450.1984260917136</v>
      </c>
      <c r="BI109" s="1101">
        <f ca="1">BI$40+BI$84+BI$106</f>
        <v>110.99598899170121</v>
      </c>
      <c r="BJ109" s="1101">
        <f ca="1">SUM(BH109:BI109)</f>
        <v>561.19441508341481</v>
      </c>
      <c r="BL109" s="514">
        <f t="shared" ca="1" si="252"/>
        <v>0</v>
      </c>
      <c r="BM109" s="514"/>
      <c r="BO109" s="1493">
        <f t="shared" ref="BO109:DF109" ca="1" si="268">BO$40+BO$84+BO$106</f>
        <v>458.16435021166342</v>
      </c>
      <c r="BP109" s="1493">
        <f t="shared" ca="1" si="268"/>
        <v>0.85017833988077218</v>
      </c>
      <c r="BQ109" s="1493">
        <f t="shared" ca="1" si="268"/>
        <v>3.3182214231690512</v>
      </c>
      <c r="BR109" s="1493">
        <f t="shared" ca="1" si="268"/>
        <v>0</v>
      </c>
      <c r="BS109" s="1493">
        <f t="shared" ca="1" si="268"/>
        <v>1.3804973344946569</v>
      </c>
      <c r="BT109" s="1493">
        <f t="shared" ca="1" si="268"/>
        <v>9.3407034360228085</v>
      </c>
      <c r="BU109" s="1493">
        <f t="shared" ca="1" si="268"/>
        <v>0</v>
      </c>
      <c r="BV109" s="1493">
        <f t="shared" ca="1" si="268"/>
        <v>0</v>
      </c>
      <c r="BW109" s="1493">
        <f t="shared" ca="1" si="268"/>
        <v>14.483371402442046</v>
      </c>
      <c r="BX109" s="1493">
        <f t="shared" ca="1" si="268"/>
        <v>0.11054373314941748</v>
      </c>
      <c r="BY109" s="1493">
        <f t="shared" ca="1" si="268"/>
        <v>2.7605748765693696</v>
      </c>
      <c r="BZ109" s="1493">
        <f t="shared" ca="1" si="268"/>
        <v>6.6085926650517584</v>
      </c>
      <c r="CA109" s="1493">
        <f t="shared" ca="1" si="268"/>
        <v>0</v>
      </c>
      <c r="CB109" s="1493">
        <f t="shared" ca="1" si="268"/>
        <v>0</v>
      </c>
      <c r="CC109" s="1493">
        <f t="shared" ca="1" si="268"/>
        <v>0</v>
      </c>
      <c r="CD109" s="1493">
        <f t="shared" ca="1" si="268"/>
        <v>0</v>
      </c>
      <c r="CE109" s="1493">
        <f t="shared" ca="1" si="268"/>
        <v>0</v>
      </c>
      <c r="CF109" s="1493">
        <f t="shared" ca="1" si="268"/>
        <v>17.198478545174765</v>
      </c>
      <c r="CG109" s="1493">
        <f t="shared" ca="1" si="268"/>
        <v>21.202342275437385</v>
      </c>
      <c r="CH109" s="1493">
        <f t="shared" ca="1" si="268"/>
        <v>0</v>
      </c>
      <c r="CI109" s="1493">
        <f t="shared" ca="1" si="268"/>
        <v>11.724919775119625</v>
      </c>
      <c r="CJ109" s="1493">
        <f t="shared" ca="1" si="268"/>
        <v>0</v>
      </c>
      <c r="CK109" s="1493">
        <f t="shared" ca="1" si="268"/>
        <v>0</v>
      </c>
      <c r="CL109" s="1493">
        <f t="shared" ca="1" si="268"/>
        <v>0</v>
      </c>
      <c r="CM109" s="1493">
        <f t="shared" ca="1" si="268"/>
        <v>0</v>
      </c>
      <c r="CN109" s="1493">
        <f t="shared" ca="1" si="268"/>
        <v>20.566156027308367</v>
      </c>
      <c r="CO109" s="1493">
        <f t="shared" ca="1" si="268"/>
        <v>1.4809373450379677</v>
      </c>
      <c r="CP109" s="1493">
        <f t="shared" ca="1" si="268"/>
        <v>0</v>
      </c>
      <c r="CQ109" s="1493">
        <f t="shared" ca="1" si="268"/>
        <v>0</v>
      </c>
      <c r="CR109" s="1493">
        <f t="shared" ca="1" si="268"/>
        <v>0</v>
      </c>
      <c r="CS109" s="1493">
        <f t="shared" ca="1" si="268"/>
        <v>0</v>
      </c>
      <c r="CT109" s="1493">
        <f t="shared" ca="1" si="268"/>
        <v>0</v>
      </c>
      <c r="CU109" s="1493">
        <f t="shared" ca="1" si="268"/>
        <v>73.04368677195194</v>
      </c>
      <c r="CV109" s="1493">
        <f t="shared" ca="1" si="268"/>
        <v>9.0939101672780492E-2</v>
      </c>
      <c r="CW109" s="1493">
        <f t="shared" ca="1" si="268"/>
        <v>1.3142055981617109</v>
      </c>
      <c r="CX109" s="1493">
        <f t="shared" ca="1" si="268"/>
        <v>0</v>
      </c>
      <c r="CY109" s="1493">
        <f t="shared" ca="1" si="268"/>
        <v>-32.044337817308957</v>
      </c>
      <c r="CZ109" s="1493">
        <f t="shared" ca="1" si="268"/>
        <v>0</v>
      </c>
      <c r="DA109" s="1493">
        <f t="shared" ca="1" si="268"/>
        <v>0</v>
      </c>
      <c r="DB109" s="1493">
        <f t="shared" ca="1" si="268"/>
        <v>0</v>
      </c>
      <c r="DC109" s="1493">
        <f t="shared" ca="1" si="268"/>
        <v>-7.6963014075977405</v>
      </c>
      <c r="DD109" s="1493">
        <f t="shared" ca="1" si="268"/>
        <v>0</v>
      </c>
      <c r="DE109" s="1493">
        <f t="shared" ca="1" si="268"/>
        <v>0</v>
      </c>
      <c r="DF109" s="1493">
        <f t="shared" ca="1" si="268"/>
        <v>0</v>
      </c>
      <c r="DH109" s="835">
        <f ca="1">SUM(BO109:DF109)</f>
        <v>603.89805963740105</v>
      </c>
    </row>
    <row r="110" spans="1:112" s="743" customFormat="1">
      <c r="C110" s="508"/>
      <c r="D110" s="509"/>
      <c r="E110" s="509"/>
      <c r="G110" s="995"/>
      <c r="H110" s="995"/>
      <c r="I110" s="995"/>
      <c r="J110" s="995"/>
      <c r="K110" s="996"/>
      <c r="L110" s="995"/>
      <c r="M110" s="995"/>
      <c r="N110" s="995"/>
      <c r="O110" s="995"/>
      <c r="P110" s="995"/>
      <c r="Q110" s="995"/>
      <c r="S110" s="998"/>
      <c r="T110" s="998"/>
      <c r="U110" s="998"/>
      <c r="V110" s="998"/>
      <c r="W110" s="998"/>
      <c r="X110" s="998"/>
      <c r="Y110" s="998"/>
      <c r="Z110" s="998"/>
      <c r="AA110" s="998"/>
      <c r="AB110" s="998"/>
      <c r="AC110" s="998"/>
      <c r="AD110" s="998"/>
      <c r="AE110" s="998"/>
      <c r="AF110" s="998"/>
      <c r="AG110" s="998"/>
      <c r="AH110" s="998"/>
      <c r="AI110" s="998"/>
      <c r="AJ110" s="998"/>
      <c r="AK110" s="998"/>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H110" s="1002"/>
      <c r="BI110" s="1002"/>
      <c r="BJ110" s="1002"/>
      <c r="BL110" s="515"/>
      <c r="BM110" s="515"/>
      <c r="BO110" s="1494"/>
      <c r="BP110" s="1494"/>
      <c r="BQ110" s="1494"/>
      <c r="BR110" s="1494"/>
      <c r="BS110" s="1494"/>
      <c r="BT110" s="1494"/>
      <c r="BU110" s="1494"/>
      <c r="BV110" s="1494"/>
      <c r="BW110" s="1494"/>
      <c r="BX110" s="1494"/>
      <c r="BY110" s="1494"/>
      <c r="BZ110" s="1494"/>
      <c r="CA110" s="1494"/>
      <c r="CB110" s="1494"/>
      <c r="CC110" s="1494"/>
      <c r="CD110" s="1494"/>
      <c r="CE110" s="1494"/>
      <c r="CF110" s="1494"/>
      <c r="CG110" s="1494"/>
      <c r="CH110" s="1494"/>
      <c r="CI110" s="1494"/>
      <c r="CJ110" s="1494"/>
      <c r="CK110" s="1494"/>
      <c r="CL110" s="1494"/>
      <c r="CM110" s="1494"/>
      <c r="CN110" s="1494"/>
      <c r="CO110" s="1494"/>
      <c r="CP110" s="1494"/>
      <c r="CQ110" s="1494"/>
      <c r="CR110" s="1494"/>
      <c r="CS110" s="1494"/>
      <c r="CT110" s="1494"/>
      <c r="CU110" s="1494"/>
      <c r="CV110" s="1494"/>
      <c r="CW110" s="1494"/>
      <c r="CX110" s="1494"/>
      <c r="CY110" s="1494"/>
      <c r="CZ110" s="1494"/>
      <c r="DA110" s="1494"/>
      <c r="DB110" s="1494"/>
      <c r="DC110" s="1494"/>
      <c r="DD110" s="1494"/>
      <c r="DE110" s="1494"/>
      <c r="DF110" s="1494"/>
    </row>
    <row r="111" spans="1:112">
      <c r="G111" s="515"/>
      <c r="H111" s="515"/>
      <c r="I111" s="515"/>
      <c r="J111" s="515"/>
      <c r="K111" s="519"/>
      <c r="L111" s="515"/>
      <c r="M111" s="515"/>
      <c r="N111" s="515"/>
      <c r="O111" s="515"/>
      <c r="P111" s="515"/>
      <c r="Q111" s="515"/>
      <c r="S111" s="515"/>
      <c r="T111" s="515"/>
      <c r="U111" s="515"/>
      <c r="V111" s="515"/>
      <c r="W111" s="515"/>
      <c r="X111" s="515"/>
      <c r="Y111" s="515"/>
      <c r="Z111" s="515"/>
      <c r="AA111" s="515"/>
      <c r="AB111" s="515"/>
      <c r="AC111" s="515"/>
      <c r="AD111" s="515"/>
      <c r="AE111" s="515"/>
      <c r="AF111" s="515"/>
      <c r="AG111" s="515"/>
      <c r="AH111" s="515"/>
      <c r="AI111" s="515"/>
      <c r="AJ111" s="515"/>
      <c r="AK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H111" s="515"/>
      <c r="BI111" s="515"/>
      <c r="BJ111" s="515"/>
      <c r="BL111" s="515"/>
      <c r="BM111" s="515"/>
    </row>
    <row r="112" spans="1:112">
      <c r="G112" s="515"/>
      <c r="H112" s="515"/>
      <c r="I112" s="515"/>
      <c r="J112" s="515"/>
      <c r="K112" s="519"/>
      <c r="L112" s="515"/>
      <c r="M112" s="515"/>
      <c r="N112" s="515"/>
      <c r="O112" s="515"/>
      <c r="P112" s="515"/>
      <c r="Q112" s="515"/>
      <c r="S112" s="515"/>
      <c r="T112" s="515"/>
      <c r="U112" s="515"/>
      <c r="V112" s="515"/>
      <c r="W112" s="515"/>
      <c r="X112" s="515"/>
      <c r="Y112" s="515"/>
      <c r="Z112" s="515"/>
      <c r="AA112" s="515"/>
      <c r="AB112" s="515"/>
      <c r="AC112" s="515"/>
      <c r="AD112" s="515"/>
      <c r="AE112" s="515"/>
      <c r="AF112" s="515"/>
      <c r="AG112" s="515"/>
      <c r="AH112" s="515"/>
      <c r="AI112" s="515"/>
      <c r="AJ112" s="515"/>
      <c r="AK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H112" s="515"/>
      <c r="BI112" s="515"/>
      <c r="BJ112" s="515"/>
      <c r="BL112" s="515"/>
      <c r="BM112" s="515"/>
      <c r="DF112" s="20" t="s">
        <v>2428</v>
      </c>
      <c r="DH112" s="2293">
        <f ca="1">SUM(DH63,DH68,DH76,DH82)</f>
        <v>154.92801257385176</v>
      </c>
    </row>
    <row r="113" spans="2:112">
      <c r="B113" s="121" t="s">
        <v>798</v>
      </c>
      <c r="C113" s="1095" t="s">
        <v>1017</v>
      </c>
      <c r="G113" s="515"/>
      <c r="H113" s="515"/>
      <c r="I113" s="515"/>
      <c r="J113" s="515"/>
      <c r="K113" s="519"/>
      <c r="L113" s="515"/>
      <c r="M113" s="515"/>
      <c r="N113" s="515"/>
      <c r="O113" s="515"/>
      <c r="P113" s="515"/>
      <c r="Q113" s="515"/>
      <c r="S113" s="515"/>
      <c r="T113" s="515"/>
      <c r="U113" s="515"/>
      <c r="V113" s="515"/>
      <c r="W113" s="515"/>
      <c r="X113" s="515"/>
      <c r="Y113" s="515"/>
      <c r="Z113" s="515"/>
      <c r="AA113" s="515"/>
      <c r="AB113" s="515"/>
      <c r="AC113" s="515"/>
      <c r="AD113" s="515"/>
      <c r="AE113" s="515"/>
      <c r="AF113" s="515"/>
      <c r="AG113" s="515"/>
      <c r="AH113" s="515"/>
      <c r="AI113" s="515"/>
      <c r="AJ113" s="515"/>
      <c r="AK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H113" s="515"/>
      <c r="BI113" s="515"/>
      <c r="BJ113" s="515"/>
      <c r="BL113" s="515"/>
      <c r="BM113" s="515"/>
      <c r="DF113" s="20" t="s">
        <v>2429</v>
      </c>
      <c r="DH113" s="2293">
        <f ca="1">T109-MIN(T103,0)-T72</f>
        <v>411.05167100087203</v>
      </c>
    </row>
    <row r="114" spans="2:112" ht="15.75">
      <c r="B114" s="3"/>
      <c r="G114" s="515"/>
      <c r="H114" s="515"/>
      <c r="I114" s="515"/>
      <c r="J114" s="515"/>
      <c r="K114" s="519"/>
      <c r="L114" s="515"/>
      <c r="M114" s="515"/>
      <c r="N114" s="515"/>
      <c r="O114" s="515"/>
      <c r="P114" s="515"/>
      <c r="Q114" s="515"/>
      <c r="S114" s="515"/>
      <c r="T114" s="515"/>
      <c r="U114" s="515"/>
      <c r="V114" s="515"/>
      <c r="W114" s="515"/>
      <c r="X114" s="515"/>
      <c r="Y114" s="515"/>
      <c r="Z114" s="515"/>
      <c r="AA114" s="515"/>
      <c r="AB114" s="515"/>
      <c r="AC114" s="515"/>
      <c r="AD114" s="515"/>
      <c r="AE114" s="515"/>
      <c r="AF114" s="515"/>
      <c r="AG114" s="515"/>
      <c r="AH114" s="515"/>
      <c r="AI114" s="515"/>
      <c r="AJ114" s="515"/>
      <c r="AK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H114" s="515"/>
      <c r="BI114" s="515"/>
      <c r="BJ114" s="515"/>
      <c r="BL114" s="515"/>
      <c r="BM114" s="515"/>
      <c r="DF114" s="20" t="s">
        <v>2430</v>
      </c>
      <c r="DH114" s="121">
        <f ca="1">DH112/DH113</f>
        <v>0.37690641713392542</v>
      </c>
    </row>
    <row r="115" spans="2:112">
      <c r="G115" s="515"/>
      <c r="H115" s="515"/>
      <c r="I115" s="515"/>
      <c r="J115" s="515"/>
      <c r="K115" s="519"/>
      <c r="L115" s="515"/>
      <c r="M115" s="515"/>
      <c r="N115" s="515"/>
      <c r="O115" s="515"/>
      <c r="P115" s="515"/>
      <c r="Q115" s="515"/>
      <c r="S115" s="515"/>
      <c r="T115" s="515"/>
      <c r="U115" s="515"/>
      <c r="V115" s="515"/>
      <c r="W115" s="515"/>
      <c r="X115" s="515"/>
      <c r="Y115" s="515"/>
      <c r="Z115" s="515"/>
      <c r="AA115" s="515"/>
      <c r="AB115" s="515"/>
      <c r="AC115" s="515"/>
      <c r="AD115" s="515"/>
      <c r="AE115" s="515"/>
      <c r="AF115" s="515"/>
      <c r="AG115" s="515"/>
      <c r="AH115" s="515"/>
      <c r="AI115" s="515"/>
      <c r="AJ115" s="515"/>
      <c r="AK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H115" s="515"/>
      <c r="BI115" s="515"/>
      <c r="BJ115" s="515"/>
      <c r="BL115" s="515"/>
      <c r="BM115" s="515"/>
    </row>
    <row r="116" spans="2:112" ht="15.75">
      <c r="B116" s="3"/>
      <c r="G116" s="515"/>
      <c r="H116" s="515"/>
      <c r="I116" s="515"/>
      <c r="J116" s="515"/>
      <c r="K116" s="519"/>
      <c r="L116" s="515"/>
      <c r="M116" s="515"/>
      <c r="N116" s="515"/>
      <c r="O116" s="515"/>
      <c r="P116" s="515"/>
      <c r="Q116" s="515"/>
      <c r="S116" s="515"/>
      <c r="T116" s="515"/>
      <c r="U116" s="515"/>
      <c r="V116" s="515"/>
      <c r="W116" s="515"/>
      <c r="X116" s="515"/>
      <c r="Y116" s="515"/>
      <c r="Z116" s="515"/>
      <c r="AA116" s="515"/>
      <c r="AB116" s="515"/>
      <c r="AC116" s="515"/>
      <c r="AD116" s="515"/>
      <c r="AE116" s="515"/>
      <c r="AF116" s="515"/>
      <c r="AG116" s="515"/>
      <c r="AH116" s="515"/>
      <c r="AI116" s="515"/>
      <c r="AJ116" s="515"/>
      <c r="AK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H116" s="515"/>
      <c r="BI116" s="515"/>
      <c r="BJ116" s="515"/>
      <c r="BL116" s="515"/>
      <c r="BM116" s="515"/>
    </row>
    <row r="117" spans="2:112" ht="15.75">
      <c r="B117" s="3"/>
      <c r="G117" s="515"/>
      <c r="H117" s="515"/>
      <c r="I117" s="515"/>
      <c r="J117" s="515"/>
      <c r="K117" s="519"/>
      <c r="L117" s="515"/>
      <c r="M117" s="515"/>
      <c r="N117" s="515"/>
      <c r="O117" s="515"/>
      <c r="P117" s="515"/>
      <c r="Q117" s="515"/>
      <c r="S117" s="515"/>
      <c r="T117" s="515"/>
      <c r="U117" s="515"/>
      <c r="V117" s="515"/>
      <c r="W117" s="515"/>
      <c r="X117" s="515"/>
      <c r="Y117" s="515"/>
      <c r="Z117" s="515"/>
      <c r="AA117" s="515"/>
      <c r="AB117" s="515"/>
      <c r="AC117" s="515"/>
      <c r="AD117" s="515"/>
      <c r="AE117" s="515"/>
      <c r="AF117" s="515"/>
      <c r="AG117" s="515"/>
      <c r="AH117" s="515"/>
      <c r="AI117" s="515"/>
      <c r="AJ117" s="515"/>
      <c r="AK117" s="515"/>
      <c r="AM117" s="515"/>
      <c r="AN117" s="515"/>
      <c r="AO117" s="515"/>
      <c r="AP117" s="515"/>
      <c r="AQ117" s="515"/>
      <c r="AR117" s="515"/>
      <c r="AS117" s="515"/>
      <c r="AT117" s="515"/>
      <c r="AU117" s="515"/>
      <c r="AV117" s="515"/>
      <c r="AW117" s="515"/>
      <c r="AX117" s="515"/>
      <c r="AY117" s="515"/>
      <c r="AZ117" s="515"/>
      <c r="BA117" s="515"/>
      <c r="BB117" s="515"/>
      <c r="BC117" s="515"/>
      <c r="BD117" s="515"/>
      <c r="BE117" s="515"/>
      <c r="BF117" s="515"/>
      <c r="BH117" s="515"/>
      <c r="BI117" s="515"/>
      <c r="BJ117" s="515"/>
      <c r="BL117" s="515"/>
      <c r="BM117" s="515"/>
    </row>
    <row r="118" spans="2:112" ht="15.75">
      <c r="B118" s="3"/>
      <c r="G118" s="515"/>
      <c r="H118" s="515"/>
      <c r="I118" s="515"/>
      <c r="J118" s="515"/>
      <c r="K118" s="519"/>
      <c r="L118" s="515"/>
      <c r="M118" s="515"/>
      <c r="N118" s="515"/>
      <c r="O118" s="515"/>
      <c r="P118" s="515"/>
      <c r="Q118" s="515"/>
      <c r="S118" s="515"/>
      <c r="T118" s="515"/>
      <c r="U118" s="515"/>
      <c r="V118" s="515"/>
      <c r="W118" s="515"/>
      <c r="X118" s="515"/>
      <c r="Y118" s="515"/>
      <c r="Z118" s="515"/>
      <c r="AA118" s="515"/>
      <c r="AB118" s="515"/>
      <c r="AC118" s="515"/>
      <c r="AD118" s="515"/>
      <c r="AE118" s="515"/>
      <c r="AF118" s="515"/>
      <c r="AG118" s="515"/>
      <c r="AH118" s="515"/>
      <c r="AI118" s="515"/>
      <c r="AJ118" s="515"/>
      <c r="AK118" s="515"/>
      <c r="AM118" s="515"/>
      <c r="AN118" s="515"/>
      <c r="AO118" s="515"/>
      <c r="AP118" s="515"/>
      <c r="AQ118" s="515"/>
      <c r="AR118" s="515"/>
      <c r="AS118" s="515"/>
      <c r="AT118" s="515"/>
      <c r="AU118" s="515"/>
      <c r="AV118" s="515"/>
      <c r="AW118" s="515"/>
      <c r="AX118" s="515"/>
      <c r="AY118" s="515"/>
      <c r="AZ118" s="515"/>
      <c r="BA118" s="515"/>
      <c r="BB118" s="515"/>
      <c r="BC118" s="515"/>
      <c r="BD118" s="515"/>
      <c r="BE118" s="515"/>
      <c r="BF118" s="515"/>
      <c r="BH118" s="515"/>
      <c r="BI118" s="515"/>
      <c r="BJ118" s="515"/>
      <c r="BL118" s="515"/>
      <c r="BM118" s="515"/>
    </row>
    <row r="119" spans="2:112" ht="15.75">
      <c r="B119" s="3"/>
      <c r="G119" s="515"/>
      <c r="H119" s="515"/>
      <c r="I119" s="515"/>
      <c r="J119" s="515"/>
      <c r="K119" s="519"/>
      <c r="L119" s="515"/>
      <c r="M119" s="515"/>
      <c r="N119" s="515"/>
      <c r="O119" s="515"/>
      <c r="P119" s="515"/>
      <c r="Q119" s="515"/>
      <c r="S119" s="515"/>
      <c r="T119" s="515"/>
      <c r="U119" s="515"/>
      <c r="V119" s="515"/>
      <c r="W119" s="515"/>
      <c r="X119" s="515"/>
      <c r="Y119" s="515"/>
      <c r="Z119" s="515"/>
      <c r="AA119" s="515"/>
      <c r="AB119" s="515"/>
      <c r="AC119" s="515"/>
      <c r="AD119" s="515"/>
      <c r="AE119" s="515"/>
      <c r="AF119" s="515"/>
      <c r="AG119" s="515"/>
      <c r="AH119" s="515"/>
      <c r="AI119" s="515"/>
      <c r="AJ119" s="515"/>
      <c r="AK119" s="515"/>
      <c r="AM119" s="515"/>
      <c r="AN119" s="515"/>
      <c r="AO119" s="515"/>
      <c r="AP119" s="515"/>
      <c r="AQ119" s="515"/>
      <c r="AR119" s="515"/>
      <c r="AS119" s="515"/>
      <c r="AT119" s="515"/>
      <c r="AU119" s="515"/>
      <c r="AV119" s="515"/>
      <c r="AW119" s="515"/>
      <c r="AX119" s="515"/>
      <c r="AY119" s="515"/>
      <c r="AZ119" s="515"/>
      <c r="BA119" s="515"/>
      <c r="BB119" s="515"/>
      <c r="BC119" s="515"/>
      <c r="BD119" s="515"/>
      <c r="BE119" s="515"/>
      <c r="BF119" s="515"/>
      <c r="BH119" s="515"/>
      <c r="BI119" s="515"/>
      <c r="BJ119" s="515"/>
      <c r="BL119" s="515"/>
      <c r="BM119" s="515"/>
    </row>
    <row r="120" spans="2:112" ht="15.75">
      <c r="B120" s="3"/>
      <c r="G120" s="515"/>
      <c r="H120" s="515"/>
      <c r="I120" s="515"/>
      <c r="J120" s="515"/>
      <c r="K120" s="519"/>
      <c r="L120" s="515"/>
      <c r="M120" s="515"/>
      <c r="N120" s="515"/>
      <c r="O120" s="515"/>
      <c r="P120" s="515"/>
      <c r="Q120" s="515"/>
      <c r="S120" s="515"/>
      <c r="T120" s="515"/>
      <c r="U120" s="515"/>
      <c r="V120" s="515"/>
      <c r="W120" s="515"/>
      <c r="X120" s="515"/>
      <c r="Y120" s="515"/>
      <c r="Z120" s="515"/>
      <c r="AA120" s="515"/>
      <c r="AB120" s="515"/>
      <c r="AC120" s="515"/>
      <c r="AD120" s="515"/>
      <c r="AE120" s="515"/>
      <c r="AF120" s="515"/>
      <c r="AG120" s="515"/>
      <c r="AH120" s="515"/>
      <c r="AI120" s="515"/>
      <c r="AJ120" s="515"/>
      <c r="AK120" s="515"/>
      <c r="AM120" s="515"/>
      <c r="AN120" s="515"/>
      <c r="AO120" s="515"/>
      <c r="AP120" s="515"/>
      <c r="AQ120" s="515"/>
      <c r="AR120" s="515"/>
      <c r="AS120" s="515"/>
      <c r="AT120" s="515"/>
      <c r="AU120" s="515"/>
      <c r="AV120" s="515"/>
      <c r="AW120" s="515"/>
      <c r="AX120" s="515"/>
      <c r="AY120" s="515"/>
      <c r="AZ120" s="515"/>
      <c r="BA120" s="515"/>
      <c r="BB120" s="515"/>
      <c r="BC120" s="515"/>
      <c r="BD120" s="515"/>
      <c r="BE120" s="515"/>
      <c r="BF120" s="515"/>
      <c r="BH120" s="515"/>
      <c r="BI120" s="515"/>
      <c r="BJ120" s="515"/>
      <c r="BL120" s="515"/>
      <c r="BM120" s="515"/>
    </row>
    <row r="121" spans="2:112" ht="15.75">
      <c r="B121" s="3"/>
      <c r="G121" s="515"/>
      <c r="H121" s="515"/>
      <c r="I121" s="515"/>
      <c r="J121" s="515"/>
      <c r="K121" s="519"/>
      <c r="L121" s="515"/>
      <c r="M121" s="515"/>
      <c r="N121" s="515"/>
      <c r="O121" s="515"/>
      <c r="P121" s="515"/>
      <c r="Q121" s="515"/>
      <c r="S121" s="515"/>
      <c r="T121" s="515"/>
      <c r="U121" s="515"/>
      <c r="V121" s="515"/>
      <c r="W121" s="515"/>
      <c r="X121" s="515"/>
      <c r="Y121" s="515"/>
      <c r="Z121" s="515"/>
      <c r="AA121" s="515"/>
      <c r="AB121" s="515"/>
      <c r="AC121" s="515"/>
      <c r="AD121" s="515"/>
      <c r="AE121" s="515"/>
      <c r="AF121" s="515"/>
      <c r="AG121" s="515"/>
      <c r="AH121" s="515"/>
      <c r="AI121" s="515"/>
      <c r="AJ121" s="515"/>
      <c r="AK121" s="515"/>
      <c r="AM121" s="515"/>
      <c r="AN121" s="515"/>
      <c r="AO121" s="515"/>
      <c r="AP121" s="515"/>
      <c r="AQ121" s="515"/>
      <c r="AR121" s="515"/>
      <c r="AS121" s="515"/>
      <c r="AT121" s="515"/>
      <c r="AU121" s="515"/>
      <c r="AV121" s="515"/>
      <c r="AW121" s="515"/>
      <c r="AX121" s="515"/>
      <c r="AY121" s="515"/>
      <c r="AZ121" s="515"/>
      <c r="BA121" s="515"/>
      <c r="BB121" s="515"/>
      <c r="BC121" s="515"/>
      <c r="BD121" s="515"/>
      <c r="BE121" s="515"/>
      <c r="BF121" s="515"/>
      <c r="BH121" s="515"/>
      <c r="BI121" s="515"/>
      <c r="BJ121" s="515"/>
      <c r="BL121" s="515"/>
      <c r="BM121" s="515"/>
    </row>
    <row r="122" spans="2:112">
      <c r="G122" s="515"/>
      <c r="H122" s="515"/>
      <c r="I122" s="515"/>
      <c r="J122" s="515"/>
      <c r="K122" s="519"/>
      <c r="L122" s="515"/>
      <c r="M122" s="515"/>
      <c r="N122" s="515"/>
      <c r="O122" s="515"/>
      <c r="P122" s="515"/>
      <c r="Q122" s="515"/>
      <c r="S122" s="515"/>
      <c r="T122" s="515"/>
      <c r="U122" s="515"/>
      <c r="V122" s="515"/>
      <c r="W122" s="515"/>
      <c r="X122" s="515"/>
      <c r="Y122" s="515"/>
      <c r="Z122" s="515"/>
      <c r="AA122" s="515"/>
      <c r="AB122" s="515"/>
      <c r="AC122" s="515"/>
      <c r="AD122" s="515"/>
      <c r="AE122" s="515"/>
      <c r="AF122" s="515"/>
      <c r="AG122" s="515"/>
      <c r="AH122" s="515"/>
      <c r="AI122" s="515"/>
      <c r="AJ122" s="515"/>
      <c r="AK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H122" s="515"/>
      <c r="BI122" s="515"/>
      <c r="BJ122" s="515"/>
      <c r="BL122" s="515"/>
      <c r="BM122" s="515"/>
    </row>
    <row r="123" spans="2:112" ht="24" customHeight="1">
      <c r="G123" s="515"/>
      <c r="H123" s="515"/>
      <c r="I123" s="515"/>
      <c r="J123" s="515"/>
      <c r="K123" s="519"/>
      <c r="L123" s="515"/>
      <c r="M123" s="515"/>
      <c r="N123" s="515"/>
      <c r="O123" s="515"/>
      <c r="P123" s="515"/>
      <c r="Q123" s="515"/>
      <c r="S123" s="515"/>
      <c r="T123" s="515"/>
      <c r="U123" s="515"/>
      <c r="V123" s="515"/>
      <c r="W123" s="515"/>
      <c r="X123" s="515"/>
      <c r="Y123" s="515"/>
      <c r="Z123" s="515"/>
      <c r="AA123" s="515"/>
      <c r="AB123" s="515"/>
      <c r="AC123" s="515"/>
      <c r="AD123" s="515"/>
      <c r="AE123" s="515"/>
      <c r="AF123" s="515"/>
      <c r="AG123" s="515"/>
      <c r="AH123" s="515"/>
      <c r="AI123" s="515"/>
      <c r="AJ123" s="515"/>
      <c r="AK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H123" s="515"/>
      <c r="BI123" s="515"/>
      <c r="BJ123" s="515"/>
      <c r="BL123" s="515"/>
      <c r="BM123" s="515"/>
    </row>
    <row r="124" spans="2:112">
      <c r="G124" s="515"/>
      <c r="H124" s="515"/>
      <c r="I124" s="515"/>
      <c r="J124" s="515"/>
      <c r="K124" s="519"/>
      <c r="L124" s="515"/>
      <c r="M124" s="515"/>
      <c r="N124" s="515"/>
      <c r="O124" s="515"/>
      <c r="P124" s="515"/>
      <c r="Q124" s="515"/>
      <c r="S124" s="515"/>
      <c r="T124" s="515"/>
      <c r="U124" s="515"/>
      <c r="V124" s="515"/>
      <c r="W124" s="515"/>
      <c r="X124" s="515"/>
      <c r="Y124" s="515"/>
      <c r="Z124" s="515"/>
      <c r="AA124" s="515"/>
      <c r="AB124" s="515"/>
      <c r="AC124" s="515"/>
      <c r="AD124" s="515"/>
      <c r="AE124" s="515"/>
      <c r="AF124" s="515"/>
      <c r="AG124" s="515"/>
      <c r="AH124" s="515"/>
      <c r="AI124" s="515"/>
      <c r="AJ124" s="515"/>
      <c r="AK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H124" s="515"/>
      <c r="BI124" s="515"/>
      <c r="BJ124" s="515"/>
      <c r="BL124" s="515"/>
      <c r="BM124" s="515"/>
    </row>
    <row r="125" spans="2:112">
      <c r="C125" s="520"/>
      <c r="D125" s="38"/>
      <c r="G125" s="515"/>
      <c r="H125" s="515"/>
      <c r="I125" s="515"/>
      <c r="J125" s="515"/>
      <c r="K125" s="519"/>
      <c r="L125" s="515"/>
      <c r="M125" s="515"/>
      <c r="N125" s="515"/>
      <c r="O125" s="515"/>
      <c r="P125" s="515"/>
      <c r="Q125" s="515"/>
      <c r="S125" s="515"/>
      <c r="T125" s="515"/>
      <c r="U125" s="515"/>
      <c r="V125" s="515"/>
      <c r="W125" s="515"/>
      <c r="X125" s="515"/>
      <c r="Y125" s="515"/>
      <c r="Z125" s="515"/>
      <c r="AA125" s="515"/>
      <c r="AB125" s="515"/>
      <c r="AC125" s="515"/>
      <c r="AD125" s="515"/>
      <c r="AE125" s="515"/>
      <c r="AF125" s="515"/>
      <c r="AG125" s="515"/>
      <c r="AH125" s="515"/>
      <c r="AI125" s="515"/>
      <c r="AJ125" s="515"/>
      <c r="AK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H125" s="515"/>
      <c r="BI125" s="515"/>
      <c r="BJ125" s="515"/>
      <c r="BL125" s="515"/>
      <c r="BM125" s="515"/>
    </row>
    <row r="126" spans="2:112">
      <c r="G126" s="515"/>
      <c r="H126" s="515"/>
      <c r="I126" s="515"/>
      <c r="J126" s="515"/>
      <c r="K126" s="519"/>
      <c r="L126" s="515"/>
      <c r="M126" s="515"/>
      <c r="N126" s="515"/>
      <c r="O126" s="515"/>
      <c r="P126" s="515"/>
      <c r="Q126" s="515"/>
      <c r="S126" s="515"/>
      <c r="T126" s="515"/>
      <c r="U126" s="515"/>
      <c r="V126" s="515"/>
      <c r="W126" s="515"/>
      <c r="X126" s="515"/>
      <c r="Y126" s="515"/>
      <c r="Z126" s="515"/>
      <c r="AA126" s="515"/>
      <c r="AB126" s="515"/>
      <c r="AC126" s="515"/>
      <c r="AD126" s="515"/>
      <c r="AE126" s="515"/>
      <c r="AF126" s="515"/>
      <c r="AG126" s="515"/>
      <c r="AH126" s="515"/>
      <c r="AI126" s="515"/>
      <c r="AJ126" s="515"/>
      <c r="AK126" s="515"/>
      <c r="AM126" s="515"/>
      <c r="AN126" s="515"/>
      <c r="AO126" s="515"/>
      <c r="AP126" s="515"/>
      <c r="AQ126" s="515"/>
      <c r="AR126" s="515"/>
      <c r="AS126" s="515"/>
      <c r="AT126" s="515"/>
      <c r="AU126" s="515"/>
      <c r="AV126" s="515"/>
      <c r="AW126" s="515"/>
      <c r="AX126" s="515"/>
      <c r="AY126" s="515"/>
      <c r="AZ126" s="515"/>
      <c r="BA126" s="515"/>
      <c r="BB126" s="515"/>
      <c r="BC126" s="515"/>
      <c r="BD126" s="515"/>
      <c r="BE126" s="515"/>
      <c r="BF126" s="515"/>
      <c r="BH126" s="515"/>
      <c r="BI126" s="515"/>
      <c r="BJ126" s="515"/>
      <c r="BL126" s="515"/>
      <c r="BM126" s="515"/>
    </row>
    <row r="127" spans="2:112">
      <c r="G127" s="515"/>
      <c r="H127" s="515"/>
      <c r="I127" s="515"/>
      <c r="J127" s="515"/>
      <c r="K127" s="519"/>
      <c r="L127" s="515"/>
      <c r="M127" s="515"/>
      <c r="N127" s="515"/>
      <c r="O127" s="515"/>
      <c r="P127" s="515"/>
      <c r="Q127" s="515"/>
      <c r="S127" s="515"/>
      <c r="T127" s="515"/>
      <c r="U127" s="515"/>
      <c r="V127" s="515"/>
      <c r="W127" s="515"/>
      <c r="X127" s="515"/>
      <c r="Y127" s="515"/>
      <c r="Z127" s="515"/>
      <c r="AA127" s="515"/>
      <c r="AB127" s="515"/>
      <c r="AC127" s="515"/>
      <c r="AD127" s="515"/>
      <c r="AE127" s="515"/>
      <c r="AF127" s="515"/>
      <c r="AG127" s="515"/>
      <c r="AH127" s="515"/>
      <c r="AI127" s="515"/>
      <c r="AJ127" s="515"/>
      <c r="AK127" s="515"/>
      <c r="AM127" s="515"/>
      <c r="AN127" s="515"/>
      <c r="AO127" s="515"/>
      <c r="AP127" s="515"/>
      <c r="AQ127" s="515"/>
      <c r="AR127" s="515"/>
      <c r="AS127" s="515"/>
      <c r="AT127" s="515"/>
      <c r="AU127" s="515"/>
      <c r="AV127" s="515"/>
      <c r="AW127" s="515"/>
      <c r="AX127" s="515"/>
      <c r="AY127" s="515"/>
      <c r="AZ127" s="515"/>
      <c r="BA127" s="515"/>
      <c r="BB127" s="515"/>
      <c r="BC127" s="515"/>
      <c r="BD127" s="515"/>
      <c r="BE127" s="515"/>
      <c r="BF127" s="515"/>
      <c r="BH127" s="515"/>
      <c r="BI127" s="515"/>
      <c r="BJ127" s="515"/>
      <c r="BL127" s="515"/>
      <c r="BM127" s="515"/>
    </row>
    <row r="128" spans="2:112">
      <c r="G128" s="515"/>
      <c r="H128" s="515"/>
      <c r="I128" s="515"/>
      <c r="J128" s="515"/>
      <c r="K128" s="519"/>
      <c r="L128" s="515"/>
      <c r="M128" s="515"/>
      <c r="N128" s="515"/>
      <c r="O128" s="515"/>
      <c r="P128" s="515"/>
      <c r="Q128" s="515"/>
      <c r="S128" s="515"/>
      <c r="T128" s="515"/>
      <c r="U128" s="515"/>
      <c r="V128" s="515"/>
      <c r="W128" s="515"/>
      <c r="X128" s="515"/>
      <c r="Y128" s="515"/>
      <c r="Z128" s="515"/>
      <c r="AA128" s="515"/>
      <c r="AB128" s="515"/>
      <c r="AC128" s="515"/>
      <c r="AD128" s="515"/>
      <c r="AE128" s="515"/>
      <c r="AF128" s="515"/>
      <c r="AG128" s="515"/>
      <c r="AH128" s="515"/>
      <c r="AI128" s="515"/>
      <c r="AJ128" s="515"/>
      <c r="AK128" s="515"/>
      <c r="AM128" s="515"/>
      <c r="AN128" s="515"/>
      <c r="AO128" s="515"/>
      <c r="AP128" s="515"/>
      <c r="AQ128" s="515"/>
      <c r="AR128" s="515"/>
      <c r="AS128" s="515"/>
      <c r="AT128" s="515"/>
      <c r="AU128" s="515"/>
      <c r="AV128" s="515"/>
      <c r="AW128" s="515"/>
      <c r="AX128" s="515"/>
      <c r="AY128" s="515"/>
      <c r="AZ128" s="515"/>
      <c r="BA128" s="515"/>
      <c r="BB128" s="515"/>
      <c r="BC128" s="515"/>
      <c r="BD128" s="515"/>
      <c r="BE128" s="515"/>
      <c r="BF128" s="515"/>
      <c r="BH128" s="515"/>
      <c r="BI128" s="515"/>
      <c r="BJ128" s="515"/>
      <c r="BL128" s="515"/>
      <c r="BM128" s="515"/>
    </row>
    <row r="129" spans="7:65">
      <c r="G129" s="515"/>
      <c r="H129" s="515"/>
      <c r="I129" s="515"/>
      <c r="J129" s="515"/>
      <c r="K129" s="519"/>
      <c r="L129" s="515"/>
      <c r="M129" s="515"/>
      <c r="N129" s="515"/>
      <c r="O129" s="515"/>
      <c r="P129" s="515"/>
      <c r="Q129" s="515"/>
      <c r="S129" s="515"/>
      <c r="T129" s="515"/>
      <c r="U129" s="515"/>
      <c r="V129" s="515"/>
      <c r="W129" s="515"/>
      <c r="X129" s="515"/>
      <c r="Y129" s="515"/>
      <c r="Z129" s="515"/>
      <c r="AA129" s="515"/>
      <c r="AB129" s="515"/>
      <c r="AC129" s="515"/>
      <c r="AD129" s="515"/>
      <c r="AE129" s="515"/>
      <c r="AF129" s="515"/>
      <c r="AG129" s="515"/>
      <c r="AH129" s="515"/>
      <c r="AI129" s="515"/>
      <c r="AJ129" s="515"/>
      <c r="AK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H129" s="515"/>
      <c r="BI129" s="515"/>
      <c r="BJ129" s="515"/>
      <c r="BL129" s="515"/>
      <c r="BM129" s="515"/>
    </row>
    <row r="130" spans="7:65">
      <c r="G130" s="515"/>
      <c r="H130" s="515"/>
      <c r="I130" s="515"/>
      <c r="J130" s="515"/>
      <c r="K130" s="519"/>
      <c r="L130" s="515"/>
      <c r="M130" s="515"/>
      <c r="N130" s="515"/>
      <c r="O130" s="515"/>
      <c r="P130" s="515"/>
      <c r="Q130" s="515"/>
      <c r="S130" s="515"/>
      <c r="T130" s="515"/>
      <c r="U130" s="515"/>
      <c r="V130" s="515"/>
      <c r="W130" s="515"/>
      <c r="X130" s="515"/>
      <c r="Y130" s="515"/>
      <c r="Z130" s="515"/>
      <c r="AA130" s="515"/>
      <c r="AB130" s="515"/>
      <c r="AC130" s="515"/>
      <c r="AD130" s="515"/>
      <c r="AE130" s="515"/>
      <c r="AF130" s="515"/>
      <c r="AG130" s="515"/>
      <c r="AH130" s="515"/>
      <c r="AI130" s="515"/>
      <c r="AJ130" s="515"/>
      <c r="AK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H130" s="515"/>
      <c r="BI130" s="515"/>
      <c r="BJ130" s="515"/>
      <c r="BL130" s="515"/>
      <c r="BM130" s="515"/>
    </row>
    <row r="131" spans="7:65">
      <c r="G131" s="515"/>
      <c r="H131" s="515"/>
      <c r="I131" s="515"/>
      <c r="J131" s="515"/>
      <c r="K131" s="519"/>
      <c r="L131" s="515"/>
      <c r="M131" s="515"/>
      <c r="N131" s="515"/>
      <c r="O131" s="515"/>
      <c r="P131" s="515"/>
      <c r="Q131" s="515"/>
      <c r="S131" s="515"/>
      <c r="T131" s="515"/>
      <c r="U131" s="515"/>
      <c r="V131" s="515"/>
      <c r="W131" s="515"/>
      <c r="X131" s="515"/>
      <c r="Y131" s="515"/>
      <c r="Z131" s="515"/>
      <c r="AA131" s="515"/>
      <c r="AB131" s="515"/>
      <c r="AC131" s="515"/>
      <c r="AD131" s="515"/>
      <c r="AE131" s="515"/>
      <c r="AF131" s="515"/>
      <c r="AG131" s="515"/>
      <c r="AH131" s="515"/>
      <c r="AI131" s="515"/>
      <c r="AJ131" s="515"/>
      <c r="AK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H131" s="515"/>
      <c r="BI131" s="515"/>
      <c r="BJ131" s="515"/>
      <c r="BL131" s="515"/>
      <c r="BM131" s="515"/>
    </row>
    <row r="132" spans="7:65">
      <c r="G132" s="515"/>
      <c r="H132" s="515"/>
      <c r="I132" s="515"/>
      <c r="J132" s="515"/>
      <c r="K132" s="519"/>
      <c r="L132" s="515"/>
      <c r="M132" s="515"/>
      <c r="N132" s="515"/>
      <c r="O132" s="515"/>
      <c r="P132" s="515"/>
      <c r="Q132" s="515"/>
      <c r="S132" s="515"/>
      <c r="T132" s="515"/>
      <c r="U132" s="515"/>
      <c r="V132" s="515"/>
      <c r="W132" s="515"/>
      <c r="X132" s="515"/>
      <c r="Y132" s="515"/>
      <c r="Z132" s="515"/>
      <c r="AA132" s="515"/>
      <c r="AB132" s="515"/>
      <c r="AC132" s="515"/>
      <c r="AD132" s="515"/>
      <c r="AE132" s="515"/>
      <c r="AF132" s="515"/>
      <c r="AG132" s="515"/>
      <c r="AH132" s="515"/>
      <c r="AI132" s="515"/>
      <c r="AJ132" s="515"/>
      <c r="AK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H132" s="515"/>
      <c r="BI132" s="515"/>
      <c r="BJ132" s="515"/>
      <c r="BL132" s="515"/>
      <c r="BM132" s="515"/>
    </row>
    <row r="133" spans="7:65">
      <c r="G133" s="515"/>
      <c r="H133" s="515"/>
      <c r="I133" s="515"/>
      <c r="J133" s="515"/>
      <c r="K133" s="519"/>
      <c r="L133" s="515"/>
      <c r="M133" s="515"/>
      <c r="N133" s="515"/>
      <c r="O133" s="515"/>
      <c r="P133" s="515"/>
      <c r="Q133" s="515"/>
      <c r="S133" s="515"/>
      <c r="T133" s="515"/>
      <c r="U133" s="515"/>
      <c r="V133" s="515"/>
      <c r="W133" s="515"/>
      <c r="X133" s="515"/>
      <c r="Y133" s="515"/>
      <c r="Z133" s="515"/>
      <c r="AA133" s="515"/>
      <c r="AB133" s="515"/>
      <c r="AC133" s="515"/>
      <c r="AD133" s="515"/>
      <c r="AE133" s="515"/>
      <c r="AF133" s="515"/>
      <c r="AG133" s="515"/>
      <c r="AH133" s="515"/>
      <c r="AI133" s="515"/>
      <c r="AJ133" s="515"/>
      <c r="AK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H133" s="515"/>
      <c r="BI133" s="515"/>
      <c r="BJ133" s="515"/>
      <c r="BL133" s="515"/>
      <c r="BM133" s="515"/>
    </row>
    <row r="134" spans="7:65">
      <c r="G134" s="515"/>
      <c r="H134" s="515"/>
      <c r="I134" s="515"/>
      <c r="J134" s="515"/>
      <c r="K134" s="519"/>
      <c r="L134" s="515"/>
      <c r="M134" s="515"/>
      <c r="N134" s="515"/>
      <c r="O134" s="515"/>
      <c r="P134" s="515"/>
      <c r="Q134" s="515"/>
      <c r="S134" s="515"/>
      <c r="T134" s="515"/>
      <c r="U134" s="515"/>
      <c r="V134" s="515"/>
      <c r="W134" s="515"/>
      <c r="X134" s="515"/>
      <c r="Y134" s="515"/>
      <c r="Z134" s="515"/>
      <c r="AA134" s="515"/>
      <c r="AB134" s="515"/>
      <c r="AC134" s="515"/>
      <c r="AD134" s="515"/>
      <c r="AE134" s="515"/>
      <c r="AF134" s="515"/>
      <c r="AG134" s="515"/>
      <c r="AH134" s="515"/>
      <c r="AI134" s="515"/>
      <c r="AJ134" s="515"/>
      <c r="AK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H134" s="515"/>
      <c r="BI134" s="515"/>
      <c r="BJ134" s="515"/>
      <c r="BL134" s="515"/>
      <c r="BM134" s="515"/>
    </row>
    <row r="135" spans="7:65">
      <c r="G135" s="515"/>
      <c r="H135" s="515"/>
      <c r="I135" s="515"/>
      <c r="J135" s="515"/>
      <c r="K135" s="519"/>
      <c r="L135" s="515"/>
      <c r="M135" s="515"/>
      <c r="N135" s="515"/>
      <c r="O135" s="515"/>
      <c r="P135" s="515"/>
      <c r="Q135" s="515"/>
      <c r="S135" s="515"/>
      <c r="T135" s="515"/>
      <c r="U135" s="515"/>
      <c r="V135" s="515"/>
      <c r="W135" s="515"/>
      <c r="X135" s="515"/>
      <c r="Y135" s="515"/>
      <c r="Z135" s="515"/>
      <c r="AA135" s="515"/>
      <c r="AB135" s="515"/>
      <c r="AC135" s="515"/>
      <c r="AD135" s="515"/>
      <c r="AE135" s="515"/>
      <c r="AF135" s="515"/>
      <c r="AG135" s="515"/>
      <c r="AH135" s="515"/>
      <c r="AI135" s="515"/>
      <c r="AJ135" s="515"/>
      <c r="AK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H135" s="515"/>
      <c r="BI135" s="515"/>
      <c r="BJ135" s="515"/>
      <c r="BL135" s="515"/>
      <c r="BM135" s="515"/>
    </row>
    <row r="136" spans="7:65">
      <c r="G136" s="515"/>
      <c r="H136" s="515"/>
      <c r="I136" s="515"/>
      <c r="J136" s="515"/>
      <c r="K136" s="519"/>
      <c r="L136" s="515"/>
      <c r="M136" s="515"/>
      <c r="N136" s="515"/>
      <c r="O136" s="515"/>
      <c r="P136" s="515"/>
      <c r="Q136" s="515"/>
      <c r="S136" s="515"/>
      <c r="T136" s="515"/>
      <c r="U136" s="515"/>
      <c r="V136" s="515"/>
      <c r="W136" s="515"/>
      <c r="X136" s="515"/>
      <c r="Y136" s="515"/>
      <c r="Z136" s="515"/>
      <c r="AA136" s="515"/>
      <c r="AB136" s="515"/>
      <c r="AC136" s="515"/>
      <c r="AD136" s="515"/>
      <c r="AE136" s="515"/>
      <c r="AF136" s="515"/>
      <c r="AG136" s="515"/>
      <c r="AH136" s="515"/>
      <c r="AI136" s="515"/>
      <c r="AJ136" s="515"/>
      <c r="AK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H136" s="515"/>
      <c r="BI136" s="515"/>
      <c r="BJ136" s="515"/>
      <c r="BL136" s="515"/>
      <c r="BM136" s="515"/>
    </row>
    <row r="137" spans="7:65">
      <c r="G137" s="515"/>
      <c r="H137" s="515"/>
      <c r="I137" s="515"/>
      <c r="J137" s="515"/>
      <c r="K137" s="519"/>
      <c r="L137" s="515"/>
      <c r="M137" s="515"/>
      <c r="N137" s="515"/>
      <c r="O137" s="515"/>
      <c r="P137" s="515"/>
      <c r="Q137" s="515"/>
      <c r="S137" s="515"/>
      <c r="T137" s="515"/>
      <c r="U137" s="515"/>
      <c r="V137" s="515"/>
      <c r="W137" s="515"/>
      <c r="X137" s="515"/>
      <c r="Y137" s="515"/>
      <c r="Z137" s="515"/>
      <c r="AA137" s="515"/>
      <c r="AB137" s="515"/>
      <c r="AC137" s="515"/>
      <c r="AD137" s="515"/>
      <c r="AE137" s="515"/>
      <c r="AF137" s="515"/>
      <c r="AG137" s="515"/>
      <c r="AH137" s="515"/>
      <c r="AI137" s="515"/>
      <c r="AJ137" s="515"/>
      <c r="AK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H137" s="515"/>
      <c r="BI137" s="515"/>
      <c r="BJ137" s="515"/>
      <c r="BL137" s="515"/>
      <c r="BM137" s="515"/>
    </row>
    <row r="138" spans="7:65">
      <c r="G138" s="515"/>
      <c r="H138" s="515"/>
      <c r="I138" s="515"/>
      <c r="J138" s="515"/>
      <c r="K138" s="519"/>
      <c r="L138" s="515"/>
      <c r="M138" s="515"/>
      <c r="N138" s="515"/>
      <c r="O138" s="515"/>
      <c r="P138" s="515"/>
      <c r="Q138" s="515"/>
      <c r="S138" s="515"/>
      <c r="T138" s="515"/>
      <c r="U138" s="515"/>
      <c r="V138" s="515"/>
      <c r="W138" s="515"/>
      <c r="X138" s="515"/>
      <c r="Y138" s="515"/>
      <c r="Z138" s="515"/>
      <c r="AA138" s="515"/>
      <c r="AB138" s="515"/>
      <c r="AC138" s="515"/>
      <c r="AD138" s="515"/>
      <c r="AE138" s="515"/>
      <c r="AF138" s="515"/>
      <c r="AG138" s="515"/>
      <c r="AH138" s="515"/>
      <c r="AI138" s="515"/>
      <c r="AJ138" s="515"/>
      <c r="AK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H138" s="515"/>
      <c r="BI138" s="515"/>
      <c r="BJ138" s="515"/>
      <c r="BL138" s="515"/>
      <c r="BM138" s="515"/>
    </row>
    <row r="139" spans="7:65">
      <c r="G139" s="515"/>
      <c r="H139" s="515"/>
      <c r="I139" s="515"/>
      <c r="J139" s="515"/>
      <c r="K139" s="519"/>
      <c r="L139" s="515"/>
      <c r="M139" s="515"/>
      <c r="N139" s="515"/>
      <c r="O139" s="515"/>
      <c r="P139" s="515"/>
      <c r="Q139" s="515"/>
      <c r="S139" s="515"/>
      <c r="T139" s="515"/>
      <c r="U139" s="515"/>
      <c r="V139" s="515"/>
      <c r="W139" s="515"/>
      <c r="X139" s="515"/>
      <c r="Y139" s="515"/>
      <c r="Z139" s="515"/>
      <c r="AA139" s="515"/>
      <c r="AB139" s="515"/>
      <c r="AC139" s="515"/>
      <c r="AD139" s="515"/>
      <c r="AE139" s="515"/>
      <c r="AF139" s="515"/>
      <c r="AG139" s="515"/>
      <c r="AH139" s="515"/>
      <c r="AI139" s="515"/>
      <c r="AJ139" s="515"/>
      <c r="AK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H139" s="515"/>
      <c r="BI139" s="515"/>
      <c r="BJ139" s="515"/>
      <c r="BL139" s="515"/>
      <c r="BM139" s="515"/>
    </row>
    <row r="140" spans="7:65">
      <c r="G140" s="515"/>
      <c r="H140" s="515"/>
      <c r="I140" s="515"/>
      <c r="J140" s="515"/>
      <c r="K140" s="519"/>
      <c r="L140" s="515"/>
      <c r="M140" s="515"/>
      <c r="N140" s="515"/>
      <c r="O140" s="515"/>
      <c r="P140" s="515"/>
      <c r="Q140" s="515"/>
      <c r="S140" s="515"/>
      <c r="T140" s="515"/>
      <c r="U140" s="515"/>
      <c r="V140" s="515"/>
      <c r="W140" s="515"/>
      <c r="X140" s="515"/>
      <c r="Y140" s="515"/>
      <c r="Z140" s="515"/>
      <c r="AA140" s="515"/>
      <c r="AB140" s="515"/>
      <c r="AC140" s="515"/>
      <c r="AD140" s="515"/>
      <c r="AE140" s="515"/>
      <c r="AF140" s="515"/>
      <c r="AG140" s="515"/>
      <c r="AH140" s="515"/>
      <c r="AI140" s="515"/>
      <c r="AJ140" s="515"/>
      <c r="AK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H140" s="515"/>
      <c r="BI140" s="515"/>
      <c r="BJ140" s="515"/>
      <c r="BL140" s="515"/>
      <c r="BM140" s="515"/>
    </row>
    <row r="141" spans="7:65">
      <c r="G141" s="515"/>
      <c r="H141" s="515"/>
      <c r="I141" s="515"/>
      <c r="J141" s="515"/>
      <c r="K141" s="519"/>
      <c r="L141" s="515"/>
      <c r="M141" s="515"/>
      <c r="N141" s="515"/>
      <c r="O141" s="515"/>
      <c r="P141" s="515"/>
      <c r="Q141" s="515"/>
      <c r="S141" s="515"/>
      <c r="T141" s="515"/>
      <c r="U141" s="515"/>
      <c r="V141" s="515"/>
      <c r="W141" s="515"/>
      <c r="X141" s="515"/>
      <c r="Y141" s="515"/>
      <c r="Z141" s="515"/>
      <c r="AA141" s="515"/>
      <c r="AB141" s="515"/>
      <c r="AC141" s="515"/>
      <c r="AD141" s="515"/>
      <c r="AE141" s="515"/>
      <c r="AF141" s="515"/>
      <c r="AG141" s="515"/>
      <c r="AH141" s="515"/>
      <c r="AI141" s="515"/>
      <c r="AJ141" s="515"/>
      <c r="AK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H141" s="515"/>
      <c r="BI141" s="515"/>
      <c r="BJ141" s="515"/>
      <c r="BL141" s="515"/>
      <c r="BM141" s="515"/>
    </row>
    <row r="142" spans="7:65">
      <c r="G142" s="515"/>
      <c r="H142" s="515"/>
      <c r="I142" s="515"/>
      <c r="J142" s="515"/>
      <c r="K142" s="519"/>
      <c r="L142" s="515"/>
      <c r="M142" s="515"/>
      <c r="N142" s="515"/>
      <c r="O142" s="515"/>
      <c r="P142" s="515"/>
      <c r="Q142" s="515"/>
      <c r="S142" s="515"/>
      <c r="T142" s="515"/>
      <c r="U142" s="515"/>
      <c r="V142" s="515"/>
      <c r="W142" s="515"/>
      <c r="X142" s="515"/>
      <c r="Y142" s="515"/>
      <c r="Z142" s="515"/>
      <c r="AA142" s="515"/>
      <c r="AB142" s="515"/>
      <c r="AC142" s="515"/>
      <c r="AD142" s="515"/>
      <c r="AE142" s="515"/>
      <c r="AF142" s="515"/>
      <c r="AG142" s="515"/>
      <c r="AH142" s="515"/>
      <c r="AI142" s="515"/>
      <c r="AJ142" s="515"/>
      <c r="AK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H142" s="515"/>
      <c r="BI142" s="515"/>
      <c r="BJ142" s="515"/>
      <c r="BL142" s="515"/>
      <c r="BM142" s="515"/>
    </row>
    <row r="143" spans="7:65">
      <c r="G143" s="515"/>
      <c r="H143" s="515"/>
      <c r="I143" s="515"/>
      <c r="J143" s="515"/>
      <c r="K143" s="519"/>
      <c r="L143" s="515"/>
      <c r="M143" s="515"/>
      <c r="N143" s="515"/>
      <c r="O143" s="515"/>
      <c r="P143" s="515"/>
      <c r="Q143" s="515"/>
      <c r="S143" s="515"/>
      <c r="T143" s="515"/>
      <c r="U143" s="515"/>
      <c r="V143" s="515"/>
      <c r="W143" s="515"/>
      <c r="X143" s="515"/>
      <c r="Y143" s="515"/>
      <c r="Z143" s="515"/>
      <c r="AA143" s="515"/>
      <c r="AB143" s="515"/>
      <c r="AC143" s="515"/>
      <c r="AD143" s="515"/>
      <c r="AE143" s="515"/>
      <c r="AF143" s="515"/>
      <c r="AG143" s="515"/>
      <c r="AH143" s="515"/>
      <c r="AI143" s="515"/>
      <c r="AJ143" s="515"/>
      <c r="AK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H143" s="515"/>
      <c r="BI143" s="515"/>
      <c r="BJ143" s="515"/>
      <c r="BL143" s="515"/>
      <c r="BM143" s="515"/>
    </row>
    <row r="144" spans="7:65">
      <c r="G144" s="515"/>
      <c r="H144" s="515"/>
      <c r="I144" s="515"/>
      <c r="J144" s="515"/>
      <c r="K144" s="519"/>
      <c r="L144" s="515"/>
      <c r="M144" s="515"/>
      <c r="N144" s="515"/>
      <c r="O144" s="515"/>
      <c r="P144" s="515"/>
      <c r="Q144" s="515"/>
      <c r="S144" s="515"/>
      <c r="T144" s="515"/>
      <c r="U144" s="515"/>
      <c r="V144" s="515"/>
      <c r="W144" s="515"/>
      <c r="X144" s="515"/>
      <c r="Y144" s="515"/>
      <c r="Z144" s="515"/>
      <c r="AA144" s="515"/>
      <c r="AB144" s="515"/>
      <c r="AC144" s="515"/>
      <c r="AD144" s="515"/>
      <c r="AE144" s="515"/>
      <c r="AF144" s="515"/>
      <c r="AG144" s="515"/>
      <c r="AH144" s="515"/>
      <c r="AI144" s="515"/>
      <c r="AJ144" s="515"/>
      <c r="AK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H144" s="515"/>
      <c r="BI144" s="515"/>
      <c r="BJ144" s="515"/>
      <c r="BL144" s="515"/>
      <c r="BM144" s="515"/>
    </row>
    <row r="145" spans="7:65">
      <c r="G145" s="515"/>
      <c r="H145" s="515"/>
      <c r="I145" s="515"/>
      <c r="J145" s="515"/>
      <c r="K145" s="519"/>
      <c r="L145" s="515"/>
      <c r="M145" s="515"/>
      <c r="N145" s="515"/>
      <c r="O145" s="515"/>
      <c r="P145" s="515"/>
      <c r="Q145" s="515"/>
      <c r="S145" s="515"/>
      <c r="T145" s="515"/>
      <c r="U145" s="515"/>
      <c r="V145" s="515"/>
      <c r="W145" s="515"/>
      <c r="X145" s="515"/>
      <c r="Y145" s="515"/>
      <c r="Z145" s="515"/>
      <c r="AA145" s="515"/>
      <c r="AB145" s="515"/>
      <c r="AC145" s="515"/>
      <c r="AD145" s="515"/>
      <c r="AE145" s="515"/>
      <c r="AF145" s="515"/>
      <c r="AG145" s="515"/>
      <c r="AH145" s="515"/>
      <c r="AI145" s="515"/>
      <c r="AJ145" s="515"/>
      <c r="AK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H145" s="515"/>
      <c r="BI145" s="515"/>
      <c r="BJ145" s="515"/>
      <c r="BL145" s="515"/>
      <c r="BM145" s="515"/>
    </row>
    <row r="146" spans="7:65">
      <c r="G146" s="515"/>
      <c r="H146" s="515"/>
      <c r="I146" s="515"/>
      <c r="J146" s="515"/>
      <c r="K146" s="519"/>
      <c r="L146" s="515"/>
      <c r="M146" s="515"/>
      <c r="N146" s="515"/>
      <c r="O146" s="515"/>
      <c r="P146" s="515"/>
      <c r="Q146" s="515"/>
      <c r="S146" s="515"/>
      <c r="T146" s="515"/>
      <c r="U146" s="515"/>
      <c r="V146" s="515"/>
      <c r="W146" s="515"/>
      <c r="X146" s="515"/>
      <c r="Y146" s="515"/>
      <c r="Z146" s="515"/>
      <c r="AA146" s="515"/>
      <c r="AB146" s="515"/>
      <c r="AC146" s="515"/>
      <c r="AD146" s="515"/>
      <c r="AE146" s="515"/>
      <c r="AF146" s="515"/>
      <c r="AG146" s="515"/>
      <c r="AH146" s="515"/>
      <c r="AI146" s="515"/>
      <c r="AJ146" s="515"/>
      <c r="AK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H146" s="515"/>
      <c r="BI146" s="515"/>
      <c r="BJ146" s="515"/>
      <c r="BL146" s="515"/>
      <c r="BM146" s="515"/>
    </row>
    <row r="147" spans="7:65">
      <c r="G147" s="515"/>
      <c r="H147" s="515"/>
      <c r="I147" s="515"/>
      <c r="J147" s="515"/>
      <c r="K147" s="519"/>
      <c r="L147" s="515"/>
      <c r="M147" s="515"/>
      <c r="N147" s="515"/>
      <c r="O147" s="515"/>
      <c r="P147" s="515"/>
      <c r="Q147" s="515"/>
      <c r="S147" s="515"/>
      <c r="T147" s="515"/>
      <c r="U147" s="515"/>
      <c r="V147" s="515"/>
      <c r="W147" s="515"/>
      <c r="X147" s="515"/>
      <c r="Y147" s="515"/>
      <c r="Z147" s="515"/>
      <c r="AA147" s="515"/>
      <c r="AB147" s="515"/>
      <c r="AC147" s="515"/>
      <c r="AD147" s="515"/>
      <c r="AE147" s="515"/>
      <c r="AF147" s="515"/>
      <c r="AG147" s="515"/>
      <c r="AH147" s="515"/>
      <c r="AI147" s="515"/>
      <c r="AJ147" s="515"/>
      <c r="AK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H147" s="515"/>
      <c r="BI147" s="515"/>
      <c r="BJ147" s="515"/>
      <c r="BL147" s="515"/>
      <c r="BM147" s="515"/>
    </row>
    <row r="148" spans="7:65">
      <c r="G148" s="515"/>
      <c r="H148" s="515"/>
      <c r="I148" s="515"/>
      <c r="J148" s="515"/>
      <c r="K148" s="519"/>
      <c r="L148" s="515"/>
      <c r="M148" s="515"/>
      <c r="N148" s="515"/>
      <c r="O148" s="515"/>
      <c r="P148" s="515"/>
      <c r="Q148" s="515"/>
      <c r="S148" s="515"/>
      <c r="T148" s="515"/>
      <c r="U148" s="515"/>
      <c r="V148" s="515"/>
      <c r="W148" s="515"/>
      <c r="X148" s="515"/>
      <c r="Y148" s="515"/>
      <c r="Z148" s="515"/>
      <c r="AA148" s="515"/>
      <c r="AB148" s="515"/>
      <c r="AC148" s="515"/>
      <c r="AD148" s="515"/>
      <c r="AE148" s="515"/>
      <c r="AF148" s="515"/>
      <c r="AG148" s="515"/>
      <c r="AH148" s="515"/>
      <c r="AI148" s="515"/>
      <c r="AJ148" s="515"/>
      <c r="AK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H148" s="515"/>
      <c r="BI148" s="515"/>
      <c r="BJ148" s="515"/>
      <c r="BL148" s="515"/>
      <c r="BM148" s="515"/>
    </row>
  </sheetData>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worksheet>
</file>

<file path=xl/worksheets/sheet6.xml><?xml version="1.0" encoding="utf-8"?>
<worksheet xmlns="http://schemas.openxmlformats.org/spreadsheetml/2006/main" xmlns:r="http://schemas.openxmlformats.org/officeDocument/2006/relationships">
  <sheetPr codeName="Sheet3">
    <pageSetUpPr autoPageBreaks="0"/>
  </sheetPr>
  <dimension ref="B2:E63"/>
  <sheetViews>
    <sheetView showGridLines="0" showRowColHeaders="0" zoomScale="80" zoomScaleNormal="80" workbookViewId="0"/>
  </sheetViews>
  <sheetFormatPr defaultRowHeight="12.75"/>
  <cols>
    <col min="1" max="1" width="1.5703125" customWidth="1"/>
    <col min="2" max="2" width="9.28515625" customWidth="1"/>
    <col min="3" max="3" width="14.7109375" customWidth="1"/>
    <col min="4" max="4" width="14.85546875" customWidth="1"/>
    <col min="5" max="5" width="101.28515625" customWidth="1"/>
  </cols>
  <sheetData>
    <row r="2" spans="2:5" s="743" customFormat="1">
      <c r="B2" s="743" t="s">
        <v>1031</v>
      </c>
      <c r="C2" s="743" t="s">
        <v>1032</v>
      </c>
      <c r="D2" s="743" t="s">
        <v>1033</v>
      </c>
      <c r="E2" s="743" t="s">
        <v>2327</v>
      </c>
    </row>
    <row r="3" spans="2:5" s="121" customFormat="1">
      <c r="B3" s="854" t="s">
        <v>2319</v>
      </c>
      <c r="C3" s="1125">
        <v>40338</v>
      </c>
      <c r="D3" s="121" t="s">
        <v>1034</v>
      </c>
      <c r="E3" s="121" t="s">
        <v>2305</v>
      </c>
    </row>
    <row r="4" spans="2:5" s="121" customFormat="1">
      <c r="B4" s="854" t="s">
        <v>2326</v>
      </c>
      <c r="C4" s="1127">
        <v>40346</v>
      </c>
      <c r="D4" s="40" t="s">
        <v>1034</v>
      </c>
      <c r="E4" s="40" t="s">
        <v>2328</v>
      </c>
    </row>
    <row r="5" spans="2:5" s="121" customFormat="1">
      <c r="B5" s="854"/>
      <c r="C5" s="1127"/>
      <c r="D5" s="40"/>
      <c r="E5" s="40" t="s">
        <v>2333</v>
      </c>
    </row>
    <row r="6" spans="2:5" s="121" customFormat="1">
      <c r="B6" s="854"/>
      <c r="C6" s="1127"/>
      <c r="D6" s="40"/>
      <c r="E6" s="40" t="s">
        <v>2385</v>
      </c>
    </row>
    <row r="7" spans="2:5" s="121" customFormat="1">
      <c r="B7" s="854" t="s">
        <v>2408</v>
      </c>
      <c r="C7" s="1127">
        <v>40350</v>
      </c>
      <c r="D7" s="40" t="s">
        <v>1034</v>
      </c>
      <c r="E7" s="40" t="s">
        <v>2386</v>
      </c>
    </row>
    <row r="8" spans="2:5" s="121" customFormat="1">
      <c r="B8" s="854"/>
      <c r="C8" s="1127"/>
      <c r="D8" s="40"/>
      <c r="E8" s="40" t="s">
        <v>2401</v>
      </c>
    </row>
    <row r="9" spans="2:5" s="121" customFormat="1">
      <c r="B9" s="854"/>
      <c r="C9" s="1127"/>
      <c r="D9" s="40"/>
      <c r="E9" s="40" t="s">
        <v>2387</v>
      </c>
    </row>
    <row r="10" spans="2:5" s="121" customFormat="1">
      <c r="B10" s="854" t="s">
        <v>2407</v>
      </c>
      <c r="C10" s="1127">
        <v>40351</v>
      </c>
      <c r="D10" s="40" t="s">
        <v>1034</v>
      </c>
      <c r="E10" s="121" t="s">
        <v>2402</v>
      </c>
    </row>
    <row r="11" spans="2:5" s="121" customFormat="1">
      <c r="B11" s="854"/>
      <c r="C11" s="1127"/>
      <c r="D11" s="40"/>
      <c r="E11" s="40" t="s">
        <v>2403</v>
      </c>
    </row>
    <row r="12" spans="2:5" s="121" customFormat="1">
      <c r="B12" s="854"/>
      <c r="C12" s="1127"/>
      <c r="D12" s="40"/>
      <c r="E12" s="40" t="s">
        <v>2404</v>
      </c>
    </row>
    <row r="13" spans="2:5" s="121" customFormat="1">
      <c r="B13" s="854" t="s">
        <v>2406</v>
      </c>
      <c r="C13" s="1127">
        <v>40353</v>
      </c>
      <c r="D13" s="40" t="s">
        <v>1034</v>
      </c>
      <c r="E13" s="40" t="s">
        <v>2431</v>
      </c>
    </row>
    <row r="14" spans="2:5" s="121" customFormat="1">
      <c r="B14" s="854" t="s">
        <v>2434</v>
      </c>
      <c r="C14" s="1127">
        <v>40354</v>
      </c>
      <c r="D14" s="40" t="s">
        <v>1034</v>
      </c>
      <c r="E14" s="758" t="s">
        <v>2435</v>
      </c>
    </row>
    <row r="15" spans="2:5" s="121" customFormat="1">
      <c r="B15" s="854"/>
      <c r="C15" s="1127"/>
      <c r="D15" s="40"/>
      <c r="E15" s="40" t="s">
        <v>2440</v>
      </c>
    </row>
    <row r="16" spans="2:5" s="121" customFormat="1">
      <c r="B16" s="854"/>
      <c r="C16" s="1127"/>
      <c r="D16" s="40"/>
      <c r="E16" s="40" t="s">
        <v>2441</v>
      </c>
    </row>
    <row r="17" spans="2:5" s="121" customFormat="1">
      <c r="B17" s="854"/>
      <c r="C17" s="1127"/>
      <c r="D17" s="40"/>
      <c r="E17" s="40" t="s">
        <v>2442</v>
      </c>
    </row>
    <row r="18" spans="2:5" s="121" customFormat="1">
      <c r="B18" s="854"/>
      <c r="C18" s="1127"/>
      <c r="D18" s="40"/>
      <c r="E18" s="40" t="s">
        <v>2444</v>
      </c>
    </row>
    <row r="19" spans="2:5" s="121" customFormat="1">
      <c r="B19" s="854"/>
      <c r="C19" s="1127"/>
      <c r="D19" s="40"/>
      <c r="E19" s="40" t="s">
        <v>2447</v>
      </c>
    </row>
    <row r="20" spans="2:5" s="121" customFormat="1">
      <c r="B20" s="854"/>
      <c r="C20" s="1127"/>
      <c r="D20" s="40"/>
      <c r="E20" s="40" t="s">
        <v>2448</v>
      </c>
    </row>
    <row r="21" spans="2:5" s="121" customFormat="1">
      <c r="B21" s="854"/>
      <c r="C21" s="1127"/>
      <c r="D21" s="40"/>
      <c r="E21" s="40" t="s">
        <v>2452</v>
      </c>
    </row>
    <row r="22" spans="2:5" s="121" customFormat="1">
      <c r="B22" s="854" t="s">
        <v>2463</v>
      </c>
      <c r="C22" s="1127">
        <v>40374</v>
      </c>
      <c r="D22" s="40" t="s">
        <v>1034</v>
      </c>
      <c r="E22" s="40" t="s">
        <v>2464</v>
      </c>
    </row>
    <row r="23" spans="2:5" s="121" customFormat="1">
      <c r="B23" s="854"/>
      <c r="C23" s="1127"/>
      <c r="D23" s="40"/>
      <c r="E23" s="40" t="s">
        <v>2586</v>
      </c>
    </row>
    <row r="24" spans="2:5" s="121" customFormat="1">
      <c r="B24" s="854"/>
      <c r="C24" s="1127"/>
      <c r="D24" s="40"/>
      <c r="E24" s="40" t="s">
        <v>2548</v>
      </c>
    </row>
    <row r="25" spans="2:5" s="121" customFormat="1">
      <c r="B25" s="854"/>
      <c r="C25" s="1127"/>
      <c r="D25" s="40"/>
      <c r="E25" s="40" t="s">
        <v>2567</v>
      </c>
    </row>
    <row r="26" spans="2:5" s="121" customFormat="1">
      <c r="B26" s="854"/>
      <c r="C26" s="1127"/>
      <c r="D26" s="40"/>
      <c r="E26" s="40" t="s">
        <v>2585</v>
      </c>
    </row>
    <row r="27" spans="2:5" s="121" customFormat="1">
      <c r="B27" s="854" t="s">
        <v>2681</v>
      </c>
      <c r="C27" s="1127">
        <v>40379</v>
      </c>
      <c r="D27" s="40" t="s">
        <v>1034</v>
      </c>
      <c r="E27" s="40" t="s">
        <v>2682</v>
      </c>
    </row>
    <row r="28" spans="2:5" s="121" customFormat="1">
      <c r="B28" s="854"/>
      <c r="C28" s="1127"/>
      <c r="D28" s="40"/>
      <c r="E28" s="40"/>
    </row>
    <row r="29" spans="2:5" s="121" customFormat="1">
      <c r="B29" s="854"/>
      <c r="C29" s="1127"/>
      <c r="D29" s="40"/>
      <c r="E29" s="40"/>
    </row>
    <row r="30" spans="2:5" s="121" customFormat="1">
      <c r="B30" s="854"/>
      <c r="C30" s="1127"/>
      <c r="D30" s="40"/>
      <c r="E30" s="40"/>
    </row>
    <row r="31" spans="2:5" s="121" customFormat="1">
      <c r="B31" s="854"/>
      <c r="C31" s="1127"/>
      <c r="D31" s="40"/>
      <c r="E31" s="40"/>
    </row>
    <row r="32" spans="2:5" s="121" customFormat="1">
      <c r="B32" s="854"/>
      <c r="C32" s="1127"/>
      <c r="D32" s="40"/>
      <c r="E32" s="40"/>
    </row>
    <row r="33" spans="2:5" s="121" customFormat="1">
      <c r="B33" s="854"/>
      <c r="C33" s="1127"/>
      <c r="D33" s="40"/>
      <c r="E33" s="40"/>
    </row>
    <row r="34" spans="2:5" s="121" customFormat="1">
      <c r="B34" s="854"/>
      <c r="C34" s="1127"/>
      <c r="D34" s="40"/>
      <c r="E34" s="40"/>
    </row>
    <row r="35" spans="2:5" s="121" customFormat="1">
      <c r="B35" s="40"/>
      <c r="C35" s="1127"/>
      <c r="D35" s="40"/>
      <c r="E35" s="40"/>
    </row>
    <row r="36" spans="2:5" s="121" customFormat="1"/>
    <row r="37" spans="2:5" s="121" customFormat="1">
      <c r="B37" s="731"/>
    </row>
    <row r="38" spans="2:5" s="121" customFormat="1"/>
    <row r="39" spans="2:5" s="121" customFormat="1"/>
    <row r="40" spans="2:5" s="121" customFormat="1">
      <c r="B40" s="731"/>
      <c r="C40" s="24"/>
    </row>
    <row r="41" spans="2:5" s="121" customFormat="1">
      <c r="B41" s="731"/>
      <c r="C41" s="853"/>
    </row>
    <row r="42" spans="2:5" s="121" customFormat="1">
      <c r="B42" s="731"/>
    </row>
    <row r="43" spans="2:5" s="121" customFormat="1"/>
    <row r="44" spans="2:5" s="121" customFormat="1">
      <c r="B44" s="731"/>
      <c r="D44" s="853"/>
    </row>
    <row r="45" spans="2:5" s="121" customFormat="1">
      <c r="B45" s="731"/>
      <c r="C45" s="853"/>
    </row>
    <row r="46" spans="2:5" s="121" customFormat="1">
      <c r="B46" s="731"/>
    </row>
    <row r="47" spans="2:5" s="121" customFormat="1">
      <c r="B47" s="731"/>
      <c r="D47" s="853"/>
    </row>
    <row r="48" spans="2:5" s="121" customFormat="1"/>
    <row r="49" spans="2:3" s="121" customFormat="1">
      <c r="C49" s="2471"/>
    </row>
    <row r="50" spans="2:3" s="121" customFormat="1">
      <c r="B50" s="731"/>
      <c r="C50" s="24"/>
    </row>
    <row r="51" spans="2:3" s="121" customFormat="1">
      <c r="B51" s="731"/>
    </row>
    <row r="52" spans="2:3">
      <c r="B52" s="731"/>
      <c r="C52" s="121"/>
    </row>
    <row r="53" spans="2:3" s="121" customFormat="1">
      <c r="B53" s="731"/>
    </row>
    <row r="54" spans="2:3" s="121" customFormat="1">
      <c r="B54" s="731"/>
    </row>
    <row r="55" spans="2:3">
      <c r="B55" s="121"/>
      <c r="C55" s="121"/>
    </row>
    <row r="56" spans="2:3">
      <c r="B56" s="121"/>
      <c r="C56" s="121"/>
    </row>
    <row r="57" spans="2:3">
      <c r="C57" s="121"/>
    </row>
    <row r="58" spans="2:3" s="121" customFormat="1"/>
    <row r="59" spans="2:3" s="121" customFormat="1">
      <c r="B59" s="731"/>
    </row>
    <row r="60" spans="2:3" s="121" customFormat="1">
      <c r="C60" s="24"/>
    </row>
    <row r="61" spans="2:3">
      <c r="B61" s="731"/>
    </row>
    <row r="62" spans="2:3">
      <c r="B62" s="121"/>
      <c r="C62" s="121"/>
    </row>
    <row r="63" spans="2:3">
      <c r="C63" s="121"/>
    </row>
  </sheetData>
  <pageMargins left="0.7" right="0.7" top="0.75" bottom="0.75" header="0.3" footer="0.3"/>
  <pageSetup paperSize="9"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sheetPr codeName="Sheet12">
    <tabColor theme="6" tint="0.39997558519241921"/>
    <pageSetUpPr autoPageBreaks="0"/>
  </sheetPr>
  <dimension ref="A1:DH148"/>
  <sheetViews>
    <sheetView showGridLines="0" zoomScale="80" zoomScaleNormal="80" workbookViewId="0">
      <pane xSplit="5" ySplit="5" topLeftCell="F6" activePane="bottomRight" state="frozen"/>
      <selection pane="topRight"/>
      <selection pane="bottomLeft"/>
      <selection pane="bottomRight"/>
    </sheetView>
  </sheetViews>
  <sheetFormatPr defaultRowHeight="12.75" outlineLevelRow="2" outlineLevelCol="2"/>
  <cols>
    <col min="1" max="1" width="1.7109375" style="121" customWidth="1"/>
    <col min="2" max="2" width="1.5703125" style="121" customWidth="1"/>
    <col min="3" max="3" width="4.42578125" style="508" customWidth="1"/>
    <col min="4" max="4" width="3.85546875" style="509" customWidth="1"/>
    <col min="5" max="5" width="41.7109375" style="509" customWidth="1"/>
    <col min="6" max="6" width="1.140625" style="121" customWidth="1" outlineLevel="1"/>
    <col min="7" max="10" width="10" style="509" customWidth="1" outlineLevel="2"/>
    <col min="11" max="11" width="10" style="530" customWidth="1" outlineLevel="2"/>
    <col min="12" max="16" width="10" style="509" customWidth="1" outlineLevel="2"/>
    <col min="17" max="17" width="10" style="509" customWidth="1" outlineLevel="1"/>
    <col min="18" max="18" width="1.140625" style="121" customWidth="1" outlineLevel="1"/>
    <col min="19" max="36" width="10" style="509" customWidth="1" outlineLevel="2"/>
    <col min="37" max="37" width="10" style="509" customWidth="1" outlineLevel="1"/>
    <col min="38" max="38" width="1.140625" style="121" customWidth="1" outlineLevel="1"/>
    <col min="39" max="57" width="10" style="509" customWidth="1" outlineLevel="2"/>
    <col min="58" max="58" width="10" style="509" customWidth="1" outlineLevel="1"/>
    <col min="59" max="59" width="1.140625" style="121" customWidth="1" outlineLevel="1"/>
    <col min="60" max="61" width="10" style="509" customWidth="1" outlineLevel="2"/>
    <col min="62" max="62" width="10" style="509" customWidth="1" outlineLevel="1"/>
    <col min="63" max="63" width="1.140625" style="121" customWidth="1" outlineLevel="1"/>
    <col min="64" max="64" width="11" style="509" customWidth="1" outlineLevel="1"/>
    <col min="65" max="65" width="5.28515625" style="509" customWidth="1"/>
    <col min="66" max="66" width="9.140625" style="121"/>
    <col min="67" max="110" width="7.5703125" style="121" customWidth="1"/>
    <col min="111" max="111" width="2.5703125" style="121" customWidth="1"/>
    <col min="112" max="16384" width="9.140625" style="121"/>
  </cols>
  <sheetData>
    <row r="1" spans="1:112" ht="6" customHeight="1"/>
    <row r="2" spans="1:112" ht="21" customHeight="1">
      <c r="D2" s="495"/>
      <c r="E2" s="965">
        <v>2040</v>
      </c>
      <c r="G2" s="121"/>
      <c r="H2" s="121"/>
      <c r="I2" s="121"/>
      <c r="J2" s="121"/>
      <c r="K2" s="121"/>
      <c r="L2" s="121"/>
      <c r="M2" s="121"/>
      <c r="N2" s="121"/>
      <c r="O2" s="121"/>
      <c r="P2" s="121"/>
      <c r="Q2" s="121"/>
      <c r="S2" s="121"/>
      <c r="T2" s="121"/>
      <c r="U2" s="121"/>
      <c r="V2" s="121"/>
      <c r="W2" s="121"/>
      <c r="X2" s="121"/>
      <c r="Y2" s="121"/>
      <c r="Z2" s="121"/>
      <c r="AA2" s="121"/>
      <c r="AB2" s="121"/>
      <c r="AC2" s="121"/>
      <c r="AD2" s="121"/>
      <c r="AE2" s="121"/>
      <c r="AF2" s="121"/>
      <c r="AG2" s="121"/>
      <c r="AH2" s="121"/>
      <c r="AI2" s="121"/>
      <c r="AJ2" s="121"/>
      <c r="AK2" s="121"/>
      <c r="AM2" s="121"/>
      <c r="AN2" s="121"/>
      <c r="AO2" s="121"/>
      <c r="AP2" s="121"/>
      <c r="AQ2" s="121"/>
      <c r="AR2" s="121"/>
      <c r="AS2" s="121"/>
      <c r="AT2" s="121"/>
      <c r="AU2" s="121"/>
      <c r="AV2" s="121"/>
      <c r="AW2" s="121"/>
      <c r="AX2" s="121"/>
      <c r="AY2" s="121"/>
      <c r="AZ2" s="121"/>
      <c r="BA2" s="121"/>
      <c r="BB2" s="121"/>
      <c r="BC2" s="121"/>
      <c r="BD2" s="121"/>
      <c r="BE2" s="121"/>
      <c r="BF2" s="121"/>
      <c r="BH2" s="121"/>
      <c r="BI2" s="121"/>
      <c r="BJ2" s="121"/>
      <c r="BL2" s="121"/>
      <c r="BM2" s="681"/>
    </row>
    <row r="3" spans="1:112" ht="39" customHeight="1">
      <c r="A3" s="754"/>
      <c r="B3" s="754"/>
      <c r="C3" s="754"/>
      <c r="D3" s="500"/>
      <c r="E3" s="808" t="str">
        <f>Preferences.EnergyUnits</f>
        <v>TWh</v>
      </c>
      <c r="G3" s="994" t="s">
        <v>751</v>
      </c>
      <c r="H3" s="994"/>
      <c r="I3" s="994"/>
      <c r="J3" s="994"/>
      <c r="K3" s="994"/>
      <c r="L3" s="994"/>
      <c r="M3" s="994"/>
      <c r="N3" s="994"/>
      <c r="O3" s="994"/>
      <c r="P3" s="994"/>
      <c r="Q3" s="994"/>
      <c r="S3" s="1133" t="s">
        <v>689</v>
      </c>
      <c r="T3" s="1134"/>
      <c r="U3" s="1134"/>
      <c r="V3" s="1134"/>
      <c r="W3" s="1134"/>
      <c r="X3" s="1138"/>
      <c r="Y3" s="1134"/>
      <c r="Z3" s="1134"/>
      <c r="AA3" s="1134"/>
      <c r="AB3" s="1134"/>
      <c r="AC3" s="1134"/>
      <c r="AD3" s="1134"/>
      <c r="AE3" s="1134"/>
      <c r="AF3" s="1134"/>
      <c r="AG3" s="1134"/>
      <c r="AH3" s="1134"/>
      <c r="AI3" s="1134"/>
      <c r="AJ3" s="1134"/>
      <c r="AK3" s="1137"/>
      <c r="AM3" s="1135" t="s">
        <v>1063</v>
      </c>
      <c r="AN3" s="1136"/>
      <c r="AO3" s="1136"/>
      <c r="AP3" s="1139"/>
      <c r="AQ3" s="1136"/>
      <c r="AR3" s="1136"/>
      <c r="AS3" s="1136"/>
      <c r="AT3" s="1136"/>
      <c r="AU3" s="1136"/>
      <c r="AV3" s="1136"/>
      <c r="AW3" s="1136"/>
      <c r="AX3" s="1136"/>
      <c r="AY3" s="1136"/>
      <c r="AZ3" s="1136"/>
      <c r="BA3" s="1136"/>
      <c r="BB3" s="1136"/>
      <c r="BC3" s="1136"/>
      <c r="BD3" s="1136"/>
      <c r="BE3" s="1136"/>
      <c r="BF3" s="1140"/>
      <c r="BH3" s="1025" t="s">
        <v>944</v>
      </c>
      <c r="BI3" s="1003"/>
      <c r="BJ3" s="1003"/>
      <c r="BL3" s="504"/>
      <c r="BM3" s="504"/>
      <c r="BN3" s="754"/>
      <c r="BO3" s="1142" t="s">
        <v>1067</v>
      </c>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3"/>
      <c r="CM3" s="1143"/>
      <c r="CN3" s="1143"/>
      <c r="CO3" s="1143"/>
      <c r="CP3" s="1143"/>
      <c r="CQ3" s="1143"/>
      <c r="CR3" s="1143"/>
      <c r="CS3" s="1143"/>
      <c r="CT3" s="1143"/>
      <c r="CU3" s="1143"/>
      <c r="CV3" s="1143"/>
      <c r="CW3" s="1143"/>
      <c r="CX3" s="1143"/>
      <c r="CY3" s="1143"/>
      <c r="CZ3" s="1143"/>
      <c r="DA3" s="1143"/>
      <c r="DB3" s="1143"/>
      <c r="DC3" s="1280"/>
      <c r="DD3" s="1280"/>
      <c r="DE3" s="1280"/>
      <c r="DF3" s="1280"/>
    </row>
    <row r="4" spans="1:112" ht="36.75" customHeight="1">
      <c r="C4" s="505"/>
      <c r="D4" s="505"/>
      <c r="G4" s="966" t="str">
        <f>INDEX(Vectors[Description], MATCH(G$5,Vectors[Code],FALSE))</f>
        <v>Heating and cooling</v>
      </c>
      <c r="H4" s="966" t="str">
        <f>INDEX(Vectors[Description], MATCH(H$5,Vectors[Code],FALSE))</f>
        <v>Lighting &amp; appliances</v>
      </c>
      <c r="I4" s="966" t="str">
        <f>INDEX(Vectors[Description], MATCH(I$5,Vectors[Code],FALSE))</f>
        <v>Industry</v>
      </c>
      <c r="J4" s="966" t="str">
        <f>INDEX(Vectors[Description], MATCH(J$5,Vectors[Code],FALSE))</f>
        <v>Road transport</v>
      </c>
      <c r="K4" s="966" t="str">
        <f>INDEX(Vectors[Description], MATCH(K$5,Vectors[Code],FALSE))</f>
        <v>Rail transport</v>
      </c>
      <c r="L4" s="966" t="str">
        <f>INDEX(Vectors[Description], MATCH(L$5,Vectors[Code],FALSE))</f>
        <v>Domestic aviation</v>
      </c>
      <c r="M4" s="966" t="str">
        <f>INDEX(Vectors[Description], MATCH(M$5,Vectors[Code],FALSE))</f>
        <v>National navigation</v>
      </c>
      <c r="N4" s="966" t="str">
        <f>INDEX(Vectors[Description], MATCH(N$5,Vectors[Code],FALSE))</f>
        <v>International aviation</v>
      </c>
      <c r="O4" s="966" t="str">
        <f>INDEX(Vectors[Description], MATCH(O$5,Vectors[Code],FALSE))</f>
        <v>International shipping</v>
      </c>
      <c r="P4" s="966" t="str">
        <f>INDEX(Vectors[Description], MATCH(P$5,Vectors[Code],FALSE))</f>
        <v>Food consumption [UNUSED]</v>
      </c>
      <c r="Q4" s="983" t="s">
        <v>949</v>
      </c>
      <c r="S4" s="967" t="str">
        <f>INDEX(Vectors[Description], MATCH(S$5,Vectors[Code],FALSE))</f>
        <v>Electricity (delivered to end user)</v>
      </c>
      <c r="T4" s="967" t="str">
        <f>INDEX(Vectors[Description], MATCH(T$5,Vectors[Code],FALSE))</f>
        <v>Electricity (supplied to grid)</v>
      </c>
      <c r="U4" s="967" t="str">
        <f>INDEX(Vectors[Description], MATCH(U$5,Vectors[Code],FALSE))</f>
        <v>Solid hydrocarbons</v>
      </c>
      <c r="V4" s="967" t="str">
        <f>INDEX(Vectors[Description], MATCH(V$5,Vectors[Code],FALSE))</f>
        <v>Liquid hydrocarbons</v>
      </c>
      <c r="W4" s="967" t="str">
        <f>INDEX(Vectors[Description], MATCH(W$5,Vectors[Code],FALSE))</f>
        <v>Gaseous hydrocarbons</v>
      </c>
      <c r="X4" s="967" t="str">
        <f>INDEX(Vectors[Description], MATCH(X$5,Vectors[Code],FALSE))</f>
        <v>Coal and fossil waste</v>
      </c>
      <c r="Y4" s="967" t="str">
        <f>INDEX(Vectors[Description], MATCH(Y$5,Vectors[Code],FALSE))</f>
        <v>Oil and petroleum products</v>
      </c>
      <c r="Z4" s="967" t="str">
        <f>INDEX(Vectors[Description], MATCH(Z$5,Vectors[Code],FALSE))</f>
        <v>Natural gas</v>
      </c>
      <c r="AA4" s="967" t="str">
        <f>INDEX(Vectors[Description], MATCH(AA$5,Vectors[Code],FALSE))</f>
        <v>Blast furnace gas</v>
      </c>
      <c r="AB4" s="967" t="str">
        <f>INDEX(Vectors[Description], MATCH(AB$5,Vectors[Code],FALSE))</f>
        <v>Heat transport</v>
      </c>
      <c r="AC4" s="967" t="str">
        <f>INDEX(Vectors[Description], MATCH(AC$5,Vectors[Code],FALSE))</f>
        <v>Edible biomatter</v>
      </c>
      <c r="AD4" s="967" t="str">
        <f>INDEX(Vectors[Description], MATCH(AD$5,Vectors[Code],FALSE))</f>
        <v>Energy crops (second generation)</v>
      </c>
      <c r="AE4" s="967" t="str">
        <f>INDEX(Vectors[Description], MATCH(AE$5,Vectors[Code],FALSE))</f>
        <v>Energy crops (first generation)</v>
      </c>
      <c r="AF4" s="967" t="str">
        <f>INDEX(Vectors[Description], MATCH(AF$5,Vectors[Code],FALSE))</f>
        <v>Dry biomatter and waste</v>
      </c>
      <c r="AG4" s="967" t="str">
        <f>INDEX(Vectors[Description], MATCH(AG$5,Vectors[Code],FALSE))</f>
        <v>Wet biomatter and waste</v>
      </c>
      <c r="AH4" s="967" t="str">
        <f>INDEX(Vectors[Description], MATCH(AH$5,Vectors[Code],FALSE))</f>
        <v>Gaseous waste</v>
      </c>
      <c r="AI4" s="967" t="str">
        <f>INDEX(Vectors[Description], MATCH(AI$5,Vectors[Code],FALSE))</f>
        <v>Domestic solar thermal</v>
      </c>
      <c r="AJ4" s="967" t="str">
        <f>INDEX(Vectors[Description], MATCH(AJ$5,Vectors[Code],FALSE))</f>
        <v>H2</v>
      </c>
      <c r="AK4" s="997" t="s">
        <v>685</v>
      </c>
      <c r="AM4" s="981" t="str">
        <f>INDEX(Vectors[Description], MATCH(AM$5,Vectors[Code],FALSE))</f>
        <v>Coal reserves</v>
      </c>
      <c r="AN4" s="981" t="str">
        <f>INDEX(Vectors[Description], MATCH(AN$5,Vectors[Code],FALSE))</f>
        <v>Oil reserves</v>
      </c>
      <c r="AO4" s="981" t="str">
        <f>INDEX(Vectors[Description], MATCH(AO$5,Vectors[Code],FALSE))</f>
        <v>Gas reserves</v>
      </c>
      <c r="AP4" s="981" t="str">
        <f>INDEX(Vectors[Description], MATCH(AP$5,Vectors[Code],FALSE))</f>
        <v>Biomatter exports (imports)</v>
      </c>
      <c r="AQ4" s="981" t="str">
        <f>INDEX(Vectors[Description], MATCH(AQ$5,Vectors[Code],FALSE))</f>
        <v>Electricity exports (imports)</v>
      </c>
      <c r="AR4" s="981" t="str">
        <f>INDEX(Vectors[Description], MATCH(AR$5,Vectors[Code],FALSE))</f>
        <v>Petroleum products exports</v>
      </c>
      <c r="AS4" s="981" t="str">
        <f>INDEX(Vectors[Description], MATCH(AS$5,Vectors[Code],FALSE))</f>
        <v>Coal exports (imports)</v>
      </c>
      <c r="AT4" s="981" t="str">
        <f>INDEX(Vectors[Description], MATCH(AT$5,Vectors[Code],FALSE))</f>
        <v>Oil and petroleum products exports (imports)</v>
      </c>
      <c r="AU4" s="981" t="str">
        <f>INDEX(Vectors[Description], MATCH(AU$5,Vectors[Code],FALSE))</f>
        <v>Gas exports (imports)</v>
      </c>
      <c r="AV4" s="981" t="str">
        <f>INDEX(Vectors[Description], MATCH(AV$5,Vectors[Code],FALSE))</f>
        <v>Nuclear fission</v>
      </c>
      <c r="AW4" s="981" t="str">
        <f>INDEX(Vectors[Description], MATCH(AW$5,Vectors[Code],FALSE))</f>
        <v>Solar</v>
      </c>
      <c r="AX4" s="981" t="str">
        <f>INDEX(Vectors[Description], MATCH(AX$5,Vectors[Code],FALSE))</f>
        <v>Wind</v>
      </c>
      <c r="AY4" s="981" t="str">
        <f>INDEX(Vectors[Description], MATCH(AY$5,Vectors[Code],FALSE))</f>
        <v>Tidal</v>
      </c>
      <c r="AZ4" s="981" t="str">
        <f>INDEX(Vectors[Description], MATCH(AZ$5,Vectors[Code],FALSE))</f>
        <v>Wave</v>
      </c>
      <c r="BA4" s="981" t="str">
        <f>INDEX(Vectors[Description], MATCH(BA$5,Vectors[Code],FALSE))</f>
        <v>Geothermal</v>
      </c>
      <c r="BB4" s="981" t="str">
        <f>INDEX(Vectors[Description], MATCH(BB$5,Vectors[Code],FALSE))</f>
        <v>Hydro</v>
      </c>
      <c r="BC4" s="981" t="str">
        <f>INDEX(Vectors[Description], MATCH(BC$5,Vectors[Code],FALSE))</f>
        <v>Environmental heat</v>
      </c>
      <c r="BD4" s="981" t="str">
        <f>INDEX(Vectors[Description], MATCH(BD$5,Vectors[Code],FALSE))</f>
        <v>Agriculture</v>
      </c>
      <c r="BE4" s="981" t="str">
        <f>INDEX(Vectors[Description], MATCH(BE$5,Vectors[Code],FALSE))</f>
        <v>Waste</v>
      </c>
      <c r="BF4" s="999" t="s">
        <v>686</v>
      </c>
      <c r="BH4" s="986" t="str">
        <f>INDEX(Vectors[Description], MATCH(BH$5,Vectors[Code],FALSE))</f>
        <v>Conversion losses</v>
      </c>
      <c r="BI4" s="986" t="str">
        <f>INDEX(Vectors[Description], MATCH(BI$5,Vectors[Code],FALSE))</f>
        <v>Distribution losses and own use</v>
      </c>
      <c r="BJ4" s="1001" t="s">
        <v>943</v>
      </c>
      <c r="BL4" s="507" t="str">
        <f>INDEX(Vectors[Description], MATCH(BL$5,Vectors[Code],FALSE))</f>
        <v>Unallocated</v>
      </c>
      <c r="BM4" s="507"/>
      <c r="BO4" s="1151" t="str">
        <f>INDEX(IPCC[Sector_description], MATCH(BO$5, IPCC[Sector_code], 0))</f>
        <v>Fuel Combustion</v>
      </c>
      <c r="BP4" s="1152"/>
      <c r="BQ4" s="1152"/>
      <c r="BR4" s="1153"/>
      <c r="BS4" s="1151" t="str">
        <f>INDEX(IPCC[Sector_description], MATCH(BS$5, IPCC[Sector_code], 0))</f>
        <v>Fugitive Emissions from Fuels</v>
      </c>
      <c r="BT4" s="1152"/>
      <c r="BU4" s="1152"/>
      <c r="BV4" s="1153"/>
      <c r="BW4" s="1151" t="str">
        <f>INDEX(IPCC[Sector_description], MATCH(BW$5, IPCC[Sector_code], 0))</f>
        <v>Industrial Processes</v>
      </c>
      <c r="BX4" s="1152"/>
      <c r="BY4" s="1152"/>
      <c r="BZ4" s="1153"/>
      <c r="CA4" s="1151" t="str">
        <f>INDEX(IPCC[Sector_description], MATCH(CA$5, IPCC[Sector_code], 0))</f>
        <v>Solvent and Other Product Use</v>
      </c>
      <c r="CB4" s="1152"/>
      <c r="CC4" s="1152"/>
      <c r="CD4" s="1153"/>
      <c r="CE4" s="1151" t="str">
        <f>INDEX(IPCC[Sector_description], MATCH(CE$5, IPCC[Sector_code], 0))</f>
        <v>Agriculture</v>
      </c>
      <c r="CF4" s="1152"/>
      <c r="CG4" s="1152"/>
      <c r="CH4" s="1153"/>
      <c r="CI4" s="1151" t="str">
        <f>INDEX(IPCC[Sector_description], MATCH(CI$5, IPCC[Sector_code], 0))</f>
        <v>Land Use, Land-Use Change and Forestry</v>
      </c>
      <c r="CJ4" s="1152"/>
      <c r="CK4" s="1152"/>
      <c r="CL4" s="1153"/>
      <c r="CM4" s="1151" t="str">
        <f>INDEX(IPCC[Sector_description], MATCH(CM$5, IPCC[Sector_code], 0))</f>
        <v>Waste</v>
      </c>
      <c r="CN4" s="1152"/>
      <c r="CO4" s="1152"/>
      <c r="CP4" s="1153"/>
      <c r="CQ4" s="1151" t="str">
        <f>INDEX(IPCC[Sector_description], MATCH(CQ$5, IPCC[Sector_code], 0))</f>
        <v>Other</v>
      </c>
      <c r="CR4" s="1152"/>
      <c r="CS4" s="1152"/>
      <c r="CT4" s="1153"/>
      <c r="CU4" s="1151" t="str">
        <f>INDEX(IPCC[Sector_description], MATCH(CU$5, IPCC[Sector_code], 0))</f>
        <v>International Aviation and Shipping</v>
      </c>
      <c r="CV4" s="1152"/>
      <c r="CW4" s="1152"/>
      <c r="CX4" s="1153"/>
      <c r="CY4" s="1151" t="str">
        <f>INDEX(IPCC[Sector_description], MATCH(CY$5, IPCC[Sector_code], 0))</f>
        <v>Bioenergy credit</v>
      </c>
      <c r="CZ4" s="1152"/>
      <c r="DA4" s="1152"/>
      <c r="DB4" s="1153"/>
      <c r="DC4" s="1151" t="str">
        <f>INDEX(IPCC[Sector_description], MATCH(DC$5, IPCC[Sector_code], 0))</f>
        <v>Carbon capture</v>
      </c>
      <c r="DD4" s="1152"/>
      <c r="DE4" s="1152"/>
      <c r="DF4" s="1153"/>
      <c r="DH4" s="1479" t="s">
        <v>148</v>
      </c>
    </row>
    <row r="5" spans="1:112">
      <c r="D5" s="951" t="s">
        <v>200</v>
      </c>
      <c r="G5" s="984" t="s">
        <v>6</v>
      </c>
      <c r="H5" s="984" t="s">
        <v>57</v>
      </c>
      <c r="I5" s="984" t="s">
        <v>13</v>
      </c>
      <c r="J5" s="984" t="s">
        <v>36</v>
      </c>
      <c r="K5" s="984" t="s">
        <v>37</v>
      </c>
      <c r="L5" s="984" t="s">
        <v>38</v>
      </c>
      <c r="M5" s="984" t="s">
        <v>39</v>
      </c>
      <c r="N5" s="984" t="s">
        <v>966</v>
      </c>
      <c r="O5" s="984" t="s">
        <v>967</v>
      </c>
      <c r="P5" s="984" t="s">
        <v>40</v>
      </c>
      <c r="Q5" s="984"/>
      <c r="S5" s="985" t="s">
        <v>45</v>
      </c>
      <c r="T5" s="985" t="s">
        <v>46</v>
      </c>
      <c r="U5" s="985" t="s">
        <v>47</v>
      </c>
      <c r="V5" s="985" t="s">
        <v>49</v>
      </c>
      <c r="W5" s="985" t="s">
        <v>50</v>
      </c>
      <c r="X5" s="985" t="s">
        <v>64</v>
      </c>
      <c r="Y5" s="985" t="s">
        <v>65</v>
      </c>
      <c r="Z5" s="985" t="s">
        <v>66</v>
      </c>
      <c r="AA5" s="985" t="s">
        <v>108</v>
      </c>
      <c r="AB5" s="985" t="s">
        <v>753</v>
      </c>
      <c r="AC5" s="985" t="s">
        <v>754</v>
      </c>
      <c r="AD5" s="985" t="s">
        <v>1801</v>
      </c>
      <c r="AE5" s="985" t="s">
        <v>2291</v>
      </c>
      <c r="AF5" s="985" t="s">
        <v>755</v>
      </c>
      <c r="AG5" s="985" t="s">
        <v>929</v>
      </c>
      <c r="AH5" s="985" t="s">
        <v>2294</v>
      </c>
      <c r="AI5" s="985" t="s">
        <v>1331</v>
      </c>
      <c r="AJ5" s="985" t="s">
        <v>1476</v>
      </c>
      <c r="AK5" s="985"/>
      <c r="AM5" s="982" t="s">
        <v>999</v>
      </c>
      <c r="AN5" s="982" t="s">
        <v>1000</v>
      </c>
      <c r="AO5" s="982" t="s">
        <v>1001</v>
      </c>
      <c r="AP5" s="982" t="s">
        <v>59</v>
      </c>
      <c r="AQ5" s="982" t="s">
        <v>60</v>
      </c>
      <c r="AR5" s="982" t="s">
        <v>799</v>
      </c>
      <c r="AS5" s="982" t="s">
        <v>991</v>
      </c>
      <c r="AT5" s="982" t="s">
        <v>992</v>
      </c>
      <c r="AU5" s="982" t="s">
        <v>993</v>
      </c>
      <c r="AV5" s="982" t="s">
        <v>7</v>
      </c>
      <c r="AW5" s="982" t="s">
        <v>33</v>
      </c>
      <c r="AX5" s="982" t="s">
        <v>8</v>
      </c>
      <c r="AY5" s="982" t="s">
        <v>9</v>
      </c>
      <c r="AZ5" s="982" t="s">
        <v>10</v>
      </c>
      <c r="BA5" s="982" t="s">
        <v>11</v>
      </c>
      <c r="BB5" s="982" t="s">
        <v>12</v>
      </c>
      <c r="BC5" s="982" t="s">
        <v>104</v>
      </c>
      <c r="BD5" s="982" t="s">
        <v>1027</v>
      </c>
      <c r="BE5" s="982" t="s">
        <v>54</v>
      </c>
      <c r="BF5" s="982"/>
      <c r="BH5" s="987" t="s">
        <v>34</v>
      </c>
      <c r="BI5" s="987" t="s">
        <v>35</v>
      </c>
      <c r="BJ5" s="987"/>
      <c r="BL5" s="502" t="s">
        <v>61</v>
      </c>
      <c r="BM5" s="502"/>
      <c r="BO5" s="1154" t="s">
        <v>1065</v>
      </c>
      <c r="BP5" s="1155" t="s">
        <v>1065</v>
      </c>
      <c r="BQ5" s="1155" t="s">
        <v>1065</v>
      </c>
      <c r="BR5" s="1156" t="s">
        <v>1065</v>
      </c>
      <c r="BS5" s="1154" t="s">
        <v>1064</v>
      </c>
      <c r="BT5" s="1155" t="s">
        <v>1064</v>
      </c>
      <c r="BU5" s="1155" t="s">
        <v>1064</v>
      </c>
      <c r="BV5" s="1156" t="s">
        <v>1064</v>
      </c>
      <c r="BW5" s="1154">
        <v>2</v>
      </c>
      <c r="BX5" s="1155">
        <v>2</v>
      </c>
      <c r="BY5" s="1155">
        <v>2</v>
      </c>
      <c r="BZ5" s="1156">
        <v>2</v>
      </c>
      <c r="CA5" s="1154">
        <v>3</v>
      </c>
      <c r="CB5" s="1155">
        <v>3</v>
      </c>
      <c r="CC5" s="1155">
        <v>3</v>
      </c>
      <c r="CD5" s="1156">
        <v>3</v>
      </c>
      <c r="CE5" s="1154">
        <v>4</v>
      </c>
      <c r="CF5" s="1155">
        <v>4</v>
      </c>
      <c r="CG5" s="1155">
        <v>4</v>
      </c>
      <c r="CH5" s="1156">
        <v>4</v>
      </c>
      <c r="CI5" s="1154">
        <v>5</v>
      </c>
      <c r="CJ5" s="1155">
        <v>5</v>
      </c>
      <c r="CK5" s="1155">
        <v>5</v>
      </c>
      <c r="CL5" s="1156">
        <v>5</v>
      </c>
      <c r="CM5" s="1154">
        <v>6</v>
      </c>
      <c r="CN5" s="1155">
        <v>6</v>
      </c>
      <c r="CO5" s="1155">
        <v>6</v>
      </c>
      <c r="CP5" s="1156">
        <v>6</v>
      </c>
      <c r="CQ5" s="1154">
        <v>7</v>
      </c>
      <c r="CR5" s="1155">
        <v>7</v>
      </c>
      <c r="CS5" s="1155">
        <v>7</v>
      </c>
      <c r="CT5" s="1156">
        <v>7</v>
      </c>
      <c r="CU5" s="1154" t="s">
        <v>1050</v>
      </c>
      <c r="CV5" s="1155" t="s">
        <v>1050</v>
      </c>
      <c r="CW5" s="1155" t="s">
        <v>1050</v>
      </c>
      <c r="CX5" s="1156" t="s">
        <v>1050</v>
      </c>
      <c r="CY5" s="1154" t="s">
        <v>1051</v>
      </c>
      <c r="CZ5" s="1155" t="s">
        <v>1051</v>
      </c>
      <c r="DA5" s="1155" t="s">
        <v>1051</v>
      </c>
      <c r="DB5" s="1156" t="s">
        <v>1051</v>
      </c>
      <c r="DC5" s="1154" t="s">
        <v>1078</v>
      </c>
      <c r="DD5" s="1155" t="s">
        <v>1078</v>
      </c>
      <c r="DE5" s="1155" t="s">
        <v>1078</v>
      </c>
      <c r="DF5" s="1156" t="s">
        <v>1078</v>
      </c>
    </row>
    <row r="6" spans="1:112" ht="15.75" customHeight="1">
      <c r="G6" s="955"/>
      <c r="H6" s="955"/>
      <c r="I6" s="955"/>
      <c r="J6" s="955"/>
      <c r="K6" s="956"/>
      <c r="L6" s="955"/>
      <c r="M6" s="955"/>
      <c r="N6" s="955"/>
      <c r="O6" s="955"/>
      <c r="P6" s="955"/>
      <c r="Q6" s="955"/>
      <c r="S6" s="968"/>
      <c r="T6" s="968"/>
      <c r="U6" s="968"/>
      <c r="V6" s="968"/>
      <c r="W6" s="968"/>
      <c r="X6" s="968"/>
      <c r="Y6" s="968"/>
      <c r="Z6" s="968"/>
      <c r="AA6" s="968"/>
      <c r="AB6" s="968"/>
      <c r="AC6" s="968"/>
      <c r="AD6" s="968"/>
      <c r="AE6" s="968"/>
      <c r="AF6" s="968"/>
      <c r="AG6" s="968"/>
      <c r="AH6" s="968"/>
      <c r="AI6" s="968"/>
      <c r="AJ6" s="968"/>
      <c r="AK6" s="968"/>
      <c r="AM6" s="974"/>
      <c r="AN6" s="974"/>
      <c r="AO6" s="974"/>
      <c r="AP6" s="974"/>
      <c r="AQ6" s="974"/>
      <c r="AR6" s="974"/>
      <c r="AS6" s="974"/>
      <c r="AT6" s="974"/>
      <c r="AU6" s="974"/>
      <c r="AV6" s="974"/>
      <c r="AW6" s="974"/>
      <c r="AX6" s="974"/>
      <c r="AY6" s="974"/>
      <c r="AZ6" s="974"/>
      <c r="BA6" s="974"/>
      <c r="BB6" s="974"/>
      <c r="BC6" s="974"/>
      <c r="BD6" s="974"/>
      <c r="BE6" s="974"/>
      <c r="BF6" s="974"/>
      <c r="BH6" s="988"/>
      <c r="BI6" s="988"/>
      <c r="BJ6" s="988"/>
      <c r="BL6" s="511"/>
      <c r="BM6" s="511"/>
      <c r="BO6" s="1144" t="s">
        <v>1055</v>
      </c>
      <c r="BP6" s="1144" t="s">
        <v>1056</v>
      </c>
      <c r="BQ6" s="1144" t="s">
        <v>1057</v>
      </c>
      <c r="BR6" s="1144" t="s">
        <v>1058</v>
      </c>
      <c r="BS6" s="1144" t="s">
        <v>1055</v>
      </c>
      <c r="BT6" s="1144" t="s">
        <v>1056</v>
      </c>
      <c r="BU6" s="1144" t="s">
        <v>1057</v>
      </c>
      <c r="BV6" s="1144" t="s">
        <v>1058</v>
      </c>
      <c r="BW6" s="1144" t="s">
        <v>1055</v>
      </c>
      <c r="BX6" s="1144" t="s">
        <v>1056</v>
      </c>
      <c r="BY6" s="1144" t="s">
        <v>1057</v>
      </c>
      <c r="BZ6" s="1144" t="s">
        <v>1058</v>
      </c>
      <c r="CA6" s="1144" t="s">
        <v>1055</v>
      </c>
      <c r="CB6" s="1144" t="s">
        <v>1056</v>
      </c>
      <c r="CC6" s="1144" t="s">
        <v>1057</v>
      </c>
      <c r="CD6" s="1144" t="s">
        <v>1058</v>
      </c>
      <c r="CE6" s="1144" t="s">
        <v>1055</v>
      </c>
      <c r="CF6" s="1144" t="s">
        <v>1056</v>
      </c>
      <c r="CG6" s="1144" t="s">
        <v>1057</v>
      </c>
      <c r="CH6" s="1144" t="s">
        <v>1058</v>
      </c>
      <c r="CI6" s="1144" t="s">
        <v>1055</v>
      </c>
      <c r="CJ6" s="1144" t="s">
        <v>1056</v>
      </c>
      <c r="CK6" s="1144" t="s">
        <v>1057</v>
      </c>
      <c r="CL6" s="1144" t="s">
        <v>1058</v>
      </c>
      <c r="CM6" s="1144" t="s">
        <v>1055</v>
      </c>
      <c r="CN6" s="1144" t="s">
        <v>1056</v>
      </c>
      <c r="CO6" s="1144" t="s">
        <v>1057</v>
      </c>
      <c r="CP6" s="1144" t="s">
        <v>1058</v>
      </c>
      <c r="CQ6" s="1144" t="s">
        <v>1055</v>
      </c>
      <c r="CR6" s="1144" t="s">
        <v>1056</v>
      </c>
      <c r="CS6" s="1144" t="s">
        <v>1057</v>
      </c>
      <c r="CT6" s="1144" t="s">
        <v>1058</v>
      </c>
      <c r="CU6" s="1144" t="s">
        <v>1055</v>
      </c>
      <c r="CV6" s="1144" t="s">
        <v>1056</v>
      </c>
      <c r="CW6" s="1144" t="s">
        <v>1057</v>
      </c>
      <c r="CX6" s="1144" t="s">
        <v>1058</v>
      </c>
      <c r="CY6" s="1144" t="s">
        <v>1055</v>
      </c>
      <c r="CZ6" s="1144" t="s">
        <v>1056</v>
      </c>
      <c r="DA6" s="1144" t="s">
        <v>1057</v>
      </c>
      <c r="DB6" s="1144" t="s">
        <v>1058</v>
      </c>
      <c r="DC6" s="1144" t="s">
        <v>1055</v>
      </c>
      <c r="DD6" s="1144" t="s">
        <v>1056</v>
      </c>
      <c r="DE6" s="1144" t="s">
        <v>1057</v>
      </c>
      <c r="DF6" s="1144" t="s">
        <v>1058</v>
      </c>
    </row>
    <row r="7" spans="1:112" ht="18" customHeight="1">
      <c r="C7" s="501" t="s">
        <v>592</v>
      </c>
      <c r="D7" s="501"/>
      <c r="E7" s="639"/>
      <c r="G7" s="957"/>
      <c r="H7" s="957"/>
      <c r="I7" s="957"/>
      <c r="J7" s="957"/>
      <c r="K7" s="957"/>
      <c r="L7" s="957"/>
      <c r="M7" s="957"/>
      <c r="N7" s="957"/>
      <c r="O7" s="957"/>
      <c r="P7" s="957"/>
      <c r="Q7" s="957"/>
      <c r="S7" s="969"/>
      <c r="T7" s="969"/>
      <c r="U7" s="969"/>
      <c r="V7" s="969"/>
      <c r="W7" s="969"/>
      <c r="X7" s="969"/>
      <c r="Y7" s="969"/>
      <c r="Z7" s="969"/>
      <c r="AA7" s="969"/>
      <c r="AB7" s="969"/>
      <c r="AC7" s="969"/>
      <c r="AD7" s="969"/>
      <c r="AE7" s="969"/>
      <c r="AF7" s="969"/>
      <c r="AG7" s="969"/>
      <c r="AH7" s="969"/>
      <c r="AI7" s="969"/>
      <c r="AJ7" s="969"/>
      <c r="AK7" s="969"/>
      <c r="AM7" s="975"/>
      <c r="AN7" s="975"/>
      <c r="AO7" s="975"/>
      <c r="AP7" s="975"/>
      <c r="AQ7" s="975"/>
      <c r="AR7" s="975"/>
      <c r="AS7" s="975"/>
      <c r="AT7" s="975"/>
      <c r="AU7" s="975"/>
      <c r="AV7" s="975"/>
      <c r="AW7" s="975"/>
      <c r="AX7" s="975"/>
      <c r="AY7" s="975"/>
      <c r="AZ7" s="975"/>
      <c r="BA7" s="975"/>
      <c r="BB7" s="975"/>
      <c r="BC7" s="975"/>
      <c r="BD7" s="975"/>
      <c r="BE7" s="975"/>
      <c r="BF7" s="975"/>
      <c r="BH7" s="989"/>
      <c r="BI7" s="989"/>
      <c r="BJ7" s="989"/>
      <c r="BL7" s="514"/>
      <c r="BM7" s="514"/>
      <c r="BO7" s="1145"/>
      <c r="BP7" s="1145"/>
      <c r="BQ7" s="1145"/>
      <c r="BR7" s="1145"/>
      <c r="BS7" s="1145"/>
      <c r="BT7" s="1145"/>
      <c r="BU7" s="1145"/>
      <c r="BV7" s="1145"/>
      <c r="BW7" s="1145"/>
      <c r="BX7" s="1145"/>
      <c r="BY7" s="1145"/>
      <c r="BZ7" s="1145"/>
      <c r="CA7" s="1145"/>
      <c r="CB7" s="1145"/>
      <c r="CC7" s="1145"/>
      <c r="CD7" s="1145"/>
      <c r="CE7" s="1145"/>
      <c r="CF7" s="1145"/>
      <c r="CG7" s="1145"/>
      <c r="CH7" s="1145"/>
      <c r="CI7" s="1145"/>
      <c r="CJ7" s="1145"/>
      <c r="CK7" s="1145"/>
      <c r="CL7" s="1145"/>
      <c r="CM7" s="1145"/>
      <c r="CN7" s="1145"/>
      <c r="CO7" s="1145"/>
      <c r="CP7" s="1145"/>
      <c r="CQ7" s="1145"/>
      <c r="CR7" s="1145"/>
      <c r="CS7" s="1145"/>
      <c r="CT7" s="1145"/>
      <c r="CU7" s="1145"/>
      <c r="CV7" s="1145"/>
      <c r="CW7" s="1145"/>
      <c r="CX7" s="1145"/>
      <c r="CY7" s="1145"/>
      <c r="CZ7" s="1145"/>
      <c r="DA7" s="1145"/>
      <c r="DB7" s="1145"/>
      <c r="DC7" s="1145"/>
      <c r="DD7" s="1145"/>
      <c r="DE7" s="1145"/>
      <c r="DF7" s="1145"/>
    </row>
    <row r="8" spans="1:112" ht="6" hidden="1" customHeight="1" outlineLevel="1">
      <c r="G8" s="958"/>
      <c r="H8" s="958"/>
      <c r="I8" s="958"/>
      <c r="J8" s="958"/>
      <c r="K8" s="959"/>
      <c r="L8" s="958"/>
      <c r="M8" s="958"/>
      <c r="N8" s="958"/>
      <c r="O8" s="958"/>
      <c r="P8" s="958"/>
      <c r="Q8" s="958"/>
      <c r="S8" s="970"/>
      <c r="T8" s="970"/>
      <c r="U8" s="970"/>
      <c r="V8" s="970"/>
      <c r="W8" s="970"/>
      <c r="X8" s="970"/>
      <c r="Y8" s="970"/>
      <c r="Z8" s="970"/>
      <c r="AA8" s="970"/>
      <c r="AB8" s="970"/>
      <c r="AC8" s="970"/>
      <c r="AD8" s="970"/>
      <c r="AE8" s="970"/>
      <c r="AF8" s="970"/>
      <c r="AG8" s="970"/>
      <c r="AH8" s="970"/>
      <c r="AI8" s="970"/>
      <c r="AJ8" s="970"/>
      <c r="AK8" s="970"/>
      <c r="AM8" s="976"/>
      <c r="AN8" s="976"/>
      <c r="AO8" s="976"/>
      <c r="AP8" s="976"/>
      <c r="AQ8" s="976"/>
      <c r="AR8" s="976"/>
      <c r="AS8" s="976"/>
      <c r="AT8" s="976"/>
      <c r="AU8" s="976"/>
      <c r="AV8" s="976"/>
      <c r="AW8" s="976"/>
      <c r="AX8" s="976"/>
      <c r="AY8" s="976"/>
      <c r="AZ8" s="976"/>
      <c r="BA8" s="976"/>
      <c r="BB8" s="976"/>
      <c r="BC8" s="976"/>
      <c r="BD8" s="976"/>
      <c r="BE8" s="976"/>
      <c r="BF8" s="976"/>
      <c r="BH8" s="990"/>
      <c r="BI8" s="990"/>
      <c r="BJ8" s="990"/>
      <c r="BL8" s="515"/>
      <c r="BM8" s="515"/>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1146"/>
      <c r="DA8" s="1146"/>
      <c r="DB8" s="1146"/>
      <c r="DC8" s="1146"/>
      <c r="DD8" s="1146"/>
      <c r="DE8" s="1146"/>
      <c r="DF8" s="1146"/>
    </row>
    <row r="9" spans="1:112" s="743" customFormat="1" ht="10.5" hidden="1" customHeight="1" outlineLevel="2">
      <c r="A9" s="1480"/>
      <c r="B9" s="1480"/>
      <c r="C9" s="746" t="s">
        <v>829</v>
      </c>
      <c r="D9" s="1480" t="str">
        <f>INDEX(Modules[Module], MATCH($C9, Modules[Code], 0))</f>
        <v>Domestic space heating and hot water</v>
      </c>
      <c r="E9" s="521"/>
      <c r="G9" s="1017">
        <f ca="1">IFERROR(INDEX(INDIRECT($C9&amp;".Outputs["&amp;this.Year&amp;"]"), MATCH(G$5, INDIRECT($C9&amp;".Outputs[Vector]"), 0)), 0)</f>
        <v>545.33230783123679</v>
      </c>
      <c r="H9" s="1017">
        <f t="shared" ref="H9:P9" ca="1" si="0">IFERROR(INDEX(INDIRECT($C9&amp;".Outputs["&amp;this.Year&amp;"]"), MATCH(H$5, INDIRECT($C9&amp;".Outputs[Vector]"), 0)), 0)</f>
        <v>0</v>
      </c>
      <c r="I9" s="1017">
        <f t="shared" ca="1" si="0"/>
        <v>0</v>
      </c>
      <c r="J9" s="1017">
        <f t="shared" ca="1" si="0"/>
        <v>0</v>
      </c>
      <c r="K9" s="1017">
        <f t="shared" ca="1" si="0"/>
        <v>0</v>
      </c>
      <c r="L9" s="1017">
        <f t="shared" ca="1" si="0"/>
        <v>0</v>
      </c>
      <c r="M9" s="1017">
        <f t="shared" ca="1" si="0"/>
        <v>0</v>
      </c>
      <c r="N9" s="1017">
        <f t="shared" ca="1" si="0"/>
        <v>0</v>
      </c>
      <c r="O9" s="1017">
        <f t="shared" ca="1" si="0"/>
        <v>0</v>
      </c>
      <c r="P9" s="1017">
        <f t="shared" ca="1" si="0"/>
        <v>0</v>
      </c>
      <c r="Q9" s="1019">
        <f t="shared" ref="Q9:Q15" ca="1" si="1">SUM(G9:P9)</f>
        <v>545.33230783123679</v>
      </c>
      <c r="S9" s="1026">
        <f t="shared" ref="S9:BE13" ca="1" si="2">IFERROR(INDEX(INDIRECT($C9&amp;".Outputs["&amp;this.Year&amp;"]"), MATCH(S$5, INDIRECT($C9&amp;".Outputs[Vector]"), 0)), 0)</f>
        <v>-53.337267548351917</v>
      </c>
      <c r="T9" s="1026">
        <f t="shared" ca="1" si="2"/>
        <v>0</v>
      </c>
      <c r="U9" s="1026">
        <f t="shared" ca="1" si="2"/>
        <v>-3.7487127342475199</v>
      </c>
      <c r="V9" s="1026">
        <f t="shared" ca="1" si="2"/>
        <v>-3.362247503912724</v>
      </c>
      <c r="W9" s="1026">
        <f t="shared" ca="1" si="2"/>
        <v>-484.88408004472456</v>
      </c>
      <c r="X9" s="1026">
        <f t="shared" ref="X9:Z10" ca="1" si="3">IFERROR(INDEX(INDIRECT($C9&amp;".Outputs["&amp;this.Year&amp;"]"), MATCH(X$5, INDIRECT($C9&amp;".Outputs[Vector]"), 0)), 0)</f>
        <v>0</v>
      </c>
      <c r="Y9" s="1026">
        <f t="shared" ca="1" si="3"/>
        <v>0</v>
      </c>
      <c r="Z9" s="1026">
        <f t="shared" ca="1" si="3"/>
        <v>0</v>
      </c>
      <c r="AA9" s="1026">
        <f t="shared" ca="1" si="2"/>
        <v>0</v>
      </c>
      <c r="AB9" s="1026">
        <f t="shared" ca="1" si="2"/>
        <v>0</v>
      </c>
      <c r="AC9" s="1026">
        <f t="shared" ca="1" si="2"/>
        <v>0</v>
      </c>
      <c r="AD9" s="1026">
        <f t="shared" ca="1" si="2"/>
        <v>0</v>
      </c>
      <c r="AE9" s="1026">
        <f t="shared" ca="1" si="2"/>
        <v>0</v>
      </c>
      <c r="AF9" s="1026">
        <f t="shared" ca="1" si="2"/>
        <v>0</v>
      </c>
      <c r="AG9" s="1026">
        <f t="shared" ca="1" si="2"/>
        <v>0</v>
      </c>
      <c r="AH9" s="1026">
        <f t="shared" ca="1" si="2"/>
        <v>0</v>
      </c>
      <c r="AI9" s="1026">
        <f t="shared" ca="1" si="2"/>
        <v>0</v>
      </c>
      <c r="AJ9" s="1026">
        <f t="shared" ca="1" si="2"/>
        <v>0</v>
      </c>
      <c r="AK9" s="1027">
        <f t="shared" ref="AK9:AK15" ca="1" si="4">SUM(S9:AJ9)</f>
        <v>-545.33230783123668</v>
      </c>
      <c r="AM9" s="1038">
        <f t="shared" ref="AM9:AU10" ca="1" si="5">IFERROR(INDEX(INDIRECT($C9&amp;".Outputs["&amp;this.Year&amp;"]"), MATCH(AM$5, INDIRECT($C9&amp;".Outputs[Vector]"), 0)), 0)</f>
        <v>0</v>
      </c>
      <c r="AN9" s="1038">
        <f t="shared" ca="1" si="5"/>
        <v>0</v>
      </c>
      <c r="AO9" s="1038">
        <f t="shared" ca="1" si="5"/>
        <v>0</v>
      </c>
      <c r="AP9" s="1038">
        <f t="shared" ca="1" si="5"/>
        <v>0</v>
      </c>
      <c r="AQ9" s="1038">
        <f t="shared" ca="1" si="5"/>
        <v>0</v>
      </c>
      <c r="AR9" s="1038">
        <f t="shared" ca="1" si="5"/>
        <v>0</v>
      </c>
      <c r="AS9" s="1038">
        <f t="shared" ca="1" si="5"/>
        <v>0</v>
      </c>
      <c r="AT9" s="1038">
        <f t="shared" ca="1" si="5"/>
        <v>0</v>
      </c>
      <c r="AU9" s="1038">
        <f t="shared" ca="1" si="5"/>
        <v>0</v>
      </c>
      <c r="AV9" s="1038">
        <f t="shared" ca="1" si="2"/>
        <v>0</v>
      </c>
      <c r="AW9" s="1038">
        <f t="shared" ca="1" si="2"/>
        <v>0</v>
      </c>
      <c r="AX9" s="1038">
        <f t="shared" ca="1" si="2"/>
        <v>0</v>
      </c>
      <c r="AY9" s="1038">
        <f t="shared" ca="1" si="2"/>
        <v>0</v>
      </c>
      <c r="AZ9" s="1038">
        <f t="shared" ca="1" si="2"/>
        <v>0</v>
      </c>
      <c r="BA9" s="1038">
        <f t="shared" ca="1" si="2"/>
        <v>0</v>
      </c>
      <c r="BB9" s="1038">
        <f t="shared" ca="1" si="2"/>
        <v>0</v>
      </c>
      <c r="BC9" s="1038">
        <f t="shared" ca="1" si="2"/>
        <v>0</v>
      </c>
      <c r="BD9" s="1038">
        <f t="shared" ca="1" si="2"/>
        <v>0</v>
      </c>
      <c r="BE9" s="1038">
        <f t="shared" ca="1" si="2"/>
        <v>0</v>
      </c>
      <c r="BF9" s="977">
        <f t="shared" ref="BF9:BF15" ca="1" si="6">SUM(AM9:BE9)</f>
        <v>0</v>
      </c>
      <c r="BH9" s="1032">
        <f t="shared" ref="BH9:BI13" ca="1" si="7">IFERROR(INDEX(INDIRECT($C9&amp;".Outputs["&amp;this.Year&amp;"]"), MATCH(BH$5, INDIRECT($C9&amp;".Outputs[Vector]"), 0)), 0)</f>
        <v>0</v>
      </c>
      <c r="BI9" s="1032">
        <f t="shared" ca="1" si="7"/>
        <v>0</v>
      </c>
      <c r="BJ9" s="1034">
        <f t="shared" ref="BJ9:BJ15" ca="1" si="8">SUM(BH9:BI9)</f>
        <v>0</v>
      </c>
      <c r="BL9" s="524">
        <f t="shared" ref="BL9:BL44" ca="1" si="9">Q9+AK9+BF9+BJ9</f>
        <v>1.1368683772161603E-13</v>
      </c>
      <c r="BM9" s="524"/>
      <c r="BN9" s="840"/>
      <c r="BO9" s="1481">
        <f t="shared" ref="BO9:BX10" ca="1" si="10">IFERROR(SUMIFS(INDIRECT($C9&amp;".Emissions["&amp;this.Year&amp;"]"), INDIRECT($C9&amp;".Emissions[GHG]"), BO$6, INDIRECT($C9&amp;".Emissions[IPCC Sector]"), BO$5),0)</f>
        <v>91.213836126355716</v>
      </c>
      <c r="BP9" s="1482">
        <f t="shared" ca="1" si="10"/>
        <v>0.18327585450958264</v>
      </c>
      <c r="BQ9" s="1482">
        <f t="shared" ca="1" si="10"/>
        <v>0.21769998125795353</v>
      </c>
      <c r="BR9" s="1482">
        <f t="shared" ca="1" si="10"/>
        <v>0</v>
      </c>
      <c r="BS9" s="1482">
        <f t="shared" ca="1" si="10"/>
        <v>0</v>
      </c>
      <c r="BT9" s="1482">
        <f t="shared" ca="1" si="10"/>
        <v>0</v>
      </c>
      <c r="BU9" s="1482">
        <f t="shared" ca="1" si="10"/>
        <v>0</v>
      </c>
      <c r="BV9" s="1482">
        <f t="shared" ca="1" si="10"/>
        <v>0</v>
      </c>
      <c r="BW9" s="1482">
        <f t="shared" ca="1" si="10"/>
        <v>0</v>
      </c>
      <c r="BX9" s="1482">
        <f t="shared" ca="1" si="10"/>
        <v>0</v>
      </c>
      <c r="BY9" s="1482">
        <f t="shared" ref="BY9:CH10" ca="1" si="11">IFERROR(SUMIFS(INDIRECT($C9&amp;".Emissions["&amp;this.Year&amp;"]"), INDIRECT($C9&amp;".Emissions[GHG]"), BY$6, INDIRECT($C9&amp;".Emissions[IPCC Sector]"), BY$5),0)</f>
        <v>0</v>
      </c>
      <c r="BZ9" s="1482">
        <f t="shared" ca="1" si="11"/>
        <v>0</v>
      </c>
      <c r="CA9" s="1482">
        <f t="shared" ca="1" si="11"/>
        <v>0</v>
      </c>
      <c r="CB9" s="1482">
        <f t="shared" ca="1" si="11"/>
        <v>0</v>
      </c>
      <c r="CC9" s="1482">
        <f t="shared" ca="1" si="11"/>
        <v>0</v>
      </c>
      <c r="CD9" s="1482">
        <f t="shared" ca="1" si="11"/>
        <v>0</v>
      </c>
      <c r="CE9" s="1482">
        <f t="shared" ca="1" si="11"/>
        <v>0</v>
      </c>
      <c r="CF9" s="1482">
        <f t="shared" ca="1" si="11"/>
        <v>0</v>
      </c>
      <c r="CG9" s="1482">
        <f t="shared" ca="1" si="11"/>
        <v>0</v>
      </c>
      <c r="CH9" s="1482">
        <f t="shared" ca="1" si="11"/>
        <v>0</v>
      </c>
      <c r="CI9" s="1482">
        <f t="shared" ref="CI9:CR10" ca="1" si="12">IFERROR(SUMIFS(INDIRECT($C9&amp;".Emissions["&amp;this.Year&amp;"]"), INDIRECT($C9&amp;".Emissions[GHG]"), CI$6, INDIRECT($C9&amp;".Emissions[IPCC Sector]"), CI$5),0)</f>
        <v>0</v>
      </c>
      <c r="CJ9" s="1482">
        <f t="shared" ca="1" si="12"/>
        <v>0</v>
      </c>
      <c r="CK9" s="1482">
        <f t="shared" ca="1" si="12"/>
        <v>0</v>
      </c>
      <c r="CL9" s="1482">
        <f t="shared" ca="1" si="12"/>
        <v>0</v>
      </c>
      <c r="CM9" s="1482">
        <f t="shared" ca="1" si="12"/>
        <v>0</v>
      </c>
      <c r="CN9" s="1482">
        <f t="shared" ca="1" si="12"/>
        <v>0</v>
      </c>
      <c r="CO9" s="1482">
        <f t="shared" ca="1" si="12"/>
        <v>0</v>
      </c>
      <c r="CP9" s="1482">
        <f t="shared" ca="1" si="12"/>
        <v>0</v>
      </c>
      <c r="CQ9" s="1482">
        <f t="shared" ca="1" si="12"/>
        <v>0</v>
      </c>
      <c r="CR9" s="1482">
        <f t="shared" ca="1" si="12"/>
        <v>0</v>
      </c>
      <c r="CS9" s="1482">
        <f t="shared" ref="CS9:DF10" ca="1" si="13">IFERROR(SUMIFS(INDIRECT($C9&amp;".Emissions["&amp;this.Year&amp;"]"), INDIRECT($C9&amp;".Emissions[GHG]"), CS$6, INDIRECT($C9&amp;".Emissions[IPCC Sector]"), CS$5),0)</f>
        <v>0</v>
      </c>
      <c r="CT9" s="1482">
        <f t="shared" ca="1" si="13"/>
        <v>0</v>
      </c>
      <c r="CU9" s="1482">
        <f t="shared" ca="1" si="13"/>
        <v>0</v>
      </c>
      <c r="CV9" s="1482">
        <f t="shared" ca="1" si="13"/>
        <v>0</v>
      </c>
      <c r="CW9" s="1482">
        <f t="shared" ca="1" si="13"/>
        <v>0</v>
      </c>
      <c r="CX9" s="1482">
        <f t="shared" ca="1" si="13"/>
        <v>0</v>
      </c>
      <c r="CY9" s="1482">
        <f t="shared" ca="1" si="13"/>
        <v>0</v>
      </c>
      <c r="CZ9" s="1482">
        <f t="shared" ca="1" si="13"/>
        <v>0</v>
      </c>
      <c r="DA9" s="1482">
        <f t="shared" ca="1" si="13"/>
        <v>0</v>
      </c>
      <c r="DB9" s="1482">
        <f t="shared" ca="1" si="13"/>
        <v>0</v>
      </c>
      <c r="DC9" s="1482">
        <f t="shared" ca="1" si="13"/>
        <v>0</v>
      </c>
      <c r="DD9" s="1482">
        <f t="shared" ca="1" si="13"/>
        <v>0</v>
      </c>
      <c r="DE9" s="1482">
        <f t="shared" ca="1" si="13"/>
        <v>0</v>
      </c>
      <c r="DF9" s="1482">
        <f t="shared" ca="1" si="13"/>
        <v>0</v>
      </c>
      <c r="DH9" s="838"/>
    </row>
    <row r="10" spans="1:112" s="743" customFormat="1" ht="10.5" hidden="1" customHeight="1" outlineLevel="2">
      <c r="A10" s="1483"/>
      <c r="B10" s="1483"/>
      <c r="C10" s="1009" t="s">
        <v>898</v>
      </c>
      <c r="D10" s="1483" t="str">
        <f>INDEX(Modules[Module], MATCH($C10, Modules[Code], 0))</f>
        <v>Domestic hot water [UNUSED - See IX.a]</v>
      </c>
      <c r="E10" s="1006"/>
      <c r="G10" s="1018">
        <f t="shared" ref="G10:P13" ca="1" si="14">IFERROR(INDEX(INDIRECT($C10&amp;".Outputs["&amp;this.Year&amp;"]"), MATCH(G$5, INDIRECT($C10&amp;".Outputs[Vector]"), 0)), 0)</f>
        <v>0</v>
      </c>
      <c r="H10" s="1018">
        <f t="shared" ca="1" si="14"/>
        <v>0</v>
      </c>
      <c r="I10" s="1018">
        <f t="shared" ca="1" si="14"/>
        <v>0</v>
      </c>
      <c r="J10" s="1018">
        <f t="shared" ca="1" si="14"/>
        <v>0</v>
      </c>
      <c r="K10" s="1018">
        <f t="shared" ca="1" si="14"/>
        <v>0</v>
      </c>
      <c r="L10" s="1018">
        <f t="shared" ca="1" si="14"/>
        <v>0</v>
      </c>
      <c r="M10" s="1018">
        <f t="shared" ca="1" si="14"/>
        <v>0</v>
      </c>
      <c r="N10" s="1018">
        <f t="shared" ca="1" si="14"/>
        <v>0</v>
      </c>
      <c r="O10" s="1018">
        <f t="shared" ca="1" si="14"/>
        <v>0</v>
      </c>
      <c r="P10" s="1018">
        <f t="shared" ca="1" si="14"/>
        <v>0</v>
      </c>
      <c r="Q10" s="1024">
        <f t="shared" ca="1" si="1"/>
        <v>0</v>
      </c>
      <c r="S10" s="1028">
        <f t="shared" ca="1" si="2"/>
        <v>0</v>
      </c>
      <c r="T10" s="1028">
        <f t="shared" ca="1" si="2"/>
        <v>0</v>
      </c>
      <c r="U10" s="1028">
        <f t="shared" ca="1" si="2"/>
        <v>0</v>
      </c>
      <c r="V10" s="1028">
        <f t="shared" ca="1" si="2"/>
        <v>0</v>
      </c>
      <c r="W10" s="1028">
        <f t="shared" ca="1" si="2"/>
        <v>0</v>
      </c>
      <c r="X10" s="1028">
        <f t="shared" ca="1" si="3"/>
        <v>0</v>
      </c>
      <c r="Y10" s="1028">
        <f t="shared" ca="1" si="3"/>
        <v>0</v>
      </c>
      <c r="Z10" s="1028">
        <f t="shared" ca="1" si="3"/>
        <v>0</v>
      </c>
      <c r="AA10" s="1028">
        <f t="shared" ca="1" si="2"/>
        <v>0</v>
      </c>
      <c r="AB10" s="1028">
        <f t="shared" ca="1" si="2"/>
        <v>0</v>
      </c>
      <c r="AC10" s="1028">
        <f t="shared" ca="1" si="2"/>
        <v>0</v>
      </c>
      <c r="AD10" s="1028">
        <f t="shared" ca="1" si="2"/>
        <v>0</v>
      </c>
      <c r="AE10" s="1028">
        <f t="shared" ca="1" si="2"/>
        <v>0</v>
      </c>
      <c r="AF10" s="1028">
        <f t="shared" ca="1" si="2"/>
        <v>0</v>
      </c>
      <c r="AG10" s="1028">
        <f t="shared" ca="1" si="2"/>
        <v>0</v>
      </c>
      <c r="AH10" s="1028">
        <f t="shared" ca="1" si="2"/>
        <v>0</v>
      </c>
      <c r="AI10" s="1028">
        <f t="shared" ca="1" si="2"/>
        <v>0</v>
      </c>
      <c r="AJ10" s="1028">
        <f t="shared" ca="1" si="2"/>
        <v>0</v>
      </c>
      <c r="AK10" s="1029">
        <f t="shared" ca="1" si="4"/>
        <v>0</v>
      </c>
      <c r="AM10" s="1039">
        <f t="shared" ca="1" si="5"/>
        <v>0</v>
      </c>
      <c r="AN10" s="1039">
        <f t="shared" ca="1" si="5"/>
        <v>0</v>
      </c>
      <c r="AO10" s="1039">
        <f t="shared" ca="1" si="5"/>
        <v>0</v>
      </c>
      <c r="AP10" s="1039">
        <f t="shared" ca="1" si="5"/>
        <v>0</v>
      </c>
      <c r="AQ10" s="1039">
        <f t="shared" ca="1" si="5"/>
        <v>0</v>
      </c>
      <c r="AR10" s="1039">
        <f t="shared" ca="1" si="5"/>
        <v>0</v>
      </c>
      <c r="AS10" s="1039">
        <f t="shared" ca="1" si="5"/>
        <v>0</v>
      </c>
      <c r="AT10" s="1039">
        <f t="shared" ca="1" si="5"/>
        <v>0</v>
      </c>
      <c r="AU10" s="1039">
        <f t="shared" ca="1" si="5"/>
        <v>0</v>
      </c>
      <c r="AV10" s="1039">
        <f t="shared" ca="1" si="2"/>
        <v>0</v>
      </c>
      <c r="AW10" s="1039">
        <f t="shared" ca="1" si="2"/>
        <v>0</v>
      </c>
      <c r="AX10" s="1039">
        <f t="shared" ca="1" si="2"/>
        <v>0</v>
      </c>
      <c r="AY10" s="1039">
        <f t="shared" ca="1" si="2"/>
        <v>0</v>
      </c>
      <c r="AZ10" s="1039">
        <f t="shared" ca="1" si="2"/>
        <v>0</v>
      </c>
      <c r="BA10" s="1039">
        <f t="shared" ca="1" si="2"/>
        <v>0</v>
      </c>
      <c r="BB10" s="1039">
        <f t="shared" ca="1" si="2"/>
        <v>0</v>
      </c>
      <c r="BC10" s="1039">
        <f t="shared" ca="1" si="2"/>
        <v>0</v>
      </c>
      <c r="BD10" s="1039">
        <f t="shared" ca="1" si="2"/>
        <v>0</v>
      </c>
      <c r="BE10" s="1039">
        <f t="shared" ca="1" si="2"/>
        <v>0</v>
      </c>
      <c r="BF10" s="1008">
        <f t="shared" ca="1" si="6"/>
        <v>0</v>
      </c>
      <c r="BH10" s="1033">
        <f t="shared" ca="1" si="7"/>
        <v>0</v>
      </c>
      <c r="BI10" s="1033">
        <f t="shared" ca="1" si="7"/>
        <v>0</v>
      </c>
      <c r="BJ10" s="1044">
        <f t="shared" ca="1" si="8"/>
        <v>0</v>
      </c>
      <c r="BL10" s="1007">
        <f t="shared" ca="1" si="9"/>
        <v>0</v>
      </c>
      <c r="BM10" s="1007"/>
      <c r="BN10" s="840"/>
      <c r="BO10" s="1481">
        <f t="shared" ca="1" si="10"/>
        <v>0</v>
      </c>
      <c r="BP10" s="1482">
        <f t="shared" ca="1" si="10"/>
        <v>0</v>
      </c>
      <c r="BQ10" s="1482">
        <f t="shared" ca="1" si="10"/>
        <v>0</v>
      </c>
      <c r="BR10" s="1482">
        <f t="shared" ca="1" si="10"/>
        <v>0</v>
      </c>
      <c r="BS10" s="1482">
        <f t="shared" ca="1" si="10"/>
        <v>0</v>
      </c>
      <c r="BT10" s="1482">
        <f t="shared" ca="1" si="10"/>
        <v>0</v>
      </c>
      <c r="BU10" s="1482">
        <f t="shared" ca="1" si="10"/>
        <v>0</v>
      </c>
      <c r="BV10" s="1482">
        <f t="shared" ca="1" si="10"/>
        <v>0</v>
      </c>
      <c r="BW10" s="1482">
        <f t="shared" ca="1" si="10"/>
        <v>0</v>
      </c>
      <c r="BX10" s="1482">
        <f t="shared" ca="1" si="10"/>
        <v>0</v>
      </c>
      <c r="BY10" s="1482">
        <f t="shared" ca="1" si="11"/>
        <v>0</v>
      </c>
      <c r="BZ10" s="1482">
        <f t="shared" ca="1" si="11"/>
        <v>0</v>
      </c>
      <c r="CA10" s="1482">
        <f t="shared" ca="1" si="11"/>
        <v>0</v>
      </c>
      <c r="CB10" s="1482">
        <f t="shared" ca="1" si="11"/>
        <v>0</v>
      </c>
      <c r="CC10" s="1482">
        <f t="shared" ca="1" si="11"/>
        <v>0</v>
      </c>
      <c r="CD10" s="1482">
        <f t="shared" ca="1" si="11"/>
        <v>0</v>
      </c>
      <c r="CE10" s="1482">
        <f t="shared" ca="1" si="11"/>
        <v>0</v>
      </c>
      <c r="CF10" s="1482">
        <f t="shared" ca="1" si="11"/>
        <v>0</v>
      </c>
      <c r="CG10" s="1482">
        <f t="shared" ca="1" si="11"/>
        <v>0</v>
      </c>
      <c r="CH10" s="1482">
        <f t="shared" ca="1" si="11"/>
        <v>0</v>
      </c>
      <c r="CI10" s="1482">
        <f t="shared" ca="1" si="12"/>
        <v>0</v>
      </c>
      <c r="CJ10" s="1482">
        <f t="shared" ca="1" si="12"/>
        <v>0</v>
      </c>
      <c r="CK10" s="1482">
        <f t="shared" ca="1" si="12"/>
        <v>0</v>
      </c>
      <c r="CL10" s="1482">
        <f t="shared" ca="1" si="12"/>
        <v>0</v>
      </c>
      <c r="CM10" s="1482">
        <f t="shared" ca="1" si="12"/>
        <v>0</v>
      </c>
      <c r="CN10" s="1482">
        <f t="shared" ca="1" si="12"/>
        <v>0</v>
      </c>
      <c r="CO10" s="1482">
        <f t="shared" ca="1" si="12"/>
        <v>0</v>
      </c>
      <c r="CP10" s="1482">
        <f t="shared" ca="1" si="12"/>
        <v>0</v>
      </c>
      <c r="CQ10" s="1482">
        <f t="shared" ca="1" si="12"/>
        <v>0</v>
      </c>
      <c r="CR10" s="1482">
        <f t="shared" ca="1" si="12"/>
        <v>0</v>
      </c>
      <c r="CS10" s="1482">
        <f t="shared" ca="1" si="13"/>
        <v>0</v>
      </c>
      <c r="CT10" s="1482">
        <f t="shared" ca="1" si="13"/>
        <v>0</v>
      </c>
      <c r="CU10" s="1482">
        <f t="shared" ca="1" si="13"/>
        <v>0</v>
      </c>
      <c r="CV10" s="1482">
        <f t="shared" ca="1" si="13"/>
        <v>0</v>
      </c>
      <c r="CW10" s="1482">
        <f t="shared" ca="1" si="13"/>
        <v>0</v>
      </c>
      <c r="CX10" s="1482">
        <f t="shared" ca="1" si="13"/>
        <v>0</v>
      </c>
      <c r="CY10" s="1482">
        <f t="shared" ca="1" si="13"/>
        <v>0</v>
      </c>
      <c r="CZ10" s="1482">
        <f t="shared" ca="1" si="13"/>
        <v>0</v>
      </c>
      <c r="DA10" s="1482">
        <f t="shared" ca="1" si="13"/>
        <v>0</v>
      </c>
      <c r="DB10" s="1482">
        <f t="shared" ca="1" si="13"/>
        <v>0</v>
      </c>
      <c r="DC10" s="1482">
        <f t="shared" ca="1" si="13"/>
        <v>0</v>
      </c>
      <c r="DD10" s="1482">
        <f t="shared" ca="1" si="13"/>
        <v>0</v>
      </c>
      <c r="DE10" s="1482">
        <f t="shared" ca="1" si="13"/>
        <v>0</v>
      </c>
      <c r="DF10" s="1482">
        <f t="shared" ca="1" si="13"/>
        <v>0</v>
      </c>
      <c r="DH10" s="838"/>
    </row>
    <row r="11" spans="1:112" s="743" customFormat="1" ht="12.75" hidden="1" customHeight="1" outlineLevel="1">
      <c r="A11" s="1484"/>
      <c r="B11" s="1484"/>
      <c r="C11" s="746"/>
      <c r="D11" s="1484" t="s">
        <v>947</v>
      </c>
      <c r="E11" s="521"/>
      <c r="G11" s="1019">
        <f ca="1">SUM(G9:G10)</f>
        <v>545.33230783123679</v>
      </c>
      <c r="H11" s="1019">
        <f t="shared" ref="H11:P11" ca="1" si="15">SUM(H9:H10)</f>
        <v>0</v>
      </c>
      <c r="I11" s="1019">
        <f t="shared" ca="1" si="15"/>
        <v>0</v>
      </c>
      <c r="J11" s="1019">
        <f t="shared" ca="1" si="15"/>
        <v>0</v>
      </c>
      <c r="K11" s="1019">
        <f t="shared" ca="1" si="15"/>
        <v>0</v>
      </c>
      <c r="L11" s="1019">
        <f t="shared" ca="1" si="15"/>
        <v>0</v>
      </c>
      <c r="M11" s="1019">
        <f t="shared" ca="1" si="15"/>
        <v>0</v>
      </c>
      <c r="N11" s="1019">
        <f t="shared" ca="1" si="15"/>
        <v>0</v>
      </c>
      <c r="O11" s="1019">
        <f t="shared" ca="1" si="15"/>
        <v>0</v>
      </c>
      <c r="P11" s="1019">
        <f t="shared" ca="1" si="15"/>
        <v>0</v>
      </c>
      <c r="Q11" s="1019">
        <f t="shared" ca="1" si="1"/>
        <v>545.33230783123679</v>
      </c>
      <c r="S11" s="1027">
        <f ca="1">SUM(S9:S10)</f>
        <v>-53.337267548351917</v>
      </c>
      <c r="T11" s="1027">
        <f t="shared" ref="T11:AJ11" ca="1" si="16">SUM(T9:T10)</f>
        <v>0</v>
      </c>
      <c r="U11" s="1027">
        <f t="shared" ca="1" si="16"/>
        <v>-3.7487127342475199</v>
      </c>
      <c r="V11" s="1027">
        <f t="shared" ca="1" si="16"/>
        <v>-3.362247503912724</v>
      </c>
      <c r="W11" s="1027">
        <f t="shared" ca="1" si="16"/>
        <v>-484.88408004472456</v>
      </c>
      <c r="X11" s="1027">
        <f ca="1">SUM(X9:X10)</f>
        <v>0</v>
      </c>
      <c r="Y11" s="1027">
        <f ca="1">SUM(Y9:Y10)</f>
        <v>0</v>
      </c>
      <c r="Z11" s="1027">
        <f ca="1">SUM(Z9:Z10)</f>
        <v>0</v>
      </c>
      <c r="AA11" s="1027">
        <f t="shared" ca="1" si="16"/>
        <v>0</v>
      </c>
      <c r="AB11" s="1027">
        <f t="shared" ca="1" si="16"/>
        <v>0</v>
      </c>
      <c r="AC11" s="1027">
        <f t="shared" ca="1" si="16"/>
        <v>0</v>
      </c>
      <c r="AD11" s="1027">
        <f ca="1">SUM(AD9:AD10)</f>
        <v>0</v>
      </c>
      <c r="AE11" s="1027">
        <f ca="1">SUM(AE9:AE10)</f>
        <v>0</v>
      </c>
      <c r="AF11" s="1027">
        <f t="shared" ca="1" si="16"/>
        <v>0</v>
      </c>
      <c r="AG11" s="1027">
        <f ca="1">SUM(AG9:AG10)</f>
        <v>0</v>
      </c>
      <c r="AH11" s="1027">
        <f ca="1">SUM(AH9:AH10)</f>
        <v>0</v>
      </c>
      <c r="AI11" s="1027">
        <f ca="1">SUM(AI9:AI10)</f>
        <v>0</v>
      </c>
      <c r="AJ11" s="1027">
        <f t="shared" ca="1" si="16"/>
        <v>0</v>
      </c>
      <c r="AK11" s="1027">
        <f t="shared" ca="1" si="4"/>
        <v>-545.33230783123668</v>
      </c>
      <c r="AM11" s="1040">
        <f t="shared" ref="AM11:BE11" ca="1" si="17">SUM(AM9:AM10)</f>
        <v>0</v>
      </c>
      <c r="AN11" s="1040">
        <f t="shared" ca="1" si="17"/>
        <v>0</v>
      </c>
      <c r="AO11" s="1040">
        <f t="shared" ca="1" si="17"/>
        <v>0</v>
      </c>
      <c r="AP11" s="1040">
        <f t="shared" ca="1" si="17"/>
        <v>0</v>
      </c>
      <c r="AQ11" s="1040">
        <f t="shared" ca="1" si="17"/>
        <v>0</v>
      </c>
      <c r="AR11" s="1040">
        <f t="shared" ca="1" si="17"/>
        <v>0</v>
      </c>
      <c r="AS11" s="1040">
        <f t="shared" ca="1" si="17"/>
        <v>0</v>
      </c>
      <c r="AT11" s="1040">
        <f t="shared" ca="1" si="17"/>
        <v>0</v>
      </c>
      <c r="AU11" s="1040">
        <f t="shared" ca="1" si="17"/>
        <v>0</v>
      </c>
      <c r="AV11" s="1040">
        <f t="shared" ca="1" si="17"/>
        <v>0</v>
      </c>
      <c r="AW11" s="1040">
        <f t="shared" ca="1" si="17"/>
        <v>0</v>
      </c>
      <c r="AX11" s="1040">
        <f t="shared" ca="1" si="17"/>
        <v>0</v>
      </c>
      <c r="AY11" s="1040">
        <f t="shared" ca="1" si="17"/>
        <v>0</v>
      </c>
      <c r="AZ11" s="1040">
        <f t="shared" ca="1" si="17"/>
        <v>0</v>
      </c>
      <c r="BA11" s="1040">
        <f t="shared" ca="1" si="17"/>
        <v>0</v>
      </c>
      <c r="BB11" s="1040">
        <f t="shared" ca="1" si="17"/>
        <v>0</v>
      </c>
      <c r="BC11" s="1040">
        <f t="shared" ca="1" si="17"/>
        <v>0</v>
      </c>
      <c r="BD11" s="1040">
        <f t="shared" ca="1" si="17"/>
        <v>0</v>
      </c>
      <c r="BE11" s="1040">
        <f t="shared" ca="1" si="17"/>
        <v>0</v>
      </c>
      <c r="BF11" s="979">
        <f t="shared" ca="1" si="6"/>
        <v>0</v>
      </c>
      <c r="BH11" s="1034">
        <f ca="1">SUM(BH9:BH10)</f>
        <v>0</v>
      </c>
      <c r="BI11" s="1034">
        <f ca="1">SUM(BI9:BI10)</f>
        <v>0</v>
      </c>
      <c r="BJ11" s="1034">
        <f t="shared" ca="1" si="8"/>
        <v>0</v>
      </c>
      <c r="BL11" s="814">
        <f t="shared" ca="1" si="9"/>
        <v>1.1368683772161603E-13</v>
      </c>
      <c r="BM11" s="814"/>
      <c r="BN11" s="840"/>
      <c r="BO11" s="1481">
        <f t="shared" ref="BO11:DF11" ca="1" si="18">SUM(BO9:BO10)</f>
        <v>91.213836126355716</v>
      </c>
      <c r="BP11" s="1482">
        <f t="shared" ca="1" si="18"/>
        <v>0.18327585450958264</v>
      </c>
      <c r="BQ11" s="1482">
        <f t="shared" ca="1" si="18"/>
        <v>0.21769998125795353</v>
      </c>
      <c r="BR11" s="1482">
        <f t="shared" ca="1" si="18"/>
        <v>0</v>
      </c>
      <c r="BS11" s="1482">
        <f t="shared" ca="1" si="18"/>
        <v>0</v>
      </c>
      <c r="BT11" s="1482">
        <f t="shared" ca="1" si="18"/>
        <v>0</v>
      </c>
      <c r="BU11" s="1482">
        <f t="shared" ca="1" si="18"/>
        <v>0</v>
      </c>
      <c r="BV11" s="1482">
        <f t="shared" ca="1" si="18"/>
        <v>0</v>
      </c>
      <c r="BW11" s="1482">
        <f t="shared" ca="1" si="18"/>
        <v>0</v>
      </c>
      <c r="BX11" s="1482">
        <f t="shared" ca="1" si="18"/>
        <v>0</v>
      </c>
      <c r="BY11" s="1482">
        <f t="shared" ca="1" si="18"/>
        <v>0</v>
      </c>
      <c r="BZ11" s="1482">
        <f t="shared" ca="1" si="18"/>
        <v>0</v>
      </c>
      <c r="CA11" s="1482">
        <f t="shared" ca="1" si="18"/>
        <v>0</v>
      </c>
      <c r="CB11" s="1482">
        <f t="shared" ca="1" si="18"/>
        <v>0</v>
      </c>
      <c r="CC11" s="1482">
        <f t="shared" ca="1" si="18"/>
        <v>0</v>
      </c>
      <c r="CD11" s="1482">
        <f t="shared" ca="1" si="18"/>
        <v>0</v>
      </c>
      <c r="CE11" s="1482">
        <f t="shared" ca="1" si="18"/>
        <v>0</v>
      </c>
      <c r="CF11" s="1482">
        <f t="shared" ca="1" si="18"/>
        <v>0</v>
      </c>
      <c r="CG11" s="1482">
        <f t="shared" ca="1" si="18"/>
        <v>0</v>
      </c>
      <c r="CH11" s="1482">
        <f t="shared" ca="1" si="18"/>
        <v>0</v>
      </c>
      <c r="CI11" s="1482">
        <f t="shared" ca="1" si="18"/>
        <v>0</v>
      </c>
      <c r="CJ11" s="1482">
        <f t="shared" ca="1" si="18"/>
        <v>0</v>
      </c>
      <c r="CK11" s="1482">
        <f t="shared" ca="1" si="18"/>
        <v>0</v>
      </c>
      <c r="CL11" s="1482">
        <f t="shared" ca="1" si="18"/>
        <v>0</v>
      </c>
      <c r="CM11" s="1482">
        <f t="shared" ca="1" si="18"/>
        <v>0</v>
      </c>
      <c r="CN11" s="1482">
        <f t="shared" ca="1" si="18"/>
        <v>0</v>
      </c>
      <c r="CO11" s="1482">
        <f t="shared" ca="1" si="18"/>
        <v>0</v>
      </c>
      <c r="CP11" s="1482">
        <f t="shared" ca="1" si="18"/>
        <v>0</v>
      </c>
      <c r="CQ11" s="1482">
        <f t="shared" ca="1" si="18"/>
        <v>0</v>
      </c>
      <c r="CR11" s="1482">
        <f t="shared" ca="1" si="18"/>
        <v>0</v>
      </c>
      <c r="CS11" s="1482">
        <f t="shared" ca="1" si="18"/>
        <v>0</v>
      </c>
      <c r="CT11" s="1482">
        <f t="shared" ca="1" si="18"/>
        <v>0</v>
      </c>
      <c r="CU11" s="1482">
        <f t="shared" ca="1" si="18"/>
        <v>0</v>
      </c>
      <c r="CV11" s="1482">
        <f t="shared" ca="1" si="18"/>
        <v>0</v>
      </c>
      <c r="CW11" s="1482">
        <f t="shared" ca="1" si="18"/>
        <v>0</v>
      </c>
      <c r="CX11" s="1482">
        <f t="shared" ca="1" si="18"/>
        <v>0</v>
      </c>
      <c r="CY11" s="1482">
        <f t="shared" ca="1" si="18"/>
        <v>0</v>
      </c>
      <c r="CZ11" s="1482">
        <f t="shared" ca="1" si="18"/>
        <v>0</v>
      </c>
      <c r="DA11" s="1482">
        <f t="shared" ca="1" si="18"/>
        <v>0</v>
      </c>
      <c r="DB11" s="1482">
        <f t="shared" ca="1" si="18"/>
        <v>0</v>
      </c>
      <c r="DC11" s="1482">
        <f t="shared" ca="1" si="18"/>
        <v>0</v>
      </c>
      <c r="DD11" s="1482">
        <f t="shared" ca="1" si="18"/>
        <v>0</v>
      </c>
      <c r="DE11" s="1482">
        <f t="shared" ca="1" si="18"/>
        <v>0</v>
      </c>
      <c r="DF11" s="1482">
        <f t="shared" ca="1" si="18"/>
        <v>0</v>
      </c>
      <c r="DH11" s="838"/>
    </row>
    <row r="12" spans="1:112" s="743" customFormat="1" ht="10.5" hidden="1" customHeight="1" outlineLevel="2">
      <c r="A12" s="1480"/>
      <c r="B12" s="1480"/>
      <c r="C12" s="746" t="s">
        <v>945</v>
      </c>
      <c r="D12" s="1480" t="str">
        <f>INDEX(Modules[Module], MATCH($C12, Modules[Code], 0))</f>
        <v>Commercial heating and cooling</v>
      </c>
      <c r="E12" s="1006"/>
      <c r="G12" s="1017">
        <f t="shared" ca="1" si="14"/>
        <v>155.55583555741106</v>
      </c>
      <c r="H12" s="1017">
        <f t="shared" ca="1" si="14"/>
        <v>0</v>
      </c>
      <c r="I12" s="1017">
        <f t="shared" ca="1" si="14"/>
        <v>0</v>
      </c>
      <c r="J12" s="1017">
        <f t="shared" ca="1" si="14"/>
        <v>0</v>
      </c>
      <c r="K12" s="1017">
        <f t="shared" ca="1" si="14"/>
        <v>0</v>
      </c>
      <c r="L12" s="1017">
        <f t="shared" ca="1" si="14"/>
        <v>0</v>
      </c>
      <c r="M12" s="1017">
        <f t="shared" ca="1" si="14"/>
        <v>0</v>
      </c>
      <c r="N12" s="1017">
        <f t="shared" ca="1" si="14"/>
        <v>0</v>
      </c>
      <c r="O12" s="1017">
        <f t="shared" ca="1" si="14"/>
        <v>0</v>
      </c>
      <c r="P12" s="1017">
        <f t="shared" ca="1" si="14"/>
        <v>0</v>
      </c>
      <c r="Q12" s="1019">
        <f t="shared" ca="1" si="1"/>
        <v>155.55583555741106</v>
      </c>
      <c r="S12" s="1026">
        <f t="shared" ca="1" si="2"/>
        <v>-30.275894592688999</v>
      </c>
      <c r="T12" s="1026">
        <f t="shared" ca="1" si="2"/>
        <v>0</v>
      </c>
      <c r="U12" s="1026">
        <f t="shared" ca="1" si="2"/>
        <v>0</v>
      </c>
      <c r="V12" s="1026">
        <f t="shared" ca="1" si="2"/>
        <v>-1.285922491403779</v>
      </c>
      <c r="W12" s="1026">
        <f t="shared" ca="1" si="2"/>
        <v>-123.99401847331828</v>
      </c>
      <c r="X12" s="1026">
        <f t="shared" ref="X12:Z13" ca="1" si="19">IFERROR(INDEX(INDIRECT($C12&amp;".Outputs["&amp;this.Year&amp;"]"), MATCH(X$5, INDIRECT($C12&amp;".Outputs[Vector]"), 0)), 0)</f>
        <v>0</v>
      </c>
      <c r="Y12" s="1026">
        <f t="shared" ca="1" si="19"/>
        <v>0</v>
      </c>
      <c r="Z12" s="1026">
        <f t="shared" ca="1" si="19"/>
        <v>0</v>
      </c>
      <c r="AA12" s="1026">
        <f t="shared" ca="1" si="2"/>
        <v>0</v>
      </c>
      <c r="AB12" s="1026">
        <f t="shared" ca="1" si="2"/>
        <v>0</v>
      </c>
      <c r="AC12" s="1026">
        <f t="shared" ca="1" si="2"/>
        <v>0</v>
      </c>
      <c r="AD12" s="1026">
        <f t="shared" ca="1" si="2"/>
        <v>0</v>
      </c>
      <c r="AE12" s="1026">
        <f t="shared" ca="1" si="2"/>
        <v>0</v>
      </c>
      <c r="AF12" s="1026">
        <f t="shared" ca="1" si="2"/>
        <v>0</v>
      </c>
      <c r="AG12" s="1026">
        <f t="shared" ca="1" si="2"/>
        <v>0</v>
      </c>
      <c r="AH12" s="1026">
        <f t="shared" ca="1" si="2"/>
        <v>0</v>
      </c>
      <c r="AI12" s="1026">
        <f t="shared" ca="1" si="2"/>
        <v>0</v>
      </c>
      <c r="AJ12" s="1026">
        <f t="shared" ca="1" si="2"/>
        <v>0</v>
      </c>
      <c r="AK12" s="1027">
        <f t="shared" ca="1" si="4"/>
        <v>-155.55583555741106</v>
      </c>
      <c r="AM12" s="1038">
        <f t="shared" ref="AM12:AU13" ca="1" si="20">IFERROR(INDEX(INDIRECT($C12&amp;".Outputs["&amp;this.Year&amp;"]"), MATCH(AM$5, INDIRECT($C12&amp;".Outputs[Vector]"), 0)), 0)</f>
        <v>0</v>
      </c>
      <c r="AN12" s="1038">
        <f t="shared" ca="1" si="20"/>
        <v>0</v>
      </c>
      <c r="AO12" s="1038">
        <f t="shared" ca="1" si="20"/>
        <v>0</v>
      </c>
      <c r="AP12" s="1038">
        <f t="shared" ca="1" si="20"/>
        <v>0</v>
      </c>
      <c r="AQ12" s="1038">
        <f t="shared" ca="1" si="20"/>
        <v>0</v>
      </c>
      <c r="AR12" s="1038">
        <f t="shared" ca="1" si="20"/>
        <v>0</v>
      </c>
      <c r="AS12" s="1038">
        <f t="shared" ca="1" si="20"/>
        <v>0</v>
      </c>
      <c r="AT12" s="1038">
        <f t="shared" ca="1" si="20"/>
        <v>0</v>
      </c>
      <c r="AU12" s="1038">
        <f t="shared" ca="1" si="20"/>
        <v>0</v>
      </c>
      <c r="AV12" s="1038">
        <f t="shared" ca="1" si="2"/>
        <v>0</v>
      </c>
      <c r="AW12" s="1038">
        <f t="shared" ca="1" si="2"/>
        <v>0</v>
      </c>
      <c r="AX12" s="1038">
        <f t="shared" ca="1" si="2"/>
        <v>0</v>
      </c>
      <c r="AY12" s="1038">
        <f t="shared" ca="1" si="2"/>
        <v>0</v>
      </c>
      <c r="AZ12" s="1038">
        <f t="shared" ca="1" si="2"/>
        <v>0</v>
      </c>
      <c r="BA12" s="1038">
        <f t="shared" ca="1" si="2"/>
        <v>0</v>
      </c>
      <c r="BB12" s="1038">
        <f t="shared" ca="1" si="2"/>
        <v>0</v>
      </c>
      <c r="BC12" s="1038">
        <f t="shared" ca="1" si="2"/>
        <v>0</v>
      </c>
      <c r="BD12" s="1038">
        <f t="shared" ca="1" si="2"/>
        <v>0</v>
      </c>
      <c r="BE12" s="1038">
        <f t="shared" ca="1" si="2"/>
        <v>0</v>
      </c>
      <c r="BF12" s="977">
        <f t="shared" ca="1" si="6"/>
        <v>0</v>
      </c>
      <c r="BH12" s="1032">
        <f t="shared" ca="1" si="7"/>
        <v>0</v>
      </c>
      <c r="BI12" s="1032">
        <f t="shared" ca="1" si="7"/>
        <v>0</v>
      </c>
      <c r="BJ12" s="1034">
        <f t="shared" ca="1" si="8"/>
        <v>0</v>
      </c>
      <c r="BL12" s="524">
        <f t="shared" ca="1" si="9"/>
        <v>0</v>
      </c>
      <c r="BM12" s="524"/>
      <c r="BN12" s="840"/>
      <c r="BO12" s="1481">
        <f t="shared" ref="BO12:BX13" ca="1" si="21">IFERROR(SUMIFS(INDIRECT($C12&amp;".Emissions["&amp;this.Year&amp;"]"), INDIRECT($C12&amp;".Emissions[GHG]"), BO$6, INDIRECT($C12&amp;".Emissions[IPCC Sector]"), BO$5),0)</f>
        <v>23.136380021941505</v>
      </c>
      <c r="BP12" s="1482">
        <f t="shared" ca="1" si="21"/>
        <v>4.6132381888665371E-2</v>
      </c>
      <c r="BQ12" s="1482">
        <f t="shared" ca="1" si="21"/>
        <v>5.4971234821976758E-2</v>
      </c>
      <c r="BR12" s="1482">
        <f t="shared" ca="1" si="21"/>
        <v>0</v>
      </c>
      <c r="BS12" s="1482">
        <f t="shared" ca="1" si="21"/>
        <v>0</v>
      </c>
      <c r="BT12" s="1482">
        <f t="shared" ca="1" si="21"/>
        <v>0</v>
      </c>
      <c r="BU12" s="1482">
        <f t="shared" ca="1" si="21"/>
        <v>0</v>
      </c>
      <c r="BV12" s="1482">
        <f t="shared" ca="1" si="21"/>
        <v>0</v>
      </c>
      <c r="BW12" s="1482">
        <f t="shared" ca="1" si="21"/>
        <v>0</v>
      </c>
      <c r="BX12" s="1482">
        <f t="shared" ca="1" si="21"/>
        <v>0</v>
      </c>
      <c r="BY12" s="1482">
        <f t="shared" ref="BY12:CH13" ca="1" si="22">IFERROR(SUMIFS(INDIRECT($C12&amp;".Emissions["&amp;this.Year&amp;"]"), INDIRECT($C12&amp;".Emissions[GHG]"), BY$6, INDIRECT($C12&amp;".Emissions[IPCC Sector]"), BY$5),0)</f>
        <v>0</v>
      </c>
      <c r="BZ12" s="1482">
        <f t="shared" ca="1" si="22"/>
        <v>0</v>
      </c>
      <c r="CA12" s="1482">
        <f t="shared" ca="1" si="22"/>
        <v>0</v>
      </c>
      <c r="CB12" s="1482">
        <f t="shared" ca="1" si="22"/>
        <v>0</v>
      </c>
      <c r="CC12" s="1482">
        <f t="shared" ca="1" si="22"/>
        <v>0</v>
      </c>
      <c r="CD12" s="1482">
        <f t="shared" ca="1" si="22"/>
        <v>0</v>
      </c>
      <c r="CE12" s="1482">
        <f t="shared" ca="1" si="22"/>
        <v>0</v>
      </c>
      <c r="CF12" s="1482">
        <f t="shared" ca="1" si="22"/>
        <v>0</v>
      </c>
      <c r="CG12" s="1482">
        <f t="shared" ca="1" si="22"/>
        <v>0</v>
      </c>
      <c r="CH12" s="1482">
        <f t="shared" ca="1" si="22"/>
        <v>0</v>
      </c>
      <c r="CI12" s="1482">
        <f t="shared" ref="CI12:CR13" ca="1" si="23">IFERROR(SUMIFS(INDIRECT($C12&amp;".Emissions["&amp;this.Year&amp;"]"), INDIRECT($C12&amp;".Emissions[GHG]"), CI$6, INDIRECT($C12&amp;".Emissions[IPCC Sector]"), CI$5),0)</f>
        <v>0</v>
      </c>
      <c r="CJ12" s="1482">
        <f t="shared" ca="1" si="23"/>
        <v>0</v>
      </c>
      <c r="CK12" s="1482">
        <f t="shared" ca="1" si="23"/>
        <v>0</v>
      </c>
      <c r="CL12" s="1482">
        <f t="shared" ca="1" si="23"/>
        <v>0</v>
      </c>
      <c r="CM12" s="1482">
        <f t="shared" ca="1" si="23"/>
        <v>0</v>
      </c>
      <c r="CN12" s="1482">
        <f t="shared" ca="1" si="23"/>
        <v>0</v>
      </c>
      <c r="CO12" s="1482">
        <f t="shared" ca="1" si="23"/>
        <v>0</v>
      </c>
      <c r="CP12" s="1482">
        <f t="shared" ca="1" si="23"/>
        <v>0</v>
      </c>
      <c r="CQ12" s="1482">
        <f t="shared" ca="1" si="23"/>
        <v>0</v>
      </c>
      <c r="CR12" s="1482">
        <f t="shared" ca="1" si="23"/>
        <v>0</v>
      </c>
      <c r="CS12" s="1482">
        <f t="shared" ref="CS12:DF13" ca="1" si="24">IFERROR(SUMIFS(INDIRECT($C12&amp;".Emissions["&amp;this.Year&amp;"]"), INDIRECT($C12&amp;".Emissions[GHG]"), CS$6, INDIRECT($C12&amp;".Emissions[IPCC Sector]"), CS$5),0)</f>
        <v>0</v>
      </c>
      <c r="CT12" s="1482">
        <f t="shared" ca="1" si="24"/>
        <v>0</v>
      </c>
      <c r="CU12" s="1482">
        <f t="shared" ca="1" si="24"/>
        <v>0</v>
      </c>
      <c r="CV12" s="1482">
        <f t="shared" ca="1" si="24"/>
        <v>0</v>
      </c>
      <c r="CW12" s="1482">
        <f t="shared" ca="1" si="24"/>
        <v>0</v>
      </c>
      <c r="CX12" s="1482">
        <f t="shared" ca="1" si="24"/>
        <v>0</v>
      </c>
      <c r="CY12" s="1482">
        <f t="shared" ca="1" si="24"/>
        <v>0</v>
      </c>
      <c r="CZ12" s="1482">
        <f t="shared" ca="1" si="24"/>
        <v>0</v>
      </c>
      <c r="DA12" s="1482">
        <f t="shared" ca="1" si="24"/>
        <v>0</v>
      </c>
      <c r="DB12" s="1482">
        <f t="shared" ca="1" si="24"/>
        <v>0</v>
      </c>
      <c r="DC12" s="1482">
        <f t="shared" ca="1" si="24"/>
        <v>0</v>
      </c>
      <c r="DD12" s="1482">
        <f t="shared" ca="1" si="24"/>
        <v>0</v>
      </c>
      <c r="DE12" s="1482">
        <f t="shared" ca="1" si="24"/>
        <v>0</v>
      </c>
      <c r="DF12" s="1482">
        <f t="shared" ca="1" si="24"/>
        <v>0</v>
      </c>
      <c r="DH12" s="838"/>
    </row>
    <row r="13" spans="1:112" s="743" customFormat="1" ht="10.5" hidden="1" customHeight="1" outlineLevel="2">
      <c r="A13" s="1483"/>
      <c r="B13" s="1483"/>
      <c r="C13" s="1009" t="s">
        <v>946</v>
      </c>
      <c r="D13" s="1483" t="str">
        <f>INDEX(Modules[Module], MATCH($C13, Modules[Code], 0))</f>
        <v>Commercial hot water [UNUSED - See IX.c]</v>
      </c>
      <c r="E13" s="1006"/>
      <c r="G13" s="1018">
        <f t="shared" ca="1" si="14"/>
        <v>0</v>
      </c>
      <c r="H13" s="1018">
        <f t="shared" ca="1" si="14"/>
        <v>0</v>
      </c>
      <c r="I13" s="1018">
        <f t="shared" ca="1" si="14"/>
        <v>0</v>
      </c>
      <c r="J13" s="1018">
        <f t="shared" ca="1" si="14"/>
        <v>0</v>
      </c>
      <c r="K13" s="1018">
        <f t="shared" ca="1" si="14"/>
        <v>0</v>
      </c>
      <c r="L13" s="1018">
        <f t="shared" ca="1" si="14"/>
        <v>0</v>
      </c>
      <c r="M13" s="1018">
        <f t="shared" ca="1" si="14"/>
        <v>0</v>
      </c>
      <c r="N13" s="1018">
        <f t="shared" ca="1" si="14"/>
        <v>0</v>
      </c>
      <c r="O13" s="1018">
        <f t="shared" ca="1" si="14"/>
        <v>0</v>
      </c>
      <c r="P13" s="1018">
        <f t="shared" ca="1" si="14"/>
        <v>0</v>
      </c>
      <c r="Q13" s="1024">
        <f t="shared" ca="1" si="1"/>
        <v>0</v>
      </c>
      <c r="S13" s="1028">
        <f t="shared" ca="1" si="2"/>
        <v>0</v>
      </c>
      <c r="T13" s="1028">
        <f t="shared" ca="1" si="2"/>
        <v>0</v>
      </c>
      <c r="U13" s="1028">
        <f t="shared" ca="1" si="2"/>
        <v>0</v>
      </c>
      <c r="V13" s="1028">
        <f t="shared" ca="1" si="2"/>
        <v>0</v>
      </c>
      <c r="W13" s="1028">
        <f t="shared" ca="1" si="2"/>
        <v>0</v>
      </c>
      <c r="X13" s="1028">
        <f t="shared" ca="1" si="19"/>
        <v>0</v>
      </c>
      <c r="Y13" s="1028">
        <f t="shared" ca="1" si="19"/>
        <v>0</v>
      </c>
      <c r="Z13" s="1028">
        <f t="shared" ca="1" si="19"/>
        <v>0</v>
      </c>
      <c r="AA13" s="1028">
        <f t="shared" ca="1" si="2"/>
        <v>0</v>
      </c>
      <c r="AB13" s="1028">
        <f t="shared" ca="1" si="2"/>
        <v>0</v>
      </c>
      <c r="AC13" s="1028">
        <f t="shared" ca="1" si="2"/>
        <v>0</v>
      </c>
      <c r="AD13" s="1028">
        <f t="shared" ca="1" si="2"/>
        <v>0</v>
      </c>
      <c r="AE13" s="1028">
        <f t="shared" ca="1" si="2"/>
        <v>0</v>
      </c>
      <c r="AF13" s="1028">
        <f t="shared" ca="1" si="2"/>
        <v>0</v>
      </c>
      <c r="AG13" s="1028">
        <f t="shared" ca="1" si="2"/>
        <v>0</v>
      </c>
      <c r="AH13" s="1028">
        <f t="shared" ca="1" si="2"/>
        <v>0</v>
      </c>
      <c r="AI13" s="1028">
        <f t="shared" ca="1" si="2"/>
        <v>0</v>
      </c>
      <c r="AJ13" s="1028">
        <f t="shared" ca="1" si="2"/>
        <v>0</v>
      </c>
      <c r="AK13" s="1029">
        <f t="shared" ca="1" si="4"/>
        <v>0</v>
      </c>
      <c r="AM13" s="1039">
        <f t="shared" ca="1" si="20"/>
        <v>0</v>
      </c>
      <c r="AN13" s="1039">
        <f t="shared" ca="1" si="20"/>
        <v>0</v>
      </c>
      <c r="AO13" s="1039">
        <f t="shared" ca="1" si="20"/>
        <v>0</v>
      </c>
      <c r="AP13" s="1039">
        <f t="shared" ca="1" si="20"/>
        <v>0</v>
      </c>
      <c r="AQ13" s="1039">
        <f t="shared" ca="1" si="20"/>
        <v>0</v>
      </c>
      <c r="AR13" s="1039">
        <f t="shared" ca="1" si="20"/>
        <v>0</v>
      </c>
      <c r="AS13" s="1039">
        <f t="shared" ca="1" si="20"/>
        <v>0</v>
      </c>
      <c r="AT13" s="1039">
        <f t="shared" ca="1" si="20"/>
        <v>0</v>
      </c>
      <c r="AU13" s="1039">
        <f t="shared" ca="1" si="20"/>
        <v>0</v>
      </c>
      <c r="AV13" s="1039">
        <f t="shared" ca="1" si="2"/>
        <v>0</v>
      </c>
      <c r="AW13" s="1039">
        <f t="shared" ca="1" si="2"/>
        <v>0</v>
      </c>
      <c r="AX13" s="1039">
        <f t="shared" ca="1" si="2"/>
        <v>0</v>
      </c>
      <c r="AY13" s="1039">
        <f t="shared" ca="1" si="2"/>
        <v>0</v>
      </c>
      <c r="AZ13" s="1039">
        <f t="shared" ca="1" si="2"/>
        <v>0</v>
      </c>
      <c r="BA13" s="1039">
        <f t="shared" ca="1" si="2"/>
        <v>0</v>
      </c>
      <c r="BB13" s="1039">
        <f t="shared" ca="1" si="2"/>
        <v>0</v>
      </c>
      <c r="BC13" s="1039">
        <f t="shared" ca="1" si="2"/>
        <v>0</v>
      </c>
      <c r="BD13" s="1039">
        <f t="shared" ca="1" si="2"/>
        <v>0</v>
      </c>
      <c r="BE13" s="1039">
        <f t="shared" ca="1" si="2"/>
        <v>0</v>
      </c>
      <c r="BF13" s="1008">
        <f t="shared" ca="1" si="6"/>
        <v>0</v>
      </c>
      <c r="BH13" s="1033">
        <f t="shared" ca="1" si="7"/>
        <v>0</v>
      </c>
      <c r="BI13" s="1033">
        <f t="shared" ca="1" si="7"/>
        <v>0</v>
      </c>
      <c r="BJ13" s="1044">
        <f t="shared" ca="1" si="8"/>
        <v>0</v>
      </c>
      <c r="BL13" s="1007">
        <f t="shared" ca="1" si="9"/>
        <v>0</v>
      </c>
      <c r="BM13" s="1007"/>
      <c r="BN13" s="840"/>
      <c r="BO13" s="1481">
        <f t="shared" ca="1" si="21"/>
        <v>0</v>
      </c>
      <c r="BP13" s="1482">
        <f t="shared" ca="1" si="21"/>
        <v>0</v>
      </c>
      <c r="BQ13" s="1482">
        <f t="shared" ca="1" si="21"/>
        <v>0</v>
      </c>
      <c r="BR13" s="1482">
        <f t="shared" ca="1" si="21"/>
        <v>0</v>
      </c>
      <c r="BS13" s="1482">
        <f t="shared" ca="1" si="21"/>
        <v>0</v>
      </c>
      <c r="BT13" s="1482">
        <f t="shared" ca="1" si="21"/>
        <v>0</v>
      </c>
      <c r="BU13" s="1482">
        <f t="shared" ca="1" si="21"/>
        <v>0</v>
      </c>
      <c r="BV13" s="1482">
        <f t="shared" ca="1" si="21"/>
        <v>0</v>
      </c>
      <c r="BW13" s="1482">
        <f t="shared" ca="1" si="21"/>
        <v>0</v>
      </c>
      <c r="BX13" s="1482">
        <f t="shared" ca="1" si="21"/>
        <v>0</v>
      </c>
      <c r="BY13" s="1482">
        <f t="shared" ca="1" si="22"/>
        <v>0</v>
      </c>
      <c r="BZ13" s="1482">
        <f t="shared" ca="1" si="22"/>
        <v>0</v>
      </c>
      <c r="CA13" s="1482">
        <f t="shared" ca="1" si="22"/>
        <v>0</v>
      </c>
      <c r="CB13" s="1482">
        <f t="shared" ca="1" si="22"/>
        <v>0</v>
      </c>
      <c r="CC13" s="1482">
        <f t="shared" ca="1" si="22"/>
        <v>0</v>
      </c>
      <c r="CD13" s="1482">
        <f t="shared" ca="1" si="22"/>
        <v>0</v>
      </c>
      <c r="CE13" s="1482">
        <f t="shared" ca="1" si="22"/>
        <v>0</v>
      </c>
      <c r="CF13" s="1482">
        <f t="shared" ca="1" si="22"/>
        <v>0</v>
      </c>
      <c r="CG13" s="1482">
        <f t="shared" ca="1" si="22"/>
        <v>0</v>
      </c>
      <c r="CH13" s="1482">
        <f t="shared" ca="1" si="22"/>
        <v>0</v>
      </c>
      <c r="CI13" s="1482">
        <f t="shared" ca="1" si="23"/>
        <v>0</v>
      </c>
      <c r="CJ13" s="1482">
        <f t="shared" ca="1" si="23"/>
        <v>0</v>
      </c>
      <c r="CK13" s="1482">
        <f t="shared" ca="1" si="23"/>
        <v>0</v>
      </c>
      <c r="CL13" s="1482">
        <f t="shared" ca="1" si="23"/>
        <v>0</v>
      </c>
      <c r="CM13" s="1482">
        <f t="shared" ca="1" si="23"/>
        <v>0</v>
      </c>
      <c r="CN13" s="1482">
        <f t="shared" ca="1" si="23"/>
        <v>0</v>
      </c>
      <c r="CO13" s="1482">
        <f t="shared" ca="1" si="23"/>
        <v>0</v>
      </c>
      <c r="CP13" s="1482">
        <f t="shared" ca="1" si="23"/>
        <v>0</v>
      </c>
      <c r="CQ13" s="1482">
        <f t="shared" ca="1" si="23"/>
        <v>0</v>
      </c>
      <c r="CR13" s="1482">
        <f t="shared" ca="1" si="23"/>
        <v>0</v>
      </c>
      <c r="CS13" s="1482">
        <f t="shared" ca="1" si="24"/>
        <v>0</v>
      </c>
      <c r="CT13" s="1482">
        <f t="shared" ca="1" si="24"/>
        <v>0</v>
      </c>
      <c r="CU13" s="1482">
        <f t="shared" ca="1" si="24"/>
        <v>0</v>
      </c>
      <c r="CV13" s="1482">
        <f t="shared" ca="1" si="24"/>
        <v>0</v>
      </c>
      <c r="CW13" s="1482">
        <f t="shared" ca="1" si="24"/>
        <v>0</v>
      </c>
      <c r="CX13" s="1482">
        <f t="shared" ca="1" si="24"/>
        <v>0</v>
      </c>
      <c r="CY13" s="1482">
        <f t="shared" ca="1" si="24"/>
        <v>0</v>
      </c>
      <c r="CZ13" s="1482">
        <f t="shared" ca="1" si="24"/>
        <v>0</v>
      </c>
      <c r="DA13" s="1482">
        <f t="shared" ca="1" si="24"/>
        <v>0</v>
      </c>
      <c r="DB13" s="1482">
        <f t="shared" ca="1" si="24"/>
        <v>0</v>
      </c>
      <c r="DC13" s="1482">
        <f t="shared" ca="1" si="24"/>
        <v>0</v>
      </c>
      <c r="DD13" s="1482">
        <f t="shared" ca="1" si="24"/>
        <v>0</v>
      </c>
      <c r="DE13" s="1482">
        <f t="shared" ca="1" si="24"/>
        <v>0</v>
      </c>
      <c r="DF13" s="1482">
        <f t="shared" ca="1" si="24"/>
        <v>0</v>
      </c>
      <c r="DH13" s="838"/>
    </row>
    <row r="14" spans="1:112" s="743" customFormat="1" ht="12.75" hidden="1" customHeight="1" outlineLevel="1">
      <c r="A14" s="1484"/>
      <c r="B14" s="1484"/>
      <c r="C14" s="746"/>
      <c r="D14" s="1010" t="s">
        <v>948</v>
      </c>
      <c r="E14" s="1010"/>
      <c r="G14" s="1020">
        <f ca="1">SUM(G12:G13)</f>
        <v>155.55583555741106</v>
      </c>
      <c r="H14" s="1020">
        <f t="shared" ref="H14:P14" ca="1" si="25">SUM(H12:H13)</f>
        <v>0</v>
      </c>
      <c r="I14" s="1020">
        <f t="shared" ca="1" si="25"/>
        <v>0</v>
      </c>
      <c r="J14" s="1020">
        <f t="shared" ca="1" si="25"/>
        <v>0</v>
      </c>
      <c r="K14" s="1020">
        <f t="shared" ca="1" si="25"/>
        <v>0</v>
      </c>
      <c r="L14" s="1020">
        <f t="shared" ca="1" si="25"/>
        <v>0</v>
      </c>
      <c r="M14" s="1020">
        <f t="shared" ca="1" si="25"/>
        <v>0</v>
      </c>
      <c r="N14" s="1020">
        <f t="shared" ca="1" si="25"/>
        <v>0</v>
      </c>
      <c r="O14" s="1020">
        <f t="shared" ca="1" si="25"/>
        <v>0</v>
      </c>
      <c r="P14" s="1020">
        <f t="shared" ca="1" si="25"/>
        <v>0</v>
      </c>
      <c r="Q14" s="1020">
        <f t="shared" ca="1" si="1"/>
        <v>155.55583555741106</v>
      </c>
      <c r="S14" s="1030">
        <f t="shared" ref="S14:AJ14" ca="1" si="26">SUM(S12:S13)</f>
        <v>-30.275894592688999</v>
      </c>
      <c r="T14" s="1030">
        <f t="shared" ca="1" si="26"/>
        <v>0</v>
      </c>
      <c r="U14" s="1030">
        <f t="shared" ca="1" si="26"/>
        <v>0</v>
      </c>
      <c r="V14" s="1030">
        <f t="shared" ca="1" si="26"/>
        <v>-1.285922491403779</v>
      </c>
      <c r="W14" s="1030">
        <f t="shared" ca="1" si="26"/>
        <v>-123.99401847331828</v>
      </c>
      <c r="X14" s="1030">
        <f ca="1">SUM(X12:X13)</f>
        <v>0</v>
      </c>
      <c r="Y14" s="1030">
        <f ca="1">SUM(Y12:Y13)</f>
        <v>0</v>
      </c>
      <c r="Z14" s="1030">
        <f ca="1">SUM(Z12:Z13)</f>
        <v>0</v>
      </c>
      <c r="AA14" s="1030">
        <f t="shared" ca="1" si="26"/>
        <v>0</v>
      </c>
      <c r="AB14" s="1030">
        <f t="shared" ca="1" si="26"/>
        <v>0</v>
      </c>
      <c r="AC14" s="1030">
        <f t="shared" ca="1" si="26"/>
        <v>0</v>
      </c>
      <c r="AD14" s="1030">
        <f ca="1">SUM(AD12:AD13)</f>
        <v>0</v>
      </c>
      <c r="AE14" s="1030">
        <f ca="1">SUM(AE12:AE13)</f>
        <v>0</v>
      </c>
      <c r="AF14" s="1030">
        <f t="shared" ca="1" si="26"/>
        <v>0</v>
      </c>
      <c r="AG14" s="1030">
        <f ca="1">SUM(AG12:AG13)</f>
        <v>0</v>
      </c>
      <c r="AH14" s="1030">
        <f ca="1">SUM(AH12:AH13)</f>
        <v>0</v>
      </c>
      <c r="AI14" s="1030">
        <f ca="1">SUM(AI12:AI13)</f>
        <v>0</v>
      </c>
      <c r="AJ14" s="1030">
        <f t="shared" ca="1" si="26"/>
        <v>0</v>
      </c>
      <c r="AK14" s="1030">
        <f t="shared" ca="1" si="4"/>
        <v>-155.55583555741106</v>
      </c>
      <c r="AM14" s="1041">
        <f t="shared" ref="AM14:AS14" ca="1" si="27">SUM(AM12:AM13)</f>
        <v>0</v>
      </c>
      <c r="AN14" s="1041">
        <f t="shared" ca="1" si="27"/>
        <v>0</v>
      </c>
      <c r="AO14" s="1041">
        <f t="shared" ca="1" si="27"/>
        <v>0</v>
      </c>
      <c r="AP14" s="1041">
        <f t="shared" ca="1" si="27"/>
        <v>0</v>
      </c>
      <c r="AQ14" s="1041">
        <f t="shared" ca="1" si="27"/>
        <v>0</v>
      </c>
      <c r="AR14" s="1041">
        <f t="shared" ca="1" si="27"/>
        <v>0</v>
      </c>
      <c r="AS14" s="1041">
        <f t="shared" ca="1" si="27"/>
        <v>0</v>
      </c>
      <c r="AT14" s="1041">
        <f t="shared" ref="AT14:BE14" ca="1" si="28">SUM(AT12:AT13)</f>
        <v>0</v>
      </c>
      <c r="AU14" s="1041">
        <f t="shared" ca="1" si="28"/>
        <v>0</v>
      </c>
      <c r="AV14" s="1041">
        <f t="shared" ca="1" si="28"/>
        <v>0</v>
      </c>
      <c r="AW14" s="1041">
        <f t="shared" ca="1" si="28"/>
        <v>0</v>
      </c>
      <c r="AX14" s="1041">
        <f t="shared" ca="1" si="28"/>
        <v>0</v>
      </c>
      <c r="AY14" s="1041">
        <f t="shared" ca="1" si="28"/>
        <v>0</v>
      </c>
      <c r="AZ14" s="1041">
        <f t="shared" ca="1" si="28"/>
        <v>0</v>
      </c>
      <c r="BA14" s="1041">
        <f t="shared" ca="1" si="28"/>
        <v>0</v>
      </c>
      <c r="BB14" s="1041">
        <f t="shared" ca="1" si="28"/>
        <v>0</v>
      </c>
      <c r="BC14" s="1041">
        <f t="shared" ca="1" si="28"/>
        <v>0</v>
      </c>
      <c r="BD14" s="1041">
        <f t="shared" ca="1" si="28"/>
        <v>0</v>
      </c>
      <c r="BE14" s="1041">
        <f t="shared" ca="1" si="28"/>
        <v>0</v>
      </c>
      <c r="BF14" s="1012">
        <f t="shared" ca="1" si="6"/>
        <v>0</v>
      </c>
      <c r="BH14" s="1035">
        <f ca="1">SUM(BH12:BH13)</f>
        <v>0</v>
      </c>
      <c r="BI14" s="1035">
        <f ca="1">SUM(BI12:BI13)</f>
        <v>0</v>
      </c>
      <c r="BJ14" s="1035">
        <f t="shared" ca="1" si="8"/>
        <v>0</v>
      </c>
      <c r="BL14" s="814">
        <f t="shared" ca="1" si="9"/>
        <v>0</v>
      </c>
      <c r="BM14" s="814"/>
      <c r="BN14" s="840"/>
      <c r="BO14" s="1485">
        <f t="shared" ref="BO14:DF14" ca="1" si="29">SUM(BO12:BO13)</f>
        <v>23.136380021941505</v>
      </c>
      <c r="BP14" s="1486">
        <f t="shared" ca="1" si="29"/>
        <v>4.6132381888665371E-2</v>
      </c>
      <c r="BQ14" s="1486">
        <f t="shared" ca="1" si="29"/>
        <v>5.4971234821976758E-2</v>
      </c>
      <c r="BR14" s="1486">
        <f t="shared" ca="1" si="29"/>
        <v>0</v>
      </c>
      <c r="BS14" s="1486">
        <f t="shared" ca="1" si="29"/>
        <v>0</v>
      </c>
      <c r="BT14" s="1486">
        <f t="shared" ca="1" si="29"/>
        <v>0</v>
      </c>
      <c r="BU14" s="1486">
        <f t="shared" ca="1" si="29"/>
        <v>0</v>
      </c>
      <c r="BV14" s="1486">
        <f t="shared" ca="1" si="29"/>
        <v>0</v>
      </c>
      <c r="BW14" s="1486">
        <f t="shared" ca="1" si="29"/>
        <v>0</v>
      </c>
      <c r="BX14" s="1486">
        <f t="shared" ca="1" si="29"/>
        <v>0</v>
      </c>
      <c r="BY14" s="1486">
        <f t="shared" ca="1" si="29"/>
        <v>0</v>
      </c>
      <c r="BZ14" s="1486">
        <f t="shared" ca="1" si="29"/>
        <v>0</v>
      </c>
      <c r="CA14" s="1486">
        <f t="shared" ca="1" si="29"/>
        <v>0</v>
      </c>
      <c r="CB14" s="1486">
        <f t="shared" ca="1" si="29"/>
        <v>0</v>
      </c>
      <c r="CC14" s="1486">
        <f t="shared" ca="1" si="29"/>
        <v>0</v>
      </c>
      <c r="CD14" s="1486">
        <f t="shared" ca="1" si="29"/>
        <v>0</v>
      </c>
      <c r="CE14" s="1486">
        <f t="shared" ca="1" si="29"/>
        <v>0</v>
      </c>
      <c r="CF14" s="1486">
        <f t="shared" ca="1" si="29"/>
        <v>0</v>
      </c>
      <c r="CG14" s="1486">
        <f t="shared" ca="1" si="29"/>
        <v>0</v>
      </c>
      <c r="CH14" s="1486">
        <f t="shared" ca="1" si="29"/>
        <v>0</v>
      </c>
      <c r="CI14" s="1486">
        <f t="shared" ca="1" si="29"/>
        <v>0</v>
      </c>
      <c r="CJ14" s="1486">
        <f t="shared" ca="1" si="29"/>
        <v>0</v>
      </c>
      <c r="CK14" s="1486">
        <f t="shared" ca="1" si="29"/>
        <v>0</v>
      </c>
      <c r="CL14" s="1486">
        <f t="shared" ca="1" si="29"/>
        <v>0</v>
      </c>
      <c r="CM14" s="1486">
        <f t="shared" ca="1" si="29"/>
        <v>0</v>
      </c>
      <c r="CN14" s="1486">
        <f t="shared" ca="1" si="29"/>
        <v>0</v>
      </c>
      <c r="CO14" s="1486">
        <f t="shared" ca="1" si="29"/>
        <v>0</v>
      </c>
      <c r="CP14" s="1486">
        <f t="shared" ca="1" si="29"/>
        <v>0</v>
      </c>
      <c r="CQ14" s="1486">
        <f t="shared" ca="1" si="29"/>
        <v>0</v>
      </c>
      <c r="CR14" s="1486">
        <f t="shared" ca="1" si="29"/>
        <v>0</v>
      </c>
      <c r="CS14" s="1486">
        <f t="shared" ca="1" si="29"/>
        <v>0</v>
      </c>
      <c r="CT14" s="1486">
        <f t="shared" ca="1" si="29"/>
        <v>0</v>
      </c>
      <c r="CU14" s="1486">
        <f t="shared" ca="1" si="29"/>
        <v>0</v>
      </c>
      <c r="CV14" s="1486">
        <f t="shared" ca="1" si="29"/>
        <v>0</v>
      </c>
      <c r="CW14" s="1486">
        <f t="shared" ca="1" si="29"/>
        <v>0</v>
      </c>
      <c r="CX14" s="1486">
        <f t="shared" ca="1" si="29"/>
        <v>0</v>
      </c>
      <c r="CY14" s="1486">
        <f t="shared" ca="1" si="29"/>
        <v>0</v>
      </c>
      <c r="CZ14" s="1486">
        <f t="shared" ca="1" si="29"/>
        <v>0</v>
      </c>
      <c r="DA14" s="1486">
        <f t="shared" ca="1" si="29"/>
        <v>0</v>
      </c>
      <c r="DB14" s="1486">
        <f t="shared" ca="1" si="29"/>
        <v>0</v>
      </c>
      <c r="DC14" s="1486">
        <f t="shared" ca="1" si="29"/>
        <v>0</v>
      </c>
      <c r="DD14" s="1486">
        <f t="shared" ca="1" si="29"/>
        <v>0</v>
      </c>
      <c r="DE14" s="1486">
        <f t="shared" ca="1" si="29"/>
        <v>0</v>
      </c>
      <c r="DF14" s="1486">
        <f t="shared" ca="1" si="29"/>
        <v>0</v>
      </c>
      <c r="DH14" s="838"/>
    </row>
    <row r="15" spans="1:112" s="743" customFormat="1" ht="15.75" collapsed="1">
      <c r="A15" s="22"/>
      <c r="B15" s="753"/>
      <c r="C15" s="744" t="s">
        <v>676</v>
      </c>
      <c r="D15" s="517" t="str">
        <f>INDEX(Workstreams[Workstream], MATCH($C15, Workstreams[Code], 0))</f>
        <v>Heating</v>
      </c>
      <c r="E15" s="512"/>
      <c r="G15" s="1021">
        <f t="shared" ref="G15:P15" ca="1" si="30">G14+G11</f>
        <v>700.8881433886479</v>
      </c>
      <c r="H15" s="1021">
        <f t="shared" ca="1" si="30"/>
        <v>0</v>
      </c>
      <c r="I15" s="1021">
        <f t="shared" ca="1" si="30"/>
        <v>0</v>
      </c>
      <c r="J15" s="1021">
        <f t="shared" ca="1" si="30"/>
        <v>0</v>
      </c>
      <c r="K15" s="1021">
        <f t="shared" ca="1" si="30"/>
        <v>0</v>
      </c>
      <c r="L15" s="1021">
        <f t="shared" ca="1" si="30"/>
        <v>0</v>
      </c>
      <c r="M15" s="1021">
        <f t="shared" ca="1" si="30"/>
        <v>0</v>
      </c>
      <c r="N15" s="1021">
        <f t="shared" ca="1" si="30"/>
        <v>0</v>
      </c>
      <c r="O15" s="1021">
        <f t="shared" ca="1" si="30"/>
        <v>0</v>
      </c>
      <c r="P15" s="1021">
        <f t="shared" ca="1" si="30"/>
        <v>0</v>
      </c>
      <c r="Q15" s="1021">
        <f t="shared" ca="1" si="1"/>
        <v>700.8881433886479</v>
      </c>
      <c r="S15" s="970">
        <f t="shared" ref="S15:Z15" ca="1" si="31">S14+S11</f>
        <v>-83.613162141040917</v>
      </c>
      <c r="T15" s="970">
        <f t="shared" ca="1" si="31"/>
        <v>0</v>
      </c>
      <c r="U15" s="970">
        <f t="shared" ca="1" si="31"/>
        <v>-3.7487127342475199</v>
      </c>
      <c r="V15" s="970">
        <f t="shared" ca="1" si="31"/>
        <v>-4.6481699953165032</v>
      </c>
      <c r="W15" s="970">
        <f t="shared" ca="1" si="31"/>
        <v>-608.87809851804286</v>
      </c>
      <c r="X15" s="970">
        <f t="shared" ca="1" si="31"/>
        <v>0</v>
      </c>
      <c r="Y15" s="970">
        <f t="shared" ca="1" si="31"/>
        <v>0</v>
      </c>
      <c r="Z15" s="970">
        <f t="shared" ca="1" si="31"/>
        <v>0</v>
      </c>
      <c r="AA15" s="970">
        <f t="shared" ref="AA15:AJ15" ca="1" si="32">AA14+AA11</f>
        <v>0</v>
      </c>
      <c r="AB15" s="970">
        <f t="shared" ca="1" si="32"/>
        <v>0</v>
      </c>
      <c r="AC15" s="970">
        <f t="shared" ca="1" si="32"/>
        <v>0</v>
      </c>
      <c r="AD15" s="970">
        <f ca="1">AD14+AD11</f>
        <v>0</v>
      </c>
      <c r="AE15" s="970">
        <f ca="1">AE14+AE11</f>
        <v>0</v>
      </c>
      <c r="AF15" s="970">
        <f t="shared" ca="1" si="32"/>
        <v>0</v>
      </c>
      <c r="AG15" s="970">
        <f ca="1">AG14+AG11</f>
        <v>0</v>
      </c>
      <c r="AH15" s="970">
        <f ca="1">AH14+AH11</f>
        <v>0</v>
      </c>
      <c r="AI15" s="970">
        <f ca="1">AI14+AI11</f>
        <v>0</v>
      </c>
      <c r="AJ15" s="970">
        <f t="shared" ca="1" si="32"/>
        <v>0</v>
      </c>
      <c r="AK15" s="970">
        <f t="shared" ca="1" si="4"/>
        <v>-700.88814338864779</v>
      </c>
      <c r="AM15" s="976">
        <f t="shared" ref="AM15:AS15" ca="1" si="33">AM14+AM11</f>
        <v>0</v>
      </c>
      <c r="AN15" s="976">
        <f t="shared" ca="1" si="33"/>
        <v>0</v>
      </c>
      <c r="AO15" s="976">
        <f t="shared" ca="1" si="33"/>
        <v>0</v>
      </c>
      <c r="AP15" s="976">
        <f t="shared" ca="1" si="33"/>
        <v>0</v>
      </c>
      <c r="AQ15" s="976">
        <f t="shared" ca="1" si="33"/>
        <v>0</v>
      </c>
      <c r="AR15" s="976">
        <f t="shared" ca="1" si="33"/>
        <v>0</v>
      </c>
      <c r="AS15" s="976">
        <f t="shared" ca="1" si="33"/>
        <v>0</v>
      </c>
      <c r="AT15" s="976">
        <f t="shared" ref="AT15:BE15" ca="1" si="34">AT14+AT11</f>
        <v>0</v>
      </c>
      <c r="AU15" s="976">
        <f t="shared" ca="1" si="34"/>
        <v>0</v>
      </c>
      <c r="AV15" s="976">
        <f t="shared" ca="1" si="34"/>
        <v>0</v>
      </c>
      <c r="AW15" s="976">
        <f t="shared" ca="1" si="34"/>
        <v>0</v>
      </c>
      <c r="AX15" s="976">
        <f t="shared" ca="1" si="34"/>
        <v>0</v>
      </c>
      <c r="AY15" s="976">
        <f t="shared" ca="1" si="34"/>
        <v>0</v>
      </c>
      <c r="AZ15" s="976">
        <f t="shared" ca="1" si="34"/>
        <v>0</v>
      </c>
      <c r="BA15" s="976">
        <f t="shared" ca="1" si="34"/>
        <v>0</v>
      </c>
      <c r="BB15" s="976">
        <f t="shared" ca="1" si="34"/>
        <v>0</v>
      </c>
      <c r="BC15" s="976">
        <f t="shared" ca="1" si="34"/>
        <v>0</v>
      </c>
      <c r="BD15" s="976">
        <f t="shared" ca="1" si="34"/>
        <v>0</v>
      </c>
      <c r="BE15" s="976">
        <f t="shared" ca="1" si="34"/>
        <v>0</v>
      </c>
      <c r="BF15" s="976">
        <f t="shared" ca="1" si="6"/>
        <v>0</v>
      </c>
      <c r="BH15" s="990">
        <f ca="1">BH14+BH11</f>
        <v>0</v>
      </c>
      <c r="BI15" s="990">
        <f ca="1">BI14+BI11</f>
        <v>0</v>
      </c>
      <c r="BJ15" s="990">
        <f t="shared" ca="1" si="8"/>
        <v>0</v>
      </c>
      <c r="BL15" s="515">
        <f t="shared" ca="1" si="9"/>
        <v>1.1368683772161603E-13</v>
      </c>
      <c r="BM15" s="515"/>
      <c r="BN15" s="840"/>
      <c r="BO15" s="1482">
        <f t="shared" ref="BO15:DF15" ca="1" si="35">BO14+BO11</f>
        <v>114.35021614829722</v>
      </c>
      <c r="BP15" s="1482">
        <f t="shared" ca="1" si="35"/>
        <v>0.22940823639824801</v>
      </c>
      <c r="BQ15" s="1482">
        <f t="shared" ca="1" si="35"/>
        <v>0.27267121607993028</v>
      </c>
      <c r="BR15" s="1482">
        <f t="shared" ca="1" si="35"/>
        <v>0</v>
      </c>
      <c r="BS15" s="1482">
        <f t="shared" ca="1" si="35"/>
        <v>0</v>
      </c>
      <c r="BT15" s="1482">
        <f t="shared" ca="1" si="35"/>
        <v>0</v>
      </c>
      <c r="BU15" s="1482">
        <f t="shared" ca="1" si="35"/>
        <v>0</v>
      </c>
      <c r="BV15" s="1482">
        <f t="shared" ca="1" si="35"/>
        <v>0</v>
      </c>
      <c r="BW15" s="1482">
        <f t="shared" ca="1" si="35"/>
        <v>0</v>
      </c>
      <c r="BX15" s="1482">
        <f t="shared" ca="1" si="35"/>
        <v>0</v>
      </c>
      <c r="BY15" s="1482">
        <f t="shared" ca="1" si="35"/>
        <v>0</v>
      </c>
      <c r="BZ15" s="1482">
        <f t="shared" ca="1" si="35"/>
        <v>0</v>
      </c>
      <c r="CA15" s="1482">
        <f t="shared" ca="1" si="35"/>
        <v>0</v>
      </c>
      <c r="CB15" s="1482">
        <f t="shared" ca="1" si="35"/>
        <v>0</v>
      </c>
      <c r="CC15" s="1482">
        <f t="shared" ca="1" si="35"/>
        <v>0</v>
      </c>
      <c r="CD15" s="1482">
        <f t="shared" ca="1" si="35"/>
        <v>0</v>
      </c>
      <c r="CE15" s="1482">
        <f t="shared" ca="1" si="35"/>
        <v>0</v>
      </c>
      <c r="CF15" s="1482">
        <f t="shared" ca="1" si="35"/>
        <v>0</v>
      </c>
      <c r="CG15" s="1482">
        <f t="shared" ca="1" si="35"/>
        <v>0</v>
      </c>
      <c r="CH15" s="1482">
        <f t="shared" ca="1" si="35"/>
        <v>0</v>
      </c>
      <c r="CI15" s="1482">
        <f t="shared" ca="1" si="35"/>
        <v>0</v>
      </c>
      <c r="CJ15" s="1482">
        <f t="shared" ca="1" si="35"/>
        <v>0</v>
      </c>
      <c r="CK15" s="1482">
        <f t="shared" ca="1" si="35"/>
        <v>0</v>
      </c>
      <c r="CL15" s="1482">
        <f t="shared" ca="1" si="35"/>
        <v>0</v>
      </c>
      <c r="CM15" s="1482">
        <f t="shared" ca="1" si="35"/>
        <v>0</v>
      </c>
      <c r="CN15" s="1482">
        <f t="shared" ca="1" si="35"/>
        <v>0</v>
      </c>
      <c r="CO15" s="1482">
        <f t="shared" ca="1" si="35"/>
        <v>0</v>
      </c>
      <c r="CP15" s="1482">
        <f t="shared" ca="1" si="35"/>
        <v>0</v>
      </c>
      <c r="CQ15" s="1482">
        <f t="shared" ca="1" si="35"/>
        <v>0</v>
      </c>
      <c r="CR15" s="1482">
        <f t="shared" ca="1" si="35"/>
        <v>0</v>
      </c>
      <c r="CS15" s="1482">
        <f t="shared" ca="1" si="35"/>
        <v>0</v>
      </c>
      <c r="CT15" s="1482">
        <f t="shared" ca="1" si="35"/>
        <v>0</v>
      </c>
      <c r="CU15" s="1482">
        <f t="shared" ca="1" si="35"/>
        <v>0</v>
      </c>
      <c r="CV15" s="1482">
        <f t="shared" ca="1" si="35"/>
        <v>0</v>
      </c>
      <c r="CW15" s="1482">
        <f t="shared" ca="1" si="35"/>
        <v>0</v>
      </c>
      <c r="CX15" s="1482">
        <f t="shared" ca="1" si="35"/>
        <v>0</v>
      </c>
      <c r="CY15" s="1482">
        <f t="shared" ca="1" si="35"/>
        <v>0</v>
      </c>
      <c r="CZ15" s="1482">
        <f t="shared" ca="1" si="35"/>
        <v>0</v>
      </c>
      <c r="DA15" s="1482">
        <f t="shared" ca="1" si="35"/>
        <v>0</v>
      </c>
      <c r="DB15" s="1482">
        <f t="shared" ca="1" si="35"/>
        <v>0</v>
      </c>
      <c r="DC15" s="1482">
        <f t="shared" ca="1" si="35"/>
        <v>0</v>
      </c>
      <c r="DD15" s="1482">
        <f t="shared" ca="1" si="35"/>
        <v>0</v>
      </c>
      <c r="DE15" s="1482">
        <f t="shared" ca="1" si="35"/>
        <v>0</v>
      </c>
      <c r="DF15" s="1482">
        <f t="shared" ca="1" si="35"/>
        <v>0</v>
      </c>
      <c r="DH15" s="838">
        <f t="shared" ref="DH15:DH38" ca="1" si="36">SUM(BO15:DF15)</f>
        <v>114.85229560077539</v>
      </c>
    </row>
    <row r="16" spans="1:112" s="743" customFormat="1" hidden="1" outlineLevel="1">
      <c r="A16" s="1484"/>
      <c r="B16" s="1484"/>
      <c r="C16" s="746"/>
      <c r="D16" s="521"/>
      <c r="E16" s="521"/>
      <c r="G16" s="1019"/>
      <c r="H16" s="1019"/>
      <c r="I16" s="1019"/>
      <c r="J16" s="1019"/>
      <c r="K16" s="1019"/>
      <c r="L16" s="1019"/>
      <c r="M16" s="1019"/>
      <c r="N16" s="1019"/>
      <c r="O16" s="1019"/>
      <c r="P16" s="1019"/>
      <c r="Q16" s="1019"/>
      <c r="S16" s="1027"/>
      <c r="T16" s="1027"/>
      <c r="U16" s="1027"/>
      <c r="V16" s="1027"/>
      <c r="W16" s="1027"/>
      <c r="X16" s="1027"/>
      <c r="Y16" s="1027"/>
      <c r="Z16" s="1027"/>
      <c r="AA16" s="1027"/>
      <c r="AB16" s="1027"/>
      <c r="AC16" s="1027"/>
      <c r="AD16" s="1027"/>
      <c r="AE16" s="1027"/>
      <c r="AF16" s="1027"/>
      <c r="AG16" s="1027"/>
      <c r="AH16" s="1027"/>
      <c r="AI16" s="1027"/>
      <c r="AJ16" s="1027"/>
      <c r="AK16" s="1027"/>
      <c r="AM16" s="1040"/>
      <c r="AN16" s="1040"/>
      <c r="AO16" s="1040"/>
      <c r="AP16" s="1040"/>
      <c r="AQ16" s="1040"/>
      <c r="AR16" s="1040"/>
      <c r="AS16" s="1040"/>
      <c r="AT16" s="1040"/>
      <c r="AU16" s="1040"/>
      <c r="AV16" s="1040"/>
      <c r="AW16" s="1040"/>
      <c r="AX16" s="1040"/>
      <c r="AY16" s="1040"/>
      <c r="AZ16" s="1040"/>
      <c r="BA16" s="1040"/>
      <c r="BB16" s="1040"/>
      <c r="BC16" s="1040"/>
      <c r="BD16" s="1040"/>
      <c r="BE16" s="1040"/>
      <c r="BF16" s="979"/>
      <c r="BH16" s="1034"/>
      <c r="BI16" s="1034"/>
      <c r="BJ16" s="1034"/>
      <c r="BL16" s="814">
        <f t="shared" si="9"/>
        <v>0</v>
      </c>
      <c r="BM16" s="814"/>
      <c r="BN16" s="1484"/>
      <c r="BO16" s="1481"/>
      <c r="BP16" s="1482"/>
      <c r="BQ16" s="1482"/>
      <c r="BR16" s="1482"/>
      <c r="BS16" s="1482"/>
      <c r="BT16" s="1482"/>
      <c r="BU16" s="1482"/>
      <c r="BV16" s="1482"/>
      <c r="BW16" s="1482"/>
      <c r="BX16" s="1482"/>
      <c r="BY16" s="1482"/>
      <c r="BZ16" s="1482"/>
      <c r="CA16" s="1482"/>
      <c r="CB16" s="1482"/>
      <c r="CC16" s="1482"/>
      <c r="CD16" s="1482"/>
      <c r="CE16" s="1482"/>
      <c r="CF16" s="1482"/>
      <c r="CG16" s="1482"/>
      <c r="CH16" s="1482"/>
      <c r="CI16" s="1482"/>
      <c r="CJ16" s="1482"/>
      <c r="CK16" s="1482"/>
      <c r="CL16" s="1482"/>
      <c r="CM16" s="1482"/>
      <c r="CN16" s="1482"/>
      <c r="CO16" s="1482"/>
      <c r="CP16" s="1482"/>
      <c r="CQ16" s="1482"/>
      <c r="CR16" s="1482"/>
      <c r="CS16" s="1482"/>
      <c r="CT16" s="1482"/>
      <c r="CU16" s="1482"/>
      <c r="CV16" s="1482"/>
      <c r="CW16" s="1482"/>
      <c r="CX16" s="1482"/>
      <c r="CY16" s="1482"/>
      <c r="CZ16" s="1482"/>
      <c r="DA16" s="1482"/>
      <c r="DB16" s="1482"/>
      <c r="DC16" s="1482"/>
      <c r="DD16" s="1482"/>
      <c r="DE16" s="1482"/>
      <c r="DF16" s="1482"/>
      <c r="DH16" s="838">
        <f t="shared" si="36"/>
        <v>0</v>
      </c>
    </row>
    <row r="17" spans="1:112" s="743" customFormat="1" ht="12.75" hidden="1" customHeight="1" outlineLevel="1">
      <c r="A17" s="1484"/>
      <c r="B17" s="1484"/>
      <c r="C17" s="746" t="s">
        <v>950</v>
      </c>
      <c r="D17" s="1480" t="str">
        <f>INDEX(Modules[Module], MATCH($C17, Modules[Code], 0))</f>
        <v>Domestic lighting, appliances, and cooking</v>
      </c>
      <c r="E17" s="1006"/>
      <c r="G17" s="1017">
        <f t="shared" ref="G17:P18" ca="1" si="37">IFERROR(INDEX(INDIRECT($C17&amp;".Outputs["&amp;this.Year&amp;"]"), MATCH(G$5, INDIRECT($C17&amp;".Outputs[Vector]"), 0)), 0)</f>
        <v>0</v>
      </c>
      <c r="H17" s="1017">
        <f t="shared" ca="1" si="37"/>
        <v>106.85595455199297</v>
      </c>
      <c r="I17" s="1017">
        <f t="shared" ca="1" si="37"/>
        <v>0</v>
      </c>
      <c r="J17" s="1017">
        <f t="shared" ca="1" si="37"/>
        <v>0</v>
      </c>
      <c r="K17" s="1017">
        <f t="shared" ca="1" si="37"/>
        <v>0</v>
      </c>
      <c r="L17" s="1017">
        <f t="shared" ca="1" si="37"/>
        <v>0</v>
      </c>
      <c r="M17" s="1017">
        <f t="shared" ca="1" si="37"/>
        <v>0</v>
      </c>
      <c r="N17" s="1017">
        <f t="shared" ca="1" si="37"/>
        <v>0</v>
      </c>
      <c r="O17" s="1017">
        <f t="shared" ca="1" si="37"/>
        <v>0</v>
      </c>
      <c r="P17" s="1017">
        <f t="shared" ca="1" si="37"/>
        <v>0</v>
      </c>
      <c r="Q17" s="1019">
        <f ca="1">SUM(G17:P17)</f>
        <v>106.85595455199297</v>
      </c>
      <c r="S17" s="1026">
        <f t="shared" ref="S17:BE18" ca="1" si="38">IFERROR(INDEX(INDIRECT($C17&amp;".Outputs["&amp;this.Year&amp;"]"), MATCH(S$5, INDIRECT($C17&amp;".Outputs[Vector]"), 0)), 0)</f>
        <v>-98.82343859522426</v>
      </c>
      <c r="T17" s="1026">
        <f t="shared" ca="1" si="38"/>
        <v>0</v>
      </c>
      <c r="U17" s="1026">
        <f t="shared" ca="1" si="38"/>
        <v>0</v>
      </c>
      <c r="V17" s="1026">
        <f t="shared" ca="1" si="38"/>
        <v>0</v>
      </c>
      <c r="W17" s="1026">
        <f t="shared" ca="1" si="38"/>
        <v>-8.0325159567687017</v>
      </c>
      <c r="X17" s="1026">
        <f t="shared" ref="X17:Z18" ca="1" si="39">IFERROR(INDEX(INDIRECT($C17&amp;".Outputs["&amp;this.Year&amp;"]"), MATCH(X$5, INDIRECT($C17&amp;".Outputs[Vector]"), 0)), 0)</f>
        <v>0</v>
      </c>
      <c r="Y17" s="1026">
        <f t="shared" ca="1" si="39"/>
        <v>0</v>
      </c>
      <c r="Z17" s="1026">
        <f t="shared" ca="1" si="39"/>
        <v>0</v>
      </c>
      <c r="AA17" s="1026">
        <f t="shared" ca="1" si="38"/>
        <v>0</v>
      </c>
      <c r="AB17" s="1026">
        <f t="shared" ca="1" si="38"/>
        <v>0</v>
      </c>
      <c r="AC17" s="1026">
        <f t="shared" ca="1" si="38"/>
        <v>0</v>
      </c>
      <c r="AD17" s="1026">
        <f t="shared" ca="1" si="38"/>
        <v>0</v>
      </c>
      <c r="AE17" s="1026">
        <f t="shared" ca="1" si="38"/>
        <v>0</v>
      </c>
      <c r="AF17" s="1026">
        <f t="shared" ca="1" si="38"/>
        <v>0</v>
      </c>
      <c r="AG17" s="1026">
        <f t="shared" ca="1" si="38"/>
        <v>0</v>
      </c>
      <c r="AH17" s="1026">
        <f t="shared" ca="1" si="38"/>
        <v>0</v>
      </c>
      <c r="AI17" s="1026">
        <f t="shared" ca="1" si="38"/>
        <v>0</v>
      </c>
      <c r="AJ17" s="1026">
        <f t="shared" ca="1" si="38"/>
        <v>0</v>
      </c>
      <c r="AK17" s="1027">
        <f ca="1">SUM(S17:AJ17)</f>
        <v>-106.85595455199297</v>
      </c>
      <c r="AM17" s="1038">
        <f t="shared" ref="AM17:AU18" ca="1" si="40">IFERROR(INDEX(INDIRECT($C17&amp;".Outputs["&amp;this.Year&amp;"]"), MATCH(AM$5, INDIRECT($C17&amp;".Outputs[Vector]"), 0)), 0)</f>
        <v>0</v>
      </c>
      <c r="AN17" s="1038">
        <f t="shared" ca="1" si="40"/>
        <v>0</v>
      </c>
      <c r="AO17" s="1038">
        <f t="shared" ca="1" si="40"/>
        <v>0</v>
      </c>
      <c r="AP17" s="1038">
        <f t="shared" ca="1" si="40"/>
        <v>0</v>
      </c>
      <c r="AQ17" s="1038">
        <f t="shared" ca="1" si="40"/>
        <v>0</v>
      </c>
      <c r="AR17" s="1038">
        <f t="shared" ca="1" si="40"/>
        <v>0</v>
      </c>
      <c r="AS17" s="1038">
        <f t="shared" ca="1" si="40"/>
        <v>0</v>
      </c>
      <c r="AT17" s="1038">
        <f t="shared" ca="1" si="40"/>
        <v>0</v>
      </c>
      <c r="AU17" s="1038">
        <f t="shared" ca="1" si="40"/>
        <v>0</v>
      </c>
      <c r="AV17" s="1038">
        <f t="shared" ca="1" si="38"/>
        <v>0</v>
      </c>
      <c r="AW17" s="1038">
        <f t="shared" ca="1" si="38"/>
        <v>0</v>
      </c>
      <c r="AX17" s="1038">
        <f t="shared" ca="1" si="38"/>
        <v>0</v>
      </c>
      <c r="AY17" s="1038">
        <f t="shared" ca="1" si="38"/>
        <v>0</v>
      </c>
      <c r="AZ17" s="1038">
        <f t="shared" ca="1" si="38"/>
        <v>0</v>
      </c>
      <c r="BA17" s="1038">
        <f t="shared" ca="1" si="38"/>
        <v>0</v>
      </c>
      <c r="BB17" s="1038">
        <f t="shared" ca="1" si="38"/>
        <v>0</v>
      </c>
      <c r="BC17" s="1038">
        <f t="shared" ca="1" si="38"/>
        <v>0</v>
      </c>
      <c r="BD17" s="1038">
        <f t="shared" ca="1" si="38"/>
        <v>0</v>
      </c>
      <c r="BE17" s="1038">
        <f t="shared" ca="1" si="38"/>
        <v>0</v>
      </c>
      <c r="BF17" s="979">
        <f ca="1">SUM(AM17:BE17)</f>
        <v>0</v>
      </c>
      <c r="BH17" s="1032">
        <f ca="1">IFERROR(INDEX(INDIRECT($C17&amp;".Outputs["&amp;this.Year&amp;"]"), MATCH(BH$5, INDIRECT($C17&amp;".Outputs[Vector]"), 0)), 0)</f>
        <v>0</v>
      </c>
      <c r="BI17" s="1032">
        <f ca="1">IFERROR(INDEX(INDIRECT($C17&amp;".Outputs["&amp;this.Year&amp;"]"), MATCH(BI$5, INDIRECT($C17&amp;".Outputs[Vector]"), 0)), 0)</f>
        <v>0</v>
      </c>
      <c r="BJ17" s="1034">
        <f ca="1">SUM(BH17:BI17)</f>
        <v>0</v>
      </c>
      <c r="BL17" s="814">
        <f t="shared" ca="1" si="9"/>
        <v>0</v>
      </c>
      <c r="BM17" s="814"/>
      <c r="BN17" s="840"/>
      <c r="BO17" s="1481">
        <f t="shared" ref="BO17:BX18" ca="1" si="41">IFERROR(SUMIFS(INDIRECT($C17&amp;".Emissions["&amp;this.Year&amp;"]"), INDIRECT($C17&amp;".Emissions[GHG]"), BO$6, INDIRECT($C17&amp;".Emissions[IPCC Sector]"), BO$5),0)</f>
        <v>1.4779829360454408</v>
      </c>
      <c r="BP17" s="1482">
        <f t="shared" ca="1" si="41"/>
        <v>2.9625956724507771E-3</v>
      </c>
      <c r="BQ17" s="1482">
        <f t="shared" ca="1" si="41"/>
        <v>3.1864156768487847E-3</v>
      </c>
      <c r="BR17" s="1482">
        <f t="shared" ca="1" si="41"/>
        <v>0</v>
      </c>
      <c r="BS17" s="1482">
        <f t="shared" ca="1" si="41"/>
        <v>0</v>
      </c>
      <c r="BT17" s="1482">
        <f t="shared" ca="1" si="41"/>
        <v>0</v>
      </c>
      <c r="BU17" s="1482">
        <f t="shared" ca="1" si="41"/>
        <v>0</v>
      </c>
      <c r="BV17" s="1482">
        <f t="shared" ca="1" si="41"/>
        <v>0</v>
      </c>
      <c r="BW17" s="1482">
        <f t="shared" ca="1" si="41"/>
        <v>0</v>
      </c>
      <c r="BX17" s="1482">
        <f t="shared" ca="1" si="41"/>
        <v>0</v>
      </c>
      <c r="BY17" s="1482">
        <f t="shared" ref="BY17:CH18" ca="1" si="42">IFERROR(SUMIFS(INDIRECT($C17&amp;".Emissions["&amp;this.Year&amp;"]"), INDIRECT($C17&amp;".Emissions[GHG]"), BY$6, INDIRECT($C17&amp;".Emissions[IPCC Sector]"), BY$5),0)</f>
        <v>0</v>
      </c>
      <c r="BZ17" s="1482">
        <f t="shared" ca="1" si="42"/>
        <v>0</v>
      </c>
      <c r="CA17" s="1482">
        <f t="shared" ca="1" si="42"/>
        <v>0</v>
      </c>
      <c r="CB17" s="1482">
        <f t="shared" ca="1" si="42"/>
        <v>0</v>
      </c>
      <c r="CC17" s="1482">
        <f t="shared" ca="1" si="42"/>
        <v>0</v>
      </c>
      <c r="CD17" s="1482">
        <f t="shared" ca="1" si="42"/>
        <v>0</v>
      </c>
      <c r="CE17" s="1482">
        <f t="shared" ca="1" si="42"/>
        <v>0</v>
      </c>
      <c r="CF17" s="1482">
        <f t="shared" ca="1" si="42"/>
        <v>0</v>
      </c>
      <c r="CG17" s="1482">
        <f t="shared" ca="1" si="42"/>
        <v>0</v>
      </c>
      <c r="CH17" s="1482">
        <f t="shared" ca="1" si="42"/>
        <v>0</v>
      </c>
      <c r="CI17" s="1482">
        <f t="shared" ref="CI17:CR18" ca="1" si="43">IFERROR(SUMIFS(INDIRECT($C17&amp;".Emissions["&amp;this.Year&amp;"]"), INDIRECT($C17&amp;".Emissions[GHG]"), CI$6, INDIRECT($C17&amp;".Emissions[IPCC Sector]"), CI$5),0)</f>
        <v>0</v>
      </c>
      <c r="CJ17" s="1482">
        <f t="shared" ca="1" si="43"/>
        <v>0</v>
      </c>
      <c r="CK17" s="1482">
        <f t="shared" ca="1" si="43"/>
        <v>0</v>
      </c>
      <c r="CL17" s="1482">
        <f t="shared" ca="1" si="43"/>
        <v>0</v>
      </c>
      <c r="CM17" s="1482">
        <f t="shared" ca="1" si="43"/>
        <v>0</v>
      </c>
      <c r="CN17" s="1482">
        <f t="shared" ca="1" si="43"/>
        <v>0</v>
      </c>
      <c r="CO17" s="1482">
        <f t="shared" ca="1" si="43"/>
        <v>0</v>
      </c>
      <c r="CP17" s="1482">
        <f t="shared" ca="1" si="43"/>
        <v>0</v>
      </c>
      <c r="CQ17" s="1482">
        <f t="shared" ca="1" si="43"/>
        <v>0</v>
      </c>
      <c r="CR17" s="1482">
        <f t="shared" ca="1" si="43"/>
        <v>0</v>
      </c>
      <c r="CS17" s="1482">
        <f t="shared" ref="CS17:DF18" ca="1" si="44">IFERROR(SUMIFS(INDIRECT($C17&amp;".Emissions["&amp;this.Year&amp;"]"), INDIRECT($C17&amp;".Emissions[GHG]"), CS$6, INDIRECT($C17&amp;".Emissions[IPCC Sector]"), CS$5),0)</f>
        <v>0</v>
      </c>
      <c r="CT17" s="1482">
        <f t="shared" ca="1" si="44"/>
        <v>0</v>
      </c>
      <c r="CU17" s="1482">
        <f t="shared" ca="1" si="44"/>
        <v>0</v>
      </c>
      <c r="CV17" s="1482">
        <f t="shared" ca="1" si="44"/>
        <v>0</v>
      </c>
      <c r="CW17" s="1482">
        <f t="shared" ca="1" si="44"/>
        <v>0</v>
      </c>
      <c r="CX17" s="1482">
        <f t="shared" ca="1" si="44"/>
        <v>0</v>
      </c>
      <c r="CY17" s="1482">
        <f t="shared" ca="1" si="44"/>
        <v>0</v>
      </c>
      <c r="CZ17" s="1482">
        <f t="shared" ca="1" si="44"/>
        <v>0</v>
      </c>
      <c r="DA17" s="1482">
        <f t="shared" ca="1" si="44"/>
        <v>0</v>
      </c>
      <c r="DB17" s="1482">
        <f t="shared" ca="1" si="44"/>
        <v>0</v>
      </c>
      <c r="DC17" s="1482">
        <f t="shared" ca="1" si="44"/>
        <v>0</v>
      </c>
      <c r="DD17" s="1482">
        <f t="shared" ca="1" si="44"/>
        <v>0</v>
      </c>
      <c r="DE17" s="1482">
        <f t="shared" ca="1" si="44"/>
        <v>0</v>
      </c>
      <c r="DF17" s="1482">
        <f t="shared" ca="1" si="44"/>
        <v>0</v>
      </c>
      <c r="DH17" s="838">
        <f t="shared" ca="1" si="36"/>
        <v>1.4841319473947405</v>
      </c>
    </row>
    <row r="18" spans="1:112" s="743" customFormat="1" ht="12.75" hidden="1" customHeight="1" outlineLevel="1">
      <c r="A18" s="1484"/>
      <c r="B18" s="1484"/>
      <c r="C18" s="746" t="s">
        <v>951</v>
      </c>
      <c r="D18" s="1010" t="str">
        <f>INDEX(Modules[Module], MATCH($C18, Modules[Code], 0))</f>
        <v>Commercial lighting, appliances, and catering</v>
      </c>
      <c r="E18" s="1010"/>
      <c r="G18" s="1022">
        <f t="shared" ca="1" si="37"/>
        <v>0</v>
      </c>
      <c r="H18" s="1022">
        <f t="shared" ca="1" si="37"/>
        <v>96.000645222047623</v>
      </c>
      <c r="I18" s="1022">
        <f t="shared" ca="1" si="37"/>
        <v>0</v>
      </c>
      <c r="J18" s="1022">
        <f t="shared" ca="1" si="37"/>
        <v>0</v>
      </c>
      <c r="K18" s="1022">
        <f t="shared" ca="1" si="37"/>
        <v>0</v>
      </c>
      <c r="L18" s="1022">
        <f t="shared" ca="1" si="37"/>
        <v>0</v>
      </c>
      <c r="M18" s="1022">
        <f t="shared" ca="1" si="37"/>
        <v>0</v>
      </c>
      <c r="N18" s="1022">
        <f t="shared" ca="1" si="37"/>
        <v>0</v>
      </c>
      <c r="O18" s="1022">
        <f t="shared" ca="1" si="37"/>
        <v>0</v>
      </c>
      <c r="P18" s="1022">
        <f t="shared" ca="1" si="37"/>
        <v>0</v>
      </c>
      <c r="Q18" s="1020">
        <f ca="1">SUM(G18:P18)</f>
        <v>96.000645222047623</v>
      </c>
      <c r="S18" s="1031">
        <f t="shared" ca="1" si="38"/>
        <v>-86.964225448945584</v>
      </c>
      <c r="T18" s="1031">
        <f t="shared" ca="1" si="38"/>
        <v>0</v>
      </c>
      <c r="U18" s="1031">
        <f t="shared" ca="1" si="38"/>
        <v>0</v>
      </c>
      <c r="V18" s="1031">
        <f t="shared" ca="1" si="38"/>
        <v>0</v>
      </c>
      <c r="W18" s="1031">
        <f t="shared" ca="1" si="38"/>
        <v>-9.036419773102045</v>
      </c>
      <c r="X18" s="1031">
        <f t="shared" ca="1" si="39"/>
        <v>0</v>
      </c>
      <c r="Y18" s="1031">
        <f t="shared" ca="1" si="39"/>
        <v>0</v>
      </c>
      <c r="Z18" s="1031">
        <f t="shared" ca="1" si="39"/>
        <v>0</v>
      </c>
      <c r="AA18" s="1031">
        <f t="shared" ca="1" si="38"/>
        <v>0</v>
      </c>
      <c r="AB18" s="1031">
        <f t="shared" ca="1" si="38"/>
        <v>0</v>
      </c>
      <c r="AC18" s="1031">
        <f t="shared" ca="1" si="38"/>
        <v>0</v>
      </c>
      <c r="AD18" s="1031">
        <f t="shared" ca="1" si="38"/>
        <v>0</v>
      </c>
      <c r="AE18" s="1031">
        <f t="shared" ca="1" si="38"/>
        <v>0</v>
      </c>
      <c r="AF18" s="1031">
        <f t="shared" ca="1" si="38"/>
        <v>0</v>
      </c>
      <c r="AG18" s="1031">
        <f t="shared" ca="1" si="38"/>
        <v>0</v>
      </c>
      <c r="AH18" s="1031">
        <f t="shared" ca="1" si="38"/>
        <v>0</v>
      </c>
      <c r="AI18" s="1031">
        <f t="shared" ca="1" si="38"/>
        <v>0</v>
      </c>
      <c r="AJ18" s="1031">
        <f t="shared" ca="1" si="38"/>
        <v>0</v>
      </c>
      <c r="AK18" s="1030">
        <f ca="1">SUM(S18:AJ18)</f>
        <v>-96.000645222047623</v>
      </c>
      <c r="AM18" s="1042">
        <f t="shared" ca="1" si="40"/>
        <v>0</v>
      </c>
      <c r="AN18" s="1042">
        <f t="shared" ca="1" si="40"/>
        <v>0</v>
      </c>
      <c r="AO18" s="1042">
        <f t="shared" ca="1" si="40"/>
        <v>0</v>
      </c>
      <c r="AP18" s="1042">
        <f t="shared" ca="1" si="40"/>
        <v>0</v>
      </c>
      <c r="AQ18" s="1042">
        <f t="shared" ca="1" si="40"/>
        <v>0</v>
      </c>
      <c r="AR18" s="1042">
        <f t="shared" ca="1" si="40"/>
        <v>0</v>
      </c>
      <c r="AS18" s="1042">
        <f t="shared" ca="1" si="40"/>
        <v>0</v>
      </c>
      <c r="AT18" s="1042">
        <f t="shared" ca="1" si="40"/>
        <v>0</v>
      </c>
      <c r="AU18" s="1042">
        <f t="shared" ca="1" si="40"/>
        <v>0</v>
      </c>
      <c r="AV18" s="1042">
        <f t="shared" ca="1" si="38"/>
        <v>0</v>
      </c>
      <c r="AW18" s="1042">
        <f t="shared" ca="1" si="38"/>
        <v>0</v>
      </c>
      <c r="AX18" s="1042">
        <f t="shared" ca="1" si="38"/>
        <v>0</v>
      </c>
      <c r="AY18" s="1042">
        <f t="shared" ca="1" si="38"/>
        <v>0</v>
      </c>
      <c r="AZ18" s="1042">
        <f t="shared" ca="1" si="38"/>
        <v>0</v>
      </c>
      <c r="BA18" s="1042">
        <f t="shared" ca="1" si="38"/>
        <v>0</v>
      </c>
      <c r="BB18" s="1042">
        <f t="shared" ca="1" si="38"/>
        <v>0</v>
      </c>
      <c r="BC18" s="1042">
        <f t="shared" ca="1" si="38"/>
        <v>0</v>
      </c>
      <c r="BD18" s="1042">
        <f t="shared" ca="1" si="38"/>
        <v>0</v>
      </c>
      <c r="BE18" s="1042">
        <f t="shared" ca="1" si="38"/>
        <v>0</v>
      </c>
      <c r="BF18" s="1012">
        <f ca="1">SUM(AM18:BE18)</f>
        <v>0</v>
      </c>
      <c r="BH18" s="1036">
        <f ca="1">IFERROR(INDEX(INDIRECT($C18&amp;".Outputs["&amp;this.Year&amp;"]"), MATCH(BH$5, INDIRECT($C18&amp;".Outputs[Vector]"), 0)), 0)</f>
        <v>0</v>
      </c>
      <c r="BI18" s="1036">
        <f ca="1">IFERROR(INDEX(INDIRECT($C18&amp;".Outputs["&amp;this.Year&amp;"]"), MATCH(BI$5, INDIRECT($C18&amp;".Outputs[Vector]"), 0)), 0)</f>
        <v>0</v>
      </c>
      <c r="BJ18" s="1035">
        <f ca="1">SUM(BH18:BI18)</f>
        <v>0</v>
      </c>
      <c r="BL18" s="814">
        <f t="shared" ca="1" si="9"/>
        <v>0</v>
      </c>
      <c r="BM18" s="814"/>
      <c r="BN18" s="840"/>
      <c r="BO18" s="1485">
        <f t="shared" ca="1" si="41"/>
        <v>1.662701238250776</v>
      </c>
      <c r="BP18" s="1486">
        <f t="shared" ca="1" si="41"/>
        <v>3.332860869287363E-3</v>
      </c>
      <c r="BQ18" s="1486">
        <f t="shared" ca="1" si="41"/>
        <v>3.5846538970564063E-3</v>
      </c>
      <c r="BR18" s="1486">
        <f t="shared" ca="1" si="41"/>
        <v>0</v>
      </c>
      <c r="BS18" s="1486">
        <f t="shared" ca="1" si="41"/>
        <v>0</v>
      </c>
      <c r="BT18" s="1486">
        <f t="shared" ca="1" si="41"/>
        <v>0</v>
      </c>
      <c r="BU18" s="1486">
        <f t="shared" ca="1" si="41"/>
        <v>0</v>
      </c>
      <c r="BV18" s="1486">
        <f t="shared" ca="1" si="41"/>
        <v>0</v>
      </c>
      <c r="BW18" s="1486">
        <f t="shared" ca="1" si="41"/>
        <v>0</v>
      </c>
      <c r="BX18" s="1486">
        <f t="shared" ca="1" si="41"/>
        <v>0</v>
      </c>
      <c r="BY18" s="1486">
        <f t="shared" ca="1" si="42"/>
        <v>0</v>
      </c>
      <c r="BZ18" s="1486">
        <f t="shared" ca="1" si="42"/>
        <v>0</v>
      </c>
      <c r="CA18" s="1486">
        <f t="shared" ca="1" si="42"/>
        <v>0</v>
      </c>
      <c r="CB18" s="1486">
        <f t="shared" ca="1" si="42"/>
        <v>0</v>
      </c>
      <c r="CC18" s="1486">
        <f t="shared" ca="1" si="42"/>
        <v>0</v>
      </c>
      <c r="CD18" s="1486">
        <f t="shared" ca="1" si="42"/>
        <v>0</v>
      </c>
      <c r="CE18" s="1486">
        <f t="shared" ca="1" si="42"/>
        <v>0</v>
      </c>
      <c r="CF18" s="1486">
        <f t="shared" ca="1" si="42"/>
        <v>0</v>
      </c>
      <c r="CG18" s="1486">
        <f t="shared" ca="1" si="42"/>
        <v>0</v>
      </c>
      <c r="CH18" s="1486">
        <f t="shared" ca="1" si="42"/>
        <v>0</v>
      </c>
      <c r="CI18" s="1486">
        <f t="shared" ca="1" si="43"/>
        <v>0</v>
      </c>
      <c r="CJ18" s="1486">
        <f t="shared" ca="1" si="43"/>
        <v>0</v>
      </c>
      <c r="CK18" s="1486">
        <f t="shared" ca="1" si="43"/>
        <v>0</v>
      </c>
      <c r="CL18" s="1486">
        <f t="shared" ca="1" si="43"/>
        <v>0</v>
      </c>
      <c r="CM18" s="1486">
        <f t="shared" ca="1" si="43"/>
        <v>0</v>
      </c>
      <c r="CN18" s="1486">
        <f t="shared" ca="1" si="43"/>
        <v>0</v>
      </c>
      <c r="CO18" s="1486">
        <f t="shared" ca="1" si="43"/>
        <v>0</v>
      </c>
      <c r="CP18" s="1486">
        <f t="shared" ca="1" si="43"/>
        <v>0</v>
      </c>
      <c r="CQ18" s="1486">
        <f t="shared" ca="1" si="43"/>
        <v>0</v>
      </c>
      <c r="CR18" s="1486">
        <f t="shared" ca="1" si="43"/>
        <v>0</v>
      </c>
      <c r="CS18" s="1486">
        <f t="shared" ca="1" si="44"/>
        <v>0</v>
      </c>
      <c r="CT18" s="1486">
        <f t="shared" ca="1" si="44"/>
        <v>0</v>
      </c>
      <c r="CU18" s="1486">
        <f t="shared" ca="1" si="44"/>
        <v>0</v>
      </c>
      <c r="CV18" s="1486">
        <f t="shared" ca="1" si="44"/>
        <v>0</v>
      </c>
      <c r="CW18" s="1486">
        <f t="shared" ca="1" si="44"/>
        <v>0</v>
      </c>
      <c r="CX18" s="1486">
        <f t="shared" ca="1" si="44"/>
        <v>0</v>
      </c>
      <c r="CY18" s="1486">
        <f t="shared" ca="1" si="44"/>
        <v>0</v>
      </c>
      <c r="CZ18" s="1486">
        <f t="shared" ca="1" si="44"/>
        <v>0</v>
      </c>
      <c r="DA18" s="1486">
        <f t="shared" ca="1" si="44"/>
        <v>0</v>
      </c>
      <c r="DB18" s="1486">
        <f t="shared" ca="1" si="44"/>
        <v>0</v>
      </c>
      <c r="DC18" s="1486">
        <f t="shared" ca="1" si="44"/>
        <v>0</v>
      </c>
      <c r="DD18" s="1486">
        <f t="shared" ca="1" si="44"/>
        <v>0</v>
      </c>
      <c r="DE18" s="1486">
        <f t="shared" ca="1" si="44"/>
        <v>0</v>
      </c>
      <c r="DF18" s="1486">
        <f t="shared" ca="1" si="44"/>
        <v>0</v>
      </c>
      <c r="DH18" s="838">
        <f t="shared" ca="1" si="36"/>
        <v>1.6696187530171196</v>
      </c>
    </row>
    <row r="19" spans="1:112" s="743" customFormat="1" ht="15.75" collapsed="1">
      <c r="A19" s="22"/>
      <c r="B19" s="753"/>
      <c r="C19" s="744" t="s">
        <v>677</v>
      </c>
      <c r="D19" s="517" t="str">
        <f>INDEX(Workstreams[Workstream], MATCH($C19, Workstreams[Code], 0))</f>
        <v>Lighting and appliances</v>
      </c>
      <c r="E19" s="512"/>
      <c r="G19" s="1021">
        <f ca="1">G17+G18</f>
        <v>0</v>
      </c>
      <c r="H19" s="1021">
        <f t="shared" ref="H19:P19" ca="1" si="45">H17+H18</f>
        <v>202.8565997740406</v>
      </c>
      <c r="I19" s="1021">
        <f t="shared" ca="1" si="45"/>
        <v>0</v>
      </c>
      <c r="J19" s="1021">
        <f t="shared" ca="1" si="45"/>
        <v>0</v>
      </c>
      <c r="K19" s="1021">
        <f t="shared" ca="1" si="45"/>
        <v>0</v>
      </c>
      <c r="L19" s="1021">
        <f t="shared" ca="1" si="45"/>
        <v>0</v>
      </c>
      <c r="M19" s="1021">
        <f t="shared" ca="1" si="45"/>
        <v>0</v>
      </c>
      <c r="N19" s="1021">
        <f t="shared" ca="1" si="45"/>
        <v>0</v>
      </c>
      <c r="O19" s="1021">
        <f t="shared" ca="1" si="45"/>
        <v>0</v>
      </c>
      <c r="P19" s="1021">
        <f t="shared" ca="1" si="45"/>
        <v>0</v>
      </c>
      <c r="Q19" s="1021">
        <f ca="1">SUM(G19:P19)</f>
        <v>202.8565997740406</v>
      </c>
      <c r="S19" s="970">
        <f ca="1">S17+S18</f>
        <v>-185.78766404416984</v>
      </c>
      <c r="T19" s="970">
        <f t="shared" ref="T19:AJ19" ca="1" si="46">T17+T18</f>
        <v>0</v>
      </c>
      <c r="U19" s="970">
        <f t="shared" ca="1" si="46"/>
        <v>0</v>
      </c>
      <c r="V19" s="970">
        <f t="shared" ca="1" si="46"/>
        <v>0</v>
      </c>
      <c r="W19" s="970">
        <f t="shared" ca="1" si="46"/>
        <v>-17.068935729870745</v>
      </c>
      <c r="X19" s="970">
        <f ca="1">X17+X18</f>
        <v>0</v>
      </c>
      <c r="Y19" s="970">
        <f ca="1">Y17+Y18</f>
        <v>0</v>
      </c>
      <c r="Z19" s="970">
        <f ca="1">Z17+Z18</f>
        <v>0</v>
      </c>
      <c r="AA19" s="970">
        <f t="shared" ca="1" si="46"/>
        <v>0</v>
      </c>
      <c r="AB19" s="970">
        <f t="shared" ca="1" si="46"/>
        <v>0</v>
      </c>
      <c r="AC19" s="970">
        <f t="shared" ca="1" si="46"/>
        <v>0</v>
      </c>
      <c r="AD19" s="970">
        <f ca="1">AD17+AD18</f>
        <v>0</v>
      </c>
      <c r="AE19" s="970">
        <f ca="1">AE17+AE18</f>
        <v>0</v>
      </c>
      <c r="AF19" s="970">
        <f t="shared" ca="1" si="46"/>
        <v>0</v>
      </c>
      <c r="AG19" s="970">
        <f ca="1">AG17+AG18</f>
        <v>0</v>
      </c>
      <c r="AH19" s="970">
        <f ca="1">AH17+AH18</f>
        <v>0</v>
      </c>
      <c r="AI19" s="970">
        <f ca="1">AI17+AI18</f>
        <v>0</v>
      </c>
      <c r="AJ19" s="970">
        <f t="shared" ca="1" si="46"/>
        <v>0</v>
      </c>
      <c r="AK19" s="970">
        <f ca="1">SUM(S19:AJ19)</f>
        <v>-202.8565997740406</v>
      </c>
      <c r="AM19" s="976">
        <f t="shared" ref="AM19:BE19" ca="1" si="47">AM17+AM18</f>
        <v>0</v>
      </c>
      <c r="AN19" s="976">
        <f t="shared" ca="1" si="47"/>
        <v>0</v>
      </c>
      <c r="AO19" s="976">
        <f t="shared" ca="1" si="47"/>
        <v>0</v>
      </c>
      <c r="AP19" s="976">
        <f t="shared" ca="1" si="47"/>
        <v>0</v>
      </c>
      <c r="AQ19" s="976">
        <f t="shared" ca="1" si="47"/>
        <v>0</v>
      </c>
      <c r="AR19" s="976">
        <f t="shared" ca="1" si="47"/>
        <v>0</v>
      </c>
      <c r="AS19" s="976">
        <f t="shared" ca="1" si="47"/>
        <v>0</v>
      </c>
      <c r="AT19" s="976">
        <f t="shared" ca="1" si="47"/>
        <v>0</v>
      </c>
      <c r="AU19" s="976">
        <f t="shared" ca="1" si="47"/>
        <v>0</v>
      </c>
      <c r="AV19" s="976">
        <f t="shared" ca="1" si="47"/>
        <v>0</v>
      </c>
      <c r="AW19" s="976">
        <f t="shared" ca="1" si="47"/>
        <v>0</v>
      </c>
      <c r="AX19" s="976">
        <f t="shared" ca="1" si="47"/>
        <v>0</v>
      </c>
      <c r="AY19" s="976">
        <f t="shared" ca="1" si="47"/>
        <v>0</v>
      </c>
      <c r="AZ19" s="976">
        <f t="shared" ca="1" si="47"/>
        <v>0</v>
      </c>
      <c r="BA19" s="976">
        <f t="shared" ca="1" si="47"/>
        <v>0</v>
      </c>
      <c r="BB19" s="976">
        <f t="shared" ca="1" si="47"/>
        <v>0</v>
      </c>
      <c r="BC19" s="976">
        <f t="shared" ca="1" si="47"/>
        <v>0</v>
      </c>
      <c r="BD19" s="976">
        <f t="shared" ca="1" si="47"/>
        <v>0</v>
      </c>
      <c r="BE19" s="976">
        <f t="shared" ca="1" si="47"/>
        <v>0</v>
      </c>
      <c r="BF19" s="976">
        <f ca="1">SUM(AM19:BE19)</f>
        <v>0</v>
      </c>
      <c r="BH19" s="990">
        <f ca="1">BH17+BH18</f>
        <v>0</v>
      </c>
      <c r="BI19" s="990">
        <f ca="1">BI17+BI18</f>
        <v>0</v>
      </c>
      <c r="BJ19" s="990">
        <f ca="1">SUM(BH19:BI19)</f>
        <v>0</v>
      </c>
      <c r="BL19" s="515">
        <f t="shared" ca="1" si="9"/>
        <v>0</v>
      </c>
      <c r="BM19" s="515"/>
      <c r="BN19" s="840"/>
      <c r="BO19" s="1482">
        <f t="shared" ref="BO19:DF19" ca="1" si="48">BO17+BO18</f>
        <v>3.1406841742962168</v>
      </c>
      <c r="BP19" s="1482">
        <f t="shared" ca="1" si="48"/>
        <v>6.2954565417381401E-3</v>
      </c>
      <c r="BQ19" s="1482">
        <f t="shared" ca="1" si="48"/>
        <v>6.771069573905191E-3</v>
      </c>
      <c r="BR19" s="1482">
        <f t="shared" ca="1" si="48"/>
        <v>0</v>
      </c>
      <c r="BS19" s="1482">
        <f t="shared" ca="1" si="48"/>
        <v>0</v>
      </c>
      <c r="BT19" s="1482">
        <f t="shared" ca="1" si="48"/>
        <v>0</v>
      </c>
      <c r="BU19" s="1482">
        <f t="shared" ca="1" si="48"/>
        <v>0</v>
      </c>
      <c r="BV19" s="1482">
        <f t="shared" ca="1" si="48"/>
        <v>0</v>
      </c>
      <c r="BW19" s="1482">
        <f t="shared" ca="1" si="48"/>
        <v>0</v>
      </c>
      <c r="BX19" s="1482">
        <f t="shared" ca="1" si="48"/>
        <v>0</v>
      </c>
      <c r="BY19" s="1482">
        <f t="shared" ca="1" si="48"/>
        <v>0</v>
      </c>
      <c r="BZ19" s="1482">
        <f t="shared" ca="1" si="48"/>
        <v>0</v>
      </c>
      <c r="CA19" s="1482">
        <f t="shared" ca="1" si="48"/>
        <v>0</v>
      </c>
      <c r="CB19" s="1482">
        <f t="shared" ca="1" si="48"/>
        <v>0</v>
      </c>
      <c r="CC19" s="1482">
        <f t="shared" ca="1" si="48"/>
        <v>0</v>
      </c>
      <c r="CD19" s="1482">
        <f t="shared" ca="1" si="48"/>
        <v>0</v>
      </c>
      <c r="CE19" s="1482">
        <f t="shared" ca="1" si="48"/>
        <v>0</v>
      </c>
      <c r="CF19" s="1482">
        <f t="shared" ca="1" si="48"/>
        <v>0</v>
      </c>
      <c r="CG19" s="1482">
        <f t="shared" ca="1" si="48"/>
        <v>0</v>
      </c>
      <c r="CH19" s="1482">
        <f t="shared" ca="1" si="48"/>
        <v>0</v>
      </c>
      <c r="CI19" s="1482">
        <f t="shared" ca="1" si="48"/>
        <v>0</v>
      </c>
      <c r="CJ19" s="1482">
        <f t="shared" ca="1" si="48"/>
        <v>0</v>
      </c>
      <c r="CK19" s="1482">
        <f t="shared" ca="1" si="48"/>
        <v>0</v>
      </c>
      <c r="CL19" s="1482">
        <f t="shared" ca="1" si="48"/>
        <v>0</v>
      </c>
      <c r="CM19" s="1482">
        <f t="shared" ca="1" si="48"/>
        <v>0</v>
      </c>
      <c r="CN19" s="1482">
        <f t="shared" ca="1" si="48"/>
        <v>0</v>
      </c>
      <c r="CO19" s="1482">
        <f t="shared" ca="1" si="48"/>
        <v>0</v>
      </c>
      <c r="CP19" s="1482">
        <f t="shared" ca="1" si="48"/>
        <v>0</v>
      </c>
      <c r="CQ19" s="1482">
        <f t="shared" ca="1" si="48"/>
        <v>0</v>
      </c>
      <c r="CR19" s="1482">
        <f t="shared" ca="1" si="48"/>
        <v>0</v>
      </c>
      <c r="CS19" s="1482">
        <f t="shared" ca="1" si="48"/>
        <v>0</v>
      </c>
      <c r="CT19" s="1482">
        <f t="shared" ca="1" si="48"/>
        <v>0</v>
      </c>
      <c r="CU19" s="1482">
        <f t="shared" ca="1" si="48"/>
        <v>0</v>
      </c>
      <c r="CV19" s="1482">
        <f t="shared" ca="1" si="48"/>
        <v>0</v>
      </c>
      <c r="CW19" s="1482">
        <f t="shared" ca="1" si="48"/>
        <v>0</v>
      </c>
      <c r="CX19" s="1482">
        <f t="shared" ca="1" si="48"/>
        <v>0</v>
      </c>
      <c r="CY19" s="1482">
        <f t="shared" ca="1" si="48"/>
        <v>0</v>
      </c>
      <c r="CZ19" s="1482">
        <f t="shared" ca="1" si="48"/>
        <v>0</v>
      </c>
      <c r="DA19" s="1482">
        <f t="shared" ca="1" si="48"/>
        <v>0</v>
      </c>
      <c r="DB19" s="1482">
        <f t="shared" ca="1" si="48"/>
        <v>0</v>
      </c>
      <c r="DC19" s="1482">
        <f t="shared" ca="1" si="48"/>
        <v>0</v>
      </c>
      <c r="DD19" s="1482">
        <f t="shared" ca="1" si="48"/>
        <v>0</v>
      </c>
      <c r="DE19" s="1482">
        <f t="shared" ca="1" si="48"/>
        <v>0</v>
      </c>
      <c r="DF19" s="1482">
        <f t="shared" ca="1" si="48"/>
        <v>0</v>
      </c>
      <c r="DH19" s="838">
        <f t="shared" ca="1" si="36"/>
        <v>3.1537507004118606</v>
      </c>
    </row>
    <row r="20" spans="1:112" s="743" customFormat="1" ht="12.75" hidden="1" customHeight="1" outlineLevel="1">
      <c r="A20" s="1484"/>
      <c r="B20" s="1484"/>
      <c r="C20" s="746"/>
      <c r="D20" s="521"/>
      <c r="E20" s="521"/>
      <c r="G20" s="1019"/>
      <c r="H20" s="1019"/>
      <c r="I20" s="1019"/>
      <c r="J20" s="1019"/>
      <c r="K20" s="1019"/>
      <c r="L20" s="1019"/>
      <c r="M20" s="1019"/>
      <c r="N20" s="1019"/>
      <c r="O20" s="1019"/>
      <c r="P20" s="1019"/>
      <c r="Q20" s="1019"/>
      <c r="S20" s="1027"/>
      <c r="T20" s="1027"/>
      <c r="U20" s="1027"/>
      <c r="V20" s="1027"/>
      <c r="W20" s="1027"/>
      <c r="X20" s="1027"/>
      <c r="Y20" s="1027"/>
      <c r="Z20" s="1027"/>
      <c r="AA20" s="1027"/>
      <c r="AB20" s="1027"/>
      <c r="AC20" s="1027"/>
      <c r="AD20" s="1027"/>
      <c r="AE20" s="1027"/>
      <c r="AF20" s="1027"/>
      <c r="AG20" s="1027"/>
      <c r="AH20" s="1027"/>
      <c r="AI20" s="1027"/>
      <c r="AJ20" s="1027"/>
      <c r="AK20" s="1027"/>
      <c r="AM20" s="1040"/>
      <c r="AN20" s="1040"/>
      <c r="AO20" s="1040"/>
      <c r="AP20" s="1040"/>
      <c r="AQ20" s="1040"/>
      <c r="AR20" s="1040"/>
      <c r="AS20" s="1040"/>
      <c r="AT20" s="1040"/>
      <c r="AU20" s="1040"/>
      <c r="AV20" s="1040"/>
      <c r="AW20" s="1040"/>
      <c r="AX20" s="1040"/>
      <c r="AY20" s="1040"/>
      <c r="AZ20" s="1040"/>
      <c r="BA20" s="1040"/>
      <c r="BB20" s="1040"/>
      <c r="BC20" s="1040"/>
      <c r="BD20" s="1040"/>
      <c r="BE20" s="1040"/>
      <c r="BF20" s="979"/>
      <c r="BH20" s="1034"/>
      <c r="BI20" s="1034"/>
      <c r="BJ20" s="1034"/>
      <c r="BL20" s="814">
        <f t="shared" si="9"/>
        <v>0</v>
      </c>
      <c r="BM20" s="814"/>
      <c r="BN20" s="1484"/>
      <c r="BO20" s="1481"/>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H20" s="838">
        <f t="shared" si="36"/>
        <v>0</v>
      </c>
    </row>
    <row r="21" spans="1:112" s="743" customFormat="1" ht="12.75" hidden="1" customHeight="1" outlineLevel="1">
      <c r="A21" s="1484"/>
      <c r="B21" s="1484"/>
      <c r="C21" s="746" t="s">
        <v>900</v>
      </c>
      <c r="D21" s="1010" t="str">
        <f>INDEX(Modules[Module], MATCH($C21, Modules[Code], 0))</f>
        <v>Industrial processes</v>
      </c>
      <c r="E21" s="1010"/>
      <c r="G21" s="1022">
        <f t="shared" ref="G21:P21" ca="1" si="49">IFERROR(INDEX(INDIRECT($C21&amp;".Outputs["&amp;this.Year&amp;"]"), MATCH(G$5, INDIRECT($C21&amp;".Outputs[Vector]"), 0)), 0)</f>
        <v>0</v>
      </c>
      <c r="H21" s="1022">
        <f t="shared" ca="1" si="49"/>
        <v>0</v>
      </c>
      <c r="I21" s="1022">
        <f t="shared" ca="1" si="49"/>
        <v>447.36769538035696</v>
      </c>
      <c r="J21" s="1022">
        <f t="shared" ca="1" si="49"/>
        <v>0</v>
      </c>
      <c r="K21" s="1022">
        <f t="shared" ca="1" si="49"/>
        <v>0</v>
      </c>
      <c r="L21" s="1022">
        <f t="shared" ca="1" si="49"/>
        <v>0</v>
      </c>
      <c r="M21" s="1022">
        <f t="shared" ca="1" si="49"/>
        <v>0</v>
      </c>
      <c r="N21" s="1022">
        <f t="shared" ca="1" si="49"/>
        <v>0</v>
      </c>
      <c r="O21" s="1022">
        <f t="shared" ca="1" si="49"/>
        <v>0</v>
      </c>
      <c r="P21" s="1022">
        <f t="shared" ca="1" si="49"/>
        <v>0</v>
      </c>
      <c r="Q21" s="1020">
        <f ca="1">SUM(G21:P21)</f>
        <v>447.36769538035696</v>
      </c>
      <c r="S21" s="1031">
        <f t="shared" ref="S21:BE21" ca="1" si="50">IFERROR(INDEX(INDIRECT($C21&amp;".Outputs["&amp;this.Year&amp;"]"), MATCH(S$5, INDIRECT($C21&amp;".Outputs[Vector]"), 0)), 0)</f>
        <v>-125.22125096386554</v>
      </c>
      <c r="T21" s="1031">
        <f t="shared" ca="1" si="50"/>
        <v>0</v>
      </c>
      <c r="U21" s="1031">
        <f t="shared" ca="1" si="50"/>
        <v>-59.727980324638843</v>
      </c>
      <c r="V21" s="1031">
        <f t="shared" ca="1" si="50"/>
        <v>-89.365478931442155</v>
      </c>
      <c r="W21" s="1031">
        <f t="shared" ca="1" si="50"/>
        <v>-164.28641618531597</v>
      </c>
      <c r="X21" s="1031">
        <f ca="1">IFERROR(INDEX(INDIRECT($C21&amp;".Outputs["&amp;this.Year&amp;"]"), MATCH(X$5, INDIRECT($C21&amp;".Outputs[Vector]"), 0)), 0)</f>
        <v>0</v>
      </c>
      <c r="Y21" s="1031">
        <f ca="1">IFERROR(INDEX(INDIRECT($C21&amp;".Outputs["&amp;this.Year&amp;"]"), MATCH(Y$5, INDIRECT($C21&amp;".Outputs[Vector]"), 0)), 0)</f>
        <v>0</v>
      </c>
      <c r="Z21" s="1031">
        <f ca="1">IFERROR(INDEX(INDIRECT($C21&amp;".Outputs["&amp;this.Year&amp;"]"), MATCH(Z$5, INDIRECT($C21&amp;".Outputs[Vector]"), 0)), 0)</f>
        <v>0</v>
      </c>
      <c r="AA21" s="1031">
        <f t="shared" ca="1" si="50"/>
        <v>0</v>
      </c>
      <c r="AB21" s="1031">
        <f t="shared" ca="1" si="50"/>
        <v>-8.7665689750944136</v>
      </c>
      <c r="AC21" s="1031">
        <f t="shared" ca="1" si="50"/>
        <v>0</v>
      </c>
      <c r="AD21" s="1031">
        <f t="shared" ca="1" si="50"/>
        <v>0</v>
      </c>
      <c r="AE21" s="1031">
        <f t="shared" ca="1" si="50"/>
        <v>0</v>
      </c>
      <c r="AF21" s="1031">
        <f t="shared" ca="1" si="50"/>
        <v>0</v>
      </c>
      <c r="AG21" s="1031">
        <f t="shared" ca="1" si="50"/>
        <v>0</v>
      </c>
      <c r="AH21" s="1031">
        <f t="shared" ca="1" si="50"/>
        <v>0</v>
      </c>
      <c r="AI21" s="1031">
        <f t="shared" ca="1" si="50"/>
        <v>0</v>
      </c>
      <c r="AJ21" s="1031">
        <f t="shared" ca="1" si="50"/>
        <v>0</v>
      </c>
      <c r="AK21" s="1030">
        <f ca="1">SUM(S21:AJ21)</f>
        <v>-447.36769538035696</v>
      </c>
      <c r="AM21" s="1042">
        <f t="shared" ref="AM21:AU21" ca="1" si="51">IFERROR(INDEX(INDIRECT($C21&amp;".Outputs["&amp;this.Year&amp;"]"), MATCH(AM$5, INDIRECT($C21&amp;".Outputs[Vector]"), 0)), 0)</f>
        <v>0</v>
      </c>
      <c r="AN21" s="1042">
        <f t="shared" ca="1" si="51"/>
        <v>0</v>
      </c>
      <c r="AO21" s="1042">
        <f t="shared" ca="1" si="51"/>
        <v>0</v>
      </c>
      <c r="AP21" s="1042">
        <f t="shared" ca="1" si="51"/>
        <v>0</v>
      </c>
      <c r="AQ21" s="1042">
        <f t="shared" ca="1" si="51"/>
        <v>0</v>
      </c>
      <c r="AR21" s="1042">
        <f t="shared" ca="1" si="51"/>
        <v>0</v>
      </c>
      <c r="AS21" s="1042">
        <f t="shared" ca="1" si="51"/>
        <v>0</v>
      </c>
      <c r="AT21" s="1042">
        <f t="shared" ca="1" si="51"/>
        <v>0</v>
      </c>
      <c r="AU21" s="1042">
        <f t="shared" ca="1" si="51"/>
        <v>0</v>
      </c>
      <c r="AV21" s="1042">
        <f t="shared" ca="1" si="50"/>
        <v>0</v>
      </c>
      <c r="AW21" s="1042">
        <f t="shared" ca="1" si="50"/>
        <v>0</v>
      </c>
      <c r="AX21" s="1042">
        <f t="shared" ca="1" si="50"/>
        <v>0</v>
      </c>
      <c r="AY21" s="1042">
        <f t="shared" ca="1" si="50"/>
        <v>0</v>
      </c>
      <c r="AZ21" s="1042">
        <f t="shared" ca="1" si="50"/>
        <v>0</v>
      </c>
      <c r="BA21" s="1042">
        <f t="shared" ca="1" si="50"/>
        <v>0</v>
      </c>
      <c r="BB21" s="1042">
        <f t="shared" ca="1" si="50"/>
        <v>0</v>
      </c>
      <c r="BC21" s="1042">
        <f t="shared" ca="1" si="50"/>
        <v>0</v>
      </c>
      <c r="BD21" s="1042">
        <f t="shared" ca="1" si="50"/>
        <v>0</v>
      </c>
      <c r="BE21" s="1042">
        <f t="shared" ca="1" si="50"/>
        <v>0</v>
      </c>
      <c r="BF21" s="1012">
        <f ca="1">SUM(AM21:BE21)</f>
        <v>0</v>
      </c>
      <c r="BH21" s="1036">
        <f ca="1">IFERROR(INDEX(INDIRECT($C21&amp;".Outputs["&amp;this.Year&amp;"]"), MATCH(BH$5, INDIRECT($C21&amp;".Outputs[Vector]"), 0)), 0)</f>
        <v>0</v>
      </c>
      <c r="BI21" s="1036">
        <f ca="1">IFERROR(INDEX(INDIRECT($C21&amp;".Outputs["&amp;this.Year&amp;"]"), MATCH(BI$5, INDIRECT($C21&amp;".Outputs[Vector]"), 0)), 0)</f>
        <v>0</v>
      </c>
      <c r="BJ21" s="1035">
        <f ca="1">SUM(BH21:BI21)</f>
        <v>0</v>
      </c>
      <c r="BL21" s="814">
        <f t="shared" ca="1" si="9"/>
        <v>0</v>
      </c>
      <c r="BM21" s="814"/>
      <c r="BN21" s="840"/>
      <c r="BO21" s="1485">
        <f t="shared" ref="BO21:DF21" ca="1" si="52">IFERROR(SUMIFS(INDIRECT($C21&amp;".Emissions["&amp;this.Year&amp;"]"), INDIRECT($C21&amp;".Emissions[GHG]"), BO$6, INDIRECT($C21&amp;".Emissions[IPCC Sector]"), BO$5),0)</f>
        <v>70.966288250947429</v>
      </c>
      <c r="BP21" s="1486">
        <f t="shared" ca="1" si="52"/>
        <v>0.14244935576198842</v>
      </c>
      <c r="BQ21" s="1486">
        <f t="shared" ca="1" si="52"/>
        <v>0.63010088027637234</v>
      </c>
      <c r="BR21" s="1486">
        <f t="shared" ca="1" si="52"/>
        <v>0</v>
      </c>
      <c r="BS21" s="1486">
        <f t="shared" ca="1" si="52"/>
        <v>0</v>
      </c>
      <c r="BT21" s="1486">
        <f t="shared" ca="1" si="52"/>
        <v>0</v>
      </c>
      <c r="BU21" s="1486">
        <f t="shared" ca="1" si="52"/>
        <v>0</v>
      </c>
      <c r="BV21" s="1486">
        <f t="shared" ca="1" si="52"/>
        <v>0</v>
      </c>
      <c r="BW21" s="1486">
        <f t="shared" ca="1" si="52"/>
        <v>14.515855739932137</v>
      </c>
      <c r="BX21" s="1486">
        <f t="shared" ca="1" si="52"/>
        <v>0.11021832278886601</v>
      </c>
      <c r="BY21" s="1486">
        <f t="shared" ca="1" si="52"/>
        <v>2.7602794188710575</v>
      </c>
      <c r="BZ21" s="1486">
        <f t="shared" ca="1" si="52"/>
        <v>6.0718122413197761</v>
      </c>
      <c r="CA21" s="1486">
        <f t="shared" ca="1" si="52"/>
        <v>0</v>
      </c>
      <c r="CB21" s="1486">
        <f t="shared" ca="1" si="52"/>
        <v>0</v>
      </c>
      <c r="CC21" s="1486">
        <f t="shared" ca="1" si="52"/>
        <v>0</v>
      </c>
      <c r="CD21" s="1486">
        <f t="shared" ca="1" si="52"/>
        <v>0</v>
      </c>
      <c r="CE21" s="1486">
        <f t="shared" ca="1" si="52"/>
        <v>0</v>
      </c>
      <c r="CF21" s="1486">
        <f t="shared" ca="1" si="52"/>
        <v>0</v>
      </c>
      <c r="CG21" s="1486">
        <f t="shared" ca="1" si="52"/>
        <v>0</v>
      </c>
      <c r="CH21" s="1486">
        <f t="shared" ca="1" si="52"/>
        <v>0</v>
      </c>
      <c r="CI21" s="1486">
        <f t="shared" ca="1" si="52"/>
        <v>0</v>
      </c>
      <c r="CJ21" s="1486">
        <f t="shared" ca="1" si="52"/>
        <v>0</v>
      </c>
      <c r="CK21" s="1486">
        <f t="shared" ca="1" si="52"/>
        <v>0</v>
      </c>
      <c r="CL21" s="1486">
        <f t="shared" ca="1" si="52"/>
        <v>0</v>
      </c>
      <c r="CM21" s="1486">
        <f t="shared" ca="1" si="52"/>
        <v>0</v>
      </c>
      <c r="CN21" s="1486">
        <f t="shared" ca="1" si="52"/>
        <v>0</v>
      </c>
      <c r="CO21" s="1486">
        <f t="shared" ca="1" si="52"/>
        <v>0</v>
      </c>
      <c r="CP21" s="1486">
        <f t="shared" ca="1" si="52"/>
        <v>0</v>
      </c>
      <c r="CQ21" s="1486">
        <f t="shared" ca="1" si="52"/>
        <v>0</v>
      </c>
      <c r="CR21" s="1486">
        <f t="shared" ca="1" si="52"/>
        <v>0</v>
      </c>
      <c r="CS21" s="1486">
        <f t="shared" ca="1" si="52"/>
        <v>0</v>
      </c>
      <c r="CT21" s="1486">
        <f t="shared" ca="1" si="52"/>
        <v>0</v>
      </c>
      <c r="CU21" s="1486">
        <f t="shared" ca="1" si="52"/>
        <v>0</v>
      </c>
      <c r="CV21" s="1486">
        <f t="shared" ca="1" si="52"/>
        <v>0</v>
      </c>
      <c r="CW21" s="1486">
        <f t="shared" ca="1" si="52"/>
        <v>0</v>
      </c>
      <c r="CX21" s="1486">
        <f t="shared" ca="1" si="52"/>
        <v>0</v>
      </c>
      <c r="CY21" s="1486">
        <f t="shared" ca="1" si="52"/>
        <v>0</v>
      </c>
      <c r="CZ21" s="1486">
        <f t="shared" ca="1" si="52"/>
        <v>0</v>
      </c>
      <c r="DA21" s="1486">
        <f t="shared" ca="1" si="52"/>
        <v>0</v>
      </c>
      <c r="DB21" s="1486">
        <f t="shared" ca="1" si="52"/>
        <v>0</v>
      </c>
      <c r="DC21" s="1486">
        <f t="shared" ca="1" si="52"/>
        <v>0</v>
      </c>
      <c r="DD21" s="1486">
        <f t="shared" ca="1" si="52"/>
        <v>0</v>
      </c>
      <c r="DE21" s="1486">
        <f t="shared" ca="1" si="52"/>
        <v>0</v>
      </c>
      <c r="DF21" s="1486">
        <f t="shared" ca="1" si="52"/>
        <v>0</v>
      </c>
      <c r="DH21" s="838">
        <f t="shared" ca="1" si="36"/>
        <v>95.197004209897614</v>
      </c>
    </row>
    <row r="22" spans="1:112" s="743" customFormat="1" ht="15.75" collapsed="1">
      <c r="A22" s="22"/>
      <c r="B22" s="753"/>
      <c r="C22" s="744" t="s">
        <v>678</v>
      </c>
      <c r="D22" s="517" t="str">
        <f>INDEX(Workstreams[Workstream], MATCH($C22, Workstreams[Code], 0))</f>
        <v>Industry</v>
      </c>
      <c r="E22" s="512"/>
      <c r="G22" s="1021">
        <f ca="1">G21</f>
        <v>0</v>
      </c>
      <c r="H22" s="1021">
        <f t="shared" ref="H22:P22" ca="1" si="53">H21</f>
        <v>0</v>
      </c>
      <c r="I22" s="1021">
        <f t="shared" ca="1" si="53"/>
        <v>447.36769538035696</v>
      </c>
      <c r="J22" s="1021">
        <f t="shared" ca="1" si="53"/>
        <v>0</v>
      </c>
      <c r="K22" s="1021">
        <f t="shared" ca="1" si="53"/>
        <v>0</v>
      </c>
      <c r="L22" s="1021">
        <f t="shared" ca="1" si="53"/>
        <v>0</v>
      </c>
      <c r="M22" s="1021">
        <f t="shared" ca="1" si="53"/>
        <v>0</v>
      </c>
      <c r="N22" s="1021">
        <f t="shared" ca="1" si="53"/>
        <v>0</v>
      </c>
      <c r="O22" s="1021">
        <f t="shared" ca="1" si="53"/>
        <v>0</v>
      </c>
      <c r="P22" s="1021">
        <f t="shared" ca="1" si="53"/>
        <v>0</v>
      </c>
      <c r="Q22" s="1021">
        <f ca="1">SUM(G22:P22)</f>
        <v>447.36769538035696</v>
      </c>
      <c r="S22" s="970">
        <f t="shared" ref="S22:Z22" ca="1" si="54">S21</f>
        <v>-125.22125096386554</v>
      </c>
      <c r="T22" s="970">
        <f t="shared" ca="1" si="54"/>
        <v>0</v>
      </c>
      <c r="U22" s="970">
        <f t="shared" ca="1" si="54"/>
        <v>-59.727980324638843</v>
      </c>
      <c r="V22" s="970">
        <f t="shared" ca="1" si="54"/>
        <v>-89.365478931442155</v>
      </c>
      <c r="W22" s="970">
        <f t="shared" ca="1" si="54"/>
        <v>-164.28641618531597</v>
      </c>
      <c r="X22" s="970">
        <f t="shared" ca="1" si="54"/>
        <v>0</v>
      </c>
      <c r="Y22" s="970">
        <f t="shared" ca="1" si="54"/>
        <v>0</v>
      </c>
      <c r="Z22" s="970">
        <f t="shared" ca="1" si="54"/>
        <v>0</v>
      </c>
      <c r="AA22" s="970">
        <f t="shared" ref="AA22:AJ22" ca="1" si="55">AA21</f>
        <v>0</v>
      </c>
      <c r="AB22" s="970">
        <f t="shared" ca="1" si="55"/>
        <v>-8.7665689750944136</v>
      </c>
      <c r="AC22" s="970">
        <f t="shared" ca="1" si="55"/>
        <v>0</v>
      </c>
      <c r="AD22" s="970">
        <f ca="1">AD21</f>
        <v>0</v>
      </c>
      <c r="AE22" s="970">
        <f ca="1">AE21</f>
        <v>0</v>
      </c>
      <c r="AF22" s="970">
        <f t="shared" ca="1" si="55"/>
        <v>0</v>
      </c>
      <c r="AG22" s="970">
        <f ca="1">AG21</f>
        <v>0</v>
      </c>
      <c r="AH22" s="970">
        <f ca="1">AH21</f>
        <v>0</v>
      </c>
      <c r="AI22" s="970">
        <f ca="1">AI21</f>
        <v>0</v>
      </c>
      <c r="AJ22" s="970">
        <f t="shared" ca="1" si="55"/>
        <v>0</v>
      </c>
      <c r="AK22" s="970">
        <f ca="1">SUM(S22:AJ22)</f>
        <v>-447.36769538035696</v>
      </c>
      <c r="AM22" s="976">
        <f t="shared" ref="AM22:BE22" ca="1" si="56">AM21</f>
        <v>0</v>
      </c>
      <c r="AN22" s="976">
        <f t="shared" ca="1" si="56"/>
        <v>0</v>
      </c>
      <c r="AO22" s="976">
        <f t="shared" ca="1" si="56"/>
        <v>0</v>
      </c>
      <c r="AP22" s="976">
        <f t="shared" ca="1" si="56"/>
        <v>0</v>
      </c>
      <c r="AQ22" s="976">
        <f t="shared" ca="1" si="56"/>
        <v>0</v>
      </c>
      <c r="AR22" s="976">
        <f t="shared" ca="1" si="56"/>
        <v>0</v>
      </c>
      <c r="AS22" s="976">
        <f t="shared" ca="1" si="56"/>
        <v>0</v>
      </c>
      <c r="AT22" s="976">
        <f t="shared" ca="1" si="56"/>
        <v>0</v>
      </c>
      <c r="AU22" s="976">
        <f t="shared" ca="1" si="56"/>
        <v>0</v>
      </c>
      <c r="AV22" s="976">
        <f t="shared" ca="1" si="56"/>
        <v>0</v>
      </c>
      <c r="AW22" s="976">
        <f t="shared" ca="1" si="56"/>
        <v>0</v>
      </c>
      <c r="AX22" s="976">
        <f t="shared" ca="1" si="56"/>
        <v>0</v>
      </c>
      <c r="AY22" s="976">
        <f t="shared" ca="1" si="56"/>
        <v>0</v>
      </c>
      <c r="AZ22" s="976">
        <f t="shared" ca="1" si="56"/>
        <v>0</v>
      </c>
      <c r="BA22" s="976">
        <f t="shared" ca="1" si="56"/>
        <v>0</v>
      </c>
      <c r="BB22" s="976">
        <f t="shared" ca="1" si="56"/>
        <v>0</v>
      </c>
      <c r="BC22" s="976">
        <f t="shared" ca="1" si="56"/>
        <v>0</v>
      </c>
      <c r="BD22" s="976">
        <f t="shared" ca="1" si="56"/>
        <v>0</v>
      </c>
      <c r="BE22" s="976">
        <f t="shared" ca="1" si="56"/>
        <v>0</v>
      </c>
      <c r="BF22" s="976">
        <f ca="1">SUM(AM22:BE22)</f>
        <v>0</v>
      </c>
      <c r="BH22" s="990">
        <f ca="1">BH21</f>
        <v>0</v>
      </c>
      <c r="BI22" s="990">
        <f ca="1">BI21</f>
        <v>0</v>
      </c>
      <c r="BJ22" s="990">
        <f ca="1">SUM(BH22:BI22)</f>
        <v>0</v>
      </c>
      <c r="BL22" s="515">
        <f t="shared" ca="1" si="9"/>
        <v>0</v>
      </c>
      <c r="BM22" s="515"/>
      <c r="BN22" s="840"/>
      <c r="BO22" s="1482">
        <f t="shared" ref="BO22:DF22" ca="1" si="57">BO21</f>
        <v>70.966288250947429</v>
      </c>
      <c r="BP22" s="1482">
        <f t="shared" ca="1" si="57"/>
        <v>0.14244935576198842</v>
      </c>
      <c r="BQ22" s="1482">
        <f t="shared" ca="1" si="57"/>
        <v>0.63010088027637234</v>
      </c>
      <c r="BR22" s="1482">
        <f t="shared" ca="1" si="57"/>
        <v>0</v>
      </c>
      <c r="BS22" s="1482">
        <f t="shared" ca="1" si="57"/>
        <v>0</v>
      </c>
      <c r="BT22" s="1482">
        <f t="shared" ca="1" si="57"/>
        <v>0</v>
      </c>
      <c r="BU22" s="1482">
        <f t="shared" ca="1" si="57"/>
        <v>0</v>
      </c>
      <c r="BV22" s="1482">
        <f t="shared" ca="1" si="57"/>
        <v>0</v>
      </c>
      <c r="BW22" s="1482">
        <f t="shared" ca="1" si="57"/>
        <v>14.515855739932137</v>
      </c>
      <c r="BX22" s="1482">
        <f t="shared" ca="1" si="57"/>
        <v>0.11021832278886601</v>
      </c>
      <c r="BY22" s="1482">
        <f t="shared" ca="1" si="57"/>
        <v>2.7602794188710575</v>
      </c>
      <c r="BZ22" s="1482">
        <f t="shared" ca="1" si="57"/>
        <v>6.0718122413197761</v>
      </c>
      <c r="CA22" s="1482">
        <f t="shared" ca="1" si="57"/>
        <v>0</v>
      </c>
      <c r="CB22" s="1482">
        <f t="shared" ca="1" si="57"/>
        <v>0</v>
      </c>
      <c r="CC22" s="1482">
        <f t="shared" ca="1" si="57"/>
        <v>0</v>
      </c>
      <c r="CD22" s="1482">
        <f t="shared" ca="1" si="57"/>
        <v>0</v>
      </c>
      <c r="CE22" s="1482">
        <f t="shared" ca="1" si="57"/>
        <v>0</v>
      </c>
      <c r="CF22" s="1482">
        <f t="shared" ca="1" si="57"/>
        <v>0</v>
      </c>
      <c r="CG22" s="1482">
        <f t="shared" ca="1" si="57"/>
        <v>0</v>
      </c>
      <c r="CH22" s="1482">
        <f t="shared" ca="1" si="57"/>
        <v>0</v>
      </c>
      <c r="CI22" s="1482">
        <f t="shared" ca="1" si="57"/>
        <v>0</v>
      </c>
      <c r="CJ22" s="1482">
        <f t="shared" ca="1" si="57"/>
        <v>0</v>
      </c>
      <c r="CK22" s="1482">
        <f t="shared" ca="1" si="57"/>
        <v>0</v>
      </c>
      <c r="CL22" s="1482">
        <f t="shared" ca="1" si="57"/>
        <v>0</v>
      </c>
      <c r="CM22" s="1482">
        <f t="shared" ca="1" si="57"/>
        <v>0</v>
      </c>
      <c r="CN22" s="1482">
        <f t="shared" ca="1" si="57"/>
        <v>0</v>
      </c>
      <c r="CO22" s="1482">
        <f t="shared" ca="1" si="57"/>
        <v>0</v>
      </c>
      <c r="CP22" s="1482">
        <f t="shared" ca="1" si="57"/>
        <v>0</v>
      </c>
      <c r="CQ22" s="1482">
        <f t="shared" ca="1" si="57"/>
        <v>0</v>
      </c>
      <c r="CR22" s="1482">
        <f t="shared" ca="1" si="57"/>
        <v>0</v>
      </c>
      <c r="CS22" s="1482">
        <f t="shared" ca="1" si="57"/>
        <v>0</v>
      </c>
      <c r="CT22" s="1482">
        <f t="shared" ca="1" si="57"/>
        <v>0</v>
      </c>
      <c r="CU22" s="1482">
        <f t="shared" ca="1" si="57"/>
        <v>0</v>
      </c>
      <c r="CV22" s="1482">
        <f t="shared" ca="1" si="57"/>
        <v>0</v>
      </c>
      <c r="CW22" s="1482">
        <f t="shared" ca="1" si="57"/>
        <v>0</v>
      </c>
      <c r="CX22" s="1482">
        <f t="shared" ca="1" si="57"/>
        <v>0</v>
      </c>
      <c r="CY22" s="1482">
        <f t="shared" ca="1" si="57"/>
        <v>0</v>
      </c>
      <c r="CZ22" s="1482">
        <f t="shared" ca="1" si="57"/>
        <v>0</v>
      </c>
      <c r="DA22" s="1482">
        <f t="shared" ca="1" si="57"/>
        <v>0</v>
      </c>
      <c r="DB22" s="1482">
        <f t="shared" ca="1" si="57"/>
        <v>0</v>
      </c>
      <c r="DC22" s="1482">
        <f t="shared" ca="1" si="57"/>
        <v>0</v>
      </c>
      <c r="DD22" s="1482">
        <f t="shared" ca="1" si="57"/>
        <v>0</v>
      </c>
      <c r="DE22" s="1482">
        <f t="shared" ca="1" si="57"/>
        <v>0</v>
      </c>
      <c r="DF22" s="1482">
        <f t="shared" ca="1" si="57"/>
        <v>0</v>
      </c>
      <c r="DH22" s="838">
        <f t="shared" ca="1" si="36"/>
        <v>95.197004209897614</v>
      </c>
    </row>
    <row r="23" spans="1:112" s="743" customFormat="1" ht="12.75" hidden="1" customHeight="1" outlineLevel="1">
      <c r="A23" s="22"/>
      <c r="B23" s="22"/>
      <c r="C23" s="751"/>
      <c r="D23" s="512"/>
      <c r="E23" s="512"/>
      <c r="G23" s="1021"/>
      <c r="H23" s="1021"/>
      <c r="I23" s="1021"/>
      <c r="J23" s="1021"/>
      <c r="K23" s="1021"/>
      <c r="L23" s="1021"/>
      <c r="M23" s="1021"/>
      <c r="N23" s="1021"/>
      <c r="O23" s="1021"/>
      <c r="P23" s="1021"/>
      <c r="Q23" s="1021"/>
      <c r="S23" s="970"/>
      <c r="T23" s="970"/>
      <c r="U23" s="970"/>
      <c r="V23" s="970"/>
      <c r="W23" s="970"/>
      <c r="X23" s="970"/>
      <c r="Y23" s="970"/>
      <c r="Z23" s="970"/>
      <c r="AA23" s="970"/>
      <c r="AB23" s="970"/>
      <c r="AC23" s="970"/>
      <c r="AD23" s="970"/>
      <c r="AE23" s="970"/>
      <c r="AF23" s="970"/>
      <c r="AG23" s="970"/>
      <c r="AH23" s="970"/>
      <c r="AI23" s="970"/>
      <c r="AJ23" s="970"/>
      <c r="AK23" s="970"/>
      <c r="AM23" s="976"/>
      <c r="AN23" s="976"/>
      <c r="AO23" s="976"/>
      <c r="AP23" s="976"/>
      <c r="AQ23" s="976"/>
      <c r="AR23" s="976"/>
      <c r="AS23" s="976"/>
      <c r="AT23" s="976"/>
      <c r="AU23" s="976"/>
      <c r="AV23" s="976"/>
      <c r="AW23" s="976"/>
      <c r="AX23" s="976"/>
      <c r="AY23" s="976"/>
      <c r="AZ23" s="976"/>
      <c r="BA23" s="976"/>
      <c r="BB23" s="976"/>
      <c r="BC23" s="976"/>
      <c r="BD23" s="976"/>
      <c r="BE23" s="976"/>
      <c r="BF23" s="976"/>
      <c r="BH23" s="990"/>
      <c r="BI23" s="990"/>
      <c r="BJ23" s="990"/>
      <c r="BL23" s="515">
        <f t="shared" si="9"/>
        <v>0</v>
      </c>
      <c r="BM23" s="515"/>
      <c r="BN23" s="22"/>
      <c r="BO23" s="1482"/>
      <c r="BP23" s="1482"/>
      <c r="BQ23" s="1482"/>
      <c r="BR23" s="1482"/>
      <c r="BS23" s="1482"/>
      <c r="BT23" s="1482"/>
      <c r="BU23" s="1482"/>
      <c r="BV23" s="1482"/>
      <c r="BW23" s="1482"/>
      <c r="BX23" s="1482"/>
      <c r="BY23" s="1482"/>
      <c r="BZ23" s="1482"/>
      <c r="CA23" s="1482"/>
      <c r="CB23" s="1482"/>
      <c r="CC23" s="1482"/>
      <c r="CD23" s="1482"/>
      <c r="CE23" s="1482"/>
      <c r="CF23" s="1482"/>
      <c r="CG23" s="1482"/>
      <c r="CH23" s="1482"/>
      <c r="CI23" s="1482"/>
      <c r="CJ23" s="1482"/>
      <c r="CK23" s="1482"/>
      <c r="CL23" s="1482"/>
      <c r="CM23" s="1482"/>
      <c r="CN23" s="1482"/>
      <c r="CO23" s="1482"/>
      <c r="CP23" s="1482"/>
      <c r="CQ23" s="1482"/>
      <c r="CR23" s="1482"/>
      <c r="CS23" s="1482"/>
      <c r="CT23" s="1482"/>
      <c r="CU23" s="1482"/>
      <c r="CV23" s="1482"/>
      <c r="CW23" s="1482"/>
      <c r="CX23" s="1482"/>
      <c r="CY23" s="1482"/>
      <c r="CZ23" s="1482"/>
      <c r="DA23" s="1482"/>
      <c r="DB23" s="1482"/>
      <c r="DC23" s="1482"/>
      <c r="DD23" s="1482"/>
      <c r="DE23" s="1482"/>
      <c r="DF23" s="1482"/>
      <c r="DH23" s="838">
        <f t="shared" si="36"/>
        <v>0</v>
      </c>
    </row>
    <row r="24" spans="1:112" s="743" customFormat="1" ht="12.75" hidden="1" customHeight="1" outlineLevel="1">
      <c r="A24" s="1484"/>
      <c r="B24" s="1484"/>
      <c r="C24" s="746" t="s">
        <v>903</v>
      </c>
      <c r="D24" s="523" t="str">
        <f>INDEX(Modules[Module], MATCH($C24, Modules[Code], 0))</f>
        <v>Domestic passenger transport</v>
      </c>
      <c r="E24" s="1006"/>
      <c r="G24" s="1017">
        <f t="shared" ref="G24:P27" ca="1" si="58">IFERROR(INDEX(INDIRECT($C24&amp;".Outputs["&amp;this.Year&amp;"]"), MATCH(G$5, INDIRECT($C24&amp;".Outputs[Vector]"), 0)), 0)</f>
        <v>0</v>
      </c>
      <c r="H24" s="1017">
        <f t="shared" ca="1" si="58"/>
        <v>0</v>
      </c>
      <c r="I24" s="1017">
        <f t="shared" ca="1" si="58"/>
        <v>0</v>
      </c>
      <c r="J24" s="1017">
        <f t="shared" ca="1" si="58"/>
        <v>223.10406243877554</v>
      </c>
      <c r="K24" s="1017">
        <f t="shared" ca="1" si="58"/>
        <v>12.09319725270737</v>
      </c>
      <c r="L24" s="1017">
        <f t="shared" ca="1" si="58"/>
        <v>13.860251279239513</v>
      </c>
      <c r="M24" s="1017">
        <f t="shared" ca="1" si="58"/>
        <v>0</v>
      </c>
      <c r="N24" s="1017">
        <f t="shared" ca="1" si="58"/>
        <v>0</v>
      </c>
      <c r="O24" s="1017">
        <f t="shared" ca="1" si="58"/>
        <v>0</v>
      </c>
      <c r="P24" s="1017">
        <f t="shared" ca="1" si="58"/>
        <v>0</v>
      </c>
      <c r="Q24" s="1019">
        <f ca="1">SUM(G24:P24)</f>
        <v>249.05751097072243</v>
      </c>
      <c r="S24" s="1026">
        <f t="shared" ref="S24:BE30" ca="1" si="59">IFERROR(INDEX(INDIRECT($C24&amp;".Outputs["&amp;this.Year&amp;"]"), MATCH(S$5, INDIRECT($C24&amp;".Outputs[Vector]"), 0)), 0)</f>
        <v>-16.685305509649769</v>
      </c>
      <c r="T24" s="1026">
        <f t="shared" ca="1" si="59"/>
        <v>0</v>
      </c>
      <c r="U24" s="1026">
        <f t="shared" ca="1" si="59"/>
        <v>0</v>
      </c>
      <c r="V24" s="1026">
        <f t="shared" ca="1" si="59"/>
        <v>-232.37220546107267</v>
      </c>
      <c r="W24" s="1026">
        <f t="shared" ca="1" si="59"/>
        <v>0</v>
      </c>
      <c r="X24" s="1026">
        <f t="shared" ref="X24:Z27" ca="1" si="60">IFERROR(INDEX(INDIRECT($C24&amp;".Outputs["&amp;this.Year&amp;"]"), MATCH(X$5, INDIRECT($C24&amp;".Outputs[Vector]"), 0)), 0)</f>
        <v>0</v>
      </c>
      <c r="Y24" s="1026">
        <f t="shared" ca="1" si="60"/>
        <v>0</v>
      </c>
      <c r="Z24" s="1026">
        <f t="shared" ca="1" si="60"/>
        <v>0</v>
      </c>
      <c r="AA24" s="1026">
        <f t="shared" ca="1" si="59"/>
        <v>0</v>
      </c>
      <c r="AB24" s="1026">
        <f t="shared" ca="1" si="59"/>
        <v>0</v>
      </c>
      <c r="AC24" s="1026">
        <f t="shared" ca="1" si="59"/>
        <v>0</v>
      </c>
      <c r="AD24" s="1026">
        <f t="shared" ca="1" si="59"/>
        <v>0</v>
      </c>
      <c r="AE24" s="1026">
        <f t="shared" ca="1" si="59"/>
        <v>0</v>
      </c>
      <c r="AF24" s="1026">
        <f t="shared" ca="1" si="59"/>
        <v>0</v>
      </c>
      <c r="AG24" s="1026">
        <f t="shared" ca="1" si="59"/>
        <v>0</v>
      </c>
      <c r="AH24" s="1026">
        <f t="shared" ca="1" si="59"/>
        <v>0</v>
      </c>
      <c r="AI24" s="1026">
        <f t="shared" ca="1" si="59"/>
        <v>0</v>
      </c>
      <c r="AJ24" s="1026">
        <f t="shared" ca="1" si="59"/>
        <v>0</v>
      </c>
      <c r="AK24" s="1027">
        <f t="shared" ref="AK24:AK32" ca="1" si="61">SUM(S24:AJ24)</f>
        <v>-249.05751097072243</v>
      </c>
      <c r="AM24" s="1038">
        <f t="shared" ref="AM24:AU27" ca="1" si="62">IFERROR(INDEX(INDIRECT($C24&amp;".Outputs["&amp;this.Year&amp;"]"), MATCH(AM$5, INDIRECT($C24&amp;".Outputs[Vector]"), 0)), 0)</f>
        <v>0</v>
      </c>
      <c r="AN24" s="1038">
        <f t="shared" ca="1" si="62"/>
        <v>0</v>
      </c>
      <c r="AO24" s="1038">
        <f t="shared" ca="1" si="62"/>
        <v>0</v>
      </c>
      <c r="AP24" s="1038">
        <f t="shared" ca="1" si="62"/>
        <v>0</v>
      </c>
      <c r="AQ24" s="1038">
        <f t="shared" ca="1" si="62"/>
        <v>0</v>
      </c>
      <c r="AR24" s="1038">
        <f t="shared" ca="1" si="62"/>
        <v>0</v>
      </c>
      <c r="AS24" s="1038">
        <f t="shared" ca="1" si="62"/>
        <v>0</v>
      </c>
      <c r="AT24" s="1038">
        <f t="shared" ca="1" si="62"/>
        <v>0</v>
      </c>
      <c r="AU24" s="1038">
        <f t="shared" ca="1" si="62"/>
        <v>0</v>
      </c>
      <c r="AV24" s="1038">
        <f t="shared" ca="1" si="59"/>
        <v>0</v>
      </c>
      <c r="AW24" s="1038">
        <f t="shared" ca="1" si="59"/>
        <v>0</v>
      </c>
      <c r="AX24" s="1038">
        <f t="shared" ca="1" si="59"/>
        <v>0</v>
      </c>
      <c r="AY24" s="1038">
        <f t="shared" ca="1" si="59"/>
        <v>0</v>
      </c>
      <c r="AZ24" s="1038">
        <f t="shared" ca="1" si="59"/>
        <v>0</v>
      </c>
      <c r="BA24" s="1038">
        <f t="shared" ca="1" si="59"/>
        <v>0</v>
      </c>
      <c r="BB24" s="1038">
        <f t="shared" ca="1" si="59"/>
        <v>0</v>
      </c>
      <c r="BC24" s="1038">
        <f t="shared" ca="1" si="59"/>
        <v>0</v>
      </c>
      <c r="BD24" s="1038">
        <f t="shared" ca="1" si="59"/>
        <v>0</v>
      </c>
      <c r="BE24" s="1038">
        <f t="shared" ca="1" si="59"/>
        <v>0</v>
      </c>
      <c r="BF24" s="979">
        <f t="shared" ref="BF24:BF32" ca="1" si="63">SUM(AM24:BE24)</f>
        <v>0</v>
      </c>
      <c r="BH24" s="1032">
        <f t="shared" ref="BH24:BI30" ca="1" si="64">IFERROR(INDEX(INDIRECT($C24&amp;".Outputs["&amp;this.Year&amp;"]"), MATCH(BH$5, INDIRECT($C24&amp;".Outputs[Vector]"), 0)), 0)</f>
        <v>0</v>
      </c>
      <c r="BI24" s="1032">
        <f t="shared" ca="1" si="64"/>
        <v>0</v>
      </c>
      <c r="BJ24" s="1034">
        <f t="shared" ref="BJ24:BJ32" ca="1" si="65">SUM(BH24:BI24)</f>
        <v>0</v>
      </c>
      <c r="BL24" s="814">
        <f t="shared" ca="1" si="9"/>
        <v>0</v>
      </c>
      <c r="BM24" s="814"/>
      <c r="BN24" s="840"/>
      <c r="BO24" s="1481">
        <f t="shared" ref="BO24:BX27" ca="1" si="66">IFERROR(SUMIFS(INDIRECT($C24&amp;".Emissions["&amp;this.Year&amp;"]"), INDIRECT($C24&amp;".Emissions[GHG]"), BO$6, INDIRECT($C24&amp;".Emissions[IPCC Sector]"), BO$5),0)</f>
        <v>58.093051365268167</v>
      </c>
      <c r="BP24" s="1482">
        <f t="shared" ca="1" si="66"/>
        <v>7.2325619612847544E-2</v>
      </c>
      <c r="BQ24" s="1482">
        <f t="shared" ca="1" si="66"/>
        <v>1.0452130319885145</v>
      </c>
      <c r="BR24" s="1482">
        <f t="shared" ca="1" si="66"/>
        <v>0</v>
      </c>
      <c r="BS24" s="1482">
        <f t="shared" ca="1" si="66"/>
        <v>0</v>
      </c>
      <c r="BT24" s="1482">
        <f t="shared" ca="1" si="66"/>
        <v>0</v>
      </c>
      <c r="BU24" s="1482">
        <f t="shared" ca="1" si="66"/>
        <v>0</v>
      </c>
      <c r="BV24" s="1482">
        <f t="shared" ca="1" si="66"/>
        <v>0</v>
      </c>
      <c r="BW24" s="1482">
        <f t="shared" ca="1" si="66"/>
        <v>0</v>
      </c>
      <c r="BX24" s="1482">
        <f t="shared" ca="1" si="66"/>
        <v>0</v>
      </c>
      <c r="BY24" s="1482">
        <f t="shared" ref="BY24:CH27" ca="1" si="67">IFERROR(SUMIFS(INDIRECT($C24&amp;".Emissions["&amp;this.Year&amp;"]"), INDIRECT($C24&amp;".Emissions[GHG]"), BY$6, INDIRECT($C24&amp;".Emissions[IPCC Sector]"), BY$5),0)</f>
        <v>0</v>
      </c>
      <c r="BZ24" s="1482">
        <f t="shared" ca="1" si="67"/>
        <v>0</v>
      </c>
      <c r="CA24" s="1482">
        <f t="shared" ca="1" si="67"/>
        <v>0</v>
      </c>
      <c r="CB24" s="1482">
        <f t="shared" ca="1" si="67"/>
        <v>0</v>
      </c>
      <c r="CC24" s="1482">
        <f t="shared" ca="1" si="67"/>
        <v>0</v>
      </c>
      <c r="CD24" s="1482">
        <f t="shared" ca="1" si="67"/>
        <v>0</v>
      </c>
      <c r="CE24" s="1482">
        <f t="shared" ca="1" si="67"/>
        <v>0</v>
      </c>
      <c r="CF24" s="1482">
        <f t="shared" ca="1" si="67"/>
        <v>0</v>
      </c>
      <c r="CG24" s="1482">
        <f t="shared" ca="1" si="67"/>
        <v>0</v>
      </c>
      <c r="CH24" s="1482">
        <f t="shared" ca="1" si="67"/>
        <v>0</v>
      </c>
      <c r="CI24" s="1482">
        <f t="shared" ref="CI24:CR27" ca="1" si="68">IFERROR(SUMIFS(INDIRECT($C24&amp;".Emissions["&amp;this.Year&amp;"]"), INDIRECT($C24&amp;".Emissions[GHG]"), CI$6, INDIRECT($C24&amp;".Emissions[IPCC Sector]"), CI$5),0)</f>
        <v>0</v>
      </c>
      <c r="CJ24" s="1482">
        <f t="shared" ca="1" si="68"/>
        <v>0</v>
      </c>
      <c r="CK24" s="1482">
        <f t="shared" ca="1" si="68"/>
        <v>0</v>
      </c>
      <c r="CL24" s="1482">
        <f t="shared" ca="1" si="68"/>
        <v>0</v>
      </c>
      <c r="CM24" s="1482">
        <f t="shared" ca="1" si="68"/>
        <v>0</v>
      </c>
      <c r="CN24" s="1482">
        <f t="shared" ca="1" si="68"/>
        <v>0</v>
      </c>
      <c r="CO24" s="1482">
        <f t="shared" ca="1" si="68"/>
        <v>0</v>
      </c>
      <c r="CP24" s="1482">
        <f t="shared" ca="1" si="68"/>
        <v>0</v>
      </c>
      <c r="CQ24" s="1482">
        <f t="shared" ca="1" si="68"/>
        <v>0</v>
      </c>
      <c r="CR24" s="1482">
        <f t="shared" ca="1" si="68"/>
        <v>0</v>
      </c>
      <c r="CS24" s="1482">
        <f t="shared" ref="CS24:DF27" ca="1" si="69">IFERROR(SUMIFS(INDIRECT($C24&amp;".Emissions["&amp;this.Year&amp;"]"), INDIRECT($C24&amp;".Emissions[GHG]"), CS$6, INDIRECT($C24&amp;".Emissions[IPCC Sector]"), CS$5),0)</f>
        <v>0</v>
      </c>
      <c r="CT24" s="1482">
        <f t="shared" ca="1" si="69"/>
        <v>0</v>
      </c>
      <c r="CU24" s="1482">
        <f t="shared" ca="1" si="69"/>
        <v>0</v>
      </c>
      <c r="CV24" s="1482">
        <f t="shared" ca="1" si="69"/>
        <v>0</v>
      </c>
      <c r="CW24" s="1482">
        <f t="shared" ca="1" si="69"/>
        <v>0</v>
      </c>
      <c r="CX24" s="1482">
        <f t="shared" ca="1" si="69"/>
        <v>0</v>
      </c>
      <c r="CY24" s="1482">
        <f t="shared" ca="1" si="69"/>
        <v>0</v>
      </c>
      <c r="CZ24" s="1482">
        <f t="shared" ca="1" si="69"/>
        <v>0</v>
      </c>
      <c r="DA24" s="1482">
        <f t="shared" ca="1" si="69"/>
        <v>0</v>
      </c>
      <c r="DB24" s="1482">
        <f t="shared" ca="1" si="69"/>
        <v>0</v>
      </c>
      <c r="DC24" s="1482">
        <f t="shared" ca="1" si="69"/>
        <v>0</v>
      </c>
      <c r="DD24" s="1482">
        <f t="shared" ca="1" si="69"/>
        <v>0</v>
      </c>
      <c r="DE24" s="1482">
        <f t="shared" ca="1" si="69"/>
        <v>0</v>
      </c>
      <c r="DF24" s="1482">
        <f t="shared" ca="1" si="69"/>
        <v>0</v>
      </c>
      <c r="DH24" s="838">
        <f t="shared" ca="1" si="36"/>
        <v>59.210590016869531</v>
      </c>
    </row>
    <row r="25" spans="1:112" s="743" customFormat="1" ht="12.75" hidden="1" customHeight="1" outlineLevel="1">
      <c r="A25" s="1484"/>
      <c r="B25" s="1484"/>
      <c r="C25" s="746" t="s">
        <v>916</v>
      </c>
      <c r="D25" s="523" t="str">
        <f>INDEX(Modules[Module], MATCH($C25, Modules[Code], 0))</f>
        <v>Domestic freight</v>
      </c>
      <c r="E25" s="1006"/>
      <c r="G25" s="1017">
        <f t="shared" ca="1" si="58"/>
        <v>0</v>
      </c>
      <c r="H25" s="1017">
        <f t="shared" ca="1" si="58"/>
        <v>0</v>
      </c>
      <c r="I25" s="1017">
        <f t="shared" ca="1" si="58"/>
        <v>0</v>
      </c>
      <c r="J25" s="1017">
        <f t="shared" ca="1" si="58"/>
        <v>120.06001497171879</v>
      </c>
      <c r="K25" s="1017">
        <f t="shared" ca="1" si="58"/>
        <v>3.2816898603591089</v>
      </c>
      <c r="L25" s="1017">
        <f t="shared" ca="1" si="58"/>
        <v>0</v>
      </c>
      <c r="M25" s="1017">
        <f t="shared" ca="1" si="58"/>
        <v>23.084767495533725</v>
      </c>
      <c r="N25" s="1017">
        <f t="shared" ca="1" si="58"/>
        <v>0</v>
      </c>
      <c r="O25" s="1017">
        <f t="shared" ca="1" si="58"/>
        <v>0</v>
      </c>
      <c r="P25" s="1017">
        <f t="shared" ca="1" si="58"/>
        <v>0</v>
      </c>
      <c r="Q25" s="1019">
        <f ca="1">SUM(G25:P25)</f>
        <v>146.42647232761163</v>
      </c>
      <c r="S25" s="1026">
        <f t="shared" ca="1" si="59"/>
        <v>-0.13779479884172499</v>
      </c>
      <c r="T25" s="1026">
        <f t="shared" ca="1" si="59"/>
        <v>0</v>
      </c>
      <c r="U25" s="1026">
        <f t="shared" ca="1" si="59"/>
        <v>0</v>
      </c>
      <c r="V25" s="1026">
        <f t="shared" ca="1" si="59"/>
        <v>-146.28867752876988</v>
      </c>
      <c r="W25" s="1026">
        <f t="shared" ca="1" si="59"/>
        <v>0</v>
      </c>
      <c r="X25" s="1026">
        <f t="shared" ca="1" si="60"/>
        <v>0</v>
      </c>
      <c r="Y25" s="1026">
        <f t="shared" ca="1" si="60"/>
        <v>0</v>
      </c>
      <c r="Z25" s="1026">
        <f t="shared" ca="1" si="60"/>
        <v>0</v>
      </c>
      <c r="AA25" s="1026">
        <f t="shared" ca="1" si="59"/>
        <v>0</v>
      </c>
      <c r="AB25" s="1026">
        <f t="shared" ca="1" si="59"/>
        <v>0</v>
      </c>
      <c r="AC25" s="1026">
        <f t="shared" ca="1" si="59"/>
        <v>0</v>
      </c>
      <c r="AD25" s="1026">
        <f t="shared" ca="1" si="59"/>
        <v>0</v>
      </c>
      <c r="AE25" s="1026">
        <f t="shared" ca="1" si="59"/>
        <v>0</v>
      </c>
      <c r="AF25" s="1026">
        <f t="shared" ca="1" si="59"/>
        <v>0</v>
      </c>
      <c r="AG25" s="1026">
        <f t="shared" ca="1" si="59"/>
        <v>0</v>
      </c>
      <c r="AH25" s="1026">
        <f t="shared" ca="1" si="59"/>
        <v>0</v>
      </c>
      <c r="AI25" s="1026">
        <f t="shared" ca="1" si="59"/>
        <v>0</v>
      </c>
      <c r="AJ25" s="1026">
        <f t="shared" ca="1" si="59"/>
        <v>0</v>
      </c>
      <c r="AK25" s="1027">
        <f t="shared" ca="1" si="61"/>
        <v>-146.42647232761161</v>
      </c>
      <c r="AM25" s="1038">
        <f t="shared" ca="1" si="62"/>
        <v>0</v>
      </c>
      <c r="AN25" s="1038">
        <f t="shared" ca="1" si="62"/>
        <v>0</v>
      </c>
      <c r="AO25" s="1038">
        <f t="shared" ca="1" si="62"/>
        <v>0</v>
      </c>
      <c r="AP25" s="1038">
        <f t="shared" ca="1" si="62"/>
        <v>0</v>
      </c>
      <c r="AQ25" s="1038">
        <f t="shared" ca="1" si="62"/>
        <v>0</v>
      </c>
      <c r="AR25" s="1038">
        <f t="shared" ca="1" si="62"/>
        <v>0</v>
      </c>
      <c r="AS25" s="1038">
        <f t="shared" ca="1" si="62"/>
        <v>0</v>
      </c>
      <c r="AT25" s="1038">
        <f t="shared" ca="1" si="62"/>
        <v>0</v>
      </c>
      <c r="AU25" s="1038">
        <f t="shared" ca="1" si="62"/>
        <v>0</v>
      </c>
      <c r="AV25" s="1038">
        <f t="shared" ca="1" si="59"/>
        <v>0</v>
      </c>
      <c r="AW25" s="1038">
        <f t="shared" ca="1" si="59"/>
        <v>0</v>
      </c>
      <c r="AX25" s="1038">
        <f t="shared" ca="1" si="59"/>
        <v>0</v>
      </c>
      <c r="AY25" s="1038">
        <f t="shared" ca="1" si="59"/>
        <v>0</v>
      </c>
      <c r="AZ25" s="1038">
        <f t="shared" ca="1" si="59"/>
        <v>0</v>
      </c>
      <c r="BA25" s="1038">
        <f t="shared" ca="1" si="59"/>
        <v>0</v>
      </c>
      <c r="BB25" s="1038">
        <f t="shared" ca="1" si="59"/>
        <v>0</v>
      </c>
      <c r="BC25" s="1038">
        <f t="shared" ca="1" si="59"/>
        <v>0</v>
      </c>
      <c r="BD25" s="1038">
        <f t="shared" ca="1" si="59"/>
        <v>0</v>
      </c>
      <c r="BE25" s="1038">
        <f t="shared" ca="1" si="59"/>
        <v>0</v>
      </c>
      <c r="BF25" s="979">
        <f t="shared" ca="1" si="63"/>
        <v>0</v>
      </c>
      <c r="BH25" s="1032">
        <f t="shared" ca="1" si="64"/>
        <v>0</v>
      </c>
      <c r="BI25" s="1032">
        <f t="shared" ca="1" si="64"/>
        <v>0</v>
      </c>
      <c r="BJ25" s="1034">
        <f t="shared" ca="1" si="65"/>
        <v>0</v>
      </c>
      <c r="BL25" s="814">
        <f t="shared" ca="1" si="9"/>
        <v>2.8421709430404007E-14</v>
      </c>
      <c r="BM25" s="814"/>
      <c r="BN25" s="840"/>
      <c r="BO25" s="1481">
        <f t="shared" ca="1" si="66"/>
        <v>36.57216938219247</v>
      </c>
      <c r="BP25" s="1482">
        <f t="shared" ca="1" si="66"/>
        <v>4.5532206503005268E-2</v>
      </c>
      <c r="BQ25" s="1482">
        <f t="shared" ca="1" si="66"/>
        <v>0.65800826687531755</v>
      </c>
      <c r="BR25" s="1482">
        <f t="shared" ca="1" si="66"/>
        <v>0</v>
      </c>
      <c r="BS25" s="1482">
        <f t="shared" ca="1" si="66"/>
        <v>0</v>
      </c>
      <c r="BT25" s="1482">
        <f t="shared" ca="1" si="66"/>
        <v>0</v>
      </c>
      <c r="BU25" s="1482">
        <f t="shared" ca="1" si="66"/>
        <v>0</v>
      </c>
      <c r="BV25" s="1482">
        <f t="shared" ca="1" si="66"/>
        <v>0</v>
      </c>
      <c r="BW25" s="1482">
        <f t="shared" ca="1" si="66"/>
        <v>0</v>
      </c>
      <c r="BX25" s="1482">
        <f t="shared" ca="1" si="66"/>
        <v>0</v>
      </c>
      <c r="BY25" s="1482">
        <f t="shared" ca="1" si="67"/>
        <v>0</v>
      </c>
      <c r="BZ25" s="1482">
        <f t="shared" ca="1" si="67"/>
        <v>0</v>
      </c>
      <c r="CA25" s="1482">
        <f t="shared" ca="1" si="67"/>
        <v>0</v>
      </c>
      <c r="CB25" s="1482">
        <f t="shared" ca="1" si="67"/>
        <v>0</v>
      </c>
      <c r="CC25" s="1482">
        <f t="shared" ca="1" si="67"/>
        <v>0</v>
      </c>
      <c r="CD25" s="1482">
        <f t="shared" ca="1" si="67"/>
        <v>0</v>
      </c>
      <c r="CE25" s="1482">
        <f t="shared" ca="1" si="67"/>
        <v>0</v>
      </c>
      <c r="CF25" s="1482">
        <f t="shared" ca="1" si="67"/>
        <v>0</v>
      </c>
      <c r="CG25" s="1482">
        <f t="shared" ca="1" si="67"/>
        <v>0</v>
      </c>
      <c r="CH25" s="1482">
        <f t="shared" ca="1" si="67"/>
        <v>0</v>
      </c>
      <c r="CI25" s="1482">
        <f t="shared" ca="1" si="68"/>
        <v>0</v>
      </c>
      <c r="CJ25" s="1482">
        <f t="shared" ca="1" si="68"/>
        <v>0</v>
      </c>
      <c r="CK25" s="1482">
        <f t="shared" ca="1" si="68"/>
        <v>0</v>
      </c>
      <c r="CL25" s="1482">
        <f t="shared" ca="1" si="68"/>
        <v>0</v>
      </c>
      <c r="CM25" s="1482">
        <f t="shared" ca="1" si="68"/>
        <v>0</v>
      </c>
      <c r="CN25" s="1482">
        <f t="shared" ca="1" si="68"/>
        <v>0</v>
      </c>
      <c r="CO25" s="1482">
        <f t="shared" ca="1" si="68"/>
        <v>0</v>
      </c>
      <c r="CP25" s="1482">
        <f t="shared" ca="1" si="68"/>
        <v>0</v>
      </c>
      <c r="CQ25" s="1482">
        <f t="shared" ca="1" si="68"/>
        <v>0</v>
      </c>
      <c r="CR25" s="1482">
        <f t="shared" ca="1" si="68"/>
        <v>0</v>
      </c>
      <c r="CS25" s="1482">
        <f t="shared" ca="1" si="69"/>
        <v>0</v>
      </c>
      <c r="CT25" s="1482">
        <f t="shared" ca="1" si="69"/>
        <v>0</v>
      </c>
      <c r="CU25" s="1482">
        <f t="shared" ca="1" si="69"/>
        <v>0</v>
      </c>
      <c r="CV25" s="1482">
        <f t="shared" ca="1" si="69"/>
        <v>0</v>
      </c>
      <c r="CW25" s="1482">
        <f t="shared" ca="1" si="69"/>
        <v>0</v>
      </c>
      <c r="CX25" s="1482">
        <f t="shared" ca="1" si="69"/>
        <v>0</v>
      </c>
      <c r="CY25" s="1482">
        <f t="shared" ca="1" si="69"/>
        <v>0</v>
      </c>
      <c r="CZ25" s="1482">
        <f t="shared" ca="1" si="69"/>
        <v>0</v>
      </c>
      <c r="DA25" s="1482">
        <f t="shared" ca="1" si="69"/>
        <v>0</v>
      </c>
      <c r="DB25" s="1482">
        <f t="shared" ca="1" si="69"/>
        <v>0</v>
      </c>
      <c r="DC25" s="1482">
        <f t="shared" ca="1" si="69"/>
        <v>0</v>
      </c>
      <c r="DD25" s="1482">
        <f t="shared" ca="1" si="69"/>
        <v>0</v>
      </c>
      <c r="DE25" s="1482">
        <f t="shared" ca="1" si="69"/>
        <v>0</v>
      </c>
      <c r="DF25" s="1482">
        <f t="shared" ca="1" si="69"/>
        <v>0</v>
      </c>
      <c r="DH25" s="838">
        <f t="shared" ca="1" si="36"/>
        <v>37.275709855570796</v>
      </c>
    </row>
    <row r="26" spans="1:112" s="743" customFormat="1" ht="10.5" hidden="1" customHeight="1" outlineLevel="2">
      <c r="A26" s="1480"/>
      <c r="B26" s="1480"/>
      <c r="C26" s="746" t="s">
        <v>919</v>
      </c>
      <c r="D26" s="523" t="str">
        <f>INDEX(Modules[Module], MATCH($C26, Modules[Code], 0))</f>
        <v>International aviation</v>
      </c>
      <c r="E26" s="1006"/>
      <c r="G26" s="1017">
        <f t="shared" ca="1" si="58"/>
        <v>0</v>
      </c>
      <c r="H26" s="1017">
        <f t="shared" ca="1" si="58"/>
        <v>0</v>
      </c>
      <c r="I26" s="1017">
        <f t="shared" ca="1" si="58"/>
        <v>0</v>
      </c>
      <c r="J26" s="1017">
        <f t="shared" ca="1" si="58"/>
        <v>0</v>
      </c>
      <c r="K26" s="1017">
        <f t="shared" ca="1" si="58"/>
        <v>0</v>
      </c>
      <c r="L26" s="1017">
        <f t="shared" ca="1" si="58"/>
        <v>0</v>
      </c>
      <c r="M26" s="1017">
        <f t="shared" ca="1" si="58"/>
        <v>0</v>
      </c>
      <c r="N26" s="1017">
        <f t="shared" ca="1" si="58"/>
        <v>212.09205012603269</v>
      </c>
      <c r="O26" s="1017">
        <f t="shared" ca="1" si="58"/>
        <v>0</v>
      </c>
      <c r="P26" s="1017">
        <f t="shared" ca="1" si="58"/>
        <v>0</v>
      </c>
      <c r="Q26" s="1019">
        <f t="shared" ref="Q26:Q32" ca="1" si="70">SUM(G26:P26)</f>
        <v>212.09205012603269</v>
      </c>
      <c r="S26" s="1026">
        <f t="shared" ca="1" si="59"/>
        <v>0</v>
      </c>
      <c r="T26" s="1026">
        <f t="shared" ca="1" si="59"/>
        <v>0</v>
      </c>
      <c r="U26" s="1026">
        <f t="shared" ca="1" si="59"/>
        <v>0</v>
      </c>
      <c r="V26" s="1026">
        <f t="shared" ca="1" si="59"/>
        <v>-212.09205012603269</v>
      </c>
      <c r="W26" s="1026">
        <f t="shared" ca="1" si="59"/>
        <v>0</v>
      </c>
      <c r="X26" s="1026">
        <f t="shared" ca="1" si="60"/>
        <v>0</v>
      </c>
      <c r="Y26" s="1026">
        <f t="shared" ca="1" si="60"/>
        <v>0</v>
      </c>
      <c r="Z26" s="1026">
        <f t="shared" ca="1" si="60"/>
        <v>0</v>
      </c>
      <c r="AA26" s="1026">
        <f t="shared" ca="1" si="59"/>
        <v>0</v>
      </c>
      <c r="AB26" s="1026">
        <f t="shared" ca="1" si="59"/>
        <v>0</v>
      </c>
      <c r="AC26" s="1026">
        <f t="shared" ca="1" si="59"/>
        <v>0</v>
      </c>
      <c r="AD26" s="1026">
        <f t="shared" ca="1" si="59"/>
        <v>0</v>
      </c>
      <c r="AE26" s="1026">
        <f t="shared" ca="1" si="59"/>
        <v>0</v>
      </c>
      <c r="AF26" s="1026">
        <f t="shared" ca="1" si="59"/>
        <v>0</v>
      </c>
      <c r="AG26" s="1026">
        <f t="shared" ca="1" si="59"/>
        <v>0</v>
      </c>
      <c r="AH26" s="1026">
        <f t="shared" ca="1" si="59"/>
        <v>0</v>
      </c>
      <c r="AI26" s="1026">
        <f t="shared" ca="1" si="59"/>
        <v>0</v>
      </c>
      <c r="AJ26" s="1026">
        <f t="shared" ca="1" si="59"/>
        <v>0</v>
      </c>
      <c r="AK26" s="1027">
        <f t="shared" ca="1" si="61"/>
        <v>-212.09205012603269</v>
      </c>
      <c r="AM26" s="1038">
        <f t="shared" ca="1" si="62"/>
        <v>0</v>
      </c>
      <c r="AN26" s="1038">
        <f t="shared" ca="1" si="62"/>
        <v>0</v>
      </c>
      <c r="AO26" s="1038">
        <f t="shared" ca="1" si="62"/>
        <v>0</v>
      </c>
      <c r="AP26" s="1038">
        <f t="shared" ca="1" si="62"/>
        <v>0</v>
      </c>
      <c r="AQ26" s="1038">
        <f t="shared" ca="1" si="62"/>
        <v>0</v>
      </c>
      <c r="AR26" s="1038">
        <f t="shared" ca="1" si="62"/>
        <v>0</v>
      </c>
      <c r="AS26" s="1038">
        <f t="shared" ca="1" si="62"/>
        <v>0</v>
      </c>
      <c r="AT26" s="1038">
        <f t="shared" ca="1" si="62"/>
        <v>0</v>
      </c>
      <c r="AU26" s="1038">
        <f t="shared" ca="1" si="62"/>
        <v>0</v>
      </c>
      <c r="AV26" s="1038">
        <f t="shared" ca="1" si="59"/>
        <v>0</v>
      </c>
      <c r="AW26" s="1038">
        <f t="shared" ca="1" si="59"/>
        <v>0</v>
      </c>
      <c r="AX26" s="1038">
        <f t="shared" ca="1" si="59"/>
        <v>0</v>
      </c>
      <c r="AY26" s="1038">
        <f t="shared" ca="1" si="59"/>
        <v>0</v>
      </c>
      <c r="AZ26" s="1038">
        <f t="shared" ca="1" si="59"/>
        <v>0</v>
      </c>
      <c r="BA26" s="1038">
        <f t="shared" ca="1" si="59"/>
        <v>0</v>
      </c>
      <c r="BB26" s="1038">
        <f t="shared" ca="1" si="59"/>
        <v>0</v>
      </c>
      <c r="BC26" s="1038">
        <f t="shared" ca="1" si="59"/>
        <v>0</v>
      </c>
      <c r="BD26" s="1038">
        <f t="shared" ca="1" si="59"/>
        <v>0</v>
      </c>
      <c r="BE26" s="1038">
        <f t="shared" ca="1" si="59"/>
        <v>0</v>
      </c>
      <c r="BF26" s="977">
        <f t="shared" ca="1" si="63"/>
        <v>0</v>
      </c>
      <c r="BH26" s="1032">
        <f t="shared" ca="1" si="64"/>
        <v>0</v>
      </c>
      <c r="BI26" s="1032">
        <f t="shared" ca="1" si="64"/>
        <v>0</v>
      </c>
      <c r="BJ26" s="1034">
        <f t="shared" ca="1" si="65"/>
        <v>0</v>
      </c>
      <c r="BL26" s="524">
        <f t="shared" ca="1" si="9"/>
        <v>0</v>
      </c>
      <c r="BM26" s="524"/>
      <c r="BN26" s="840"/>
      <c r="BO26" s="1481">
        <f t="shared" ca="1" si="66"/>
        <v>0</v>
      </c>
      <c r="BP26" s="1482">
        <f t="shared" ca="1" si="66"/>
        <v>0</v>
      </c>
      <c r="BQ26" s="1482">
        <f t="shared" ca="1" si="66"/>
        <v>0</v>
      </c>
      <c r="BR26" s="1482">
        <f t="shared" ca="1" si="66"/>
        <v>0</v>
      </c>
      <c r="BS26" s="1482">
        <f t="shared" ca="1" si="66"/>
        <v>0</v>
      </c>
      <c r="BT26" s="1482">
        <f t="shared" ca="1" si="66"/>
        <v>0</v>
      </c>
      <c r="BU26" s="1482">
        <f t="shared" ca="1" si="66"/>
        <v>0</v>
      </c>
      <c r="BV26" s="1482">
        <f t="shared" ca="1" si="66"/>
        <v>0</v>
      </c>
      <c r="BW26" s="1482">
        <f t="shared" ca="1" si="66"/>
        <v>0</v>
      </c>
      <c r="BX26" s="1482">
        <f t="shared" ca="1" si="66"/>
        <v>0</v>
      </c>
      <c r="BY26" s="1482">
        <f t="shared" ca="1" si="67"/>
        <v>0</v>
      </c>
      <c r="BZ26" s="1482">
        <f t="shared" ca="1" si="67"/>
        <v>0</v>
      </c>
      <c r="CA26" s="1482">
        <f t="shared" ca="1" si="67"/>
        <v>0</v>
      </c>
      <c r="CB26" s="1482">
        <f t="shared" ca="1" si="67"/>
        <v>0</v>
      </c>
      <c r="CC26" s="1482">
        <f t="shared" ca="1" si="67"/>
        <v>0</v>
      </c>
      <c r="CD26" s="1482">
        <f t="shared" ca="1" si="67"/>
        <v>0</v>
      </c>
      <c r="CE26" s="1482">
        <f t="shared" ca="1" si="67"/>
        <v>0</v>
      </c>
      <c r="CF26" s="1482">
        <f t="shared" ca="1" si="67"/>
        <v>0</v>
      </c>
      <c r="CG26" s="1482">
        <f t="shared" ca="1" si="67"/>
        <v>0</v>
      </c>
      <c r="CH26" s="1482">
        <f t="shared" ca="1" si="67"/>
        <v>0</v>
      </c>
      <c r="CI26" s="1482">
        <f t="shared" ca="1" si="68"/>
        <v>0</v>
      </c>
      <c r="CJ26" s="1482">
        <f t="shared" ca="1" si="68"/>
        <v>0</v>
      </c>
      <c r="CK26" s="1482">
        <f t="shared" ca="1" si="68"/>
        <v>0</v>
      </c>
      <c r="CL26" s="1482">
        <f t="shared" ca="1" si="68"/>
        <v>0</v>
      </c>
      <c r="CM26" s="1482">
        <f t="shared" ca="1" si="68"/>
        <v>0</v>
      </c>
      <c r="CN26" s="1482">
        <f t="shared" ca="1" si="68"/>
        <v>0</v>
      </c>
      <c r="CO26" s="1482">
        <f t="shared" ca="1" si="68"/>
        <v>0</v>
      </c>
      <c r="CP26" s="1482">
        <f t="shared" ca="1" si="68"/>
        <v>0</v>
      </c>
      <c r="CQ26" s="1482">
        <f t="shared" ca="1" si="68"/>
        <v>0</v>
      </c>
      <c r="CR26" s="1482">
        <f t="shared" ca="1" si="68"/>
        <v>0</v>
      </c>
      <c r="CS26" s="1482">
        <f t="shared" ca="1" si="69"/>
        <v>0</v>
      </c>
      <c r="CT26" s="1482">
        <f t="shared" ca="1" si="69"/>
        <v>0</v>
      </c>
      <c r="CU26" s="1482">
        <f t="shared" ca="1" si="69"/>
        <v>53.023012531508172</v>
      </c>
      <c r="CV26" s="1482">
        <f t="shared" ca="1" si="69"/>
        <v>6.6013441280068072E-2</v>
      </c>
      <c r="CW26" s="1482">
        <f t="shared" ca="1" si="69"/>
        <v>0.95399264440009379</v>
      </c>
      <c r="CX26" s="1482">
        <f t="shared" ca="1" si="69"/>
        <v>0</v>
      </c>
      <c r="CY26" s="1482">
        <f t="shared" ca="1" si="69"/>
        <v>0</v>
      </c>
      <c r="CZ26" s="1482">
        <f t="shared" ca="1" si="69"/>
        <v>0</v>
      </c>
      <c r="DA26" s="1482">
        <f t="shared" ca="1" si="69"/>
        <v>0</v>
      </c>
      <c r="DB26" s="1482">
        <f t="shared" ca="1" si="69"/>
        <v>0</v>
      </c>
      <c r="DC26" s="1482">
        <f t="shared" ca="1" si="69"/>
        <v>0</v>
      </c>
      <c r="DD26" s="1482">
        <f t="shared" ca="1" si="69"/>
        <v>0</v>
      </c>
      <c r="DE26" s="1482">
        <f t="shared" ca="1" si="69"/>
        <v>0</v>
      </c>
      <c r="DF26" s="1482">
        <f t="shared" ca="1" si="69"/>
        <v>0</v>
      </c>
      <c r="DH26" s="838">
        <f t="shared" ca="1" si="36"/>
        <v>54.043018617188338</v>
      </c>
    </row>
    <row r="27" spans="1:112" s="743" customFormat="1" ht="10.5" hidden="1" customHeight="1" outlineLevel="2">
      <c r="A27" s="1483"/>
      <c r="B27" s="1483"/>
      <c r="C27" s="1009" t="s">
        <v>954</v>
      </c>
      <c r="D27" s="1005" t="str">
        <f>INDEX(Modules[Module], MATCH($C27, Modules[Code], 0))</f>
        <v>Domestic aviation [UNUSED - see XII.a]</v>
      </c>
      <c r="E27" s="1006"/>
      <c r="G27" s="1018">
        <f t="shared" ca="1" si="58"/>
        <v>0</v>
      </c>
      <c r="H27" s="1018">
        <f t="shared" ca="1" si="58"/>
        <v>0</v>
      </c>
      <c r="I27" s="1018">
        <f t="shared" ca="1" si="58"/>
        <v>0</v>
      </c>
      <c r="J27" s="1018">
        <f t="shared" ca="1" si="58"/>
        <v>0</v>
      </c>
      <c r="K27" s="1018">
        <f t="shared" ca="1" si="58"/>
        <v>0</v>
      </c>
      <c r="L27" s="1018">
        <f t="shared" ca="1" si="58"/>
        <v>0</v>
      </c>
      <c r="M27" s="1018">
        <f t="shared" ca="1" si="58"/>
        <v>0</v>
      </c>
      <c r="N27" s="1018">
        <f t="shared" ca="1" si="58"/>
        <v>0</v>
      </c>
      <c r="O27" s="1018">
        <f t="shared" ca="1" si="58"/>
        <v>0</v>
      </c>
      <c r="P27" s="1018">
        <f t="shared" ca="1" si="58"/>
        <v>0</v>
      </c>
      <c r="Q27" s="1024">
        <f t="shared" ca="1" si="70"/>
        <v>0</v>
      </c>
      <c r="S27" s="1028">
        <f t="shared" ca="1" si="59"/>
        <v>0</v>
      </c>
      <c r="T27" s="1028">
        <f t="shared" ca="1" si="59"/>
        <v>0</v>
      </c>
      <c r="U27" s="1028">
        <f t="shared" ca="1" si="59"/>
        <v>0</v>
      </c>
      <c r="V27" s="1028">
        <f t="shared" ca="1" si="59"/>
        <v>0</v>
      </c>
      <c r="W27" s="1028">
        <f t="shared" ca="1" si="59"/>
        <v>0</v>
      </c>
      <c r="X27" s="1028">
        <f t="shared" ca="1" si="60"/>
        <v>0</v>
      </c>
      <c r="Y27" s="1028">
        <f t="shared" ca="1" si="60"/>
        <v>0</v>
      </c>
      <c r="Z27" s="1028">
        <f t="shared" ca="1" si="60"/>
        <v>0</v>
      </c>
      <c r="AA27" s="1028">
        <f t="shared" ca="1" si="59"/>
        <v>0</v>
      </c>
      <c r="AB27" s="1028">
        <f t="shared" ca="1" si="59"/>
        <v>0</v>
      </c>
      <c r="AC27" s="1028">
        <f t="shared" ca="1" si="59"/>
        <v>0</v>
      </c>
      <c r="AD27" s="1028">
        <f t="shared" ca="1" si="59"/>
        <v>0</v>
      </c>
      <c r="AE27" s="1028">
        <f t="shared" ca="1" si="59"/>
        <v>0</v>
      </c>
      <c r="AF27" s="1028">
        <f t="shared" ca="1" si="59"/>
        <v>0</v>
      </c>
      <c r="AG27" s="1028">
        <f t="shared" ca="1" si="59"/>
        <v>0</v>
      </c>
      <c r="AH27" s="1028">
        <f t="shared" ca="1" si="59"/>
        <v>0</v>
      </c>
      <c r="AI27" s="1028">
        <f t="shared" ca="1" si="59"/>
        <v>0</v>
      </c>
      <c r="AJ27" s="1028">
        <f t="shared" ca="1" si="59"/>
        <v>0</v>
      </c>
      <c r="AK27" s="1029">
        <f t="shared" ca="1" si="61"/>
        <v>0</v>
      </c>
      <c r="AM27" s="1039">
        <f t="shared" ca="1" si="62"/>
        <v>0</v>
      </c>
      <c r="AN27" s="1039">
        <f t="shared" ca="1" si="62"/>
        <v>0</v>
      </c>
      <c r="AO27" s="1039">
        <f t="shared" ca="1" si="62"/>
        <v>0</v>
      </c>
      <c r="AP27" s="1039">
        <f t="shared" ca="1" si="62"/>
        <v>0</v>
      </c>
      <c r="AQ27" s="1039">
        <f t="shared" ca="1" si="62"/>
        <v>0</v>
      </c>
      <c r="AR27" s="1039">
        <f t="shared" ca="1" si="62"/>
        <v>0</v>
      </c>
      <c r="AS27" s="1039">
        <f t="shared" ca="1" si="62"/>
        <v>0</v>
      </c>
      <c r="AT27" s="1039">
        <f t="shared" ca="1" si="62"/>
        <v>0</v>
      </c>
      <c r="AU27" s="1039">
        <f t="shared" ca="1" si="62"/>
        <v>0</v>
      </c>
      <c r="AV27" s="1039">
        <f t="shared" ca="1" si="59"/>
        <v>0</v>
      </c>
      <c r="AW27" s="1039">
        <f t="shared" ca="1" si="59"/>
        <v>0</v>
      </c>
      <c r="AX27" s="1039">
        <f t="shared" ca="1" si="59"/>
        <v>0</v>
      </c>
      <c r="AY27" s="1039">
        <f t="shared" ca="1" si="59"/>
        <v>0</v>
      </c>
      <c r="AZ27" s="1039">
        <f t="shared" ca="1" si="59"/>
        <v>0</v>
      </c>
      <c r="BA27" s="1039">
        <f t="shared" ca="1" si="59"/>
        <v>0</v>
      </c>
      <c r="BB27" s="1039">
        <f t="shared" ca="1" si="59"/>
        <v>0</v>
      </c>
      <c r="BC27" s="1039">
        <f t="shared" ca="1" si="59"/>
        <v>0</v>
      </c>
      <c r="BD27" s="1039">
        <f t="shared" ca="1" si="59"/>
        <v>0</v>
      </c>
      <c r="BE27" s="1039">
        <f t="shared" ca="1" si="59"/>
        <v>0</v>
      </c>
      <c r="BF27" s="1008">
        <f t="shared" ca="1" si="63"/>
        <v>0</v>
      </c>
      <c r="BH27" s="1033">
        <f t="shared" ca="1" si="64"/>
        <v>0</v>
      </c>
      <c r="BI27" s="1033">
        <f t="shared" ca="1" si="64"/>
        <v>0</v>
      </c>
      <c r="BJ27" s="1044">
        <f t="shared" ca="1" si="65"/>
        <v>0</v>
      </c>
      <c r="BL27" s="1007">
        <f t="shared" ca="1" si="9"/>
        <v>0</v>
      </c>
      <c r="BM27" s="1007"/>
      <c r="BN27" s="840"/>
      <c r="BO27" s="1481">
        <f t="shared" ca="1" si="66"/>
        <v>0</v>
      </c>
      <c r="BP27" s="1482">
        <f t="shared" ca="1" si="66"/>
        <v>0</v>
      </c>
      <c r="BQ27" s="1482">
        <f t="shared" ca="1" si="66"/>
        <v>0</v>
      </c>
      <c r="BR27" s="1482">
        <f t="shared" ca="1" si="66"/>
        <v>0</v>
      </c>
      <c r="BS27" s="1482">
        <f t="shared" ca="1" si="66"/>
        <v>0</v>
      </c>
      <c r="BT27" s="1482">
        <f t="shared" ca="1" si="66"/>
        <v>0</v>
      </c>
      <c r="BU27" s="1482">
        <f t="shared" ca="1" si="66"/>
        <v>0</v>
      </c>
      <c r="BV27" s="1482">
        <f t="shared" ca="1" si="66"/>
        <v>0</v>
      </c>
      <c r="BW27" s="1482">
        <f t="shared" ca="1" si="66"/>
        <v>0</v>
      </c>
      <c r="BX27" s="1482">
        <f t="shared" ca="1" si="66"/>
        <v>0</v>
      </c>
      <c r="BY27" s="1482">
        <f t="shared" ca="1" si="67"/>
        <v>0</v>
      </c>
      <c r="BZ27" s="1482">
        <f t="shared" ca="1" si="67"/>
        <v>0</v>
      </c>
      <c r="CA27" s="1482">
        <f t="shared" ca="1" si="67"/>
        <v>0</v>
      </c>
      <c r="CB27" s="1482">
        <f t="shared" ca="1" si="67"/>
        <v>0</v>
      </c>
      <c r="CC27" s="1482">
        <f t="shared" ca="1" si="67"/>
        <v>0</v>
      </c>
      <c r="CD27" s="1482">
        <f t="shared" ca="1" si="67"/>
        <v>0</v>
      </c>
      <c r="CE27" s="1482">
        <f t="shared" ca="1" si="67"/>
        <v>0</v>
      </c>
      <c r="CF27" s="1482">
        <f t="shared" ca="1" si="67"/>
        <v>0</v>
      </c>
      <c r="CG27" s="1482">
        <f t="shared" ca="1" si="67"/>
        <v>0</v>
      </c>
      <c r="CH27" s="1482">
        <f t="shared" ca="1" si="67"/>
        <v>0</v>
      </c>
      <c r="CI27" s="1482">
        <f t="shared" ca="1" si="68"/>
        <v>0</v>
      </c>
      <c r="CJ27" s="1482">
        <f t="shared" ca="1" si="68"/>
        <v>0</v>
      </c>
      <c r="CK27" s="1482">
        <f t="shared" ca="1" si="68"/>
        <v>0</v>
      </c>
      <c r="CL27" s="1482">
        <f t="shared" ca="1" si="68"/>
        <v>0</v>
      </c>
      <c r="CM27" s="1482">
        <f t="shared" ca="1" si="68"/>
        <v>0</v>
      </c>
      <c r="CN27" s="1482">
        <f t="shared" ca="1" si="68"/>
        <v>0</v>
      </c>
      <c r="CO27" s="1482">
        <f t="shared" ca="1" si="68"/>
        <v>0</v>
      </c>
      <c r="CP27" s="1482">
        <f t="shared" ca="1" si="68"/>
        <v>0</v>
      </c>
      <c r="CQ27" s="1482">
        <f t="shared" ca="1" si="68"/>
        <v>0</v>
      </c>
      <c r="CR27" s="1482">
        <f t="shared" ca="1" si="68"/>
        <v>0</v>
      </c>
      <c r="CS27" s="1482">
        <f t="shared" ca="1" si="69"/>
        <v>0</v>
      </c>
      <c r="CT27" s="1482">
        <f t="shared" ca="1" si="69"/>
        <v>0</v>
      </c>
      <c r="CU27" s="1482">
        <f t="shared" ca="1" si="69"/>
        <v>0</v>
      </c>
      <c r="CV27" s="1482">
        <f t="shared" ca="1" si="69"/>
        <v>0</v>
      </c>
      <c r="CW27" s="1482">
        <f t="shared" ca="1" si="69"/>
        <v>0</v>
      </c>
      <c r="CX27" s="1482">
        <f t="shared" ca="1" si="69"/>
        <v>0</v>
      </c>
      <c r="CY27" s="1482">
        <f t="shared" ca="1" si="69"/>
        <v>0</v>
      </c>
      <c r="CZ27" s="1482">
        <f t="shared" ca="1" si="69"/>
        <v>0</v>
      </c>
      <c r="DA27" s="1482">
        <f t="shared" ca="1" si="69"/>
        <v>0</v>
      </c>
      <c r="DB27" s="1482">
        <f t="shared" ca="1" si="69"/>
        <v>0</v>
      </c>
      <c r="DC27" s="1482">
        <f t="shared" ca="1" si="69"/>
        <v>0</v>
      </c>
      <c r="DD27" s="1482">
        <f t="shared" ca="1" si="69"/>
        <v>0</v>
      </c>
      <c r="DE27" s="1482">
        <f t="shared" ca="1" si="69"/>
        <v>0</v>
      </c>
      <c r="DF27" s="1482">
        <f t="shared" ca="1" si="69"/>
        <v>0</v>
      </c>
      <c r="DH27" s="838">
        <f t="shared" ca="1" si="36"/>
        <v>0</v>
      </c>
    </row>
    <row r="28" spans="1:112" s="743" customFormat="1" ht="10.5" hidden="1" customHeight="1" outlineLevel="1">
      <c r="A28" s="1484"/>
      <c r="B28" s="1484"/>
      <c r="C28" s="746"/>
      <c r="D28" s="523" t="s">
        <v>960</v>
      </c>
      <c r="E28" s="1006"/>
      <c r="G28" s="1019">
        <f ca="1">SUM(G26:G27)</f>
        <v>0</v>
      </c>
      <c r="H28" s="1019">
        <f t="shared" ref="H28:P28" ca="1" si="71">SUM(H26:H27)</f>
        <v>0</v>
      </c>
      <c r="I28" s="1019">
        <f t="shared" ca="1" si="71"/>
        <v>0</v>
      </c>
      <c r="J28" s="1019">
        <f t="shared" ca="1" si="71"/>
        <v>0</v>
      </c>
      <c r="K28" s="1019">
        <f t="shared" ca="1" si="71"/>
        <v>0</v>
      </c>
      <c r="L28" s="1019">
        <f t="shared" ca="1" si="71"/>
        <v>0</v>
      </c>
      <c r="M28" s="1019">
        <f t="shared" ca="1" si="71"/>
        <v>0</v>
      </c>
      <c r="N28" s="1019">
        <f t="shared" ca="1" si="71"/>
        <v>212.09205012603269</v>
      </c>
      <c r="O28" s="1019">
        <f t="shared" ca="1" si="71"/>
        <v>0</v>
      </c>
      <c r="P28" s="1019">
        <f t="shared" ca="1" si="71"/>
        <v>0</v>
      </c>
      <c r="Q28" s="1019">
        <f t="shared" ca="1" si="70"/>
        <v>212.09205012603269</v>
      </c>
      <c r="S28" s="1027">
        <f t="shared" ref="S28:Z28" ca="1" si="72">SUM(S26:S27)</f>
        <v>0</v>
      </c>
      <c r="T28" s="1027">
        <f t="shared" ca="1" si="72"/>
        <v>0</v>
      </c>
      <c r="U28" s="1027">
        <f t="shared" ca="1" si="72"/>
        <v>0</v>
      </c>
      <c r="V28" s="1027">
        <f t="shared" ca="1" si="72"/>
        <v>-212.09205012603269</v>
      </c>
      <c r="W28" s="1027">
        <f t="shared" ca="1" si="72"/>
        <v>0</v>
      </c>
      <c r="X28" s="1027">
        <f t="shared" ca="1" si="72"/>
        <v>0</v>
      </c>
      <c r="Y28" s="1027">
        <f t="shared" ca="1" si="72"/>
        <v>0</v>
      </c>
      <c r="Z28" s="1027">
        <f t="shared" ca="1" si="72"/>
        <v>0</v>
      </c>
      <c r="AA28" s="1027">
        <f t="shared" ref="AA28:AJ28" ca="1" si="73">SUM(AA26:AA27)</f>
        <v>0</v>
      </c>
      <c r="AB28" s="1027">
        <f t="shared" ca="1" si="73"/>
        <v>0</v>
      </c>
      <c r="AC28" s="1027">
        <f t="shared" ca="1" si="73"/>
        <v>0</v>
      </c>
      <c r="AD28" s="1027">
        <f ca="1">SUM(AD26:AD27)</f>
        <v>0</v>
      </c>
      <c r="AE28" s="1027">
        <f ca="1">SUM(AE26:AE27)</f>
        <v>0</v>
      </c>
      <c r="AF28" s="1027">
        <f t="shared" ca="1" si="73"/>
        <v>0</v>
      </c>
      <c r="AG28" s="1027">
        <f ca="1">SUM(AG26:AG27)</f>
        <v>0</v>
      </c>
      <c r="AH28" s="1027">
        <f ca="1">SUM(AH26:AH27)</f>
        <v>0</v>
      </c>
      <c r="AI28" s="1027">
        <f ca="1">SUM(AI26:AI27)</f>
        <v>0</v>
      </c>
      <c r="AJ28" s="1027">
        <f t="shared" ca="1" si="73"/>
        <v>0</v>
      </c>
      <c r="AK28" s="1027">
        <f t="shared" ca="1" si="61"/>
        <v>-212.09205012603269</v>
      </c>
      <c r="AM28" s="1040">
        <f t="shared" ref="AM28:BE28" ca="1" si="74">SUM(AM26:AM27)</f>
        <v>0</v>
      </c>
      <c r="AN28" s="1040">
        <f t="shared" ca="1" si="74"/>
        <v>0</v>
      </c>
      <c r="AO28" s="1040">
        <f t="shared" ca="1" si="74"/>
        <v>0</v>
      </c>
      <c r="AP28" s="1040">
        <f t="shared" ca="1" si="74"/>
        <v>0</v>
      </c>
      <c r="AQ28" s="1040">
        <f t="shared" ca="1" si="74"/>
        <v>0</v>
      </c>
      <c r="AR28" s="1040">
        <f t="shared" ca="1" si="74"/>
        <v>0</v>
      </c>
      <c r="AS28" s="1040">
        <f t="shared" ca="1" si="74"/>
        <v>0</v>
      </c>
      <c r="AT28" s="1040">
        <f t="shared" ca="1" si="74"/>
        <v>0</v>
      </c>
      <c r="AU28" s="1040">
        <f t="shared" ca="1" si="74"/>
        <v>0</v>
      </c>
      <c r="AV28" s="1040">
        <f t="shared" ca="1" si="74"/>
        <v>0</v>
      </c>
      <c r="AW28" s="1040">
        <f t="shared" ca="1" si="74"/>
        <v>0</v>
      </c>
      <c r="AX28" s="1040">
        <f t="shared" ca="1" si="74"/>
        <v>0</v>
      </c>
      <c r="AY28" s="1040">
        <f t="shared" ca="1" si="74"/>
        <v>0</v>
      </c>
      <c r="AZ28" s="1040">
        <f t="shared" ca="1" si="74"/>
        <v>0</v>
      </c>
      <c r="BA28" s="1040">
        <f t="shared" ca="1" si="74"/>
        <v>0</v>
      </c>
      <c r="BB28" s="1040">
        <f t="shared" ca="1" si="74"/>
        <v>0</v>
      </c>
      <c r="BC28" s="1040">
        <f t="shared" ca="1" si="74"/>
        <v>0</v>
      </c>
      <c r="BD28" s="1040">
        <f t="shared" ca="1" si="74"/>
        <v>0</v>
      </c>
      <c r="BE28" s="1040">
        <f t="shared" ca="1" si="74"/>
        <v>0</v>
      </c>
      <c r="BF28" s="977">
        <f t="shared" ca="1" si="63"/>
        <v>0</v>
      </c>
      <c r="BH28" s="1034">
        <f ca="1">SUM(BH26:BH27)</f>
        <v>0</v>
      </c>
      <c r="BI28" s="1034">
        <f ca="1">SUM(BI26:BI27)</f>
        <v>0</v>
      </c>
      <c r="BJ28" s="1034">
        <f t="shared" ca="1" si="65"/>
        <v>0</v>
      </c>
      <c r="BL28" s="524">
        <f t="shared" ca="1" si="9"/>
        <v>0</v>
      </c>
      <c r="BM28" s="524"/>
      <c r="BN28" s="840"/>
      <c r="BO28" s="1481">
        <f t="shared" ref="BO28:DF28" ca="1" si="75">SUM(BO26:BO27)</f>
        <v>0</v>
      </c>
      <c r="BP28" s="1482">
        <f t="shared" ca="1" si="75"/>
        <v>0</v>
      </c>
      <c r="BQ28" s="1482">
        <f t="shared" ca="1" si="75"/>
        <v>0</v>
      </c>
      <c r="BR28" s="1482">
        <f t="shared" ca="1" si="75"/>
        <v>0</v>
      </c>
      <c r="BS28" s="1482">
        <f t="shared" ca="1" si="75"/>
        <v>0</v>
      </c>
      <c r="BT28" s="1482">
        <f t="shared" ca="1" si="75"/>
        <v>0</v>
      </c>
      <c r="BU28" s="1482">
        <f t="shared" ca="1" si="75"/>
        <v>0</v>
      </c>
      <c r="BV28" s="1482">
        <f t="shared" ca="1" si="75"/>
        <v>0</v>
      </c>
      <c r="BW28" s="1482">
        <f t="shared" ca="1" si="75"/>
        <v>0</v>
      </c>
      <c r="BX28" s="1482">
        <f t="shared" ca="1" si="75"/>
        <v>0</v>
      </c>
      <c r="BY28" s="1482">
        <f t="shared" ca="1" si="75"/>
        <v>0</v>
      </c>
      <c r="BZ28" s="1482">
        <f t="shared" ca="1" si="75"/>
        <v>0</v>
      </c>
      <c r="CA28" s="1482">
        <f t="shared" ca="1" si="75"/>
        <v>0</v>
      </c>
      <c r="CB28" s="1482">
        <f t="shared" ca="1" si="75"/>
        <v>0</v>
      </c>
      <c r="CC28" s="1482">
        <f t="shared" ca="1" si="75"/>
        <v>0</v>
      </c>
      <c r="CD28" s="1482">
        <f t="shared" ca="1" si="75"/>
        <v>0</v>
      </c>
      <c r="CE28" s="1482">
        <f t="shared" ca="1" si="75"/>
        <v>0</v>
      </c>
      <c r="CF28" s="1482">
        <f t="shared" ca="1" si="75"/>
        <v>0</v>
      </c>
      <c r="CG28" s="1482">
        <f t="shared" ca="1" si="75"/>
        <v>0</v>
      </c>
      <c r="CH28" s="1482">
        <f t="shared" ca="1" si="75"/>
        <v>0</v>
      </c>
      <c r="CI28" s="1482">
        <f t="shared" ca="1" si="75"/>
        <v>0</v>
      </c>
      <c r="CJ28" s="1482">
        <f t="shared" ca="1" si="75"/>
        <v>0</v>
      </c>
      <c r="CK28" s="1482">
        <f t="shared" ca="1" si="75"/>
        <v>0</v>
      </c>
      <c r="CL28" s="1482">
        <f t="shared" ca="1" si="75"/>
        <v>0</v>
      </c>
      <c r="CM28" s="1482">
        <f t="shared" ca="1" si="75"/>
        <v>0</v>
      </c>
      <c r="CN28" s="1482">
        <f t="shared" ca="1" si="75"/>
        <v>0</v>
      </c>
      <c r="CO28" s="1482">
        <f t="shared" ca="1" si="75"/>
        <v>0</v>
      </c>
      <c r="CP28" s="1482">
        <f t="shared" ca="1" si="75"/>
        <v>0</v>
      </c>
      <c r="CQ28" s="1482">
        <f t="shared" ca="1" si="75"/>
        <v>0</v>
      </c>
      <c r="CR28" s="1482">
        <f t="shared" ca="1" si="75"/>
        <v>0</v>
      </c>
      <c r="CS28" s="1482">
        <f t="shared" ca="1" si="75"/>
        <v>0</v>
      </c>
      <c r="CT28" s="1482">
        <f t="shared" ca="1" si="75"/>
        <v>0</v>
      </c>
      <c r="CU28" s="1482">
        <f t="shared" ca="1" si="75"/>
        <v>53.023012531508172</v>
      </c>
      <c r="CV28" s="1482">
        <f t="shared" ca="1" si="75"/>
        <v>6.6013441280068072E-2</v>
      </c>
      <c r="CW28" s="1482">
        <f t="shared" ca="1" si="75"/>
        <v>0.95399264440009379</v>
      </c>
      <c r="CX28" s="1482">
        <f t="shared" ca="1" si="75"/>
        <v>0</v>
      </c>
      <c r="CY28" s="1482">
        <f t="shared" ca="1" si="75"/>
        <v>0</v>
      </c>
      <c r="CZ28" s="1482">
        <f t="shared" ca="1" si="75"/>
        <v>0</v>
      </c>
      <c r="DA28" s="1482">
        <f t="shared" ca="1" si="75"/>
        <v>0</v>
      </c>
      <c r="DB28" s="1482">
        <f t="shared" ca="1" si="75"/>
        <v>0</v>
      </c>
      <c r="DC28" s="1482">
        <f t="shared" ca="1" si="75"/>
        <v>0</v>
      </c>
      <c r="DD28" s="1482">
        <f t="shared" ca="1" si="75"/>
        <v>0</v>
      </c>
      <c r="DE28" s="1482">
        <f t="shared" ca="1" si="75"/>
        <v>0</v>
      </c>
      <c r="DF28" s="1482">
        <f t="shared" ca="1" si="75"/>
        <v>0</v>
      </c>
      <c r="DH28" s="838">
        <f t="shared" ca="1" si="36"/>
        <v>54.043018617188338</v>
      </c>
    </row>
    <row r="29" spans="1:112" s="743" customFormat="1" ht="12.75" hidden="1" customHeight="1" outlineLevel="2">
      <c r="A29" s="1480"/>
      <c r="B29" s="1480"/>
      <c r="C29" s="746" t="s">
        <v>957</v>
      </c>
      <c r="D29" s="523" t="str">
        <f>INDEX(Modules[Module], MATCH($C29, Modules[Code], 0))</f>
        <v>International shipping (maritime bunkers)</v>
      </c>
      <c r="E29" s="1006"/>
      <c r="G29" s="1017">
        <f t="shared" ref="G29:P30" ca="1" si="76">IFERROR(INDEX(INDIRECT($C29&amp;".Outputs["&amp;this.Year&amp;"]"), MATCH(G$5, INDIRECT($C29&amp;".Outputs[Vector]"), 0)), 0)</f>
        <v>0</v>
      </c>
      <c r="H29" s="1017">
        <f t="shared" ca="1" si="76"/>
        <v>0</v>
      </c>
      <c r="I29" s="1017">
        <f t="shared" ca="1" si="76"/>
        <v>0</v>
      </c>
      <c r="J29" s="1017">
        <f t="shared" ca="1" si="76"/>
        <v>0</v>
      </c>
      <c r="K29" s="1017">
        <f t="shared" ca="1" si="76"/>
        <v>0</v>
      </c>
      <c r="L29" s="1017">
        <f t="shared" ca="1" si="76"/>
        <v>0</v>
      </c>
      <c r="M29" s="1017">
        <f t="shared" ca="1" si="76"/>
        <v>0</v>
      </c>
      <c r="N29" s="1017">
        <f t="shared" ca="1" si="76"/>
        <v>0</v>
      </c>
      <c r="O29" s="1017">
        <f t="shared" ca="1" si="76"/>
        <v>93.562438336496442</v>
      </c>
      <c r="P29" s="1017">
        <f t="shared" ca="1" si="76"/>
        <v>0</v>
      </c>
      <c r="Q29" s="1019">
        <f t="shared" ca="1" si="70"/>
        <v>93.562438336496442</v>
      </c>
      <c r="S29" s="1026">
        <f t="shared" ca="1" si="59"/>
        <v>0</v>
      </c>
      <c r="T29" s="1026">
        <f t="shared" ca="1" si="59"/>
        <v>0</v>
      </c>
      <c r="U29" s="1026">
        <f t="shared" ca="1" si="59"/>
        <v>0</v>
      </c>
      <c r="V29" s="1026">
        <f t="shared" ca="1" si="59"/>
        <v>-93.562438336496442</v>
      </c>
      <c r="W29" s="1026">
        <f t="shared" ca="1" si="59"/>
        <v>0</v>
      </c>
      <c r="X29" s="1026">
        <f t="shared" ref="X29:Z30" ca="1" si="77">IFERROR(INDEX(INDIRECT($C29&amp;".Outputs["&amp;this.Year&amp;"]"), MATCH(X$5, INDIRECT($C29&amp;".Outputs[Vector]"), 0)), 0)</f>
        <v>0</v>
      </c>
      <c r="Y29" s="1026">
        <f t="shared" ca="1" si="77"/>
        <v>0</v>
      </c>
      <c r="Z29" s="1026">
        <f t="shared" ca="1" si="77"/>
        <v>0</v>
      </c>
      <c r="AA29" s="1026">
        <f t="shared" ca="1" si="59"/>
        <v>0</v>
      </c>
      <c r="AB29" s="1026">
        <f t="shared" ca="1" si="59"/>
        <v>0</v>
      </c>
      <c r="AC29" s="1026">
        <f t="shared" ca="1" si="59"/>
        <v>0</v>
      </c>
      <c r="AD29" s="1026">
        <f t="shared" ca="1" si="59"/>
        <v>0</v>
      </c>
      <c r="AE29" s="1026">
        <f t="shared" ca="1" si="59"/>
        <v>0</v>
      </c>
      <c r="AF29" s="1026">
        <f t="shared" ca="1" si="59"/>
        <v>0</v>
      </c>
      <c r="AG29" s="1026">
        <f t="shared" ca="1" si="59"/>
        <v>0</v>
      </c>
      <c r="AH29" s="1026">
        <f t="shared" ca="1" si="59"/>
        <v>0</v>
      </c>
      <c r="AI29" s="1026">
        <f t="shared" ca="1" si="59"/>
        <v>0</v>
      </c>
      <c r="AJ29" s="1026">
        <f t="shared" ca="1" si="59"/>
        <v>0</v>
      </c>
      <c r="AK29" s="1027">
        <f t="shared" ca="1" si="61"/>
        <v>-93.562438336496442</v>
      </c>
      <c r="AM29" s="1038">
        <f t="shared" ref="AM29:AU30" ca="1" si="78">IFERROR(INDEX(INDIRECT($C29&amp;".Outputs["&amp;this.Year&amp;"]"), MATCH(AM$5, INDIRECT($C29&amp;".Outputs[Vector]"), 0)), 0)</f>
        <v>0</v>
      </c>
      <c r="AN29" s="1038">
        <f t="shared" ca="1" si="78"/>
        <v>0</v>
      </c>
      <c r="AO29" s="1038">
        <f t="shared" ca="1" si="78"/>
        <v>0</v>
      </c>
      <c r="AP29" s="1038">
        <f t="shared" ca="1" si="78"/>
        <v>0</v>
      </c>
      <c r="AQ29" s="1038">
        <f t="shared" ca="1" si="78"/>
        <v>0</v>
      </c>
      <c r="AR29" s="1038">
        <f t="shared" ca="1" si="78"/>
        <v>0</v>
      </c>
      <c r="AS29" s="1038">
        <f t="shared" ca="1" si="78"/>
        <v>0</v>
      </c>
      <c r="AT29" s="1038">
        <f t="shared" ca="1" si="78"/>
        <v>0</v>
      </c>
      <c r="AU29" s="1038">
        <f t="shared" ca="1" si="78"/>
        <v>0</v>
      </c>
      <c r="AV29" s="1038">
        <f t="shared" ca="1" si="59"/>
        <v>0</v>
      </c>
      <c r="AW29" s="1038">
        <f t="shared" ca="1" si="59"/>
        <v>0</v>
      </c>
      <c r="AX29" s="1038">
        <f t="shared" ca="1" si="59"/>
        <v>0</v>
      </c>
      <c r="AY29" s="1038">
        <f t="shared" ca="1" si="59"/>
        <v>0</v>
      </c>
      <c r="AZ29" s="1038">
        <f t="shared" ca="1" si="59"/>
        <v>0</v>
      </c>
      <c r="BA29" s="1038">
        <f t="shared" ca="1" si="59"/>
        <v>0</v>
      </c>
      <c r="BB29" s="1038">
        <f t="shared" ca="1" si="59"/>
        <v>0</v>
      </c>
      <c r="BC29" s="1038">
        <f t="shared" ca="1" si="59"/>
        <v>0</v>
      </c>
      <c r="BD29" s="1038">
        <f t="shared" ca="1" si="59"/>
        <v>0</v>
      </c>
      <c r="BE29" s="1038">
        <f t="shared" ca="1" si="59"/>
        <v>0</v>
      </c>
      <c r="BF29" s="979">
        <f t="shared" ca="1" si="63"/>
        <v>0</v>
      </c>
      <c r="BH29" s="1032">
        <f t="shared" ca="1" si="64"/>
        <v>0</v>
      </c>
      <c r="BI29" s="1032">
        <f t="shared" ca="1" si="64"/>
        <v>0</v>
      </c>
      <c r="BJ29" s="1034">
        <f t="shared" ca="1" si="65"/>
        <v>0</v>
      </c>
      <c r="BL29" s="814">
        <f t="shared" ca="1" si="9"/>
        <v>0</v>
      </c>
      <c r="BM29" s="814"/>
      <c r="BN29" s="840"/>
      <c r="BO29" s="1481">
        <f t="shared" ref="BO29:BX30" ca="1" si="79">IFERROR(SUMIFS(INDIRECT($C29&amp;".Emissions["&amp;this.Year&amp;"]"), INDIRECT($C29&amp;".Emissions[GHG]"), BO$6, INDIRECT($C29&amp;".Emissions[IPCC Sector]"), BO$5),0)</f>
        <v>0</v>
      </c>
      <c r="BP29" s="1482">
        <f t="shared" ca="1" si="79"/>
        <v>0</v>
      </c>
      <c r="BQ29" s="1482">
        <f t="shared" ca="1" si="79"/>
        <v>0</v>
      </c>
      <c r="BR29" s="1482">
        <f t="shared" ca="1" si="79"/>
        <v>0</v>
      </c>
      <c r="BS29" s="1482">
        <f t="shared" ca="1" si="79"/>
        <v>0</v>
      </c>
      <c r="BT29" s="1482">
        <f t="shared" ca="1" si="79"/>
        <v>0</v>
      </c>
      <c r="BU29" s="1482">
        <f t="shared" ca="1" si="79"/>
        <v>0</v>
      </c>
      <c r="BV29" s="1482">
        <f t="shared" ca="1" si="79"/>
        <v>0</v>
      </c>
      <c r="BW29" s="1482">
        <f t="shared" ca="1" si="79"/>
        <v>0</v>
      </c>
      <c r="BX29" s="1482">
        <f t="shared" ca="1" si="79"/>
        <v>0</v>
      </c>
      <c r="BY29" s="1482">
        <f t="shared" ref="BY29:CH30" ca="1" si="80">IFERROR(SUMIFS(INDIRECT($C29&amp;".Emissions["&amp;this.Year&amp;"]"), INDIRECT($C29&amp;".Emissions[GHG]"), BY$6, INDIRECT($C29&amp;".Emissions[IPCC Sector]"), BY$5),0)</f>
        <v>0</v>
      </c>
      <c r="BZ29" s="1482">
        <f t="shared" ca="1" si="80"/>
        <v>0</v>
      </c>
      <c r="CA29" s="1482">
        <f t="shared" ca="1" si="80"/>
        <v>0</v>
      </c>
      <c r="CB29" s="1482">
        <f t="shared" ca="1" si="80"/>
        <v>0</v>
      </c>
      <c r="CC29" s="1482">
        <f t="shared" ca="1" si="80"/>
        <v>0</v>
      </c>
      <c r="CD29" s="1482">
        <f t="shared" ca="1" si="80"/>
        <v>0</v>
      </c>
      <c r="CE29" s="1482">
        <f t="shared" ca="1" si="80"/>
        <v>0</v>
      </c>
      <c r="CF29" s="1482">
        <f t="shared" ca="1" si="80"/>
        <v>0</v>
      </c>
      <c r="CG29" s="1482">
        <f t="shared" ca="1" si="80"/>
        <v>0</v>
      </c>
      <c r="CH29" s="1482">
        <f t="shared" ca="1" si="80"/>
        <v>0</v>
      </c>
      <c r="CI29" s="1482">
        <f t="shared" ref="CI29:CR30" ca="1" si="81">IFERROR(SUMIFS(INDIRECT($C29&amp;".Emissions["&amp;this.Year&amp;"]"), INDIRECT($C29&amp;".Emissions[GHG]"), CI$6, INDIRECT($C29&amp;".Emissions[IPCC Sector]"), CI$5),0)</f>
        <v>0</v>
      </c>
      <c r="CJ29" s="1482">
        <f t="shared" ca="1" si="81"/>
        <v>0</v>
      </c>
      <c r="CK29" s="1482">
        <f t="shared" ca="1" si="81"/>
        <v>0</v>
      </c>
      <c r="CL29" s="1482">
        <f t="shared" ca="1" si="81"/>
        <v>0</v>
      </c>
      <c r="CM29" s="1482">
        <f t="shared" ca="1" si="81"/>
        <v>0</v>
      </c>
      <c r="CN29" s="1482">
        <f t="shared" ca="1" si="81"/>
        <v>0</v>
      </c>
      <c r="CO29" s="1482">
        <f t="shared" ca="1" si="81"/>
        <v>0</v>
      </c>
      <c r="CP29" s="1482">
        <f t="shared" ca="1" si="81"/>
        <v>0</v>
      </c>
      <c r="CQ29" s="1482">
        <f t="shared" ca="1" si="81"/>
        <v>0</v>
      </c>
      <c r="CR29" s="1482">
        <f t="shared" ca="1" si="81"/>
        <v>0</v>
      </c>
      <c r="CS29" s="1482">
        <f t="shared" ref="CS29:DF30" ca="1" si="82">IFERROR(SUMIFS(INDIRECT($C29&amp;".Emissions["&amp;this.Year&amp;"]"), INDIRECT($C29&amp;".Emissions[GHG]"), CS$6, INDIRECT($C29&amp;".Emissions[IPCC Sector]"), CS$5),0)</f>
        <v>0</v>
      </c>
      <c r="CT29" s="1482">
        <f t="shared" ca="1" si="82"/>
        <v>0</v>
      </c>
      <c r="CU29" s="1482">
        <f t="shared" ca="1" si="82"/>
        <v>23.39060958412411</v>
      </c>
      <c r="CV29" s="1482">
        <f t="shared" ca="1" si="82"/>
        <v>2.9121216591928234E-2</v>
      </c>
      <c r="CW29" s="1482">
        <f t="shared" ca="1" si="82"/>
        <v>0.42084499589736968</v>
      </c>
      <c r="CX29" s="1482">
        <f t="shared" ca="1" si="82"/>
        <v>0</v>
      </c>
      <c r="CY29" s="1482">
        <f t="shared" ca="1" si="82"/>
        <v>0</v>
      </c>
      <c r="CZ29" s="1482">
        <f t="shared" ca="1" si="82"/>
        <v>0</v>
      </c>
      <c r="DA29" s="1482">
        <f t="shared" ca="1" si="82"/>
        <v>0</v>
      </c>
      <c r="DB29" s="1482">
        <f t="shared" ca="1" si="82"/>
        <v>0</v>
      </c>
      <c r="DC29" s="1482">
        <f t="shared" ca="1" si="82"/>
        <v>0</v>
      </c>
      <c r="DD29" s="1482">
        <f t="shared" ca="1" si="82"/>
        <v>0</v>
      </c>
      <c r="DE29" s="1482">
        <f t="shared" ca="1" si="82"/>
        <v>0</v>
      </c>
      <c r="DF29" s="1482">
        <f t="shared" ca="1" si="82"/>
        <v>0</v>
      </c>
      <c r="DH29" s="838">
        <f t="shared" ca="1" si="36"/>
        <v>23.840575796613408</v>
      </c>
    </row>
    <row r="30" spans="1:112" s="743" customFormat="1" ht="10.5" hidden="1" customHeight="1" outlineLevel="2">
      <c r="A30" s="1483"/>
      <c r="B30" s="1483"/>
      <c r="C30" s="1009" t="s">
        <v>959</v>
      </c>
      <c r="D30" s="1005" t="str">
        <f>INDEX(Modules[Module], MATCH($C30, Modules[Code], 0))</f>
        <v>National navigation [UNUSED - see XII.a]</v>
      </c>
      <c r="E30" s="1006"/>
      <c r="G30" s="1018">
        <f t="shared" ca="1" si="76"/>
        <v>0</v>
      </c>
      <c r="H30" s="1018">
        <f t="shared" ca="1" si="76"/>
        <v>0</v>
      </c>
      <c r="I30" s="1018">
        <f t="shared" ca="1" si="76"/>
        <v>0</v>
      </c>
      <c r="J30" s="1018">
        <f t="shared" ca="1" si="76"/>
        <v>0</v>
      </c>
      <c r="K30" s="1018">
        <f t="shared" ca="1" si="76"/>
        <v>0</v>
      </c>
      <c r="L30" s="1018">
        <f t="shared" ca="1" si="76"/>
        <v>0</v>
      </c>
      <c r="M30" s="1018">
        <f t="shared" ca="1" si="76"/>
        <v>0</v>
      </c>
      <c r="N30" s="1018">
        <f t="shared" ca="1" si="76"/>
        <v>0</v>
      </c>
      <c r="O30" s="1018">
        <f t="shared" ca="1" si="76"/>
        <v>0</v>
      </c>
      <c r="P30" s="1018">
        <f t="shared" ca="1" si="76"/>
        <v>0</v>
      </c>
      <c r="Q30" s="1024">
        <f t="shared" ca="1" si="70"/>
        <v>0</v>
      </c>
      <c r="S30" s="1028">
        <f t="shared" ca="1" si="59"/>
        <v>0</v>
      </c>
      <c r="T30" s="1028">
        <f t="shared" ca="1" si="59"/>
        <v>0</v>
      </c>
      <c r="U30" s="1028">
        <f t="shared" ca="1" si="59"/>
        <v>0</v>
      </c>
      <c r="V30" s="1028">
        <f t="shared" ca="1" si="59"/>
        <v>0</v>
      </c>
      <c r="W30" s="1028">
        <f t="shared" ca="1" si="59"/>
        <v>0</v>
      </c>
      <c r="X30" s="1028">
        <f t="shared" ca="1" si="77"/>
        <v>0</v>
      </c>
      <c r="Y30" s="1028">
        <f t="shared" ca="1" si="77"/>
        <v>0</v>
      </c>
      <c r="Z30" s="1028">
        <f t="shared" ca="1" si="77"/>
        <v>0</v>
      </c>
      <c r="AA30" s="1028">
        <f t="shared" ca="1" si="59"/>
        <v>0</v>
      </c>
      <c r="AB30" s="1028">
        <f t="shared" ca="1" si="59"/>
        <v>0</v>
      </c>
      <c r="AC30" s="1028">
        <f t="shared" ca="1" si="59"/>
        <v>0</v>
      </c>
      <c r="AD30" s="1028">
        <f t="shared" ca="1" si="59"/>
        <v>0</v>
      </c>
      <c r="AE30" s="1028">
        <f t="shared" ca="1" si="59"/>
        <v>0</v>
      </c>
      <c r="AF30" s="1028">
        <f t="shared" ca="1" si="59"/>
        <v>0</v>
      </c>
      <c r="AG30" s="1028">
        <f t="shared" ca="1" si="59"/>
        <v>0</v>
      </c>
      <c r="AH30" s="1028">
        <f t="shared" ca="1" si="59"/>
        <v>0</v>
      </c>
      <c r="AI30" s="1028">
        <f t="shared" ca="1" si="59"/>
        <v>0</v>
      </c>
      <c r="AJ30" s="1028">
        <f t="shared" ca="1" si="59"/>
        <v>0</v>
      </c>
      <c r="AK30" s="1029">
        <f t="shared" ca="1" si="61"/>
        <v>0</v>
      </c>
      <c r="AM30" s="1039">
        <f t="shared" ca="1" si="78"/>
        <v>0</v>
      </c>
      <c r="AN30" s="1039">
        <f t="shared" ca="1" si="78"/>
        <v>0</v>
      </c>
      <c r="AO30" s="1039">
        <f t="shared" ca="1" si="78"/>
        <v>0</v>
      </c>
      <c r="AP30" s="1039">
        <f t="shared" ca="1" si="78"/>
        <v>0</v>
      </c>
      <c r="AQ30" s="1039">
        <f t="shared" ca="1" si="78"/>
        <v>0</v>
      </c>
      <c r="AR30" s="1039">
        <f t="shared" ca="1" si="78"/>
        <v>0</v>
      </c>
      <c r="AS30" s="1039">
        <f t="shared" ca="1" si="78"/>
        <v>0</v>
      </c>
      <c r="AT30" s="1039">
        <f t="shared" ca="1" si="78"/>
        <v>0</v>
      </c>
      <c r="AU30" s="1039">
        <f t="shared" ca="1" si="78"/>
        <v>0</v>
      </c>
      <c r="AV30" s="1039">
        <f t="shared" ca="1" si="59"/>
        <v>0</v>
      </c>
      <c r="AW30" s="1039">
        <f t="shared" ca="1" si="59"/>
        <v>0</v>
      </c>
      <c r="AX30" s="1039">
        <f t="shared" ca="1" si="59"/>
        <v>0</v>
      </c>
      <c r="AY30" s="1039">
        <f t="shared" ca="1" si="59"/>
        <v>0</v>
      </c>
      <c r="AZ30" s="1039">
        <f t="shared" ca="1" si="59"/>
        <v>0</v>
      </c>
      <c r="BA30" s="1039">
        <f t="shared" ca="1" si="59"/>
        <v>0</v>
      </c>
      <c r="BB30" s="1039">
        <f t="shared" ca="1" si="59"/>
        <v>0</v>
      </c>
      <c r="BC30" s="1039">
        <f t="shared" ca="1" si="59"/>
        <v>0</v>
      </c>
      <c r="BD30" s="1039">
        <f t="shared" ca="1" si="59"/>
        <v>0</v>
      </c>
      <c r="BE30" s="1039">
        <f t="shared" ca="1" si="59"/>
        <v>0</v>
      </c>
      <c r="BF30" s="1008">
        <f t="shared" ca="1" si="63"/>
        <v>0</v>
      </c>
      <c r="BH30" s="1033">
        <f t="shared" ca="1" si="64"/>
        <v>0</v>
      </c>
      <c r="BI30" s="1033">
        <f t="shared" ca="1" si="64"/>
        <v>0</v>
      </c>
      <c r="BJ30" s="1044">
        <f t="shared" ca="1" si="65"/>
        <v>0</v>
      </c>
      <c r="BL30" s="1007">
        <f t="shared" ca="1" si="9"/>
        <v>0</v>
      </c>
      <c r="BM30" s="1007"/>
      <c r="BN30" s="840"/>
      <c r="BO30" s="1481">
        <f t="shared" ca="1" si="79"/>
        <v>0</v>
      </c>
      <c r="BP30" s="1482">
        <f t="shared" ca="1" si="79"/>
        <v>0</v>
      </c>
      <c r="BQ30" s="1482">
        <f t="shared" ca="1" si="79"/>
        <v>0</v>
      </c>
      <c r="BR30" s="1482">
        <f t="shared" ca="1" si="79"/>
        <v>0</v>
      </c>
      <c r="BS30" s="1482">
        <f t="shared" ca="1" si="79"/>
        <v>0</v>
      </c>
      <c r="BT30" s="1482">
        <f t="shared" ca="1" si="79"/>
        <v>0</v>
      </c>
      <c r="BU30" s="1482">
        <f t="shared" ca="1" si="79"/>
        <v>0</v>
      </c>
      <c r="BV30" s="1482">
        <f t="shared" ca="1" si="79"/>
        <v>0</v>
      </c>
      <c r="BW30" s="1482">
        <f t="shared" ca="1" si="79"/>
        <v>0</v>
      </c>
      <c r="BX30" s="1482">
        <f t="shared" ca="1" si="79"/>
        <v>0</v>
      </c>
      <c r="BY30" s="1482">
        <f t="shared" ca="1" si="80"/>
        <v>0</v>
      </c>
      <c r="BZ30" s="1482">
        <f t="shared" ca="1" si="80"/>
        <v>0</v>
      </c>
      <c r="CA30" s="1482">
        <f t="shared" ca="1" si="80"/>
        <v>0</v>
      </c>
      <c r="CB30" s="1482">
        <f t="shared" ca="1" si="80"/>
        <v>0</v>
      </c>
      <c r="CC30" s="1482">
        <f t="shared" ca="1" si="80"/>
        <v>0</v>
      </c>
      <c r="CD30" s="1482">
        <f t="shared" ca="1" si="80"/>
        <v>0</v>
      </c>
      <c r="CE30" s="1482">
        <f t="shared" ca="1" si="80"/>
        <v>0</v>
      </c>
      <c r="CF30" s="1482">
        <f t="shared" ca="1" si="80"/>
        <v>0</v>
      </c>
      <c r="CG30" s="1482">
        <f t="shared" ca="1" si="80"/>
        <v>0</v>
      </c>
      <c r="CH30" s="1482">
        <f t="shared" ca="1" si="80"/>
        <v>0</v>
      </c>
      <c r="CI30" s="1482">
        <f t="shared" ca="1" si="81"/>
        <v>0</v>
      </c>
      <c r="CJ30" s="1482">
        <f t="shared" ca="1" si="81"/>
        <v>0</v>
      </c>
      <c r="CK30" s="1482">
        <f t="shared" ca="1" si="81"/>
        <v>0</v>
      </c>
      <c r="CL30" s="1482">
        <f t="shared" ca="1" si="81"/>
        <v>0</v>
      </c>
      <c r="CM30" s="1482">
        <f t="shared" ca="1" si="81"/>
        <v>0</v>
      </c>
      <c r="CN30" s="1482">
        <f t="shared" ca="1" si="81"/>
        <v>0</v>
      </c>
      <c r="CO30" s="1482">
        <f t="shared" ca="1" si="81"/>
        <v>0</v>
      </c>
      <c r="CP30" s="1482">
        <f t="shared" ca="1" si="81"/>
        <v>0</v>
      </c>
      <c r="CQ30" s="1482">
        <f t="shared" ca="1" si="81"/>
        <v>0</v>
      </c>
      <c r="CR30" s="1482">
        <f t="shared" ca="1" si="81"/>
        <v>0</v>
      </c>
      <c r="CS30" s="1482">
        <f t="shared" ca="1" si="82"/>
        <v>0</v>
      </c>
      <c r="CT30" s="1482">
        <f t="shared" ca="1" si="82"/>
        <v>0</v>
      </c>
      <c r="CU30" s="1482">
        <f t="shared" ca="1" si="82"/>
        <v>0</v>
      </c>
      <c r="CV30" s="1482">
        <f t="shared" ca="1" si="82"/>
        <v>0</v>
      </c>
      <c r="CW30" s="1482">
        <f t="shared" ca="1" si="82"/>
        <v>0</v>
      </c>
      <c r="CX30" s="1482">
        <f t="shared" ca="1" si="82"/>
        <v>0</v>
      </c>
      <c r="CY30" s="1482">
        <f t="shared" ca="1" si="82"/>
        <v>0</v>
      </c>
      <c r="CZ30" s="1482">
        <f t="shared" ca="1" si="82"/>
        <v>0</v>
      </c>
      <c r="DA30" s="1482">
        <f t="shared" ca="1" si="82"/>
        <v>0</v>
      </c>
      <c r="DB30" s="1482">
        <f t="shared" ca="1" si="82"/>
        <v>0</v>
      </c>
      <c r="DC30" s="1482">
        <f t="shared" ca="1" si="82"/>
        <v>0</v>
      </c>
      <c r="DD30" s="1482">
        <f t="shared" ca="1" si="82"/>
        <v>0</v>
      </c>
      <c r="DE30" s="1482">
        <f t="shared" ca="1" si="82"/>
        <v>0</v>
      </c>
      <c r="DF30" s="1482">
        <f t="shared" ca="1" si="82"/>
        <v>0</v>
      </c>
      <c r="DH30" s="838">
        <f t="shared" ca="1" si="36"/>
        <v>0</v>
      </c>
    </row>
    <row r="31" spans="1:112" s="743" customFormat="1" ht="11.25" hidden="1" customHeight="1" outlineLevel="1">
      <c r="A31" s="1484"/>
      <c r="B31" s="1484"/>
      <c r="C31" s="746"/>
      <c r="D31" s="1011" t="s">
        <v>961</v>
      </c>
      <c r="E31" s="1010"/>
      <c r="G31" s="1020">
        <f ca="1">SUM(G29:G30)</f>
        <v>0</v>
      </c>
      <c r="H31" s="1020">
        <f t="shared" ref="H31:P31" ca="1" si="83">SUM(H29:H30)</f>
        <v>0</v>
      </c>
      <c r="I31" s="1020">
        <f t="shared" ca="1" si="83"/>
        <v>0</v>
      </c>
      <c r="J31" s="1020">
        <f t="shared" ca="1" si="83"/>
        <v>0</v>
      </c>
      <c r="K31" s="1020">
        <f t="shared" ca="1" si="83"/>
        <v>0</v>
      </c>
      <c r="L31" s="1020">
        <f t="shared" ca="1" si="83"/>
        <v>0</v>
      </c>
      <c r="M31" s="1020">
        <f t="shared" ca="1" si="83"/>
        <v>0</v>
      </c>
      <c r="N31" s="1020">
        <f t="shared" ca="1" si="83"/>
        <v>0</v>
      </c>
      <c r="O31" s="1020">
        <f t="shared" ca="1" si="83"/>
        <v>93.562438336496442</v>
      </c>
      <c r="P31" s="1020">
        <f t="shared" ca="1" si="83"/>
        <v>0</v>
      </c>
      <c r="Q31" s="1020">
        <f t="shared" ca="1" si="70"/>
        <v>93.562438336496442</v>
      </c>
      <c r="S31" s="1030">
        <f t="shared" ref="S31:Z31" ca="1" si="84">SUM(S29:S30)</f>
        <v>0</v>
      </c>
      <c r="T31" s="1030">
        <f t="shared" ca="1" si="84"/>
        <v>0</v>
      </c>
      <c r="U31" s="1030">
        <f t="shared" ca="1" si="84"/>
        <v>0</v>
      </c>
      <c r="V31" s="1030">
        <f t="shared" ca="1" si="84"/>
        <v>-93.562438336496442</v>
      </c>
      <c r="W31" s="1030">
        <f t="shared" ca="1" si="84"/>
        <v>0</v>
      </c>
      <c r="X31" s="1132">
        <f t="shared" ca="1" si="84"/>
        <v>0</v>
      </c>
      <c r="Y31" s="1132">
        <f t="shared" ca="1" si="84"/>
        <v>0</v>
      </c>
      <c r="Z31" s="1132">
        <f t="shared" ca="1" si="84"/>
        <v>0</v>
      </c>
      <c r="AA31" s="1030">
        <f t="shared" ref="AA31:AJ31" ca="1" si="85">SUM(AA29:AA30)</f>
        <v>0</v>
      </c>
      <c r="AB31" s="1030">
        <f t="shared" ca="1" si="85"/>
        <v>0</v>
      </c>
      <c r="AC31" s="1030">
        <f t="shared" ca="1" si="85"/>
        <v>0</v>
      </c>
      <c r="AD31" s="1030">
        <f ca="1">SUM(AD29:AD30)</f>
        <v>0</v>
      </c>
      <c r="AE31" s="1030">
        <f ca="1">SUM(AE29:AE30)</f>
        <v>0</v>
      </c>
      <c r="AF31" s="1030">
        <f t="shared" ca="1" si="85"/>
        <v>0</v>
      </c>
      <c r="AG31" s="1030">
        <f ca="1">SUM(AG29:AG30)</f>
        <v>0</v>
      </c>
      <c r="AH31" s="1030">
        <f ca="1">SUM(AH29:AH30)</f>
        <v>0</v>
      </c>
      <c r="AI31" s="1030">
        <f ca="1">SUM(AI29:AI30)</f>
        <v>0</v>
      </c>
      <c r="AJ31" s="1030">
        <f t="shared" ca="1" si="85"/>
        <v>0</v>
      </c>
      <c r="AK31" s="1030">
        <f t="shared" ca="1" si="61"/>
        <v>-93.562438336496442</v>
      </c>
      <c r="AM31" s="1043">
        <f t="shared" ref="AM31:BE31" ca="1" si="86">SUM(AM29:AM30)</f>
        <v>0</v>
      </c>
      <c r="AN31" s="1043">
        <f t="shared" ca="1" si="86"/>
        <v>0</v>
      </c>
      <c r="AO31" s="1043">
        <f t="shared" ca="1" si="86"/>
        <v>0</v>
      </c>
      <c r="AP31" s="1043">
        <f t="shared" ca="1" si="86"/>
        <v>0</v>
      </c>
      <c r="AQ31" s="1043">
        <f t="shared" ca="1" si="86"/>
        <v>0</v>
      </c>
      <c r="AR31" s="1043">
        <f t="shared" ca="1" si="86"/>
        <v>0</v>
      </c>
      <c r="AS31" s="1043">
        <f t="shared" ca="1" si="86"/>
        <v>0</v>
      </c>
      <c r="AT31" s="1043">
        <f t="shared" ca="1" si="86"/>
        <v>0</v>
      </c>
      <c r="AU31" s="1043">
        <f t="shared" ca="1" si="86"/>
        <v>0</v>
      </c>
      <c r="AV31" s="1043">
        <f t="shared" ca="1" si="86"/>
        <v>0</v>
      </c>
      <c r="AW31" s="1043">
        <f t="shared" ca="1" si="86"/>
        <v>0</v>
      </c>
      <c r="AX31" s="1043">
        <f t="shared" ca="1" si="86"/>
        <v>0</v>
      </c>
      <c r="AY31" s="1043">
        <f t="shared" ca="1" si="86"/>
        <v>0</v>
      </c>
      <c r="AZ31" s="1043">
        <f t="shared" ca="1" si="86"/>
        <v>0</v>
      </c>
      <c r="BA31" s="1043">
        <f t="shared" ca="1" si="86"/>
        <v>0</v>
      </c>
      <c r="BB31" s="1043">
        <f t="shared" ca="1" si="86"/>
        <v>0</v>
      </c>
      <c r="BC31" s="1043">
        <f t="shared" ca="1" si="86"/>
        <v>0</v>
      </c>
      <c r="BD31" s="1043">
        <f t="shared" ca="1" si="86"/>
        <v>0</v>
      </c>
      <c r="BE31" s="1043">
        <f t="shared" ca="1" si="86"/>
        <v>0</v>
      </c>
      <c r="BF31" s="1013">
        <f t="shared" ca="1" si="63"/>
        <v>0</v>
      </c>
      <c r="BH31" s="1037">
        <f ca="1">SUM(BH29:BH30)</f>
        <v>0</v>
      </c>
      <c r="BI31" s="1037">
        <f ca="1">SUM(BI29:BI30)</f>
        <v>0</v>
      </c>
      <c r="BJ31" s="1035">
        <f t="shared" ca="1" si="65"/>
        <v>0</v>
      </c>
      <c r="BL31" s="524">
        <f t="shared" ca="1" si="9"/>
        <v>0</v>
      </c>
      <c r="BM31" s="524"/>
      <c r="BN31" s="1484"/>
      <c r="BO31" s="1485">
        <f t="shared" ref="BO31:DF31" ca="1" si="87">SUM(BO29:BO30)</f>
        <v>0</v>
      </c>
      <c r="BP31" s="1486">
        <f t="shared" ca="1" si="87"/>
        <v>0</v>
      </c>
      <c r="BQ31" s="1486">
        <f t="shared" ca="1" si="87"/>
        <v>0</v>
      </c>
      <c r="BR31" s="1486">
        <f t="shared" ca="1" si="87"/>
        <v>0</v>
      </c>
      <c r="BS31" s="1486">
        <f t="shared" ca="1" si="87"/>
        <v>0</v>
      </c>
      <c r="BT31" s="1486">
        <f t="shared" ca="1" si="87"/>
        <v>0</v>
      </c>
      <c r="BU31" s="1486">
        <f t="shared" ca="1" si="87"/>
        <v>0</v>
      </c>
      <c r="BV31" s="1486">
        <f t="shared" ca="1" si="87"/>
        <v>0</v>
      </c>
      <c r="BW31" s="1486">
        <f t="shared" ca="1" si="87"/>
        <v>0</v>
      </c>
      <c r="BX31" s="1486">
        <f t="shared" ca="1" si="87"/>
        <v>0</v>
      </c>
      <c r="BY31" s="1486">
        <f t="shared" ca="1" si="87"/>
        <v>0</v>
      </c>
      <c r="BZ31" s="1486">
        <f t="shared" ca="1" si="87"/>
        <v>0</v>
      </c>
      <c r="CA31" s="1486">
        <f t="shared" ca="1" si="87"/>
        <v>0</v>
      </c>
      <c r="CB31" s="1486">
        <f t="shared" ca="1" si="87"/>
        <v>0</v>
      </c>
      <c r="CC31" s="1486">
        <f t="shared" ca="1" si="87"/>
        <v>0</v>
      </c>
      <c r="CD31" s="1486">
        <f t="shared" ca="1" si="87"/>
        <v>0</v>
      </c>
      <c r="CE31" s="1486">
        <f t="shared" ca="1" si="87"/>
        <v>0</v>
      </c>
      <c r="CF31" s="1486">
        <f t="shared" ca="1" si="87"/>
        <v>0</v>
      </c>
      <c r="CG31" s="1486">
        <f t="shared" ca="1" si="87"/>
        <v>0</v>
      </c>
      <c r="CH31" s="1486">
        <f t="shared" ca="1" si="87"/>
        <v>0</v>
      </c>
      <c r="CI31" s="1486">
        <f t="shared" ca="1" si="87"/>
        <v>0</v>
      </c>
      <c r="CJ31" s="1486">
        <f t="shared" ca="1" si="87"/>
        <v>0</v>
      </c>
      <c r="CK31" s="1486">
        <f t="shared" ca="1" si="87"/>
        <v>0</v>
      </c>
      <c r="CL31" s="1486">
        <f t="shared" ca="1" si="87"/>
        <v>0</v>
      </c>
      <c r="CM31" s="1486">
        <f t="shared" ca="1" si="87"/>
        <v>0</v>
      </c>
      <c r="CN31" s="1486">
        <f t="shared" ca="1" si="87"/>
        <v>0</v>
      </c>
      <c r="CO31" s="1486">
        <f t="shared" ca="1" si="87"/>
        <v>0</v>
      </c>
      <c r="CP31" s="1486">
        <f t="shared" ca="1" si="87"/>
        <v>0</v>
      </c>
      <c r="CQ31" s="1486">
        <f t="shared" ca="1" si="87"/>
        <v>0</v>
      </c>
      <c r="CR31" s="1486">
        <f t="shared" ca="1" si="87"/>
        <v>0</v>
      </c>
      <c r="CS31" s="1486">
        <f t="shared" ca="1" si="87"/>
        <v>0</v>
      </c>
      <c r="CT31" s="1486">
        <f t="shared" ca="1" si="87"/>
        <v>0</v>
      </c>
      <c r="CU31" s="1486">
        <f t="shared" ca="1" si="87"/>
        <v>23.39060958412411</v>
      </c>
      <c r="CV31" s="1486">
        <f t="shared" ca="1" si="87"/>
        <v>2.9121216591928234E-2</v>
      </c>
      <c r="CW31" s="1486">
        <f t="shared" ca="1" si="87"/>
        <v>0.42084499589736968</v>
      </c>
      <c r="CX31" s="1486">
        <f t="shared" ca="1" si="87"/>
        <v>0</v>
      </c>
      <c r="CY31" s="1486">
        <f t="shared" ca="1" si="87"/>
        <v>0</v>
      </c>
      <c r="CZ31" s="1486">
        <f t="shared" ca="1" si="87"/>
        <v>0</v>
      </c>
      <c r="DA31" s="1486">
        <f t="shared" ca="1" si="87"/>
        <v>0</v>
      </c>
      <c r="DB31" s="1486">
        <f t="shared" ca="1" si="87"/>
        <v>0</v>
      </c>
      <c r="DC31" s="1486">
        <f t="shared" ca="1" si="87"/>
        <v>0</v>
      </c>
      <c r="DD31" s="1486">
        <f t="shared" ca="1" si="87"/>
        <v>0</v>
      </c>
      <c r="DE31" s="1486">
        <f t="shared" ca="1" si="87"/>
        <v>0</v>
      </c>
      <c r="DF31" s="1486">
        <f t="shared" ca="1" si="87"/>
        <v>0</v>
      </c>
      <c r="DH31" s="838">
        <f t="shared" ca="1" si="36"/>
        <v>23.840575796613408</v>
      </c>
    </row>
    <row r="32" spans="1:112" s="743" customFormat="1" ht="15.75" collapsed="1">
      <c r="A32" s="22"/>
      <c r="B32" s="753"/>
      <c r="C32" s="744" t="s">
        <v>679</v>
      </c>
      <c r="D32" s="517" t="str">
        <f>INDEX(Workstreams[Workstream], MATCH($C32, Workstreams[Code], 0))</f>
        <v>Transport</v>
      </c>
      <c r="E32" s="512"/>
      <c r="G32" s="1021">
        <f t="shared" ref="G32:P32" ca="1" si="88">G24+G25+G28+G31</f>
        <v>0</v>
      </c>
      <c r="H32" s="1021">
        <f t="shared" ca="1" si="88"/>
        <v>0</v>
      </c>
      <c r="I32" s="1021">
        <f t="shared" ca="1" si="88"/>
        <v>0</v>
      </c>
      <c r="J32" s="1021">
        <f t="shared" ca="1" si="88"/>
        <v>343.16407741049431</v>
      </c>
      <c r="K32" s="1021">
        <f t="shared" ca="1" si="88"/>
        <v>15.374887113066478</v>
      </c>
      <c r="L32" s="1021">
        <f t="shared" ca="1" si="88"/>
        <v>13.860251279239513</v>
      </c>
      <c r="M32" s="1021">
        <f t="shared" ca="1" si="88"/>
        <v>23.084767495533725</v>
      </c>
      <c r="N32" s="1021">
        <f t="shared" ca="1" si="88"/>
        <v>212.09205012603269</v>
      </c>
      <c r="O32" s="1021">
        <f t="shared" ca="1" si="88"/>
        <v>93.562438336496442</v>
      </c>
      <c r="P32" s="1021">
        <f t="shared" ca="1" si="88"/>
        <v>0</v>
      </c>
      <c r="Q32" s="1021">
        <f t="shared" ca="1" si="70"/>
        <v>701.13847176086313</v>
      </c>
      <c r="S32" s="970">
        <f t="shared" ref="S32:Z32" ca="1" si="89">S24+S25+S28+S31</f>
        <v>-16.823100308491494</v>
      </c>
      <c r="T32" s="970">
        <f t="shared" ca="1" si="89"/>
        <v>0</v>
      </c>
      <c r="U32" s="970">
        <f t="shared" ca="1" si="89"/>
        <v>0</v>
      </c>
      <c r="V32" s="970">
        <f t="shared" ca="1" si="89"/>
        <v>-684.31537145237178</v>
      </c>
      <c r="W32" s="970">
        <f t="shared" ca="1" si="89"/>
        <v>0</v>
      </c>
      <c r="X32" s="970">
        <f t="shared" ca="1" si="89"/>
        <v>0</v>
      </c>
      <c r="Y32" s="970">
        <f t="shared" ca="1" si="89"/>
        <v>0</v>
      </c>
      <c r="Z32" s="970">
        <f t="shared" ca="1" si="89"/>
        <v>0</v>
      </c>
      <c r="AA32" s="970">
        <f t="shared" ref="AA32:AJ32" ca="1" si="90">AA24+AA25+AA28+AA31</f>
        <v>0</v>
      </c>
      <c r="AB32" s="970">
        <f t="shared" ca="1" si="90"/>
        <v>0</v>
      </c>
      <c r="AC32" s="970">
        <f t="shared" ca="1" si="90"/>
        <v>0</v>
      </c>
      <c r="AD32" s="970">
        <f ca="1">AD24+AD25+AD28+AD31</f>
        <v>0</v>
      </c>
      <c r="AE32" s="970">
        <f ca="1">AE24+AE25+AE28+AE31</f>
        <v>0</v>
      </c>
      <c r="AF32" s="970">
        <f t="shared" ca="1" si="90"/>
        <v>0</v>
      </c>
      <c r="AG32" s="970">
        <f ca="1">AG24+AG25+AG28+AG31</f>
        <v>0</v>
      </c>
      <c r="AH32" s="970">
        <f ca="1">AH24+AH25+AH28+AH31</f>
        <v>0</v>
      </c>
      <c r="AI32" s="970">
        <f ca="1">AI24+AI25+AI28+AI31</f>
        <v>0</v>
      </c>
      <c r="AJ32" s="970">
        <f t="shared" ca="1" si="90"/>
        <v>0</v>
      </c>
      <c r="AK32" s="970">
        <f t="shared" ca="1" si="61"/>
        <v>-701.13847176086324</v>
      </c>
      <c r="AM32" s="976">
        <f t="shared" ref="AM32:AS32" ca="1" si="91">AM24+AM25+AM28+AM31</f>
        <v>0</v>
      </c>
      <c r="AN32" s="976">
        <f t="shared" ca="1" si="91"/>
        <v>0</v>
      </c>
      <c r="AO32" s="976">
        <f t="shared" ca="1" si="91"/>
        <v>0</v>
      </c>
      <c r="AP32" s="976">
        <f t="shared" ca="1" si="91"/>
        <v>0</v>
      </c>
      <c r="AQ32" s="976">
        <f t="shared" ca="1" si="91"/>
        <v>0</v>
      </c>
      <c r="AR32" s="976">
        <f t="shared" ca="1" si="91"/>
        <v>0</v>
      </c>
      <c r="AS32" s="976">
        <f t="shared" ca="1" si="91"/>
        <v>0</v>
      </c>
      <c r="AT32" s="976">
        <f t="shared" ref="AT32:BE32" ca="1" si="92">AT24+AT25+AT28+AT31</f>
        <v>0</v>
      </c>
      <c r="AU32" s="976">
        <f t="shared" ca="1" si="92"/>
        <v>0</v>
      </c>
      <c r="AV32" s="976">
        <f t="shared" ca="1" si="92"/>
        <v>0</v>
      </c>
      <c r="AW32" s="976">
        <f t="shared" ca="1" si="92"/>
        <v>0</v>
      </c>
      <c r="AX32" s="976">
        <f t="shared" ca="1" si="92"/>
        <v>0</v>
      </c>
      <c r="AY32" s="976">
        <f t="shared" ca="1" si="92"/>
        <v>0</v>
      </c>
      <c r="AZ32" s="976">
        <f t="shared" ca="1" si="92"/>
        <v>0</v>
      </c>
      <c r="BA32" s="976">
        <f t="shared" ca="1" si="92"/>
        <v>0</v>
      </c>
      <c r="BB32" s="976">
        <f t="shared" ca="1" si="92"/>
        <v>0</v>
      </c>
      <c r="BC32" s="976">
        <f t="shared" ca="1" si="92"/>
        <v>0</v>
      </c>
      <c r="BD32" s="976">
        <f t="shared" ca="1" si="92"/>
        <v>0</v>
      </c>
      <c r="BE32" s="976">
        <f t="shared" ca="1" si="92"/>
        <v>0</v>
      </c>
      <c r="BF32" s="976">
        <f t="shared" ca="1" si="63"/>
        <v>0</v>
      </c>
      <c r="BH32" s="990">
        <f ca="1">BH24+BH25+BH28+BH31</f>
        <v>0</v>
      </c>
      <c r="BI32" s="990">
        <f ca="1">BI24+BI25+BI28+BI31</f>
        <v>0</v>
      </c>
      <c r="BJ32" s="990">
        <f t="shared" ca="1" si="65"/>
        <v>0</v>
      </c>
      <c r="BL32" s="515">
        <f t="shared" ca="1" si="9"/>
        <v>-1.1368683772161603E-13</v>
      </c>
      <c r="BM32" s="515"/>
      <c r="BN32" s="840"/>
      <c r="BO32" s="1482">
        <f t="shared" ref="BO32:DF32" ca="1" si="93">BO24+BO25+BO28+BO31</f>
        <v>94.665220747460637</v>
      </c>
      <c r="BP32" s="1482">
        <f t="shared" ca="1" si="93"/>
        <v>0.11785782611585281</v>
      </c>
      <c r="BQ32" s="1482">
        <f t="shared" ca="1" si="93"/>
        <v>1.703221298863832</v>
      </c>
      <c r="BR32" s="1482">
        <f t="shared" ca="1" si="93"/>
        <v>0</v>
      </c>
      <c r="BS32" s="1482">
        <f t="shared" ca="1" si="93"/>
        <v>0</v>
      </c>
      <c r="BT32" s="1482">
        <f t="shared" ca="1" si="93"/>
        <v>0</v>
      </c>
      <c r="BU32" s="1482">
        <f t="shared" ca="1" si="93"/>
        <v>0</v>
      </c>
      <c r="BV32" s="1482">
        <f t="shared" ca="1" si="93"/>
        <v>0</v>
      </c>
      <c r="BW32" s="1482">
        <f t="shared" ca="1" si="93"/>
        <v>0</v>
      </c>
      <c r="BX32" s="1482">
        <f t="shared" ca="1" si="93"/>
        <v>0</v>
      </c>
      <c r="BY32" s="1482">
        <f t="shared" ca="1" si="93"/>
        <v>0</v>
      </c>
      <c r="BZ32" s="1482">
        <f t="shared" ca="1" si="93"/>
        <v>0</v>
      </c>
      <c r="CA32" s="1482">
        <f t="shared" ca="1" si="93"/>
        <v>0</v>
      </c>
      <c r="CB32" s="1482">
        <f t="shared" ca="1" si="93"/>
        <v>0</v>
      </c>
      <c r="CC32" s="1482">
        <f t="shared" ca="1" si="93"/>
        <v>0</v>
      </c>
      <c r="CD32" s="1482">
        <f t="shared" ca="1" si="93"/>
        <v>0</v>
      </c>
      <c r="CE32" s="1482">
        <f t="shared" ca="1" si="93"/>
        <v>0</v>
      </c>
      <c r="CF32" s="1482">
        <f t="shared" ca="1" si="93"/>
        <v>0</v>
      </c>
      <c r="CG32" s="1482">
        <f t="shared" ca="1" si="93"/>
        <v>0</v>
      </c>
      <c r="CH32" s="1482">
        <f t="shared" ca="1" si="93"/>
        <v>0</v>
      </c>
      <c r="CI32" s="1482">
        <f t="shared" ca="1" si="93"/>
        <v>0</v>
      </c>
      <c r="CJ32" s="1482">
        <f t="shared" ca="1" si="93"/>
        <v>0</v>
      </c>
      <c r="CK32" s="1482">
        <f t="shared" ca="1" si="93"/>
        <v>0</v>
      </c>
      <c r="CL32" s="1482">
        <f t="shared" ca="1" si="93"/>
        <v>0</v>
      </c>
      <c r="CM32" s="1482">
        <f t="shared" ca="1" si="93"/>
        <v>0</v>
      </c>
      <c r="CN32" s="1482">
        <f t="shared" ca="1" si="93"/>
        <v>0</v>
      </c>
      <c r="CO32" s="1482">
        <f t="shared" ca="1" si="93"/>
        <v>0</v>
      </c>
      <c r="CP32" s="1482">
        <f t="shared" ca="1" si="93"/>
        <v>0</v>
      </c>
      <c r="CQ32" s="1482">
        <f t="shared" ca="1" si="93"/>
        <v>0</v>
      </c>
      <c r="CR32" s="1482">
        <f t="shared" ca="1" si="93"/>
        <v>0</v>
      </c>
      <c r="CS32" s="1482">
        <f t="shared" ca="1" si="93"/>
        <v>0</v>
      </c>
      <c r="CT32" s="1482">
        <f t="shared" ca="1" si="93"/>
        <v>0</v>
      </c>
      <c r="CU32" s="1482">
        <f t="shared" ca="1" si="93"/>
        <v>76.413622115632279</v>
      </c>
      <c r="CV32" s="1482">
        <f t="shared" ca="1" si="93"/>
        <v>9.5134657871996306E-2</v>
      </c>
      <c r="CW32" s="1482">
        <f t="shared" ca="1" si="93"/>
        <v>1.3748376402974634</v>
      </c>
      <c r="CX32" s="1482">
        <f t="shared" ca="1" si="93"/>
        <v>0</v>
      </c>
      <c r="CY32" s="1482">
        <f t="shared" ca="1" si="93"/>
        <v>0</v>
      </c>
      <c r="CZ32" s="1482">
        <f t="shared" ca="1" si="93"/>
        <v>0</v>
      </c>
      <c r="DA32" s="1482">
        <f t="shared" ca="1" si="93"/>
        <v>0</v>
      </c>
      <c r="DB32" s="1482">
        <f t="shared" ca="1" si="93"/>
        <v>0</v>
      </c>
      <c r="DC32" s="1482">
        <f t="shared" ca="1" si="93"/>
        <v>0</v>
      </c>
      <c r="DD32" s="1482">
        <f t="shared" ca="1" si="93"/>
        <v>0</v>
      </c>
      <c r="DE32" s="1482">
        <f t="shared" ca="1" si="93"/>
        <v>0</v>
      </c>
      <c r="DF32" s="1482">
        <f t="shared" ca="1" si="93"/>
        <v>0</v>
      </c>
      <c r="DH32" s="838">
        <f t="shared" ca="1" si="36"/>
        <v>174.36989428624207</v>
      </c>
    </row>
    <row r="33" spans="1:112" s="743" customFormat="1" ht="12.75" hidden="1" customHeight="1" outlineLevel="1">
      <c r="A33" s="22"/>
      <c r="B33" s="22"/>
      <c r="C33" s="751"/>
      <c r="D33" s="512"/>
      <c r="E33" s="512"/>
      <c r="G33" s="1021"/>
      <c r="H33" s="1021"/>
      <c r="I33" s="1021"/>
      <c r="J33" s="1021"/>
      <c r="K33" s="1021"/>
      <c r="L33" s="1021"/>
      <c r="M33" s="1021"/>
      <c r="N33" s="1021"/>
      <c r="O33" s="1021"/>
      <c r="P33" s="1021"/>
      <c r="Q33" s="1021"/>
      <c r="S33" s="970"/>
      <c r="T33" s="970"/>
      <c r="U33" s="970"/>
      <c r="V33" s="970"/>
      <c r="W33" s="970"/>
      <c r="X33" s="970"/>
      <c r="Y33" s="970"/>
      <c r="Z33" s="970"/>
      <c r="AA33" s="970"/>
      <c r="AB33" s="970"/>
      <c r="AC33" s="970"/>
      <c r="AD33" s="970"/>
      <c r="AE33" s="970"/>
      <c r="AF33" s="970"/>
      <c r="AG33" s="970"/>
      <c r="AH33" s="970"/>
      <c r="AI33" s="970"/>
      <c r="AJ33" s="970"/>
      <c r="AK33" s="970"/>
      <c r="AM33" s="976"/>
      <c r="AN33" s="976"/>
      <c r="AO33" s="976"/>
      <c r="AP33" s="976"/>
      <c r="AQ33" s="976"/>
      <c r="AR33" s="976"/>
      <c r="AS33" s="976"/>
      <c r="AT33" s="976"/>
      <c r="AU33" s="976"/>
      <c r="AV33" s="976"/>
      <c r="AW33" s="976"/>
      <c r="AX33" s="976"/>
      <c r="AY33" s="976"/>
      <c r="AZ33" s="976"/>
      <c r="BA33" s="976"/>
      <c r="BB33" s="976"/>
      <c r="BC33" s="976"/>
      <c r="BD33" s="976"/>
      <c r="BE33" s="976"/>
      <c r="BF33" s="976"/>
      <c r="BH33" s="990"/>
      <c r="BI33" s="990"/>
      <c r="BJ33" s="990"/>
      <c r="BL33" s="515">
        <f t="shared" si="9"/>
        <v>0</v>
      </c>
      <c r="BM33" s="515"/>
      <c r="BN33" s="22"/>
      <c r="BO33" s="1482"/>
      <c r="BP33" s="1482"/>
      <c r="BQ33" s="1482"/>
      <c r="BR33" s="1482"/>
      <c r="BS33" s="1482"/>
      <c r="BT33" s="1482"/>
      <c r="BU33" s="1482"/>
      <c r="BV33" s="1482"/>
      <c r="BW33" s="1482"/>
      <c r="BX33" s="1482"/>
      <c r="BY33" s="1482"/>
      <c r="BZ33" s="1482"/>
      <c r="CA33" s="1482"/>
      <c r="CB33" s="1482"/>
      <c r="CC33" s="1482"/>
      <c r="CD33" s="1482"/>
      <c r="CE33" s="1482"/>
      <c r="CF33" s="1482"/>
      <c r="CG33" s="1482"/>
      <c r="CH33" s="1482"/>
      <c r="CI33" s="1482"/>
      <c r="CJ33" s="1482"/>
      <c r="CK33" s="1482"/>
      <c r="CL33" s="1482"/>
      <c r="CM33" s="1482"/>
      <c r="CN33" s="1482"/>
      <c r="CO33" s="1482"/>
      <c r="CP33" s="1482"/>
      <c r="CQ33" s="1482"/>
      <c r="CR33" s="1482"/>
      <c r="CS33" s="1482"/>
      <c r="CT33" s="1482"/>
      <c r="CU33" s="1482"/>
      <c r="CV33" s="1482"/>
      <c r="CW33" s="1482"/>
      <c r="CX33" s="1482"/>
      <c r="CY33" s="1482"/>
      <c r="CZ33" s="1482"/>
      <c r="DA33" s="1482"/>
      <c r="DB33" s="1482"/>
      <c r="DC33" s="1482"/>
      <c r="DD33" s="1482"/>
      <c r="DE33" s="1482"/>
      <c r="DF33" s="1482"/>
      <c r="DH33" s="838">
        <f t="shared" si="36"/>
        <v>0</v>
      </c>
    </row>
    <row r="34" spans="1:112" s="743" customFormat="1" ht="12.75" hidden="1" customHeight="1" outlineLevel="1">
      <c r="A34" s="1484"/>
      <c r="B34" s="1484"/>
      <c r="C34" s="746" t="s">
        <v>930</v>
      </c>
      <c r="D34" s="1010" t="str">
        <f>INDEX(Modules[Module], MATCH($C34, Modules[Code], 0))</f>
        <v>Food consumption [UNUSED]</v>
      </c>
      <c r="E34" s="1010"/>
      <c r="G34" s="1022">
        <f t="shared" ref="G34:P34" ca="1" si="94">IFERROR(INDEX(INDIRECT($C34&amp;".Outputs["&amp;this.Year&amp;"]"), MATCH(G$5, INDIRECT($C34&amp;".Outputs[Vector]"), 0)), 0)</f>
        <v>0</v>
      </c>
      <c r="H34" s="1022">
        <f t="shared" ca="1" si="94"/>
        <v>0</v>
      </c>
      <c r="I34" s="1022">
        <f t="shared" ca="1" si="94"/>
        <v>0</v>
      </c>
      <c r="J34" s="1022">
        <f t="shared" ca="1" si="94"/>
        <v>0</v>
      </c>
      <c r="K34" s="1022">
        <f t="shared" ca="1" si="94"/>
        <v>0</v>
      </c>
      <c r="L34" s="1022">
        <f t="shared" ca="1" si="94"/>
        <v>0</v>
      </c>
      <c r="M34" s="1022">
        <f t="shared" ca="1" si="94"/>
        <v>0</v>
      </c>
      <c r="N34" s="1022">
        <f t="shared" ca="1" si="94"/>
        <v>0</v>
      </c>
      <c r="O34" s="1022">
        <f t="shared" ca="1" si="94"/>
        <v>0</v>
      </c>
      <c r="P34" s="1022">
        <f t="shared" ca="1" si="94"/>
        <v>0</v>
      </c>
      <c r="Q34" s="1020">
        <f ca="1">SUM(G34:P34)</f>
        <v>0</v>
      </c>
      <c r="S34" s="1031">
        <f t="shared" ref="S34:BE34" ca="1" si="95">IFERROR(INDEX(INDIRECT($C34&amp;".Outputs["&amp;this.Year&amp;"]"), MATCH(S$5, INDIRECT($C34&amp;".Outputs[Vector]"), 0)), 0)</f>
        <v>0</v>
      </c>
      <c r="T34" s="1031">
        <f t="shared" ca="1" si="95"/>
        <v>0</v>
      </c>
      <c r="U34" s="1031">
        <f t="shared" ca="1" si="95"/>
        <v>0</v>
      </c>
      <c r="V34" s="1031">
        <f t="shared" ca="1" si="95"/>
        <v>0</v>
      </c>
      <c r="W34" s="1031">
        <f t="shared" ca="1" si="95"/>
        <v>0</v>
      </c>
      <c r="X34" s="1031">
        <f ca="1">IFERROR(INDEX(INDIRECT($C34&amp;".Outputs["&amp;this.Year&amp;"]"), MATCH(X$5, INDIRECT($C34&amp;".Outputs[Vector]"), 0)), 0)</f>
        <v>0</v>
      </c>
      <c r="Y34" s="1031">
        <f ca="1">IFERROR(INDEX(INDIRECT($C34&amp;".Outputs["&amp;this.Year&amp;"]"), MATCH(Y$5, INDIRECT($C34&amp;".Outputs[Vector]"), 0)), 0)</f>
        <v>0</v>
      </c>
      <c r="Z34" s="1031">
        <f ca="1">IFERROR(INDEX(INDIRECT($C34&amp;".Outputs["&amp;this.Year&amp;"]"), MATCH(Z$5, INDIRECT($C34&amp;".Outputs[Vector]"), 0)), 0)</f>
        <v>0</v>
      </c>
      <c r="AA34" s="1031">
        <f t="shared" ca="1" si="95"/>
        <v>0</v>
      </c>
      <c r="AB34" s="1031">
        <f t="shared" ca="1" si="95"/>
        <v>0</v>
      </c>
      <c r="AC34" s="1031">
        <f t="shared" ca="1" si="95"/>
        <v>0</v>
      </c>
      <c r="AD34" s="1031">
        <f t="shared" ca="1" si="95"/>
        <v>0</v>
      </c>
      <c r="AE34" s="1031">
        <f t="shared" ca="1" si="95"/>
        <v>0</v>
      </c>
      <c r="AF34" s="1031">
        <f t="shared" ca="1" si="95"/>
        <v>0</v>
      </c>
      <c r="AG34" s="1031">
        <f t="shared" ca="1" si="95"/>
        <v>0</v>
      </c>
      <c r="AH34" s="1031">
        <f t="shared" ca="1" si="95"/>
        <v>0</v>
      </c>
      <c r="AI34" s="1031">
        <f t="shared" ca="1" si="95"/>
        <v>0</v>
      </c>
      <c r="AJ34" s="1031">
        <f t="shared" ca="1" si="95"/>
        <v>0</v>
      </c>
      <c r="AK34" s="1030">
        <f ca="1">SUM(S34:AJ34)</f>
        <v>0</v>
      </c>
      <c r="AM34" s="1042">
        <f t="shared" ref="AM34:AU34" ca="1" si="96">IFERROR(INDEX(INDIRECT($C34&amp;".Outputs["&amp;this.Year&amp;"]"), MATCH(AM$5, INDIRECT($C34&amp;".Outputs[Vector]"), 0)), 0)</f>
        <v>0</v>
      </c>
      <c r="AN34" s="1042">
        <f t="shared" ca="1" si="96"/>
        <v>0</v>
      </c>
      <c r="AO34" s="1042">
        <f t="shared" ca="1" si="96"/>
        <v>0</v>
      </c>
      <c r="AP34" s="1042">
        <f t="shared" ca="1" si="96"/>
        <v>0</v>
      </c>
      <c r="AQ34" s="1042">
        <f t="shared" ca="1" si="96"/>
        <v>0</v>
      </c>
      <c r="AR34" s="1042">
        <f t="shared" ca="1" si="96"/>
        <v>0</v>
      </c>
      <c r="AS34" s="1042">
        <f t="shared" ca="1" si="96"/>
        <v>0</v>
      </c>
      <c r="AT34" s="1042">
        <f t="shared" ca="1" si="96"/>
        <v>0</v>
      </c>
      <c r="AU34" s="1042">
        <f t="shared" ca="1" si="96"/>
        <v>0</v>
      </c>
      <c r="AV34" s="1042">
        <f t="shared" ca="1" si="95"/>
        <v>0</v>
      </c>
      <c r="AW34" s="1042">
        <f t="shared" ca="1" si="95"/>
        <v>0</v>
      </c>
      <c r="AX34" s="1042">
        <f t="shared" ca="1" si="95"/>
        <v>0</v>
      </c>
      <c r="AY34" s="1042">
        <f t="shared" ca="1" si="95"/>
        <v>0</v>
      </c>
      <c r="AZ34" s="1042">
        <f t="shared" ca="1" si="95"/>
        <v>0</v>
      </c>
      <c r="BA34" s="1042">
        <f t="shared" ca="1" si="95"/>
        <v>0</v>
      </c>
      <c r="BB34" s="1042">
        <f t="shared" ca="1" si="95"/>
        <v>0</v>
      </c>
      <c r="BC34" s="1042">
        <f t="shared" ca="1" si="95"/>
        <v>0</v>
      </c>
      <c r="BD34" s="1042">
        <f t="shared" ca="1" si="95"/>
        <v>0</v>
      </c>
      <c r="BE34" s="1042">
        <f t="shared" ca="1" si="95"/>
        <v>0</v>
      </c>
      <c r="BF34" s="1012">
        <f ca="1">SUM(AM34:BE34)</f>
        <v>0</v>
      </c>
      <c r="BH34" s="1036">
        <f ca="1">IFERROR(INDEX(INDIRECT($C34&amp;".Outputs["&amp;this.Year&amp;"]"), MATCH(BH$5, INDIRECT($C34&amp;".Outputs[Vector]"), 0)), 0)</f>
        <v>0</v>
      </c>
      <c r="BI34" s="1036">
        <f ca="1">IFERROR(INDEX(INDIRECT($C34&amp;".Outputs["&amp;this.Year&amp;"]"), MATCH(BI$5, INDIRECT($C34&amp;".Outputs[Vector]"), 0)), 0)</f>
        <v>0</v>
      </c>
      <c r="BJ34" s="1035">
        <f ca="1">SUM(BH34:BI34)</f>
        <v>0</v>
      </c>
      <c r="BL34" s="814">
        <f t="shared" ca="1" si="9"/>
        <v>0</v>
      </c>
      <c r="BM34" s="814"/>
      <c r="BN34" s="840"/>
      <c r="BO34" s="1485">
        <f t="shared" ref="BO34:DF34" ca="1" si="97">IFERROR(SUMIFS(INDIRECT($C34&amp;".Emissions["&amp;this.Year&amp;"]"), INDIRECT($C34&amp;".Emissions[GHG]"), BO$6, INDIRECT($C34&amp;".Emissions[IPCC Sector]"), BO$5),0)</f>
        <v>0</v>
      </c>
      <c r="BP34" s="1486">
        <f t="shared" ca="1" si="97"/>
        <v>0</v>
      </c>
      <c r="BQ34" s="1486">
        <f t="shared" ca="1" si="97"/>
        <v>0</v>
      </c>
      <c r="BR34" s="1486">
        <f t="shared" ca="1" si="97"/>
        <v>0</v>
      </c>
      <c r="BS34" s="1486">
        <f t="shared" ca="1" si="97"/>
        <v>0</v>
      </c>
      <c r="BT34" s="1486">
        <f t="shared" ca="1" si="97"/>
        <v>0</v>
      </c>
      <c r="BU34" s="1486">
        <f t="shared" ca="1" si="97"/>
        <v>0</v>
      </c>
      <c r="BV34" s="1486">
        <f t="shared" ca="1" si="97"/>
        <v>0</v>
      </c>
      <c r="BW34" s="1486">
        <f t="shared" ca="1" si="97"/>
        <v>0</v>
      </c>
      <c r="BX34" s="1486">
        <f t="shared" ca="1" si="97"/>
        <v>0</v>
      </c>
      <c r="BY34" s="1486">
        <f t="shared" ca="1" si="97"/>
        <v>0</v>
      </c>
      <c r="BZ34" s="1486">
        <f t="shared" ca="1" si="97"/>
        <v>0</v>
      </c>
      <c r="CA34" s="1486">
        <f t="shared" ca="1" si="97"/>
        <v>0</v>
      </c>
      <c r="CB34" s="1486">
        <f t="shared" ca="1" si="97"/>
        <v>0</v>
      </c>
      <c r="CC34" s="1486">
        <f t="shared" ca="1" si="97"/>
        <v>0</v>
      </c>
      <c r="CD34" s="1486">
        <f t="shared" ca="1" si="97"/>
        <v>0</v>
      </c>
      <c r="CE34" s="1486">
        <f t="shared" ca="1" si="97"/>
        <v>0</v>
      </c>
      <c r="CF34" s="1486">
        <f t="shared" ca="1" si="97"/>
        <v>0</v>
      </c>
      <c r="CG34" s="1486">
        <f t="shared" ca="1" si="97"/>
        <v>0</v>
      </c>
      <c r="CH34" s="1486">
        <f t="shared" ca="1" si="97"/>
        <v>0</v>
      </c>
      <c r="CI34" s="1486">
        <f t="shared" ca="1" si="97"/>
        <v>0</v>
      </c>
      <c r="CJ34" s="1486">
        <f t="shared" ca="1" si="97"/>
        <v>0</v>
      </c>
      <c r="CK34" s="1486">
        <f t="shared" ca="1" si="97"/>
        <v>0</v>
      </c>
      <c r="CL34" s="1486">
        <f t="shared" ca="1" si="97"/>
        <v>0</v>
      </c>
      <c r="CM34" s="1486">
        <f t="shared" ca="1" si="97"/>
        <v>0</v>
      </c>
      <c r="CN34" s="1486">
        <f t="shared" ca="1" si="97"/>
        <v>0</v>
      </c>
      <c r="CO34" s="1486">
        <f t="shared" ca="1" si="97"/>
        <v>0</v>
      </c>
      <c r="CP34" s="1486">
        <f t="shared" ca="1" si="97"/>
        <v>0</v>
      </c>
      <c r="CQ34" s="1486">
        <f t="shared" ca="1" si="97"/>
        <v>0</v>
      </c>
      <c r="CR34" s="1486">
        <f t="shared" ca="1" si="97"/>
        <v>0</v>
      </c>
      <c r="CS34" s="1486">
        <f t="shared" ca="1" si="97"/>
        <v>0</v>
      </c>
      <c r="CT34" s="1486">
        <f t="shared" ca="1" si="97"/>
        <v>0</v>
      </c>
      <c r="CU34" s="1486">
        <f t="shared" ca="1" si="97"/>
        <v>0</v>
      </c>
      <c r="CV34" s="1486">
        <f t="shared" ca="1" si="97"/>
        <v>0</v>
      </c>
      <c r="CW34" s="1486">
        <f t="shared" ca="1" si="97"/>
        <v>0</v>
      </c>
      <c r="CX34" s="1486">
        <f t="shared" ca="1" si="97"/>
        <v>0</v>
      </c>
      <c r="CY34" s="1486">
        <f t="shared" ca="1" si="97"/>
        <v>0</v>
      </c>
      <c r="CZ34" s="1486">
        <f t="shared" ca="1" si="97"/>
        <v>0</v>
      </c>
      <c r="DA34" s="1486">
        <f t="shared" ca="1" si="97"/>
        <v>0</v>
      </c>
      <c r="DB34" s="1486">
        <f t="shared" ca="1" si="97"/>
        <v>0</v>
      </c>
      <c r="DC34" s="1486">
        <f t="shared" ca="1" si="97"/>
        <v>0</v>
      </c>
      <c r="DD34" s="1486">
        <f t="shared" ca="1" si="97"/>
        <v>0</v>
      </c>
      <c r="DE34" s="1486">
        <f t="shared" ca="1" si="97"/>
        <v>0</v>
      </c>
      <c r="DF34" s="1486">
        <f t="shared" ca="1" si="97"/>
        <v>0</v>
      </c>
      <c r="DH34" s="838">
        <f t="shared" ca="1" si="36"/>
        <v>0</v>
      </c>
    </row>
    <row r="35" spans="1:112" s="743" customFormat="1" ht="15.75" collapsed="1">
      <c r="A35" s="22"/>
      <c r="B35" s="753"/>
      <c r="C35" s="744" t="s">
        <v>680</v>
      </c>
      <c r="D35" s="517" t="str">
        <f>INDEX(Workstreams[Workstream], MATCH($C35, Workstreams[Code], 0))</f>
        <v>Food consumption [UNUSED]</v>
      </c>
      <c r="E35" s="512"/>
      <c r="G35" s="1021">
        <f ca="1">G34</f>
        <v>0</v>
      </c>
      <c r="H35" s="1021">
        <f t="shared" ref="H35:P35" ca="1" si="98">H34</f>
        <v>0</v>
      </c>
      <c r="I35" s="1021">
        <f t="shared" ca="1" si="98"/>
        <v>0</v>
      </c>
      <c r="J35" s="1021">
        <f t="shared" ca="1" si="98"/>
        <v>0</v>
      </c>
      <c r="K35" s="1021">
        <f t="shared" ca="1" si="98"/>
        <v>0</v>
      </c>
      <c r="L35" s="1021">
        <f t="shared" ca="1" si="98"/>
        <v>0</v>
      </c>
      <c r="M35" s="1021">
        <f t="shared" ca="1" si="98"/>
        <v>0</v>
      </c>
      <c r="N35" s="1021">
        <f t="shared" ca="1" si="98"/>
        <v>0</v>
      </c>
      <c r="O35" s="1021">
        <f t="shared" ca="1" si="98"/>
        <v>0</v>
      </c>
      <c r="P35" s="1021">
        <f t="shared" ca="1" si="98"/>
        <v>0</v>
      </c>
      <c r="Q35" s="1021">
        <f ca="1">SUM(G35:P35)</f>
        <v>0</v>
      </c>
      <c r="S35" s="970">
        <f ca="1">S34</f>
        <v>0</v>
      </c>
      <c r="T35" s="970">
        <f t="shared" ref="T35:AJ35" ca="1" si="99">T34</f>
        <v>0</v>
      </c>
      <c r="U35" s="970">
        <f t="shared" ca="1" si="99"/>
        <v>0</v>
      </c>
      <c r="V35" s="970">
        <f t="shared" ca="1" si="99"/>
        <v>0</v>
      </c>
      <c r="W35" s="970">
        <f t="shared" ca="1" si="99"/>
        <v>0</v>
      </c>
      <c r="X35" s="970">
        <f ca="1">X34</f>
        <v>0</v>
      </c>
      <c r="Y35" s="970">
        <f ca="1">Y34</f>
        <v>0</v>
      </c>
      <c r="Z35" s="970">
        <f ca="1">Z34</f>
        <v>0</v>
      </c>
      <c r="AA35" s="970">
        <f t="shared" ca="1" si="99"/>
        <v>0</v>
      </c>
      <c r="AB35" s="970">
        <f t="shared" ca="1" si="99"/>
        <v>0</v>
      </c>
      <c r="AC35" s="970">
        <f t="shared" ca="1" si="99"/>
        <v>0</v>
      </c>
      <c r="AD35" s="970">
        <f ca="1">AD34</f>
        <v>0</v>
      </c>
      <c r="AE35" s="970">
        <f ca="1">AE34</f>
        <v>0</v>
      </c>
      <c r="AF35" s="970">
        <f t="shared" ca="1" si="99"/>
        <v>0</v>
      </c>
      <c r="AG35" s="970">
        <f ca="1">AG34</f>
        <v>0</v>
      </c>
      <c r="AH35" s="970">
        <f ca="1">AH34</f>
        <v>0</v>
      </c>
      <c r="AI35" s="970">
        <f ca="1">AI34</f>
        <v>0</v>
      </c>
      <c r="AJ35" s="970">
        <f t="shared" ca="1" si="99"/>
        <v>0</v>
      </c>
      <c r="AK35" s="970">
        <f ca="1">SUM(S35:AJ35)</f>
        <v>0</v>
      </c>
      <c r="AM35" s="976">
        <f t="shared" ref="AM35:BE35" ca="1" si="100">AM34</f>
        <v>0</v>
      </c>
      <c r="AN35" s="976">
        <f t="shared" ca="1" si="100"/>
        <v>0</v>
      </c>
      <c r="AO35" s="976">
        <f t="shared" ca="1" si="100"/>
        <v>0</v>
      </c>
      <c r="AP35" s="976">
        <f t="shared" ca="1" si="100"/>
        <v>0</v>
      </c>
      <c r="AQ35" s="976">
        <f t="shared" ca="1" si="100"/>
        <v>0</v>
      </c>
      <c r="AR35" s="976">
        <f t="shared" ca="1" si="100"/>
        <v>0</v>
      </c>
      <c r="AS35" s="976">
        <f t="shared" ca="1" si="100"/>
        <v>0</v>
      </c>
      <c r="AT35" s="976">
        <f t="shared" ca="1" si="100"/>
        <v>0</v>
      </c>
      <c r="AU35" s="976">
        <f t="shared" ca="1" si="100"/>
        <v>0</v>
      </c>
      <c r="AV35" s="976">
        <f t="shared" ca="1" si="100"/>
        <v>0</v>
      </c>
      <c r="AW35" s="976">
        <f t="shared" ca="1" si="100"/>
        <v>0</v>
      </c>
      <c r="AX35" s="976">
        <f t="shared" ca="1" si="100"/>
        <v>0</v>
      </c>
      <c r="AY35" s="976">
        <f t="shared" ca="1" si="100"/>
        <v>0</v>
      </c>
      <c r="AZ35" s="976">
        <f t="shared" ca="1" si="100"/>
        <v>0</v>
      </c>
      <c r="BA35" s="976">
        <f t="shared" ca="1" si="100"/>
        <v>0</v>
      </c>
      <c r="BB35" s="976">
        <f t="shared" ca="1" si="100"/>
        <v>0</v>
      </c>
      <c r="BC35" s="976">
        <f t="shared" ca="1" si="100"/>
        <v>0</v>
      </c>
      <c r="BD35" s="976">
        <f t="shared" ca="1" si="100"/>
        <v>0</v>
      </c>
      <c r="BE35" s="976">
        <f t="shared" ca="1" si="100"/>
        <v>0</v>
      </c>
      <c r="BF35" s="976">
        <f ca="1">SUM(AM35:BE35)</f>
        <v>0</v>
      </c>
      <c r="BH35" s="990">
        <f ca="1">BH34</f>
        <v>0</v>
      </c>
      <c r="BI35" s="990">
        <f ca="1">BI34</f>
        <v>0</v>
      </c>
      <c r="BJ35" s="990">
        <f ca="1">SUM(BH35:BI35)</f>
        <v>0</v>
      </c>
      <c r="BL35" s="515">
        <f t="shared" ca="1" si="9"/>
        <v>0</v>
      </c>
      <c r="BM35" s="515"/>
      <c r="BN35" s="840"/>
      <c r="BO35" s="1482">
        <f t="shared" ref="BO35:DF35" ca="1" si="101">BO34</f>
        <v>0</v>
      </c>
      <c r="BP35" s="1482">
        <f t="shared" ca="1" si="101"/>
        <v>0</v>
      </c>
      <c r="BQ35" s="1482">
        <f t="shared" ca="1" si="101"/>
        <v>0</v>
      </c>
      <c r="BR35" s="1482">
        <f t="shared" ca="1" si="101"/>
        <v>0</v>
      </c>
      <c r="BS35" s="1482">
        <f t="shared" ca="1" si="101"/>
        <v>0</v>
      </c>
      <c r="BT35" s="1482">
        <f t="shared" ca="1" si="101"/>
        <v>0</v>
      </c>
      <c r="BU35" s="1482">
        <f t="shared" ca="1" si="101"/>
        <v>0</v>
      </c>
      <c r="BV35" s="1482">
        <f t="shared" ca="1" si="101"/>
        <v>0</v>
      </c>
      <c r="BW35" s="1482">
        <f t="shared" ca="1" si="101"/>
        <v>0</v>
      </c>
      <c r="BX35" s="1482">
        <f t="shared" ca="1" si="101"/>
        <v>0</v>
      </c>
      <c r="BY35" s="1482">
        <f t="shared" ca="1" si="101"/>
        <v>0</v>
      </c>
      <c r="BZ35" s="1482">
        <f t="shared" ca="1" si="101"/>
        <v>0</v>
      </c>
      <c r="CA35" s="1482">
        <f t="shared" ca="1" si="101"/>
        <v>0</v>
      </c>
      <c r="CB35" s="1482">
        <f t="shared" ca="1" si="101"/>
        <v>0</v>
      </c>
      <c r="CC35" s="1482">
        <f t="shared" ca="1" si="101"/>
        <v>0</v>
      </c>
      <c r="CD35" s="1482">
        <f t="shared" ca="1" si="101"/>
        <v>0</v>
      </c>
      <c r="CE35" s="1482">
        <f t="shared" ca="1" si="101"/>
        <v>0</v>
      </c>
      <c r="CF35" s="1482">
        <f t="shared" ca="1" si="101"/>
        <v>0</v>
      </c>
      <c r="CG35" s="1482">
        <f t="shared" ca="1" si="101"/>
        <v>0</v>
      </c>
      <c r="CH35" s="1482">
        <f t="shared" ca="1" si="101"/>
        <v>0</v>
      </c>
      <c r="CI35" s="1482">
        <f t="shared" ca="1" si="101"/>
        <v>0</v>
      </c>
      <c r="CJ35" s="1482">
        <f t="shared" ca="1" si="101"/>
        <v>0</v>
      </c>
      <c r="CK35" s="1482">
        <f t="shared" ca="1" si="101"/>
        <v>0</v>
      </c>
      <c r="CL35" s="1482">
        <f t="shared" ca="1" si="101"/>
        <v>0</v>
      </c>
      <c r="CM35" s="1482">
        <f t="shared" ca="1" si="101"/>
        <v>0</v>
      </c>
      <c r="CN35" s="1482">
        <f t="shared" ca="1" si="101"/>
        <v>0</v>
      </c>
      <c r="CO35" s="1482">
        <f t="shared" ca="1" si="101"/>
        <v>0</v>
      </c>
      <c r="CP35" s="1482">
        <f t="shared" ca="1" si="101"/>
        <v>0</v>
      </c>
      <c r="CQ35" s="1482">
        <f t="shared" ca="1" si="101"/>
        <v>0</v>
      </c>
      <c r="CR35" s="1482">
        <f t="shared" ca="1" si="101"/>
        <v>0</v>
      </c>
      <c r="CS35" s="1482">
        <f t="shared" ca="1" si="101"/>
        <v>0</v>
      </c>
      <c r="CT35" s="1482">
        <f t="shared" ca="1" si="101"/>
        <v>0</v>
      </c>
      <c r="CU35" s="1482">
        <f t="shared" ca="1" si="101"/>
        <v>0</v>
      </c>
      <c r="CV35" s="1482">
        <f t="shared" ca="1" si="101"/>
        <v>0</v>
      </c>
      <c r="CW35" s="1482">
        <f t="shared" ca="1" si="101"/>
        <v>0</v>
      </c>
      <c r="CX35" s="1482">
        <f t="shared" ca="1" si="101"/>
        <v>0</v>
      </c>
      <c r="CY35" s="1482">
        <f t="shared" ca="1" si="101"/>
        <v>0</v>
      </c>
      <c r="CZ35" s="1482">
        <f t="shared" ca="1" si="101"/>
        <v>0</v>
      </c>
      <c r="DA35" s="1482">
        <f t="shared" ca="1" si="101"/>
        <v>0</v>
      </c>
      <c r="DB35" s="1482">
        <f t="shared" ca="1" si="101"/>
        <v>0</v>
      </c>
      <c r="DC35" s="1482">
        <f t="shared" ca="1" si="101"/>
        <v>0</v>
      </c>
      <c r="DD35" s="1482">
        <f t="shared" ca="1" si="101"/>
        <v>0</v>
      </c>
      <c r="DE35" s="1482">
        <f t="shared" ca="1" si="101"/>
        <v>0</v>
      </c>
      <c r="DF35" s="1482">
        <f t="shared" ca="1" si="101"/>
        <v>0</v>
      </c>
      <c r="DH35" s="838">
        <f t="shared" ca="1" si="36"/>
        <v>0</v>
      </c>
    </row>
    <row r="36" spans="1:112" s="743" customFormat="1" ht="12.75" hidden="1" customHeight="1" outlineLevel="1">
      <c r="A36" s="22"/>
      <c r="B36" s="22"/>
      <c r="C36" s="751"/>
      <c r="D36" s="512"/>
      <c r="E36" s="512"/>
      <c r="G36" s="1021"/>
      <c r="H36" s="1021"/>
      <c r="I36" s="1021"/>
      <c r="J36" s="1021"/>
      <c r="K36" s="1021"/>
      <c r="L36" s="1021"/>
      <c r="M36" s="1021"/>
      <c r="N36" s="1021"/>
      <c r="O36" s="1021"/>
      <c r="P36" s="1021"/>
      <c r="Q36" s="1021"/>
      <c r="S36" s="970"/>
      <c r="T36" s="970"/>
      <c r="U36" s="970"/>
      <c r="V36" s="970"/>
      <c r="W36" s="970"/>
      <c r="X36" s="970"/>
      <c r="Y36" s="970"/>
      <c r="Z36" s="970"/>
      <c r="AA36" s="970"/>
      <c r="AB36" s="970"/>
      <c r="AC36" s="970"/>
      <c r="AD36" s="970"/>
      <c r="AE36" s="970"/>
      <c r="AF36" s="970"/>
      <c r="AG36" s="970"/>
      <c r="AH36" s="970"/>
      <c r="AI36" s="970"/>
      <c r="AJ36" s="970"/>
      <c r="AK36" s="970"/>
      <c r="AM36" s="976"/>
      <c r="AN36" s="976"/>
      <c r="AO36" s="976"/>
      <c r="AP36" s="976"/>
      <c r="AQ36" s="976"/>
      <c r="AR36" s="976"/>
      <c r="AS36" s="976"/>
      <c r="AT36" s="976"/>
      <c r="AU36" s="976"/>
      <c r="AV36" s="976"/>
      <c r="AW36" s="976"/>
      <c r="AX36" s="976"/>
      <c r="AY36" s="976"/>
      <c r="AZ36" s="976"/>
      <c r="BA36" s="976"/>
      <c r="BB36" s="976"/>
      <c r="BC36" s="976"/>
      <c r="BD36" s="976"/>
      <c r="BE36" s="976"/>
      <c r="BF36" s="976"/>
      <c r="BH36" s="990"/>
      <c r="BI36" s="990"/>
      <c r="BJ36" s="990"/>
      <c r="BL36" s="515">
        <f t="shared" si="9"/>
        <v>0</v>
      </c>
      <c r="BM36" s="515"/>
      <c r="BN36" s="22"/>
      <c r="BO36" s="1481"/>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H36" s="838">
        <f t="shared" si="36"/>
        <v>0</v>
      </c>
    </row>
    <row r="37" spans="1:112" s="743" customFormat="1" ht="12.75" hidden="1" customHeight="1" outlineLevel="1">
      <c r="A37" s="1484"/>
      <c r="B37" s="1484"/>
      <c r="C37" s="746" t="s">
        <v>962</v>
      </c>
      <c r="D37" s="1010" t="str">
        <f>INDEX(Modules[Module], MATCH($C37, Modules[Code], 0))</f>
        <v>Geosequestration</v>
      </c>
      <c r="E37" s="1010"/>
      <c r="G37" s="1022">
        <f t="shared" ref="G37:P37" ca="1" si="102">IFERROR(INDEX(INDIRECT($C37&amp;".Outputs["&amp;this.Year&amp;"]"), MATCH(G$5, INDIRECT($C37&amp;".Outputs[Vector]"), 0)), 0)</f>
        <v>0</v>
      </c>
      <c r="H37" s="1022">
        <f t="shared" ca="1" si="102"/>
        <v>0</v>
      </c>
      <c r="I37" s="1022">
        <f t="shared" ca="1" si="102"/>
        <v>0</v>
      </c>
      <c r="J37" s="1022">
        <f t="shared" ca="1" si="102"/>
        <v>0</v>
      </c>
      <c r="K37" s="1022">
        <f t="shared" ca="1" si="102"/>
        <v>0</v>
      </c>
      <c r="L37" s="1022">
        <f t="shared" ca="1" si="102"/>
        <v>0</v>
      </c>
      <c r="M37" s="1022">
        <f t="shared" ca="1" si="102"/>
        <v>0</v>
      </c>
      <c r="N37" s="1022">
        <f t="shared" ca="1" si="102"/>
        <v>0</v>
      </c>
      <c r="O37" s="1022">
        <f t="shared" ca="1" si="102"/>
        <v>0</v>
      </c>
      <c r="P37" s="1022">
        <f t="shared" ca="1" si="102"/>
        <v>0</v>
      </c>
      <c r="Q37" s="1020">
        <f ca="1">SUM(G37:P37)</f>
        <v>0</v>
      </c>
      <c r="S37" s="1031">
        <f t="shared" ref="S37:BE37" ca="1" si="103">IFERROR(INDEX(INDIRECT($C37&amp;".Outputs["&amp;this.Year&amp;"]"), MATCH(S$5, INDIRECT($C37&amp;".Outputs[Vector]"), 0)), 0)</f>
        <v>0</v>
      </c>
      <c r="T37" s="1031">
        <f t="shared" ca="1" si="103"/>
        <v>0</v>
      </c>
      <c r="U37" s="1031">
        <f t="shared" ca="1" si="103"/>
        <v>0</v>
      </c>
      <c r="V37" s="1031">
        <f t="shared" ca="1" si="103"/>
        <v>0</v>
      </c>
      <c r="W37" s="1031">
        <f t="shared" ca="1" si="103"/>
        <v>0</v>
      </c>
      <c r="X37" s="1031">
        <f ca="1">IFERROR(INDEX(INDIRECT($C37&amp;".Outputs["&amp;this.Year&amp;"]"), MATCH(X$5, INDIRECT($C37&amp;".Outputs[Vector]"), 0)), 0)</f>
        <v>0</v>
      </c>
      <c r="Y37" s="1031">
        <f ca="1">IFERROR(INDEX(INDIRECT($C37&amp;".Outputs["&amp;this.Year&amp;"]"), MATCH(Y$5, INDIRECT($C37&amp;".Outputs[Vector]"), 0)), 0)</f>
        <v>0</v>
      </c>
      <c r="Z37" s="1031">
        <f ca="1">IFERROR(INDEX(INDIRECT($C37&amp;".Outputs["&amp;this.Year&amp;"]"), MATCH(Z$5, INDIRECT($C37&amp;".Outputs[Vector]"), 0)), 0)</f>
        <v>0</v>
      </c>
      <c r="AA37" s="1031">
        <f t="shared" ca="1" si="103"/>
        <v>0</v>
      </c>
      <c r="AB37" s="1031">
        <f t="shared" ca="1" si="103"/>
        <v>0</v>
      </c>
      <c r="AC37" s="1031">
        <f t="shared" ca="1" si="103"/>
        <v>0</v>
      </c>
      <c r="AD37" s="1031">
        <f t="shared" ca="1" si="103"/>
        <v>0</v>
      </c>
      <c r="AE37" s="1031">
        <f t="shared" ca="1" si="103"/>
        <v>0</v>
      </c>
      <c r="AF37" s="1031">
        <f t="shared" ca="1" si="103"/>
        <v>0</v>
      </c>
      <c r="AG37" s="1031">
        <f t="shared" ca="1" si="103"/>
        <v>0</v>
      </c>
      <c r="AH37" s="1031">
        <f t="shared" ca="1" si="103"/>
        <v>0</v>
      </c>
      <c r="AI37" s="1031">
        <f t="shared" ca="1" si="103"/>
        <v>0</v>
      </c>
      <c r="AJ37" s="1031">
        <f t="shared" ca="1" si="103"/>
        <v>0</v>
      </c>
      <c r="AK37" s="1030">
        <f ca="1">SUM(S37:AJ37)</f>
        <v>0</v>
      </c>
      <c r="AM37" s="1042">
        <f t="shared" ref="AM37:AU37" ca="1" si="104">IFERROR(INDEX(INDIRECT($C37&amp;".Outputs["&amp;this.Year&amp;"]"), MATCH(AM$5, INDIRECT($C37&amp;".Outputs[Vector]"), 0)), 0)</f>
        <v>0</v>
      </c>
      <c r="AN37" s="1042">
        <f t="shared" ca="1" si="104"/>
        <v>0</v>
      </c>
      <c r="AO37" s="1042">
        <f t="shared" ca="1" si="104"/>
        <v>0</v>
      </c>
      <c r="AP37" s="1042">
        <f t="shared" ca="1" si="104"/>
        <v>0</v>
      </c>
      <c r="AQ37" s="1042">
        <f t="shared" ca="1" si="104"/>
        <v>0</v>
      </c>
      <c r="AR37" s="1042">
        <f t="shared" ca="1" si="104"/>
        <v>0</v>
      </c>
      <c r="AS37" s="1042">
        <f t="shared" ca="1" si="104"/>
        <v>0</v>
      </c>
      <c r="AT37" s="1042">
        <f t="shared" ca="1" si="104"/>
        <v>0</v>
      </c>
      <c r="AU37" s="1042">
        <f t="shared" ca="1" si="104"/>
        <v>0</v>
      </c>
      <c r="AV37" s="1042">
        <f t="shared" ca="1" si="103"/>
        <v>0</v>
      </c>
      <c r="AW37" s="1042">
        <f t="shared" ca="1" si="103"/>
        <v>0</v>
      </c>
      <c r="AX37" s="1042">
        <f t="shared" ca="1" si="103"/>
        <v>0</v>
      </c>
      <c r="AY37" s="1042">
        <f t="shared" ca="1" si="103"/>
        <v>0</v>
      </c>
      <c r="AZ37" s="1042">
        <f t="shared" ca="1" si="103"/>
        <v>0</v>
      </c>
      <c r="BA37" s="1042">
        <f t="shared" ca="1" si="103"/>
        <v>0</v>
      </c>
      <c r="BB37" s="1042">
        <f t="shared" ca="1" si="103"/>
        <v>0</v>
      </c>
      <c r="BC37" s="1042">
        <f t="shared" ca="1" si="103"/>
        <v>0</v>
      </c>
      <c r="BD37" s="1042">
        <f t="shared" ca="1" si="103"/>
        <v>0</v>
      </c>
      <c r="BE37" s="1042">
        <f t="shared" ca="1" si="103"/>
        <v>0</v>
      </c>
      <c r="BF37" s="1012">
        <f ca="1">SUM(AM37:BE37)</f>
        <v>0</v>
      </c>
      <c r="BH37" s="1036">
        <f ca="1">IFERROR(INDEX(INDIRECT($C37&amp;".Outputs["&amp;this.Year&amp;"]"), MATCH(BH$5, INDIRECT($C37&amp;".Outputs[Vector]"), 0)), 0)</f>
        <v>0</v>
      </c>
      <c r="BI37" s="1036">
        <f ca="1">IFERROR(INDEX(INDIRECT($C37&amp;".Outputs["&amp;this.Year&amp;"]"), MATCH(BI$5, INDIRECT($C37&amp;".Outputs[Vector]"), 0)), 0)</f>
        <v>0</v>
      </c>
      <c r="BJ37" s="1035">
        <f ca="1">SUM(BH37:BI37)</f>
        <v>0</v>
      </c>
      <c r="BL37" s="814">
        <f t="shared" ca="1" si="9"/>
        <v>0</v>
      </c>
      <c r="BM37" s="814"/>
      <c r="BN37" s="840"/>
      <c r="BO37" s="1485">
        <f t="shared" ref="BO37:DF37" ca="1" si="105">IFERROR(SUMIFS(INDIRECT($C37&amp;".Emissions["&amp;this.Year&amp;"]"), INDIRECT($C37&amp;".Emissions[GHG]"), BO$6, INDIRECT($C37&amp;".Emissions[IPCC Sector]"), BO$5),0)</f>
        <v>0</v>
      </c>
      <c r="BP37" s="1486">
        <f t="shared" ca="1" si="105"/>
        <v>0</v>
      </c>
      <c r="BQ37" s="1486">
        <f t="shared" ca="1" si="105"/>
        <v>0</v>
      </c>
      <c r="BR37" s="1486">
        <f t="shared" ca="1" si="105"/>
        <v>0</v>
      </c>
      <c r="BS37" s="1486">
        <f t="shared" ca="1" si="105"/>
        <v>0</v>
      </c>
      <c r="BT37" s="1486">
        <f t="shared" ca="1" si="105"/>
        <v>0</v>
      </c>
      <c r="BU37" s="1486">
        <f t="shared" ca="1" si="105"/>
        <v>0</v>
      </c>
      <c r="BV37" s="1486">
        <f t="shared" ca="1" si="105"/>
        <v>0</v>
      </c>
      <c r="BW37" s="1486">
        <f t="shared" ca="1" si="105"/>
        <v>0</v>
      </c>
      <c r="BX37" s="1486">
        <f t="shared" ca="1" si="105"/>
        <v>0</v>
      </c>
      <c r="BY37" s="1486">
        <f t="shared" ca="1" si="105"/>
        <v>0</v>
      </c>
      <c r="BZ37" s="1486">
        <f t="shared" ca="1" si="105"/>
        <v>0</v>
      </c>
      <c r="CA37" s="1486">
        <f t="shared" ca="1" si="105"/>
        <v>0</v>
      </c>
      <c r="CB37" s="1486">
        <f t="shared" ca="1" si="105"/>
        <v>0</v>
      </c>
      <c r="CC37" s="1486">
        <f t="shared" ca="1" si="105"/>
        <v>0</v>
      </c>
      <c r="CD37" s="1486">
        <f t="shared" ca="1" si="105"/>
        <v>0</v>
      </c>
      <c r="CE37" s="1486">
        <f t="shared" ca="1" si="105"/>
        <v>0</v>
      </c>
      <c r="CF37" s="1486">
        <f t="shared" ca="1" si="105"/>
        <v>0</v>
      </c>
      <c r="CG37" s="1486">
        <f t="shared" ca="1" si="105"/>
        <v>0</v>
      </c>
      <c r="CH37" s="1486">
        <f t="shared" ca="1" si="105"/>
        <v>0</v>
      </c>
      <c r="CI37" s="1486">
        <f t="shared" ca="1" si="105"/>
        <v>0</v>
      </c>
      <c r="CJ37" s="1486">
        <f t="shared" ca="1" si="105"/>
        <v>0</v>
      </c>
      <c r="CK37" s="1486">
        <f t="shared" ca="1" si="105"/>
        <v>0</v>
      </c>
      <c r="CL37" s="1486">
        <f t="shared" ca="1" si="105"/>
        <v>0</v>
      </c>
      <c r="CM37" s="1486">
        <f t="shared" ca="1" si="105"/>
        <v>0</v>
      </c>
      <c r="CN37" s="1486">
        <f t="shared" ca="1" si="105"/>
        <v>0</v>
      </c>
      <c r="CO37" s="1486">
        <f t="shared" ca="1" si="105"/>
        <v>0</v>
      </c>
      <c r="CP37" s="1486">
        <f t="shared" ca="1" si="105"/>
        <v>0</v>
      </c>
      <c r="CQ37" s="1486">
        <f t="shared" ca="1" si="105"/>
        <v>0</v>
      </c>
      <c r="CR37" s="1486">
        <f t="shared" ca="1" si="105"/>
        <v>0</v>
      </c>
      <c r="CS37" s="1486">
        <f t="shared" ca="1" si="105"/>
        <v>0</v>
      </c>
      <c r="CT37" s="1486">
        <f t="shared" ca="1" si="105"/>
        <v>0</v>
      </c>
      <c r="CU37" s="1486">
        <f t="shared" ca="1" si="105"/>
        <v>0</v>
      </c>
      <c r="CV37" s="1486">
        <f t="shared" ca="1" si="105"/>
        <v>0</v>
      </c>
      <c r="CW37" s="1486">
        <f t="shared" ca="1" si="105"/>
        <v>0</v>
      </c>
      <c r="CX37" s="1486">
        <f t="shared" ca="1" si="105"/>
        <v>0</v>
      </c>
      <c r="CY37" s="1486">
        <f t="shared" ca="1" si="105"/>
        <v>0</v>
      </c>
      <c r="CZ37" s="1486">
        <f t="shared" ca="1" si="105"/>
        <v>0</v>
      </c>
      <c r="DA37" s="1486">
        <f t="shared" ca="1" si="105"/>
        <v>0</v>
      </c>
      <c r="DB37" s="1486">
        <f t="shared" ca="1" si="105"/>
        <v>0</v>
      </c>
      <c r="DC37" s="1486">
        <f t="shared" ca="1" si="105"/>
        <v>0</v>
      </c>
      <c r="DD37" s="1486">
        <f t="shared" ca="1" si="105"/>
        <v>0</v>
      </c>
      <c r="DE37" s="1486">
        <f t="shared" ca="1" si="105"/>
        <v>0</v>
      </c>
      <c r="DF37" s="1486">
        <f t="shared" ca="1" si="105"/>
        <v>0</v>
      </c>
      <c r="DH37" s="838">
        <f t="shared" ca="1" si="36"/>
        <v>0</v>
      </c>
    </row>
    <row r="38" spans="1:112" s="743" customFormat="1" ht="15.75" collapsed="1">
      <c r="A38" s="22"/>
      <c r="B38" s="753"/>
      <c r="C38" s="744" t="s">
        <v>675</v>
      </c>
      <c r="D38" s="517" t="str">
        <f>INDEX(Workstreams[Workstream], MATCH($C38, Workstreams[Code], 0))</f>
        <v>Geosequestration</v>
      </c>
      <c r="E38" s="512"/>
      <c r="G38" s="1021">
        <f ca="1">G37</f>
        <v>0</v>
      </c>
      <c r="H38" s="1021">
        <f t="shared" ref="H38:P38" ca="1" si="106">H37</f>
        <v>0</v>
      </c>
      <c r="I38" s="1021">
        <f t="shared" ca="1" si="106"/>
        <v>0</v>
      </c>
      <c r="J38" s="1021">
        <f t="shared" ca="1" si="106"/>
        <v>0</v>
      </c>
      <c r="K38" s="1021">
        <f t="shared" ca="1" si="106"/>
        <v>0</v>
      </c>
      <c r="L38" s="1021">
        <f t="shared" ca="1" si="106"/>
        <v>0</v>
      </c>
      <c r="M38" s="1021">
        <f t="shared" ca="1" si="106"/>
        <v>0</v>
      </c>
      <c r="N38" s="1021">
        <f t="shared" ca="1" si="106"/>
        <v>0</v>
      </c>
      <c r="O38" s="1021">
        <f t="shared" ca="1" si="106"/>
        <v>0</v>
      </c>
      <c r="P38" s="1021">
        <f t="shared" ca="1" si="106"/>
        <v>0</v>
      </c>
      <c r="Q38" s="1021">
        <f ca="1">SUM(G38:P38)</f>
        <v>0</v>
      </c>
      <c r="S38" s="970">
        <f t="shared" ref="S38:AJ38" ca="1" si="107">S37</f>
        <v>0</v>
      </c>
      <c r="T38" s="970">
        <f t="shared" ca="1" si="107"/>
        <v>0</v>
      </c>
      <c r="U38" s="970">
        <f t="shared" ca="1" si="107"/>
        <v>0</v>
      </c>
      <c r="V38" s="970">
        <f t="shared" ca="1" si="107"/>
        <v>0</v>
      </c>
      <c r="W38" s="970">
        <f t="shared" ca="1" si="107"/>
        <v>0</v>
      </c>
      <c r="X38" s="970">
        <f ca="1">X37</f>
        <v>0</v>
      </c>
      <c r="Y38" s="970">
        <f ca="1">Y37</f>
        <v>0</v>
      </c>
      <c r="Z38" s="970">
        <f ca="1">Z37</f>
        <v>0</v>
      </c>
      <c r="AA38" s="970">
        <f t="shared" ca="1" si="107"/>
        <v>0</v>
      </c>
      <c r="AB38" s="970">
        <f t="shared" ca="1" si="107"/>
        <v>0</v>
      </c>
      <c r="AC38" s="970">
        <f t="shared" ca="1" si="107"/>
        <v>0</v>
      </c>
      <c r="AD38" s="970">
        <f ca="1">AD37</f>
        <v>0</v>
      </c>
      <c r="AE38" s="970">
        <f ca="1">AE37</f>
        <v>0</v>
      </c>
      <c r="AF38" s="970">
        <f t="shared" ca="1" si="107"/>
        <v>0</v>
      </c>
      <c r="AG38" s="970">
        <f ca="1">AG37</f>
        <v>0</v>
      </c>
      <c r="AH38" s="970">
        <f ca="1">AH37</f>
        <v>0</v>
      </c>
      <c r="AI38" s="970">
        <f ca="1">AI37</f>
        <v>0</v>
      </c>
      <c r="AJ38" s="970">
        <f t="shared" ca="1" si="107"/>
        <v>0</v>
      </c>
      <c r="AK38" s="970">
        <f ca="1">SUM(S38:AJ38)</f>
        <v>0</v>
      </c>
      <c r="AM38" s="976">
        <f t="shared" ref="AM38:AS38" ca="1" si="108">AM37</f>
        <v>0</v>
      </c>
      <c r="AN38" s="976">
        <f t="shared" ca="1" si="108"/>
        <v>0</v>
      </c>
      <c r="AO38" s="976">
        <f t="shared" ca="1" si="108"/>
        <v>0</v>
      </c>
      <c r="AP38" s="976">
        <f t="shared" ca="1" si="108"/>
        <v>0</v>
      </c>
      <c r="AQ38" s="976">
        <f t="shared" ca="1" si="108"/>
        <v>0</v>
      </c>
      <c r="AR38" s="976">
        <f t="shared" ca="1" si="108"/>
        <v>0</v>
      </c>
      <c r="AS38" s="976">
        <f t="shared" ca="1" si="108"/>
        <v>0</v>
      </c>
      <c r="AT38" s="976">
        <f t="shared" ref="AT38:BE38" ca="1" si="109">AT37</f>
        <v>0</v>
      </c>
      <c r="AU38" s="976">
        <f t="shared" ca="1" si="109"/>
        <v>0</v>
      </c>
      <c r="AV38" s="976">
        <f t="shared" ca="1" si="109"/>
        <v>0</v>
      </c>
      <c r="AW38" s="976">
        <f t="shared" ca="1" si="109"/>
        <v>0</v>
      </c>
      <c r="AX38" s="976">
        <f t="shared" ca="1" si="109"/>
        <v>0</v>
      </c>
      <c r="AY38" s="976">
        <f t="shared" ca="1" si="109"/>
        <v>0</v>
      </c>
      <c r="AZ38" s="976">
        <f t="shared" ca="1" si="109"/>
        <v>0</v>
      </c>
      <c r="BA38" s="976">
        <f t="shared" ca="1" si="109"/>
        <v>0</v>
      </c>
      <c r="BB38" s="976">
        <f t="shared" ca="1" si="109"/>
        <v>0</v>
      </c>
      <c r="BC38" s="976">
        <f t="shared" ca="1" si="109"/>
        <v>0</v>
      </c>
      <c r="BD38" s="976">
        <f t="shared" ca="1" si="109"/>
        <v>0</v>
      </c>
      <c r="BE38" s="976">
        <f t="shared" ca="1" si="109"/>
        <v>0</v>
      </c>
      <c r="BF38" s="976">
        <f ca="1">SUM(AM38:BE38)</f>
        <v>0</v>
      </c>
      <c r="BH38" s="990">
        <f ca="1">BH37</f>
        <v>0</v>
      </c>
      <c r="BI38" s="990">
        <f ca="1">BI37</f>
        <v>0</v>
      </c>
      <c r="BJ38" s="990">
        <f ca="1">SUM(BH38:BI38)</f>
        <v>0</v>
      </c>
      <c r="BL38" s="515">
        <f t="shared" ca="1" si="9"/>
        <v>0</v>
      </c>
      <c r="BM38" s="515"/>
      <c r="BN38" s="840"/>
      <c r="BO38" s="1482">
        <f t="shared" ref="BO38:DF38" ca="1" si="110">BO37</f>
        <v>0</v>
      </c>
      <c r="BP38" s="1482">
        <f t="shared" ca="1" si="110"/>
        <v>0</v>
      </c>
      <c r="BQ38" s="1482">
        <f t="shared" ca="1" si="110"/>
        <v>0</v>
      </c>
      <c r="BR38" s="1482">
        <f t="shared" ca="1" si="110"/>
        <v>0</v>
      </c>
      <c r="BS38" s="1482">
        <f t="shared" ca="1" si="110"/>
        <v>0</v>
      </c>
      <c r="BT38" s="1482">
        <f t="shared" ca="1" si="110"/>
        <v>0</v>
      </c>
      <c r="BU38" s="1482">
        <f t="shared" ca="1" si="110"/>
        <v>0</v>
      </c>
      <c r="BV38" s="1482">
        <f t="shared" ca="1" si="110"/>
        <v>0</v>
      </c>
      <c r="BW38" s="1482">
        <f t="shared" ca="1" si="110"/>
        <v>0</v>
      </c>
      <c r="BX38" s="1482">
        <f t="shared" ca="1" si="110"/>
        <v>0</v>
      </c>
      <c r="BY38" s="1482">
        <f t="shared" ca="1" si="110"/>
        <v>0</v>
      </c>
      <c r="BZ38" s="1482">
        <f t="shared" ca="1" si="110"/>
        <v>0</v>
      </c>
      <c r="CA38" s="1482">
        <f t="shared" ca="1" si="110"/>
        <v>0</v>
      </c>
      <c r="CB38" s="1482">
        <f t="shared" ca="1" si="110"/>
        <v>0</v>
      </c>
      <c r="CC38" s="1482">
        <f t="shared" ca="1" si="110"/>
        <v>0</v>
      </c>
      <c r="CD38" s="1482">
        <f t="shared" ca="1" si="110"/>
        <v>0</v>
      </c>
      <c r="CE38" s="1482">
        <f t="shared" ca="1" si="110"/>
        <v>0</v>
      </c>
      <c r="CF38" s="1482">
        <f t="shared" ca="1" si="110"/>
        <v>0</v>
      </c>
      <c r="CG38" s="1482">
        <f t="shared" ca="1" si="110"/>
        <v>0</v>
      </c>
      <c r="CH38" s="1482">
        <f t="shared" ca="1" si="110"/>
        <v>0</v>
      </c>
      <c r="CI38" s="1482">
        <f t="shared" ca="1" si="110"/>
        <v>0</v>
      </c>
      <c r="CJ38" s="1482">
        <f t="shared" ca="1" si="110"/>
        <v>0</v>
      </c>
      <c r="CK38" s="1482">
        <f t="shared" ca="1" si="110"/>
        <v>0</v>
      </c>
      <c r="CL38" s="1482">
        <f t="shared" ca="1" si="110"/>
        <v>0</v>
      </c>
      <c r="CM38" s="1482">
        <f t="shared" ca="1" si="110"/>
        <v>0</v>
      </c>
      <c r="CN38" s="1482">
        <f t="shared" ca="1" si="110"/>
        <v>0</v>
      </c>
      <c r="CO38" s="1482">
        <f t="shared" ca="1" si="110"/>
        <v>0</v>
      </c>
      <c r="CP38" s="1482">
        <f t="shared" ca="1" si="110"/>
        <v>0</v>
      </c>
      <c r="CQ38" s="1482">
        <f t="shared" ca="1" si="110"/>
        <v>0</v>
      </c>
      <c r="CR38" s="1482">
        <f t="shared" ca="1" si="110"/>
        <v>0</v>
      </c>
      <c r="CS38" s="1482">
        <f t="shared" ca="1" si="110"/>
        <v>0</v>
      </c>
      <c r="CT38" s="1482">
        <f t="shared" ca="1" si="110"/>
        <v>0</v>
      </c>
      <c r="CU38" s="1482">
        <f t="shared" ca="1" si="110"/>
        <v>0</v>
      </c>
      <c r="CV38" s="1482">
        <f t="shared" ca="1" si="110"/>
        <v>0</v>
      </c>
      <c r="CW38" s="1482">
        <f t="shared" ca="1" si="110"/>
        <v>0</v>
      </c>
      <c r="CX38" s="1482">
        <f t="shared" ca="1" si="110"/>
        <v>0</v>
      </c>
      <c r="CY38" s="1482">
        <f t="shared" ca="1" si="110"/>
        <v>0</v>
      </c>
      <c r="CZ38" s="1482">
        <f t="shared" ca="1" si="110"/>
        <v>0</v>
      </c>
      <c r="DA38" s="1482">
        <f t="shared" ca="1" si="110"/>
        <v>0</v>
      </c>
      <c r="DB38" s="1482">
        <f t="shared" ca="1" si="110"/>
        <v>0</v>
      </c>
      <c r="DC38" s="1482">
        <f t="shared" ca="1" si="110"/>
        <v>0</v>
      </c>
      <c r="DD38" s="1482">
        <f t="shared" ca="1" si="110"/>
        <v>0</v>
      </c>
      <c r="DE38" s="1482">
        <f t="shared" ca="1" si="110"/>
        <v>0</v>
      </c>
      <c r="DF38" s="1482">
        <f t="shared" ca="1" si="110"/>
        <v>0</v>
      </c>
      <c r="DH38" s="838">
        <f t="shared" ca="1" si="36"/>
        <v>0</v>
      </c>
    </row>
    <row r="39" spans="1:112" s="743" customFormat="1" ht="6" customHeight="1">
      <c r="C39" s="516"/>
      <c r="D39" s="517"/>
      <c r="E39" s="509"/>
      <c r="G39" s="1021"/>
      <c r="H39" s="1021"/>
      <c r="I39" s="1021"/>
      <c r="J39" s="1021"/>
      <c r="K39" s="1021"/>
      <c r="L39" s="1021"/>
      <c r="M39" s="1021"/>
      <c r="N39" s="1021"/>
      <c r="O39" s="1021"/>
      <c r="P39" s="1021"/>
      <c r="Q39" s="1021"/>
      <c r="S39" s="970"/>
      <c r="T39" s="970"/>
      <c r="U39" s="970"/>
      <c r="V39" s="970"/>
      <c r="W39" s="970"/>
      <c r="X39" s="970"/>
      <c r="Y39" s="970"/>
      <c r="Z39" s="970"/>
      <c r="AA39" s="970"/>
      <c r="AB39" s="970"/>
      <c r="AC39" s="970"/>
      <c r="AD39" s="970"/>
      <c r="AE39" s="970"/>
      <c r="AF39" s="970"/>
      <c r="AG39" s="970"/>
      <c r="AH39" s="970"/>
      <c r="AI39" s="970"/>
      <c r="AJ39" s="970"/>
      <c r="AK39" s="970"/>
      <c r="AM39" s="976"/>
      <c r="AN39" s="976"/>
      <c r="AO39" s="976"/>
      <c r="AP39" s="976"/>
      <c r="AQ39" s="976"/>
      <c r="AR39" s="976"/>
      <c r="AS39" s="976"/>
      <c r="AT39" s="976"/>
      <c r="AU39" s="976"/>
      <c r="AV39" s="976"/>
      <c r="AW39" s="976"/>
      <c r="AX39" s="976"/>
      <c r="AY39" s="976"/>
      <c r="AZ39" s="976"/>
      <c r="BA39" s="976"/>
      <c r="BB39" s="976"/>
      <c r="BC39" s="976"/>
      <c r="BD39" s="976"/>
      <c r="BE39" s="976"/>
      <c r="BF39" s="976">
        <f>SUM(AM39:BE39)</f>
        <v>0</v>
      </c>
      <c r="BH39" s="990"/>
      <c r="BI39" s="990"/>
      <c r="BJ39" s="990"/>
      <c r="BL39" s="515">
        <f t="shared" si="9"/>
        <v>0</v>
      </c>
      <c r="BM39" s="515"/>
      <c r="BO39" s="1482"/>
      <c r="BP39" s="1482"/>
      <c r="BQ39" s="1482"/>
      <c r="BR39" s="1482"/>
      <c r="BS39" s="1482"/>
      <c r="BT39" s="1482"/>
      <c r="BU39" s="1482"/>
      <c r="BV39" s="1482"/>
      <c r="BW39" s="1482"/>
      <c r="BX39" s="1482"/>
      <c r="BY39" s="1482"/>
      <c r="BZ39" s="1482"/>
      <c r="CA39" s="1482"/>
      <c r="CB39" s="1482"/>
      <c r="CC39" s="1482"/>
      <c r="CD39" s="1482"/>
      <c r="CE39" s="1482"/>
      <c r="CF39" s="1482"/>
      <c r="CG39" s="1482"/>
      <c r="CH39" s="1482"/>
      <c r="CI39" s="1482"/>
      <c r="CJ39" s="1482"/>
      <c r="CK39" s="1482"/>
      <c r="CL39" s="1482"/>
      <c r="CM39" s="1482"/>
      <c r="CN39" s="1482"/>
      <c r="CO39" s="1482"/>
      <c r="CP39" s="1482"/>
      <c r="CQ39" s="1482"/>
      <c r="CR39" s="1482"/>
      <c r="CS39" s="1482"/>
      <c r="CT39" s="1482"/>
      <c r="CU39" s="1482"/>
      <c r="CV39" s="1482"/>
      <c r="CW39" s="1482"/>
      <c r="CX39" s="1482"/>
      <c r="CY39" s="1482"/>
      <c r="CZ39" s="1482"/>
      <c r="DA39" s="1482"/>
      <c r="DB39" s="1482"/>
      <c r="DC39" s="1482"/>
      <c r="DD39" s="1482"/>
      <c r="DE39" s="1482"/>
      <c r="DF39" s="1482"/>
      <c r="DH39" s="838"/>
    </row>
    <row r="40" spans="1:112" s="743" customFormat="1" ht="15.75">
      <c r="B40" s="753"/>
      <c r="C40" s="2051" t="s">
        <v>1815</v>
      </c>
      <c r="D40" s="643" t="s">
        <v>619</v>
      </c>
      <c r="E40" s="644"/>
      <c r="G40" s="1023">
        <f t="shared" ref="G40:Q40" ca="1" si="111">G$15+G$19+G$22+G$32+G$35+G$38</f>
        <v>700.8881433886479</v>
      </c>
      <c r="H40" s="1023">
        <f t="shared" ca="1" si="111"/>
        <v>202.8565997740406</v>
      </c>
      <c r="I40" s="1023">
        <f t="shared" ca="1" si="111"/>
        <v>447.36769538035696</v>
      </c>
      <c r="J40" s="1023">
        <f t="shared" ca="1" si="111"/>
        <v>343.16407741049431</v>
      </c>
      <c r="K40" s="1023">
        <f t="shared" ca="1" si="111"/>
        <v>15.374887113066478</v>
      </c>
      <c r="L40" s="1023">
        <f t="shared" ca="1" si="111"/>
        <v>13.860251279239513</v>
      </c>
      <c r="M40" s="1023">
        <f t="shared" ca="1" si="111"/>
        <v>23.084767495533725</v>
      </c>
      <c r="N40" s="1023">
        <f t="shared" ca="1" si="111"/>
        <v>212.09205012603269</v>
      </c>
      <c r="O40" s="1023">
        <f t="shared" ca="1" si="111"/>
        <v>93.562438336496442</v>
      </c>
      <c r="P40" s="1023">
        <f t="shared" ca="1" si="111"/>
        <v>0</v>
      </c>
      <c r="Q40" s="1023">
        <f t="shared" ca="1" si="111"/>
        <v>2052.2509103039088</v>
      </c>
      <c r="S40" s="1014">
        <f t="shared" ref="S40:AJ40" ca="1" si="112">S$15+S$19+S$22+S$32+S$35+S$38</f>
        <v>-411.44517745756781</v>
      </c>
      <c r="T40" s="1014">
        <f t="shared" ca="1" si="112"/>
        <v>0</v>
      </c>
      <c r="U40" s="1014">
        <f t="shared" ca="1" si="112"/>
        <v>-63.476693058886362</v>
      </c>
      <c r="V40" s="1014">
        <f t="shared" ca="1" si="112"/>
        <v>-778.3290203791305</v>
      </c>
      <c r="W40" s="1014">
        <f t="shared" ca="1" si="112"/>
        <v>-790.23345043322956</v>
      </c>
      <c r="X40" s="1014">
        <f ca="1">X$15+X$19+X$22+X$32+X$35+X$38</f>
        <v>0</v>
      </c>
      <c r="Y40" s="1014">
        <f ca="1">Y$15+Y$19+Y$22+Y$32+Y$35+Y$38</f>
        <v>0</v>
      </c>
      <c r="Z40" s="1014">
        <f ca="1">Z$15+Z$19+Z$22+Z$32+Z$35+Z$38</f>
        <v>0</v>
      </c>
      <c r="AA40" s="1014">
        <f t="shared" ca="1" si="112"/>
        <v>0</v>
      </c>
      <c r="AB40" s="1014">
        <f t="shared" ca="1" si="112"/>
        <v>-8.7665689750944136</v>
      </c>
      <c r="AC40" s="1014">
        <f t="shared" ca="1" si="112"/>
        <v>0</v>
      </c>
      <c r="AD40" s="1014">
        <f t="shared" ca="1" si="112"/>
        <v>0</v>
      </c>
      <c r="AE40" s="1014">
        <f t="shared" ca="1" si="112"/>
        <v>0</v>
      </c>
      <c r="AF40" s="1014">
        <f t="shared" ca="1" si="112"/>
        <v>0</v>
      </c>
      <c r="AG40" s="1014">
        <f t="shared" ca="1" si="112"/>
        <v>0</v>
      </c>
      <c r="AH40" s="1014">
        <f t="shared" ca="1" si="112"/>
        <v>0</v>
      </c>
      <c r="AI40" s="1014">
        <f t="shared" ca="1" si="112"/>
        <v>0</v>
      </c>
      <c r="AJ40" s="1014">
        <f t="shared" ca="1" si="112"/>
        <v>0</v>
      </c>
      <c r="AK40" s="1014">
        <f ca="1">SUM(S40:AJ40)</f>
        <v>-2052.2509103039088</v>
      </c>
      <c r="AM40" s="1015">
        <f t="shared" ref="AM40:BE40" ca="1" si="113">AM$15+AM$19+AM$22+AM$32+AM$35+AM$38</f>
        <v>0</v>
      </c>
      <c r="AN40" s="1015">
        <f t="shared" ca="1" si="113"/>
        <v>0</v>
      </c>
      <c r="AO40" s="1015">
        <f t="shared" ca="1" si="113"/>
        <v>0</v>
      </c>
      <c r="AP40" s="1015">
        <f t="shared" ca="1" si="113"/>
        <v>0</v>
      </c>
      <c r="AQ40" s="1015">
        <f t="shared" ca="1" si="113"/>
        <v>0</v>
      </c>
      <c r="AR40" s="1015">
        <f t="shared" ca="1" si="113"/>
        <v>0</v>
      </c>
      <c r="AS40" s="1015">
        <f t="shared" ca="1" si="113"/>
        <v>0</v>
      </c>
      <c r="AT40" s="1015">
        <f t="shared" ca="1" si="113"/>
        <v>0</v>
      </c>
      <c r="AU40" s="1015">
        <f t="shared" ca="1" si="113"/>
        <v>0</v>
      </c>
      <c r="AV40" s="1015">
        <f t="shared" ca="1" si="113"/>
        <v>0</v>
      </c>
      <c r="AW40" s="1015">
        <f t="shared" ca="1" si="113"/>
        <v>0</v>
      </c>
      <c r="AX40" s="1015">
        <f t="shared" ca="1" si="113"/>
        <v>0</v>
      </c>
      <c r="AY40" s="1015">
        <f t="shared" ca="1" si="113"/>
        <v>0</v>
      </c>
      <c r="AZ40" s="1015">
        <f t="shared" ca="1" si="113"/>
        <v>0</v>
      </c>
      <c r="BA40" s="1015">
        <f t="shared" ca="1" si="113"/>
        <v>0</v>
      </c>
      <c r="BB40" s="1015">
        <f t="shared" ca="1" si="113"/>
        <v>0</v>
      </c>
      <c r="BC40" s="1015">
        <f t="shared" ca="1" si="113"/>
        <v>0</v>
      </c>
      <c r="BD40" s="1015">
        <f t="shared" ca="1" si="113"/>
        <v>0</v>
      </c>
      <c r="BE40" s="1015">
        <f t="shared" ca="1" si="113"/>
        <v>0</v>
      </c>
      <c r="BF40" s="1015">
        <f ca="1">SUM(AM40:BE40)</f>
        <v>0</v>
      </c>
      <c r="BH40" s="1016">
        <f ca="1">BH$15+BH$19+BH$22+BH$32+BH$35+BH$38</f>
        <v>0</v>
      </c>
      <c r="BI40" s="1016">
        <f ca="1">BI$15+BI$19+BI$22+BI$32+BI$35+BI$38</f>
        <v>0</v>
      </c>
      <c r="BJ40" s="1016">
        <f ca="1">SUM(BH40:BI40)</f>
        <v>0</v>
      </c>
      <c r="BL40" s="518">
        <f t="shared" ca="1" si="9"/>
        <v>0</v>
      </c>
      <c r="BM40" s="518"/>
      <c r="BO40" s="1487">
        <f t="shared" ref="BO40:DF40" ca="1" si="114">BO$15+BO$19+BO$22+BO$32+BO$35+BO$38</f>
        <v>283.1224093210015</v>
      </c>
      <c r="BP40" s="1487">
        <f t="shared" ca="1" si="114"/>
        <v>0.49601087481782735</v>
      </c>
      <c r="BQ40" s="1487">
        <f t="shared" ca="1" si="114"/>
        <v>2.61276446479404</v>
      </c>
      <c r="BR40" s="1487">
        <f t="shared" ca="1" si="114"/>
        <v>0</v>
      </c>
      <c r="BS40" s="1487">
        <f t="shared" ca="1" si="114"/>
        <v>0</v>
      </c>
      <c r="BT40" s="1487">
        <f t="shared" ca="1" si="114"/>
        <v>0</v>
      </c>
      <c r="BU40" s="1487">
        <f t="shared" ca="1" si="114"/>
        <v>0</v>
      </c>
      <c r="BV40" s="1487">
        <f t="shared" ca="1" si="114"/>
        <v>0</v>
      </c>
      <c r="BW40" s="1487">
        <f t="shared" ca="1" si="114"/>
        <v>14.515855739932137</v>
      </c>
      <c r="BX40" s="1487">
        <f t="shared" ca="1" si="114"/>
        <v>0.11021832278886601</v>
      </c>
      <c r="BY40" s="1487">
        <f t="shared" ca="1" si="114"/>
        <v>2.7602794188710575</v>
      </c>
      <c r="BZ40" s="1487">
        <f t="shared" ca="1" si="114"/>
        <v>6.0718122413197761</v>
      </c>
      <c r="CA40" s="1487">
        <f t="shared" ca="1" si="114"/>
        <v>0</v>
      </c>
      <c r="CB40" s="1487">
        <f t="shared" ca="1" si="114"/>
        <v>0</v>
      </c>
      <c r="CC40" s="1487">
        <f t="shared" ca="1" si="114"/>
        <v>0</v>
      </c>
      <c r="CD40" s="1487">
        <f t="shared" ca="1" si="114"/>
        <v>0</v>
      </c>
      <c r="CE40" s="1487">
        <f t="shared" ca="1" si="114"/>
        <v>0</v>
      </c>
      <c r="CF40" s="1487">
        <f t="shared" ca="1" si="114"/>
        <v>0</v>
      </c>
      <c r="CG40" s="1487">
        <f t="shared" ca="1" si="114"/>
        <v>0</v>
      </c>
      <c r="CH40" s="1487">
        <f t="shared" ca="1" si="114"/>
        <v>0</v>
      </c>
      <c r="CI40" s="1487">
        <f t="shared" ca="1" si="114"/>
        <v>0</v>
      </c>
      <c r="CJ40" s="1487">
        <f t="shared" ca="1" si="114"/>
        <v>0</v>
      </c>
      <c r="CK40" s="1487">
        <f t="shared" ca="1" si="114"/>
        <v>0</v>
      </c>
      <c r="CL40" s="1487">
        <f t="shared" ca="1" si="114"/>
        <v>0</v>
      </c>
      <c r="CM40" s="1487">
        <f t="shared" ca="1" si="114"/>
        <v>0</v>
      </c>
      <c r="CN40" s="1487">
        <f t="shared" ca="1" si="114"/>
        <v>0</v>
      </c>
      <c r="CO40" s="1487">
        <f t="shared" ca="1" si="114"/>
        <v>0</v>
      </c>
      <c r="CP40" s="1487">
        <f t="shared" ca="1" si="114"/>
        <v>0</v>
      </c>
      <c r="CQ40" s="1487">
        <f t="shared" ca="1" si="114"/>
        <v>0</v>
      </c>
      <c r="CR40" s="1487">
        <f t="shared" ca="1" si="114"/>
        <v>0</v>
      </c>
      <c r="CS40" s="1487">
        <f t="shared" ca="1" si="114"/>
        <v>0</v>
      </c>
      <c r="CT40" s="1487">
        <f t="shared" ca="1" si="114"/>
        <v>0</v>
      </c>
      <c r="CU40" s="1487">
        <f t="shared" ca="1" si="114"/>
        <v>76.413622115632279</v>
      </c>
      <c r="CV40" s="1487">
        <f t="shared" ca="1" si="114"/>
        <v>9.5134657871996306E-2</v>
      </c>
      <c r="CW40" s="1487">
        <f t="shared" ca="1" si="114"/>
        <v>1.3748376402974634</v>
      </c>
      <c r="CX40" s="1487">
        <f t="shared" ca="1" si="114"/>
        <v>0</v>
      </c>
      <c r="CY40" s="1487">
        <f t="shared" ca="1" si="114"/>
        <v>0</v>
      </c>
      <c r="CZ40" s="1487">
        <f t="shared" ca="1" si="114"/>
        <v>0</v>
      </c>
      <c r="DA40" s="1487">
        <f t="shared" ca="1" si="114"/>
        <v>0</v>
      </c>
      <c r="DB40" s="1487">
        <f t="shared" ca="1" si="114"/>
        <v>0</v>
      </c>
      <c r="DC40" s="1487">
        <f t="shared" ca="1" si="114"/>
        <v>0</v>
      </c>
      <c r="DD40" s="1487">
        <f t="shared" ca="1" si="114"/>
        <v>0</v>
      </c>
      <c r="DE40" s="1487">
        <f t="shared" ca="1" si="114"/>
        <v>0</v>
      </c>
      <c r="DF40" s="1487">
        <f t="shared" ca="1" si="114"/>
        <v>0</v>
      </c>
      <c r="DH40" s="835">
        <f ca="1">SUM(BO40:DF40)</f>
        <v>387.57294479732695</v>
      </c>
    </row>
    <row r="41" spans="1:112" s="743" customFormat="1" ht="6" customHeight="1">
      <c r="C41" s="509"/>
      <c r="D41" s="509"/>
      <c r="E41" s="509"/>
      <c r="G41" s="958"/>
      <c r="H41" s="958"/>
      <c r="I41" s="958"/>
      <c r="J41" s="958"/>
      <c r="K41" s="960"/>
      <c r="L41" s="958"/>
      <c r="M41" s="958"/>
      <c r="N41" s="958"/>
      <c r="O41" s="958"/>
      <c r="P41" s="958"/>
      <c r="Q41" s="958"/>
      <c r="S41" s="970"/>
      <c r="T41" s="970"/>
      <c r="U41" s="970"/>
      <c r="V41" s="970"/>
      <c r="W41" s="970"/>
      <c r="X41" s="970"/>
      <c r="Y41" s="970"/>
      <c r="Z41" s="970"/>
      <c r="AA41" s="970"/>
      <c r="AB41" s="970"/>
      <c r="AC41" s="970"/>
      <c r="AD41" s="970"/>
      <c r="AE41" s="970"/>
      <c r="AF41" s="970"/>
      <c r="AG41" s="970"/>
      <c r="AH41" s="970"/>
      <c r="AI41" s="970"/>
      <c r="AJ41" s="970"/>
      <c r="AK41" s="970"/>
      <c r="AM41" s="976"/>
      <c r="AN41" s="976"/>
      <c r="AO41" s="976"/>
      <c r="AP41" s="976"/>
      <c r="AQ41" s="976"/>
      <c r="AR41" s="976"/>
      <c r="AS41" s="976"/>
      <c r="AT41" s="976"/>
      <c r="AU41" s="976"/>
      <c r="AV41" s="976"/>
      <c r="AW41" s="976"/>
      <c r="AX41" s="976"/>
      <c r="AY41" s="976"/>
      <c r="AZ41" s="976"/>
      <c r="BA41" s="976"/>
      <c r="BB41" s="976"/>
      <c r="BC41" s="976"/>
      <c r="BD41" s="976"/>
      <c r="BE41" s="976"/>
      <c r="BF41" s="976"/>
      <c r="BH41" s="990"/>
      <c r="BI41" s="990"/>
      <c r="BJ41" s="990"/>
      <c r="BL41" s="515">
        <f t="shared" si="9"/>
        <v>0</v>
      </c>
      <c r="BM41" s="515"/>
      <c r="BO41" s="1482"/>
      <c r="BP41" s="1482"/>
      <c r="BQ41" s="1482"/>
      <c r="BR41" s="1482"/>
      <c r="BS41" s="1482"/>
      <c r="BT41" s="1482"/>
      <c r="BU41" s="1482"/>
      <c r="BV41" s="1482"/>
      <c r="BW41" s="1482"/>
      <c r="BX41" s="1482"/>
      <c r="BY41" s="1482"/>
      <c r="BZ41" s="1482"/>
      <c r="CA41" s="1482"/>
      <c r="CB41" s="1482"/>
      <c r="CC41" s="1482"/>
      <c r="CD41" s="1482"/>
      <c r="CE41" s="1482"/>
      <c r="CF41" s="1482"/>
      <c r="CG41" s="1482"/>
      <c r="CH41" s="1482"/>
      <c r="CI41" s="1482"/>
      <c r="CJ41" s="1482"/>
      <c r="CK41" s="1482"/>
      <c r="CL41" s="1482"/>
      <c r="CM41" s="1482"/>
      <c r="CN41" s="1482"/>
      <c r="CO41" s="1482"/>
      <c r="CP41" s="1482"/>
      <c r="CQ41" s="1482"/>
      <c r="CR41" s="1482"/>
      <c r="CS41" s="1482"/>
      <c r="CT41" s="1482"/>
      <c r="CU41" s="1482"/>
      <c r="CV41" s="1482"/>
      <c r="CW41" s="1482"/>
      <c r="CX41" s="1482"/>
      <c r="CY41" s="1482"/>
      <c r="CZ41" s="1482"/>
      <c r="DA41" s="1482"/>
      <c r="DB41" s="1482"/>
      <c r="DC41" s="1482"/>
      <c r="DD41" s="1482"/>
      <c r="DE41" s="1482"/>
      <c r="DF41" s="1482"/>
      <c r="DH41" s="838"/>
    </row>
    <row r="42" spans="1:112" s="743" customFormat="1" ht="24" customHeight="1">
      <c r="C42" s="501" t="s">
        <v>72</v>
      </c>
      <c r="D42" s="501"/>
      <c r="E42" s="639"/>
      <c r="G42" s="957"/>
      <c r="H42" s="957"/>
      <c r="I42" s="957"/>
      <c r="J42" s="957"/>
      <c r="K42" s="957"/>
      <c r="L42" s="957"/>
      <c r="M42" s="957"/>
      <c r="N42" s="957"/>
      <c r="O42" s="957"/>
      <c r="P42" s="957"/>
      <c r="Q42" s="957"/>
      <c r="S42" s="969"/>
      <c r="T42" s="969"/>
      <c r="U42" s="969"/>
      <c r="V42" s="969"/>
      <c r="W42" s="969"/>
      <c r="X42" s="969"/>
      <c r="Y42" s="969"/>
      <c r="Z42" s="969"/>
      <c r="AA42" s="969"/>
      <c r="AB42" s="969"/>
      <c r="AC42" s="969"/>
      <c r="AD42" s="969"/>
      <c r="AE42" s="969"/>
      <c r="AF42" s="969"/>
      <c r="AG42" s="969"/>
      <c r="AH42" s="969"/>
      <c r="AI42" s="969"/>
      <c r="AJ42" s="969"/>
      <c r="AK42" s="969"/>
      <c r="AM42" s="975"/>
      <c r="AN42" s="975"/>
      <c r="AO42" s="975"/>
      <c r="AP42" s="975"/>
      <c r="AQ42" s="975"/>
      <c r="AR42" s="975"/>
      <c r="AS42" s="975"/>
      <c r="AT42" s="975"/>
      <c r="AU42" s="975"/>
      <c r="AV42" s="975"/>
      <c r="AW42" s="975"/>
      <c r="AX42" s="975"/>
      <c r="AY42" s="975"/>
      <c r="AZ42" s="975"/>
      <c r="BA42" s="975"/>
      <c r="BB42" s="975"/>
      <c r="BC42" s="975"/>
      <c r="BD42" s="975"/>
      <c r="BE42" s="975"/>
      <c r="BF42" s="975"/>
      <c r="BH42" s="989"/>
      <c r="BI42" s="989"/>
      <c r="BJ42" s="989"/>
      <c r="BL42" s="514">
        <f t="shared" si="9"/>
        <v>0</v>
      </c>
      <c r="BM42" s="514"/>
      <c r="BO42" s="1482"/>
      <c r="BP42" s="1482"/>
      <c r="BQ42" s="1482"/>
      <c r="BR42" s="1482"/>
      <c r="BS42" s="1482"/>
      <c r="BT42" s="1482"/>
      <c r="BU42" s="1482"/>
      <c r="BV42" s="1482"/>
      <c r="BW42" s="1482"/>
      <c r="BX42" s="1482"/>
      <c r="BY42" s="1482"/>
      <c r="BZ42" s="1482"/>
      <c r="CA42" s="1482"/>
      <c r="CB42" s="1482"/>
      <c r="CC42" s="1482"/>
      <c r="CD42" s="1482"/>
      <c r="CE42" s="1482"/>
      <c r="CF42" s="1482"/>
      <c r="CG42" s="1482"/>
      <c r="CH42" s="1482"/>
      <c r="CI42" s="1482"/>
      <c r="CJ42" s="1482"/>
      <c r="CK42" s="1482"/>
      <c r="CL42" s="1482"/>
      <c r="CM42" s="1482"/>
      <c r="CN42" s="1482"/>
      <c r="CO42" s="1482"/>
      <c r="CP42" s="1482"/>
      <c r="CQ42" s="1482"/>
      <c r="CR42" s="1482"/>
      <c r="CS42" s="1482"/>
      <c r="CT42" s="1482"/>
      <c r="CU42" s="1482"/>
      <c r="CV42" s="1482"/>
      <c r="CW42" s="1482"/>
      <c r="CX42" s="1482"/>
      <c r="CY42" s="1482"/>
      <c r="CZ42" s="1482"/>
      <c r="DA42" s="1482"/>
      <c r="DB42" s="1482"/>
      <c r="DC42" s="1482"/>
      <c r="DD42" s="1482"/>
      <c r="DE42" s="1482"/>
      <c r="DF42" s="1482"/>
      <c r="DH42" s="838"/>
    </row>
    <row r="43" spans="1:112" s="743" customFormat="1" ht="12.75" hidden="1" customHeight="1" outlineLevel="1">
      <c r="A43" s="22"/>
      <c r="B43" s="22"/>
      <c r="C43" s="751"/>
      <c r="D43" s="512"/>
      <c r="E43" s="512"/>
      <c r="G43" s="958"/>
      <c r="H43" s="958"/>
      <c r="I43" s="958"/>
      <c r="J43" s="958"/>
      <c r="K43" s="960"/>
      <c r="L43" s="958"/>
      <c r="M43" s="958"/>
      <c r="N43" s="958"/>
      <c r="O43" s="958"/>
      <c r="P43" s="958"/>
      <c r="Q43" s="958"/>
      <c r="S43" s="970"/>
      <c r="T43" s="970"/>
      <c r="U43" s="970"/>
      <c r="V43" s="970"/>
      <c r="W43" s="970"/>
      <c r="X43" s="970"/>
      <c r="Y43" s="970"/>
      <c r="Z43" s="970"/>
      <c r="AA43" s="970"/>
      <c r="AB43" s="970"/>
      <c r="AC43" s="970"/>
      <c r="AD43" s="970"/>
      <c r="AE43" s="970"/>
      <c r="AF43" s="970"/>
      <c r="AG43" s="970"/>
      <c r="AH43" s="970"/>
      <c r="AI43" s="970"/>
      <c r="AJ43" s="970"/>
      <c r="AK43" s="970"/>
      <c r="AM43" s="976"/>
      <c r="AN43" s="976"/>
      <c r="AO43" s="976"/>
      <c r="AP43" s="976"/>
      <c r="AQ43" s="976"/>
      <c r="AR43" s="976"/>
      <c r="AS43" s="976"/>
      <c r="AT43" s="976"/>
      <c r="AU43" s="976"/>
      <c r="AV43" s="976"/>
      <c r="AW43" s="976"/>
      <c r="AX43" s="976"/>
      <c r="AY43" s="976"/>
      <c r="AZ43" s="976"/>
      <c r="BA43" s="976"/>
      <c r="BB43" s="976"/>
      <c r="BC43" s="976"/>
      <c r="BD43" s="976"/>
      <c r="BE43" s="976"/>
      <c r="BF43" s="976"/>
      <c r="BH43" s="990"/>
      <c r="BI43" s="990"/>
      <c r="BJ43" s="990"/>
      <c r="BL43" s="515">
        <f t="shared" si="9"/>
        <v>0</v>
      </c>
      <c r="BM43" s="515"/>
      <c r="BN43" s="22"/>
      <c r="BO43" s="1482"/>
      <c r="BP43" s="1482"/>
      <c r="BQ43" s="1482"/>
      <c r="BR43" s="1482"/>
      <c r="BS43" s="1482"/>
      <c r="BT43" s="1482"/>
      <c r="BU43" s="1482"/>
      <c r="BV43" s="1482"/>
      <c r="BW43" s="1482"/>
      <c r="BX43" s="1482"/>
      <c r="BY43" s="1482"/>
      <c r="BZ43" s="1482"/>
      <c r="CA43" s="1482"/>
      <c r="CB43" s="1482"/>
      <c r="CC43" s="1482"/>
      <c r="CD43" s="1482"/>
      <c r="CE43" s="1482"/>
      <c r="CF43" s="1482"/>
      <c r="CG43" s="1482"/>
      <c r="CH43" s="1482"/>
      <c r="CI43" s="1482"/>
      <c r="CJ43" s="1482"/>
      <c r="CK43" s="1482"/>
      <c r="CL43" s="1482"/>
      <c r="CM43" s="1482"/>
      <c r="CN43" s="1482"/>
      <c r="CO43" s="1482"/>
      <c r="CP43" s="1482"/>
      <c r="CQ43" s="1482"/>
      <c r="CR43" s="1482"/>
      <c r="CS43" s="1482"/>
      <c r="CT43" s="1482"/>
      <c r="CU43" s="1482"/>
      <c r="CV43" s="1482"/>
      <c r="CW43" s="1482"/>
      <c r="CX43" s="1482"/>
      <c r="CY43" s="1482"/>
      <c r="CZ43" s="1482"/>
      <c r="DA43" s="1482"/>
      <c r="DB43" s="1482"/>
      <c r="DC43" s="1482"/>
      <c r="DD43" s="1482"/>
      <c r="DE43" s="1482"/>
      <c r="DF43" s="1482"/>
      <c r="DH43" s="838"/>
    </row>
    <row r="44" spans="1:112" s="1491" customFormat="1" ht="12.75" hidden="1" customHeight="1" outlineLevel="1">
      <c r="C44" s="1534" t="s">
        <v>1925</v>
      </c>
      <c r="D44" s="1535" t="s">
        <v>1926</v>
      </c>
      <c r="E44" s="1535"/>
      <c r="F44" s="1957"/>
      <c r="G44" s="1070"/>
      <c r="H44" s="1070"/>
      <c r="I44" s="1070"/>
      <c r="J44" s="1070"/>
      <c r="K44" s="1071"/>
      <c r="L44" s="1070"/>
      <c r="M44" s="1070"/>
      <c r="N44" s="1070"/>
      <c r="O44" s="1070"/>
      <c r="P44" s="1070"/>
      <c r="Q44" s="1070"/>
      <c r="R44" s="1957"/>
      <c r="S44" s="1072"/>
      <c r="T44" s="1072"/>
      <c r="U44" s="1072"/>
      <c r="V44" s="1072"/>
      <c r="W44" s="1072"/>
      <c r="X44" s="1072"/>
      <c r="Y44" s="1072"/>
      <c r="Z44" s="1072"/>
      <c r="AA44" s="1072"/>
      <c r="AB44" s="1072"/>
      <c r="AC44" s="1072"/>
      <c r="AD44" s="1072"/>
      <c r="AE44" s="1072"/>
      <c r="AF44" s="1072"/>
      <c r="AG44" s="1072"/>
      <c r="AH44" s="1072"/>
      <c r="AI44" s="1072"/>
      <c r="AJ44" s="1072">
        <f ca="1">AJ$40</f>
        <v>0</v>
      </c>
      <c r="AK44" s="1072"/>
      <c r="AL44" s="1957"/>
      <c r="AM44" s="1073"/>
      <c r="AN44" s="1073"/>
      <c r="AO44" s="1073"/>
      <c r="AP44" s="1073"/>
      <c r="AQ44" s="1073"/>
      <c r="AR44" s="1073"/>
      <c r="AS44" s="1073"/>
      <c r="AT44" s="1073"/>
      <c r="AU44" s="1073"/>
      <c r="AV44" s="1073"/>
      <c r="AW44" s="1073"/>
      <c r="AX44" s="1073"/>
      <c r="AY44" s="1073"/>
      <c r="AZ44" s="1073"/>
      <c r="BA44" s="1073"/>
      <c r="BB44" s="1073"/>
      <c r="BC44" s="1073"/>
      <c r="BD44" s="1073"/>
      <c r="BE44" s="1073"/>
      <c r="BF44" s="1073"/>
      <c r="BG44" s="1957"/>
      <c r="BH44" s="1074"/>
      <c r="BI44" s="1074"/>
      <c r="BJ44" s="1074"/>
      <c r="BK44" s="1957"/>
      <c r="BL44" s="1536">
        <f t="shared" si="9"/>
        <v>0</v>
      </c>
      <c r="BM44" s="1536"/>
      <c r="BO44" s="1963"/>
      <c r="BP44" s="1963"/>
      <c r="BQ44" s="1963"/>
      <c r="BR44" s="1963"/>
      <c r="BS44" s="1963"/>
      <c r="BT44" s="1963"/>
      <c r="BU44" s="1963"/>
      <c r="BV44" s="1963"/>
      <c r="BW44" s="1963"/>
      <c r="BX44" s="1963"/>
      <c r="BY44" s="1963"/>
      <c r="BZ44" s="1963"/>
      <c r="CA44" s="1963"/>
      <c r="CB44" s="1963"/>
      <c r="CC44" s="1963"/>
      <c r="CD44" s="1963"/>
      <c r="CE44" s="1963"/>
      <c r="CF44" s="1963"/>
      <c r="CG44" s="1963"/>
      <c r="CH44" s="1963"/>
      <c r="CI44" s="1963"/>
      <c r="CJ44" s="1963"/>
      <c r="CK44" s="1963"/>
      <c r="CL44" s="1963"/>
      <c r="CM44" s="1963"/>
      <c r="CN44" s="1963"/>
      <c r="CO44" s="1963"/>
      <c r="CP44" s="1963"/>
      <c r="CQ44" s="1963"/>
      <c r="CR44" s="1963"/>
      <c r="CS44" s="1963"/>
      <c r="CT44" s="1963"/>
      <c r="CU44" s="1963"/>
      <c r="CV44" s="1963"/>
      <c r="CW44" s="1963"/>
      <c r="CX44" s="1963"/>
      <c r="CY44" s="1963"/>
      <c r="CZ44" s="1963"/>
      <c r="DA44" s="1963"/>
      <c r="DB44" s="1963"/>
      <c r="DC44" s="1963"/>
      <c r="DD44" s="1963"/>
      <c r="DE44" s="1963"/>
      <c r="DF44" s="1963"/>
      <c r="DH44" s="1962">
        <f>SUM(BO44:DF44)</f>
        <v>0</v>
      </c>
    </row>
    <row r="45" spans="1:112" s="743" customFormat="1" ht="12.75" hidden="1" customHeight="1" outlineLevel="1">
      <c r="A45" s="22"/>
      <c r="B45" s="22"/>
      <c r="C45" s="746" t="s">
        <v>981</v>
      </c>
      <c r="D45" s="1010" t="str">
        <f>INDEX(Modules[Module], MATCH($C45, Modules[Code], 0))</f>
        <v>H2 Production</v>
      </c>
      <c r="E45" s="1069"/>
      <c r="G45" s="1022">
        <f t="shared" ref="G45:P45" ca="1" si="115">IFERROR(INDEX(INDIRECT($C45&amp;".Outputs["&amp;this.Year&amp;"]"), MATCH(G$5, INDIRECT($C45&amp;".Outputs[Vector]"), 0)), 0)</f>
        <v>0</v>
      </c>
      <c r="H45" s="1022">
        <f t="shared" ca="1" si="115"/>
        <v>0</v>
      </c>
      <c r="I45" s="1022">
        <f t="shared" ca="1" si="115"/>
        <v>0</v>
      </c>
      <c r="J45" s="1022">
        <f t="shared" ca="1" si="115"/>
        <v>0</v>
      </c>
      <c r="K45" s="1022">
        <f t="shared" ca="1" si="115"/>
        <v>0</v>
      </c>
      <c r="L45" s="1022">
        <f t="shared" ca="1" si="115"/>
        <v>0</v>
      </c>
      <c r="M45" s="1022">
        <f t="shared" ca="1" si="115"/>
        <v>0</v>
      </c>
      <c r="N45" s="1022">
        <f t="shared" ca="1" si="115"/>
        <v>0</v>
      </c>
      <c r="O45" s="1022">
        <f t="shared" ca="1" si="115"/>
        <v>0</v>
      </c>
      <c r="P45" s="1022">
        <f t="shared" ca="1" si="115"/>
        <v>0</v>
      </c>
      <c r="Q45" s="1020">
        <f ca="1">SUM(G45:P45)</f>
        <v>0</v>
      </c>
      <c r="S45" s="1031">
        <f t="shared" ref="S45:AJ45" ca="1" si="116">IFERROR(INDEX(INDIRECT($C45&amp;".Outputs["&amp;this.Year&amp;"]"), MATCH(S$5, INDIRECT($C45&amp;".Outputs[Vector]"), 0)), 0)</f>
        <v>0</v>
      </c>
      <c r="T45" s="1031">
        <f t="shared" ca="1" si="116"/>
        <v>0</v>
      </c>
      <c r="U45" s="1031">
        <f t="shared" ca="1" si="116"/>
        <v>0</v>
      </c>
      <c r="V45" s="1031">
        <f t="shared" ca="1" si="116"/>
        <v>0</v>
      </c>
      <c r="W45" s="1031">
        <f t="shared" ca="1" si="116"/>
        <v>0</v>
      </c>
      <c r="X45" s="1031">
        <f ca="1">IFERROR(INDEX(INDIRECT($C45&amp;".Outputs["&amp;this.Year&amp;"]"), MATCH(X$5, INDIRECT($C45&amp;".Outputs[Vector]"), 0)), 0)</f>
        <v>0</v>
      </c>
      <c r="Y45" s="1031">
        <f ca="1">IFERROR(INDEX(INDIRECT($C45&amp;".Outputs["&amp;this.Year&amp;"]"), MATCH(Y$5, INDIRECT($C45&amp;".Outputs[Vector]"), 0)), 0)</f>
        <v>0</v>
      </c>
      <c r="Z45" s="1031">
        <f ca="1">IFERROR(INDEX(INDIRECT($C45&amp;".Outputs["&amp;this.Year&amp;"]"), MATCH(Z$5, INDIRECT($C45&amp;".Outputs[Vector]"), 0)), 0)</f>
        <v>0</v>
      </c>
      <c r="AA45" s="1031">
        <f t="shared" ca="1" si="116"/>
        <v>0</v>
      </c>
      <c r="AB45" s="1031">
        <f t="shared" ca="1" si="116"/>
        <v>0</v>
      </c>
      <c r="AC45" s="1031">
        <f t="shared" ca="1" si="116"/>
        <v>0</v>
      </c>
      <c r="AD45" s="1031">
        <f t="shared" ca="1" si="116"/>
        <v>0</v>
      </c>
      <c r="AE45" s="1031">
        <f t="shared" ca="1" si="116"/>
        <v>0</v>
      </c>
      <c r="AF45" s="1031">
        <f t="shared" ca="1" si="116"/>
        <v>0</v>
      </c>
      <c r="AG45" s="1031">
        <f t="shared" ca="1" si="116"/>
        <v>0</v>
      </c>
      <c r="AH45" s="1031">
        <f t="shared" ca="1" si="116"/>
        <v>0</v>
      </c>
      <c r="AI45" s="1031">
        <f t="shared" ca="1" si="116"/>
        <v>0</v>
      </c>
      <c r="AJ45" s="1031">
        <f t="shared" ca="1" si="116"/>
        <v>0</v>
      </c>
      <c r="AK45" s="1030">
        <f ca="1">SUM(S45:AJ45)</f>
        <v>0</v>
      </c>
      <c r="AM45" s="1042">
        <f t="shared" ref="AM45:AU45" ca="1" si="117">IFERROR(INDEX(INDIRECT($C45&amp;".Outputs["&amp;this.Year&amp;"]"), MATCH(AM$5, INDIRECT($C45&amp;".Outputs[Vector]"), 0)), 0)</f>
        <v>0</v>
      </c>
      <c r="AN45" s="1042">
        <f t="shared" ca="1" si="117"/>
        <v>0</v>
      </c>
      <c r="AO45" s="1042">
        <f t="shared" ca="1" si="117"/>
        <v>0</v>
      </c>
      <c r="AP45" s="1042">
        <f t="shared" ca="1" si="117"/>
        <v>0</v>
      </c>
      <c r="AQ45" s="1042">
        <f t="shared" ca="1" si="117"/>
        <v>0</v>
      </c>
      <c r="AR45" s="1042">
        <f t="shared" ca="1" si="117"/>
        <v>0</v>
      </c>
      <c r="AS45" s="1042">
        <f t="shared" ca="1" si="117"/>
        <v>0</v>
      </c>
      <c r="AT45" s="1042">
        <f t="shared" ca="1" si="117"/>
        <v>0</v>
      </c>
      <c r="AU45" s="1042">
        <f t="shared" ca="1" si="117"/>
        <v>0</v>
      </c>
      <c r="AV45" s="1042">
        <f t="shared" ref="AV45:BE45" ca="1" si="118">IFERROR(INDEX(INDIRECT($C45&amp;".Outputs["&amp;this.Year&amp;"]"), MATCH(AV$5, INDIRECT($C45&amp;".Outputs[Vector]"), 0)), 0)</f>
        <v>0</v>
      </c>
      <c r="AW45" s="1042">
        <f t="shared" ca="1" si="118"/>
        <v>0</v>
      </c>
      <c r="AX45" s="1042">
        <f t="shared" ca="1" si="118"/>
        <v>0</v>
      </c>
      <c r="AY45" s="1042">
        <f t="shared" ca="1" si="118"/>
        <v>0</v>
      </c>
      <c r="AZ45" s="1042">
        <f t="shared" ca="1" si="118"/>
        <v>0</v>
      </c>
      <c r="BA45" s="1042">
        <f t="shared" ca="1" si="118"/>
        <v>0</v>
      </c>
      <c r="BB45" s="1042">
        <f t="shared" ca="1" si="118"/>
        <v>0</v>
      </c>
      <c r="BC45" s="1042">
        <f t="shared" ca="1" si="118"/>
        <v>0</v>
      </c>
      <c r="BD45" s="1042">
        <f t="shared" ca="1" si="118"/>
        <v>0</v>
      </c>
      <c r="BE45" s="1042">
        <f t="shared" ca="1" si="118"/>
        <v>0</v>
      </c>
      <c r="BF45" s="1012">
        <f ca="1">SUM(AM45:BE45)</f>
        <v>0</v>
      </c>
      <c r="BH45" s="1036">
        <f ca="1">IFERROR(INDEX(INDIRECT($C45&amp;".Outputs["&amp;this.Year&amp;"]"), MATCH(BH$5, INDIRECT($C45&amp;".Outputs[Vector]"), 0)), 0)</f>
        <v>0</v>
      </c>
      <c r="BI45" s="1036">
        <f ca="1">IFERROR(INDEX(INDIRECT($C45&amp;".Outputs["&amp;this.Year&amp;"]"), MATCH(BI$5, INDIRECT($C45&amp;".Outputs[Vector]"), 0)), 0)</f>
        <v>0</v>
      </c>
      <c r="BJ45" s="1035">
        <f ca="1">SUM(BH45:BI45)</f>
        <v>0</v>
      </c>
      <c r="BL45" s="515"/>
      <c r="BM45" s="515"/>
      <c r="BN45" s="840"/>
      <c r="BO45" s="1485">
        <f t="shared" ref="BO45:DF45" ca="1" si="119">IFERROR(SUMIFS(INDIRECT($C45&amp;".Emissions["&amp;this.Year&amp;"]"), INDIRECT($C45&amp;".Emissions[GHG]"), BO$6, INDIRECT($C45&amp;".Emissions[IPCC Sector]"), BO$5),0)</f>
        <v>0</v>
      </c>
      <c r="BP45" s="1486">
        <f t="shared" ca="1" si="119"/>
        <v>0</v>
      </c>
      <c r="BQ45" s="1486">
        <f t="shared" ca="1" si="119"/>
        <v>0</v>
      </c>
      <c r="BR45" s="1486">
        <f t="shared" ca="1" si="119"/>
        <v>0</v>
      </c>
      <c r="BS45" s="1486">
        <f t="shared" ca="1" si="119"/>
        <v>0</v>
      </c>
      <c r="BT45" s="1486">
        <f t="shared" ca="1" si="119"/>
        <v>0</v>
      </c>
      <c r="BU45" s="1486">
        <f t="shared" ca="1" si="119"/>
        <v>0</v>
      </c>
      <c r="BV45" s="1486">
        <f t="shared" ca="1" si="119"/>
        <v>0</v>
      </c>
      <c r="BW45" s="1486">
        <f t="shared" ca="1" si="119"/>
        <v>0</v>
      </c>
      <c r="BX45" s="1486">
        <f t="shared" ca="1" si="119"/>
        <v>0</v>
      </c>
      <c r="BY45" s="1486">
        <f t="shared" ca="1" si="119"/>
        <v>0</v>
      </c>
      <c r="BZ45" s="1486">
        <f t="shared" ca="1" si="119"/>
        <v>0</v>
      </c>
      <c r="CA45" s="1486">
        <f t="shared" ca="1" si="119"/>
        <v>0</v>
      </c>
      <c r="CB45" s="1486">
        <f t="shared" ca="1" si="119"/>
        <v>0</v>
      </c>
      <c r="CC45" s="1486">
        <f t="shared" ca="1" si="119"/>
        <v>0</v>
      </c>
      <c r="CD45" s="1486">
        <f t="shared" ca="1" si="119"/>
        <v>0</v>
      </c>
      <c r="CE45" s="1486">
        <f t="shared" ca="1" si="119"/>
        <v>0</v>
      </c>
      <c r="CF45" s="1486">
        <f t="shared" ca="1" si="119"/>
        <v>0</v>
      </c>
      <c r="CG45" s="1486">
        <f t="shared" ca="1" si="119"/>
        <v>0</v>
      </c>
      <c r="CH45" s="1486">
        <f t="shared" ca="1" si="119"/>
        <v>0</v>
      </c>
      <c r="CI45" s="1486">
        <f t="shared" ca="1" si="119"/>
        <v>0</v>
      </c>
      <c r="CJ45" s="1486">
        <f t="shared" ca="1" si="119"/>
        <v>0</v>
      </c>
      <c r="CK45" s="1486">
        <f t="shared" ca="1" si="119"/>
        <v>0</v>
      </c>
      <c r="CL45" s="1486">
        <f t="shared" ca="1" si="119"/>
        <v>0</v>
      </c>
      <c r="CM45" s="1486">
        <f t="shared" ca="1" si="119"/>
        <v>0</v>
      </c>
      <c r="CN45" s="1486">
        <f t="shared" ca="1" si="119"/>
        <v>0</v>
      </c>
      <c r="CO45" s="1486">
        <f t="shared" ca="1" si="119"/>
        <v>0</v>
      </c>
      <c r="CP45" s="1486">
        <f t="shared" ca="1" si="119"/>
        <v>0</v>
      </c>
      <c r="CQ45" s="1486">
        <f t="shared" ca="1" si="119"/>
        <v>0</v>
      </c>
      <c r="CR45" s="1486">
        <f t="shared" ca="1" si="119"/>
        <v>0</v>
      </c>
      <c r="CS45" s="1486">
        <f t="shared" ca="1" si="119"/>
        <v>0</v>
      </c>
      <c r="CT45" s="1486">
        <f t="shared" ca="1" si="119"/>
        <v>0</v>
      </c>
      <c r="CU45" s="1486">
        <f t="shared" ca="1" si="119"/>
        <v>0</v>
      </c>
      <c r="CV45" s="1486">
        <f t="shared" ca="1" si="119"/>
        <v>0</v>
      </c>
      <c r="CW45" s="1486">
        <f t="shared" ca="1" si="119"/>
        <v>0</v>
      </c>
      <c r="CX45" s="1486">
        <f t="shared" ca="1" si="119"/>
        <v>0</v>
      </c>
      <c r="CY45" s="1486">
        <f t="shared" ca="1" si="119"/>
        <v>0</v>
      </c>
      <c r="CZ45" s="1486">
        <f t="shared" ca="1" si="119"/>
        <v>0</v>
      </c>
      <c r="DA45" s="1486">
        <f t="shared" ca="1" si="119"/>
        <v>0</v>
      </c>
      <c r="DB45" s="1486">
        <f t="shared" ca="1" si="119"/>
        <v>0</v>
      </c>
      <c r="DC45" s="1486">
        <f t="shared" ca="1" si="119"/>
        <v>0</v>
      </c>
      <c r="DD45" s="1486">
        <f t="shared" ca="1" si="119"/>
        <v>0</v>
      </c>
      <c r="DE45" s="1486">
        <f t="shared" ca="1" si="119"/>
        <v>0</v>
      </c>
      <c r="DF45" s="1486">
        <f t="shared" ca="1" si="119"/>
        <v>0</v>
      </c>
      <c r="DH45" s="838"/>
    </row>
    <row r="46" spans="1:112" s="743" customFormat="1" ht="15.75" collapsed="1">
      <c r="A46" s="22"/>
      <c r="B46" s="753"/>
      <c r="C46" s="744" t="s">
        <v>674</v>
      </c>
      <c r="D46" s="517" t="str">
        <f>INDEX(Workstreams[Workstream], MATCH($C46, Workstreams[Code], 0))</f>
        <v>H2 Production</v>
      </c>
      <c r="E46" s="512"/>
      <c r="G46" s="1021">
        <f ca="1">G45</f>
        <v>0</v>
      </c>
      <c r="H46" s="1021">
        <f t="shared" ref="H46:P46" ca="1" si="120">H45</f>
        <v>0</v>
      </c>
      <c r="I46" s="1021">
        <f t="shared" ca="1" si="120"/>
        <v>0</v>
      </c>
      <c r="J46" s="1021">
        <f t="shared" ca="1" si="120"/>
        <v>0</v>
      </c>
      <c r="K46" s="1021">
        <f t="shared" ca="1" si="120"/>
        <v>0</v>
      </c>
      <c r="L46" s="1021">
        <f t="shared" ca="1" si="120"/>
        <v>0</v>
      </c>
      <c r="M46" s="1021">
        <f t="shared" ca="1" si="120"/>
        <v>0</v>
      </c>
      <c r="N46" s="1021">
        <f t="shared" ca="1" si="120"/>
        <v>0</v>
      </c>
      <c r="O46" s="1021">
        <f t="shared" ca="1" si="120"/>
        <v>0</v>
      </c>
      <c r="P46" s="1021">
        <f t="shared" ca="1" si="120"/>
        <v>0</v>
      </c>
      <c r="Q46" s="1021">
        <f ca="1">SUM(G46:P46)</f>
        <v>0</v>
      </c>
      <c r="S46" s="970">
        <f t="shared" ref="S46:AJ46" ca="1" si="121">S45</f>
        <v>0</v>
      </c>
      <c r="T46" s="970">
        <f t="shared" ca="1" si="121"/>
        <v>0</v>
      </c>
      <c r="U46" s="970">
        <f t="shared" ca="1" si="121"/>
        <v>0</v>
      </c>
      <c r="V46" s="970">
        <f t="shared" ca="1" si="121"/>
        <v>0</v>
      </c>
      <c r="W46" s="970">
        <f t="shared" ca="1" si="121"/>
        <v>0</v>
      </c>
      <c r="X46" s="970">
        <f t="shared" ca="1" si="121"/>
        <v>0</v>
      </c>
      <c r="Y46" s="970">
        <f t="shared" ca="1" si="121"/>
        <v>0</v>
      </c>
      <c r="Z46" s="970">
        <f t="shared" ca="1" si="121"/>
        <v>0</v>
      </c>
      <c r="AA46" s="970">
        <f t="shared" ca="1" si="121"/>
        <v>0</v>
      </c>
      <c r="AB46" s="970">
        <f t="shared" ca="1" si="121"/>
        <v>0</v>
      </c>
      <c r="AC46" s="970">
        <f t="shared" ca="1" si="121"/>
        <v>0</v>
      </c>
      <c r="AD46" s="970">
        <f ca="1">AD45</f>
        <v>0</v>
      </c>
      <c r="AE46" s="970">
        <f ca="1">AE45</f>
        <v>0</v>
      </c>
      <c r="AF46" s="970">
        <f t="shared" ca="1" si="121"/>
        <v>0</v>
      </c>
      <c r="AG46" s="970">
        <f ca="1">AG45</f>
        <v>0</v>
      </c>
      <c r="AH46" s="970">
        <f ca="1">AH45</f>
        <v>0</v>
      </c>
      <c r="AI46" s="970">
        <f ca="1">AI45</f>
        <v>0</v>
      </c>
      <c r="AJ46" s="970">
        <f t="shared" ca="1" si="121"/>
        <v>0</v>
      </c>
      <c r="AK46" s="970">
        <f ca="1">SUM(S46:AJ46)</f>
        <v>0</v>
      </c>
      <c r="AM46" s="976">
        <f ca="1">AM45</f>
        <v>0</v>
      </c>
      <c r="AN46" s="976">
        <f t="shared" ref="AN46:BE46" ca="1" si="122">AN45</f>
        <v>0</v>
      </c>
      <c r="AO46" s="976">
        <f t="shared" ca="1" si="122"/>
        <v>0</v>
      </c>
      <c r="AP46" s="976">
        <f t="shared" ca="1" si="122"/>
        <v>0</v>
      </c>
      <c r="AQ46" s="976">
        <f t="shared" ca="1" si="122"/>
        <v>0</v>
      </c>
      <c r="AR46" s="976">
        <f t="shared" ca="1" si="122"/>
        <v>0</v>
      </c>
      <c r="AS46" s="976">
        <f t="shared" ca="1" si="122"/>
        <v>0</v>
      </c>
      <c r="AT46" s="976">
        <f t="shared" ca="1" si="122"/>
        <v>0</v>
      </c>
      <c r="AU46" s="976">
        <f t="shared" ca="1" si="122"/>
        <v>0</v>
      </c>
      <c r="AV46" s="976">
        <f t="shared" ca="1" si="122"/>
        <v>0</v>
      </c>
      <c r="AW46" s="976">
        <f t="shared" ca="1" si="122"/>
        <v>0</v>
      </c>
      <c r="AX46" s="976">
        <f t="shared" ca="1" si="122"/>
        <v>0</v>
      </c>
      <c r="AY46" s="976">
        <f t="shared" ca="1" si="122"/>
        <v>0</v>
      </c>
      <c r="AZ46" s="976">
        <f t="shared" ca="1" si="122"/>
        <v>0</v>
      </c>
      <c r="BA46" s="976">
        <f t="shared" ca="1" si="122"/>
        <v>0</v>
      </c>
      <c r="BB46" s="976">
        <f t="shared" ca="1" si="122"/>
        <v>0</v>
      </c>
      <c r="BC46" s="976">
        <f t="shared" ca="1" si="122"/>
        <v>0</v>
      </c>
      <c r="BD46" s="976">
        <f t="shared" ca="1" si="122"/>
        <v>0</v>
      </c>
      <c r="BE46" s="976">
        <f t="shared" ca="1" si="122"/>
        <v>0</v>
      </c>
      <c r="BF46" s="976">
        <f ca="1">SUM(AM46:BE46)</f>
        <v>0</v>
      </c>
      <c r="BH46" s="990">
        <f ca="1">BH45</f>
        <v>0</v>
      </c>
      <c r="BI46" s="990">
        <f ca="1">BI45</f>
        <v>0</v>
      </c>
      <c r="BJ46" s="990">
        <f ca="1">SUM(BH46:BI46)</f>
        <v>0</v>
      </c>
      <c r="BL46" s="515">
        <f ca="1">Q46+AK46+BF46+BJ46</f>
        <v>0</v>
      </c>
      <c r="BM46" s="515"/>
      <c r="BN46" s="840"/>
      <c r="BO46" s="1482">
        <f t="shared" ref="BO46:DF46" ca="1" si="123">BO45</f>
        <v>0</v>
      </c>
      <c r="BP46" s="1482">
        <f t="shared" ca="1" si="123"/>
        <v>0</v>
      </c>
      <c r="BQ46" s="1482">
        <f t="shared" ca="1" si="123"/>
        <v>0</v>
      </c>
      <c r="BR46" s="1482">
        <f t="shared" ca="1" si="123"/>
        <v>0</v>
      </c>
      <c r="BS46" s="1482">
        <f t="shared" ca="1" si="123"/>
        <v>0</v>
      </c>
      <c r="BT46" s="1482">
        <f t="shared" ca="1" si="123"/>
        <v>0</v>
      </c>
      <c r="BU46" s="1482">
        <f t="shared" ca="1" si="123"/>
        <v>0</v>
      </c>
      <c r="BV46" s="1482">
        <f t="shared" ca="1" si="123"/>
        <v>0</v>
      </c>
      <c r="BW46" s="1482">
        <f t="shared" ca="1" si="123"/>
        <v>0</v>
      </c>
      <c r="BX46" s="1482">
        <f t="shared" ca="1" si="123"/>
        <v>0</v>
      </c>
      <c r="BY46" s="1482">
        <f t="shared" ca="1" si="123"/>
        <v>0</v>
      </c>
      <c r="BZ46" s="1482">
        <f t="shared" ca="1" si="123"/>
        <v>0</v>
      </c>
      <c r="CA46" s="1482">
        <f t="shared" ca="1" si="123"/>
        <v>0</v>
      </c>
      <c r="CB46" s="1482">
        <f t="shared" ca="1" si="123"/>
        <v>0</v>
      </c>
      <c r="CC46" s="1482">
        <f t="shared" ca="1" si="123"/>
        <v>0</v>
      </c>
      <c r="CD46" s="1482">
        <f t="shared" ca="1" si="123"/>
        <v>0</v>
      </c>
      <c r="CE46" s="1482">
        <f t="shared" ca="1" si="123"/>
        <v>0</v>
      </c>
      <c r="CF46" s="1482">
        <f t="shared" ca="1" si="123"/>
        <v>0</v>
      </c>
      <c r="CG46" s="1482">
        <f t="shared" ca="1" si="123"/>
        <v>0</v>
      </c>
      <c r="CH46" s="1482">
        <f t="shared" ca="1" si="123"/>
        <v>0</v>
      </c>
      <c r="CI46" s="1482">
        <f t="shared" ca="1" si="123"/>
        <v>0</v>
      </c>
      <c r="CJ46" s="1482">
        <f t="shared" ca="1" si="123"/>
        <v>0</v>
      </c>
      <c r="CK46" s="1482">
        <f t="shared" ca="1" si="123"/>
        <v>0</v>
      </c>
      <c r="CL46" s="1482">
        <f t="shared" ca="1" si="123"/>
        <v>0</v>
      </c>
      <c r="CM46" s="1482">
        <f t="shared" ca="1" si="123"/>
        <v>0</v>
      </c>
      <c r="CN46" s="1482">
        <f t="shared" ca="1" si="123"/>
        <v>0</v>
      </c>
      <c r="CO46" s="1482">
        <f t="shared" ca="1" si="123"/>
        <v>0</v>
      </c>
      <c r="CP46" s="1482">
        <f t="shared" ca="1" si="123"/>
        <v>0</v>
      </c>
      <c r="CQ46" s="1482">
        <f t="shared" ca="1" si="123"/>
        <v>0</v>
      </c>
      <c r="CR46" s="1482">
        <f t="shared" ca="1" si="123"/>
        <v>0</v>
      </c>
      <c r="CS46" s="1482">
        <f t="shared" ca="1" si="123"/>
        <v>0</v>
      </c>
      <c r="CT46" s="1482">
        <f t="shared" ca="1" si="123"/>
        <v>0</v>
      </c>
      <c r="CU46" s="1482">
        <f t="shared" ca="1" si="123"/>
        <v>0</v>
      </c>
      <c r="CV46" s="1482">
        <f t="shared" ca="1" si="123"/>
        <v>0</v>
      </c>
      <c r="CW46" s="1482">
        <f t="shared" ca="1" si="123"/>
        <v>0</v>
      </c>
      <c r="CX46" s="1482">
        <f t="shared" ca="1" si="123"/>
        <v>0</v>
      </c>
      <c r="CY46" s="1482">
        <f t="shared" ca="1" si="123"/>
        <v>0</v>
      </c>
      <c r="CZ46" s="1482">
        <f t="shared" ca="1" si="123"/>
        <v>0</v>
      </c>
      <c r="DA46" s="1482">
        <f t="shared" ca="1" si="123"/>
        <v>0</v>
      </c>
      <c r="DB46" s="1482">
        <f t="shared" ca="1" si="123"/>
        <v>0</v>
      </c>
      <c r="DC46" s="1482">
        <f t="shared" ca="1" si="123"/>
        <v>0</v>
      </c>
      <c r="DD46" s="1482">
        <f t="shared" ca="1" si="123"/>
        <v>0</v>
      </c>
      <c r="DE46" s="1482">
        <f t="shared" ca="1" si="123"/>
        <v>0</v>
      </c>
      <c r="DF46" s="1482">
        <f t="shared" ca="1" si="123"/>
        <v>0</v>
      </c>
      <c r="DH46" s="838">
        <f t="shared" ref="DH46:DH82" ca="1" si="124">SUM(BO46:DF46)</f>
        <v>0</v>
      </c>
    </row>
    <row r="47" spans="1:112" s="743" customFormat="1" hidden="1" outlineLevel="1">
      <c r="C47" s="508"/>
      <c r="D47" s="509"/>
      <c r="E47" s="509"/>
      <c r="G47" s="958"/>
      <c r="H47" s="958"/>
      <c r="I47" s="958"/>
      <c r="J47" s="958"/>
      <c r="K47" s="960"/>
      <c r="L47" s="958"/>
      <c r="M47" s="958"/>
      <c r="N47" s="958"/>
      <c r="O47" s="958"/>
      <c r="P47" s="958"/>
      <c r="Q47" s="958"/>
      <c r="S47" s="970"/>
      <c r="T47" s="970"/>
      <c r="U47" s="970"/>
      <c r="V47" s="970"/>
      <c r="W47" s="970"/>
      <c r="X47" s="970"/>
      <c r="Y47" s="970"/>
      <c r="Z47" s="970"/>
      <c r="AA47" s="970"/>
      <c r="AB47" s="970"/>
      <c r="AC47" s="970"/>
      <c r="AD47" s="970"/>
      <c r="AE47" s="970"/>
      <c r="AF47" s="970"/>
      <c r="AG47" s="970"/>
      <c r="AH47" s="970"/>
      <c r="AI47" s="970"/>
      <c r="AJ47" s="970"/>
      <c r="AK47" s="970"/>
      <c r="AM47" s="976"/>
      <c r="AN47" s="976"/>
      <c r="AO47" s="976"/>
      <c r="AP47" s="976"/>
      <c r="AQ47" s="976"/>
      <c r="AR47" s="976"/>
      <c r="AS47" s="976"/>
      <c r="AT47" s="976"/>
      <c r="AU47" s="976"/>
      <c r="AV47" s="976"/>
      <c r="AW47" s="976"/>
      <c r="AX47" s="976"/>
      <c r="AY47" s="976"/>
      <c r="AZ47" s="976"/>
      <c r="BA47" s="976"/>
      <c r="BB47" s="976"/>
      <c r="BC47" s="976"/>
      <c r="BD47" s="976"/>
      <c r="BE47" s="976"/>
      <c r="BF47" s="976"/>
      <c r="BH47" s="990"/>
      <c r="BI47" s="990"/>
      <c r="BJ47" s="990"/>
      <c r="BL47" s="515">
        <f>Q47+AK47+BF47+BJ47</f>
        <v>0</v>
      </c>
      <c r="BM47" s="515"/>
      <c r="BO47" s="1482"/>
      <c r="BP47" s="1482"/>
      <c r="BQ47" s="1482"/>
      <c r="BR47" s="1482"/>
      <c r="BS47" s="1482"/>
      <c r="BT47" s="1482"/>
      <c r="BU47" s="1482"/>
      <c r="BV47" s="1482"/>
      <c r="BW47" s="1482"/>
      <c r="BX47" s="1482"/>
      <c r="BY47" s="1482"/>
      <c r="BZ47" s="1482"/>
      <c r="CA47" s="1482"/>
      <c r="CB47" s="1482"/>
      <c r="CC47" s="1482"/>
      <c r="CD47" s="1482"/>
      <c r="CE47" s="1482"/>
      <c r="CF47" s="1482"/>
      <c r="CG47" s="1482"/>
      <c r="CH47" s="1482"/>
      <c r="CI47" s="1482"/>
      <c r="CJ47" s="1482"/>
      <c r="CK47" s="1482"/>
      <c r="CL47" s="1482"/>
      <c r="CM47" s="1482"/>
      <c r="CN47" s="1482"/>
      <c r="CO47" s="1482"/>
      <c r="CP47" s="1482"/>
      <c r="CQ47" s="1482"/>
      <c r="CR47" s="1482"/>
      <c r="CS47" s="1482"/>
      <c r="CT47" s="1482"/>
      <c r="CU47" s="1482"/>
      <c r="CV47" s="1482"/>
      <c r="CW47" s="1482"/>
      <c r="CX47" s="1482"/>
      <c r="CY47" s="1482"/>
      <c r="CZ47" s="1482"/>
      <c r="DA47" s="1482"/>
      <c r="DB47" s="1482"/>
      <c r="DC47" s="1482"/>
      <c r="DD47" s="1482"/>
      <c r="DE47" s="1482"/>
      <c r="DF47" s="1482"/>
      <c r="DH47" s="838">
        <f t="shared" si="124"/>
        <v>0</v>
      </c>
    </row>
    <row r="48" spans="1:112" s="743" customFormat="1" hidden="1" outlineLevel="1">
      <c r="A48" s="1484"/>
      <c r="B48" s="1484"/>
      <c r="C48" s="746" t="s">
        <v>2280</v>
      </c>
      <c r="D48" s="521" t="str">
        <f>INDEX(Modules[Module], MATCH($C48, Modules[Code], 0))</f>
        <v>Marine algae</v>
      </c>
      <c r="E48" s="521"/>
      <c r="G48" s="1017">
        <f t="shared" ref="G48:P49" ca="1" si="125">IFERROR(INDEX(INDIRECT($C48&amp;".Outputs["&amp;this.Year&amp;"]"), MATCH(G$5, INDIRECT($C48&amp;".Outputs[Vector]"), 0)), 0)</f>
        <v>0</v>
      </c>
      <c r="H48" s="1017">
        <f t="shared" ca="1" si="125"/>
        <v>0</v>
      </c>
      <c r="I48" s="1017">
        <f t="shared" ca="1" si="125"/>
        <v>0</v>
      </c>
      <c r="J48" s="1017">
        <f t="shared" ca="1" si="125"/>
        <v>0</v>
      </c>
      <c r="K48" s="1017">
        <f t="shared" ca="1" si="125"/>
        <v>0</v>
      </c>
      <c r="L48" s="1017">
        <f t="shared" ca="1" si="125"/>
        <v>0</v>
      </c>
      <c r="M48" s="1017">
        <f t="shared" ca="1" si="125"/>
        <v>0</v>
      </c>
      <c r="N48" s="1017">
        <f t="shared" ca="1" si="125"/>
        <v>0</v>
      </c>
      <c r="O48" s="1017">
        <f t="shared" ca="1" si="125"/>
        <v>0</v>
      </c>
      <c r="P48" s="1017">
        <f t="shared" ca="1" si="125"/>
        <v>0</v>
      </c>
      <c r="Q48" s="1019">
        <f ca="1">SUM(G48:P48)</f>
        <v>0</v>
      </c>
      <c r="S48" s="1026">
        <f t="shared" ref="S48:BE49" ca="1" si="126">IFERROR(INDEX(INDIRECT($C48&amp;".Outputs["&amp;this.Year&amp;"]"), MATCH(S$5, INDIRECT($C48&amp;".Outputs[Vector]"), 0)), 0)</f>
        <v>0</v>
      </c>
      <c r="T48" s="1026">
        <f t="shared" ca="1" si="126"/>
        <v>0</v>
      </c>
      <c r="U48" s="1026">
        <f t="shared" ca="1" si="126"/>
        <v>0</v>
      </c>
      <c r="V48" s="1026">
        <f t="shared" ca="1" si="126"/>
        <v>0</v>
      </c>
      <c r="W48" s="1026">
        <f t="shared" ca="1" si="126"/>
        <v>0</v>
      </c>
      <c r="X48" s="1026">
        <f t="shared" ref="X48:Z50" ca="1" si="127">IFERROR(INDEX(INDIRECT($C48&amp;".Outputs["&amp;this.Year&amp;"]"), MATCH(X$5, INDIRECT($C48&amp;".Outputs[Vector]"), 0)), 0)</f>
        <v>0</v>
      </c>
      <c r="Y48" s="1026">
        <f t="shared" ca="1" si="127"/>
        <v>0</v>
      </c>
      <c r="Z48" s="1026">
        <f t="shared" ca="1" si="127"/>
        <v>0</v>
      </c>
      <c r="AA48" s="1026">
        <f t="shared" ca="1" si="126"/>
        <v>0</v>
      </c>
      <c r="AB48" s="1026">
        <f t="shared" ca="1" si="126"/>
        <v>0</v>
      </c>
      <c r="AC48" s="1026">
        <f t="shared" ca="1" si="126"/>
        <v>0</v>
      </c>
      <c r="AD48" s="1026">
        <f t="shared" ca="1" si="126"/>
        <v>0</v>
      </c>
      <c r="AE48" s="1026">
        <f t="shared" ca="1" si="126"/>
        <v>0</v>
      </c>
      <c r="AF48" s="1026">
        <f t="shared" ca="1" si="126"/>
        <v>0</v>
      </c>
      <c r="AG48" s="1026">
        <f t="shared" ca="1" si="126"/>
        <v>0</v>
      </c>
      <c r="AH48" s="1026">
        <f t="shared" ca="1" si="126"/>
        <v>0</v>
      </c>
      <c r="AI48" s="1026">
        <f t="shared" ca="1" si="126"/>
        <v>0</v>
      </c>
      <c r="AJ48" s="1026">
        <f t="shared" ca="1" si="126"/>
        <v>0</v>
      </c>
      <c r="AK48" s="1027">
        <f ca="1">SUM(S48:AJ48)</f>
        <v>0</v>
      </c>
      <c r="AM48" s="1038">
        <f t="shared" ref="AM48:AU50" ca="1" si="128">IFERROR(INDEX(INDIRECT($C48&amp;".Outputs["&amp;this.Year&amp;"]"), MATCH(AM$5, INDIRECT($C48&amp;".Outputs[Vector]"), 0)), 0)</f>
        <v>0</v>
      </c>
      <c r="AN48" s="1038">
        <f t="shared" ca="1" si="128"/>
        <v>0</v>
      </c>
      <c r="AO48" s="1038">
        <f t="shared" ca="1" si="128"/>
        <v>0</v>
      </c>
      <c r="AP48" s="1038">
        <f t="shared" ca="1" si="128"/>
        <v>0</v>
      </c>
      <c r="AQ48" s="1038">
        <f t="shared" ca="1" si="128"/>
        <v>0</v>
      </c>
      <c r="AR48" s="1038">
        <f t="shared" ca="1" si="128"/>
        <v>0</v>
      </c>
      <c r="AS48" s="1038">
        <f t="shared" ca="1" si="128"/>
        <v>0</v>
      </c>
      <c r="AT48" s="1038">
        <f t="shared" ca="1" si="128"/>
        <v>0</v>
      </c>
      <c r="AU48" s="1038">
        <f t="shared" ca="1" si="128"/>
        <v>0</v>
      </c>
      <c r="AV48" s="1038">
        <f t="shared" ca="1" si="126"/>
        <v>0</v>
      </c>
      <c r="AW48" s="1038">
        <f t="shared" ca="1" si="126"/>
        <v>0</v>
      </c>
      <c r="AX48" s="1038">
        <f t="shared" ca="1" si="126"/>
        <v>0</v>
      </c>
      <c r="AY48" s="1038">
        <f t="shared" ca="1" si="126"/>
        <v>0</v>
      </c>
      <c r="AZ48" s="1038">
        <f t="shared" ca="1" si="126"/>
        <v>0</v>
      </c>
      <c r="BA48" s="1038">
        <f t="shared" ca="1" si="126"/>
        <v>0</v>
      </c>
      <c r="BB48" s="1038">
        <f t="shared" ca="1" si="126"/>
        <v>0</v>
      </c>
      <c r="BC48" s="1038">
        <f t="shared" ca="1" si="126"/>
        <v>0</v>
      </c>
      <c r="BD48" s="1038">
        <f t="shared" ca="1" si="126"/>
        <v>0</v>
      </c>
      <c r="BE48" s="1038">
        <f t="shared" ca="1" si="126"/>
        <v>0</v>
      </c>
      <c r="BF48" s="979">
        <f ca="1">SUM(AM48:BE48)</f>
        <v>0</v>
      </c>
      <c r="BH48" s="1032">
        <f t="shared" ref="BH48:BI50" ca="1" si="129">IFERROR(INDEX(INDIRECT($C48&amp;".Outputs["&amp;this.Year&amp;"]"), MATCH(BH$5, INDIRECT($C48&amp;".Outputs[Vector]"), 0)), 0)</f>
        <v>0</v>
      </c>
      <c r="BI48" s="1032">
        <f t="shared" ca="1" si="129"/>
        <v>0</v>
      </c>
      <c r="BJ48" s="1034">
        <f ca="1">SUM(BH48:BI48)</f>
        <v>0</v>
      </c>
      <c r="BL48" s="814"/>
      <c r="BM48" s="814"/>
      <c r="BN48" s="840"/>
      <c r="BO48" s="1481">
        <f t="shared" ref="BO48:BX50" ca="1" si="130">IFERROR(SUMIFS(INDIRECT($C48&amp;".Emissions["&amp;this.Year&amp;"]"), INDIRECT($C48&amp;".Emissions[GHG]"), BO$6, INDIRECT($C48&amp;".Emissions[IPCC Sector]"), BO$5),0)</f>
        <v>0</v>
      </c>
      <c r="BP48" s="1482">
        <f t="shared" ca="1" si="130"/>
        <v>0</v>
      </c>
      <c r="BQ48" s="1482">
        <f t="shared" ca="1" si="130"/>
        <v>0</v>
      </c>
      <c r="BR48" s="1482">
        <f t="shared" ca="1" si="130"/>
        <v>0</v>
      </c>
      <c r="BS48" s="1482">
        <f t="shared" ca="1" si="130"/>
        <v>0</v>
      </c>
      <c r="BT48" s="1482">
        <f t="shared" ca="1" si="130"/>
        <v>0</v>
      </c>
      <c r="BU48" s="1482">
        <f t="shared" ca="1" si="130"/>
        <v>0</v>
      </c>
      <c r="BV48" s="1482">
        <f t="shared" ca="1" si="130"/>
        <v>0</v>
      </c>
      <c r="BW48" s="1482">
        <f t="shared" ca="1" si="130"/>
        <v>0</v>
      </c>
      <c r="BX48" s="1482">
        <f t="shared" ca="1" si="130"/>
        <v>0</v>
      </c>
      <c r="BY48" s="1482">
        <f t="shared" ref="BY48:CH50" ca="1" si="131">IFERROR(SUMIFS(INDIRECT($C48&amp;".Emissions["&amp;this.Year&amp;"]"), INDIRECT($C48&amp;".Emissions[GHG]"), BY$6, INDIRECT($C48&amp;".Emissions[IPCC Sector]"), BY$5),0)</f>
        <v>0</v>
      </c>
      <c r="BZ48" s="1482">
        <f t="shared" ca="1" si="131"/>
        <v>0</v>
      </c>
      <c r="CA48" s="1482">
        <f t="shared" ca="1" si="131"/>
        <v>0</v>
      </c>
      <c r="CB48" s="1482">
        <f t="shared" ca="1" si="131"/>
        <v>0</v>
      </c>
      <c r="CC48" s="1482">
        <f t="shared" ca="1" si="131"/>
        <v>0</v>
      </c>
      <c r="CD48" s="1482">
        <f t="shared" ca="1" si="131"/>
        <v>0</v>
      </c>
      <c r="CE48" s="1482">
        <f t="shared" ca="1" si="131"/>
        <v>0</v>
      </c>
      <c r="CF48" s="1482">
        <f t="shared" ca="1" si="131"/>
        <v>0</v>
      </c>
      <c r="CG48" s="1482">
        <f t="shared" ca="1" si="131"/>
        <v>0</v>
      </c>
      <c r="CH48" s="1482">
        <f t="shared" ca="1" si="131"/>
        <v>0</v>
      </c>
      <c r="CI48" s="1482">
        <f t="shared" ref="CI48:CR50" ca="1" si="132">IFERROR(SUMIFS(INDIRECT($C48&amp;".Emissions["&amp;this.Year&amp;"]"), INDIRECT($C48&amp;".Emissions[GHG]"), CI$6, INDIRECT($C48&amp;".Emissions[IPCC Sector]"), CI$5),0)</f>
        <v>0</v>
      </c>
      <c r="CJ48" s="1482">
        <f t="shared" ca="1" si="132"/>
        <v>0</v>
      </c>
      <c r="CK48" s="1482">
        <f t="shared" ca="1" si="132"/>
        <v>0</v>
      </c>
      <c r="CL48" s="1482">
        <f t="shared" ca="1" si="132"/>
        <v>0</v>
      </c>
      <c r="CM48" s="1482">
        <f t="shared" ca="1" si="132"/>
        <v>0</v>
      </c>
      <c r="CN48" s="1482">
        <f t="shared" ca="1" si="132"/>
        <v>0</v>
      </c>
      <c r="CO48" s="1482">
        <f t="shared" ca="1" si="132"/>
        <v>0</v>
      </c>
      <c r="CP48" s="1482">
        <f t="shared" ca="1" si="132"/>
        <v>0</v>
      </c>
      <c r="CQ48" s="1482">
        <f t="shared" ca="1" si="132"/>
        <v>0</v>
      </c>
      <c r="CR48" s="1482">
        <f t="shared" ca="1" si="132"/>
        <v>0</v>
      </c>
      <c r="CS48" s="1482">
        <f t="shared" ref="CS48:DF50" ca="1" si="133">IFERROR(SUMIFS(INDIRECT($C48&amp;".Emissions["&amp;this.Year&amp;"]"), INDIRECT($C48&amp;".Emissions[GHG]"), CS$6, INDIRECT($C48&amp;".Emissions[IPCC Sector]"), CS$5),0)</f>
        <v>0</v>
      </c>
      <c r="CT48" s="1482">
        <f t="shared" ca="1" si="133"/>
        <v>0</v>
      </c>
      <c r="CU48" s="1482">
        <f t="shared" ca="1" si="133"/>
        <v>0</v>
      </c>
      <c r="CV48" s="1482">
        <f t="shared" ca="1" si="133"/>
        <v>0</v>
      </c>
      <c r="CW48" s="1482">
        <f t="shared" ca="1" si="133"/>
        <v>0</v>
      </c>
      <c r="CX48" s="1482">
        <f t="shared" ca="1" si="133"/>
        <v>0</v>
      </c>
      <c r="CY48" s="1482">
        <f t="shared" ca="1" si="133"/>
        <v>0</v>
      </c>
      <c r="CZ48" s="1482">
        <f t="shared" ca="1" si="133"/>
        <v>0</v>
      </c>
      <c r="DA48" s="1482">
        <f t="shared" ca="1" si="133"/>
        <v>0</v>
      </c>
      <c r="DB48" s="1482">
        <f t="shared" ca="1" si="133"/>
        <v>0</v>
      </c>
      <c r="DC48" s="1482">
        <f t="shared" ca="1" si="133"/>
        <v>0</v>
      </c>
      <c r="DD48" s="1482">
        <f t="shared" ca="1" si="133"/>
        <v>0</v>
      </c>
      <c r="DE48" s="1482">
        <f t="shared" ca="1" si="133"/>
        <v>0</v>
      </c>
      <c r="DF48" s="1482">
        <f t="shared" ca="1" si="133"/>
        <v>0</v>
      </c>
      <c r="DH48" s="838">
        <f ca="1">SUM(BO48:DF48)</f>
        <v>0</v>
      </c>
    </row>
    <row r="49" spans="1:112" s="743" customFormat="1" hidden="1" outlineLevel="1">
      <c r="A49" s="1484"/>
      <c r="B49" s="1484"/>
      <c r="C49" s="746" t="s">
        <v>965</v>
      </c>
      <c r="D49" s="521" t="str">
        <f>INDEX(Modules[Module], MATCH($C49, Modules[Code], 0))</f>
        <v>Waste arising</v>
      </c>
      <c r="E49" s="521"/>
      <c r="G49" s="1017">
        <f t="shared" ca="1" si="125"/>
        <v>0</v>
      </c>
      <c r="H49" s="1017">
        <f t="shared" ca="1" si="125"/>
        <v>0</v>
      </c>
      <c r="I49" s="1017">
        <f t="shared" ca="1" si="125"/>
        <v>0</v>
      </c>
      <c r="J49" s="1017">
        <f t="shared" ca="1" si="125"/>
        <v>0</v>
      </c>
      <c r="K49" s="1017">
        <f t="shared" ca="1" si="125"/>
        <v>0</v>
      </c>
      <c r="L49" s="1017">
        <f t="shared" ca="1" si="125"/>
        <v>0</v>
      </c>
      <c r="M49" s="1017">
        <f t="shared" ca="1" si="125"/>
        <v>0</v>
      </c>
      <c r="N49" s="1017">
        <f t="shared" ca="1" si="125"/>
        <v>0</v>
      </c>
      <c r="O49" s="1017">
        <f t="shared" ca="1" si="125"/>
        <v>0</v>
      </c>
      <c r="P49" s="1017">
        <f t="shared" ca="1" si="125"/>
        <v>0</v>
      </c>
      <c r="Q49" s="1019">
        <f ca="1">SUM(G49:P49)</f>
        <v>0</v>
      </c>
      <c r="S49" s="1026">
        <f t="shared" ca="1" si="126"/>
        <v>0</v>
      </c>
      <c r="T49" s="1026">
        <f t="shared" ca="1" si="126"/>
        <v>0</v>
      </c>
      <c r="U49" s="1026">
        <f t="shared" ca="1" si="126"/>
        <v>0</v>
      </c>
      <c r="V49" s="1026">
        <f t="shared" ca="1" si="126"/>
        <v>0</v>
      </c>
      <c r="W49" s="1026">
        <f t="shared" ca="1" si="126"/>
        <v>0</v>
      </c>
      <c r="X49" s="1026">
        <f t="shared" ca="1" si="127"/>
        <v>88.802339831739644</v>
      </c>
      <c r="Y49" s="1026">
        <f t="shared" ca="1" si="127"/>
        <v>0</v>
      </c>
      <c r="Z49" s="1026">
        <f t="shared" ca="1" si="127"/>
        <v>0</v>
      </c>
      <c r="AA49" s="1026">
        <f t="shared" ca="1" si="126"/>
        <v>0</v>
      </c>
      <c r="AB49" s="1026">
        <f t="shared" ca="1" si="126"/>
        <v>0</v>
      </c>
      <c r="AC49" s="1026">
        <f t="shared" ca="1" si="126"/>
        <v>0</v>
      </c>
      <c r="AD49" s="1026">
        <f t="shared" ca="1" si="126"/>
        <v>0</v>
      </c>
      <c r="AE49" s="1026">
        <f t="shared" ca="1" si="126"/>
        <v>0</v>
      </c>
      <c r="AF49" s="1026">
        <f t="shared" ca="1" si="126"/>
        <v>51.072100469345592</v>
      </c>
      <c r="AG49" s="1026">
        <f t="shared" ca="1" si="126"/>
        <v>20.578698197383726</v>
      </c>
      <c r="AH49" s="1026">
        <f t="shared" ca="1" si="126"/>
        <v>17.575536884393671</v>
      </c>
      <c r="AI49" s="1026">
        <f t="shared" ca="1" si="126"/>
        <v>0</v>
      </c>
      <c r="AJ49" s="1026">
        <f t="shared" ca="1" si="126"/>
        <v>0</v>
      </c>
      <c r="AK49" s="1027">
        <f ca="1">SUM(S49:AJ49)</f>
        <v>178.02867538286262</v>
      </c>
      <c r="AM49" s="1038">
        <f t="shared" ca="1" si="128"/>
        <v>0</v>
      </c>
      <c r="AN49" s="1038">
        <f t="shared" ca="1" si="128"/>
        <v>0</v>
      </c>
      <c r="AO49" s="1038">
        <f t="shared" ca="1" si="128"/>
        <v>0</v>
      </c>
      <c r="AP49" s="1038">
        <f t="shared" ca="1" si="128"/>
        <v>0</v>
      </c>
      <c r="AQ49" s="1038">
        <f t="shared" ca="1" si="128"/>
        <v>0</v>
      </c>
      <c r="AR49" s="1038">
        <f t="shared" ca="1" si="128"/>
        <v>0</v>
      </c>
      <c r="AS49" s="1038">
        <f t="shared" ca="1" si="128"/>
        <v>0</v>
      </c>
      <c r="AT49" s="1038">
        <f t="shared" ca="1" si="128"/>
        <v>0</v>
      </c>
      <c r="AU49" s="1038">
        <f t="shared" ca="1" si="128"/>
        <v>0</v>
      </c>
      <c r="AV49" s="1038">
        <f t="shared" ca="1" si="126"/>
        <v>0</v>
      </c>
      <c r="AW49" s="1038">
        <f t="shared" ca="1" si="126"/>
        <v>0</v>
      </c>
      <c r="AX49" s="1038">
        <f t="shared" ca="1" si="126"/>
        <v>0</v>
      </c>
      <c r="AY49" s="1038">
        <f t="shared" ca="1" si="126"/>
        <v>0</v>
      </c>
      <c r="AZ49" s="1038">
        <f t="shared" ca="1" si="126"/>
        <v>0</v>
      </c>
      <c r="BA49" s="1038">
        <f t="shared" ca="1" si="126"/>
        <v>0</v>
      </c>
      <c r="BB49" s="1038">
        <f t="shared" ca="1" si="126"/>
        <v>0</v>
      </c>
      <c r="BC49" s="1038">
        <f t="shared" ca="1" si="126"/>
        <v>0</v>
      </c>
      <c r="BD49" s="1038">
        <f t="shared" ca="1" si="126"/>
        <v>0</v>
      </c>
      <c r="BE49" s="1038">
        <f t="shared" ca="1" si="126"/>
        <v>-178.02867538286264</v>
      </c>
      <c r="BF49" s="979">
        <f ca="1">SUM(AM49:BE49)</f>
        <v>-178.02867538286264</v>
      </c>
      <c r="BH49" s="1032">
        <f t="shared" ca="1" si="129"/>
        <v>0</v>
      </c>
      <c r="BI49" s="1032">
        <f t="shared" ca="1" si="129"/>
        <v>0</v>
      </c>
      <c r="BJ49" s="1034">
        <f ca="1">SUM(BH49:BI49)</f>
        <v>0</v>
      </c>
      <c r="BL49" s="814"/>
      <c r="BM49" s="814"/>
      <c r="BN49" s="840"/>
      <c r="BO49" s="1481">
        <f t="shared" ca="1" si="130"/>
        <v>0</v>
      </c>
      <c r="BP49" s="1482">
        <f t="shared" ca="1" si="130"/>
        <v>0</v>
      </c>
      <c r="BQ49" s="1482">
        <f t="shared" ca="1" si="130"/>
        <v>0</v>
      </c>
      <c r="BR49" s="1482">
        <f t="shared" ca="1" si="130"/>
        <v>0</v>
      </c>
      <c r="BS49" s="1482">
        <f t="shared" ca="1" si="130"/>
        <v>0</v>
      </c>
      <c r="BT49" s="1482">
        <f t="shared" ca="1" si="130"/>
        <v>0</v>
      </c>
      <c r="BU49" s="1482">
        <f t="shared" ca="1" si="130"/>
        <v>0</v>
      </c>
      <c r="BV49" s="1482">
        <f t="shared" ca="1" si="130"/>
        <v>0</v>
      </c>
      <c r="BW49" s="1482">
        <f t="shared" ca="1" si="130"/>
        <v>0</v>
      </c>
      <c r="BX49" s="1482">
        <f t="shared" ca="1" si="130"/>
        <v>0</v>
      </c>
      <c r="BY49" s="1482">
        <f t="shared" ca="1" si="131"/>
        <v>0</v>
      </c>
      <c r="BZ49" s="1482">
        <f t="shared" ca="1" si="131"/>
        <v>0</v>
      </c>
      <c r="CA49" s="1482">
        <f t="shared" ca="1" si="131"/>
        <v>0</v>
      </c>
      <c r="CB49" s="1482">
        <f t="shared" ca="1" si="131"/>
        <v>0</v>
      </c>
      <c r="CC49" s="1482">
        <f t="shared" ca="1" si="131"/>
        <v>0</v>
      </c>
      <c r="CD49" s="1482">
        <f t="shared" ca="1" si="131"/>
        <v>0</v>
      </c>
      <c r="CE49" s="1482">
        <f t="shared" ca="1" si="131"/>
        <v>0</v>
      </c>
      <c r="CF49" s="1482">
        <f t="shared" ca="1" si="131"/>
        <v>0</v>
      </c>
      <c r="CG49" s="1482">
        <f t="shared" ca="1" si="131"/>
        <v>0</v>
      </c>
      <c r="CH49" s="1482">
        <f t="shared" ca="1" si="131"/>
        <v>0</v>
      </c>
      <c r="CI49" s="1482">
        <f t="shared" ca="1" si="132"/>
        <v>0</v>
      </c>
      <c r="CJ49" s="1482">
        <f t="shared" ca="1" si="132"/>
        <v>0</v>
      </c>
      <c r="CK49" s="1482">
        <f t="shared" ca="1" si="132"/>
        <v>0</v>
      </c>
      <c r="CL49" s="1482">
        <f t="shared" ca="1" si="132"/>
        <v>0</v>
      </c>
      <c r="CM49" s="1482">
        <f t="shared" ca="1" si="132"/>
        <v>0</v>
      </c>
      <c r="CN49" s="1482">
        <f t="shared" ca="1" si="132"/>
        <v>21.045170786933397</v>
      </c>
      <c r="CO49" s="1482">
        <f t="shared" ca="1" si="132"/>
        <v>1.5132086164843455</v>
      </c>
      <c r="CP49" s="1482">
        <f t="shared" ca="1" si="132"/>
        <v>0</v>
      </c>
      <c r="CQ49" s="1482">
        <f t="shared" ca="1" si="132"/>
        <v>0</v>
      </c>
      <c r="CR49" s="1482">
        <f t="shared" ca="1" si="132"/>
        <v>0</v>
      </c>
      <c r="CS49" s="1482">
        <f t="shared" ca="1" si="133"/>
        <v>0</v>
      </c>
      <c r="CT49" s="1482">
        <f t="shared" ca="1" si="133"/>
        <v>0</v>
      </c>
      <c r="CU49" s="1482">
        <f t="shared" ca="1" si="133"/>
        <v>0</v>
      </c>
      <c r="CV49" s="1482">
        <f t="shared" ca="1" si="133"/>
        <v>0</v>
      </c>
      <c r="CW49" s="1482">
        <f t="shared" ca="1" si="133"/>
        <v>0</v>
      </c>
      <c r="CX49" s="1482">
        <f t="shared" ca="1" si="133"/>
        <v>0</v>
      </c>
      <c r="CY49" s="1482">
        <f t="shared" ca="1" si="133"/>
        <v>0</v>
      </c>
      <c r="CZ49" s="1482">
        <f t="shared" ca="1" si="133"/>
        <v>0</v>
      </c>
      <c r="DA49" s="1482">
        <f t="shared" ca="1" si="133"/>
        <v>0</v>
      </c>
      <c r="DB49" s="1482">
        <f t="shared" ca="1" si="133"/>
        <v>0</v>
      </c>
      <c r="DC49" s="1482">
        <f t="shared" ca="1" si="133"/>
        <v>0</v>
      </c>
      <c r="DD49" s="1482">
        <f t="shared" ca="1" si="133"/>
        <v>0</v>
      </c>
      <c r="DE49" s="1482">
        <f t="shared" ca="1" si="133"/>
        <v>0</v>
      </c>
      <c r="DF49" s="1482">
        <f t="shared" ca="1" si="133"/>
        <v>0</v>
      </c>
      <c r="DH49" s="838">
        <f t="shared" ca="1" si="124"/>
        <v>22.558379403417742</v>
      </c>
    </row>
    <row r="50" spans="1:112" s="743" customFormat="1" ht="12.75" hidden="1" customHeight="1" outlineLevel="1">
      <c r="A50" s="1484"/>
      <c r="B50" s="1484"/>
      <c r="C50" s="746" t="s">
        <v>924</v>
      </c>
      <c r="D50" s="1010" t="str">
        <f>INDEX(Modules[Module], MATCH($C50, Modules[Code], 0))</f>
        <v>Agriculture and land use</v>
      </c>
      <c r="E50" s="1010"/>
      <c r="G50" s="1022">
        <f t="shared" ref="G50:P50" ca="1" si="134">IFERROR(INDEX(INDIRECT($C50&amp;".Outputs["&amp;this.Year&amp;"]"), MATCH(G$5, INDIRECT($C50&amp;".Outputs[Vector]"), 0)), 0)</f>
        <v>0</v>
      </c>
      <c r="H50" s="1022">
        <f t="shared" ca="1" si="134"/>
        <v>0</v>
      </c>
      <c r="I50" s="1022">
        <f t="shared" ca="1" si="134"/>
        <v>10.960174043667649</v>
      </c>
      <c r="J50" s="1022">
        <f t="shared" ca="1" si="134"/>
        <v>0</v>
      </c>
      <c r="K50" s="1022">
        <f t="shared" ca="1" si="134"/>
        <v>0</v>
      </c>
      <c r="L50" s="1022">
        <f t="shared" ca="1" si="134"/>
        <v>0</v>
      </c>
      <c r="M50" s="1022">
        <f t="shared" ca="1" si="134"/>
        <v>0</v>
      </c>
      <c r="N50" s="1022">
        <f t="shared" ca="1" si="134"/>
        <v>0</v>
      </c>
      <c r="O50" s="1022">
        <f t="shared" ca="1" si="134"/>
        <v>0</v>
      </c>
      <c r="P50" s="1022">
        <f t="shared" ca="1" si="134"/>
        <v>0</v>
      </c>
      <c r="Q50" s="1020">
        <f ca="1">SUM(G50:P50)</f>
        <v>10.960174043667649</v>
      </c>
      <c r="S50" s="1031">
        <f t="shared" ref="S50:AJ50" ca="1" si="135">IFERROR(INDEX(INDIRECT($C50&amp;".Outputs["&amp;this.Year&amp;"]"), MATCH(S$5, INDIRECT($C50&amp;".Outputs[Vector]"), 0)), 0)</f>
        <v>-4.3840696174670599</v>
      </c>
      <c r="T50" s="1031">
        <f t="shared" ca="1" si="135"/>
        <v>0</v>
      </c>
      <c r="U50" s="1031">
        <f t="shared" ca="1" si="135"/>
        <v>-0.87681392349341192</v>
      </c>
      <c r="V50" s="1031">
        <f t="shared" ca="1" si="135"/>
        <v>-3.6168574344103246</v>
      </c>
      <c r="W50" s="1031">
        <f t="shared" ca="1" si="135"/>
        <v>-2.0824330682968535</v>
      </c>
      <c r="X50" s="1031">
        <f t="shared" ca="1" si="127"/>
        <v>0</v>
      </c>
      <c r="Y50" s="1031">
        <f t="shared" ca="1" si="127"/>
        <v>0</v>
      </c>
      <c r="Z50" s="1031">
        <f t="shared" ca="1" si="127"/>
        <v>0</v>
      </c>
      <c r="AA50" s="1031">
        <f t="shared" ca="1" si="135"/>
        <v>0</v>
      </c>
      <c r="AB50" s="1031">
        <f t="shared" ca="1" si="135"/>
        <v>0</v>
      </c>
      <c r="AC50" s="1031">
        <f t="shared" ca="1" si="135"/>
        <v>0</v>
      </c>
      <c r="AD50" s="1031">
        <f t="shared" ca="1" si="135"/>
        <v>54.687907950087279</v>
      </c>
      <c r="AE50" s="1031">
        <f t="shared" ca="1" si="135"/>
        <v>1.5621974848178559</v>
      </c>
      <c r="AF50" s="1031">
        <f t="shared" ca="1" si="135"/>
        <v>12.084459109755816</v>
      </c>
      <c r="AG50" s="1031">
        <f t="shared" ca="1" si="135"/>
        <v>25.959118859762967</v>
      </c>
      <c r="AH50" s="1031">
        <f t="shared" ca="1" si="135"/>
        <v>0</v>
      </c>
      <c r="AI50" s="1031">
        <f t="shared" ca="1" si="135"/>
        <v>0</v>
      </c>
      <c r="AJ50" s="1031">
        <f t="shared" ca="1" si="135"/>
        <v>0</v>
      </c>
      <c r="AK50" s="1030">
        <f ca="1">SUM(S50:AJ50)</f>
        <v>83.333509360756267</v>
      </c>
      <c r="AM50" s="1042">
        <f t="shared" ca="1" si="128"/>
        <v>0</v>
      </c>
      <c r="AN50" s="1042">
        <f t="shared" ca="1" si="128"/>
        <v>0</v>
      </c>
      <c r="AO50" s="1042">
        <f t="shared" ca="1" si="128"/>
        <v>0</v>
      </c>
      <c r="AP50" s="1042">
        <f t="shared" ca="1" si="128"/>
        <v>0</v>
      </c>
      <c r="AQ50" s="1042">
        <f t="shared" ca="1" si="128"/>
        <v>0</v>
      </c>
      <c r="AR50" s="1042">
        <f t="shared" ca="1" si="128"/>
        <v>0</v>
      </c>
      <c r="AS50" s="1042">
        <f t="shared" ca="1" si="128"/>
        <v>0</v>
      </c>
      <c r="AT50" s="1042">
        <f t="shared" ca="1" si="128"/>
        <v>0</v>
      </c>
      <c r="AU50" s="1042">
        <f t="shared" ca="1" si="128"/>
        <v>0</v>
      </c>
      <c r="AV50" s="1042">
        <f t="shared" ref="AV50:BE50" ca="1" si="136">IFERROR(INDEX(INDIRECT($C50&amp;".Outputs["&amp;this.Year&amp;"]"), MATCH(AV$5, INDIRECT($C50&amp;".Outputs[Vector]"), 0)), 0)</f>
        <v>0</v>
      </c>
      <c r="AW50" s="1042">
        <f t="shared" ca="1" si="136"/>
        <v>0</v>
      </c>
      <c r="AX50" s="1042">
        <f t="shared" ca="1" si="136"/>
        <v>0</v>
      </c>
      <c r="AY50" s="1042">
        <f t="shared" ca="1" si="136"/>
        <v>0</v>
      </c>
      <c r="AZ50" s="1042">
        <f t="shared" ca="1" si="136"/>
        <v>0</v>
      </c>
      <c r="BA50" s="1042">
        <f t="shared" ca="1" si="136"/>
        <v>0</v>
      </c>
      <c r="BB50" s="1042">
        <f t="shared" ca="1" si="136"/>
        <v>0</v>
      </c>
      <c r="BC50" s="1042">
        <f t="shared" ca="1" si="136"/>
        <v>0</v>
      </c>
      <c r="BD50" s="1042">
        <f t="shared" ca="1" si="136"/>
        <v>-56.250105434905137</v>
      </c>
      <c r="BE50" s="1042">
        <f t="shared" ca="1" si="136"/>
        <v>-38.043577969518779</v>
      </c>
      <c r="BF50" s="1012">
        <f ca="1">SUM(AM50:BE50)</f>
        <v>-94.293683404423916</v>
      </c>
      <c r="BH50" s="1036">
        <f t="shared" ca="1" si="129"/>
        <v>0</v>
      </c>
      <c r="BI50" s="1036">
        <f t="shared" ca="1" si="129"/>
        <v>0</v>
      </c>
      <c r="BJ50" s="1035">
        <f ca="1">SUM(BH50:BI50)</f>
        <v>0</v>
      </c>
      <c r="BL50" s="814">
        <f ca="1">Q50+AK50+BF50+BJ50</f>
        <v>0</v>
      </c>
      <c r="BM50" s="814"/>
      <c r="BN50" s="840"/>
      <c r="BO50" s="1485">
        <f t="shared" ca="1" si="130"/>
        <v>1.557440731605173</v>
      </c>
      <c r="BP50" s="1486">
        <f t="shared" ca="1" si="130"/>
        <v>2.6871322883002622E-3</v>
      </c>
      <c r="BQ50" s="1486">
        <f t="shared" ca="1" si="130"/>
        <v>1.9487067224556291E-2</v>
      </c>
      <c r="BR50" s="1486">
        <f t="shared" ca="1" si="130"/>
        <v>0</v>
      </c>
      <c r="BS50" s="1486">
        <f t="shared" ca="1" si="130"/>
        <v>0</v>
      </c>
      <c r="BT50" s="1486">
        <f t="shared" ca="1" si="130"/>
        <v>0</v>
      </c>
      <c r="BU50" s="1486">
        <f t="shared" ca="1" si="130"/>
        <v>0</v>
      </c>
      <c r="BV50" s="1486">
        <f t="shared" ca="1" si="130"/>
        <v>0</v>
      </c>
      <c r="BW50" s="1486">
        <f t="shared" ca="1" si="130"/>
        <v>0</v>
      </c>
      <c r="BX50" s="1486">
        <f t="shared" ca="1" si="130"/>
        <v>0</v>
      </c>
      <c r="BY50" s="1486">
        <f t="shared" ca="1" si="131"/>
        <v>0</v>
      </c>
      <c r="BZ50" s="1486">
        <f t="shared" ca="1" si="131"/>
        <v>0</v>
      </c>
      <c r="CA50" s="1486">
        <f t="shared" ca="1" si="131"/>
        <v>0</v>
      </c>
      <c r="CB50" s="1486">
        <f t="shared" ca="1" si="131"/>
        <v>0</v>
      </c>
      <c r="CC50" s="1486">
        <f t="shared" ca="1" si="131"/>
        <v>0</v>
      </c>
      <c r="CD50" s="1486">
        <f t="shared" ca="1" si="131"/>
        <v>0</v>
      </c>
      <c r="CE50" s="1486">
        <f t="shared" ca="1" si="131"/>
        <v>0</v>
      </c>
      <c r="CF50" s="1486">
        <f t="shared" ca="1" si="131"/>
        <v>17.137937282804025</v>
      </c>
      <c r="CG50" s="1486">
        <f t="shared" ca="1" si="131"/>
        <v>21.131071545342206</v>
      </c>
      <c r="CH50" s="1486">
        <f t="shared" ca="1" si="131"/>
        <v>0</v>
      </c>
      <c r="CI50" s="1486">
        <f t="shared" ca="1" si="132"/>
        <v>10.039322920704391</v>
      </c>
      <c r="CJ50" s="1486">
        <f t="shared" ca="1" si="132"/>
        <v>0</v>
      </c>
      <c r="CK50" s="1486">
        <f t="shared" ca="1" si="132"/>
        <v>0</v>
      </c>
      <c r="CL50" s="1486">
        <f t="shared" ca="1" si="132"/>
        <v>0</v>
      </c>
      <c r="CM50" s="1486">
        <f t="shared" ca="1" si="132"/>
        <v>0</v>
      </c>
      <c r="CN50" s="1486">
        <f t="shared" ca="1" si="132"/>
        <v>0</v>
      </c>
      <c r="CO50" s="1486">
        <f t="shared" ca="1" si="132"/>
        <v>0</v>
      </c>
      <c r="CP50" s="1486">
        <f t="shared" ca="1" si="132"/>
        <v>0</v>
      </c>
      <c r="CQ50" s="1486">
        <f t="shared" ca="1" si="132"/>
        <v>0</v>
      </c>
      <c r="CR50" s="1486">
        <f t="shared" ca="1" si="132"/>
        <v>0</v>
      </c>
      <c r="CS50" s="1486">
        <f t="shared" ca="1" si="133"/>
        <v>0</v>
      </c>
      <c r="CT50" s="1486">
        <f t="shared" ca="1" si="133"/>
        <v>0</v>
      </c>
      <c r="CU50" s="1486">
        <f t="shared" ca="1" si="133"/>
        <v>0</v>
      </c>
      <c r="CV50" s="1486">
        <f t="shared" ca="1" si="133"/>
        <v>0</v>
      </c>
      <c r="CW50" s="1486">
        <f t="shared" ca="1" si="133"/>
        <v>0</v>
      </c>
      <c r="CX50" s="1486">
        <f t="shared" ca="1" si="133"/>
        <v>0</v>
      </c>
      <c r="CY50" s="1486">
        <f t="shared" ca="1" si="133"/>
        <v>0</v>
      </c>
      <c r="CZ50" s="1486">
        <f t="shared" ca="1" si="133"/>
        <v>0</v>
      </c>
      <c r="DA50" s="1486">
        <f t="shared" ca="1" si="133"/>
        <v>0</v>
      </c>
      <c r="DB50" s="1486">
        <f t="shared" ca="1" si="133"/>
        <v>0</v>
      </c>
      <c r="DC50" s="1486">
        <f t="shared" ca="1" si="133"/>
        <v>0</v>
      </c>
      <c r="DD50" s="1486">
        <f t="shared" ca="1" si="133"/>
        <v>0</v>
      </c>
      <c r="DE50" s="1486">
        <f t="shared" ca="1" si="133"/>
        <v>0</v>
      </c>
      <c r="DF50" s="1486">
        <f t="shared" ca="1" si="133"/>
        <v>0</v>
      </c>
      <c r="DH50" s="838">
        <f t="shared" ca="1" si="124"/>
        <v>49.88794667996865</v>
      </c>
    </row>
    <row r="51" spans="1:112" s="743" customFormat="1" ht="15.75" collapsed="1">
      <c r="A51" s="22"/>
      <c r="B51" s="753"/>
      <c r="C51" s="744" t="s">
        <v>672</v>
      </c>
      <c r="D51" s="517" t="str">
        <f>INDEX(Workstreams[Workstream], MATCH($C51, Workstreams[Code], 0))</f>
        <v>Agriculture and waste</v>
      </c>
      <c r="E51" s="512"/>
      <c r="G51" s="1021">
        <f ca="1">SUM(G48:G50)</f>
        <v>0</v>
      </c>
      <c r="H51" s="1021">
        <f t="shared" ref="H51:P51" ca="1" si="137">SUM(H48:H50)</f>
        <v>0</v>
      </c>
      <c r="I51" s="1021">
        <f t="shared" ca="1" si="137"/>
        <v>10.960174043667649</v>
      </c>
      <c r="J51" s="1021">
        <f t="shared" ca="1" si="137"/>
        <v>0</v>
      </c>
      <c r="K51" s="1021">
        <f t="shared" ca="1" si="137"/>
        <v>0</v>
      </c>
      <c r="L51" s="1021">
        <f t="shared" ca="1" si="137"/>
        <v>0</v>
      </c>
      <c r="M51" s="1021">
        <f t="shared" ca="1" si="137"/>
        <v>0</v>
      </c>
      <c r="N51" s="1021">
        <f t="shared" ca="1" si="137"/>
        <v>0</v>
      </c>
      <c r="O51" s="1021">
        <f t="shared" ca="1" si="137"/>
        <v>0</v>
      </c>
      <c r="P51" s="1021">
        <f t="shared" ca="1" si="137"/>
        <v>0</v>
      </c>
      <c r="Q51" s="1021">
        <f ca="1">SUM(G51:P51)</f>
        <v>10.960174043667649</v>
      </c>
      <c r="S51" s="970">
        <f t="shared" ref="S51:AJ51" ca="1" si="138">SUM(S48:S50)</f>
        <v>-4.3840696174670599</v>
      </c>
      <c r="T51" s="970">
        <f t="shared" ca="1" si="138"/>
        <v>0</v>
      </c>
      <c r="U51" s="970">
        <f t="shared" ca="1" si="138"/>
        <v>-0.87681392349341192</v>
      </c>
      <c r="V51" s="970">
        <f t="shared" ca="1" si="138"/>
        <v>-3.6168574344103246</v>
      </c>
      <c r="W51" s="970">
        <f t="shared" ca="1" si="138"/>
        <v>-2.0824330682968535</v>
      </c>
      <c r="X51" s="970">
        <f t="shared" ca="1" si="138"/>
        <v>88.802339831739644</v>
      </c>
      <c r="Y51" s="970">
        <f t="shared" ca="1" si="138"/>
        <v>0</v>
      </c>
      <c r="Z51" s="970">
        <f t="shared" ca="1" si="138"/>
        <v>0</v>
      </c>
      <c r="AA51" s="970">
        <f t="shared" ca="1" si="138"/>
        <v>0</v>
      </c>
      <c r="AB51" s="970">
        <f t="shared" ca="1" si="138"/>
        <v>0</v>
      </c>
      <c r="AC51" s="970">
        <f t="shared" ca="1" si="138"/>
        <v>0</v>
      </c>
      <c r="AD51" s="970">
        <f t="shared" ca="1" si="138"/>
        <v>54.687907950087279</v>
      </c>
      <c r="AE51" s="970">
        <f ca="1">SUM(AE48:AE50)</f>
        <v>1.5621974848178559</v>
      </c>
      <c r="AF51" s="970">
        <f t="shared" ca="1" si="138"/>
        <v>63.156559579101412</v>
      </c>
      <c r="AG51" s="970">
        <f t="shared" ca="1" si="138"/>
        <v>46.537817057146697</v>
      </c>
      <c r="AH51" s="970">
        <f ca="1">SUM(AH48:AH50)</f>
        <v>17.575536884393671</v>
      </c>
      <c r="AI51" s="970">
        <f t="shared" ca="1" si="138"/>
        <v>0</v>
      </c>
      <c r="AJ51" s="970">
        <f t="shared" ca="1" si="138"/>
        <v>0</v>
      </c>
      <c r="AK51" s="970">
        <f ca="1">SUM(S51:AJ51)</f>
        <v>261.36218474361891</v>
      </c>
      <c r="AM51" s="976">
        <f t="shared" ref="AM51:BE51" ca="1" si="139">SUM(AM48:AM50)</f>
        <v>0</v>
      </c>
      <c r="AN51" s="976">
        <f t="shared" ca="1" si="139"/>
        <v>0</v>
      </c>
      <c r="AO51" s="976">
        <f t="shared" ca="1" si="139"/>
        <v>0</v>
      </c>
      <c r="AP51" s="976">
        <f t="shared" ca="1" si="139"/>
        <v>0</v>
      </c>
      <c r="AQ51" s="976">
        <f t="shared" ca="1" si="139"/>
        <v>0</v>
      </c>
      <c r="AR51" s="976">
        <f t="shared" ca="1" si="139"/>
        <v>0</v>
      </c>
      <c r="AS51" s="976">
        <f t="shared" ca="1" si="139"/>
        <v>0</v>
      </c>
      <c r="AT51" s="976">
        <f t="shared" ca="1" si="139"/>
        <v>0</v>
      </c>
      <c r="AU51" s="976">
        <f t="shared" ca="1" si="139"/>
        <v>0</v>
      </c>
      <c r="AV51" s="976">
        <f t="shared" ca="1" si="139"/>
        <v>0</v>
      </c>
      <c r="AW51" s="976">
        <f t="shared" ca="1" si="139"/>
        <v>0</v>
      </c>
      <c r="AX51" s="976">
        <f t="shared" ca="1" si="139"/>
        <v>0</v>
      </c>
      <c r="AY51" s="976">
        <f t="shared" ca="1" si="139"/>
        <v>0</v>
      </c>
      <c r="AZ51" s="976">
        <f t="shared" ca="1" si="139"/>
        <v>0</v>
      </c>
      <c r="BA51" s="976">
        <f t="shared" ca="1" si="139"/>
        <v>0</v>
      </c>
      <c r="BB51" s="976">
        <f t="shared" ca="1" si="139"/>
        <v>0</v>
      </c>
      <c r="BC51" s="976">
        <f t="shared" ca="1" si="139"/>
        <v>0</v>
      </c>
      <c r="BD51" s="976">
        <f t="shared" ca="1" si="139"/>
        <v>-56.250105434905137</v>
      </c>
      <c r="BE51" s="976">
        <f t="shared" ca="1" si="139"/>
        <v>-216.07225335238144</v>
      </c>
      <c r="BF51" s="976">
        <f ca="1">SUM(AM51:BE51)</f>
        <v>-272.32235878728659</v>
      </c>
      <c r="BH51" s="990">
        <f ca="1">SUM(BH48:BH50)</f>
        <v>0</v>
      </c>
      <c r="BI51" s="990">
        <f ca="1">SUM(BI48:BI50)</f>
        <v>0</v>
      </c>
      <c r="BJ51" s="990">
        <f ca="1">SUM(BH51:BI51)</f>
        <v>0</v>
      </c>
      <c r="BL51" s="515">
        <f ca="1">Q51+AK51+BF51+BJ51</f>
        <v>0</v>
      </c>
      <c r="BM51" s="515"/>
      <c r="BN51" s="840"/>
      <c r="BO51" s="1482">
        <f t="shared" ref="BO51:DF51" ca="1" si="140">SUM(BO48:BO50)</f>
        <v>1.557440731605173</v>
      </c>
      <c r="BP51" s="1482">
        <f t="shared" ca="1" si="140"/>
        <v>2.6871322883002622E-3</v>
      </c>
      <c r="BQ51" s="1482">
        <f t="shared" ca="1" si="140"/>
        <v>1.9487067224556291E-2</v>
      </c>
      <c r="BR51" s="1482">
        <f t="shared" ca="1" si="140"/>
        <v>0</v>
      </c>
      <c r="BS51" s="1482">
        <f t="shared" ca="1" si="140"/>
        <v>0</v>
      </c>
      <c r="BT51" s="1482">
        <f t="shared" ca="1" si="140"/>
        <v>0</v>
      </c>
      <c r="BU51" s="1482">
        <f t="shared" ca="1" si="140"/>
        <v>0</v>
      </c>
      <c r="BV51" s="1482">
        <f t="shared" ca="1" si="140"/>
        <v>0</v>
      </c>
      <c r="BW51" s="1482">
        <f t="shared" ca="1" si="140"/>
        <v>0</v>
      </c>
      <c r="BX51" s="1482">
        <f t="shared" ca="1" si="140"/>
        <v>0</v>
      </c>
      <c r="BY51" s="1482">
        <f t="shared" ca="1" si="140"/>
        <v>0</v>
      </c>
      <c r="BZ51" s="1482">
        <f t="shared" ca="1" si="140"/>
        <v>0</v>
      </c>
      <c r="CA51" s="1482">
        <f t="shared" ca="1" si="140"/>
        <v>0</v>
      </c>
      <c r="CB51" s="1482">
        <f t="shared" ca="1" si="140"/>
        <v>0</v>
      </c>
      <c r="CC51" s="1482">
        <f t="shared" ca="1" si="140"/>
        <v>0</v>
      </c>
      <c r="CD51" s="1482">
        <f t="shared" ca="1" si="140"/>
        <v>0</v>
      </c>
      <c r="CE51" s="1482">
        <f t="shared" ca="1" si="140"/>
        <v>0</v>
      </c>
      <c r="CF51" s="1482">
        <f t="shared" ca="1" si="140"/>
        <v>17.137937282804025</v>
      </c>
      <c r="CG51" s="1482">
        <f t="shared" ca="1" si="140"/>
        <v>21.131071545342206</v>
      </c>
      <c r="CH51" s="1482">
        <f t="shared" ca="1" si="140"/>
        <v>0</v>
      </c>
      <c r="CI51" s="1482">
        <f t="shared" ca="1" si="140"/>
        <v>10.039322920704391</v>
      </c>
      <c r="CJ51" s="1482">
        <f t="shared" ca="1" si="140"/>
        <v>0</v>
      </c>
      <c r="CK51" s="1482">
        <f t="shared" ca="1" si="140"/>
        <v>0</v>
      </c>
      <c r="CL51" s="1482">
        <f t="shared" ca="1" si="140"/>
        <v>0</v>
      </c>
      <c r="CM51" s="1482">
        <f t="shared" ca="1" si="140"/>
        <v>0</v>
      </c>
      <c r="CN51" s="1482">
        <f t="shared" ca="1" si="140"/>
        <v>21.045170786933397</v>
      </c>
      <c r="CO51" s="1482">
        <f t="shared" ca="1" si="140"/>
        <v>1.5132086164843455</v>
      </c>
      <c r="CP51" s="1482">
        <f t="shared" ca="1" si="140"/>
        <v>0</v>
      </c>
      <c r="CQ51" s="1482">
        <f t="shared" ca="1" si="140"/>
        <v>0</v>
      </c>
      <c r="CR51" s="1482">
        <f t="shared" ca="1" si="140"/>
        <v>0</v>
      </c>
      <c r="CS51" s="1482">
        <f t="shared" ca="1" si="140"/>
        <v>0</v>
      </c>
      <c r="CT51" s="1482">
        <f t="shared" ca="1" si="140"/>
        <v>0</v>
      </c>
      <c r="CU51" s="1482">
        <f t="shared" ca="1" si="140"/>
        <v>0</v>
      </c>
      <c r="CV51" s="1482">
        <f t="shared" ca="1" si="140"/>
        <v>0</v>
      </c>
      <c r="CW51" s="1482">
        <f t="shared" ca="1" si="140"/>
        <v>0</v>
      </c>
      <c r="CX51" s="1482">
        <f t="shared" ca="1" si="140"/>
        <v>0</v>
      </c>
      <c r="CY51" s="1482">
        <f t="shared" ca="1" si="140"/>
        <v>0</v>
      </c>
      <c r="CZ51" s="1482">
        <f t="shared" ca="1" si="140"/>
        <v>0</v>
      </c>
      <c r="DA51" s="1482">
        <f t="shared" ca="1" si="140"/>
        <v>0</v>
      </c>
      <c r="DB51" s="1482">
        <f t="shared" ca="1" si="140"/>
        <v>0</v>
      </c>
      <c r="DC51" s="1482">
        <f t="shared" ca="1" si="140"/>
        <v>0</v>
      </c>
      <c r="DD51" s="1482">
        <f t="shared" ca="1" si="140"/>
        <v>0</v>
      </c>
      <c r="DE51" s="1482">
        <f t="shared" ca="1" si="140"/>
        <v>0</v>
      </c>
      <c r="DF51" s="1482">
        <f t="shared" ca="1" si="140"/>
        <v>0</v>
      </c>
      <c r="DH51" s="838">
        <f t="shared" ca="1" si="124"/>
        <v>72.446326083386396</v>
      </c>
    </row>
    <row r="52" spans="1:112" s="743" customFormat="1" ht="12.75" hidden="1" customHeight="1" outlineLevel="1">
      <c r="A52" s="22"/>
      <c r="B52" s="22"/>
      <c r="C52" s="751"/>
      <c r="D52" s="512"/>
      <c r="E52" s="512"/>
      <c r="G52" s="958"/>
      <c r="H52" s="958"/>
      <c r="I52" s="958"/>
      <c r="J52" s="958"/>
      <c r="K52" s="960"/>
      <c r="L52" s="958"/>
      <c r="M52" s="958"/>
      <c r="N52" s="958"/>
      <c r="O52" s="958"/>
      <c r="P52" s="958"/>
      <c r="Q52" s="958"/>
      <c r="S52" s="970"/>
      <c r="T52" s="970"/>
      <c r="U52" s="970"/>
      <c r="V52" s="970"/>
      <c r="W52" s="970"/>
      <c r="X52" s="970"/>
      <c r="Y52" s="970"/>
      <c r="Z52" s="970"/>
      <c r="AA52" s="970"/>
      <c r="AB52" s="970"/>
      <c r="AC52" s="970"/>
      <c r="AD52" s="970"/>
      <c r="AE52" s="970"/>
      <c r="AF52" s="970"/>
      <c r="AG52" s="970"/>
      <c r="AH52" s="970"/>
      <c r="AI52" s="970"/>
      <c r="AJ52" s="970"/>
      <c r="AK52" s="970"/>
      <c r="AM52" s="976"/>
      <c r="AN52" s="976"/>
      <c r="AO52" s="976"/>
      <c r="AP52" s="976"/>
      <c r="AQ52" s="976"/>
      <c r="AR52" s="976"/>
      <c r="AS52" s="976"/>
      <c r="AT52" s="976"/>
      <c r="AU52" s="976"/>
      <c r="AV52" s="976"/>
      <c r="AW52" s="976"/>
      <c r="AX52" s="976"/>
      <c r="AY52" s="976"/>
      <c r="AZ52" s="976"/>
      <c r="BA52" s="976"/>
      <c r="BB52" s="976"/>
      <c r="BC52" s="976"/>
      <c r="BD52" s="976"/>
      <c r="BE52" s="976"/>
      <c r="BF52" s="976"/>
      <c r="BH52" s="990"/>
      <c r="BI52" s="990"/>
      <c r="BJ52" s="990"/>
      <c r="BL52" s="515">
        <f>Q52+AK52+BF52+BJ52</f>
        <v>0</v>
      </c>
      <c r="BM52" s="515"/>
      <c r="BN52" s="22"/>
      <c r="BO52" s="1482"/>
      <c r="BP52" s="1482"/>
      <c r="BQ52" s="1482"/>
      <c r="BR52" s="1482"/>
      <c r="BS52" s="1482"/>
      <c r="BT52" s="1482"/>
      <c r="BU52" s="1482"/>
      <c r="BV52" s="1482"/>
      <c r="BW52" s="1482"/>
      <c r="BX52" s="1482"/>
      <c r="BY52" s="1482"/>
      <c r="BZ52" s="1482"/>
      <c r="CA52" s="1482"/>
      <c r="CB52" s="1482"/>
      <c r="CC52" s="1482"/>
      <c r="CD52" s="1482"/>
      <c r="CE52" s="1482"/>
      <c r="CF52" s="1482"/>
      <c r="CG52" s="1482"/>
      <c r="CH52" s="1482"/>
      <c r="CI52" s="1482"/>
      <c r="CJ52" s="1482"/>
      <c r="CK52" s="1482"/>
      <c r="CL52" s="1482"/>
      <c r="CM52" s="1482"/>
      <c r="CN52" s="1482"/>
      <c r="CO52" s="1482"/>
      <c r="CP52" s="1482"/>
      <c r="CQ52" s="1482"/>
      <c r="CR52" s="1482"/>
      <c r="CS52" s="1482"/>
      <c r="CT52" s="1482"/>
      <c r="CU52" s="1482"/>
      <c r="CV52" s="1482"/>
      <c r="CW52" s="1482"/>
      <c r="CX52" s="1482"/>
      <c r="CY52" s="1482"/>
      <c r="CZ52" s="1482"/>
      <c r="DA52" s="1482"/>
      <c r="DB52" s="1482"/>
      <c r="DC52" s="1482"/>
      <c r="DD52" s="1482"/>
      <c r="DE52" s="1482"/>
      <c r="DF52" s="1482"/>
      <c r="DH52" s="838">
        <f t="shared" si="124"/>
        <v>0</v>
      </c>
    </row>
    <row r="53" spans="1:112" s="743" customFormat="1" hidden="1" outlineLevel="1">
      <c r="A53" s="1484"/>
      <c r="B53" s="1484"/>
      <c r="C53" s="522" t="s">
        <v>971</v>
      </c>
      <c r="D53" s="521" t="str">
        <f>INDEX(Modules[Module], MATCH($C53, Modules[Code], 0))</f>
        <v>Petroleum refineries</v>
      </c>
      <c r="E53" s="521"/>
      <c r="G53" s="1017">
        <f t="shared" ref="G53:P54" ca="1" si="141">IFERROR(INDEX(INDIRECT($C53&amp;".Outputs["&amp;this.Year&amp;"]"), MATCH(G$5, INDIRECT($C53&amp;".Outputs[Vector]"), 0)), 0)</f>
        <v>0</v>
      </c>
      <c r="H53" s="1017">
        <f t="shared" ca="1" si="141"/>
        <v>0</v>
      </c>
      <c r="I53" s="1017">
        <f t="shared" ca="1" si="141"/>
        <v>0</v>
      </c>
      <c r="J53" s="1017">
        <f t="shared" ca="1" si="141"/>
        <v>0</v>
      </c>
      <c r="K53" s="1017">
        <f t="shared" ca="1" si="141"/>
        <v>0</v>
      </c>
      <c r="L53" s="1017">
        <f t="shared" ca="1" si="141"/>
        <v>0</v>
      </c>
      <c r="M53" s="1017">
        <f t="shared" ca="1" si="141"/>
        <v>0</v>
      </c>
      <c r="N53" s="1017">
        <f t="shared" ca="1" si="141"/>
        <v>0</v>
      </c>
      <c r="O53" s="1017">
        <f t="shared" ca="1" si="141"/>
        <v>0</v>
      </c>
      <c r="P53" s="1017">
        <f t="shared" ca="1" si="141"/>
        <v>0</v>
      </c>
      <c r="Q53" s="1019">
        <f ca="1">SUM(G53:P53)</f>
        <v>0</v>
      </c>
      <c r="S53" s="1026">
        <f t="shared" ref="S53:BE54" ca="1" si="142">IFERROR(INDEX(INDIRECT($C53&amp;".Outputs["&amp;this.Year&amp;"]"), MATCH(S$5, INDIRECT($C53&amp;".Outputs[Vector]"), 0)), 0)</f>
        <v>-5.1776032694297172</v>
      </c>
      <c r="T53" s="1026">
        <f t="shared" ca="1" si="142"/>
        <v>0</v>
      </c>
      <c r="U53" s="1026">
        <f t="shared" ca="1" si="142"/>
        <v>0</v>
      </c>
      <c r="V53" s="1026">
        <f t="shared" ca="1" si="142"/>
        <v>-42.437636670483883</v>
      </c>
      <c r="W53" s="1026">
        <f t="shared" ca="1" si="142"/>
        <v>-1.8879074315919082</v>
      </c>
      <c r="X53" s="1026">
        <f t="shared" ref="X53:Z54" ca="1" si="143">IFERROR(INDEX(INDIRECT($C53&amp;".Outputs["&amp;this.Year&amp;"]"), MATCH(X$5, INDIRECT($C53&amp;".Outputs[Vector]"), 0)), 0)</f>
        <v>0</v>
      </c>
      <c r="Y53" s="1026">
        <f t="shared" ca="1" si="143"/>
        <v>0</v>
      </c>
      <c r="Z53" s="1026">
        <f t="shared" ca="1" si="143"/>
        <v>0</v>
      </c>
      <c r="AA53" s="1026">
        <f t="shared" ca="1" si="142"/>
        <v>0</v>
      </c>
      <c r="AB53" s="1026">
        <f t="shared" ca="1" si="142"/>
        <v>-0.6080109138687616</v>
      </c>
      <c r="AC53" s="1026">
        <f t="shared" ca="1" si="142"/>
        <v>0</v>
      </c>
      <c r="AD53" s="1026">
        <f t="shared" ca="1" si="142"/>
        <v>0</v>
      </c>
      <c r="AE53" s="1026">
        <f t="shared" ca="1" si="142"/>
        <v>0</v>
      </c>
      <c r="AF53" s="1026">
        <f t="shared" ca="1" si="142"/>
        <v>0</v>
      </c>
      <c r="AG53" s="1026">
        <f t="shared" ca="1" si="142"/>
        <v>0</v>
      </c>
      <c r="AH53" s="1026">
        <f t="shared" ca="1" si="142"/>
        <v>0</v>
      </c>
      <c r="AI53" s="1026">
        <f t="shared" ca="1" si="142"/>
        <v>0</v>
      </c>
      <c r="AJ53" s="1026">
        <f t="shared" ca="1" si="142"/>
        <v>0</v>
      </c>
      <c r="AK53" s="1027">
        <f ca="1">SUM(S53:AJ53)</f>
        <v>-50.111158285374266</v>
      </c>
      <c r="AM53" s="1038">
        <f t="shared" ref="AM53:AU54" ca="1" si="144">IFERROR(INDEX(INDIRECT($C53&amp;".Outputs["&amp;this.Year&amp;"]"), MATCH(AM$5, INDIRECT($C53&amp;".Outputs[Vector]"), 0)), 0)</f>
        <v>0</v>
      </c>
      <c r="AN53" s="1038">
        <f t="shared" ca="1" si="144"/>
        <v>0</v>
      </c>
      <c r="AO53" s="1038">
        <f t="shared" ca="1" si="144"/>
        <v>0</v>
      </c>
      <c r="AP53" s="1038">
        <f t="shared" ca="1" si="144"/>
        <v>0</v>
      </c>
      <c r="AQ53" s="1038">
        <f t="shared" ca="1" si="144"/>
        <v>0</v>
      </c>
      <c r="AR53" s="1038">
        <f t="shared" ca="1" si="144"/>
        <v>0</v>
      </c>
      <c r="AS53" s="1038">
        <f t="shared" ca="1" si="144"/>
        <v>0</v>
      </c>
      <c r="AT53" s="1038">
        <f t="shared" ca="1" si="144"/>
        <v>0</v>
      </c>
      <c r="AU53" s="1038">
        <f t="shared" ca="1" si="144"/>
        <v>0</v>
      </c>
      <c r="AV53" s="1038">
        <f t="shared" ca="1" si="142"/>
        <v>0</v>
      </c>
      <c r="AW53" s="1038">
        <f t="shared" ca="1" si="142"/>
        <v>0</v>
      </c>
      <c r="AX53" s="1038">
        <f t="shared" ca="1" si="142"/>
        <v>0</v>
      </c>
      <c r="AY53" s="1038">
        <f t="shared" ca="1" si="142"/>
        <v>0</v>
      </c>
      <c r="AZ53" s="1038">
        <f t="shared" ca="1" si="142"/>
        <v>0</v>
      </c>
      <c r="BA53" s="1038">
        <f t="shared" ca="1" si="142"/>
        <v>0</v>
      </c>
      <c r="BB53" s="1038">
        <f t="shared" ca="1" si="142"/>
        <v>0</v>
      </c>
      <c r="BC53" s="1038">
        <f t="shared" ca="1" si="142"/>
        <v>0</v>
      </c>
      <c r="BD53" s="1038">
        <f t="shared" ca="1" si="142"/>
        <v>0</v>
      </c>
      <c r="BE53" s="1038">
        <f t="shared" ca="1" si="142"/>
        <v>0</v>
      </c>
      <c r="BF53" s="979">
        <f ca="1">SUM(AM53:BE53)</f>
        <v>0</v>
      </c>
      <c r="BH53" s="1032">
        <f ca="1">IFERROR(INDEX(INDIRECT($C53&amp;".Outputs["&amp;this.Year&amp;"]"), MATCH(BH$5, INDIRECT($C53&amp;".Outputs[Vector]"), 0)), 0)</f>
        <v>0</v>
      </c>
      <c r="BI53" s="1032">
        <f ca="1">IFERROR(INDEX(INDIRECT($C53&amp;".Outputs["&amp;this.Year&amp;"]"), MATCH(BI$5, INDIRECT($C53&amp;".Outputs[Vector]"), 0)), 0)</f>
        <v>50.111158285374266</v>
      </c>
      <c r="BJ53" s="1034">
        <f ca="1">SUM(BH53:BI53)</f>
        <v>50.111158285374266</v>
      </c>
      <c r="BL53" s="814">
        <f ca="1">Q53+AK53+BF53+BJ53</f>
        <v>0</v>
      </c>
      <c r="BM53" s="814"/>
      <c r="BN53" s="840"/>
      <c r="BO53" s="1481">
        <f t="shared" ref="BO53:BX54" ca="1" si="145">IFERROR(SUMIFS(INDIRECT($C53&amp;".Emissions["&amp;this.Year&amp;"]"), INDIRECT($C53&amp;".Emissions[GHG]"), BO$6, INDIRECT($C53&amp;".Emissions[IPCC Sector]"), BO$5),0)</f>
        <v>10.956784135033882</v>
      </c>
      <c r="BP53" s="1482">
        <f t="shared" ca="1" si="145"/>
        <v>1.3904980687989605E-2</v>
      </c>
      <c r="BQ53" s="1482">
        <f t="shared" ca="1" si="145"/>
        <v>0.19163392384203468</v>
      </c>
      <c r="BR53" s="1482">
        <f t="shared" ca="1" si="145"/>
        <v>0</v>
      </c>
      <c r="BS53" s="1482">
        <f t="shared" ca="1" si="145"/>
        <v>0</v>
      </c>
      <c r="BT53" s="1482">
        <f t="shared" ca="1" si="145"/>
        <v>0</v>
      </c>
      <c r="BU53" s="1482">
        <f t="shared" ca="1" si="145"/>
        <v>0</v>
      </c>
      <c r="BV53" s="1482">
        <f t="shared" ca="1" si="145"/>
        <v>0</v>
      </c>
      <c r="BW53" s="1482">
        <f t="shared" ca="1" si="145"/>
        <v>0</v>
      </c>
      <c r="BX53" s="1482">
        <f t="shared" ca="1" si="145"/>
        <v>0</v>
      </c>
      <c r="BY53" s="1482">
        <f t="shared" ref="BY53:CH54" ca="1" si="146">IFERROR(SUMIFS(INDIRECT($C53&amp;".Emissions["&amp;this.Year&amp;"]"), INDIRECT($C53&amp;".Emissions[GHG]"), BY$6, INDIRECT($C53&amp;".Emissions[IPCC Sector]"), BY$5),0)</f>
        <v>0</v>
      </c>
      <c r="BZ53" s="1482">
        <f t="shared" ca="1" si="146"/>
        <v>0</v>
      </c>
      <c r="CA53" s="1482">
        <f t="shared" ca="1" si="146"/>
        <v>0</v>
      </c>
      <c r="CB53" s="1482">
        <f t="shared" ca="1" si="146"/>
        <v>0</v>
      </c>
      <c r="CC53" s="1482">
        <f t="shared" ca="1" si="146"/>
        <v>0</v>
      </c>
      <c r="CD53" s="1482">
        <f t="shared" ca="1" si="146"/>
        <v>0</v>
      </c>
      <c r="CE53" s="1482">
        <f t="shared" ca="1" si="146"/>
        <v>0</v>
      </c>
      <c r="CF53" s="1482">
        <f t="shared" ca="1" si="146"/>
        <v>0</v>
      </c>
      <c r="CG53" s="1482">
        <f t="shared" ca="1" si="146"/>
        <v>0</v>
      </c>
      <c r="CH53" s="1482">
        <f t="shared" ca="1" si="146"/>
        <v>0</v>
      </c>
      <c r="CI53" s="1482">
        <f t="shared" ref="CI53:CR54" ca="1" si="147">IFERROR(SUMIFS(INDIRECT($C53&amp;".Emissions["&amp;this.Year&amp;"]"), INDIRECT($C53&amp;".Emissions[GHG]"), CI$6, INDIRECT($C53&amp;".Emissions[IPCC Sector]"), CI$5),0)</f>
        <v>0</v>
      </c>
      <c r="CJ53" s="1482">
        <f t="shared" ca="1" si="147"/>
        <v>0</v>
      </c>
      <c r="CK53" s="1482">
        <f t="shared" ca="1" si="147"/>
        <v>0</v>
      </c>
      <c r="CL53" s="1482">
        <f t="shared" ca="1" si="147"/>
        <v>0</v>
      </c>
      <c r="CM53" s="1482">
        <f t="shared" ca="1" si="147"/>
        <v>0</v>
      </c>
      <c r="CN53" s="1482">
        <f t="shared" ca="1" si="147"/>
        <v>0</v>
      </c>
      <c r="CO53" s="1482">
        <f t="shared" ca="1" si="147"/>
        <v>0</v>
      </c>
      <c r="CP53" s="1482">
        <f t="shared" ca="1" si="147"/>
        <v>0</v>
      </c>
      <c r="CQ53" s="1482">
        <f t="shared" ca="1" si="147"/>
        <v>0</v>
      </c>
      <c r="CR53" s="1482">
        <f t="shared" ca="1" si="147"/>
        <v>0</v>
      </c>
      <c r="CS53" s="1482">
        <f t="shared" ref="CS53:DF54" ca="1" si="148">IFERROR(SUMIFS(INDIRECT($C53&amp;".Emissions["&amp;this.Year&amp;"]"), INDIRECT($C53&amp;".Emissions[GHG]"), CS$6, INDIRECT($C53&amp;".Emissions[IPCC Sector]"), CS$5),0)</f>
        <v>0</v>
      </c>
      <c r="CT53" s="1482">
        <f t="shared" ca="1" si="148"/>
        <v>0</v>
      </c>
      <c r="CU53" s="1482">
        <f t="shared" ca="1" si="148"/>
        <v>0</v>
      </c>
      <c r="CV53" s="1482">
        <f t="shared" ca="1" si="148"/>
        <v>0</v>
      </c>
      <c r="CW53" s="1482">
        <f t="shared" ca="1" si="148"/>
        <v>0</v>
      </c>
      <c r="CX53" s="1482">
        <f t="shared" ca="1" si="148"/>
        <v>0</v>
      </c>
      <c r="CY53" s="1482">
        <f t="shared" ca="1" si="148"/>
        <v>0</v>
      </c>
      <c r="CZ53" s="1482">
        <f t="shared" ca="1" si="148"/>
        <v>0</v>
      </c>
      <c r="DA53" s="1482">
        <f t="shared" ca="1" si="148"/>
        <v>0</v>
      </c>
      <c r="DB53" s="1482">
        <f t="shared" ca="1" si="148"/>
        <v>0</v>
      </c>
      <c r="DC53" s="1482">
        <f t="shared" ca="1" si="148"/>
        <v>0</v>
      </c>
      <c r="DD53" s="1482">
        <f t="shared" ca="1" si="148"/>
        <v>0</v>
      </c>
      <c r="DE53" s="1482">
        <f t="shared" ca="1" si="148"/>
        <v>0</v>
      </c>
      <c r="DF53" s="1482">
        <f t="shared" ca="1" si="148"/>
        <v>0</v>
      </c>
      <c r="DH53" s="838">
        <f t="shared" ca="1" si="124"/>
        <v>11.162323039563907</v>
      </c>
    </row>
    <row r="54" spans="1:112" s="743" customFormat="1" hidden="1" outlineLevel="1">
      <c r="A54" s="1484"/>
      <c r="B54" s="1484"/>
      <c r="C54" s="522" t="s">
        <v>989</v>
      </c>
      <c r="D54" s="1010" t="str">
        <f>INDEX(Modules[Module], MATCH($C54, Modules[Code], 0))</f>
        <v>Indigenous fossil-fuel production</v>
      </c>
      <c r="E54" s="1010"/>
      <c r="G54" s="1022">
        <f t="shared" ca="1" si="141"/>
        <v>0</v>
      </c>
      <c r="H54" s="1022">
        <f t="shared" ca="1" si="141"/>
        <v>0</v>
      </c>
      <c r="I54" s="1022">
        <f t="shared" ca="1" si="141"/>
        <v>15.072772048380426</v>
      </c>
      <c r="J54" s="1022">
        <f t="shared" ca="1" si="141"/>
        <v>0</v>
      </c>
      <c r="K54" s="1022">
        <f t="shared" ca="1" si="141"/>
        <v>0</v>
      </c>
      <c r="L54" s="1022">
        <f t="shared" ca="1" si="141"/>
        <v>0</v>
      </c>
      <c r="M54" s="1022">
        <f t="shared" ca="1" si="141"/>
        <v>0</v>
      </c>
      <c r="N54" s="1022">
        <f t="shared" ca="1" si="141"/>
        <v>0</v>
      </c>
      <c r="O54" s="1022">
        <f t="shared" ca="1" si="141"/>
        <v>0</v>
      </c>
      <c r="P54" s="1022">
        <f t="shared" ca="1" si="141"/>
        <v>0</v>
      </c>
      <c r="Q54" s="1020">
        <f ca="1">SUM(G54:P54)</f>
        <v>15.072772048380426</v>
      </c>
      <c r="S54" s="1031">
        <f t="shared" ca="1" si="142"/>
        <v>-1.103719645923531</v>
      </c>
      <c r="T54" s="1031">
        <f t="shared" ca="1" si="142"/>
        <v>0</v>
      </c>
      <c r="U54" s="1031">
        <f t="shared" ca="1" si="142"/>
        <v>-4.4692473051785787E-2</v>
      </c>
      <c r="V54" s="1031">
        <f t="shared" ca="1" si="142"/>
        <v>0</v>
      </c>
      <c r="W54" s="1031">
        <f t="shared" ca="1" si="142"/>
        <v>-13.924359929405108</v>
      </c>
      <c r="X54" s="1031">
        <f t="shared" ca="1" si="143"/>
        <v>124.39544583847987</v>
      </c>
      <c r="Y54" s="1031">
        <f t="shared" ca="1" si="143"/>
        <v>210.18056977027507</v>
      </c>
      <c r="Z54" s="1031">
        <f t="shared" ca="1" si="143"/>
        <v>160.98597351628524</v>
      </c>
      <c r="AA54" s="1031">
        <f t="shared" ca="1" si="142"/>
        <v>0</v>
      </c>
      <c r="AB54" s="1031">
        <f t="shared" ca="1" si="142"/>
        <v>0</v>
      </c>
      <c r="AC54" s="1031">
        <f t="shared" ca="1" si="142"/>
        <v>0</v>
      </c>
      <c r="AD54" s="1031">
        <f t="shared" ca="1" si="142"/>
        <v>0</v>
      </c>
      <c r="AE54" s="1031">
        <f t="shared" ca="1" si="142"/>
        <v>0</v>
      </c>
      <c r="AF54" s="1031">
        <f t="shared" ca="1" si="142"/>
        <v>0</v>
      </c>
      <c r="AG54" s="1031">
        <f t="shared" ca="1" si="142"/>
        <v>0</v>
      </c>
      <c r="AH54" s="1031">
        <f t="shared" ca="1" si="142"/>
        <v>0</v>
      </c>
      <c r="AI54" s="1031">
        <f t="shared" ca="1" si="142"/>
        <v>0</v>
      </c>
      <c r="AJ54" s="1031">
        <f t="shared" ca="1" si="142"/>
        <v>0</v>
      </c>
      <c r="AK54" s="1030">
        <f ca="1">SUM(S54:AJ54)</f>
        <v>480.48921707665977</v>
      </c>
      <c r="AM54" s="1042">
        <f t="shared" ca="1" si="144"/>
        <v>-124.39544583847987</v>
      </c>
      <c r="AN54" s="1042">
        <f t="shared" ca="1" si="144"/>
        <v>-210.18056977027507</v>
      </c>
      <c r="AO54" s="1042">
        <f t="shared" ca="1" si="144"/>
        <v>-160.98597351628524</v>
      </c>
      <c r="AP54" s="1042">
        <f t="shared" ca="1" si="144"/>
        <v>0</v>
      </c>
      <c r="AQ54" s="1042">
        <f t="shared" ca="1" si="144"/>
        <v>0</v>
      </c>
      <c r="AR54" s="1042">
        <f t="shared" ca="1" si="144"/>
        <v>0</v>
      </c>
      <c r="AS54" s="1042">
        <f t="shared" ca="1" si="144"/>
        <v>0</v>
      </c>
      <c r="AT54" s="1042">
        <f t="shared" ca="1" si="144"/>
        <v>0</v>
      </c>
      <c r="AU54" s="1042">
        <f t="shared" ca="1" si="144"/>
        <v>0</v>
      </c>
      <c r="AV54" s="1042">
        <f t="shared" ca="1" si="142"/>
        <v>0</v>
      </c>
      <c r="AW54" s="1042">
        <f t="shared" ca="1" si="142"/>
        <v>0</v>
      </c>
      <c r="AX54" s="1042">
        <f t="shared" ca="1" si="142"/>
        <v>0</v>
      </c>
      <c r="AY54" s="1042">
        <f t="shared" ca="1" si="142"/>
        <v>0</v>
      </c>
      <c r="AZ54" s="1042">
        <f t="shared" ca="1" si="142"/>
        <v>0</v>
      </c>
      <c r="BA54" s="1042">
        <f t="shared" ca="1" si="142"/>
        <v>0</v>
      </c>
      <c r="BB54" s="1042">
        <f t="shared" ca="1" si="142"/>
        <v>0</v>
      </c>
      <c r="BC54" s="1042">
        <f t="shared" ca="1" si="142"/>
        <v>0</v>
      </c>
      <c r="BD54" s="1042">
        <f t="shared" ca="1" si="142"/>
        <v>0</v>
      </c>
      <c r="BE54" s="1042">
        <f t="shared" ca="1" si="142"/>
        <v>0</v>
      </c>
      <c r="BF54" s="1012">
        <f ca="1">SUM(AM54:BE54)</f>
        <v>-495.56198912504016</v>
      </c>
      <c r="BH54" s="1036">
        <f ca="1">IFERROR(INDEX(INDIRECT($C54&amp;".Outputs["&amp;this.Year&amp;"]"), MATCH(BH$5, INDIRECT($C54&amp;".Outputs[Vector]"), 0)), 0)</f>
        <v>0</v>
      </c>
      <c r="BI54" s="1036">
        <f ca="1">IFERROR(INDEX(INDIRECT($C54&amp;".Outputs["&amp;this.Year&amp;"]"), MATCH(BI$5, INDIRECT($C54&amp;".Outputs[Vector]"), 0)), 0)</f>
        <v>0</v>
      </c>
      <c r="BJ54" s="1035">
        <f ca="1">SUM(BH54:BI54)</f>
        <v>0</v>
      </c>
      <c r="BL54" s="814"/>
      <c r="BM54" s="814"/>
      <c r="BN54" s="840"/>
      <c r="BO54" s="1485">
        <f t="shared" ca="1" si="145"/>
        <v>2.5453382270105398</v>
      </c>
      <c r="BP54" s="1486">
        <f t="shared" ca="1" si="145"/>
        <v>5.1020940988950056E-3</v>
      </c>
      <c r="BQ54" s="1486">
        <f t="shared" ca="1" si="145"/>
        <v>5.4875502494837435E-3</v>
      </c>
      <c r="BR54" s="1486">
        <f t="shared" ca="1" si="145"/>
        <v>0</v>
      </c>
      <c r="BS54" s="1486">
        <f t="shared" ca="1" si="145"/>
        <v>1.0966105768296439</v>
      </c>
      <c r="BT54" s="1486">
        <f t="shared" ca="1" si="145"/>
        <v>2.6403129612517775</v>
      </c>
      <c r="BU54" s="1486">
        <f t="shared" ca="1" si="145"/>
        <v>0</v>
      </c>
      <c r="BV54" s="1486">
        <f t="shared" ca="1" si="145"/>
        <v>0</v>
      </c>
      <c r="BW54" s="1486">
        <f t="shared" ca="1" si="145"/>
        <v>0</v>
      </c>
      <c r="BX54" s="1486">
        <f t="shared" ca="1" si="145"/>
        <v>0</v>
      </c>
      <c r="BY54" s="1486">
        <f t="shared" ca="1" si="146"/>
        <v>0</v>
      </c>
      <c r="BZ54" s="1486">
        <f t="shared" ca="1" si="146"/>
        <v>0</v>
      </c>
      <c r="CA54" s="1486">
        <f t="shared" ca="1" si="146"/>
        <v>0</v>
      </c>
      <c r="CB54" s="1486">
        <f t="shared" ca="1" si="146"/>
        <v>0</v>
      </c>
      <c r="CC54" s="1486">
        <f t="shared" ca="1" si="146"/>
        <v>0</v>
      </c>
      <c r="CD54" s="1486">
        <f t="shared" ca="1" si="146"/>
        <v>0</v>
      </c>
      <c r="CE54" s="1486">
        <f t="shared" ca="1" si="146"/>
        <v>0</v>
      </c>
      <c r="CF54" s="1486">
        <f t="shared" ca="1" si="146"/>
        <v>0</v>
      </c>
      <c r="CG54" s="1486">
        <f t="shared" ca="1" si="146"/>
        <v>0</v>
      </c>
      <c r="CH54" s="1486">
        <f t="shared" ca="1" si="146"/>
        <v>0</v>
      </c>
      <c r="CI54" s="1486">
        <f t="shared" ca="1" si="147"/>
        <v>0</v>
      </c>
      <c r="CJ54" s="1486">
        <f t="shared" ca="1" si="147"/>
        <v>0</v>
      </c>
      <c r="CK54" s="1486">
        <f t="shared" ca="1" si="147"/>
        <v>0</v>
      </c>
      <c r="CL54" s="1486">
        <f t="shared" ca="1" si="147"/>
        <v>0</v>
      </c>
      <c r="CM54" s="1486">
        <f t="shared" ca="1" si="147"/>
        <v>0</v>
      </c>
      <c r="CN54" s="1486">
        <f t="shared" ca="1" si="147"/>
        <v>0</v>
      </c>
      <c r="CO54" s="1486">
        <f t="shared" ca="1" si="147"/>
        <v>0</v>
      </c>
      <c r="CP54" s="1486">
        <f t="shared" ca="1" si="147"/>
        <v>0</v>
      </c>
      <c r="CQ54" s="1486">
        <f t="shared" ca="1" si="147"/>
        <v>0</v>
      </c>
      <c r="CR54" s="1486">
        <f t="shared" ca="1" si="147"/>
        <v>0</v>
      </c>
      <c r="CS54" s="1486">
        <f t="shared" ca="1" si="148"/>
        <v>0</v>
      </c>
      <c r="CT54" s="1486">
        <f t="shared" ca="1" si="148"/>
        <v>0</v>
      </c>
      <c r="CU54" s="1486">
        <f t="shared" ca="1" si="148"/>
        <v>0</v>
      </c>
      <c r="CV54" s="1486">
        <f t="shared" ca="1" si="148"/>
        <v>0</v>
      </c>
      <c r="CW54" s="1486">
        <f t="shared" ca="1" si="148"/>
        <v>0</v>
      </c>
      <c r="CX54" s="1486">
        <f t="shared" ca="1" si="148"/>
        <v>0</v>
      </c>
      <c r="CY54" s="1486">
        <f t="shared" ca="1" si="148"/>
        <v>0</v>
      </c>
      <c r="CZ54" s="1486">
        <f t="shared" ca="1" si="148"/>
        <v>0</v>
      </c>
      <c r="DA54" s="1486">
        <f t="shared" ca="1" si="148"/>
        <v>0</v>
      </c>
      <c r="DB54" s="1486">
        <f t="shared" ca="1" si="148"/>
        <v>0</v>
      </c>
      <c r="DC54" s="1486">
        <f t="shared" ca="1" si="148"/>
        <v>0</v>
      </c>
      <c r="DD54" s="1486">
        <f t="shared" ca="1" si="148"/>
        <v>0</v>
      </c>
      <c r="DE54" s="1486">
        <f t="shared" ca="1" si="148"/>
        <v>0</v>
      </c>
      <c r="DF54" s="1486">
        <f t="shared" ca="1" si="148"/>
        <v>0</v>
      </c>
      <c r="DH54" s="838">
        <f t="shared" ca="1" si="124"/>
        <v>6.29285140944034</v>
      </c>
    </row>
    <row r="55" spans="1:112" s="743" customFormat="1" ht="15.75" collapsed="1">
      <c r="A55" s="1488"/>
      <c r="B55" s="1489"/>
      <c r="C55" s="744" t="s">
        <v>969</v>
      </c>
      <c r="D55" s="517" t="str">
        <f>INDEX(Workstreams[Workstream], MATCH($C55, Workstreams[Code], 0))</f>
        <v>Fossil fuel production</v>
      </c>
      <c r="E55" s="512"/>
      <c r="G55" s="1021">
        <f ca="1">SUM(G53:G54)</f>
        <v>0</v>
      </c>
      <c r="H55" s="1021">
        <f t="shared" ref="H55:P55" ca="1" si="149">SUM(H53:H54)</f>
        <v>0</v>
      </c>
      <c r="I55" s="1021">
        <f t="shared" ca="1" si="149"/>
        <v>15.072772048380426</v>
      </c>
      <c r="J55" s="1021">
        <f t="shared" ca="1" si="149"/>
        <v>0</v>
      </c>
      <c r="K55" s="1021">
        <f t="shared" ca="1" si="149"/>
        <v>0</v>
      </c>
      <c r="L55" s="1021">
        <f t="shared" ca="1" si="149"/>
        <v>0</v>
      </c>
      <c r="M55" s="1021">
        <f t="shared" ca="1" si="149"/>
        <v>0</v>
      </c>
      <c r="N55" s="1021">
        <f t="shared" ca="1" si="149"/>
        <v>0</v>
      </c>
      <c r="O55" s="1021">
        <f t="shared" ca="1" si="149"/>
        <v>0</v>
      </c>
      <c r="P55" s="1021">
        <f t="shared" ca="1" si="149"/>
        <v>0</v>
      </c>
      <c r="Q55" s="1021">
        <f ca="1">SUM(G55:P55)</f>
        <v>15.072772048380426</v>
      </c>
      <c r="S55" s="970">
        <f t="shared" ref="S55:AJ55" ca="1" si="150">SUM(S53:S54)</f>
        <v>-6.2813229153532486</v>
      </c>
      <c r="T55" s="970">
        <f t="shared" ca="1" si="150"/>
        <v>0</v>
      </c>
      <c r="U55" s="970">
        <f t="shared" ca="1" si="150"/>
        <v>-4.4692473051785787E-2</v>
      </c>
      <c r="V55" s="970">
        <f t="shared" ca="1" si="150"/>
        <v>-42.437636670483883</v>
      </c>
      <c r="W55" s="970">
        <f t="shared" ca="1" si="150"/>
        <v>-15.812267360997016</v>
      </c>
      <c r="X55" s="970">
        <f ca="1">SUM(X53:X54)</f>
        <v>124.39544583847987</v>
      </c>
      <c r="Y55" s="970">
        <f ca="1">SUM(Y53:Y54)</f>
        <v>210.18056977027507</v>
      </c>
      <c r="Z55" s="970">
        <f ca="1">SUM(Z53:Z54)</f>
        <v>160.98597351628524</v>
      </c>
      <c r="AA55" s="970">
        <f t="shared" ca="1" si="150"/>
        <v>0</v>
      </c>
      <c r="AB55" s="970">
        <f t="shared" ca="1" si="150"/>
        <v>-0.6080109138687616</v>
      </c>
      <c r="AC55" s="970">
        <f t="shared" ca="1" si="150"/>
        <v>0</v>
      </c>
      <c r="AD55" s="970">
        <f ca="1">SUM(AD53:AD54)</f>
        <v>0</v>
      </c>
      <c r="AE55" s="970">
        <f ca="1">SUM(AE53:AE54)</f>
        <v>0</v>
      </c>
      <c r="AF55" s="970">
        <f t="shared" ca="1" si="150"/>
        <v>0</v>
      </c>
      <c r="AG55" s="970">
        <f ca="1">SUM(AG53:AG54)</f>
        <v>0</v>
      </c>
      <c r="AH55" s="970">
        <f ca="1">SUM(AH53:AH54)</f>
        <v>0</v>
      </c>
      <c r="AI55" s="970">
        <f ca="1">SUM(AI53:AI54)</f>
        <v>0</v>
      </c>
      <c r="AJ55" s="970">
        <f t="shared" ca="1" si="150"/>
        <v>0</v>
      </c>
      <c r="AK55" s="970">
        <f ca="1">SUM(S55:AJ55)</f>
        <v>430.37805879128547</v>
      </c>
      <c r="AM55" s="976">
        <f t="shared" ref="AM55:BE55" ca="1" si="151">SUM(AM53:AM54)</f>
        <v>-124.39544583847987</v>
      </c>
      <c r="AN55" s="976">
        <f t="shared" ca="1" si="151"/>
        <v>-210.18056977027507</v>
      </c>
      <c r="AO55" s="976">
        <f t="shared" ca="1" si="151"/>
        <v>-160.98597351628524</v>
      </c>
      <c r="AP55" s="976">
        <f t="shared" ca="1" si="151"/>
        <v>0</v>
      </c>
      <c r="AQ55" s="976">
        <f t="shared" ca="1" si="151"/>
        <v>0</v>
      </c>
      <c r="AR55" s="976">
        <f t="shared" ca="1" si="151"/>
        <v>0</v>
      </c>
      <c r="AS55" s="976">
        <f t="shared" ca="1" si="151"/>
        <v>0</v>
      </c>
      <c r="AT55" s="976">
        <f t="shared" ca="1" si="151"/>
        <v>0</v>
      </c>
      <c r="AU55" s="976">
        <f t="shared" ca="1" si="151"/>
        <v>0</v>
      </c>
      <c r="AV55" s="976">
        <f t="shared" ca="1" si="151"/>
        <v>0</v>
      </c>
      <c r="AW55" s="976">
        <f t="shared" ca="1" si="151"/>
        <v>0</v>
      </c>
      <c r="AX55" s="976">
        <f t="shared" ca="1" si="151"/>
        <v>0</v>
      </c>
      <c r="AY55" s="976">
        <f t="shared" ca="1" si="151"/>
        <v>0</v>
      </c>
      <c r="AZ55" s="976">
        <f t="shared" ca="1" si="151"/>
        <v>0</v>
      </c>
      <c r="BA55" s="976">
        <f t="shared" ca="1" si="151"/>
        <v>0</v>
      </c>
      <c r="BB55" s="976">
        <f t="shared" ca="1" si="151"/>
        <v>0</v>
      </c>
      <c r="BC55" s="976">
        <f t="shared" ca="1" si="151"/>
        <v>0</v>
      </c>
      <c r="BD55" s="976">
        <f t="shared" ca="1" si="151"/>
        <v>0</v>
      </c>
      <c r="BE55" s="976">
        <f t="shared" ca="1" si="151"/>
        <v>0</v>
      </c>
      <c r="BF55" s="976">
        <f ca="1">SUM(AM55:BE55)</f>
        <v>-495.56198912504016</v>
      </c>
      <c r="BH55" s="990">
        <f ca="1">SUM(BH53:BH54)</f>
        <v>0</v>
      </c>
      <c r="BI55" s="990">
        <f ca="1">SUM(BI53:BI54)</f>
        <v>50.111158285374266</v>
      </c>
      <c r="BJ55" s="990">
        <f ca="1">SUM(BH55:BI55)</f>
        <v>50.111158285374266</v>
      </c>
      <c r="BL55" s="515">
        <f ca="1">Q55+AK55+BF55+BJ55</f>
        <v>0</v>
      </c>
      <c r="BM55" s="852"/>
      <c r="BN55" s="840"/>
      <c r="BO55" s="1481">
        <f t="shared" ref="BO55:DF55" ca="1" si="152">SUM(BO53:BO54)</f>
        <v>13.502122362044421</v>
      </c>
      <c r="BP55" s="1482">
        <f t="shared" ca="1" si="152"/>
        <v>1.9007074786884612E-2</v>
      </c>
      <c r="BQ55" s="1482">
        <f t="shared" ca="1" si="152"/>
        <v>0.19712147409151842</v>
      </c>
      <c r="BR55" s="1482">
        <f t="shared" ca="1" si="152"/>
        <v>0</v>
      </c>
      <c r="BS55" s="1482">
        <f t="shared" ca="1" si="152"/>
        <v>1.0966105768296439</v>
      </c>
      <c r="BT55" s="1482">
        <f t="shared" ca="1" si="152"/>
        <v>2.6403129612517775</v>
      </c>
      <c r="BU55" s="1482">
        <f t="shared" ca="1" si="152"/>
        <v>0</v>
      </c>
      <c r="BV55" s="1482">
        <f t="shared" ca="1" si="152"/>
        <v>0</v>
      </c>
      <c r="BW55" s="1482">
        <f t="shared" ca="1" si="152"/>
        <v>0</v>
      </c>
      <c r="BX55" s="1482">
        <f t="shared" ca="1" si="152"/>
        <v>0</v>
      </c>
      <c r="BY55" s="1482">
        <f t="shared" ca="1" si="152"/>
        <v>0</v>
      </c>
      <c r="BZ55" s="1482">
        <f t="shared" ca="1" si="152"/>
        <v>0</v>
      </c>
      <c r="CA55" s="1482">
        <f t="shared" ca="1" si="152"/>
        <v>0</v>
      </c>
      <c r="CB55" s="1482">
        <f t="shared" ca="1" si="152"/>
        <v>0</v>
      </c>
      <c r="CC55" s="1482">
        <f t="shared" ca="1" si="152"/>
        <v>0</v>
      </c>
      <c r="CD55" s="1482">
        <f t="shared" ca="1" si="152"/>
        <v>0</v>
      </c>
      <c r="CE55" s="1482">
        <f t="shared" ca="1" si="152"/>
        <v>0</v>
      </c>
      <c r="CF55" s="1482">
        <f t="shared" ca="1" si="152"/>
        <v>0</v>
      </c>
      <c r="CG55" s="1482">
        <f t="shared" ca="1" si="152"/>
        <v>0</v>
      </c>
      <c r="CH55" s="1482">
        <f t="shared" ca="1" si="152"/>
        <v>0</v>
      </c>
      <c r="CI55" s="1482">
        <f t="shared" ca="1" si="152"/>
        <v>0</v>
      </c>
      <c r="CJ55" s="1482">
        <f t="shared" ca="1" si="152"/>
        <v>0</v>
      </c>
      <c r="CK55" s="1482">
        <f t="shared" ca="1" si="152"/>
        <v>0</v>
      </c>
      <c r="CL55" s="1482">
        <f t="shared" ca="1" si="152"/>
        <v>0</v>
      </c>
      <c r="CM55" s="1482">
        <f t="shared" ca="1" si="152"/>
        <v>0</v>
      </c>
      <c r="CN55" s="1482">
        <f t="shared" ca="1" si="152"/>
        <v>0</v>
      </c>
      <c r="CO55" s="1482">
        <f t="shared" ca="1" si="152"/>
        <v>0</v>
      </c>
      <c r="CP55" s="1482">
        <f t="shared" ca="1" si="152"/>
        <v>0</v>
      </c>
      <c r="CQ55" s="1482">
        <f t="shared" ca="1" si="152"/>
        <v>0</v>
      </c>
      <c r="CR55" s="1482">
        <f t="shared" ca="1" si="152"/>
        <v>0</v>
      </c>
      <c r="CS55" s="1482">
        <f t="shared" ca="1" si="152"/>
        <v>0</v>
      </c>
      <c r="CT55" s="1482">
        <f t="shared" ca="1" si="152"/>
        <v>0</v>
      </c>
      <c r="CU55" s="1482">
        <f t="shared" ca="1" si="152"/>
        <v>0</v>
      </c>
      <c r="CV55" s="1482">
        <f t="shared" ca="1" si="152"/>
        <v>0</v>
      </c>
      <c r="CW55" s="1482">
        <f t="shared" ca="1" si="152"/>
        <v>0</v>
      </c>
      <c r="CX55" s="1482">
        <f t="shared" ca="1" si="152"/>
        <v>0</v>
      </c>
      <c r="CY55" s="1482">
        <f t="shared" ca="1" si="152"/>
        <v>0</v>
      </c>
      <c r="CZ55" s="1482">
        <f t="shared" ca="1" si="152"/>
        <v>0</v>
      </c>
      <c r="DA55" s="1482">
        <f t="shared" ca="1" si="152"/>
        <v>0</v>
      </c>
      <c r="DB55" s="1482">
        <f t="shared" ca="1" si="152"/>
        <v>0</v>
      </c>
      <c r="DC55" s="1482">
        <f t="shared" ca="1" si="152"/>
        <v>0</v>
      </c>
      <c r="DD55" s="1482">
        <f t="shared" ca="1" si="152"/>
        <v>0</v>
      </c>
      <c r="DE55" s="1482">
        <f t="shared" ca="1" si="152"/>
        <v>0</v>
      </c>
      <c r="DF55" s="1482">
        <f t="shared" ca="1" si="152"/>
        <v>0</v>
      </c>
      <c r="DH55" s="838">
        <f t="shared" ca="1" si="124"/>
        <v>17.455174449004247</v>
      </c>
    </row>
    <row r="56" spans="1:112" s="743" customFormat="1" hidden="1" outlineLevel="1">
      <c r="C56" s="520"/>
      <c r="D56" s="38"/>
      <c r="E56" s="509"/>
      <c r="G56" s="958"/>
      <c r="H56" s="958"/>
      <c r="I56" s="958"/>
      <c r="J56" s="958"/>
      <c r="K56" s="960"/>
      <c r="L56" s="958"/>
      <c r="M56" s="958"/>
      <c r="N56" s="958"/>
      <c r="O56" s="958"/>
      <c r="P56" s="958"/>
      <c r="Q56" s="958"/>
      <c r="S56" s="970"/>
      <c r="T56" s="970"/>
      <c r="U56" s="970"/>
      <c r="V56" s="970"/>
      <c r="W56" s="970"/>
      <c r="X56" s="970"/>
      <c r="Y56" s="970"/>
      <c r="Z56" s="970"/>
      <c r="AA56" s="970"/>
      <c r="AB56" s="970"/>
      <c r="AC56" s="970"/>
      <c r="AD56" s="970"/>
      <c r="AE56" s="970"/>
      <c r="AF56" s="970"/>
      <c r="AG56" s="970"/>
      <c r="AH56" s="970"/>
      <c r="AI56" s="970"/>
      <c r="AJ56" s="970"/>
      <c r="AK56" s="970"/>
      <c r="AM56" s="976"/>
      <c r="AN56" s="976"/>
      <c r="AO56" s="976"/>
      <c r="AP56" s="976"/>
      <c r="AQ56" s="976"/>
      <c r="AR56" s="976"/>
      <c r="AS56" s="976"/>
      <c r="AT56" s="976"/>
      <c r="AU56" s="976"/>
      <c r="AV56" s="976"/>
      <c r="AW56" s="976"/>
      <c r="AX56" s="976"/>
      <c r="AY56" s="976"/>
      <c r="AZ56" s="976"/>
      <c r="BA56" s="976"/>
      <c r="BB56" s="976"/>
      <c r="BC56" s="976"/>
      <c r="BD56" s="976"/>
      <c r="BE56" s="976"/>
      <c r="BF56" s="976"/>
      <c r="BH56" s="990"/>
      <c r="BI56" s="990"/>
      <c r="BJ56" s="990"/>
      <c r="BL56" s="515">
        <f t="shared" ref="BL56:BL63" si="153">Q56+AK56+BF56+BJ56</f>
        <v>0</v>
      </c>
      <c r="BM56" s="515"/>
      <c r="BO56" s="1482"/>
      <c r="BP56" s="1482"/>
      <c r="BQ56" s="1482"/>
      <c r="BR56" s="1482"/>
      <c r="BS56" s="1482"/>
      <c r="BT56" s="1482"/>
      <c r="BU56" s="1482"/>
      <c r="BV56" s="1482"/>
      <c r="BW56" s="1482"/>
      <c r="BX56" s="1482"/>
      <c r="BY56" s="1482"/>
      <c r="BZ56" s="1482"/>
      <c r="CA56" s="1482"/>
      <c r="CB56" s="1482"/>
      <c r="CC56" s="1482"/>
      <c r="CD56" s="1482"/>
      <c r="CE56" s="1482"/>
      <c r="CF56" s="1482"/>
      <c r="CG56" s="1482"/>
      <c r="CH56" s="1482"/>
      <c r="CI56" s="1482"/>
      <c r="CJ56" s="1482"/>
      <c r="CK56" s="1482"/>
      <c r="CL56" s="1482"/>
      <c r="CM56" s="1482"/>
      <c r="CN56" s="1482"/>
      <c r="CO56" s="1482"/>
      <c r="CP56" s="1482"/>
      <c r="CQ56" s="1482"/>
      <c r="CR56" s="1482"/>
      <c r="CS56" s="1482"/>
      <c r="CT56" s="1482"/>
      <c r="CU56" s="1482"/>
      <c r="CV56" s="1482"/>
      <c r="CW56" s="1482"/>
      <c r="CX56" s="1482"/>
      <c r="CY56" s="1482"/>
      <c r="CZ56" s="1482"/>
      <c r="DA56" s="1482"/>
      <c r="DB56" s="1482"/>
      <c r="DC56" s="1482"/>
      <c r="DD56" s="1482"/>
      <c r="DE56" s="1482"/>
      <c r="DF56" s="1482"/>
      <c r="DH56" s="838">
        <f t="shared" si="124"/>
        <v>0</v>
      </c>
    </row>
    <row r="57" spans="1:112" s="1484" customFormat="1" ht="12.75" hidden="1" customHeight="1" outlineLevel="1">
      <c r="C57" s="746" t="s">
        <v>1730</v>
      </c>
      <c r="D57" s="521" t="str">
        <f>INDEX(Modules[Module], MATCH($C57, Modules[Code], 0))</f>
        <v>Onshore wind</v>
      </c>
      <c r="E57" s="521"/>
      <c r="F57" s="743"/>
      <c r="G57" s="1017">
        <f t="shared" ref="G57:P62" ca="1" si="154">IFERROR(INDEX(INDIRECT($C57&amp;".Outputs["&amp;this.Year&amp;"]"), MATCH(G$5, INDIRECT($C57&amp;".Outputs[Vector]"), 0)), 0)</f>
        <v>0</v>
      </c>
      <c r="H57" s="1017">
        <f t="shared" ca="1" si="154"/>
        <v>0</v>
      </c>
      <c r="I57" s="1017">
        <f t="shared" ca="1" si="154"/>
        <v>0</v>
      </c>
      <c r="J57" s="1017">
        <f t="shared" ca="1" si="154"/>
        <v>0</v>
      </c>
      <c r="K57" s="1017">
        <f t="shared" ca="1" si="154"/>
        <v>0</v>
      </c>
      <c r="L57" s="1017">
        <f t="shared" ca="1" si="154"/>
        <v>0</v>
      </c>
      <c r="M57" s="1017">
        <f t="shared" ca="1" si="154"/>
        <v>0</v>
      </c>
      <c r="N57" s="1017">
        <f t="shared" ca="1" si="154"/>
        <v>0</v>
      </c>
      <c r="O57" s="1017">
        <f t="shared" ca="1" si="154"/>
        <v>0</v>
      </c>
      <c r="P57" s="1017">
        <f t="shared" ca="1" si="154"/>
        <v>0</v>
      </c>
      <c r="Q57" s="1019">
        <f t="shared" ref="Q57:Q63" ca="1" si="155">SUM(G57:P57)</f>
        <v>0</v>
      </c>
      <c r="R57" s="743"/>
      <c r="S57" s="1026">
        <f t="shared" ref="S57:BE62" ca="1" si="156">IFERROR(INDEX(INDIRECT($C57&amp;".Outputs["&amp;this.Year&amp;"]"), MATCH(S$5, INDIRECT($C57&amp;".Outputs[Vector]"), 0)), 0)</f>
        <v>0</v>
      </c>
      <c r="T57" s="1026">
        <f t="shared" ca="1" si="156"/>
        <v>7.3197853199999958</v>
      </c>
      <c r="U57" s="1026">
        <f t="shared" ca="1" si="156"/>
        <v>0</v>
      </c>
      <c r="V57" s="1026">
        <f t="shared" ca="1" si="156"/>
        <v>0</v>
      </c>
      <c r="W57" s="1026">
        <f t="shared" ca="1" si="156"/>
        <v>0</v>
      </c>
      <c r="X57" s="1026">
        <f t="shared" ref="X57:Z62" ca="1" si="157">IFERROR(INDEX(INDIRECT($C57&amp;".Outputs["&amp;this.Year&amp;"]"), MATCH(X$5, INDIRECT($C57&amp;".Outputs[Vector]"), 0)), 0)</f>
        <v>0</v>
      </c>
      <c r="Y57" s="1026">
        <f t="shared" ca="1" si="157"/>
        <v>0</v>
      </c>
      <c r="Z57" s="1026">
        <f t="shared" ca="1" si="157"/>
        <v>0</v>
      </c>
      <c r="AA57" s="1026">
        <f t="shared" ca="1" si="156"/>
        <v>0</v>
      </c>
      <c r="AB57" s="1026">
        <f t="shared" ca="1" si="156"/>
        <v>0</v>
      </c>
      <c r="AC57" s="1026">
        <f t="shared" ca="1" si="156"/>
        <v>0</v>
      </c>
      <c r="AD57" s="1026">
        <f t="shared" ca="1" si="156"/>
        <v>0</v>
      </c>
      <c r="AE57" s="1026">
        <f t="shared" ca="1" si="156"/>
        <v>0</v>
      </c>
      <c r="AF57" s="1026">
        <f t="shared" ca="1" si="156"/>
        <v>0</v>
      </c>
      <c r="AG57" s="1026">
        <f t="shared" ca="1" si="156"/>
        <v>0</v>
      </c>
      <c r="AH57" s="1026">
        <f t="shared" ca="1" si="156"/>
        <v>0</v>
      </c>
      <c r="AI57" s="1026">
        <f t="shared" ca="1" si="156"/>
        <v>0</v>
      </c>
      <c r="AJ57" s="1026">
        <f t="shared" ca="1" si="156"/>
        <v>0</v>
      </c>
      <c r="AK57" s="1027">
        <f t="shared" ref="AK57:AK63" ca="1" si="158">SUM(S57:AJ57)</f>
        <v>7.3197853199999958</v>
      </c>
      <c r="AL57" s="743"/>
      <c r="AM57" s="1038">
        <f t="shared" ref="AM57:AU62" ca="1" si="159">IFERROR(INDEX(INDIRECT($C57&amp;".Outputs["&amp;this.Year&amp;"]"), MATCH(AM$5, INDIRECT($C57&amp;".Outputs[Vector]"), 0)), 0)</f>
        <v>0</v>
      </c>
      <c r="AN57" s="1038">
        <f t="shared" ca="1" si="159"/>
        <v>0</v>
      </c>
      <c r="AO57" s="1038">
        <f t="shared" ca="1" si="159"/>
        <v>0</v>
      </c>
      <c r="AP57" s="1038">
        <f t="shared" ca="1" si="159"/>
        <v>0</v>
      </c>
      <c r="AQ57" s="1038">
        <f t="shared" ca="1" si="159"/>
        <v>0</v>
      </c>
      <c r="AR57" s="1038">
        <f t="shared" ca="1" si="159"/>
        <v>0</v>
      </c>
      <c r="AS57" s="1038">
        <f t="shared" ca="1" si="159"/>
        <v>0</v>
      </c>
      <c r="AT57" s="1038">
        <f t="shared" ca="1" si="159"/>
        <v>0</v>
      </c>
      <c r="AU57" s="1038">
        <f t="shared" ca="1" si="159"/>
        <v>0</v>
      </c>
      <c r="AV57" s="1038">
        <f t="shared" ca="1" si="156"/>
        <v>0</v>
      </c>
      <c r="AW57" s="1038">
        <f t="shared" ca="1" si="156"/>
        <v>0</v>
      </c>
      <c r="AX57" s="1038">
        <f t="shared" ca="1" si="156"/>
        <v>-7.3197853199999958</v>
      </c>
      <c r="AY57" s="1038">
        <f t="shared" ca="1" si="156"/>
        <v>0</v>
      </c>
      <c r="AZ57" s="1038">
        <f t="shared" ca="1" si="156"/>
        <v>0</v>
      </c>
      <c r="BA57" s="1038">
        <f t="shared" ca="1" si="156"/>
        <v>0</v>
      </c>
      <c r="BB57" s="1038">
        <f t="shared" ca="1" si="156"/>
        <v>0</v>
      </c>
      <c r="BC57" s="1038">
        <f t="shared" ca="1" si="156"/>
        <v>0</v>
      </c>
      <c r="BD57" s="1038">
        <f t="shared" ca="1" si="156"/>
        <v>0</v>
      </c>
      <c r="BE57" s="1038">
        <f t="shared" ca="1" si="156"/>
        <v>0</v>
      </c>
      <c r="BF57" s="979">
        <f t="shared" ref="BF57:BF63" ca="1" si="160">SUM(AM57:BE57)</f>
        <v>-7.3197853199999958</v>
      </c>
      <c r="BG57" s="743"/>
      <c r="BH57" s="1032">
        <f t="shared" ref="BH57:BI62" ca="1" si="161">IFERROR(INDEX(INDIRECT($C57&amp;".Outputs["&amp;this.Year&amp;"]"), MATCH(BH$5, INDIRECT($C57&amp;".Outputs[Vector]"), 0)), 0)</f>
        <v>0</v>
      </c>
      <c r="BI57" s="1032">
        <f t="shared" ca="1" si="161"/>
        <v>0</v>
      </c>
      <c r="BJ57" s="1034">
        <f t="shared" ref="BJ57:BJ63" ca="1" si="162">SUM(BH57:BI57)</f>
        <v>0</v>
      </c>
      <c r="BK57" s="743"/>
      <c r="BL57" s="814">
        <f t="shared" ca="1" si="153"/>
        <v>0</v>
      </c>
      <c r="BM57" s="814"/>
      <c r="BN57" s="840"/>
      <c r="BO57" s="1481">
        <f t="shared" ref="BO57:BX62" ca="1" si="163">IFERROR(SUMIFS(INDIRECT($C57&amp;".Emissions["&amp;this.Year&amp;"]"), INDIRECT($C57&amp;".Emissions[GHG]"), BO$6, INDIRECT($C57&amp;".Emissions[IPCC Sector]"), BO$5),0)</f>
        <v>0</v>
      </c>
      <c r="BP57" s="1482">
        <f t="shared" ca="1" si="163"/>
        <v>0</v>
      </c>
      <c r="BQ57" s="1482">
        <f t="shared" ca="1" si="163"/>
        <v>0</v>
      </c>
      <c r="BR57" s="1482">
        <f t="shared" ca="1" si="163"/>
        <v>0</v>
      </c>
      <c r="BS57" s="1482">
        <f t="shared" ca="1" si="163"/>
        <v>0</v>
      </c>
      <c r="BT57" s="1482">
        <f t="shared" ca="1" si="163"/>
        <v>0</v>
      </c>
      <c r="BU57" s="1482">
        <f t="shared" ca="1" si="163"/>
        <v>0</v>
      </c>
      <c r="BV57" s="1482">
        <f t="shared" ca="1" si="163"/>
        <v>0</v>
      </c>
      <c r="BW57" s="1482">
        <f t="shared" ca="1" si="163"/>
        <v>0</v>
      </c>
      <c r="BX57" s="1482">
        <f t="shared" ca="1" si="163"/>
        <v>0</v>
      </c>
      <c r="BY57" s="1482">
        <f t="shared" ref="BY57:CH62" ca="1" si="164">IFERROR(SUMIFS(INDIRECT($C57&amp;".Emissions["&amp;this.Year&amp;"]"), INDIRECT($C57&amp;".Emissions[GHG]"), BY$6, INDIRECT($C57&amp;".Emissions[IPCC Sector]"), BY$5),0)</f>
        <v>0</v>
      </c>
      <c r="BZ57" s="1482">
        <f t="shared" ca="1" si="164"/>
        <v>0</v>
      </c>
      <c r="CA57" s="1482">
        <f t="shared" ca="1" si="164"/>
        <v>0</v>
      </c>
      <c r="CB57" s="1482">
        <f t="shared" ca="1" si="164"/>
        <v>0</v>
      </c>
      <c r="CC57" s="1482">
        <f t="shared" ca="1" si="164"/>
        <v>0</v>
      </c>
      <c r="CD57" s="1482">
        <f t="shared" ca="1" si="164"/>
        <v>0</v>
      </c>
      <c r="CE57" s="1482">
        <f t="shared" ca="1" si="164"/>
        <v>0</v>
      </c>
      <c r="CF57" s="1482">
        <f t="shared" ca="1" si="164"/>
        <v>0</v>
      </c>
      <c r="CG57" s="1482">
        <f t="shared" ca="1" si="164"/>
        <v>0</v>
      </c>
      <c r="CH57" s="1482">
        <f t="shared" ca="1" si="164"/>
        <v>0</v>
      </c>
      <c r="CI57" s="1482">
        <f t="shared" ref="CI57:CR62" ca="1" si="165">IFERROR(SUMIFS(INDIRECT($C57&amp;".Emissions["&amp;this.Year&amp;"]"), INDIRECT($C57&amp;".Emissions[GHG]"), CI$6, INDIRECT($C57&amp;".Emissions[IPCC Sector]"), CI$5),0)</f>
        <v>0</v>
      </c>
      <c r="CJ57" s="1482">
        <f t="shared" ca="1" si="165"/>
        <v>0</v>
      </c>
      <c r="CK57" s="1482">
        <f t="shared" ca="1" si="165"/>
        <v>0</v>
      </c>
      <c r="CL57" s="1482">
        <f t="shared" ca="1" si="165"/>
        <v>0</v>
      </c>
      <c r="CM57" s="1482">
        <f t="shared" ca="1" si="165"/>
        <v>0</v>
      </c>
      <c r="CN57" s="1482">
        <f t="shared" ca="1" si="165"/>
        <v>0</v>
      </c>
      <c r="CO57" s="1482">
        <f t="shared" ca="1" si="165"/>
        <v>0</v>
      </c>
      <c r="CP57" s="1482">
        <f t="shared" ca="1" si="165"/>
        <v>0</v>
      </c>
      <c r="CQ57" s="1482">
        <f t="shared" ca="1" si="165"/>
        <v>0</v>
      </c>
      <c r="CR57" s="1482">
        <f t="shared" ca="1" si="165"/>
        <v>0</v>
      </c>
      <c r="CS57" s="1482">
        <f t="shared" ref="CS57:DF62" ca="1" si="166">IFERROR(SUMIFS(INDIRECT($C57&amp;".Emissions["&amp;this.Year&amp;"]"), INDIRECT($C57&amp;".Emissions[GHG]"), CS$6, INDIRECT($C57&amp;".Emissions[IPCC Sector]"), CS$5),0)</f>
        <v>0</v>
      </c>
      <c r="CT57" s="1482">
        <f t="shared" ca="1" si="166"/>
        <v>0</v>
      </c>
      <c r="CU57" s="1482">
        <f t="shared" ca="1" si="166"/>
        <v>0</v>
      </c>
      <c r="CV57" s="1482">
        <f t="shared" ca="1" si="166"/>
        <v>0</v>
      </c>
      <c r="CW57" s="1482">
        <f t="shared" ca="1" si="166"/>
        <v>0</v>
      </c>
      <c r="CX57" s="1482">
        <f t="shared" ca="1" si="166"/>
        <v>0</v>
      </c>
      <c r="CY57" s="1482">
        <f t="shared" ca="1" si="166"/>
        <v>0</v>
      </c>
      <c r="CZ57" s="1482">
        <f t="shared" ca="1" si="166"/>
        <v>0</v>
      </c>
      <c r="DA57" s="1482">
        <f t="shared" ca="1" si="166"/>
        <v>0</v>
      </c>
      <c r="DB57" s="1482">
        <f t="shared" ca="1" si="166"/>
        <v>0</v>
      </c>
      <c r="DC57" s="1482">
        <f t="shared" ca="1" si="166"/>
        <v>0</v>
      </c>
      <c r="DD57" s="1482">
        <f t="shared" ca="1" si="166"/>
        <v>0</v>
      </c>
      <c r="DE57" s="1482">
        <f t="shared" ca="1" si="166"/>
        <v>0</v>
      </c>
      <c r="DF57" s="1482">
        <f t="shared" ca="1" si="166"/>
        <v>0</v>
      </c>
      <c r="DH57" s="838">
        <f t="shared" ca="1" si="124"/>
        <v>0</v>
      </c>
    </row>
    <row r="58" spans="1:112" s="1484" customFormat="1" ht="12.75" hidden="1" customHeight="1" outlineLevel="1">
      <c r="C58" s="746" t="s">
        <v>1731</v>
      </c>
      <c r="D58" s="521" t="str">
        <f>INDEX(Modules[Module], MATCH($C58, Modules[Code], 0))</f>
        <v>Offshore wind</v>
      </c>
      <c r="E58" s="521"/>
      <c r="F58" s="743"/>
      <c r="G58" s="1017">
        <f t="shared" ca="1" si="154"/>
        <v>0</v>
      </c>
      <c r="H58" s="1017">
        <f t="shared" ca="1" si="154"/>
        <v>0</v>
      </c>
      <c r="I58" s="1017">
        <f t="shared" ca="1" si="154"/>
        <v>0</v>
      </c>
      <c r="J58" s="1017">
        <f t="shared" ca="1" si="154"/>
        <v>0</v>
      </c>
      <c r="K58" s="1017">
        <f t="shared" ca="1" si="154"/>
        <v>0</v>
      </c>
      <c r="L58" s="1017">
        <f t="shared" ca="1" si="154"/>
        <v>0</v>
      </c>
      <c r="M58" s="1017">
        <f t="shared" ca="1" si="154"/>
        <v>0</v>
      </c>
      <c r="N58" s="1017">
        <f t="shared" ca="1" si="154"/>
        <v>0</v>
      </c>
      <c r="O58" s="1017">
        <f t="shared" ca="1" si="154"/>
        <v>0</v>
      </c>
      <c r="P58" s="1017">
        <f t="shared" ca="1" si="154"/>
        <v>0</v>
      </c>
      <c r="Q58" s="1019">
        <f ca="1">SUM(G58:P58)</f>
        <v>0</v>
      </c>
      <c r="R58" s="743"/>
      <c r="S58" s="1026">
        <f t="shared" ca="1" si="156"/>
        <v>0</v>
      </c>
      <c r="T58" s="1026">
        <f t="shared" ca="1" si="156"/>
        <v>6.3319447800000042</v>
      </c>
      <c r="U58" s="1026">
        <f t="shared" ca="1" si="156"/>
        <v>0</v>
      </c>
      <c r="V58" s="1026">
        <f t="shared" ca="1" si="156"/>
        <v>0</v>
      </c>
      <c r="W58" s="1026">
        <f t="shared" ca="1" si="156"/>
        <v>0</v>
      </c>
      <c r="X58" s="1026">
        <f t="shared" ca="1" si="157"/>
        <v>0</v>
      </c>
      <c r="Y58" s="1026">
        <f t="shared" ca="1" si="157"/>
        <v>0</v>
      </c>
      <c r="Z58" s="1026">
        <f t="shared" ca="1" si="157"/>
        <v>0</v>
      </c>
      <c r="AA58" s="1026">
        <f t="shared" ca="1" si="156"/>
        <v>0</v>
      </c>
      <c r="AB58" s="1026">
        <f t="shared" ca="1" si="156"/>
        <v>0</v>
      </c>
      <c r="AC58" s="1026">
        <f t="shared" ca="1" si="156"/>
        <v>0</v>
      </c>
      <c r="AD58" s="1026">
        <f t="shared" ca="1" si="156"/>
        <v>0</v>
      </c>
      <c r="AE58" s="1026">
        <f t="shared" ca="1" si="156"/>
        <v>0</v>
      </c>
      <c r="AF58" s="1026">
        <f t="shared" ca="1" si="156"/>
        <v>0</v>
      </c>
      <c r="AG58" s="1026">
        <f t="shared" ca="1" si="156"/>
        <v>0</v>
      </c>
      <c r="AH58" s="1026">
        <f t="shared" ca="1" si="156"/>
        <v>0</v>
      </c>
      <c r="AI58" s="1026">
        <f t="shared" ca="1" si="156"/>
        <v>0</v>
      </c>
      <c r="AJ58" s="1026">
        <f t="shared" ca="1" si="156"/>
        <v>0</v>
      </c>
      <c r="AK58" s="1027">
        <f ca="1">SUM(S58:AJ58)</f>
        <v>6.3319447800000042</v>
      </c>
      <c r="AL58" s="743"/>
      <c r="AM58" s="1038">
        <f t="shared" ca="1" si="159"/>
        <v>0</v>
      </c>
      <c r="AN58" s="1038">
        <f t="shared" ca="1" si="159"/>
        <v>0</v>
      </c>
      <c r="AO58" s="1038">
        <f t="shared" ca="1" si="159"/>
        <v>0</v>
      </c>
      <c r="AP58" s="1038">
        <f t="shared" ca="1" si="159"/>
        <v>0</v>
      </c>
      <c r="AQ58" s="1038">
        <f t="shared" ca="1" si="159"/>
        <v>0</v>
      </c>
      <c r="AR58" s="1038">
        <f t="shared" ca="1" si="159"/>
        <v>0</v>
      </c>
      <c r="AS58" s="1038">
        <f t="shared" ca="1" si="159"/>
        <v>0</v>
      </c>
      <c r="AT58" s="1038">
        <f t="shared" ca="1" si="159"/>
        <v>0</v>
      </c>
      <c r="AU58" s="1038">
        <f t="shared" ca="1" si="159"/>
        <v>0</v>
      </c>
      <c r="AV58" s="1038">
        <f t="shared" ca="1" si="156"/>
        <v>0</v>
      </c>
      <c r="AW58" s="1038">
        <f t="shared" ca="1" si="156"/>
        <v>0</v>
      </c>
      <c r="AX58" s="1038">
        <f t="shared" ca="1" si="156"/>
        <v>-6.3319447800000042</v>
      </c>
      <c r="AY58" s="1038">
        <f t="shared" ca="1" si="156"/>
        <v>0</v>
      </c>
      <c r="AZ58" s="1038">
        <f t="shared" ca="1" si="156"/>
        <v>0</v>
      </c>
      <c r="BA58" s="1038">
        <f t="shared" ca="1" si="156"/>
        <v>0</v>
      </c>
      <c r="BB58" s="1038">
        <f t="shared" ca="1" si="156"/>
        <v>0</v>
      </c>
      <c r="BC58" s="1038">
        <f t="shared" ca="1" si="156"/>
        <v>0</v>
      </c>
      <c r="BD58" s="1038">
        <f t="shared" ca="1" si="156"/>
        <v>0</v>
      </c>
      <c r="BE58" s="1038">
        <f t="shared" ca="1" si="156"/>
        <v>0</v>
      </c>
      <c r="BF58" s="979">
        <f ca="1">SUM(AM58:BE58)</f>
        <v>-6.3319447800000042</v>
      </c>
      <c r="BG58" s="743"/>
      <c r="BH58" s="1032">
        <f t="shared" ca="1" si="161"/>
        <v>0</v>
      </c>
      <c r="BI58" s="1032">
        <f t="shared" ca="1" si="161"/>
        <v>0</v>
      </c>
      <c r="BJ58" s="1034">
        <f ca="1">SUM(BH58:BI58)</f>
        <v>0</v>
      </c>
      <c r="BK58" s="743"/>
      <c r="BL58" s="814">
        <f ca="1">Q58+AK58+BF58+BJ58</f>
        <v>0</v>
      </c>
      <c r="BM58" s="814"/>
      <c r="BN58" s="840"/>
      <c r="BO58" s="1481">
        <f t="shared" ca="1" si="163"/>
        <v>0</v>
      </c>
      <c r="BP58" s="1482">
        <f t="shared" ca="1" si="163"/>
        <v>0</v>
      </c>
      <c r="BQ58" s="1482">
        <f t="shared" ca="1" si="163"/>
        <v>0</v>
      </c>
      <c r="BR58" s="1482">
        <f t="shared" ca="1" si="163"/>
        <v>0</v>
      </c>
      <c r="BS58" s="1482">
        <f t="shared" ca="1" si="163"/>
        <v>0</v>
      </c>
      <c r="BT58" s="1482">
        <f t="shared" ca="1" si="163"/>
        <v>0</v>
      </c>
      <c r="BU58" s="1482">
        <f t="shared" ca="1" si="163"/>
        <v>0</v>
      </c>
      <c r="BV58" s="1482">
        <f t="shared" ca="1" si="163"/>
        <v>0</v>
      </c>
      <c r="BW58" s="1482">
        <f t="shared" ca="1" si="163"/>
        <v>0</v>
      </c>
      <c r="BX58" s="1482">
        <f t="shared" ca="1" si="163"/>
        <v>0</v>
      </c>
      <c r="BY58" s="1482">
        <f t="shared" ca="1" si="164"/>
        <v>0</v>
      </c>
      <c r="BZ58" s="1482">
        <f t="shared" ca="1" si="164"/>
        <v>0</v>
      </c>
      <c r="CA58" s="1482">
        <f t="shared" ca="1" si="164"/>
        <v>0</v>
      </c>
      <c r="CB58" s="1482">
        <f t="shared" ca="1" si="164"/>
        <v>0</v>
      </c>
      <c r="CC58" s="1482">
        <f t="shared" ca="1" si="164"/>
        <v>0</v>
      </c>
      <c r="CD58" s="1482">
        <f t="shared" ca="1" si="164"/>
        <v>0</v>
      </c>
      <c r="CE58" s="1482">
        <f t="shared" ca="1" si="164"/>
        <v>0</v>
      </c>
      <c r="CF58" s="1482">
        <f t="shared" ca="1" si="164"/>
        <v>0</v>
      </c>
      <c r="CG58" s="1482">
        <f t="shared" ca="1" si="164"/>
        <v>0</v>
      </c>
      <c r="CH58" s="1482">
        <f t="shared" ca="1" si="164"/>
        <v>0</v>
      </c>
      <c r="CI58" s="1482">
        <f t="shared" ca="1" si="165"/>
        <v>0</v>
      </c>
      <c r="CJ58" s="1482">
        <f t="shared" ca="1" si="165"/>
        <v>0</v>
      </c>
      <c r="CK58" s="1482">
        <f t="shared" ca="1" si="165"/>
        <v>0</v>
      </c>
      <c r="CL58" s="1482">
        <f t="shared" ca="1" si="165"/>
        <v>0</v>
      </c>
      <c r="CM58" s="1482">
        <f t="shared" ca="1" si="165"/>
        <v>0</v>
      </c>
      <c r="CN58" s="1482">
        <f t="shared" ca="1" si="165"/>
        <v>0</v>
      </c>
      <c r="CO58" s="1482">
        <f t="shared" ca="1" si="165"/>
        <v>0</v>
      </c>
      <c r="CP58" s="1482">
        <f t="shared" ca="1" si="165"/>
        <v>0</v>
      </c>
      <c r="CQ58" s="1482">
        <f t="shared" ca="1" si="165"/>
        <v>0</v>
      </c>
      <c r="CR58" s="1482">
        <f t="shared" ca="1" si="165"/>
        <v>0</v>
      </c>
      <c r="CS58" s="1482">
        <f t="shared" ca="1" si="166"/>
        <v>0</v>
      </c>
      <c r="CT58" s="1482">
        <f t="shared" ca="1" si="166"/>
        <v>0</v>
      </c>
      <c r="CU58" s="1482">
        <f t="shared" ca="1" si="166"/>
        <v>0</v>
      </c>
      <c r="CV58" s="1482">
        <f t="shared" ca="1" si="166"/>
        <v>0</v>
      </c>
      <c r="CW58" s="1482">
        <f t="shared" ca="1" si="166"/>
        <v>0</v>
      </c>
      <c r="CX58" s="1482">
        <f t="shared" ca="1" si="166"/>
        <v>0</v>
      </c>
      <c r="CY58" s="1482">
        <f t="shared" ca="1" si="166"/>
        <v>0</v>
      </c>
      <c r="CZ58" s="1482">
        <f t="shared" ca="1" si="166"/>
        <v>0</v>
      </c>
      <c r="DA58" s="1482">
        <f t="shared" ca="1" si="166"/>
        <v>0</v>
      </c>
      <c r="DB58" s="1482">
        <f t="shared" ca="1" si="166"/>
        <v>0</v>
      </c>
      <c r="DC58" s="1482">
        <f t="shared" ca="1" si="166"/>
        <v>0</v>
      </c>
      <c r="DD58" s="1482">
        <f t="shared" ca="1" si="166"/>
        <v>0</v>
      </c>
      <c r="DE58" s="1482">
        <f t="shared" ca="1" si="166"/>
        <v>0</v>
      </c>
      <c r="DF58" s="1482">
        <f t="shared" ca="1" si="166"/>
        <v>0</v>
      </c>
      <c r="DH58" s="838">
        <f ca="1">SUM(BO58:DF58)</f>
        <v>0</v>
      </c>
    </row>
    <row r="59" spans="1:112" s="1484" customFormat="1" ht="12.75" hidden="1" customHeight="1" outlineLevel="1">
      <c r="C59" s="746" t="s">
        <v>803</v>
      </c>
      <c r="D59" s="521" t="str">
        <f>INDEX(Modules[Module], MATCH($C59, Modules[Code], 0))</f>
        <v>Hydroelectric</v>
      </c>
      <c r="E59" s="521"/>
      <c r="F59" s="743"/>
      <c r="G59" s="1017">
        <f t="shared" ca="1" si="154"/>
        <v>0</v>
      </c>
      <c r="H59" s="1017">
        <f t="shared" ca="1" si="154"/>
        <v>0</v>
      </c>
      <c r="I59" s="1017">
        <f t="shared" ca="1" si="154"/>
        <v>0</v>
      </c>
      <c r="J59" s="1017">
        <f t="shared" ca="1" si="154"/>
        <v>0</v>
      </c>
      <c r="K59" s="1017">
        <f t="shared" ca="1" si="154"/>
        <v>0</v>
      </c>
      <c r="L59" s="1017">
        <f t="shared" ca="1" si="154"/>
        <v>0</v>
      </c>
      <c r="M59" s="1017">
        <f t="shared" ca="1" si="154"/>
        <v>0</v>
      </c>
      <c r="N59" s="1017">
        <f t="shared" ca="1" si="154"/>
        <v>0</v>
      </c>
      <c r="O59" s="1017">
        <f t="shared" ca="1" si="154"/>
        <v>0</v>
      </c>
      <c r="P59" s="1017">
        <f t="shared" ca="1" si="154"/>
        <v>0</v>
      </c>
      <c r="Q59" s="1019">
        <f t="shared" ca="1" si="155"/>
        <v>0</v>
      </c>
      <c r="R59" s="743"/>
      <c r="S59" s="1026">
        <f t="shared" ca="1" si="156"/>
        <v>0</v>
      </c>
      <c r="T59" s="1026">
        <f t="shared" ca="1" si="156"/>
        <v>5.3297280000000011</v>
      </c>
      <c r="U59" s="1026">
        <f t="shared" ca="1" si="156"/>
        <v>0</v>
      </c>
      <c r="V59" s="1026">
        <f t="shared" ca="1" si="156"/>
        <v>0</v>
      </c>
      <c r="W59" s="1026">
        <f t="shared" ca="1" si="156"/>
        <v>0</v>
      </c>
      <c r="X59" s="1026">
        <f t="shared" ca="1" si="157"/>
        <v>0</v>
      </c>
      <c r="Y59" s="1026">
        <f t="shared" ca="1" si="157"/>
        <v>0</v>
      </c>
      <c r="Z59" s="1026">
        <f t="shared" ca="1" si="157"/>
        <v>0</v>
      </c>
      <c r="AA59" s="1026">
        <f t="shared" ca="1" si="156"/>
        <v>0</v>
      </c>
      <c r="AB59" s="1026">
        <f t="shared" ca="1" si="156"/>
        <v>0</v>
      </c>
      <c r="AC59" s="1026">
        <f t="shared" ca="1" si="156"/>
        <v>0</v>
      </c>
      <c r="AD59" s="1026">
        <f t="shared" ca="1" si="156"/>
        <v>0</v>
      </c>
      <c r="AE59" s="1026">
        <f t="shared" ca="1" si="156"/>
        <v>0</v>
      </c>
      <c r="AF59" s="1026">
        <f t="shared" ca="1" si="156"/>
        <v>0</v>
      </c>
      <c r="AG59" s="1026">
        <f t="shared" ca="1" si="156"/>
        <v>0</v>
      </c>
      <c r="AH59" s="1026">
        <f t="shared" ca="1" si="156"/>
        <v>0</v>
      </c>
      <c r="AI59" s="1026">
        <f t="shared" ca="1" si="156"/>
        <v>0</v>
      </c>
      <c r="AJ59" s="1026">
        <f t="shared" ca="1" si="156"/>
        <v>0</v>
      </c>
      <c r="AK59" s="1027">
        <f t="shared" ca="1" si="158"/>
        <v>5.3297280000000011</v>
      </c>
      <c r="AL59" s="743"/>
      <c r="AM59" s="1038">
        <f t="shared" ca="1" si="159"/>
        <v>0</v>
      </c>
      <c r="AN59" s="1038">
        <f t="shared" ca="1" si="159"/>
        <v>0</v>
      </c>
      <c r="AO59" s="1038">
        <f t="shared" ca="1" si="159"/>
        <v>0</v>
      </c>
      <c r="AP59" s="1038">
        <f t="shared" ca="1" si="159"/>
        <v>0</v>
      </c>
      <c r="AQ59" s="1038">
        <f t="shared" ca="1" si="159"/>
        <v>0</v>
      </c>
      <c r="AR59" s="1038">
        <f t="shared" ca="1" si="159"/>
        <v>0</v>
      </c>
      <c r="AS59" s="1038">
        <f t="shared" ca="1" si="159"/>
        <v>0</v>
      </c>
      <c r="AT59" s="1038">
        <f t="shared" ca="1" si="159"/>
        <v>0</v>
      </c>
      <c r="AU59" s="1038">
        <f t="shared" ca="1" si="159"/>
        <v>0</v>
      </c>
      <c r="AV59" s="1038">
        <f t="shared" ca="1" si="156"/>
        <v>0</v>
      </c>
      <c r="AW59" s="1038">
        <f t="shared" ca="1" si="156"/>
        <v>0</v>
      </c>
      <c r="AX59" s="1038">
        <f t="shared" ca="1" si="156"/>
        <v>0</v>
      </c>
      <c r="AY59" s="1038">
        <f t="shared" ca="1" si="156"/>
        <v>0</v>
      </c>
      <c r="AZ59" s="1038">
        <f t="shared" ca="1" si="156"/>
        <v>0</v>
      </c>
      <c r="BA59" s="1038">
        <f t="shared" ca="1" si="156"/>
        <v>0</v>
      </c>
      <c r="BB59" s="1038">
        <f t="shared" ca="1" si="156"/>
        <v>-5.3297280000000011</v>
      </c>
      <c r="BC59" s="1038">
        <f t="shared" ca="1" si="156"/>
        <v>0</v>
      </c>
      <c r="BD59" s="1038">
        <f t="shared" ca="1" si="156"/>
        <v>0</v>
      </c>
      <c r="BE59" s="1038">
        <f t="shared" ca="1" si="156"/>
        <v>0</v>
      </c>
      <c r="BF59" s="979">
        <f t="shared" ca="1" si="160"/>
        <v>-5.3297280000000011</v>
      </c>
      <c r="BG59" s="743"/>
      <c r="BH59" s="1032">
        <f t="shared" ca="1" si="161"/>
        <v>0</v>
      </c>
      <c r="BI59" s="1032">
        <f t="shared" ca="1" si="161"/>
        <v>0</v>
      </c>
      <c r="BJ59" s="1034">
        <f t="shared" ca="1" si="162"/>
        <v>0</v>
      </c>
      <c r="BK59" s="743"/>
      <c r="BL59" s="814">
        <f t="shared" ca="1" si="153"/>
        <v>0</v>
      </c>
      <c r="BM59" s="814"/>
      <c r="BN59" s="840"/>
      <c r="BO59" s="1481">
        <f t="shared" ca="1" si="163"/>
        <v>0</v>
      </c>
      <c r="BP59" s="1482">
        <f t="shared" ca="1" si="163"/>
        <v>0</v>
      </c>
      <c r="BQ59" s="1482">
        <f t="shared" ca="1" si="163"/>
        <v>0</v>
      </c>
      <c r="BR59" s="1482">
        <f t="shared" ca="1" si="163"/>
        <v>0</v>
      </c>
      <c r="BS59" s="1482">
        <f t="shared" ca="1" si="163"/>
        <v>0</v>
      </c>
      <c r="BT59" s="1482">
        <f t="shared" ca="1" si="163"/>
        <v>0</v>
      </c>
      <c r="BU59" s="1482">
        <f t="shared" ca="1" si="163"/>
        <v>0</v>
      </c>
      <c r="BV59" s="1482">
        <f t="shared" ca="1" si="163"/>
        <v>0</v>
      </c>
      <c r="BW59" s="1482">
        <f t="shared" ca="1" si="163"/>
        <v>0</v>
      </c>
      <c r="BX59" s="1482">
        <f t="shared" ca="1" si="163"/>
        <v>0</v>
      </c>
      <c r="BY59" s="1482">
        <f t="shared" ca="1" si="164"/>
        <v>0</v>
      </c>
      <c r="BZ59" s="1482">
        <f t="shared" ca="1" si="164"/>
        <v>0</v>
      </c>
      <c r="CA59" s="1482">
        <f t="shared" ca="1" si="164"/>
        <v>0</v>
      </c>
      <c r="CB59" s="1482">
        <f t="shared" ca="1" si="164"/>
        <v>0</v>
      </c>
      <c r="CC59" s="1482">
        <f t="shared" ca="1" si="164"/>
        <v>0</v>
      </c>
      <c r="CD59" s="1482">
        <f t="shared" ca="1" si="164"/>
        <v>0</v>
      </c>
      <c r="CE59" s="1482">
        <f t="shared" ca="1" si="164"/>
        <v>0</v>
      </c>
      <c r="CF59" s="1482">
        <f t="shared" ca="1" si="164"/>
        <v>0</v>
      </c>
      <c r="CG59" s="1482">
        <f t="shared" ca="1" si="164"/>
        <v>0</v>
      </c>
      <c r="CH59" s="1482">
        <f t="shared" ca="1" si="164"/>
        <v>0</v>
      </c>
      <c r="CI59" s="1482">
        <f t="shared" ca="1" si="165"/>
        <v>0</v>
      </c>
      <c r="CJ59" s="1482">
        <f t="shared" ca="1" si="165"/>
        <v>0</v>
      </c>
      <c r="CK59" s="1482">
        <f t="shared" ca="1" si="165"/>
        <v>0</v>
      </c>
      <c r="CL59" s="1482">
        <f t="shared" ca="1" si="165"/>
        <v>0</v>
      </c>
      <c r="CM59" s="1482">
        <f t="shared" ca="1" si="165"/>
        <v>0</v>
      </c>
      <c r="CN59" s="1482">
        <f t="shared" ca="1" si="165"/>
        <v>0</v>
      </c>
      <c r="CO59" s="1482">
        <f t="shared" ca="1" si="165"/>
        <v>0</v>
      </c>
      <c r="CP59" s="1482">
        <f t="shared" ca="1" si="165"/>
        <v>0</v>
      </c>
      <c r="CQ59" s="1482">
        <f t="shared" ca="1" si="165"/>
        <v>0</v>
      </c>
      <c r="CR59" s="1482">
        <f t="shared" ca="1" si="165"/>
        <v>0</v>
      </c>
      <c r="CS59" s="1482">
        <f t="shared" ca="1" si="166"/>
        <v>0</v>
      </c>
      <c r="CT59" s="1482">
        <f t="shared" ca="1" si="166"/>
        <v>0</v>
      </c>
      <c r="CU59" s="1482">
        <f t="shared" ca="1" si="166"/>
        <v>0</v>
      </c>
      <c r="CV59" s="1482">
        <f t="shared" ca="1" si="166"/>
        <v>0</v>
      </c>
      <c r="CW59" s="1482">
        <f t="shared" ca="1" si="166"/>
        <v>0</v>
      </c>
      <c r="CX59" s="1482">
        <f t="shared" ca="1" si="166"/>
        <v>0</v>
      </c>
      <c r="CY59" s="1482">
        <f t="shared" ca="1" si="166"/>
        <v>0</v>
      </c>
      <c r="CZ59" s="1482">
        <f t="shared" ca="1" si="166"/>
        <v>0</v>
      </c>
      <c r="DA59" s="1482">
        <f t="shared" ca="1" si="166"/>
        <v>0</v>
      </c>
      <c r="DB59" s="1482">
        <f t="shared" ca="1" si="166"/>
        <v>0</v>
      </c>
      <c r="DC59" s="1482">
        <f t="shared" ca="1" si="166"/>
        <v>0</v>
      </c>
      <c r="DD59" s="1482">
        <f t="shared" ca="1" si="166"/>
        <v>0</v>
      </c>
      <c r="DE59" s="1482">
        <f t="shared" ca="1" si="166"/>
        <v>0</v>
      </c>
      <c r="DF59" s="1482">
        <f t="shared" ca="1" si="166"/>
        <v>0</v>
      </c>
      <c r="DH59" s="838">
        <f t="shared" ca="1" si="124"/>
        <v>0</v>
      </c>
    </row>
    <row r="60" spans="1:112" s="1484" customFormat="1" ht="12.75" hidden="1" customHeight="1" outlineLevel="1">
      <c r="C60" s="746" t="s">
        <v>808</v>
      </c>
      <c r="D60" s="521" t="str">
        <f>INDEX(Modules[Module], MATCH($C60, Modules[Code], 0))</f>
        <v>Wave and Tidal</v>
      </c>
      <c r="E60" s="521"/>
      <c r="F60" s="743"/>
      <c r="G60" s="1017">
        <f t="shared" ca="1" si="154"/>
        <v>0</v>
      </c>
      <c r="H60" s="1017">
        <f t="shared" ca="1" si="154"/>
        <v>0</v>
      </c>
      <c r="I60" s="1017">
        <f t="shared" ca="1" si="154"/>
        <v>0</v>
      </c>
      <c r="J60" s="1017">
        <f t="shared" ca="1" si="154"/>
        <v>0</v>
      </c>
      <c r="K60" s="1017">
        <f t="shared" ca="1" si="154"/>
        <v>0</v>
      </c>
      <c r="L60" s="1017">
        <f t="shared" ca="1" si="154"/>
        <v>0</v>
      </c>
      <c r="M60" s="1017">
        <f t="shared" ca="1" si="154"/>
        <v>0</v>
      </c>
      <c r="N60" s="1017">
        <f t="shared" ca="1" si="154"/>
        <v>0</v>
      </c>
      <c r="O60" s="1017">
        <f t="shared" ca="1" si="154"/>
        <v>0</v>
      </c>
      <c r="P60" s="1017">
        <f t="shared" ca="1" si="154"/>
        <v>0</v>
      </c>
      <c r="Q60" s="1019">
        <f t="shared" ca="1" si="155"/>
        <v>0</v>
      </c>
      <c r="R60" s="743"/>
      <c r="S60" s="1026">
        <f t="shared" ca="1" si="156"/>
        <v>0</v>
      </c>
      <c r="T60" s="1026">
        <f t="shared" ca="1" si="156"/>
        <v>0</v>
      </c>
      <c r="U60" s="1026">
        <f t="shared" ca="1" si="156"/>
        <v>0</v>
      </c>
      <c r="V60" s="1026">
        <f t="shared" ca="1" si="156"/>
        <v>0</v>
      </c>
      <c r="W60" s="1026">
        <f t="shared" ca="1" si="156"/>
        <v>0</v>
      </c>
      <c r="X60" s="1026">
        <f t="shared" ca="1" si="157"/>
        <v>0</v>
      </c>
      <c r="Y60" s="1026">
        <f t="shared" ca="1" si="157"/>
        <v>0</v>
      </c>
      <c r="Z60" s="1026">
        <f t="shared" ca="1" si="157"/>
        <v>0</v>
      </c>
      <c r="AA60" s="1026">
        <f t="shared" ca="1" si="156"/>
        <v>0</v>
      </c>
      <c r="AB60" s="1026">
        <f t="shared" ca="1" si="156"/>
        <v>0</v>
      </c>
      <c r="AC60" s="1026">
        <f t="shared" ca="1" si="156"/>
        <v>0</v>
      </c>
      <c r="AD60" s="1026">
        <f t="shared" ca="1" si="156"/>
        <v>0</v>
      </c>
      <c r="AE60" s="1026">
        <f t="shared" ca="1" si="156"/>
        <v>0</v>
      </c>
      <c r="AF60" s="1026">
        <f t="shared" ca="1" si="156"/>
        <v>0</v>
      </c>
      <c r="AG60" s="1026">
        <f t="shared" ca="1" si="156"/>
        <v>0</v>
      </c>
      <c r="AH60" s="1026">
        <f t="shared" ca="1" si="156"/>
        <v>0</v>
      </c>
      <c r="AI60" s="1026">
        <f t="shared" ca="1" si="156"/>
        <v>0</v>
      </c>
      <c r="AJ60" s="1026">
        <f t="shared" ca="1" si="156"/>
        <v>0</v>
      </c>
      <c r="AK60" s="1027">
        <f t="shared" ca="1" si="158"/>
        <v>0</v>
      </c>
      <c r="AL60" s="743"/>
      <c r="AM60" s="1038">
        <f t="shared" ca="1" si="159"/>
        <v>0</v>
      </c>
      <c r="AN60" s="1038">
        <f t="shared" ca="1" si="159"/>
        <v>0</v>
      </c>
      <c r="AO60" s="1038">
        <f t="shared" ca="1" si="159"/>
        <v>0</v>
      </c>
      <c r="AP60" s="1038">
        <f t="shared" ca="1" si="159"/>
        <v>0</v>
      </c>
      <c r="AQ60" s="1038">
        <f t="shared" ca="1" si="159"/>
        <v>0</v>
      </c>
      <c r="AR60" s="1038">
        <f t="shared" ca="1" si="159"/>
        <v>0</v>
      </c>
      <c r="AS60" s="1038">
        <f t="shared" ca="1" si="159"/>
        <v>0</v>
      </c>
      <c r="AT60" s="1038">
        <f t="shared" ca="1" si="159"/>
        <v>0</v>
      </c>
      <c r="AU60" s="1038">
        <f t="shared" ca="1" si="159"/>
        <v>0</v>
      </c>
      <c r="AV60" s="1038">
        <f t="shared" ca="1" si="156"/>
        <v>0</v>
      </c>
      <c r="AW60" s="1038">
        <f t="shared" ca="1" si="156"/>
        <v>0</v>
      </c>
      <c r="AX60" s="1038">
        <f t="shared" ca="1" si="156"/>
        <v>0</v>
      </c>
      <c r="AY60" s="1038">
        <f t="shared" ca="1" si="156"/>
        <v>0</v>
      </c>
      <c r="AZ60" s="1038">
        <f t="shared" ca="1" si="156"/>
        <v>0</v>
      </c>
      <c r="BA60" s="1038">
        <f t="shared" ca="1" si="156"/>
        <v>0</v>
      </c>
      <c r="BB60" s="1038">
        <f t="shared" ca="1" si="156"/>
        <v>0</v>
      </c>
      <c r="BC60" s="1038">
        <f t="shared" ca="1" si="156"/>
        <v>0</v>
      </c>
      <c r="BD60" s="1038">
        <f t="shared" ca="1" si="156"/>
        <v>0</v>
      </c>
      <c r="BE60" s="1038">
        <f t="shared" ca="1" si="156"/>
        <v>0</v>
      </c>
      <c r="BF60" s="979">
        <f t="shared" ca="1" si="160"/>
        <v>0</v>
      </c>
      <c r="BG60" s="743"/>
      <c r="BH60" s="1032">
        <f t="shared" ca="1" si="161"/>
        <v>0</v>
      </c>
      <c r="BI60" s="1032">
        <f t="shared" ca="1" si="161"/>
        <v>0</v>
      </c>
      <c r="BJ60" s="1034">
        <f t="shared" ca="1" si="162"/>
        <v>0</v>
      </c>
      <c r="BK60" s="743"/>
      <c r="BL60" s="814">
        <f t="shared" ca="1" si="153"/>
        <v>0</v>
      </c>
      <c r="BM60" s="814"/>
      <c r="BN60" s="840"/>
      <c r="BO60" s="1481">
        <f t="shared" ca="1" si="163"/>
        <v>0</v>
      </c>
      <c r="BP60" s="1482">
        <f t="shared" ca="1" si="163"/>
        <v>0</v>
      </c>
      <c r="BQ60" s="1482">
        <f t="shared" ca="1" si="163"/>
        <v>0</v>
      </c>
      <c r="BR60" s="1482">
        <f t="shared" ca="1" si="163"/>
        <v>0</v>
      </c>
      <c r="BS60" s="1482">
        <f t="shared" ca="1" si="163"/>
        <v>0</v>
      </c>
      <c r="BT60" s="1482">
        <f t="shared" ca="1" si="163"/>
        <v>0</v>
      </c>
      <c r="BU60" s="1482">
        <f t="shared" ca="1" si="163"/>
        <v>0</v>
      </c>
      <c r="BV60" s="1482">
        <f t="shared" ca="1" si="163"/>
        <v>0</v>
      </c>
      <c r="BW60" s="1482">
        <f t="shared" ca="1" si="163"/>
        <v>0</v>
      </c>
      <c r="BX60" s="1482">
        <f t="shared" ca="1" si="163"/>
        <v>0</v>
      </c>
      <c r="BY60" s="1482">
        <f t="shared" ca="1" si="164"/>
        <v>0</v>
      </c>
      <c r="BZ60" s="1482">
        <f t="shared" ca="1" si="164"/>
        <v>0</v>
      </c>
      <c r="CA60" s="1482">
        <f t="shared" ca="1" si="164"/>
        <v>0</v>
      </c>
      <c r="CB60" s="1482">
        <f t="shared" ca="1" si="164"/>
        <v>0</v>
      </c>
      <c r="CC60" s="1482">
        <f t="shared" ca="1" si="164"/>
        <v>0</v>
      </c>
      <c r="CD60" s="1482">
        <f t="shared" ca="1" si="164"/>
        <v>0</v>
      </c>
      <c r="CE60" s="1482">
        <f t="shared" ca="1" si="164"/>
        <v>0</v>
      </c>
      <c r="CF60" s="1482">
        <f t="shared" ca="1" si="164"/>
        <v>0</v>
      </c>
      <c r="CG60" s="1482">
        <f t="shared" ca="1" si="164"/>
        <v>0</v>
      </c>
      <c r="CH60" s="1482">
        <f t="shared" ca="1" si="164"/>
        <v>0</v>
      </c>
      <c r="CI60" s="1482">
        <f t="shared" ca="1" si="165"/>
        <v>0</v>
      </c>
      <c r="CJ60" s="1482">
        <f t="shared" ca="1" si="165"/>
        <v>0</v>
      </c>
      <c r="CK60" s="1482">
        <f t="shared" ca="1" si="165"/>
        <v>0</v>
      </c>
      <c r="CL60" s="1482">
        <f t="shared" ca="1" si="165"/>
        <v>0</v>
      </c>
      <c r="CM60" s="1482">
        <f t="shared" ca="1" si="165"/>
        <v>0</v>
      </c>
      <c r="CN60" s="1482">
        <f t="shared" ca="1" si="165"/>
        <v>0</v>
      </c>
      <c r="CO60" s="1482">
        <f t="shared" ca="1" si="165"/>
        <v>0</v>
      </c>
      <c r="CP60" s="1482">
        <f t="shared" ca="1" si="165"/>
        <v>0</v>
      </c>
      <c r="CQ60" s="1482">
        <f t="shared" ca="1" si="165"/>
        <v>0</v>
      </c>
      <c r="CR60" s="1482">
        <f t="shared" ca="1" si="165"/>
        <v>0</v>
      </c>
      <c r="CS60" s="1482">
        <f t="shared" ca="1" si="166"/>
        <v>0</v>
      </c>
      <c r="CT60" s="1482">
        <f t="shared" ca="1" si="166"/>
        <v>0</v>
      </c>
      <c r="CU60" s="1482">
        <f t="shared" ca="1" si="166"/>
        <v>0</v>
      </c>
      <c r="CV60" s="1482">
        <f t="shared" ca="1" si="166"/>
        <v>0</v>
      </c>
      <c r="CW60" s="1482">
        <f t="shared" ca="1" si="166"/>
        <v>0</v>
      </c>
      <c r="CX60" s="1482">
        <f t="shared" ca="1" si="166"/>
        <v>0</v>
      </c>
      <c r="CY60" s="1482">
        <f t="shared" ca="1" si="166"/>
        <v>0</v>
      </c>
      <c r="CZ60" s="1482">
        <f t="shared" ca="1" si="166"/>
        <v>0</v>
      </c>
      <c r="DA60" s="1482">
        <f t="shared" ca="1" si="166"/>
        <v>0</v>
      </c>
      <c r="DB60" s="1482">
        <f t="shared" ca="1" si="166"/>
        <v>0</v>
      </c>
      <c r="DC60" s="1482">
        <f t="shared" ca="1" si="166"/>
        <v>0</v>
      </c>
      <c r="DD60" s="1482">
        <f t="shared" ca="1" si="166"/>
        <v>0</v>
      </c>
      <c r="DE60" s="1482">
        <f t="shared" ca="1" si="166"/>
        <v>0</v>
      </c>
      <c r="DF60" s="1482">
        <f t="shared" ca="1" si="166"/>
        <v>0</v>
      </c>
      <c r="DH60" s="838">
        <f t="shared" ca="1" si="124"/>
        <v>0</v>
      </c>
    </row>
    <row r="61" spans="1:112" s="1484" customFormat="1" ht="12.75" hidden="1" customHeight="1" outlineLevel="1">
      <c r="C61" s="746" t="s">
        <v>809</v>
      </c>
      <c r="D61" s="521" t="str">
        <f>INDEX(Modules[Module], MATCH($C61, Modules[Code], 0))</f>
        <v>Geothermal</v>
      </c>
      <c r="E61" s="521"/>
      <c r="F61" s="743"/>
      <c r="G61" s="1017">
        <f t="shared" ca="1" si="154"/>
        <v>0</v>
      </c>
      <c r="H61" s="1017">
        <f t="shared" ca="1" si="154"/>
        <v>0</v>
      </c>
      <c r="I61" s="1017">
        <f t="shared" ca="1" si="154"/>
        <v>0</v>
      </c>
      <c r="J61" s="1017">
        <f t="shared" ca="1" si="154"/>
        <v>0</v>
      </c>
      <c r="K61" s="1017">
        <f t="shared" ca="1" si="154"/>
        <v>0</v>
      </c>
      <c r="L61" s="1017">
        <f t="shared" ca="1" si="154"/>
        <v>0</v>
      </c>
      <c r="M61" s="1017">
        <f t="shared" ca="1" si="154"/>
        <v>0</v>
      </c>
      <c r="N61" s="1017">
        <f t="shared" ca="1" si="154"/>
        <v>0</v>
      </c>
      <c r="O61" s="1017">
        <f t="shared" ca="1" si="154"/>
        <v>0</v>
      </c>
      <c r="P61" s="1017">
        <f t="shared" ca="1" si="154"/>
        <v>0</v>
      </c>
      <c r="Q61" s="1019">
        <f t="shared" ca="1" si="155"/>
        <v>0</v>
      </c>
      <c r="R61" s="743"/>
      <c r="S61" s="1026">
        <f t="shared" ca="1" si="156"/>
        <v>0</v>
      </c>
      <c r="T61" s="1026">
        <f t="shared" ca="1" si="156"/>
        <v>0</v>
      </c>
      <c r="U61" s="1026">
        <f t="shared" ca="1" si="156"/>
        <v>0</v>
      </c>
      <c r="V61" s="1026">
        <f t="shared" ca="1" si="156"/>
        <v>0</v>
      </c>
      <c r="W61" s="1026">
        <f t="shared" ca="1" si="156"/>
        <v>0</v>
      </c>
      <c r="X61" s="1026">
        <f t="shared" ca="1" si="157"/>
        <v>0</v>
      </c>
      <c r="Y61" s="1026">
        <f t="shared" ca="1" si="157"/>
        <v>0</v>
      </c>
      <c r="Z61" s="1026">
        <f t="shared" ca="1" si="157"/>
        <v>0</v>
      </c>
      <c r="AA61" s="1026">
        <f t="shared" ca="1" si="156"/>
        <v>0</v>
      </c>
      <c r="AB61" s="1026">
        <f t="shared" ca="1" si="156"/>
        <v>0</v>
      </c>
      <c r="AC61" s="1026">
        <f t="shared" ca="1" si="156"/>
        <v>0</v>
      </c>
      <c r="AD61" s="1026">
        <f t="shared" ca="1" si="156"/>
        <v>0</v>
      </c>
      <c r="AE61" s="1026">
        <f t="shared" ca="1" si="156"/>
        <v>0</v>
      </c>
      <c r="AF61" s="1026">
        <f t="shared" ca="1" si="156"/>
        <v>0</v>
      </c>
      <c r="AG61" s="1026">
        <f t="shared" ca="1" si="156"/>
        <v>0</v>
      </c>
      <c r="AH61" s="1026">
        <f t="shared" ca="1" si="156"/>
        <v>0</v>
      </c>
      <c r="AI61" s="1026">
        <f t="shared" ca="1" si="156"/>
        <v>0</v>
      </c>
      <c r="AJ61" s="1026">
        <f t="shared" ca="1" si="156"/>
        <v>0</v>
      </c>
      <c r="AK61" s="1027">
        <f t="shared" ca="1" si="158"/>
        <v>0</v>
      </c>
      <c r="AL61" s="743"/>
      <c r="AM61" s="1038">
        <f t="shared" ca="1" si="159"/>
        <v>0</v>
      </c>
      <c r="AN61" s="1038">
        <f t="shared" ca="1" si="159"/>
        <v>0</v>
      </c>
      <c r="AO61" s="1038">
        <f t="shared" ca="1" si="159"/>
        <v>0</v>
      </c>
      <c r="AP61" s="1038">
        <f t="shared" ca="1" si="159"/>
        <v>0</v>
      </c>
      <c r="AQ61" s="1038">
        <f t="shared" ca="1" si="159"/>
        <v>0</v>
      </c>
      <c r="AR61" s="1038">
        <f t="shared" ca="1" si="159"/>
        <v>0</v>
      </c>
      <c r="AS61" s="1038">
        <f t="shared" ca="1" si="159"/>
        <v>0</v>
      </c>
      <c r="AT61" s="1038">
        <f t="shared" ca="1" si="159"/>
        <v>0</v>
      </c>
      <c r="AU61" s="1038">
        <f t="shared" ca="1" si="159"/>
        <v>0</v>
      </c>
      <c r="AV61" s="1038">
        <f t="shared" ca="1" si="156"/>
        <v>0</v>
      </c>
      <c r="AW61" s="1038">
        <f t="shared" ca="1" si="156"/>
        <v>0</v>
      </c>
      <c r="AX61" s="1038">
        <f t="shared" ca="1" si="156"/>
        <v>0</v>
      </c>
      <c r="AY61" s="1038">
        <f t="shared" ca="1" si="156"/>
        <v>0</v>
      </c>
      <c r="AZ61" s="1038">
        <f t="shared" ca="1" si="156"/>
        <v>0</v>
      </c>
      <c r="BA61" s="1038">
        <f t="shared" ca="1" si="156"/>
        <v>0</v>
      </c>
      <c r="BB61" s="1038">
        <f t="shared" ca="1" si="156"/>
        <v>0</v>
      </c>
      <c r="BC61" s="1038">
        <f t="shared" ca="1" si="156"/>
        <v>0</v>
      </c>
      <c r="BD61" s="1038">
        <f t="shared" ca="1" si="156"/>
        <v>0</v>
      </c>
      <c r="BE61" s="1038">
        <f t="shared" ca="1" si="156"/>
        <v>0</v>
      </c>
      <c r="BF61" s="979">
        <f t="shared" ca="1" si="160"/>
        <v>0</v>
      </c>
      <c r="BG61" s="743"/>
      <c r="BH61" s="1032">
        <f t="shared" ca="1" si="161"/>
        <v>0</v>
      </c>
      <c r="BI61" s="1032">
        <f t="shared" ca="1" si="161"/>
        <v>0</v>
      </c>
      <c r="BJ61" s="1034">
        <f t="shared" ca="1" si="162"/>
        <v>0</v>
      </c>
      <c r="BK61" s="743"/>
      <c r="BL61" s="814">
        <f t="shared" ca="1" si="153"/>
        <v>0</v>
      </c>
      <c r="BM61" s="814"/>
      <c r="BN61" s="840"/>
      <c r="BO61" s="1481">
        <f t="shared" ca="1" si="163"/>
        <v>0</v>
      </c>
      <c r="BP61" s="1482">
        <f t="shared" ca="1" si="163"/>
        <v>0</v>
      </c>
      <c r="BQ61" s="1482">
        <f t="shared" ca="1" si="163"/>
        <v>0</v>
      </c>
      <c r="BR61" s="1482">
        <f t="shared" ca="1" si="163"/>
        <v>0</v>
      </c>
      <c r="BS61" s="1482">
        <f t="shared" ca="1" si="163"/>
        <v>0</v>
      </c>
      <c r="BT61" s="1482">
        <f t="shared" ca="1" si="163"/>
        <v>0</v>
      </c>
      <c r="BU61" s="1482">
        <f t="shared" ca="1" si="163"/>
        <v>0</v>
      </c>
      <c r="BV61" s="1482">
        <f t="shared" ca="1" si="163"/>
        <v>0</v>
      </c>
      <c r="BW61" s="1482">
        <f t="shared" ca="1" si="163"/>
        <v>0</v>
      </c>
      <c r="BX61" s="1482">
        <f t="shared" ca="1" si="163"/>
        <v>0</v>
      </c>
      <c r="BY61" s="1482">
        <f t="shared" ca="1" si="164"/>
        <v>0</v>
      </c>
      <c r="BZ61" s="1482">
        <f t="shared" ca="1" si="164"/>
        <v>0</v>
      </c>
      <c r="CA61" s="1482">
        <f t="shared" ca="1" si="164"/>
        <v>0</v>
      </c>
      <c r="CB61" s="1482">
        <f t="shared" ca="1" si="164"/>
        <v>0</v>
      </c>
      <c r="CC61" s="1482">
        <f t="shared" ca="1" si="164"/>
        <v>0</v>
      </c>
      <c r="CD61" s="1482">
        <f t="shared" ca="1" si="164"/>
        <v>0</v>
      </c>
      <c r="CE61" s="1482">
        <f t="shared" ca="1" si="164"/>
        <v>0</v>
      </c>
      <c r="CF61" s="1482">
        <f t="shared" ca="1" si="164"/>
        <v>0</v>
      </c>
      <c r="CG61" s="1482">
        <f t="shared" ca="1" si="164"/>
        <v>0</v>
      </c>
      <c r="CH61" s="1482">
        <f t="shared" ca="1" si="164"/>
        <v>0</v>
      </c>
      <c r="CI61" s="1482">
        <f t="shared" ca="1" si="165"/>
        <v>0</v>
      </c>
      <c r="CJ61" s="1482">
        <f t="shared" ca="1" si="165"/>
        <v>0</v>
      </c>
      <c r="CK61" s="1482">
        <f t="shared" ca="1" si="165"/>
        <v>0</v>
      </c>
      <c r="CL61" s="1482">
        <f t="shared" ca="1" si="165"/>
        <v>0</v>
      </c>
      <c r="CM61" s="1482">
        <f t="shared" ca="1" si="165"/>
        <v>0</v>
      </c>
      <c r="CN61" s="1482">
        <f t="shared" ca="1" si="165"/>
        <v>0</v>
      </c>
      <c r="CO61" s="1482">
        <f t="shared" ca="1" si="165"/>
        <v>0</v>
      </c>
      <c r="CP61" s="1482">
        <f t="shared" ca="1" si="165"/>
        <v>0</v>
      </c>
      <c r="CQ61" s="1482">
        <f t="shared" ca="1" si="165"/>
        <v>0</v>
      </c>
      <c r="CR61" s="1482">
        <f t="shared" ca="1" si="165"/>
        <v>0</v>
      </c>
      <c r="CS61" s="1482">
        <f t="shared" ca="1" si="166"/>
        <v>0</v>
      </c>
      <c r="CT61" s="1482">
        <f t="shared" ca="1" si="166"/>
        <v>0</v>
      </c>
      <c r="CU61" s="1482">
        <f t="shared" ca="1" si="166"/>
        <v>0</v>
      </c>
      <c r="CV61" s="1482">
        <f t="shared" ca="1" si="166"/>
        <v>0</v>
      </c>
      <c r="CW61" s="1482">
        <f t="shared" ca="1" si="166"/>
        <v>0</v>
      </c>
      <c r="CX61" s="1482">
        <f t="shared" ca="1" si="166"/>
        <v>0</v>
      </c>
      <c r="CY61" s="1482">
        <f t="shared" ca="1" si="166"/>
        <v>0</v>
      </c>
      <c r="CZ61" s="1482">
        <f t="shared" ca="1" si="166"/>
        <v>0</v>
      </c>
      <c r="DA61" s="1482">
        <f t="shared" ca="1" si="166"/>
        <v>0</v>
      </c>
      <c r="DB61" s="1482">
        <f t="shared" ca="1" si="166"/>
        <v>0</v>
      </c>
      <c r="DC61" s="1482">
        <f t="shared" ca="1" si="166"/>
        <v>0</v>
      </c>
      <c r="DD61" s="1482">
        <f t="shared" ca="1" si="166"/>
        <v>0</v>
      </c>
      <c r="DE61" s="1482">
        <f t="shared" ca="1" si="166"/>
        <v>0</v>
      </c>
      <c r="DF61" s="1482">
        <f t="shared" ca="1" si="166"/>
        <v>0</v>
      </c>
      <c r="DH61" s="838">
        <f t="shared" ca="1" si="124"/>
        <v>0</v>
      </c>
    </row>
    <row r="62" spans="1:112" s="743" customFormat="1" ht="12.75" hidden="1" customHeight="1" outlineLevel="1">
      <c r="A62" s="1484"/>
      <c r="B62" s="1484"/>
      <c r="C62" s="746" t="s">
        <v>810</v>
      </c>
      <c r="D62" s="1010" t="str">
        <f>INDEX(Modules[Module], MATCH($C62, Modules[Code], 0))</f>
        <v>Tidal [UNUSED - See III.c]</v>
      </c>
      <c r="E62" s="1010"/>
      <c r="G62" s="1022">
        <f t="shared" ca="1" si="154"/>
        <v>0</v>
      </c>
      <c r="H62" s="1022">
        <f t="shared" ca="1" si="154"/>
        <v>0</v>
      </c>
      <c r="I62" s="1022">
        <f t="shared" ca="1" si="154"/>
        <v>0</v>
      </c>
      <c r="J62" s="1022">
        <f t="shared" ca="1" si="154"/>
        <v>0</v>
      </c>
      <c r="K62" s="1022">
        <f t="shared" ca="1" si="154"/>
        <v>0</v>
      </c>
      <c r="L62" s="1022">
        <f t="shared" ca="1" si="154"/>
        <v>0</v>
      </c>
      <c r="M62" s="1022">
        <f t="shared" ca="1" si="154"/>
        <v>0</v>
      </c>
      <c r="N62" s="1022">
        <f t="shared" ca="1" si="154"/>
        <v>0</v>
      </c>
      <c r="O62" s="1022">
        <f t="shared" ca="1" si="154"/>
        <v>0</v>
      </c>
      <c r="P62" s="1022">
        <f t="shared" ca="1" si="154"/>
        <v>0</v>
      </c>
      <c r="Q62" s="1020">
        <f t="shared" ca="1" si="155"/>
        <v>0</v>
      </c>
      <c r="S62" s="1031">
        <f t="shared" ca="1" si="156"/>
        <v>0</v>
      </c>
      <c r="T62" s="1031">
        <f t="shared" ca="1" si="156"/>
        <v>0</v>
      </c>
      <c r="U62" s="1031">
        <f t="shared" ca="1" si="156"/>
        <v>0</v>
      </c>
      <c r="V62" s="1031">
        <f t="shared" ca="1" si="156"/>
        <v>0</v>
      </c>
      <c r="W62" s="1031">
        <f t="shared" ca="1" si="156"/>
        <v>0</v>
      </c>
      <c r="X62" s="1031">
        <f t="shared" ca="1" si="157"/>
        <v>0</v>
      </c>
      <c r="Y62" s="1031">
        <f t="shared" ca="1" si="157"/>
        <v>0</v>
      </c>
      <c r="Z62" s="1031">
        <f t="shared" ca="1" si="157"/>
        <v>0</v>
      </c>
      <c r="AA62" s="1031">
        <f t="shared" ca="1" si="156"/>
        <v>0</v>
      </c>
      <c r="AB62" s="1031">
        <f t="shared" ca="1" si="156"/>
        <v>0</v>
      </c>
      <c r="AC62" s="1031">
        <f t="shared" ca="1" si="156"/>
        <v>0</v>
      </c>
      <c r="AD62" s="1031">
        <f t="shared" ca="1" si="156"/>
        <v>0</v>
      </c>
      <c r="AE62" s="1031">
        <f t="shared" ca="1" si="156"/>
        <v>0</v>
      </c>
      <c r="AF62" s="1031">
        <f t="shared" ca="1" si="156"/>
        <v>0</v>
      </c>
      <c r="AG62" s="1031">
        <f t="shared" ca="1" si="156"/>
        <v>0</v>
      </c>
      <c r="AH62" s="1031">
        <f t="shared" ca="1" si="156"/>
        <v>0</v>
      </c>
      <c r="AI62" s="1031">
        <f t="shared" ca="1" si="156"/>
        <v>0</v>
      </c>
      <c r="AJ62" s="1031">
        <f t="shared" ca="1" si="156"/>
        <v>0</v>
      </c>
      <c r="AK62" s="1030">
        <f t="shared" ca="1" si="158"/>
        <v>0</v>
      </c>
      <c r="AM62" s="1042">
        <f t="shared" ca="1" si="159"/>
        <v>0</v>
      </c>
      <c r="AN62" s="1042">
        <f t="shared" ca="1" si="159"/>
        <v>0</v>
      </c>
      <c r="AO62" s="1042">
        <f t="shared" ca="1" si="159"/>
        <v>0</v>
      </c>
      <c r="AP62" s="1042">
        <f t="shared" ca="1" si="159"/>
        <v>0</v>
      </c>
      <c r="AQ62" s="1042">
        <f t="shared" ca="1" si="159"/>
        <v>0</v>
      </c>
      <c r="AR62" s="1042">
        <f t="shared" ca="1" si="159"/>
        <v>0</v>
      </c>
      <c r="AS62" s="1042">
        <f t="shared" ca="1" si="159"/>
        <v>0</v>
      </c>
      <c r="AT62" s="1042">
        <f t="shared" ca="1" si="159"/>
        <v>0</v>
      </c>
      <c r="AU62" s="1042">
        <f t="shared" ca="1" si="159"/>
        <v>0</v>
      </c>
      <c r="AV62" s="1042">
        <f t="shared" ca="1" si="156"/>
        <v>0</v>
      </c>
      <c r="AW62" s="1042">
        <f t="shared" ca="1" si="156"/>
        <v>0</v>
      </c>
      <c r="AX62" s="1042">
        <f t="shared" ca="1" si="156"/>
        <v>0</v>
      </c>
      <c r="AY62" s="1042">
        <f t="shared" ca="1" si="156"/>
        <v>0</v>
      </c>
      <c r="AZ62" s="1042">
        <f t="shared" ca="1" si="156"/>
        <v>0</v>
      </c>
      <c r="BA62" s="1042">
        <f t="shared" ca="1" si="156"/>
        <v>0</v>
      </c>
      <c r="BB62" s="1042">
        <f t="shared" ca="1" si="156"/>
        <v>0</v>
      </c>
      <c r="BC62" s="1042">
        <f t="shared" ca="1" si="156"/>
        <v>0</v>
      </c>
      <c r="BD62" s="1042">
        <f t="shared" ca="1" si="156"/>
        <v>0</v>
      </c>
      <c r="BE62" s="1042">
        <f t="shared" ca="1" si="156"/>
        <v>0</v>
      </c>
      <c r="BF62" s="1012">
        <f t="shared" ca="1" si="160"/>
        <v>0</v>
      </c>
      <c r="BH62" s="1036">
        <f t="shared" ca="1" si="161"/>
        <v>0</v>
      </c>
      <c r="BI62" s="1036">
        <f t="shared" ca="1" si="161"/>
        <v>0</v>
      </c>
      <c r="BJ62" s="1035">
        <f t="shared" ca="1" si="162"/>
        <v>0</v>
      </c>
      <c r="BL62" s="814">
        <f t="shared" ca="1" si="153"/>
        <v>0</v>
      </c>
      <c r="BM62" s="814"/>
      <c r="BN62" s="840"/>
      <c r="BO62" s="1485">
        <f t="shared" ca="1" si="163"/>
        <v>0</v>
      </c>
      <c r="BP62" s="1486">
        <f t="shared" ca="1" si="163"/>
        <v>0</v>
      </c>
      <c r="BQ62" s="1486">
        <f t="shared" ca="1" si="163"/>
        <v>0</v>
      </c>
      <c r="BR62" s="1486">
        <f t="shared" ca="1" si="163"/>
        <v>0</v>
      </c>
      <c r="BS62" s="1486">
        <f t="shared" ca="1" si="163"/>
        <v>0</v>
      </c>
      <c r="BT62" s="1486">
        <f t="shared" ca="1" si="163"/>
        <v>0</v>
      </c>
      <c r="BU62" s="1486">
        <f t="shared" ca="1" si="163"/>
        <v>0</v>
      </c>
      <c r="BV62" s="1486">
        <f t="shared" ca="1" si="163"/>
        <v>0</v>
      </c>
      <c r="BW62" s="1486">
        <f t="shared" ca="1" si="163"/>
        <v>0</v>
      </c>
      <c r="BX62" s="1486">
        <f t="shared" ca="1" si="163"/>
        <v>0</v>
      </c>
      <c r="BY62" s="1486">
        <f t="shared" ca="1" si="164"/>
        <v>0</v>
      </c>
      <c r="BZ62" s="1486">
        <f t="shared" ca="1" si="164"/>
        <v>0</v>
      </c>
      <c r="CA62" s="1486">
        <f t="shared" ca="1" si="164"/>
        <v>0</v>
      </c>
      <c r="CB62" s="1486">
        <f t="shared" ca="1" si="164"/>
        <v>0</v>
      </c>
      <c r="CC62" s="1486">
        <f t="shared" ca="1" si="164"/>
        <v>0</v>
      </c>
      <c r="CD62" s="1486">
        <f t="shared" ca="1" si="164"/>
        <v>0</v>
      </c>
      <c r="CE62" s="1486">
        <f t="shared" ca="1" si="164"/>
        <v>0</v>
      </c>
      <c r="CF62" s="1486">
        <f t="shared" ca="1" si="164"/>
        <v>0</v>
      </c>
      <c r="CG62" s="1486">
        <f t="shared" ca="1" si="164"/>
        <v>0</v>
      </c>
      <c r="CH62" s="1486">
        <f t="shared" ca="1" si="164"/>
        <v>0</v>
      </c>
      <c r="CI62" s="1486">
        <f t="shared" ca="1" si="165"/>
        <v>0</v>
      </c>
      <c r="CJ62" s="1486">
        <f t="shared" ca="1" si="165"/>
        <v>0</v>
      </c>
      <c r="CK62" s="1486">
        <f t="shared" ca="1" si="165"/>
        <v>0</v>
      </c>
      <c r="CL62" s="1486">
        <f t="shared" ca="1" si="165"/>
        <v>0</v>
      </c>
      <c r="CM62" s="1486">
        <f t="shared" ca="1" si="165"/>
        <v>0</v>
      </c>
      <c r="CN62" s="1486">
        <f t="shared" ca="1" si="165"/>
        <v>0</v>
      </c>
      <c r="CO62" s="1486">
        <f t="shared" ca="1" si="165"/>
        <v>0</v>
      </c>
      <c r="CP62" s="1486">
        <f t="shared" ca="1" si="165"/>
        <v>0</v>
      </c>
      <c r="CQ62" s="1486">
        <f t="shared" ca="1" si="165"/>
        <v>0</v>
      </c>
      <c r="CR62" s="1486">
        <f t="shared" ca="1" si="165"/>
        <v>0</v>
      </c>
      <c r="CS62" s="1486">
        <f t="shared" ca="1" si="166"/>
        <v>0</v>
      </c>
      <c r="CT62" s="1486">
        <f t="shared" ca="1" si="166"/>
        <v>0</v>
      </c>
      <c r="CU62" s="1486">
        <f t="shared" ca="1" si="166"/>
        <v>0</v>
      </c>
      <c r="CV62" s="1486">
        <f t="shared" ca="1" si="166"/>
        <v>0</v>
      </c>
      <c r="CW62" s="1486">
        <f t="shared" ca="1" si="166"/>
        <v>0</v>
      </c>
      <c r="CX62" s="1486">
        <f t="shared" ca="1" si="166"/>
        <v>0</v>
      </c>
      <c r="CY62" s="1486">
        <f t="shared" ca="1" si="166"/>
        <v>0</v>
      </c>
      <c r="CZ62" s="1486">
        <f t="shared" ca="1" si="166"/>
        <v>0</v>
      </c>
      <c r="DA62" s="1486">
        <f t="shared" ca="1" si="166"/>
        <v>0</v>
      </c>
      <c r="DB62" s="1486">
        <f t="shared" ca="1" si="166"/>
        <v>0</v>
      </c>
      <c r="DC62" s="1486">
        <f t="shared" ca="1" si="166"/>
        <v>0</v>
      </c>
      <c r="DD62" s="1486">
        <f t="shared" ca="1" si="166"/>
        <v>0</v>
      </c>
      <c r="DE62" s="1486">
        <f t="shared" ca="1" si="166"/>
        <v>0</v>
      </c>
      <c r="DF62" s="1486">
        <f t="shared" ca="1" si="166"/>
        <v>0</v>
      </c>
      <c r="DH62" s="838">
        <f t="shared" ca="1" si="124"/>
        <v>0</v>
      </c>
    </row>
    <row r="63" spans="1:112" s="743" customFormat="1" ht="15.75" collapsed="1">
      <c r="A63" s="22"/>
      <c r="B63" s="753"/>
      <c r="C63" s="744" t="s">
        <v>76</v>
      </c>
      <c r="D63" s="517" t="str">
        <f>INDEX(Workstreams[Workstream], MATCH($C63, Workstreams[Code], 0))</f>
        <v>National renewable power generation</v>
      </c>
      <c r="E63" s="512"/>
      <c r="G63" s="958">
        <f t="shared" ref="G63:P63" ca="1" si="167">SUM(G57:G62)</f>
        <v>0</v>
      </c>
      <c r="H63" s="958">
        <f t="shared" ca="1" si="167"/>
        <v>0</v>
      </c>
      <c r="I63" s="958">
        <f t="shared" ca="1" si="167"/>
        <v>0</v>
      </c>
      <c r="J63" s="958">
        <f t="shared" ca="1" si="167"/>
        <v>0</v>
      </c>
      <c r="K63" s="958">
        <f t="shared" ca="1" si="167"/>
        <v>0</v>
      </c>
      <c r="L63" s="958">
        <f t="shared" ca="1" si="167"/>
        <v>0</v>
      </c>
      <c r="M63" s="958">
        <f t="shared" ca="1" si="167"/>
        <v>0</v>
      </c>
      <c r="N63" s="958">
        <f t="shared" ca="1" si="167"/>
        <v>0</v>
      </c>
      <c r="O63" s="958">
        <f t="shared" ca="1" si="167"/>
        <v>0</v>
      </c>
      <c r="P63" s="958">
        <f t="shared" ca="1" si="167"/>
        <v>0</v>
      </c>
      <c r="Q63" s="1021">
        <f t="shared" ca="1" si="155"/>
        <v>0</v>
      </c>
      <c r="S63" s="970">
        <f t="shared" ref="S63:AJ63" ca="1" si="168">SUM(S57:S62)</f>
        <v>0</v>
      </c>
      <c r="T63" s="970">
        <f t="shared" ca="1" si="168"/>
        <v>18.981458100000001</v>
      </c>
      <c r="U63" s="970">
        <f t="shared" ca="1" si="168"/>
        <v>0</v>
      </c>
      <c r="V63" s="970">
        <f t="shared" ca="1" si="168"/>
        <v>0</v>
      </c>
      <c r="W63" s="970">
        <f t="shared" ca="1" si="168"/>
        <v>0</v>
      </c>
      <c r="X63" s="970">
        <f t="shared" ca="1" si="168"/>
        <v>0</v>
      </c>
      <c r="Y63" s="970">
        <f t="shared" ca="1" si="168"/>
        <v>0</v>
      </c>
      <c r="Z63" s="970">
        <f t="shared" ca="1" si="168"/>
        <v>0</v>
      </c>
      <c r="AA63" s="970">
        <f t="shared" ca="1" si="168"/>
        <v>0</v>
      </c>
      <c r="AB63" s="970">
        <f t="shared" ca="1" si="168"/>
        <v>0</v>
      </c>
      <c r="AC63" s="970">
        <f t="shared" ca="1" si="168"/>
        <v>0</v>
      </c>
      <c r="AD63" s="970">
        <f t="shared" ca="1" si="168"/>
        <v>0</v>
      </c>
      <c r="AE63" s="970">
        <f ca="1">SUM(AE57:AE62)</f>
        <v>0</v>
      </c>
      <c r="AF63" s="970">
        <f t="shared" ca="1" si="168"/>
        <v>0</v>
      </c>
      <c r="AG63" s="970">
        <f t="shared" ca="1" si="168"/>
        <v>0</v>
      </c>
      <c r="AH63" s="970">
        <f ca="1">SUM(AH57:AH62)</f>
        <v>0</v>
      </c>
      <c r="AI63" s="970">
        <f t="shared" ca="1" si="168"/>
        <v>0</v>
      </c>
      <c r="AJ63" s="970">
        <f t="shared" ca="1" si="168"/>
        <v>0</v>
      </c>
      <c r="AK63" s="970">
        <f t="shared" ca="1" si="158"/>
        <v>18.981458100000001</v>
      </c>
      <c r="AM63" s="976">
        <f t="shared" ref="AM63:BE63" ca="1" si="169">SUM(AM57:AM62)</f>
        <v>0</v>
      </c>
      <c r="AN63" s="976">
        <f t="shared" ca="1" si="169"/>
        <v>0</v>
      </c>
      <c r="AO63" s="976">
        <f t="shared" ca="1" si="169"/>
        <v>0</v>
      </c>
      <c r="AP63" s="976">
        <f t="shared" ca="1" si="169"/>
        <v>0</v>
      </c>
      <c r="AQ63" s="976">
        <f t="shared" ca="1" si="169"/>
        <v>0</v>
      </c>
      <c r="AR63" s="976">
        <f t="shared" ca="1" si="169"/>
        <v>0</v>
      </c>
      <c r="AS63" s="976">
        <f t="shared" ca="1" si="169"/>
        <v>0</v>
      </c>
      <c r="AT63" s="976">
        <f t="shared" ca="1" si="169"/>
        <v>0</v>
      </c>
      <c r="AU63" s="976">
        <f t="shared" ca="1" si="169"/>
        <v>0</v>
      </c>
      <c r="AV63" s="976">
        <f t="shared" ca="1" si="169"/>
        <v>0</v>
      </c>
      <c r="AW63" s="976">
        <f t="shared" ca="1" si="169"/>
        <v>0</v>
      </c>
      <c r="AX63" s="976">
        <f t="shared" ca="1" si="169"/>
        <v>-13.6517301</v>
      </c>
      <c r="AY63" s="976">
        <f t="shared" ca="1" si="169"/>
        <v>0</v>
      </c>
      <c r="AZ63" s="976">
        <f t="shared" ca="1" si="169"/>
        <v>0</v>
      </c>
      <c r="BA63" s="976">
        <f t="shared" ca="1" si="169"/>
        <v>0</v>
      </c>
      <c r="BB63" s="976">
        <f t="shared" ca="1" si="169"/>
        <v>-5.3297280000000011</v>
      </c>
      <c r="BC63" s="976">
        <f t="shared" ca="1" si="169"/>
        <v>0</v>
      </c>
      <c r="BD63" s="976">
        <f t="shared" ca="1" si="169"/>
        <v>0</v>
      </c>
      <c r="BE63" s="976">
        <f t="shared" ca="1" si="169"/>
        <v>0</v>
      </c>
      <c r="BF63" s="976">
        <f t="shared" ca="1" si="160"/>
        <v>-18.981458100000001</v>
      </c>
      <c r="BH63" s="990">
        <f ca="1">SUM(BH57:BH62)</f>
        <v>0</v>
      </c>
      <c r="BI63" s="990">
        <f ca="1">SUM(BI57:BI62)</f>
        <v>0</v>
      </c>
      <c r="BJ63" s="990">
        <f t="shared" ca="1" si="162"/>
        <v>0</v>
      </c>
      <c r="BL63" s="515">
        <f t="shared" ca="1" si="153"/>
        <v>0</v>
      </c>
      <c r="BM63" s="515"/>
      <c r="BN63" s="840"/>
      <c r="BO63" s="1482">
        <f t="shared" ref="BO63:DF63" ca="1" si="170">SUM(BO57:BO62)</f>
        <v>0</v>
      </c>
      <c r="BP63" s="1482">
        <f t="shared" ca="1" si="170"/>
        <v>0</v>
      </c>
      <c r="BQ63" s="1482">
        <f t="shared" ca="1" si="170"/>
        <v>0</v>
      </c>
      <c r="BR63" s="1482">
        <f t="shared" ca="1" si="170"/>
        <v>0</v>
      </c>
      <c r="BS63" s="1482">
        <f t="shared" ca="1" si="170"/>
        <v>0</v>
      </c>
      <c r="BT63" s="1482">
        <f t="shared" ca="1" si="170"/>
        <v>0</v>
      </c>
      <c r="BU63" s="1482">
        <f t="shared" ca="1" si="170"/>
        <v>0</v>
      </c>
      <c r="BV63" s="1482">
        <f t="shared" ca="1" si="170"/>
        <v>0</v>
      </c>
      <c r="BW63" s="1482">
        <f t="shared" ca="1" si="170"/>
        <v>0</v>
      </c>
      <c r="BX63" s="1482">
        <f t="shared" ca="1" si="170"/>
        <v>0</v>
      </c>
      <c r="BY63" s="1482">
        <f t="shared" ca="1" si="170"/>
        <v>0</v>
      </c>
      <c r="BZ63" s="1482">
        <f t="shared" ca="1" si="170"/>
        <v>0</v>
      </c>
      <c r="CA63" s="1482">
        <f t="shared" ca="1" si="170"/>
        <v>0</v>
      </c>
      <c r="CB63" s="1482">
        <f t="shared" ca="1" si="170"/>
        <v>0</v>
      </c>
      <c r="CC63" s="1482">
        <f t="shared" ca="1" si="170"/>
        <v>0</v>
      </c>
      <c r="CD63" s="1482">
        <f t="shared" ca="1" si="170"/>
        <v>0</v>
      </c>
      <c r="CE63" s="1482">
        <f t="shared" ca="1" si="170"/>
        <v>0</v>
      </c>
      <c r="CF63" s="1482">
        <f t="shared" ca="1" si="170"/>
        <v>0</v>
      </c>
      <c r="CG63" s="1482">
        <f t="shared" ca="1" si="170"/>
        <v>0</v>
      </c>
      <c r="CH63" s="1482">
        <f t="shared" ca="1" si="170"/>
        <v>0</v>
      </c>
      <c r="CI63" s="1482">
        <f t="shared" ca="1" si="170"/>
        <v>0</v>
      </c>
      <c r="CJ63" s="1482">
        <f t="shared" ca="1" si="170"/>
        <v>0</v>
      </c>
      <c r="CK63" s="1482">
        <f t="shared" ca="1" si="170"/>
        <v>0</v>
      </c>
      <c r="CL63" s="1482">
        <f t="shared" ca="1" si="170"/>
        <v>0</v>
      </c>
      <c r="CM63" s="1482">
        <f t="shared" ca="1" si="170"/>
        <v>0</v>
      </c>
      <c r="CN63" s="1482">
        <f t="shared" ca="1" si="170"/>
        <v>0</v>
      </c>
      <c r="CO63" s="1482">
        <f t="shared" ca="1" si="170"/>
        <v>0</v>
      </c>
      <c r="CP63" s="1482">
        <f t="shared" ca="1" si="170"/>
        <v>0</v>
      </c>
      <c r="CQ63" s="1482">
        <f t="shared" ca="1" si="170"/>
        <v>0</v>
      </c>
      <c r="CR63" s="1482">
        <f t="shared" ca="1" si="170"/>
        <v>0</v>
      </c>
      <c r="CS63" s="1482">
        <f t="shared" ca="1" si="170"/>
        <v>0</v>
      </c>
      <c r="CT63" s="1482">
        <f t="shared" ca="1" si="170"/>
        <v>0</v>
      </c>
      <c r="CU63" s="1482">
        <f t="shared" ca="1" si="170"/>
        <v>0</v>
      </c>
      <c r="CV63" s="1482">
        <f t="shared" ca="1" si="170"/>
        <v>0</v>
      </c>
      <c r="CW63" s="1482">
        <f t="shared" ca="1" si="170"/>
        <v>0</v>
      </c>
      <c r="CX63" s="1482">
        <f t="shared" ca="1" si="170"/>
        <v>0</v>
      </c>
      <c r="CY63" s="1482">
        <f t="shared" ca="1" si="170"/>
        <v>0</v>
      </c>
      <c r="CZ63" s="1482">
        <f t="shared" ca="1" si="170"/>
        <v>0</v>
      </c>
      <c r="DA63" s="1482">
        <f t="shared" ca="1" si="170"/>
        <v>0</v>
      </c>
      <c r="DB63" s="1482">
        <f t="shared" ca="1" si="170"/>
        <v>0</v>
      </c>
      <c r="DC63" s="1482">
        <f t="shared" ca="1" si="170"/>
        <v>0</v>
      </c>
      <c r="DD63" s="1482">
        <f t="shared" ca="1" si="170"/>
        <v>0</v>
      </c>
      <c r="DE63" s="1482">
        <f t="shared" ca="1" si="170"/>
        <v>0</v>
      </c>
      <c r="DF63" s="1482">
        <f t="shared" ca="1" si="170"/>
        <v>0</v>
      </c>
      <c r="DH63" s="838">
        <f t="shared" ca="1" si="124"/>
        <v>0</v>
      </c>
    </row>
    <row r="64" spans="1:112" s="743" customFormat="1" ht="12.75" hidden="1" customHeight="1" outlineLevel="1">
      <c r="A64" s="22"/>
      <c r="B64" s="22"/>
      <c r="C64" s="751"/>
      <c r="D64" s="512"/>
      <c r="E64" s="512"/>
      <c r="G64" s="958"/>
      <c r="H64" s="958"/>
      <c r="I64" s="958"/>
      <c r="J64" s="958"/>
      <c r="K64" s="960"/>
      <c r="L64" s="958"/>
      <c r="M64" s="958"/>
      <c r="N64" s="958"/>
      <c r="O64" s="958"/>
      <c r="P64" s="958"/>
      <c r="Q64" s="958"/>
      <c r="S64" s="970"/>
      <c r="T64" s="970"/>
      <c r="U64" s="970"/>
      <c r="V64" s="970"/>
      <c r="W64" s="970"/>
      <c r="X64" s="970"/>
      <c r="Y64" s="970"/>
      <c r="Z64" s="970"/>
      <c r="AA64" s="970"/>
      <c r="AB64" s="970"/>
      <c r="AC64" s="970"/>
      <c r="AD64" s="970"/>
      <c r="AE64" s="970"/>
      <c r="AF64" s="970"/>
      <c r="AG64" s="970"/>
      <c r="AH64" s="970"/>
      <c r="AI64" s="970"/>
      <c r="AJ64" s="970"/>
      <c r="AK64" s="970"/>
      <c r="AM64" s="976"/>
      <c r="AN64" s="976"/>
      <c r="AO64" s="976"/>
      <c r="AP64" s="976"/>
      <c r="AQ64" s="976"/>
      <c r="AR64" s="976"/>
      <c r="AS64" s="976"/>
      <c r="AT64" s="976"/>
      <c r="AU64" s="976"/>
      <c r="AV64" s="976"/>
      <c r="AW64" s="976"/>
      <c r="AX64" s="976"/>
      <c r="AY64" s="976"/>
      <c r="AZ64" s="976"/>
      <c r="BA64" s="976"/>
      <c r="BB64" s="976"/>
      <c r="BC64" s="976"/>
      <c r="BD64" s="976"/>
      <c r="BE64" s="976"/>
      <c r="BF64" s="976"/>
      <c r="BH64" s="990"/>
      <c r="BI64" s="990"/>
      <c r="BJ64" s="990"/>
      <c r="BL64" s="515"/>
      <c r="BM64" s="515"/>
      <c r="BN64" s="22"/>
      <c r="BO64" s="1482"/>
      <c r="BP64" s="1482"/>
      <c r="BQ64" s="1482"/>
      <c r="BR64" s="1482"/>
      <c r="BS64" s="1482"/>
      <c r="BT64" s="1482"/>
      <c r="BU64" s="1482"/>
      <c r="BV64" s="1482"/>
      <c r="BW64" s="1482"/>
      <c r="BX64" s="1482"/>
      <c r="BY64" s="1482"/>
      <c r="BZ64" s="1482"/>
      <c r="CA64" s="1482"/>
      <c r="CB64" s="1482"/>
      <c r="CC64" s="1482"/>
      <c r="CD64" s="1482"/>
      <c r="CE64" s="1482"/>
      <c r="CF64" s="1482"/>
      <c r="CG64" s="1482"/>
      <c r="CH64" s="1482"/>
      <c r="CI64" s="1482"/>
      <c r="CJ64" s="1482"/>
      <c r="CK64" s="1482"/>
      <c r="CL64" s="1482"/>
      <c r="CM64" s="1482"/>
      <c r="CN64" s="1482"/>
      <c r="CO64" s="1482"/>
      <c r="CP64" s="1482"/>
      <c r="CQ64" s="1482"/>
      <c r="CR64" s="1482"/>
      <c r="CS64" s="1482"/>
      <c r="CT64" s="1482"/>
      <c r="CU64" s="1482"/>
      <c r="CV64" s="1482"/>
      <c r="CW64" s="1482"/>
      <c r="CX64" s="1482"/>
      <c r="CY64" s="1482"/>
      <c r="CZ64" s="1482"/>
      <c r="DA64" s="1482"/>
      <c r="DB64" s="1482"/>
      <c r="DC64" s="1482"/>
      <c r="DD64" s="1482"/>
      <c r="DE64" s="1482"/>
      <c r="DF64" s="1482"/>
      <c r="DH64" s="838">
        <f t="shared" si="124"/>
        <v>0</v>
      </c>
    </row>
    <row r="65" spans="1:112" s="1484" customFormat="1" ht="12.75" hidden="1" customHeight="1" outlineLevel="1">
      <c r="C65" s="746" t="s">
        <v>976</v>
      </c>
      <c r="D65" s="521" t="str">
        <f>INDEX(Modules[Module], MATCH($C65, Modules[Code], 0))</f>
        <v>Distributed solar PV</v>
      </c>
      <c r="E65" s="521"/>
      <c r="G65" s="1604">
        <f t="shared" ref="G65:P67" ca="1" si="171">IFERROR(INDEX(INDIRECT($C65&amp;".Outputs["&amp;this.Year&amp;"]"), MATCH(G$5, INDIRECT($C65&amp;".Outputs[Vector]"), 0)), 0)</f>
        <v>0</v>
      </c>
      <c r="H65" s="1604">
        <f t="shared" ca="1" si="171"/>
        <v>0</v>
      </c>
      <c r="I65" s="1604">
        <f t="shared" ca="1" si="171"/>
        <v>0</v>
      </c>
      <c r="J65" s="1604">
        <f t="shared" ca="1" si="171"/>
        <v>0</v>
      </c>
      <c r="K65" s="1605">
        <f t="shared" ca="1" si="171"/>
        <v>0</v>
      </c>
      <c r="L65" s="1604">
        <f t="shared" ca="1" si="171"/>
        <v>0</v>
      </c>
      <c r="M65" s="1604">
        <f t="shared" ca="1" si="171"/>
        <v>0</v>
      </c>
      <c r="N65" s="1604">
        <f t="shared" ca="1" si="171"/>
        <v>0</v>
      </c>
      <c r="O65" s="1604">
        <f t="shared" ca="1" si="171"/>
        <v>0</v>
      </c>
      <c r="P65" s="1604">
        <f t="shared" ca="1" si="171"/>
        <v>0</v>
      </c>
      <c r="Q65" s="963">
        <f ca="1">SUM(G65:P65)</f>
        <v>0</v>
      </c>
      <c r="S65" s="1606">
        <f t="shared" ref="S65:BE67" ca="1" si="172">IFERROR(INDEX(INDIRECT($C65&amp;".Outputs["&amp;this.Year&amp;"]"), MATCH(S$5, INDIRECT($C65&amp;".Outputs[Vector]"), 0)), 0)</f>
        <v>0</v>
      </c>
      <c r="T65" s="1606">
        <f t="shared" ca="1" si="172"/>
        <v>0</v>
      </c>
      <c r="U65" s="1606">
        <f t="shared" ca="1" si="172"/>
        <v>0</v>
      </c>
      <c r="V65" s="1606">
        <f t="shared" ca="1" si="172"/>
        <v>0</v>
      </c>
      <c r="W65" s="1606">
        <f t="shared" ca="1" si="172"/>
        <v>0</v>
      </c>
      <c r="X65" s="1606">
        <f t="shared" ref="X65:Z67" ca="1" si="173">IFERROR(INDEX(INDIRECT($C65&amp;".Outputs["&amp;this.Year&amp;"]"), MATCH(X$5, INDIRECT($C65&amp;".Outputs[Vector]"), 0)), 0)</f>
        <v>0</v>
      </c>
      <c r="Y65" s="1606">
        <f t="shared" ca="1" si="173"/>
        <v>0</v>
      </c>
      <c r="Z65" s="1606">
        <f t="shared" ca="1" si="173"/>
        <v>0</v>
      </c>
      <c r="AA65" s="1606">
        <f t="shared" ca="1" si="172"/>
        <v>0</v>
      </c>
      <c r="AB65" s="1606">
        <f t="shared" ca="1" si="172"/>
        <v>0</v>
      </c>
      <c r="AC65" s="1606">
        <f t="shared" ca="1" si="172"/>
        <v>0</v>
      </c>
      <c r="AD65" s="1606">
        <f t="shared" ca="1" si="172"/>
        <v>0</v>
      </c>
      <c r="AE65" s="1606">
        <f t="shared" ca="1" si="172"/>
        <v>0</v>
      </c>
      <c r="AF65" s="1606">
        <f t="shared" ca="1" si="172"/>
        <v>0</v>
      </c>
      <c r="AG65" s="1606">
        <f t="shared" ca="1" si="172"/>
        <v>0</v>
      </c>
      <c r="AH65" s="1606">
        <f t="shared" ca="1" si="172"/>
        <v>0</v>
      </c>
      <c r="AI65" s="1606">
        <f t="shared" ca="1" si="172"/>
        <v>0</v>
      </c>
      <c r="AJ65" s="1606">
        <f t="shared" ca="1" si="172"/>
        <v>0</v>
      </c>
      <c r="AK65" s="972">
        <f ca="1">SUM(S65:AJ65)</f>
        <v>0</v>
      </c>
      <c r="AM65" s="1607">
        <f t="shared" ref="AM65:AU67" ca="1" si="174">IFERROR(INDEX(INDIRECT($C65&amp;".Outputs["&amp;this.Year&amp;"]"), MATCH(AM$5, INDIRECT($C65&amp;".Outputs[Vector]"), 0)), 0)</f>
        <v>0</v>
      </c>
      <c r="AN65" s="1607">
        <f t="shared" ca="1" si="174"/>
        <v>0</v>
      </c>
      <c r="AO65" s="1607">
        <f t="shared" ca="1" si="174"/>
        <v>0</v>
      </c>
      <c r="AP65" s="1607">
        <f t="shared" ca="1" si="174"/>
        <v>0</v>
      </c>
      <c r="AQ65" s="1607">
        <f t="shared" ca="1" si="174"/>
        <v>0</v>
      </c>
      <c r="AR65" s="1607">
        <f t="shared" ca="1" si="174"/>
        <v>0</v>
      </c>
      <c r="AS65" s="1607">
        <f t="shared" ca="1" si="174"/>
        <v>0</v>
      </c>
      <c r="AT65" s="1607">
        <f t="shared" ca="1" si="174"/>
        <v>0</v>
      </c>
      <c r="AU65" s="1607">
        <f t="shared" ca="1" si="174"/>
        <v>0</v>
      </c>
      <c r="AV65" s="1607">
        <f t="shared" ca="1" si="172"/>
        <v>0</v>
      </c>
      <c r="AW65" s="1607">
        <f t="shared" ca="1" si="172"/>
        <v>0</v>
      </c>
      <c r="AX65" s="1607">
        <f t="shared" ca="1" si="172"/>
        <v>0</v>
      </c>
      <c r="AY65" s="1607">
        <f t="shared" ca="1" si="172"/>
        <v>0</v>
      </c>
      <c r="AZ65" s="1607">
        <f t="shared" ca="1" si="172"/>
        <v>0</v>
      </c>
      <c r="BA65" s="1607">
        <f t="shared" ca="1" si="172"/>
        <v>0</v>
      </c>
      <c r="BB65" s="1607">
        <f t="shared" ca="1" si="172"/>
        <v>0</v>
      </c>
      <c r="BC65" s="1607">
        <f t="shared" ca="1" si="172"/>
        <v>0</v>
      </c>
      <c r="BD65" s="1607">
        <f t="shared" ca="1" si="172"/>
        <v>0</v>
      </c>
      <c r="BE65" s="1607">
        <f t="shared" ca="1" si="172"/>
        <v>0</v>
      </c>
      <c r="BF65" s="979">
        <f ca="1">SUM(AM65:BE65)</f>
        <v>0</v>
      </c>
      <c r="BH65" s="1608">
        <f t="shared" ref="BH65:BI67" ca="1" si="175">IFERROR(INDEX(INDIRECT($C65&amp;".Outputs["&amp;this.Year&amp;"]"), MATCH(BH$5, INDIRECT($C65&amp;".Outputs[Vector]"), 0)), 0)</f>
        <v>0</v>
      </c>
      <c r="BI65" s="1608">
        <f t="shared" ca="1" si="175"/>
        <v>0</v>
      </c>
      <c r="BJ65" s="992">
        <f ca="1">SUM(BH65:BI65)</f>
        <v>0</v>
      </c>
      <c r="BL65" s="814">
        <f t="shared" ref="BL65:BL70" ca="1" si="176">Q65+AK65+BF65+BJ65</f>
        <v>0</v>
      </c>
      <c r="BM65" s="814"/>
      <c r="BO65" s="1602">
        <f t="shared" ref="BO65:DF67" ca="1" si="177">IFERROR(SUMIFS(INDIRECT($C65&amp;".Emissions["&amp;this.Year&amp;"]"), INDIRECT($C65&amp;".Emissions[GHG]"), BO$6, INDIRECT($C65&amp;".Emissions[IPCC Sector]"), BO$5),0)</f>
        <v>0</v>
      </c>
      <c r="BP65" s="1602">
        <f t="shared" ca="1" si="177"/>
        <v>0</v>
      </c>
      <c r="BQ65" s="1602">
        <f t="shared" ca="1" si="177"/>
        <v>0</v>
      </c>
      <c r="BR65" s="1602">
        <f t="shared" ca="1" si="177"/>
        <v>0</v>
      </c>
      <c r="BS65" s="1602">
        <f t="shared" ca="1" si="177"/>
        <v>0</v>
      </c>
      <c r="BT65" s="1602">
        <f t="shared" ca="1" si="177"/>
        <v>0</v>
      </c>
      <c r="BU65" s="1602">
        <f t="shared" ca="1" si="177"/>
        <v>0</v>
      </c>
      <c r="BV65" s="1602">
        <f t="shared" ca="1" si="177"/>
        <v>0</v>
      </c>
      <c r="BW65" s="1602">
        <f t="shared" ca="1" si="177"/>
        <v>0</v>
      </c>
      <c r="BX65" s="1602">
        <f t="shared" ca="1" si="177"/>
        <v>0</v>
      </c>
      <c r="BY65" s="1602">
        <f t="shared" ca="1" si="177"/>
        <v>0</v>
      </c>
      <c r="BZ65" s="1602">
        <f t="shared" ca="1" si="177"/>
        <v>0</v>
      </c>
      <c r="CA65" s="1602">
        <f t="shared" ca="1" si="177"/>
        <v>0</v>
      </c>
      <c r="CB65" s="1602">
        <f t="shared" ca="1" si="177"/>
        <v>0</v>
      </c>
      <c r="CC65" s="1602">
        <f t="shared" ca="1" si="177"/>
        <v>0</v>
      </c>
      <c r="CD65" s="1602">
        <f t="shared" ca="1" si="177"/>
        <v>0</v>
      </c>
      <c r="CE65" s="1602">
        <f t="shared" ca="1" si="177"/>
        <v>0</v>
      </c>
      <c r="CF65" s="1602">
        <f t="shared" ca="1" si="177"/>
        <v>0</v>
      </c>
      <c r="CG65" s="1602">
        <f t="shared" ca="1" si="177"/>
        <v>0</v>
      </c>
      <c r="CH65" s="1602">
        <f t="shared" ca="1" si="177"/>
        <v>0</v>
      </c>
      <c r="CI65" s="1602">
        <f t="shared" ca="1" si="177"/>
        <v>0</v>
      </c>
      <c r="CJ65" s="1602">
        <f t="shared" ca="1" si="177"/>
        <v>0</v>
      </c>
      <c r="CK65" s="1602">
        <f t="shared" ca="1" si="177"/>
        <v>0</v>
      </c>
      <c r="CL65" s="1602">
        <f t="shared" ca="1" si="177"/>
        <v>0</v>
      </c>
      <c r="CM65" s="1602">
        <f t="shared" ca="1" si="177"/>
        <v>0</v>
      </c>
      <c r="CN65" s="1602">
        <f t="shared" ca="1" si="177"/>
        <v>0</v>
      </c>
      <c r="CO65" s="1602">
        <f t="shared" ca="1" si="177"/>
        <v>0</v>
      </c>
      <c r="CP65" s="1602">
        <f t="shared" ca="1" si="177"/>
        <v>0</v>
      </c>
      <c r="CQ65" s="1602">
        <f t="shared" ca="1" si="177"/>
        <v>0</v>
      </c>
      <c r="CR65" s="1602">
        <f t="shared" ca="1" si="177"/>
        <v>0</v>
      </c>
      <c r="CS65" s="1602">
        <f t="shared" ca="1" si="177"/>
        <v>0</v>
      </c>
      <c r="CT65" s="1602">
        <f t="shared" ca="1" si="177"/>
        <v>0</v>
      </c>
      <c r="CU65" s="1602">
        <f t="shared" ca="1" si="177"/>
        <v>0</v>
      </c>
      <c r="CV65" s="1602">
        <f t="shared" ca="1" si="177"/>
        <v>0</v>
      </c>
      <c r="CW65" s="1602">
        <f t="shared" ca="1" si="177"/>
        <v>0</v>
      </c>
      <c r="CX65" s="1602">
        <f t="shared" ca="1" si="177"/>
        <v>0</v>
      </c>
      <c r="CY65" s="1602">
        <f t="shared" ca="1" si="177"/>
        <v>0</v>
      </c>
      <c r="CZ65" s="1602">
        <f t="shared" ca="1" si="177"/>
        <v>0</v>
      </c>
      <c r="DA65" s="1602">
        <f t="shared" ca="1" si="177"/>
        <v>0</v>
      </c>
      <c r="DB65" s="1602">
        <f t="shared" ca="1" si="177"/>
        <v>0</v>
      </c>
      <c r="DC65" s="1602">
        <f t="shared" ca="1" si="177"/>
        <v>0</v>
      </c>
      <c r="DD65" s="1602">
        <f t="shared" ca="1" si="177"/>
        <v>0</v>
      </c>
      <c r="DE65" s="1602">
        <f t="shared" ca="1" si="177"/>
        <v>0</v>
      </c>
      <c r="DF65" s="1602">
        <f t="shared" ca="1" si="177"/>
        <v>0</v>
      </c>
      <c r="DH65" s="1603">
        <f t="shared" ca="1" si="124"/>
        <v>0</v>
      </c>
    </row>
    <row r="66" spans="1:112" s="1484" customFormat="1" ht="12.75" hidden="1" customHeight="1" outlineLevel="1">
      <c r="C66" s="746" t="s">
        <v>1329</v>
      </c>
      <c r="D66" s="521" t="str">
        <f>INDEX(Modules[Module], MATCH($C66, Modules[Code], 0))</f>
        <v>Distributed solar thermal</v>
      </c>
      <c r="E66" s="521"/>
      <c r="G66" s="1604">
        <f t="shared" ca="1" si="171"/>
        <v>0</v>
      </c>
      <c r="H66" s="1604">
        <f t="shared" ca="1" si="171"/>
        <v>0</v>
      </c>
      <c r="I66" s="1604">
        <f t="shared" ca="1" si="171"/>
        <v>0</v>
      </c>
      <c r="J66" s="1604">
        <f t="shared" ca="1" si="171"/>
        <v>0</v>
      </c>
      <c r="K66" s="1605">
        <f t="shared" ca="1" si="171"/>
        <v>0</v>
      </c>
      <c r="L66" s="1604">
        <f t="shared" ca="1" si="171"/>
        <v>0</v>
      </c>
      <c r="M66" s="1604">
        <f t="shared" ca="1" si="171"/>
        <v>0</v>
      </c>
      <c r="N66" s="1604">
        <f t="shared" ca="1" si="171"/>
        <v>0</v>
      </c>
      <c r="O66" s="1604">
        <f t="shared" ca="1" si="171"/>
        <v>0</v>
      </c>
      <c r="P66" s="1604">
        <f t="shared" ca="1" si="171"/>
        <v>0</v>
      </c>
      <c r="Q66" s="963">
        <f ca="1">SUM(G66:P66)</f>
        <v>0</v>
      </c>
      <c r="S66" s="1606">
        <f t="shared" ca="1" si="172"/>
        <v>0</v>
      </c>
      <c r="T66" s="1606">
        <f t="shared" ca="1" si="172"/>
        <v>0</v>
      </c>
      <c r="U66" s="1606">
        <f t="shared" ca="1" si="172"/>
        <v>0</v>
      </c>
      <c r="V66" s="1606">
        <f t="shared" ca="1" si="172"/>
        <v>0</v>
      </c>
      <c r="W66" s="1606">
        <f t="shared" ca="1" si="172"/>
        <v>0</v>
      </c>
      <c r="X66" s="1606">
        <f t="shared" ca="1" si="173"/>
        <v>0</v>
      </c>
      <c r="Y66" s="1606">
        <f t="shared" ca="1" si="173"/>
        <v>0</v>
      </c>
      <c r="Z66" s="1606">
        <f t="shared" ca="1" si="173"/>
        <v>0</v>
      </c>
      <c r="AA66" s="1606">
        <f t="shared" ca="1" si="172"/>
        <v>0</v>
      </c>
      <c r="AB66" s="1606">
        <f t="shared" ca="1" si="172"/>
        <v>0</v>
      </c>
      <c r="AC66" s="1606">
        <f t="shared" ca="1" si="172"/>
        <v>0</v>
      </c>
      <c r="AD66" s="1606">
        <f t="shared" ca="1" si="172"/>
        <v>0</v>
      </c>
      <c r="AE66" s="1606">
        <f t="shared" ca="1" si="172"/>
        <v>0</v>
      </c>
      <c r="AF66" s="1606">
        <f t="shared" ca="1" si="172"/>
        <v>0</v>
      </c>
      <c r="AG66" s="1606">
        <f t="shared" ca="1" si="172"/>
        <v>0</v>
      </c>
      <c r="AH66" s="1606">
        <f t="shared" ca="1" si="172"/>
        <v>0</v>
      </c>
      <c r="AI66" s="1606">
        <f t="shared" ca="1" si="172"/>
        <v>0</v>
      </c>
      <c r="AJ66" s="1606">
        <f t="shared" ca="1" si="172"/>
        <v>0</v>
      </c>
      <c r="AK66" s="972">
        <f ca="1">SUM(S66:AJ66)</f>
        <v>0</v>
      </c>
      <c r="AM66" s="1607">
        <f t="shared" ca="1" si="174"/>
        <v>0</v>
      </c>
      <c r="AN66" s="1607">
        <f t="shared" ca="1" si="174"/>
        <v>0</v>
      </c>
      <c r="AO66" s="1607">
        <f t="shared" ca="1" si="174"/>
        <v>0</v>
      </c>
      <c r="AP66" s="1607">
        <f t="shared" ca="1" si="174"/>
        <v>0</v>
      </c>
      <c r="AQ66" s="1607">
        <f t="shared" ca="1" si="174"/>
        <v>0</v>
      </c>
      <c r="AR66" s="1607">
        <f t="shared" ca="1" si="174"/>
        <v>0</v>
      </c>
      <c r="AS66" s="1607">
        <f t="shared" ca="1" si="174"/>
        <v>0</v>
      </c>
      <c r="AT66" s="1607">
        <f t="shared" ca="1" si="174"/>
        <v>0</v>
      </c>
      <c r="AU66" s="1607">
        <f t="shared" ca="1" si="174"/>
        <v>0</v>
      </c>
      <c r="AV66" s="1607">
        <f t="shared" ca="1" si="172"/>
        <v>0</v>
      </c>
      <c r="AW66" s="1607">
        <f t="shared" ca="1" si="172"/>
        <v>0</v>
      </c>
      <c r="AX66" s="1607">
        <f t="shared" ca="1" si="172"/>
        <v>0</v>
      </c>
      <c r="AY66" s="1607">
        <f t="shared" ca="1" si="172"/>
        <v>0</v>
      </c>
      <c r="AZ66" s="1607">
        <f t="shared" ca="1" si="172"/>
        <v>0</v>
      </c>
      <c r="BA66" s="1607">
        <f t="shared" ca="1" si="172"/>
        <v>0</v>
      </c>
      <c r="BB66" s="1607">
        <f t="shared" ca="1" si="172"/>
        <v>0</v>
      </c>
      <c r="BC66" s="1607">
        <f t="shared" ca="1" si="172"/>
        <v>0</v>
      </c>
      <c r="BD66" s="1607">
        <f t="shared" ca="1" si="172"/>
        <v>0</v>
      </c>
      <c r="BE66" s="1607">
        <f t="shared" ca="1" si="172"/>
        <v>0</v>
      </c>
      <c r="BF66" s="979">
        <f ca="1">SUM(AM66:BE66)</f>
        <v>0</v>
      </c>
      <c r="BH66" s="1608">
        <f t="shared" ca="1" si="175"/>
        <v>0</v>
      </c>
      <c r="BI66" s="1608">
        <f t="shared" ca="1" si="175"/>
        <v>0</v>
      </c>
      <c r="BJ66" s="992">
        <f ca="1">SUM(BH66:BI66)</f>
        <v>0</v>
      </c>
      <c r="BL66" s="814">
        <f t="shared" ca="1" si="176"/>
        <v>0</v>
      </c>
      <c r="BM66" s="814"/>
      <c r="BO66" s="1602">
        <f t="shared" ca="1" si="177"/>
        <v>0</v>
      </c>
      <c r="BP66" s="1602">
        <f t="shared" ca="1" si="177"/>
        <v>0</v>
      </c>
      <c r="BQ66" s="1602">
        <f t="shared" ca="1" si="177"/>
        <v>0</v>
      </c>
      <c r="BR66" s="1602">
        <f t="shared" ca="1" si="177"/>
        <v>0</v>
      </c>
      <c r="BS66" s="1602">
        <f t="shared" ca="1" si="177"/>
        <v>0</v>
      </c>
      <c r="BT66" s="1602">
        <f t="shared" ca="1" si="177"/>
        <v>0</v>
      </c>
      <c r="BU66" s="1602">
        <f t="shared" ca="1" si="177"/>
        <v>0</v>
      </c>
      <c r="BV66" s="1602">
        <f t="shared" ca="1" si="177"/>
        <v>0</v>
      </c>
      <c r="BW66" s="1602">
        <f t="shared" ca="1" si="177"/>
        <v>0</v>
      </c>
      <c r="BX66" s="1602">
        <f t="shared" ca="1" si="177"/>
        <v>0</v>
      </c>
      <c r="BY66" s="1602">
        <f t="shared" ca="1" si="177"/>
        <v>0</v>
      </c>
      <c r="BZ66" s="1602">
        <f t="shared" ca="1" si="177"/>
        <v>0</v>
      </c>
      <c r="CA66" s="1602">
        <f t="shared" ca="1" si="177"/>
        <v>0</v>
      </c>
      <c r="CB66" s="1602">
        <f t="shared" ca="1" si="177"/>
        <v>0</v>
      </c>
      <c r="CC66" s="1602">
        <f t="shared" ca="1" si="177"/>
        <v>0</v>
      </c>
      <c r="CD66" s="1602">
        <f t="shared" ca="1" si="177"/>
        <v>0</v>
      </c>
      <c r="CE66" s="1602">
        <f t="shared" ca="1" si="177"/>
        <v>0</v>
      </c>
      <c r="CF66" s="1602">
        <f t="shared" ca="1" si="177"/>
        <v>0</v>
      </c>
      <c r="CG66" s="1602">
        <f t="shared" ca="1" si="177"/>
        <v>0</v>
      </c>
      <c r="CH66" s="1602">
        <f t="shared" ca="1" si="177"/>
        <v>0</v>
      </c>
      <c r="CI66" s="1602">
        <f t="shared" ca="1" si="177"/>
        <v>0</v>
      </c>
      <c r="CJ66" s="1602">
        <f t="shared" ca="1" si="177"/>
        <v>0</v>
      </c>
      <c r="CK66" s="1602">
        <f t="shared" ca="1" si="177"/>
        <v>0</v>
      </c>
      <c r="CL66" s="1602">
        <f t="shared" ca="1" si="177"/>
        <v>0</v>
      </c>
      <c r="CM66" s="1602">
        <f t="shared" ca="1" si="177"/>
        <v>0</v>
      </c>
      <c r="CN66" s="1602">
        <f t="shared" ca="1" si="177"/>
        <v>0</v>
      </c>
      <c r="CO66" s="1602">
        <f t="shared" ca="1" si="177"/>
        <v>0</v>
      </c>
      <c r="CP66" s="1602">
        <f t="shared" ca="1" si="177"/>
        <v>0</v>
      </c>
      <c r="CQ66" s="1602">
        <f t="shared" ca="1" si="177"/>
        <v>0</v>
      </c>
      <c r="CR66" s="1602">
        <f t="shared" ca="1" si="177"/>
        <v>0</v>
      </c>
      <c r="CS66" s="1602">
        <f t="shared" ca="1" si="177"/>
        <v>0</v>
      </c>
      <c r="CT66" s="1602">
        <f t="shared" ca="1" si="177"/>
        <v>0</v>
      </c>
      <c r="CU66" s="1602">
        <f t="shared" ca="1" si="177"/>
        <v>0</v>
      </c>
      <c r="CV66" s="1602">
        <f t="shared" ca="1" si="177"/>
        <v>0</v>
      </c>
      <c r="CW66" s="1602">
        <f t="shared" ca="1" si="177"/>
        <v>0</v>
      </c>
      <c r="CX66" s="1602">
        <f t="shared" ca="1" si="177"/>
        <v>0</v>
      </c>
      <c r="CY66" s="1602">
        <f t="shared" ca="1" si="177"/>
        <v>0</v>
      </c>
      <c r="CZ66" s="1602">
        <f t="shared" ca="1" si="177"/>
        <v>0</v>
      </c>
      <c r="DA66" s="1602">
        <f t="shared" ca="1" si="177"/>
        <v>0</v>
      </c>
      <c r="DB66" s="1602">
        <f t="shared" ca="1" si="177"/>
        <v>0</v>
      </c>
      <c r="DC66" s="1602">
        <f t="shared" ca="1" si="177"/>
        <v>0</v>
      </c>
      <c r="DD66" s="1602">
        <f t="shared" ca="1" si="177"/>
        <v>0</v>
      </c>
      <c r="DE66" s="1602">
        <f t="shared" ca="1" si="177"/>
        <v>0</v>
      </c>
      <c r="DF66" s="1602">
        <f t="shared" ca="1" si="177"/>
        <v>0</v>
      </c>
      <c r="DH66" s="1603">
        <f t="shared" ca="1" si="124"/>
        <v>0</v>
      </c>
    </row>
    <row r="67" spans="1:112" s="1484" customFormat="1" ht="12.75" hidden="1" customHeight="1" outlineLevel="1">
      <c r="C67" s="746" t="s">
        <v>1597</v>
      </c>
      <c r="D67" s="1010" t="str">
        <f>INDEX(Modules[Module], MATCH($C67, Modules[Code], 0))</f>
        <v>Micro wind</v>
      </c>
      <c r="E67" s="1010"/>
      <c r="F67" s="743"/>
      <c r="G67" s="1022">
        <f t="shared" ca="1" si="171"/>
        <v>0</v>
      </c>
      <c r="H67" s="1022">
        <f t="shared" ca="1" si="171"/>
        <v>0</v>
      </c>
      <c r="I67" s="1022">
        <f t="shared" ca="1" si="171"/>
        <v>0</v>
      </c>
      <c r="J67" s="1022">
        <f t="shared" ca="1" si="171"/>
        <v>0</v>
      </c>
      <c r="K67" s="1022">
        <f t="shared" ca="1" si="171"/>
        <v>0</v>
      </c>
      <c r="L67" s="1022">
        <f t="shared" ca="1" si="171"/>
        <v>0</v>
      </c>
      <c r="M67" s="1022">
        <f t="shared" ca="1" si="171"/>
        <v>0</v>
      </c>
      <c r="N67" s="1022">
        <f t="shared" ca="1" si="171"/>
        <v>0</v>
      </c>
      <c r="O67" s="1022">
        <f t="shared" ca="1" si="171"/>
        <v>0</v>
      </c>
      <c r="P67" s="1022">
        <f t="shared" ca="1" si="171"/>
        <v>0</v>
      </c>
      <c r="Q67" s="1020">
        <f ca="1">SUM(G67:P67)</f>
        <v>0</v>
      </c>
      <c r="R67" s="743"/>
      <c r="S67" s="1031">
        <f t="shared" ca="1" si="172"/>
        <v>0</v>
      </c>
      <c r="T67" s="1031">
        <f t="shared" ca="1" si="172"/>
        <v>0</v>
      </c>
      <c r="U67" s="1031">
        <f t="shared" ca="1" si="172"/>
        <v>0</v>
      </c>
      <c r="V67" s="1031">
        <f t="shared" ca="1" si="172"/>
        <v>0</v>
      </c>
      <c r="W67" s="1031">
        <f t="shared" ca="1" si="172"/>
        <v>0</v>
      </c>
      <c r="X67" s="1031">
        <f t="shared" ca="1" si="173"/>
        <v>0</v>
      </c>
      <c r="Y67" s="1031">
        <f t="shared" ca="1" si="173"/>
        <v>0</v>
      </c>
      <c r="Z67" s="1031">
        <f t="shared" ca="1" si="173"/>
        <v>0</v>
      </c>
      <c r="AA67" s="1031">
        <f t="shared" ca="1" si="172"/>
        <v>0</v>
      </c>
      <c r="AB67" s="1031">
        <f t="shared" ca="1" si="172"/>
        <v>0</v>
      </c>
      <c r="AC67" s="1031">
        <f t="shared" ca="1" si="172"/>
        <v>0</v>
      </c>
      <c r="AD67" s="1031">
        <f t="shared" ca="1" si="172"/>
        <v>0</v>
      </c>
      <c r="AE67" s="1031">
        <f t="shared" ca="1" si="172"/>
        <v>0</v>
      </c>
      <c r="AF67" s="1031">
        <f t="shared" ca="1" si="172"/>
        <v>0</v>
      </c>
      <c r="AG67" s="1031">
        <f t="shared" ca="1" si="172"/>
        <v>0</v>
      </c>
      <c r="AH67" s="1031">
        <f t="shared" ca="1" si="172"/>
        <v>0</v>
      </c>
      <c r="AI67" s="1031">
        <f t="shared" ca="1" si="172"/>
        <v>0</v>
      </c>
      <c r="AJ67" s="1031">
        <f t="shared" ca="1" si="172"/>
        <v>0</v>
      </c>
      <c r="AK67" s="1030">
        <f ca="1">SUM(S67:AJ67)</f>
        <v>0</v>
      </c>
      <c r="AL67" s="743"/>
      <c r="AM67" s="1042">
        <f t="shared" ca="1" si="174"/>
        <v>0</v>
      </c>
      <c r="AN67" s="1042">
        <f t="shared" ca="1" si="174"/>
        <v>0</v>
      </c>
      <c r="AO67" s="1042">
        <f t="shared" ca="1" si="174"/>
        <v>0</v>
      </c>
      <c r="AP67" s="1042">
        <f t="shared" ca="1" si="174"/>
        <v>0</v>
      </c>
      <c r="AQ67" s="1042">
        <f t="shared" ca="1" si="174"/>
        <v>0</v>
      </c>
      <c r="AR67" s="1042">
        <f t="shared" ca="1" si="174"/>
        <v>0</v>
      </c>
      <c r="AS67" s="1042">
        <f t="shared" ca="1" si="174"/>
        <v>0</v>
      </c>
      <c r="AT67" s="1042">
        <f t="shared" ca="1" si="174"/>
        <v>0</v>
      </c>
      <c r="AU67" s="1042">
        <f t="shared" ca="1" si="174"/>
        <v>0</v>
      </c>
      <c r="AV67" s="1042">
        <f t="shared" ca="1" si="172"/>
        <v>0</v>
      </c>
      <c r="AW67" s="1042">
        <f t="shared" ca="1" si="172"/>
        <v>0</v>
      </c>
      <c r="AX67" s="1042">
        <f t="shared" ca="1" si="172"/>
        <v>0</v>
      </c>
      <c r="AY67" s="1042">
        <f t="shared" ca="1" si="172"/>
        <v>0</v>
      </c>
      <c r="AZ67" s="1042">
        <f t="shared" ca="1" si="172"/>
        <v>0</v>
      </c>
      <c r="BA67" s="1042">
        <f t="shared" ca="1" si="172"/>
        <v>0</v>
      </c>
      <c r="BB67" s="1042">
        <f t="shared" ca="1" si="172"/>
        <v>0</v>
      </c>
      <c r="BC67" s="1042">
        <f t="shared" ca="1" si="172"/>
        <v>0</v>
      </c>
      <c r="BD67" s="1042">
        <f t="shared" ca="1" si="172"/>
        <v>0</v>
      </c>
      <c r="BE67" s="1042">
        <f t="shared" ca="1" si="172"/>
        <v>0</v>
      </c>
      <c r="BF67" s="1012">
        <f ca="1">SUM(AM67:BE67)</f>
        <v>0</v>
      </c>
      <c r="BG67" s="743"/>
      <c r="BH67" s="1036">
        <f t="shared" ca="1" si="175"/>
        <v>0</v>
      </c>
      <c r="BI67" s="1036">
        <f t="shared" ca="1" si="175"/>
        <v>0</v>
      </c>
      <c r="BJ67" s="1035">
        <f ca="1">SUM(BH67:BI67)</f>
        <v>0</v>
      </c>
      <c r="BK67" s="743"/>
      <c r="BL67" s="814">
        <f t="shared" ca="1" si="176"/>
        <v>0</v>
      </c>
      <c r="BM67" s="814"/>
      <c r="BN67" s="840"/>
      <c r="BO67" s="1485">
        <f t="shared" ca="1" si="177"/>
        <v>0</v>
      </c>
      <c r="BP67" s="1486">
        <f t="shared" ca="1" si="177"/>
        <v>0</v>
      </c>
      <c r="BQ67" s="1486">
        <f t="shared" ca="1" si="177"/>
        <v>0</v>
      </c>
      <c r="BR67" s="1486">
        <f t="shared" ca="1" si="177"/>
        <v>0</v>
      </c>
      <c r="BS67" s="1486">
        <f t="shared" ca="1" si="177"/>
        <v>0</v>
      </c>
      <c r="BT67" s="1486">
        <f t="shared" ca="1" si="177"/>
        <v>0</v>
      </c>
      <c r="BU67" s="1486">
        <f t="shared" ca="1" si="177"/>
        <v>0</v>
      </c>
      <c r="BV67" s="1486">
        <f t="shared" ca="1" si="177"/>
        <v>0</v>
      </c>
      <c r="BW67" s="1486">
        <f t="shared" ca="1" si="177"/>
        <v>0</v>
      </c>
      <c r="BX67" s="1486">
        <f t="shared" ca="1" si="177"/>
        <v>0</v>
      </c>
      <c r="BY67" s="1486">
        <f t="shared" ca="1" si="177"/>
        <v>0</v>
      </c>
      <c r="BZ67" s="1486">
        <f t="shared" ca="1" si="177"/>
        <v>0</v>
      </c>
      <c r="CA67" s="1486">
        <f t="shared" ca="1" si="177"/>
        <v>0</v>
      </c>
      <c r="CB67" s="1486">
        <f t="shared" ca="1" si="177"/>
        <v>0</v>
      </c>
      <c r="CC67" s="1486">
        <f t="shared" ca="1" si="177"/>
        <v>0</v>
      </c>
      <c r="CD67" s="1486">
        <f t="shared" ca="1" si="177"/>
        <v>0</v>
      </c>
      <c r="CE67" s="1486">
        <f t="shared" ca="1" si="177"/>
        <v>0</v>
      </c>
      <c r="CF67" s="1486">
        <f t="shared" ca="1" si="177"/>
        <v>0</v>
      </c>
      <c r="CG67" s="1486">
        <f t="shared" ca="1" si="177"/>
        <v>0</v>
      </c>
      <c r="CH67" s="1486">
        <f t="shared" ca="1" si="177"/>
        <v>0</v>
      </c>
      <c r="CI67" s="1486">
        <f t="shared" ca="1" si="177"/>
        <v>0</v>
      </c>
      <c r="CJ67" s="1486">
        <f t="shared" ca="1" si="177"/>
        <v>0</v>
      </c>
      <c r="CK67" s="1486">
        <f t="shared" ca="1" si="177"/>
        <v>0</v>
      </c>
      <c r="CL67" s="1486">
        <f t="shared" ca="1" si="177"/>
        <v>0</v>
      </c>
      <c r="CM67" s="1486">
        <f t="shared" ca="1" si="177"/>
        <v>0</v>
      </c>
      <c r="CN67" s="1486">
        <f t="shared" ca="1" si="177"/>
        <v>0</v>
      </c>
      <c r="CO67" s="1486">
        <f t="shared" ca="1" si="177"/>
        <v>0</v>
      </c>
      <c r="CP67" s="1486">
        <f t="shared" ca="1" si="177"/>
        <v>0</v>
      </c>
      <c r="CQ67" s="1486">
        <f t="shared" ca="1" si="177"/>
        <v>0</v>
      </c>
      <c r="CR67" s="1486">
        <f t="shared" ca="1" si="177"/>
        <v>0</v>
      </c>
      <c r="CS67" s="1486">
        <f t="shared" ca="1" si="177"/>
        <v>0</v>
      </c>
      <c r="CT67" s="1486">
        <f t="shared" ca="1" si="177"/>
        <v>0</v>
      </c>
      <c r="CU67" s="1486">
        <f t="shared" ca="1" si="177"/>
        <v>0</v>
      </c>
      <c r="CV67" s="1486">
        <f t="shared" ca="1" si="177"/>
        <v>0</v>
      </c>
      <c r="CW67" s="1486">
        <f t="shared" ca="1" si="177"/>
        <v>0</v>
      </c>
      <c r="CX67" s="1486">
        <f t="shared" ca="1" si="177"/>
        <v>0</v>
      </c>
      <c r="CY67" s="1486">
        <f t="shared" ca="1" si="177"/>
        <v>0</v>
      </c>
      <c r="CZ67" s="1486">
        <f t="shared" ca="1" si="177"/>
        <v>0</v>
      </c>
      <c r="DA67" s="1486">
        <f t="shared" ca="1" si="177"/>
        <v>0</v>
      </c>
      <c r="DB67" s="1486">
        <f t="shared" ca="1" si="177"/>
        <v>0</v>
      </c>
      <c r="DC67" s="1486">
        <f t="shared" ca="1" si="177"/>
        <v>0</v>
      </c>
      <c r="DD67" s="1486">
        <f t="shared" ca="1" si="177"/>
        <v>0</v>
      </c>
      <c r="DE67" s="1486">
        <f t="shared" ca="1" si="177"/>
        <v>0</v>
      </c>
      <c r="DF67" s="1486">
        <f t="shared" ca="1" si="177"/>
        <v>0</v>
      </c>
      <c r="DH67" s="838">
        <f t="shared" ca="1" si="124"/>
        <v>0</v>
      </c>
    </row>
    <row r="68" spans="1:112" s="743" customFormat="1" ht="15.75" collapsed="1">
      <c r="A68" s="22"/>
      <c r="B68" s="753"/>
      <c r="C68" s="744" t="s">
        <v>77</v>
      </c>
      <c r="D68" s="517" t="str">
        <f>INDEX(Workstreams[Workstream], MATCH($C68, Workstreams[Code], 0))</f>
        <v>Distributed renewable power generation</v>
      </c>
      <c r="E68" s="512"/>
      <c r="G68" s="1021">
        <f ca="1">SUM(G65:G67)</f>
        <v>0</v>
      </c>
      <c r="H68" s="1021">
        <f t="shared" ref="H68:P68" ca="1" si="178">SUM(H65:H67)</f>
        <v>0</v>
      </c>
      <c r="I68" s="1021">
        <f t="shared" ca="1" si="178"/>
        <v>0</v>
      </c>
      <c r="J68" s="1021">
        <f t="shared" ca="1" si="178"/>
        <v>0</v>
      </c>
      <c r="K68" s="1021">
        <f t="shared" ca="1" si="178"/>
        <v>0</v>
      </c>
      <c r="L68" s="1021">
        <f t="shared" ca="1" si="178"/>
        <v>0</v>
      </c>
      <c r="M68" s="1021">
        <f t="shared" ca="1" si="178"/>
        <v>0</v>
      </c>
      <c r="N68" s="1021">
        <f t="shared" ca="1" si="178"/>
        <v>0</v>
      </c>
      <c r="O68" s="1021">
        <f t="shared" ca="1" si="178"/>
        <v>0</v>
      </c>
      <c r="P68" s="1021">
        <f t="shared" ca="1" si="178"/>
        <v>0</v>
      </c>
      <c r="Q68" s="1021">
        <f ca="1">SUM(G68:P68)</f>
        <v>0</v>
      </c>
      <c r="S68" s="970">
        <f t="shared" ref="S68:AJ68" ca="1" si="179">SUM(S65:S67)</f>
        <v>0</v>
      </c>
      <c r="T68" s="970">
        <f t="shared" ca="1" si="179"/>
        <v>0</v>
      </c>
      <c r="U68" s="970">
        <f t="shared" ca="1" si="179"/>
        <v>0</v>
      </c>
      <c r="V68" s="970">
        <f t="shared" ca="1" si="179"/>
        <v>0</v>
      </c>
      <c r="W68" s="970">
        <f t="shared" ca="1" si="179"/>
        <v>0</v>
      </c>
      <c r="X68" s="970">
        <f t="shared" ca="1" si="179"/>
        <v>0</v>
      </c>
      <c r="Y68" s="970">
        <f t="shared" ca="1" si="179"/>
        <v>0</v>
      </c>
      <c r="Z68" s="970">
        <f t="shared" ca="1" si="179"/>
        <v>0</v>
      </c>
      <c r="AA68" s="970">
        <f t="shared" ca="1" si="179"/>
        <v>0</v>
      </c>
      <c r="AB68" s="970">
        <f t="shared" ca="1" si="179"/>
        <v>0</v>
      </c>
      <c r="AC68" s="970">
        <f t="shared" ca="1" si="179"/>
        <v>0</v>
      </c>
      <c r="AD68" s="970">
        <f t="shared" ca="1" si="179"/>
        <v>0</v>
      </c>
      <c r="AE68" s="970">
        <f ca="1">SUM(AE65:AE67)</f>
        <v>0</v>
      </c>
      <c r="AF68" s="970">
        <f t="shared" ca="1" si="179"/>
        <v>0</v>
      </c>
      <c r="AG68" s="970">
        <f t="shared" ca="1" si="179"/>
        <v>0</v>
      </c>
      <c r="AH68" s="970">
        <f ca="1">SUM(AH65:AH67)</f>
        <v>0</v>
      </c>
      <c r="AI68" s="970">
        <f t="shared" ca="1" si="179"/>
        <v>0</v>
      </c>
      <c r="AJ68" s="970">
        <f t="shared" ca="1" si="179"/>
        <v>0</v>
      </c>
      <c r="AK68" s="970">
        <f ca="1">SUM(S68:AJ68)</f>
        <v>0</v>
      </c>
      <c r="AM68" s="976">
        <f t="shared" ref="AM68:BE68" ca="1" si="180">SUM(AM65:AM67)</f>
        <v>0</v>
      </c>
      <c r="AN68" s="976">
        <f t="shared" ca="1" si="180"/>
        <v>0</v>
      </c>
      <c r="AO68" s="976">
        <f t="shared" ca="1" si="180"/>
        <v>0</v>
      </c>
      <c r="AP68" s="976">
        <f t="shared" ca="1" si="180"/>
        <v>0</v>
      </c>
      <c r="AQ68" s="976">
        <f t="shared" ca="1" si="180"/>
        <v>0</v>
      </c>
      <c r="AR68" s="976">
        <f t="shared" ca="1" si="180"/>
        <v>0</v>
      </c>
      <c r="AS68" s="976">
        <f t="shared" ca="1" si="180"/>
        <v>0</v>
      </c>
      <c r="AT68" s="976">
        <f t="shared" ca="1" si="180"/>
        <v>0</v>
      </c>
      <c r="AU68" s="976">
        <f t="shared" ca="1" si="180"/>
        <v>0</v>
      </c>
      <c r="AV68" s="976">
        <f t="shared" ca="1" si="180"/>
        <v>0</v>
      </c>
      <c r="AW68" s="976">
        <f t="shared" ca="1" si="180"/>
        <v>0</v>
      </c>
      <c r="AX68" s="976">
        <f t="shared" ca="1" si="180"/>
        <v>0</v>
      </c>
      <c r="AY68" s="976">
        <f t="shared" ca="1" si="180"/>
        <v>0</v>
      </c>
      <c r="AZ68" s="976">
        <f t="shared" ca="1" si="180"/>
        <v>0</v>
      </c>
      <c r="BA68" s="976">
        <f t="shared" ca="1" si="180"/>
        <v>0</v>
      </c>
      <c r="BB68" s="976">
        <f t="shared" ca="1" si="180"/>
        <v>0</v>
      </c>
      <c r="BC68" s="976">
        <f t="shared" ca="1" si="180"/>
        <v>0</v>
      </c>
      <c r="BD68" s="976">
        <f t="shared" ca="1" si="180"/>
        <v>0</v>
      </c>
      <c r="BE68" s="976">
        <f t="shared" ca="1" si="180"/>
        <v>0</v>
      </c>
      <c r="BF68" s="976">
        <f ca="1">SUM(AM68:BE68)</f>
        <v>0</v>
      </c>
      <c r="BH68" s="990">
        <f ca="1">SUM(BH65:BH67)</f>
        <v>0</v>
      </c>
      <c r="BI68" s="990">
        <f ca="1">SUM(BI65:BI67)</f>
        <v>0</v>
      </c>
      <c r="BJ68" s="990">
        <f ca="1">SUM(BH68:BI68)</f>
        <v>0</v>
      </c>
      <c r="BL68" s="515">
        <f t="shared" ca="1" si="176"/>
        <v>0</v>
      </c>
      <c r="BM68" s="515"/>
      <c r="BN68" s="840"/>
      <c r="BO68" s="1482">
        <f ca="1">SUM(BO65:BO67)</f>
        <v>0</v>
      </c>
      <c r="BP68" s="1482">
        <f t="shared" ref="BP68:DF68" ca="1" si="181">SUM(BP65:BP67)</f>
        <v>0</v>
      </c>
      <c r="BQ68" s="1482">
        <f t="shared" ca="1" si="181"/>
        <v>0</v>
      </c>
      <c r="BR68" s="1482">
        <f t="shared" ca="1" si="181"/>
        <v>0</v>
      </c>
      <c r="BS68" s="1482">
        <f t="shared" ca="1" si="181"/>
        <v>0</v>
      </c>
      <c r="BT68" s="1482">
        <f t="shared" ca="1" si="181"/>
        <v>0</v>
      </c>
      <c r="BU68" s="1482">
        <f t="shared" ca="1" si="181"/>
        <v>0</v>
      </c>
      <c r="BV68" s="1482">
        <f t="shared" ca="1" si="181"/>
        <v>0</v>
      </c>
      <c r="BW68" s="1482">
        <f t="shared" ca="1" si="181"/>
        <v>0</v>
      </c>
      <c r="BX68" s="1482">
        <f t="shared" ca="1" si="181"/>
        <v>0</v>
      </c>
      <c r="BY68" s="1482">
        <f t="shared" ca="1" si="181"/>
        <v>0</v>
      </c>
      <c r="BZ68" s="1482">
        <f t="shared" ca="1" si="181"/>
        <v>0</v>
      </c>
      <c r="CA68" s="1482">
        <f t="shared" ca="1" si="181"/>
        <v>0</v>
      </c>
      <c r="CB68" s="1482">
        <f t="shared" ca="1" si="181"/>
        <v>0</v>
      </c>
      <c r="CC68" s="1482">
        <f t="shared" ca="1" si="181"/>
        <v>0</v>
      </c>
      <c r="CD68" s="1482">
        <f t="shared" ca="1" si="181"/>
        <v>0</v>
      </c>
      <c r="CE68" s="1482">
        <f t="shared" ca="1" si="181"/>
        <v>0</v>
      </c>
      <c r="CF68" s="1482">
        <f t="shared" ca="1" si="181"/>
        <v>0</v>
      </c>
      <c r="CG68" s="1482">
        <f t="shared" ca="1" si="181"/>
        <v>0</v>
      </c>
      <c r="CH68" s="1482">
        <f t="shared" ca="1" si="181"/>
        <v>0</v>
      </c>
      <c r="CI68" s="1482">
        <f t="shared" ca="1" si="181"/>
        <v>0</v>
      </c>
      <c r="CJ68" s="1482">
        <f t="shared" ca="1" si="181"/>
        <v>0</v>
      </c>
      <c r="CK68" s="1482">
        <f t="shared" ca="1" si="181"/>
        <v>0</v>
      </c>
      <c r="CL68" s="1482">
        <f t="shared" ca="1" si="181"/>
        <v>0</v>
      </c>
      <c r="CM68" s="1482">
        <f t="shared" ca="1" si="181"/>
        <v>0</v>
      </c>
      <c r="CN68" s="1482">
        <f t="shared" ca="1" si="181"/>
        <v>0</v>
      </c>
      <c r="CO68" s="1482">
        <f t="shared" ca="1" si="181"/>
        <v>0</v>
      </c>
      <c r="CP68" s="1482">
        <f t="shared" ca="1" si="181"/>
        <v>0</v>
      </c>
      <c r="CQ68" s="1482">
        <f t="shared" ca="1" si="181"/>
        <v>0</v>
      </c>
      <c r="CR68" s="1482">
        <f t="shared" ca="1" si="181"/>
        <v>0</v>
      </c>
      <c r="CS68" s="1482">
        <f t="shared" ca="1" si="181"/>
        <v>0</v>
      </c>
      <c r="CT68" s="1482">
        <f t="shared" ca="1" si="181"/>
        <v>0</v>
      </c>
      <c r="CU68" s="1482">
        <f t="shared" ca="1" si="181"/>
        <v>0</v>
      </c>
      <c r="CV68" s="1482">
        <f t="shared" ca="1" si="181"/>
        <v>0</v>
      </c>
      <c r="CW68" s="1482">
        <f t="shared" ca="1" si="181"/>
        <v>0</v>
      </c>
      <c r="CX68" s="1482">
        <f t="shared" ca="1" si="181"/>
        <v>0</v>
      </c>
      <c r="CY68" s="1482">
        <f t="shared" ca="1" si="181"/>
        <v>0</v>
      </c>
      <c r="CZ68" s="1482">
        <f t="shared" ca="1" si="181"/>
        <v>0</v>
      </c>
      <c r="DA68" s="1482">
        <f t="shared" ca="1" si="181"/>
        <v>0</v>
      </c>
      <c r="DB68" s="1482">
        <f t="shared" ca="1" si="181"/>
        <v>0</v>
      </c>
      <c r="DC68" s="1482">
        <f t="shared" ca="1" si="181"/>
        <v>0</v>
      </c>
      <c r="DD68" s="1482">
        <f t="shared" ca="1" si="181"/>
        <v>0</v>
      </c>
      <c r="DE68" s="1482">
        <f t="shared" ca="1" si="181"/>
        <v>0</v>
      </c>
      <c r="DF68" s="1482">
        <f t="shared" ca="1" si="181"/>
        <v>0</v>
      </c>
      <c r="DH68" s="838">
        <f t="shared" ca="1" si="124"/>
        <v>0</v>
      </c>
    </row>
    <row r="69" spans="1:112" s="743" customFormat="1" ht="12.75" hidden="1" customHeight="1" outlineLevel="1">
      <c r="A69" s="22"/>
      <c r="B69" s="22"/>
      <c r="C69" s="751"/>
      <c r="D69" s="512"/>
      <c r="E69" s="512"/>
      <c r="G69" s="958"/>
      <c r="H69" s="958"/>
      <c r="I69" s="958"/>
      <c r="J69" s="958"/>
      <c r="K69" s="960"/>
      <c r="L69" s="958"/>
      <c r="M69" s="958"/>
      <c r="N69" s="958"/>
      <c r="O69" s="958"/>
      <c r="P69" s="958"/>
      <c r="Q69" s="958"/>
      <c r="S69" s="970"/>
      <c r="T69" s="970"/>
      <c r="U69" s="970"/>
      <c r="V69" s="970"/>
      <c r="W69" s="970"/>
      <c r="X69" s="970"/>
      <c r="Y69" s="970"/>
      <c r="Z69" s="970"/>
      <c r="AA69" s="970"/>
      <c r="AB69" s="970"/>
      <c r="AC69" s="970"/>
      <c r="AD69" s="970"/>
      <c r="AE69" s="970"/>
      <c r="AF69" s="970"/>
      <c r="AG69" s="970"/>
      <c r="AH69" s="970"/>
      <c r="AI69" s="970"/>
      <c r="AJ69" s="970"/>
      <c r="AK69" s="970"/>
      <c r="AM69" s="976"/>
      <c r="AN69" s="976"/>
      <c r="AO69" s="976"/>
      <c r="AP69" s="976"/>
      <c r="AQ69" s="976"/>
      <c r="AR69" s="976"/>
      <c r="AS69" s="976"/>
      <c r="AT69" s="976"/>
      <c r="AU69" s="976"/>
      <c r="AV69" s="976"/>
      <c r="AW69" s="976"/>
      <c r="AX69" s="976"/>
      <c r="AY69" s="976"/>
      <c r="AZ69" s="976"/>
      <c r="BA69" s="976"/>
      <c r="BB69" s="976"/>
      <c r="BC69" s="976"/>
      <c r="BD69" s="976"/>
      <c r="BE69" s="976"/>
      <c r="BF69" s="976"/>
      <c r="BH69" s="990"/>
      <c r="BI69" s="990"/>
      <c r="BJ69" s="990"/>
      <c r="BL69" s="515">
        <f t="shared" si="176"/>
        <v>0</v>
      </c>
      <c r="BM69" s="515"/>
      <c r="BN69" s="22"/>
      <c r="BO69" s="1482"/>
      <c r="BP69" s="1482"/>
      <c r="BQ69" s="1482"/>
      <c r="BR69" s="1482"/>
      <c r="BS69" s="1482"/>
      <c r="BT69" s="1482"/>
      <c r="BU69" s="1482"/>
      <c r="BV69" s="1482"/>
      <c r="BW69" s="1482"/>
      <c r="BX69" s="1482"/>
      <c r="BY69" s="1482"/>
      <c r="BZ69" s="1482"/>
      <c r="CA69" s="1482"/>
      <c r="CB69" s="1482"/>
      <c r="CC69" s="1482"/>
      <c r="CD69" s="1482"/>
      <c r="CE69" s="1482"/>
      <c r="CF69" s="1482"/>
      <c r="CG69" s="1482"/>
      <c r="CH69" s="1482"/>
      <c r="CI69" s="1482"/>
      <c r="CJ69" s="1482"/>
      <c r="CK69" s="1482"/>
      <c r="CL69" s="1482"/>
      <c r="CM69" s="1482"/>
      <c r="CN69" s="1482"/>
      <c r="CO69" s="1482"/>
      <c r="CP69" s="1482"/>
      <c r="CQ69" s="1482"/>
      <c r="CR69" s="1482"/>
      <c r="CS69" s="1482"/>
      <c r="CT69" s="1482"/>
      <c r="CU69" s="1482"/>
      <c r="CV69" s="1482"/>
      <c r="CW69" s="1482"/>
      <c r="CX69" s="1482"/>
      <c r="CY69" s="1482"/>
      <c r="CZ69" s="1482"/>
      <c r="DA69" s="1482"/>
      <c r="DB69" s="1482"/>
      <c r="DC69" s="1482"/>
      <c r="DD69" s="1482"/>
      <c r="DE69" s="1482"/>
      <c r="DF69" s="1482"/>
      <c r="DH69" s="838">
        <f t="shared" si="124"/>
        <v>0</v>
      </c>
    </row>
    <row r="70" spans="1:112" s="1491" customFormat="1" ht="12.75" hidden="1" customHeight="1" outlineLevel="1">
      <c r="C70" s="1534" t="s">
        <v>1718</v>
      </c>
      <c r="D70" s="1535" t="s">
        <v>1340</v>
      </c>
      <c r="E70" s="1535"/>
      <c r="F70" s="1957"/>
      <c r="G70" s="1070"/>
      <c r="H70" s="1070"/>
      <c r="I70" s="1070"/>
      <c r="J70" s="1070"/>
      <c r="K70" s="1071"/>
      <c r="L70" s="1070"/>
      <c r="M70" s="1070"/>
      <c r="N70" s="1070"/>
      <c r="O70" s="1070"/>
      <c r="P70" s="1070"/>
      <c r="Q70" s="1070"/>
      <c r="R70" s="1957"/>
      <c r="S70" s="1072"/>
      <c r="T70" s="1072"/>
      <c r="U70" s="1072"/>
      <c r="V70" s="1072"/>
      <c r="W70" s="1072"/>
      <c r="X70" s="1072"/>
      <c r="Y70" s="1072"/>
      <c r="Z70" s="1072"/>
      <c r="AA70" s="1072"/>
      <c r="AB70" s="1072">
        <f ca="1">AB$40+AB$46+AB$51+AB$99+AB$55+AB$63+AB$68</f>
        <v>-9.3745798889631757</v>
      </c>
      <c r="AC70" s="1072"/>
      <c r="AD70" s="1072"/>
      <c r="AE70" s="1072"/>
      <c r="AF70" s="1072"/>
      <c r="AG70" s="1072"/>
      <c r="AH70" s="1072"/>
      <c r="AI70" s="1072"/>
      <c r="AJ70" s="1072"/>
      <c r="AK70" s="1072"/>
      <c r="AL70" s="1957"/>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957"/>
      <c r="BH70" s="1074"/>
      <c r="BI70" s="1074"/>
      <c r="BJ70" s="1074">
        <f>SUM(BH70:BI70)</f>
        <v>0</v>
      </c>
      <c r="BK70" s="1957"/>
      <c r="BL70" s="1536">
        <f t="shared" si="176"/>
        <v>0</v>
      </c>
      <c r="BM70" s="1536"/>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1963"/>
      <c r="CO70" s="1963"/>
      <c r="CP70" s="1963"/>
      <c r="CQ70" s="1963"/>
      <c r="CR70" s="1963"/>
      <c r="CS70" s="1963"/>
      <c r="CT70" s="1963"/>
      <c r="CU70" s="1963"/>
      <c r="CV70" s="1963"/>
      <c r="CW70" s="1963"/>
      <c r="CX70" s="1963"/>
      <c r="CY70" s="1963"/>
      <c r="CZ70" s="1963"/>
      <c r="DA70" s="1963"/>
      <c r="DB70" s="1963"/>
      <c r="DC70" s="1963"/>
      <c r="DD70" s="1963"/>
      <c r="DE70" s="1963"/>
      <c r="DF70" s="1963"/>
      <c r="DH70" s="1962">
        <f t="shared" si="124"/>
        <v>0</v>
      </c>
    </row>
    <row r="71" spans="1:112" s="1484" customFormat="1" ht="12.75" hidden="1" customHeight="1" outlineLevel="1">
      <c r="C71" s="746" t="s">
        <v>1338</v>
      </c>
      <c r="D71" s="1010" t="str">
        <f>INDEX(Modules[Module], MATCH($C71, Modules[Code], 0))</f>
        <v>District heating effective demand</v>
      </c>
      <c r="E71" s="1010"/>
      <c r="F71" s="743"/>
      <c r="G71" s="1022">
        <f t="shared" ref="G71:P71" ca="1" si="182">IFERROR(INDEX(INDIRECT($C71&amp;".Outputs["&amp;this.Year&amp;"]"), MATCH(G$5, INDIRECT($C71&amp;".Outputs[Vector]"), 0)), 0)</f>
        <v>0</v>
      </c>
      <c r="H71" s="1022">
        <f t="shared" ca="1" si="182"/>
        <v>0</v>
      </c>
      <c r="I71" s="1022">
        <f t="shared" ca="1" si="182"/>
        <v>0</v>
      </c>
      <c r="J71" s="1022">
        <f t="shared" ca="1" si="182"/>
        <v>0</v>
      </c>
      <c r="K71" s="1022">
        <f t="shared" ca="1" si="182"/>
        <v>0</v>
      </c>
      <c r="L71" s="1022">
        <f t="shared" ca="1" si="182"/>
        <v>0</v>
      </c>
      <c r="M71" s="1022">
        <f t="shared" ca="1" si="182"/>
        <v>0</v>
      </c>
      <c r="N71" s="1022">
        <f t="shared" ca="1" si="182"/>
        <v>0</v>
      </c>
      <c r="O71" s="1022">
        <f t="shared" ca="1" si="182"/>
        <v>0</v>
      </c>
      <c r="P71" s="1022">
        <f t="shared" ca="1" si="182"/>
        <v>0</v>
      </c>
      <c r="Q71" s="1020">
        <f ca="1">SUM(G71:P71)</f>
        <v>0</v>
      </c>
      <c r="R71" s="743"/>
      <c r="S71" s="1031">
        <f t="shared" ref="S71:BE71" ca="1" si="183">IFERROR(INDEX(INDIRECT($C71&amp;".Outputs["&amp;this.Year&amp;"]"), MATCH(S$5, INDIRECT($C71&amp;".Outputs[Vector]"), 0)), 0)</f>
        <v>0</v>
      </c>
      <c r="T71" s="1031">
        <f t="shared" ca="1" si="183"/>
        <v>-1.3392256984233109</v>
      </c>
      <c r="U71" s="1031">
        <f t="shared" ca="1" si="183"/>
        <v>0</v>
      </c>
      <c r="V71" s="1031">
        <f t="shared" ca="1" si="183"/>
        <v>0</v>
      </c>
      <c r="W71" s="1031">
        <f t="shared" ca="1" si="183"/>
        <v>0</v>
      </c>
      <c r="X71" s="1031">
        <f ca="1">IFERROR(INDEX(INDIRECT($C71&amp;".Outputs["&amp;this.Year&amp;"]"), MATCH(X$5, INDIRECT($C71&amp;".Outputs[Vector]"), 0)), 0)</f>
        <v>0</v>
      </c>
      <c r="Y71" s="1031">
        <f ca="1">IFERROR(INDEX(INDIRECT($C71&amp;".Outputs["&amp;this.Year&amp;"]"), MATCH(Y$5, INDIRECT($C71&amp;".Outputs[Vector]"), 0)), 0)</f>
        <v>0</v>
      </c>
      <c r="Z71" s="1031">
        <f ca="1">IFERROR(INDEX(INDIRECT($C71&amp;".Outputs["&amp;this.Year&amp;"]"), MATCH(Z$5, INDIRECT($C71&amp;".Outputs[Vector]"), 0)), 0)</f>
        <v>0</v>
      </c>
      <c r="AA71" s="1031">
        <f t="shared" ca="1" si="183"/>
        <v>0</v>
      </c>
      <c r="AB71" s="1031">
        <f t="shared" ca="1" si="183"/>
        <v>9.3745798889631757</v>
      </c>
      <c r="AC71" s="1031">
        <f t="shared" ca="1" si="183"/>
        <v>0</v>
      </c>
      <c r="AD71" s="1031">
        <f t="shared" ca="1" si="183"/>
        <v>0</v>
      </c>
      <c r="AE71" s="1031">
        <f t="shared" ca="1" si="183"/>
        <v>0</v>
      </c>
      <c r="AF71" s="1031">
        <f t="shared" ca="1" si="183"/>
        <v>0</v>
      </c>
      <c r="AG71" s="1031">
        <f t="shared" ca="1" si="183"/>
        <v>0</v>
      </c>
      <c r="AH71" s="1031">
        <f t="shared" ca="1" si="183"/>
        <v>0</v>
      </c>
      <c r="AI71" s="1031">
        <f t="shared" ca="1" si="183"/>
        <v>0</v>
      </c>
      <c r="AJ71" s="1031">
        <f t="shared" ca="1" si="183"/>
        <v>0</v>
      </c>
      <c r="AK71" s="1030">
        <f ca="1">SUM(S71:AJ71)</f>
        <v>8.0353541905398647</v>
      </c>
      <c r="AL71" s="743"/>
      <c r="AM71" s="1042">
        <f t="shared" ref="AM71:AU71" ca="1" si="184">IFERROR(INDEX(INDIRECT($C71&amp;".Outputs["&amp;this.Year&amp;"]"), MATCH(AM$5, INDIRECT($C71&amp;".Outputs[Vector]"), 0)), 0)</f>
        <v>0</v>
      </c>
      <c r="AN71" s="1042">
        <f t="shared" ca="1" si="184"/>
        <v>0</v>
      </c>
      <c r="AO71" s="1042">
        <f t="shared" ca="1" si="184"/>
        <v>0</v>
      </c>
      <c r="AP71" s="1042">
        <f t="shared" ca="1" si="184"/>
        <v>0</v>
      </c>
      <c r="AQ71" s="1042">
        <f t="shared" ca="1" si="184"/>
        <v>0</v>
      </c>
      <c r="AR71" s="1042">
        <f t="shared" ca="1" si="184"/>
        <v>0</v>
      </c>
      <c r="AS71" s="1042">
        <f t="shared" ca="1" si="184"/>
        <v>0</v>
      </c>
      <c r="AT71" s="1042">
        <f t="shared" ca="1" si="184"/>
        <v>0</v>
      </c>
      <c r="AU71" s="1042">
        <f t="shared" ca="1" si="184"/>
        <v>0</v>
      </c>
      <c r="AV71" s="1042">
        <f t="shared" ca="1" si="183"/>
        <v>0</v>
      </c>
      <c r="AW71" s="1042">
        <f t="shared" ca="1" si="183"/>
        <v>0</v>
      </c>
      <c r="AX71" s="1042">
        <f t="shared" ca="1" si="183"/>
        <v>0</v>
      </c>
      <c r="AY71" s="1042">
        <f t="shared" ca="1" si="183"/>
        <v>0</v>
      </c>
      <c r="AZ71" s="1042">
        <f t="shared" ca="1" si="183"/>
        <v>0</v>
      </c>
      <c r="BA71" s="1042">
        <f t="shared" ca="1" si="183"/>
        <v>0</v>
      </c>
      <c r="BB71" s="1042">
        <f t="shared" ca="1" si="183"/>
        <v>0</v>
      </c>
      <c r="BC71" s="1042">
        <f t="shared" ca="1" si="183"/>
        <v>0</v>
      </c>
      <c r="BD71" s="1042">
        <f t="shared" ca="1" si="183"/>
        <v>0</v>
      </c>
      <c r="BE71" s="1042">
        <f t="shared" ca="1" si="183"/>
        <v>0</v>
      </c>
      <c r="BF71" s="1012">
        <f ca="1">SUM(AM71:BE71)</f>
        <v>0</v>
      </c>
      <c r="BG71" s="743"/>
      <c r="BH71" s="1036">
        <f ca="1">IFERROR(INDEX(INDIRECT($C71&amp;".Outputs["&amp;this.Year&amp;"]"), MATCH(BH$5, INDIRECT($C71&amp;".Outputs[Vector]"), 0)), 0)</f>
        <v>-8.0353541905398647</v>
      </c>
      <c r="BI71" s="1036">
        <f ca="1">IFERROR(INDEX(INDIRECT($C71&amp;".Outputs["&amp;this.Year&amp;"]"), MATCH(BI$5, INDIRECT($C71&amp;".Outputs[Vector]"), 0)), 0)</f>
        <v>0</v>
      </c>
      <c r="BJ71" s="1035">
        <f ca="1">SUM(BH71:BI71)</f>
        <v>-8.0353541905398647</v>
      </c>
      <c r="BK71" s="743"/>
      <c r="BL71" s="814">
        <f ca="1">Q71+AK71+BF71+BJ71</f>
        <v>0</v>
      </c>
      <c r="BM71" s="814"/>
      <c r="BN71" s="840"/>
      <c r="BO71" s="1485">
        <f t="shared" ref="BO71:DF71" ca="1" si="185">IFERROR(SUMIFS(INDIRECT($C71&amp;".Emissions["&amp;this.Year&amp;"]"), INDIRECT($C71&amp;".Emissions[GHG]"), BO$6, INDIRECT($C71&amp;".Emissions[IPCC Sector]"), BO$5),0)</f>
        <v>0</v>
      </c>
      <c r="BP71" s="1486">
        <f t="shared" ca="1" si="185"/>
        <v>0</v>
      </c>
      <c r="BQ71" s="1486">
        <f t="shared" ca="1" si="185"/>
        <v>0</v>
      </c>
      <c r="BR71" s="1486">
        <f t="shared" ca="1" si="185"/>
        <v>0</v>
      </c>
      <c r="BS71" s="1486">
        <f t="shared" ca="1" si="185"/>
        <v>0</v>
      </c>
      <c r="BT71" s="1486">
        <f t="shared" ca="1" si="185"/>
        <v>0</v>
      </c>
      <c r="BU71" s="1486">
        <f t="shared" ca="1" si="185"/>
        <v>0</v>
      </c>
      <c r="BV71" s="1486">
        <f t="shared" ca="1" si="185"/>
        <v>0</v>
      </c>
      <c r="BW71" s="1486">
        <f t="shared" ca="1" si="185"/>
        <v>0</v>
      </c>
      <c r="BX71" s="1486">
        <f t="shared" ca="1" si="185"/>
        <v>0</v>
      </c>
      <c r="BY71" s="1486">
        <f t="shared" ca="1" si="185"/>
        <v>0</v>
      </c>
      <c r="BZ71" s="1486">
        <f t="shared" ca="1" si="185"/>
        <v>0</v>
      </c>
      <c r="CA71" s="1486">
        <f t="shared" ca="1" si="185"/>
        <v>0</v>
      </c>
      <c r="CB71" s="1486">
        <f t="shared" ca="1" si="185"/>
        <v>0</v>
      </c>
      <c r="CC71" s="1486">
        <f t="shared" ca="1" si="185"/>
        <v>0</v>
      </c>
      <c r="CD71" s="1486">
        <f t="shared" ca="1" si="185"/>
        <v>0</v>
      </c>
      <c r="CE71" s="1486">
        <f t="shared" ca="1" si="185"/>
        <v>0</v>
      </c>
      <c r="CF71" s="1486">
        <f t="shared" ca="1" si="185"/>
        <v>0</v>
      </c>
      <c r="CG71" s="1486">
        <f t="shared" ca="1" si="185"/>
        <v>0</v>
      </c>
      <c r="CH71" s="1486">
        <f t="shared" ca="1" si="185"/>
        <v>0</v>
      </c>
      <c r="CI71" s="1486">
        <f t="shared" ca="1" si="185"/>
        <v>0</v>
      </c>
      <c r="CJ71" s="1486">
        <f t="shared" ca="1" si="185"/>
        <v>0</v>
      </c>
      <c r="CK71" s="1486">
        <f t="shared" ca="1" si="185"/>
        <v>0</v>
      </c>
      <c r="CL71" s="1486">
        <f t="shared" ca="1" si="185"/>
        <v>0</v>
      </c>
      <c r="CM71" s="1486">
        <f t="shared" ca="1" si="185"/>
        <v>0</v>
      </c>
      <c r="CN71" s="1486">
        <f t="shared" ca="1" si="185"/>
        <v>0</v>
      </c>
      <c r="CO71" s="1486">
        <f t="shared" ca="1" si="185"/>
        <v>0</v>
      </c>
      <c r="CP71" s="1486">
        <f t="shared" ca="1" si="185"/>
        <v>0</v>
      </c>
      <c r="CQ71" s="1486">
        <f t="shared" ca="1" si="185"/>
        <v>0</v>
      </c>
      <c r="CR71" s="1486">
        <f t="shared" ca="1" si="185"/>
        <v>0</v>
      </c>
      <c r="CS71" s="1486">
        <f t="shared" ca="1" si="185"/>
        <v>0</v>
      </c>
      <c r="CT71" s="1486">
        <f t="shared" ca="1" si="185"/>
        <v>0</v>
      </c>
      <c r="CU71" s="1486">
        <f t="shared" ca="1" si="185"/>
        <v>0</v>
      </c>
      <c r="CV71" s="1486">
        <f t="shared" ca="1" si="185"/>
        <v>0</v>
      </c>
      <c r="CW71" s="1486">
        <f t="shared" ca="1" si="185"/>
        <v>0</v>
      </c>
      <c r="CX71" s="1486">
        <f t="shared" ca="1" si="185"/>
        <v>0</v>
      </c>
      <c r="CY71" s="1486">
        <f t="shared" ca="1" si="185"/>
        <v>0</v>
      </c>
      <c r="CZ71" s="1486">
        <f t="shared" ca="1" si="185"/>
        <v>0</v>
      </c>
      <c r="DA71" s="1486">
        <f t="shared" ca="1" si="185"/>
        <v>0</v>
      </c>
      <c r="DB71" s="1486">
        <f t="shared" ca="1" si="185"/>
        <v>0</v>
      </c>
      <c r="DC71" s="1486">
        <f t="shared" ca="1" si="185"/>
        <v>0</v>
      </c>
      <c r="DD71" s="1486">
        <f t="shared" ca="1" si="185"/>
        <v>0</v>
      </c>
      <c r="DE71" s="1486">
        <f t="shared" ca="1" si="185"/>
        <v>0</v>
      </c>
      <c r="DF71" s="1486">
        <f t="shared" ca="1" si="185"/>
        <v>0</v>
      </c>
      <c r="DH71" s="838">
        <f t="shared" ca="1" si="124"/>
        <v>0</v>
      </c>
    </row>
    <row r="72" spans="1:112" s="743" customFormat="1" ht="15.75" collapsed="1">
      <c r="A72" s="22"/>
      <c r="B72" s="753"/>
      <c r="C72" s="744" t="s">
        <v>1336</v>
      </c>
      <c r="D72" s="517" t="str">
        <f>INDEX(Workstreams[Workstream], MATCH($C72, Workstreams[Code], 0))</f>
        <v>District heating</v>
      </c>
      <c r="E72" s="512"/>
      <c r="G72" s="1021">
        <f ca="1">G71</f>
        <v>0</v>
      </c>
      <c r="H72" s="1021">
        <f t="shared" ref="H72:P72" ca="1" si="186">H71</f>
        <v>0</v>
      </c>
      <c r="I72" s="1021">
        <f t="shared" ca="1" si="186"/>
        <v>0</v>
      </c>
      <c r="J72" s="1021">
        <f t="shared" ca="1" si="186"/>
        <v>0</v>
      </c>
      <c r="K72" s="1021">
        <f t="shared" ca="1" si="186"/>
        <v>0</v>
      </c>
      <c r="L72" s="1021">
        <f t="shared" ca="1" si="186"/>
        <v>0</v>
      </c>
      <c r="M72" s="1021">
        <f t="shared" ca="1" si="186"/>
        <v>0</v>
      </c>
      <c r="N72" s="1021">
        <f t="shared" ca="1" si="186"/>
        <v>0</v>
      </c>
      <c r="O72" s="1021">
        <f t="shared" ca="1" si="186"/>
        <v>0</v>
      </c>
      <c r="P72" s="1021">
        <f t="shared" ca="1" si="186"/>
        <v>0</v>
      </c>
      <c r="Q72" s="1021">
        <f ca="1">SUM(G72:P72)</f>
        <v>0</v>
      </c>
      <c r="S72" s="970">
        <f t="shared" ref="S72:AJ72" ca="1" si="187">S71</f>
        <v>0</v>
      </c>
      <c r="T72" s="970">
        <f t="shared" ca="1" si="187"/>
        <v>-1.3392256984233109</v>
      </c>
      <c r="U72" s="970">
        <f t="shared" ca="1" si="187"/>
        <v>0</v>
      </c>
      <c r="V72" s="970">
        <f t="shared" ca="1" si="187"/>
        <v>0</v>
      </c>
      <c r="W72" s="970">
        <f t="shared" ca="1" si="187"/>
        <v>0</v>
      </c>
      <c r="X72" s="970">
        <f t="shared" ca="1" si="187"/>
        <v>0</v>
      </c>
      <c r="Y72" s="970">
        <f t="shared" ca="1" si="187"/>
        <v>0</v>
      </c>
      <c r="Z72" s="970">
        <f t="shared" ca="1" si="187"/>
        <v>0</v>
      </c>
      <c r="AA72" s="970">
        <f t="shared" ca="1" si="187"/>
        <v>0</v>
      </c>
      <c r="AB72" s="970">
        <f t="shared" ca="1" si="187"/>
        <v>9.3745798889631757</v>
      </c>
      <c r="AC72" s="970">
        <f t="shared" ca="1" si="187"/>
        <v>0</v>
      </c>
      <c r="AD72" s="970">
        <f ca="1">AD71</f>
        <v>0</v>
      </c>
      <c r="AE72" s="970">
        <f ca="1">AE71</f>
        <v>0</v>
      </c>
      <c r="AF72" s="970">
        <f t="shared" ca="1" si="187"/>
        <v>0</v>
      </c>
      <c r="AG72" s="970">
        <f t="shared" ca="1" si="187"/>
        <v>0</v>
      </c>
      <c r="AH72" s="970">
        <f ca="1">AH71</f>
        <v>0</v>
      </c>
      <c r="AI72" s="970">
        <f ca="1">AI71</f>
        <v>0</v>
      </c>
      <c r="AJ72" s="970">
        <f t="shared" ca="1" si="187"/>
        <v>0</v>
      </c>
      <c r="AK72" s="970">
        <f ca="1">SUM(S72:AJ72)</f>
        <v>8.0353541905398647</v>
      </c>
      <c r="AM72" s="976">
        <f ca="1">AM71</f>
        <v>0</v>
      </c>
      <c r="AN72" s="976">
        <f t="shared" ref="AN72:BE72" ca="1" si="188">AN71</f>
        <v>0</v>
      </c>
      <c r="AO72" s="976">
        <f t="shared" ca="1" si="188"/>
        <v>0</v>
      </c>
      <c r="AP72" s="976">
        <f t="shared" ca="1" si="188"/>
        <v>0</v>
      </c>
      <c r="AQ72" s="976">
        <f t="shared" ca="1" si="188"/>
        <v>0</v>
      </c>
      <c r="AR72" s="976">
        <f t="shared" ca="1" si="188"/>
        <v>0</v>
      </c>
      <c r="AS72" s="976">
        <f t="shared" ca="1" si="188"/>
        <v>0</v>
      </c>
      <c r="AT72" s="976">
        <f t="shared" ca="1" si="188"/>
        <v>0</v>
      </c>
      <c r="AU72" s="976">
        <f t="shared" ca="1" si="188"/>
        <v>0</v>
      </c>
      <c r="AV72" s="976">
        <f t="shared" ca="1" si="188"/>
        <v>0</v>
      </c>
      <c r="AW72" s="976">
        <f t="shared" ca="1" si="188"/>
        <v>0</v>
      </c>
      <c r="AX72" s="976">
        <f t="shared" ca="1" si="188"/>
        <v>0</v>
      </c>
      <c r="AY72" s="976">
        <f t="shared" ca="1" si="188"/>
        <v>0</v>
      </c>
      <c r="AZ72" s="976">
        <f t="shared" ca="1" si="188"/>
        <v>0</v>
      </c>
      <c r="BA72" s="976">
        <f t="shared" ca="1" si="188"/>
        <v>0</v>
      </c>
      <c r="BB72" s="976">
        <f t="shared" ca="1" si="188"/>
        <v>0</v>
      </c>
      <c r="BC72" s="976">
        <f t="shared" ca="1" si="188"/>
        <v>0</v>
      </c>
      <c r="BD72" s="976">
        <f t="shared" ca="1" si="188"/>
        <v>0</v>
      </c>
      <c r="BE72" s="976">
        <f t="shared" ca="1" si="188"/>
        <v>0</v>
      </c>
      <c r="BF72" s="976">
        <f ca="1">SUM(AM72:BE72)</f>
        <v>0</v>
      </c>
      <c r="BH72" s="990">
        <f ca="1">BH71</f>
        <v>-8.0353541905398647</v>
      </c>
      <c r="BI72" s="990">
        <f ca="1">BI71</f>
        <v>0</v>
      </c>
      <c r="BJ72" s="990">
        <f ca="1">SUM(BH72:BI72)</f>
        <v>-8.0353541905398647</v>
      </c>
      <c r="BL72" s="515">
        <f ca="1">Q72+AK72+BF72+BJ72</f>
        <v>0</v>
      </c>
      <c r="BM72" s="515"/>
      <c r="BN72" s="840"/>
      <c r="BO72" s="1482">
        <f t="shared" ref="BO72:DF72" ca="1" si="189">BO71</f>
        <v>0</v>
      </c>
      <c r="BP72" s="1482">
        <f t="shared" ca="1" si="189"/>
        <v>0</v>
      </c>
      <c r="BQ72" s="1482">
        <f t="shared" ca="1" si="189"/>
        <v>0</v>
      </c>
      <c r="BR72" s="1482">
        <f t="shared" ca="1" si="189"/>
        <v>0</v>
      </c>
      <c r="BS72" s="1482">
        <f t="shared" ca="1" si="189"/>
        <v>0</v>
      </c>
      <c r="BT72" s="1482">
        <f t="shared" ca="1" si="189"/>
        <v>0</v>
      </c>
      <c r="BU72" s="1482">
        <f t="shared" ca="1" si="189"/>
        <v>0</v>
      </c>
      <c r="BV72" s="1482">
        <f t="shared" ca="1" si="189"/>
        <v>0</v>
      </c>
      <c r="BW72" s="1482">
        <f t="shared" ca="1" si="189"/>
        <v>0</v>
      </c>
      <c r="BX72" s="1482">
        <f t="shared" ca="1" si="189"/>
        <v>0</v>
      </c>
      <c r="BY72" s="1482">
        <f t="shared" ca="1" si="189"/>
        <v>0</v>
      </c>
      <c r="BZ72" s="1482">
        <f t="shared" ca="1" si="189"/>
        <v>0</v>
      </c>
      <c r="CA72" s="1482">
        <f t="shared" ca="1" si="189"/>
        <v>0</v>
      </c>
      <c r="CB72" s="1482">
        <f t="shared" ca="1" si="189"/>
        <v>0</v>
      </c>
      <c r="CC72" s="1482">
        <f t="shared" ca="1" si="189"/>
        <v>0</v>
      </c>
      <c r="CD72" s="1482">
        <f t="shared" ca="1" si="189"/>
        <v>0</v>
      </c>
      <c r="CE72" s="1482">
        <f t="shared" ca="1" si="189"/>
        <v>0</v>
      </c>
      <c r="CF72" s="1482">
        <f t="shared" ca="1" si="189"/>
        <v>0</v>
      </c>
      <c r="CG72" s="1482">
        <f t="shared" ca="1" si="189"/>
        <v>0</v>
      </c>
      <c r="CH72" s="1482">
        <f t="shared" ca="1" si="189"/>
        <v>0</v>
      </c>
      <c r="CI72" s="1482">
        <f t="shared" ca="1" si="189"/>
        <v>0</v>
      </c>
      <c r="CJ72" s="1482">
        <f t="shared" ca="1" si="189"/>
        <v>0</v>
      </c>
      <c r="CK72" s="1482">
        <f t="shared" ca="1" si="189"/>
        <v>0</v>
      </c>
      <c r="CL72" s="1482">
        <f t="shared" ca="1" si="189"/>
        <v>0</v>
      </c>
      <c r="CM72" s="1482">
        <f t="shared" ca="1" si="189"/>
        <v>0</v>
      </c>
      <c r="CN72" s="1482">
        <f t="shared" ca="1" si="189"/>
        <v>0</v>
      </c>
      <c r="CO72" s="1482">
        <f t="shared" ca="1" si="189"/>
        <v>0</v>
      </c>
      <c r="CP72" s="1482">
        <f t="shared" ca="1" si="189"/>
        <v>0</v>
      </c>
      <c r="CQ72" s="1482">
        <f t="shared" ca="1" si="189"/>
        <v>0</v>
      </c>
      <c r="CR72" s="1482">
        <f t="shared" ca="1" si="189"/>
        <v>0</v>
      </c>
      <c r="CS72" s="1482">
        <f t="shared" ca="1" si="189"/>
        <v>0</v>
      </c>
      <c r="CT72" s="1482">
        <f t="shared" ca="1" si="189"/>
        <v>0</v>
      </c>
      <c r="CU72" s="1482">
        <f t="shared" ca="1" si="189"/>
        <v>0</v>
      </c>
      <c r="CV72" s="1482">
        <f t="shared" ca="1" si="189"/>
        <v>0</v>
      </c>
      <c r="CW72" s="1482">
        <f t="shared" ca="1" si="189"/>
        <v>0</v>
      </c>
      <c r="CX72" s="1482">
        <f t="shared" ca="1" si="189"/>
        <v>0</v>
      </c>
      <c r="CY72" s="1482">
        <f t="shared" ca="1" si="189"/>
        <v>0</v>
      </c>
      <c r="CZ72" s="1482">
        <f t="shared" ca="1" si="189"/>
        <v>0</v>
      </c>
      <c r="DA72" s="1482">
        <f t="shared" ca="1" si="189"/>
        <v>0</v>
      </c>
      <c r="DB72" s="1482">
        <f t="shared" ca="1" si="189"/>
        <v>0</v>
      </c>
      <c r="DC72" s="1482">
        <f t="shared" ca="1" si="189"/>
        <v>0</v>
      </c>
      <c r="DD72" s="1482">
        <f t="shared" ca="1" si="189"/>
        <v>0</v>
      </c>
      <c r="DE72" s="1482">
        <f t="shared" ca="1" si="189"/>
        <v>0</v>
      </c>
      <c r="DF72" s="1482">
        <f t="shared" ca="1" si="189"/>
        <v>0</v>
      </c>
      <c r="DH72" s="838">
        <f t="shared" ca="1" si="124"/>
        <v>0</v>
      </c>
    </row>
    <row r="73" spans="1:112" s="743" customFormat="1" ht="12.75" hidden="1" customHeight="1" outlineLevel="1">
      <c r="A73" s="22"/>
      <c r="B73" s="22"/>
      <c r="C73" s="751"/>
      <c r="D73" s="512"/>
      <c r="E73" s="512"/>
      <c r="G73" s="958"/>
      <c r="H73" s="958"/>
      <c r="I73" s="958"/>
      <c r="J73" s="958"/>
      <c r="K73" s="960"/>
      <c r="L73" s="958"/>
      <c r="M73" s="958"/>
      <c r="N73" s="958"/>
      <c r="O73" s="958"/>
      <c r="P73" s="958"/>
      <c r="Q73" s="958"/>
      <c r="S73" s="970"/>
      <c r="T73" s="970"/>
      <c r="U73" s="970"/>
      <c r="V73" s="970"/>
      <c r="W73" s="970"/>
      <c r="X73" s="970"/>
      <c r="Y73" s="970"/>
      <c r="Z73" s="970"/>
      <c r="AA73" s="970"/>
      <c r="AB73" s="970"/>
      <c r="AC73" s="970"/>
      <c r="AD73" s="970"/>
      <c r="AE73" s="970"/>
      <c r="AF73" s="970"/>
      <c r="AG73" s="970"/>
      <c r="AH73" s="970"/>
      <c r="AI73" s="970"/>
      <c r="AJ73" s="970"/>
      <c r="AK73" s="970"/>
      <c r="AM73" s="976"/>
      <c r="AN73" s="976"/>
      <c r="AO73" s="976"/>
      <c r="AP73" s="976"/>
      <c r="AQ73" s="976"/>
      <c r="AR73" s="976"/>
      <c r="AS73" s="976"/>
      <c r="AT73" s="976"/>
      <c r="AU73" s="976"/>
      <c r="AV73" s="976"/>
      <c r="AW73" s="976"/>
      <c r="AX73" s="976"/>
      <c r="AY73" s="976"/>
      <c r="AZ73" s="976"/>
      <c r="BA73" s="976"/>
      <c r="BB73" s="976"/>
      <c r="BC73" s="976"/>
      <c r="BD73" s="976"/>
      <c r="BE73" s="976"/>
      <c r="BF73" s="976"/>
      <c r="BH73" s="990"/>
      <c r="BI73" s="990"/>
      <c r="BJ73" s="990"/>
      <c r="BL73" s="515"/>
      <c r="BM73" s="515"/>
      <c r="BN73" s="22"/>
      <c r="BO73" s="1482"/>
      <c r="BP73" s="1482"/>
      <c r="BQ73" s="1482"/>
      <c r="BR73" s="1482"/>
      <c r="BS73" s="1482"/>
      <c r="BT73" s="1482"/>
      <c r="BU73" s="1482"/>
      <c r="BV73" s="1482"/>
      <c r="BW73" s="1482"/>
      <c r="BX73" s="1482"/>
      <c r="BY73" s="1482"/>
      <c r="BZ73" s="1482"/>
      <c r="CA73" s="1482"/>
      <c r="CB73" s="1482"/>
      <c r="CC73" s="1482"/>
      <c r="CD73" s="1482"/>
      <c r="CE73" s="1482"/>
      <c r="CF73" s="1482"/>
      <c r="CG73" s="1482"/>
      <c r="CH73" s="1482"/>
      <c r="CI73" s="1482"/>
      <c r="CJ73" s="1482"/>
      <c r="CK73" s="1482"/>
      <c r="CL73" s="1482"/>
      <c r="CM73" s="1482"/>
      <c r="CN73" s="1482"/>
      <c r="CO73" s="1482"/>
      <c r="CP73" s="1482"/>
      <c r="CQ73" s="1482"/>
      <c r="CR73" s="1482"/>
      <c r="CS73" s="1482"/>
      <c r="CT73" s="1482"/>
      <c r="CU73" s="1482"/>
      <c r="CV73" s="1482"/>
      <c r="CW73" s="1482"/>
      <c r="CX73" s="1482"/>
      <c r="CY73" s="1482"/>
      <c r="CZ73" s="1482"/>
      <c r="DA73" s="1482"/>
      <c r="DB73" s="1482"/>
      <c r="DC73" s="1482"/>
      <c r="DD73" s="1482"/>
      <c r="DE73" s="1482"/>
      <c r="DF73" s="1482"/>
      <c r="DH73" s="838">
        <f t="shared" si="124"/>
        <v>0</v>
      </c>
    </row>
    <row r="74" spans="1:112" s="1488" customFormat="1" ht="12.75" hidden="1" customHeight="1" outlineLevel="1">
      <c r="C74" s="1048" t="s">
        <v>1719</v>
      </c>
      <c r="D74" s="1049" t="s">
        <v>1334</v>
      </c>
      <c r="E74" s="1049"/>
      <c r="F74" s="743"/>
      <c r="G74" s="1050"/>
      <c r="H74" s="1050"/>
      <c r="I74" s="1050"/>
      <c r="J74" s="1050"/>
      <c r="K74" s="1051"/>
      <c r="L74" s="1050"/>
      <c r="M74" s="1050"/>
      <c r="N74" s="1050"/>
      <c r="O74" s="1050"/>
      <c r="P74" s="1050"/>
      <c r="Q74" s="1050"/>
      <c r="R74" s="743"/>
      <c r="S74" s="1052">
        <f ca="1">S$40+S$46+S$51+S$99+S$55+S$93+S$63+S$68+S$72</f>
        <v>-422.11056999038811</v>
      </c>
      <c r="T74" s="1052">
        <f ca="1">T$40+T$46+T$51+T$99+T$55+T$93+T$63+T$68+T$72</f>
        <v>-14.007544848497547</v>
      </c>
      <c r="U74" s="1052"/>
      <c r="V74" s="1052"/>
      <c r="W74" s="1052"/>
      <c r="X74" s="1052"/>
      <c r="Y74" s="1052"/>
      <c r="Z74" s="1052"/>
      <c r="AA74" s="1052"/>
      <c r="AB74" s="1052"/>
      <c r="AC74" s="1052"/>
      <c r="AD74" s="1052"/>
      <c r="AE74" s="1052"/>
      <c r="AF74" s="1052"/>
      <c r="AG74" s="1052"/>
      <c r="AH74" s="1052"/>
      <c r="AI74" s="1052"/>
      <c r="AJ74" s="1052"/>
      <c r="AK74" s="1052"/>
      <c r="AL74" s="743"/>
      <c r="AM74" s="1053"/>
      <c r="AN74" s="1053"/>
      <c r="AO74" s="1053"/>
      <c r="AP74" s="1053"/>
      <c r="AQ74" s="1053"/>
      <c r="AR74" s="1053"/>
      <c r="AS74" s="1053"/>
      <c r="AT74" s="1053"/>
      <c r="AU74" s="1053"/>
      <c r="AV74" s="1053"/>
      <c r="AW74" s="1053"/>
      <c r="AX74" s="1053"/>
      <c r="AY74" s="1053"/>
      <c r="AZ74" s="1053"/>
      <c r="BA74" s="1053"/>
      <c r="BB74" s="1053"/>
      <c r="BC74" s="1053"/>
      <c r="BD74" s="1053"/>
      <c r="BE74" s="1053"/>
      <c r="BF74" s="1053"/>
      <c r="BG74" s="743"/>
      <c r="BH74" s="1054"/>
      <c r="BI74" s="1054"/>
      <c r="BJ74" s="1054">
        <f>SUM(BH74:BI74)</f>
        <v>0</v>
      </c>
      <c r="BK74" s="743"/>
      <c r="BL74" s="852">
        <f t="shared" ref="BL74:BL80" si="190">Q74+AK74+BF74+BJ74</f>
        <v>0</v>
      </c>
      <c r="BM74" s="852"/>
      <c r="BO74" s="1490"/>
      <c r="BP74" s="1490"/>
      <c r="BQ74" s="1490"/>
      <c r="BR74" s="1490"/>
      <c r="BS74" s="1490"/>
      <c r="BT74" s="1490"/>
      <c r="BU74" s="1490"/>
      <c r="BV74" s="1490"/>
      <c r="BW74" s="1490"/>
      <c r="BX74" s="1490"/>
      <c r="BY74" s="1490"/>
      <c r="BZ74" s="1490"/>
      <c r="CA74" s="1490"/>
      <c r="CB74" s="1490"/>
      <c r="CC74" s="1490"/>
      <c r="CD74" s="1490"/>
      <c r="CE74" s="1490"/>
      <c r="CF74" s="1490"/>
      <c r="CG74" s="1490"/>
      <c r="CH74" s="1490"/>
      <c r="CI74" s="1490"/>
      <c r="CJ74" s="1490"/>
      <c r="CK74" s="1490"/>
      <c r="CL74" s="1490"/>
      <c r="CM74" s="1490"/>
      <c r="CN74" s="1490"/>
      <c r="CO74" s="1490"/>
      <c r="CP74" s="1490"/>
      <c r="CQ74" s="1490"/>
      <c r="CR74" s="1490"/>
      <c r="CS74" s="1490"/>
      <c r="CT74" s="1490"/>
      <c r="CU74" s="1490"/>
      <c r="CV74" s="1490"/>
      <c r="CW74" s="1490"/>
      <c r="CX74" s="1490"/>
      <c r="CY74" s="1490"/>
      <c r="CZ74" s="1490"/>
      <c r="DA74" s="1490"/>
      <c r="DB74" s="1490"/>
      <c r="DC74" s="1490"/>
      <c r="DD74" s="1490"/>
      <c r="DE74" s="1490"/>
      <c r="DF74" s="1490"/>
      <c r="DH74" s="838">
        <f t="shared" si="124"/>
        <v>0</v>
      </c>
    </row>
    <row r="75" spans="1:112" s="1484" customFormat="1" ht="12.75" hidden="1" customHeight="1" outlineLevel="1">
      <c r="C75" s="746" t="s">
        <v>756</v>
      </c>
      <c r="D75" s="1010" t="str">
        <f>INDEX(Modules[Module], MATCH($C75, Modules[Code], 0))</f>
        <v>Nuclear power</v>
      </c>
      <c r="E75" s="1010"/>
      <c r="F75" s="743"/>
      <c r="G75" s="1022">
        <f t="shared" ref="G75:P75" ca="1" si="191">IFERROR(INDEX(INDIRECT($C75&amp;".Outputs["&amp;this.Year&amp;"]"), MATCH(G$5, INDIRECT($C75&amp;".Outputs[Vector]"), 0)), 0)</f>
        <v>0</v>
      </c>
      <c r="H75" s="1022">
        <f t="shared" ca="1" si="191"/>
        <v>0</v>
      </c>
      <c r="I75" s="1022">
        <f t="shared" ca="1" si="191"/>
        <v>0</v>
      </c>
      <c r="J75" s="1022">
        <f t="shared" ca="1" si="191"/>
        <v>0</v>
      </c>
      <c r="K75" s="1022">
        <f t="shared" ca="1" si="191"/>
        <v>0</v>
      </c>
      <c r="L75" s="1022">
        <f t="shared" ca="1" si="191"/>
        <v>0</v>
      </c>
      <c r="M75" s="1022">
        <f t="shared" ca="1" si="191"/>
        <v>0</v>
      </c>
      <c r="N75" s="1022">
        <f t="shared" ca="1" si="191"/>
        <v>0</v>
      </c>
      <c r="O75" s="1022">
        <f t="shared" ca="1" si="191"/>
        <v>0</v>
      </c>
      <c r="P75" s="1022">
        <f t="shared" ca="1" si="191"/>
        <v>0</v>
      </c>
      <c r="Q75" s="1020">
        <f ca="1">SUM(G75:P75)</f>
        <v>0</v>
      </c>
      <c r="R75" s="743"/>
      <c r="S75" s="1031">
        <f t="shared" ref="S75:BE75" ca="1" si="192">IFERROR(INDEX(INDIRECT($C75&amp;".Outputs["&amp;this.Year&amp;"]"), MATCH(S$5, INDIRECT($C75&amp;".Outputs[Vector]"), 0)), 0)</f>
        <v>0</v>
      </c>
      <c r="T75" s="1031">
        <f t="shared" ca="1" si="192"/>
        <v>0</v>
      </c>
      <c r="U75" s="1031">
        <f t="shared" ca="1" si="192"/>
        <v>0</v>
      </c>
      <c r="V75" s="1031">
        <f t="shared" ca="1" si="192"/>
        <v>0</v>
      </c>
      <c r="W75" s="1031">
        <f t="shared" ca="1" si="192"/>
        <v>0</v>
      </c>
      <c r="X75" s="1031">
        <f ca="1">IFERROR(INDEX(INDIRECT($C75&amp;".Outputs["&amp;this.Year&amp;"]"), MATCH(X$5, INDIRECT($C75&amp;".Outputs[Vector]"), 0)), 0)</f>
        <v>0</v>
      </c>
      <c r="Y75" s="1031">
        <f ca="1">IFERROR(INDEX(INDIRECT($C75&amp;".Outputs["&amp;this.Year&amp;"]"), MATCH(Y$5, INDIRECT($C75&amp;".Outputs[Vector]"), 0)), 0)</f>
        <v>0</v>
      </c>
      <c r="Z75" s="1031">
        <f ca="1">IFERROR(INDEX(INDIRECT($C75&amp;".Outputs["&amp;this.Year&amp;"]"), MATCH(Z$5, INDIRECT($C75&amp;".Outputs[Vector]"), 0)), 0)</f>
        <v>0</v>
      </c>
      <c r="AA75" s="1031">
        <f t="shared" ca="1" si="192"/>
        <v>0</v>
      </c>
      <c r="AB75" s="1031">
        <f t="shared" ca="1" si="192"/>
        <v>0</v>
      </c>
      <c r="AC75" s="1031">
        <f t="shared" ca="1" si="192"/>
        <v>0</v>
      </c>
      <c r="AD75" s="1031">
        <f t="shared" ca="1" si="192"/>
        <v>0</v>
      </c>
      <c r="AE75" s="1031">
        <f t="shared" ca="1" si="192"/>
        <v>0</v>
      </c>
      <c r="AF75" s="1031">
        <f t="shared" ca="1" si="192"/>
        <v>0</v>
      </c>
      <c r="AG75" s="1031">
        <f t="shared" ca="1" si="192"/>
        <v>0</v>
      </c>
      <c r="AH75" s="1031">
        <f t="shared" ca="1" si="192"/>
        <v>0</v>
      </c>
      <c r="AI75" s="1031">
        <f t="shared" ca="1" si="192"/>
        <v>0</v>
      </c>
      <c r="AJ75" s="1031">
        <f t="shared" ca="1" si="192"/>
        <v>0</v>
      </c>
      <c r="AK75" s="1030">
        <f ca="1">SUM(S75:AJ75)</f>
        <v>0</v>
      </c>
      <c r="AL75" s="743"/>
      <c r="AM75" s="1042">
        <f t="shared" ref="AM75:AU75" ca="1" si="193">IFERROR(INDEX(INDIRECT($C75&amp;".Outputs["&amp;this.Year&amp;"]"), MATCH(AM$5, INDIRECT($C75&amp;".Outputs[Vector]"), 0)), 0)</f>
        <v>0</v>
      </c>
      <c r="AN75" s="1042">
        <f t="shared" ca="1" si="193"/>
        <v>0</v>
      </c>
      <c r="AO75" s="1042">
        <f t="shared" ca="1" si="193"/>
        <v>0</v>
      </c>
      <c r="AP75" s="1042">
        <f t="shared" ca="1" si="193"/>
        <v>0</v>
      </c>
      <c r="AQ75" s="1042">
        <f t="shared" ca="1" si="193"/>
        <v>0</v>
      </c>
      <c r="AR75" s="1042">
        <f t="shared" ca="1" si="193"/>
        <v>0</v>
      </c>
      <c r="AS75" s="1042">
        <f t="shared" ca="1" si="193"/>
        <v>0</v>
      </c>
      <c r="AT75" s="1042">
        <f t="shared" ca="1" si="193"/>
        <v>0</v>
      </c>
      <c r="AU75" s="1042">
        <f t="shared" ca="1" si="193"/>
        <v>0</v>
      </c>
      <c r="AV75" s="1042">
        <f t="shared" ca="1" si="192"/>
        <v>0</v>
      </c>
      <c r="AW75" s="1042">
        <f t="shared" ca="1" si="192"/>
        <v>0</v>
      </c>
      <c r="AX75" s="1042">
        <f t="shared" ca="1" si="192"/>
        <v>0</v>
      </c>
      <c r="AY75" s="1042">
        <f t="shared" ca="1" si="192"/>
        <v>0</v>
      </c>
      <c r="AZ75" s="1042">
        <f t="shared" ca="1" si="192"/>
        <v>0</v>
      </c>
      <c r="BA75" s="1042">
        <f t="shared" ca="1" si="192"/>
        <v>0</v>
      </c>
      <c r="BB75" s="1042">
        <f t="shared" ca="1" si="192"/>
        <v>0</v>
      </c>
      <c r="BC75" s="1042">
        <f t="shared" ca="1" si="192"/>
        <v>0</v>
      </c>
      <c r="BD75" s="1042">
        <f t="shared" ca="1" si="192"/>
        <v>0</v>
      </c>
      <c r="BE75" s="1042">
        <f t="shared" ca="1" si="192"/>
        <v>0</v>
      </c>
      <c r="BF75" s="1012">
        <f ca="1">SUM(AM75:BE75)</f>
        <v>0</v>
      </c>
      <c r="BG75" s="743"/>
      <c r="BH75" s="1036">
        <f ca="1">IFERROR(INDEX(INDIRECT($C75&amp;".Outputs["&amp;this.Year&amp;"]"), MATCH(BH$5, INDIRECT($C75&amp;".Outputs[Vector]"), 0)), 0)</f>
        <v>0</v>
      </c>
      <c r="BI75" s="1036">
        <f ca="1">IFERROR(INDEX(INDIRECT($C75&amp;".Outputs["&amp;this.Year&amp;"]"), MATCH(BI$5, INDIRECT($C75&amp;".Outputs[Vector]"), 0)), 0)</f>
        <v>0</v>
      </c>
      <c r="BJ75" s="1035">
        <f ca="1">SUM(BH75:BI75)</f>
        <v>0</v>
      </c>
      <c r="BK75" s="743"/>
      <c r="BL75" s="814">
        <f t="shared" ca="1" si="190"/>
        <v>0</v>
      </c>
      <c r="BM75" s="814"/>
      <c r="BN75" s="840"/>
      <c r="BO75" s="1485">
        <f t="shared" ref="BO75:DF75" ca="1" si="194">IFERROR(SUMIFS(INDIRECT($C75&amp;".Emissions["&amp;this.Year&amp;"]"), INDIRECT($C75&amp;".Emissions[GHG]"), BO$6, INDIRECT($C75&amp;".Emissions[IPCC Sector]"), BO$5),0)</f>
        <v>0</v>
      </c>
      <c r="BP75" s="1486">
        <f t="shared" ca="1" si="194"/>
        <v>0</v>
      </c>
      <c r="BQ75" s="1486">
        <f t="shared" ca="1" si="194"/>
        <v>0</v>
      </c>
      <c r="BR75" s="1486">
        <f t="shared" ca="1" si="194"/>
        <v>0</v>
      </c>
      <c r="BS75" s="1486">
        <f t="shared" ca="1" si="194"/>
        <v>0</v>
      </c>
      <c r="BT75" s="1486">
        <f t="shared" ca="1" si="194"/>
        <v>0</v>
      </c>
      <c r="BU75" s="1486">
        <f t="shared" ca="1" si="194"/>
        <v>0</v>
      </c>
      <c r="BV75" s="1486">
        <f t="shared" ca="1" si="194"/>
        <v>0</v>
      </c>
      <c r="BW75" s="1486">
        <f t="shared" ca="1" si="194"/>
        <v>0</v>
      </c>
      <c r="BX75" s="1486">
        <f t="shared" ca="1" si="194"/>
        <v>0</v>
      </c>
      <c r="BY75" s="1486">
        <f t="shared" ca="1" si="194"/>
        <v>0</v>
      </c>
      <c r="BZ75" s="1486">
        <f t="shared" ca="1" si="194"/>
        <v>0</v>
      </c>
      <c r="CA75" s="1486">
        <f t="shared" ca="1" si="194"/>
        <v>0</v>
      </c>
      <c r="CB75" s="1486">
        <f t="shared" ca="1" si="194"/>
        <v>0</v>
      </c>
      <c r="CC75" s="1486">
        <f t="shared" ca="1" si="194"/>
        <v>0</v>
      </c>
      <c r="CD75" s="1486">
        <f t="shared" ca="1" si="194"/>
        <v>0</v>
      </c>
      <c r="CE75" s="1486">
        <f t="shared" ca="1" si="194"/>
        <v>0</v>
      </c>
      <c r="CF75" s="1486">
        <f t="shared" ca="1" si="194"/>
        <v>0</v>
      </c>
      <c r="CG75" s="1486">
        <f t="shared" ca="1" si="194"/>
        <v>0</v>
      </c>
      <c r="CH75" s="1486">
        <f t="shared" ca="1" si="194"/>
        <v>0</v>
      </c>
      <c r="CI75" s="1486">
        <f t="shared" ca="1" si="194"/>
        <v>0</v>
      </c>
      <c r="CJ75" s="1486">
        <f t="shared" ca="1" si="194"/>
        <v>0</v>
      </c>
      <c r="CK75" s="1486">
        <f t="shared" ca="1" si="194"/>
        <v>0</v>
      </c>
      <c r="CL75" s="1486">
        <f t="shared" ca="1" si="194"/>
        <v>0</v>
      </c>
      <c r="CM75" s="1486">
        <f t="shared" ca="1" si="194"/>
        <v>0</v>
      </c>
      <c r="CN75" s="1486">
        <f t="shared" ca="1" si="194"/>
        <v>0</v>
      </c>
      <c r="CO75" s="1486">
        <f t="shared" ca="1" si="194"/>
        <v>0</v>
      </c>
      <c r="CP75" s="1486">
        <f t="shared" ca="1" si="194"/>
        <v>0</v>
      </c>
      <c r="CQ75" s="1486">
        <f t="shared" ca="1" si="194"/>
        <v>0</v>
      </c>
      <c r="CR75" s="1486">
        <f t="shared" ca="1" si="194"/>
        <v>0</v>
      </c>
      <c r="CS75" s="1486">
        <f t="shared" ca="1" si="194"/>
        <v>0</v>
      </c>
      <c r="CT75" s="1486">
        <f t="shared" ca="1" si="194"/>
        <v>0</v>
      </c>
      <c r="CU75" s="1486">
        <f t="shared" ca="1" si="194"/>
        <v>0</v>
      </c>
      <c r="CV75" s="1486">
        <f t="shared" ca="1" si="194"/>
        <v>0</v>
      </c>
      <c r="CW75" s="1486">
        <f t="shared" ca="1" si="194"/>
        <v>0</v>
      </c>
      <c r="CX75" s="1486">
        <f t="shared" ca="1" si="194"/>
        <v>0</v>
      </c>
      <c r="CY75" s="1486">
        <f t="shared" ca="1" si="194"/>
        <v>0</v>
      </c>
      <c r="CZ75" s="1486">
        <f t="shared" ca="1" si="194"/>
        <v>0</v>
      </c>
      <c r="DA75" s="1486">
        <f t="shared" ca="1" si="194"/>
        <v>0</v>
      </c>
      <c r="DB75" s="1486">
        <f t="shared" ca="1" si="194"/>
        <v>0</v>
      </c>
      <c r="DC75" s="1486">
        <f t="shared" ca="1" si="194"/>
        <v>0</v>
      </c>
      <c r="DD75" s="1486">
        <f t="shared" ca="1" si="194"/>
        <v>0</v>
      </c>
      <c r="DE75" s="1486">
        <f t="shared" ca="1" si="194"/>
        <v>0</v>
      </c>
      <c r="DF75" s="1486">
        <f t="shared" ca="1" si="194"/>
        <v>0</v>
      </c>
      <c r="DH75" s="838">
        <f t="shared" ca="1" si="124"/>
        <v>0</v>
      </c>
    </row>
    <row r="76" spans="1:112" s="743" customFormat="1" ht="15.75" collapsed="1">
      <c r="A76" s="22"/>
      <c r="B76" s="753"/>
      <c r="C76" s="744" t="s">
        <v>75</v>
      </c>
      <c r="D76" s="517" t="str">
        <f>INDEX(Workstreams[Workstream], MATCH($C76, Workstreams[Code], 0))</f>
        <v>Nuclear power generation</v>
      </c>
      <c r="E76" s="512"/>
      <c r="G76" s="1021">
        <f ca="1">G75</f>
        <v>0</v>
      </c>
      <c r="H76" s="1021">
        <f t="shared" ref="H76:P76" ca="1" si="195">H75</f>
        <v>0</v>
      </c>
      <c r="I76" s="1021">
        <f t="shared" ca="1" si="195"/>
        <v>0</v>
      </c>
      <c r="J76" s="1021">
        <f t="shared" ca="1" si="195"/>
        <v>0</v>
      </c>
      <c r="K76" s="1021">
        <f t="shared" ca="1" si="195"/>
        <v>0</v>
      </c>
      <c r="L76" s="1021">
        <f t="shared" ca="1" si="195"/>
        <v>0</v>
      </c>
      <c r="M76" s="1021">
        <f t="shared" ca="1" si="195"/>
        <v>0</v>
      </c>
      <c r="N76" s="1021">
        <f t="shared" ca="1" si="195"/>
        <v>0</v>
      </c>
      <c r="O76" s="1021">
        <f t="shared" ca="1" si="195"/>
        <v>0</v>
      </c>
      <c r="P76" s="1021">
        <f t="shared" ca="1" si="195"/>
        <v>0</v>
      </c>
      <c r="Q76" s="1021">
        <f ca="1">SUM(G76:P76)</f>
        <v>0</v>
      </c>
      <c r="S76" s="970">
        <f t="shared" ref="S76:AJ76" ca="1" si="196">S75</f>
        <v>0</v>
      </c>
      <c r="T76" s="970">
        <f t="shared" ca="1" si="196"/>
        <v>0</v>
      </c>
      <c r="U76" s="970">
        <f t="shared" ca="1" si="196"/>
        <v>0</v>
      </c>
      <c r="V76" s="970">
        <f t="shared" ca="1" si="196"/>
        <v>0</v>
      </c>
      <c r="W76" s="970">
        <f t="shared" ca="1" si="196"/>
        <v>0</v>
      </c>
      <c r="X76" s="970">
        <f t="shared" ca="1" si="196"/>
        <v>0</v>
      </c>
      <c r="Y76" s="970">
        <f t="shared" ca="1" si="196"/>
        <v>0</v>
      </c>
      <c r="Z76" s="970">
        <f t="shared" ca="1" si="196"/>
        <v>0</v>
      </c>
      <c r="AA76" s="970">
        <f t="shared" ca="1" si="196"/>
        <v>0</v>
      </c>
      <c r="AB76" s="970">
        <f t="shared" ca="1" si="196"/>
        <v>0</v>
      </c>
      <c r="AC76" s="970">
        <f t="shared" ca="1" si="196"/>
        <v>0</v>
      </c>
      <c r="AD76" s="970">
        <f ca="1">AD75</f>
        <v>0</v>
      </c>
      <c r="AE76" s="970">
        <f ca="1">AE75</f>
        <v>0</v>
      </c>
      <c r="AF76" s="970">
        <f t="shared" ca="1" si="196"/>
        <v>0</v>
      </c>
      <c r="AG76" s="970">
        <f ca="1">AG75</f>
        <v>0</v>
      </c>
      <c r="AH76" s="970">
        <f ca="1">AH75</f>
        <v>0</v>
      </c>
      <c r="AI76" s="970">
        <f ca="1">AI75</f>
        <v>0</v>
      </c>
      <c r="AJ76" s="970">
        <f t="shared" ca="1" si="196"/>
        <v>0</v>
      </c>
      <c r="AK76" s="970">
        <f ca="1">SUM(S76:AJ76)</f>
        <v>0</v>
      </c>
      <c r="AM76" s="976">
        <f ca="1">AM75</f>
        <v>0</v>
      </c>
      <c r="AN76" s="976">
        <f t="shared" ref="AN76:BE76" ca="1" si="197">AN75</f>
        <v>0</v>
      </c>
      <c r="AO76" s="976">
        <f t="shared" ca="1" si="197"/>
        <v>0</v>
      </c>
      <c r="AP76" s="976">
        <f t="shared" ca="1" si="197"/>
        <v>0</v>
      </c>
      <c r="AQ76" s="976">
        <f t="shared" ca="1" si="197"/>
        <v>0</v>
      </c>
      <c r="AR76" s="976">
        <f t="shared" ca="1" si="197"/>
        <v>0</v>
      </c>
      <c r="AS76" s="976">
        <f t="shared" ca="1" si="197"/>
        <v>0</v>
      </c>
      <c r="AT76" s="976">
        <f t="shared" ca="1" si="197"/>
        <v>0</v>
      </c>
      <c r="AU76" s="976">
        <f t="shared" ca="1" si="197"/>
        <v>0</v>
      </c>
      <c r="AV76" s="976">
        <f t="shared" ca="1" si="197"/>
        <v>0</v>
      </c>
      <c r="AW76" s="976">
        <f t="shared" ca="1" si="197"/>
        <v>0</v>
      </c>
      <c r="AX76" s="976">
        <f t="shared" ca="1" si="197"/>
        <v>0</v>
      </c>
      <c r="AY76" s="976">
        <f t="shared" ca="1" si="197"/>
        <v>0</v>
      </c>
      <c r="AZ76" s="976">
        <f t="shared" ca="1" si="197"/>
        <v>0</v>
      </c>
      <c r="BA76" s="976">
        <f t="shared" ca="1" si="197"/>
        <v>0</v>
      </c>
      <c r="BB76" s="976">
        <f t="shared" ca="1" si="197"/>
        <v>0</v>
      </c>
      <c r="BC76" s="976">
        <f t="shared" ca="1" si="197"/>
        <v>0</v>
      </c>
      <c r="BD76" s="976">
        <f t="shared" ca="1" si="197"/>
        <v>0</v>
      </c>
      <c r="BE76" s="976">
        <f t="shared" ca="1" si="197"/>
        <v>0</v>
      </c>
      <c r="BF76" s="976">
        <f ca="1">SUM(AM76:BE76)</f>
        <v>0</v>
      </c>
      <c r="BH76" s="990">
        <f ca="1">BH75</f>
        <v>0</v>
      </c>
      <c r="BI76" s="990">
        <f ca="1">BI75</f>
        <v>0</v>
      </c>
      <c r="BJ76" s="990">
        <f ca="1">SUM(BH76:BI76)</f>
        <v>0</v>
      </c>
      <c r="BL76" s="515">
        <f t="shared" ca="1" si="190"/>
        <v>0</v>
      </c>
      <c r="BM76" s="515"/>
      <c r="BN76" s="840"/>
      <c r="BO76" s="1482">
        <f t="shared" ref="BO76:DF76" ca="1" si="198">BO75</f>
        <v>0</v>
      </c>
      <c r="BP76" s="1482">
        <f t="shared" ca="1" si="198"/>
        <v>0</v>
      </c>
      <c r="BQ76" s="1482">
        <f t="shared" ca="1" si="198"/>
        <v>0</v>
      </c>
      <c r="BR76" s="1482">
        <f t="shared" ca="1" si="198"/>
        <v>0</v>
      </c>
      <c r="BS76" s="1482">
        <f t="shared" ca="1" si="198"/>
        <v>0</v>
      </c>
      <c r="BT76" s="1482">
        <f t="shared" ca="1" si="198"/>
        <v>0</v>
      </c>
      <c r="BU76" s="1482">
        <f t="shared" ca="1" si="198"/>
        <v>0</v>
      </c>
      <c r="BV76" s="1482">
        <f t="shared" ca="1" si="198"/>
        <v>0</v>
      </c>
      <c r="BW76" s="1482">
        <f t="shared" ca="1" si="198"/>
        <v>0</v>
      </c>
      <c r="BX76" s="1482">
        <f t="shared" ca="1" si="198"/>
        <v>0</v>
      </c>
      <c r="BY76" s="1482">
        <f t="shared" ca="1" si="198"/>
        <v>0</v>
      </c>
      <c r="BZ76" s="1482">
        <f t="shared" ca="1" si="198"/>
        <v>0</v>
      </c>
      <c r="CA76" s="1482">
        <f t="shared" ca="1" si="198"/>
        <v>0</v>
      </c>
      <c r="CB76" s="1482">
        <f t="shared" ca="1" si="198"/>
        <v>0</v>
      </c>
      <c r="CC76" s="1482">
        <f t="shared" ca="1" si="198"/>
        <v>0</v>
      </c>
      <c r="CD76" s="1482">
        <f t="shared" ca="1" si="198"/>
        <v>0</v>
      </c>
      <c r="CE76" s="1482">
        <f t="shared" ca="1" si="198"/>
        <v>0</v>
      </c>
      <c r="CF76" s="1482">
        <f t="shared" ca="1" si="198"/>
        <v>0</v>
      </c>
      <c r="CG76" s="1482">
        <f t="shared" ca="1" si="198"/>
        <v>0</v>
      </c>
      <c r="CH76" s="1482">
        <f t="shared" ca="1" si="198"/>
        <v>0</v>
      </c>
      <c r="CI76" s="1482">
        <f t="shared" ca="1" si="198"/>
        <v>0</v>
      </c>
      <c r="CJ76" s="1482">
        <f t="shared" ca="1" si="198"/>
        <v>0</v>
      </c>
      <c r="CK76" s="1482">
        <f t="shared" ca="1" si="198"/>
        <v>0</v>
      </c>
      <c r="CL76" s="1482">
        <f t="shared" ca="1" si="198"/>
        <v>0</v>
      </c>
      <c r="CM76" s="1482">
        <f t="shared" ca="1" si="198"/>
        <v>0</v>
      </c>
      <c r="CN76" s="1482">
        <f t="shared" ca="1" si="198"/>
        <v>0</v>
      </c>
      <c r="CO76" s="1482">
        <f t="shared" ca="1" si="198"/>
        <v>0</v>
      </c>
      <c r="CP76" s="1482">
        <f t="shared" ca="1" si="198"/>
        <v>0</v>
      </c>
      <c r="CQ76" s="1482">
        <f t="shared" ca="1" si="198"/>
        <v>0</v>
      </c>
      <c r="CR76" s="1482">
        <f t="shared" ca="1" si="198"/>
        <v>0</v>
      </c>
      <c r="CS76" s="1482">
        <f t="shared" ca="1" si="198"/>
        <v>0</v>
      </c>
      <c r="CT76" s="1482">
        <f t="shared" ca="1" si="198"/>
        <v>0</v>
      </c>
      <c r="CU76" s="1482">
        <f t="shared" ca="1" si="198"/>
        <v>0</v>
      </c>
      <c r="CV76" s="1482">
        <f t="shared" ca="1" si="198"/>
        <v>0</v>
      </c>
      <c r="CW76" s="1482">
        <f t="shared" ca="1" si="198"/>
        <v>0</v>
      </c>
      <c r="CX76" s="1482">
        <f t="shared" ca="1" si="198"/>
        <v>0</v>
      </c>
      <c r="CY76" s="1482">
        <f t="shared" ca="1" si="198"/>
        <v>0</v>
      </c>
      <c r="CZ76" s="1482">
        <f t="shared" ca="1" si="198"/>
        <v>0</v>
      </c>
      <c r="DA76" s="1482">
        <f t="shared" ca="1" si="198"/>
        <v>0</v>
      </c>
      <c r="DB76" s="1482">
        <f t="shared" ca="1" si="198"/>
        <v>0</v>
      </c>
      <c r="DC76" s="1482">
        <f t="shared" ca="1" si="198"/>
        <v>0</v>
      </c>
      <c r="DD76" s="1482">
        <f t="shared" ca="1" si="198"/>
        <v>0</v>
      </c>
      <c r="DE76" s="1482">
        <f t="shared" ca="1" si="198"/>
        <v>0</v>
      </c>
      <c r="DF76" s="1482">
        <f t="shared" ca="1" si="198"/>
        <v>0</v>
      </c>
      <c r="DH76" s="838">
        <f t="shared" ca="1" si="124"/>
        <v>0</v>
      </c>
    </row>
    <row r="77" spans="1:112" s="743" customFormat="1" ht="12.75" hidden="1" customHeight="1" outlineLevel="1">
      <c r="A77" s="22"/>
      <c r="B77" s="22"/>
      <c r="C77" s="751"/>
      <c r="D77" s="512"/>
      <c r="E77" s="512"/>
      <c r="G77" s="958"/>
      <c r="H77" s="958"/>
      <c r="I77" s="958"/>
      <c r="J77" s="958"/>
      <c r="K77" s="960"/>
      <c r="L77" s="958"/>
      <c r="M77" s="958"/>
      <c r="N77" s="958"/>
      <c r="O77" s="958"/>
      <c r="P77" s="958"/>
      <c r="Q77" s="958"/>
      <c r="S77" s="970"/>
      <c r="T77" s="970"/>
      <c r="U77" s="970"/>
      <c r="V77" s="970"/>
      <c r="W77" s="970"/>
      <c r="X77" s="970"/>
      <c r="Y77" s="970"/>
      <c r="Z77" s="970"/>
      <c r="AA77" s="970"/>
      <c r="AB77" s="970"/>
      <c r="AC77" s="970"/>
      <c r="AD77" s="970"/>
      <c r="AE77" s="970"/>
      <c r="AF77" s="970"/>
      <c r="AG77" s="970"/>
      <c r="AH77" s="970"/>
      <c r="AI77" s="970"/>
      <c r="AJ77" s="970"/>
      <c r="AK77" s="970"/>
      <c r="AM77" s="976"/>
      <c r="AN77" s="976"/>
      <c r="AO77" s="976"/>
      <c r="AP77" s="976"/>
      <c r="AQ77" s="976"/>
      <c r="AR77" s="976"/>
      <c r="AS77" s="976"/>
      <c r="AT77" s="976"/>
      <c r="AU77" s="976"/>
      <c r="AV77" s="976"/>
      <c r="AW77" s="976"/>
      <c r="AX77" s="976"/>
      <c r="AY77" s="976"/>
      <c r="AZ77" s="976"/>
      <c r="BA77" s="976"/>
      <c r="BB77" s="976"/>
      <c r="BC77" s="976"/>
      <c r="BD77" s="976"/>
      <c r="BE77" s="976"/>
      <c r="BF77" s="976"/>
      <c r="BH77" s="990"/>
      <c r="BI77" s="990"/>
      <c r="BJ77" s="990"/>
      <c r="BL77" s="515">
        <f t="shared" si="190"/>
        <v>0</v>
      </c>
      <c r="BM77" s="515"/>
      <c r="BN77" s="22"/>
      <c r="BO77" s="1482"/>
      <c r="BP77" s="1482"/>
      <c r="BQ77" s="1482"/>
      <c r="BR77" s="1482"/>
      <c r="BS77" s="1482"/>
      <c r="BT77" s="1482"/>
      <c r="BU77" s="1482"/>
      <c r="BV77" s="1482"/>
      <c r="BW77" s="1482"/>
      <c r="BX77" s="1482"/>
      <c r="BY77" s="1482"/>
      <c r="BZ77" s="1482"/>
      <c r="CA77" s="1482"/>
      <c r="CB77" s="1482"/>
      <c r="CC77" s="1482"/>
      <c r="CD77" s="1482"/>
      <c r="CE77" s="1482"/>
      <c r="CF77" s="1482"/>
      <c r="CG77" s="1482"/>
      <c r="CH77" s="1482"/>
      <c r="CI77" s="1482"/>
      <c r="CJ77" s="1482"/>
      <c r="CK77" s="1482"/>
      <c r="CL77" s="1482"/>
      <c r="CM77" s="1482"/>
      <c r="CN77" s="1482"/>
      <c r="CO77" s="1482"/>
      <c r="CP77" s="1482"/>
      <c r="CQ77" s="1482"/>
      <c r="CR77" s="1482"/>
      <c r="CS77" s="1482"/>
      <c r="CT77" s="1482"/>
      <c r="CU77" s="1482"/>
      <c r="CV77" s="1482"/>
      <c r="CW77" s="1482"/>
      <c r="CX77" s="1482"/>
      <c r="CY77" s="1482"/>
      <c r="CZ77" s="1482"/>
      <c r="DA77" s="1482"/>
      <c r="DB77" s="1482"/>
      <c r="DC77" s="1482"/>
      <c r="DD77" s="1482"/>
      <c r="DE77" s="1482"/>
      <c r="DF77" s="1482"/>
      <c r="DH77" s="838">
        <f t="shared" si="124"/>
        <v>0</v>
      </c>
    </row>
    <row r="78" spans="1:112" s="1488" customFormat="1" ht="12.75" hidden="1" customHeight="1" outlineLevel="1">
      <c r="C78" s="1048" t="s">
        <v>1720</v>
      </c>
      <c r="D78" s="1049" t="s">
        <v>1334</v>
      </c>
      <c r="E78" s="1049"/>
      <c r="F78" s="743"/>
      <c r="G78" s="1050"/>
      <c r="H78" s="1050"/>
      <c r="I78" s="1050"/>
      <c r="J78" s="1050"/>
      <c r="K78" s="1051"/>
      <c r="L78" s="1050"/>
      <c r="M78" s="1050"/>
      <c r="N78" s="1050"/>
      <c r="O78" s="1050"/>
      <c r="P78" s="1050"/>
      <c r="Q78" s="1050"/>
      <c r="R78" s="743"/>
      <c r="S78" s="1052">
        <f ca="1">S$74+S$76</f>
        <v>-422.11056999038811</v>
      </c>
      <c r="T78" s="1052">
        <f ca="1">T$74+T$76</f>
        <v>-14.007544848497547</v>
      </c>
      <c r="U78" s="1052"/>
      <c r="V78" s="1052"/>
      <c r="W78" s="1052"/>
      <c r="X78" s="1052"/>
      <c r="Y78" s="1052"/>
      <c r="Z78" s="1052"/>
      <c r="AA78" s="1052"/>
      <c r="AB78" s="1052"/>
      <c r="AC78" s="1052"/>
      <c r="AD78" s="1052"/>
      <c r="AE78" s="1052"/>
      <c r="AF78" s="1052"/>
      <c r="AG78" s="1052"/>
      <c r="AH78" s="1052"/>
      <c r="AI78" s="1052"/>
      <c r="AJ78" s="1052"/>
      <c r="AK78" s="1052"/>
      <c r="AL78" s="743"/>
      <c r="AM78" s="1053"/>
      <c r="AN78" s="1053"/>
      <c r="AO78" s="1053"/>
      <c r="AP78" s="1053"/>
      <c r="AQ78" s="1053"/>
      <c r="AR78" s="1053"/>
      <c r="AS78" s="1053"/>
      <c r="AT78" s="1053"/>
      <c r="AU78" s="1053"/>
      <c r="AV78" s="1053"/>
      <c r="AW78" s="1053"/>
      <c r="AX78" s="1053"/>
      <c r="AY78" s="1053"/>
      <c r="AZ78" s="1053"/>
      <c r="BA78" s="1053"/>
      <c r="BB78" s="1053"/>
      <c r="BC78" s="1053"/>
      <c r="BD78" s="1053"/>
      <c r="BE78" s="1053"/>
      <c r="BF78" s="1053"/>
      <c r="BG78" s="743"/>
      <c r="BH78" s="1054"/>
      <c r="BI78" s="1054"/>
      <c r="BJ78" s="1054"/>
      <c r="BK78" s="743"/>
      <c r="BL78" s="852">
        <f t="shared" si="190"/>
        <v>0</v>
      </c>
      <c r="BM78" s="852"/>
      <c r="BO78" s="1490"/>
      <c r="BP78" s="1490"/>
      <c r="BQ78" s="1490"/>
      <c r="BR78" s="1490"/>
      <c r="BS78" s="1490"/>
      <c r="BT78" s="1490"/>
      <c r="BU78" s="1490"/>
      <c r="BV78" s="1490"/>
      <c r="BW78" s="1490"/>
      <c r="BX78" s="1490"/>
      <c r="BY78" s="1490"/>
      <c r="BZ78" s="1490"/>
      <c r="CA78" s="1490"/>
      <c r="CB78" s="1490"/>
      <c r="CC78" s="1490"/>
      <c r="CD78" s="1490"/>
      <c r="CE78" s="1490"/>
      <c r="CF78" s="1490"/>
      <c r="CG78" s="1490"/>
      <c r="CH78" s="1490"/>
      <c r="CI78" s="1490"/>
      <c r="CJ78" s="1490"/>
      <c r="CK78" s="1490"/>
      <c r="CL78" s="1490"/>
      <c r="CM78" s="1490"/>
      <c r="CN78" s="1490"/>
      <c r="CO78" s="1490"/>
      <c r="CP78" s="1490"/>
      <c r="CQ78" s="1490"/>
      <c r="CR78" s="1490"/>
      <c r="CS78" s="1490"/>
      <c r="CT78" s="1490"/>
      <c r="CU78" s="1490"/>
      <c r="CV78" s="1490"/>
      <c r="CW78" s="1490"/>
      <c r="CX78" s="1490"/>
      <c r="CY78" s="1490"/>
      <c r="CZ78" s="1490"/>
      <c r="DA78" s="1490"/>
      <c r="DB78" s="1490"/>
      <c r="DC78" s="1490"/>
      <c r="DD78" s="1490"/>
      <c r="DE78" s="1490"/>
      <c r="DF78" s="1490"/>
      <c r="DH78" s="838">
        <f t="shared" si="124"/>
        <v>0</v>
      </c>
    </row>
    <row r="79" spans="1:112" s="1484" customFormat="1" ht="12.75" hidden="1" customHeight="1" outlineLevel="1">
      <c r="C79" s="746" t="s">
        <v>878</v>
      </c>
      <c r="D79" s="521" t="str">
        <f>INDEX(Modules[Module], MATCH($C79, Modules[Code], 0))</f>
        <v>Combustion + CCS</v>
      </c>
      <c r="E79" s="521"/>
      <c r="F79" s="743"/>
      <c r="G79" s="2013">
        <f t="shared" ref="G79:P79" ca="1" si="199">IFERROR(INDEX(INDIRECT($C79&amp;".Outputs["&amp;this.Year&amp;"]"), MATCH(G$5, INDIRECT($C79&amp;".Outputs[Vector]"), 0)), 0)</f>
        <v>0</v>
      </c>
      <c r="H79" s="2013">
        <f t="shared" ca="1" si="199"/>
        <v>0</v>
      </c>
      <c r="I79" s="2013">
        <f t="shared" ca="1" si="199"/>
        <v>0</v>
      </c>
      <c r="J79" s="2013">
        <f t="shared" ca="1" si="199"/>
        <v>0</v>
      </c>
      <c r="K79" s="2013">
        <f t="shared" ca="1" si="199"/>
        <v>0</v>
      </c>
      <c r="L79" s="2013">
        <f t="shared" ca="1" si="199"/>
        <v>0</v>
      </c>
      <c r="M79" s="2013">
        <f t="shared" ca="1" si="199"/>
        <v>0</v>
      </c>
      <c r="N79" s="2013">
        <f t="shared" ca="1" si="199"/>
        <v>0</v>
      </c>
      <c r="O79" s="2013">
        <f t="shared" ca="1" si="199"/>
        <v>0</v>
      </c>
      <c r="P79" s="2013">
        <f t="shared" ca="1" si="199"/>
        <v>0</v>
      </c>
      <c r="Q79" s="2014">
        <f ca="1">SUM(G79:P79)</f>
        <v>0</v>
      </c>
      <c r="R79" s="743"/>
      <c r="S79" s="2015">
        <f t="shared" ref="S79:BE79" ca="1" si="200">IFERROR(INDEX(INDIRECT($C79&amp;".Outputs["&amp;this.Year&amp;"]"), MATCH(S$5, INDIRECT($C79&amp;".Outputs[Vector]"), 0)), 0)</f>
        <v>0</v>
      </c>
      <c r="T79" s="2015">
        <f t="shared" ca="1" si="200"/>
        <v>9.6618852000000039</v>
      </c>
      <c r="U79" s="2015">
        <f t="shared" ca="1" si="200"/>
        <v>-27.737771102339096</v>
      </c>
      <c r="V79" s="2015">
        <f t="shared" ca="1" si="200"/>
        <v>0</v>
      </c>
      <c r="W79" s="2015">
        <f t="shared" ca="1" si="200"/>
        <v>0</v>
      </c>
      <c r="X79" s="2015">
        <f ca="1">IFERROR(INDEX(INDIRECT($C79&amp;".Outputs["&amp;this.Year&amp;"]"), MATCH(X$5, INDIRECT($C79&amp;".Outputs[Vector]"), 0)), 0)</f>
        <v>0</v>
      </c>
      <c r="Y79" s="2015">
        <f ca="1">IFERROR(INDEX(INDIRECT($C79&amp;".Outputs["&amp;this.Year&amp;"]"), MATCH(Y$5, INDIRECT($C79&amp;".Outputs[Vector]"), 0)), 0)</f>
        <v>0</v>
      </c>
      <c r="Z79" s="2015">
        <f ca="1">IFERROR(INDEX(INDIRECT($C79&amp;".Outputs["&amp;this.Year&amp;"]"), MATCH(Z$5, INDIRECT($C79&amp;".Outputs[Vector]"), 0)), 0)</f>
        <v>0</v>
      </c>
      <c r="AA79" s="2015">
        <f t="shared" ca="1" si="200"/>
        <v>0</v>
      </c>
      <c r="AB79" s="2015">
        <f t="shared" ca="1" si="200"/>
        <v>0</v>
      </c>
      <c r="AC79" s="2015">
        <f t="shared" ca="1" si="200"/>
        <v>0</v>
      </c>
      <c r="AD79" s="2015">
        <f t="shared" ca="1" si="200"/>
        <v>0</v>
      </c>
      <c r="AE79" s="2015">
        <f t="shared" ca="1" si="200"/>
        <v>0</v>
      </c>
      <c r="AF79" s="2015">
        <f t="shared" ca="1" si="200"/>
        <v>0</v>
      </c>
      <c r="AG79" s="2015">
        <f t="shared" ca="1" si="200"/>
        <v>0</v>
      </c>
      <c r="AH79" s="2015">
        <f t="shared" ca="1" si="200"/>
        <v>0</v>
      </c>
      <c r="AI79" s="2015">
        <f t="shared" ca="1" si="200"/>
        <v>0</v>
      </c>
      <c r="AJ79" s="2015">
        <f t="shared" ca="1" si="200"/>
        <v>0</v>
      </c>
      <c r="AK79" s="2016">
        <f ca="1">SUM(S79:AJ79)</f>
        <v>-18.075885902339092</v>
      </c>
      <c r="AL79" s="743"/>
      <c r="AM79" s="2017">
        <f t="shared" ref="AM79:AU79" ca="1" si="201">IFERROR(INDEX(INDIRECT($C79&amp;".Outputs["&amp;this.Year&amp;"]"), MATCH(AM$5, INDIRECT($C79&amp;".Outputs[Vector]"), 0)), 0)</f>
        <v>0</v>
      </c>
      <c r="AN79" s="2017">
        <f t="shared" ca="1" si="201"/>
        <v>0</v>
      </c>
      <c r="AO79" s="2017">
        <f t="shared" ca="1" si="201"/>
        <v>0</v>
      </c>
      <c r="AP79" s="2017">
        <f t="shared" ca="1" si="201"/>
        <v>0</v>
      </c>
      <c r="AQ79" s="2017">
        <f t="shared" ca="1" si="201"/>
        <v>0</v>
      </c>
      <c r="AR79" s="2017">
        <f t="shared" ca="1" si="201"/>
        <v>0</v>
      </c>
      <c r="AS79" s="2017">
        <f t="shared" ca="1" si="201"/>
        <v>0</v>
      </c>
      <c r="AT79" s="2017">
        <f t="shared" ca="1" si="201"/>
        <v>0</v>
      </c>
      <c r="AU79" s="2017">
        <f t="shared" ca="1" si="201"/>
        <v>0</v>
      </c>
      <c r="AV79" s="2017">
        <f t="shared" ca="1" si="200"/>
        <v>0</v>
      </c>
      <c r="AW79" s="2017">
        <f t="shared" ca="1" si="200"/>
        <v>0</v>
      </c>
      <c r="AX79" s="2017">
        <f t="shared" ca="1" si="200"/>
        <v>0</v>
      </c>
      <c r="AY79" s="2017">
        <f t="shared" ca="1" si="200"/>
        <v>0</v>
      </c>
      <c r="AZ79" s="2017">
        <f t="shared" ca="1" si="200"/>
        <v>0</v>
      </c>
      <c r="BA79" s="2017">
        <f t="shared" ca="1" si="200"/>
        <v>0</v>
      </c>
      <c r="BB79" s="2017">
        <f t="shared" ca="1" si="200"/>
        <v>0</v>
      </c>
      <c r="BC79" s="2017">
        <f t="shared" ca="1" si="200"/>
        <v>0</v>
      </c>
      <c r="BD79" s="2017">
        <f t="shared" ca="1" si="200"/>
        <v>0</v>
      </c>
      <c r="BE79" s="2017">
        <f t="shared" ca="1" si="200"/>
        <v>0</v>
      </c>
      <c r="BF79" s="2018">
        <f ca="1">SUM(AM79:BE79)</f>
        <v>0</v>
      </c>
      <c r="BG79" s="743"/>
      <c r="BH79" s="2019">
        <f ca="1">IFERROR(INDEX(INDIRECT($C79&amp;".Outputs["&amp;this.Year&amp;"]"), MATCH(BH$5, INDIRECT($C79&amp;".Outputs[Vector]"), 0)), 0)</f>
        <v>14.94057216194174</v>
      </c>
      <c r="BI79" s="2019">
        <f ca="1">IFERROR(INDEX(INDIRECT($C79&amp;".Outputs["&amp;this.Year&amp;"]"), MATCH(BI$5, INDIRECT($C79&amp;".Outputs[Vector]"), 0)), 0)</f>
        <v>3.1353137403973523</v>
      </c>
      <c r="BJ79" s="2020">
        <f ca="1">SUM(BH79:BI79)</f>
        <v>18.075885902339092</v>
      </c>
      <c r="BK79" s="743"/>
      <c r="BL79" s="814">
        <f t="shared" ca="1" si="190"/>
        <v>0</v>
      </c>
      <c r="BM79" s="814"/>
      <c r="BN79" s="840"/>
      <c r="BO79" s="1481">
        <f t="shared" ref="BO79:DF79" ca="1" si="202">IFERROR(SUMIFS(INDIRECT($C79&amp;".Emissions["&amp;this.Year&amp;"]"), INDIRECT($C79&amp;".Emissions[GHG]"), BO$6, INDIRECT($C79&amp;".Emissions[IPCC Sector]"), BO$5),0)</f>
        <v>8.54323349952044</v>
      </c>
      <c r="BP79" s="1482">
        <f t="shared" ca="1" si="202"/>
        <v>2.5096932700504882E-2</v>
      </c>
      <c r="BQ79" s="1482">
        <f t="shared" ca="1" si="202"/>
        <v>7.5680348749555898E-2</v>
      </c>
      <c r="BR79" s="1482">
        <f t="shared" ca="1" si="202"/>
        <v>0</v>
      </c>
      <c r="BS79" s="1482">
        <f t="shared" ca="1" si="202"/>
        <v>0</v>
      </c>
      <c r="BT79" s="1482">
        <f t="shared" ca="1" si="202"/>
        <v>0</v>
      </c>
      <c r="BU79" s="1482">
        <f t="shared" ca="1" si="202"/>
        <v>0</v>
      </c>
      <c r="BV79" s="1482">
        <f t="shared" ca="1" si="202"/>
        <v>0</v>
      </c>
      <c r="BW79" s="1482">
        <f t="shared" ca="1" si="202"/>
        <v>0</v>
      </c>
      <c r="BX79" s="1482">
        <f t="shared" ca="1" si="202"/>
        <v>0</v>
      </c>
      <c r="BY79" s="1482">
        <f t="shared" ca="1" si="202"/>
        <v>0</v>
      </c>
      <c r="BZ79" s="1482">
        <f t="shared" ca="1" si="202"/>
        <v>0</v>
      </c>
      <c r="CA79" s="1482">
        <f t="shared" ca="1" si="202"/>
        <v>0</v>
      </c>
      <c r="CB79" s="1482">
        <f t="shared" ca="1" si="202"/>
        <v>0</v>
      </c>
      <c r="CC79" s="1482">
        <f t="shared" ca="1" si="202"/>
        <v>0</v>
      </c>
      <c r="CD79" s="1482">
        <f t="shared" ca="1" si="202"/>
        <v>0</v>
      </c>
      <c r="CE79" s="1482">
        <f t="shared" ca="1" si="202"/>
        <v>0</v>
      </c>
      <c r="CF79" s="1482">
        <f t="shared" ca="1" si="202"/>
        <v>0</v>
      </c>
      <c r="CG79" s="1482">
        <f t="shared" ca="1" si="202"/>
        <v>0</v>
      </c>
      <c r="CH79" s="1482">
        <f t="shared" ca="1" si="202"/>
        <v>0</v>
      </c>
      <c r="CI79" s="1482">
        <f t="shared" ca="1" si="202"/>
        <v>0</v>
      </c>
      <c r="CJ79" s="1482">
        <f t="shared" ca="1" si="202"/>
        <v>0</v>
      </c>
      <c r="CK79" s="1482">
        <f t="shared" ca="1" si="202"/>
        <v>0</v>
      </c>
      <c r="CL79" s="1482">
        <f t="shared" ca="1" si="202"/>
        <v>0</v>
      </c>
      <c r="CM79" s="1482">
        <f t="shared" ca="1" si="202"/>
        <v>0</v>
      </c>
      <c r="CN79" s="1482">
        <f t="shared" ca="1" si="202"/>
        <v>0</v>
      </c>
      <c r="CO79" s="1482">
        <f t="shared" ca="1" si="202"/>
        <v>0</v>
      </c>
      <c r="CP79" s="1482">
        <f t="shared" ca="1" si="202"/>
        <v>0</v>
      </c>
      <c r="CQ79" s="1482">
        <f t="shared" ca="1" si="202"/>
        <v>0</v>
      </c>
      <c r="CR79" s="1482">
        <f t="shared" ca="1" si="202"/>
        <v>0</v>
      </c>
      <c r="CS79" s="1482">
        <f t="shared" ca="1" si="202"/>
        <v>0</v>
      </c>
      <c r="CT79" s="1482">
        <f t="shared" ca="1" si="202"/>
        <v>0</v>
      </c>
      <c r="CU79" s="1482">
        <f t="shared" ca="1" si="202"/>
        <v>0</v>
      </c>
      <c r="CV79" s="1482">
        <f t="shared" ca="1" si="202"/>
        <v>0</v>
      </c>
      <c r="CW79" s="1482">
        <f t="shared" ca="1" si="202"/>
        <v>0</v>
      </c>
      <c r="CX79" s="1482">
        <f t="shared" ca="1" si="202"/>
        <v>0</v>
      </c>
      <c r="CY79" s="1482">
        <f t="shared" ca="1" si="202"/>
        <v>0</v>
      </c>
      <c r="CZ79" s="1482">
        <f t="shared" ca="1" si="202"/>
        <v>0</v>
      </c>
      <c r="DA79" s="1482">
        <f t="shared" ca="1" si="202"/>
        <v>0</v>
      </c>
      <c r="DB79" s="1482">
        <f t="shared" ca="1" si="202"/>
        <v>0</v>
      </c>
      <c r="DC79" s="1482">
        <f t="shared" ca="1" si="202"/>
        <v>-7.6889101495683958</v>
      </c>
      <c r="DD79" s="1482">
        <f t="shared" ca="1" si="202"/>
        <v>0</v>
      </c>
      <c r="DE79" s="1482">
        <f t="shared" ca="1" si="202"/>
        <v>0</v>
      </c>
      <c r="DF79" s="1482">
        <f t="shared" ca="1" si="202"/>
        <v>0</v>
      </c>
      <c r="DH79" s="838">
        <f t="shared" ca="1" si="124"/>
        <v>0.95510063140210466</v>
      </c>
    </row>
    <row r="80" spans="1:112" s="1491" customFormat="1" ht="12.75" hidden="1" customHeight="1" outlineLevel="1">
      <c r="C80" s="1534" t="s">
        <v>1721</v>
      </c>
      <c r="D80" s="1049" t="s">
        <v>1334</v>
      </c>
      <c r="E80" s="1535"/>
      <c r="F80" s="1957"/>
      <c r="G80" s="1070"/>
      <c r="H80" s="1070"/>
      <c r="I80" s="1070"/>
      <c r="J80" s="1070"/>
      <c r="K80" s="1071"/>
      <c r="L80" s="1070"/>
      <c r="M80" s="1070"/>
      <c r="N80" s="1070"/>
      <c r="O80" s="1070"/>
      <c r="P80" s="1070"/>
      <c r="Q80" s="1070"/>
      <c r="R80" s="1957"/>
      <c r="S80" s="1072">
        <f ca="1">S78+S79</f>
        <v>-422.11056999038811</v>
      </c>
      <c r="T80" s="1072">
        <f ca="1">T78+T79</f>
        <v>-4.3456596484975432</v>
      </c>
      <c r="U80" s="1072"/>
      <c r="V80" s="1072"/>
      <c r="W80" s="1072"/>
      <c r="X80" s="1072"/>
      <c r="Y80" s="1072"/>
      <c r="Z80" s="1072"/>
      <c r="AA80" s="1072"/>
      <c r="AB80" s="1072"/>
      <c r="AC80" s="1072"/>
      <c r="AD80" s="1072"/>
      <c r="AE80" s="1072"/>
      <c r="AF80" s="1072"/>
      <c r="AG80" s="1072"/>
      <c r="AH80" s="1072"/>
      <c r="AI80" s="1072"/>
      <c r="AJ80" s="1072"/>
      <c r="AK80" s="1072"/>
      <c r="AL80" s="1957"/>
      <c r="AM80" s="1073"/>
      <c r="AN80" s="1073"/>
      <c r="AO80" s="1073"/>
      <c r="AP80" s="1073"/>
      <c r="AQ80" s="1073"/>
      <c r="AR80" s="1073"/>
      <c r="AS80" s="1073"/>
      <c r="AT80" s="1073"/>
      <c r="AU80" s="1073"/>
      <c r="AV80" s="1073"/>
      <c r="AW80" s="1073"/>
      <c r="AX80" s="1073"/>
      <c r="AY80" s="1073"/>
      <c r="AZ80" s="1073"/>
      <c r="BA80" s="1073"/>
      <c r="BB80" s="1073"/>
      <c r="BC80" s="1073"/>
      <c r="BD80" s="1073"/>
      <c r="BE80" s="1073"/>
      <c r="BF80" s="1073"/>
      <c r="BG80" s="1957"/>
      <c r="BH80" s="1074"/>
      <c r="BI80" s="1074"/>
      <c r="BJ80" s="1074"/>
      <c r="BK80" s="1957"/>
      <c r="BL80" s="1536">
        <f t="shared" si="190"/>
        <v>0</v>
      </c>
      <c r="BM80" s="1536"/>
      <c r="BO80" s="1963"/>
      <c r="BP80" s="1963"/>
      <c r="BQ80" s="1963"/>
      <c r="BR80" s="1963"/>
      <c r="BS80" s="1963"/>
      <c r="BT80" s="1963"/>
      <c r="BU80" s="1963"/>
      <c r="BV80" s="1963"/>
      <c r="BW80" s="1963"/>
      <c r="BX80" s="1963"/>
      <c r="BY80" s="1963"/>
      <c r="BZ80" s="1963"/>
      <c r="CA80" s="1963"/>
      <c r="CB80" s="1963"/>
      <c r="CC80" s="1963"/>
      <c r="CD80" s="1963"/>
      <c r="CE80" s="1963"/>
      <c r="CF80" s="1963"/>
      <c r="CG80" s="1963"/>
      <c r="CH80" s="1963"/>
      <c r="CI80" s="1963"/>
      <c r="CJ80" s="1963"/>
      <c r="CK80" s="1963"/>
      <c r="CL80" s="1963"/>
      <c r="CM80" s="1963"/>
      <c r="CN80" s="1963"/>
      <c r="CO80" s="1963"/>
      <c r="CP80" s="1963"/>
      <c r="CQ80" s="1963"/>
      <c r="CR80" s="1963"/>
      <c r="CS80" s="1963"/>
      <c r="CT80" s="1963"/>
      <c r="CU80" s="1963"/>
      <c r="CV80" s="1963"/>
      <c r="CW80" s="1963"/>
      <c r="CX80" s="1963"/>
      <c r="CY80" s="1963"/>
      <c r="CZ80" s="1963"/>
      <c r="DA80" s="1963"/>
      <c r="DB80" s="1963"/>
      <c r="DC80" s="1963"/>
      <c r="DD80" s="1963"/>
      <c r="DE80" s="1963"/>
      <c r="DF80" s="1963"/>
      <c r="DH80" s="1962">
        <f t="shared" si="124"/>
        <v>0</v>
      </c>
    </row>
    <row r="81" spans="1:112" s="1484" customFormat="1" ht="12.75" hidden="1" customHeight="1" outlineLevel="1">
      <c r="C81" s="746" t="s">
        <v>742</v>
      </c>
      <c r="D81" s="521" t="str">
        <f>INDEX(Modules[Module], MATCH($C81, Modules[Code], 0))</f>
        <v>Conventional thermal plant</v>
      </c>
      <c r="E81" s="521"/>
      <c r="F81" s="743"/>
      <c r="G81" s="1022">
        <f t="shared" ref="G81:P81" ca="1" si="203">IFERROR(INDEX(INDIRECT($C81&amp;".Outputs["&amp;this.Year&amp;"]"), MATCH(G$5, INDIRECT($C81&amp;".Outputs[Vector]"), 0)), 0)</f>
        <v>0</v>
      </c>
      <c r="H81" s="1022">
        <f t="shared" ca="1" si="203"/>
        <v>0</v>
      </c>
      <c r="I81" s="1022">
        <f t="shared" ca="1" si="203"/>
        <v>0</v>
      </c>
      <c r="J81" s="1022">
        <f t="shared" ca="1" si="203"/>
        <v>0</v>
      </c>
      <c r="K81" s="1022">
        <f t="shared" ca="1" si="203"/>
        <v>0</v>
      </c>
      <c r="L81" s="1022">
        <f t="shared" ca="1" si="203"/>
        <v>0</v>
      </c>
      <c r="M81" s="1022">
        <f t="shared" ca="1" si="203"/>
        <v>0</v>
      </c>
      <c r="N81" s="1022">
        <f t="shared" ca="1" si="203"/>
        <v>0</v>
      </c>
      <c r="O81" s="1022">
        <f t="shared" ca="1" si="203"/>
        <v>0</v>
      </c>
      <c r="P81" s="1022">
        <f t="shared" ca="1" si="203"/>
        <v>0</v>
      </c>
      <c r="Q81" s="1020">
        <f ca="1">SUM(G81:P81)</f>
        <v>0</v>
      </c>
      <c r="R81" s="743"/>
      <c r="S81" s="1031">
        <f t="shared" ref="S81:BE81" ca="1" si="204">IFERROR(INDEX(INDIRECT($C81&amp;".Outputs["&amp;this.Year&amp;"]"), MATCH(S$5, INDIRECT($C81&amp;".Outputs[Vector]"), 0)), 0)</f>
        <v>0</v>
      </c>
      <c r="T81" s="1031">
        <f t="shared" ca="1" si="204"/>
        <v>426.45622963888565</v>
      </c>
      <c r="U81" s="1031">
        <f t="shared" ca="1" si="204"/>
        <v>-20.638670399999999</v>
      </c>
      <c r="V81" s="1031">
        <f t="shared" ca="1" si="204"/>
        <v>0</v>
      </c>
      <c r="W81" s="1031">
        <f t="shared" ca="1" si="204"/>
        <v>-855.93641259132676</v>
      </c>
      <c r="X81" s="1031">
        <f ca="1">IFERROR(INDEX(INDIRECT($C81&amp;".Outputs["&amp;this.Year&amp;"]"), MATCH(X$5, INDIRECT($C81&amp;".Outputs[Vector]"), 0)), 0)</f>
        <v>0</v>
      </c>
      <c r="Y81" s="1031">
        <f ca="1">IFERROR(INDEX(INDIRECT($C81&amp;".Outputs["&amp;this.Year&amp;"]"), MATCH(Y$5, INDIRECT($C81&amp;".Outputs[Vector]"), 0)), 0)</f>
        <v>0</v>
      </c>
      <c r="Z81" s="1031">
        <f ca="1">IFERROR(INDEX(INDIRECT($C81&amp;".Outputs["&amp;this.Year&amp;"]"), MATCH(Z$5, INDIRECT($C81&amp;".Outputs[Vector]"), 0)), 0)</f>
        <v>0</v>
      </c>
      <c r="AA81" s="1031">
        <f t="shared" ca="1" si="204"/>
        <v>0</v>
      </c>
      <c r="AB81" s="1031">
        <f t="shared" ca="1" si="204"/>
        <v>0</v>
      </c>
      <c r="AC81" s="1031">
        <f t="shared" ca="1" si="204"/>
        <v>0</v>
      </c>
      <c r="AD81" s="1031">
        <f t="shared" ca="1" si="204"/>
        <v>0</v>
      </c>
      <c r="AE81" s="1031">
        <f t="shared" ca="1" si="204"/>
        <v>0</v>
      </c>
      <c r="AF81" s="1031">
        <f t="shared" ca="1" si="204"/>
        <v>0</v>
      </c>
      <c r="AG81" s="1031">
        <f t="shared" ca="1" si="204"/>
        <v>0</v>
      </c>
      <c r="AH81" s="1031">
        <f t="shared" ca="1" si="204"/>
        <v>0</v>
      </c>
      <c r="AI81" s="1031">
        <f t="shared" ca="1" si="204"/>
        <v>0</v>
      </c>
      <c r="AJ81" s="1031">
        <f t="shared" ca="1" si="204"/>
        <v>0</v>
      </c>
      <c r="AK81" s="1030">
        <f ca="1">SUM(S81:AJ81)</f>
        <v>-450.11885335244114</v>
      </c>
      <c r="AL81" s="743"/>
      <c r="AM81" s="1042">
        <f t="shared" ref="AM81:AU81" ca="1" si="205">IFERROR(INDEX(INDIRECT($C81&amp;".Outputs["&amp;this.Year&amp;"]"), MATCH(AM$5, INDIRECT($C81&amp;".Outputs[Vector]"), 0)), 0)</f>
        <v>0</v>
      </c>
      <c r="AN81" s="1042">
        <f t="shared" ca="1" si="205"/>
        <v>0</v>
      </c>
      <c r="AO81" s="1042">
        <f t="shared" ca="1" si="205"/>
        <v>0</v>
      </c>
      <c r="AP81" s="1042">
        <f t="shared" ca="1" si="205"/>
        <v>0</v>
      </c>
      <c r="AQ81" s="1042">
        <f t="shared" ca="1" si="205"/>
        <v>0</v>
      </c>
      <c r="AR81" s="1042">
        <f t="shared" ca="1" si="205"/>
        <v>0</v>
      </c>
      <c r="AS81" s="1042">
        <f t="shared" ca="1" si="205"/>
        <v>0</v>
      </c>
      <c r="AT81" s="1042">
        <f t="shared" ca="1" si="205"/>
        <v>0</v>
      </c>
      <c r="AU81" s="1042">
        <f t="shared" ca="1" si="205"/>
        <v>0</v>
      </c>
      <c r="AV81" s="1042">
        <f t="shared" ca="1" si="204"/>
        <v>0</v>
      </c>
      <c r="AW81" s="1042">
        <f t="shared" ca="1" si="204"/>
        <v>0</v>
      </c>
      <c r="AX81" s="1042">
        <f t="shared" ca="1" si="204"/>
        <v>0</v>
      </c>
      <c r="AY81" s="1042">
        <f t="shared" ca="1" si="204"/>
        <v>0</v>
      </c>
      <c r="AZ81" s="1042">
        <f t="shared" ca="1" si="204"/>
        <v>0</v>
      </c>
      <c r="BA81" s="1042">
        <f t="shared" ca="1" si="204"/>
        <v>0</v>
      </c>
      <c r="BB81" s="1042">
        <f t="shared" ca="1" si="204"/>
        <v>0</v>
      </c>
      <c r="BC81" s="1042">
        <f t="shared" ca="1" si="204"/>
        <v>0</v>
      </c>
      <c r="BD81" s="1042">
        <f t="shared" ca="1" si="204"/>
        <v>0</v>
      </c>
      <c r="BE81" s="1042">
        <f t="shared" ca="1" si="204"/>
        <v>0</v>
      </c>
      <c r="BF81" s="1012">
        <f ca="1">SUM(AM81:BE81)</f>
        <v>0</v>
      </c>
      <c r="BG81" s="743"/>
      <c r="BH81" s="1036">
        <f ca="1">IFERROR(INDEX(INDIRECT($C81&amp;".Outputs["&amp;this.Year&amp;"]"), MATCH(BH$5, INDIRECT($C81&amp;".Outputs[Vector]"), 0)), 0)</f>
        <v>441.38334205566338</v>
      </c>
      <c r="BI81" s="1036">
        <f ca="1">IFERROR(INDEX(INDIRECT($C81&amp;".Outputs["&amp;this.Year&amp;"]"), MATCH(BI$5, INDIRECT($C81&amp;".Outputs[Vector]"), 0)), 0)</f>
        <v>8.7355112967777124</v>
      </c>
      <c r="BJ81" s="1035">
        <f ca="1">SUM(BH81:BI81)</f>
        <v>450.11885335244108</v>
      </c>
      <c r="BK81" s="743"/>
      <c r="BL81" s="814">
        <f t="shared" ref="BL81:BL87" ca="1" si="206">Q81+AK81+BF81+BJ81</f>
        <v>0</v>
      </c>
      <c r="BM81" s="814"/>
      <c r="BN81" s="840"/>
      <c r="BO81" s="1485">
        <f t="shared" ref="BO81:DF81" ca="1" si="207">IFERROR(SUMIFS(INDIRECT($C81&amp;".Emissions["&amp;this.Year&amp;"]"), INDIRECT($C81&amp;".Emissions[GHG]"), BO$6, INDIRECT($C81&amp;".Emissions[IPCC Sector]"), BO$5),0)</f>
        <v>163.84901040000409</v>
      </c>
      <c r="BP81" s="1486">
        <f t="shared" ca="1" si="207"/>
        <v>0.33436478259030211</v>
      </c>
      <c r="BQ81" s="1486">
        <f t="shared" ca="1" si="207"/>
        <v>0.39585209274749583</v>
      </c>
      <c r="BR81" s="1486">
        <f t="shared" ca="1" si="207"/>
        <v>0</v>
      </c>
      <c r="BS81" s="1486">
        <f t="shared" ca="1" si="207"/>
        <v>0</v>
      </c>
      <c r="BT81" s="1486">
        <f t="shared" ca="1" si="207"/>
        <v>0</v>
      </c>
      <c r="BU81" s="1486">
        <f t="shared" ca="1" si="207"/>
        <v>0</v>
      </c>
      <c r="BV81" s="1486">
        <f t="shared" ca="1" si="207"/>
        <v>0</v>
      </c>
      <c r="BW81" s="1486">
        <f t="shared" ca="1" si="207"/>
        <v>0</v>
      </c>
      <c r="BX81" s="1486">
        <f t="shared" ca="1" si="207"/>
        <v>0</v>
      </c>
      <c r="BY81" s="1486">
        <f t="shared" ca="1" si="207"/>
        <v>0</v>
      </c>
      <c r="BZ81" s="1486">
        <f t="shared" ca="1" si="207"/>
        <v>0</v>
      </c>
      <c r="CA81" s="1486">
        <f t="shared" ca="1" si="207"/>
        <v>0</v>
      </c>
      <c r="CB81" s="1486">
        <f t="shared" ca="1" si="207"/>
        <v>0</v>
      </c>
      <c r="CC81" s="1486">
        <f t="shared" ca="1" si="207"/>
        <v>0</v>
      </c>
      <c r="CD81" s="1486">
        <f t="shared" ca="1" si="207"/>
        <v>0</v>
      </c>
      <c r="CE81" s="1486">
        <f t="shared" ca="1" si="207"/>
        <v>0</v>
      </c>
      <c r="CF81" s="1486">
        <f t="shared" ca="1" si="207"/>
        <v>0</v>
      </c>
      <c r="CG81" s="1486">
        <f t="shared" ca="1" si="207"/>
        <v>0</v>
      </c>
      <c r="CH81" s="1486">
        <f t="shared" ca="1" si="207"/>
        <v>0</v>
      </c>
      <c r="CI81" s="1486">
        <f t="shared" ca="1" si="207"/>
        <v>0</v>
      </c>
      <c r="CJ81" s="1486">
        <f t="shared" ca="1" si="207"/>
        <v>0</v>
      </c>
      <c r="CK81" s="1486">
        <f t="shared" ca="1" si="207"/>
        <v>0</v>
      </c>
      <c r="CL81" s="1486">
        <f t="shared" ca="1" si="207"/>
        <v>0</v>
      </c>
      <c r="CM81" s="1486">
        <f t="shared" ca="1" si="207"/>
        <v>0</v>
      </c>
      <c r="CN81" s="1486">
        <f t="shared" ca="1" si="207"/>
        <v>0</v>
      </c>
      <c r="CO81" s="1486">
        <f t="shared" ca="1" si="207"/>
        <v>0</v>
      </c>
      <c r="CP81" s="1486">
        <f t="shared" ca="1" si="207"/>
        <v>0</v>
      </c>
      <c r="CQ81" s="1486">
        <f t="shared" ca="1" si="207"/>
        <v>0</v>
      </c>
      <c r="CR81" s="1486">
        <f t="shared" ca="1" si="207"/>
        <v>0</v>
      </c>
      <c r="CS81" s="1486">
        <f t="shared" ca="1" si="207"/>
        <v>0</v>
      </c>
      <c r="CT81" s="1486">
        <f t="shared" ca="1" si="207"/>
        <v>0</v>
      </c>
      <c r="CU81" s="1486">
        <f t="shared" ca="1" si="207"/>
        <v>0</v>
      </c>
      <c r="CV81" s="1486">
        <f t="shared" ca="1" si="207"/>
        <v>0</v>
      </c>
      <c r="CW81" s="1486">
        <f t="shared" ca="1" si="207"/>
        <v>0</v>
      </c>
      <c r="CX81" s="1486">
        <f t="shared" ca="1" si="207"/>
        <v>0</v>
      </c>
      <c r="CY81" s="1486">
        <f t="shared" ca="1" si="207"/>
        <v>0</v>
      </c>
      <c r="CZ81" s="1486">
        <f t="shared" ca="1" si="207"/>
        <v>0</v>
      </c>
      <c r="DA81" s="1486">
        <f t="shared" ca="1" si="207"/>
        <v>0</v>
      </c>
      <c r="DB81" s="1486">
        <f t="shared" ca="1" si="207"/>
        <v>0</v>
      </c>
      <c r="DC81" s="1486">
        <f t="shared" ca="1" si="207"/>
        <v>0</v>
      </c>
      <c r="DD81" s="1486">
        <f t="shared" ca="1" si="207"/>
        <v>0</v>
      </c>
      <c r="DE81" s="1486">
        <f t="shared" ca="1" si="207"/>
        <v>0</v>
      </c>
      <c r="DF81" s="1486">
        <f t="shared" ca="1" si="207"/>
        <v>0</v>
      </c>
      <c r="DH81" s="838">
        <f t="shared" ca="1" si="124"/>
        <v>164.57922727534191</v>
      </c>
    </row>
    <row r="82" spans="1:112" s="743" customFormat="1" ht="15.75" collapsed="1">
      <c r="A82" s="22"/>
      <c r="B82" s="753"/>
      <c r="C82" s="744" t="s">
        <v>74</v>
      </c>
      <c r="D82" s="517" t="str">
        <f>INDEX(Workstreams[Workstream], MATCH($C82, Workstreams[Code], 0))</f>
        <v>Hydrocarbon fuel power generation</v>
      </c>
      <c r="E82" s="512"/>
      <c r="G82" s="1021">
        <f t="shared" ref="G82:P82" ca="1" si="208">G79+G81</f>
        <v>0</v>
      </c>
      <c r="H82" s="1021">
        <f t="shared" ca="1" si="208"/>
        <v>0</v>
      </c>
      <c r="I82" s="1021">
        <f t="shared" ca="1" si="208"/>
        <v>0</v>
      </c>
      <c r="J82" s="1021">
        <f t="shared" ca="1" si="208"/>
        <v>0</v>
      </c>
      <c r="K82" s="1021">
        <f t="shared" ca="1" si="208"/>
        <v>0</v>
      </c>
      <c r="L82" s="1021">
        <f t="shared" ca="1" si="208"/>
        <v>0</v>
      </c>
      <c r="M82" s="1021">
        <f t="shared" ca="1" si="208"/>
        <v>0</v>
      </c>
      <c r="N82" s="1021">
        <f t="shared" ca="1" si="208"/>
        <v>0</v>
      </c>
      <c r="O82" s="1021">
        <f t="shared" ca="1" si="208"/>
        <v>0</v>
      </c>
      <c r="P82" s="1021">
        <f t="shared" ca="1" si="208"/>
        <v>0</v>
      </c>
      <c r="Q82" s="1021">
        <f ca="1">SUM(G82:P82)</f>
        <v>0</v>
      </c>
      <c r="S82" s="970">
        <f t="shared" ref="S82:AJ82" ca="1" si="209">S79+S81</f>
        <v>0</v>
      </c>
      <c r="T82" s="970">
        <f t="shared" ca="1" si="209"/>
        <v>436.11811483888567</v>
      </c>
      <c r="U82" s="970">
        <f t="shared" ca="1" si="209"/>
        <v>-48.376441502339091</v>
      </c>
      <c r="V82" s="970">
        <f t="shared" ca="1" si="209"/>
        <v>0</v>
      </c>
      <c r="W82" s="970">
        <f t="shared" ca="1" si="209"/>
        <v>-855.93641259132676</v>
      </c>
      <c r="X82" s="970">
        <f t="shared" ca="1" si="209"/>
        <v>0</v>
      </c>
      <c r="Y82" s="970">
        <f t="shared" ca="1" si="209"/>
        <v>0</v>
      </c>
      <c r="Z82" s="970">
        <f t="shared" ca="1" si="209"/>
        <v>0</v>
      </c>
      <c r="AA82" s="970">
        <f t="shared" ca="1" si="209"/>
        <v>0</v>
      </c>
      <c r="AB82" s="970">
        <f t="shared" ca="1" si="209"/>
        <v>0</v>
      </c>
      <c r="AC82" s="970">
        <f t="shared" ca="1" si="209"/>
        <v>0</v>
      </c>
      <c r="AD82" s="970">
        <f ca="1">AD79+AD81</f>
        <v>0</v>
      </c>
      <c r="AE82" s="970">
        <f ca="1">AE79+AE81</f>
        <v>0</v>
      </c>
      <c r="AF82" s="970">
        <f t="shared" ca="1" si="209"/>
        <v>0</v>
      </c>
      <c r="AG82" s="970">
        <f t="shared" ca="1" si="209"/>
        <v>0</v>
      </c>
      <c r="AH82" s="970">
        <f ca="1">AH79+AH81</f>
        <v>0</v>
      </c>
      <c r="AI82" s="970">
        <f t="shared" ca="1" si="209"/>
        <v>0</v>
      </c>
      <c r="AJ82" s="970">
        <f t="shared" ca="1" si="209"/>
        <v>0</v>
      </c>
      <c r="AK82" s="970">
        <f ca="1">SUM(S82:AJ82)</f>
        <v>-468.19473925478019</v>
      </c>
      <c r="AM82" s="976">
        <f t="shared" ref="AM82:BE82" ca="1" si="210">AM79+AM81</f>
        <v>0</v>
      </c>
      <c r="AN82" s="976">
        <f t="shared" ca="1" si="210"/>
        <v>0</v>
      </c>
      <c r="AO82" s="976">
        <f t="shared" ca="1" si="210"/>
        <v>0</v>
      </c>
      <c r="AP82" s="976">
        <f t="shared" ca="1" si="210"/>
        <v>0</v>
      </c>
      <c r="AQ82" s="976">
        <f t="shared" ca="1" si="210"/>
        <v>0</v>
      </c>
      <c r="AR82" s="976">
        <f t="shared" ca="1" si="210"/>
        <v>0</v>
      </c>
      <c r="AS82" s="976">
        <f t="shared" ca="1" si="210"/>
        <v>0</v>
      </c>
      <c r="AT82" s="976">
        <f t="shared" ca="1" si="210"/>
        <v>0</v>
      </c>
      <c r="AU82" s="976">
        <f t="shared" ca="1" si="210"/>
        <v>0</v>
      </c>
      <c r="AV82" s="976">
        <f t="shared" ca="1" si="210"/>
        <v>0</v>
      </c>
      <c r="AW82" s="976">
        <f t="shared" ca="1" si="210"/>
        <v>0</v>
      </c>
      <c r="AX82" s="976">
        <f t="shared" ca="1" si="210"/>
        <v>0</v>
      </c>
      <c r="AY82" s="976">
        <f t="shared" ca="1" si="210"/>
        <v>0</v>
      </c>
      <c r="AZ82" s="976">
        <f t="shared" ca="1" si="210"/>
        <v>0</v>
      </c>
      <c r="BA82" s="976">
        <f t="shared" ca="1" si="210"/>
        <v>0</v>
      </c>
      <c r="BB82" s="976">
        <f t="shared" ca="1" si="210"/>
        <v>0</v>
      </c>
      <c r="BC82" s="976">
        <f t="shared" ca="1" si="210"/>
        <v>0</v>
      </c>
      <c r="BD82" s="976">
        <f t="shared" ca="1" si="210"/>
        <v>0</v>
      </c>
      <c r="BE82" s="976">
        <f t="shared" ca="1" si="210"/>
        <v>0</v>
      </c>
      <c r="BF82" s="976">
        <f ca="1">SUM(AM82:BE82)</f>
        <v>0</v>
      </c>
      <c r="BH82" s="990">
        <f ca="1">BH79+BH81</f>
        <v>456.32391421760514</v>
      </c>
      <c r="BI82" s="990">
        <f ca="1">BI79+BI81</f>
        <v>11.870825037175065</v>
      </c>
      <c r="BJ82" s="990">
        <f ca="1">SUM(BH82:BI82)</f>
        <v>468.19473925478019</v>
      </c>
      <c r="BL82" s="515">
        <f t="shared" ca="1" si="206"/>
        <v>0</v>
      </c>
      <c r="BM82" s="515"/>
      <c r="BN82" s="840"/>
      <c r="BO82" s="1482">
        <f t="shared" ref="BO82:DF82" ca="1" si="211">BO79+BO81</f>
        <v>172.39224389952454</v>
      </c>
      <c r="BP82" s="1482">
        <f t="shared" ca="1" si="211"/>
        <v>0.359461715290807</v>
      </c>
      <c r="BQ82" s="1482">
        <f t="shared" ca="1" si="211"/>
        <v>0.47153244149705176</v>
      </c>
      <c r="BR82" s="1482">
        <f t="shared" ca="1" si="211"/>
        <v>0</v>
      </c>
      <c r="BS82" s="1482">
        <f t="shared" ca="1" si="211"/>
        <v>0</v>
      </c>
      <c r="BT82" s="1482">
        <f t="shared" ca="1" si="211"/>
        <v>0</v>
      </c>
      <c r="BU82" s="1482">
        <f t="shared" ca="1" si="211"/>
        <v>0</v>
      </c>
      <c r="BV82" s="1482">
        <f t="shared" ca="1" si="211"/>
        <v>0</v>
      </c>
      <c r="BW82" s="1482">
        <f t="shared" ca="1" si="211"/>
        <v>0</v>
      </c>
      <c r="BX82" s="1482">
        <f t="shared" ca="1" si="211"/>
        <v>0</v>
      </c>
      <c r="BY82" s="1482">
        <f t="shared" ca="1" si="211"/>
        <v>0</v>
      </c>
      <c r="BZ82" s="1482">
        <f t="shared" ca="1" si="211"/>
        <v>0</v>
      </c>
      <c r="CA82" s="1482">
        <f t="shared" ca="1" si="211"/>
        <v>0</v>
      </c>
      <c r="CB82" s="1482">
        <f t="shared" ca="1" si="211"/>
        <v>0</v>
      </c>
      <c r="CC82" s="1482">
        <f t="shared" ca="1" si="211"/>
        <v>0</v>
      </c>
      <c r="CD82" s="1482">
        <f t="shared" ca="1" si="211"/>
        <v>0</v>
      </c>
      <c r="CE82" s="1482">
        <f t="shared" ca="1" si="211"/>
        <v>0</v>
      </c>
      <c r="CF82" s="1482">
        <f t="shared" ca="1" si="211"/>
        <v>0</v>
      </c>
      <c r="CG82" s="1482">
        <f t="shared" ca="1" si="211"/>
        <v>0</v>
      </c>
      <c r="CH82" s="1482">
        <f t="shared" ca="1" si="211"/>
        <v>0</v>
      </c>
      <c r="CI82" s="1482">
        <f t="shared" ca="1" si="211"/>
        <v>0</v>
      </c>
      <c r="CJ82" s="1482">
        <f t="shared" ca="1" si="211"/>
        <v>0</v>
      </c>
      <c r="CK82" s="1482">
        <f t="shared" ca="1" si="211"/>
        <v>0</v>
      </c>
      <c r="CL82" s="1482">
        <f t="shared" ca="1" si="211"/>
        <v>0</v>
      </c>
      <c r="CM82" s="1482">
        <f t="shared" ca="1" si="211"/>
        <v>0</v>
      </c>
      <c r="CN82" s="1482">
        <f t="shared" ca="1" si="211"/>
        <v>0</v>
      </c>
      <c r="CO82" s="1482">
        <f t="shared" ca="1" si="211"/>
        <v>0</v>
      </c>
      <c r="CP82" s="1482">
        <f t="shared" ca="1" si="211"/>
        <v>0</v>
      </c>
      <c r="CQ82" s="1482">
        <f t="shared" ca="1" si="211"/>
        <v>0</v>
      </c>
      <c r="CR82" s="1482">
        <f t="shared" ca="1" si="211"/>
        <v>0</v>
      </c>
      <c r="CS82" s="1482">
        <f t="shared" ca="1" si="211"/>
        <v>0</v>
      </c>
      <c r="CT82" s="1482">
        <f t="shared" ca="1" si="211"/>
        <v>0</v>
      </c>
      <c r="CU82" s="1482">
        <f t="shared" ca="1" si="211"/>
        <v>0</v>
      </c>
      <c r="CV82" s="1482">
        <f t="shared" ca="1" si="211"/>
        <v>0</v>
      </c>
      <c r="CW82" s="1482">
        <f t="shared" ca="1" si="211"/>
        <v>0</v>
      </c>
      <c r="CX82" s="1482">
        <f t="shared" ca="1" si="211"/>
        <v>0</v>
      </c>
      <c r="CY82" s="1482">
        <f t="shared" ca="1" si="211"/>
        <v>0</v>
      </c>
      <c r="CZ82" s="1482">
        <f t="shared" ca="1" si="211"/>
        <v>0</v>
      </c>
      <c r="DA82" s="1482">
        <f t="shared" ca="1" si="211"/>
        <v>0</v>
      </c>
      <c r="DB82" s="1482">
        <f t="shared" ca="1" si="211"/>
        <v>0</v>
      </c>
      <c r="DC82" s="1482">
        <f t="shared" ca="1" si="211"/>
        <v>-7.6889101495683958</v>
      </c>
      <c r="DD82" s="1482">
        <f t="shared" ca="1" si="211"/>
        <v>0</v>
      </c>
      <c r="DE82" s="1482">
        <f t="shared" ca="1" si="211"/>
        <v>0</v>
      </c>
      <c r="DF82" s="1482">
        <f t="shared" ca="1" si="211"/>
        <v>0</v>
      </c>
      <c r="DH82" s="838">
        <f t="shared" ca="1" si="124"/>
        <v>165.53432790674404</v>
      </c>
    </row>
    <row r="83" spans="1:112" s="743" customFormat="1" ht="6" customHeight="1">
      <c r="C83" s="516"/>
      <c r="D83" s="517"/>
      <c r="E83" s="509"/>
      <c r="G83" s="958"/>
      <c r="H83" s="958"/>
      <c r="I83" s="958"/>
      <c r="J83" s="958"/>
      <c r="K83" s="960"/>
      <c r="L83" s="958"/>
      <c r="M83" s="958"/>
      <c r="N83" s="958"/>
      <c r="O83" s="958"/>
      <c r="P83" s="958"/>
      <c r="Q83" s="958"/>
      <c r="S83" s="970"/>
      <c r="T83" s="970"/>
      <c r="U83" s="970"/>
      <c r="V83" s="970"/>
      <c r="W83" s="970"/>
      <c r="X83" s="970"/>
      <c r="Y83" s="970"/>
      <c r="Z83" s="970"/>
      <c r="AA83" s="970"/>
      <c r="AB83" s="970"/>
      <c r="AC83" s="970"/>
      <c r="AD83" s="970"/>
      <c r="AE83" s="970"/>
      <c r="AF83" s="970"/>
      <c r="AG83" s="970"/>
      <c r="AH83" s="970"/>
      <c r="AI83" s="970"/>
      <c r="AJ83" s="970"/>
      <c r="AK83" s="970"/>
      <c r="AM83" s="976"/>
      <c r="AN83" s="976"/>
      <c r="AO83" s="976"/>
      <c r="AP83" s="976"/>
      <c r="AQ83" s="976"/>
      <c r="AR83" s="976"/>
      <c r="AS83" s="976"/>
      <c r="AT83" s="976"/>
      <c r="AU83" s="976"/>
      <c r="AV83" s="976"/>
      <c r="AW83" s="976"/>
      <c r="AX83" s="976"/>
      <c r="AY83" s="976"/>
      <c r="AZ83" s="976"/>
      <c r="BA83" s="976"/>
      <c r="BB83" s="976"/>
      <c r="BC83" s="976"/>
      <c r="BD83" s="976"/>
      <c r="BE83" s="976"/>
      <c r="BF83" s="976">
        <f>SUM(AM83:BE83)</f>
        <v>0</v>
      </c>
      <c r="BH83" s="990"/>
      <c r="BI83" s="990"/>
      <c r="BJ83" s="990"/>
      <c r="BL83" s="515">
        <f t="shared" si="206"/>
        <v>0</v>
      </c>
      <c r="BM83" s="515"/>
      <c r="BO83" s="1482"/>
      <c r="BP83" s="1482"/>
      <c r="BQ83" s="1482"/>
      <c r="BR83" s="1482"/>
      <c r="BS83" s="1482"/>
      <c r="BT83" s="1482"/>
      <c r="BU83" s="1482"/>
      <c r="BV83" s="1482"/>
      <c r="BW83" s="1482"/>
      <c r="BX83" s="1482"/>
      <c r="BY83" s="1482"/>
      <c r="BZ83" s="1482"/>
      <c r="CA83" s="1482"/>
      <c r="CB83" s="1482"/>
      <c r="CC83" s="1482"/>
      <c r="CD83" s="1482"/>
      <c r="CE83" s="1482"/>
      <c r="CF83" s="1482"/>
      <c r="CG83" s="1482"/>
      <c r="CH83" s="1482"/>
      <c r="CI83" s="1482"/>
      <c r="CJ83" s="1482"/>
      <c r="CK83" s="1482"/>
      <c r="CL83" s="1482"/>
      <c r="CM83" s="1482"/>
      <c r="CN83" s="1482"/>
      <c r="CO83" s="1482"/>
      <c r="CP83" s="1482"/>
      <c r="CQ83" s="1482"/>
      <c r="CR83" s="1482"/>
      <c r="CS83" s="1482"/>
      <c r="CT83" s="1482"/>
      <c r="CU83" s="1482"/>
      <c r="CV83" s="1482"/>
      <c r="CW83" s="1482"/>
      <c r="CX83" s="1482"/>
      <c r="CY83" s="1482"/>
      <c r="CZ83" s="1482"/>
      <c r="DA83" s="1482"/>
      <c r="DB83" s="1482"/>
      <c r="DC83" s="1482"/>
      <c r="DD83" s="1482"/>
      <c r="DE83" s="1482"/>
      <c r="DF83" s="1482"/>
      <c r="DH83" s="838"/>
    </row>
    <row r="84" spans="1:112" s="743" customFormat="1" ht="15.75">
      <c r="B84" s="753"/>
      <c r="C84" s="2051" t="s">
        <v>1816</v>
      </c>
      <c r="D84" s="643" t="s">
        <v>249</v>
      </c>
      <c r="E84" s="644"/>
      <c r="G84" s="1075">
        <f t="shared" ref="G84:P84" ca="1" si="212">G$51+G$55+G$63+G$68+G$72+G$76+G$82+G$46</f>
        <v>0</v>
      </c>
      <c r="H84" s="1075">
        <f t="shared" ca="1" si="212"/>
        <v>0</v>
      </c>
      <c r="I84" s="1075">
        <f t="shared" ca="1" si="212"/>
        <v>26.032946092048075</v>
      </c>
      <c r="J84" s="1075">
        <f t="shared" ca="1" si="212"/>
        <v>0</v>
      </c>
      <c r="K84" s="1076">
        <f t="shared" ca="1" si="212"/>
        <v>0</v>
      </c>
      <c r="L84" s="1075">
        <f t="shared" ca="1" si="212"/>
        <v>0</v>
      </c>
      <c r="M84" s="1075">
        <f t="shared" ca="1" si="212"/>
        <v>0</v>
      </c>
      <c r="N84" s="1075">
        <f t="shared" ca="1" si="212"/>
        <v>0</v>
      </c>
      <c r="O84" s="1075">
        <f t="shared" ca="1" si="212"/>
        <v>0</v>
      </c>
      <c r="P84" s="1075">
        <f t="shared" ca="1" si="212"/>
        <v>0</v>
      </c>
      <c r="Q84" s="1023">
        <f ca="1">SUM(G84:P84)</f>
        <v>26.032946092048075</v>
      </c>
      <c r="S84" s="1014">
        <f t="shared" ref="S84:AJ84" ca="1" si="213">S$51+S$55+S$63+S$68+S$72+S$76+S$82+S$46</f>
        <v>-10.665392532820309</v>
      </c>
      <c r="T84" s="1014">
        <f t="shared" ca="1" si="213"/>
        <v>453.76034724046235</v>
      </c>
      <c r="U84" s="1014">
        <f t="shared" ca="1" si="213"/>
        <v>-49.297947898884289</v>
      </c>
      <c r="V84" s="1014">
        <f t="shared" ca="1" si="213"/>
        <v>-46.054494104894211</v>
      </c>
      <c r="W84" s="1014">
        <f t="shared" ca="1" si="213"/>
        <v>-873.83111302062059</v>
      </c>
      <c r="X84" s="1014">
        <f t="shared" ca="1" si="213"/>
        <v>213.1977856702195</v>
      </c>
      <c r="Y84" s="1014">
        <f t="shared" ca="1" si="213"/>
        <v>210.18056977027507</v>
      </c>
      <c r="Z84" s="1014">
        <f t="shared" ca="1" si="213"/>
        <v>160.98597351628524</v>
      </c>
      <c r="AA84" s="1014">
        <f t="shared" ca="1" si="213"/>
        <v>0</v>
      </c>
      <c r="AB84" s="1014">
        <f t="shared" ca="1" si="213"/>
        <v>8.7665689750944136</v>
      </c>
      <c r="AC84" s="1014">
        <f t="shared" ca="1" si="213"/>
        <v>0</v>
      </c>
      <c r="AD84" s="1014">
        <f t="shared" ca="1" si="213"/>
        <v>54.687907950087279</v>
      </c>
      <c r="AE84" s="1014">
        <f t="shared" ca="1" si="213"/>
        <v>1.5621974848178559</v>
      </c>
      <c r="AF84" s="1014">
        <f t="shared" ca="1" si="213"/>
        <v>63.156559579101412</v>
      </c>
      <c r="AG84" s="1014">
        <f t="shared" ca="1" si="213"/>
        <v>46.537817057146697</v>
      </c>
      <c r="AH84" s="1014">
        <f t="shared" ca="1" si="213"/>
        <v>17.575536884393671</v>
      </c>
      <c r="AI84" s="1014">
        <f t="shared" ca="1" si="213"/>
        <v>0</v>
      </c>
      <c r="AJ84" s="1014">
        <f t="shared" ca="1" si="213"/>
        <v>0</v>
      </c>
      <c r="AK84" s="1014">
        <f ca="1">SUM(S84:AJ84)</f>
        <v>250.56231657066411</v>
      </c>
      <c r="AM84" s="1015">
        <f t="shared" ref="AM84:BE84" ca="1" si="214">AM$51+AM$55+AM$63+AM$68+AM$72+AM$76+AM$82+AM$46</f>
        <v>-124.39544583847987</v>
      </c>
      <c r="AN84" s="1015">
        <f t="shared" ca="1" si="214"/>
        <v>-210.18056977027507</v>
      </c>
      <c r="AO84" s="1015">
        <f t="shared" ca="1" si="214"/>
        <v>-160.98597351628524</v>
      </c>
      <c r="AP84" s="1015">
        <f t="shared" ca="1" si="214"/>
        <v>0</v>
      </c>
      <c r="AQ84" s="1015">
        <f t="shared" ca="1" si="214"/>
        <v>0</v>
      </c>
      <c r="AR84" s="1015">
        <f t="shared" ca="1" si="214"/>
        <v>0</v>
      </c>
      <c r="AS84" s="1015">
        <f t="shared" ca="1" si="214"/>
        <v>0</v>
      </c>
      <c r="AT84" s="1015">
        <f t="shared" ca="1" si="214"/>
        <v>0</v>
      </c>
      <c r="AU84" s="1015">
        <f t="shared" ca="1" si="214"/>
        <v>0</v>
      </c>
      <c r="AV84" s="1015">
        <f t="shared" ca="1" si="214"/>
        <v>0</v>
      </c>
      <c r="AW84" s="1015">
        <f t="shared" ca="1" si="214"/>
        <v>0</v>
      </c>
      <c r="AX84" s="1015">
        <f t="shared" ca="1" si="214"/>
        <v>-13.6517301</v>
      </c>
      <c r="AY84" s="1015">
        <f t="shared" ca="1" si="214"/>
        <v>0</v>
      </c>
      <c r="AZ84" s="1015">
        <f t="shared" ca="1" si="214"/>
        <v>0</v>
      </c>
      <c r="BA84" s="1015">
        <f t="shared" ca="1" si="214"/>
        <v>0</v>
      </c>
      <c r="BB84" s="1015">
        <f t="shared" ca="1" si="214"/>
        <v>-5.3297280000000011</v>
      </c>
      <c r="BC84" s="1015">
        <f t="shared" ca="1" si="214"/>
        <v>0</v>
      </c>
      <c r="BD84" s="1015">
        <f t="shared" ca="1" si="214"/>
        <v>-56.250105434905137</v>
      </c>
      <c r="BE84" s="1015">
        <f t="shared" ca="1" si="214"/>
        <v>-216.07225335238144</v>
      </c>
      <c r="BF84" s="1015">
        <f ca="1">SUM(AM84:BE84)</f>
        <v>-786.86580601232663</v>
      </c>
      <c r="BH84" s="1016">
        <f ca="1">BH$51+BH$55+BH$63+BH$68+BH$72+BH$76+BH$82+BH$46</f>
        <v>448.28856002706527</v>
      </c>
      <c r="BI84" s="1016">
        <f ca="1">BI$51+BI$55+BI$63+BI$68+BI$72+BI$76+BI$82+BI$46</f>
        <v>61.981983322549333</v>
      </c>
      <c r="BJ84" s="1016">
        <f ca="1">SUM(BH84:BI84)</f>
        <v>510.27054334961463</v>
      </c>
      <c r="BL84" s="518">
        <f t="shared" ca="1" si="206"/>
        <v>0</v>
      </c>
      <c r="BM84" s="518"/>
      <c r="BO84" s="1487">
        <f t="shared" ref="BO84:DE84" ca="1" si="215">BO$51+BO$55+BO$63+BO$68+BO$72+BO$76+BO$82+BO$46</f>
        <v>187.45180699317413</v>
      </c>
      <c r="BP84" s="1487">
        <f t="shared" ca="1" si="215"/>
        <v>0.38115592236599188</v>
      </c>
      <c r="BQ84" s="1487">
        <f t="shared" ca="1" si="215"/>
        <v>0.68814098281312641</v>
      </c>
      <c r="BR84" s="1487">
        <f t="shared" ca="1" si="215"/>
        <v>0</v>
      </c>
      <c r="BS84" s="1487">
        <f t="shared" ca="1" si="215"/>
        <v>1.0966105768296439</v>
      </c>
      <c r="BT84" s="1487">
        <f t="shared" ca="1" si="215"/>
        <v>2.6403129612517775</v>
      </c>
      <c r="BU84" s="1487">
        <f t="shared" ca="1" si="215"/>
        <v>0</v>
      </c>
      <c r="BV84" s="1487">
        <f t="shared" ca="1" si="215"/>
        <v>0</v>
      </c>
      <c r="BW84" s="1487">
        <f t="shared" ca="1" si="215"/>
        <v>0</v>
      </c>
      <c r="BX84" s="1487">
        <f t="shared" ca="1" si="215"/>
        <v>0</v>
      </c>
      <c r="BY84" s="1487">
        <f t="shared" ca="1" si="215"/>
        <v>0</v>
      </c>
      <c r="BZ84" s="1487">
        <f t="shared" ca="1" si="215"/>
        <v>0</v>
      </c>
      <c r="CA84" s="1487">
        <f t="shared" ca="1" si="215"/>
        <v>0</v>
      </c>
      <c r="CB84" s="1487">
        <f t="shared" ca="1" si="215"/>
        <v>0</v>
      </c>
      <c r="CC84" s="1487">
        <f t="shared" ca="1" si="215"/>
        <v>0</v>
      </c>
      <c r="CD84" s="1487">
        <f t="shared" ca="1" si="215"/>
        <v>0</v>
      </c>
      <c r="CE84" s="1487">
        <f t="shared" ca="1" si="215"/>
        <v>0</v>
      </c>
      <c r="CF84" s="1487">
        <f t="shared" ca="1" si="215"/>
        <v>17.137937282804025</v>
      </c>
      <c r="CG84" s="1487">
        <f t="shared" ca="1" si="215"/>
        <v>21.131071545342206</v>
      </c>
      <c r="CH84" s="1487">
        <f t="shared" ca="1" si="215"/>
        <v>0</v>
      </c>
      <c r="CI84" s="1487">
        <f t="shared" ca="1" si="215"/>
        <v>10.039322920704391</v>
      </c>
      <c r="CJ84" s="1487">
        <f t="shared" ca="1" si="215"/>
        <v>0</v>
      </c>
      <c r="CK84" s="1487">
        <f t="shared" ca="1" si="215"/>
        <v>0</v>
      </c>
      <c r="CL84" s="1487">
        <f t="shared" ca="1" si="215"/>
        <v>0</v>
      </c>
      <c r="CM84" s="1487">
        <f t="shared" ca="1" si="215"/>
        <v>0</v>
      </c>
      <c r="CN84" s="1487">
        <f t="shared" ca="1" si="215"/>
        <v>21.045170786933397</v>
      </c>
      <c r="CO84" s="1487">
        <f t="shared" ca="1" si="215"/>
        <v>1.5132086164843455</v>
      </c>
      <c r="CP84" s="1487">
        <f t="shared" ca="1" si="215"/>
        <v>0</v>
      </c>
      <c r="CQ84" s="1487">
        <f t="shared" ca="1" si="215"/>
        <v>0</v>
      </c>
      <c r="CR84" s="1487">
        <f t="shared" ca="1" si="215"/>
        <v>0</v>
      </c>
      <c r="CS84" s="1487">
        <f t="shared" ca="1" si="215"/>
        <v>0</v>
      </c>
      <c r="CT84" s="1487">
        <f t="shared" ca="1" si="215"/>
        <v>0</v>
      </c>
      <c r="CU84" s="1487">
        <f t="shared" ca="1" si="215"/>
        <v>0</v>
      </c>
      <c r="CV84" s="1487">
        <f t="shared" ca="1" si="215"/>
        <v>0</v>
      </c>
      <c r="CW84" s="1487">
        <f t="shared" ca="1" si="215"/>
        <v>0</v>
      </c>
      <c r="CX84" s="1487">
        <f t="shared" ca="1" si="215"/>
        <v>0</v>
      </c>
      <c r="CY84" s="1487">
        <f t="shared" ca="1" si="215"/>
        <v>0</v>
      </c>
      <c r="CZ84" s="1487">
        <f t="shared" ca="1" si="215"/>
        <v>0</v>
      </c>
      <c r="DA84" s="1487">
        <f t="shared" ca="1" si="215"/>
        <v>0</v>
      </c>
      <c r="DB84" s="1487">
        <f t="shared" ca="1" si="215"/>
        <v>0</v>
      </c>
      <c r="DC84" s="1487">
        <f t="shared" ca="1" si="215"/>
        <v>-7.6889101495683958</v>
      </c>
      <c r="DD84" s="1487">
        <f t="shared" ca="1" si="215"/>
        <v>0</v>
      </c>
      <c r="DE84" s="1487">
        <f t="shared" ca="1" si="215"/>
        <v>0</v>
      </c>
      <c r="DF84" s="1487">
        <f ca="1">DF$51+DF$99+DF$55+DF$63+DF$68+DF$76+DF$82+DF$46</f>
        <v>0</v>
      </c>
      <c r="DH84" s="835">
        <f ca="1">SUM(BO84:DF84)</f>
        <v>255.43582843913467</v>
      </c>
    </row>
    <row r="85" spans="1:112" s="743" customFormat="1" ht="6" customHeight="1">
      <c r="C85" s="516"/>
      <c r="D85" s="517"/>
      <c r="E85" s="509"/>
      <c r="G85" s="958"/>
      <c r="H85" s="958"/>
      <c r="I85" s="958"/>
      <c r="J85" s="958"/>
      <c r="K85" s="960"/>
      <c r="L85" s="958"/>
      <c r="M85" s="958"/>
      <c r="N85" s="958"/>
      <c r="O85" s="958"/>
      <c r="P85" s="958"/>
      <c r="Q85" s="958"/>
      <c r="S85" s="970"/>
      <c r="T85" s="970"/>
      <c r="U85" s="970"/>
      <c r="V85" s="970"/>
      <c r="W85" s="970"/>
      <c r="X85" s="970"/>
      <c r="Y85" s="970"/>
      <c r="Z85" s="970"/>
      <c r="AA85" s="970"/>
      <c r="AB85" s="970"/>
      <c r="AC85" s="970"/>
      <c r="AD85" s="970"/>
      <c r="AE85" s="970"/>
      <c r="AF85" s="970"/>
      <c r="AG85" s="970"/>
      <c r="AH85" s="970"/>
      <c r="AI85" s="970"/>
      <c r="AJ85" s="970"/>
      <c r="AK85" s="970"/>
      <c r="AM85" s="976"/>
      <c r="AN85" s="976"/>
      <c r="AO85" s="976"/>
      <c r="AP85" s="976"/>
      <c r="AQ85" s="976"/>
      <c r="AR85" s="976"/>
      <c r="AS85" s="976"/>
      <c r="AT85" s="976"/>
      <c r="AU85" s="976"/>
      <c r="AV85" s="976"/>
      <c r="AW85" s="976"/>
      <c r="AX85" s="976"/>
      <c r="AY85" s="976"/>
      <c r="AZ85" s="976"/>
      <c r="BA85" s="976"/>
      <c r="BB85" s="976"/>
      <c r="BC85" s="976"/>
      <c r="BD85" s="976"/>
      <c r="BE85" s="976"/>
      <c r="BF85" s="976"/>
      <c r="BH85" s="990"/>
      <c r="BI85" s="990"/>
      <c r="BJ85" s="990"/>
      <c r="BL85" s="515">
        <f t="shared" si="206"/>
        <v>0</v>
      </c>
      <c r="BM85" s="515"/>
      <c r="BO85" s="1482"/>
      <c r="BP85" s="1482"/>
      <c r="BQ85" s="1482"/>
      <c r="BR85" s="1482"/>
      <c r="BS85" s="1482"/>
      <c r="BT85" s="1482"/>
      <c r="BU85" s="1482"/>
      <c r="BV85" s="1482"/>
      <c r="BW85" s="1482"/>
      <c r="BX85" s="1482"/>
      <c r="BY85" s="1482"/>
      <c r="BZ85" s="1482"/>
      <c r="CA85" s="1482"/>
      <c r="CB85" s="1482"/>
      <c r="CC85" s="1482"/>
      <c r="CD85" s="1482"/>
      <c r="CE85" s="1482"/>
      <c r="CF85" s="1482"/>
      <c r="CG85" s="1482"/>
      <c r="CH85" s="1482"/>
      <c r="CI85" s="1482"/>
      <c r="CJ85" s="1482"/>
      <c r="CK85" s="1482"/>
      <c r="CL85" s="1482"/>
      <c r="CM85" s="1482"/>
      <c r="CN85" s="1482"/>
      <c r="CO85" s="1482"/>
      <c r="CP85" s="1482"/>
      <c r="CQ85" s="1482"/>
      <c r="CR85" s="1482"/>
      <c r="CS85" s="1482"/>
      <c r="CT85" s="1482"/>
      <c r="CU85" s="1482"/>
      <c r="CV85" s="1482"/>
      <c r="CW85" s="1482"/>
      <c r="CX85" s="1482"/>
      <c r="CY85" s="1482"/>
      <c r="CZ85" s="1482"/>
      <c r="DA85" s="1482"/>
      <c r="DB85" s="1482"/>
      <c r="DC85" s="1482"/>
      <c r="DD85" s="1482"/>
      <c r="DE85" s="1482"/>
      <c r="DF85" s="1482"/>
      <c r="DH85" s="838"/>
    </row>
    <row r="86" spans="1:112" s="743" customFormat="1" ht="24" customHeight="1">
      <c r="C86" s="501" t="s">
        <v>987</v>
      </c>
      <c r="D86" s="501"/>
      <c r="E86" s="639"/>
      <c r="G86" s="957"/>
      <c r="H86" s="957"/>
      <c r="I86" s="957"/>
      <c r="J86" s="957"/>
      <c r="K86" s="957"/>
      <c r="L86" s="957"/>
      <c r="M86" s="957"/>
      <c r="N86" s="957"/>
      <c r="O86" s="957"/>
      <c r="P86" s="957"/>
      <c r="Q86" s="957"/>
      <c r="S86" s="973"/>
      <c r="T86" s="973"/>
      <c r="U86" s="973"/>
      <c r="V86" s="973"/>
      <c r="W86" s="973"/>
      <c r="X86" s="969"/>
      <c r="Y86" s="969"/>
      <c r="Z86" s="969"/>
      <c r="AA86" s="973"/>
      <c r="AB86" s="973"/>
      <c r="AC86" s="973"/>
      <c r="AD86" s="973"/>
      <c r="AE86" s="973"/>
      <c r="AF86" s="973"/>
      <c r="AG86" s="973"/>
      <c r="AH86" s="973"/>
      <c r="AI86" s="973"/>
      <c r="AJ86" s="973"/>
      <c r="AK86" s="973"/>
      <c r="AM86" s="980"/>
      <c r="AN86" s="980"/>
      <c r="AO86" s="980"/>
      <c r="AP86" s="980"/>
      <c r="AQ86" s="980"/>
      <c r="AR86" s="980"/>
      <c r="AS86" s="980"/>
      <c r="AT86" s="980"/>
      <c r="AU86" s="980"/>
      <c r="AV86" s="980"/>
      <c r="AW86" s="975"/>
      <c r="AX86" s="975"/>
      <c r="AY86" s="975"/>
      <c r="AZ86" s="975"/>
      <c r="BA86" s="975"/>
      <c r="BB86" s="975"/>
      <c r="BC86" s="975"/>
      <c r="BD86" s="975"/>
      <c r="BE86" s="975"/>
      <c r="BF86" s="980"/>
      <c r="BH86" s="993"/>
      <c r="BI86" s="993"/>
      <c r="BJ86" s="993"/>
      <c r="BL86" s="514">
        <f t="shared" si="206"/>
        <v>0</v>
      </c>
      <c r="BM86" s="514"/>
      <c r="BO86" s="1482"/>
      <c r="BP86" s="1482"/>
      <c r="BQ86" s="1482"/>
      <c r="BR86" s="1482"/>
      <c r="BS86" s="1482"/>
      <c r="BT86" s="1482"/>
      <c r="BU86" s="1482"/>
      <c r="BV86" s="1482"/>
      <c r="BW86" s="1482"/>
      <c r="BX86" s="1482"/>
      <c r="BY86" s="1482"/>
      <c r="BZ86" s="1482"/>
      <c r="CA86" s="1482"/>
      <c r="CB86" s="1482"/>
      <c r="CC86" s="1482"/>
      <c r="CD86" s="1482"/>
      <c r="CE86" s="1482"/>
      <c r="CF86" s="1482"/>
      <c r="CG86" s="1482"/>
      <c r="CH86" s="1482"/>
      <c r="CI86" s="1482"/>
      <c r="CJ86" s="1482"/>
      <c r="CK86" s="1482"/>
      <c r="CL86" s="1482"/>
      <c r="CM86" s="1482"/>
      <c r="CN86" s="1482"/>
      <c r="CO86" s="1482"/>
      <c r="CP86" s="1482"/>
      <c r="CQ86" s="1482"/>
      <c r="CR86" s="1482"/>
      <c r="CS86" s="1482"/>
      <c r="CT86" s="1482"/>
      <c r="CU86" s="1482"/>
      <c r="CV86" s="1482"/>
      <c r="CW86" s="1482"/>
      <c r="CX86" s="1482"/>
      <c r="CY86" s="1482"/>
      <c r="CZ86" s="1482"/>
      <c r="DA86" s="1482"/>
      <c r="DB86" s="1482"/>
      <c r="DC86" s="1482"/>
      <c r="DD86" s="1482"/>
      <c r="DE86" s="1482"/>
      <c r="DF86" s="1482"/>
      <c r="DH86" s="838"/>
    </row>
    <row r="87" spans="1:112" s="743" customFormat="1" ht="6" customHeight="1">
      <c r="C87" s="520"/>
      <c r="D87" s="38"/>
      <c r="E87" s="509"/>
      <c r="G87" s="958"/>
      <c r="H87" s="958"/>
      <c r="I87" s="958"/>
      <c r="J87" s="958"/>
      <c r="K87" s="960"/>
      <c r="L87" s="958"/>
      <c r="M87" s="958"/>
      <c r="N87" s="958"/>
      <c r="O87" s="958"/>
      <c r="P87" s="958"/>
      <c r="Q87" s="958"/>
      <c r="S87" s="970"/>
      <c r="T87" s="970"/>
      <c r="U87" s="970"/>
      <c r="V87" s="970"/>
      <c r="W87" s="970"/>
      <c r="X87" s="970"/>
      <c r="Y87" s="970"/>
      <c r="Z87" s="970"/>
      <c r="AA87" s="970"/>
      <c r="AB87" s="970"/>
      <c r="AC87" s="970"/>
      <c r="AD87" s="970"/>
      <c r="AE87" s="970"/>
      <c r="AF87" s="970"/>
      <c r="AG87" s="970"/>
      <c r="AH87" s="970"/>
      <c r="AI87" s="970"/>
      <c r="AJ87" s="970"/>
      <c r="AK87" s="970"/>
      <c r="AM87" s="976"/>
      <c r="AN87" s="976"/>
      <c r="AO87" s="976"/>
      <c r="AP87" s="976"/>
      <c r="AQ87" s="976"/>
      <c r="AR87" s="976"/>
      <c r="AS87" s="976"/>
      <c r="AT87" s="976"/>
      <c r="AU87" s="976"/>
      <c r="AV87" s="976"/>
      <c r="AW87" s="976"/>
      <c r="AX87" s="976"/>
      <c r="AY87" s="976"/>
      <c r="AZ87" s="976"/>
      <c r="BA87" s="976"/>
      <c r="BB87" s="976"/>
      <c r="BC87" s="976"/>
      <c r="BD87" s="976"/>
      <c r="BE87" s="976"/>
      <c r="BF87" s="976"/>
      <c r="BH87" s="990"/>
      <c r="BI87" s="990"/>
      <c r="BJ87" s="990"/>
      <c r="BL87" s="515">
        <f t="shared" si="206"/>
        <v>0</v>
      </c>
      <c r="BM87" s="515"/>
      <c r="BO87" s="1482"/>
      <c r="BP87" s="1482"/>
      <c r="BQ87" s="1482"/>
      <c r="BR87" s="1482"/>
      <c r="BS87" s="1482"/>
      <c r="BT87" s="1482"/>
      <c r="BU87" s="1482"/>
      <c r="BV87" s="1482"/>
      <c r="BW87" s="1482"/>
      <c r="BX87" s="1482"/>
      <c r="BY87" s="1482"/>
      <c r="BZ87" s="1482"/>
      <c r="CA87" s="1482"/>
      <c r="CB87" s="1482"/>
      <c r="CC87" s="1482"/>
      <c r="CD87" s="1482"/>
      <c r="CE87" s="1482"/>
      <c r="CF87" s="1482"/>
      <c r="CG87" s="1482"/>
      <c r="CH87" s="1482"/>
      <c r="CI87" s="1482"/>
      <c r="CJ87" s="1482"/>
      <c r="CK87" s="1482"/>
      <c r="CL87" s="1482"/>
      <c r="CM87" s="1482"/>
      <c r="CN87" s="1482"/>
      <c r="CO87" s="1482"/>
      <c r="CP87" s="1482"/>
      <c r="CQ87" s="1482"/>
      <c r="CR87" s="1482"/>
      <c r="CS87" s="1482"/>
      <c r="CT87" s="1482"/>
      <c r="CU87" s="1482"/>
      <c r="CV87" s="1482"/>
      <c r="CW87" s="1482"/>
      <c r="CX87" s="1482"/>
      <c r="CY87" s="1482"/>
      <c r="CZ87" s="1482"/>
      <c r="DA87" s="1482"/>
      <c r="DB87" s="1482"/>
      <c r="DC87" s="1482"/>
      <c r="DD87" s="1482"/>
      <c r="DE87" s="1482"/>
      <c r="DF87" s="1482"/>
      <c r="DH87" s="838"/>
    </row>
    <row r="88" spans="1:112" s="743" customFormat="1" hidden="1" outlineLevel="1">
      <c r="A88" s="1488"/>
      <c r="B88" s="1488"/>
      <c r="C88" s="850"/>
      <c r="D88" s="851"/>
      <c r="E88" s="851"/>
      <c r="G88" s="961"/>
      <c r="H88" s="961"/>
      <c r="I88" s="961"/>
      <c r="J88" s="961"/>
      <c r="K88" s="962"/>
      <c r="L88" s="961"/>
      <c r="M88" s="961"/>
      <c r="N88" s="961"/>
      <c r="O88" s="961"/>
      <c r="P88" s="961"/>
      <c r="Q88" s="961"/>
      <c r="S88" s="971"/>
      <c r="T88" s="971"/>
      <c r="U88" s="971"/>
      <c r="V88" s="971"/>
      <c r="W88" s="971"/>
      <c r="X88" s="971"/>
      <c r="Y88" s="971"/>
      <c r="Z88" s="971"/>
      <c r="AA88" s="971"/>
      <c r="AB88" s="971"/>
      <c r="AC88" s="971"/>
      <c r="AD88" s="971"/>
      <c r="AE88" s="971"/>
      <c r="AF88" s="971"/>
      <c r="AG88" s="971"/>
      <c r="AH88" s="971"/>
      <c r="AI88" s="971"/>
      <c r="AJ88" s="971"/>
      <c r="AK88" s="971"/>
      <c r="AM88" s="978"/>
      <c r="AN88" s="978"/>
      <c r="AO88" s="978"/>
      <c r="AP88" s="978"/>
      <c r="AQ88" s="978"/>
      <c r="AR88" s="978"/>
      <c r="AS88" s="978"/>
      <c r="AT88" s="978"/>
      <c r="AU88" s="978"/>
      <c r="AV88" s="978"/>
      <c r="AW88" s="978"/>
      <c r="AX88" s="978"/>
      <c r="AY88" s="978"/>
      <c r="AZ88" s="978"/>
      <c r="BA88" s="978"/>
      <c r="BB88" s="978"/>
      <c r="BC88" s="978"/>
      <c r="BD88" s="978"/>
      <c r="BE88" s="978"/>
      <c r="BF88" s="978"/>
      <c r="BH88" s="991"/>
      <c r="BI88" s="991"/>
      <c r="BJ88" s="991"/>
      <c r="BL88" s="852"/>
      <c r="BM88" s="852"/>
      <c r="BN88" s="1488"/>
      <c r="BO88" s="1490"/>
      <c r="BP88" s="1482"/>
      <c r="BQ88" s="1482"/>
      <c r="BR88" s="1482"/>
      <c r="BS88" s="1482"/>
      <c r="BT88" s="1482"/>
      <c r="BU88" s="1482"/>
      <c r="BV88" s="1482"/>
      <c r="BW88" s="1482"/>
      <c r="BX88" s="1482"/>
      <c r="BY88" s="1482"/>
      <c r="BZ88" s="1482"/>
      <c r="CA88" s="1482"/>
      <c r="CB88" s="1482"/>
      <c r="CC88" s="1482"/>
      <c r="CD88" s="1482"/>
      <c r="CE88" s="1482"/>
      <c r="CF88" s="1482"/>
      <c r="CG88" s="1482"/>
      <c r="CH88" s="1482"/>
      <c r="CI88" s="1482"/>
      <c r="CJ88" s="1482"/>
      <c r="CK88" s="1482"/>
      <c r="CL88" s="1482"/>
      <c r="CM88" s="1482"/>
      <c r="CN88" s="1482"/>
      <c r="CO88" s="1482"/>
      <c r="CP88" s="1482"/>
      <c r="CQ88" s="1482"/>
      <c r="CR88" s="1482"/>
      <c r="CS88" s="1482"/>
      <c r="CT88" s="1482"/>
      <c r="CU88" s="1482"/>
      <c r="CV88" s="1482"/>
      <c r="CW88" s="1482"/>
      <c r="CX88" s="1482"/>
      <c r="CY88" s="1482"/>
      <c r="CZ88" s="1482"/>
      <c r="DA88" s="1482"/>
      <c r="DB88" s="1482"/>
      <c r="DC88" s="1482"/>
      <c r="DD88" s="1482"/>
      <c r="DE88" s="1482"/>
      <c r="DF88" s="1482"/>
      <c r="DH88" s="838"/>
    </row>
    <row r="89" spans="1:112" s="1484" customFormat="1" hidden="1" outlineLevel="1">
      <c r="C89" s="522" t="s">
        <v>774</v>
      </c>
      <c r="D89" s="521" t="str">
        <f>INDEX(Modules[Module], MATCH($C89, Modules[Code], 0))</f>
        <v>Electricity imports / exports</v>
      </c>
      <c r="E89" s="521"/>
      <c r="F89" s="743"/>
      <c r="G89" s="1017">
        <f t="shared" ref="G89:P89" ca="1" si="216">IFERROR(INDEX(INDIRECT($C89&amp;".Outputs["&amp;this.Year&amp;"]"), MATCH(G$5, INDIRECT($C89&amp;".Outputs[Vector]"), 0)), 0)</f>
        <v>0</v>
      </c>
      <c r="H89" s="1017">
        <f t="shared" ca="1" si="216"/>
        <v>0</v>
      </c>
      <c r="I89" s="1017">
        <f t="shared" ca="1" si="216"/>
        <v>0</v>
      </c>
      <c r="J89" s="1017">
        <f t="shared" ca="1" si="216"/>
        <v>0</v>
      </c>
      <c r="K89" s="1017">
        <f t="shared" ca="1" si="216"/>
        <v>0</v>
      </c>
      <c r="L89" s="1017">
        <f t="shared" ca="1" si="216"/>
        <v>0</v>
      </c>
      <c r="M89" s="1017">
        <f t="shared" ca="1" si="216"/>
        <v>0</v>
      </c>
      <c r="N89" s="1017">
        <f t="shared" ca="1" si="216"/>
        <v>0</v>
      </c>
      <c r="O89" s="1017">
        <f t="shared" ca="1" si="216"/>
        <v>0</v>
      </c>
      <c r="P89" s="1017">
        <f t="shared" ca="1" si="216"/>
        <v>0</v>
      </c>
      <c r="Q89" s="1019">
        <f ca="1">SUM(G89:P89)</f>
        <v>0</v>
      </c>
      <c r="R89" s="743"/>
      <c r="S89" s="1026">
        <f t="shared" ref="S89:AJ89" ca="1" si="217">IFERROR(INDEX(INDIRECT($C89&amp;".Outputs["&amp;this.Year&amp;"]"), MATCH(S$5, INDIRECT($C89&amp;".Outputs[Vector]"), 0)), 0)</f>
        <v>0</v>
      </c>
      <c r="T89" s="1026">
        <f t="shared" ca="1" si="217"/>
        <v>0</v>
      </c>
      <c r="U89" s="1026">
        <f t="shared" ca="1" si="217"/>
        <v>0</v>
      </c>
      <c r="V89" s="1026">
        <f t="shared" ca="1" si="217"/>
        <v>0</v>
      </c>
      <c r="W89" s="1026">
        <f t="shared" ca="1" si="217"/>
        <v>0</v>
      </c>
      <c r="X89" s="1026">
        <f ca="1">IFERROR(INDEX(INDIRECT($C89&amp;".Outputs["&amp;this.Year&amp;"]"), MATCH(X$5, INDIRECT($C89&amp;".Outputs[Vector]"), 0)), 0)</f>
        <v>0</v>
      </c>
      <c r="Y89" s="1026">
        <f ca="1">IFERROR(INDEX(INDIRECT($C89&amp;".Outputs["&amp;this.Year&amp;"]"), MATCH(Y$5, INDIRECT($C89&amp;".Outputs[Vector]"), 0)), 0)</f>
        <v>0</v>
      </c>
      <c r="Z89" s="1026">
        <f ca="1">IFERROR(INDEX(INDIRECT($C89&amp;".Outputs["&amp;this.Year&amp;"]"), MATCH(Z$5, INDIRECT($C89&amp;".Outputs[Vector]"), 0)), 0)</f>
        <v>0</v>
      </c>
      <c r="AA89" s="1026">
        <f t="shared" ca="1" si="217"/>
        <v>0</v>
      </c>
      <c r="AB89" s="1026">
        <f t="shared" ca="1" si="217"/>
        <v>0</v>
      </c>
      <c r="AC89" s="1026">
        <f t="shared" ca="1" si="217"/>
        <v>0</v>
      </c>
      <c r="AD89" s="1026">
        <f t="shared" ca="1" si="217"/>
        <v>0</v>
      </c>
      <c r="AE89" s="1026">
        <f t="shared" ca="1" si="217"/>
        <v>0</v>
      </c>
      <c r="AF89" s="1026">
        <f t="shared" ca="1" si="217"/>
        <v>0</v>
      </c>
      <c r="AG89" s="1026">
        <f t="shared" ca="1" si="217"/>
        <v>0</v>
      </c>
      <c r="AH89" s="1026">
        <f t="shared" ca="1" si="217"/>
        <v>0</v>
      </c>
      <c r="AI89" s="1026">
        <f t="shared" ca="1" si="217"/>
        <v>0</v>
      </c>
      <c r="AJ89" s="1026">
        <f t="shared" ca="1" si="217"/>
        <v>0</v>
      </c>
      <c r="AK89" s="1027">
        <f ca="1">SUM(S89:AJ89)</f>
        <v>0</v>
      </c>
      <c r="AL89" s="743"/>
      <c r="AM89" s="1038">
        <f t="shared" ref="AM89:AU89" ca="1" si="218">IFERROR(INDEX(INDIRECT($C89&amp;".Outputs["&amp;this.Year&amp;"]"), MATCH(AM$5, INDIRECT($C89&amp;".Outputs[Vector]"), 0)), 0)</f>
        <v>0</v>
      </c>
      <c r="AN89" s="1038">
        <f t="shared" ca="1" si="218"/>
        <v>0</v>
      </c>
      <c r="AO89" s="1038">
        <f t="shared" ca="1" si="218"/>
        <v>0</v>
      </c>
      <c r="AP89" s="1038">
        <f t="shared" ca="1" si="218"/>
        <v>0</v>
      </c>
      <c r="AQ89" s="1038">
        <f t="shared" ca="1" si="218"/>
        <v>0</v>
      </c>
      <c r="AR89" s="1038">
        <f t="shared" ca="1" si="218"/>
        <v>0</v>
      </c>
      <c r="AS89" s="1038">
        <f t="shared" ca="1" si="218"/>
        <v>0</v>
      </c>
      <c r="AT89" s="1038">
        <f t="shared" ca="1" si="218"/>
        <v>0</v>
      </c>
      <c r="AU89" s="1038">
        <f t="shared" ca="1" si="218"/>
        <v>0</v>
      </c>
      <c r="AV89" s="1038">
        <f t="shared" ref="AV89:BE89" ca="1" si="219">IFERROR(INDEX(INDIRECT($C89&amp;".Outputs["&amp;this.Year&amp;"]"), MATCH(AV$5, INDIRECT($C89&amp;".Outputs[Vector]"), 0)), 0)</f>
        <v>0</v>
      </c>
      <c r="AW89" s="1038">
        <f t="shared" ca="1" si="219"/>
        <v>0</v>
      </c>
      <c r="AX89" s="1038">
        <f t="shared" ca="1" si="219"/>
        <v>0</v>
      </c>
      <c r="AY89" s="1038">
        <f t="shared" ca="1" si="219"/>
        <v>0</v>
      </c>
      <c r="AZ89" s="1038">
        <f t="shared" ca="1" si="219"/>
        <v>0</v>
      </c>
      <c r="BA89" s="1038">
        <f t="shared" ca="1" si="219"/>
        <v>0</v>
      </c>
      <c r="BB89" s="1038">
        <f t="shared" ca="1" si="219"/>
        <v>0</v>
      </c>
      <c r="BC89" s="1038">
        <f t="shared" ca="1" si="219"/>
        <v>0</v>
      </c>
      <c r="BD89" s="1038">
        <f t="shared" ca="1" si="219"/>
        <v>0</v>
      </c>
      <c r="BE89" s="1038">
        <f t="shared" ca="1" si="219"/>
        <v>0</v>
      </c>
      <c r="BF89" s="979">
        <f ca="1">SUM(AM89:BE89)</f>
        <v>0</v>
      </c>
      <c r="BG89" s="743"/>
      <c r="BH89" s="1032">
        <f ca="1">IFERROR(INDEX(INDIRECT($C89&amp;".Outputs["&amp;this.Year&amp;"]"), MATCH(BH$5, INDIRECT($C89&amp;".Outputs[Vector]"), 0)), 0)</f>
        <v>0</v>
      </c>
      <c r="BI89" s="1032">
        <f ca="1">IFERROR(INDEX(INDIRECT($C89&amp;".Outputs["&amp;this.Year&amp;"]"), MATCH(BI$5, INDIRECT($C89&amp;".Outputs[Vector]"), 0)), 0)</f>
        <v>0</v>
      </c>
      <c r="BJ89" s="1034">
        <f ca="1">SUM(BH89:BI89)</f>
        <v>0</v>
      </c>
      <c r="BK89" s="743"/>
      <c r="BL89" s="814">
        <f t="shared" ref="BL89:BL94" ca="1" si="220">Q89+AK89+BF89+BJ89</f>
        <v>0</v>
      </c>
      <c r="BM89" s="814"/>
      <c r="BO89" s="1481">
        <f t="shared" ref="BO89:DF89" ca="1" si="221">IFERROR(SUMIFS(INDIRECT($C89&amp;".Emissions["&amp;this.Year&amp;"]"), INDIRECT($C89&amp;".Emissions[GHG]"), BO$6, INDIRECT($C89&amp;".Emissions[IPCC Sector]"), BO$5),0)</f>
        <v>0</v>
      </c>
      <c r="BP89" s="1482">
        <f t="shared" ca="1" si="221"/>
        <v>0</v>
      </c>
      <c r="BQ89" s="1482">
        <f t="shared" ca="1" si="221"/>
        <v>0</v>
      </c>
      <c r="BR89" s="1482">
        <f t="shared" ca="1" si="221"/>
        <v>0</v>
      </c>
      <c r="BS89" s="1482">
        <f t="shared" ca="1" si="221"/>
        <v>0</v>
      </c>
      <c r="BT89" s="1482">
        <f t="shared" ca="1" si="221"/>
        <v>0</v>
      </c>
      <c r="BU89" s="1482">
        <f t="shared" ca="1" si="221"/>
        <v>0</v>
      </c>
      <c r="BV89" s="1482">
        <f t="shared" ca="1" si="221"/>
        <v>0</v>
      </c>
      <c r="BW89" s="1482">
        <f t="shared" ca="1" si="221"/>
        <v>0</v>
      </c>
      <c r="BX89" s="1482">
        <f t="shared" ca="1" si="221"/>
        <v>0</v>
      </c>
      <c r="BY89" s="1482">
        <f t="shared" ca="1" si="221"/>
        <v>0</v>
      </c>
      <c r="BZ89" s="1482">
        <f t="shared" ca="1" si="221"/>
        <v>0</v>
      </c>
      <c r="CA89" s="1482">
        <f t="shared" ca="1" si="221"/>
        <v>0</v>
      </c>
      <c r="CB89" s="1482">
        <f t="shared" ca="1" si="221"/>
        <v>0</v>
      </c>
      <c r="CC89" s="1482">
        <f t="shared" ca="1" si="221"/>
        <v>0</v>
      </c>
      <c r="CD89" s="1482">
        <f t="shared" ca="1" si="221"/>
        <v>0</v>
      </c>
      <c r="CE89" s="1482">
        <f t="shared" ca="1" si="221"/>
        <v>0</v>
      </c>
      <c r="CF89" s="1482">
        <f t="shared" ca="1" si="221"/>
        <v>0</v>
      </c>
      <c r="CG89" s="1482">
        <f t="shared" ca="1" si="221"/>
        <v>0</v>
      </c>
      <c r="CH89" s="1482">
        <f t="shared" ca="1" si="221"/>
        <v>0</v>
      </c>
      <c r="CI89" s="1482">
        <f t="shared" ca="1" si="221"/>
        <v>0</v>
      </c>
      <c r="CJ89" s="1482">
        <f t="shared" ca="1" si="221"/>
        <v>0</v>
      </c>
      <c r="CK89" s="1482">
        <f t="shared" ca="1" si="221"/>
        <v>0</v>
      </c>
      <c r="CL89" s="1482">
        <f t="shared" ca="1" si="221"/>
        <v>0</v>
      </c>
      <c r="CM89" s="1482">
        <f t="shared" ca="1" si="221"/>
        <v>0</v>
      </c>
      <c r="CN89" s="1482">
        <f t="shared" ca="1" si="221"/>
        <v>0</v>
      </c>
      <c r="CO89" s="1482">
        <f t="shared" ca="1" si="221"/>
        <v>0</v>
      </c>
      <c r="CP89" s="1482">
        <f t="shared" ca="1" si="221"/>
        <v>0</v>
      </c>
      <c r="CQ89" s="1482">
        <f t="shared" ca="1" si="221"/>
        <v>0</v>
      </c>
      <c r="CR89" s="1482">
        <f t="shared" ca="1" si="221"/>
        <v>0</v>
      </c>
      <c r="CS89" s="1482">
        <f t="shared" ca="1" si="221"/>
        <v>0</v>
      </c>
      <c r="CT89" s="1482">
        <f t="shared" ca="1" si="221"/>
        <v>0</v>
      </c>
      <c r="CU89" s="1482">
        <f t="shared" ca="1" si="221"/>
        <v>0</v>
      </c>
      <c r="CV89" s="1482">
        <f t="shared" ca="1" si="221"/>
        <v>0</v>
      </c>
      <c r="CW89" s="1482">
        <f t="shared" ca="1" si="221"/>
        <v>0</v>
      </c>
      <c r="CX89" s="1482">
        <f t="shared" ca="1" si="221"/>
        <v>0</v>
      </c>
      <c r="CY89" s="1482">
        <f t="shared" ca="1" si="221"/>
        <v>0</v>
      </c>
      <c r="CZ89" s="1482">
        <f t="shared" ca="1" si="221"/>
        <v>0</v>
      </c>
      <c r="DA89" s="1482">
        <f t="shared" ca="1" si="221"/>
        <v>0</v>
      </c>
      <c r="DB89" s="1482">
        <f t="shared" ca="1" si="221"/>
        <v>0</v>
      </c>
      <c r="DC89" s="1482">
        <f t="shared" ca="1" si="221"/>
        <v>0</v>
      </c>
      <c r="DD89" s="1482">
        <f t="shared" ca="1" si="221"/>
        <v>0</v>
      </c>
      <c r="DE89" s="1482">
        <f t="shared" ca="1" si="221"/>
        <v>0</v>
      </c>
      <c r="DF89" s="1482">
        <f t="shared" ca="1" si="221"/>
        <v>0</v>
      </c>
      <c r="DH89" s="838"/>
    </row>
    <row r="90" spans="1:112" s="1488" customFormat="1" ht="12.75" hidden="1" customHeight="1" outlineLevel="1">
      <c r="C90" s="1048" t="s">
        <v>1722</v>
      </c>
      <c r="D90" s="1049" t="s">
        <v>1335</v>
      </c>
      <c r="E90" s="1049"/>
      <c r="F90" s="743"/>
      <c r="G90" s="1070"/>
      <c r="H90" s="1070"/>
      <c r="I90" s="1070"/>
      <c r="J90" s="1070"/>
      <c r="K90" s="1071"/>
      <c r="L90" s="1070"/>
      <c r="M90" s="1070"/>
      <c r="N90" s="1070"/>
      <c r="O90" s="1070"/>
      <c r="P90" s="1070"/>
      <c r="Q90" s="1070"/>
      <c r="R90" s="743"/>
      <c r="S90" s="1072">
        <f ca="1">S$40+$S46+S$51+S$99+S$55+S$89</f>
        <v>-422.11056999038811</v>
      </c>
      <c r="T90" s="1072">
        <f ca="1">T$40+$S46+T$51+T$99+T$55+T$89</f>
        <v>0</v>
      </c>
      <c r="U90" s="1072"/>
      <c r="V90" s="1072"/>
      <c r="W90" s="1072"/>
      <c r="X90" s="1072"/>
      <c r="Y90" s="1072"/>
      <c r="Z90" s="1072"/>
      <c r="AA90" s="1072"/>
      <c r="AB90" s="1072"/>
      <c r="AC90" s="1072"/>
      <c r="AD90" s="1072"/>
      <c r="AE90" s="1072"/>
      <c r="AF90" s="1072"/>
      <c r="AG90" s="1072"/>
      <c r="AH90" s="1072"/>
      <c r="AI90" s="1072"/>
      <c r="AJ90" s="1072"/>
      <c r="AK90" s="1072"/>
      <c r="AL90" s="74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743"/>
      <c r="BH90" s="1074"/>
      <c r="BI90" s="1074"/>
      <c r="BJ90" s="1074"/>
      <c r="BK90" s="743"/>
      <c r="BL90" s="852">
        <f t="shared" si="220"/>
        <v>0</v>
      </c>
      <c r="BM90" s="852"/>
      <c r="BO90" s="1490"/>
      <c r="BP90" s="1490"/>
      <c r="BQ90" s="1490"/>
      <c r="BR90" s="1490"/>
      <c r="BS90" s="1490"/>
      <c r="BT90" s="1490"/>
      <c r="BU90" s="1490"/>
      <c r="BV90" s="1490"/>
      <c r="BW90" s="1490"/>
      <c r="BX90" s="1490"/>
      <c r="BY90" s="1490"/>
      <c r="BZ90" s="1490"/>
      <c r="CA90" s="1490"/>
      <c r="CB90" s="1490"/>
      <c r="CC90" s="1490"/>
      <c r="CD90" s="1490"/>
      <c r="CE90" s="1490"/>
      <c r="CF90" s="1490"/>
      <c r="CG90" s="1490"/>
      <c r="CH90" s="1490"/>
      <c r="CI90" s="1490"/>
      <c r="CJ90" s="1490"/>
      <c r="CK90" s="1490"/>
      <c r="CL90" s="1490"/>
      <c r="CM90" s="1490"/>
      <c r="CN90" s="1490"/>
      <c r="CO90" s="1490"/>
      <c r="CP90" s="1490"/>
      <c r="CQ90" s="1490"/>
      <c r="CR90" s="1490"/>
      <c r="CS90" s="1490"/>
      <c r="CT90" s="1490"/>
      <c r="CU90" s="1490"/>
      <c r="CV90" s="1490"/>
      <c r="CW90" s="1490"/>
      <c r="CX90" s="1490"/>
      <c r="CY90" s="1490"/>
      <c r="CZ90" s="1490"/>
      <c r="DA90" s="1490"/>
      <c r="DB90" s="1490"/>
      <c r="DC90" s="1490"/>
      <c r="DD90" s="1490"/>
      <c r="DE90" s="1490"/>
      <c r="DF90" s="1490"/>
      <c r="DH90" s="838"/>
    </row>
    <row r="91" spans="1:112" s="1484" customFormat="1" hidden="1" outlineLevel="1">
      <c r="C91" s="522" t="s">
        <v>784</v>
      </c>
      <c r="D91" s="521" t="str">
        <f>INDEX(Modules[Module], MATCH($C91, Modules[Code], 0))</f>
        <v>Electricity grid distribution</v>
      </c>
      <c r="E91" s="521"/>
      <c r="F91" s="743"/>
      <c r="G91" s="1017">
        <f t="shared" ref="G91:P92" ca="1" si="222">IFERROR(INDEX(INDIRECT($C91&amp;".Outputs["&amp;this.Year&amp;"]"), MATCH(G$5, INDIRECT($C91&amp;".Outputs[Vector]"), 0)), 0)</f>
        <v>0</v>
      </c>
      <c r="H91" s="1017">
        <f t="shared" ca="1" si="222"/>
        <v>0</v>
      </c>
      <c r="I91" s="1017">
        <f t="shared" ca="1" si="222"/>
        <v>0</v>
      </c>
      <c r="J91" s="1017">
        <f t="shared" ca="1" si="222"/>
        <v>0</v>
      </c>
      <c r="K91" s="1017">
        <f t="shared" ca="1" si="222"/>
        <v>0</v>
      </c>
      <c r="L91" s="1017">
        <f t="shared" ca="1" si="222"/>
        <v>0</v>
      </c>
      <c r="M91" s="1017">
        <f t="shared" ca="1" si="222"/>
        <v>0</v>
      </c>
      <c r="N91" s="1017">
        <f t="shared" ca="1" si="222"/>
        <v>0</v>
      </c>
      <c r="O91" s="1017">
        <f t="shared" ca="1" si="222"/>
        <v>0</v>
      </c>
      <c r="P91" s="1017">
        <f t="shared" ca="1" si="222"/>
        <v>0</v>
      </c>
      <c r="Q91" s="1019">
        <f ca="1">SUM(G91:P91)</f>
        <v>0</v>
      </c>
      <c r="R91" s="743"/>
      <c r="S91" s="1026">
        <f t="shared" ref="S91:AJ92" ca="1" si="223">IFERROR(INDEX(INDIRECT($C91&amp;".Outputs["&amp;this.Year&amp;"]"), MATCH(S$5, INDIRECT($C91&amp;".Outputs[Vector]"), 0)), 0)</f>
        <v>0</v>
      </c>
      <c r="T91" s="1026">
        <f t="shared" ca="1" si="223"/>
        <v>-31.649777250074237</v>
      </c>
      <c r="U91" s="1026">
        <f t="shared" ca="1" si="223"/>
        <v>0</v>
      </c>
      <c r="V91" s="1026">
        <f t="shared" ca="1" si="223"/>
        <v>0</v>
      </c>
      <c r="W91" s="1026">
        <f t="shared" ca="1" si="223"/>
        <v>0</v>
      </c>
      <c r="X91" s="1026">
        <f t="shared" ref="X91:Z92" ca="1" si="224">IFERROR(INDEX(INDIRECT($C91&amp;".Outputs["&amp;this.Year&amp;"]"), MATCH(X$5, INDIRECT($C91&amp;".Outputs[Vector]"), 0)), 0)</f>
        <v>0</v>
      </c>
      <c r="Y91" s="1026">
        <f t="shared" ca="1" si="224"/>
        <v>0</v>
      </c>
      <c r="Z91" s="1026">
        <f t="shared" ca="1" si="224"/>
        <v>0</v>
      </c>
      <c r="AA91" s="1026">
        <f t="shared" ca="1" si="223"/>
        <v>0</v>
      </c>
      <c r="AB91" s="1026">
        <f t="shared" ca="1" si="223"/>
        <v>0</v>
      </c>
      <c r="AC91" s="1026">
        <f t="shared" ca="1" si="223"/>
        <v>0</v>
      </c>
      <c r="AD91" s="1026">
        <f t="shared" ca="1" si="223"/>
        <v>0</v>
      </c>
      <c r="AE91" s="1026">
        <f t="shared" ca="1" si="223"/>
        <v>0</v>
      </c>
      <c r="AF91" s="1026">
        <f t="shared" ca="1" si="223"/>
        <v>0</v>
      </c>
      <c r="AG91" s="1026">
        <f t="shared" ca="1" si="223"/>
        <v>0</v>
      </c>
      <c r="AH91" s="1026">
        <f t="shared" ca="1" si="223"/>
        <v>0</v>
      </c>
      <c r="AI91" s="1026">
        <f t="shared" ca="1" si="223"/>
        <v>0</v>
      </c>
      <c r="AJ91" s="1026">
        <f t="shared" ca="1" si="223"/>
        <v>0</v>
      </c>
      <c r="AK91" s="1027">
        <f ca="1">SUM(S91:AJ91)</f>
        <v>-31.649777250074237</v>
      </c>
      <c r="AL91" s="743"/>
      <c r="AM91" s="1038">
        <f t="shared" ref="AM91:AU92" ca="1" si="225">IFERROR(INDEX(INDIRECT($C91&amp;".Outputs["&amp;this.Year&amp;"]"), MATCH(AM$5, INDIRECT($C91&amp;".Outputs[Vector]"), 0)), 0)</f>
        <v>0</v>
      </c>
      <c r="AN91" s="1038">
        <f t="shared" ca="1" si="225"/>
        <v>0</v>
      </c>
      <c r="AO91" s="1038">
        <f t="shared" ca="1" si="225"/>
        <v>0</v>
      </c>
      <c r="AP91" s="1038">
        <f t="shared" ca="1" si="225"/>
        <v>0</v>
      </c>
      <c r="AQ91" s="1038">
        <f t="shared" ca="1" si="225"/>
        <v>0</v>
      </c>
      <c r="AR91" s="1038">
        <f t="shared" ca="1" si="225"/>
        <v>0</v>
      </c>
      <c r="AS91" s="1038">
        <f t="shared" ca="1" si="225"/>
        <v>0</v>
      </c>
      <c r="AT91" s="1038">
        <f t="shared" ca="1" si="225"/>
        <v>0</v>
      </c>
      <c r="AU91" s="1038">
        <f t="shared" ca="1" si="225"/>
        <v>0</v>
      </c>
      <c r="AV91" s="1038">
        <f t="shared" ref="AV91:BE92" ca="1" si="226">IFERROR(INDEX(INDIRECT($C91&amp;".Outputs["&amp;this.Year&amp;"]"), MATCH(AV$5, INDIRECT($C91&amp;".Outputs[Vector]"), 0)), 0)</f>
        <v>0</v>
      </c>
      <c r="AW91" s="1038">
        <f t="shared" ca="1" si="226"/>
        <v>0</v>
      </c>
      <c r="AX91" s="1038">
        <f t="shared" ca="1" si="226"/>
        <v>0</v>
      </c>
      <c r="AY91" s="1038">
        <f t="shared" ca="1" si="226"/>
        <v>0</v>
      </c>
      <c r="AZ91" s="1038">
        <f t="shared" ca="1" si="226"/>
        <v>0</v>
      </c>
      <c r="BA91" s="1038">
        <f t="shared" ca="1" si="226"/>
        <v>0</v>
      </c>
      <c r="BB91" s="1038">
        <f t="shared" ca="1" si="226"/>
        <v>0</v>
      </c>
      <c r="BC91" s="1038">
        <f t="shared" ca="1" si="226"/>
        <v>0</v>
      </c>
      <c r="BD91" s="1038">
        <f t="shared" ca="1" si="226"/>
        <v>0</v>
      </c>
      <c r="BE91" s="1038">
        <f t="shared" ca="1" si="226"/>
        <v>0</v>
      </c>
      <c r="BF91" s="979">
        <f ca="1">SUM(AM91:BE91)</f>
        <v>0</v>
      </c>
      <c r="BG91" s="743"/>
      <c r="BH91" s="1032">
        <f ca="1">IFERROR(INDEX(INDIRECT($C91&amp;".Outputs["&amp;this.Year&amp;"]"), MATCH(BH$5, INDIRECT($C91&amp;".Outputs[Vector]"), 0)), 0)</f>
        <v>0</v>
      </c>
      <c r="BI91" s="1032">
        <f ca="1">IFERROR(INDEX(INDIRECT($C91&amp;".Outputs["&amp;this.Year&amp;"]"), MATCH(BI$5, INDIRECT($C91&amp;".Outputs[Vector]"), 0)), 0)</f>
        <v>31.649777250074205</v>
      </c>
      <c r="BJ91" s="1034">
        <f ca="1">SUM(BH91:BI91)</f>
        <v>31.649777250074205</v>
      </c>
      <c r="BK91" s="743"/>
      <c r="BL91" s="852">
        <f t="shared" ca="1" si="220"/>
        <v>-3.1974423109204508E-14</v>
      </c>
      <c r="BM91" s="814"/>
      <c r="BO91" s="1481">
        <f t="shared" ref="BO91:BX92" ca="1" si="227">IFERROR(SUMIFS(INDIRECT($C91&amp;".Emissions["&amp;this.Year&amp;"]"), INDIRECT($C91&amp;".Emissions[GHG]"), BO$6, INDIRECT($C91&amp;".Emissions[IPCC Sector]"), BO$5),0)</f>
        <v>0</v>
      </c>
      <c r="BP91" s="1482">
        <f t="shared" ca="1" si="227"/>
        <v>0</v>
      </c>
      <c r="BQ91" s="1482">
        <f t="shared" ca="1" si="227"/>
        <v>0</v>
      </c>
      <c r="BR91" s="1482">
        <f t="shared" ca="1" si="227"/>
        <v>0</v>
      </c>
      <c r="BS91" s="1482">
        <f t="shared" ca="1" si="227"/>
        <v>0</v>
      </c>
      <c r="BT91" s="1482">
        <f t="shared" ca="1" si="227"/>
        <v>0</v>
      </c>
      <c r="BU91" s="1482">
        <f t="shared" ca="1" si="227"/>
        <v>0</v>
      </c>
      <c r="BV91" s="1482">
        <f t="shared" ca="1" si="227"/>
        <v>0</v>
      </c>
      <c r="BW91" s="1482">
        <f t="shared" ca="1" si="227"/>
        <v>0</v>
      </c>
      <c r="BX91" s="1482">
        <f t="shared" ca="1" si="227"/>
        <v>0</v>
      </c>
      <c r="BY91" s="1482">
        <f t="shared" ref="BY91:CH92" ca="1" si="228">IFERROR(SUMIFS(INDIRECT($C91&amp;".Emissions["&amp;this.Year&amp;"]"), INDIRECT($C91&amp;".Emissions[GHG]"), BY$6, INDIRECT($C91&amp;".Emissions[IPCC Sector]"), BY$5),0)</f>
        <v>0</v>
      </c>
      <c r="BZ91" s="1482">
        <f t="shared" ca="1" si="228"/>
        <v>0</v>
      </c>
      <c r="CA91" s="1482">
        <f t="shared" ca="1" si="228"/>
        <v>0</v>
      </c>
      <c r="CB91" s="1482">
        <f t="shared" ca="1" si="228"/>
        <v>0</v>
      </c>
      <c r="CC91" s="1482">
        <f t="shared" ca="1" si="228"/>
        <v>0</v>
      </c>
      <c r="CD91" s="1482">
        <f t="shared" ca="1" si="228"/>
        <v>0</v>
      </c>
      <c r="CE91" s="1482">
        <f t="shared" ca="1" si="228"/>
        <v>0</v>
      </c>
      <c r="CF91" s="1482">
        <f t="shared" ca="1" si="228"/>
        <v>0</v>
      </c>
      <c r="CG91" s="1482">
        <f t="shared" ca="1" si="228"/>
        <v>0</v>
      </c>
      <c r="CH91" s="1482">
        <f t="shared" ca="1" si="228"/>
        <v>0</v>
      </c>
      <c r="CI91" s="1482">
        <f t="shared" ref="CI91:CR92" ca="1" si="229">IFERROR(SUMIFS(INDIRECT($C91&amp;".Emissions["&amp;this.Year&amp;"]"), INDIRECT($C91&amp;".Emissions[GHG]"), CI$6, INDIRECT($C91&amp;".Emissions[IPCC Sector]"), CI$5),0)</f>
        <v>0</v>
      </c>
      <c r="CJ91" s="1482">
        <f t="shared" ca="1" si="229"/>
        <v>0</v>
      </c>
      <c r="CK91" s="1482">
        <f t="shared" ca="1" si="229"/>
        <v>0</v>
      </c>
      <c r="CL91" s="1482">
        <f t="shared" ca="1" si="229"/>
        <v>0</v>
      </c>
      <c r="CM91" s="1482">
        <f t="shared" ca="1" si="229"/>
        <v>0</v>
      </c>
      <c r="CN91" s="1482">
        <f t="shared" ca="1" si="229"/>
        <v>0</v>
      </c>
      <c r="CO91" s="1482">
        <f t="shared" ca="1" si="229"/>
        <v>0</v>
      </c>
      <c r="CP91" s="1482">
        <f t="shared" ca="1" si="229"/>
        <v>0</v>
      </c>
      <c r="CQ91" s="1482">
        <f t="shared" ca="1" si="229"/>
        <v>0</v>
      </c>
      <c r="CR91" s="1482">
        <f t="shared" ca="1" si="229"/>
        <v>0</v>
      </c>
      <c r="CS91" s="1482">
        <f t="shared" ref="CS91:DF92" ca="1" si="230">IFERROR(SUMIFS(INDIRECT($C91&amp;".Emissions["&amp;this.Year&amp;"]"), INDIRECT($C91&amp;".Emissions[GHG]"), CS$6, INDIRECT($C91&amp;".Emissions[IPCC Sector]"), CS$5),0)</f>
        <v>0</v>
      </c>
      <c r="CT91" s="1482">
        <f t="shared" ca="1" si="230"/>
        <v>0</v>
      </c>
      <c r="CU91" s="1482">
        <f t="shared" ca="1" si="230"/>
        <v>0</v>
      </c>
      <c r="CV91" s="1482">
        <f t="shared" ca="1" si="230"/>
        <v>0</v>
      </c>
      <c r="CW91" s="1482">
        <f t="shared" ca="1" si="230"/>
        <v>0</v>
      </c>
      <c r="CX91" s="1482">
        <f t="shared" ca="1" si="230"/>
        <v>0</v>
      </c>
      <c r="CY91" s="1482">
        <f t="shared" ca="1" si="230"/>
        <v>0</v>
      </c>
      <c r="CZ91" s="1482">
        <f t="shared" ca="1" si="230"/>
        <v>0</v>
      </c>
      <c r="DA91" s="1482">
        <f t="shared" ca="1" si="230"/>
        <v>0</v>
      </c>
      <c r="DB91" s="1482">
        <f t="shared" ca="1" si="230"/>
        <v>0</v>
      </c>
      <c r="DC91" s="1482">
        <f t="shared" ca="1" si="230"/>
        <v>0</v>
      </c>
      <c r="DD91" s="1482">
        <f t="shared" ca="1" si="230"/>
        <v>0</v>
      </c>
      <c r="DE91" s="1482">
        <f t="shared" ca="1" si="230"/>
        <v>0</v>
      </c>
      <c r="DF91" s="1482">
        <f t="shared" ca="1" si="230"/>
        <v>0</v>
      </c>
      <c r="DH91" s="838"/>
    </row>
    <row r="92" spans="1:112" s="1484" customFormat="1" hidden="1" outlineLevel="1">
      <c r="C92" s="522" t="s">
        <v>796</v>
      </c>
      <c r="D92" s="1010" t="str">
        <f>INDEX(Modules[Module], MATCH($C92, Modules[Code], 0))</f>
        <v>Storage, demand shifting, backup</v>
      </c>
      <c r="E92" s="1010"/>
      <c r="F92" s="743"/>
      <c r="G92" s="1022">
        <f t="shared" ca="1" si="222"/>
        <v>0</v>
      </c>
      <c r="H92" s="1022">
        <f t="shared" ca="1" si="222"/>
        <v>0</v>
      </c>
      <c r="I92" s="1022">
        <f t="shared" ca="1" si="222"/>
        <v>0</v>
      </c>
      <c r="J92" s="1022">
        <f t="shared" ca="1" si="222"/>
        <v>0</v>
      </c>
      <c r="K92" s="1022">
        <f t="shared" ca="1" si="222"/>
        <v>0</v>
      </c>
      <c r="L92" s="1022">
        <f t="shared" ca="1" si="222"/>
        <v>0</v>
      </c>
      <c r="M92" s="1022">
        <f t="shared" ca="1" si="222"/>
        <v>0</v>
      </c>
      <c r="N92" s="1022">
        <f t="shared" ca="1" si="222"/>
        <v>0</v>
      </c>
      <c r="O92" s="1022">
        <f t="shared" ca="1" si="222"/>
        <v>0</v>
      </c>
      <c r="P92" s="1022">
        <f t="shared" ca="1" si="222"/>
        <v>0</v>
      </c>
      <c r="Q92" s="1020">
        <f ca="1">SUM(G92:P92)</f>
        <v>0</v>
      </c>
      <c r="R92" s="743"/>
      <c r="S92" s="1031">
        <f t="shared" ca="1" si="223"/>
        <v>0</v>
      </c>
      <c r="T92" s="1031">
        <f t="shared" ca="1" si="223"/>
        <v>0</v>
      </c>
      <c r="U92" s="1031">
        <f t="shared" ca="1" si="223"/>
        <v>0</v>
      </c>
      <c r="V92" s="1031">
        <f t="shared" ca="1" si="223"/>
        <v>0</v>
      </c>
      <c r="W92" s="1031">
        <f t="shared" ca="1" si="223"/>
        <v>0</v>
      </c>
      <c r="X92" s="1031">
        <f t="shared" ca="1" si="224"/>
        <v>0</v>
      </c>
      <c r="Y92" s="1031">
        <f t="shared" ca="1" si="224"/>
        <v>0</v>
      </c>
      <c r="Z92" s="1031">
        <f t="shared" ca="1" si="224"/>
        <v>0</v>
      </c>
      <c r="AA92" s="1031">
        <f t="shared" ca="1" si="223"/>
        <v>0</v>
      </c>
      <c r="AB92" s="1031">
        <f t="shared" ca="1" si="223"/>
        <v>0</v>
      </c>
      <c r="AC92" s="1031">
        <f t="shared" ca="1" si="223"/>
        <v>0</v>
      </c>
      <c r="AD92" s="1031">
        <f t="shared" ca="1" si="223"/>
        <v>0</v>
      </c>
      <c r="AE92" s="1031">
        <f t="shared" ca="1" si="223"/>
        <v>0</v>
      </c>
      <c r="AF92" s="1031">
        <f t="shared" ca="1" si="223"/>
        <v>0</v>
      </c>
      <c r="AG92" s="1031">
        <f t="shared" ca="1" si="223"/>
        <v>0</v>
      </c>
      <c r="AH92" s="1031">
        <f t="shared" ca="1" si="223"/>
        <v>0</v>
      </c>
      <c r="AI92" s="1031">
        <f t="shared" ca="1" si="223"/>
        <v>0</v>
      </c>
      <c r="AJ92" s="1031">
        <f t="shared" ca="1" si="223"/>
        <v>0</v>
      </c>
      <c r="AK92" s="1030">
        <f ca="1">SUM(S92:AJ92)</f>
        <v>0</v>
      </c>
      <c r="AL92" s="743"/>
      <c r="AM92" s="1042">
        <f t="shared" ca="1" si="225"/>
        <v>0</v>
      </c>
      <c r="AN92" s="1042">
        <f t="shared" ca="1" si="225"/>
        <v>0</v>
      </c>
      <c r="AO92" s="1042">
        <f t="shared" ca="1" si="225"/>
        <v>0</v>
      </c>
      <c r="AP92" s="1042">
        <f t="shared" ca="1" si="225"/>
        <v>0</v>
      </c>
      <c r="AQ92" s="1042">
        <f t="shared" ca="1" si="225"/>
        <v>0</v>
      </c>
      <c r="AR92" s="1042">
        <f t="shared" ca="1" si="225"/>
        <v>0</v>
      </c>
      <c r="AS92" s="1042">
        <f t="shared" ca="1" si="225"/>
        <v>0</v>
      </c>
      <c r="AT92" s="1042">
        <f t="shared" ca="1" si="225"/>
        <v>0</v>
      </c>
      <c r="AU92" s="1042">
        <f t="shared" ca="1" si="225"/>
        <v>0</v>
      </c>
      <c r="AV92" s="1042">
        <f t="shared" ca="1" si="226"/>
        <v>0</v>
      </c>
      <c r="AW92" s="1042">
        <f t="shared" ca="1" si="226"/>
        <v>0</v>
      </c>
      <c r="AX92" s="1042">
        <f t="shared" ca="1" si="226"/>
        <v>0</v>
      </c>
      <c r="AY92" s="1042">
        <f t="shared" ca="1" si="226"/>
        <v>0</v>
      </c>
      <c r="AZ92" s="1042">
        <f t="shared" ca="1" si="226"/>
        <v>0</v>
      </c>
      <c r="BA92" s="1042">
        <f t="shared" ca="1" si="226"/>
        <v>0</v>
      </c>
      <c r="BB92" s="1042">
        <f t="shared" ca="1" si="226"/>
        <v>0</v>
      </c>
      <c r="BC92" s="1042">
        <f t="shared" ca="1" si="226"/>
        <v>0</v>
      </c>
      <c r="BD92" s="1042">
        <f t="shared" ca="1" si="226"/>
        <v>0</v>
      </c>
      <c r="BE92" s="1042">
        <f t="shared" ca="1" si="226"/>
        <v>0</v>
      </c>
      <c r="BF92" s="1012">
        <f ca="1">SUM(AM92:BE92)</f>
        <v>0</v>
      </c>
      <c r="BG92" s="743"/>
      <c r="BH92" s="1036">
        <f ca="1">IFERROR(INDEX(INDIRECT($C92&amp;".Outputs["&amp;this.Year&amp;"]"), MATCH(BH$5, INDIRECT($C92&amp;".Outputs[Vector]"), 0)), 0)</f>
        <v>0</v>
      </c>
      <c r="BI92" s="1036">
        <f ca="1">IFERROR(INDEX(INDIRECT($C92&amp;".Outputs["&amp;this.Year&amp;"]"), MATCH(BI$5, INDIRECT($C92&amp;".Outputs[Vector]"), 0)), 0)</f>
        <v>0</v>
      </c>
      <c r="BJ92" s="1035">
        <f ca="1">SUM(BH92:BI92)</f>
        <v>0</v>
      </c>
      <c r="BK92" s="743"/>
      <c r="BL92" s="852">
        <f t="shared" ca="1" si="220"/>
        <v>0</v>
      </c>
      <c r="BM92" s="814"/>
      <c r="BO92" s="1485">
        <f t="shared" ca="1" si="227"/>
        <v>0</v>
      </c>
      <c r="BP92" s="1486">
        <f t="shared" ca="1" si="227"/>
        <v>0</v>
      </c>
      <c r="BQ92" s="1486">
        <f t="shared" ca="1" si="227"/>
        <v>0</v>
      </c>
      <c r="BR92" s="1486">
        <f t="shared" ca="1" si="227"/>
        <v>0</v>
      </c>
      <c r="BS92" s="1486">
        <f t="shared" ca="1" si="227"/>
        <v>0</v>
      </c>
      <c r="BT92" s="1486">
        <f t="shared" ca="1" si="227"/>
        <v>0</v>
      </c>
      <c r="BU92" s="1486">
        <f t="shared" ca="1" si="227"/>
        <v>0</v>
      </c>
      <c r="BV92" s="1486">
        <f t="shared" ca="1" si="227"/>
        <v>0</v>
      </c>
      <c r="BW92" s="1486">
        <f t="shared" ca="1" si="227"/>
        <v>0</v>
      </c>
      <c r="BX92" s="1486">
        <f t="shared" ca="1" si="227"/>
        <v>0</v>
      </c>
      <c r="BY92" s="1486">
        <f t="shared" ca="1" si="228"/>
        <v>0</v>
      </c>
      <c r="BZ92" s="1486">
        <f t="shared" ca="1" si="228"/>
        <v>0</v>
      </c>
      <c r="CA92" s="1486">
        <f t="shared" ca="1" si="228"/>
        <v>0</v>
      </c>
      <c r="CB92" s="1486">
        <f t="shared" ca="1" si="228"/>
        <v>0</v>
      </c>
      <c r="CC92" s="1486">
        <f t="shared" ca="1" si="228"/>
        <v>0</v>
      </c>
      <c r="CD92" s="1486">
        <f t="shared" ca="1" si="228"/>
        <v>0</v>
      </c>
      <c r="CE92" s="1486">
        <f t="shared" ca="1" si="228"/>
        <v>0</v>
      </c>
      <c r="CF92" s="1486">
        <f t="shared" ca="1" si="228"/>
        <v>0</v>
      </c>
      <c r="CG92" s="1486">
        <f t="shared" ca="1" si="228"/>
        <v>0</v>
      </c>
      <c r="CH92" s="1486">
        <f t="shared" ca="1" si="228"/>
        <v>0</v>
      </c>
      <c r="CI92" s="1486">
        <f t="shared" ca="1" si="229"/>
        <v>0</v>
      </c>
      <c r="CJ92" s="1486">
        <f t="shared" ca="1" si="229"/>
        <v>0</v>
      </c>
      <c r="CK92" s="1486">
        <f t="shared" ca="1" si="229"/>
        <v>0</v>
      </c>
      <c r="CL92" s="1486">
        <f t="shared" ca="1" si="229"/>
        <v>0</v>
      </c>
      <c r="CM92" s="1486">
        <f t="shared" ca="1" si="229"/>
        <v>0</v>
      </c>
      <c r="CN92" s="1486">
        <f t="shared" ca="1" si="229"/>
        <v>0</v>
      </c>
      <c r="CO92" s="1486">
        <f t="shared" ca="1" si="229"/>
        <v>0</v>
      </c>
      <c r="CP92" s="1486">
        <f t="shared" ca="1" si="229"/>
        <v>0</v>
      </c>
      <c r="CQ92" s="1486">
        <f t="shared" ca="1" si="229"/>
        <v>0</v>
      </c>
      <c r="CR92" s="1486">
        <f t="shared" ca="1" si="229"/>
        <v>0</v>
      </c>
      <c r="CS92" s="1486">
        <f t="shared" ca="1" si="230"/>
        <v>0</v>
      </c>
      <c r="CT92" s="1486">
        <f t="shared" ca="1" si="230"/>
        <v>0</v>
      </c>
      <c r="CU92" s="1486">
        <f t="shared" ca="1" si="230"/>
        <v>0</v>
      </c>
      <c r="CV92" s="1486">
        <f t="shared" ca="1" si="230"/>
        <v>0</v>
      </c>
      <c r="CW92" s="1486">
        <f t="shared" ca="1" si="230"/>
        <v>0</v>
      </c>
      <c r="CX92" s="1486">
        <f t="shared" ca="1" si="230"/>
        <v>0</v>
      </c>
      <c r="CY92" s="1486">
        <f t="shared" ca="1" si="230"/>
        <v>0</v>
      </c>
      <c r="CZ92" s="1486">
        <f t="shared" ca="1" si="230"/>
        <v>0</v>
      </c>
      <c r="DA92" s="1486">
        <f t="shared" ca="1" si="230"/>
        <v>0</v>
      </c>
      <c r="DB92" s="1486">
        <f t="shared" ca="1" si="230"/>
        <v>0</v>
      </c>
      <c r="DC92" s="1486">
        <f t="shared" ca="1" si="230"/>
        <v>0</v>
      </c>
      <c r="DD92" s="1486">
        <f t="shared" ca="1" si="230"/>
        <v>0</v>
      </c>
      <c r="DE92" s="1486">
        <f t="shared" ca="1" si="230"/>
        <v>0</v>
      </c>
      <c r="DF92" s="1486">
        <f t="shared" ca="1" si="230"/>
        <v>0</v>
      </c>
      <c r="DH92" s="838"/>
    </row>
    <row r="93" spans="1:112" s="22" customFormat="1" ht="12.75" customHeight="1" collapsed="1">
      <c r="B93" s="753"/>
      <c r="C93" s="744" t="s">
        <v>673</v>
      </c>
      <c r="D93" s="517" t="str">
        <f>INDEX(Workstreams[Workstream], MATCH($C93, Workstreams[Code], 0))</f>
        <v>Electricity distribution, storage, and balancing</v>
      </c>
      <c r="E93" s="512"/>
      <c r="F93" s="743"/>
      <c r="G93" s="958">
        <f t="shared" ref="G93:P93" ca="1" si="231">G$89+G$91+G$92</f>
        <v>0</v>
      </c>
      <c r="H93" s="958">
        <f t="shared" ca="1" si="231"/>
        <v>0</v>
      </c>
      <c r="I93" s="958">
        <f t="shared" ca="1" si="231"/>
        <v>0</v>
      </c>
      <c r="J93" s="958">
        <f t="shared" ca="1" si="231"/>
        <v>0</v>
      </c>
      <c r="K93" s="960">
        <f t="shared" ca="1" si="231"/>
        <v>0</v>
      </c>
      <c r="L93" s="958">
        <f t="shared" ca="1" si="231"/>
        <v>0</v>
      </c>
      <c r="M93" s="958">
        <f t="shared" ca="1" si="231"/>
        <v>0</v>
      </c>
      <c r="N93" s="958">
        <f t="shared" ca="1" si="231"/>
        <v>0</v>
      </c>
      <c r="O93" s="958">
        <f t="shared" ca="1" si="231"/>
        <v>0</v>
      </c>
      <c r="P93" s="958">
        <f t="shared" ca="1" si="231"/>
        <v>0</v>
      </c>
      <c r="Q93" s="1021">
        <f ca="1">SUM(G93:P93)</f>
        <v>0</v>
      </c>
      <c r="R93" s="743"/>
      <c r="S93" s="970">
        <f t="shared" ref="S93:AJ93" ca="1" si="232">S$89+S$91+S$92</f>
        <v>0</v>
      </c>
      <c r="T93" s="970">
        <f t="shared" ca="1" si="232"/>
        <v>-31.649777250074237</v>
      </c>
      <c r="U93" s="970">
        <f t="shared" ca="1" si="232"/>
        <v>0</v>
      </c>
      <c r="V93" s="970">
        <f t="shared" ca="1" si="232"/>
        <v>0</v>
      </c>
      <c r="W93" s="970">
        <f t="shared" ca="1" si="232"/>
        <v>0</v>
      </c>
      <c r="X93" s="970">
        <f ca="1">X$89+X$91+X$92</f>
        <v>0</v>
      </c>
      <c r="Y93" s="970">
        <f ca="1">Y$89+Y$91+Y$92</f>
        <v>0</v>
      </c>
      <c r="Z93" s="970">
        <f ca="1">Z$89+Z$91+Z$92</f>
        <v>0</v>
      </c>
      <c r="AA93" s="970">
        <f t="shared" ca="1" si="232"/>
        <v>0</v>
      </c>
      <c r="AB93" s="970">
        <f t="shared" ca="1" si="232"/>
        <v>0</v>
      </c>
      <c r="AC93" s="970">
        <f t="shared" ca="1" si="232"/>
        <v>0</v>
      </c>
      <c r="AD93" s="970">
        <f t="shared" ca="1" si="232"/>
        <v>0</v>
      </c>
      <c r="AE93" s="970">
        <f t="shared" ca="1" si="232"/>
        <v>0</v>
      </c>
      <c r="AF93" s="970">
        <f t="shared" ca="1" si="232"/>
        <v>0</v>
      </c>
      <c r="AG93" s="970">
        <f t="shared" ca="1" si="232"/>
        <v>0</v>
      </c>
      <c r="AH93" s="970">
        <f t="shared" ca="1" si="232"/>
        <v>0</v>
      </c>
      <c r="AI93" s="970">
        <f t="shared" ca="1" si="232"/>
        <v>0</v>
      </c>
      <c r="AJ93" s="970">
        <f t="shared" ca="1" si="232"/>
        <v>0</v>
      </c>
      <c r="AK93" s="970">
        <f ca="1">SUM(S93:AJ93)</f>
        <v>-31.649777250074237</v>
      </c>
      <c r="AL93" s="743"/>
      <c r="AM93" s="976">
        <f t="shared" ref="AM93:BE93" ca="1" si="233">AM$89+AM$91+AM$92</f>
        <v>0</v>
      </c>
      <c r="AN93" s="976">
        <f t="shared" ca="1" si="233"/>
        <v>0</v>
      </c>
      <c r="AO93" s="976">
        <f t="shared" ca="1" si="233"/>
        <v>0</v>
      </c>
      <c r="AP93" s="976">
        <f t="shared" ca="1" si="233"/>
        <v>0</v>
      </c>
      <c r="AQ93" s="976">
        <f t="shared" ca="1" si="233"/>
        <v>0</v>
      </c>
      <c r="AR93" s="976">
        <f t="shared" ca="1" si="233"/>
        <v>0</v>
      </c>
      <c r="AS93" s="976">
        <f t="shared" ca="1" si="233"/>
        <v>0</v>
      </c>
      <c r="AT93" s="976">
        <f t="shared" ca="1" si="233"/>
        <v>0</v>
      </c>
      <c r="AU93" s="976">
        <f t="shared" ca="1" si="233"/>
        <v>0</v>
      </c>
      <c r="AV93" s="976">
        <f t="shared" ca="1" si="233"/>
        <v>0</v>
      </c>
      <c r="AW93" s="976">
        <f t="shared" ca="1" si="233"/>
        <v>0</v>
      </c>
      <c r="AX93" s="976">
        <f t="shared" ca="1" si="233"/>
        <v>0</v>
      </c>
      <c r="AY93" s="976">
        <f t="shared" ca="1" si="233"/>
        <v>0</v>
      </c>
      <c r="AZ93" s="976">
        <f t="shared" ca="1" si="233"/>
        <v>0</v>
      </c>
      <c r="BA93" s="976">
        <f t="shared" ca="1" si="233"/>
        <v>0</v>
      </c>
      <c r="BB93" s="976">
        <f t="shared" ca="1" si="233"/>
        <v>0</v>
      </c>
      <c r="BC93" s="976">
        <f t="shared" ca="1" si="233"/>
        <v>0</v>
      </c>
      <c r="BD93" s="976">
        <f t="shared" ca="1" si="233"/>
        <v>0</v>
      </c>
      <c r="BE93" s="976">
        <f t="shared" ca="1" si="233"/>
        <v>0</v>
      </c>
      <c r="BF93" s="976">
        <f ca="1">SUM(AM93:BE93)</f>
        <v>0</v>
      </c>
      <c r="BG93" s="743"/>
      <c r="BH93" s="990">
        <f ca="1">BH$89+BH$91+BH$92</f>
        <v>0</v>
      </c>
      <c r="BI93" s="990">
        <f ca="1">BI$89+BI$91+BI$92</f>
        <v>31.649777250074205</v>
      </c>
      <c r="BJ93" s="990">
        <f ca="1">SUM(BH93:BI93)</f>
        <v>31.649777250074205</v>
      </c>
      <c r="BK93" s="743"/>
      <c r="BL93" s="515">
        <f t="shared" ca="1" si="220"/>
        <v>-3.1974423109204508E-14</v>
      </c>
      <c r="BM93" s="515"/>
      <c r="BN93" s="840"/>
      <c r="BO93" s="1482">
        <f t="shared" ref="BO93:DF93" ca="1" si="234">BO$89+BO$91+BO$92</f>
        <v>0</v>
      </c>
      <c r="BP93" s="1482">
        <f t="shared" ca="1" si="234"/>
        <v>0</v>
      </c>
      <c r="BQ93" s="1482">
        <f t="shared" ca="1" si="234"/>
        <v>0</v>
      </c>
      <c r="BR93" s="1482">
        <f t="shared" ca="1" si="234"/>
        <v>0</v>
      </c>
      <c r="BS93" s="1482">
        <f t="shared" ca="1" si="234"/>
        <v>0</v>
      </c>
      <c r="BT93" s="1482">
        <f t="shared" ca="1" si="234"/>
        <v>0</v>
      </c>
      <c r="BU93" s="1482">
        <f t="shared" ca="1" si="234"/>
        <v>0</v>
      </c>
      <c r="BV93" s="1482">
        <f t="shared" ca="1" si="234"/>
        <v>0</v>
      </c>
      <c r="BW93" s="1482">
        <f t="shared" ca="1" si="234"/>
        <v>0</v>
      </c>
      <c r="BX93" s="1482">
        <f t="shared" ca="1" si="234"/>
        <v>0</v>
      </c>
      <c r="BY93" s="1482">
        <f t="shared" ca="1" si="234"/>
        <v>0</v>
      </c>
      <c r="BZ93" s="1482">
        <f t="shared" ca="1" si="234"/>
        <v>0</v>
      </c>
      <c r="CA93" s="1482">
        <f t="shared" ca="1" si="234"/>
        <v>0</v>
      </c>
      <c r="CB93" s="1482">
        <f t="shared" ca="1" si="234"/>
        <v>0</v>
      </c>
      <c r="CC93" s="1482">
        <f t="shared" ca="1" si="234"/>
        <v>0</v>
      </c>
      <c r="CD93" s="1482">
        <f t="shared" ca="1" si="234"/>
        <v>0</v>
      </c>
      <c r="CE93" s="1482">
        <f t="shared" ca="1" si="234"/>
        <v>0</v>
      </c>
      <c r="CF93" s="1482">
        <f t="shared" ca="1" si="234"/>
        <v>0</v>
      </c>
      <c r="CG93" s="1482">
        <f t="shared" ca="1" si="234"/>
        <v>0</v>
      </c>
      <c r="CH93" s="1482">
        <f t="shared" ca="1" si="234"/>
        <v>0</v>
      </c>
      <c r="CI93" s="1482">
        <f t="shared" ca="1" si="234"/>
        <v>0</v>
      </c>
      <c r="CJ93" s="1482">
        <f t="shared" ca="1" si="234"/>
        <v>0</v>
      </c>
      <c r="CK93" s="1482">
        <f t="shared" ca="1" si="234"/>
        <v>0</v>
      </c>
      <c r="CL93" s="1482">
        <f t="shared" ca="1" si="234"/>
        <v>0</v>
      </c>
      <c r="CM93" s="1482">
        <f t="shared" ca="1" si="234"/>
        <v>0</v>
      </c>
      <c r="CN93" s="1482">
        <f t="shared" ca="1" si="234"/>
        <v>0</v>
      </c>
      <c r="CO93" s="1482">
        <f t="shared" ca="1" si="234"/>
        <v>0</v>
      </c>
      <c r="CP93" s="1482">
        <f t="shared" ca="1" si="234"/>
        <v>0</v>
      </c>
      <c r="CQ93" s="1482">
        <f t="shared" ca="1" si="234"/>
        <v>0</v>
      </c>
      <c r="CR93" s="1482">
        <f t="shared" ca="1" si="234"/>
        <v>0</v>
      </c>
      <c r="CS93" s="1482">
        <f t="shared" ca="1" si="234"/>
        <v>0</v>
      </c>
      <c r="CT93" s="1482">
        <f t="shared" ca="1" si="234"/>
        <v>0</v>
      </c>
      <c r="CU93" s="1482">
        <f t="shared" ca="1" si="234"/>
        <v>0</v>
      </c>
      <c r="CV93" s="1482">
        <f t="shared" ca="1" si="234"/>
        <v>0</v>
      </c>
      <c r="CW93" s="1482">
        <f t="shared" ca="1" si="234"/>
        <v>0</v>
      </c>
      <c r="CX93" s="1482">
        <f t="shared" ca="1" si="234"/>
        <v>0</v>
      </c>
      <c r="CY93" s="1482">
        <f t="shared" ca="1" si="234"/>
        <v>0</v>
      </c>
      <c r="CZ93" s="1482">
        <f t="shared" ca="1" si="234"/>
        <v>0</v>
      </c>
      <c r="DA93" s="1482">
        <f t="shared" ca="1" si="234"/>
        <v>0</v>
      </c>
      <c r="DB93" s="1482">
        <f t="shared" ca="1" si="234"/>
        <v>0</v>
      </c>
      <c r="DC93" s="1482">
        <f t="shared" ca="1" si="234"/>
        <v>0</v>
      </c>
      <c r="DD93" s="1482">
        <f t="shared" ca="1" si="234"/>
        <v>0</v>
      </c>
      <c r="DE93" s="1482">
        <f t="shared" ca="1" si="234"/>
        <v>0</v>
      </c>
      <c r="DF93" s="1482">
        <f t="shared" ca="1" si="234"/>
        <v>0</v>
      </c>
      <c r="DH93" s="838">
        <f t="shared" ref="DH93:DH104" ca="1" si="235">SUM(BO93:DF93)</f>
        <v>0</v>
      </c>
    </row>
    <row r="94" spans="1:112" s="743" customFormat="1" ht="12.75" hidden="1" customHeight="1" outlineLevel="1">
      <c r="A94" s="22"/>
      <c r="B94" s="22"/>
      <c r="C94" s="751"/>
      <c r="D94" s="512"/>
      <c r="E94" s="512"/>
      <c r="G94" s="958"/>
      <c r="H94" s="958"/>
      <c r="I94" s="958"/>
      <c r="J94" s="958"/>
      <c r="K94" s="960"/>
      <c r="L94" s="958"/>
      <c r="M94" s="958"/>
      <c r="N94" s="958"/>
      <c r="O94" s="958"/>
      <c r="P94" s="958"/>
      <c r="Q94" s="958"/>
      <c r="S94" s="970"/>
      <c r="T94" s="970"/>
      <c r="U94" s="970"/>
      <c r="V94" s="970"/>
      <c r="W94" s="970"/>
      <c r="X94" s="970"/>
      <c r="Y94" s="970"/>
      <c r="Z94" s="970"/>
      <c r="AA94" s="970"/>
      <c r="AB94" s="970"/>
      <c r="AC94" s="970"/>
      <c r="AD94" s="970"/>
      <c r="AE94" s="970"/>
      <c r="AF94" s="970"/>
      <c r="AG94" s="970"/>
      <c r="AH94" s="970"/>
      <c r="AI94" s="970"/>
      <c r="AJ94" s="970"/>
      <c r="AK94" s="970"/>
      <c r="AM94" s="976"/>
      <c r="AN94" s="976"/>
      <c r="AO94" s="976"/>
      <c r="AP94" s="976"/>
      <c r="AQ94" s="976"/>
      <c r="AR94" s="976"/>
      <c r="AS94" s="976"/>
      <c r="AT94" s="976"/>
      <c r="AU94" s="976"/>
      <c r="AV94" s="976"/>
      <c r="AW94" s="976"/>
      <c r="AX94" s="976"/>
      <c r="AY94" s="976"/>
      <c r="AZ94" s="976"/>
      <c r="BA94" s="976"/>
      <c r="BB94" s="976"/>
      <c r="BC94" s="976"/>
      <c r="BD94" s="976"/>
      <c r="BE94" s="976"/>
      <c r="BF94" s="976"/>
      <c r="BH94" s="990"/>
      <c r="BI94" s="990"/>
      <c r="BJ94" s="990"/>
      <c r="BL94" s="515">
        <f t="shared" si="220"/>
        <v>0</v>
      </c>
      <c r="BM94" s="515"/>
      <c r="BN94" s="840"/>
      <c r="BO94" s="1482"/>
      <c r="BP94" s="1482"/>
      <c r="BQ94" s="1482"/>
      <c r="BR94" s="1482"/>
      <c r="BS94" s="1482"/>
      <c r="BT94" s="1482"/>
      <c r="BU94" s="1482"/>
      <c r="BV94" s="1482"/>
      <c r="BW94" s="1482"/>
      <c r="BX94" s="1482"/>
      <c r="BY94" s="1482"/>
      <c r="BZ94" s="1482"/>
      <c r="CA94" s="1482"/>
      <c r="CB94" s="1482"/>
      <c r="CC94" s="1482"/>
      <c r="CD94" s="1482"/>
      <c r="CE94" s="1482"/>
      <c r="CF94" s="1482"/>
      <c r="CG94" s="1482"/>
      <c r="CH94" s="1482"/>
      <c r="CI94" s="1482"/>
      <c r="CJ94" s="1482"/>
      <c r="CK94" s="1482"/>
      <c r="CL94" s="1482"/>
      <c r="CM94" s="1482"/>
      <c r="CN94" s="1482"/>
      <c r="CO94" s="1482"/>
      <c r="CP94" s="1482"/>
      <c r="CQ94" s="1482"/>
      <c r="CR94" s="1482"/>
      <c r="CS94" s="1482"/>
      <c r="CT94" s="1482"/>
      <c r="CU94" s="1482"/>
      <c r="CV94" s="1482"/>
      <c r="CW94" s="1482"/>
      <c r="CX94" s="1482"/>
      <c r="CY94" s="1482"/>
      <c r="CZ94" s="1482"/>
      <c r="DA94" s="1482"/>
      <c r="DB94" s="1482"/>
      <c r="DC94" s="1482"/>
      <c r="DD94" s="1482"/>
      <c r="DE94" s="1482"/>
      <c r="DF94" s="1482"/>
      <c r="DH94" s="838">
        <f t="shared" si="235"/>
        <v>0</v>
      </c>
    </row>
    <row r="95" spans="1:112" s="1491" customFormat="1" ht="12.75" hidden="1" customHeight="1" outlineLevel="1">
      <c r="C95" s="1534" t="s">
        <v>1723</v>
      </c>
      <c r="D95" s="1535" t="s">
        <v>1665</v>
      </c>
      <c r="E95" s="1535"/>
      <c r="G95" s="1070"/>
      <c r="H95" s="1070"/>
      <c r="I95" s="1070"/>
      <c r="J95" s="1070"/>
      <c r="K95" s="1071"/>
      <c r="L95" s="1070"/>
      <c r="M95" s="1070"/>
      <c r="N95" s="1070"/>
      <c r="O95" s="1070"/>
      <c r="P95" s="1070"/>
      <c r="Q95" s="1070"/>
      <c r="S95" s="1072"/>
      <c r="T95" s="1072"/>
      <c r="U95" s="1072">
        <f ca="1">(U$40+U$84+U$93)</f>
        <v>-112.77464095777066</v>
      </c>
      <c r="V95" s="1072">
        <f ca="1">(V$40+V$84+V$93)</f>
        <v>-824.38351448402466</v>
      </c>
      <c r="W95" s="1072">
        <f ca="1">(W$40+W$84+W$93)</f>
        <v>-1664.06456345385</v>
      </c>
      <c r="X95" s="1072"/>
      <c r="Y95" s="1072"/>
      <c r="Z95" s="1072"/>
      <c r="AA95" s="1072"/>
      <c r="AB95" s="1072"/>
      <c r="AC95" s="1072">
        <f t="shared" ref="AC95:AH95" ca="1" si="236">(AC$40+AC$84+AC$93)</f>
        <v>0</v>
      </c>
      <c r="AD95" s="1072">
        <f t="shared" ca="1" si="236"/>
        <v>54.687907950087279</v>
      </c>
      <c r="AE95" s="1072">
        <f t="shared" ca="1" si="236"/>
        <v>1.5621974848178559</v>
      </c>
      <c r="AF95" s="1072">
        <f t="shared" ca="1" si="236"/>
        <v>63.156559579101412</v>
      </c>
      <c r="AG95" s="1072">
        <f t="shared" ca="1" si="236"/>
        <v>46.537817057146697</v>
      </c>
      <c r="AH95" s="1072">
        <f t="shared" ca="1" si="236"/>
        <v>17.575536884393671</v>
      </c>
      <c r="AI95" s="1072"/>
      <c r="AJ95" s="1072"/>
      <c r="AK95" s="1072"/>
      <c r="AM95" s="1073"/>
      <c r="AN95" s="1073"/>
      <c r="AO95" s="1073"/>
      <c r="AP95" s="1073"/>
      <c r="AQ95" s="1073"/>
      <c r="AR95" s="1073"/>
      <c r="AS95" s="1073"/>
      <c r="AT95" s="1073"/>
      <c r="AU95" s="1073"/>
      <c r="AV95" s="1073"/>
      <c r="AW95" s="1073"/>
      <c r="AX95" s="1073"/>
      <c r="AY95" s="1073"/>
      <c r="AZ95" s="1073"/>
      <c r="BA95" s="1073"/>
      <c r="BB95" s="1073"/>
      <c r="BC95" s="1073"/>
      <c r="BD95" s="1073"/>
      <c r="BE95" s="1073">
        <f ca="1">BE40+BE46+BE51</f>
        <v>-216.07225335238144</v>
      </c>
      <c r="BF95" s="1073">
        <f ca="1">SUM(AM95:BE95)</f>
        <v>-216.07225335238144</v>
      </c>
      <c r="BH95" s="1074"/>
      <c r="BI95" s="1074"/>
      <c r="BJ95" s="1074"/>
      <c r="BL95" s="1536"/>
      <c r="BM95" s="1536"/>
      <c r="BN95" s="1537"/>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8"/>
      <c r="CP95" s="1538"/>
      <c r="CQ95" s="1538"/>
      <c r="CR95" s="1538"/>
      <c r="CS95" s="1538"/>
      <c r="CT95" s="1538"/>
      <c r="CU95" s="1538"/>
      <c r="CV95" s="1538"/>
      <c r="CW95" s="1538"/>
      <c r="CX95" s="1538"/>
      <c r="CY95" s="1538"/>
      <c r="CZ95" s="1538"/>
      <c r="DA95" s="1538"/>
      <c r="DB95" s="1538"/>
      <c r="DC95" s="1538"/>
      <c r="DD95" s="1538"/>
      <c r="DE95" s="1538"/>
      <c r="DF95" s="1538"/>
      <c r="DH95" s="1537">
        <f t="shared" si="235"/>
        <v>0</v>
      </c>
    </row>
    <row r="96" spans="1:112" s="1957" customFormat="1" ht="12.75" hidden="1" customHeight="1" outlineLevel="1">
      <c r="A96" s="1954"/>
      <c r="B96" s="1954"/>
      <c r="C96" s="1955" t="s">
        <v>963</v>
      </c>
      <c r="D96" s="1956" t="str">
        <f>INDEX(Modules[Module], MATCH($C96, Modules[Code], 0))</f>
        <v>Biomatter to fuel conversion</v>
      </c>
      <c r="E96" s="1956"/>
      <c r="G96" s="1061">
        <f t="shared" ref="G96:P96" ca="1" si="237">IFERROR(INDEX(INDIRECT($C96&amp;".Outputs["&amp;this.Year&amp;"]"), MATCH(G$5, INDIRECT($C96&amp;".Outputs[Vector]"), 0)), 0)</f>
        <v>0</v>
      </c>
      <c r="H96" s="1061">
        <f t="shared" ca="1" si="237"/>
        <v>0</v>
      </c>
      <c r="I96" s="1061">
        <f t="shared" ca="1" si="237"/>
        <v>0</v>
      </c>
      <c r="J96" s="1061">
        <f t="shared" ca="1" si="237"/>
        <v>0</v>
      </c>
      <c r="K96" s="1061">
        <f t="shared" ca="1" si="237"/>
        <v>0</v>
      </c>
      <c r="L96" s="1061">
        <f t="shared" ca="1" si="237"/>
        <v>0</v>
      </c>
      <c r="M96" s="1061">
        <f t="shared" ca="1" si="237"/>
        <v>0</v>
      </c>
      <c r="N96" s="1061">
        <f t="shared" ca="1" si="237"/>
        <v>0</v>
      </c>
      <c r="O96" s="1061">
        <f t="shared" ca="1" si="237"/>
        <v>0</v>
      </c>
      <c r="P96" s="1061">
        <f t="shared" ca="1" si="237"/>
        <v>0</v>
      </c>
      <c r="Q96" s="1062">
        <f ca="1">SUM(G96:P96)</f>
        <v>0</v>
      </c>
      <c r="S96" s="1063">
        <f t="shared" ref="S96:AJ96" ca="1" si="238">IFERROR(INDEX(INDIRECT($C96&amp;".Outputs["&amp;this.Year&amp;"]"), MATCH(S$5, INDIRECT($C96&amp;".Outputs[Vector]"), 0)), 0)</f>
        <v>0</v>
      </c>
      <c r="T96" s="1063">
        <f t="shared" ca="1" si="238"/>
        <v>0</v>
      </c>
      <c r="U96" s="1063">
        <f t="shared" ca="1" si="238"/>
        <v>56.840903621191273</v>
      </c>
      <c r="V96" s="1063">
        <f t="shared" ca="1" si="238"/>
        <v>35.48454230834939</v>
      </c>
      <c r="W96" s="1063">
        <f t="shared" ca="1" si="238"/>
        <v>54.805790530111032</v>
      </c>
      <c r="X96" s="1063">
        <f t="shared" ca="1" si="238"/>
        <v>0</v>
      </c>
      <c r="Y96" s="1063">
        <f t="shared" ca="1" si="238"/>
        <v>0</v>
      </c>
      <c r="Z96" s="1063">
        <f t="shared" ca="1" si="238"/>
        <v>0</v>
      </c>
      <c r="AA96" s="1063">
        <f t="shared" ca="1" si="238"/>
        <v>0</v>
      </c>
      <c r="AB96" s="1063">
        <f t="shared" ca="1" si="238"/>
        <v>0</v>
      </c>
      <c r="AC96" s="1063">
        <f t="shared" ca="1" si="238"/>
        <v>0</v>
      </c>
      <c r="AD96" s="1063">
        <f t="shared" ca="1" si="238"/>
        <v>-54.687907950087279</v>
      </c>
      <c r="AE96" s="1063">
        <f t="shared" ca="1" si="238"/>
        <v>-1.5621974848178559</v>
      </c>
      <c r="AF96" s="1063">
        <f t="shared" ca="1" si="238"/>
        <v>-63.156559579101412</v>
      </c>
      <c r="AG96" s="1063">
        <f t="shared" ca="1" si="238"/>
        <v>-46.537817057146697</v>
      </c>
      <c r="AH96" s="1063">
        <f t="shared" ca="1" si="238"/>
        <v>-17.575536884393671</v>
      </c>
      <c r="AI96" s="1063">
        <f t="shared" ca="1" si="238"/>
        <v>0</v>
      </c>
      <c r="AJ96" s="1063">
        <f t="shared" ca="1" si="238"/>
        <v>0</v>
      </c>
      <c r="AK96" s="1064">
        <f ca="1">SUM(S96:AJ96)</f>
        <v>-36.388782495895228</v>
      </c>
      <c r="AM96" s="1065">
        <f t="shared" ref="AM96:BE96" ca="1" si="239">IFERROR(INDEX(INDIRECT($C96&amp;".Outputs["&amp;this.Year&amp;"]"), MATCH(AM$5, INDIRECT($C96&amp;".Outputs[Vector]"), 0)), 0)</f>
        <v>0</v>
      </c>
      <c r="AN96" s="1065">
        <f t="shared" ca="1" si="239"/>
        <v>0</v>
      </c>
      <c r="AO96" s="1065">
        <f t="shared" ca="1" si="239"/>
        <v>0</v>
      </c>
      <c r="AP96" s="1065">
        <f t="shared" ca="1" si="239"/>
        <v>0</v>
      </c>
      <c r="AQ96" s="1065">
        <f t="shared" ca="1" si="239"/>
        <v>0</v>
      </c>
      <c r="AR96" s="1065">
        <f t="shared" ca="1" si="239"/>
        <v>0</v>
      </c>
      <c r="AS96" s="1065">
        <f t="shared" ca="1" si="239"/>
        <v>0</v>
      </c>
      <c r="AT96" s="1065">
        <f t="shared" ca="1" si="239"/>
        <v>0</v>
      </c>
      <c r="AU96" s="1065">
        <f t="shared" ca="1" si="239"/>
        <v>0</v>
      </c>
      <c r="AV96" s="1065">
        <f t="shared" ca="1" si="239"/>
        <v>0</v>
      </c>
      <c r="AW96" s="1065">
        <f t="shared" ca="1" si="239"/>
        <v>0</v>
      </c>
      <c r="AX96" s="1065">
        <f t="shared" ca="1" si="239"/>
        <v>0</v>
      </c>
      <c r="AY96" s="1065">
        <f t="shared" ca="1" si="239"/>
        <v>0</v>
      </c>
      <c r="AZ96" s="1065">
        <f t="shared" ca="1" si="239"/>
        <v>0</v>
      </c>
      <c r="BA96" s="1065">
        <f t="shared" ca="1" si="239"/>
        <v>0</v>
      </c>
      <c r="BB96" s="1065">
        <f t="shared" ca="1" si="239"/>
        <v>0</v>
      </c>
      <c r="BC96" s="1065">
        <f t="shared" ca="1" si="239"/>
        <v>0</v>
      </c>
      <c r="BD96" s="1065">
        <f t="shared" ca="1" si="239"/>
        <v>0</v>
      </c>
      <c r="BE96" s="1065">
        <f t="shared" ca="1" si="239"/>
        <v>0</v>
      </c>
      <c r="BF96" s="1066">
        <f ca="1">SUM(AM96:BE96)</f>
        <v>0</v>
      </c>
      <c r="BH96" s="1067">
        <f ca="1">IFERROR(INDEX(INDIRECT($C96&amp;".Outputs["&amp;this.Year&amp;"]"), MATCH(BH$5, INDIRECT($C96&amp;".Outputs[Vector]"), 0)), 0)</f>
        <v>36.388782495895242</v>
      </c>
      <c r="BI96" s="1067">
        <f ca="1">IFERROR(INDEX(INDIRECT($C96&amp;".Outputs["&amp;this.Year&amp;"]"), MATCH(BI$5, INDIRECT($C96&amp;".Outputs[Vector]"), 0)), 0)</f>
        <v>0</v>
      </c>
      <c r="BJ96" s="1068">
        <f ca="1">SUM(BH96:BI96)</f>
        <v>36.388782495895242</v>
      </c>
      <c r="BL96" s="1958">
        <f ca="1">Q96+AK96+BF96+BJ96</f>
        <v>0</v>
      </c>
      <c r="BM96" s="1958"/>
      <c r="BN96" s="1959"/>
      <c r="BO96" s="1960">
        <f t="shared" ref="BO96:DF96" ca="1" si="240">IFERROR(SUMIFS(INDIRECT($C96&amp;".Emissions["&amp;this.Year&amp;"]"), INDIRECT($C96&amp;".Emissions[GHG]"), BO$6, INDIRECT($C96&amp;".Emissions[IPCC Sector]"), BO$5),0)</f>
        <v>0</v>
      </c>
      <c r="BP96" s="1961">
        <f t="shared" ca="1" si="240"/>
        <v>0</v>
      </c>
      <c r="BQ96" s="1961">
        <f t="shared" ca="1" si="240"/>
        <v>0</v>
      </c>
      <c r="BR96" s="1961">
        <f t="shared" ca="1" si="240"/>
        <v>0</v>
      </c>
      <c r="BS96" s="1961">
        <f t="shared" ca="1" si="240"/>
        <v>0</v>
      </c>
      <c r="BT96" s="1961">
        <f t="shared" ca="1" si="240"/>
        <v>0</v>
      </c>
      <c r="BU96" s="1961">
        <f t="shared" ca="1" si="240"/>
        <v>0</v>
      </c>
      <c r="BV96" s="1961">
        <f t="shared" ca="1" si="240"/>
        <v>0</v>
      </c>
      <c r="BW96" s="1961">
        <f t="shared" ca="1" si="240"/>
        <v>0</v>
      </c>
      <c r="BX96" s="1961">
        <f t="shared" ca="1" si="240"/>
        <v>0</v>
      </c>
      <c r="BY96" s="1961">
        <f t="shared" ca="1" si="240"/>
        <v>0</v>
      </c>
      <c r="BZ96" s="1961">
        <f t="shared" ca="1" si="240"/>
        <v>0</v>
      </c>
      <c r="CA96" s="1961">
        <f t="shared" ca="1" si="240"/>
        <v>0</v>
      </c>
      <c r="CB96" s="1961">
        <f t="shared" ca="1" si="240"/>
        <v>0</v>
      </c>
      <c r="CC96" s="1961">
        <f t="shared" ca="1" si="240"/>
        <v>0</v>
      </c>
      <c r="CD96" s="1961">
        <f t="shared" ca="1" si="240"/>
        <v>0</v>
      </c>
      <c r="CE96" s="1961">
        <f t="shared" ca="1" si="240"/>
        <v>0</v>
      </c>
      <c r="CF96" s="1961">
        <f t="shared" ca="1" si="240"/>
        <v>0</v>
      </c>
      <c r="CG96" s="1961">
        <f t="shared" ca="1" si="240"/>
        <v>0</v>
      </c>
      <c r="CH96" s="1961">
        <f t="shared" ca="1" si="240"/>
        <v>0</v>
      </c>
      <c r="CI96" s="1961">
        <f t="shared" ca="1" si="240"/>
        <v>0</v>
      </c>
      <c r="CJ96" s="1961">
        <f t="shared" ca="1" si="240"/>
        <v>0</v>
      </c>
      <c r="CK96" s="1961">
        <f t="shared" ca="1" si="240"/>
        <v>0</v>
      </c>
      <c r="CL96" s="1961">
        <f t="shared" ca="1" si="240"/>
        <v>0</v>
      </c>
      <c r="CM96" s="1961">
        <f t="shared" ca="1" si="240"/>
        <v>0</v>
      </c>
      <c r="CN96" s="1961">
        <f t="shared" ca="1" si="240"/>
        <v>0</v>
      </c>
      <c r="CO96" s="1961">
        <f t="shared" ca="1" si="240"/>
        <v>0</v>
      </c>
      <c r="CP96" s="1961">
        <f t="shared" ca="1" si="240"/>
        <v>0</v>
      </c>
      <c r="CQ96" s="1961">
        <f t="shared" ca="1" si="240"/>
        <v>0</v>
      </c>
      <c r="CR96" s="1961">
        <f t="shared" ca="1" si="240"/>
        <v>0</v>
      </c>
      <c r="CS96" s="1961">
        <f t="shared" ca="1" si="240"/>
        <v>0</v>
      </c>
      <c r="CT96" s="1961">
        <f t="shared" ca="1" si="240"/>
        <v>0</v>
      </c>
      <c r="CU96" s="1961">
        <f t="shared" ca="1" si="240"/>
        <v>0</v>
      </c>
      <c r="CV96" s="1961">
        <f t="shared" ca="1" si="240"/>
        <v>0</v>
      </c>
      <c r="CW96" s="1961">
        <f t="shared" ca="1" si="240"/>
        <v>0</v>
      </c>
      <c r="CX96" s="1961">
        <f t="shared" ca="1" si="240"/>
        <v>0</v>
      </c>
      <c r="CY96" s="1961">
        <f t="shared" ca="1" si="240"/>
        <v>-36.46239934995468</v>
      </c>
      <c r="CZ96" s="1961">
        <f t="shared" ca="1" si="240"/>
        <v>0</v>
      </c>
      <c r="DA96" s="1961">
        <f t="shared" ca="1" si="240"/>
        <v>0</v>
      </c>
      <c r="DB96" s="1961">
        <f t="shared" ca="1" si="240"/>
        <v>0</v>
      </c>
      <c r="DC96" s="1961">
        <f t="shared" ca="1" si="240"/>
        <v>0</v>
      </c>
      <c r="DD96" s="1961">
        <f t="shared" ca="1" si="240"/>
        <v>0</v>
      </c>
      <c r="DE96" s="1961">
        <f t="shared" ca="1" si="240"/>
        <v>0</v>
      </c>
      <c r="DF96" s="1961">
        <f t="shared" ca="1" si="240"/>
        <v>0</v>
      </c>
      <c r="DH96" s="1962">
        <f t="shared" ca="1" si="235"/>
        <v>-36.46239934995468</v>
      </c>
    </row>
    <row r="97" spans="1:112" s="1491" customFormat="1" ht="12.75" hidden="1" customHeight="1" outlineLevel="1">
      <c r="C97" s="1534" t="s">
        <v>1724</v>
      </c>
      <c r="D97" s="1535" t="s">
        <v>1665</v>
      </c>
      <c r="E97" s="1535"/>
      <c r="G97" s="1070"/>
      <c r="H97" s="1070"/>
      <c r="I97" s="1070"/>
      <c r="J97" s="1070"/>
      <c r="K97" s="1071"/>
      <c r="L97" s="1070"/>
      <c r="M97" s="1070"/>
      <c r="N97" s="1070"/>
      <c r="O97" s="1070"/>
      <c r="P97" s="1070"/>
      <c r="Q97" s="1070"/>
      <c r="S97" s="1072"/>
      <c r="T97" s="1072"/>
      <c r="U97" s="1072">
        <f ca="1">U$95+U$96</f>
        <v>-55.933737336579384</v>
      </c>
      <c r="V97" s="1072">
        <f ca="1">V$95+V$96</f>
        <v>-788.89897217567523</v>
      </c>
      <c r="W97" s="1072">
        <f ca="1">W$95+W$96</f>
        <v>-1609.2587729237391</v>
      </c>
      <c r="X97" s="1072"/>
      <c r="Y97" s="1072"/>
      <c r="Z97" s="1072"/>
      <c r="AA97" s="1072"/>
      <c r="AB97" s="1072"/>
      <c r="AC97" s="1072">
        <f t="shared" ref="AC97:AH97" ca="1" si="241">AC$95+AC$96</f>
        <v>0</v>
      </c>
      <c r="AD97" s="1072">
        <f t="shared" ca="1" si="241"/>
        <v>0</v>
      </c>
      <c r="AE97" s="1072">
        <f t="shared" ca="1" si="241"/>
        <v>0</v>
      </c>
      <c r="AF97" s="1072">
        <f t="shared" ca="1" si="241"/>
        <v>0</v>
      </c>
      <c r="AG97" s="1072">
        <f t="shared" ca="1" si="241"/>
        <v>0</v>
      </c>
      <c r="AH97" s="1072">
        <f t="shared" ca="1" si="241"/>
        <v>0</v>
      </c>
      <c r="AI97" s="1072"/>
      <c r="AJ97" s="1072"/>
      <c r="AK97" s="1072"/>
      <c r="AM97" s="1073"/>
      <c r="AN97" s="1073"/>
      <c r="AO97" s="1073"/>
      <c r="AP97" s="1073"/>
      <c r="AQ97" s="1073"/>
      <c r="AR97" s="1073"/>
      <c r="AS97" s="1073"/>
      <c r="AT97" s="1073"/>
      <c r="AU97" s="1073"/>
      <c r="AV97" s="1073"/>
      <c r="AW97" s="1073"/>
      <c r="AX97" s="1073"/>
      <c r="AY97" s="1073"/>
      <c r="AZ97" s="1073"/>
      <c r="BA97" s="1073"/>
      <c r="BB97" s="1073"/>
      <c r="BC97" s="1073"/>
      <c r="BD97" s="1073"/>
      <c r="BE97" s="1073">
        <f ca="1">BE42+BE49+BE53</f>
        <v>-178.02867538286264</v>
      </c>
      <c r="BF97" s="1073">
        <f ca="1">SUM(AM97:BE97)</f>
        <v>-178.02867538286264</v>
      </c>
      <c r="BH97" s="1074"/>
      <c r="BI97" s="1074"/>
      <c r="BJ97" s="1074"/>
      <c r="BL97" s="1536"/>
      <c r="BM97" s="1536"/>
      <c r="BN97" s="1537"/>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8"/>
      <c r="CP97" s="1538"/>
      <c r="CQ97" s="1538"/>
      <c r="CR97" s="1538"/>
      <c r="CS97" s="1538"/>
      <c r="CT97" s="1538"/>
      <c r="CU97" s="1538"/>
      <c r="CV97" s="1538"/>
      <c r="CW97" s="1538"/>
      <c r="CX97" s="1538"/>
      <c r="CY97" s="1538"/>
      <c r="CZ97" s="1538"/>
      <c r="DA97" s="1538"/>
      <c r="DB97" s="1538"/>
      <c r="DC97" s="1538"/>
      <c r="DD97" s="1538"/>
      <c r="DE97" s="1538"/>
      <c r="DF97" s="1538"/>
      <c r="DH97" s="1537">
        <f>SUM(BO97:DF97)</f>
        <v>0</v>
      </c>
    </row>
    <row r="98" spans="1:112" s="743" customFormat="1" ht="12.75" hidden="1" customHeight="1" outlineLevel="1">
      <c r="A98" s="1484"/>
      <c r="B98" s="1484"/>
      <c r="C98" s="746" t="s">
        <v>1695</v>
      </c>
      <c r="D98" s="1010" t="str">
        <f>INDEX(Modules[Module], MATCH($C98, Modules[Code], 0))</f>
        <v>Bioenergy imports</v>
      </c>
      <c r="E98" s="1010"/>
      <c r="G98" s="1022">
        <f t="shared" ref="G98:P98" ca="1" si="242">IFERROR(INDEX(INDIRECT($C98&amp;".Outputs["&amp;this.Year&amp;"]"), MATCH(G$5, INDIRECT($C98&amp;".Outputs[Vector]"), 0)), 0)</f>
        <v>0</v>
      </c>
      <c r="H98" s="1022">
        <f t="shared" ca="1" si="242"/>
        <v>0</v>
      </c>
      <c r="I98" s="1022">
        <f t="shared" ca="1" si="242"/>
        <v>0</v>
      </c>
      <c r="J98" s="1022">
        <f t="shared" ca="1" si="242"/>
        <v>0</v>
      </c>
      <c r="K98" s="1022">
        <f t="shared" ca="1" si="242"/>
        <v>0</v>
      </c>
      <c r="L98" s="1022">
        <f t="shared" ca="1" si="242"/>
        <v>0</v>
      </c>
      <c r="M98" s="1022">
        <f t="shared" ca="1" si="242"/>
        <v>0</v>
      </c>
      <c r="N98" s="1022">
        <f t="shared" ca="1" si="242"/>
        <v>0</v>
      </c>
      <c r="O98" s="1022">
        <f t="shared" ca="1" si="242"/>
        <v>0</v>
      </c>
      <c r="P98" s="1022">
        <f t="shared" ca="1" si="242"/>
        <v>0</v>
      </c>
      <c r="Q98" s="1020">
        <f ca="1">SUM(G98:P98)</f>
        <v>0</v>
      </c>
      <c r="S98" s="1031">
        <f t="shared" ref="S98:AJ98" ca="1" si="243">IFERROR(INDEX(INDIRECT($C98&amp;".Outputs["&amp;this.Year&amp;"]"), MATCH(S$5, INDIRECT($C98&amp;".Outputs[Vector]"), 0)), 0)</f>
        <v>0</v>
      </c>
      <c r="T98" s="1031">
        <f t="shared" ca="1" si="243"/>
        <v>0</v>
      </c>
      <c r="U98" s="1031">
        <f t="shared" ca="1" si="243"/>
        <v>1.0223581395348837</v>
      </c>
      <c r="V98" s="1031">
        <f t="shared" ca="1" si="243"/>
        <v>-9.1958139534883687E-2</v>
      </c>
      <c r="W98" s="1031">
        <f t="shared" ca="1" si="243"/>
        <v>0</v>
      </c>
      <c r="X98" s="1031">
        <f t="shared" ca="1" si="243"/>
        <v>0</v>
      </c>
      <c r="Y98" s="1031">
        <f t="shared" ca="1" si="243"/>
        <v>0</v>
      </c>
      <c r="Z98" s="1031">
        <f t="shared" ca="1" si="243"/>
        <v>0</v>
      </c>
      <c r="AA98" s="1031">
        <f t="shared" ca="1" si="243"/>
        <v>0</v>
      </c>
      <c r="AB98" s="1031">
        <f t="shared" ca="1" si="243"/>
        <v>0</v>
      </c>
      <c r="AC98" s="1031">
        <f t="shared" ca="1" si="243"/>
        <v>0</v>
      </c>
      <c r="AD98" s="1031">
        <f t="shared" ca="1" si="243"/>
        <v>0</v>
      </c>
      <c r="AE98" s="1031">
        <f t="shared" ca="1" si="243"/>
        <v>0</v>
      </c>
      <c r="AF98" s="1031">
        <f t="shared" ca="1" si="243"/>
        <v>0</v>
      </c>
      <c r="AG98" s="1031">
        <f t="shared" ca="1" si="243"/>
        <v>0</v>
      </c>
      <c r="AH98" s="1031">
        <f t="shared" ca="1" si="243"/>
        <v>0</v>
      </c>
      <c r="AI98" s="1031">
        <f t="shared" ca="1" si="243"/>
        <v>0</v>
      </c>
      <c r="AJ98" s="1031">
        <f t="shared" ca="1" si="243"/>
        <v>0</v>
      </c>
      <c r="AK98" s="1030">
        <f ca="1">SUM(S98:AJ98)</f>
        <v>0.93040000000000012</v>
      </c>
      <c r="AM98" s="1042">
        <f t="shared" ref="AM98:BE98" ca="1" si="244">IFERROR(INDEX(INDIRECT($C98&amp;".Outputs["&amp;this.Year&amp;"]"), MATCH(AM$5, INDIRECT($C98&amp;".Outputs[Vector]"), 0)), 0)</f>
        <v>0</v>
      </c>
      <c r="AN98" s="1042">
        <f t="shared" ca="1" si="244"/>
        <v>0</v>
      </c>
      <c r="AO98" s="1042">
        <f t="shared" ca="1" si="244"/>
        <v>0</v>
      </c>
      <c r="AP98" s="1042">
        <f t="shared" ca="1" si="244"/>
        <v>-0.93040000000000012</v>
      </c>
      <c r="AQ98" s="1042">
        <f t="shared" ca="1" si="244"/>
        <v>0</v>
      </c>
      <c r="AR98" s="1042">
        <f t="shared" ca="1" si="244"/>
        <v>0</v>
      </c>
      <c r="AS98" s="1042">
        <f t="shared" ca="1" si="244"/>
        <v>0</v>
      </c>
      <c r="AT98" s="1042">
        <f t="shared" ca="1" si="244"/>
        <v>0</v>
      </c>
      <c r="AU98" s="1042">
        <f t="shared" ca="1" si="244"/>
        <v>0</v>
      </c>
      <c r="AV98" s="1042">
        <f t="shared" ca="1" si="244"/>
        <v>0</v>
      </c>
      <c r="AW98" s="1042">
        <f t="shared" ca="1" si="244"/>
        <v>0</v>
      </c>
      <c r="AX98" s="1042">
        <f t="shared" ca="1" si="244"/>
        <v>0</v>
      </c>
      <c r="AY98" s="1042">
        <f t="shared" ca="1" si="244"/>
        <v>0</v>
      </c>
      <c r="AZ98" s="1042">
        <f t="shared" ca="1" si="244"/>
        <v>0</v>
      </c>
      <c r="BA98" s="1042">
        <f t="shared" ca="1" si="244"/>
        <v>0</v>
      </c>
      <c r="BB98" s="1042">
        <f t="shared" ca="1" si="244"/>
        <v>0</v>
      </c>
      <c r="BC98" s="1042">
        <f t="shared" ca="1" si="244"/>
        <v>0</v>
      </c>
      <c r="BD98" s="1042">
        <f t="shared" ca="1" si="244"/>
        <v>0</v>
      </c>
      <c r="BE98" s="1042">
        <f t="shared" ca="1" si="244"/>
        <v>0</v>
      </c>
      <c r="BF98" s="1012">
        <f ca="1">SUM(AM98:BE98)</f>
        <v>-0.93040000000000012</v>
      </c>
      <c r="BH98" s="1036">
        <f ca="1">IFERROR(INDEX(INDIRECT($C98&amp;".Outputs["&amp;this.Year&amp;"]"), MATCH(BH$5, INDIRECT($C98&amp;".Outputs[Vector]"), 0)), 0)</f>
        <v>0</v>
      </c>
      <c r="BI98" s="1036">
        <f ca="1">IFERROR(INDEX(INDIRECT($C98&amp;".Outputs["&amp;this.Year&amp;"]"), MATCH(BI$5, INDIRECT($C98&amp;".Outputs[Vector]"), 0)), 0)</f>
        <v>0</v>
      </c>
      <c r="BJ98" s="1035">
        <f ca="1">SUM(BH98:BI98)</f>
        <v>0</v>
      </c>
      <c r="BL98" s="814">
        <f ca="1">Q98+AK98+BF98+BJ98</f>
        <v>0</v>
      </c>
      <c r="BM98" s="814"/>
      <c r="BN98" s="840"/>
      <c r="BO98" s="1485">
        <f t="shared" ref="BO98:DF98" ca="1" si="245">IFERROR(SUMIFS(INDIRECT($C98&amp;".Emissions["&amp;this.Year&amp;"]"), INDIRECT($C98&amp;".Emissions[GHG]"), BO$6, INDIRECT($C98&amp;".Emissions[IPCC Sector]"), BO$5),0)</f>
        <v>0</v>
      </c>
      <c r="BP98" s="1486">
        <f t="shared" ca="1" si="245"/>
        <v>0</v>
      </c>
      <c r="BQ98" s="1486">
        <f t="shared" ca="1" si="245"/>
        <v>0</v>
      </c>
      <c r="BR98" s="1486">
        <f t="shared" ca="1" si="245"/>
        <v>0</v>
      </c>
      <c r="BS98" s="1486">
        <f t="shared" ca="1" si="245"/>
        <v>0</v>
      </c>
      <c r="BT98" s="1486">
        <f t="shared" ca="1" si="245"/>
        <v>0</v>
      </c>
      <c r="BU98" s="1486">
        <f t="shared" ca="1" si="245"/>
        <v>0</v>
      </c>
      <c r="BV98" s="1486">
        <f t="shared" ca="1" si="245"/>
        <v>0</v>
      </c>
      <c r="BW98" s="1486">
        <f t="shared" ca="1" si="245"/>
        <v>0</v>
      </c>
      <c r="BX98" s="1486">
        <f t="shared" ca="1" si="245"/>
        <v>0</v>
      </c>
      <c r="BY98" s="1486">
        <f t="shared" ca="1" si="245"/>
        <v>0</v>
      </c>
      <c r="BZ98" s="1486">
        <f t="shared" ca="1" si="245"/>
        <v>0</v>
      </c>
      <c r="CA98" s="1486">
        <f t="shared" ca="1" si="245"/>
        <v>0</v>
      </c>
      <c r="CB98" s="1486">
        <f t="shared" ca="1" si="245"/>
        <v>0</v>
      </c>
      <c r="CC98" s="1486">
        <f t="shared" ca="1" si="245"/>
        <v>0</v>
      </c>
      <c r="CD98" s="1486">
        <f t="shared" ca="1" si="245"/>
        <v>0</v>
      </c>
      <c r="CE98" s="1486">
        <f t="shared" ca="1" si="245"/>
        <v>0</v>
      </c>
      <c r="CF98" s="1486">
        <f t="shared" ca="1" si="245"/>
        <v>0</v>
      </c>
      <c r="CG98" s="1486">
        <f t="shared" ca="1" si="245"/>
        <v>0</v>
      </c>
      <c r="CH98" s="1486">
        <f t="shared" ca="1" si="245"/>
        <v>0</v>
      </c>
      <c r="CI98" s="1486">
        <f t="shared" ca="1" si="245"/>
        <v>0</v>
      </c>
      <c r="CJ98" s="1486">
        <f t="shared" ca="1" si="245"/>
        <v>0</v>
      </c>
      <c r="CK98" s="1486">
        <f t="shared" ca="1" si="245"/>
        <v>0</v>
      </c>
      <c r="CL98" s="1486">
        <f t="shared" ca="1" si="245"/>
        <v>0</v>
      </c>
      <c r="CM98" s="1486">
        <f t="shared" ca="1" si="245"/>
        <v>0</v>
      </c>
      <c r="CN98" s="1486">
        <f t="shared" ca="1" si="245"/>
        <v>0</v>
      </c>
      <c r="CO98" s="1486">
        <f t="shared" ca="1" si="245"/>
        <v>0</v>
      </c>
      <c r="CP98" s="1486">
        <f t="shared" ca="1" si="245"/>
        <v>0</v>
      </c>
      <c r="CQ98" s="1486">
        <f t="shared" ca="1" si="245"/>
        <v>0</v>
      </c>
      <c r="CR98" s="1486">
        <f t="shared" ca="1" si="245"/>
        <v>0</v>
      </c>
      <c r="CS98" s="1486">
        <f t="shared" ca="1" si="245"/>
        <v>0</v>
      </c>
      <c r="CT98" s="1486">
        <f t="shared" ca="1" si="245"/>
        <v>0</v>
      </c>
      <c r="CU98" s="1486">
        <f t="shared" ca="1" si="245"/>
        <v>0</v>
      </c>
      <c r="CV98" s="1486">
        <f t="shared" ca="1" si="245"/>
        <v>0</v>
      </c>
      <c r="CW98" s="1486">
        <f t="shared" ca="1" si="245"/>
        <v>0</v>
      </c>
      <c r="CX98" s="1486">
        <f t="shared" ca="1" si="245"/>
        <v>0</v>
      </c>
      <c r="CY98" s="1486">
        <f t="shared" ca="1" si="245"/>
        <v>-0.29189677209302323</v>
      </c>
      <c r="CZ98" s="1486">
        <f t="shared" ca="1" si="245"/>
        <v>0</v>
      </c>
      <c r="DA98" s="1486">
        <f t="shared" ca="1" si="245"/>
        <v>0</v>
      </c>
      <c r="DB98" s="1486">
        <f t="shared" ca="1" si="245"/>
        <v>0</v>
      </c>
      <c r="DC98" s="1486">
        <f t="shared" ca="1" si="245"/>
        <v>0</v>
      </c>
      <c r="DD98" s="1486">
        <f t="shared" ca="1" si="245"/>
        <v>0</v>
      </c>
      <c r="DE98" s="1486">
        <f t="shared" ca="1" si="245"/>
        <v>0</v>
      </c>
      <c r="DF98" s="1486">
        <f t="shared" ca="1" si="245"/>
        <v>0</v>
      </c>
      <c r="DH98" s="838">
        <f ca="1">SUM(BO98:DF98)</f>
        <v>-0.29189677209302323</v>
      </c>
    </row>
    <row r="99" spans="1:112" s="743" customFormat="1" ht="15.75" collapsed="1">
      <c r="A99" s="22"/>
      <c r="B99" s="753"/>
      <c r="C99" s="744" t="s">
        <v>671</v>
      </c>
      <c r="D99" s="517" t="str">
        <f>INDEX(Workstreams[Workstream], MATCH($C99, Workstreams[Code], 0))</f>
        <v>Bioenergy</v>
      </c>
      <c r="E99" s="512"/>
      <c r="G99" s="1021">
        <f ca="1">G$96+G98</f>
        <v>0</v>
      </c>
      <c r="H99" s="1021">
        <f t="shared" ref="H99:P99" ca="1" si="246">H$96+H98</f>
        <v>0</v>
      </c>
      <c r="I99" s="1021">
        <f t="shared" ca="1" si="246"/>
        <v>0</v>
      </c>
      <c r="J99" s="1021">
        <f t="shared" ca="1" si="246"/>
        <v>0</v>
      </c>
      <c r="K99" s="1021">
        <f t="shared" ca="1" si="246"/>
        <v>0</v>
      </c>
      <c r="L99" s="1021">
        <f t="shared" ca="1" si="246"/>
        <v>0</v>
      </c>
      <c r="M99" s="1021">
        <f t="shared" ca="1" si="246"/>
        <v>0</v>
      </c>
      <c r="N99" s="1021">
        <f t="shared" ca="1" si="246"/>
        <v>0</v>
      </c>
      <c r="O99" s="1021">
        <f t="shared" ca="1" si="246"/>
        <v>0</v>
      </c>
      <c r="P99" s="1021">
        <f t="shared" ca="1" si="246"/>
        <v>0</v>
      </c>
      <c r="Q99" s="1021">
        <f ca="1">SUM(G99:P99)</f>
        <v>0</v>
      </c>
      <c r="S99" s="970">
        <f t="shared" ref="S99:AJ99" ca="1" si="247">S$96+S98</f>
        <v>0</v>
      </c>
      <c r="T99" s="970">
        <f t="shared" ca="1" si="247"/>
        <v>0</v>
      </c>
      <c r="U99" s="970">
        <f t="shared" ca="1" si="247"/>
        <v>57.863261760726161</v>
      </c>
      <c r="V99" s="970">
        <f t="shared" ca="1" si="247"/>
        <v>35.392584168814508</v>
      </c>
      <c r="W99" s="970">
        <f t="shared" ca="1" si="247"/>
        <v>54.805790530111032</v>
      </c>
      <c r="X99" s="970">
        <f t="shared" ca="1" si="247"/>
        <v>0</v>
      </c>
      <c r="Y99" s="970">
        <f t="shared" ca="1" si="247"/>
        <v>0</v>
      </c>
      <c r="Z99" s="970">
        <f t="shared" ca="1" si="247"/>
        <v>0</v>
      </c>
      <c r="AA99" s="970">
        <f t="shared" ca="1" si="247"/>
        <v>0</v>
      </c>
      <c r="AB99" s="970">
        <f t="shared" ca="1" si="247"/>
        <v>0</v>
      </c>
      <c r="AC99" s="970">
        <f t="shared" ca="1" si="247"/>
        <v>0</v>
      </c>
      <c r="AD99" s="970">
        <f ca="1">AD$96+AD98</f>
        <v>-54.687907950087279</v>
      </c>
      <c r="AE99" s="970">
        <f ca="1">AE$96+AE98</f>
        <v>-1.5621974848178559</v>
      </c>
      <c r="AF99" s="970">
        <f t="shared" ca="1" si="247"/>
        <v>-63.156559579101412</v>
      </c>
      <c r="AG99" s="970">
        <f t="shared" ca="1" si="247"/>
        <v>-46.537817057146697</v>
      </c>
      <c r="AH99" s="970">
        <f ca="1">AH$96+AH98</f>
        <v>-17.575536884393671</v>
      </c>
      <c r="AI99" s="970">
        <f t="shared" ca="1" si="247"/>
        <v>0</v>
      </c>
      <c r="AJ99" s="970">
        <f t="shared" ca="1" si="247"/>
        <v>0</v>
      </c>
      <c r="AK99" s="970">
        <f ca="1">SUM(S99:AJ99)</f>
        <v>-35.458382495895208</v>
      </c>
      <c r="AM99" s="976">
        <f t="shared" ref="AM99:BE99" ca="1" si="248">AM$96+AM98</f>
        <v>0</v>
      </c>
      <c r="AN99" s="976">
        <f t="shared" ca="1" si="248"/>
        <v>0</v>
      </c>
      <c r="AO99" s="976">
        <f t="shared" ca="1" si="248"/>
        <v>0</v>
      </c>
      <c r="AP99" s="976">
        <f t="shared" ca="1" si="248"/>
        <v>-0.93040000000000012</v>
      </c>
      <c r="AQ99" s="976">
        <f t="shared" ca="1" si="248"/>
        <v>0</v>
      </c>
      <c r="AR99" s="976">
        <f t="shared" ca="1" si="248"/>
        <v>0</v>
      </c>
      <c r="AS99" s="976">
        <f t="shared" ca="1" si="248"/>
        <v>0</v>
      </c>
      <c r="AT99" s="976">
        <f t="shared" ca="1" si="248"/>
        <v>0</v>
      </c>
      <c r="AU99" s="976">
        <f t="shared" ca="1" si="248"/>
        <v>0</v>
      </c>
      <c r="AV99" s="976">
        <f t="shared" ca="1" si="248"/>
        <v>0</v>
      </c>
      <c r="AW99" s="976">
        <f t="shared" ca="1" si="248"/>
        <v>0</v>
      </c>
      <c r="AX99" s="976">
        <f t="shared" ca="1" si="248"/>
        <v>0</v>
      </c>
      <c r="AY99" s="976">
        <f t="shared" ca="1" si="248"/>
        <v>0</v>
      </c>
      <c r="AZ99" s="976">
        <f t="shared" ca="1" si="248"/>
        <v>0</v>
      </c>
      <c r="BA99" s="976">
        <f t="shared" ca="1" si="248"/>
        <v>0</v>
      </c>
      <c r="BB99" s="976">
        <f t="shared" ca="1" si="248"/>
        <v>0</v>
      </c>
      <c r="BC99" s="976">
        <f t="shared" ca="1" si="248"/>
        <v>0</v>
      </c>
      <c r="BD99" s="976">
        <f t="shared" ca="1" si="248"/>
        <v>0</v>
      </c>
      <c r="BE99" s="976">
        <f t="shared" ca="1" si="248"/>
        <v>0</v>
      </c>
      <c r="BF99" s="976">
        <f ca="1">SUM(AM99:BE99)</f>
        <v>-0.93040000000000012</v>
      </c>
      <c r="BH99" s="990">
        <f ca="1">BH$96+BH98</f>
        <v>36.388782495895242</v>
      </c>
      <c r="BI99" s="990">
        <f ca="1">BI$96+BI98</f>
        <v>0</v>
      </c>
      <c r="BJ99" s="990">
        <f ca="1">SUM(BH99:BI99)</f>
        <v>36.388782495895242</v>
      </c>
      <c r="BL99" s="515">
        <f ca="1">Q99+AK99+BF99+BJ99</f>
        <v>0</v>
      </c>
      <c r="BM99" s="515"/>
      <c r="BN99" s="840"/>
      <c r="BO99" s="1482">
        <f t="shared" ref="BO99:DF99" ca="1" si="249">BO$96+BO98</f>
        <v>0</v>
      </c>
      <c r="BP99" s="1482">
        <f t="shared" ca="1" si="249"/>
        <v>0</v>
      </c>
      <c r="BQ99" s="1482">
        <f t="shared" ca="1" si="249"/>
        <v>0</v>
      </c>
      <c r="BR99" s="1482">
        <f t="shared" ca="1" si="249"/>
        <v>0</v>
      </c>
      <c r="BS99" s="1482">
        <f t="shared" ca="1" si="249"/>
        <v>0</v>
      </c>
      <c r="BT99" s="1482">
        <f t="shared" ca="1" si="249"/>
        <v>0</v>
      </c>
      <c r="BU99" s="1482">
        <f t="shared" ca="1" si="249"/>
        <v>0</v>
      </c>
      <c r="BV99" s="1482">
        <f t="shared" ca="1" si="249"/>
        <v>0</v>
      </c>
      <c r="BW99" s="1482">
        <f t="shared" ca="1" si="249"/>
        <v>0</v>
      </c>
      <c r="BX99" s="1482">
        <f t="shared" ca="1" si="249"/>
        <v>0</v>
      </c>
      <c r="BY99" s="1482">
        <f t="shared" ca="1" si="249"/>
        <v>0</v>
      </c>
      <c r="BZ99" s="1482">
        <f t="shared" ca="1" si="249"/>
        <v>0</v>
      </c>
      <c r="CA99" s="1482">
        <f t="shared" ca="1" si="249"/>
        <v>0</v>
      </c>
      <c r="CB99" s="1482">
        <f t="shared" ca="1" si="249"/>
        <v>0</v>
      </c>
      <c r="CC99" s="1482">
        <f t="shared" ca="1" si="249"/>
        <v>0</v>
      </c>
      <c r="CD99" s="1482">
        <f t="shared" ca="1" si="249"/>
        <v>0</v>
      </c>
      <c r="CE99" s="1482">
        <f t="shared" ca="1" si="249"/>
        <v>0</v>
      </c>
      <c r="CF99" s="1482">
        <f t="shared" ca="1" si="249"/>
        <v>0</v>
      </c>
      <c r="CG99" s="1482">
        <f t="shared" ca="1" si="249"/>
        <v>0</v>
      </c>
      <c r="CH99" s="1482">
        <f t="shared" ca="1" si="249"/>
        <v>0</v>
      </c>
      <c r="CI99" s="1482">
        <f t="shared" ca="1" si="249"/>
        <v>0</v>
      </c>
      <c r="CJ99" s="1482">
        <f t="shared" ca="1" si="249"/>
        <v>0</v>
      </c>
      <c r="CK99" s="1482">
        <f t="shared" ca="1" si="249"/>
        <v>0</v>
      </c>
      <c r="CL99" s="1482">
        <f t="shared" ca="1" si="249"/>
        <v>0</v>
      </c>
      <c r="CM99" s="1482">
        <f t="shared" ca="1" si="249"/>
        <v>0</v>
      </c>
      <c r="CN99" s="1482">
        <f t="shared" ca="1" si="249"/>
        <v>0</v>
      </c>
      <c r="CO99" s="1482">
        <f t="shared" ca="1" si="249"/>
        <v>0</v>
      </c>
      <c r="CP99" s="1482">
        <f t="shared" ca="1" si="249"/>
        <v>0</v>
      </c>
      <c r="CQ99" s="1482">
        <f t="shared" ca="1" si="249"/>
        <v>0</v>
      </c>
      <c r="CR99" s="1482">
        <f t="shared" ca="1" si="249"/>
        <v>0</v>
      </c>
      <c r="CS99" s="1482">
        <f t="shared" ca="1" si="249"/>
        <v>0</v>
      </c>
      <c r="CT99" s="1482">
        <f t="shared" ca="1" si="249"/>
        <v>0</v>
      </c>
      <c r="CU99" s="1482">
        <f t="shared" ca="1" si="249"/>
        <v>0</v>
      </c>
      <c r="CV99" s="1482">
        <f t="shared" ca="1" si="249"/>
        <v>0</v>
      </c>
      <c r="CW99" s="1482">
        <f t="shared" ca="1" si="249"/>
        <v>0</v>
      </c>
      <c r="CX99" s="1482">
        <f t="shared" ca="1" si="249"/>
        <v>0</v>
      </c>
      <c r="CY99" s="1482">
        <f t="shared" ca="1" si="249"/>
        <v>-36.754296122047705</v>
      </c>
      <c r="CZ99" s="1482">
        <f t="shared" ca="1" si="249"/>
        <v>0</v>
      </c>
      <c r="DA99" s="1482">
        <f t="shared" ca="1" si="249"/>
        <v>0</v>
      </c>
      <c r="DB99" s="1482">
        <f t="shared" ca="1" si="249"/>
        <v>0</v>
      </c>
      <c r="DC99" s="1482">
        <f t="shared" ca="1" si="249"/>
        <v>0</v>
      </c>
      <c r="DD99" s="1482">
        <f t="shared" ca="1" si="249"/>
        <v>0</v>
      </c>
      <c r="DE99" s="1482">
        <f t="shared" ca="1" si="249"/>
        <v>0</v>
      </c>
      <c r="DF99" s="1482">
        <f t="shared" ca="1" si="249"/>
        <v>0</v>
      </c>
      <c r="DH99" s="838">
        <f t="shared" ca="1" si="235"/>
        <v>-36.754296122047705</v>
      </c>
    </row>
    <row r="100" spans="1:112" s="22" customFormat="1" ht="12.75" hidden="1" customHeight="1" outlineLevel="1">
      <c r="B100" s="753"/>
      <c r="C100" s="744"/>
      <c r="D100" s="517"/>
      <c r="E100" s="512"/>
      <c r="F100" s="743"/>
      <c r="G100" s="958"/>
      <c r="H100" s="958"/>
      <c r="I100" s="958"/>
      <c r="J100" s="958"/>
      <c r="K100" s="960"/>
      <c r="L100" s="958"/>
      <c r="M100" s="958"/>
      <c r="N100" s="958"/>
      <c r="O100" s="958"/>
      <c r="P100" s="958"/>
      <c r="Q100" s="1021"/>
      <c r="R100" s="743"/>
      <c r="S100" s="970"/>
      <c r="T100" s="970"/>
      <c r="U100" s="970"/>
      <c r="V100" s="970"/>
      <c r="W100" s="970"/>
      <c r="X100" s="970"/>
      <c r="Y100" s="970"/>
      <c r="Z100" s="970"/>
      <c r="AA100" s="970"/>
      <c r="AB100" s="970"/>
      <c r="AC100" s="970"/>
      <c r="AD100" s="970"/>
      <c r="AE100" s="970"/>
      <c r="AF100" s="970"/>
      <c r="AG100" s="970"/>
      <c r="AH100" s="970"/>
      <c r="AI100" s="970"/>
      <c r="AJ100" s="970"/>
      <c r="AK100" s="970"/>
      <c r="AL100" s="743"/>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743"/>
      <c r="BH100" s="990"/>
      <c r="BI100" s="990"/>
      <c r="BJ100" s="990"/>
      <c r="BK100" s="743"/>
      <c r="BL100" s="515"/>
      <c r="BM100" s="515"/>
      <c r="BO100" s="1482"/>
      <c r="BP100" s="1482"/>
      <c r="BQ100" s="1482"/>
      <c r="BR100" s="1482"/>
      <c r="BS100" s="1482"/>
      <c r="BT100" s="1482"/>
      <c r="BU100" s="1482"/>
      <c r="BV100" s="1482"/>
      <c r="BW100" s="1482"/>
      <c r="BX100" s="1482"/>
      <c r="BY100" s="1482"/>
      <c r="BZ100" s="1482"/>
      <c r="CA100" s="1482"/>
      <c r="CB100" s="1482"/>
      <c r="CC100" s="1482"/>
      <c r="CD100" s="1482"/>
      <c r="CE100" s="1482"/>
      <c r="CF100" s="1482"/>
      <c r="CG100" s="1482"/>
      <c r="CH100" s="1482"/>
      <c r="CI100" s="1482"/>
      <c r="CJ100" s="1482"/>
      <c r="CK100" s="1482"/>
      <c r="CL100" s="1482"/>
      <c r="CM100" s="1482"/>
      <c r="CN100" s="1482"/>
      <c r="CO100" s="1482"/>
      <c r="CP100" s="1482"/>
      <c r="CQ100" s="1482"/>
      <c r="CR100" s="1482"/>
      <c r="CS100" s="1482"/>
      <c r="CT100" s="1482"/>
      <c r="CU100" s="1482"/>
      <c r="CV100" s="1482"/>
      <c r="CW100" s="1482"/>
      <c r="CX100" s="1482"/>
      <c r="CY100" s="1482"/>
      <c r="CZ100" s="1482"/>
      <c r="DA100" s="1482"/>
      <c r="DB100" s="1482"/>
      <c r="DC100" s="1482"/>
      <c r="DD100" s="1482"/>
      <c r="DE100" s="1482"/>
      <c r="DF100" s="1482"/>
      <c r="DH100" s="838">
        <f t="shared" si="235"/>
        <v>0</v>
      </c>
    </row>
    <row r="101" spans="1:112" s="1488" customFormat="1" ht="12.75" hidden="1" customHeight="1" outlineLevel="1">
      <c r="C101" s="1048" t="s">
        <v>1725</v>
      </c>
      <c r="D101" s="851" t="s">
        <v>1224</v>
      </c>
      <c r="E101" s="851"/>
      <c r="G101" s="1070"/>
      <c r="H101" s="1070"/>
      <c r="I101" s="1070"/>
      <c r="J101" s="1070"/>
      <c r="K101" s="1071"/>
      <c r="L101" s="1070"/>
      <c r="M101" s="1070"/>
      <c r="N101" s="1070"/>
      <c r="O101" s="1070"/>
      <c r="P101" s="1070"/>
      <c r="Q101" s="1478"/>
      <c r="R101" s="1491"/>
      <c r="S101" s="1072">
        <f ca="1">(S$40+S$84+S$93+S$99)</f>
        <v>-422.11056999038811</v>
      </c>
      <c r="T101" s="1072">
        <f ca="1">(T$40+T$84+T$93+T$99)</f>
        <v>422.11056999038811</v>
      </c>
      <c r="U101" s="1072">
        <f ca="1">(U$40+U$84+U$93+U$99)</f>
        <v>-54.911379197044496</v>
      </c>
      <c r="V101" s="1072">
        <f ca="1">(V$40+V$84+V$93+V$99)</f>
        <v>-788.99093031521011</v>
      </c>
      <c r="W101" s="1072">
        <f ca="1">(W$40+W$84+W$93+W$99)</f>
        <v>-1609.2587729237391</v>
      </c>
      <c r="X101" s="1072"/>
      <c r="Y101" s="1072"/>
      <c r="Z101" s="1072"/>
      <c r="AA101" s="1072"/>
      <c r="AB101" s="1072"/>
      <c r="AC101" s="1072"/>
      <c r="AD101" s="1072"/>
      <c r="AE101" s="1072"/>
      <c r="AF101" s="1072"/>
      <c r="AG101" s="1072"/>
      <c r="AH101" s="1072"/>
      <c r="AI101" s="1072"/>
      <c r="AJ101" s="1072"/>
      <c r="AK101" s="1072"/>
      <c r="AL101" s="1491"/>
      <c r="AM101" s="1073"/>
      <c r="AN101" s="1073"/>
      <c r="AO101" s="1073"/>
      <c r="AP101" s="1073"/>
      <c r="AQ101" s="1073"/>
      <c r="AR101" s="1073"/>
      <c r="AS101" s="1073"/>
      <c r="AT101" s="1073"/>
      <c r="AU101" s="1073"/>
      <c r="AV101" s="1073"/>
      <c r="AW101" s="1073"/>
      <c r="AX101" s="1073"/>
      <c r="AY101" s="1073"/>
      <c r="AZ101" s="1073"/>
      <c r="BA101" s="1073"/>
      <c r="BB101" s="1073"/>
      <c r="BC101" s="1073"/>
      <c r="BD101" s="1073"/>
      <c r="BE101" s="1073"/>
      <c r="BF101" s="1073"/>
      <c r="BG101" s="1491"/>
      <c r="BH101" s="1074"/>
      <c r="BI101" s="1074"/>
      <c r="BJ101" s="1074"/>
      <c r="BL101" s="852"/>
      <c r="BM101" s="852"/>
      <c r="BO101" s="1490"/>
      <c r="BP101" s="1490"/>
      <c r="BQ101" s="1490"/>
      <c r="BR101" s="1490"/>
      <c r="BS101" s="1490"/>
      <c r="BT101" s="1490"/>
      <c r="BU101" s="1490"/>
      <c r="BV101" s="1490"/>
      <c r="BW101" s="1490"/>
      <c r="BX101" s="1490"/>
      <c r="BY101" s="1490"/>
      <c r="BZ101" s="1490"/>
      <c r="CA101" s="1490"/>
      <c r="CB101" s="1490"/>
      <c r="CC101" s="1490"/>
      <c r="CD101" s="1490"/>
      <c r="CE101" s="1490"/>
      <c r="CF101" s="1490"/>
      <c r="CG101" s="1490"/>
      <c r="CH101" s="1490"/>
      <c r="CI101" s="1490"/>
      <c r="CJ101" s="1490"/>
      <c r="CK101" s="1490"/>
      <c r="CL101" s="1490"/>
      <c r="CM101" s="1490"/>
      <c r="CN101" s="1490"/>
      <c r="CO101" s="1490"/>
      <c r="CP101" s="1490"/>
      <c r="CQ101" s="1490"/>
      <c r="CR101" s="1490"/>
      <c r="CS101" s="1490"/>
      <c r="CT101" s="1490"/>
      <c r="CU101" s="1490"/>
      <c r="CV101" s="1490"/>
      <c r="CW101" s="1490"/>
      <c r="CX101" s="1490"/>
      <c r="CY101" s="1490"/>
      <c r="CZ101" s="1490"/>
      <c r="DA101" s="1490"/>
      <c r="DB101" s="1490"/>
      <c r="DC101" s="1490"/>
      <c r="DD101" s="1490"/>
      <c r="DE101" s="1490"/>
      <c r="DF101" s="1490"/>
      <c r="DH101" s="838">
        <f t="shared" si="235"/>
        <v>0</v>
      </c>
    </row>
    <row r="102" spans="1:112" s="1484" customFormat="1" ht="12.75" hidden="1" customHeight="1" outlineLevel="1">
      <c r="B102" s="1492"/>
      <c r="C102" s="522" t="s">
        <v>1013</v>
      </c>
      <c r="D102" s="521" t="str">
        <f>INDEX(Modules[Module], MATCH($C102, Modules[Code], 0))</f>
        <v>Fossil fuel transfers</v>
      </c>
      <c r="E102" s="521"/>
      <c r="F102" s="743"/>
      <c r="G102" s="963">
        <f t="shared" ref="G102:P102" ca="1" si="250">IFERROR(INDEX(INDIRECT($C102&amp;".Outputs["&amp;this.Year&amp;"]"), MATCH(G$5, INDIRECT($C102&amp;".Outputs[Vector]"), 0)), 0)</f>
        <v>0</v>
      </c>
      <c r="H102" s="963">
        <f t="shared" ca="1" si="250"/>
        <v>0</v>
      </c>
      <c r="I102" s="963">
        <f t="shared" ca="1" si="250"/>
        <v>0</v>
      </c>
      <c r="J102" s="963">
        <f t="shared" ca="1" si="250"/>
        <v>0</v>
      </c>
      <c r="K102" s="964">
        <f t="shared" ca="1" si="250"/>
        <v>0</v>
      </c>
      <c r="L102" s="963">
        <f t="shared" ca="1" si="250"/>
        <v>0</v>
      </c>
      <c r="M102" s="963">
        <f t="shared" ca="1" si="250"/>
        <v>0</v>
      </c>
      <c r="N102" s="963">
        <f t="shared" ca="1" si="250"/>
        <v>0</v>
      </c>
      <c r="O102" s="963">
        <f t="shared" ca="1" si="250"/>
        <v>0</v>
      </c>
      <c r="P102" s="963">
        <f t="shared" ca="1" si="250"/>
        <v>0</v>
      </c>
      <c r="Q102" s="1096">
        <f ca="1">SUM(G102:P102)</f>
        <v>0</v>
      </c>
      <c r="R102" s="743"/>
      <c r="S102" s="972">
        <f t="shared" ref="S102:AJ102" ca="1" si="251">IFERROR(INDEX(INDIRECT($C102&amp;".Outputs["&amp;this.Year&amp;"]"), MATCH(S$5, INDIRECT($C102&amp;".Outputs[Vector]"), 0)), 0)</f>
        <v>0</v>
      </c>
      <c r="T102" s="972">
        <f t="shared" ca="1" si="251"/>
        <v>0</v>
      </c>
      <c r="U102" s="972">
        <f t="shared" ca="1" si="251"/>
        <v>54.911379197044496</v>
      </c>
      <c r="V102" s="972">
        <f t="shared" ca="1" si="251"/>
        <v>788.99093031521011</v>
      </c>
      <c r="W102" s="972">
        <f t="shared" ca="1" si="251"/>
        <v>1609.2587729237391</v>
      </c>
      <c r="X102" s="972">
        <f t="shared" ca="1" si="251"/>
        <v>-54.911379197044496</v>
      </c>
      <c r="Y102" s="972">
        <f t="shared" ca="1" si="251"/>
        <v>-788.99093031521011</v>
      </c>
      <c r="Z102" s="972">
        <f t="shared" ca="1" si="251"/>
        <v>-1627.806060079592</v>
      </c>
      <c r="AA102" s="972">
        <f t="shared" ca="1" si="251"/>
        <v>0</v>
      </c>
      <c r="AB102" s="972">
        <f t="shared" ca="1" si="251"/>
        <v>0</v>
      </c>
      <c r="AC102" s="972">
        <f t="shared" ca="1" si="251"/>
        <v>0</v>
      </c>
      <c r="AD102" s="972">
        <f t="shared" ca="1" si="251"/>
        <v>0</v>
      </c>
      <c r="AE102" s="972">
        <f t="shared" ca="1" si="251"/>
        <v>0</v>
      </c>
      <c r="AF102" s="972">
        <f t="shared" ca="1" si="251"/>
        <v>0</v>
      </c>
      <c r="AG102" s="972">
        <f t="shared" ca="1" si="251"/>
        <v>0</v>
      </c>
      <c r="AH102" s="972">
        <f t="shared" ca="1" si="251"/>
        <v>0</v>
      </c>
      <c r="AI102" s="972">
        <f t="shared" ca="1" si="251"/>
        <v>0</v>
      </c>
      <c r="AJ102" s="972">
        <f t="shared" ca="1" si="251"/>
        <v>0</v>
      </c>
      <c r="AK102" s="972">
        <f ca="1">SUM(S102:AJ102)</f>
        <v>-18.547287155852928</v>
      </c>
      <c r="AL102" s="743"/>
      <c r="AM102" s="979">
        <f t="shared" ref="AM102:BE102" ca="1" si="252">IFERROR(INDEX(INDIRECT($C102&amp;".Outputs["&amp;this.Year&amp;"]"), MATCH(AM$5, INDIRECT($C102&amp;".Outputs[Vector]"), 0)), 0)</f>
        <v>0</v>
      </c>
      <c r="AN102" s="979">
        <f t="shared" ca="1" si="252"/>
        <v>0</v>
      </c>
      <c r="AO102" s="979">
        <f t="shared" ca="1" si="252"/>
        <v>0</v>
      </c>
      <c r="AP102" s="979">
        <f t="shared" ca="1" si="252"/>
        <v>0</v>
      </c>
      <c r="AQ102" s="979">
        <f t="shared" ca="1" si="252"/>
        <v>0</v>
      </c>
      <c r="AR102" s="979">
        <f t="shared" ca="1" si="252"/>
        <v>0</v>
      </c>
      <c r="AS102" s="979">
        <f t="shared" ca="1" si="252"/>
        <v>0</v>
      </c>
      <c r="AT102" s="979">
        <f t="shared" ca="1" si="252"/>
        <v>0</v>
      </c>
      <c r="AU102" s="979">
        <f t="shared" ca="1" si="252"/>
        <v>0</v>
      </c>
      <c r="AV102" s="979">
        <f t="shared" ca="1" si="252"/>
        <v>0</v>
      </c>
      <c r="AW102" s="979">
        <f t="shared" ca="1" si="252"/>
        <v>0</v>
      </c>
      <c r="AX102" s="979">
        <f t="shared" ca="1" si="252"/>
        <v>0</v>
      </c>
      <c r="AY102" s="979">
        <f t="shared" ca="1" si="252"/>
        <v>0</v>
      </c>
      <c r="AZ102" s="979">
        <f t="shared" ca="1" si="252"/>
        <v>0</v>
      </c>
      <c r="BA102" s="979">
        <f t="shared" ca="1" si="252"/>
        <v>0</v>
      </c>
      <c r="BB102" s="979">
        <f t="shared" ca="1" si="252"/>
        <v>0</v>
      </c>
      <c r="BC102" s="979">
        <f t="shared" ca="1" si="252"/>
        <v>0</v>
      </c>
      <c r="BD102" s="979">
        <f t="shared" ca="1" si="252"/>
        <v>0</v>
      </c>
      <c r="BE102" s="979">
        <f t="shared" ca="1" si="252"/>
        <v>0</v>
      </c>
      <c r="BF102" s="979">
        <f ca="1">SUM(AM102:BE102)</f>
        <v>0</v>
      </c>
      <c r="BG102" s="743"/>
      <c r="BH102" s="992">
        <f ca="1">IFERROR(INDEX(INDIRECT($C102&amp;".Outputs["&amp;this.Year&amp;"]"), MATCH(BH$5, INDIRECT($C102&amp;".Outputs[Vector]"), 0)), 0)</f>
        <v>0</v>
      </c>
      <c r="BI102" s="992">
        <f ca="1">IFERROR(INDEX(INDIRECT($C102&amp;".Outputs["&amp;this.Year&amp;"]"), MATCH(BI$5, INDIRECT($C102&amp;".Outputs[Vector]"), 0)), 0)</f>
        <v>18.547287155853006</v>
      </c>
      <c r="BJ102" s="992">
        <f ca="1">SUM(BH102:BI102)</f>
        <v>18.547287155853006</v>
      </c>
      <c r="BK102" s="743"/>
      <c r="BL102" s="515">
        <f t="shared" ref="BL102:BL109" ca="1" si="253">Q102+AK102+BF102+BJ102</f>
        <v>7.815970093361102E-14</v>
      </c>
      <c r="BM102" s="814"/>
      <c r="BO102" s="1481">
        <f t="shared" ref="BO102:BX103" ca="1" si="254">IFERROR(SUMIFS(INDIRECT($C102&amp;".Emissions["&amp;this.Year&amp;"]"), INDIRECT($C102&amp;".Emissions[GHG]"), BO$6, INDIRECT($C102&amp;".Emissions[IPCC Sector]"), BO$5),0)</f>
        <v>0</v>
      </c>
      <c r="BP102" s="1482">
        <f t="shared" ca="1" si="254"/>
        <v>0</v>
      </c>
      <c r="BQ102" s="1482">
        <f t="shared" ca="1" si="254"/>
        <v>0</v>
      </c>
      <c r="BR102" s="1482">
        <f t="shared" ca="1" si="254"/>
        <v>0</v>
      </c>
      <c r="BS102" s="1482">
        <f t="shared" ca="1" si="254"/>
        <v>0</v>
      </c>
      <c r="BT102" s="1482">
        <f t="shared" ca="1" si="254"/>
        <v>7.0567643169186018</v>
      </c>
      <c r="BU102" s="1482">
        <f t="shared" ca="1" si="254"/>
        <v>0</v>
      </c>
      <c r="BV102" s="1482">
        <f t="shared" ca="1" si="254"/>
        <v>0</v>
      </c>
      <c r="BW102" s="1482">
        <f t="shared" ca="1" si="254"/>
        <v>0</v>
      </c>
      <c r="BX102" s="1482">
        <f t="shared" ca="1" si="254"/>
        <v>0</v>
      </c>
      <c r="BY102" s="1482">
        <f t="shared" ref="BY102:CH103" ca="1" si="255">IFERROR(SUMIFS(INDIRECT($C102&amp;".Emissions["&amp;this.Year&amp;"]"), INDIRECT($C102&amp;".Emissions[GHG]"), BY$6, INDIRECT($C102&amp;".Emissions[IPCC Sector]"), BY$5),0)</f>
        <v>0</v>
      </c>
      <c r="BZ102" s="1482">
        <f t="shared" ca="1" si="255"/>
        <v>0</v>
      </c>
      <c r="CA102" s="1482">
        <f t="shared" ca="1" si="255"/>
        <v>0</v>
      </c>
      <c r="CB102" s="1482">
        <f t="shared" ca="1" si="255"/>
        <v>0</v>
      </c>
      <c r="CC102" s="1482">
        <f t="shared" ca="1" si="255"/>
        <v>0</v>
      </c>
      <c r="CD102" s="1482">
        <f t="shared" ca="1" si="255"/>
        <v>0</v>
      </c>
      <c r="CE102" s="1482">
        <f t="shared" ca="1" si="255"/>
        <v>0</v>
      </c>
      <c r="CF102" s="1482">
        <f t="shared" ca="1" si="255"/>
        <v>0</v>
      </c>
      <c r="CG102" s="1482">
        <f t="shared" ca="1" si="255"/>
        <v>0</v>
      </c>
      <c r="CH102" s="1482">
        <f t="shared" ca="1" si="255"/>
        <v>0</v>
      </c>
      <c r="CI102" s="1482">
        <f t="shared" ref="CI102:CR103" ca="1" si="256">IFERROR(SUMIFS(INDIRECT($C102&amp;".Emissions["&amp;this.Year&amp;"]"), INDIRECT($C102&amp;".Emissions[GHG]"), CI$6, INDIRECT($C102&amp;".Emissions[IPCC Sector]"), CI$5),0)</f>
        <v>0</v>
      </c>
      <c r="CJ102" s="1482">
        <f t="shared" ca="1" si="256"/>
        <v>0</v>
      </c>
      <c r="CK102" s="1482">
        <f t="shared" ca="1" si="256"/>
        <v>0</v>
      </c>
      <c r="CL102" s="1482">
        <f t="shared" ca="1" si="256"/>
        <v>0</v>
      </c>
      <c r="CM102" s="1482">
        <f t="shared" ca="1" si="256"/>
        <v>0</v>
      </c>
      <c r="CN102" s="1482">
        <f t="shared" ca="1" si="256"/>
        <v>0</v>
      </c>
      <c r="CO102" s="1482">
        <f t="shared" ca="1" si="256"/>
        <v>0</v>
      </c>
      <c r="CP102" s="1482">
        <f t="shared" ca="1" si="256"/>
        <v>0</v>
      </c>
      <c r="CQ102" s="1482">
        <f t="shared" ca="1" si="256"/>
        <v>0</v>
      </c>
      <c r="CR102" s="1482">
        <f t="shared" ca="1" si="256"/>
        <v>0</v>
      </c>
      <c r="CS102" s="1482">
        <f t="shared" ref="CS102:DF103" ca="1" si="257">IFERROR(SUMIFS(INDIRECT($C102&amp;".Emissions["&amp;this.Year&amp;"]"), INDIRECT($C102&amp;".Emissions[GHG]"), CS$6, INDIRECT($C102&amp;".Emissions[IPCC Sector]"), CS$5),0)</f>
        <v>0</v>
      </c>
      <c r="CT102" s="1482">
        <f t="shared" ca="1" si="257"/>
        <v>0</v>
      </c>
      <c r="CU102" s="1482">
        <f t="shared" ca="1" si="257"/>
        <v>0</v>
      </c>
      <c r="CV102" s="1482">
        <f t="shared" ca="1" si="257"/>
        <v>0</v>
      </c>
      <c r="CW102" s="1482">
        <f t="shared" ca="1" si="257"/>
        <v>0</v>
      </c>
      <c r="CX102" s="1482">
        <f t="shared" ca="1" si="257"/>
        <v>0</v>
      </c>
      <c r="CY102" s="1482">
        <f t="shared" ca="1" si="257"/>
        <v>0</v>
      </c>
      <c r="CZ102" s="1482">
        <f t="shared" ca="1" si="257"/>
        <v>0</v>
      </c>
      <c r="DA102" s="1482">
        <f t="shared" ca="1" si="257"/>
        <v>0</v>
      </c>
      <c r="DB102" s="1482">
        <f t="shared" ca="1" si="257"/>
        <v>0</v>
      </c>
      <c r="DC102" s="1482">
        <f t="shared" ca="1" si="257"/>
        <v>0</v>
      </c>
      <c r="DD102" s="1482">
        <f t="shared" ca="1" si="257"/>
        <v>0</v>
      </c>
      <c r="DE102" s="1482">
        <f t="shared" ca="1" si="257"/>
        <v>0</v>
      </c>
      <c r="DF102" s="1482">
        <f t="shared" ca="1" si="257"/>
        <v>0</v>
      </c>
      <c r="DH102" s="838">
        <f t="shared" ca="1" si="235"/>
        <v>7.0567643169186018</v>
      </c>
    </row>
    <row r="103" spans="1:112" s="1484" customFormat="1" ht="12.75" hidden="1" customHeight="1" outlineLevel="1">
      <c r="B103" s="1492" t="s">
        <v>798</v>
      </c>
      <c r="C103" s="522" t="s">
        <v>1014</v>
      </c>
      <c r="D103" s="1010" t="str">
        <f>INDEX(Modules[Module], MATCH($C103, Modules[Code], 0))</f>
        <v>Balancing imports</v>
      </c>
      <c r="E103" s="1010"/>
      <c r="F103" s="743"/>
      <c r="G103" s="1102"/>
      <c r="H103" s="1102"/>
      <c r="I103" s="1102"/>
      <c r="J103" s="1102"/>
      <c r="K103" s="1103"/>
      <c r="L103" s="1102"/>
      <c r="M103" s="1102"/>
      <c r="N103" s="1102"/>
      <c r="O103" s="1102"/>
      <c r="P103" s="1102"/>
      <c r="Q103" s="1104">
        <f>SUM(G103:P103)</f>
        <v>0</v>
      </c>
      <c r="R103" s="743"/>
      <c r="S103" s="1105"/>
      <c r="T103" s="1105">
        <f ca="1">-(T$101+S$101)</f>
        <v>0</v>
      </c>
      <c r="U103" s="1105"/>
      <c r="V103" s="1105"/>
      <c r="W103" s="1105"/>
      <c r="X103" s="1105">
        <f ca="1">-(X$40+X$84+X$93+X$99+X$102)</f>
        <v>-158.28640647317502</v>
      </c>
      <c r="Y103" s="1105">
        <f ca="1">-(Y$40+Y$84+Y$93+Y$99+Y$102)</f>
        <v>578.81036054493507</v>
      </c>
      <c r="Z103" s="1105">
        <f ca="1">-(Z$40+Z$84+Z$93+Z$99+Z$102)</f>
        <v>1466.8200865633069</v>
      </c>
      <c r="AA103" s="1105"/>
      <c r="AB103" s="1105"/>
      <c r="AC103" s="1105"/>
      <c r="AD103" s="1105"/>
      <c r="AE103" s="1105"/>
      <c r="AF103" s="1105"/>
      <c r="AG103" s="1105"/>
      <c r="AH103" s="1105"/>
      <c r="AI103" s="1105"/>
      <c r="AJ103" s="1105"/>
      <c r="AK103" s="1105">
        <f ca="1">SUM(S103:AJ103)</f>
        <v>1887.3440406350669</v>
      </c>
      <c r="AL103" s="743"/>
      <c r="AM103" s="1012"/>
      <c r="AN103" s="1012"/>
      <c r="AO103" s="1012"/>
      <c r="AP103" s="1012"/>
      <c r="AQ103" s="1012">
        <f ca="1">-T103</f>
        <v>0</v>
      </c>
      <c r="AR103" s="1012">
        <f>-V103</f>
        <v>0</v>
      </c>
      <c r="AS103" s="1012">
        <f ca="1">-X103</f>
        <v>158.28640647317502</v>
      </c>
      <c r="AT103" s="1012">
        <f ca="1">-Y103</f>
        <v>-578.81036054493507</v>
      </c>
      <c r="AU103" s="1012">
        <f ca="1">-Z103</f>
        <v>-1466.8200865633069</v>
      </c>
      <c r="AV103" s="1012"/>
      <c r="AW103" s="1012"/>
      <c r="AX103" s="1012"/>
      <c r="AY103" s="1012"/>
      <c r="AZ103" s="1012"/>
      <c r="BA103" s="1012"/>
      <c r="BB103" s="1012"/>
      <c r="BC103" s="1012"/>
      <c r="BD103" s="1012"/>
      <c r="BE103" s="1012"/>
      <c r="BF103" s="1012">
        <f ca="1">SUM(AM103:BE103)</f>
        <v>-1887.3440406350669</v>
      </c>
      <c r="BG103" s="743"/>
      <c r="BH103" s="1106"/>
      <c r="BI103" s="1106"/>
      <c r="BJ103" s="1106">
        <f>SUM(BH103:BI103)</f>
        <v>0</v>
      </c>
      <c r="BK103" s="743"/>
      <c r="BL103" s="515">
        <f t="shared" ca="1" si="253"/>
        <v>0</v>
      </c>
      <c r="BM103" s="814"/>
      <c r="BO103" s="1485">
        <f t="shared" ca="1" si="254"/>
        <v>0</v>
      </c>
      <c r="BP103" s="1486">
        <f t="shared" ca="1" si="254"/>
        <v>0</v>
      </c>
      <c r="BQ103" s="1486">
        <f t="shared" ca="1" si="254"/>
        <v>0</v>
      </c>
      <c r="BR103" s="1486">
        <f t="shared" ca="1" si="254"/>
        <v>0</v>
      </c>
      <c r="BS103" s="1486">
        <f t="shared" ca="1" si="254"/>
        <v>0</v>
      </c>
      <c r="BT103" s="1486">
        <f t="shared" ca="1" si="254"/>
        <v>0</v>
      </c>
      <c r="BU103" s="1486">
        <f t="shared" ca="1" si="254"/>
        <v>0</v>
      </c>
      <c r="BV103" s="1486">
        <f t="shared" ca="1" si="254"/>
        <v>0</v>
      </c>
      <c r="BW103" s="1486">
        <f t="shared" ca="1" si="254"/>
        <v>0</v>
      </c>
      <c r="BX103" s="1486">
        <f t="shared" ca="1" si="254"/>
        <v>0</v>
      </c>
      <c r="BY103" s="1486">
        <f t="shared" ca="1" si="255"/>
        <v>0</v>
      </c>
      <c r="BZ103" s="1486">
        <f t="shared" ca="1" si="255"/>
        <v>0</v>
      </c>
      <c r="CA103" s="1486">
        <f t="shared" ca="1" si="255"/>
        <v>0</v>
      </c>
      <c r="CB103" s="1486">
        <f t="shared" ca="1" si="255"/>
        <v>0</v>
      </c>
      <c r="CC103" s="1486">
        <f t="shared" ca="1" si="255"/>
        <v>0</v>
      </c>
      <c r="CD103" s="1486">
        <f t="shared" ca="1" si="255"/>
        <v>0</v>
      </c>
      <c r="CE103" s="1486">
        <f t="shared" ca="1" si="255"/>
        <v>0</v>
      </c>
      <c r="CF103" s="1486">
        <f t="shared" ca="1" si="255"/>
        <v>0</v>
      </c>
      <c r="CG103" s="1486">
        <f t="shared" ca="1" si="255"/>
        <v>0</v>
      </c>
      <c r="CH103" s="1486">
        <f t="shared" ca="1" si="255"/>
        <v>0</v>
      </c>
      <c r="CI103" s="1486">
        <f t="shared" ca="1" si="256"/>
        <v>0</v>
      </c>
      <c r="CJ103" s="1486">
        <f t="shared" ca="1" si="256"/>
        <v>0</v>
      </c>
      <c r="CK103" s="1486">
        <f t="shared" ca="1" si="256"/>
        <v>0</v>
      </c>
      <c r="CL103" s="1486">
        <f t="shared" ca="1" si="256"/>
        <v>0</v>
      </c>
      <c r="CM103" s="1486">
        <f t="shared" ca="1" si="256"/>
        <v>0</v>
      </c>
      <c r="CN103" s="1486">
        <f t="shared" ca="1" si="256"/>
        <v>0</v>
      </c>
      <c r="CO103" s="1486">
        <f t="shared" ca="1" si="256"/>
        <v>0</v>
      </c>
      <c r="CP103" s="1486">
        <f t="shared" ca="1" si="256"/>
        <v>0</v>
      </c>
      <c r="CQ103" s="1486">
        <f t="shared" ca="1" si="256"/>
        <v>0</v>
      </c>
      <c r="CR103" s="1486">
        <f t="shared" ca="1" si="256"/>
        <v>0</v>
      </c>
      <c r="CS103" s="1486">
        <f t="shared" ca="1" si="257"/>
        <v>0</v>
      </c>
      <c r="CT103" s="1486">
        <f t="shared" ca="1" si="257"/>
        <v>0</v>
      </c>
      <c r="CU103" s="1486">
        <f t="shared" ca="1" si="257"/>
        <v>0</v>
      </c>
      <c r="CV103" s="1486">
        <f t="shared" ca="1" si="257"/>
        <v>0</v>
      </c>
      <c r="CW103" s="1486">
        <f t="shared" ca="1" si="257"/>
        <v>0</v>
      </c>
      <c r="CX103" s="1486">
        <f t="shared" ca="1" si="257"/>
        <v>0</v>
      </c>
      <c r="CY103" s="1486">
        <f t="shared" ca="1" si="257"/>
        <v>0</v>
      </c>
      <c r="CZ103" s="1486">
        <f t="shared" ca="1" si="257"/>
        <v>0</v>
      </c>
      <c r="DA103" s="1486">
        <f t="shared" ca="1" si="257"/>
        <v>0</v>
      </c>
      <c r="DB103" s="1486">
        <f t="shared" ca="1" si="257"/>
        <v>0</v>
      </c>
      <c r="DC103" s="1486">
        <f t="shared" ca="1" si="257"/>
        <v>0</v>
      </c>
      <c r="DD103" s="1486">
        <f t="shared" ca="1" si="257"/>
        <v>0</v>
      </c>
      <c r="DE103" s="1486">
        <f t="shared" ca="1" si="257"/>
        <v>0</v>
      </c>
      <c r="DF103" s="1486">
        <f t="shared" ca="1" si="257"/>
        <v>0</v>
      </c>
      <c r="DH103" s="838">
        <f t="shared" ca="1" si="235"/>
        <v>0</v>
      </c>
    </row>
    <row r="104" spans="1:112" s="743" customFormat="1" ht="15.75" collapsed="1">
      <c r="B104" s="753" t="s">
        <v>798</v>
      </c>
      <c r="C104" s="516" t="s">
        <v>1012</v>
      </c>
      <c r="D104" s="517" t="str">
        <f>INDEX(Workstreams[Workstream], MATCH($C104, Workstreams[Code], 0))</f>
        <v>Transfers</v>
      </c>
      <c r="E104" s="509"/>
      <c r="G104" s="1021">
        <f ca="1">SUM(G102:G103)</f>
        <v>0</v>
      </c>
      <c r="H104" s="1021">
        <f t="shared" ref="H104:P104" ca="1" si="258">SUM(H102:H103)</f>
        <v>0</v>
      </c>
      <c r="I104" s="1021">
        <f t="shared" ca="1" si="258"/>
        <v>0</v>
      </c>
      <c r="J104" s="1021">
        <f t="shared" ca="1" si="258"/>
        <v>0</v>
      </c>
      <c r="K104" s="1021">
        <f t="shared" ca="1" si="258"/>
        <v>0</v>
      </c>
      <c r="L104" s="1021">
        <f t="shared" ca="1" si="258"/>
        <v>0</v>
      </c>
      <c r="M104" s="1021">
        <f t="shared" ca="1" si="258"/>
        <v>0</v>
      </c>
      <c r="N104" s="1021">
        <f t="shared" ca="1" si="258"/>
        <v>0</v>
      </c>
      <c r="O104" s="1021">
        <f t="shared" ca="1" si="258"/>
        <v>0</v>
      </c>
      <c r="P104" s="1021">
        <f t="shared" ca="1" si="258"/>
        <v>0</v>
      </c>
      <c r="Q104" s="1021">
        <f ca="1">SUM(G104:P104)</f>
        <v>0</v>
      </c>
      <c r="S104" s="970">
        <f t="shared" ref="S104:AJ104" ca="1" si="259">SUM(S102:S103)</f>
        <v>0</v>
      </c>
      <c r="T104" s="970">
        <f t="shared" ca="1" si="259"/>
        <v>0</v>
      </c>
      <c r="U104" s="970">
        <f t="shared" ca="1" si="259"/>
        <v>54.911379197044496</v>
      </c>
      <c r="V104" s="970">
        <f t="shared" ca="1" si="259"/>
        <v>788.99093031521011</v>
      </c>
      <c r="W104" s="970">
        <f t="shared" ca="1" si="259"/>
        <v>1609.2587729237391</v>
      </c>
      <c r="X104" s="970">
        <f t="shared" ca="1" si="259"/>
        <v>-213.1977856702195</v>
      </c>
      <c r="Y104" s="970">
        <f t="shared" ca="1" si="259"/>
        <v>-210.18056977027504</v>
      </c>
      <c r="Z104" s="970">
        <f t="shared" ca="1" si="259"/>
        <v>-160.98597351628518</v>
      </c>
      <c r="AA104" s="970">
        <f t="shared" ca="1" si="259"/>
        <v>0</v>
      </c>
      <c r="AB104" s="970">
        <f t="shared" ca="1" si="259"/>
        <v>0</v>
      </c>
      <c r="AC104" s="970">
        <f t="shared" ca="1" si="259"/>
        <v>0</v>
      </c>
      <c r="AD104" s="970">
        <f ca="1">SUM(AD102:AD103)</f>
        <v>0</v>
      </c>
      <c r="AE104" s="970">
        <f ca="1">SUM(AE102:AE103)</f>
        <v>0</v>
      </c>
      <c r="AF104" s="970">
        <f t="shared" ca="1" si="259"/>
        <v>0</v>
      </c>
      <c r="AG104" s="970">
        <f ca="1">SUM(AG102:AG103)</f>
        <v>0</v>
      </c>
      <c r="AH104" s="970">
        <f ca="1">SUM(AH102:AH103)</f>
        <v>0</v>
      </c>
      <c r="AI104" s="970">
        <f ca="1">SUM(AI102:AI103)</f>
        <v>0</v>
      </c>
      <c r="AJ104" s="970">
        <f t="shared" ca="1" si="259"/>
        <v>0</v>
      </c>
      <c r="AK104" s="970">
        <f ca="1">SUM(S104:AJ104)</f>
        <v>1868.7967534792137</v>
      </c>
      <c r="AM104" s="976">
        <f t="shared" ref="AM104:BE104" ca="1" si="260">SUM(AM102:AM103)</f>
        <v>0</v>
      </c>
      <c r="AN104" s="976">
        <f t="shared" ca="1" si="260"/>
        <v>0</v>
      </c>
      <c r="AO104" s="976">
        <f t="shared" ca="1" si="260"/>
        <v>0</v>
      </c>
      <c r="AP104" s="976">
        <f t="shared" ca="1" si="260"/>
        <v>0</v>
      </c>
      <c r="AQ104" s="976">
        <f t="shared" ca="1" si="260"/>
        <v>0</v>
      </c>
      <c r="AR104" s="976">
        <f t="shared" ca="1" si="260"/>
        <v>0</v>
      </c>
      <c r="AS104" s="976">
        <f t="shared" ca="1" si="260"/>
        <v>158.28640647317502</v>
      </c>
      <c r="AT104" s="976">
        <f t="shared" ca="1" si="260"/>
        <v>-578.81036054493507</v>
      </c>
      <c r="AU104" s="976">
        <f t="shared" ca="1" si="260"/>
        <v>-1466.8200865633069</v>
      </c>
      <c r="AV104" s="976">
        <f t="shared" ca="1" si="260"/>
        <v>0</v>
      </c>
      <c r="AW104" s="976">
        <f t="shared" ca="1" si="260"/>
        <v>0</v>
      </c>
      <c r="AX104" s="976">
        <f t="shared" ca="1" si="260"/>
        <v>0</v>
      </c>
      <c r="AY104" s="976">
        <f t="shared" ca="1" si="260"/>
        <v>0</v>
      </c>
      <c r="AZ104" s="976">
        <f t="shared" ca="1" si="260"/>
        <v>0</v>
      </c>
      <c r="BA104" s="976">
        <f t="shared" ca="1" si="260"/>
        <v>0</v>
      </c>
      <c r="BB104" s="976">
        <f t="shared" ca="1" si="260"/>
        <v>0</v>
      </c>
      <c r="BC104" s="976">
        <f t="shared" ca="1" si="260"/>
        <v>0</v>
      </c>
      <c r="BD104" s="976">
        <f t="shared" ca="1" si="260"/>
        <v>0</v>
      </c>
      <c r="BE104" s="976">
        <f t="shared" ca="1" si="260"/>
        <v>0</v>
      </c>
      <c r="BF104" s="976">
        <f ca="1">SUM(AM104:BE104)</f>
        <v>-1887.3440406350669</v>
      </c>
      <c r="BH104" s="990">
        <f ca="1">SUM(BH102:BH103)</f>
        <v>0</v>
      </c>
      <c r="BI104" s="990">
        <f ca="1">SUM(BI102:BI103)</f>
        <v>18.547287155853006</v>
      </c>
      <c r="BJ104" s="990">
        <f ca="1">SUM(BH104:BI104)</f>
        <v>18.547287155853006</v>
      </c>
      <c r="BL104" s="515">
        <f t="shared" ca="1" si="253"/>
        <v>-1.4921397450962104E-13</v>
      </c>
      <c r="BM104" s="515"/>
      <c r="BN104" s="840"/>
      <c r="BO104" s="1482">
        <f t="shared" ref="BO104:DF104" ca="1" si="261">SUM(BO102:BO103)</f>
        <v>0</v>
      </c>
      <c r="BP104" s="1482">
        <f t="shared" ca="1" si="261"/>
        <v>0</v>
      </c>
      <c r="BQ104" s="1482">
        <f t="shared" ca="1" si="261"/>
        <v>0</v>
      </c>
      <c r="BR104" s="1482">
        <f t="shared" ca="1" si="261"/>
        <v>0</v>
      </c>
      <c r="BS104" s="1482">
        <f t="shared" ca="1" si="261"/>
        <v>0</v>
      </c>
      <c r="BT104" s="1482">
        <f t="shared" ca="1" si="261"/>
        <v>7.0567643169186018</v>
      </c>
      <c r="BU104" s="1482">
        <f t="shared" ca="1" si="261"/>
        <v>0</v>
      </c>
      <c r="BV104" s="1482">
        <f t="shared" ca="1" si="261"/>
        <v>0</v>
      </c>
      <c r="BW104" s="1482">
        <f t="shared" ca="1" si="261"/>
        <v>0</v>
      </c>
      <c r="BX104" s="1482">
        <f t="shared" ca="1" si="261"/>
        <v>0</v>
      </c>
      <c r="BY104" s="1482">
        <f t="shared" ca="1" si="261"/>
        <v>0</v>
      </c>
      <c r="BZ104" s="1482">
        <f t="shared" ca="1" si="261"/>
        <v>0</v>
      </c>
      <c r="CA104" s="1482">
        <f t="shared" ca="1" si="261"/>
        <v>0</v>
      </c>
      <c r="CB104" s="1482">
        <f t="shared" ca="1" si="261"/>
        <v>0</v>
      </c>
      <c r="CC104" s="1482">
        <f t="shared" ca="1" si="261"/>
        <v>0</v>
      </c>
      <c r="CD104" s="1482">
        <f t="shared" ca="1" si="261"/>
        <v>0</v>
      </c>
      <c r="CE104" s="1482">
        <f t="shared" ca="1" si="261"/>
        <v>0</v>
      </c>
      <c r="CF104" s="1482">
        <f t="shared" ca="1" si="261"/>
        <v>0</v>
      </c>
      <c r="CG104" s="1482">
        <f t="shared" ca="1" si="261"/>
        <v>0</v>
      </c>
      <c r="CH104" s="1482">
        <f t="shared" ca="1" si="261"/>
        <v>0</v>
      </c>
      <c r="CI104" s="1482">
        <f t="shared" ca="1" si="261"/>
        <v>0</v>
      </c>
      <c r="CJ104" s="1482">
        <f t="shared" ca="1" si="261"/>
        <v>0</v>
      </c>
      <c r="CK104" s="1482">
        <f t="shared" ca="1" si="261"/>
        <v>0</v>
      </c>
      <c r="CL104" s="1482">
        <f t="shared" ca="1" si="261"/>
        <v>0</v>
      </c>
      <c r="CM104" s="1482">
        <f t="shared" ca="1" si="261"/>
        <v>0</v>
      </c>
      <c r="CN104" s="1482">
        <f t="shared" ca="1" si="261"/>
        <v>0</v>
      </c>
      <c r="CO104" s="1482">
        <f t="shared" ca="1" si="261"/>
        <v>0</v>
      </c>
      <c r="CP104" s="1482">
        <f t="shared" ca="1" si="261"/>
        <v>0</v>
      </c>
      <c r="CQ104" s="1482">
        <f t="shared" ca="1" si="261"/>
        <v>0</v>
      </c>
      <c r="CR104" s="1482">
        <f t="shared" ca="1" si="261"/>
        <v>0</v>
      </c>
      <c r="CS104" s="1482">
        <f t="shared" ca="1" si="261"/>
        <v>0</v>
      </c>
      <c r="CT104" s="1482">
        <f t="shared" ca="1" si="261"/>
        <v>0</v>
      </c>
      <c r="CU104" s="1482">
        <f t="shared" ca="1" si="261"/>
        <v>0</v>
      </c>
      <c r="CV104" s="1482">
        <f t="shared" ca="1" si="261"/>
        <v>0</v>
      </c>
      <c r="CW104" s="1482">
        <f t="shared" ca="1" si="261"/>
        <v>0</v>
      </c>
      <c r="CX104" s="1482">
        <f t="shared" ca="1" si="261"/>
        <v>0</v>
      </c>
      <c r="CY104" s="1482">
        <f t="shared" ca="1" si="261"/>
        <v>0</v>
      </c>
      <c r="CZ104" s="1482">
        <f t="shared" ca="1" si="261"/>
        <v>0</v>
      </c>
      <c r="DA104" s="1482">
        <f t="shared" ca="1" si="261"/>
        <v>0</v>
      </c>
      <c r="DB104" s="1482">
        <f t="shared" ca="1" si="261"/>
        <v>0</v>
      </c>
      <c r="DC104" s="1482">
        <f t="shared" ca="1" si="261"/>
        <v>0</v>
      </c>
      <c r="DD104" s="1482">
        <f t="shared" ca="1" si="261"/>
        <v>0</v>
      </c>
      <c r="DE104" s="1482">
        <f t="shared" ca="1" si="261"/>
        <v>0</v>
      </c>
      <c r="DF104" s="1482">
        <f t="shared" ca="1" si="261"/>
        <v>0</v>
      </c>
      <c r="DH104" s="838">
        <f t="shared" ca="1" si="235"/>
        <v>7.0567643169186018</v>
      </c>
    </row>
    <row r="105" spans="1:112" s="743" customFormat="1" ht="6" customHeight="1">
      <c r="C105" s="508"/>
      <c r="D105" s="509"/>
      <c r="E105" s="509"/>
      <c r="G105" s="958"/>
      <c r="H105" s="958"/>
      <c r="I105" s="958"/>
      <c r="J105" s="958"/>
      <c r="K105" s="960"/>
      <c r="L105" s="958"/>
      <c r="M105" s="958"/>
      <c r="N105" s="958"/>
      <c r="O105" s="958"/>
      <c r="P105" s="958"/>
      <c r="Q105" s="958"/>
      <c r="S105" s="970"/>
      <c r="T105" s="970"/>
      <c r="U105" s="970"/>
      <c r="V105" s="970"/>
      <c r="W105" s="970"/>
      <c r="X105" s="970"/>
      <c r="Y105" s="970"/>
      <c r="Z105" s="970"/>
      <c r="AA105" s="970"/>
      <c r="AB105" s="970"/>
      <c r="AC105" s="970"/>
      <c r="AD105" s="970"/>
      <c r="AE105" s="970"/>
      <c r="AF105" s="970"/>
      <c r="AG105" s="970"/>
      <c r="AH105" s="970"/>
      <c r="AI105" s="970"/>
      <c r="AJ105" s="970"/>
      <c r="AK105" s="970"/>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H105" s="990"/>
      <c r="BI105" s="990"/>
      <c r="BJ105" s="990"/>
      <c r="BL105" s="515">
        <f t="shared" si="253"/>
        <v>0</v>
      </c>
      <c r="BM105" s="515"/>
      <c r="BO105" s="1482"/>
      <c r="BP105" s="1482"/>
      <c r="BQ105" s="1482"/>
      <c r="BR105" s="1482"/>
      <c r="BS105" s="1482"/>
      <c r="BT105" s="1482"/>
      <c r="BU105" s="1482"/>
      <c r="BV105" s="1482"/>
      <c r="BW105" s="1482"/>
      <c r="BX105" s="1482"/>
      <c r="BY105" s="1482"/>
      <c r="BZ105" s="1482"/>
      <c r="CA105" s="1482"/>
      <c r="CB105" s="1482"/>
      <c r="CC105" s="1482"/>
      <c r="CD105" s="1482"/>
      <c r="CE105" s="1482"/>
      <c r="CF105" s="1482"/>
      <c r="CG105" s="1482"/>
      <c r="CH105" s="1482"/>
      <c r="CI105" s="1482"/>
      <c r="CJ105" s="1482"/>
      <c r="CK105" s="1482"/>
      <c r="CL105" s="1482"/>
      <c r="CM105" s="1482"/>
      <c r="CN105" s="1482"/>
      <c r="CO105" s="1482"/>
      <c r="CP105" s="1482"/>
      <c r="CQ105" s="1482"/>
      <c r="CR105" s="1482"/>
      <c r="CS105" s="1482"/>
      <c r="CT105" s="1482"/>
      <c r="CU105" s="1482"/>
      <c r="CV105" s="1482"/>
      <c r="CW105" s="1482"/>
      <c r="CX105" s="1482"/>
      <c r="CY105" s="1482"/>
      <c r="CZ105" s="1482"/>
      <c r="DA105" s="1482"/>
      <c r="DB105" s="1482"/>
      <c r="DC105" s="1482"/>
      <c r="DD105" s="1482"/>
      <c r="DE105" s="1482"/>
      <c r="DF105" s="1482"/>
      <c r="DH105" s="838"/>
    </row>
    <row r="106" spans="1:112" s="743" customFormat="1" ht="15.75">
      <c r="B106" s="753"/>
      <c r="C106" s="2051" t="s">
        <v>1817</v>
      </c>
      <c r="D106" s="643" t="s">
        <v>1016</v>
      </c>
      <c r="E106" s="644"/>
      <c r="G106" s="1075">
        <f t="shared" ref="G106:P106" ca="1" si="262">G$93+G$99+G$104</f>
        <v>0</v>
      </c>
      <c r="H106" s="1075">
        <f t="shared" ca="1" si="262"/>
        <v>0</v>
      </c>
      <c r="I106" s="1075">
        <f t="shared" ca="1" si="262"/>
        <v>0</v>
      </c>
      <c r="J106" s="1075">
        <f t="shared" ca="1" si="262"/>
        <v>0</v>
      </c>
      <c r="K106" s="1076">
        <f t="shared" ca="1" si="262"/>
        <v>0</v>
      </c>
      <c r="L106" s="1075">
        <f t="shared" ca="1" si="262"/>
        <v>0</v>
      </c>
      <c r="M106" s="1075">
        <f t="shared" ca="1" si="262"/>
        <v>0</v>
      </c>
      <c r="N106" s="1075">
        <f t="shared" ca="1" si="262"/>
        <v>0</v>
      </c>
      <c r="O106" s="1075">
        <f t="shared" ca="1" si="262"/>
        <v>0</v>
      </c>
      <c r="P106" s="1075">
        <f t="shared" ca="1" si="262"/>
        <v>0</v>
      </c>
      <c r="Q106" s="1023">
        <f ca="1">SUM(G106:P106)</f>
        <v>0</v>
      </c>
      <c r="S106" s="1014">
        <f t="shared" ref="S106:AJ106" ca="1" si="263">S$93+S$99+S$104</f>
        <v>0</v>
      </c>
      <c r="T106" s="1014">
        <f t="shared" ca="1" si="263"/>
        <v>-31.649777250074237</v>
      </c>
      <c r="U106" s="1014">
        <f t="shared" ca="1" si="263"/>
        <v>112.77464095777066</v>
      </c>
      <c r="V106" s="1014">
        <f t="shared" ca="1" si="263"/>
        <v>824.38351448402466</v>
      </c>
      <c r="W106" s="1014">
        <f t="shared" ca="1" si="263"/>
        <v>1664.06456345385</v>
      </c>
      <c r="X106" s="1014">
        <f t="shared" ca="1" si="263"/>
        <v>-213.1977856702195</v>
      </c>
      <c r="Y106" s="1014">
        <f t="shared" ca="1" si="263"/>
        <v>-210.18056977027504</v>
      </c>
      <c r="Z106" s="1014">
        <f t="shared" ca="1" si="263"/>
        <v>-160.98597351628518</v>
      </c>
      <c r="AA106" s="1014">
        <f t="shared" ca="1" si="263"/>
        <v>0</v>
      </c>
      <c r="AB106" s="1014">
        <f t="shared" ca="1" si="263"/>
        <v>0</v>
      </c>
      <c r="AC106" s="1014">
        <f t="shared" ca="1" si="263"/>
        <v>0</v>
      </c>
      <c r="AD106" s="1014">
        <f t="shared" ca="1" si="263"/>
        <v>-54.687907950087279</v>
      </c>
      <c r="AE106" s="1014">
        <f t="shared" ca="1" si="263"/>
        <v>-1.5621974848178559</v>
      </c>
      <c r="AF106" s="1014">
        <f t="shared" ca="1" si="263"/>
        <v>-63.156559579101412</v>
      </c>
      <c r="AG106" s="1014">
        <f t="shared" ca="1" si="263"/>
        <v>-46.537817057146697</v>
      </c>
      <c r="AH106" s="1014">
        <f t="shared" ca="1" si="263"/>
        <v>-17.575536884393671</v>
      </c>
      <c r="AI106" s="1014">
        <f t="shared" ca="1" si="263"/>
        <v>0</v>
      </c>
      <c r="AJ106" s="1014">
        <f t="shared" ca="1" si="263"/>
        <v>0</v>
      </c>
      <c r="AK106" s="1014">
        <f ca="1">SUM(S106:AJ106)</f>
        <v>1801.688593733244</v>
      </c>
      <c r="AM106" s="1015">
        <f t="shared" ref="AM106:BE106" ca="1" si="264">AM$93+AM$99+AM$104</f>
        <v>0</v>
      </c>
      <c r="AN106" s="1015">
        <f t="shared" ca="1" si="264"/>
        <v>0</v>
      </c>
      <c r="AO106" s="1015">
        <f t="shared" ca="1" si="264"/>
        <v>0</v>
      </c>
      <c r="AP106" s="1015">
        <f t="shared" ca="1" si="264"/>
        <v>-0.93040000000000012</v>
      </c>
      <c r="AQ106" s="1015">
        <f t="shared" ca="1" si="264"/>
        <v>0</v>
      </c>
      <c r="AR106" s="1015">
        <f t="shared" ca="1" si="264"/>
        <v>0</v>
      </c>
      <c r="AS106" s="1015">
        <f t="shared" ca="1" si="264"/>
        <v>158.28640647317502</v>
      </c>
      <c r="AT106" s="1015">
        <f t="shared" ca="1" si="264"/>
        <v>-578.81036054493507</v>
      </c>
      <c r="AU106" s="1015">
        <f t="shared" ca="1" si="264"/>
        <v>-1466.8200865633069</v>
      </c>
      <c r="AV106" s="1015">
        <f t="shared" ca="1" si="264"/>
        <v>0</v>
      </c>
      <c r="AW106" s="1015">
        <f t="shared" ca="1" si="264"/>
        <v>0</v>
      </c>
      <c r="AX106" s="1015">
        <f t="shared" ca="1" si="264"/>
        <v>0</v>
      </c>
      <c r="AY106" s="1015">
        <f t="shared" ca="1" si="264"/>
        <v>0</v>
      </c>
      <c r="AZ106" s="1015">
        <f t="shared" ca="1" si="264"/>
        <v>0</v>
      </c>
      <c r="BA106" s="1015">
        <f t="shared" ca="1" si="264"/>
        <v>0</v>
      </c>
      <c r="BB106" s="1015">
        <f t="shared" ca="1" si="264"/>
        <v>0</v>
      </c>
      <c r="BC106" s="1015">
        <f t="shared" ca="1" si="264"/>
        <v>0</v>
      </c>
      <c r="BD106" s="1015">
        <f t="shared" ca="1" si="264"/>
        <v>0</v>
      </c>
      <c r="BE106" s="1015">
        <f t="shared" ca="1" si="264"/>
        <v>0</v>
      </c>
      <c r="BF106" s="1015">
        <f ca="1">SUM(AM106:BE106)</f>
        <v>-1888.2744406350669</v>
      </c>
      <c r="BH106" s="1016">
        <f ca="1">BH$93+BH$99+BH$104</f>
        <v>36.388782495895242</v>
      </c>
      <c r="BI106" s="1016">
        <f ca="1">BI$93+BI$99+BI$104</f>
        <v>50.197064405927208</v>
      </c>
      <c r="BJ106" s="1016">
        <f ca="1">SUM(BH106:BI106)</f>
        <v>86.58584690182245</v>
      </c>
      <c r="BL106" s="518">
        <f t="shared" ca="1" si="253"/>
        <v>-3.836930773104541E-13</v>
      </c>
      <c r="BM106" s="518"/>
      <c r="BO106" s="1487">
        <f t="shared" ref="BO106:DE106" ca="1" si="265">BO$93+BO$99+BO$104</f>
        <v>0</v>
      </c>
      <c r="BP106" s="1487">
        <f t="shared" ca="1" si="265"/>
        <v>0</v>
      </c>
      <c r="BQ106" s="1487">
        <f t="shared" ca="1" si="265"/>
        <v>0</v>
      </c>
      <c r="BR106" s="1487">
        <f t="shared" ca="1" si="265"/>
        <v>0</v>
      </c>
      <c r="BS106" s="1487">
        <f t="shared" ca="1" si="265"/>
        <v>0</v>
      </c>
      <c r="BT106" s="1487">
        <f t="shared" ca="1" si="265"/>
        <v>7.0567643169186018</v>
      </c>
      <c r="BU106" s="1487">
        <f t="shared" ca="1" si="265"/>
        <v>0</v>
      </c>
      <c r="BV106" s="1487">
        <f t="shared" ca="1" si="265"/>
        <v>0</v>
      </c>
      <c r="BW106" s="1487">
        <f t="shared" ca="1" si="265"/>
        <v>0</v>
      </c>
      <c r="BX106" s="1487">
        <f t="shared" ca="1" si="265"/>
        <v>0</v>
      </c>
      <c r="BY106" s="1487">
        <f t="shared" ca="1" si="265"/>
        <v>0</v>
      </c>
      <c r="BZ106" s="1487">
        <f t="shared" ca="1" si="265"/>
        <v>0</v>
      </c>
      <c r="CA106" s="1487">
        <f t="shared" ca="1" si="265"/>
        <v>0</v>
      </c>
      <c r="CB106" s="1487">
        <f t="shared" ca="1" si="265"/>
        <v>0</v>
      </c>
      <c r="CC106" s="1487">
        <f t="shared" ca="1" si="265"/>
        <v>0</v>
      </c>
      <c r="CD106" s="1487">
        <f t="shared" ca="1" si="265"/>
        <v>0</v>
      </c>
      <c r="CE106" s="1487">
        <f t="shared" ca="1" si="265"/>
        <v>0</v>
      </c>
      <c r="CF106" s="1487">
        <f t="shared" ca="1" si="265"/>
        <v>0</v>
      </c>
      <c r="CG106" s="1487">
        <f t="shared" ca="1" si="265"/>
        <v>0</v>
      </c>
      <c r="CH106" s="1487">
        <f t="shared" ca="1" si="265"/>
        <v>0</v>
      </c>
      <c r="CI106" s="1487">
        <f t="shared" ca="1" si="265"/>
        <v>0</v>
      </c>
      <c r="CJ106" s="1487">
        <f t="shared" ca="1" si="265"/>
        <v>0</v>
      </c>
      <c r="CK106" s="1487">
        <f t="shared" ca="1" si="265"/>
        <v>0</v>
      </c>
      <c r="CL106" s="1487">
        <f t="shared" ca="1" si="265"/>
        <v>0</v>
      </c>
      <c r="CM106" s="1487">
        <f t="shared" ca="1" si="265"/>
        <v>0</v>
      </c>
      <c r="CN106" s="1487">
        <f t="shared" ca="1" si="265"/>
        <v>0</v>
      </c>
      <c r="CO106" s="1487">
        <f t="shared" ca="1" si="265"/>
        <v>0</v>
      </c>
      <c r="CP106" s="1487">
        <f t="shared" ca="1" si="265"/>
        <v>0</v>
      </c>
      <c r="CQ106" s="1487">
        <f t="shared" ca="1" si="265"/>
        <v>0</v>
      </c>
      <c r="CR106" s="1487">
        <f t="shared" ca="1" si="265"/>
        <v>0</v>
      </c>
      <c r="CS106" s="1487">
        <f t="shared" ca="1" si="265"/>
        <v>0</v>
      </c>
      <c r="CT106" s="1487">
        <f t="shared" ca="1" si="265"/>
        <v>0</v>
      </c>
      <c r="CU106" s="1487">
        <f t="shared" ca="1" si="265"/>
        <v>0</v>
      </c>
      <c r="CV106" s="1487">
        <f t="shared" ca="1" si="265"/>
        <v>0</v>
      </c>
      <c r="CW106" s="1487">
        <f t="shared" ca="1" si="265"/>
        <v>0</v>
      </c>
      <c r="CX106" s="1487">
        <f t="shared" ca="1" si="265"/>
        <v>0</v>
      </c>
      <c r="CY106" s="1487">
        <f t="shared" ca="1" si="265"/>
        <v>-36.754296122047705</v>
      </c>
      <c r="CZ106" s="1487">
        <f t="shared" ca="1" si="265"/>
        <v>0</v>
      </c>
      <c r="DA106" s="1487">
        <f t="shared" ca="1" si="265"/>
        <v>0</v>
      </c>
      <c r="DB106" s="1487">
        <f t="shared" ca="1" si="265"/>
        <v>0</v>
      </c>
      <c r="DC106" s="1487">
        <f t="shared" ca="1" si="265"/>
        <v>0</v>
      </c>
      <c r="DD106" s="1487">
        <f t="shared" ca="1" si="265"/>
        <v>0</v>
      </c>
      <c r="DE106" s="1487">
        <f t="shared" ca="1" si="265"/>
        <v>0</v>
      </c>
      <c r="DF106" s="1487">
        <f ca="1">DF$93+DF$104</f>
        <v>0</v>
      </c>
      <c r="DH106" s="835">
        <f ca="1">SUM(BO106:DF106)</f>
        <v>-29.697531805129103</v>
      </c>
    </row>
    <row r="107" spans="1:112" s="743" customFormat="1">
      <c r="C107" s="508"/>
      <c r="D107" s="509"/>
      <c r="E107" s="509"/>
      <c r="G107" s="958"/>
      <c r="H107" s="958"/>
      <c r="I107" s="958"/>
      <c r="J107" s="958"/>
      <c r="K107" s="960"/>
      <c r="L107" s="958"/>
      <c r="M107" s="958"/>
      <c r="N107" s="958"/>
      <c r="O107" s="958"/>
      <c r="P107" s="958"/>
      <c r="Q107" s="958"/>
      <c r="S107" s="970"/>
      <c r="T107" s="970"/>
      <c r="U107" s="970"/>
      <c r="V107" s="970"/>
      <c r="W107" s="970"/>
      <c r="X107" s="970"/>
      <c r="Y107" s="970"/>
      <c r="Z107" s="970"/>
      <c r="AA107" s="970"/>
      <c r="AB107" s="970"/>
      <c r="AC107" s="970"/>
      <c r="AD107" s="970"/>
      <c r="AE107" s="970"/>
      <c r="AF107" s="970"/>
      <c r="AG107" s="970"/>
      <c r="AH107" s="970"/>
      <c r="AI107" s="970"/>
      <c r="AJ107" s="970"/>
      <c r="AK107" s="970"/>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H107" s="990"/>
      <c r="BI107" s="990"/>
      <c r="BJ107" s="990"/>
      <c r="BL107" s="515">
        <f t="shared" si="253"/>
        <v>0</v>
      </c>
      <c r="BM107" s="515"/>
      <c r="BO107" s="1482"/>
      <c r="BP107" s="1482"/>
      <c r="BQ107" s="1482"/>
      <c r="BR107" s="1482"/>
      <c r="BS107" s="1482"/>
      <c r="BT107" s="1482"/>
      <c r="BU107" s="1482"/>
      <c r="BV107" s="1482"/>
      <c r="BW107" s="1482"/>
      <c r="BX107" s="1482"/>
      <c r="BY107" s="1482"/>
      <c r="BZ107" s="1482"/>
      <c r="CA107" s="1482"/>
      <c r="CB107" s="1482"/>
      <c r="CC107" s="1482"/>
      <c r="CD107" s="1482"/>
      <c r="CE107" s="1482"/>
      <c r="CF107" s="1482"/>
      <c r="CG107" s="1482"/>
      <c r="CH107" s="1482"/>
      <c r="CI107" s="1482"/>
      <c r="CJ107" s="1482"/>
      <c r="CK107" s="1482"/>
      <c r="CL107" s="1482"/>
      <c r="CM107" s="1482"/>
      <c r="CN107" s="1482"/>
      <c r="CO107" s="1482"/>
      <c r="CP107" s="1482"/>
      <c r="CQ107" s="1482"/>
      <c r="CR107" s="1482"/>
      <c r="CS107" s="1482"/>
      <c r="CT107" s="1482"/>
      <c r="CU107" s="1482"/>
      <c r="CV107" s="1482"/>
      <c r="CW107" s="1482"/>
      <c r="CX107" s="1482"/>
      <c r="CY107" s="1482"/>
      <c r="CZ107" s="1482"/>
      <c r="DA107" s="1482"/>
      <c r="DB107" s="1482"/>
      <c r="DC107" s="1482"/>
      <c r="DD107" s="1482"/>
      <c r="DE107" s="1482"/>
      <c r="DF107" s="1482"/>
      <c r="DH107" s="838"/>
    </row>
    <row r="108" spans="1:112" s="743" customFormat="1" ht="13.5" thickBot="1">
      <c r="C108" s="508"/>
      <c r="D108" s="509"/>
      <c r="E108" s="509"/>
      <c r="G108" s="958"/>
      <c r="H108" s="958"/>
      <c r="I108" s="958"/>
      <c r="J108" s="958"/>
      <c r="K108" s="960"/>
      <c r="L108" s="958"/>
      <c r="M108" s="958"/>
      <c r="N108" s="958"/>
      <c r="O108" s="958"/>
      <c r="P108" s="958"/>
      <c r="Q108" s="958"/>
      <c r="S108" s="970"/>
      <c r="T108" s="970"/>
      <c r="U108" s="970"/>
      <c r="V108" s="970"/>
      <c r="W108" s="970"/>
      <c r="X108" s="970"/>
      <c r="Y108" s="970"/>
      <c r="Z108" s="970"/>
      <c r="AA108" s="970"/>
      <c r="AB108" s="970"/>
      <c r="AC108" s="970"/>
      <c r="AD108" s="970"/>
      <c r="AE108" s="970"/>
      <c r="AF108" s="970"/>
      <c r="AG108" s="970"/>
      <c r="AH108" s="970"/>
      <c r="AI108" s="970"/>
      <c r="AJ108" s="970"/>
      <c r="AK108" s="970"/>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H108" s="990"/>
      <c r="BI108" s="990"/>
      <c r="BJ108" s="990"/>
      <c r="BL108" s="515">
        <f t="shared" si="253"/>
        <v>0</v>
      </c>
      <c r="BM108" s="515"/>
      <c r="BO108" s="1482"/>
      <c r="BP108" s="1482"/>
      <c r="BQ108" s="1482"/>
      <c r="BR108" s="1482"/>
      <c r="BS108" s="1482"/>
      <c r="BT108" s="1482"/>
      <c r="BU108" s="1482"/>
      <c r="BV108" s="1482"/>
      <c r="BW108" s="1482"/>
      <c r="BX108" s="1482"/>
      <c r="BY108" s="1482"/>
      <c r="BZ108" s="1482"/>
      <c r="CA108" s="1482"/>
      <c r="CB108" s="1482"/>
      <c r="CC108" s="1482"/>
      <c r="CD108" s="1482"/>
      <c r="CE108" s="1482"/>
      <c r="CF108" s="1482"/>
      <c r="CG108" s="1482"/>
      <c r="CH108" s="1482"/>
      <c r="CI108" s="1482"/>
      <c r="CJ108" s="1482"/>
      <c r="CK108" s="1482"/>
      <c r="CL108" s="1482"/>
      <c r="CM108" s="1482"/>
      <c r="CN108" s="1482"/>
      <c r="CO108" s="1482"/>
      <c r="CP108" s="1482"/>
      <c r="CQ108" s="1482"/>
      <c r="CR108" s="1482"/>
      <c r="CS108" s="1482"/>
      <c r="CT108" s="1482"/>
      <c r="CU108" s="1482"/>
      <c r="CV108" s="1482"/>
      <c r="CW108" s="1482"/>
      <c r="CX108" s="1482"/>
      <c r="CY108" s="1482"/>
      <c r="CZ108" s="1482"/>
      <c r="DA108" s="1482"/>
      <c r="DB108" s="1482"/>
      <c r="DC108" s="1482"/>
      <c r="DD108" s="1482"/>
      <c r="DE108" s="1482"/>
      <c r="DF108" s="1482"/>
      <c r="DH108" s="838"/>
    </row>
    <row r="109" spans="1:112" s="743" customFormat="1" ht="24" customHeight="1" thickBot="1">
      <c r="C109" s="608" t="s">
        <v>593</v>
      </c>
      <c r="D109" s="608"/>
      <c r="E109" s="608"/>
      <c r="G109" s="1098">
        <f t="shared" ref="G109:P109" ca="1" si="266">G$40+G$84+G$106</f>
        <v>700.8881433886479</v>
      </c>
      <c r="H109" s="1098">
        <f t="shared" ca="1" si="266"/>
        <v>202.8565997740406</v>
      </c>
      <c r="I109" s="1098">
        <f t="shared" ca="1" si="266"/>
        <v>473.40064147240503</v>
      </c>
      <c r="J109" s="1098">
        <f t="shared" ca="1" si="266"/>
        <v>343.16407741049431</v>
      </c>
      <c r="K109" s="1098">
        <f t="shared" ca="1" si="266"/>
        <v>15.374887113066478</v>
      </c>
      <c r="L109" s="1098">
        <f t="shared" ca="1" si="266"/>
        <v>13.860251279239513</v>
      </c>
      <c r="M109" s="1098">
        <f t="shared" ca="1" si="266"/>
        <v>23.084767495533725</v>
      </c>
      <c r="N109" s="1098">
        <f t="shared" ca="1" si="266"/>
        <v>212.09205012603269</v>
      </c>
      <c r="O109" s="1098">
        <f t="shared" ca="1" si="266"/>
        <v>93.562438336496442</v>
      </c>
      <c r="P109" s="1098">
        <f t="shared" ca="1" si="266"/>
        <v>0</v>
      </c>
      <c r="Q109" s="1098">
        <f ca="1">SUM(G109:P109)</f>
        <v>2078.2838563959572</v>
      </c>
      <c r="S109" s="1099">
        <f t="shared" ref="S109:AJ109" ca="1" si="267">S$40+S$84+S$106</f>
        <v>-422.11056999038811</v>
      </c>
      <c r="T109" s="1099">
        <f t="shared" ca="1" si="267"/>
        <v>422.11056999038811</v>
      </c>
      <c r="U109" s="1099">
        <f t="shared" ca="1" si="267"/>
        <v>0</v>
      </c>
      <c r="V109" s="1099">
        <f t="shared" ca="1" si="267"/>
        <v>0</v>
      </c>
      <c r="W109" s="1099">
        <f t="shared" ca="1" si="267"/>
        <v>0</v>
      </c>
      <c r="X109" s="1099">
        <f t="shared" ca="1" si="267"/>
        <v>0</v>
      </c>
      <c r="Y109" s="1099">
        <f t="shared" ca="1" si="267"/>
        <v>0</v>
      </c>
      <c r="Z109" s="1099">
        <f t="shared" ca="1" si="267"/>
        <v>0</v>
      </c>
      <c r="AA109" s="1099">
        <f t="shared" ca="1" si="267"/>
        <v>0</v>
      </c>
      <c r="AB109" s="1099">
        <f t="shared" ca="1" si="267"/>
        <v>0</v>
      </c>
      <c r="AC109" s="1099">
        <f t="shared" ca="1" si="267"/>
        <v>0</v>
      </c>
      <c r="AD109" s="1099">
        <f t="shared" ca="1" si="267"/>
        <v>0</v>
      </c>
      <c r="AE109" s="1099">
        <f t="shared" ca="1" si="267"/>
        <v>0</v>
      </c>
      <c r="AF109" s="1099">
        <f t="shared" ca="1" si="267"/>
        <v>0</v>
      </c>
      <c r="AG109" s="1099">
        <f t="shared" ca="1" si="267"/>
        <v>0</v>
      </c>
      <c r="AH109" s="1099">
        <f t="shared" ca="1" si="267"/>
        <v>0</v>
      </c>
      <c r="AI109" s="1099">
        <f t="shared" ca="1" si="267"/>
        <v>0</v>
      </c>
      <c r="AJ109" s="1099">
        <f t="shared" ca="1" si="267"/>
        <v>0</v>
      </c>
      <c r="AK109" s="1099">
        <f ca="1">SUM(S109:AJ109)</f>
        <v>0</v>
      </c>
      <c r="AM109" s="1100">
        <f t="shared" ref="AM109:BE109" ca="1" si="268">AM$40+AM$84+AM$106</f>
        <v>-124.39544583847987</v>
      </c>
      <c r="AN109" s="1100">
        <f t="shared" ca="1" si="268"/>
        <v>-210.18056977027507</v>
      </c>
      <c r="AO109" s="1100">
        <f t="shared" ca="1" si="268"/>
        <v>-160.98597351628524</v>
      </c>
      <c r="AP109" s="1100">
        <f t="shared" ca="1" si="268"/>
        <v>-0.93040000000000012</v>
      </c>
      <c r="AQ109" s="1100">
        <f t="shared" ca="1" si="268"/>
        <v>0</v>
      </c>
      <c r="AR109" s="1100">
        <f t="shared" ca="1" si="268"/>
        <v>0</v>
      </c>
      <c r="AS109" s="1100">
        <f t="shared" ca="1" si="268"/>
        <v>158.28640647317502</v>
      </c>
      <c r="AT109" s="1100">
        <f t="shared" ca="1" si="268"/>
        <v>-578.81036054493507</v>
      </c>
      <c r="AU109" s="1100">
        <f t="shared" ca="1" si="268"/>
        <v>-1466.8200865633069</v>
      </c>
      <c r="AV109" s="1100">
        <f t="shared" ca="1" si="268"/>
        <v>0</v>
      </c>
      <c r="AW109" s="1100">
        <f t="shared" ca="1" si="268"/>
        <v>0</v>
      </c>
      <c r="AX109" s="1100">
        <f t="shared" ca="1" si="268"/>
        <v>-13.6517301</v>
      </c>
      <c r="AY109" s="1100">
        <f t="shared" ca="1" si="268"/>
        <v>0</v>
      </c>
      <c r="AZ109" s="1100">
        <f t="shared" ca="1" si="268"/>
        <v>0</v>
      </c>
      <c r="BA109" s="1100">
        <f t="shared" ca="1" si="268"/>
        <v>0</v>
      </c>
      <c r="BB109" s="1100">
        <f t="shared" ca="1" si="268"/>
        <v>-5.3297280000000011</v>
      </c>
      <c r="BC109" s="1100">
        <f t="shared" ca="1" si="268"/>
        <v>0</v>
      </c>
      <c r="BD109" s="1100">
        <f t="shared" ca="1" si="268"/>
        <v>-56.250105434905137</v>
      </c>
      <c r="BE109" s="1100">
        <f t="shared" ca="1" si="268"/>
        <v>-216.07225335238144</v>
      </c>
      <c r="BF109" s="1100">
        <f ca="1">SUM(AM109:BE109)</f>
        <v>-2675.1402466473933</v>
      </c>
      <c r="BH109" s="1101">
        <f ca="1">BH$40+BH$84+BH$106</f>
        <v>484.67734252296054</v>
      </c>
      <c r="BI109" s="1101">
        <f ca="1">BI$40+BI$84+BI$106</f>
        <v>112.17904772847655</v>
      </c>
      <c r="BJ109" s="1101">
        <f ca="1">SUM(BH109:BI109)</f>
        <v>596.85639025143712</v>
      </c>
      <c r="BL109" s="514">
        <f t="shared" ca="1" si="253"/>
        <v>1.0231815394945443E-12</v>
      </c>
      <c r="BM109" s="514"/>
      <c r="BO109" s="1493">
        <f t="shared" ref="BO109:DF109" ca="1" si="269">BO$40+BO$84+BO$106</f>
        <v>470.5742163141756</v>
      </c>
      <c r="BP109" s="1493">
        <f t="shared" ca="1" si="269"/>
        <v>0.87716679718381929</v>
      </c>
      <c r="BQ109" s="1493">
        <f t="shared" ca="1" si="269"/>
        <v>3.3009054476071666</v>
      </c>
      <c r="BR109" s="1493">
        <f t="shared" ca="1" si="269"/>
        <v>0</v>
      </c>
      <c r="BS109" s="1493">
        <f t="shared" ca="1" si="269"/>
        <v>1.0966105768296439</v>
      </c>
      <c r="BT109" s="1493">
        <f t="shared" ca="1" si="269"/>
        <v>9.6970772781703793</v>
      </c>
      <c r="BU109" s="1493">
        <f t="shared" ca="1" si="269"/>
        <v>0</v>
      </c>
      <c r="BV109" s="1493">
        <f t="shared" ca="1" si="269"/>
        <v>0</v>
      </c>
      <c r="BW109" s="1493">
        <f t="shared" ca="1" si="269"/>
        <v>14.515855739932137</v>
      </c>
      <c r="BX109" s="1493">
        <f t="shared" ca="1" si="269"/>
        <v>0.11021832278886601</v>
      </c>
      <c r="BY109" s="1493">
        <f t="shared" ca="1" si="269"/>
        <v>2.7602794188710575</v>
      </c>
      <c r="BZ109" s="1493">
        <f t="shared" ca="1" si="269"/>
        <v>6.0718122413197761</v>
      </c>
      <c r="CA109" s="1493">
        <f t="shared" ca="1" si="269"/>
        <v>0</v>
      </c>
      <c r="CB109" s="1493">
        <f t="shared" ca="1" si="269"/>
        <v>0</v>
      </c>
      <c r="CC109" s="1493">
        <f t="shared" ca="1" si="269"/>
        <v>0</v>
      </c>
      <c r="CD109" s="1493">
        <f t="shared" ca="1" si="269"/>
        <v>0</v>
      </c>
      <c r="CE109" s="1493">
        <f t="shared" ca="1" si="269"/>
        <v>0</v>
      </c>
      <c r="CF109" s="1493">
        <f t="shared" ca="1" si="269"/>
        <v>17.137937282804025</v>
      </c>
      <c r="CG109" s="1493">
        <f t="shared" ca="1" si="269"/>
        <v>21.131071545342206</v>
      </c>
      <c r="CH109" s="1493">
        <f t="shared" ca="1" si="269"/>
        <v>0</v>
      </c>
      <c r="CI109" s="1493">
        <f t="shared" ca="1" si="269"/>
        <v>10.039322920704391</v>
      </c>
      <c r="CJ109" s="1493">
        <f t="shared" ca="1" si="269"/>
        <v>0</v>
      </c>
      <c r="CK109" s="1493">
        <f t="shared" ca="1" si="269"/>
        <v>0</v>
      </c>
      <c r="CL109" s="1493">
        <f t="shared" ca="1" si="269"/>
        <v>0</v>
      </c>
      <c r="CM109" s="1493">
        <f t="shared" ca="1" si="269"/>
        <v>0</v>
      </c>
      <c r="CN109" s="1493">
        <f t="shared" ca="1" si="269"/>
        <v>21.045170786933397</v>
      </c>
      <c r="CO109" s="1493">
        <f t="shared" ca="1" si="269"/>
        <v>1.5132086164843455</v>
      </c>
      <c r="CP109" s="1493">
        <f t="shared" ca="1" si="269"/>
        <v>0</v>
      </c>
      <c r="CQ109" s="1493">
        <f t="shared" ca="1" si="269"/>
        <v>0</v>
      </c>
      <c r="CR109" s="1493">
        <f t="shared" ca="1" si="269"/>
        <v>0</v>
      </c>
      <c r="CS109" s="1493">
        <f t="shared" ca="1" si="269"/>
        <v>0</v>
      </c>
      <c r="CT109" s="1493">
        <f t="shared" ca="1" si="269"/>
        <v>0</v>
      </c>
      <c r="CU109" s="1493">
        <f t="shared" ca="1" si="269"/>
        <v>76.413622115632279</v>
      </c>
      <c r="CV109" s="1493">
        <f t="shared" ca="1" si="269"/>
        <v>9.5134657871996306E-2</v>
      </c>
      <c r="CW109" s="1493">
        <f t="shared" ca="1" si="269"/>
        <v>1.3748376402974634</v>
      </c>
      <c r="CX109" s="1493">
        <f t="shared" ca="1" si="269"/>
        <v>0</v>
      </c>
      <c r="CY109" s="1493">
        <f t="shared" ca="1" si="269"/>
        <v>-36.754296122047705</v>
      </c>
      <c r="CZ109" s="1493">
        <f t="shared" ca="1" si="269"/>
        <v>0</v>
      </c>
      <c r="DA109" s="1493">
        <f t="shared" ca="1" si="269"/>
        <v>0</v>
      </c>
      <c r="DB109" s="1493">
        <f t="shared" ca="1" si="269"/>
        <v>0</v>
      </c>
      <c r="DC109" s="1493">
        <f t="shared" ca="1" si="269"/>
        <v>-7.6889101495683958</v>
      </c>
      <c r="DD109" s="1493">
        <f t="shared" ca="1" si="269"/>
        <v>0</v>
      </c>
      <c r="DE109" s="1493">
        <f t="shared" ca="1" si="269"/>
        <v>0</v>
      </c>
      <c r="DF109" s="1493">
        <f t="shared" ca="1" si="269"/>
        <v>0</v>
      </c>
      <c r="DH109" s="835">
        <f ca="1">SUM(BO109:DF109)</f>
        <v>613.31124143133241</v>
      </c>
    </row>
    <row r="110" spans="1:112" s="743" customFormat="1">
      <c r="C110" s="508"/>
      <c r="D110" s="509"/>
      <c r="E110" s="509"/>
      <c r="G110" s="995"/>
      <c r="H110" s="995"/>
      <c r="I110" s="995"/>
      <c r="J110" s="995"/>
      <c r="K110" s="996"/>
      <c r="L110" s="995"/>
      <c r="M110" s="995"/>
      <c r="N110" s="995"/>
      <c r="O110" s="995"/>
      <c r="P110" s="995"/>
      <c r="Q110" s="995"/>
      <c r="S110" s="998"/>
      <c r="T110" s="998"/>
      <c r="U110" s="998"/>
      <c r="V110" s="998"/>
      <c r="W110" s="998"/>
      <c r="X110" s="998"/>
      <c r="Y110" s="998"/>
      <c r="Z110" s="998"/>
      <c r="AA110" s="998"/>
      <c r="AB110" s="998"/>
      <c r="AC110" s="998"/>
      <c r="AD110" s="998"/>
      <c r="AE110" s="998"/>
      <c r="AF110" s="998"/>
      <c r="AG110" s="998"/>
      <c r="AH110" s="998"/>
      <c r="AI110" s="998"/>
      <c r="AJ110" s="998"/>
      <c r="AK110" s="998"/>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H110" s="1002"/>
      <c r="BI110" s="1002"/>
      <c r="BJ110" s="1002"/>
      <c r="BL110" s="515"/>
      <c r="BM110" s="515"/>
      <c r="BO110" s="1494"/>
      <c r="BP110" s="1494"/>
      <c r="BQ110" s="1494"/>
      <c r="BR110" s="1494"/>
      <c r="BS110" s="1494"/>
      <c r="BT110" s="1494"/>
      <c r="BU110" s="1494"/>
      <c r="BV110" s="1494"/>
      <c r="BW110" s="1494"/>
      <c r="BX110" s="1494"/>
      <c r="BY110" s="1494"/>
      <c r="BZ110" s="1494"/>
      <c r="CA110" s="1494"/>
      <c r="CB110" s="1494"/>
      <c r="CC110" s="1494"/>
      <c r="CD110" s="1494"/>
      <c r="CE110" s="1494"/>
      <c r="CF110" s="1494"/>
      <c r="CG110" s="1494"/>
      <c r="CH110" s="1494"/>
      <c r="CI110" s="1494"/>
      <c r="CJ110" s="1494"/>
      <c r="CK110" s="1494"/>
      <c r="CL110" s="1494"/>
      <c r="CM110" s="1494"/>
      <c r="CN110" s="1494"/>
      <c r="CO110" s="1494"/>
      <c r="CP110" s="1494"/>
      <c r="CQ110" s="1494"/>
      <c r="CR110" s="1494"/>
      <c r="CS110" s="1494"/>
      <c r="CT110" s="1494"/>
      <c r="CU110" s="1494"/>
      <c r="CV110" s="1494"/>
      <c r="CW110" s="1494"/>
      <c r="CX110" s="1494"/>
      <c r="CY110" s="1494"/>
      <c r="CZ110" s="1494"/>
      <c r="DA110" s="1494"/>
      <c r="DB110" s="1494"/>
      <c r="DC110" s="1494"/>
      <c r="DD110" s="1494"/>
      <c r="DE110" s="1494"/>
      <c r="DF110" s="1494"/>
    </row>
    <row r="111" spans="1:112">
      <c r="G111" s="515"/>
      <c r="H111" s="515"/>
      <c r="I111" s="515"/>
      <c r="J111" s="515"/>
      <c r="K111" s="519"/>
      <c r="L111" s="515"/>
      <c r="M111" s="515"/>
      <c r="N111" s="515"/>
      <c r="O111" s="515"/>
      <c r="P111" s="515"/>
      <c r="Q111" s="515"/>
      <c r="S111" s="515"/>
      <c r="T111" s="515"/>
      <c r="U111" s="515"/>
      <c r="V111" s="515"/>
      <c r="W111" s="515"/>
      <c r="X111" s="515"/>
      <c r="Y111" s="515"/>
      <c r="Z111" s="515"/>
      <c r="AA111" s="515"/>
      <c r="AB111" s="515"/>
      <c r="AC111" s="515"/>
      <c r="AD111" s="515"/>
      <c r="AE111" s="515"/>
      <c r="AF111" s="515"/>
      <c r="AG111" s="515"/>
      <c r="AH111" s="515"/>
      <c r="AI111" s="515"/>
      <c r="AJ111" s="515"/>
      <c r="AK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H111" s="515"/>
      <c r="BI111" s="515"/>
      <c r="BJ111" s="515"/>
      <c r="BL111" s="515"/>
      <c r="BM111" s="515"/>
    </row>
    <row r="112" spans="1:112">
      <c r="G112" s="515"/>
      <c r="H112" s="515"/>
      <c r="I112" s="515"/>
      <c r="J112" s="515"/>
      <c r="K112" s="519"/>
      <c r="L112" s="515"/>
      <c r="M112" s="515"/>
      <c r="N112" s="515"/>
      <c r="O112" s="515"/>
      <c r="P112" s="515"/>
      <c r="Q112" s="515"/>
      <c r="S112" s="515"/>
      <c r="T112" s="515"/>
      <c r="U112" s="515"/>
      <c r="V112" s="515"/>
      <c r="W112" s="515"/>
      <c r="X112" s="515"/>
      <c r="Y112" s="515"/>
      <c r="Z112" s="515"/>
      <c r="AA112" s="515"/>
      <c r="AB112" s="515"/>
      <c r="AC112" s="515"/>
      <c r="AD112" s="515"/>
      <c r="AE112" s="515"/>
      <c r="AF112" s="515"/>
      <c r="AG112" s="515"/>
      <c r="AH112" s="515"/>
      <c r="AI112" s="515"/>
      <c r="AJ112" s="515"/>
      <c r="AK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H112" s="515"/>
      <c r="BI112" s="515"/>
      <c r="BJ112" s="515"/>
      <c r="BL112" s="515"/>
      <c r="BM112" s="515"/>
      <c r="DF112" s="20" t="s">
        <v>2428</v>
      </c>
      <c r="DH112" s="2293">
        <f ca="1">SUM(DH63,DH68,DH76,DH82)</f>
        <v>165.53432790674404</v>
      </c>
    </row>
    <row r="113" spans="2:112">
      <c r="B113" s="121" t="s">
        <v>798</v>
      </c>
      <c r="C113" s="1095" t="s">
        <v>1017</v>
      </c>
      <c r="G113" s="515"/>
      <c r="H113" s="515"/>
      <c r="I113" s="515"/>
      <c r="J113" s="515"/>
      <c r="K113" s="519"/>
      <c r="L113" s="515"/>
      <c r="M113" s="515"/>
      <c r="N113" s="515"/>
      <c r="O113" s="515"/>
      <c r="P113" s="515"/>
      <c r="Q113" s="515"/>
      <c r="S113" s="515"/>
      <c r="T113" s="515"/>
      <c r="U113" s="515"/>
      <c r="V113" s="515"/>
      <c r="W113" s="515"/>
      <c r="X113" s="515"/>
      <c r="Y113" s="515"/>
      <c r="Z113" s="515"/>
      <c r="AA113" s="515"/>
      <c r="AB113" s="515"/>
      <c r="AC113" s="515"/>
      <c r="AD113" s="515"/>
      <c r="AE113" s="515"/>
      <c r="AF113" s="515"/>
      <c r="AG113" s="515"/>
      <c r="AH113" s="515"/>
      <c r="AI113" s="515"/>
      <c r="AJ113" s="515"/>
      <c r="AK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H113" s="515"/>
      <c r="BI113" s="515"/>
      <c r="BJ113" s="515"/>
      <c r="BL113" s="515"/>
      <c r="BM113" s="515"/>
      <c r="DF113" s="20" t="s">
        <v>2429</v>
      </c>
      <c r="DH113" s="2293">
        <f ca="1">T109-MIN(T103,0)-T72</f>
        <v>423.44979568881143</v>
      </c>
    </row>
    <row r="114" spans="2:112" ht="15.75">
      <c r="B114" s="3"/>
      <c r="G114" s="515"/>
      <c r="H114" s="515"/>
      <c r="I114" s="515"/>
      <c r="J114" s="515"/>
      <c r="K114" s="519"/>
      <c r="L114" s="515"/>
      <c r="M114" s="515"/>
      <c r="N114" s="515"/>
      <c r="O114" s="515"/>
      <c r="P114" s="515"/>
      <c r="Q114" s="515"/>
      <c r="S114" s="515"/>
      <c r="T114" s="515"/>
      <c r="U114" s="515"/>
      <c r="V114" s="515"/>
      <c r="W114" s="515"/>
      <c r="X114" s="515"/>
      <c r="Y114" s="515"/>
      <c r="Z114" s="515"/>
      <c r="AA114" s="515"/>
      <c r="AB114" s="515"/>
      <c r="AC114" s="515"/>
      <c r="AD114" s="515"/>
      <c r="AE114" s="515"/>
      <c r="AF114" s="515"/>
      <c r="AG114" s="515"/>
      <c r="AH114" s="515"/>
      <c r="AI114" s="515"/>
      <c r="AJ114" s="515"/>
      <c r="AK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H114" s="515"/>
      <c r="BI114" s="515"/>
      <c r="BJ114" s="515"/>
      <c r="BL114" s="515"/>
      <c r="BM114" s="515"/>
      <c r="DF114" s="20" t="s">
        <v>2430</v>
      </c>
      <c r="DH114" s="121">
        <f ca="1">DH112/DH113</f>
        <v>0.39091842667552823</v>
      </c>
    </row>
    <row r="115" spans="2:112">
      <c r="G115" s="515"/>
      <c r="H115" s="515"/>
      <c r="I115" s="515"/>
      <c r="J115" s="515"/>
      <c r="K115" s="519"/>
      <c r="L115" s="515"/>
      <c r="M115" s="515"/>
      <c r="N115" s="515"/>
      <c r="O115" s="515"/>
      <c r="P115" s="515"/>
      <c r="Q115" s="515"/>
      <c r="S115" s="515"/>
      <c r="T115" s="515"/>
      <c r="U115" s="515"/>
      <c r="V115" s="515"/>
      <c r="W115" s="515"/>
      <c r="X115" s="515"/>
      <c r="Y115" s="515"/>
      <c r="Z115" s="515"/>
      <c r="AA115" s="515"/>
      <c r="AB115" s="515"/>
      <c r="AC115" s="515"/>
      <c r="AD115" s="515"/>
      <c r="AE115" s="515"/>
      <c r="AF115" s="515"/>
      <c r="AG115" s="515"/>
      <c r="AH115" s="515"/>
      <c r="AI115" s="515"/>
      <c r="AJ115" s="515"/>
      <c r="AK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H115" s="515"/>
      <c r="BI115" s="515"/>
      <c r="BJ115" s="515"/>
      <c r="BL115" s="515"/>
      <c r="BM115" s="515"/>
    </row>
    <row r="116" spans="2:112" ht="15.75">
      <c r="B116" s="3"/>
      <c r="G116" s="515"/>
      <c r="H116" s="515"/>
      <c r="I116" s="515"/>
      <c r="J116" s="515"/>
      <c r="K116" s="519"/>
      <c r="L116" s="515"/>
      <c r="M116" s="515"/>
      <c r="N116" s="515"/>
      <c r="O116" s="515"/>
      <c r="P116" s="515"/>
      <c r="Q116" s="515"/>
      <c r="S116" s="515"/>
      <c r="T116" s="515"/>
      <c r="U116" s="515"/>
      <c r="V116" s="515"/>
      <c r="W116" s="515"/>
      <c r="X116" s="515"/>
      <c r="Y116" s="515"/>
      <c r="Z116" s="515"/>
      <c r="AA116" s="515"/>
      <c r="AB116" s="515"/>
      <c r="AC116" s="515"/>
      <c r="AD116" s="515"/>
      <c r="AE116" s="515"/>
      <c r="AF116" s="515"/>
      <c r="AG116" s="515"/>
      <c r="AH116" s="515"/>
      <c r="AI116" s="515"/>
      <c r="AJ116" s="515"/>
      <c r="AK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H116" s="515"/>
      <c r="BI116" s="515"/>
      <c r="BJ116" s="515"/>
      <c r="BL116" s="515"/>
      <c r="BM116" s="515"/>
    </row>
    <row r="117" spans="2:112" ht="15.75">
      <c r="B117" s="3"/>
      <c r="G117" s="515"/>
      <c r="H117" s="515"/>
      <c r="I117" s="515"/>
      <c r="J117" s="515"/>
      <c r="K117" s="519"/>
      <c r="L117" s="515"/>
      <c r="M117" s="515"/>
      <c r="N117" s="515"/>
      <c r="O117" s="515"/>
      <c r="P117" s="515"/>
      <c r="Q117" s="515"/>
      <c r="S117" s="515"/>
      <c r="T117" s="515"/>
      <c r="U117" s="515"/>
      <c r="V117" s="515"/>
      <c r="W117" s="515"/>
      <c r="X117" s="515"/>
      <c r="Y117" s="515"/>
      <c r="Z117" s="515"/>
      <c r="AA117" s="515"/>
      <c r="AB117" s="515"/>
      <c r="AC117" s="515"/>
      <c r="AD117" s="515"/>
      <c r="AE117" s="515"/>
      <c r="AF117" s="515"/>
      <c r="AG117" s="515"/>
      <c r="AH117" s="515"/>
      <c r="AI117" s="515"/>
      <c r="AJ117" s="515"/>
      <c r="AK117" s="515"/>
      <c r="AM117" s="515"/>
      <c r="AN117" s="515"/>
      <c r="AO117" s="515"/>
      <c r="AP117" s="515"/>
      <c r="AQ117" s="515"/>
      <c r="AR117" s="515"/>
      <c r="AS117" s="515"/>
      <c r="AT117" s="515"/>
      <c r="AU117" s="515"/>
      <c r="AV117" s="515"/>
      <c r="AW117" s="515"/>
      <c r="AX117" s="515"/>
      <c r="AY117" s="515"/>
      <c r="AZ117" s="515"/>
      <c r="BA117" s="515"/>
      <c r="BB117" s="515"/>
      <c r="BC117" s="515"/>
      <c r="BD117" s="515"/>
      <c r="BE117" s="515"/>
      <c r="BF117" s="515"/>
      <c r="BH117" s="515"/>
      <c r="BI117" s="515"/>
      <c r="BJ117" s="515"/>
      <c r="BL117" s="515"/>
      <c r="BM117" s="515"/>
    </row>
    <row r="118" spans="2:112" ht="15.75">
      <c r="B118" s="3"/>
      <c r="G118" s="515"/>
      <c r="H118" s="515"/>
      <c r="I118" s="515"/>
      <c r="J118" s="515"/>
      <c r="K118" s="519"/>
      <c r="L118" s="515"/>
      <c r="M118" s="515"/>
      <c r="N118" s="515"/>
      <c r="O118" s="515"/>
      <c r="P118" s="515"/>
      <c r="Q118" s="515"/>
      <c r="S118" s="515"/>
      <c r="T118" s="515"/>
      <c r="U118" s="515"/>
      <c r="V118" s="515"/>
      <c r="W118" s="515"/>
      <c r="X118" s="515"/>
      <c r="Y118" s="515"/>
      <c r="Z118" s="515"/>
      <c r="AA118" s="515"/>
      <c r="AB118" s="515"/>
      <c r="AC118" s="515"/>
      <c r="AD118" s="515"/>
      <c r="AE118" s="515"/>
      <c r="AF118" s="515"/>
      <c r="AG118" s="515"/>
      <c r="AH118" s="515"/>
      <c r="AI118" s="515"/>
      <c r="AJ118" s="515"/>
      <c r="AK118" s="515"/>
      <c r="AM118" s="515"/>
      <c r="AN118" s="515"/>
      <c r="AO118" s="515"/>
      <c r="AP118" s="515"/>
      <c r="AQ118" s="515"/>
      <c r="AR118" s="515"/>
      <c r="AS118" s="515"/>
      <c r="AT118" s="515"/>
      <c r="AU118" s="515"/>
      <c r="AV118" s="515"/>
      <c r="AW118" s="515"/>
      <c r="AX118" s="515"/>
      <c r="AY118" s="515"/>
      <c r="AZ118" s="515"/>
      <c r="BA118" s="515"/>
      <c r="BB118" s="515"/>
      <c r="BC118" s="515"/>
      <c r="BD118" s="515"/>
      <c r="BE118" s="515"/>
      <c r="BF118" s="515"/>
      <c r="BH118" s="515"/>
      <c r="BI118" s="515"/>
      <c r="BJ118" s="515"/>
      <c r="BL118" s="515"/>
      <c r="BM118" s="515"/>
    </row>
    <row r="119" spans="2:112" ht="15.75">
      <c r="B119" s="3"/>
      <c r="G119" s="515"/>
      <c r="H119" s="515"/>
      <c r="I119" s="515"/>
      <c r="J119" s="515"/>
      <c r="K119" s="519"/>
      <c r="L119" s="515"/>
      <c r="M119" s="515"/>
      <c r="N119" s="515"/>
      <c r="O119" s="515"/>
      <c r="P119" s="515"/>
      <c r="Q119" s="515"/>
      <c r="S119" s="515"/>
      <c r="T119" s="515"/>
      <c r="U119" s="515"/>
      <c r="V119" s="515"/>
      <c r="W119" s="515"/>
      <c r="X119" s="515"/>
      <c r="Y119" s="515"/>
      <c r="Z119" s="515"/>
      <c r="AA119" s="515"/>
      <c r="AB119" s="515"/>
      <c r="AC119" s="515"/>
      <c r="AD119" s="515"/>
      <c r="AE119" s="515"/>
      <c r="AF119" s="515"/>
      <c r="AG119" s="515"/>
      <c r="AH119" s="515"/>
      <c r="AI119" s="515"/>
      <c r="AJ119" s="515"/>
      <c r="AK119" s="515"/>
      <c r="AM119" s="515"/>
      <c r="AN119" s="515"/>
      <c r="AO119" s="515"/>
      <c r="AP119" s="515"/>
      <c r="AQ119" s="515"/>
      <c r="AR119" s="515"/>
      <c r="AS119" s="515"/>
      <c r="AT119" s="515"/>
      <c r="AU119" s="515"/>
      <c r="AV119" s="515"/>
      <c r="AW119" s="515"/>
      <c r="AX119" s="515"/>
      <c r="AY119" s="515"/>
      <c r="AZ119" s="515"/>
      <c r="BA119" s="515"/>
      <c r="BB119" s="515"/>
      <c r="BC119" s="515"/>
      <c r="BD119" s="515"/>
      <c r="BE119" s="515"/>
      <c r="BF119" s="515"/>
      <c r="BH119" s="515"/>
      <c r="BI119" s="515"/>
      <c r="BJ119" s="515"/>
      <c r="BL119" s="515"/>
      <c r="BM119" s="515"/>
    </row>
    <row r="120" spans="2:112" ht="15.75">
      <c r="B120" s="3"/>
      <c r="G120" s="515"/>
      <c r="H120" s="515"/>
      <c r="I120" s="515"/>
      <c r="J120" s="515"/>
      <c r="K120" s="519"/>
      <c r="L120" s="515"/>
      <c r="M120" s="515"/>
      <c r="N120" s="515"/>
      <c r="O120" s="515"/>
      <c r="P120" s="515"/>
      <c r="Q120" s="515"/>
      <c r="S120" s="515"/>
      <c r="T120" s="515"/>
      <c r="U120" s="515"/>
      <c r="V120" s="515"/>
      <c r="W120" s="515"/>
      <c r="X120" s="515"/>
      <c r="Y120" s="515"/>
      <c r="Z120" s="515"/>
      <c r="AA120" s="515"/>
      <c r="AB120" s="515"/>
      <c r="AC120" s="515"/>
      <c r="AD120" s="515"/>
      <c r="AE120" s="515"/>
      <c r="AF120" s="515"/>
      <c r="AG120" s="515"/>
      <c r="AH120" s="515"/>
      <c r="AI120" s="515"/>
      <c r="AJ120" s="515"/>
      <c r="AK120" s="515"/>
      <c r="AM120" s="515"/>
      <c r="AN120" s="515"/>
      <c r="AO120" s="515"/>
      <c r="AP120" s="515"/>
      <c r="AQ120" s="515"/>
      <c r="AR120" s="515"/>
      <c r="AS120" s="515"/>
      <c r="AT120" s="515"/>
      <c r="AU120" s="515"/>
      <c r="AV120" s="515"/>
      <c r="AW120" s="515"/>
      <c r="AX120" s="515"/>
      <c r="AY120" s="515"/>
      <c r="AZ120" s="515"/>
      <c r="BA120" s="515"/>
      <c r="BB120" s="515"/>
      <c r="BC120" s="515"/>
      <c r="BD120" s="515"/>
      <c r="BE120" s="515"/>
      <c r="BF120" s="515"/>
      <c r="BH120" s="515"/>
      <c r="BI120" s="515"/>
      <c r="BJ120" s="515"/>
      <c r="BL120" s="515"/>
      <c r="BM120" s="515"/>
    </row>
    <row r="121" spans="2:112" ht="15.75">
      <c r="B121" s="3"/>
      <c r="G121" s="515"/>
      <c r="H121" s="515"/>
      <c r="I121" s="515"/>
      <c r="J121" s="515"/>
      <c r="K121" s="519"/>
      <c r="L121" s="515"/>
      <c r="M121" s="515"/>
      <c r="N121" s="515"/>
      <c r="O121" s="515"/>
      <c r="P121" s="515"/>
      <c r="Q121" s="515"/>
      <c r="S121" s="515"/>
      <c r="T121" s="515"/>
      <c r="U121" s="515"/>
      <c r="V121" s="515"/>
      <c r="W121" s="515"/>
      <c r="X121" s="515"/>
      <c r="Y121" s="515"/>
      <c r="Z121" s="515"/>
      <c r="AA121" s="515"/>
      <c r="AB121" s="515"/>
      <c r="AC121" s="515"/>
      <c r="AD121" s="515"/>
      <c r="AE121" s="515"/>
      <c r="AF121" s="515"/>
      <c r="AG121" s="515"/>
      <c r="AH121" s="515"/>
      <c r="AI121" s="515"/>
      <c r="AJ121" s="515"/>
      <c r="AK121" s="515"/>
      <c r="AM121" s="515"/>
      <c r="AN121" s="515"/>
      <c r="AO121" s="515"/>
      <c r="AP121" s="515"/>
      <c r="AQ121" s="515"/>
      <c r="AR121" s="515"/>
      <c r="AS121" s="515"/>
      <c r="AT121" s="515"/>
      <c r="AU121" s="515"/>
      <c r="AV121" s="515"/>
      <c r="AW121" s="515"/>
      <c r="AX121" s="515"/>
      <c r="AY121" s="515"/>
      <c r="AZ121" s="515"/>
      <c r="BA121" s="515"/>
      <c r="BB121" s="515"/>
      <c r="BC121" s="515"/>
      <c r="BD121" s="515"/>
      <c r="BE121" s="515"/>
      <c r="BF121" s="515"/>
      <c r="BH121" s="515"/>
      <c r="BI121" s="515"/>
      <c r="BJ121" s="515"/>
      <c r="BL121" s="515"/>
      <c r="BM121" s="515"/>
    </row>
    <row r="122" spans="2:112">
      <c r="G122" s="515"/>
      <c r="H122" s="515"/>
      <c r="I122" s="515"/>
      <c r="J122" s="515"/>
      <c r="K122" s="519"/>
      <c r="L122" s="515"/>
      <c r="M122" s="515"/>
      <c r="N122" s="515"/>
      <c r="O122" s="515"/>
      <c r="P122" s="515"/>
      <c r="Q122" s="515"/>
      <c r="S122" s="515"/>
      <c r="T122" s="515"/>
      <c r="U122" s="515"/>
      <c r="V122" s="515"/>
      <c r="W122" s="515"/>
      <c r="X122" s="515"/>
      <c r="Y122" s="515"/>
      <c r="Z122" s="515"/>
      <c r="AA122" s="515"/>
      <c r="AB122" s="515"/>
      <c r="AC122" s="515"/>
      <c r="AD122" s="515"/>
      <c r="AE122" s="515"/>
      <c r="AF122" s="515"/>
      <c r="AG122" s="515"/>
      <c r="AH122" s="515"/>
      <c r="AI122" s="515"/>
      <c r="AJ122" s="515"/>
      <c r="AK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H122" s="515"/>
      <c r="BI122" s="515"/>
      <c r="BJ122" s="515"/>
      <c r="BL122" s="515"/>
      <c r="BM122" s="515"/>
    </row>
    <row r="123" spans="2:112" ht="24" customHeight="1">
      <c r="G123" s="515"/>
      <c r="H123" s="515"/>
      <c r="I123" s="515"/>
      <c r="J123" s="515"/>
      <c r="K123" s="519"/>
      <c r="L123" s="515"/>
      <c r="M123" s="515"/>
      <c r="N123" s="515"/>
      <c r="O123" s="515"/>
      <c r="P123" s="515"/>
      <c r="Q123" s="515"/>
      <c r="S123" s="515"/>
      <c r="T123" s="515"/>
      <c r="U123" s="515"/>
      <c r="V123" s="515"/>
      <c r="W123" s="515"/>
      <c r="X123" s="515"/>
      <c r="Y123" s="515"/>
      <c r="Z123" s="515"/>
      <c r="AA123" s="515"/>
      <c r="AB123" s="515"/>
      <c r="AC123" s="515"/>
      <c r="AD123" s="515"/>
      <c r="AE123" s="515"/>
      <c r="AF123" s="515"/>
      <c r="AG123" s="515"/>
      <c r="AH123" s="515"/>
      <c r="AI123" s="515"/>
      <c r="AJ123" s="515"/>
      <c r="AK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H123" s="515"/>
      <c r="BI123" s="515"/>
      <c r="BJ123" s="515"/>
      <c r="BL123" s="515"/>
      <c r="BM123" s="515"/>
    </row>
    <row r="124" spans="2:112">
      <c r="G124" s="515"/>
      <c r="H124" s="515"/>
      <c r="I124" s="515"/>
      <c r="J124" s="515"/>
      <c r="K124" s="519"/>
      <c r="L124" s="515"/>
      <c r="M124" s="515"/>
      <c r="N124" s="515"/>
      <c r="O124" s="515"/>
      <c r="P124" s="515"/>
      <c r="Q124" s="515"/>
      <c r="S124" s="515"/>
      <c r="T124" s="515"/>
      <c r="U124" s="515"/>
      <c r="V124" s="515"/>
      <c r="W124" s="515"/>
      <c r="X124" s="515"/>
      <c r="Y124" s="515"/>
      <c r="Z124" s="515"/>
      <c r="AA124" s="515"/>
      <c r="AB124" s="515"/>
      <c r="AC124" s="515"/>
      <c r="AD124" s="515"/>
      <c r="AE124" s="515"/>
      <c r="AF124" s="515"/>
      <c r="AG124" s="515"/>
      <c r="AH124" s="515"/>
      <c r="AI124" s="515"/>
      <c r="AJ124" s="515"/>
      <c r="AK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H124" s="515"/>
      <c r="BI124" s="515"/>
      <c r="BJ124" s="515"/>
      <c r="BL124" s="515"/>
      <c r="BM124" s="515"/>
    </row>
    <row r="125" spans="2:112">
      <c r="C125" s="520"/>
      <c r="D125" s="38"/>
      <c r="G125" s="515"/>
      <c r="H125" s="515"/>
      <c r="I125" s="515"/>
      <c r="J125" s="515"/>
      <c r="K125" s="519"/>
      <c r="L125" s="515"/>
      <c r="M125" s="515"/>
      <c r="N125" s="515"/>
      <c r="O125" s="515"/>
      <c r="P125" s="515"/>
      <c r="Q125" s="515"/>
      <c r="S125" s="515"/>
      <c r="T125" s="515"/>
      <c r="U125" s="515"/>
      <c r="V125" s="515"/>
      <c r="W125" s="515"/>
      <c r="X125" s="515"/>
      <c r="Y125" s="515"/>
      <c r="Z125" s="515"/>
      <c r="AA125" s="515"/>
      <c r="AB125" s="515"/>
      <c r="AC125" s="515"/>
      <c r="AD125" s="515"/>
      <c r="AE125" s="515"/>
      <c r="AF125" s="515"/>
      <c r="AG125" s="515"/>
      <c r="AH125" s="515"/>
      <c r="AI125" s="515"/>
      <c r="AJ125" s="515"/>
      <c r="AK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H125" s="515"/>
      <c r="BI125" s="515"/>
      <c r="BJ125" s="515"/>
      <c r="BL125" s="515"/>
      <c r="BM125" s="515"/>
    </row>
    <row r="126" spans="2:112">
      <c r="G126" s="515"/>
      <c r="H126" s="515"/>
      <c r="I126" s="515"/>
      <c r="J126" s="515"/>
      <c r="K126" s="519"/>
      <c r="L126" s="515"/>
      <c r="M126" s="515"/>
      <c r="N126" s="515"/>
      <c r="O126" s="515"/>
      <c r="P126" s="515"/>
      <c r="Q126" s="515"/>
      <c r="S126" s="515"/>
      <c r="T126" s="515"/>
      <c r="U126" s="515"/>
      <c r="V126" s="515"/>
      <c r="W126" s="515"/>
      <c r="X126" s="515"/>
      <c r="Y126" s="515"/>
      <c r="Z126" s="515"/>
      <c r="AA126" s="515"/>
      <c r="AB126" s="515"/>
      <c r="AC126" s="515"/>
      <c r="AD126" s="515"/>
      <c r="AE126" s="515"/>
      <c r="AF126" s="515"/>
      <c r="AG126" s="515"/>
      <c r="AH126" s="515"/>
      <c r="AI126" s="515"/>
      <c r="AJ126" s="515"/>
      <c r="AK126" s="515"/>
      <c r="AM126" s="515"/>
      <c r="AN126" s="515"/>
      <c r="AO126" s="515"/>
      <c r="AP126" s="515"/>
      <c r="AQ126" s="515"/>
      <c r="AR126" s="515"/>
      <c r="AS126" s="515"/>
      <c r="AT126" s="515"/>
      <c r="AU126" s="515"/>
      <c r="AV126" s="515"/>
      <c r="AW126" s="515"/>
      <c r="AX126" s="515"/>
      <c r="AY126" s="515"/>
      <c r="AZ126" s="515"/>
      <c r="BA126" s="515"/>
      <c r="BB126" s="515"/>
      <c r="BC126" s="515"/>
      <c r="BD126" s="515"/>
      <c r="BE126" s="515"/>
      <c r="BF126" s="515"/>
      <c r="BH126" s="515"/>
      <c r="BI126" s="515"/>
      <c r="BJ126" s="515"/>
      <c r="BL126" s="515"/>
      <c r="BM126" s="515"/>
    </row>
    <row r="127" spans="2:112">
      <c r="G127" s="515"/>
      <c r="H127" s="515"/>
      <c r="I127" s="515"/>
      <c r="J127" s="515"/>
      <c r="K127" s="519"/>
      <c r="L127" s="515"/>
      <c r="M127" s="515"/>
      <c r="N127" s="515"/>
      <c r="O127" s="515"/>
      <c r="P127" s="515"/>
      <c r="Q127" s="515"/>
      <c r="S127" s="515"/>
      <c r="T127" s="515"/>
      <c r="U127" s="515"/>
      <c r="V127" s="515"/>
      <c r="W127" s="515"/>
      <c r="X127" s="515"/>
      <c r="Y127" s="515"/>
      <c r="Z127" s="515"/>
      <c r="AA127" s="515"/>
      <c r="AB127" s="515"/>
      <c r="AC127" s="515"/>
      <c r="AD127" s="515"/>
      <c r="AE127" s="515"/>
      <c r="AF127" s="515"/>
      <c r="AG127" s="515"/>
      <c r="AH127" s="515"/>
      <c r="AI127" s="515"/>
      <c r="AJ127" s="515"/>
      <c r="AK127" s="515"/>
      <c r="AM127" s="515"/>
      <c r="AN127" s="515"/>
      <c r="AO127" s="515"/>
      <c r="AP127" s="515"/>
      <c r="AQ127" s="515"/>
      <c r="AR127" s="515"/>
      <c r="AS127" s="515"/>
      <c r="AT127" s="515"/>
      <c r="AU127" s="515"/>
      <c r="AV127" s="515"/>
      <c r="AW127" s="515"/>
      <c r="AX127" s="515"/>
      <c r="AY127" s="515"/>
      <c r="AZ127" s="515"/>
      <c r="BA127" s="515"/>
      <c r="BB127" s="515"/>
      <c r="BC127" s="515"/>
      <c r="BD127" s="515"/>
      <c r="BE127" s="515"/>
      <c r="BF127" s="515"/>
      <c r="BH127" s="515"/>
      <c r="BI127" s="515"/>
      <c r="BJ127" s="515"/>
      <c r="BL127" s="515"/>
      <c r="BM127" s="515"/>
    </row>
    <row r="128" spans="2:112">
      <c r="G128" s="515"/>
      <c r="H128" s="515"/>
      <c r="I128" s="515"/>
      <c r="J128" s="515"/>
      <c r="K128" s="519"/>
      <c r="L128" s="515"/>
      <c r="M128" s="515"/>
      <c r="N128" s="515"/>
      <c r="O128" s="515"/>
      <c r="P128" s="515"/>
      <c r="Q128" s="515"/>
      <c r="S128" s="515"/>
      <c r="T128" s="515"/>
      <c r="U128" s="515"/>
      <c r="V128" s="515"/>
      <c r="W128" s="515"/>
      <c r="X128" s="515"/>
      <c r="Y128" s="515"/>
      <c r="Z128" s="515"/>
      <c r="AA128" s="515"/>
      <c r="AB128" s="515"/>
      <c r="AC128" s="515"/>
      <c r="AD128" s="515"/>
      <c r="AE128" s="515"/>
      <c r="AF128" s="515"/>
      <c r="AG128" s="515"/>
      <c r="AH128" s="515"/>
      <c r="AI128" s="515"/>
      <c r="AJ128" s="515"/>
      <c r="AK128" s="515"/>
      <c r="AM128" s="515"/>
      <c r="AN128" s="515"/>
      <c r="AO128" s="515"/>
      <c r="AP128" s="515"/>
      <c r="AQ128" s="515"/>
      <c r="AR128" s="515"/>
      <c r="AS128" s="515"/>
      <c r="AT128" s="515"/>
      <c r="AU128" s="515"/>
      <c r="AV128" s="515"/>
      <c r="AW128" s="515"/>
      <c r="AX128" s="515"/>
      <c r="AY128" s="515"/>
      <c r="AZ128" s="515"/>
      <c r="BA128" s="515"/>
      <c r="BB128" s="515"/>
      <c r="BC128" s="515"/>
      <c r="BD128" s="515"/>
      <c r="BE128" s="515"/>
      <c r="BF128" s="515"/>
      <c r="BH128" s="515"/>
      <c r="BI128" s="515"/>
      <c r="BJ128" s="515"/>
      <c r="BL128" s="515"/>
      <c r="BM128" s="515"/>
    </row>
    <row r="129" spans="7:65">
      <c r="G129" s="515"/>
      <c r="H129" s="515"/>
      <c r="I129" s="515"/>
      <c r="J129" s="515"/>
      <c r="K129" s="519"/>
      <c r="L129" s="515"/>
      <c r="M129" s="515"/>
      <c r="N129" s="515"/>
      <c r="O129" s="515"/>
      <c r="P129" s="515"/>
      <c r="Q129" s="515"/>
      <c r="S129" s="515"/>
      <c r="T129" s="515"/>
      <c r="U129" s="515"/>
      <c r="V129" s="515"/>
      <c r="W129" s="515"/>
      <c r="X129" s="515"/>
      <c r="Y129" s="515"/>
      <c r="Z129" s="515"/>
      <c r="AA129" s="515"/>
      <c r="AB129" s="515"/>
      <c r="AC129" s="515"/>
      <c r="AD129" s="515"/>
      <c r="AE129" s="515"/>
      <c r="AF129" s="515"/>
      <c r="AG129" s="515"/>
      <c r="AH129" s="515"/>
      <c r="AI129" s="515"/>
      <c r="AJ129" s="515"/>
      <c r="AK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H129" s="515"/>
      <c r="BI129" s="515"/>
      <c r="BJ129" s="515"/>
      <c r="BL129" s="515"/>
      <c r="BM129" s="515"/>
    </row>
    <row r="130" spans="7:65">
      <c r="G130" s="515"/>
      <c r="H130" s="515"/>
      <c r="I130" s="515"/>
      <c r="J130" s="515"/>
      <c r="K130" s="519"/>
      <c r="L130" s="515"/>
      <c r="M130" s="515"/>
      <c r="N130" s="515"/>
      <c r="O130" s="515"/>
      <c r="P130" s="515"/>
      <c r="Q130" s="515"/>
      <c r="S130" s="515"/>
      <c r="T130" s="515"/>
      <c r="U130" s="515"/>
      <c r="V130" s="515"/>
      <c r="W130" s="515"/>
      <c r="X130" s="515"/>
      <c r="Y130" s="515"/>
      <c r="Z130" s="515"/>
      <c r="AA130" s="515"/>
      <c r="AB130" s="515"/>
      <c r="AC130" s="515"/>
      <c r="AD130" s="515"/>
      <c r="AE130" s="515"/>
      <c r="AF130" s="515"/>
      <c r="AG130" s="515"/>
      <c r="AH130" s="515"/>
      <c r="AI130" s="515"/>
      <c r="AJ130" s="515"/>
      <c r="AK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H130" s="515"/>
      <c r="BI130" s="515"/>
      <c r="BJ130" s="515"/>
      <c r="BL130" s="515"/>
      <c r="BM130" s="515"/>
    </row>
    <row r="131" spans="7:65">
      <c r="G131" s="515"/>
      <c r="H131" s="515"/>
      <c r="I131" s="515"/>
      <c r="J131" s="515"/>
      <c r="K131" s="519"/>
      <c r="L131" s="515"/>
      <c r="M131" s="515"/>
      <c r="N131" s="515"/>
      <c r="O131" s="515"/>
      <c r="P131" s="515"/>
      <c r="Q131" s="515"/>
      <c r="S131" s="515"/>
      <c r="T131" s="515"/>
      <c r="U131" s="515"/>
      <c r="V131" s="515"/>
      <c r="W131" s="515"/>
      <c r="X131" s="515"/>
      <c r="Y131" s="515"/>
      <c r="Z131" s="515"/>
      <c r="AA131" s="515"/>
      <c r="AB131" s="515"/>
      <c r="AC131" s="515"/>
      <c r="AD131" s="515"/>
      <c r="AE131" s="515"/>
      <c r="AF131" s="515"/>
      <c r="AG131" s="515"/>
      <c r="AH131" s="515"/>
      <c r="AI131" s="515"/>
      <c r="AJ131" s="515"/>
      <c r="AK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H131" s="515"/>
      <c r="BI131" s="515"/>
      <c r="BJ131" s="515"/>
      <c r="BL131" s="515"/>
      <c r="BM131" s="515"/>
    </row>
    <row r="132" spans="7:65">
      <c r="G132" s="515"/>
      <c r="H132" s="515"/>
      <c r="I132" s="515"/>
      <c r="J132" s="515"/>
      <c r="K132" s="519"/>
      <c r="L132" s="515"/>
      <c r="M132" s="515"/>
      <c r="N132" s="515"/>
      <c r="O132" s="515"/>
      <c r="P132" s="515"/>
      <c r="Q132" s="515"/>
      <c r="S132" s="515"/>
      <c r="T132" s="515"/>
      <c r="U132" s="515"/>
      <c r="V132" s="515"/>
      <c r="W132" s="515"/>
      <c r="X132" s="515"/>
      <c r="Y132" s="515"/>
      <c r="Z132" s="515"/>
      <c r="AA132" s="515"/>
      <c r="AB132" s="515"/>
      <c r="AC132" s="515"/>
      <c r="AD132" s="515"/>
      <c r="AE132" s="515"/>
      <c r="AF132" s="515"/>
      <c r="AG132" s="515"/>
      <c r="AH132" s="515"/>
      <c r="AI132" s="515"/>
      <c r="AJ132" s="515"/>
      <c r="AK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H132" s="515"/>
      <c r="BI132" s="515"/>
      <c r="BJ132" s="515"/>
      <c r="BL132" s="515"/>
      <c r="BM132" s="515"/>
    </row>
    <row r="133" spans="7:65">
      <c r="G133" s="515"/>
      <c r="H133" s="515"/>
      <c r="I133" s="515"/>
      <c r="J133" s="515"/>
      <c r="K133" s="519"/>
      <c r="L133" s="515"/>
      <c r="M133" s="515"/>
      <c r="N133" s="515"/>
      <c r="O133" s="515"/>
      <c r="P133" s="515"/>
      <c r="Q133" s="515"/>
      <c r="S133" s="515"/>
      <c r="T133" s="515"/>
      <c r="U133" s="515"/>
      <c r="V133" s="515"/>
      <c r="W133" s="515"/>
      <c r="X133" s="515"/>
      <c r="Y133" s="515"/>
      <c r="Z133" s="515"/>
      <c r="AA133" s="515"/>
      <c r="AB133" s="515"/>
      <c r="AC133" s="515"/>
      <c r="AD133" s="515"/>
      <c r="AE133" s="515"/>
      <c r="AF133" s="515"/>
      <c r="AG133" s="515"/>
      <c r="AH133" s="515"/>
      <c r="AI133" s="515"/>
      <c r="AJ133" s="515"/>
      <c r="AK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H133" s="515"/>
      <c r="BI133" s="515"/>
      <c r="BJ133" s="515"/>
      <c r="BL133" s="515"/>
      <c r="BM133" s="515"/>
    </row>
    <row r="134" spans="7:65">
      <c r="G134" s="515"/>
      <c r="H134" s="515"/>
      <c r="I134" s="515"/>
      <c r="J134" s="515"/>
      <c r="K134" s="519"/>
      <c r="L134" s="515"/>
      <c r="M134" s="515"/>
      <c r="N134" s="515"/>
      <c r="O134" s="515"/>
      <c r="P134" s="515"/>
      <c r="Q134" s="515"/>
      <c r="S134" s="515"/>
      <c r="T134" s="515"/>
      <c r="U134" s="515"/>
      <c r="V134" s="515"/>
      <c r="W134" s="515"/>
      <c r="X134" s="515"/>
      <c r="Y134" s="515"/>
      <c r="Z134" s="515"/>
      <c r="AA134" s="515"/>
      <c r="AB134" s="515"/>
      <c r="AC134" s="515"/>
      <c r="AD134" s="515"/>
      <c r="AE134" s="515"/>
      <c r="AF134" s="515"/>
      <c r="AG134" s="515"/>
      <c r="AH134" s="515"/>
      <c r="AI134" s="515"/>
      <c r="AJ134" s="515"/>
      <c r="AK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H134" s="515"/>
      <c r="BI134" s="515"/>
      <c r="BJ134" s="515"/>
      <c r="BL134" s="515"/>
      <c r="BM134" s="515"/>
    </row>
    <row r="135" spans="7:65">
      <c r="G135" s="515"/>
      <c r="H135" s="515"/>
      <c r="I135" s="515"/>
      <c r="J135" s="515"/>
      <c r="K135" s="519"/>
      <c r="L135" s="515"/>
      <c r="M135" s="515"/>
      <c r="N135" s="515"/>
      <c r="O135" s="515"/>
      <c r="P135" s="515"/>
      <c r="Q135" s="515"/>
      <c r="S135" s="515"/>
      <c r="T135" s="515"/>
      <c r="U135" s="515"/>
      <c r="V135" s="515"/>
      <c r="W135" s="515"/>
      <c r="X135" s="515"/>
      <c r="Y135" s="515"/>
      <c r="Z135" s="515"/>
      <c r="AA135" s="515"/>
      <c r="AB135" s="515"/>
      <c r="AC135" s="515"/>
      <c r="AD135" s="515"/>
      <c r="AE135" s="515"/>
      <c r="AF135" s="515"/>
      <c r="AG135" s="515"/>
      <c r="AH135" s="515"/>
      <c r="AI135" s="515"/>
      <c r="AJ135" s="515"/>
      <c r="AK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H135" s="515"/>
      <c r="BI135" s="515"/>
      <c r="BJ135" s="515"/>
      <c r="BL135" s="515"/>
      <c r="BM135" s="515"/>
    </row>
    <row r="136" spans="7:65">
      <c r="G136" s="515"/>
      <c r="H136" s="515"/>
      <c r="I136" s="515"/>
      <c r="J136" s="515"/>
      <c r="K136" s="519"/>
      <c r="L136" s="515"/>
      <c r="M136" s="515"/>
      <c r="N136" s="515"/>
      <c r="O136" s="515"/>
      <c r="P136" s="515"/>
      <c r="Q136" s="515"/>
      <c r="S136" s="515"/>
      <c r="T136" s="515"/>
      <c r="U136" s="515"/>
      <c r="V136" s="515"/>
      <c r="W136" s="515"/>
      <c r="X136" s="515"/>
      <c r="Y136" s="515"/>
      <c r="Z136" s="515"/>
      <c r="AA136" s="515"/>
      <c r="AB136" s="515"/>
      <c r="AC136" s="515"/>
      <c r="AD136" s="515"/>
      <c r="AE136" s="515"/>
      <c r="AF136" s="515"/>
      <c r="AG136" s="515"/>
      <c r="AH136" s="515"/>
      <c r="AI136" s="515"/>
      <c r="AJ136" s="515"/>
      <c r="AK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H136" s="515"/>
      <c r="BI136" s="515"/>
      <c r="BJ136" s="515"/>
      <c r="BL136" s="515"/>
      <c r="BM136" s="515"/>
    </row>
    <row r="137" spans="7:65">
      <c r="G137" s="515"/>
      <c r="H137" s="515"/>
      <c r="I137" s="515"/>
      <c r="J137" s="515"/>
      <c r="K137" s="519"/>
      <c r="L137" s="515"/>
      <c r="M137" s="515"/>
      <c r="N137" s="515"/>
      <c r="O137" s="515"/>
      <c r="P137" s="515"/>
      <c r="Q137" s="515"/>
      <c r="S137" s="515"/>
      <c r="T137" s="515"/>
      <c r="U137" s="515"/>
      <c r="V137" s="515"/>
      <c r="W137" s="515"/>
      <c r="X137" s="515"/>
      <c r="Y137" s="515"/>
      <c r="Z137" s="515"/>
      <c r="AA137" s="515"/>
      <c r="AB137" s="515"/>
      <c r="AC137" s="515"/>
      <c r="AD137" s="515"/>
      <c r="AE137" s="515"/>
      <c r="AF137" s="515"/>
      <c r="AG137" s="515"/>
      <c r="AH137" s="515"/>
      <c r="AI137" s="515"/>
      <c r="AJ137" s="515"/>
      <c r="AK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H137" s="515"/>
      <c r="BI137" s="515"/>
      <c r="BJ137" s="515"/>
      <c r="BL137" s="515"/>
      <c r="BM137" s="515"/>
    </row>
    <row r="138" spans="7:65">
      <c r="G138" s="515"/>
      <c r="H138" s="515"/>
      <c r="I138" s="515"/>
      <c r="J138" s="515"/>
      <c r="K138" s="519"/>
      <c r="L138" s="515"/>
      <c r="M138" s="515"/>
      <c r="N138" s="515"/>
      <c r="O138" s="515"/>
      <c r="P138" s="515"/>
      <c r="Q138" s="515"/>
      <c r="S138" s="515"/>
      <c r="T138" s="515"/>
      <c r="U138" s="515"/>
      <c r="V138" s="515"/>
      <c r="W138" s="515"/>
      <c r="X138" s="515"/>
      <c r="Y138" s="515"/>
      <c r="Z138" s="515"/>
      <c r="AA138" s="515"/>
      <c r="AB138" s="515"/>
      <c r="AC138" s="515"/>
      <c r="AD138" s="515"/>
      <c r="AE138" s="515"/>
      <c r="AF138" s="515"/>
      <c r="AG138" s="515"/>
      <c r="AH138" s="515"/>
      <c r="AI138" s="515"/>
      <c r="AJ138" s="515"/>
      <c r="AK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H138" s="515"/>
      <c r="BI138" s="515"/>
      <c r="BJ138" s="515"/>
      <c r="BL138" s="515"/>
      <c r="BM138" s="515"/>
    </row>
    <row r="139" spans="7:65">
      <c r="G139" s="515"/>
      <c r="H139" s="515"/>
      <c r="I139" s="515"/>
      <c r="J139" s="515"/>
      <c r="K139" s="519"/>
      <c r="L139" s="515"/>
      <c r="M139" s="515"/>
      <c r="N139" s="515"/>
      <c r="O139" s="515"/>
      <c r="P139" s="515"/>
      <c r="Q139" s="515"/>
      <c r="S139" s="515"/>
      <c r="T139" s="515"/>
      <c r="U139" s="515"/>
      <c r="V139" s="515"/>
      <c r="W139" s="515"/>
      <c r="X139" s="515"/>
      <c r="Y139" s="515"/>
      <c r="Z139" s="515"/>
      <c r="AA139" s="515"/>
      <c r="AB139" s="515"/>
      <c r="AC139" s="515"/>
      <c r="AD139" s="515"/>
      <c r="AE139" s="515"/>
      <c r="AF139" s="515"/>
      <c r="AG139" s="515"/>
      <c r="AH139" s="515"/>
      <c r="AI139" s="515"/>
      <c r="AJ139" s="515"/>
      <c r="AK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H139" s="515"/>
      <c r="BI139" s="515"/>
      <c r="BJ139" s="515"/>
      <c r="BL139" s="515"/>
      <c r="BM139" s="515"/>
    </row>
    <row r="140" spans="7:65">
      <c r="G140" s="515"/>
      <c r="H140" s="515"/>
      <c r="I140" s="515"/>
      <c r="J140" s="515"/>
      <c r="K140" s="519"/>
      <c r="L140" s="515"/>
      <c r="M140" s="515"/>
      <c r="N140" s="515"/>
      <c r="O140" s="515"/>
      <c r="P140" s="515"/>
      <c r="Q140" s="515"/>
      <c r="S140" s="515"/>
      <c r="T140" s="515"/>
      <c r="U140" s="515"/>
      <c r="V140" s="515"/>
      <c r="W140" s="515"/>
      <c r="X140" s="515"/>
      <c r="Y140" s="515"/>
      <c r="Z140" s="515"/>
      <c r="AA140" s="515"/>
      <c r="AB140" s="515"/>
      <c r="AC140" s="515"/>
      <c r="AD140" s="515"/>
      <c r="AE140" s="515"/>
      <c r="AF140" s="515"/>
      <c r="AG140" s="515"/>
      <c r="AH140" s="515"/>
      <c r="AI140" s="515"/>
      <c r="AJ140" s="515"/>
      <c r="AK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H140" s="515"/>
      <c r="BI140" s="515"/>
      <c r="BJ140" s="515"/>
      <c r="BL140" s="515"/>
      <c r="BM140" s="515"/>
    </row>
    <row r="141" spans="7:65">
      <c r="G141" s="515"/>
      <c r="H141" s="515"/>
      <c r="I141" s="515"/>
      <c r="J141" s="515"/>
      <c r="K141" s="519"/>
      <c r="L141" s="515"/>
      <c r="M141" s="515"/>
      <c r="N141" s="515"/>
      <c r="O141" s="515"/>
      <c r="P141" s="515"/>
      <c r="Q141" s="515"/>
      <c r="S141" s="515"/>
      <c r="T141" s="515"/>
      <c r="U141" s="515"/>
      <c r="V141" s="515"/>
      <c r="W141" s="515"/>
      <c r="X141" s="515"/>
      <c r="Y141" s="515"/>
      <c r="Z141" s="515"/>
      <c r="AA141" s="515"/>
      <c r="AB141" s="515"/>
      <c r="AC141" s="515"/>
      <c r="AD141" s="515"/>
      <c r="AE141" s="515"/>
      <c r="AF141" s="515"/>
      <c r="AG141" s="515"/>
      <c r="AH141" s="515"/>
      <c r="AI141" s="515"/>
      <c r="AJ141" s="515"/>
      <c r="AK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H141" s="515"/>
      <c r="BI141" s="515"/>
      <c r="BJ141" s="515"/>
      <c r="BL141" s="515"/>
      <c r="BM141" s="515"/>
    </row>
    <row r="142" spans="7:65">
      <c r="G142" s="515"/>
      <c r="H142" s="515"/>
      <c r="I142" s="515"/>
      <c r="J142" s="515"/>
      <c r="K142" s="519"/>
      <c r="L142" s="515"/>
      <c r="M142" s="515"/>
      <c r="N142" s="515"/>
      <c r="O142" s="515"/>
      <c r="P142" s="515"/>
      <c r="Q142" s="515"/>
      <c r="S142" s="515"/>
      <c r="T142" s="515"/>
      <c r="U142" s="515"/>
      <c r="V142" s="515"/>
      <c r="W142" s="515"/>
      <c r="X142" s="515"/>
      <c r="Y142" s="515"/>
      <c r="Z142" s="515"/>
      <c r="AA142" s="515"/>
      <c r="AB142" s="515"/>
      <c r="AC142" s="515"/>
      <c r="AD142" s="515"/>
      <c r="AE142" s="515"/>
      <c r="AF142" s="515"/>
      <c r="AG142" s="515"/>
      <c r="AH142" s="515"/>
      <c r="AI142" s="515"/>
      <c r="AJ142" s="515"/>
      <c r="AK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H142" s="515"/>
      <c r="BI142" s="515"/>
      <c r="BJ142" s="515"/>
      <c r="BL142" s="515"/>
      <c r="BM142" s="515"/>
    </row>
    <row r="143" spans="7:65">
      <c r="G143" s="515"/>
      <c r="H143" s="515"/>
      <c r="I143" s="515"/>
      <c r="J143" s="515"/>
      <c r="K143" s="519"/>
      <c r="L143" s="515"/>
      <c r="M143" s="515"/>
      <c r="N143" s="515"/>
      <c r="O143" s="515"/>
      <c r="P143" s="515"/>
      <c r="Q143" s="515"/>
      <c r="S143" s="515"/>
      <c r="T143" s="515"/>
      <c r="U143" s="515"/>
      <c r="V143" s="515"/>
      <c r="W143" s="515"/>
      <c r="X143" s="515"/>
      <c r="Y143" s="515"/>
      <c r="Z143" s="515"/>
      <c r="AA143" s="515"/>
      <c r="AB143" s="515"/>
      <c r="AC143" s="515"/>
      <c r="AD143" s="515"/>
      <c r="AE143" s="515"/>
      <c r="AF143" s="515"/>
      <c r="AG143" s="515"/>
      <c r="AH143" s="515"/>
      <c r="AI143" s="515"/>
      <c r="AJ143" s="515"/>
      <c r="AK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H143" s="515"/>
      <c r="BI143" s="515"/>
      <c r="BJ143" s="515"/>
      <c r="BL143" s="515"/>
      <c r="BM143" s="515"/>
    </row>
    <row r="144" spans="7:65">
      <c r="G144" s="515"/>
      <c r="H144" s="515"/>
      <c r="I144" s="515"/>
      <c r="J144" s="515"/>
      <c r="K144" s="519"/>
      <c r="L144" s="515"/>
      <c r="M144" s="515"/>
      <c r="N144" s="515"/>
      <c r="O144" s="515"/>
      <c r="P144" s="515"/>
      <c r="Q144" s="515"/>
      <c r="S144" s="515"/>
      <c r="T144" s="515"/>
      <c r="U144" s="515"/>
      <c r="V144" s="515"/>
      <c r="W144" s="515"/>
      <c r="X144" s="515"/>
      <c r="Y144" s="515"/>
      <c r="Z144" s="515"/>
      <c r="AA144" s="515"/>
      <c r="AB144" s="515"/>
      <c r="AC144" s="515"/>
      <c r="AD144" s="515"/>
      <c r="AE144" s="515"/>
      <c r="AF144" s="515"/>
      <c r="AG144" s="515"/>
      <c r="AH144" s="515"/>
      <c r="AI144" s="515"/>
      <c r="AJ144" s="515"/>
      <c r="AK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H144" s="515"/>
      <c r="BI144" s="515"/>
      <c r="BJ144" s="515"/>
      <c r="BL144" s="515"/>
      <c r="BM144" s="515"/>
    </row>
    <row r="145" spans="7:65">
      <c r="G145" s="515"/>
      <c r="H145" s="515"/>
      <c r="I145" s="515"/>
      <c r="J145" s="515"/>
      <c r="K145" s="519"/>
      <c r="L145" s="515"/>
      <c r="M145" s="515"/>
      <c r="N145" s="515"/>
      <c r="O145" s="515"/>
      <c r="P145" s="515"/>
      <c r="Q145" s="515"/>
      <c r="S145" s="515"/>
      <c r="T145" s="515"/>
      <c r="U145" s="515"/>
      <c r="V145" s="515"/>
      <c r="W145" s="515"/>
      <c r="X145" s="515"/>
      <c r="Y145" s="515"/>
      <c r="Z145" s="515"/>
      <c r="AA145" s="515"/>
      <c r="AB145" s="515"/>
      <c r="AC145" s="515"/>
      <c r="AD145" s="515"/>
      <c r="AE145" s="515"/>
      <c r="AF145" s="515"/>
      <c r="AG145" s="515"/>
      <c r="AH145" s="515"/>
      <c r="AI145" s="515"/>
      <c r="AJ145" s="515"/>
      <c r="AK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H145" s="515"/>
      <c r="BI145" s="515"/>
      <c r="BJ145" s="515"/>
      <c r="BL145" s="515"/>
      <c r="BM145" s="515"/>
    </row>
    <row r="146" spans="7:65">
      <c r="G146" s="515"/>
      <c r="H146" s="515"/>
      <c r="I146" s="515"/>
      <c r="J146" s="515"/>
      <c r="K146" s="519"/>
      <c r="L146" s="515"/>
      <c r="M146" s="515"/>
      <c r="N146" s="515"/>
      <c r="O146" s="515"/>
      <c r="P146" s="515"/>
      <c r="Q146" s="515"/>
      <c r="S146" s="515"/>
      <c r="T146" s="515"/>
      <c r="U146" s="515"/>
      <c r="V146" s="515"/>
      <c r="W146" s="515"/>
      <c r="X146" s="515"/>
      <c r="Y146" s="515"/>
      <c r="Z146" s="515"/>
      <c r="AA146" s="515"/>
      <c r="AB146" s="515"/>
      <c r="AC146" s="515"/>
      <c r="AD146" s="515"/>
      <c r="AE146" s="515"/>
      <c r="AF146" s="515"/>
      <c r="AG146" s="515"/>
      <c r="AH146" s="515"/>
      <c r="AI146" s="515"/>
      <c r="AJ146" s="515"/>
      <c r="AK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H146" s="515"/>
      <c r="BI146" s="515"/>
      <c r="BJ146" s="515"/>
      <c r="BL146" s="515"/>
      <c r="BM146" s="515"/>
    </row>
    <row r="147" spans="7:65">
      <c r="G147" s="515"/>
      <c r="H147" s="515"/>
      <c r="I147" s="515"/>
      <c r="J147" s="515"/>
      <c r="K147" s="519"/>
      <c r="L147" s="515"/>
      <c r="M147" s="515"/>
      <c r="N147" s="515"/>
      <c r="O147" s="515"/>
      <c r="P147" s="515"/>
      <c r="Q147" s="515"/>
      <c r="S147" s="515"/>
      <c r="T147" s="515"/>
      <c r="U147" s="515"/>
      <c r="V147" s="515"/>
      <c r="W147" s="515"/>
      <c r="X147" s="515"/>
      <c r="Y147" s="515"/>
      <c r="Z147" s="515"/>
      <c r="AA147" s="515"/>
      <c r="AB147" s="515"/>
      <c r="AC147" s="515"/>
      <c r="AD147" s="515"/>
      <c r="AE147" s="515"/>
      <c r="AF147" s="515"/>
      <c r="AG147" s="515"/>
      <c r="AH147" s="515"/>
      <c r="AI147" s="515"/>
      <c r="AJ147" s="515"/>
      <c r="AK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H147" s="515"/>
      <c r="BI147" s="515"/>
      <c r="BJ147" s="515"/>
      <c r="BL147" s="515"/>
      <c r="BM147" s="515"/>
    </row>
    <row r="148" spans="7:65">
      <c r="G148" s="515"/>
      <c r="H148" s="515"/>
      <c r="I148" s="515"/>
      <c r="J148" s="515"/>
      <c r="K148" s="519"/>
      <c r="L148" s="515"/>
      <c r="M148" s="515"/>
      <c r="N148" s="515"/>
      <c r="O148" s="515"/>
      <c r="P148" s="515"/>
      <c r="Q148" s="515"/>
      <c r="S148" s="515"/>
      <c r="T148" s="515"/>
      <c r="U148" s="515"/>
      <c r="V148" s="515"/>
      <c r="W148" s="515"/>
      <c r="X148" s="515"/>
      <c r="Y148" s="515"/>
      <c r="Z148" s="515"/>
      <c r="AA148" s="515"/>
      <c r="AB148" s="515"/>
      <c r="AC148" s="515"/>
      <c r="AD148" s="515"/>
      <c r="AE148" s="515"/>
      <c r="AF148" s="515"/>
      <c r="AG148" s="515"/>
      <c r="AH148" s="515"/>
      <c r="AI148" s="515"/>
      <c r="AJ148" s="515"/>
      <c r="AK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H148" s="515"/>
      <c r="BI148" s="515"/>
      <c r="BJ148" s="515"/>
      <c r="BL148" s="515"/>
      <c r="BM148" s="515"/>
    </row>
  </sheetData>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worksheet>
</file>

<file path=xl/worksheets/sheet61.xml><?xml version="1.0" encoding="utf-8"?>
<worksheet xmlns="http://schemas.openxmlformats.org/spreadsheetml/2006/main" xmlns:r="http://schemas.openxmlformats.org/officeDocument/2006/relationships">
  <sheetPr codeName="Sheet13">
    <tabColor theme="6" tint="0.39997558519241921"/>
    <pageSetUpPr autoPageBreaks="0"/>
  </sheetPr>
  <dimension ref="A1:DH148"/>
  <sheetViews>
    <sheetView showGridLines="0" zoomScale="80" zoomScaleNormal="80" workbookViewId="0">
      <pane xSplit="5" ySplit="5" topLeftCell="F6" activePane="bottomRight" state="frozen"/>
      <selection pane="topRight"/>
      <selection pane="bottomLeft"/>
      <selection pane="bottomRight"/>
    </sheetView>
  </sheetViews>
  <sheetFormatPr defaultRowHeight="12.75" outlineLevelRow="2" outlineLevelCol="2"/>
  <cols>
    <col min="1" max="1" width="1.7109375" style="121" customWidth="1"/>
    <col min="2" max="2" width="1.5703125" style="121" customWidth="1"/>
    <col min="3" max="3" width="4.42578125" style="508" customWidth="1"/>
    <col min="4" max="4" width="3.85546875" style="509" customWidth="1"/>
    <col min="5" max="5" width="41.7109375" style="509" customWidth="1"/>
    <col min="6" max="6" width="1.140625" style="121" customWidth="1" outlineLevel="1"/>
    <col min="7" max="10" width="10" style="509" customWidth="1" outlineLevel="2"/>
    <col min="11" max="11" width="10" style="530" customWidth="1" outlineLevel="2"/>
    <col min="12" max="16" width="10" style="509" customWidth="1" outlineLevel="2"/>
    <col min="17" max="17" width="10" style="509" customWidth="1" outlineLevel="1"/>
    <col min="18" max="18" width="1.140625" style="121" customWidth="1" outlineLevel="1"/>
    <col min="19" max="36" width="10" style="509" customWidth="1" outlineLevel="2"/>
    <col min="37" max="37" width="10" style="509" customWidth="1" outlineLevel="1"/>
    <col min="38" max="38" width="1.140625" style="121" customWidth="1" outlineLevel="1"/>
    <col min="39" max="57" width="10" style="509" customWidth="1" outlineLevel="2"/>
    <col min="58" max="58" width="10" style="509" customWidth="1" outlineLevel="1"/>
    <col min="59" max="59" width="1.140625" style="121" customWidth="1" outlineLevel="1"/>
    <col min="60" max="61" width="10" style="509" customWidth="1" outlineLevel="2"/>
    <col min="62" max="62" width="10" style="509" customWidth="1" outlineLevel="1"/>
    <col min="63" max="63" width="1.140625" style="121" customWidth="1" outlineLevel="1"/>
    <col min="64" max="64" width="11" style="509" customWidth="1" outlineLevel="1"/>
    <col min="65" max="65" width="5.28515625" style="509" customWidth="1"/>
    <col min="66" max="66" width="9.140625" style="121"/>
    <col min="67" max="110" width="7.5703125" style="121" customWidth="1"/>
    <col min="111" max="111" width="2.5703125" style="121" customWidth="1"/>
    <col min="112" max="16384" width="9.140625" style="121"/>
  </cols>
  <sheetData>
    <row r="1" spans="1:112" ht="6" customHeight="1"/>
    <row r="2" spans="1:112" ht="21" customHeight="1">
      <c r="D2" s="495"/>
      <c r="E2" s="965">
        <v>2045</v>
      </c>
      <c r="G2" s="121"/>
      <c r="H2" s="121"/>
      <c r="I2" s="121"/>
      <c r="J2" s="121"/>
      <c r="K2" s="121"/>
      <c r="L2" s="121"/>
      <c r="M2" s="121"/>
      <c r="N2" s="121"/>
      <c r="O2" s="121"/>
      <c r="P2" s="121"/>
      <c r="Q2" s="121"/>
      <c r="S2" s="121"/>
      <c r="T2" s="121"/>
      <c r="U2" s="121"/>
      <c r="V2" s="121"/>
      <c r="W2" s="121"/>
      <c r="X2" s="121"/>
      <c r="Y2" s="121"/>
      <c r="Z2" s="121"/>
      <c r="AA2" s="121"/>
      <c r="AB2" s="121"/>
      <c r="AC2" s="121"/>
      <c r="AD2" s="121"/>
      <c r="AE2" s="121"/>
      <c r="AF2" s="121"/>
      <c r="AG2" s="121"/>
      <c r="AH2" s="121"/>
      <c r="AI2" s="121"/>
      <c r="AJ2" s="121"/>
      <c r="AK2" s="121"/>
      <c r="AM2" s="121"/>
      <c r="AN2" s="121"/>
      <c r="AO2" s="121"/>
      <c r="AP2" s="121"/>
      <c r="AQ2" s="121"/>
      <c r="AR2" s="121"/>
      <c r="AS2" s="121"/>
      <c r="AT2" s="121"/>
      <c r="AU2" s="121"/>
      <c r="AV2" s="121"/>
      <c r="AW2" s="121"/>
      <c r="AX2" s="121"/>
      <c r="AY2" s="121"/>
      <c r="AZ2" s="121"/>
      <c r="BA2" s="121"/>
      <c r="BB2" s="121"/>
      <c r="BC2" s="121"/>
      <c r="BD2" s="121"/>
      <c r="BE2" s="121"/>
      <c r="BF2" s="121"/>
      <c r="BH2" s="121"/>
      <c r="BI2" s="121"/>
      <c r="BJ2" s="121"/>
      <c r="BL2" s="121"/>
      <c r="BM2" s="681"/>
    </row>
    <row r="3" spans="1:112" ht="39" customHeight="1">
      <c r="A3" s="754"/>
      <c r="B3" s="754"/>
      <c r="C3" s="754"/>
      <c r="D3" s="500"/>
      <c r="E3" s="808" t="str">
        <f>Preferences.EnergyUnits</f>
        <v>TWh</v>
      </c>
      <c r="G3" s="994" t="s">
        <v>751</v>
      </c>
      <c r="H3" s="994"/>
      <c r="I3" s="994"/>
      <c r="J3" s="994"/>
      <c r="K3" s="994"/>
      <c r="L3" s="994"/>
      <c r="M3" s="994"/>
      <c r="N3" s="994"/>
      <c r="O3" s="994"/>
      <c r="P3" s="994"/>
      <c r="Q3" s="994"/>
      <c r="S3" s="1133" t="s">
        <v>689</v>
      </c>
      <c r="T3" s="1134"/>
      <c r="U3" s="1134"/>
      <c r="V3" s="1134"/>
      <c r="W3" s="1134"/>
      <c r="X3" s="1138"/>
      <c r="Y3" s="1134"/>
      <c r="Z3" s="1134"/>
      <c r="AA3" s="1134"/>
      <c r="AB3" s="1134"/>
      <c r="AC3" s="1134"/>
      <c r="AD3" s="1134"/>
      <c r="AE3" s="1134"/>
      <c r="AF3" s="1134"/>
      <c r="AG3" s="1134"/>
      <c r="AH3" s="1134"/>
      <c r="AI3" s="1134"/>
      <c r="AJ3" s="1134"/>
      <c r="AK3" s="1137"/>
      <c r="AM3" s="1135" t="s">
        <v>1063</v>
      </c>
      <c r="AN3" s="1136"/>
      <c r="AO3" s="1136"/>
      <c r="AP3" s="1139"/>
      <c r="AQ3" s="1136"/>
      <c r="AR3" s="1136"/>
      <c r="AS3" s="1136"/>
      <c r="AT3" s="1136"/>
      <c r="AU3" s="1136"/>
      <c r="AV3" s="1136"/>
      <c r="AW3" s="1136"/>
      <c r="AX3" s="1136"/>
      <c r="AY3" s="1136"/>
      <c r="AZ3" s="1136"/>
      <c r="BA3" s="1136"/>
      <c r="BB3" s="1136"/>
      <c r="BC3" s="1136"/>
      <c r="BD3" s="1136"/>
      <c r="BE3" s="1136"/>
      <c r="BF3" s="1140"/>
      <c r="BH3" s="1025" t="s">
        <v>944</v>
      </c>
      <c r="BI3" s="1003"/>
      <c r="BJ3" s="1003"/>
      <c r="BL3" s="504"/>
      <c r="BM3" s="504"/>
      <c r="BN3" s="754"/>
      <c r="BO3" s="1142" t="s">
        <v>1067</v>
      </c>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3"/>
      <c r="CM3" s="1143"/>
      <c r="CN3" s="1143"/>
      <c r="CO3" s="1143"/>
      <c r="CP3" s="1143"/>
      <c r="CQ3" s="1143"/>
      <c r="CR3" s="1143"/>
      <c r="CS3" s="1143"/>
      <c r="CT3" s="1143"/>
      <c r="CU3" s="1143"/>
      <c r="CV3" s="1143"/>
      <c r="CW3" s="1143"/>
      <c r="CX3" s="1143"/>
      <c r="CY3" s="1143"/>
      <c r="CZ3" s="1143"/>
      <c r="DA3" s="1143"/>
      <c r="DB3" s="1143"/>
      <c r="DC3" s="1280"/>
      <c r="DD3" s="1280"/>
      <c r="DE3" s="1280"/>
      <c r="DF3" s="1280"/>
    </row>
    <row r="4" spans="1:112" ht="36.75" customHeight="1">
      <c r="C4" s="505"/>
      <c r="D4" s="505"/>
      <c r="G4" s="966" t="str">
        <f>INDEX(Vectors[Description], MATCH(G$5,Vectors[Code],FALSE))</f>
        <v>Heating and cooling</v>
      </c>
      <c r="H4" s="966" t="str">
        <f>INDEX(Vectors[Description], MATCH(H$5,Vectors[Code],FALSE))</f>
        <v>Lighting &amp; appliances</v>
      </c>
      <c r="I4" s="966" t="str">
        <f>INDEX(Vectors[Description], MATCH(I$5,Vectors[Code],FALSE))</f>
        <v>Industry</v>
      </c>
      <c r="J4" s="966" t="str">
        <f>INDEX(Vectors[Description], MATCH(J$5,Vectors[Code],FALSE))</f>
        <v>Road transport</v>
      </c>
      <c r="K4" s="966" t="str">
        <f>INDEX(Vectors[Description], MATCH(K$5,Vectors[Code],FALSE))</f>
        <v>Rail transport</v>
      </c>
      <c r="L4" s="966" t="str">
        <f>INDEX(Vectors[Description], MATCH(L$5,Vectors[Code],FALSE))</f>
        <v>Domestic aviation</v>
      </c>
      <c r="M4" s="966" t="str">
        <f>INDEX(Vectors[Description], MATCH(M$5,Vectors[Code],FALSE))</f>
        <v>National navigation</v>
      </c>
      <c r="N4" s="966" t="str">
        <f>INDEX(Vectors[Description], MATCH(N$5,Vectors[Code],FALSE))</f>
        <v>International aviation</v>
      </c>
      <c r="O4" s="966" t="str">
        <f>INDEX(Vectors[Description], MATCH(O$5,Vectors[Code],FALSE))</f>
        <v>International shipping</v>
      </c>
      <c r="P4" s="966" t="str">
        <f>INDEX(Vectors[Description], MATCH(P$5,Vectors[Code],FALSE))</f>
        <v>Food consumption [UNUSED]</v>
      </c>
      <c r="Q4" s="983" t="s">
        <v>949</v>
      </c>
      <c r="S4" s="967" t="str">
        <f>INDEX(Vectors[Description], MATCH(S$5,Vectors[Code],FALSE))</f>
        <v>Electricity (delivered to end user)</v>
      </c>
      <c r="T4" s="967" t="str">
        <f>INDEX(Vectors[Description], MATCH(T$5,Vectors[Code],FALSE))</f>
        <v>Electricity (supplied to grid)</v>
      </c>
      <c r="U4" s="967" t="str">
        <f>INDEX(Vectors[Description], MATCH(U$5,Vectors[Code],FALSE))</f>
        <v>Solid hydrocarbons</v>
      </c>
      <c r="V4" s="967" t="str">
        <f>INDEX(Vectors[Description], MATCH(V$5,Vectors[Code],FALSE))</f>
        <v>Liquid hydrocarbons</v>
      </c>
      <c r="W4" s="967" t="str">
        <f>INDEX(Vectors[Description], MATCH(W$5,Vectors[Code],FALSE))</f>
        <v>Gaseous hydrocarbons</v>
      </c>
      <c r="X4" s="967" t="str">
        <f>INDEX(Vectors[Description], MATCH(X$5,Vectors[Code],FALSE))</f>
        <v>Coal and fossil waste</v>
      </c>
      <c r="Y4" s="967" t="str">
        <f>INDEX(Vectors[Description], MATCH(Y$5,Vectors[Code],FALSE))</f>
        <v>Oil and petroleum products</v>
      </c>
      <c r="Z4" s="967" t="str">
        <f>INDEX(Vectors[Description], MATCH(Z$5,Vectors[Code],FALSE))</f>
        <v>Natural gas</v>
      </c>
      <c r="AA4" s="967" t="str">
        <f>INDEX(Vectors[Description], MATCH(AA$5,Vectors[Code],FALSE))</f>
        <v>Blast furnace gas</v>
      </c>
      <c r="AB4" s="967" t="str">
        <f>INDEX(Vectors[Description], MATCH(AB$5,Vectors[Code],FALSE))</f>
        <v>Heat transport</v>
      </c>
      <c r="AC4" s="967" t="str">
        <f>INDEX(Vectors[Description], MATCH(AC$5,Vectors[Code],FALSE))</f>
        <v>Edible biomatter</v>
      </c>
      <c r="AD4" s="967" t="str">
        <f>INDEX(Vectors[Description], MATCH(AD$5,Vectors[Code],FALSE))</f>
        <v>Energy crops (second generation)</v>
      </c>
      <c r="AE4" s="967" t="str">
        <f>INDEX(Vectors[Description], MATCH(AE$5,Vectors[Code],FALSE))</f>
        <v>Energy crops (first generation)</v>
      </c>
      <c r="AF4" s="967" t="str">
        <f>INDEX(Vectors[Description], MATCH(AF$5,Vectors[Code],FALSE))</f>
        <v>Dry biomatter and waste</v>
      </c>
      <c r="AG4" s="967" t="str">
        <f>INDEX(Vectors[Description], MATCH(AG$5,Vectors[Code],FALSE))</f>
        <v>Wet biomatter and waste</v>
      </c>
      <c r="AH4" s="967" t="str">
        <f>INDEX(Vectors[Description], MATCH(AH$5,Vectors[Code],FALSE))</f>
        <v>Gaseous waste</v>
      </c>
      <c r="AI4" s="967" t="str">
        <f>INDEX(Vectors[Description], MATCH(AI$5,Vectors[Code],FALSE))</f>
        <v>Domestic solar thermal</v>
      </c>
      <c r="AJ4" s="967" t="str">
        <f>INDEX(Vectors[Description], MATCH(AJ$5,Vectors[Code],FALSE))</f>
        <v>H2</v>
      </c>
      <c r="AK4" s="997" t="s">
        <v>685</v>
      </c>
      <c r="AM4" s="981" t="str">
        <f>INDEX(Vectors[Description], MATCH(AM$5,Vectors[Code],FALSE))</f>
        <v>Coal reserves</v>
      </c>
      <c r="AN4" s="981" t="str">
        <f>INDEX(Vectors[Description], MATCH(AN$5,Vectors[Code],FALSE))</f>
        <v>Oil reserves</v>
      </c>
      <c r="AO4" s="981" t="str">
        <f>INDEX(Vectors[Description], MATCH(AO$5,Vectors[Code],FALSE))</f>
        <v>Gas reserves</v>
      </c>
      <c r="AP4" s="981" t="str">
        <f>INDEX(Vectors[Description], MATCH(AP$5,Vectors[Code],FALSE))</f>
        <v>Biomatter exports (imports)</v>
      </c>
      <c r="AQ4" s="981" t="str">
        <f>INDEX(Vectors[Description], MATCH(AQ$5,Vectors[Code],FALSE))</f>
        <v>Electricity exports (imports)</v>
      </c>
      <c r="AR4" s="981" t="str">
        <f>INDEX(Vectors[Description], MATCH(AR$5,Vectors[Code],FALSE))</f>
        <v>Petroleum products exports</v>
      </c>
      <c r="AS4" s="981" t="str">
        <f>INDEX(Vectors[Description], MATCH(AS$5,Vectors[Code],FALSE))</f>
        <v>Coal exports (imports)</v>
      </c>
      <c r="AT4" s="981" t="str">
        <f>INDEX(Vectors[Description], MATCH(AT$5,Vectors[Code],FALSE))</f>
        <v>Oil and petroleum products exports (imports)</v>
      </c>
      <c r="AU4" s="981" t="str">
        <f>INDEX(Vectors[Description], MATCH(AU$5,Vectors[Code],FALSE))</f>
        <v>Gas exports (imports)</v>
      </c>
      <c r="AV4" s="981" t="str">
        <f>INDEX(Vectors[Description], MATCH(AV$5,Vectors[Code],FALSE))</f>
        <v>Nuclear fission</v>
      </c>
      <c r="AW4" s="981" t="str">
        <f>INDEX(Vectors[Description], MATCH(AW$5,Vectors[Code],FALSE))</f>
        <v>Solar</v>
      </c>
      <c r="AX4" s="981" t="str">
        <f>INDEX(Vectors[Description], MATCH(AX$5,Vectors[Code],FALSE))</f>
        <v>Wind</v>
      </c>
      <c r="AY4" s="981" t="str">
        <f>INDEX(Vectors[Description], MATCH(AY$5,Vectors[Code],FALSE))</f>
        <v>Tidal</v>
      </c>
      <c r="AZ4" s="981" t="str">
        <f>INDEX(Vectors[Description], MATCH(AZ$5,Vectors[Code],FALSE))</f>
        <v>Wave</v>
      </c>
      <c r="BA4" s="981" t="str">
        <f>INDEX(Vectors[Description], MATCH(BA$5,Vectors[Code],FALSE))</f>
        <v>Geothermal</v>
      </c>
      <c r="BB4" s="981" t="str">
        <f>INDEX(Vectors[Description], MATCH(BB$5,Vectors[Code],FALSE))</f>
        <v>Hydro</v>
      </c>
      <c r="BC4" s="981" t="str">
        <f>INDEX(Vectors[Description], MATCH(BC$5,Vectors[Code],FALSE))</f>
        <v>Environmental heat</v>
      </c>
      <c r="BD4" s="981" t="str">
        <f>INDEX(Vectors[Description], MATCH(BD$5,Vectors[Code],FALSE))</f>
        <v>Agriculture</v>
      </c>
      <c r="BE4" s="981" t="str">
        <f>INDEX(Vectors[Description], MATCH(BE$5,Vectors[Code],FALSE))</f>
        <v>Waste</v>
      </c>
      <c r="BF4" s="999" t="s">
        <v>686</v>
      </c>
      <c r="BH4" s="986" t="str">
        <f>INDEX(Vectors[Description], MATCH(BH$5,Vectors[Code],FALSE))</f>
        <v>Conversion losses</v>
      </c>
      <c r="BI4" s="986" t="str">
        <f>INDEX(Vectors[Description], MATCH(BI$5,Vectors[Code],FALSE))</f>
        <v>Distribution losses and own use</v>
      </c>
      <c r="BJ4" s="1001" t="s">
        <v>943</v>
      </c>
      <c r="BL4" s="507" t="str">
        <f>INDEX(Vectors[Description], MATCH(BL$5,Vectors[Code],FALSE))</f>
        <v>Unallocated</v>
      </c>
      <c r="BM4" s="507"/>
      <c r="BO4" s="1151" t="str">
        <f>INDEX(IPCC[Sector_description], MATCH(BO$5, IPCC[Sector_code], 0))</f>
        <v>Fuel Combustion</v>
      </c>
      <c r="BP4" s="1152"/>
      <c r="BQ4" s="1152"/>
      <c r="BR4" s="1153"/>
      <c r="BS4" s="1151" t="str">
        <f>INDEX(IPCC[Sector_description], MATCH(BS$5, IPCC[Sector_code], 0))</f>
        <v>Fugitive Emissions from Fuels</v>
      </c>
      <c r="BT4" s="1152"/>
      <c r="BU4" s="1152"/>
      <c r="BV4" s="1153"/>
      <c r="BW4" s="1151" t="str">
        <f>INDEX(IPCC[Sector_description], MATCH(BW$5, IPCC[Sector_code], 0))</f>
        <v>Industrial Processes</v>
      </c>
      <c r="BX4" s="1152"/>
      <c r="BY4" s="1152"/>
      <c r="BZ4" s="1153"/>
      <c r="CA4" s="1151" t="str">
        <f>INDEX(IPCC[Sector_description], MATCH(CA$5, IPCC[Sector_code], 0))</f>
        <v>Solvent and Other Product Use</v>
      </c>
      <c r="CB4" s="1152"/>
      <c r="CC4" s="1152"/>
      <c r="CD4" s="1153"/>
      <c r="CE4" s="1151" t="str">
        <f>INDEX(IPCC[Sector_description], MATCH(CE$5, IPCC[Sector_code], 0))</f>
        <v>Agriculture</v>
      </c>
      <c r="CF4" s="1152"/>
      <c r="CG4" s="1152"/>
      <c r="CH4" s="1153"/>
      <c r="CI4" s="1151" t="str">
        <f>INDEX(IPCC[Sector_description], MATCH(CI$5, IPCC[Sector_code], 0))</f>
        <v>Land Use, Land-Use Change and Forestry</v>
      </c>
      <c r="CJ4" s="1152"/>
      <c r="CK4" s="1152"/>
      <c r="CL4" s="1153"/>
      <c r="CM4" s="1151" t="str">
        <f>INDEX(IPCC[Sector_description], MATCH(CM$5, IPCC[Sector_code], 0))</f>
        <v>Waste</v>
      </c>
      <c r="CN4" s="1152"/>
      <c r="CO4" s="1152"/>
      <c r="CP4" s="1153"/>
      <c r="CQ4" s="1151" t="str">
        <f>INDEX(IPCC[Sector_description], MATCH(CQ$5, IPCC[Sector_code], 0))</f>
        <v>Other</v>
      </c>
      <c r="CR4" s="1152"/>
      <c r="CS4" s="1152"/>
      <c r="CT4" s="1153"/>
      <c r="CU4" s="1151" t="str">
        <f>INDEX(IPCC[Sector_description], MATCH(CU$5, IPCC[Sector_code], 0))</f>
        <v>International Aviation and Shipping</v>
      </c>
      <c r="CV4" s="1152"/>
      <c r="CW4" s="1152"/>
      <c r="CX4" s="1153"/>
      <c r="CY4" s="1151" t="str">
        <f>INDEX(IPCC[Sector_description], MATCH(CY$5, IPCC[Sector_code], 0))</f>
        <v>Bioenergy credit</v>
      </c>
      <c r="CZ4" s="1152"/>
      <c r="DA4" s="1152"/>
      <c r="DB4" s="1153"/>
      <c r="DC4" s="1151" t="str">
        <f>INDEX(IPCC[Sector_description], MATCH(DC$5, IPCC[Sector_code], 0))</f>
        <v>Carbon capture</v>
      </c>
      <c r="DD4" s="1152"/>
      <c r="DE4" s="1152"/>
      <c r="DF4" s="1153"/>
      <c r="DH4" s="1479" t="s">
        <v>148</v>
      </c>
    </row>
    <row r="5" spans="1:112">
      <c r="D5" s="951" t="s">
        <v>200</v>
      </c>
      <c r="G5" s="984" t="s">
        <v>6</v>
      </c>
      <c r="H5" s="984" t="s">
        <v>57</v>
      </c>
      <c r="I5" s="984" t="s">
        <v>13</v>
      </c>
      <c r="J5" s="984" t="s">
        <v>36</v>
      </c>
      <c r="K5" s="984" t="s">
        <v>37</v>
      </c>
      <c r="L5" s="984" t="s">
        <v>38</v>
      </c>
      <c r="M5" s="984" t="s">
        <v>39</v>
      </c>
      <c r="N5" s="984" t="s">
        <v>966</v>
      </c>
      <c r="O5" s="984" t="s">
        <v>967</v>
      </c>
      <c r="P5" s="984" t="s">
        <v>40</v>
      </c>
      <c r="Q5" s="984"/>
      <c r="S5" s="985" t="s">
        <v>45</v>
      </c>
      <c r="T5" s="985" t="s">
        <v>46</v>
      </c>
      <c r="U5" s="985" t="s">
        <v>47</v>
      </c>
      <c r="V5" s="985" t="s">
        <v>49</v>
      </c>
      <c r="W5" s="985" t="s">
        <v>50</v>
      </c>
      <c r="X5" s="985" t="s">
        <v>64</v>
      </c>
      <c r="Y5" s="985" t="s">
        <v>65</v>
      </c>
      <c r="Z5" s="985" t="s">
        <v>66</v>
      </c>
      <c r="AA5" s="985" t="s">
        <v>108</v>
      </c>
      <c r="AB5" s="985" t="s">
        <v>753</v>
      </c>
      <c r="AC5" s="985" t="s">
        <v>754</v>
      </c>
      <c r="AD5" s="985" t="s">
        <v>1801</v>
      </c>
      <c r="AE5" s="985" t="s">
        <v>2291</v>
      </c>
      <c r="AF5" s="985" t="s">
        <v>755</v>
      </c>
      <c r="AG5" s="985" t="s">
        <v>929</v>
      </c>
      <c r="AH5" s="985" t="s">
        <v>2294</v>
      </c>
      <c r="AI5" s="985" t="s">
        <v>1331</v>
      </c>
      <c r="AJ5" s="985" t="s">
        <v>1476</v>
      </c>
      <c r="AK5" s="985"/>
      <c r="AM5" s="982" t="s">
        <v>999</v>
      </c>
      <c r="AN5" s="982" t="s">
        <v>1000</v>
      </c>
      <c r="AO5" s="982" t="s">
        <v>1001</v>
      </c>
      <c r="AP5" s="982" t="s">
        <v>59</v>
      </c>
      <c r="AQ5" s="982" t="s">
        <v>60</v>
      </c>
      <c r="AR5" s="982" t="s">
        <v>799</v>
      </c>
      <c r="AS5" s="982" t="s">
        <v>991</v>
      </c>
      <c r="AT5" s="982" t="s">
        <v>992</v>
      </c>
      <c r="AU5" s="982" t="s">
        <v>993</v>
      </c>
      <c r="AV5" s="982" t="s">
        <v>7</v>
      </c>
      <c r="AW5" s="982" t="s">
        <v>33</v>
      </c>
      <c r="AX5" s="982" t="s">
        <v>8</v>
      </c>
      <c r="AY5" s="982" t="s">
        <v>9</v>
      </c>
      <c r="AZ5" s="982" t="s">
        <v>10</v>
      </c>
      <c r="BA5" s="982" t="s">
        <v>11</v>
      </c>
      <c r="BB5" s="982" t="s">
        <v>12</v>
      </c>
      <c r="BC5" s="982" t="s">
        <v>104</v>
      </c>
      <c r="BD5" s="982" t="s">
        <v>1027</v>
      </c>
      <c r="BE5" s="982" t="s">
        <v>54</v>
      </c>
      <c r="BF5" s="982"/>
      <c r="BH5" s="987" t="s">
        <v>34</v>
      </c>
      <c r="BI5" s="987" t="s">
        <v>35</v>
      </c>
      <c r="BJ5" s="987"/>
      <c r="BL5" s="502" t="s">
        <v>61</v>
      </c>
      <c r="BM5" s="502"/>
      <c r="BO5" s="1154" t="s">
        <v>1065</v>
      </c>
      <c r="BP5" s="1155" t="s">
        <v>1065</v>
      </c>
      <c r="BQ5" s="1155" t="s">
        <v>1065</v>
      </c>
      <c r="BR5" s="1156" t="s">
        <v>1065</v>
      </c>
      <c r="BS5" s="1154" t="s">
        <v>1064</v>
      </c>
      <c r="BT5" s="1155" t="s">
        <v>1064</v>
      </c>
      <c r="BU5" s="1155" t="s">
        <v>1064</v>
      </c>
      <c r="BV5" s="1156" t="s">
        <v>1064</v>
      </c>
      <c r="BW5" s="1154">
        <v>2</v>
      </c>
      <c r="BX5" s="1155">
        <v>2</v>
      </c>
      <c r="BY5" s="1155">
        <v>2</v>
      </c>
      <c r="BZ5" s="1156">
        <v>2</v>
      </c>
      <c r="CA5" s="1154">
        <v>3</v>
      </c>
      <c r="CB5" s="1155">
        <v>3</v>
      </c>
      <c r="CC5" s="1155">
        <v>3</v>
      </c>
      <c r="CD5" s="1156">
        <v>3</v>
      </c>
      <c r="CE5" s="1154">
        <v>4</v>
      </c>
      <c r="CF5" s="1155">
        <v>4</v>
      </c>
      <c r="CG5" s="1155">
        <v>4</v>
      </c>
      <c r="CH5" s="1156">
        <v>4</v>
      </c>
      <c r="CI5" s="1154">
        <v>5</v>
      </c>
      <c r="CJ5" s="1155">
        <v>5</v>
      </c>
      <c r="CK5" s="1155">
        <v>5</v>
      </c>
      <c r="CL5" s="1156">
        <v>5</v>
      </c>
      <c r="CM5" s="1154">
        <v>6</v>
      </c>
      <c r="CN5" s="1155">
        <v>6</v>
      </c>
      <c r="CO5" s="1155">
        <v>6</v>
      </c>
      <c r="CP5" s="1156">
        <v>6</v>
      </c>
      <c r="CQ5" s="1154">
        <v>7</v>
      </c>
      <c r="CR5" s="1155">
        <v>7</v>
      </c>
      <c r="CS5" s="1155">
        <v>7</v>
      </c>
      <c r="CT5" s="1156">
        <v>7</v>
      </c>
      <c r="CU5" s="1154" t="s">
        <v>1050</v>
      </c>
      <c r="CV5" s="1155" t="s">
        <v>1050</v>
      </c>
      <c r="CW5" s="1155" t="s">
        <v>1050</v>
      </c>
      <c r="CX5" s="1156" t="s">
        <v>1050</v>
      </c>
      <c r="CY5" s="1154" t="s">
        <v>1051</v>
      </c>
      <c r="CZ5" s="1155" t="s">
        <v>1051</v>
      </c>
      <c r="DA5" s="1155" t="s">
        <v>1051</v>
      </c>
      <c r="DB5" s="1156" t="s">
        <v>1051</v>
      </c>
      <c r="DC5" s="1154" t="s">
        <v>1078</v>
      </c>
      <c r="DD5" s="1155" t="s">
        <v>1078</v>
      </c>
      <c r="DE5" s="1155" t="s">
        <v>1078</v>
      </c>
      <c r="DF5" s="1156" t="s">
        <v>1078</v>
      </c>
    </row>
    <row r="6" spans="1:112" ht="15.75" customHeight="1">
      <c r="G6" s="955"/>
      <c r="H6" s="955"/>
      <c r="I6" s="955"/>
      <c r="J6" s="955"/>
      <c r="K6" s="956"/>
      <c r="L6" s="955"/>
      <c r="M6" s="955"/>
      <c r="N6" s="955"/>
      <c r="O6" s="955"/>
      <c r="P6" s="955"/>
      <c r="Q6" s="955"/>
      <c r="S6" s="968"/>
      <c r="T6" s="968"/>
      <c r="U6" s="968"/>
      <c r="V6" s="968"/>
      <c r="W6" s="968"/>
      <c r="X6" s="968"/>
      <c r="Y6" s="968"/>
      <c r="Z6" s="968"/>
      <c r="AA6" s="968"/>
      <c r="AB6" s="968"/>
      <c r="AC6" s="968"/>
      <c r="AD6" s="968"/>
      <c r="AE6" s="968"/>
      <c r="AF6" s="968"/>
      <c r="AG6" s="968"/>
      <c r="AH6" s="968"/>
      <c r="AI6" s="968"/>
      <c r="AJ6" s="968"/>
      <c r="AK6" s="968"/>
      <c r="AM6" s="974"/>
      <c r="AN6" s="974"/>
      <c r="AO6" s="974"/>
      <c r="AP6" s="974"/>
      <c r="AQ6" s="974"/>
      <c r="AR6" s="974"/>
      <c r="AS6" s="974"/>
      <c r="AT6" s="974"/>
      <c r="AU6" s="974"/>
      <c r="AV6" s="974"/>
      <c r="AW6" s="974"/>
      <c r="AX6" s="974"/>
      <c r="AY6" s="974"/>
      <c r="AZ6" s="974"/>
      <c r="BA6" s="974"/>
      <c r="BB6" s="974"/>
      <c r="BC6" s="974"/>
      <c r="BD6" s="974"/>
      <c r="BE6" s="974"/>
      <c r="BF6" s="974"/>
      <c r="BH6" s="988"/>
      <c r="BI6" s="988"/>
      <c r="BJ6" s="988"/>
      <c r="BL6" s="511"/>
      <c r="BM6" s="511"/>
      <c r="BO6" s="1144" t="s">
        <v>1055</v>
      </c>
      <c r="BP6" s="1144" t="s">
        <v>1056</v>
      </c>
      <c r="BQ6" s="1144" t="s">
        <v>1057</v>
      </c>
      <c r="BR6" s="1144" t="s">
        <v>1058</v>
      </c>
      <c r="BS6" s="1144" t="s">
        <v>1055</v>
      </c>
      <c r="BT6" s="1144" t="s">
        <v>1056</v>
      </c>
      <c r="BU6" s="1144" t="s">
        <v>1057</v>
      </c>
      <c r="BV6" s="1144" t="s">
        <v>1058</v>
      </c>
      <c r="BW6" s="1144" t="s">
        <v>1055</v>
      </c>
      <c r="BX6" s="1144" t="s">
        <v>1056</v>
      </c>
      <c r="BY6" s="1144" t="s">
        <v>1057</v>
      </c>
      <c r="BZ6" s="1144" t="s">
        <v>1058</v>
      </c>
      <c r="CA6" s="1144" t="s">
        <v>1055</v>
      </c>
      <c r="CB6" s="1144" t="s">
        <v>1056</v>
      </c>
      <c r="CC6" s="1144" t="s">
        <v>1057</v>
      </c>
      <c r="CD6" s="1144" t="s">
        <v>1058</v>
      </c>
      <c r="CE6" s="1144" t="s">
        <v>1055</v>
      </c>
      <c r="CF6" s="1144" t="s">
        <v>1056</v>
      </c>
      <c r="CG6" s="1144" t="s">
        <v>1057</v>
      </c>
      <c r="CH6" s="1144" t="s">
        <v>1058</v>
      </c>
      <c r="CI6" s="1144" t="s">
        <v>1055</v>
      </c>
      <c r="CJ6" s="1144" t="s">
        <v>1056</v>
      </c>
      <c r="CK6" s="1144" t="s">
        <v>1057</v>
      </c>
      <c r="CL6" s="1144" t="s">
        <v>1058</v>
      </c>
      <c r="CM6" s="1144" t="s">
        <v>1055</v>
      </c>
      <c r="CN6" s="1144" t="s">
        <v>1056</v>
      </c>
      <c r="CO6" s="1144" t="s">
        <v>1057</v>
      </c>
      <c r="CP6" s="1144" t="s">
        <v>1058</v>
      </c>
      <c r="CQ6" s="1144" t="s">
        <v>1055</v>
      </c>
      <c r="CR6" s="1144" t="s">
        <v>1056</v>
      </c>
      <c r="CS6" s="1144" t="s">
        <v>1057</v>
      </c>
      <c r="CT6" s="1144" t="s">
        <v>1058</v>
      </c>
      <c r="CU6" s="1144" t="s">
        <v>1055</v>
      </c>
      <c r="CV6" s="1144" t="s">
        <v>1056</v>
      </c>
      <c r="CW6" s="1144" t="s">
        <v>1057</v>
      </c>
      <c r="CX6" s="1144" t="s">
        <v>1058</v>
      </c>
      <c r="CY6" s="1144" t="s">
        <v>1055</v>
      </c>
      <c r="CZ6" s="1144" t="s">
        <v>1056</v>
      </c>
      <c r="DA6" s="1144" t="s">
        <v>1057</v>
      </c>
      <c r="DB6" s="1144" t="s">
        <v>1058</v>
      </c>
      <c r="DC6" s="1144" t="s">
        <v>1055</v>
      </c>
      <c r="DD6" s="1144" t="s">
        <v>1056</v>
      </c>
      <c r="DE6" s="1144" t="s">
        <v>1057</v>
      </c>
      <c r="DF6" s="1144" t="s">
        <v>1058</v>
      </c>
    </row>
    <row r="7" spans="1:112" ht="18" customHeight="1">
      <c r="C7" s="501" t="s">
        <v>592</v>
      </c>
      <c r="D7" s="501"/>
      <c r="E7" s="639"/>
      <c r="G7" s="957"/>
      <c r="H7" s="957"/>
      <c r="I7" s="957"/>
      <c r="J7" s="957"/>
      <c r="K7" s="957"/>
      <c r="L7" s="957"/>
      <c r="M7" s="957"/>
      <c r="N7" s="957"/>
      <c r="O7" s="957"/>
      <c r="P7" s="957"/>
      <c r="Q7" s="957"/>
      <c r="S7" s="969"/>
      <c r="T7" s="969"/>
      <c r="U7" s="969"/>
      <c r="V7" s="969"/>
      <c r="W7" s="969"/>
      <c r="X7" s="969"/>
      <c r="Y7" s="969"/>
      <c r="Z7" s="969"/>
      <c r="AA7" s="969"/>
      <c r="AB7" s="969"/>
      <c r="AC7" s="969"/>
      <c r="AD7" s="969"/>
      <c r="AE7" s="969"/>
      <c r="AF7" s="969"/>
      <c r="AG7" s="969"/>
      <c r="AH7" s="969"/>
      <c r="AI7" s="969"/>
      <c r="AJ7" s="969"/>
      <c r="AK7" s="969"/>
      <c r="AM7" s="975"/>
      <c r="AN7" s="975"/>
      <c r="AO7" s="975"/>
      <c r="AP7" s="975"/>
      <c r="AQ7" s="975"/>
      <c r="AR7" s="975"/>
      <c r="AS7" s="975"/>
      <c r="AT7" s="975"/>
      <c r="AU7" s="975"/>
      <c r="AV7" s="975"/>
      <c r="AW7" s="975"/>
      <c r="AX7" s="975"/>
      <c r="AY7" s="975"/>
      <c r="AZ7" s="975"/>
      <c r="BA7" s="975"/>
      <c r="BB7" s="975"/>
      <c r="BC7" s="975"/>
      <c r="BD7" s="975"/>
      <c r="BE7" s="975"/>
      <c r="BF7" s="975"/>
      <c r="BH7" s="989"/>
      <c r="BI7" s="989"/>
      <c r="BJ7" s="989"/>
      <c r="BL7" s="514"/>
      <c r="BM7" s="514"/>
      <c r="BO7" s="1145"/>
      <c r="BP7" s="1145"/>
      <c r="BQ7" s="1145"/>
      <c r="BR7" s="1145"/>
      <c r="BS7" s="1145"/>
      <c r="BT7" s="1145"/>
      <c r="BU7" s="1145"/>
      <c r="BV7" s="1145"/>
      <c r="BW7" s="1145"/>
      <c r="BX7" s="1145"/>
      <c r="BY7" s="1145"/>
      <c r="BZ7" s="1145"/>
      <c r="CA7" s="1145"/>
      <c r="CB7" s="1145"/>
      <c r="CC7" s="1145"/>
      <c r="CD7" s="1145"/>
      <c r="CE7" s="1145"/>
      <c r="CF7" s="1145"/>
      <c r="CG7" s="1145"/>
      <c r="CH7" s="1145"/>
      <c r="CI7" s="1145"/>
      <c r="CJ7" s="1145"/>
      <c r="CK7" s="1145"/>
      <c r="CL7" s="1145"/>
      <c r="CM7" s="1145"/>
      <c r="CN7" s="1145"/>
      <c r="CO7" s="1145"/>
      <c r="CP7" s="1145"/>
      <c r="CQ7" s="1145"/>
      <c r="CR7" s="1145"/>
      <c r="CS7" s="1145"/>
      <c r="CT7" s="1145"/>
      <c r="CU7" s="1145"/>
      <c r="CV7" s="1145"/>
      <c r="CW7" s="1145"/>
      <c r="CX7" s="1145"/>
      <c r="CY7" s="1145"/>
      <c r="CZ7" s="1145"/>
      <c r="DA7" s="1145"/>
      <c r="DB7" s="1145"/>
      <c r="DC7" s="1145"/>
      <c r="DD7" s="1145"/>
      <c r="DE7" s="1145"/>
      <c r="DF7" s="1145"/>
    </row>
    <row r="8" spans="1:112" ht="6" hidden="1" customHeight="1" outlineLevel="1">
      <c r="G8" s="958"/>
      <c r="H8" s="958"/>
      <c r="I8" s="958"/>
      <c r="J8" s="958"/>
      <c r="K8" s="959"/>
      <c r="L8" s="958"/>
      <c r="M8" s="958"/>
      <c r="N8" s="958"/>
      <c r="O8" s="958"/>
      <c r="P8" s="958"/>
      <c r="Q8" s="958"/>
      <c r="S8" s="970"/>
      <c r="T8" s="970"/>
      <c r="U8" s="970"/>
      <c r="V8" s="970"/>
      <c r="W8" s="970"/>
      <c r="X8" s="970"/>
      <c r="Y8" s="970"/>
      <c r="Z8" s="970"/>
      <c r="AA8" s="970"/>
      <c r="AB8" s="970"/>
      <c r="AC8" s="970"/>
      <c r="AD8" s="970"/>
      <c r="AE8" s="970"/>
      <c r="AF8" s="970"/>
      <c r="AG8" s="970"/>
      <c r="AH8" s="970"/>
      <c r="AI8" s="970"/>
      <c r="AJ8" s="970"/>
      <c r="AK8" s="970"/>
      <c r="AM8" s="976"/>
      <c r="AN8" s="976"/>
      <c r="AO8" s="976"/>
      <c r="AP8" s="976"/>
      <c r="AQ8" s="976"/>
      <c r="AR8" s="976"/>
      <c r="AS8" s="976"/>
      <c r="AT8" s="976"/>
      <c r="AU8" s="976"/>
      <c r="AV8" s="976"/>
      <c r="AW8" s="976"/>
      <c r="AX8" s="976"/>
      <c r="AY8" s="976"/>
      <c r="AZ8" s="976"/>
      <c r="BA8" s="976"/>
      <c r="BB8" s="976"/>
      <c r="BC8" s="976"/>
      <c r="BD8" s="976"/>
      <c r="BE8" s="976"/>
      <c r="BF8" s="976"/>
      <c r="BH8" s="990"/>
      <c r="BI8" s="990"/>
      <c r="BJ8" s="990"/>
      <c r="BL8" s="515"/>
      <c r="BM8" s="515"/>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1146"/>
      <c r="DA8" s="1146"/>
      <c r="DB8" s="1146"/>
      <c r="DC8" s="1146"/>
      <c r="DD8" s="1146"/>
      <c r="DE8" s="1146"/>
      <c r="DF8" s="1146"/>
    </row>
    <row r="9" spans="1:112" s="743" customFormat="1" ht="10.5" hidden="1" customHeight="1" outlineLevel="2">
      <c r="A9" s="1480"/>
      <c r="B9" s="1480"/>
      <c r="C9" s="746" t="s">
        <v>829</v>
      </c>
      <c r="D9" s="1480" t="str">
        <f>INDEX(Modules[Module], MATCH($C9, Modules[Code], 0))</f>
        <v>Domestic space heating and hot water</v>
      </c>
      <c r="E9" s="521"/>
      <c r="G9" s="1017">
        <f ca="1">IFERROR(INDEX(INDIRECT($C9&amp;".Outputs["&amp;this.Year&amp;"]"), MATCH(G$5, INDIRECT($C9&amp;".Outputs[Vector]"), 0)), 0)</f>
        <v>567.8107022579685</v>
      </c>
      <c r="H9" s="1017">
        <f t="shared" ref="H9:P9" ca="1" si="0">IFERROR(INDEX(INDIRECT($C9&amp;".Outputs["&amp;this.Year&amp;"]"), MATCH(H$5, INDIRECT($C9&amp;".Outputs[Vector]"), 0)), 0)</f>
        <v>0</v>
      </c>
      <c r="I9" s="1017">
        <f t="shared" ca="1" si="0"/>
        <v>0</v>
      </c>
      <c r="J9" s="1017">
        <f t="shared" ca="1" si="0"/>
        <v>0</v>
      </c>
      <c r="K9" s="1017">
        <f t="shared" ca="1" si="0"/>
        <v>0</v>
      </c>
      <c r="L9" s="1017">
        <f t="shared" ca="1" si="0"/>
        <v>0</v>
      </c>
      <c r="M9" s="1017">
        <f t="shared" ca="1" si="0"/>
        <v>0</v>
      </c>
      <c r="N9" s="1017">
        <f t="shared" ca="1" si="0"/>
        <v>0</v>
      </c>
      <c r="O9" s="1017">
        <f t="shared" ca="1" si="0"/>
        <v>0</v>
      </c>
      <c r="P9" s="1017">
        <f t="shared" ca="1" si="0"/>
        <v>0</v>
      </c>
      <c r="Q9" s="1019">
        <f t="shared" ref="Q9:Q15" ca="1" si="1">SUM(G9:P9)</f>
        <v>567.8107022579685</v>
      </c>
      <c r="S9" s="1026">
        <f t="shared" ref="S9:BE13" ca="1" si="2">IFERROR(INDEX(INDIRECT($C9&amp;".Outputs["&amp;this.Year&amp;"]"), MATCH(S$5, INDIRECT($C9&amp;".Outputs[Vector]"), 0)), 0)</f>
        <v>-57.032777786172744</v>
      </c>
      <c r="T9" s="1026">
        <f t="shared" ca="1" si="2"/>
        <v>0</v>
      </c>
      <c r="U9" s="1026">
        <f t="shared" ca="1" si="2"/>
        <v>-2.9845931990448413</v>
      </c>
      <c r="V9" s="1026">
        <f t="shared" ca="1" si="2"/>
        <v>-2.6769031785247552</v>
      </c>
      <c r="W9" s="1026">
        <f t="shared" ca="1" si="2"/>
        <v>-505.11642809422614</v>
      </c>
      <c r="X9" s="1026">
        <f t="shared" ref="X9:Z10" ca="1" si="3">IFERROR(INDEX(INDIRECT($C9&amp;".Outputs["&amp;this.Year&amp;"]"), MATCH(X$5, INDIRECT($C9&amp;".Outputs[Vector]"), 0)), 0)</f>
        <v>0</v>
      </c>
      <c r="Y9" s="1026">
        <f t="shared" ca="1" si="3"/>
        <v>0</v>
      </c>
      <c r="Z9" s="1026">
        <f t="shared" ca="1" si="3"/>
        <v>0</v>
      </c>
      <c r="AA9" s="1026">
        <f t="shared" ca="1" si="2"/>
        <v>0</v>
      </c>
      <c r="AB9" s="1026">
        <f t="shared" ca="1" si="2"/>
        <v>0</v>
      </c>
      <c r="AC9" s="1026">
        <f t="shared" ca="1" si="2"/>
        <v>0</v>
      </c>
      <c r="AD9" s="1026">
        <f t="shared" ca="1" si="2"/>
        <v>0</v>
      </c>
      <c r="AE9" s="1026">
        <f t="shared" ca="1" si="2"/>
        <v>0</v>
      </c>
      <c r="AF9" s="1026">
        <f t="shared" ca="1" si="2"/>
        <v>0</v>
      </c>
      <c r="AG9" s="1026">
        <f t="shared" ca="1" si="2"/>
        <v>0</v>
      </c>
      <c r="AH9" s="1026">
        <f t="shared" ca="1" si="2"/>
        <v>0</v>
      </c>
      <c r="AI9" s="1026">
        <f t="shared" ca="1" si="2"/>
        <v>0</v>
      </c>
      <c r="AJ9" s="1026">
        <f t="shared" ca="1" si="2"/>
        <v>0</v>
      </c>
      <c r="AK9" s="1027">
        <f t="shared" ref="AK9:AK15" ca="1" si="4">SUM(S9:AJ9)</f>
        <v>-567.8107022579685</v>
      </c>
      <c r="AM9" s="1038">
        <f t="shared" ref="AM9:AU10" ca="1" si="5">IFERROR(INDEX(INDIRECT($C9&amp;".Outputs["&amp;this.Year&amp;"]"), MATCH(AM$5, INDIRECT($C9&amp;".Outputs[Vector]"), 0)), 0)</f>
        <v>0</v>
      </c>
      <c r="AN9" s="1038">
        <f t="shared" ca="1" si="5"/>
        <v>0</v>
      </c>
      <c r="AO9" s="1038">
        <f t="shared" ca="1" si="5"/>
        <v>0</v>
      </c>
      <c r="AP9" s="1038">
        <f t="shared" ca="1" si="5"/>
        <v>0</v>
      </c>
      <c r="AQ9" s="1038">
        <f t="shared" ca="1" si="5"/>
        <v>0</v>
      </c>
      <c r="AR9" s="1038">
        <f t="shared" ca="1" si="5"/>
        <v>0</v>
      </c>
      <c r="AS9" s="1038">
        <f t="shared" ca="1" si="5"/>
        <v>0</v>
      </c>
      <c r="AT9" s="1038">
        <f t="shared" ca="1" si="5"/>
        <v>0</v>
      </c>
      <c r="AU9" s="1038">
        <f t="shared" ca="1" si="5"/>
        <v>0</v>
      </c>
      <c r="AV9" s="1038">
        <f t="shared" ca="1" si="2"/>
        <v>0</v>
      </c>
      <c r="AW9" s="1038">
        <f t="shared" ca="1" si="2"/>
        <v>0</v>
      </c>
      <c r="AX9" s="1038">
        <f t="shared" ca="1" si="2"/>
        <v>0</v>
      </c>
      <c r="AY9" s="1038">
        <f t="shared" ca="1" si="2"/>
        <v>0</v>
      </c>
      <c r="AZ9" s="1038">
        <f t="shared" ca="1" si="2"/>
        <v>0</v>
      </c>
      <c r="BA9" s="1038">
        <f t="shared" ca="1" si="2"/>
        <v>0</v>
      </c>
      <c r="BB9" s="1038">
        <f t="shared" ca="1" si="2"/>
        <v>0</v>
      </c>
      <c r="BC9" s="1038">
        <f t="shared" ca="1" si="2"/>
        <v>0</v>
      </c>
      <c r="BD9" s="1038">
        <f t="shared" ca="1" si="2"/>
        <v>0</v>
      </c>
      <c r="BE9" s="1038">
        <f t="shared" ca="1" si="2"/>
        <v>0</v>
      </c>
      <c r="BF9" s="977">
        <f t="shared" ref="BF9:BF15" ca="1" si="6">SUM(AM9:BE9)</f>
        <v>0</v>
      </c>
      <c r="BH9" s="1032">
        <f t="shared" ref="BH9:BI13" ca="1" si="7">IFERROR(INDEX(INDIRECT($C9&amp;".Outputs["&amp;this.Year&amp;"]"), MATCH(BH$5, INDIRECT($C9&amp;".Outputs[Vector]"), 0)), 0)</f>
        <v>0</v>
      </c>
      <c r="BI9" s="1032">
        <f t="shared" ca="1" si="7"/>
        <v>0</v>
      </c>
      <c r="BJ9" s="1034">
        <f t="shared" ref="BJ9:BJ15" ca="1" si="8">SUM(BH9:BI9)</f>
        <v>0</v>
      </c>
      <c r="BL9" s="524">
        <f t="shared" ref="BL9:BL44" ca="1" si="9">Q9+AK9+BF9+BJ9</f>
        <v>0</v>
      </c>
      <c r="BM9" s="524"/>
      <c r="BN9" s="840"/>
      <c r="BO9" s="1481">
        <f t="shared" ref="BO9:BX10" ca="1" si="10">IFERROR(SUMIFS(INDIRECT($C9&amp;".Emissions["&amp;this.Year&amp;"]"), INDIRECT($C9&amp;".Emissions[GHG]"), BO$6, INDIRECT($C9&amp;".Emissions[IPCC Sector]"), BO$5),0)</f>
        <v>94.529903269274598</v>
      </c>
      <c r="BP9" s="1482">
        <f t="shared" ca="1" si="10"/>
        <v>0.18983337525230914</v>
      </c>
      <c r="BQ9" s="1482">
        <f t="shared" ca="1" si="10"/>
        <v>0.22055841580978625</v>
      </c>
      <c r="BR9" s="1482">
        <f t="shared" ca="1" si="10"/>
        <v>0</v>
      </c>
      <c r="BS9" s="1482">
        <f t="shared" ca="1" si="10"/>
        <v>0</v>
      </c>
      <c r="BT9" s="1482">
        <f t="shared" ca="1" si="10"/>
        <v>0</v>
      </c>
      <c r="BU9" s="1482">
        <f t="shared" ca="1" si="10"/>
        <v>0</v>
      </c>
      <c r="BV9" s="1482">
        <f t="shared" ca="1" si="10"/>
        <v>0</v>
      </c>
      <c r="BW9" s="1482">
        <f t="shared" ca="1" si="10"/>
        <v>0</v>
      </c>
      <c r="BX9" s="1482">
        <f t="shared" ca="1" si="10"/>
        <v>0</v>
      </c>
      <c r="BY9" s="1482">
        <f t="shared" ref="BY9:CH10" ca="1" si="11">IFERROR(SUMIFS(INDIRECT($C9&amp;".Emissions["&amp;this.Year&amp;"]"), INDIRECT($C9&amp;".Emissions[GHG]"), BY$6, INDIRECT($C9&amp;".Emissions[IPCC Sector]"), BY$5),0)</f>
        <v>0</v>
      </c>
      <c r="BZ9" s="1482">
        <f t="shared" ca="1" si="11"/>
        <v>0</v>
      </c>
      <c r="CA9" s="1482">
        <f t="shared" ca="1" si="11"/>
        <v>0</v>
      </c>
      <c r="CB9" s="1482">
        <f t="shared" ca="1" si="11"/>
        <v>0</v>
      </c>
      <c r="CC9" s="1482">
        <f t="shared" ca="1" si="11"/>
        <v>0</v>
      </c>
      <c r="CD9" s="1482">
        <f t="shared" ca="1" si="11"/>
        <v>0</v>
      </c>
      <c r="CE9" s="1482">
        <f t="shared" ca="1" si="11"/>
        <v>0</v>
      </c>
      <c r="CF9" s="1482">
        <f t="shared" ca="1" si="11"/>
        <v>0</v>
      </c>
      <c r="CG9" s="1482">
        <f t="shared" ca="1" si="11"/>
        <v>0</v>
      </c>
      <c r="CH9" s="1482">
        <f t="shared" ca="1" si="11"/>
        <v>0</v>
      </c>
      <c r="CI9" s="1482">
        <f t="shared" ref="CI9:CR10" ca="1" si="12">IFERROR(SUMIFS(INDIRECT($C9&amp;".Emissions["&amp;this.Year&amp;"]"), INDIRECT($C9&amp;".Emissions[GHG]"), CI$6, INDIRECT($C9&amp;".Emissions[IPCC Sector]"), CI$5),0)</f>
        <v>0</v>
      </c>
      <c r="CJ9" s="1482">
        <f t="shared" ca="1" si="12"/>
        <v>0</v>
      </c>
      <c r="CK9" s="1482">
        <f t="shared" ca="1" si="12"/>
        <v>0</v>
      </c>
      <c r="CL9" s="1482">
        <f t="shared" ca="1" si="12"/>
        <v>0</v>
      </c>
      <c r="CM9" s="1482">
        <f t="shared" ca="1" si="12"/>
        <v>0</v>
      </c>
      <c r="CN9" s="1482">
        <f t="shared" ca="1" si="12"/>
        <v>0</v>
      </c>
      <c r="CO9" s="1482">
        <f t="shared" ca="1" si="12"/>
        <v>0</v>
      </c>
      <c r="CP9" s="1482">
        <f t="shared" ca="1" si="12"/>
        <v>0</v>
      </c>
      <c r="CQ9" s="1482">
        <f t="shared" ca="1" si="12"/>
        <v>0</v>
      </c>
      <c r="CR9" s="1482">
        <f t="shared" ca="1" si="12"/>
        <v>0</v>
      </c>
      <c r="CS9" s="1482">
        <f t="shared" ref="CS9:DF10" ca="1" si="13">IFERROR(SUMIFS(INDIRECT($C9&amp;".Emissions["&amp;this.Year&amp;"]"), INDIRECT($C9&amp;".Emissions[GHG]"), CS$6, INDIRECT($C9&amp;".Emissions[IPCC Sector]"), CS$5),0)</f>
        <v>0</v>
      </c>
      <c r="CT9" s="1482">
        <f t="shared" ca="1" si="13"/>
        <v>0</v>
      </c>
      <c r="CU9" s="1482">
        <f t="shared" ca="1" si="13"/>
        <v>0</v>
      </c>
      <c r="CV9" s="1482">
        <f t="shared" ca="1" si="13"/>
        <v>0</v>
      </c>
      <c r="CW9" s="1482">
        <f t="shared" ca="1" si="13"/>
        <v>0</v>
      </c>
      <c r="CX9" s="1482">
        <f t="shared" ca="1" si="13"/>
        <v>0</v>
      </c>
      <c r="CY9" s="1482">
        <f t="shared" ca="1" si="13"/>
        <v>0</v>
      </c>
      <c r="CZ9" s="1482">
        <f t="shared" ca="1" si="13"/>
        <v>0</v>
      </c>
      <c r="DA9" s="1482">
        <f t="shared" ca="1" si="13"/>
        <v>0</v>
      </c>
      <c r="DB9" s="1482">
        <f t="shared" ca="1" si="13"/>
        <v>0</v>
      </c>
      <c r="DC9" s="1482">
        <f t="shared" ca="1" si="13"/>
        <v>0</v>
      </c>
      <c r="DD9" s="1482">
        <f t="shared" ca="1" si="13"/>
        <v>0</v>
      </c>
      <c r="DE9" s="1482">
        <f t="shared" ca="1" si="13"/>
        <v>0</v>
      </c>
      <c r="DF9" s="1482">
        <f t="shared" ca="1" si="13"/>
        <v>0</v>
      </c>
      <c r="DH9" s="838"/>
    </row>
    <row r="10" spans="1:112" s="743" customFormat="1" ht="10.5" hidden="1" customHeight="1" outlineLevel="2">
      <c r="A10" s="1483"/>
      <c r="B10" s="1483"/>
      <c r="C10" s="1009" t="s">
        <v>898</v>
      </c>
      <c r="D10" s="1483" t="str">
        <f>INDEX(Modules[Module], MATCH($C10, Modules[Code], 0))</f>
        <v>Domestic hot water [UNUSED - See IX.a]</v>
      </c>
      <c r="E10" s="1006"/>
      <c r="G10" s="1018">
        <f t="shared" ref="G10:P13" ca="1" si="14">IFERROR(INDEX(INDIRECT($C10&amp;".Outputs["&amp;this.Year&amp;"]"), MATCH(G$5, INDIRECT($C10&amp;".Outputs[Vector]"), 0)), 0)</f>
        <v>0</v>
      </c>
      <c r="H10" s="1018">
        <f t="shared" ca="1" si="14"/>
        <v>0</v>
      </c>
      <c r="I10" s="1018">
        <f t="shared" ca="1" si="14"/>
        <v>0</v>
      </c>
      <c r="J10" s="1018">
        <f t="shared" ca="1" si="14"/>
        <v>0</v>
      </c>
      <c r="K10" s="1018">
        <f t="shared" ca="1" si="14"/>
        <v>0</v>
      </c>
      <c r="L10" s="1018">
        <f t="shared" ca="1" si="14"/>
        <v>0</v>
      </c>
      <c r="M10" s="1018">
        <f t="shared" ca="1" si="14"/>
        <v>0</v>
      </c>
      <c r="N10" s="1018">
        <f t="shared" ca="1" si="14"/>
        <v>0</v>
      </c>
      <c r="O10" s="1018">
        <f t="shared" ca="1" si="14"/>
        <v>0</v>
      </c>
      <c r="P10" s="1018">
        <f t="shared" ca="1" si="14"/>
        <v>0</v>
      </c>
      <c r="Q10" s="1024">
        <f t="shared" ca="1" si="1"/>
        <v>0</v>
      </c>
      <c r="S10" s="1028">
        <f t="shared" ca="1" si="2"/>
        <v>0</v>
      </c>
      <c r="T10" s="1028">
        <f t="shared" ca="1" si="2"/>
        <v>0</v>
      </c>
      <c r="U10" s="1028">
        <f t="shared" ca="1" si="2"/>
        <v>0</v>
      </c>
      <c r="V10" s="1028">
        <f t="shared" ca="1" si="2"/>
        <v>0</v>
      </c>
      <c r="W10" s="1028">
        <f t="shared" ca="1" si="2"/>
        <v>0</v>
      </c>
      <c r="X10" s="1028">
        <f t="shared" ca="1" si="3"/>
        <v>0</v>
      </c>
      <c r="Y10" s="1028">
        <f t="shared" ca="1" si="3"/>
        <v>0</v>
      </c>
      <c r="Z10" s="1028">
        <f t="shared" ca="1" si="3"/>
        <v>0</v>
      </c>
      <c r="AA10" s="1028">
        <f t="shared" ca="1" si="2"/>
        <v>0</v>
      </c>
      <c r="AB10" s="1028">
        <f t="shared" ca="1" si="2"/>
        <v>0</v>
      </c>
      <c r="AC10" s="1028">
        <f t="shared" ca="1" si="2"/>
        <v>0</v>
      </c>
      <c r="AD10" s="1028">
        <f t="shared" ca="1" si="2"/>
        <v>0</v>
      </c>
      <c r="AE10" s="1028">
        <f t="shared" ca="1" si="2"/>
        <v>0</v>
      </c>
      <c r="AF10" s="1028">
        <f t="shared" ca="1" si="2"/>
        <v>0</v>
      </c>
      <c r="AG10" s="1028">
        <f t="shared" ca="1" si="2"/>
        <v>0</v>
      </c>
      <c r="AH10" s="1028">
        <f t="shared" ca="1" si="2"/>
        <v>0</v>
      </c>
      <c r="AI10" s="1028">
        <f t="shared" ca="1" si="2"/>
        <v>0</v>
      </c>
      <c r="AJ10" s="1028">
        <f t="shared" ca="1" si="2"/>
        <v>0</v>
      </c>
      <c r="AK10" s="1029">
        <f t="shared" ca="1" si="4"/>
        <v>0</v>
      </c>
      <c r="AM10" s="1039">
        <f t="shared" ca="1" si="5"/>
        <v>0</v>
      </c>
      <c r="AN10" s="1039">
        <f t="shared" ca="1" si="5"/>
        <v>0</v>
      </c>
      <c r="AO10" s="1039">
        <f t="shared" ca="1" si="5"/>
        <v>0</v>
      </c>
      <c r="AP10" s="1039">
        <f t="shared" ca="1" si="5"/>
        <v>0</v>
      </c>
      <c r="AQ10" s="1039">
        <f t="shared" ca="1" si="5"/>
        <v>0</v>
      </c>
      <c r="AR10" s="1039">
        <f t="shared" ca="1" si="5"/>
        <v>0</v>
      </c>
      <c r="AS10" s="1039">
        <f t="shared" ca="1" si="5"/>
        <v>0</v>
      </c>
      <c r="AT10" s="1039">
        <f t="shared" ca="1" si="5"/>
        <v>0</v>
      </c>
      <c r="AU10" s="1039">
        <f t="shared" ca="1" si="5"/>
        <v>0</v>
      </c>
      <c r="AV10" s="1039">
        <f t="shared" ca="1" si="2"/>
        <v>0</v>
      </c>
      <c r="AW10" s="1039">
        <f t="shared" ca="1" si="2"/>
        <v>0</v>
      </c>
      <c r="AX10" s="1039">
        <f t="shared" ca="1" si="2"/>
        <v>0</v>
      </c>
      <c r="AY10" s="1039">
        <f t="shared" ca="1" si="2"/>
        <v>0</v>
      </c>
      <c r="AZ10" s="1039">
        <f t="shared" ca="1" si="2"/>
        <v>0</v>
      </c>
      <c r="BA10" s="1039">
        <f t="shared" ca="1" si="2"/>
        <v>0</v>
      </c>
      <c r="BB10" s="1039">
        <f t="shared" ca="1" si="2"/>
        <v>0</v>
      </c>
      <c r="BC10" s="1039">
        <f t="shared" ca="1" si="2"/>
        <v>0</v>
      </c>
      <c r="BD10" s="1039">
        <f t="shared" ca="1" si="2"/>
        <v>0</v>
      </c>
      <c r="BE10" s="1039">
        <f t="shared" ca="1" si="2"/>
        <v>0</v>
      </c>
      <c r="BF10" s="1008">
        <f t="shared" ca="1" si="6"/>
        <v>0</v>
      </c>
      <c r="BH10" s="1033">
        <f t="shared" ca="1" si="7"/>
        <v>0</v>
      </c>
      <c r="BI10" s="1033">
        <f t="shared" ca="1" si="7"/>
        <v>0</v>
      </c>
      <c r="BJ10" s="1044">
        <f t="shared" ca="1" si="8"/>
        <v>0</v>
      </c>
      <c r="BL10" s="1007">
        <f t="shared" ca="1" si="9"/>
        <v>0</v>
      </c>
      <c r="BM10" s="1007"/>
      <c r="BN10" s="840"/>
      <c r="BO10" s="1481">
        <f t="shared" ca="1" si="10"/>
        <v>0</v>
      </c>
      <c r="BP10" s="1482">
        <f t="shared" ca="1" si="10"/>
        <v>0</v>
      </c>
      <c r="BQ10" s="1482">
        <f t="shared" ca="1" si="10"/>
        <v>0</v>
      </c>
      <c r="BR10" s="1482">
        <f t="shared" ca="1" si="10"/>
        <v>0</v>
      </c>
      <c r="BS10" s="1482">
        <f t="shared" ca="1" si="10"/>
        <v>0</v>
      </c>
      <c r="BT10" s="1482">
        <f t="shared" ca="1" si="10"/>
        <v>0</v>
      </c>
      <c r="BU10" s="1482">
        <f t="shared" ca="1" si="10"/>
        <v>0</v>
      </c>
      <c r="BV10" s="1482">
        <f t="shared" ca="1" si="10"/>
        <v>0</v>
      </c>
      <c r="BW10" s="1482">
        <f t="shared" ca="1" si="10"/>
        <v>0</v>
      </c>
      <c r="BX10" s="1482">
        <f t="shared" ca="1" si="10"/>
        <v>0</v>
      </c>
      <c r="BY10" s="1482">
        <f t="shared" ca="1" si="11"/>
        <v>0</v>
      </c>
      <c r="BZ10" s="1482">
        <f t="shared" ca="1" si="11"/>
        <v>0</v>
      </c>
      <c r="CA10" s="1482">
        <f t="shared" ca="1" si="11"/>
        <v>0</v>
      </c>
      <c r="CB10" s="1482">
        <f t="shared" ca="1" si="11"/>
        <v>0</v>
      </c>
      <c r="CC10" s="1482">
        <f t="shared" ca="1" si="11"/>
        <v>0</v>
      </c>
      <c r="CD10" s="1482">
        <f t="shared" ca="1" si="11"/>
        <v>0</v>
      </c>
      <c r="CE10" s="1482">
        <f t="shared" ca="1" si="11"/>
        <v>0</v>
      </c>
      <c r="CF10" s="1482">
        <f t="shared" ca="1" si="11"/>
        <v>0</v>
      </c>
      <c r="CG10" s="1482">
        <f t="shared" ca="1" si="11"/>
        <v>0</v>
      </c>
      <c r="CH10" s="1482">
        <f t="shared" ca="1" si="11"/>
        <v>0</v>
      </c>
      <c r="CI10" s="1482">
        <f t="shared" ca="1" si="12"/>
        <v>0</v>
      </c>
      <c r="CJ10" s="1482">
        <f t="shared" ca="1" si="12"/>
        <v>0</v>
      </c>
      <c r="CK10" s="1482">
        <f t="shared" ca="1" si="12"/>
        <v>0</v>
      </c>
      <c r="CL10" s="1482">
        <f t="shared" ca="1" si="12"/>
        <v>0</v>
      </c>
      <c r="CM10" s="1482">
        <f t="shared" ca="1" si="12"/>
        <v>0</v>
      </c>
      <c r="CN10" s="1482">
        <f t="shared" ca="1" si="12"/>
        <v>0</v>
      </c>
      <c r="CO10" s="1482">
        <f t="shared" ca="1" si="12"/>
        <v>0</v>
      </c>
      <c r="CP10" s="1482">
        <f t="shared" ca="1" si="12"/>
        <v>0</v>
      </c>
      <c r="CQ10" s="1482">
        <f t="shared" ca="1" si="12"/>
        <v>0</v>
      </c>
      <c r="CR10" s="1482">
        <f t="shared" ca="1" si="12"/>
        <v>0</v>
      </c>
      <c r="CS10" s="1482">
        <f t="shared" ca="1" si="13"/>
        <v>0</v>
      </c>
      <c r="CT10" s="1482">
        <f t="shared" ca="1" si="13"/>
        <v>0</v>
      </c>
      <c r="CU10" s="1482">
        <f t="shared" ca="1" si="13"/>
        <v>0</v>
      </c>
      <c r="CV10" s="1482">
        <f t="shared" ca="1" si="13"/>
        <v>0</v>
      </c>
      <c r="CW10" s="1482">
        <f t="shared" ca="1" si="13"/>
        <v>0</v>
      </c>
      <c r="CX10" s="1482">
        <f t="shared" ca="1" si="13"/>
        <v>0</v>
      </c>
      <c r="CY10" s="1482">
        <f t="shared" ca="1" si="13"/>
        <v>0</v>
      </c>
      <c r="CZ10" s="1482">
        <f t="shared" ca="1" si="13"/>
        <v>0</v>
      </c>
      <c r="DA10" s="1482">
        <f t="shared" ca="1" si="13"/>
        <v>0</v>
      </c>
      <c r="DB10" s="1482">
        <f t="shared" ca="1" si="13"/>
        <v>0</v>
      </c>
      <c r="DC10" s="1482">
        <f t="shared" ca="1" si="13"/>
        <v>0</v>
      </c>
      <c r="DD10" s="1482">
        <f t="shared" ca="1" si="13"/>
        <v>0</v>
      </c>
      <c r="DE10" s="1482">
        <f t="shared" ca="1" si="13"/>
        <v>0</v>
      </c>
      <c r="DF10" s="1482">
        <f t="shared" ca="1" si="13"/>
        <v>0</v>
      </c>
      <c r="DH10" s="838"/>
    </row>
    <row r="11" spans="1:112" s="743" customFormat="1" ht="12.75" hidden="1" customHeight="1" outlineLevel="1">
      <c r="A11" s="1484"/>
      <c r="B11" s="1484"/>
      <c r="C11" s="746"/>
      <c r="D11" s="1484" t="s">
        <v>947</v>
      </c>
      <c r="E11" s="521"/>
      <c r="G11" s="1019">
        <f ca="1">SUM(G9:G10)</f>
        <v>567.8107022579685</v>
      </c>
      <c r="H11" s="1019">
        <f t="shared" ref="H11:P11" ca="1" si="15">SUM(H9:H10)</f>
        <v>0</v>
      </c>
      <c r="I11" s="1019">
        <f t="shared" ca="1" si="15"/>
        <v>0</v>
      </c>
      <c r="J11" s="1019">
        <f t="shared" ca="1" si="15"/>
        <v>0</v>
      </c>
      <c r="K11" s="1019">
        <f t="shared" ca="1" si="15"/>
        <v>0</v>
      </c>
      <c r="L11" s="1019">
        <f t="shared" ca="1" si="15"/>
        <v>0</v>
      </c>
      <c r="M11" s="1019">
        <f t="shared" ca="1" si="15"/>
        <v>0</v>
      </c>
      <c r="N11" s="1019">
        <f t="shared" ca="1" si="15"/>
        <v>0</v>
      </c>
      <c r="O11" s="1019">
        <f t="shared" ca="1" si="15"/>
        <v>0</v>
      </c>
      <c r="P11" s="1019">
        <f t="shared" ca="1" si="15"/>
        <v>0</v>
      </c>
      <c r="Q11" s="1019">
        <f t="shared" ca="1" si="1"/>
        <v>567.8107022579685</v>
      </c>
      <c r="S11" s="1027">
        <f ca="1">SUM(S9:S10)</f>
        <v>-57.032777786172744</v>
      </c>
      <c r="T11" s="1027">
        <f t="shared" ref="T11:AJ11" ca="1" si="16">SUM(T9:T10)</f>
        <v>0</v>
      </c>
      <c r="U11" s="1027">
        <f t="shared" ca="1" si="16"/>
        <v>-2.9845931990448413</v>
      </c>
      <c r="V11" s="1027">
        <f t="shared" ca="1" si="16"/>
        <v>-2.6769031785247552</v>
      </c>
      <c r="W11" s="1027">
        <f t="shared" ca="1" si="16"/>
        <v>-505.11642809422614</v>
      </c>
      <c r="X11" s="1027">
        <f ca="1">SUM(X9:X10)</f>
        <v>0</v>
      </c>
      <c r="Y11" s="1027">
        <f ca="1">SUM(Y9:Y10)</f>
        <v>0</v>
      </c>
      <c r="Z11" s="1027">
        <f ca="1">SUM(Z9:Z10)</f>
        <v>0</v>
      </c>
      <c r="AA11" s="1027">
        <f t="shared" ca="1" si="16"/>
        <v>0</v>
      </c>
      <c r="AB11" s="1027">
        <f t="shared" ca="1" si="16"/>
        <v>0</v>
      </c>
      <c r="AC11" s="1027">
        <f t="shared" ca="1" si="16"/>
        <v>0</v>
      </c>
      <c r="AD11" s="1027">
        <f ca="1">SUM(AD9:AD10)</f>
        <v>0</v>
      </c>
      <c r="AE11" s="1027">
        <f ca="1">SUM(AE9:AE10)</f>
        <v>0</v>
      </c>
      <c r="AF11" s="1027">
        <f t="shared" ca="1" si="16"/>
        <v>0</v>
      </c>
      <c r="AG11" s="1027">
        <f ca="1">SUM(AG9:AG10)</f>
        <v>0</v>
      </c>
      <c r="AH11" s="1027">
        <f ca="1">SUM(AH9:AH10)</f>
        <v>0</v>
      </c>
      <c r="AI11" s="1027">
        <f ca="1">SUM(AI9:AI10)</f>
        <v>0</v>
      </c>
      <c r="AJ11" s="1027">
        <f t="shared" ca="1" si="16"/>
        <v>0</v>
      </c>
      <c r="AK11" s="1027">
        <f t="shared" ca="1" si="4"/>
        <v>-567.8107022579685</v>
      </c>
      <c r="AM11" s="1040">
        <f t="shared" ref="AM11:BE11" ca="1" si="17">SUM(AM9:AM10)</f>
        <v>0</v>
      </c>
      <c r="AN11" s="1040">
        <f t="shared" ca="1" si="17"/>
        <v>0</v>
      </c>
      <c r="AO11" s="1040">
        <f t="shared" ca="1" si="17"/>
        <v>0</v>
      </c>
      <c r="AP11" s="1040">
        <f t="shared" ca="1" si="17"/>
        <v>0</v>
      </c>
      <c r="AQ11" s="1040">
        <f t="shared" ca="1" si="17"/>
        <v>0</v>
      </c>
      <c r="AR11" s="1040">
        <f t="shared" ca="1" si="17"/>
        <v>0</v>
      </c>
      <c r="AS11" s="1040">
        <f t="shared" ca="1" si="17"/>
        <v>0</v>
      </c>
      <c r="AT11" s="1040">
        <f t="shared" ca="1" si="17"/>
        <v>0</v>
      </c>
      <c r="AU11" s="1040">
        <f t="shared" ca="1" si="17"/>
        <v>0</v>
      </c>
      <c r="AV11" s="1040">
        <f t="shared" ca="1" si="17"/>
        <v>0</v>
      </c>
      <c r="AW11" s="1040">
        <f t="shared" ca="1" si="17"/>
        <v>0</v>
      </c>
      <c r="AX11" s="1040">
        <f t="shared" ca="1" si="17"/>
        <v>0</v>
      </c>
      <c r="AY11" s="1040">
        <f t="shared" ca="1" si="17"/>
        <v>0</v>
      </c>
      <c r="AZ11" s="1040">
        <f t="shared" ca="1" si="17"/>
        <v>0</v>
      </c>
      <c r="BA11" s="1040">
        <f t="shared" ca="1" si="17"/>
        <v>0</v>
      </c>
      <c r="BB11" s="1040">
        <f t="shared" ca="1" si="17"/>
        <v>0</v>
      </c>
      <c r="BC11" s="1040">
        <f t="shared" ca="1" si="17"/>
        <v>0</v>
      </c>
      <c r="BD11" s="1040">
        <f t="shared" ca="1" si="17"/>
        <v>0</v>
      </c>
      <c r="BE11" s="1040">
        <f t="shared" ca="1" si="17"/>
        <v>0</v>
      </c>
      <c r="BF11" s="979">
        <f t="shared" ca="1" si="6"/>
        <v>0</v>
      </c>
      <c r="BH11" s="1034">
        <f ca="1">SUM(BH9:BH10)</f>
        <v>0</v>
      </c>
      <c r="BI11" s="1034">
        <f ca="1">SUM(BI9:BI10)</f>
        <v>0</v>
      </c>
      <c r="BJ11" s="1034">
        <f t="shared" ca="1" si="8"/>
        <v>0</v>
      </c>
      <c r="BL11" s="814">
        <f t="shared" ca="1" si="9"/>
        <v>0</v>
      </c>
      <c r="BM11" s="814"/>
      <c r="BN11" s="840"/>
      <c r="BO11" s="1481">
        <f t="shared" ref="BO11:DF11" ca="1" si="18">SUM(BO9:BO10)</f>
        <v>94.529903269274598</v>
      </c>
      <c r="BP11" s="1482">
        <f t="shared" ca="1" si="18"/>
        <v>0.18983337525230914</v>
      </c>
      <c r="BQ11" s="1482">
        <f t="shared" ca="1" si="18"/>
        <v>0.22055841580978625</v>
      </c>
      <c r="BR11" s="1482">
        <f t="shared" ca="1" si="18"/>
        <v>0</v>
      </c>
      <c r="BS11" s="1482">
        <f t="shared" ca="1" si="18"/>
        <v>0</v>
      </c>
      <c r="BT11" s="1482">
        <f t="shared" ca="1" si="18"/>
        <v>0</v>
      </c>
      <c r="BU11" s="1482">
        <f t="shared" ca="1" si="18"/>
        <v>0</v>
      </c>
      <c r="BV11" s="1482">
        <f t="shared" ca="1" si="18"/>
        <v>0</v>
      </c>
      <c r="BW11" s="1482">
        <f t="shared" ca="1" si="18"/>
        <v>0</v>
      </c>
      <c r="BX11" s="1482">
        <f t="shared" ca="1" si="18"/>
        <v>0</v>
      </c>
      <c r="BY11" s="1482">
        <f t="shared" ca="1" si="18"/>
        <v>0</v>
      </c>
      <c r="BZ11" s="1482">
        <f t="shared" ca="1" si="18"/>
        <v>0</v>
      </c>
      <c r="CA11" s="1482">
        <f t="shared" ca="1" si="18"/>
        <v>0</v>
      </c>
      <c r="CB11" s="1482">
        <f t="shared" ca="1" si="18"/>
        <v>0</v>
      </c>
      <c r="CC11" s="1482">
        <f t="shared" ca="1" si="18"/>
        <v>0</v>
      </c>
      <c r="CD11" s="1482">
        <f t="shared" ca="1" si="18"/>
        <v>0</v>
      </c>
      <c r="CE11" s="1482">
        <f t="shared" ca="1" si="18"/>
        <v>0</v>
      </c>
      <c r="CF11" s="1482">
        <f t="shared" ca="1" si="18"/>
        <v>0</v>
      </c>
      <c r="CG11" s="1482">
        <f t="shared" ca="1" si="18"/>
        <v>0</v>
      </c>
      <c r="CH11" s="1482">
        <f t="shared" ca="1" si="18"/>
        <v>0</v>
      </c>
      <c r="CI11" s="1482">
        <f t="shared" ca="1" si="18"/>
        <v>0</v>
      </c>
      <c r="CJ11" s="1482">
        <f t="shared" ca="1" si="18"/>
        <v>0</v>
      </c>
      <c r="CK11" s="1482">
        <f t="shared" ca="1" si="18"/>
        <v>0</v>
      </c>
      <c r="CL11" s="1482">
        <f t="shared" ca="1" si="18"/>
        <v>0</v>
      </c>
      <c r="CM11" s="1482">
        <f t="shared" ca="1" si="18"/>
        <v>0</v>
      </c>
      <c r="CN11" s="1482">
        <f t="shared" ca="1" si="18"/>
        <v>0</v>
      </c>
      <c r="CO11" s="1482">
        <f t="shared" ca="1" si="18"/>
        <v>0</v>
      </c>
      <c r="CP11" s="1482">
        <f t="shared" ca="1" si="18"/>
        <v>0</v>
      </c>
      <c r="CQ11" s="1482">
        <f t="shared" ca="1" si="18"/>
        <v>0</v>
      </c>
      <c r="CR11" s="1482">
        <f t="shared" ca="1" si="18"/>
        <v>0</v>
      </c>
      <c r="CS11" s="1482">
        <f t="shared" ca="1" si="18"/>
        <v>0</v>
      </c>
      <c r="CT11" s="1482">
        <f t="shared" ca="1" si="18"/>
        <v>0</v>
      </c>
      <c r="CU11" s="1482">
        <f t="shared" ca="1" si="18"/>
        <v>0</v>
      </c>
      <c r="CV11" s="1482">
        <f t="shared" ca="1" si="18"/>
        <v>0</v>
      </c>
      <c r="CW11" s="1482">
        <f t="shared" ca="1" si="18"/>
        <v>0</v>
      </c>
      <c r="CX11" s="1482">
        <f t="shared" ca="1" si="18"/>
        <v>0</v>
      </c>
      <c r="CY11" s="1482">
        <f t="shared" ca="1" si="18"/>
        <v>0</v>
      </c>
      <c r="CZ11" s="1482">
        <f t="shared" ca="1" si="18"/>
        <v>0</v>
      </c>
      <c r="DA11" s="1482">
        <f t="shared" ca="1" si="18"/>
        <v>0</v>
      </c>
      <c r="DB11" s="1482">
        <f t="shared" ca="1" si="18"/>
        <v>0</v>
      </c>
      <c r="DC11" s="1482">
        <f t="shared" ca="1" si="18"/>
        <v>0</v>
      </c>
      <c r="DD11" s="1482">
        <f t="shared" ca="1" si="18"/>
        <v>0</v>
      </c>
      <c r="DE11" s="1482">
        <f t="shared" ca="1" si="18"/>
        <v>0</v>
      </c>
      <c r="DF11" s="1482">
        <f t="shared" ca="1" si="18"/>
        <v>0</v>
      </c>
      <c r="DH11" s="838"/>
    </row>
    <row r="12" spans="1:112" s="743" customFormat="1" ht="10.5" hidden="1" customHeight="1" outlineLevel="2">
      <c r="A12" s="1480"/>
      <c r="B12" s="1480"/>
      <c r="C12" s="746" t="s">
        <v>945</v>
      </c>
      <c r="D12" s="1480" t="str">
        <f>INDEX(Modules[Module], MATCH($C12, Modules[Code], 0))</f>
        <v>Commercial heating and cooling</v>
      </c>
      <c r="E12" s="1006"/>
      <c r="G12" s="1017">
        <f t="shared" ca="1" si="14"/>
        <v>164.36747267833323</v>
      </c>
      <c r="H12" s="1017">
        <f t="shared" ca="1" si="14"/>
        <v>0</v>
      </c>
      <c r="I12" s="1017">
        <f t="shared" ca="1" si="14"/>
        <v>0</v>
      </c>
      <c r="J12" s="1017">
        <f t="shared" ca="1" si="14"/>
        <v>0</v>
      </c>
      <c r="K12" s="1017">
        <f t="shared" ca="1" si="14"/>
        <v>0</v>
      </c>
      <c r="L12" s="1017">
        <f t="shared" ca="1" si="14"/>
        <v>0</v>
      </c>
      <c r="M12" s="1017">
        <f t="shared" ca="1" si="14"/>
        <v>0</v>
      </c>
      <c r="N12" s="1017">
        <f t="shared" ca="1" si="14"/>
        <v>0</v>
      </c>
      <c r="O12" s="1017">
        <f t="shared" ca="1" si="14"/>
        <v>0</v>
      </c>
      <c r="P12" s="1017">
        <f t="shared" ca="1" si="14"/>
        <v>0</v>
      </c>
      <c r="Q12" s="1019">
        <f t="shared" ca="1" si="1"/>
        <v>164.36747267833323</v>
      </c>
      <c r="S12" s="1026">
        <f t="shared" ca="1" si="2"/>
        <v>-31.303055045362949</v>
      </c>
      <c r="T12" s="1026">
        <f t="shared" ca="1" si="2"/>
        <v>0</v>
      </c>
      <c r="U12" s="1026">
        <f t="shared" ca="1" si="2"/>
        <v>0</v>
      </c>
      <c r="V12" s="1026">
        <f t="shared" ca="1" si="2"/>
        <v>-0.81958015279339935</v>
      </c>
      <c r="W12" s="1026">
        <f t="shared" ca="1" si="2"/>
        <v>-132.24483748017687</v>
      </c>
      <c r="X12" s="1026">
        <f t="shared" ref="X12:Z13" ca="1" si="19">IFERROR(INDEX(INDIRECT($C12&amp;".Outputs["&amp;this.Year&amp;"]"), MATCH(X$5, INDIRECT($C12&amp;".Outputs[Vector]"), 0)), 0)</f>
        <v>0</v>
      </c>
      <c r="Y12" s="1026">
        <f t="shared" ca="1" si="19"/>
        <v>0</v>
      </c>
      <c r="Z12" s="1026">
        <f t="shared" ca="1" si="19"/>
        <v>0</v>
      </c>
      <c r="AA12" s="1026">
        <f t="shared" ca="1" si="2"/>
        <v>0</v>
      </c>
      <c r="AB12" s="1026">
        <f t="shared" ca="1" si="2"/>
        <v>0</v>
      </c>
      <c r="AC12" s="1026">
        <f t="shared" ca="1" si="2"/>
        <v>0</v>
      </c>
      <c r="AD12" s="1026">
        <f t="shared" ca="1" si="2"/>
        <v>0</v>
      </c>
      <c r="AE12" s="1026">
        <f t="shared" ca="1" si="2"/>
        <v>0</v>
      </c>
      <c r="AF12" s="1026">
        <f t="shared" ca="1" si="2"/>
        <v>0</v>
      </c>
      <c r="AG12" s="1026">
        <f t="shared" ca="1" si="2"/>
        <v>0</v>
      </c>
      <c r="AH12" s="1026">
        <f t="shared" ca="1" si="2"/>
        <v>0</v>
      </c>
      <c r="AI12" s="1026">
        <f t="shared" ca="1" si="2"/>
        <v>0</v>
      </c>
      <c r="AJ12" s="1026">
        <f t="shared" ca="1" si="2"/>
        <v>0</v>
      </c>
      <c r="AK12" s="1027">
        <f t="shared" ca="1" si="4"/>
        <v>-164.36747267833323</v>
      </c>
      <c r="AM12" s="1038">
        <f t="shared" ref="AM12:AU13" ca="1" si="20">IFERROR(INDEX(INDIRECT($C12&amp;".Outputs["&amp;this.Year&amp;"]"), MATCH(AM$5, INDIRECT($C12&amp;".Outputs[Vector]"), 0)), 0)</f>
        <v>0</v>
      </c>
      <c r="AN12" s="1038">
        <f t="shared" ca="1" si="20"/>
        <v>0</v>
      </c>
      <c r="AO12" s="1038">
        <f t="shared" ca="1" si="20"/>
        <v>0</v>
      </c>
      <c r="AP12" s="1038">
        <f t="shared" ca="1" si="20"/>
        <v>0</v>
      </c>
      <c r="AQ12" s="1038">
        <f t="shared" ca="1" si="20"/>
        <v>0</v>
      </c>
      <c r="AR12" s="1038">
        <f t="shared" ca="1" si="20"/>
        <v>0</v>
      </c>
      <c r="AS12" s="1038">
        <f t="shared" ca="1" si="20"/>
        <v>0</v>
      </c>
      <c r="AT12" s="1038">
        <f t="shared" ca="1" si="20"/>
        <v>0</v>
      </c>
      <c r="AU12" s="1038">
        <f t="shared" ca="1" si="20"/>
        <v>0</v>
      </c>
      <c r="AV12" s="1038">
        <f t="shared" ca="1" si="2"/>
        <v>0</v>
      </c>
      <c r="AW12" s="1038">
        <f t="shared" ca="1" si="2"/>
        <v>0</v>
      </c>
      <c r="AX12" s="1038">
        <f t="shared" ca="1" si="2"/>
        <v>0</v>
      </c>
      <c r="AY12" s="1038">
        <f t="shared" ca="1" si="2"/>
        <v>0</v>
      </c>
      <c r="AZ12" s="1038">
        <f t="shared" ca="1" si="2"/>
        <v>0</v>
      </c>
      <c r="BA12" s="1038">
        <f t="shared" ca="1" si="2"/>
        <v>0</v>
      </c>
      <c r="BB12" s="1038">
        <f t="shared" ca="1" si="2"/>
        <v>0</v>
      </c>
      <c r="BC12" s="1038">
        <f t="shared" ca="1" si="2"/>
        <v>0</v>
      </c>
      <c r="BD12" s="1038">
        <f t="shared" ca="1" si="2"/>
        <v>0</v>
      </c>
      <c r="BE12" s="1038">
        <f t="shared" ca="1" si="2"/>
        <v>0</v>
      </c>
      <c r="BF12" s="977">
        <f t="shared" ca="1" si="6"/>
        <v>0</v>
      </c>
      <c r="BH12" s="1032">
        <f t="shared" ca="1" si="7"/>
        <v>0</v>
      </c>
      <c r="BI12" s="1032">
        <f t="shared" ca="1" si="7"/>
        <v>0</v>
      </c>
      <c r="BJ12" s="1034">
        <f t="shared" ca="1" si="8"/>
        <v>0</v>
      </c>
      <c r="BL12" s="524">
        <f t="shared" ca="1" si="9"/>
        <v>0</v>
      </c>
      <c r="BM12" s="524"/>
      <c r="BN12" s="840"/>
      <c r="BO12" s="1481">
        <f t="shared" ref="BO12:BX13" ca="1" si="21">IFERROR(SUMIFS(INDIRECT($C12&amp;".Emissions["&amp;this.Year&amp;"]"), INDIRECT($C12&amp;".Emissions[GHG]"), BO$6, INDIRECT($C12&amp;".Emissions[IPCC Sector]"), BO$5),0)</f>
        <v>24.537945134550888</v>
      </c>
      <c r="BP12" s="1482">
        <f t="shared" ca="1" si="21"/>
        <v>4.9030344671768492E-2</v>
      </c>
      <c r="BQ12" s="1482">
        <f t="shared" ca="1" si="21"/>
        <v>5.6146635489782944E-2</v>
      </c>
      <c r="BR12" s="1482">
        <f t="shared" ca="1" si="21"/>
        <v>0</v>
      </c>
      <c r="BS12" s="1482">
        <f t="shared" ca="1" si="21"/>
        <v>0</v>
      </c>
      <c r="BT12" s="1482">
        <f t="shared" ca="1" si="21"/>
        <v>0</v>
      </c>
      <c r="BU12" s="1482">
        <f t="shared" ca="1" si="21"/>
        <v>0</v>
      </c>
      <c r="BV12" s="1482">
        <f t="shared" ca="1" si="21"/>
        <v>0</v>
      </c>
      <c r="BW12" s="1482">
        <f t="shared" ca="1" si="21"/>
        <v>0</v>
      </c>
      <c r="BX12" s="1482">
        <f t="shared" ca="1" si="21"/>
        <v>0</v>
      </c>
      <c r="BY12" s="1482">
        <f t="shared" ref="BY12:CH13" ca="1" si="22">IFERROR(SUMIFS(INDIRECT($C12&amp;".Emissions["&amp;this.Year&amp;"]"), INDIRECT($C12&amp;".Emissions[GHG]"), BY$6, INDIRECT($C12&amp;".Emissions[IPCC Sector]"), BY$5),0)</f>
        <v>0</v>
      </c>
      <c r="BZ12" s="1482">
        <f t="shared" ca="1" si="22"/>
        <v>0</v>
      </c>
      <c r="CA12" s="1482">
        <f t="shared" ca="1" si="22"/>
        <v>0</v>
      </c>
      <c r="CB12" s="1482">
        <f t="shared" ca="1" si="22"/>
        <v>0</v>
      </c>
      <c r="CC12" s="1482">
        <f t="shared" ca="1" si="22"/>
        <v>0</v>
      </c>
      <c r="CD12" s="1482">
        <f t="shared" ca="1" si="22"/>
        <v>0</v>
      </c>
      <c r="CE12" s="1482">
        <f t="shared" ca="1" si="22"/>
        <v>0</v>
      </c>
      <c r="CF12" s="1482">
        <f t="shared" ca="1" si="22"/>
        <v>0</v>
      </c>
      <c r="CG12" s="1482">
        <f t="shared" ca="1" si="22"/>
        <v>0</v>
      </c>
      <c r="CH12" s="1482">
        <f t="shared" ca="1" si="22"/>
        <v>0</v>
      </c>
      <c r="CI12" s="1482">
        <f t="shared" ref="CI12:CR13" ca="1" si="23">IFERROR(SUMIFS(INDIRECT($C12&amp;".Emissions["&amp;this.Year&amp;"]"), INDIRECT($C12&amp;".Emissions[GHG]"), CI$6, INDIRECT($C12&amp;".Emissions[IPCC Sector]"), CI$5),0)</f>
        <v>0</v>
      </c>
      <c r="CJ12" s="1482">
        <f t="shared" ca="1" si="23"/>
        <v>0</v>
      </c>
      <c r="CK12" s="1482">
        <f t="shared" ca="1" si="23"/>
        <v>0</v>
      </c>
      <c r="CL12" s="1482">
        <f t="shared" ca="1" si="23"/>
        <v>0</v>
      </c>
      <c r="CM12" s="1482">
        <f t="shared" ca="1" si="23"/>
        <v>0</v>
      </c>
      <c r="CN12" s="1482">
        <f t="shared" ca="1" si="23"/>
        <v>0</v>
      </c>
      <c r="CO12" s="1482">
        <f t="shared" ca="1" si="23"/>
        <v>0</v>
      </c>
      <c r="CP12" s="1482">
        <f t="shared" ca="1" si="23"/>
        <v>0</v>
      </c>
      <c r="CQ12" s="1482">
        <f t="shared" ca="1" si="23"/>
        <v>0</v>
      </c>
      <c r="CR12" s="1482">
        <f t="shared" ca="1" si="23"/>
        <v>0</v>
      </c>
      <c r="CS12" s="1482">
        <f t="shared" ref="CS12:DF13" ca="1" si="24">IFERROR(SUMIFS(INDIRECT($C12&amp;".Emissions["&amp;this.Year&amp;"]"), INDIRECT($C12&amp;".Emissions[GHG]"), CS$6, INDIRECT($C12&amp;".Emissions[IPCC Sector]"), CS$5),0)</f>
        <v>0</v>
      </c>
      <c r="CT12" s="1482">
        <f t="shared" ca="1" si="24"/>
        <v>0</v>
      </c>
      <c r="CU12" s="1482">
        <f t="shared" ca="1" si="24"/>
        <v>0</v>
      </c>
      <c r="CV12" s="1482">
        <f t="shared" ca="1" si="24"/>
        <v>0</v>
      </c>
      <c r="CW12" s="1482">
        <f t="shared" ca="1" si="24"/>
        <v>0</v>
      </c>
      <c r="CX12" s="1482">
        <f t="shared" ca="1" si="24"/>
        <v>0</v>
      </c>
      <c r="CY12" s="1482">
        <f t="shared" ca="1" si="24"/>
        <v>0</v>
      </c>
      <c r="CZ12" s="1482">
        <f t="shared" ca="1" si="24"/>
        <v>0</v>
      </c>
      <c r="DA12" s="1482">
        <f t="shared" ca="1" si="24"/>
        <v>0</v>
      </c>
      <c r="DB12" s="1482">
        <f t="shared" ca="1" si="24"/>
        <v>0</v>
      </c>
      <c r="DC12" s="1482">
        <f t="shared" ca="1" si="24"/>
        <v>0</v>
      </c>
      <c r="DD12" s="1482">
        <f t="shared" ca="1" si="24"/>
        <v>0</v>
      </c>
      <c r="DE12" s="1482">
        <f t="shared" ca="1" si="24"/>
        <v>0</v>
      </c>
      <c r="DF12" s="1482">
        <f t="shared" ca="1" si="24"/>
        <v>0</v>
      </c>
      <c r="DH12" s="838"/>
    </row>
    <row r="13" spans="1:112" s="743" customFormat="1" ht="10.5" hidden="1" customHeight="1" outlineLevel="2">
      <c r="A13" s="1483"/>
      <c r="B13" s="1483"/>
      <c r="C13" s="1009" t="s">
        <v>946</v>
      </c>
      <c r="D13" s="1483" t="str">
        <f>INDEX(Modules[Module], MATCH($C13, Modules[Code], 0))</f>
        <v>Commercial hot water [UNUSED - See IX.c]</v>
      </c>
      <c r="E13" s="1006"/>
      <c r="G13" s="1018">
        <f t="shared" ca="1" si="14"/>
        <v>0</v>
      </c>
      <c r="H13" s="1018">
        <f t="shared" ca="1" si="14"/>
        <v>0</v>
      </c>
      <c r="I13" s="1018">
        <f t="shared" ca="1" si="14"/>
        <v>0</v>
      </c>
      <c r="J13" s="1018">
        <f t="shared" ca="1" si="14"/>
        <v>0</v>
      </c>
      <c r="K13" s="1018">
        <f t="shared" ca="1" si="14"/>
        <v>0</v>
      </c>
      <c r="L13" s="1018">
        <f t="shared" ca="1" si="14"/>
        <v>0</v>
      </c>
      <c r="M13" s="1018">
        <f t="shared" ca="1" si="14"/>
        <v>0</v>
      </c>
      <c r="N13" s="1018">
        <f t="shared" ca="1" si="14"/>
        <v>0</v>
      </c>
      <c r="O13" s="1018">
        <f t="shared" ca="1" si="14"/>
        <v>0</v>
      </c>
      <c r="P13" s="1018">
        <f t="shared" ca="1" si="14"/>
        <v>0</v>
      </c>
      <c r="Q13" s="1024">
        <f t="shared" ca="1" si="1"/>
        <v>0</v>
      </c>
      <c r="S13" s="1028">
        <f t="shared" ca="1" si="2"/>
        <v>0</v>
      </c>
      <c r="T13" s="1028">
        <f t="shared" ca="1" si="2"/>
        <v>0</v>
      </c>
      <c r="U13" s="1028">
        <f t="shared" ca="1" si="2"/>
        <v>0</v>
      </c>
      <c r="V13" s="1028">
        <f t="shared" ca="1" si="2"/>
        <v>0</v>
      </c>
      <c r="W13" s="1028">
        <f t="shared" ca="1" si="2"/>
        <v>0</v>
      </c>
      <c r="X13" s="1028">
        <f t="shared" ca="1" si="19"/>
        <v>0</v>
      </c>
      <c r="Y13" s="1028">
        <f t="shared" ca="1" si="19"/>
        <v>0</v>
      </c>
      <c r="Z13" s="1028">
        <f t="shared" ca="1" si="19"/>
        <v>0</v>
      </c>
      <c r="AA13" s="1028">
        <f t="shared" ca="1" si="2"/>
        <v>0</v>
      </c>
      <c r="AB13" s="1028">
        <f t="shared" ca="1" si="2"/>
        <v>0</v>
      </c>
      <c r="AC13" s="1028">
        <f t="shared" ca="1" si="2"/>
        <v>0</v>
      </c>
      <c r="AD13" s="1028">
        <f t="shared" ca="1" si="2"/>
        <v>0</v>
      </c>
      <c r="AE13" s="1028">
        <f t="shared" ca="1" si="2"/>
        <v>0</v>
      </c>
      <c r="AF13" s="1028">
        <f t="shared" ca="1" si="2"/>
        <v>0</v>
      </c>
      <c r="AG13" s="1028">
        <f t="shared" ca="1" si="2"/>
        <v>0</v>
      </c>
      <c r="AH13" s="1028">
        <f t="shared" ca="1" si="2"/>
        <v>0</v>
      </c>
      <c r="AI13" s="1028">
        <f t="shared" ca="1" si="2"/>
        <v>0</v>
      </c>
      <c r="AJ13" s="1028">
        <f t="shared" ca="1" si="2"/>
        <v>0</v>
      </c>
      <c r="AK13" s="1029">
        <f t="shared" ca="1" si="4"/>
        <v>0</v>
      </c>
      <c r="AM13" s="1039">
        <f t="shared" ca="1" si="20"/>
        <v>0</v>
      </c>
      <c r="AN13" s="1039">
        <f t="shared" ca="1" si="20"/>
        <v>0</v>
      </c>
      <c r="AO13" s="1039">
        <f t="shared" ca="1" si="20"/>
        <v>0</v>
      </c>
      <c r="AP13" s="1039">
        <f t="shared" ca="1" si="20"/>
        <v>0</v>
      </c>
      <c r="AQ13" s="1039">
        <f t="shared" ca="1" si="20"/>
        <v>0</v>
      </c>
      <c r="AR13" s="1039">
        <f t="shared" ca="1" si="20"/>
        <v>0</v>
      </c>
      <c r="AS13" s="1039">
        <f t="shared" ca="1" si="20"/>
        <v>0</v>
      </c>
      <c r="AT13" s="1039">
        <f t="shared" ca="1" si="20"/>
        <v>0</v>
      </c>
      <c r="AU13" s="1039">
        <f t="shared" ca="1" si="20"/>
        <v>0</v>
      </c>
      <c r="AV13" s="1039">
        <f t="shared" ca="1" si="2"/>
        <v>0</v>
      </c>
      <c r="AW13" s="1039">
        <f t="shared" ca="1" si="2"/>
        <v>0</v>
      </c>
      <c r="AX13" s="1039">
        <f t="shared" ca="1" si="2"/>
        <v>0</v>
      </c>
      <c r="AY13" s="1039">
        <f t="shared" ca="1" si="2"/>
        <v>0</v>
      </c>
      <c r="AZ13" s="1039">
        <f t="shared" ca="1" si="2"/>
        <v>0</v>
      </c>
      <c r="BA13" s="1039">
        <f t="shared" ca="1" si="2"/>
        <v>0</v>
      </c>
      <c r="BB13" s="1039">
        <f t="shared" ca="1" si="2"/>
        <v>0</v>
      </c>
      <c r="BC13" s="1039">
        <f t="shared" ca="1" si="2"/>
        <v>0</v>
      </c>
      <c r="BD13" s="1039">
        <f t="shared" ca="1" si="2"/>
        <v>0</v>
      </c>
      <c r="BE13" s="1039">
        <f t="shared" ca="1" si="2"/>
        <v>0</v>
      </c>
      <c r="BF13" s="1008">
        <f t="shared" ca="1" si="6"/>
        <v>0</v>
      </c>
      <c r="BH13" s="1033">
        <f t="shared" ca="1" si="7"/>
        <v>0</v>
      </c>
      <c r="BI13" s="1033">
        <f t="shared" ca="1" si="7"/>
        <v>0</v>
      </c>
      <c r="BJ13" s="1044">
        <f t="shared" ca="1" si="8"/>
        <v>0</v>
      </c>
      <c r="BL13" s="1007">
        <f t="shared" ca="1" si="9"/>
        <v>0</v>
      </c>
      <c r="BM13" s="1007"/>
      <c r="BN13" s="840"/>
      <c r="BO13" s="1481">
        <f t="shared" ca="1" si="21"/>
        <v>0</v>
      </c>
      <c r="BP13" s="1482">
        <f t="shared" ca="1" si="21"/>
        <v>0</v>
      </c>
      <c r="BQ13" s="1482">
        <f t="shared" ca="1" si="21"/>
        <v>0</v>
      </c>
      <c r="BR13" s="1482">
        <f t="shared" ca="1" si="21"/>
        <v>0</v>
      </c>
      <c r="BS13" s="1482">
        <f t="shared" ca="1" si="21"/>
        <v>0</v>
      </c>
      <c r="BT13" s="1482">
        <f t="shared" ca="1" si="21"/>
        <v>0</v>
      </c>
      <c r="BU13" s="1482">
        <f t="shared" ca="1" si="21"/>
        <v>0</v>
      </c>
      <c r="BV13" s="1482">
        <f t="shared" ca="1" si="21"/>
        <v>0</v>
      </c>
      <c r="BW13" s="1482">
        <f t="shared" ca="1" si="21"/>
        <v>0</v>
      </c>
      <c r="BX13" s="1482">
        <f t="shared" ca="1" si="21"/>
        <v>0</v>
      </c>
      <c r="BY13" s="1482">
        <f t="shared" ca="1" si="22"/>
        <v>0</v>
      </c>
      <c r="BZ13" s="1482">
        <f t="shared" ca="1" si="22"/>
        <v>0</v>
      </c>
      <c r="CA13" s="1482">
        <f t="shared" ca="1" si="22"/>
        <v>0</v>
      </c>
      <c r="CB13" s="1482">
        <f t="shared" ca="1" si="22"/>
        <v>0</v>
      </c>
      <c r="CC13" s="1482">
        <f t="shared" ca="1" si="22"/>
        <v>0</v>
      </c>
      <c r="CD13" s="1482">
        <f t="shared" ca="1" si="22"/>
        <v>0</v>
      </c>
      <c r="CE13" s="1482">
        <f t="shared" ca="1" si="22"/>
        <v>0</v>
      </c>
      <c r="CF13" s="1482">
        <f t="shared" ca="1" si="22"/>
        <v>0</v>
      </c>
      <c r="CG13" s="1482">
        <f t="shared" ca="1" si="22"/>
        <v>0</v>
      </c>
      <c r="CH13" s="1482">
        <f t="shared" ca="1" si="22"/>
        <v>0</v>
      </c>
      <c r="CI13" s="1482">
        <f t="shared" ca="1" si="23"/>
        <v>0</v>
      </c>
      <c r="CJ13" s="1482">
        <f t="shared" ca="1" si="23"/>
        <v>0</v>
      </c>
      <c r="CK13" s="1482">
        <f t="shared" ca="1" si="23"/>
        <v>0</v>
      </c>
      <c r="CL13" s="1482">
        <f t="shared" ca="1" si="23"/>
        <v>0</v>
      </c>
      <c r="CM13" s="1482">
        <f t="shared" ca="1" si="23"/>
        <v>0</v>
      </c>
      <c r="CN13" s="1482">
        <f t="shared" ca="1" si="23"/>
        <v>0</v>
      </c>
      <c r="CO13" s="1482">
        <f t="shared" ca="1" si="23"/>
        <v>0</v>
      </c>
      <c r="CP13" s="1482">
        <f t="shared" ca="1" si="23"/>
        <v>0</v>
      </c>
      <c r="CQ13" s="1482">
        <f t="shared" ca="1" si="23"/>
        <v>0</v>
      </c>
      <c r="CR13" s="1482">
        <f t="shared" ca="1" si="23"/>
        <v>0</v>
      </c>
      <c r="CS13" s="1482">
        <f t="shared" ca="1" si="24"/>
        <v>0</v>
      </c>
      <c r="CT13" s="1482">
        <f t="shared" ca="1" si="24"/>
        <v>0</v>
      </c>
      <c r="CU13" s="1482">
        <f t="shared" ca="1" si="24"/>
        <v>0</v>
      </c>
      <c r="CV13" s="1482">
        <f t="shared" ca="1" si="24"/>
        <v>0</v>
      </c>
      <c r="CW13" s="1482">
        <f t="shared" ca="1" si="24"/>
        <v>0</v>
      </c>
      <c r="CX13" s="1482">
        <f t="shared" ca="1" si="24"/>
        <v>0</v>
      </c>
      <c r="CY13" s="1482">
        <f t="shared" ca="1" si="24"/>
        <v>0</v>
      </c>
      <c r="CZ13" s="1482">
        <f t="shared" ca="1" si="24"/>
        <v>0</v>
      </c>
      <c r="DA13" s="1482">
        <f t="shared" ca="1" si="24"/>
        <v>0</v>
      </c>
      <c r="DB13" s="1482">
        <f t="shared" ca="1" si="24"/>
        <v>0</v>
      </c>
      <c r="DC13" s="1482">
        <f t="shared" ca="1" si="24"/>
        <v>0</v>
      </c>
      <c r="DD13" s="1482">
        <f t="shared" ca="1" si="24"/>
        <v>0</v>
      </c>
      <c r="DE13" s="1482">
        <f t="shared" ca="1" si="24"/>
        <v>0</v>
      </c>
      <c r="DF13" s="1482">
        <f t="shared" ca="1" si="24"/>
        <v>0</v>
      </c>
      <c r="DH13" s="838"/>
    </row>
    <row r="14" spans="1:112" s="743" customFormat="1" ht="12.75" hidden="1" customHeight="1" outlineLevel="1">
      <c r="A14" s="1484"/>
      <c r="B14" s="1484"/>
      <c r="C14" s="746"/>
      <c r="D14" s="1010" t="s">
        <v>948</v>
      </c>
      <c r="E14" s="1010"/>
      <c r="G14" s="1020">
        <f ca="1">SUM(G12:G13)</f>
        <v>164.36747267833323</v>
      </c>
      <c r="H14" s="1020">
        <f t="shared" ref="H14:P14" ca="1" si="25">SUM(H12:H13)</f>
        <v>0</v>
      </c>
      <c r="I14" s="1020">
        <f t="shared" ca="1" si="25"/>
        <v>0</v>
      </c>
      <c r="J14" s="1020">
        <f t="shared" ca="1" si="25"/>
        <v>0</v>
      </c>
      <c r="K14" s="1020">
        <f t="shared" ca="1" si="25"/>
        <v>0</v>
      </c>
      <c r="L14" s="1020">
        <f t="shared" ca="1" si="25"/>
        <v>0</v>
      </c>
      <c r="M14" s="1020">
        <f t="shared" ca="1" si="25"/>
        <v>0</v>
      </c>
      <c r="N14" s="1020">
        <f t="shared" ca="1" si="25"/>
        <v>0</v>
      </c>
      <c r="O14" s="1020">
        <f t="shared" ca="1" si="25"/>
        <v>0</v>
      </c>
      <c r="P14" s="1020">
        <f t="shared" ca="1" si="25"/>
        <v>0</v>
      </c>
      <c r="Q14" s="1020">
        <f t="shared" ca="1" si="1"/>
        <v>164.36747267833323</v>
      </c>
      <c r="S14" s="1030">
        <f t="shared" ref="S14:AJ14" ca="1" si="26">SUM(S12:S13)</f>
        <v>-31.303055045362949</v>
      </c>
      <c r="T14" s="1030">
        <f t="shared" ca="1" si="26"/>
        <v>0</v>
      </c>
      <c r="U14" s="1030">
        <f t="shared" ca="1" si="26"/>
        <v>0</v>
      </c>
      <c r="V14" s="1030">
        <f t="shared" ca="1" si="26"/>
        <v>-0.81958015279339935</v>
      </c>
      <c r="W14" s="1030">
        <f t="shared" ca="1" si="26"/>
        <v>-132.24483748017687</v>
      </c>
      <c r="X14" s="1030">
        <f ca="1">SUM(X12:X13)</f>
        <v>0</v>
      </c>
      <c r="Y14" s="1030">
        <f ca="1">SUM(Y12:Y13)</f>
        <v>0</v>
      </c>
      <c r="Z14" s="1030">
        <f ca="1">SUM(Z12:Z13)</f>
        <v>0</v>
      </c>
      <c r="AA14" s="1030">
        <f t="shared" ca="1" si="26"/>
        <v>0</v>
      </c>
      <c r="AB14" s="1030">
        <f t="shared" ca="1" si="26"/>
        <v>0</v>
      </c>
      <c r="AC14" s="1030">
        <f t="shared" ca="1" si="26"/>
        <v>0</v>
      </c>
      <c r="AD14" s="1030">
        <f ca="1">SUM(AD12:AD13)</f>
        <v>0</v>
      </c>
      <c r="AE14" s="1030">
        <f ca="1">SUM(AE12:AE13)</f>
        <v>0</v>
      </c>
      <c r="AF14" s="1030">
        <f t="shared" ca="1" si="26"/>
        <v>0</v>
      </c>
      <c r="AG14" s="1030">
        <f ca="1">SUM(AG12:AG13)</f>
        <v>0</v>
      </c>
      <c r="AH14" s="1030">
        <f ca="1">SUM(AH12:AH13)</f>
        <v>0</v>
      </c>
      <c r="AI14" s="1030">
        <f ca="1">SUM(AI12:AI13)</f>
        <v>0</v>
      </c>
      <c r="AJ14" s="1030">
        <f t="shared" ca="1" si="26"/>
        <v>0</v>
      </c>
      <c r="AK14" s="1030">
        <f t="shared" ca="1" si="4"/>
        <v>-164.36747267833323</v>
      </c>
      <c r="AM14" s="1041">
        <f t="shared" ref="AM14:AS14" ca="1" si="27">SUM(AM12:AM13)</f>
        <v>0</v>
      </c>
      <c r="AN14" s="1041">
        <f t="shared" ca="1" si="27"/>
        <v>0</v>
      </c>
      <c r="AO14" s="1041">
        <f t="shared" ca="1" si="27"/>
        <v>0</v>
      </c>
      <c r="AP14" s="1041">
        <f t="shared" ca="1" si="27"/>
        <v>0</v>
      </c>
      <c r="AQ14" s="1041">
        <f t="shared" ca="1" si="27"/>
        <v>0</v>
      </c>
      <c r="AR14" s="1041">
        <f t="shared" ca="1" si="27"/>
        <v>0</v>
      </c>
      <c r="AS14" s="1041">
        <f t="shared" ca="1" si="27"/>
        <v>0</v>
      </c>
      <c r="AT14" s="1041">
        <f t="shared" ref="AT14:BE14" ca="1" si="28">SUM(AT12:AT13)</f>
        <v>0</v>
      </c>
      <c r="AU14" s="1041">
        <f t="shared" ca="1" si="28"/>
        <v>0</v>
      </c>
      <c r="AV14" s="1041">
        <f t="shared" ca="1" si="28"/>
        <v>0</v>
      </c>
      <c r="AW14" s="1041">
        <f t="shared" ca="1" si="28"/>
        <v>0</v>
      </c>
      <c r="AX14" s="1041">
        <f t="shared" ca="1" si="28"/>
        <v>0</v>
      </c>
      <c r="AY14" s="1041">
        <f t="shared" ca="1" si="28"/>
        <v>0</v>
      </c>
      <c r="AZ14" s="1041">
        <f t="shared" ca="1" si="28"/>
        <v>0</v>
      </c>
      <c r="BA14" s="1041">
        <f t="shared" ca="1" si="28"/>
        <v>0</v>
      </c>
      <c r="BB14" s="1041">
        <f t="shared" ca="1" si="28"/>
        <v>0</v>
      </c>
      <c r="BC14" s="1041">
        <f t="shared" ca="1" si="28"/>
        <v>0</v>
      </c>
      <c r="BD14" s="1041">
        <f t="shared" ca="1" si="28"/>
        <v>0</v>
      </c>
      <c r="BE14" s="1041">
        <f t="shared" ca="1" si="28"/>
        <v>0</v>
      </c>
      <c r="BF14" s="1012">
        <f t="shared" ca="1" si="6"/>
        <v>0</v>
      </c>
      <c r="BH14" s="1035">
        <f ca="1">SUM(BH12:BH13)</f>
        <v>0</v>
      </c>
      <c r="BI14" s="1035">
        <f ca="1">SUM(BI12:BI13)</f>
        <v>0</v>
      </c>
      <c r="BJ14" s="1035">
        <f t="shared" ca="1" si="8"/>
        <v>0</v>
      </c>
      <c r="BL14" s="814">
        <f t="shared" ca="1" si="9"/>
        <v>0</v>
      </c>
      <c r="BM14" s="814"/>
      <c r="BN14" s="840"/>
      <c r="BO14" s="1485">
        <f t="shared" ref="BO14:DF14" ca="1" si="29">SUM(BO12:BO13)</f>
        <v>24.537945134550888</v>
      </c>
      <c r="BP14" s="1486">
        <f t="shared" ca="1" si="29"/>
        <v>4.9030344671768492E-2</v>
      </c>
      <c r="BQ14" s="1486">
        <f t="shared" ca="1" si="29"/>
        <v>5.6146635489782944E-2</v>
      </c>
      <c r="BR14" s="1486">
        <f t="shared" ca="1" si="29"/>
        <v>0</v>
      </c>
      <c r="BS14" s="1486">
        <f t="shared" ca="1" si="29"/>
        <v>0</v>
      </c>
      <c r="BT14" s="1486">
        <f t="shared" ca="1" si="29"/>
        <v>0</v>
      </c>
      <c r="BU14" s="1486">
        <f t="shared" ca="1" si="29"/>
        <v>0</v>
      </c>
      <c r="BV14" s="1486">
        <f t="shared" ca="1" si="29"/>
        <v>0</v>
      </c>
      <c r="BW14" s="1486">
        <f t="shared" ca="1" si="29"/>
        <v>0</v>
      </c>
      <c r="BX14" s="1486">
        <f t="shared" ca="1" si="29"/>
        <v>0</v>
      </c>
      <c r="BY14" s="1486">
        <f t="shared" ca="1" si="29"/>
        <v>0</v>
      </c>
      <c r="BZ14" s="1486">
        <f t="shared" ca="1" si="29"/>
        <v>0</v>
      </c>
      <c r="CA14" s="1486">
        <f t="shared" ca="1" si="29"/>
        <v>0</v>
      </c>
      <c r="CB14" s="1486">
        <f t="shared" ca="1" si="29"/>
        <v>0</v>
      </c>
      <c r="CC14" s="1486">
        <f t="shared" ca="1" si="29"/>
        <v>0</v>
      </c>
      <c r="CD14" s="1486">
        <f t="shared" ca="1" si="29"/>
        <v>0</v>
      </c>
      <c r="CE14" s="1486">
        <f t="shared" ca="1" si="29"/>
        <v>0</v>
      </c>
      <c r="CF14" s="1486">
        <f t="shared" ca="1" si="29"/>
        <v>0</v>
      </c>
      <c r="CG14" s="1486">
        <f t="shared" ca="1" si="29"/>
        <v>0</v>
      </c>
      <c r="CH14" s="1486">
        <f t="shared" ca="1" si="29"/>
        <v>0</v>
      </c>
      <c r="CI14" s="1486">
        <f t="shared" ca="1" si="29"/>
        <v>0</v>
      </c>
      <c r="CJ14" s="1486">
        <f t="shared" ca="1" si="29"/>
        <v>0</v>
      </c>
      <c r="CK14" s="1486">
        <f t="shared" ca="1" si="29"/>
        <v>0</v>
      </c>
      <c r="CL14" s="1486">
        <f t="shared" ca="1" si="29"/>
        <v>0</v>
      </c>
      <c r="CM14" s="1486">
        <f t="shared" ca="1" si="29"/>
        <v>0</v>
      </c>
      <c r="CN14" s="1486">
        <f t="shared" ca="1" si="29"/>
        <v>0</v>
      </c>
      <c r="CO14" s="1486">
        <f t="shared" ca="1" si="29"/>
        <v>0</v>
      </c>
      <c r="CP14" s="1486">
        <f t="shared" ca="1" si="29"/>
        <v>0</v>
      </c>
      <c r="CQ14" s="1486">
        <f t="shared" ca="1" si="29"/>
        <v>0</v>
      </c>
      <c r="CR14" s="1486">
        <f t="shared" ca="1" si="29"/>
        <v>0</v>
      </c>
      <c r="CS14" s="1486">
        <f t="shared" ca="1" si="29"/>
        <v>0</v>
      </c>
      <c r="CT14" s="1486">
        <f t="shared" ca="1" si="29"/>
        <v>0</v>
      </c>
      <c r="CU14" s="1486">
        <f t="shared" ca="1" si="29"/>
        <v>0</v>
      </c>
      <c r="CV14" s="1486">
        <f t="shared" ca="1" si="29"/>
        <v>0</v>
      </c>
      <c r="CW14" s="1486">
        <f t="shared" ca="1" si="29"/>
        <v>0</v>
      </c>
      <c r="CX14" s="1486">
        <f t="shared" ca="1" si="29"/>
        <v>0</v>
      </c>
      <c r="CY14" s="1486">
        <f t="shared" ca="1" si="29"/>
        <v>0</v>
      </c>
      <c r="CZ14" s="1486">
        <f t="shared" ca="1" si="29"/>
        <v>0</v>
      </c>
      <c r="DA14" s="1486">
        <f t="shared" ca="1" si="29"/>
        <v>0</v>
      </c>
      <c r="DB14" s="1486">
        <f t="shared" ca="1" si="29"/>
        <v>0</v>
      </c>
      <c r="DC14" s="1486">
        <f t="shared" ca="1" si="29"/>
        <v>0</v>
      </c>
      <c r="DD14" s="1486">
        <f t="shared" ca="1" si="29"/>
        <v>0</v>
      </c>
      <c r="DE14" s="1486">
        <f t="shared" ca="1" si="29"/>
        <v>0</v>
      </c>
      <c r="DF14" s="1486">
        <f t="shared" ca="1" si="29"/>
        <v>0</v>
      </c>
      <c r="DH14" s="838"/>
    </row>
    <row r="15" spans="1:112" s="743" customFormat="1" ht="15.75" collapsed="1">
      <c r="A15" s="22"/>
      <c r="B15" s="753"/>
      <c r="C15" s="744" t="s">
        <v>676</v>
      </c>
      <c r="D15" s="517" t="str">
        <f>INDEX(Workstreams[Workstream], MATCH($C15, Workstreams[Code], 0))</f>
        <v>Heating</v>
      </c>
      <c r="E15" s="512"/>
      <c r="G15" s="1021">
        <f t="shared" ref="G15:P15" ca="1" si="30">G14+G11</f>
        <v>732.17817493630173</v>
      </c>
      <c r="H15" s="1021">
        <f t="shared" ca="1" si="30"/>
        <v>0</v>
      </c>
      <c r="I15" s="1021">
        <f t="shared" ca="1" si="30"/>
        <v>0</v>
      </c>
      <c r="J15" s="1021">
        <f t="shared" ca="1" si="30"/>
        <v>0</v>
      </c>
      <c r="K15" s="1021">
        <f t="shared" ca="1" si="30"/>
        <v>0</v>
      </c>
      <c r="L15" s="1021">
        <f t="shared" ca="1" si="30"/>
        <v>0</v>
      </c>
      <c r="M15" s="1021">
        <f t="shared" ca="1" si="30"/>
        <v>0</v>
      </c>
      <c r="N15" s="1021">
        <f t="shared" ca="1" si="30"/>
        <v>0</v>
      </c>
      <c r="O15" s="1021">
        <f t="shared" ca="1" si="30"/>
        <v>0</v>
      </c>
      <c r="P15" s="1021">
        <f t="shared" ca="1" si="30"/>
        <v>0</v>
      </c>
      <c r="Q15" s="1021">
        <f t="shared" ca="1" si="1"/>
        <v>732.17817493630173</v>
      </c>
      <c r="S15" s="970">
        <f t="shared" ref="S15:Z15" ca="1" si="31">S14+S11</f>
        <v>-88.335832831535697</v>
      </c>
      <c r="T15" s="970">
        <f t="shared" ca="1" si="31"/>
        <v>0</v>
      </c>
      <c r="U15" s="970">
        <f t="shared" ca="1" si="31"/>
        <v>-2.9845931990448413</v>
      </c>
      <c r="V15" s="970">
        <f t="shared" ca="1" si="31"/>
        <v>-3.4964833313181547</v>
      </c>
      <c r="W15" s="970">
        <f t="shared" ca="1" si="31"/>
        <v>-637.36126557440298</v>
      </c>
      <c r="X15" s="970">
        <f t="shared" ca="1" si="31"/>
        <v>0</v>
      </c>
      <c r="Y15" s="970">
        <f t="shared" ca="1" si="31"/>
        <v>0</v>
      </c>
      <c r="Z15" s="970">
        <f t="shared" ca="1" si="31"/>
        <v>0</v>
      </c>
      <c r="AA15" s="970">
        <f t="shared" ref="AA15:AJ15" ca="1" si="32">AA14+AA11</f>
        <v>0</v>
      </c>
      <c r="AB15" s="970">
        <f t="shared" ca="1" si="32"/>
        <v>0</v>
      </c>
      <c r="AC15" s="970">
        <f t="shared" ca="1" si="32"/>
        <v>0</v>
      </c>
      <c r="AD15" s="970">
        <f ca="1">AD14+AD11</f>
        <v>0</v>
      </c>
      <c r="AE15" s="970">
        <f ca="1">AE14+AE11</f>
        <v>0</v>
      </c>
      <c r="AF15" s="970">
        <f t="shared" ca="1" si="32"/>
        <v>0</v>
      </c>
      <c r="AG15" s="970">
        <f ca="1">AG14+AG11</f>
        <v>0</v>
      </c>
      <c r="AH15" s="970">
        <f ca="1">AH14+AH11</f>
        <v>0</v>
      </c>
      <c r="AI15" s="970">
        <f ca="1">AI14+AI11</f>
        <v>0</v>
      </c>
      <c r="AJ15" s="970">
        <f t="shared" ca="1" si="32"/>
        <v>0</v>
      </c>
      <c r="AK15" s="970">
        <f t="shared" ca="1" si="4"/>
        <v>-732.17817493630173</v>
      </c>
      <c r="AM15" s="976">
        <f t="shared" ref="AM15:AS15" ca="1" si="33">AM14+AM11</f>
        <v>0</v>
      </c>
      <c r="AN15" s="976">
        <f t="shared" ca="1" si="33"/>
        <v>0</v>
      </c>
      <c r="AO15" s="976">
        <f t="shared" ca="1" si="33"/>
        <v>0</v>
      </c>
      <c r="AP15" s="976">
        <f t="shared" ca="1" si="33"/>
        <v>0</v>
      </c>
      <c r="AQ15" s="976">
        <f t="shared" ca="1" si="33"/>
        <v>0</v>
      </c>
      <c r="AR15" s="976">
        <f t="shared" ca="1" si="33"/>
        <v>0</v>
      </c>
      <c r="AS15" s="976">
        <f t="shared" ca="1" si="33"/>
        <v>0</v>
      </c>
      <c r="AT15" s="976">
        <f t="shared" ref="AT15:BE15" ca="1" si="34">AT14+AT11</f>
        <v>0</v>
      </c>
      <c r="AU15" s="976">
        <f t="shared" ca="1" si="34"/>
        <v>0</v>
      </c>
      <c r="AV15" s="976">
        <f t="shared" ca="1" si="34"/>
        <v>0</v>
      </c>
      <c r="AW15" s="976">
        <f t="shared" ca="1" si="34"/>
        <v>0</v>
      </c>
      <c r="AX15" s="976">
        <f t="shared" ca="1" si="34"/>
        <v>0</v>
      </c>
      <c r="AY15" s="976">
        <f t="shared" ca="1" si="34"/>
        <v>0</v>
      </c>
      <c r="AZ15" s="976">
        <f t="shared" ca="1" si="34"/>
        <v>0</v>
      </c>
      <c r="BA15" s="976">
        <f t="shared" ca="1" si="34"/>
        <v>0</v>
      </c>
      <c r="BB15" s="976">
        <f t="shared" ca="1" si="34"/>
        <v>0</v>
      </c>
      <c r="BC15" s="976">
        <f t="shared" ca="1" si="34"/>
        <v>0</v>
      </c>
      <c r="BD15" s="976">
        <f t="shared" ca="1" si="34"/>
        <v>0</v>
      </c>
      <c r="BE15" s="976">
        <f t="shared" ca="1" si="34"/>
        <v>0</v>
      </c>
      <c r="BF15" s="976">
        <f t="shared" ca="1" si="6"/>
        <v>0</v>
      </c>
      <c r="BH15" s="990">
        <f ca="1">BH14+BH11</f>
        <v>0</v>
      </c>
      <c r="BI15" s="990">
        <f ca="1">BI14+BI11</f>
        <v>0</v>
      </c>
      <c r="BJ15" s="990">
        <f t="shared" ca="1" si="8"/>
        <v>0</v>
      </c>
      <c r="BL15" s="515">
        <f t="shared" ca="1" si="9"/>
        <v>0</v>
      </c>
      <c r="BM15" s="515"/>
      <c r="BN15" s="840"/>
      <c r="BO15" s="1482">
        <f t="shared" ref="BO15:DF15" ca="1" si="35">BO14+BO11</f>
        <v>119.06784840382548</v>
      </c>
      <c r="BP15" s="1482">
        <f t="shared" ca="1" si="35"/>
        <v>0.23886371992407762</v>
      </c>
      <c r="BQ15" s="1482">
        <f t="shared" ca="1" si="35"/>
        <v>0.27670505129956918</v>
      </c>
      <c r="BR15" s="1482">
        <f t="shared" ca="1" si="35"/>
        <v>0</v>
      </c>
      <c r="BS15" s="1482">
        <f t="shared" ca="1" si="35"/>
        <v>0</v>
      </c>
      <c r="BT15" s="1482">
        <f t="shared" ca="1" si="35"/>
        <v>0</v>
      </c>
      <c r="BU15" s="1482">
        <f t="shared" ca="1" si="35"/>
        <v>0</v>
      </c>
      <c r="BV15" s="1482">
        <f t="shared" ca="1" si="35"/>
        <v>0</v>
      </c>
      <c r="BW15" s="1482">
        <f t="shared" ca="1" si="35"/>
        <v>0</v>
      </c>
      <c r="BX15" s="1482">
        <f t="shared" ca="1" si="35"/>
        <v>0</v>
      </c>
      <c r="BY15" s="1482">
        <f t="shared" ca="1" si="35"/>
        <v>0</v>
      </c>
      <c r="BZ15" s="1482">
        <f t="shared" ca="1" si="35"/>
        <v>0</v>
      </c>
      <c r="CA15" s="1482">
        <f t="shared" ca="1" si="35"/>
        <v>0</v>
      </c>
      <c r="CB15" s="1482">
        <f t="shared" ca="1" si="35"/>
        <v>0</v>
      </c>
      <c r="CC15" s="1482">
        <f t="shared" ca="1" si="35"/>
        <v>0</v>
      </c>
      <c r="CD15" s="1482">
        <f t="shared" ca="1" si="35"/>
        <v>0</v>
      </c>
      <c r="CE15" s="1482">
        <f t="shared" ca="1" si="35"/>
        <v>0</v>
      </c>
      <c r="CF15" s="1482">
        <f t="shared" ca="1" si="35"/>
        <v>0</v>
      </c>
      <c r="CG15" s="1482">
        <f t="shared" ca="1" si="35"/>
        <v>0</v>
      </c>
      <c r="CH15" s="1482">
        <f t="shared" ca="1" si="35"/>
        <v>0</v>
      </c>
      <c r="CI15" s="1482">
        <f t="shared" ca="1" si="35"/>
        <v>0</v>
      </c>
      <c r="CJ15" s="1482">
        <f t="shared" ca="1" si="35"/>
        <v>0</v>
      </c>
      <c r="CK15" s="1482">
        <f t="shared" ca="1" si="35"/>
        <v>0</v>
      </c>
      <c r="CL15" s="1482">
        <f t="shared" ca="1" si="35"/>
        <v>0</v>
      </c>
      <c r="CM15" s="1482">
        <f t="shared" ca="1" si="35"/>
        <v>0</v>
      </c>
      <c r="CN15" s="1482">
        <f t="shared" ca="1" si="35"/>
        <v>0</v>
      </c>
      <c r="CO15" s="1482">
        <f t="shared" ca="1" si="35"/>
        <v>0</v>
      </c>
      <c r="CP15" s="1482">
        <f t="shared" ca="1" si="35"/>
        <v>0</v>
      </c>
      <c r="CQ15" s="1482">
        <f t="shared" ca="1" si="35"/>
        <v>0</v>
      </c>
      <c r="CR15" s="1482">
        <f t="shared" ca="1" si="35"/>
        <v>0</v>
      </c>
      <c r="CS15" s="1482">
        <f t="shared" ca="1" si="35"/>
        <v>0</v>
      </c>
      <c r="CT15" s="1482">
        <f t="shared" ca="1" si="35"/>
        <v>0</v>
      </c>
      <c r="CU15" s="1482">
        <f t="shared" ca="1" si="35"/>
        <v>0</v>
      </c>
      <c r="CV15" s="1482">
        <f t="shared" ca="1" si="35"/>
        <v>0</v>
      </c>
      <c r="CW15" s="1482">
        <f t="shared" ca="1" si="35"/>
        <v>0</v>
      </c>
      <c r="CX15" s="1482">
        <f t="shared" ca="1" si="35"/>
        <v>0</v>
      </c>
      <c r="CY15" s="1482">
        <f t="shared" ca="1" si="35"/>
        <v>0</v>
      </c>
      <c r="CZ15" s="1482">
        <f t="shared" ca="1" si="35"/>
        <v>0</v>
      </c>
      <c r="DA15" s="1482">
        <f t="shared" ca="1" si="35"/>
        <v>0</v>
      </c>
      <c r="DB15" s="1482">
        <f t="shared" ca="1" si="35"/>
        <v>0</v>
      </c>
      <c r="DC15" s="1482">
        <f t="shared" ca="1" si="35"/>
        <v>0</v>
      </c>
      <c r="DD15" s="1482">
        <f t="shared" ca="1" si="35"/>
        <v>0</v>
      </c>
      <c r="DE15" s="1482">
        <f t="shared" ca="1" si="35"/>
        <v>0</v>
      </c>
      <c r="DF15" s="1482">
        <f t="shared" ca="1" si="35"/>
        <v>0</v>
      </c>
      <c r="DH15" s="838">
        <f t="shared" ref="DH15:DH38" ca="1" si="36">SUM(BO15:DF15)</f>
        <v>119.58341717504914</v>
      </c>
    </row>
    <row r="16" spans="1:112" s="743" customFormat="1" hidden="1" outlineLevel="1">
      <c r="A16" s="1484"/>
      <c r="B16" s="1484"/>
      <c r="C16" s="746"/>
      <c r="D16" s="521"/>
      <c r="E16" s="521"/>
      <c r="G16" s="1019"/>
      <c r="H16" s="1019"/>
      <c r="I16" s="1019"/>
      <c r="J16" s="1019"/>
      <c r="K16" s="1019"/>
      <c r="L16" s="1019"/>
      <c r="M16" s="1019"/>
      <c r="N16" s="1019"/>
      <c r="O16" s="1019"/>
      <c r="P16" s="1019"/>
      <c r="Q16" s="1019"/>
      <c r="S16" s="1027"/>
      <c r="T16" s="1027"/>
      <c r="U16" s="1027"/>
      <c r="V16" s="1027"/>
      <c r="W16" s="1027"/>
      <c r="X16" s="1027"/>
      <c r="Y16" s="1027"/>
      <c r="Z16" s="1027"/>
      <c r="AA16" s="1027"/>
      <c r="AB16" s="1027"/>
      <c r="AC16" s="1027"/>
      <c r="AD16" s="1027"/>
      <c r="AE16" s="1027"/>
      <c r="AF16" s="1027"/>
      <c r="AG16" s="1027"/>
      <c r="AH16" s="1027"/>
      <c r="AI16" s="1027"/>
      <c r="AJ16" s="1027"/>
      <c r="AK16" s="1027"/>
      <c r="AM16" s="1040"/>
      <c r="AN16" s="1040"/>
      <c r="AO16" s="1040"/>
      <c r="AP16" s="1040"/>
      <c r="AQ16" s="1040"/>
      <c r="AR16" s="1040"/>
      <c r="AS16" s="1040"/>
      <c r="AT16" s="1040"/>
      <c r="AU16" s="1040"/>
      <c r="AV16" s="1040"/>
      <c r="AW16" s="1040"/>
      <c r="AX16" s="1040"/>
      <c r="AY16" s="1040"/>
      <c r="AZ16" s="1040"/>
      <c r="BA16" s="1040"/>
      <c r="BB16" s="1040"/>
      <c r="BC16" s="1040"/>
      <c r="BD16" s="1040"/>
      <c r="BE16" s="1040"/>
      <c r="BF16" s="979"/>
      <c r="BH16" s="1034"/>
      <c r="BI16" s="1034"/>
      <c r="BJ16" s="1034"/>
      <c r="BL16" s="814">
        <f t="shared" si="9"/>
        <v>0</v>
      </c>
      <c r="BM16" s="814"/>
      <c r="BN16" s="1484"/>
      <c r="BO16" s="1481"/>
      <c r="BP16" s="1482"/>
      <c r="BQ16" s="1482"/>
      <c r="BR16" s="1482"/>
      <c r="BS16" s="1482"/>
      <c r="BT16" s="1482"/>
      <c r="BU16" s="1482"/>
      <c r="BV16" s="1482"/>
      <c r="BW16" s="1482"/>
      <c r="BX16" s="1482"/>
      <c r="BY16" s="1482"/>
      <c r="BZ16" s="1482"/>
      <c r="CA16" s="1482"/>
      <c r="CB16" s="1482"/>
      <c r="CC16" s="1482"/>
      <c r="CD16" s="1482"/>
      <c r="CE16" s="1482"/>
      <c r="CF16" s="1482"/>
      <c r="CG16" s="1482"/>
      <c r="CH16" s="1482"/>
      <c r="CI16" s="1482"/>
      <c r="CJ16" s="1482"/>
      <c r="CK16" s="1482"/>
      <c r="CL16" s="1482"/>
      <c r="CM16" s="1482"/>
      <c r="CN16" s="1482"/>
      <c r="CO16" s="1482"/>
      <c r="CP16" s="1482"/>
      <c r="CQ16" s="1482"/>
      <c r="CR16" s="1482"/>
      <c r="CS16" s="1482"/>
      <c r="CT16" s="1482"/>
      <c r="CU16" s="1482"/>
      <c r="CV16" s="1482"/>
      <c r="CW16" s="1482"/>
      <c r="CX16" s="1482"/>
      <c r="CY16" s="1482"/>
      <c r="CZ16" s="1482"/>
      <c r="DA16" s="1482"/>
      <c r="DB16" s="1482"/>
      <c r="DC16" s="1482"/>
      <c r="DD16" s="1482"/>
      <c r="DE16" s="1482"/>
      <c r="DF16" s="1482"/>
      <c r="DH16" s="838">
        <f t="shared" si="36"/>
        <v>0</v>
      </c>
    </row>
    <row r="17" spans="1:112" s="743" customFormat="1" ht="12.75" hidden="1" customHeight="1" outlineLevel="1">
      <c r="A17" s="1484"/>
      <c r="B17" s="1484"/>
      <c r="C17" s="746" t="s">
        <v>950</v>
      </c>
      <c r="D17" s="1480" t="str">
        <f>INDEX(Modules[Module], MATCH($C17, Modules[Code], 0))</f>
        <v>Domestic lighting, appliances, and cooking</v>
      </c>
      <c r="E17" s="1006"/>
      <c r="G17" s="1017">
        <f t="shared" ref="G17:P18" ca="1" si="37">IFERROR(INDEX(INDIRECT($C17&amp;".Outputs["&amp;this.Year&amp;"]"), MATCH(G$5, INDIRECT($C17&amp;".Outputs[Vector]"), 0)), 0)</f>
        <v>0</v>
      </c>
      <c r="H17" s="1017">
        <f t="shared" ca="1" si="37"/>
        <v>109.09596238766956</v>
      </c>
      <c r="I17" s="1017">
        <f t="shared" ca="1" si="37"/>
        <v>0</v>
      </c>
      <c r="J17" s="1017">
        <f t="shared" ca="1" si="37"/>
        <v>0</v>
      </c>
      <c r="K17" s="1017">
        <f t="shared" ca="1" si="37"/>
        <v>0</v>
      </c>
      <c r="L17" s="1017">
        <f t="shared" ca="1" si="37"/>
        <v>0</v>
      </c>
      <c r="M17" s="1017">
        <f t="shared" ca="1" si="37"/>
        <v>0</v>
      </c>
      <c r="N17" s="1017">
        <f t="shared" ca="1" si="37"/>
        <v>0</v>
      </c>
      <c r="O17" s="1017">
        <f t="shared" ca="1" si="37"/>
        <v>0</v>
      </c>
      <c r="P17" s="1017">
        <f t="shared" ca="1" si="37"/>
        <v>0</v>
      </c>
      <c r="Q17" s="1019">
        <f ca="1">SUM(G17:P17)</f>
        <v>109.09596238766956</v>
      </c>
      <c r="S17" s="1026">
        <f t="shared" ref="S17:BE18" ca="1" si="38">IFERROR(INDEX(INDIRECT($C17&amp;".Outputs["&amp;this.Year&amp;"]"), MATCH(S$5, INDIRECT($C17&amp;".Outputs[Vector]"), 0)), 0)</f>
        <v>-101.062380337744</v>
      </c>
      <c r="T17" s="1026">
        <f t="shared" ca="1" si="38"/>
        <v>0</v>
      </c>
      <c r="U17" s="1026">
        <f t="shared" ca="1" si="38"/>
        <v>0</v>
      </c>
      <c r="V17" s="1026">
        <f t="shared" ca="1" si="38"/>
        <v>0</v>
      </c>
      <c r="W17" s="1026">
        <f t="shared" ca="1" si="38"/>
        <v>-8.0335820499255561</v>
      </c>
      <c r="X17" s="1026">
        <f t="shared" ref="X17:Z18" ca="1" si="39">IFERROR(INDEX(INDIRECT($C17&amp;".Outputs["&amp;this.Year&amp;"]"), MATCH(X$5, INDIRECT($C17&amp;".Outputs[Vector]"), 0)), 0)</f>
        <v>0</v>
      </c>
      <c r="Y17" s="1026">
        <f t="shared" ca="1" si="39"/>
        <v>0</v>
      </c>
      <c r="Z17" s="1026">
        <f t="shared" ca="1" si="39"/>
        <v>0</v>
      </c>
      <c r="AA17" s="1026">
        <f t="shared" ca="1" si="38"/>
        <v>0</v>
      </c>
      <c r="AB17" s="1026">
        <f t="shared" ca="1" si="38"/>
        <v>0</v>
      </c>
      <c r="AC17" s="1026">
        <f t="shared" ca="1" si="38"/>
        <v>0</v>
      </c>
      <c r="AD17" s="1026">
        <f t="shared" ca="1" si="38"/>
        <v>0</v>
      </c>
      <c r="AE17" s="1026">
        <f t="shared" ca="1" si="38"/>
        <v>0</v>
      </c>
      <c r="AF17" s="1026">
        <f t="shared" ca="1" si="38"/>
        <v>0</v>
      </c>
      <c r="AG17" s="1026">
        <f t="shared" ca="1" si="38"/>
        <v>0</v>
      </c>
      <c r="AH17" s="1026">
        <f t="shared" ca="1" si="38"/>
        <v>0</v>
      </c>
      <c r="AI17" s="1026">
        <f t="shared" ca="1" si="38"/>
        <v>0</v>
      </c>
      <c r="AJ17" s="1026">
        <f t="shared" ca="1" si="38"/>
        <v>0</v>
      </c>
      <c r="AK17" s="1027">
        <f ca="1">SUM(S17:AJ17)</f>
        <v>-109.09596238766956</v>
      </c>
      <c r="AM17" s="1038">
        <f t="shared" ref="AM17:AU18" ca="1" si="40">IFERROR(INDEX(INDIRECT($C17&amp;".Outputs["&amp;this.Year&amp;"]"), MATCH(AM$5, INDIRECT($C17&amp;".Outputs[Vector]"), 0)), 0)</f>
        <v>0</v>
      </c>
      <c r="AN17" s="1038">
        <f t="shared" ca="1" si="40"/>
        <v>0</v>
      </c>
      <c r="AO17" s="1038">
        <f t="shared" ca="1" si="40"/>
        <v>0</v>
      </c>
      <c r="AP17" s="1038">
        <f t="shared" ca="1" si="40"/>
        <v>0</v>
      </c>
      <c r="AQ17" s="1038">
        <f t="shared" ca="1" si="40"/>
        <v>0</v>
      </c>
      <c r="AR17" s="1038">
        <f t="shared" ca="1" si="40"/>
        <v>0</v>
      </c>
      <c r="AS17" s="1038">
        <f t="shared" ca="1" si="40"/>
        <v>0</v>
      </c>
      <c r="AT17" s="1038">
        <f t="shared" ca="1" si="40"/>
        <v>0</v>
      </c>
      <c r="AU17" s="1038">
        <f t="shared" ca="1" si="40"/>
        <v>0</v>
      </c>
      <c r="AV17" s="1038">
        <f t="shared" ca="1" si="38"/>
        <v>0</v>
      </c>
      <c r="AW17" s="1038">
        <f t="shared" ca="1" si="38"/>
        <v>0</v>
      </c>
      <c r="AX17" s="1038">
        <f t="shared" ca="1" si="38"/>
        <v>0</v>
      </c>
      <c r="AY17" s="1038">
        <f t="shared" ca="1" si="38"/>
        <v>0</v>
      </c>
      <c r="AZ17" s="1038">
        <f t="shared" ca="1" si="38"/>
        <v>0</v>
      </c>
      <c r="BA17" s="1038">
        <f t="shared" ca="1" si="38"/>
        <v>0</v>
      </c>
      <c r="BB17" s="1038">
        <f t="shared" ca="1" si="38"/>
        <v>0</v>
      </c>
      <c r="BC17" s="1038">
        <f t="shared" ca="1" si="38"/>
        <v>0</v>
      </c>
      <c r="BD17" s="1038">
        <f t="shared" ca="1" si="38"/>
        <v>0</v>
      </c>
      <c r="BE17" s="1038">
        <f t="shared" ca="1" si="38"/>
        <v>0</v>
      </c>
      <c r="BF17" s="979">
        <f ca="1">SUM(AM17:BE17)</f>
        <v>0</v>
      </c>
      <c r="BH17" s="1032">
        <f ca="1">IFERROR(INDEX(INDIRECT($C17&amp;".Outputs["&amp;this.Year&amp;"]"), MATCH(BH$5, INDIRECT($C17&amp;".Outputs[Vector]"), 0)), 0)</f>
        <v>0</v>
      </c>
      <c r="BI17" s="1032">
        <f ca="1">IFERROR(INDEX(INDIRECT($C17&amp;".Outputs["&amp;this.Year&amp;"]"), MATCH(BI$5, INDIRECT($C17&amp;".Outputs[Vector]"), 0)), 0)</f>
        <v>0</v>
      </c>
      <c r="BJ17" s="1034">
        <f ca="1">SUM(BH17:BI17)</f>
        <v>0</v>
      </c>
      <c r="BL17" s="814">
        <f t="shared" ca="1" si="9"/>
        <v>0</v>
      </c>
      <c r="BM17" s="814"/>
      <c r="BN17" s="840"/>
      <c r="BO17" s="1481">
        <f t="shared" ref="BO17:BX18" ca="1" si="41">IFERROR(SUMIFS(INDIRECT($C17&amp;".Emissions["&amp;this.Year&amp;"]"), INDIRECT($C17&amp;".Emissions[GHG]"), BO$6, INDIRECT($C17&amp;".Emissions[IPCC Sector]"), BO$5),0)</f>
        <v>1.478179097186302</v>
      </c>
      <c r="BP17" s="1482">
        <f t="shared" ca="1" si="41"/>
        <v>2.9629888746541618E-3</v>
      </c>
      <c r="BQ17" s="1482">
        <f t="shared" ca="1" si="41"/>
        <v>3.1868385849346528E-3</v>
      </c>
      <c r="BR17" s="1482">
        <f t="shared" ca="1" si="41"/>
        <v>0</v>
      </c>
      <c r="BS17" s="1482">
        <f t="shared" ca="1" si="41"/>
        <v>0</v>
      </c>
      <c r="BT17" s="1482">
        <f t="shared" ca="1" si="41"/>
        <v>0</v>
      </c>
      <c r="BU17" s="1482">
        <f t="shared" ca="1" si="41"/>
        <v>0</v>
      </c>
      <c r="BV17" s="1482">
        <f t="shared" ca="1" si="41"/>
        <v>0</v>
      </c>
      <c r="BW17" s="1482">
        <f t="shared" ca="1" si="41"/>
        <v>0</v>
      </c>
      <c r="BX17" s="1482">
        <f t="shared" ca="1" si="41"/>
        <v>0</v>
      </c>
      <c r="BY17" s="1482">
        <f t="shared" ref="BY17:CH18" ca="1" si="42">IFERROR(SUMIFS(INDIRECT($C17&amp;".Emissions["&amp;this.Year&amp;"]"), INDIRECT($C17&amp;".Emissions[GHG]"), BY$6, INDIRECT($C17&amp;".Emissions[IPCC Sector]"), BY$5),0)</f>
        <v>0</v>
      </c>
      <c r="BZ17" s="1482">
        <f t="shared" ca="1" si="42"/>
        <v>0</v>
      </c>
      <c r="CA17" s="1482">
        <f t="shared" ca="1" si="42"/>
        <v>0</v>
      </c>
      <c r="CB17" s="1482">
        <f t="shared" ca="1" si="42"/>
        <v>0</v>
      </c>
      <c r="CC17" s="1482">
        <f t="shared" ca="1" si="42"/>
        <v>0</v>
      </c>
      <c r="CD17" s="1482">
        <f t="shared" ca="1" si="42"/>
        <v>0</v>
      </c>
      <c r="CE17" s="1482">
        <f t="shared" ca="1" si="42"/>
        <v>0</v>
      </c>
      <c r="CF17" s="1482">
        <f t="shared" ca="1" si="42"/>
        <v>0</v>
      </c>
      <c r="CG17" s="1482">
        <f t="shared" ca="1" si="42"/>
        <v>0</v>
      </c>
      <c r="CH17" s="1482">
        <f t="shared" ca="1" si="42"/>
        <v>0</v>
      </c>
      <c r="CI17" s="1482">
        <f t="shared" ref="CI17:CR18" ca="1" si="43">IFERROR(SUMIFS(INDIRECT($C17&amp;".Emissions["&amp;this.Year&amp;"]"), INDIRECT($C17&amp;".Emissions[GHG]"), CI$6, INDIRECT($C17&amp;".Emissions[IPCC Sector]"), CI$5),0)</f>
        <v>0</v>
      </c>
      <c r="CJ17" s="1482">
        <f t="shared" ca="1" si="43"/>
        <v>0</v>
      </c>
      <c r="CK17" s="1482">
        <f t="shared" ca="1" si="43"/>
        <v>0</v>
      </c>
      <c r="CL17" s="1482">
        <f t="shared" ca="1" si="43"/>
        <v>0</v>
      </c>
      <c r="CM17" s="1482">
        <f t="shared" ca="1" si="43"/>
        <v>0</v>
      </c>
      <c r="CN17" s="1482">
        <f t="shared" ca="1" si="43"/>
        <v>0</v>
      </c>
      <c r="CO17" s="1482">
        <f t="shared" ca="1" si="43"/>
        <v>0</v>
      </c>
      <c r="CP17" s="1482">
        <f t="shared" ca="1" si="43"/>
        <v>0</v>
      </c>
      <c r="CQ17" s="1482">
        <f t="shared" ca="1" si="43"/>
        <v>0</v>
      </c>
      <c r="CR17" s="1482">
        <f t="shared" ca="1" si="43"/>
        <v>0</v>
      </c>
      <c r="CS17" s="1482">
        <f t="shared" ref="CS17:DF18" ca="1" si="44">IFERROR(SUMIFS(INDIRECT($C17&amp;".Emissions["&amp;this.Year&amp;"]"), INDIRECT($C17&amp;".Emissions[GHG]"), CS$6, INDIRECT($C17&amp;".Emissions[IPCC Sector]"), CS$5),0)</f>
        <v>0</v>
      </c>
      <c r="CT17" s="1482">
        <f t="shared" ca="1" si="44"/>
        <v>0</v>
      </c>
      <c r="CU17" s="1482">
        <f t="shared" ca="1" si="44"/>
        <v>0</v>
      </c>
      <c r="CV17" s="1482">
        <f t="shared" ca="1" si="44"/>
        <v>0</v>
      </c>
      <c r="CW17" s="1482">
        <f t="shared" ca="1" si="44"/>
        <v>0</v>
      </c>
      <c r="CX17" s="1482">
        <f t="shared" ca="1" si="44"/>
        <v>0</v>
      </c>
      <c r="CY17" s="1482">
        <f t="shared" ca="1" si="44"/>
        <v>0</v>
      </c>
      <c r="CZ17" s="1482">
        <f t="shared" ca="1" si="44"/>
        <v>0</v>
      </c>
      <c r="DA17" s="1482">
        <f t="shared" ca="1" si="44"/>
        <v>0</v>
      </c>
      <c r="DB17" s="1482">
        <f t="shared" ca="1" si="44"/>
        <v>0</v>
      </c>
      <c r="DC17" s="1482">
        <f t="shared" ca="1" si="44"/>
        <v>0</v>
      </c>
      <c r="DD17" s="1482">
        <f t="shared" ca="1" si="44"/>
        <v>0</v>
      </c>
      <c r="DE17" s="1482">
        <f t="shared" ca="1" si="44"/>
        <v>0</v>
      </c>
      <c r="DF17" s="1482">
        <f t="shared" ca="1" si="44"/>
        <v>0</v>
      </c>
      <c r="DH17" s="838">
        <f t="shared" ca="1" si="36"/>
        <v>1.4843289246458908</v>
      </c>
    </row>
    <row r="18" spans="1:112" s="743" customFormat="1" ht="12.75" hidden="1" customHeight="1" outlineLevel="1">
      <c r="A18" s="1484"/>
      <c r="B18" s="1484"/>
      <c r="C18" s="746" t="s">
        <v>951</v>
      </c>
      <c r="D18" s="1010" t="str">
        <f>INDEX(Modules[Module], MATCH($C18, Modules[Code], 0))</f>
        <v>Commercial lighting, appliances, and catering</v>
      </c>
      <c r="E18" s="1010"/>
      <c r="G18" s="1022">
        <f t="shared" ca="1" si="37"/>
        <v>0</v>
      </c>
      <c r="H18" s="1022">
        <f t="shared" ca="1" si="37"/>
        <v>98.645339713370134</v>
      </c>
      <c r="I18" s="1022">
        <f t="shared" ca="1" si="37"/>
        <v>0</v>
      </c>
      <c r="J18" s="1022">
        <f t="shared" ca="1" si="37"/>
        <v>0</v>
      </c>
      <c r="K18" s="1022">
        <f t="shared" ca="1" si="37"/>
        <v>0</v>
      </c>
      <c r="L18" s="1022">
        <f t="shared" ca="1" si="37"/>
        <v>0</v>
      </c>
      <c r="M18" s="1022">
        <f t="shared" ca="1" si="37"/>
        <v>0</v>
      </c>
      <c r="N18" s="1022">
        <f t="shared" ca="1" si="37"/>
        <v>0</v>
      </c>
      <c r="O18" s="1022">
        <f t="shared" ca="1" si="37"/>
        <v>0</v>
      </c>
      <c r="P18" s="1022">
        <f t="shared" ca="1" si="37"/>
        <v>0</v>
      </c>
      <c r="Q18" s="1020">
        <f ca="1">SUM(G18:P18)</f>
        <v>98.645339713370134</v>
      </c>
      <c r="S18" s="1031">
        <f t="shared" ca="1" si="38"/>
        <v>-89.600666585218306</v>
      </c>
      <c r="T18" s="1031">
        <f t="shared" ca="1" si="38"/>
        <v>0</v>
      </c>
      <c r="U18" s="1031">
        <f t="shared" ca="1" si="38"/>
        <v>0</v>
      </c>
      <c r="V18" s="1031">
        <f t="shared" ca="1" si="38"/>
        <v>0</v>
      </c>
      <c r="W18" s="1031">
        <f t="shared" ca="1" si="38"/>
        <v>-9.0446731281518336</v>
      </c>
      <c r="X18" s="1031">
        <f t="shared" ca="1" si="39"/>
        <v>0</v>
      </c>
      <c r="Y18" s="1031">
        <f t="shared" ca="1" si="39"/>
        <v>0</v>
      </c>
      <c r="Z18" s="1031">
        <f t="shared" ca="1" si="39"/>
        <v>0</v>
      </c>
      <c r="AA18" s="1031">
        <f t="shared" ca="1" si="38"/>
        <v>0</v>
      </c>
      <c r="AB18" s="1031">
        <f t="shared" ca="1" si="38"/>
        <v>0</v>
      </c>
      <c r="AC18" s="1031">
        <f t="shared" ca="1" si="38"/>
        <v>0</v>
      </c>
      <c r="AD18" s="1031">
        <f t="shared" ca="1" si="38"/>
        <v>0</v>
      </c>
      <c r="AE18" s="1031">
        <f t="shared" ca="1" si="38"/>
        <v>0</v>
      </c>
      <c r="AF18" s="1031">
        <f t="shared" ca="1" si="38"/>
        <v>0</v>
      </c>
      <c r="AG18" s="1031">
        <f t="shared" ca="1" si="38"/>
        <v>0</v>
      </c>
      <c r="AH18" s="1031">
        <f t="shared" ca="1" si="38"/>
        <v>0</v>
      </c>
      <c r="AI18" s="1031">
        <f t="shared" ca="1" si="38"/>
        <v>0</v>
      </c>
      <c r="AJ18" s="1031">
        <f t="shared" ca="1" si="38"/>
        <v>0</v>
      </c>
      <c r="AK18" s="1030">
        <f ca="1">SUM(S18:AJ18)</f>
        <v>-98.645339713370134</v>
      </c>
      <c r="AM18" s="1042">
        <f t="shared" ca="1" si="40"/>
        <v>0</v>
      </c>
      <c r="AN18" s="1042">
        <f t="shared" ca="1" si="40"/>
        <v>0</v>
      </c>
      <c r="AO18" s="1042">
        <f t="shared" ca="1" si="40"/>
        <v>0</v>
      </c>
      <c r="AP18" s="1042">
        <f t="shared" ca="1" si="40"/>
        <v>0</v>
      </c>
      <c r="AQ18" s="1042">
        <f t="shared" ca="1" si="40"/>
        <v>0</v>
      </c>
      <c r="AR18" s="1042">
        <f t="shared" ca="1" si="40"/>
        <v>0</v>
      </c>
      <c r="AS18" s="1042">
        <f t="shared" ca="1" si="40"/>
        <v>0</v>
      </c>
      <c r="AT18" s="1042">
        <f t="shared" ca="1" si="40"/>
        <v>0</v>
      </c>
      <c r="AU18" s="1042">
        <f t="shared" ca="1" si="40"/>
        <v>0</v>
      </c>
      <c r="AV18" s="1042">
        <f t="shared" ca="1" si="38"/>
        <v>0</v>
      </c>
      <c r="AW18" s="1042">
        <f t="shared" ca="1" si="38"/>
        <v>0</v>
      </c>
      <c r="AX18" s="1042">
        <f t="shared" ca="1" si="38"/>
        <v>0</v>
      </c>
      <c r="AY18" s="1042">
        <f t="shared" ca="1" si="38"/>
        <v>0</v>
      </c>
      <c r="AZ18" s="1042">
        <f t="shared" ca="1" si="38"/>
        <v>0</v>
      </c>
      <c r="BA18" s="1042">
        <f t="shared" ca="1" si="38"/>
        <v>0</v>
      </c>
      <c r="BB18" s="1042">
        <f t="shared" ca="1" si="38"/>
        <v>0</v>
      </c>
      <c r="BC18" s="1042">
        <f t="shared" ca="1" si="38"/>
        <v>0</v>
      </c>
      <c r="BD18" s="1042">
        <f t="shared" ca="1" si="38"/>
        <v>0</v>
      </c>
      <c r="BE18" s="1042">
        <f t="shared" ca="1" si="38"/>
        <v>0</v>
      </c>
      <c r="BF18" s="1012">
        <f ca="1">SUM(AM18:BE18)</f>
        <v>0</v>
      </c>
      <c r="BH18" s="1036">
        <f ca="1">IFERROR(INDEX(INDIRECT($C18&amp;".Outputs["&amp;this.Year&amp;"]"), MATCH(BH$5, INDIRECT($C18&amp;".Outputs[Vector]"), 0)), 0)</f>
        <v>0</v>
      </c>
      <c r="BI18" s="1036">
        <f ca="1">IFERROR(INDEX(INDIRECT($C18&amp;".Outputs["&amp;this.Year&amp;"]"), MATCH(BI$5, INDIRECT($C18&amp;".Outputs[Vector]"), 0)), 0)</f>
        <v>0</v>
      </c>
      <c r="BJ18" s="1035">
        <f ca="1">SUM(BH18:BI18)</f>
        <v>0</v>
      </c>
      <c r="BL18" s="814">
        <f t="shared" ca="1" si="9"/>
        <v>0</v>
      </c>
      <c r="BM18" s="814"/>
      <c r="BN18" s="840"/>
      <c r="BO18" s="1485">
        <f t="shared" ca="1" si="41"/>
        <v>1.664219855579937</v>
      </c>
      <c r="BP18" s="1486">
        <f t="shared" ca="1" si="41"/>
        <v>3.3359049160200807E-3</v>
      </c>
      <c r="BQ18" s="1486">
        <f t="shared" ca="1" si="41"/>
        <v>3.58792791730844E-3</v>
      </c>
      <c r="BR18" s="1486">
        <f t="shared" ca="1" si="41"/>
        <v>0</v>
      </c>
      <c r="BS18" s="1486">
        <f t="shared" ca="1" si="41"/>
        <v>0</v>
      </c>
      <c r="BT18" s="1486">
        <f t="shared" ca="1" si="41"/>
        <v>0</v>
      </c>
      <c r="BU18" s="1486">
        <f t="shared" ca="1" si="41"/>
        <v>0</v>
      </c>
      <c r="BV18" s="1486">
        <f t="shared" ca="1" si="41"/>
        <v>0</v>
      </c>
      <c r="BW18" s="1486">
        <f t="shared" ca="1" si="41"/>
        <v>0</v>
      </c>
      <c r="BX18" s="1486">
        <f t="shared" ca="1" si="41"/>
        <v>0</v>
      </c>
      <c r="BY18" s="1486">
        <f t="shared" ca="1" si="42"/>
        <v>0</v>
      </c>
      <c r="BZ18" s="1486">
        <f t="shared" ca="1" si="42"/>
        <v>0</v>
      </c>
      <c r="CA18" s="1486">
        <f t="shared" ca="1" si="42"/>
        <v>0</v>
      </c>
      <c r="CB18" s="1486">
        <f t="shared" ca="1" si="42"/>
        <v>0</v>
      </c>
      <c r="CC18" s="1486">
        <f t="shared" ca="1" si="42"/>
        <v>0</v>
      </c>
      <c r="CD18" s="1486">
        <f t="shared" ca="1" si="42"/>
        <v>0</v>
      </c>
      <c r="CE18" s="1486">
        <f t="shared" ca="1" si="42"/>
        <v>0</v>
      </c>
      <c r="CF18" s="1486">
        <f t="shared" ca="1" si="42"/>
        <v>0</v>
      </c>
      <c r="CG18" s="1486">
        <f t="shared" ca="1" si="42"/>
        <v>0</v>
      </c>
      <c r="CH18" s="1486">
        <f t="shared" ca="1" si="42"/>
        <v>0</v>
      </c>
      <c r="CI18" s="1486">
        <f t="shared" ca="1" si="43"/>
        <v>0</v>
      </c>
      <c r="CJ18" s="1486">
        <f t="shared" ca="1" si="43"/>
        <v>0</v>
      </c>
      <c r="CK18" s="1486">
        <f t="shared" ca="1" si="43"/>
        <v>0</v>
      </c>
      <c r="CL18" s="1486">
        <f t="shared" ca="1" si="43"/>
        <v>0</v>
      </c>
      <c r="CM18" s="1486">
        <f t="shared" ca="1" si="43"/>
        <v>0</v>
      </c>
      <c r="CN18" s="1486">
        <f t="shared" ca="1" si="43"/>
        <v>0</v>
      </c>
      <c r="CO18" s="1486">
        <f t="shared" ca="1" si="43"/>
        <v>0</v>
      </c>
      <c r="CP18" s="1486">
        <f t="shared" ca="1" si="43"/>
        <v>0</v>
      </c>
      <c r="CQ18" s="1486">
        <f t="shared" ca="1" si="43"/>
        <v>0</v>
      </c>
      <c r="CR18" s="1486">
        <f t="shared" ca="1" si="43"/>
        <v>0</v>
      </c>
      <c r="CS18" s="1486">
        <f t="shared" ca="1" si="44"/>
        <v>0</v>
      </c>
      <c r="CT18" s="1486">
        <f t="shared" ca="1" si="44"/>
        <v>0</v>
      </c>
      <c r="CU18" s="1486">
        <f t="shared" ca="1" si="44"/>
        <v>0</v>
      </c>
      <c r="CV18" s="1486">
        <f t="shared" ca="1" si="44"/>
        <v>0</v>
      </c>
      <c r="CW18" s="1486">
        <f t="shared" ca="1" si="44"/>
        <v>0</v>
      </c>
      <c r="CX18" s="1486">
        <f t="shared" ca="1" si="44"/>
        <v>0</v>
      </c>
      <c r="CY18" s="1486">
        <f t="shared" ca="1" si="44"/>
        <v>0</v>
      </c>
      <c r="CZ18" s="1486">
        <f t="shared" ca="1" si="44"/>
        <v>0</v>
      </c>
      <c r="DA18" s="1486">
        <f t="shared" ca="1" si="44"/>
        <v>0</v>
      </c>
      <c r="DB18" s="1486">
        <f t="shared" ca="1" si="44"/>
        <v>0</v>
      </c>
      <c r="DC18" s="1486">
        <f t="shared" ca="1" si="44"/>
        <v>0</v>
      </c>
      <c r="DD18" s="1486">
        <f t="shared" ca="1" si="44"/>
        <v>0</v>
      </c>
      <c r="DE18" s="1486">
        <f t="shared" ca="1" si="44"/>
        <v>0</v>
      </c>
      <c r="DF18" s="1486">
        <f t="shared" ca="1" si="44"/>
        <v>0</v>
      </c>
      <c r="DH18" s="838">
        <f t="shared" ca="1" si="36"/>
        <v>1.6711436884132653</v>
      </c>
    </row>
    <row r="19" spans="1:112" s="743" customFormat="1" ht="15.75" collapsed="1">
      <c r="A19" s="22"/>
      <c r="B19" s="753"/>
      <c r="C19" s="744" t="s">
        <v>677</v>
      </c>
      <c r="D19" s="517" t="str">
        <f>INDEX(Workstreams[Workstream], MATCH($C19, Workstreams[Code], 0))</f>
        <v>Lighting and appliances</v>
      </c>
      <c r="E19" s="512"/>
      <c r="G19" s="1021">
        <f ca="1">G17+G18</f>
        <v>0</v>
      </c>
      <c r="H19" s="1021">
        <f t="shared" ref="H19:P19" ca="1" si="45">H17+H18</f>
        <v>207.74130210103971</v>
      </c>
      <c r="I19" s="1021">
        <f t="shared" ca="1" si="45"/>
        <v>0</v>
      </c>
      <c r="J19" s="1021">
        <f t="shared" ca="1" si="45"/>
        <v>0</v>
      </c>
      <c r="K19" s="1021">
        <f t="shared" ca="1" si="45"/>
        <v>0</v>
      </c>
      <c r="L19" s="1021">
        <f t="shared" ca="1" si="45"/>
        <v>0</v>
      </c>
      <c r="M19" s="1021">
        <f t="shared" ca="1" si="45"/>
        <v>0</v>
      </c>
      <c r="N19" s="1021">
        <f t="shared" ca="1" si="45"/>
        <v>0</v>
      </c>
      <c r="O19" s="1021">
        <f t="shared" ca="1" si="45"/>
        <v>0</v>
      </c>
      <c r="P19" s="1021">
        <f t="shared" ca="1" si="45"/>
        <v>0</v>
      </c>
      <c r="Q19" s="1021">
        <f ca="1">SUM(G19:P19)</f>
        <v>207.74130210103971</v>
      </c>
      <c r="S19" s="970">
        <f ca="1">S17+S18</f>
        <v>-190.66304692296231</v>
      </c>
      <c r="T19" s="970">
        <f t="shared" ref="T19:AJ19" ca="1" si="46">T17+T18</f>
        <v>0</v>
      </c>
      <c r="U19" s="970">
        <f t="shared" ca="1" si="46"/>
        <v>0</v>
      </c>
      <c r="V19" s="970">
        <f t="shared" ca="1" si="46"/>
        <v>0</v>
      </c>
      <c r="W19" s="970">
        <f t="shared" ca="1" si="46"/>
        <v>-17.078255178077391</v>
      </c>
      <c r="X19" s="970">
        <f ca="1">X17+X18</f>
        <v>0</v>
      </c>
      <c r="Y19" s="970">
        <f ca="1">Y17+Y18</f>
        <v>0</v>
      </c>
      <c r="Z19" s="970">
        <f ca="1">Z17+Z18</f>
        <v>0</v>
      </c>
      <c r="AA19" s="970">
        <f t="shared" ca="1" si="46"/>
        <v>0</v>
      </c>
      <c r="AB19" s="970">
        <f t="shared" ca="1" si="46"/>
        <v>0</v>
      </c>
      <c r="AC19" s="970">
        <f t="shared" ca="1" si="46"/>
        <v>0</v>
      </c>
      <c r="AD19" s="970">
        <f ca="1">AD17+AD18</f>
        <v>0</v>
      </c>
      <c r="AE19" s="970">
        <f ca="1">AE17+AE18</f>
        <v>0</v>
      </c>
      <c r="AF19" s="970">
        <f t="shared" ca="1" si="46"/>
        <v>0</v>
      </c>
      <c r="AG19" s="970">
        <f ca="1">AG17+AG18</f>
        <v>0</v>
      </c>
      <c r="AH19" s="970">
        <f ca="1">AH17+AH18</f>
        <v>0</v>
      </c>
      <c r="AI19" s="970">
        <f ca="1">AI17+AI18</f>
        <v>0</v>
      </c>
      <c r="AJ19" s="970">
        <f t="shared" ca="1" si="46"/>
        <v>0</v>
      </c>
      <c r="AK19" s="970">
        <f ca="1">SUM(S19:AJ19)</f>
        <v>-207.74130210103971</v>
      </c>
      <c r="AM19" s="976">
        <f t="shared" ref="AM19:BE19" ca="1" si="47">AM17+AM18</f>
        <v>0</v>
      </c>
      <c r="AN19" s="976">
        <f t="shared" ca="1" si="47"/>
        <v>0</v>
      </c>
      <c r="AO19" s="976">
        <f t="shared" ca="1" si="47"/>
        <v>0</v>
      </c>
      <c r="AP19" s="976">
        <f t="shared" ca="1" si="47"/>
        <v>0</v>
      </c>
      <c r="AQ19" s="976">
        <f t="shared" ca="1" si="47"/>
        <v>0</v>
      </c>
      <c r="AR19" s="976">
        <f t="shared" ca="1" si="47"/>
        <v>0</v>
      </c>
      <c r="AS19" s="976">
        <f t="shared" ca="1" si="47"/>
        <v>0</v>
      </c>
      <c r="AT19" s="976">
        <f t="shared" ca="1" si="47"/>
        <v>0</v>
      </c>
      <c r="AU19" s="976">
        <f t="shared" ca="1" si="47"/>
        <v>0</v>
      </c>
      <c r="AV19" s="976">
        <f t="shared" ca="1" si="47"/>
        <v>0</v>
      </c>
      <c r="AW19" s="976">
        <f t="shared" ca="1" si="47"/>
        <v>0</v>
      </c>
      <c r="AX19" s="976">
        <f t="shared" ca="1" si="47"/>
        <v>0</v>
      </c>
      <c r="AY19" s="976">
        <f t="shared" ca="1" si="47"/>
        <v>0</v>
      </c>
      <c r="AZ19" s="976">
        <f t="shared" ca="1" si="47"/>
        <v>0</v>
      </c>
      <c r="BA19" s="976">
        <f t="shared" ca="1" si="47"/>
        <v>0</v>
      </c>
      <c r="BB19" s="976">
        <f t="shared" ca="1" si="47"/>
        <v>0</v>
      </c>
      <c r="BC19" s="976">
        <f t="shared" ca="1" si="47"/>
        <v>0</v>
      </c>
      <c r="BD19" s="976">
        <f t="shared" ca="1" si="47"/>
        <v>0</v>
      </c>
      <c r="BE19" s="976">
        <f t="shared" ca="1" si="47"/>
        <v>0</v>
      </c>
      <c r="BF19" s="976">
        <f ca="1">SUM(AM19:BE19)</f>
        <v>0</v>
      </c>
      <c r="BH19" s="990">
        <f ca="1">BH17+BH18</f>
        <v>0</v>
      </c>
      <c r="BI19" s="990">
        <f ca="1">BI17+BI18</f>
        <v>0</v>
      </c>
      <c r="BJ19" s="990">
        <f ca="1">SUM(BH19:BI19)</f>
        <v>0</v>
      </c>
      <c r="BL19" s="515">
        <f t="shared" ca="1" si="9"/>
        <v>0</v>
      </c>
      <c r="BM19" s="515"/>
      <c r="BN19" s="840"/>
      <c r="BO19" s="1482">
        <f t="shared" ref="BO19:DF19" ca="1" si="48">BO17+BO18</f>
        <v>3.1423989527662393</v>
      </c>
      <c r="BP19" s="1482">
        <f t="shared" ca="1" si="48"/>
        <v>6.2988937906742429E-3</v>
      </c>
      <c r="BQ19" s="1482">
        <f t="shared" ca="1" si="48"/>
        <v>6.7747665022430924E-3</v>
      </c>
      <c r="BR19" s="1482">
        <f t="shared" ca="1" si="48"/>
        <v>0</v>
      </c>
      <c r="BS19" s="1482">
        <f t="shared" ca="1" si="48"/>
        <v>0</v>
      </c>
      <c r="BT19" s="1482">
        <f t="shared" ca="1" si="48"/>
        <v>0</v>
      </c>
      <c r="BU19" s="1482">
        <f t="shared" ca="1" si="48"/>
        <v>0</v>
      </c>
      <c r="BV19" s="1482">
        <f t="shared" ca="1" si="48"/>
        <v>0</v>
      </c>
      <c r="BW19" s="1482">
        <f t="shared" ca="1" si="48"/>
        <v>0</v>
      </c>
      <c r="BX19" s="1482">
        <f t="shared" ca="1" si="48"/>
        <v>0</v>
      </c>
      <c r="BY19" s="1482">
        <f t="shared" ca="1" si="48"/>
        <v>0</v>
      </c>
      <c r="BZ19" s="1482">
        <f t="shared" ca="1" si="48"/>
        <v>0</v>
      </c>
      <c r="CA19" s="1482">
        <f t="shared" ca="1" si="48"/>
        <v>0</v>
      </c>
      <c r="CB19" s="1482">
        <f t="shared" ca="1" si="48"/>
        <v>0</v>
      </c>
      <c r="CC19" s="1482">
        <f t="shared" ca="1" si="48"/>
        <v>0</v>
      </c>
      <c r="CD19" s="1482">
        <f t="shared" ca="1" si="48"/>
        <v>0</v>
      </c>
      <c r="CE19" s="1482">
        <f t="shared" ca="1" si="48"/>
        <v>0</v>
      </c>
      <c r="CF19" s="1482">
        <f t="shared" ca="1" si="48"/>
        <v>0</v>
      </c>
      <c r="CG19" s="1482">
        <f t="shared" ca="1" si="48"/>
        <v>0</v>
      </c>
      <c r="CH19" s="1482">
        <f t="shared" ca="1" si="48"/>
        <v>0</v>
      </c>
      <c r="CI19" s="1482">
        <f t="shared" ca="1" si="48"/>
        <v>0</v>
      </c>
      <c r="CJ19" s="1482">
        <f t="shared" ca="1" si="48"/>
        <v>0</v>
      </c>
      <c r="CK19" s="1482">
        <f t="shared" ca="1" si="48"/>
        <v>0</v>
      </c>
      <c r="CL19" s="1482">
        <f t="shared" ca="1" si="48"/>
        <v>0</v>
      </c>
      <c r="CM19" s="1482">
        <f t="shared" ca="1" si="48"/>
        <v>0</v>
      </c>
      <c r="CN19" s="1482">
        <f t="shared" ca="1" si="48"/>
        <v>0</v>
      </c>
      <c r="CO19" s="1482">
        <f t="shared" ca="1" si="48"/>
        <v>0</v>
      </c>
      <c r="CP19" s="1482">
        <f t="shared" ca="1" si="48"/>
        <v>0</v>
      </c>
      <c r="CQ19" s="1482">
        <f t="shared" ca="1" si="48"/>
        <v>0</v>
      </c>
      <c r="CR19" s="1482">
        <f t="shared" ca="1" si="48"/>
        <v>0</v>
      </c>
      <c r="CS19" s="1482">
        <f t="shared" ca="1" si="48"/>
        <v>0</v>
      </c>
      <c r="CT19" s="1482">
        <f t="shared" ca="1" si="48"/>
        <v>0</v>
      </c>
      <c r="CU19" s="1482">
        <f t="shared" ca="1" si="48"/>
        <v>0</v>
      </c>
      <c r="CV19" s="1482">
        <f t="shared" ca="1" si="48"/>
        <v>0</v>
      </c>
      <c r="CW19" s="1482">
        <f t="shared" ca="1" si="48"/>
        <v>0</v>
      </c>
      <c r="CX19" s="1482">
        <f t="shared" ca="1" si="48"/>
        <v>0</v>
      </c>
      <c r="CY19" s="1482">
        <f t="shared" ca="1" si="48"/>
        <v>0</v>
      </c>
      <c r="CZ19" s="1482">
        <f t="shared" ca="1" si="48"/>
        <v>0</v>
      </c>
      <c r="DA19" s="1482">
        <f t="shared" ca="1" si="48"/>
        <v>0</v>
      </c>
      <c r="DB19" s="1482">
        <f t="shared" ca="1" si="48"/>
        <v>0</v>
      </c>
      <c r="DC19" s="1482">
        <f t="shared" ca="1" si="48"/>
        <v>0</v>
      </c>
      <c r="DD19" s="1482">
        <f t="shared" ca="1" si="48"/>
        <v>0</v>
      </c>
      <c r="DE19" s="1482">
        <f t="shared" ca="1" si="48"/>
        <v>0</v>
      </c>
      <c r="DF19" s="1482">
        <f t="shared" ca="1" si="48"/>
        <v>0</v>
      </c>
      <c r="DH19" s="838">
        <f t="shared" ca="1" si="36"/>
        <v>3.1554726130591564</v>
      </c>
    </row>
    <row r="20" spans="1:112" s="743" customFormat="1" ht="12.75" hidden="1" customHeight="1" outlineLevel="1">
      <c r="A20" s="1484"/>
      <c r="B20" s="1484"/>
      <c r="C20" s="746"/>
      <c r="D20" s="521"/>
      <c r="E20" s="521"/>
      <c r="G20" s="1019"/>
      <c r="H20" s="1019"/>
      <c r="I20" s="1019"/>
      <c r="J20" s="1019"/>
      <c r="K20" s="1019"/>
      <c r="L20" s="1019"/>
      <c r="M20" s="1019"/>
      <c r="N20" s="1019"/>
      <c r="O20" s="1019"/>
      <c r="P20" s="1019"/>
      <c r="Q20" s="1019"/>
      <c r="S20" s="1027"/>
      <c r="T20" s="1027"/>
      <c r="U20" s="1027"/>
      <c r="V20" s="1027"/>
      <c r="W20" s="1027"/>
      <c r="X20" s="1027"/>
      <c r="Y20" s="1027"/>
      <c r="Z20" s="1027"/>
      <c r="AA20" s="1027"/>
      <c r="AB20" s="1027"/>
      <c r="AC20" s="1027"/>
      <c r="AD20" s="1027"/>
      <c r="AE20" s="1027"/>
      <c r="AF20" s="1027"/>
      <c r="AG20" s="1027"/>
      <c r="AH20" s="1027"/>
      <c r="AI20" s="1027"/>
      <c r="AJ20" s="1027"/>
      <c r="AK20" s="1027"/>
      <c r="AM20" s="1040"/>
      <c r="AN20" s="1040"/>
      <c r="AO20" s="1040"/>
      <c r="AP20" s="1040"/>
      <c r="AQ20" s="1040"/>
      <c r="AR20" s="1040"/>
      <c r="AS20" s="1040"/>
      <c r="AT20" s="1040"/>
      <c r="AU20" s="1040"/>
      <c r="AV20" s="1040"/>
      <c r="AW20" s="1040"/>
      <c r="AX20" s="1040"/>
      <c r="AY20" s="1040"/>
      <c r="AZ20" s="1040"/>
      <c r="BA20" s="1040"/>
      <c r="BB20" s="1040"/>
      <c r="BC20" s="1040"/>
      <c r="BD20" s="1040"/>
      <c r="BE20" s="1040"/>
      <c r="BF20" s="979"/>
      <c r="BH20" s="1034"/>
      <c r="BI20" s="1034"/>
      <c r="BJ20" s="1034"/>
      <c r="BL20" s="814">
        <f t="shared" si="9"/>
        <v>0</v>
      </c>
      <c r="BM20" s="814"/>
      <c r="BN20" s="1484"/>
      <c r="BO20" s="1481"/>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H20" s="838">
        <f t="shared" si="36"/>
        <v>0</v>
      </c>
    </row>
    <row r="21" spans="1:112" s="743" customFormat="1" ht="12.75" hidden="1" customHeight="1" outlineLevel="1">
      <c r="A21" s="1484"/>
      <c r="B21" s="1484"/>
      <c r="C21" s="746" t="s">
        <v>900</v>
      </c>
      <c r="D21" s="1010" t="str">
        <f>INDEX(Modules[Module], MATCH($C21, Modules[Code], 0))</f>
        <v>Industrial processes</v>
      </c>
      <c r="E21" s="1010"/>
      <c r="G21" s="1022">
        <f t="shared" ref="G21:P21" ca="1" si="49">IFERROR(INDEX(INDIRECT($C21&amp;".Outputs["&amp;this.Year&amp;"]"), MATCH(G$5, INDIRECT($C21&amp;".Outputs[Vector]"), 0)), 0)</f>
        <v>0</v>
      </c>
      <c r="H21" s="1022">
        <f t="shared" ca="1" si="49"/>
        <v>0</v>
      </c>
      <c r="I21" s="1022">
        <f t="shared" ca="1" si="49"/>
        <v>455.32654715195713</v>
      </c>
      <c r="J21" s="1022">
        <f t="shared" ca="1" si="49"/>
        <v>0</v>
      </c>
      <c r="K21" s="1022">
        <f t="shared" ca="1" si="49"/>
        <v>0</v>
      </c>
      <c r="L21" s="1022">
        <f t="shared" ca="1" si="49"/>
        <v>0</v>
      </c>
      <c r="M21" s="1022">
        <f t="shared" ca="1" si="49"/>
        <v>0</v>
      </c>
      <c r="N21" s="1022">
        <f t="shared" ca="1" si="49"/>
        <v>0</v>
      </c>
      <c r="O21" s="1022">
        <f t="shared" ca="1" si="49"/>
        <v>0</v>
      </c>
      <c r="P21" s="1022">
        <f t="shared" ca="1" si="49"/>
        <v>0</v>
      </c>
      <c r="Q21" s="1020">
        <f ca="1">SUM(G21:P21)</f>
        <v>455.32654715195713</v>
      </c>
      <c r="S21" s="1031">
        <f t="shared" ref="S21:BE21" ca="1" si="50">IFERROR(INDEX(INDIRECT($C21&amp;".Outputs["&amp;this.Year&amp;"]"), MATCH(S$5, INDIRECT($C21&amp;".Outputs[Vector]"), 0)), 0)</f>
        <v>-127.44898753350859</v>
      </c>
      <c r="T21" s="1031">
        <f t="shared" ca="1" si="50"/>
        <v>0</v>
      </c>
      <c r="U21" s="1031">
        <f t="shared" ca="1" si="50"/>
        <v>-60.790565189235942</v>
      </c>
      <c r="V21" s="1031">
        <f t="shared" ca="1" si="50"/>
        <v>-90.955326852197132</v>
      </c>
      <c r="W21" s="1031">
        <f t="shared" ca="1" si="50"/>
        <v>-167.20913780336815</v>
      </c>
      <c r="X21" s="1031">
        <f ca="1">IFERROR(INDEX(INDIRECT($C21&amp;".Outputs["&amp;this.Year&amp;"]"), MATCH(X$5, INDIRECT($C21&amp;".Outputs[Vector]"), 0)), 0)</f>
        <v>0</v>
      </c>
      <c r="Y21" s="1031">
        <f ca="1">IFERROR(INDEX(INDIRECT($C21&amp;".Outputs["&amp;this.Year&amp;"]"), MATCH(Y$5, INDIRECT($C21&amp;".Outputs[Vector]"), 0)), 0)</f>
        <v>0</v>
      </c>
      <c r="Z21" s="1031">
        <f ca="1">IFERROR(INDEX(INDIRECT($C21&amp;".Outputs["&amp;this.Year&amp;"]"), MATCH(Z$5, INDIRECT($C21&amp;".Outputs[Vector]"), 0)), 0)</f>
        <v>0</v>
      </c>
      <c r="AA21" s="1031">
        <f t="shared" ca="1" si="50"/>
        <v>0</v>
      </c>
      <c r="AB21" s="1031">
        <f t="shared" ca="1" si="50"/>
        <v>-8.9225297736472999</v>
      </c>
      <c r="AC21" s="1031">
        <f t="shared" ca="1" si="50"/>
        <v>0</v>
      </c>
      <c r="AD21" s="1031">
        <f t="shared" ca="1" si="50"/>
        <v>0</v>
      </c>
      <c r="AE21" s="1031">
        <f t="shared" ca="1" si="50"/>
        <v>0</v>
      </c>
      <c r="AF21" s="1031">
        <f t="shared" ca="1" si="50"/>
        <v>0</v>
      </c>
      <c r="AG21" s="1031">
        <f t="shared" ca="1" si="50"/>
        <v>0</v>
      </c>
      <c r="AH21" s="1031">
        <f t="shared" ca="1" si="50"/>
        <v>0</v>
      </c>
      <c r="AI21" s="1031">
        <f t="shared" ca="1" si="50"/>
        <v>0</v>
      </c>
      <c r="AJ21" s="1031">
        <f t="shared" ca="1" si="50"/>
        <v>0</v>
      </c>
      <c r="AK21" s="1030">
        <f ca="1">SUM(S21:AJ21)</f>
        <v>-455.32654715195707</v>
      </c>
      <c r="AM21" s="1042">
        <f t="shared" ref="AM21:AU21" ca="1" si="51">IFERROR(INDEX(INDIRECT($C21&amp;".Outputs["&amp;this.Year&amp;"]"), MATCH(AM$5, INDIRECT($C21&amp;".Outputs[Vector]"), 0)), 0)</f>
        <v>0</v>
      </c>
      <c r="AN21" s="1042">
        <f t="shared" ca="1" si="51"/>
        <v>0</v>
      </c>
      <c r="AO21" s="1042">
        <f t="shared" ca="1" si="51"/>
        <v>0</v>
      </c>
      <c r="AP21" s="1042">
        <f t="shared" ca="1" si="51"/>
        <v>0</v>
      </c>
      <c r="AQ21" s="1042">
        <f t="shared" ca="1" si="51"/>
        <v>0</v>
      </c>
      <c r="AR21" s="1042">
        <f t="shared" ca="1" si="51"/>
        <v>0</v>
      </c>
      <c r="AS21" s="1042">
        <f t="shared" ca="1" si="51"/>
        <v>0</v>
      </c>
      <c r="AT21" s="1042">
        <f t="shared" ca="1" si="51"/>
        <v>0</v>
      </c>
      <c r="AU21" s="1042">
        <f t="shared" ca="1" si="51"/>
        <v>0</v>
      </c>
      <c r="AV21" s="1042">
        <f t="shared" ca="1" si="50"/>
        <v>0</v>
      </c>
      <c r="AW21" s="1042">
        <f t="shared" ca="1" si="50"/>
        <v>0</v>
      </c>
      <c r="AX21" s="1042">
        <f t="shared" ca="1" si="50"/>
        <v>0</v>
      </c>
      <c r="AY21" s="1042">
        <f t="shared" ca="1" si="50"/>
        <v>0</v>
      </c>
      <c r="AZ21" s="1042">
        <f t="shared" ca="1" si="50"/>
        <v>0</v>
      </c>
      <c r="BA21" s="1042">
        <f t="shared" ca="1" si="50"/>
        <v>0</v>
      </c>
      <c r="BB21" s="1042">
        <f t="shared" ca="1" si="50"/>
        <v>0</v>
      </c>
      <c r="BC21" s="1042">
        <f t="shared" ca="1" si="50"/>
        <v>0</v>
      </c>
      <c r="BD21" s="1042">
        <f t="shared" ca="1" si="50"/>
        <v>0</v>
      </c>
      <c r="BE21" s="1042">
        <f t="shared" ca="1" si="50"/>
        <v>0</v>
      </c>
      <c r="BF21" s="1012">
        <f ca="1">SUM(AM21:BE21)</f>
        <v>0</v>
      </c>
      <c r="BH21" s="1036">
        <f ca="1">IFERROR(INDEX(INDIRECT($C21&amp;".Outputs["&amp;this.Year&amp;"]"), MATCH(BH$5, INDIRECT($C21&amp;".Outputs[Vector]"), 0)), 0)</f>
        <v>0</v>
      </c>
      <c r="BI21" s="1036">
        <f ca="1">IFERROR(INDEX(INDIRECT($C21&amp;".Outputs["&amp;this.Year&amp;"]"), MATCH(BI$5, INDIRECT($C21&amp;".Outputs[Vector]"), 0)), 0)</f>
        <v>0</v>
      </c>
      <c r="BJ21" s="1035">
        <f ca="1">SUM(BH21:BI21)</f>
        <v>0</v>
      </c>
      <c r="BL21" s="814">
        <f t="shared" ca="1" si="9"/>
        <v>5.6843418860808015E-14</v>
      </c>
      <c r="BM21" s="814"/>
      <c r="BN21" s="840"/>
      <c r="BO21" s="1485">
        <f t="shared" ref="BO21:DF21" ca="1" si="52">IFERROR(SUMIFS(INDIRECT($C21&amp;".Emissions["&amp;this.Year&amp;"]"), INDIRECT($C21&amp;".Emissions[GHG]"), BO$6, INDIRECT($C21&amp;".Emissions[IPCC Sector]"), BO$5),0)</f>
        <v>72.228807147153688</v>
      </c>
      <c r="BP21" s="1486">
        <f t="shared" ca="1" si="52"/>
        <v>0.14498358726590976</v>
      </c>
      <c r="BQ21" s="1486">
        <f t="shared" ca="1" si="52"/>
        <v>0.64131062912292414</v>
      </c>
      <c r="BR21" s="1486">
        <f t="shared" ca="1" si="52"/>
        <v>0</v>
      </c>
      <c r="BS21" s="1486">
        <f t="shared" ca="1" si="52"/>
        <v>0</v>
      </c>
      <c r="BT21" s="1486">
        <f t="shared" ca="1" si="52"/>
        <v>0</v>
      </c>
      <c r="BU21" s="1486">
        <f t="shared" ca="1" si="52"/>
        <v>0</v>
      </c>
      <c r="BV21" s="1486">
        <f t="shared" ca="1" si="52"/>
        <v>0</v>
      </c>
      <c r="BW21" s="1486">
        <f t="shared" ca="1" si="52"/>
        <v>14.553118871179784</v>
      </c>
      <c r="BX21" s="1486">
        <f t="shared" ca="1" si="52"/>
        <v>0.10991873645734471</v>
      </c>
      <c r="BY21" s="1486">
        <f t="shared" ca="1" si="52"/>
        <v>2.7599956553046825</v>
      </c>
      <c r="BZ21" s="1486">
        <f t="shared" ca="1" si="52"/>
        <v>5.5786316031859631</v>
      </c>
      <c r="CA21" s="1486">
        <f t="shared" ca="1" si="52"/>
        <v>0</v>
      </c>
      <c r="CB21" s="1486">
        <f t="shared" ca="1" si="52"/>
        <v>0</v>
      </c>
      <c r="CC21" s="1486">
        <f t="shared" ca="1" si="52"/>
        <v>0</v>
      </c>
      <c r="CD21" s="1486">
        <f t="shared" ca="1" si="52"/>
        <v>0</v>
      </c>
      <c r="CE21" s="1486">
        <f t="shared" ca="1" si="52"/>
        <v>0</v>
      </c>
      <c r="CF21" s="1486">
        <f t="shared" ca="1" si="52"/>
        <v>0</v>
      </c>
      <c r="CG21" s="1486">
        <f t="shared" ca="1" si="52"/>
        <v>0</v>
      </c>
      <c r="CH21" s="1486">
        <f t="shared" ca="1" si="52"/>
        <v>0</v>
      </c>
      <c r="CI21" s="1486">
        <f t="shared" ca="1" si="52"/>
        <v>0</v>
      </c>
      <c r="CJ21" s="1486">
        <f t="shared" ca="1" si="52"/>
        <v>0</v>
      </c>
      <c r="CK21" s="1486">
        <f t="shared" ca="1" si="52"/>
        <v>0</v>
      </c>
      <c r="CL21" s="1486">
        <f t="shared" ca="1" si="52"/>
        <v>0</v>
      </c>
      <c r="CM21" s="1486">
        <f t="shared" ca="1" si="52"/>
        <v>0</v>
      </c>
      <c r="CN21" s="1486">
        <f t="shared" ca="1" si="52"/>
        <v>0</v>
      </c>
      <c r="CO21" s="1486">
        <f t="shared" ca="1" si="52"/>
        <v>0</v>
      </c>
      <c r="CP21" s="1486">
        <f t="shared" ca="1" si="52"/>
        <v>0</v>
      </c>
      <c r="CQ21" s="1486">
        <f t="shared" ca="1" si="52"/>
        <v>0</v>
      </c>
      <c r="CR21" s="1486">
        <f t="shared" ca="1" si="52"/>
        <v>0</v>
      </c>
      <c r="CS21" s="1486">
        <f t="shared" ca="1" si="52"/>
        <v>0</v>
      </c>
      <c r="CT21" s="1486">
        <f t="shared" ca="1" si="52"/>
        <v>0</v>
      </c>
      <c r="CU21" s="1486">
        <f t="shared" ca="1" si="52"/>
        <v>0</v>
      </c>
      <c r="CV21" s="1486">
        <f t="shared" ca="1" si="52"/>
        <v>0</v>
      </c>
      <c r="CW21" s="1486">
        <f t="shared" ca="1" si="52"/>
        <v>0</v>
      </c>
      <c r="CX21" s="1486">
        <f t="shared" ca="1" si="52"/>
        <v>0</v>
      </c>
      <c r="CY21" s="1486">
        <f t="shared" ca="1" si="52"/>
        <v>0</v>
      </c>
      <c r="CZ21" s="1486">
        <f t="shared" ca="1" si="52"/>
        <v>0</v>
      </c>
      <c r="DA21" s="1486">
        <f t="shared" ca="1" si="52"/>
        <v>0</v>
      </c>
      <c r="DB21" s="1486">
        <f t="shared" ca="1" si="52"/>
        <v>0</v>
      </c>
      <c r="DC21" s="1486">
        <f t="shared" ca="1" si="52"/>
        <v>0</v>
      </c>
      <c r="DD21" s="1486">
        <f t="shared" ca="1" si="52"/>
        <v>0</v>
      </c>
      <c r="DE21" s="1486">
        <f t="shared" ca="1" si="52"/>
        <v>0</v>
      </c>
      <c r="DF21" s="1486">
        <f t="shared" ca="1" si="52"/>
        <v>0</v>
      </c>
      <c r="DH21" s="838">
        <f t="shared" ca="1" si="36"/>
        <v>96.016766229670296</v>
      </c>
    </row>
    <row r="22" spans="1:112" s="743" customFormat="1" ht="15.75" collapsed="1">
      <c r="A22" s="22"/>
      <c r="B22" s="753"/>
      <c r="C22" s="744" t="s">
        <v>678</v>
      </c>
      <c r="D22" s="517" t="str">
        <f>INDEX(Workstreams[Workstream], MATCH($C22, Workstreams[Code], 0))</f>
        <v>Industry</v>
      </c>
      <c r="E22" s="512"/>
      <c r="G22" s="1021">
        <f ca="1">G21</f>
        <v>0</v>
      </c>
      <c r="H22" s="1021">
        <f t="shared" ref="H22:P22" ca="1" si="53">H21</f>
        <v>0</v>
      </c>
      <c r="I22" s="1021">
        <f t="shared" ca="1" si="53"/>
        <v>455.32654715195713</v>
      </c>
      <c r="J22" s="1021">
        <f t="shared" ca="1" si="53"/>
        <v>0</v>
      </c>
      <c r="K22" s="1021">
        <f t="shared" ca="1" si="53"/>
        <v>0</v>
      </c>
      <c r="L22" s="1021">
        <f t="shared" ca="1" si="53"/>
        <v>0</v>
      </c>
      <c r="M22" s="1021">
        <f t="shared" ca="1" si="53"/>
        <v>0</v>
      </c>
      <c r="N22" s="1021">
        <f t="shared" ca="1" si="53"/>
        <v>0</v>
      </c>
      <c r="O22" s="1021">
        <f t="shared" ca="1" si="53"/>
        <v>0</v>
      </c>
      <c r="P22" s="1021">
        <f t="shared" ca="1" si="53"/>
        <v>0</v>
      </c>
      <c r="Q22" s="1021">
        <f ca="1">SUM(G22:P22)</f>
        <v>455.32654715195713</v>
      </c>
      <c r="S22" s="970">
        <f t="shared" ref="S22:Z22" ca="1" si="54">S21</f>
        <v>-127.44898753350859</v>
      </c>
      <c r="T22" s="970">
        <f t="shared" ca="1" si="54"/>
        <v>0</v>
      </c>
      <c r="U22" s="970">
        <f t="shared" ca="1" si="54"/>
        <v>-60.790565189235942</v>
      </c>
      <c r="V22" s="970">
        <f t="shared" ca="1" si="54"/>
        <v>-90.955326852197132</v>
      </c>
      <c r="W22" s="970">
        <f t="shared" ca="1" si="54"/>
        <v>-167.20913780336815</v>
      </c>
      <c r="X22" s="970">
        <f t="shared" ca="1" si="54"/>
        <v>0</v>
      </c>
      <c r="Y22" s="970">
        <f t="shared" ca="1" si="54"/>
        <v>0</v>
      </c>
      <c r="Z22" s="970">
        <f t="shared" ca="1" si="54"/>
        <v>0</v>
      </c>
      <c r="AA22" s="970">
        <f t="shared" ref="AA22:AJ22" ca="1" si="55">AA21</f>
        <v>0</v>
      </c>
      <c r="AB22" s="970">
        <f t="shared" ca="1" si="55"/>
        <v>-8.9225297736472999</v>
      </c>
      <c r="AC22" s="970">
        <f t="shared" ca="1" si="55"/>
        <v>0</v>
      </c>
      <c r="AD22" s="970">
        <f ca="1">AD21</f>
        <v>0</v>
      </c>
      <c r="AE22" s="970">
        <f ca="1">AE21</f>
        <v>0</v>
      </c>
      <c r="AF22" s="970">
        <f t="shared" ca="1" si="55"/>
        <v>0</v>
      </c>
      <c r="AG22" s="970">
        <f ca="1">AG21</f>
        <v>0</v>
      </c>
      <c r="AH22" s="970">
        <f ca="1">AH21</f>
        <v>0</v>
      </c>
      <c r="AI22" s="970">
        <f ca="1">AI21</f>
        <v>0</v>
      </c>
      <c r="AJ22" s="970">
        <f t="shared" ca="1" si="55"/>
        <v>0</v>
      </c>
      <c r="AK22" s="970">
        <f ca="1">SUM(S22:AJ22)</f>
        <v>-455.32654715195707</v>
      </c>
      <c r="AM22" s="976">
        <f t="shared" ref="AM22:BE22" ca="1" si="56">AM21</f>
        <v>0</v>
      </c>
      <c r="AN22" s="976">
        <f t="shared" ca="1" si="56"/>
        <v>0</v>
      </c>
      <c r="AO22" s="976">
        <f t="shared" ca="1" si="56"/>
        <v>0</v>
      </c>
      <c r="AP22" s="976">
        <f t="shared" ca="1" si="56"/>
        <v>0</v>
      </c>
      <c r="AQ22" s="976">
        <f t="shared" ca="1" si="56"/>
        <v>0</v>
      </c>
      <c r="AR22" s="976">
        <f t="shared" ca="1" si="56"/>
        <v>0</v>
      </c>
      <c r="AS22" s="976">
        <f t="shared" ca="1" si="56"/>
        <v>0</v>
      </c>
      <c r="AT22" s="976">
        <f t="shared" ca="1" si="56"/>
        <v>0</v>
      </c>
      <c r="AU22" s="976">
        <f t="shared" ca="1" si="56"/>
        <v>0</v>
      </c>
      <c r="AV22" s="976">
        <f t="shared" ca="1" si="56"/>
        <v>0</v>
      </c>
      <c r="AW22" s="976">
        <f t="shared" ca="1" si="56"/>
        <v>0</v>
      </c>
      <c r="AX22" s="976">
        <f t="shared" ca="1" si="56"/>
        <v>0</v>
      </c>
      <c r="AY22" s="976">
        <f t="shared" ca="1" si="56"/>
        <v>0</v>
      </c>
      <c r="AZ22" s="976">
        <f t="shared" ca="1" si="56"/>
        <v>0</v>
      </c>
      <c r="BA22" s="976">
        <f t="shared" ca="1" si="56"/>
        <v>0</v>
      </c>
      <c r="BB22" s="976">
        <f t="shared" ca="1" si="56"/>
        <v>0</v>
      </c>
      <c r="BC22" s="976">
        <f t="shared" ca="1" si="56"/>
        <v>0</v>
      </c>
      <c r="BD22" s="976">
        <f t="shared" ca="1" si="56"/>
        <v>0</v>
      </c>
      <c r="BE22" s="976">
        <f t="shared" ca="1" si="56"/>
        <v>0</v>
      </c>
      <c r="BF22" s="976">
        <f ca="1">SUM(AM22:BE22)</f>
        <v>0</v>
      </c>
      <c r="BH22" s="990">
        <f ca="1">BH21</f>
        <v>0</v>
      </c>
      <c r="BI22" s="990">
        <f ca="1">BI21</f>
        <v>0</v>
      </c>
      <c r="BJ22" s="990">
        <f ca="1">SUM(BH22:BI22)</f>
        <v>0</v>
      </c>
      <c r="BL22" s="515">
        <f t="shared" ca="1" si="9"/>
        <v>5.6843418860808015E-14</v>
      </c>
      <c r="BM22" s="515"/>
      <c r="BN22" s="840"/>
      <c r="BO22" s="1482">
        <f t="shared" ref="BO22:DF22" ca="1" si="57">BO21</f>
        <v>72.228807147153688</v>
      </c>
      <c r="BP22" s="1482">
        <f t="shared" ca="1" si="57"/>
        <v>0.14498358726590976</v>
      </c>
      <c r="BQ22" s="1482">
        <f t="shared" ca="1" si="57"/>
        <v>0.64131062912292414</v>
      </c>
      <c r="BR22" s="1482">
        <f t="shared" ca="1" si="57"/>
        <v>0</v>
      </c>
      <c r="BS22" s="1482">
        <f t="shared" ca="1" si="57"/>
        <v>0</v>
      </c>
      <c r="BT22" s="1482">
        <f t="shared" ca="1" si="57"/>
        <v>0</v>
      </c>
      <c r="BU22" s="1482">
        <f t="shared" ca="1" si="57"/>
        <v>0</v>
      </c>
      <c r="BV22" s="1482">
        <f t="shared" ca="1" si="57"/>
        <v>0</v>
      </c>
      <c r="BW22" s="1482">
        <f t="shared" ca="1" si="57"/>
        <v>14.553118871179784</v>
      </c>
      <c r="BX22" s="1482">
        <f t="shared" ca="1" si="57"/>
        <v>0.10991873645734471</v>
      </c>
      <c r="BY22" s="1482">
        <f t="shared" ca="1" si="57"/>
        <v>2.7599956553046825</v>
      </c>
      <c r="BZ22" s="1482">
        <f t="shared" ca="1" si="57"/>
        <v>5.5786316031859631</v>
      </c>
      <c r="CA22" s="1482">
        <f t="shared" ca="1" si="57"/>
        <v>0</v>
      </c>
      <c r="CB22" s="1482">
        <f t="shared" ca="1" si="57"/>
        <v>0</v>
      </c>
      <c r="CC22" s="1482">
        <f t="shared" ca="1" si="57"/>
        <v>0</v>
      </c>
      <c r="CD22" s="1482">
        <f t="shared" ca="1" si="57"/>
        <v>0</v>
      </c>
      <c r="CE22" s="1482">
        <f t="shared" ca="1" si="57"/>
        <v>0</v>
      </c>
      <c r="CF22" s="1482">
        <f t="shared" ca="1" si="57"/>
        <v>0</v>
      </c>
      <c r="CG22" s="1482">
        <f t="shared" ca="1" si="57"/>
        <v>0</v>
      </c>
      <c r="CH22" s="1482">
        <f t="shared" ca="1" si="57"/>
        <v>0</v>
      </c>
      <c r="CI22" s="1482">
        <f t="shared" ca="1" si="57"/>
        <v>0</v>
      </c>
      <c r="CJ22" s="1482">
        <f t="shared" ca="1" si="57"/>
        <v>0</v>
      </c>
      <c r="CK22" s="1482">
        <f t="shared" ca="1" si="57"/>
        <v>0</v>
      </c>
      <c r="CL22" s="1482">
        <f t="shared" ca="1" si="57"/>
        <v>0</v>
      </c>
      <c r="CM22" s="1482">
        <f t="shared" ca="1" si="57"/>
        <v>0</v>
      </c>
      <c r="CN22" s="1482">
        <f t="shared" ca="1" si="57"/>
        <v>0</v>
      </c>
      <c r="CO22" s="1482">
        <f t="shared" ca="1" si="57"/>
        <v>0</v>
      </c>
      <c r="CP22" s="1482">
        <f t="shared" ca="1" si="57"/>
        <v>0</v>
      </c>
      <c r="CQ22" s="1482">
        <f t="shared" ca="1" si="57"/>
        <v>0</v>
      </c>
      <c r="CR22" s="1482">
        <f t="shared" ca="1" si="57"/>
        <v>0</v>
      </c>
      <c r="CS22" s="1482">
        <f t="shared" ca="1" si="57"/>
        <v>0</v>
      </c>
      <c r="CT22" s="1482">
        <f t="shared" ca="1" si="57"/>
        <v>0</v>
      </c>
      <c r="CU22" s="1482">
        <f t="shared" ca="1" si="57"/>
        <v>0</v>
      </c>
      <c r="CV22" s="1482">
        <f t="shared" ca="1" si="57"/>
        <v>0</v>
      </c>
      <c r="CW22" s="1482">
        <f t="shared" ca="1" si="57"/>
        <v>0</v>
      </c>
      <c r="CX22" s="1482">
        <f t="shared" ca="1" si="57"/>
        <v>0</v>
      </c>
      <c r="CY22" s="1482">
        <f t="shared" ca="1" si="57"/>
        <v>0</v>
      </c>
      <c r="CZ22" s="1482">
        <f t="shared" ca="1" si="57"/>
        <v>0</v>
      </c>
      <c r="DA22" s="1482">
        <f t="shared" ca="1" si="57"/>
        <v>0</v>
      </c>
      <c r="DB22" s="1482">
        <f t="shared" ca="1" si="57"/>
        <v>0</v>
      </c>
      <c r="DC22" s="1482">
        <f t="shared" ca="1" si="57"/>
        <v>0</v>
      </c>
      <c r="DD22" s="1482">
        <f t="shared" ca="1" si="57"/>
        <v>0</v>
      </c>
      <c r="DE22" s="1482">
        <f t="shared" ca="1" si="57"/>
        <v>0</v>
      </c>
      <c r="DF22" s="1482">
        <f t="shared" ca="1" si="57"/>
        <v>0</v>
      </c>
      <c r="DH22" s="838">
        <f t="shared" ca="1" si="36"/>
        <v>96.016766229670296</v>
      </c>
    </row>
    <row r="23" spans="1:112" s="743" customFormat="1" ht="12.75" hidden="1" customHeight="1" outlineLevel="1">
      <c r="A23" s="22"/>
      <c r="B23" s="22"/>
      <c r="C23" s="751"/>
      <c r="D23" s="512"/>
      <c r="E23" s="512"/>
      <c r="G23" s="1021"/>
      <c r="H23" s="1021"/>
      <c r="I23" s="1021"/>
      <c r="J23" s="1021"/>
      <c r="K23" s="1021"/>
      <c r="L23" s="1021"/>
      <c r="M23" s="1021"/>
      <c r="N23" s="1021"/>
      <c r="O23" s="1021"/>
      <c r="P23" s="1021"/>
      <c r="Q23" s="1021"/>
      <c r="S23" s="970"/>
      <c r="T23" s="970"/>
      <c r="U23" s="970"/>
      <c r="V23" s="970"/>
      <c r="W23" s="970"/>
      <c r="X23" s="970"/>
      <c r="Y23" s="970"/>
      <c r="Z23" s="970"/>
      <c r="AA23" s="970"/>
      <c r="AB23" s="970"/>
      <c r="AC23" s="970"/>
      <c r="AD23" s="970"/>
      <c r="AE23" s="970"/>
      <c r="AF23" s="970"/>
      <c r="AG23" s="970"/>
      <c r="AH23" s="970"/>
      <c r="AI23" s="970"/>
      <c r="AJ23" s="970"/>
      <c r="AK23" s="970"/>
      <c r="AM23" s="976"/>
      <c r="AN23" s="976"/>
      <c r="AO23" s="976"/>
      <c r="AP23" s="976"/>
      <c r="AQ23" s="976"/>
      <c r="AR23" s="976"/>
      <c r="AS23" s="976"/>
      <c r="AT23" s="976"/>
      <c r="AU23" s="976"/>
      <c r="AV23" s="976"/>
      <c r="AW23" s="976"/>
      <c r="AX23" s="976"/>
      <c r="AY23" s="976"/>
      <c r="AZ23" s="976"/>
      <c r="BA23" s="976"/>
      <c r="BB23" s="976"/>
      <c r="BC23" s="976"/>
      <c r="BD23" s="976"/>
      <c r="BE23" s="976"/>
      <c r="BF23" s="976"/>
      <c r="BH23" s="990"/>
      <c r="BI23" s="990"/>
      <c r="BJ23" s="990"/>
      <c r="BL23" s="515">
        <f t="shared" si="9"/>
        <v>0</v>
      </c>
      <c r="BM23" s="515"/>
      <c r="BN23" s="22"/>
      <c r="BO23" s="1482"/>
      <c r="BP23" s="1482"/>
      <c r="BQ23" s="1482"/>
      <c r="BR23" s="1482"/>
      <c r="BS23" s="1482"/>
      <c r="BT23" s="1482"/>
      <c r="BU23" s="1482"/>
      <c r="BV23" s="1482"/>
      <c r="BW23" s="1482"/>
      <c r="BX23" s="1482"/>
      <c r="BY23" s="1482"/>
      <c r="BZ23" s="1482"/>
      <c r="CA23" s="1482"/>
      <c r="CB23" s="1482"/>
      <c r="CC23" s="1482"/>
      <c r="CD23" s="1482"/>
      <c r="CE23" s="1482"/>
      <c r="CF23" s="1482"/>
      <c r="CG23" s="1482"/>
      <c r="CH23" s="1482"/>
      <c r="CI23" s="1482"/>
      <c r="CJ23" s="1482"/>
      <c r="CK23" s="1482"/>
      <c r="CL23" s="1482"/>
      <c r="CM23" s="1482"/>
      <c r="CN23" s="1482"/>
      <c r="CO23" s="1482"/>
      <c r="CP23" s="1482"/>
      <c r="CQ23" s="1482"/>
      <c r="CR23" s="1482"/>
      <c r="CS23" s="1482"/>
      <c r="CT23" s="1482"/>
      <c r="CU23" s="1482"/>
      <c r="CV23" s="1482"/>
      <c r="CW23" s="1482"/>
      <c r="CX23" s="1482"/>
      <c r="CY23" s="1482"/>
      <c r="CZ23" s="1482"/>
      <c r="DA23" s="1482"/>
      <c r="DB23" s="1482"/>
      <c r="DC23" s="1482"/>
      <c r="DD23" s="1482"/>
      <c r="DE23" s="1482"/>
      <c r="DF23" s="1482"/>
      <c r="DH23" s="838">
        <f t="shared" si="36"/>
        <v>0</v>
      </c>
    </row>
    <row r="24" spans="1:112" s="743" customFormat="1" ht="12.75" hidden="1" customHeight="1" outlineLevel="1">
      <c r="A24" s="1484"/>
      <c r="B24" s="1484"/>
      <c r="C24" s="746" t="s">
        <v>903</v>
      </c>
      <c r="D24" s="523" t="str">
        <f>INDEX(Modules[Module], MATCH($C24, Modules[Code], 0))</f>
        <v>Domestic passenger transport</v>
      </c>
      <c r="E24" s="1006"/>
      <c r="G24" s="1017">
        <f t="shared" ref="G24:P27" ca="1" si="58">IFERROR(INDEX(INDIRECT($C24&amp;".Outputs["&amp;this.Year&amp;"]"), MATCH(G$5, INDIRECT($C24&amp;".Outputs[Vector]"), 0)), 0)</f>
        <v>0</v>
      </c>
      <c r="H24" s="1017">
        <f t="shared" ca="1" si="58"/>
        <v>0</v>
      </c>
      <c r="I24" s="1017">
        <f t="shared" ca="1" si="58"/>
        <v>0</v>
      </c>
      <c r="J24" s="1017">
        <f t="shared" ca="1" si="58"/>
        <v>215.19818969012252</v>
      </c>
      <c r="K24" s="1017">
        <f t="shared" ca="1" si="58"/>
        <v>11.473081915598879</v>
      </c>
      <c r="L24" s="1017">
        <f t="shared" ca="1" si="58"/>
        <v>14.344409418627478</v>
      </c>
      <c r="M24" s="1017">
        <f t="shared" ca="1" si="58"/>
        <v>0</v>
      </c>
      <c r="N24" s="1017">
        <f t="shared" ca="1" si="58"/>
        <v>0</v>
      </c>
      <c r="O24" s="1017">
        <f t="shared" ca="1" si="58"/>
        <v>0</v>
      </c>
      <c r="P24" s="1017">
        <f t="shared" ca="1" si="58"/>
        <v>0</v>
      </c>
      <c r="Q24" s="1019">
        <f ca="1">SUM(G24:P24)</f>
        <v>241.01568102434885</v>
      </c>
      <c r="S24" s="1026">
        <f t="shared" ref="S24:BE30" ca="1" si="59">IFERROR(INDEX(INDIRECT($C24&amp;".Outputs["&amp;this.Year&amp;"]"), MATCH(S$5, INDIRECT($C24&amp;".Outputs[Vector]"), 0)), 0)</f>
        <v>-18.542725720604764</v>
      </c>
      <c r="T24" s="1026">
        <f t="shared" ca="1" si="59"/>
        <v>0</v>
      </c>
      <c r="U24" s="1026">
        <f t="shared" ca="1" si="59"/>
        <v>0</v>
      </c>
      <c r="V24" s="1026">
        <f t="shared" ca="1" si="59"/>
        <v>-222.47295530374413</v>
      </c>
      <c r="W24" s="1026">
        <f t="shared" ca="1" si="59"/>
        <v>0</v>
      </c>
      <c r="X24" s="1026">
        <f t="shared" ref="X24:Z27" ca="1" si="60">IFERROR(INDEX(INDIRECT($C24&amp;".Outputs["&amp;this.Year&amp;"]"), MATCH(X$5, INDIRECT($C24&amp;".Outputs[Vector]"), 0)), 0)</f>
        <v>0</v>
      </c>
      <c r="Y24" s="1026">
        <f t="shared" ca="1" si="60"/>
        <v>0</v>
      </c>
      <c r="Z24" s="1026">
        <f t="shared" ca="1" si="60"/>
        <v>0</v>
      </c>
      <c r="AA24" s="1026">
        <f t="shared" ca="1" si="59"/>
        <v>0</v>
      </c>
      <c r="AB24" s="1026">
        <f t="shared" ca="1" si="59"/>
        <v>0</v>
      </c>
      <c r="AC24" s="1026">
        <f t="shared" ca="1" si="59"/>
        <v>0</v>
      </c>
      <c r="AD24" s="1026">
        <f t="shared" ca="1" si="59"/>
        <v>0</v>
      </c>
      <c r="AE24" s="1026">
        <f t="shared" ca="1" si="59"/>
        <v>0</v>
      </c>
      <c r="AF24" s="1026">
        <f t="shared" ca="1" si="59"/>
        <v>0</v>
      </c>
      <c r="AG24" s="1026">
        <f t="shared" ca="1" si="59"/>
        <v>0</v>
      </c>
      <c r="AH24" s="1026">
        <f t="shared" ca="1" si="59"/>
        <v>0</v>
      </c>
      <c r="AI24" s="1026">
        <f t="shared" ca="1" si="59"/>
        <v>0</v>
      </c>
      <c r="AJ24" s="1026">
        <f t="shared" ca="1" si="59"/>
        <v>0</v>
      </c>
      <c r="AK24" s="1027">
        <f t="shared" ref="AK24:AK32" ca="1" si="61">SUM(S24:AJ24)</f>
        <v>-241.01568102434891</v>
      </c>
      <c r="AM24" s="1038">
        <f t="shared" ref="AM24:AU27" ca="1" si="62">IFERROR(INDEX(INDIRECT($C24&amp;".Outputs["&amp;this.Year&amp;"]"), MATCH(AM$5, INDIRECT($C24&amp;".Outputs[Vector]"), 0)), 0)</f>
        <v>0</v>
      </c>
      <c r="AN24" s="1038">
        <f t="shared" ca="1" si="62"/>
        <v>0</v>
      </c>
      <c r="AO24" s="1038">
        <f t="shared" ca="1" si="62"/>
        <v>0</v>
      </c>
      <c r="AP24" s="1038">
        <f t="shared" ca="1" si="62"/>
        <v>0</v>
      </c>
      <c r="AQ24" s="1038">
        <f t="shared" ca="1" si="62"/>
        <v>0</v>
      </c>
      <c r="AR24" s="1038">
        <f t="shared" ca="1" si="62"/>
        <v>0</v>
      </c>
      <c r="AS24" s="1038">
        <f t="shared" ca="1" si="62"/>
        <v>0</v>
      </c>
      <c r="AT24" s="1038">
        <f t="shared" ca="1" si="62"/>
        <v>0</v>
      </c>
      <c r="AU24" s="1038">
        <f t="shared" ca="1" si="62"/>
        <v>0</v>
      </c>
      <c r="AV24" s="1038">
        <f t="shared" ca="1" si="59"/>
        <v>0</v>
      </c>
      <c r="AW24" s="1038">
        <f t="shared" ca="1" si="59"/>
        <v>0</v>
      </c>
      <c r="AX24" s="1038">
        <f t="shared" ca="1" si="59"/>
        <v>0</v>
      </c>
      <c r="AY24" s="1038">
        <f t="shared" ca="1" si="59"/>
        <v>0</v>
      </c>
      <c r="AZ24" s="1038">
        <f t="shared" ca="1" si="59"/>
        <v>0</v>
      </c>
      <c r="BA24" s="1038">
        <f t="shared" ca="1" si="59"/>
        <v>0</v>
      </c>
      <c r="BB24" s="1038">
        <f t="shared" ca="1" si="59"/>
        <v>0</v>
      </c>
      <c r="BC24" s="1038">
        <f t="shared" ca="1" si="59"/>
        <v>0</v>
      </c>
      <c r="BD24" s="1038">
        <f t="shared" ca="1" si="59"/>
        <v>0</v>
      </c>
      <c r="BE24" s="1038">
        <f t="shared" ca="1" si="59"/>
        <v>0</v>
      </c>
      <c r="BF24" s="979">
        <f t="shared" ref="BF24:BF32" ca="1" si="63">SUM(AM24:BE24)</f>
        <v>0</v>
      </c>
      <c r="BH24" s="1032">
        <f t="shared" ref="BH24:BI30" ca="1" si="64">IFERROR(INDEX(INDIRECT($C24&amp;".Outputs["&amp;this.Year&amp;"]"), MATCH(BH$5, INDIRECT($C24&amp;".Outputs[Vector]"), 0)), 0)</f>
        <v>0</v>
      </c>
      <c r="BI24" s="1032">
        <f t="shared" ca="1" si="64"/>
        <v>0</v>
      </c>
      <c r="BJ24" s="1034">
        <f t="shared" ref="BJ24:BJ32" ca="1" si="65">SUM(BH24:BI24)</f>
        <v>0</v>
      </c>
      <c r="BL24" s="814">
        <f t="shared" ca="1" si="9"/>
        <v>-5.6843418860808015E-14</v>
      </c>
      <c r="BM24" s="814"/>
      <c r="BN24" s="840"/>
      <c r="BO24" s="1481">
        <f t="shared" ref="BO24:BX27" ca="1" si="66">IFERROR(SUMIFS(INDIRECT($C24&amp;".Emissions["&amp;this.Year&amp;"]"), INDIRECT($C24&amp;".Emissions[GHG]"), BO$6, INDIRECT($C24&amp;".Emissions[IPCC Sector]"), BO$5),0)</f>
        <v>55.618238825936032</v>
      </c>
      <c r="BP24" s="1482">
        <f t="shared" ca="1" si="66"/>
        <v>6.9244487771323124E-2</v>
      </c>
      <c r="BQ24" s="1482">
        <f t="shared" ca="1" si="66"/>
        <v>1.0006860832907389</v>
      </c>
      <c r="BR24" s="1482">
        <f t="shared" ca="1" si="66"/>
        <v>0</v>
      </c>
      <c r="BS24" s="1482">
        <f t="shared" ca="1" si="66"/>
        <v>0</v>
      </c>
      <c r="BT24" s="1482">
        <f t="shared" ca="1" si="66"/>
        <v>0</v>
      </c>
      <c r="BU24" s="1482">
        <f t="shared" ca="1" si="66"/>
        <v>0</v>
      </c>
      <c r="BV24" s="1482">
        <f t="shared" ca="1" si="66"/>
        <v>0</v>
      </c>
      <c r="BW24" s="1482">
        <f t="shared" ca="1" si="66"/>
        <v>0</v>
      </c>
      <c r="BX24" s="1482">
        <f t="shared" ca="1" si="66"/>
        <v>0</v>
      </c>
      <c r="BY24" s="1482">
        <f t="shared" ref="BY24:CH27" ca="1" si="67">IFERROR(SUMIFS(INDIRECT($C24&amp;".Emissions["&amp;this.Year&amp;"]"), INDIRECT($C24&amp;".Emissions[GHG]"), BY$6, INDIRECT($C24&amp;".Emissions[IPCC Sector]"), BY$5),0)</f>
        <v>0</v>
      </c>
      <c r="BZ24" s="1482">
        <f t="shared" ca="1" si="67"/>
        <v>0</v>
      </c>
      <c r="CA24" s="1482">
        <f t="shared" ca="1" si="67"/>
        <v>0</v>
      </c>
      <c r="CB24" s="1482">
        <f t="shared" ca="1" si="67"/>
        <v>0</v>
      </c>
      <c r="CC24" s="1482">
        <f t="shared" ca="1" si="67"/>
        <v>0</v>
      </c>
      <c r="CD24" s="1482">
        <f t="shared" ca="1" si="67"/>
        <v>0</v>
      </c>
      <c r="CE24" s="1482">
        <f t="shared" ca="1" si="67"/>
        <v>0</v>
      </c>
      <c r="CF24" s="1482">
        <f t="shared" ca="1" si="67"/>
        <v>0</v>
      </c>
      <c r="CG24" s="1482">
        <f t="shared" ca="1" si="67"/>
        <v>0</v>
      </c>
      <c r="CH24" s="1482">
        <f t="shared" ca="1" si="67"/>
        <v>0</v>
      </c>
      <c r="CI24" s="1482">
        <f t="shared" ref="CI24:CR27" ca="1" si="68">IFERROR(SUMIFS(INDIRECT($C24&amp;".Emissions["&amp;this.Year&amp;"]"), INDIRECT($C24&amp;".Emissions[GHG]"), CI$6, INDIRECT($C24&amp;".Emissions[IPCC Sector]"), CI$5),0)</f>
        <v>0</v>
      </c>
      <c r="CJ24" s="1482">
        <f t="shared" ca="1" si="68"/>
        <v>0</v>
      </c>
      <c r="CK24" s="1482">
        <f t="shared" ca="1" si="68"/>
        <v>0</v>
      </c>
      <c r="CL24" s="1482">
        <f t="shared" ca="1" si="68"/>
        <v>0</v>
      </c>
      <c r="CM24" s="1482">
        <f t="shared" ca="1" si="68"/>
        <v>0</v>
      </c>
      <c r="CN24" s="1482">
        <f t="shared" ca="1" si="68"/>
        <v>0</v>
      </c>
      <c r="CO24" s="1482">
        <f t="shared" ca="1" si="68"/>
        <v>0</v>
      </c>
      <c r="CP24" s="1482">
        <f t="shared" ca="1" si="68"/>
        <v>0</v>
      </c>
      <c r="CQ24" s="1482">
        <f t="shared" ca="1" si="68"/>
        <v>0</v>
      </c>
      <c r="CR24" s="1482">
        <f t="shared" ca="1" si="68"/>
        <v>0</v>
      </c>
      <c r="CS24" s="1482">
        <f t="shared" ref="CS24:DF27" ca="1" si="69">IFERROR(SUMIFS(INDIRECT($C24&amp;".Emissions["&amp;this.Year&amp;"]"), INDIRECT($C24&amp;".Emissions[GHG]"), CS$6, INDIRECT($C24&amp;".Emissions[IPCC Sector]"), CS$5),0)</f>
        <v>0</v>
      </c>
      <c r="CT24" s="1482">
        <f t="shared" ca="1" si="69"/>
        <v>0</v>
      </c>
      <c r="CU24" s="1482">
        <f t="shared" ca="1" si="69"/>
        <v>0</v>
      </c>
      <c r="CV24" s="1482">
        <f t="shared" ca="1" si="69"/>
        <v>0</v>
      </c>
      <c r="CW24" s="1482">
        <f t="shared" ca="1" si="69"/>
        <v>0</v>
      </c>
      <c r="CX24" s="1482">
        <f t="shared" ca="1" si="69"/>
        <v>0</v>
      </c>
      <c r="CY24" s="1482">
        <f t="shared" ca="1" si="69"/>
        <v>0</v>
      </c>
      <c r="CZ24" s="1482">
        <f t="shared" ca="1" si="69"/>
        <v>0</v>
      </c>
      <c r="DA24" s="1482">
        <f t="shared" ca="1" si="69"/>
        <v>0</v>
      </c>
      <c r="DB24" s="1482">
        <f t="shared" ca="1" si="69"/>
        <v>0</v>
      </c>
      <c r="DC24" s="1482">
        <f t="shared" ca="1" si="69"/>
        <v>0</v>
      </c>
      <c r="DD24" s="1482">
        <f t="shared" ca="1" si="69"/>
        <v>0</v>
      </c>
      <c r="DE24" s="1482">
        <f t="shared" ca="1" si="69"/>
        <v>0</v>
      </c>
      <c r="DF24" s="1482">
        <f t="shared" ca="1" si="69"/>
        <v>0</v>
      </c>
      <c r="DH24" s="838">
        <f t="shared" ca="1" si="36"/>
        <v>56.688169396998092</v>
      </c>
    </row>
    <row r="25" spans="1:112" s="743" customFormat="1" ht="12.75" hidden="1" customHeight="1" outlineLevel="1">
      <c r="A25" s="1484"/>
      <c r="B25" s="1484"/>
      <c r="C25" s="746" t="s">
        <v>916</v>
      </c>
      <c r="D25" s="523" t="str">
        <f>INDEX(Modules[Module], MATCH($C25, Modules[Code], 0))</f>
        <v>Domestic freight</v>
      </c>
      <c r="E25" s="1006"/>
      <c r="G25" s="1017">
        <f t="shared" ca="1" si="58"/>
        <v>0</v>
      </c>
      <c r="H25" s="1017">
        <f t="shared" ca="1" si="58"/>
        <v>0</v>
      </c>
      <c r="I25" s="1017">
        <f t="shared" ca="1" si="58"/>
        <v>0</v>
      </c>
      <c r="J25" s="1017">
        <f t="shared" ca="1" si="58"/>
        <v>124.38872144796299</v>
      </c>
      <c r="K25" s="1017">
        <f t="shared" ca="1" si="58"/>
        <v>3.4214043355178956</v>
      </c>
      <c r="L25" s="1017">
        <f t="shared" ca="1" si="58"/>
        <v>0</v>
      </c>
      <c r="M25" s="1017">
        <f t="shared" ca="1" si="58"/>
        <v>22.788555765479813</v>
      </c>
      <c r="N25" s="1017">
        <f t="shared" ca="1" si="58"/>
        <v>0</v>
      </c>
      <c r="O25" s="1017">
        <f t="shared" ca="1" si="58"/>
        <v>0</v>
      </c>
      <c r="P25" s="1017">
        <f t="shared" ca="1" si="58"/>
        <v>0</v>
      </c>
      <c r="Q25" s="1019">
        <f ca="1">SUM(G25:P25)</f>
        <v>150.59868154896071</v>
      </c>
      <c r="S25" s="1026">
        <f t="shared" ca="1" si="59"/>
        <v>-0.14366126667353801</v>
      </c>
      <c r="T25" s="1026">
        <f t="shared" ca="1" si="59"/>
        <v>0</v>
      </c>
      <c r="U25" s="1026">
        <f t="shared" ca="1" si="59"/>
        <v>0</v>
      </c>
      <c r="V25" s="1026">
        <f t="shared" ca="1" si="59"/>
        <v>-150.45502028228717</v>
      </c>
      <c r="W25" s="1026">
        <f t="shared" ca="1" si="59"/>
        <v>0</v>
      </c>
      <c r="X25" s="1026">
        <f t="shared" ca="1" si="60"/>
        <v>0</v>
      </c>
      <c r="Y25" s="1026">
        <f t="shared" ca="1" si="60"/>
        <v>0</v>
      </c>
      <c r="Z25" s="1026">
        <f t="shared" ca="1" si="60"/>
        <v>0</v>
      </c>
      <c r="AA25" s="1026">
        <f t="shared" ca="1" si="59"/>
        <v>0</v>
      </c>
      <c r="AB25" s="1026">
        <f t="shared" ca="1" si="59"/>
        <v>0</v>
      </c>
      <c r="AC25" s="1026">
        <f t="shared" ca="1" si="59"/>
        <v>0</v>
      </c>
      <c r="AD25" s="1026">
        <f t="shared" ca="1" si="59"/>
        <v>0</v>
      </c>
      <c r="AE25" s="1026">
        <f t="shared" ca="1" si="59"/>
        <v>0</v>
      </c>
      <c r="AF25" s="1026">
        <f t="shared" ca="1" si="59"/>
        <v>0</v>
      </c>
      <c r="AG25" s="1026">
        <f t="shared" ca="1" si="59"/>
        <v>0</v>
      </c>
      <c r="AH25" s="1026">
        <f t="shared" ca="1" si="59"/>
        <v>0</v>
      </c>
      <c r="AI25" s="1026">
        <f t="shared" ca="1" si="59"/>
        <v>0</v>
      </c>
      <c r="AJ25" s="1026">
        <f t="shared" ca="1" si="59"/>
        <v>0</v>
      </c>
      <c r="AK25" s="1027">
        <f t="shared" ca="1" si="61"/>
        <v>-150.59868154896071</v>
      </c>
      <c r="AM25" s="1038">
        <f t="shared" ca="1" si="62"/>
        <v>0</v>
      </c>
      <c r="AN25" s="1038">
        <f t="shared" ca="1" si="62"/>
        <v>0</v>
      </c>
      <c r="AO25" s="1038">
        <f t="shared" ca="1" si="62"/>
        <v>0</v>
      </c>
      <c r="AP25" s="1038">
        <f t="shared" ca="1" si="62"/>
        <v>0</v>
      </c>
      <c r="AQ25" s="1038">
        <f t="shared" ca="1" si="62"/>
        <v>0</v>
      </c>
      <c r="AR25" s="1038">
        <f t="shared" ca="1" si="62"/>
        <v>0</v>
      </c>
      <c r="AS25" s="1038">
        <f t="shared" ca="1" si="62"/>
        <v>0</v>
      </c>
      <c r="AT25" s="1038">
        <f t="shared" ca="1" si="62"/>
        <v>0</v>
      </c>
      <c r="AU25" s="1038">
        <f t="shared" ca="1" si="62"/>
        <v>0</v>
      </c>
      <c r="AV25" s="1038">
        <f t="shared" ca="1" si="59"/>
        <v>0</v>
      </c>
      <c r="AW25" s="1038">
        <f t="shared" ca="1" si="59"/>
        <v>0</v>
      </c>
      <c r="AX25" s="1038">
        <f t="shared" ca="1" si="59"/>
        <v>0</v>
      </c>
      <c r="AY25" s="1038">
        <f t="shared" ca="1" si="59"/>
        <v>0</v>
      </c>
      <c r="AZ25" s="1038">
        <f t="shared" ca="1" si="59"/>
        <v>0</v>
      </c>
      <c r="BA25" s="1038">
        <f t="shared" ca="1" si="59"/>
        <v>0</v>
      </c>
      <c r="BB25" s="1038">
        <f t="shared" ca="1" si="59"/>
        <v>0</v>
      </c>
      <c r="BC25" s="1038">
        <f t="shared" ca="1" si="59"/>
        <v>0</v>
      </c>
      <c r="BD25" s="1038">
        <f t="shared" ca="1" si="59"/>
        <v>0</v>
      </c>
      <c r="BE25" s="1038">
        <f t="shared" ca="1" si="59"/>
        <v>0</v>
      </c>
      <c r="BF25" s="979">
        <f t="shared" ca="1" si="63"/>
        <v>0</v>
      </c>
      <c r="BH25" s="1032">
        <f t="shared" ca="1" si="64"/>
        <v>0</v>
      </c>
      <c r="BI25" s="1032">
        <f t="shared" ca="1" si="64"/>
        <v>0</v>
      </c>
      <c r="BJ25" s="1034">
        <f t="shared" ca="1" si="65"/>
        <v>0</v>
      </c>
      <c r="BL25" s="814">
        <f t="shared" ca="1" si="9"/>
        <v>0</v>
      </c>
      <c r="BM25" s="814"/>
      <c r="BN25" s="840"/>
      <c r="BO25" s="1481">
        <f t="shared" ca="1" si="66"/>
        <v>37.613755070571791</v>
      </c>
      <c r="BP25" s="1482">
        <f t="shared" ca="1" si="66"/>
        <v>4.6828976573116403E-2</v>
      </c>
      <c r="BQ25" s="1482">
        <f t="shared" ca="1" si="66"/>
        <v>0.67674852771273808</v>
      </c>
      <c r="BR25" s="1482">
        <f t="shared" ca="1" si="66"/>
        <v>0</v>
      </c>
      <c r="BS25" s="1482">
        <f t="shared" ca="1" si="66"/>
        <v>0</v>
      </c>
      <c r="BT25" s="1482">
        <f t="shared" ca="1" si="66"/>
        <v>0</v>
      </c>
      <c r="BU25" s="1482">
        <f t="shared" ca="1" si="66"/>
        <v>0</v>
      </c>
      <c r="BV25" s="1482">
        <f t="shared" ca="1" si="66"/>
        <v>0</v>
      </c>
      <c r="BW25" s="1482">
        <f t="shared" ca="1" si="66"/>
        <v>0</v>
      </c>
      <c r="BX25" s="1482">
        <f t="shared" ca="1" si="66"/>
        <v>0</v>
      </c>
      <c r="BY25" s="1482">
        <f t="shared" ca="1" si="67"/>
        <v>0</v>
      </c>
      <c r="BZ25" s="1482">
        <f t="shared" ca="1" si="67"/>
        <v>0</v>
      </c>
      <c r="CA25" s="1482">
        <f t="shared" ca="1" si="67"/>
        <v>0</v>
      </c>
      <c r="CB25" s="1482">
        <f t="shared" ca="1" si="67"/>
        <v>0</v>
      </c>
      <c r="CC25" s="1482">
        <f t="shared" ca="1" si="67"/>
        <v>0</v>
      </c>
      <c r="CD25" s="1482">
        <f t="shared" ca="1" si="67"/>
        <v>0</v>
      </c>
      <c r="CE25" s="1482">
        <f t="shared" ca="1" si="67"/>
        <v>0</v>
      </c>
      <c r="CF25" s="1482">
        <f t="shared" ca="1" si="67"/>
        <v>0</v>
      </c>
      <c r="CG25" s="1482">
        <f t="shared" ca="1" si="67"/>
        <v>0</v>
      </c>
      <c r="CH25" s="1482">
        <f t="shared" ca="1" si="67"/>
        <v>0</v>
      </c>
      <c r="CI25" s="1482">
        <f t="shared" ca="1" si="68"/>
        <v>0</v>
      </c>
      <c r="CJ25" s="1482">
        <f t="shared" ca="1" si="68"/>
        <v>0</v>
      </c>
      <c r="CK25" s="1482">
        <f t="shared" ca="1" si="68"/>
        <v>0</v>
      </c>
      <c r="CL25" s="1482">
        <f t="shared" ca="1" si="68"/>
        <v>0</v>
      </c>
      <c r="CM25" s="1482">
        <f t="shared" ca="1" si="68"/>
        <v>0</v>
      </c>
      <c r="CN25" s="1482">
        <f t="shared" ca="1" si="68"/>
        <v>0</v>
      </c>
      <c r="CO25" s="1482">
        <f t="shared" ca="1" si="68"/>
        <v>0</v>
      </c>
      <c r="CP25" s="1482">
        <f t="shared" ca="1" si="68"/>
        <v>0</v>
      </c>
      <c r="CQ25" s="1482">
        <f t="shared" ca="1" si="68"/>
        <v>0</v>
      </c>
      <c r="CR25" s="1482">
        <f t="shared" ca="1" si="68"/>
        <v>0</v>
      </c>
      <c r="CS25" s="1482">
        <f t="shared" ca="1" si="69"/>
        <v>0</v>
      </c>
      <c r="CT25" s="1482">
        <f t="shared" ca="1" si="69"/>
        <v>0</v>
      </c>
      <c r="CU25" s="1482">
        <f t="shared" ca="1" si="69"/>
        <v>0</v>
      </c>
      <c r="CV25" s="1482">
        <f t="shared" ca="1" si="69"/>
        <v>0</v>
      </c>
      <c r="CW25" s="1482">
        <f t="shared" ca="1" si="69"/>
        <v>0</v>
      </c>
      <c r="CX25" s="1482">
        <f t="shared" ca="1" si="69"/>
        <v>0</v>
      </c>
      <c r="CY25" s="1482">
        <f t="shared" ca="1" si="69"/>
        <v>0</v>
      </c>
      <c r="CZ25" s="1482">
        <f t="shared" ca="1" si="69"/>
        <v>0</v>
      </c>
      <c r="DA25" s="1482">
        <f t="shared" ca="1" si="69"/>
        <v>0</v>
      </c>
      <c r="DB25" s="1482">
        <f t="shared" ca="1" si="69"/>
        <v>0</v>
      </c>
      <c r="DC25" s="1482">
        <f t="shared" ca="1" si="69"/>
        <v>0</v>
      </c>
      <c r="DD25" s="1482">
        <f t="shared" ca="1" si="69"/>
        <v>0</v>
      </c>
      <c r="DE25" s="1482">
        <f t="shared" ca="1" si="69"/>
        <v>0</v>
      </c>
      <c r="DF25" s="1482">
        <f t="shared" ca="1" si="69"/>
        <v>0</v>
      </c>
      <c r="DH25" s="838">
        <f t="shared" ca="1" si="36"/>
        <v>38.337332574857648</v>
      </c>
    </row>
    <row r="26" spans="1:112" s="743" customFormat="1" ht="10.5" hidden="1" customHeight="1" outlineLevel="2">
      <c r="A26" s="1480"/>
      <c r="B26" s="1480"/>
      <c r="C26" s="746" t="s">
        <v>919</v>
      </c>
      <c r="D26" s="523" t="str">
        <f>INDEX(Modules[Module], MATCH($C26, Modules[Code], 0))</f>
        <v>International aviation</v>
      </c>
      <c r="E26" s="1006"/>
      <c r="G26" s="1017">
        <f t="shared" ca="1" si="58"/>
        <v>0</v>
      </c>
      <c r="H26" s="1017">
        <f t="shared" ca="1" si="58"/>
        <v>0</v>
      </c>
      <c r="I26" s="1017">
        <f t="shared" ca="1" si="58"/>
        <v>0</v>
      </c>
      <c r="J26" s="1017">
        <f t="shared" ca="1" si="58"/>
        <v>0</v>
      </c>
      <c r="K26" s="1017">
        <f t="shared" ca="1" si="58"/>
        <v>0</v>
      </c>
      <c r="L26" s="1017">
        <f t="shared" ca="1" si="58"/>
        <v>0</v>
      </c>
      <c r="M26" s="1017">
        <f t="shared" ca="1" si="58"/>
        <v>0</v>
      </c>
      <c r="N26" s="1017">
        <f t="shared" ca="1" si="58"/>
        <v>209.1795176408344</v>
      </c>
      <c r="O26" s="1017">
        <f t="shared" ca="1" si="58"/>
        <v>0</v>
      </c>
      <c r="P26" s="1017">
        <f t="shared" ca="1" si="58"/>
        <v>0</v>
      </c>
      <c r="Q26" s="1019">
        <f t="shared" ref="Q26:Q32" ca="1" si="70">SUM(G26:P26)</f>
        <v>209.1795176408344</v>
      </c>
      <c r="S26" s="1026">
        <f t="shared" ca="1" si="59"/>
        <v>0</v>
      </c>
      <c r="T26" s="1026">
        <f t="shared" ca="1" si="59"/>
        <v>0</v>
      </c>
      <c r="U26" s="1026">
        <f t="shared" ca="1" si="59"/>
        <v>0</v>
      </c>
      <c r="V26" s="1026">
        <f t="shared" ca="1" si="59"/>
        <v>-209.1795176408344</v>
      </c>
      <c r="W26" s="1026">
        <f t="shared" ca="1" si="59"/>
        <v>0</v>
      </c>
      <c r="X26" s="1026">
        <f t="shared" ca="1" si="60"/>
        <v>0</v>
      </c>
      <c r="Y26" s="1026">
        <f t="shared" ca="1" si="60"/>
        <v>0</v>
      </c>
      <c r="Z26" s="1026">
        <f t="shared" ca="1" si="60"/>
        <v>0</v>
      </c>
      <c r="AA26" s="1026">
        <f t="shared" ca="1" si="59"/>
        <v>0</v>
      </c>
      <c r="AB26" s="1026">
        <f t="shared" ca="1" si="59"/>
        <v>0</v>
      </c>
      <c r="AC26" s="1026">
        <f t="shared" ca="1" si="59"/>
        <v>0</v>
      </c>
      <c r="AD26" s="1026">
        <f t="shared" ca="1" si="59"/>
        <v>0</v>
      </c>
      <c r="AE26" s="1026">
        <f t="shared" ca="1" si="59"/>
        <v>0</v>
      </c>
      <c r="AF26" s="1026">
        <f t="shared" ca="1" si="59"/>
        <v>0</v>
      </c>
      <c r="AG26" s="1026">
        <f t="shared" ca="1" si="59"/>
        <v>0</v>
      </c>
      <c r="AH26" s="1026">
        <f t="shared" ca="1" si="59"/>
        <v>0</v>
      </c>
      <c r="AI26" s="1026">
        <f t="shared" ca="1" si="59"/>
        <v>0</v>
      </c>
      <c r="AJ26" s="1026">
        <f t="shared" ca="1" si="59"/>
        <v>0</v>
      </c>
      <c r="AK26" s="1027">
        <f t="shared" ca="1" si="61"/>
        <v>-209.1795176408344</v>
      </c>
      <c r="AM26" s="1038">
        <f t="shared" ca="1" si="62"/>
        <v>0</v>
      </c>
      <c r="AN26" s="1038">
        <f t="shared" ca="1" si="62"/>
        <v>0</v>
      </c>
      <c r="AO26" s="1038">
        <f t="shared" ca="1" si="62"/>
        <v>0</v>
      </c>
      <c r="AP26" s="1038">
        <f t="shared" ca="1" si="62"/>
        <v>0</v>
      </c>
      <c r="AQ26" s="1038">
        <f t="shared" ca="1" si="62"/>
        <v>0</v>
      </c>
      <c r="AR26" s="1038">
        <f t="shared" ca="1" si="62"/>
        <v>0</v>
      </c>
      <c r="AS26" s="1038">
        <f t="shared" ca="1" si="62"/>
        <v>0</v>
      </c>
      <c r="AT26" s="1038">
        <f t="shared" ca="1" si="62"/>
        <v>0</v>
      </c>
      <c r="AU26" s="1038">
        <f t="shared" ca="1" si="62"/>
        <v>0</v>
      </c>
      <c r="AV26" s="1038">
        <f t="shared" ca="1" si="59"/>
        <v>0</v>
      </c>
      <c r="AW26" s="1038">
        <f t="shared" ca="1" si="59"/>
        <v>0</v>
      </c>
      <c r="AX26" s="1038">
        <f t="shared" ca="1" si="59"/>
        <v>0</v>
      </c>
      <c r="AY26" s="1038">
        <f t="shared" ca="1" si="59"/>
        <v>0</v>
      </c>
      <c r="AZ26" s="1038">
        <f t="shared" ca="1" si="59"/>
        <v>0</v>
      </c>
      <c r="BA26" s="1038">
        <f t="shared" ca="1" si="59"/>
        <v>0</v>
      </c>
      <c r="BB26" s="1038">
        <f t="shared" ca="1" si="59"/>
        <v>0</v>
      </c>
      <c r="BC26" s="1038">
        <f t="shared" ca="1" si="59"/>
        <v>0</v>
      </c>
      <c r="BD26" s="1038">
        <f t="shared" ca="1" si="59"/>
        <v>0</v>
      </c>
      <c r="BE26" s="1038">
        <f t="shared" ca="1" si="59"/>
        <v>0</v>
      </c>
      <c r="BF26" s="977">
        <f t="shared" ca="1" si="63"/>
        <v>0</v>
      </c>
      <c r="BH26" s="1032">
        <f t="shared" ca="1" si="64"/>
        <v>0</v>
      </c>
      <c r="BI26" s="1032">
        <f t="shared" ca="1" si="64"/>
        <v>0</v>
      </c>
      <c r="BJ26" s="1034">
        <f t="shared" ca="1" si="65"/>
        <v>0</v>
      </c>
      <c r="BL26" s="524">
        <f t="shared" ca="1" si="9"/>
        <v>0</v>
      </c>
      <c r="BM26" s="524"/>
      <c r="BN26" s="840"/>
      <c r="BO26" s="1481">
        <f t="shared" ca="1" si="66"/>
        <v>0</v>
      </c>
      <c r="BP26" s="1482">
        <f t="shared" ca="1" si="66"/>
        <v>0</v>
      </c>
      <c r="BQ26" s="1482">
        <f t="shared" ca="1" si="66"/>
        <v>0</v>
      </c>
      <c r="BR26" s="1482">
        <f t="shared" ca="1" si="66"/>
        <v>0</v>
      </c>
      <c r="BS26" s="1482">
        <f t="shared" ca="1" si="66"/>
        <v>0</v>
      </c>
      <c r="BT26" s="1482">
        <f t="shared" ca="1" si="66"/>
        <v>0</v>
      </c>
      <c r="BU26" s="1482">
        <f t="shared" ca="1" si="66"/>
        <v>0</v>
      </c>
      <c r="BV26" s="1482">
        <f t="shared" ca="1" si="66"/>
        <v>0</v>
      </c>
      <c r="BW26" s="1482">
        <f t="shared" ca="1" si="66"/>
        <v>0</v>
      </c>
      <c r="BX26" s="1482">
        <f t="shared" ca="1" si="66"/>
        <v>0</v>
      </c>
      <c r="BY26" s="1482">
        <f t="shared" ca="1" si="67"/>
        <v>0</v>
      </c>
      <c r="BZ26" s="1482">
        <f t="shared" ca="1" si="67"/>
        <v>0</v>
      </c>
      <c r="CA26" s="1482">
        <f t="shared" ca="1" si="67"/>
        <v>0</v>
      </c>
      <c r="CB26" s="1482">
        <f t="shared" ca="1" si="67"/>
        <v>0</v>
      </c>
      <c r="CC26" s="1482">
        <f t="shared" ca="1" si="67"/>
        <v>0</v>
      </c>
      <c r="CD26" s="1482">
        <f t="shared" ca="1" si="67"/>
        <v>0</v>
      </c>
      <c r="CE26" s="1482">
        <f t="shared" ca="1" si="67"/>
        <v>0</v>
      </c>
      <c r="CF26" s="1482">
        <f t="shared" ca="1" si="67"/>
        <v>0</v>
      </c>
      <c r="CG26" s="1482">
        <f t="shared" ca="1" si="67"/>
        <v>0</v>
      </c>
      <c r="CH26" s="1482">
        <f t="shared" ca="1" si="67"/>
        <v>0</v>
      </c>
      <c r="CI26" s="1482">
        <f t="shared" ca="1" si="68"/>
        <v>0</v>
      </c>
      <c r="CJ26" s="1482">
        <f t="shared" ca="1" si="68"/>
        <v>0</v>
      </c>
      <c r="CK26" s="1482">
        <f t="shared" ca="1" si="68"/>
        <v>0</v>
      </c>
      <c r="CL26" s="1482">
        <f t="shared" ca="1" si="68"/>
        <v>0</v>
      </c>
      <c r="CM26" s="1482">
        <f t="shared" ca="1" si="68"/>
        <v>0</v>
      </c>
      <c r="CN26" s="1482">
        <f t="shared" ca="1" si="68"/>
        <v>0</v>
      </c>
      <c r="CO26" s="1482">
        <f t="shared" ca="1" si="68"/>
        <v>0</v>
      </c>
      <c r="CP26" s="1482">
        <f t="shared" ca="1" si="68"/>
        <v>0</v>
      </c>
      <c r="CQ26" s="1482">
        <f t="shared" ca="1" si="68"/>
        <v>0</v>
      </c>
      <c r="CR26" s="1482">
        <f t="shared" ca="1" si="68"/>
        <v>0</v>
      </c>
      <c r="CS26" s="1482">
        <f t="shared" ca="1" si="69"/>
        <v>0</v>
      </c>
      <c r="CT26" s="1482">
        <f t="shared" ca="1" si="69"/>
        <v>0</v>
      </c>
      <c r="CU26" s="1482">
        <f t="shared" ca="1" si="69"/>
        <v>52.294879410208601</v>
      </c>
      <c r="CV26" s="1482">
        <f t="shared" ca="1" si="69"/>
        <v>6.5106918418538495E-2</v>
      </c>
      <c r="CW26" s="1482">
        <f t="shared" ca="1" si="69"/>
        <v>0.94089203753715678</v>
      </c>
      <c r="CX26" s="1482">
        <f t="shared" ca="1" si="69"/>
        <v>0</v>
      </c>
      <c r="CY26" s="1482">
        <f t="shared" ca="1" si="69"/>
        <v>0</v>
      </c>
      <c r="CZ26" s="1482">
        <f t="shared" ca="1" si="69"/>
        <v>0</v>
      </c>
      <c r="DA26" s="1482">
        <f t="shared" ca="1" si="69"/>
        <v>0</v>
      </c>
      <c r="DB26" s="1482">
        <f t="shared" ca="1" si="69"/>
        <v>0</v>
      </c>
      <c r="DC26" s="1482">
        <f t="shared" ca="1" si="69"/>
        <v>0</v>
      </c>
      <c r="DD26" s="1482">
        <f t="shared" ca="1" si="69"/>
        <v>0</v>
      </c>
      <c r="DE26" s="1482">
        <f t="shared" ca="1" si="69"/>
        <v>0</v>
      </c>
      <c r="DF26" s="1482">
        <f t="shared" ca="1" si="69"/>
        <v>0</v>
      </c>
      <c r="DH26" s="838">
        <f t="shared" ca="1" si="36"/>
        <v>53.300878366164291</v>
      </c>
    </row>
    <row r="27" spans="1:112" s="743" customFormat="1" ht="10.5" hidden="1" customHeight="1" outlineLevel="2">
      <c r="A27" s="1483"/>
      <c r="B27" s="1483"/>
      <c r="C27" s="1009" t="s">
        <v>954</v>
      </c>
      <c r="D27" s="1005" t="str">
        <f>INDEX(Modules[Module], MATCH($C27, Modules[Code], 0))</f>
        <v>Domestic aviation [UNUSED - see XII.a]</v>
      </c>
      <c r="E27" s="1006"/>
      <c r="G27" s="1018">
        <f t="shared" ca="1" si="58"/>
        <v>0</v>
      </c>
      <c r="H27" s="1018">
        <f t="shared" ca="1" si="58"/>
        <v>0</v>
      </c>
      <c r="I27" s="1018">
        <f t="shared" ca="1" si="58"/>
        <v>0</v>
      </c>
      <c r="J27" s="1018">
        <f t="shared" ca="1" si="58"/>
        <v>0</v>
      </c>
      <c r="K27" s="1018">
        <f t="shared" ca="1" si="58"/>
        <v>0</v>
      </c>
      <c r="L27" s="1018">
        <f t="shared" ca="1" si="58"/>
        <v>0</v>
      </c>
      <c r="M27" s="1018">
        <f t="shared" ca="1" si="58"/>
        <v>0</v>
      </c>
      <c r="N27" s="1018">
        <f t="shared" ca="1" si="58"/>
        <v>0</v>
      </c>
      <c r="O27" s="1018">
        <f t="shared" ca="1" si="58"/>
        <v>0</v>
      </c>
      <c r="P27" s="1018">
        <f t="shared" ca="1" si="58"/>
        <v>0</v>
      </c>
      <c r="Q27" s="1024">
        <f t="shared" ca="1" si="70"/>
        <v>0</v>
      </c>
      <c r="S27" s="1028">
        <f t="shared" ca="1" si="59"/>
        <v>0</v>
      </c>
      <c r="T27" s="1028">
        <f t="shared" ca="1" si="59"/>
        <v>0</v>
      </c>
      <c r="U27" s="1028">
        <f t="shared" ca="1" si="59"/>
        <v>0</v>
      </c>
      <c r="V27" s="1028">
        <f t="shared" ca="1" si="59"/>
        <v>0</v>
      </c>
      <c r="W27" s="1028">
        <f t="shared" ca="1" si="59"/>
        <v>0</v>
      </c>
      <c r="X27" s="1028">
        <f t="shared" ca="1" si="60"/>
        <v>0</v>
      </c>
      <c r="Y27" s="1028">
        <f t="shared" ca="1" si="60"/>
        <v>0</v>
      </c>
      <c r="Z27" s="1028">
        <f t="shared" ca="1" si="60"/>
        <v>0</v>
      </c>
      <c r="AA27" s="1028">
        <f t="shared" ca="1" si="59"/>
        <v>0</v>
      </c>
      <c r="AB27" s="1028">
        <f t="shared" ca="1" si="59"/>
        <v>0</v>
      </c>
      <c r="AC27" s="1028">
        <f t="shared" ca="1" si="59"/>
        <v>0</v>
      </c>
      <c r="AD27" s="1028">
        <f t="shared" ca="1" si="59"/>
        <v>0</v>
      </c>
      <c r="AE27" s="1028">
        <f t="shared" ca="1" si="59"/>
        <v>0</v>
      </c>
      <c r="AF27" s="1028">
        <f t="shared" ca="1" si="59"/>
        <v>0</v>
      </c>
      <c r="AG27" s="1028">
        <f t="shared" ca="1" si="59"/>
        <v>0</v>
      </c>
      <c r="AH27" s="1028">
        <f t="shared" ca="1" si="59"/>
        <v>0</v>
      </c>
      <c r="AI27" s="1028">
        <f t="shared" ca="1" si="59"/>
        <v>0</v>
      </c>
      <c r="AJ27" s="1028">
        <f t="shared" ca="1" si="59"/>
        <v>0</v>
      </c>
      <c r="AK27" s="1029">
        <f t="shared" ca="1" si="61"/>
        <v>0</v>
      </c>
      <c r="AM27" s="1039">
        <f t="shared" ca="1" si="62"/>
        <v>0</v>
      </c>
      <c r="AN27" s="1039">
        <f t="shared" ca="1" si="62"/>
        <v>0</v>
      </c>
      <c r="AO27" s="1039">
        <f t="shared" ca="1" si="62"/>
        <v>0</v>
      </c>
      <c r="AP27" s="1039">
        <f t="shared" ca="1" si="62"/>
        <v>0</v>
      </c>
      <c r="AQ27" s="1039">
        <f t="shared" ca="1" si="62"/>
        <v>0</v>
      </c>
      <c r="AR27" s="1039">
        <f t="shared" ca="1" si="62"/>
        <v>0</v>
      </c>
      <c r="AS27" s="1039">
        <f t="shared" ca="1" si="62"/>
        <v>0</v>
      </c>
      <c r="AT27" s="1039">
        <f t="shared" ca="1" si="62"/>
        <v>0</v>
      </c>
      <c r="AU27" s="1039">
        <f t="shared" ca="1" si="62"/>
        <v>0</v>
      </c>
      <c r="AV27" s="1039">
        <f t="shared" ca="1" si="59"/>
        <v>0</v>
      </c>
      <c r="AW27" s="1039">
        <f t="shared" ca="1" si="59"/>
        <v>0</v>
      </c>
      <c r="AX27" s="1039">
        <f t="shared" ca="1" si="59"/>
        <v>0</v>
      </c>
      <c r="AY27" s="1039">
        <f t="shared" ca="1" si="59"/>
        <v>0</v>
      </c>
      <c r="AZ27" s="1039">
        <f t="shared" ca="1" si="59"/>
        <v>0</v>
      </c>
      <c r="BA27" s="1039">
        <f t="shared" ca="1" si="59"/>
        <v>0</v>
      </c>
      <c r="BB27" s="1039">
        <f t="shared" ca="1" si="59"/>
        <v>0</v>
      </c>
      <c r="BC27" s="1039">
        <f t="shared" ca="1" si="59"/>
        <v>0</v>
      </c>
      <c r="BD27" s="1039">
        <f t="shared" ca="1" si="59"/>
        <v>0</v>
      </c>
      <c r="BE27" s="1039">
        <f t="shared" ca="1" si="59"/>
        <v>0</v>
      </c>
      <c r="BF27" s="1008">
        <f t="shared" ca="1" si="63"/>
        <v>0</v>
      </c>
      <c r="BH27" s="1033">
        <f t="shared" ca="1" si="64"/>
        <v>0</v>
      </c>
      <c r="BI27" s="1033">
        <f t="shared" ca="1" si="64"/>
        <v>0</v>
      </c>
      <c r="BJ27" s="1044">
        <f t="shared" ca="1" si="65"/>
        <v>0</v>
      </c>
      <c r="BL27" s="1007">
        <f t="shared" ca="1" si="9"/>
        <v>0</v>
      </c>
      <c r="BM27" s="1007"/>
      <c r="BN27" s="840"/>
      <c r="BO27" s="1481">
        <f t="shared" ca="1" si="66"/>
        <v>0</v>
      </c>
      <c r="BP27" s="1482">
        <f t="shared" ca="1" si="66"/>
        <v>0</v>
      </c>
      <c r="BQ27" s="1482">
        <f t="shared" ca="1" si="66"/>
        <v>0</v>
      </c>
      <c r="BR27" s="1482">
        <f t="shared" ca="1" si="66"/>
        <v>0</v>
      </c>
      <c r="BS27" s="1482">
        <f t="shared" ca="1" si="66"/>
        <v>0</v>
      </c>
      <c r="BT27" s="1482">
        <f t="shared" ca="1" si="66"/>
        <v>0</v>
      </c>
      <c r="BU27" s="1482">
        <f t="shared" ca="1" si="66"/>
        <v>0</v>
      </c>
      <c r="BV27" s="1482">
        <f t="shared" ca="1" si="66"/>
        <v>0</v>
      </c>
      <c r="BW27" s="1482">
        <f t="shared" ca="1" si="66"/>
        <v>0</v>
      </c>
      <c r="BX27" s="1482">
        <f t="shared" ca="1" si="66"/>
        <v>0</v>
      </c>
      <c r="BY27" s="1482">
        <f t="shared" ca="1" si="67"/>
        <v>0</v>
      </c>
      <c r="BZ27" s="1482">
        <f t="shared" ca="1" si="67"/>
        <v>0</v>
      </c>
      <c r="CA27" s="1482">
        <f t="shared" ca="1" si="67"/>
        <v>0</v>
      </c>
      <c r="CB27" s="1482">
        <f t="shared" ca="1" si="67"/>
        <v>0</v>
      </c>
      <c r="CC27" s="1482">
        <f t="shared" ca="1" si="67"/>
        <v>0</v>
      </c>
      <c r="CD27" s="1482">
        <f t="shared" ca="1" si="67"/>
        <v>0</v>
      </c>
      <c r="CE27" s="1482">
        <f t="shared" ca="1" si="67"/>
        <v>0</v>
      </c>
      <c r="CF27" s="1482">
        <f t="shared" ca="1" si="67"/>
        <v>0</v>
      </c>
      <c r="CG27" s="1482">
        <f t="shared" ca="1" si="67"/>
        <v>0</v>
      </c>
      <c r="CH27" s="1482">
        <f t="shared" ca="1" si="67"/>
        <v>0</v>
      </c>
      <c r="CI27" s="1482">
        <f t="shared" ca="1" si="68"/>
        <v>0</v>
      </c>
      <c r="CJ27" s="1482">
        <f t="shared" ca="1" si="68"/>
        <v>0</v>
      </c>
      <c r="CK27" s="1482">
        <f t="shared" ca="1" si="68"/>
        <v>0</v>
      </c>
      <c r="CL27" s="1482">
        <f t="shared" ca="1" si="68"/>
        <v>0</v>
      </c>
      <c r="CM27" s="1482">
        <f t="shared" ca="1" si="68"/>
        <v>0</v>
      </c>
      <c r="CN27" s="1482">
        <f t="shared" ca="1" si="68"/>
        <v>0</v>
      </c>
      <c r="CO27" s="1482">
        <f t="shared" ca="1" si="68"/>
        <v>0</v>
      </c>
      <c r="CP27" s="1482">
        <f t="shared" ca="1" si="68"/>
        <v>0</v>
      </c>
      <c r="CQ27" s="1482">
        <f t="shared" ca="1" si="68"/>
        <v>0</v>
      </c>
      <c r="CR27" s="1482">
        <f t="shared" ca="1" si="68"/>
        <v>0</v>
      </c>
      <c r="CS27" s="1482">
        <f t="shared" ca="1" si="69"/>
        <v>0</v>
      </c>
      <c r="CT27" s="1482">
        <f t="shared" ca="1" si="69"/>
        <v>0</v>
      </c>
      <c r="CU27" s="1482">
        <f t="shared" ca="1" si="69"/>
        <v>0</v>
      </c>
      <c r="CV27" s="1482">
        <f t="shared" ca="1" si="69"/>
        <v>0</v>
      </c>
      <c r="CW27" s="1482">
        <f t="shared" ca="1" si="69"/>
        <v>0</v>
      </c>
      <c r="CX27" s="1482">
        <f t="shared" ca="1" si="69"/>
        <v>0</v>
      </c>
      <c r="CY27" s="1482">
        <f t="shared" ca="1" si="69"/>
        <v>0</v>
      </c>
      <c r="CZ27" s="1482">
        <f t="shared" ca="1" si="69"/>
        <v>0</v>
      </c>
      <c r="DA27" s="1482">
        <f t="shared" ca="1" si="69"/>
        <v>0</v>
      </c>
      <c r="DB27" s="1482">
        <f t="shared" ca="1" si="69"/>
        <v>0</v>
      </c>
      <c r="DC27" s="1482">
        <f t="shared" ca="1" si="69"/>
        <v>0</v>
      </c>
      <c r="DD27" s="1482">
        <f t="shared" ca="1" si="69"/>
        <v>0</v>
      </c>
      <c r="DE27" s="1482">
        <f t="shared" ca="1" si="69"/>
        <v>0</v>
      </c>
      <c r="DF27" s="1482">
        <f t="shared" ca="1" si="69"/>
        <v>0</v>
      </c>
      <c r="DH27" s="838">
        <f t="shared" ca="1" si="36"/>
        <v>0</v>
      </c>
    </row>
    <row r="28" spans="1:112" s="743" customFormat="1" ht="10.5" hidden="1" customHeight="1" outlineLevel="1">
      <c r="A28" s="1484"/>
      <c r="B28" s="1484"/>
      <c r="C28" s="746"/>
      <c r="D28" s="523" t="s">
        <v>960</v>
      </c>
      <c r="E28" s="1006"/>
      <c r="G28" s="1019">
        <f ca="1">SUM(G26:G27)</f>
        <v>0</v>
      </c>
      <c r="H28" s="1019">
        <f t="shared" ref="H28:P28" ca="1" si="71">SUM(H26:H27)</f>
        <v>0</v>
      </c>
      <c r="I28" s="1019">
        <f t="shared" ca="1" si="71"/>
        <v>0</v>
      </c>
      <c r="J28" s="1019">
        <f t="shared" ca="1" si="71"/>
        <v>0</v>
      </c>
      <c r="K28" s="1019">
        <f t="shared" ca="1" si="71"/>
        <v>0</v>
      </c>
      <c r="L28" s="1019">
        <f t="shared" ca="1" si="71"/>
        <v>0</v>
      </c>
      <c r="M28" s="1019">
        <f t="shared" ca="1" si="71"/>
        <v>0</v>
      </c>
      <c r="N28" s="1019">
        <f t="shared" ca="1" si="71"/>
        <v>209.1795176408344</v>
      </c>
      <c r="O28" s="1019">
        <f t="shared" ca="1" si="71"/>
        <v>0</v>
      </c>
      <c r="P28" s="1019">
        <f t="shared" ca="1" si="71"/>
        <v>0</v>
      </c>
      <c r="Q28" s="1019">
        <f t="shared" ca="1" si="70"/>
        <v>209.1795176408344</v>
      </c>
      <c r="S28" s="1027">
        <f t="shared" ref="S28:Z28" ca="1" si="72">SUM(S26:S27)</f>
        <v>0</v>
      </c>
      <c r="T28" s="1027">
        <f t="shared" ca="1" si="72"/>
        <v>0</v>
      </c>
      <c r="U28" s="1027">
        <f t="shared" ca="1" si="72"/>
        <v>0</v>
      </c>
      <c r="V28" s="1027">
        <f t="shared" ca="1" si="72"/>
        <v>-209.1795176408344</v>
      </c>
      <c r="W28" s="1027">
        <f t="shared" ca="1" si="72"/>
        <v>0</v>
      </c>
      <c r="X28" s="1027">
        <f t="shared" ca="1" si="72"/>
        <v>0</v>
      </c>
      <c r="Y28" s="1027">
        <f t="shared" ca="1" si="72"/>
        <v>0</v>
      </c>
      <c r="Z28" s="1027">
        <f t="shared" ca="1" si="72"/>
        <v>0</v>
      </c>
      <c r="AA28" s="1027">
        <f t="shared" ref="AA28:AJ28" ca="1" si="73">SUM(AA26:AA27)</f>
        <v>0</v>
      </c>
      <c r="AB28" s="1027">
        <f t="shared" ca="1" si="73"/>
        <v>0</v>
      </c>
      <c r="AC28" s="1027">
        <f t="shared" ca="1" si="73"/>
        <v>0</v>
      </c>
      <c r="AD28" s="1027">
        <f ca="1">SUM(AD26:AD27)</f>
        <v>0</v>
      </c>
      <c r="AE28" s="1027">
        <f ca="1">SUM(AE26:AE27)</f>
        <v>0</v>
      </c>
      <c r="AF28" s="1027">
        <f t="shared" ca="1" si="73"/>
        <v>0</v>
      </c>
      <c r="AG28" s="1027">
        <f ca="1">SUM(AG26:AG27)</f>
        <v>0</v>
      </c>
      <c r="AH28" s="1027">
        <f ca="1">SUM(AH26:AH27)</f>
        <v>0</v>
      </c>
      <c r="AI28" s="1027">
        <f ca="1">SUM(AI26:AI27)</f>
        <v>0</v>
      </c>
      <c r="AJ28" s="1027">
        <f t="shared" ca="1" si="73"/>
        <v>0</v>
      </c>
      <c r="AK28" s="1027">
        <f t="shared" ca="1" si="61"/>
        <v>-209.1795176408344</v>
      </c>
      <c r="AM28" s="1040">
        <f t="shared" ref="AM28:BE28" ca="1" si="74">SUM(AM26:AM27)</f>
        <v>0</v>
      </c>
      <c r="AN28" s="1040">
        <f t="shared" ca="1" si="74"/>
        <v>0</v>
      </c>
      <c r="AO28" s="1040">
        <f t="shared" ca="1" si="74"/>
        <v>0</v>
      </c>
      <c r="AP28" s="1040">
        <f t="shared" ca="1" si="74"/>
        <v>0</v>
      </c>
      <c r="AQ28" s="1040">
        <f t="shared" ca="1" si="74"/>
        <v>0</v>
      </c>
      <c r="AR28" s="1040">
        <f t="shared" ca="1" si="74"/>
        <v>0</v>
      </c>
      <c r="AS28" s="1040">
        <f t="shared" ca="1" si="74"/>
        <v>0</v>
      </c>
      <c r="AT28" s="1040">
        <f t="shared" ca="1" si="74"/>
        <v>0</v>
      </c>
      <c r="AU28" s="1040">
        <f t="shared" ca="1" si="74"/>
        <v>0</v>
      </c>
      <c r="AV28" s="1040">
        <f t="shared" ca="1" si="74"/>
        <v>0</v>
      </c>
      <c r="AW28" s="1040">
        <f t="shared" ca="1" si="74"/>
        <v>0</v>
      </c>
      <c r="AX28" s="1040">
        <f t="shared" ca="1" si="74"/>
        <v>0</v>
      </c>
      <c r="AY28" s="1040">
        <f t="shared" ca="1" si="74"/>
        <v>0</v>
      </c>
      <c r="AZ28" s="1040">
        <f t="shared" ca="1" si="74"/>
        <v>0</v>
      </c>
      <c r="BA28" s="1040">
        <f t="shared" ca="1" si="74"/>
        <v>0</v>
      </c>
      <c r="BB28" s="1040">
        <f t="shared" ca="1" si="74"/>
        <v>0</v>
      </c>
      <c r="BC28" s="1040">
        <f t="shared" ca="1" si="74"/>
        <v>0</v>
      </c>
      <c r="BD28" s="1040">
        <f t="shared" ca="1" si="74"/>
        <v>0</v>
      </c>
      <c r="BE28" s="1040">
        <f t="shared" ca="1" si="74"/>
        <v>0</v>
      </c>
      <c r="BF28" s="977">
        <f t="shared" ca="1" si="63"/>
        <v>0</v>
      </c>
      <c r="BH28" s="1034">
        <f ca="1">SUM(BH26:BH27)</f>
        <v>0</v>
      </c>
      <c r="BI28" s="1034">
        <f ca="1">SUM(BI26:BI27)</f>
        <v>0</v>
      </c>
      <c r="BJ28" s="1034">
        <f t="shared" ca="1" si="65"/>
        <v>0</v>
      </c>
      <c r="BL28" s="524">
        <f t="shared" ca="1" si="9"/>
        <v>0</v>
      </c>
      <c r="BM28" s="524"/>
      <c r="BN28" s="840"/>
      <c r="BO28" s="1481">
        <f t="shared" ref="BO28:DF28" ca="1" si="75">SUM(BO26:BO27)</f>
        <v>0</v>
      </c>
      <c r="BP28" s="1482">
        <f t="shared" ca="1" si="75"/>
        <v>0</v>
      </c>
      <c r="BQ28" s="1482">
        <f t="shared" ca="1" si="75"/>
        <v>0</v>
      </c>
      <c r="BR28" s="1482">
        <f t="shared" ca="1" si="75"/>
        <v>0</v>
      </c>
      <c r="BS28" s="1482">
        <f t="shared" ca="1" si="75"/>
        <v>0</v>
      </c>
      <c r="BT28" s="1482">
        <f t="shared" ca="1" si="75"/>
        <v>0</v>
      </c>
      <c r="BU28" s="1482">
        <f t="shared" ca="1" si="75"/>
        <v>0</v>
      </c>
      <c r="BV28" s="1482">
        <f t="shared" ca="1" si="75"/>
        <v>0</v>
      </c>
      <c r="BW28" s="1482">
        <f t="shared" ca="1" si="75"/>
        <v>0</v>
      </c>
      <c r="BX28" s="1482">
        <f t="shared" ca="1" si="75"/>
        <v>0</v>
      </c>
      <c r="BY28" s="1482">
        <f t="shared" ca="1" si="75"/>
        <v>0</v>
      </c>
      <c r="BZ28" s="1482">
        <f t="shared" ca="1" si="75"/>
        <v>0</v>
      </c>
      <c r="CA28" s="1482">
        <f t="shared" ca="1" si="75"/>
        <v>0</v>
      </c>
      <c r="CB28" s="1482">
        <f t="shared" ca="1" si="75"/>
        <v>0</v>
      </c>
      <c r="CC28" s="1482">
        <f t="shared" ca="1" si="75"/>
        <v>0</v>
      </c>
      <c r="CD28" s="1482">
        <f t="shared" ca="1" si="75"/>
        <v>0</v>
      </c>
      <c r="CE28" s="1482">
        <f t="shared" ca="1" si="75"/>
        <v>0</v>
      </c>
      <c r="CF28" s="1482">
        <f t="shared" ca="1" si="75"/>
        <v>0</v>
      </c>
      <c r="CG28" s="1482">
        <f t="shared" ca="1" si="75"/>
        <v>0</v>
      </c>
      <c r="CH28" s="1482">
        <f t="shared" ca="1" si="75"/>
        <v>0</v>
      </c>
      <c r="CI28" s="1482">
        <f t="shared" ca="1" si="75"/>
        <v>0</v>
      </c>
      <c r="CJ28" s="1482">
        <f t="shared" ca="1" si="75"/>
        <v>0</v>
      </c>
      <c r="CK28" s="1482">
        <f t="shared" ca="1" si="75"/>
        <v>0</v>
      </c>
      <c r="CL28" s="1482">
        <f t="shared" ca="1" si="75"/>
        <v>0</v>
      </c>
      <c r="CM28" s="1482">
        <f t="shared" ca="1" si="75"/>
        <v>0</v>
      </c>
      <c r="CN28" s="1482">
        <f t="shared" ca="1" si="75"/>
        <v>0</v>
      </c>
      <c r="CO28" s="1482">
        <f t="shared" ca="1" si="75"/>
        <v>0</v>
      </c>
      <c r="CP28" s="1482">
        <f t="shared" ca="1" si="75"/>
        <v>0</v>
      </c>
      <c r="CQ28" s="1482">
        <f t="shared" ca="1" si="75"/>
        <v>0</v>
      </c>
      <c r="CR28" s="1482">
        <f t="shared" ca="1" si="75"/>
        <v>0</v>
      </c>
      <c r="CS28" s="1482">
        <f t="shared" ca="1" si="75"/>
        <v>0</v>
      </c>
      <c r="CT28" s="1482">
        <f t="shared" ca="1" si="75"/>
        <v>0</v>
      </c>
      <c r="CU28" s="1482">
        <f t="shared" ca="1" si="75"/>
        <v>52.294879410208601</v>
      </c>
      <c r="CV28" s="1482">
        <f t="shared" ca="1" si="75"/>
        <v>6.5106918418538495E-2</v>
      </c>
      <c r="CW28" s="1482">
        <f t="shared" ca="1" si="75"/>
        <v>0.94089203753715678</v>
      </c>
      <c r="CX28" s="1482">
        <f t="shared" ca="1" si="75"/>
        <v>0</v>
      </c>
      <c r="CY28" s="1482">
        <f t="shared" ca="1" si="75"/>
        <v>0</v>
      </c>
      <c r="CZ28" s="1482">
        <f t="shared" ca="1" si="75"/>
        <v>0</v>
      </c>
      <c r="DA28" s="1482">
        <f t="shared" ca="1" si="75"/>
        <v>0</v>
      </c>
      <c r="DB28" s="1482">
        <f t="shared" ca="1" si="75"/>
        <v>0</v>
      </c>
      <c r="DC28" s="1482">
        <f t="shared" ca="1" si="75"/>
        <v>0</v>
      </c>
      <c r="DD28" s="1482">
        <f t="shared" ca="1" si="75"/>
        <v>0</v>
      </c>
      <c r="DE28" s="1482">
        <f t="shared" ca="1" si="75"/>
        <v>0</v>
      </c>
      <c r="DF28" s="1482">
        <f t="shared" ca="1" si="75"/>
        <v>0</v>
      </c>
      <c r="DH28" s="838">
        <f t="shared" ca="1" si="36"/>
        <v>53.300878366164291</v>
      </c>
    </row>
    <row r="29" spans="1:112" s="743" customFormat="1" ht="12.75" hidden="1" customHeight="1" outlineLevel="2">
      <c r="A29" s="1480"/>
      <c r="B29" s="1480"/>
      <c r="C29" s="746" t="s">
        <v>957</v>
      </c>
      <c r="D29" s="523" t="str">
        <f>INDEX(Modules[Module], MATCH($C29, Modules[Code], 0))</f>
        <v>International shipping (maritime bunkers)</v>
      </c>
      <c r="E29" s="1006"/>
      <c r="G29" s="1017">
        <f t="shared" ref="G29:P30" ca="1" si="76">IFERROR(INDEX(INDIRECT($C29&amp;".Outputs["&amp;this.Year&amp;"]"), MATCH(G$5, INDIRECT($C29&amp;".Outputs[Vector]"), 0)), 0)</f>
        <v>0</v>
      </c>
      <c r="H29" s="1017">
        <f t="shared" ca="1" si="76"/>
        <v>0</v>
      </c>
      <c r="I29" s="1017">
        <f t="shared" ca="1" si="76"/>
        <v>0</v>
      </c>
      <c r="J29" s="1017">
        <f t="shared" ca="1" si="76"/>
        <v>0</v>
      </c>
      <c r="K29" s="1017">
        <f t="shared" ca="1" si="76"/>
        <v>0</v>
      </c>
      <c r="L29" s="1017">
        <f t="shared" ca="1" si="76"/>
        <v>0</v>
      </c>
      <c r="M29" s="1017">
        <f t="shared" ca="1" si="76"/>
        <v>0</v>
      </c>
      <c r="N29" s="1017">
        <f t="shared" ca="1" si="76"/>
        <v>0</v>
      </c>
      <c r="O29" s="1017">
        <f t="shared" ca="1" si="76"/>
        <v>109.26267678014634</v>
      </c>
      <c r="P29" s="1017">
        <f t="shared" ca="1" si="76"/>
        <v>0</v>
      </c>
      <c r="Q29" s="1019">
        <f t="shared" ca="1" si="70"/>
        <v>109.26267678014634</v>
      </c>
      <c r="S29" s="1026">
        <f t="shared" ca="1" si="59"/>
        <v>0</v>
      </c>
      <c r="T29" s="1026">
        <f t="shared" ca="1" si="59"/>
        <v>0</v>
      </c>
      <c r="U29" s="1026">
        <f t="shared" ca="1" si="59"/>
        <v>0</v>
      </c>
      <c r="V29" s="1026">
        <f t="shared" ca="1" si="59"/>
        <v>-109.26267678014634</v>
      </c>
      <c r="W29" s="1026">
        <f t="shared" ca="1" si="59"/>
        <v>0</v>
      </c>
      <c r="X29" s="1026">
        <f t="shared" ref="X29:Z30" ca="1" si="77">IFERROR(INDEX(INDIRECT($C29&amp;".Outputs["&amp;this.Year&amp;"]"), MATCH(X$5, INDIRECT($C29&amp;".Outputs[Vector]"), 0)), 0)</f>
        <v>0</v>
      </c>
      <c r="Y29" s="1026">
        <f t="shared" ca="1" si="77"/>
        <v>0</v>
      </c>
      <c r="Z29" s="1026">
        <f t="shared" ca="1" si="77"/>
        <v>0</v>
      </c>
      <c r="AA29" s="1026">
        <f t="shared" ca="1" si="59"/>
        <v>0</v>
      </c>
      <c r="AB29" s="1026">
        <f t="shared" ca="1" si="59"/>
        <v>0</v>
      </c>
      <c r="AC29" s="1026">
        <f t="shared" ca="1" si="59"/>
        <v>0</v>
      </c>
      <c r="AD29" s="1026">
        <f t="shared" ca="1" si="59"/>
        <v>0</v>
      </c>
      <c r="AE29" s="1026">
        <f t="shared" ca="1" si="59"/>
        <v>0</v>
      </c>
      <c r="AF29" s="1026">
        <f t="shared" ca="1" si="59"/>
        <v>0</v>
      </c>
      <c r="AG29" s="1026">
        <f t="shared" ca="1" si="59"/>
        <v>0</v>
      </c>
      <c r="AH29" s="1026">
        <f t="shared" ca="1" si="59"/>
        <v>0</v>
      </c>
      <c r="AI29" s="1026">
        <f t="shared" ca="1" si="59"/>
        <v>0</v>
      </c>
      <c r="AJ29" s="1026">
        <f t="shared" ca="1" si="59"/>
        <v>0</v>
      </c>
      <c r="AK29" s="1027">
        <f t="shared" ca="1" si="61"/>
        <v>-109.26267678014634</v>
      </c>
      <c r="AM29" s="1038">
        <f t="shared" ref="AM29:AU30" ca="1" si="78">IFERROR(INDEX(INDIRECT($C29&amp;".Outputs["&amp;this.Year&amp;"]"), MATCH(AM$5, INDIRECT($C29&amp;".Outputs[Vector]"), 0)), 0)</f>
        <v>0</v>
      </c>
      <c r="AN29" s="1038">
        <f t="shared" ca="1" si="78"/>
        <v>0</v>
      </c>
      <c r="AO29" s="1038">
        <f t="shared" ca="1" si="78"/>
        <v>0</v>
      </c>
      <c r="AP29" s="1038">
        <f t="shared" ca="1" si="78"/>
        <v>0</v>
      </c>
      <c r="AQ29" s="1038">
        <f t="shared" ca="1" si="78"/>
        <v>0</v>
      </c>
      <c r="AR29" s="1038">
        <f t="shared" ca="1" si="78"/>
        <v>0</v>
      </c>
      <c r="AS29" s="1038">
        <f t="shared" ca="1" si="78"/>
        <v>0</v>
      </c>
      <c r="AT29" s="1038">
        <f t="shared" ca="1" si="78"/>
        <v>0</v>
      </c>
      <c r="AU29" s="1038">
        <f t="shared" ca="1" si="78"/>
        <v>0</v>
      </c>
      <c r="AV29" s="1038">
        <f t="shared" ca="1" si="59"/>
        <v>0</v>
      </c>
      <c r="AW29" s="1038">
        <f t="shared" ca="1" si="59"/>
        <v>0</v>
      </c>
      <c r="AX29" s="1038">
        <f t="shared" ca="1" si="59"/>
        <v>0</v>
      </c>
      <c r="AY29" s="1038">
        <f t="shared" ca="1" si="59"/>
        <v>0</v>
      </c>
      <c r="AZ29" s="1038">
        <f t="shared" ca="1" si="59"/>
        <v>0</v>
      </c>
      <c r="BA29" s="1038">
        <f t="shared" ca="1" si="59"/>
        <v>0</v>
      </c>
      <c r="BB29" s="1038">
        <f t="shared" ca="1" si="59"/>
        <v>0</v>
      </c>
      <c r="BC29" s="1038">
        <f t="shared" ca="1" si="59"/>
        <v>0</v>
      </c>
      <c r="BD29" s="1038">
        <f t="shared" ca="1" si="59"/>
        <v>0</v>
      </c>
      <c r="BE29" s="1038">
        <f t="shared" ca="1" si="59"/>
        <v>0</v>
      </c>
      <c r="BF29" s="979">
        <f t="shared" ca="1" si="63"/>
        <v>0</v>
      </c>
      <c r="BH29" s="1032">
        <f t="shared" ca="1" si="64"/>
        <v>0</v>
      </c>
      <c r="BI29" s="1032">
        <f t="shared" ca="1" si="64"/>
        <v>0</v>
      </c>
      <c r="BJ29" s="1034">
        <f t="shared" ca="1" si="65"/>
        <v>0</v>
      </c>
      <c r="BL29" s="814">
        <f t="shared" ca="1" si="9"/>
        <v>0</v>
      </c>
      <c r="BM29" s="814"/>
      <c r="BN29" s="840"/>
      <c r="BO29" s="1481">
        <f t="shared" ref="BO29:BX30" ca="1" si="79">IFERROR(SUMIFS(INDIRECT($C29&amp;".Emissions["&amp;this.Year&amp;"]"), INDIRECT($C29&amp;".Emissions[GHG]"), BO$6, INDIRECT($C29&amp;".Emissions[IPCC Sector]"), BO$5),0)</f>
        <v>0</v>
      </c>
      <c r="BP29" s="1482">
        <f t="shared" ca="1" si="79"/>
        <v>0</v>
      </c>
      <c r="BQ29" s="1482">
        <f t="shared" ca="1" si="79"/>
        <v>0</v>
      </c>
      <c r="BR29" s="1482">
        <f t="shared" ca="1" si="79"/>
        <v>0</v>
      </c>
      <c r="BS29" s="1482">
        <f t="shared" ca="1" si="79"/>
        <v>0</v>
      </c>
      <c r="BT29" s="1482">
        <f t="shared" ca="1" si="79"/>
        <v>0</v>
      </c>
      <c r="BU29" s="1482">
        <f t="shared" ca="1" si="79"/>
        <v>0</v>
      </c>
      <c r="BV29" s="1482">
        <f t="shared" ca="1" si="79"/>
        <v>0</v>
      </c>
      <c r="BW29" s="1482">
        <f t="shared" ca="1" si="79"/>
        <v>0</v>
      </c>
      <c r="BX29" s="1482">
        <f t="shared" ca="1" si="79"/>
        <v>0</v>
      </c>
      <c r="BY29" s="1482">
        <f t="shared" ref="BY29:CH30" ca="1" si="80">IFERROR(SUMIFS(INDIRECT($C29&amp;".Emissions["&amp;this.Year&amp;"]"), INDIRECT($C29&amp;".Emissions[GHG]"), BY$6, INDIRECT($C29&amp;".Emissions[IPCC Sector]"), BY$5),0)</f>
        <v>0</v>
      </c>
      <c r="BZ29" s="1482">
        <f t="shared" ca="1" si="80"/>
        <v>0</v>
      </c>
      <c r="CA29" s="1482">
        <f t="shared" ca="1" si="80"/>
        <v>0</v>
      </c>
      <c r="CB29" s="1482">
        <f t="shared" ca="1" si="80"/>
        <v>0</v>
      </c>
      <c r="CC29" s="1482">
        <f t="shared" ca="1" si="80"/>
        <v>0</v>
      </c>
      <c r="CD29" s="1482">
        <f t="shared" ca="1" si="80"/>
        <v>0</v>
      </c>
      <c r="CE29" s="1482">
        <f t="shared" ca="1" si="80"/>
        <v>0</v>
      </c>
      <c r="CF29" s="1482">
        <f t="shared" ca="1" si="80"/>
        <v>0</v>
      </c>
      <c r="CG29" s="1482">
        <f t="shared" ca="1" si="80"/>
        <v>0</v>
      </c>
      <c r="CH29" s="1482">
        <f t="shared" ca="1" si="80"/>
        <v>0</v>
      </c>
      <c r="CI29" s="1482">
        <f t="shared" ref="CI29:CR30" ca="1" si="81">IFERROR(SUMIFS(INDIRECT($C29&amp;".Emissions["&amp;this.Year&amp;"]"), INDIRECT($C29&amp;".Emissions[GHG]"), CI$6, INDIRECT($C29&amp;".Emissions[IPCC Sector]"), CI$5),0)</f>
        <v>0</v>
      </c>
      <c r="CJ29" s="1482">
        <f t="shared" ca="1" si="81"/>
        <v>0</v>
      </c>
      <c r="CK29" s="1482">
        <f t="shared" ca="1" si="81"/>
        <v>0</v>
      </c>
      <c r="CL29" s="1482">
        <f t="shared" ca="1" si="81"/>
        <v>0</v>
      </c>
      <c r="CM29" s="1482">
        <f t="shared" ca="1" si="81"/>
        <v>0</v>
      </c>
      <c r="CN29" s="1482">
        <f t="shared" ca="1" si="81"/>
        <v>0</v>
      </c>
      <c r="CO29" s="1482">
        <f t="shared" ca="1" si="81"/>
        <v>0</v>
      </c>
      <c r="CP29" s="1482">
        <f t="shared" ca="1" si="81"/>
        <v>0</v>
      </c>
      <c r="CQ29" s="1482">
        <f t="shared" ca="1" si="81"/>
        <v>0</v>
      </c>
      <c r="CR29" s="1482">
        <f t="shared" ca="1" si="81"/>
        <v>0</v>
      </c>
      <c r="CS29" s="1482">
        <f t="shared" ref="CS29:DF30" ca="1" si="82">IFERROR(SUMIFS(INDIRECT($C29&amp;".Emissions["&amp;this.Year&amp;"]"), INDIRECT($C29&amp;".Emissions[GHG]"), CS$6, INDIRECT($C29&amp;".Emissions[IPCC Sector]"), CS$5),0)</f>
        <v>0</v>
      </c>
      <c r="CT29" s="1482">
        <f t="shared" ca="1" si="82"/>
        <v>0</v>
      </c>
      <c r="CU29" s="1482">
        <f t="shared" ca="1" si="82"/>
        <v>27.315669195036584</v>
      </c>
      <c r="CV29" s="1482">
        <f t="shared" ca="1" si="82"/>
        <v>3.4007900312355607E-2</v>
      </c>
      <c r="CW29" s="1482">
        <f t="shared" ca="1" si="82"/>
        <v>0.49146486110056409</v>
      </c>
      <c r="CX29" s="1482">
        <f t="shared" ca="1" si="82"/>
        <v>0</v>
      </c>
      <c r="CY29" s="1482">
        <f t="shared" ca="1" si="82"/>
        <v>0</v>
      </c>
      <c r="CZ29" s="1482">
        <f t="shared" ca="1" si="82"/>
        <v>0</v>
      </c>
      <c r="DA29" s="1482">
        <f t="shared" ca="1" si="82"/>
        <v>0</v>
      </c>
      <c r="DB29" s="1482">
        <f t="shared" ca="1" si="82"/>
        <v>0</v>
      </c>
      <c r="DC29" s="1482">
        <f t="shared" ca="1" si="82"/>
        <v>0</v>
      </c>
      <c r="DD29" s="1482">
        <f t="shared" ca="1" si="82"/>
        <v>0</v>
      </c>
      <c r="DE29" s="1482">
        <f t="shared" ca="1" si="82"/>
        <v>0</v>
      </c>
      <c r="DF29" s="1482">
        <f t="shared" ca="1" si="82"/>
        <v>0</v>
      </c>
      <c r="DH29" s="838">
        <f t="shared" ca="1" si="36"/>
        <v>27.841141956449505</v>
      </c>
    </row>
    <row r="30" spans="1:112" s="743" customFormat="1" ht="10.5" hidden="1" customHeight="1" outlineLevel="2">
      <c r="A30" s="1483"/>
      <c r="B30" s="1483"/>
      <c r="C30" s="1009" t="s">
        <v>959</v>
      </c>
      <c r="D30" s="1005" t="str">
        <f>INDEX(Modules[Module], MATCH($C30, Modules[Code], 0))</f>
        <v>National navigation [UNUSED - see XII.a]</v>
      </c>
      <c r="E30" s="1006"/>
      <c r="G30" s="1018">
        <f t="shared" ca="1" si="76"/>
        <v>0</v>
      </c>
      <c r="H30" s="1018">
        <f t="shared" ca="1" si="76"/>
        <v>0</v>
      </c>
      <c r="I30" s="1018">
        <f t="shared" ca="1" si="76"/>
        <v>0</v>
      </c>
      <c r="J30" s="1018">
        <f t="shared" ca="1" si="76"/>
        <v>0</v>
      </c>
      <c r="K30" s="1018">
        <f t="shared" ca="1" si="76"/>
        <v>0</v>
      </c>
      <c r="L30" s="1018">
        <f t="shared" ca="1" si="76"/>
        <v>0</v>
      </c>
      <c r="M30" s="1018">
        <f t="shared" ca="1" si="76"/>
        <v>0</v>
      </c>
      <c r="N30" s="1018">
        <f t="shared" ca="1" si="76"/>
        <v>0</v>
      </c>
      <c r="O30" s="1018">
        <f t="shared" ca="1" si="76"/>
        <v>0</v>
      </c>
      <c r="P30" s="1018">
        <f t="shared" ca="1" si="76"/>
        <v>0</v>
      </c>
      <c r="Q30" s="1024">
        <f t="shared" ca="1" si="70"/>
        <v>0</v>
      </c>
      <c r="S30" s="1028">
        <f t="shared" ca="1" si="59"/>
        <v>0</v>
      </c>
      <c r="T30" s="1028">
        <f t="shared" ca="1" si="59"/>
        <v>0</v>
      </c>
      <c r="U30" s="1028">
        <f t="shared" ca="1" si="59"/>
        <v>0</v>
      </c>
      <c r="V30" s="1028">
        <f t="shared" ca="1" si="59"/>
        <v>0</v>
      </c>
      <c r="W30" s="1028">
        <f t="shared" ca="1" si="59"/>
        <v>0</v>
      </c>
      <c r="X30" s="1028">
        <f t="shared" ca="1" si="77"/>
        <v>0</v>
      </c>
      <c r="Y30" s="1028">
        <f t="shared" ca="1" si="77"/>
        <v>0</v>
      </c>
      <c r="Z30" s="1028">
        <f t="shared" ca="1" si="77"/>
        <v>0</v>
      </c>
      <c r="AA30" s="1028">
        <f t="shared" ca="1" si="59"/>
        <v>0</v>
      </c>
      <c r="AB30" s="1028">
        <f t="shared" ca="1" si="59"/>
        <v>0</v>
      </c>
      <c r="AC30" s="1028">
        <f t="shared" ca="1" si="59"/>
        <v>0</v>
      </c>
      <c r="AD30" s="1028">
        <f t="shared" ca="1" si="59"/>
        <v>0</v>
      </c>
      <c r="AE30" s="1028">
        <f t="shared" ca="1" si="59"/>
        <v>0</v>
      </c>
      <c r="AF30" s="1028">
        <f t="shared" ca="1" si="59"/>
        <v>0</v>
      </c>
      <c r="AG30" s="1028">
        <f t="shared" ca="1" si="59"/>
        <v>0</v>
      </c>
      <c r="AH30" s="1028">
        <f t="shared" ca="1" si="59"/>
        <v>0</v>
      </c>
      <c r="AI30" s="1028">
        <f t="shared" ca="1" si="59"/>
        <v>0</v>
      </c>
      <c r="AJ30" s="1028">
        <f t="shared" ca="1" si="59"/>
        <v>0</v>
      </c>
      <c r="AK30" s="1029">
        <f t="shared" ca="1" si="61"/>
        <v>0</v>
      </c>
      <c r="AM30" s="1039">
        <f t="shared" ca="1" si="78"/>
        <v>0</v>
      </c>
      <c r="AN30" s="1039">
        <f t="shared" ca="1" si="78"/>
        <v>0</v>
      </c>
      <c r="AO30" s="1039">
        <f t="shared" ca="1" si="78"/>
        <v>0</v>
      </c>
      <c r="AP30" s="1039">
        <f t="shared" ca="1" si="78"/>
        <v>0</v>
      </c>
      <c r="AQ30" s="1039">
        <f t="shared" ca="1" si="78"/>
        <v>0</v>
      </c>
      <c r="AR30" s="1039">
        <f t="shared" ca="1" si="78"/>
        <v>0</v>
      </c>
      <c r="AS30" s="1039">
        <f t="shared" ca="1" si="78"/>
        <v>0</v>
      </c>
      <c r="AT30" s="1039">
        <f t="shared" ca="1" si="78"/>
        <v>0</v>
      </c>
      <c r="AU30" s="1039">
        <f t="shared" ca="1" si="78"/>
        <v>0</v>
      </c>
      <c r="AV30" s="1039">
        <f t="shared" ca="1" si="59"/>
        <v>0</v>
      </c>
      <c r="AW30" s="1039">
        <f t="shared" ca="1" si="59"/>
        <v>0</v>
      </c>
      <c r="AX30" s="1039">
        <f t="shared" ca="1" si="59"/>
        <v>0</v>
      </c>
      <c r="AY30" s="1039">
        <f t="shared" ca="1" si="59"/>
        <v>0</v>
      </c>
      <c r="AZ30" s="1039">
        <f t="shared" ca="1" si="59"/>
        <v>0</v>
      </c>
      <c r="BA30" s="1039">
        <f t="shared" ca="1" si="59"/>
        <v>0</v>
      </c>
      <c r="BB30" s="1039">
        <f t="shared" ca="1" si="59"/>
        <v>0</v>
      </c>
      <c r="BC30" s="1039">
        <f t="shared" ca="1" si="59"/>
        <v>0</v>
      </c>
      <c r="BD30" s="1039">
        <f t="shared" ca="1" si="59"/>
        <v>0</v>
      </c>
      <c r="BE30" s="1039">
        <f t="shared" ca="1" si="59"/>
        <v>0</v>
      </c>
      <c r="BF30" s="1008">
        <f t="shared" ca="1" si="63"/>
        <v>0</v>
      </c>
      <c r="BH30" s="1033">
        <f t="shared" ca="1" si="64"/>
        <v>0</v>
      </c>
      <c r="BI30" s="1033">
        <f t="shared" ca="1" si="64"/>
        <v>0</v>
      </c>
      <c r="BJ30" s="1044">
        <f t="shared" ca="1" si="65"/>
        <v>0</v>
      </c>
      <c r="BL30" s="1007">
        <f t="shared" ca="1" si="9"/>
        <v>0</v>
      </c>
      <c r="BM30" s="1007"/>
      <c r="BN30" s="840"/>
      <c r="BO30" s="1481">
        <f t="shared" ca="1" si="79"/>
        <v>0</v>
      </c>
      <c r="BP30" s="1482">
        <f t="shared" ca="1" si="79"/>
        <v>0</v>
      </c>
      <c r="BQ30" s="1482">
        <f t="shared" ca="1" si="79"/>
        <v>0</v>
      </c>
      <c r="BR30" s="1482">
        <f t="shared" ca="1" si="79"/>
        <v>0</v>
      </c>
      <c r="BS30" s="1482">
        <f t="shared" ca="1" si="79"/>
        <v>0</v>
      </c>
      <c r="BT30" s="1482">
        <f t="shared" ca="1" si="79"/>
        <v>0</v>
      </c>
      <c r="BU30" s="1482">
        <f t="shared" ca="1" si="79"/>
        <v>0</v>
      </c>
      <c r="BV30" s="1482">
        <f t="shared" ca="1" si="79"/>
        <v>0</v>
      </c>
      <c r="BW30" s="1482">
        <f t="shared" ca="1" si="79"/>
        <v>0</v>
      </c>
      <c r="BX30" s="1482">
        <f t="shared" ca="1" si="79"/>
        <v>0</v>
      </c>
      <c r="BY30" s="1482">
        <f t="shared" ca="1" si="80"/>
        <v>0</v>
      </c>
      <c r="BZ30" s="1482">
        <f t="shared" ca="1" si="80"/>
        <v>0</v>
      </c>
      <c r="CA30" s="1482">
        <f t="shared" ca="1" si="80"/>
        <v>0</v>
      </c>
      <c r="CB30" s="1482">
        <f t="shared" ca="1" si="80"/>
        <v>0</v>
      </c>
      <c r="CC30" s="1482">
        <f t="shared" ca="1" si="80"/>
        <v>0</v>
      </c>
      <c r="CD30" s="1482">
        <f t="shared" ca="1" si="80"/>
        <v>0</v>
      </c>
      <c r="CE30" s="1482">
        <f t="shared" ca="1" si="80"/>
        <v>0</v>
      </c>
      <c r="CF30" s="1482">
        <f t="shared" ca="1" si="80"/>
        <v>0</v>
      </c>
      <c r="CG30" s="1482">
        <f t="shared" ca="1" si="80"/>
        <v>0</v>
      </c>
      <c r="CH30" s="1482">
        <f t="shared" ca="1" si="80"/>
        <v>0</v>
      </c>
      <c r="CI30" s="1482">
        <f t="shared" ca="1" si="81"/>
        <v>0</v>
      </c>
      <c r="CJ30" s="1482">
        <f t="shared" ca="1" si="81"/>
        <v>0</v>
      </c>
      <c r="CK30" s="1482">
        <f t="shared" ca="1" si="81"/>
        <v>0</v>
      </c>
      <c r="CL30" s="1482">
        <f t="shared" ca="1" si="81"/>
        <v>0</v>
      </c>
      <c r="CM30" s="1482">
        <f t="shared" ca="1" si="81"/>
        <v>0</v>
      </c>
      <c r="CN30" s="1482">
        <f t="shared" ca="1" si="81"/>
        <v>0</v>
      </c>
      <c r="CO30" s="1482">
        <f t="shared" ca="1" si="81"/>
        <v>0</v>
      </c>
      <c r="CP30" s="1482">
        <f t="shared" ca="1" si="81"/>
        <v>0</v>
      </c>
      <c r="CQ30" s="1482">
        <f t="shared" ca="1" si="81"/>
        <v>0</v>
      </c>
      <c r="CR30" s="1482">
        <f t="shared" ca="1" si="81"/>
        <v>0</v>
      </c>
      <c r="CS30" s="1482">
        <f t="shared" ca="1" si="82"/>
        <v>0</v>
      </c>
      <c r="CT30" s="1482">
        <f t="shared" ca="1" si="82"/>
        <v>0</v>
      </c>
      <c r="CU30" s="1482">
        <f t="shared" ca="1" si="82"/>
        <v>0</v>
      </c>
      <c r="CV30" s="1482">
        <f t="shared" ca="1" si="82"/>
        <v>0</v>
      </c>
      <c r="CW30" s="1482">
        <f t="shared" ca="1" si="82"/>
        <v>0</v>
      </c>
      <c r="CX30" s="1482">
        <f t="shared" ca="1" si="82"/>
        <v>0</v>
      </c>
      <c r="CY30" s="1482">
        <f t="shared" ca="1" si="82"/>
        <v>0</v>
      </c>
      <c r="CZ30" s="1482">
        <f t="shared" ca="1" si="82"/>
        <v>0</v>
      </c>
      <c r="DA30" s="1482">
        <f t="shared" ca="1" si="82"/>
        <v>0</v>
      </c>
      <c r="DB30" s="1482">
        <f t="shared" ca="1" si="82"/>
        <v>0</v>
      </c>
      <c r="DC30" s="1482">
        <f t="shared" ca="1" si="82"/>
        <v>0</v>
      </c>
      <c r="DD30" s="1482">
        <f t="shared" ca="1" si="82"/>
        <v>0</v>
      </c>
      <c r="DE30" s="1482">
        <f t="shared" ca="1" si="82"/>
        <v>0</v>
      </c>
      <c r="DF30" s="1482">
        <f t="shared" ca="1" si="82"/>
        <v>0</v>
      </c>
      <c r="DH30" s="838">
        <f t="shared" ca="1" si="36"/>
        <v>0</v>
      </c>
    </row>
    <row r="31" spans="1:112" s="743" customFormat="1" ht="11.25" hidden="1" customHeight="1" outlineLevel="1">
      <c r="A31" s="1484"/>
      <c r="B31" s="1484"/>
      <c r="C31" s="746"/>
      <c r="D31" s="1011" t="s">
        <v>961</v>
      </c>
      <c r="E31" s="1010"/>
      <c r="G31" s="1020">
        <f ca="1">SUM(G29:G30)</f>
        <v>0</v>
      </c>
      <c r="H31" s="1020">
        <f t="shared" ref="H31:P31" ca="1" si="83">SUM(H29:H30)</f>
        <v>0</v>
      </c>
      <c r="I31" s="1020">
        <f t="shared" ca="1" si="83"/>
        <v>0</v>
      </c>
      <c r="J31" s="1020">
        <f t="shared" ca="1" si="83"/>
        <v>0</v>
      </c>
      <c r="K31" s="1020">
        <f t="shared" ca="1" si="83"/>
        <v>0</v>
      </c>
      <c r="L31" s="1020">
        <f t="shared" ca="1" si="83"/>
        <v>0</v>
      </c>
      <c r="M31" s="1020">
        <f t="shared" ca="1" si="83"/>
        <v>0</v>
      </c>
      <c r="N31" s="1020">
        <f t="shared" ca="1" si="83"/>
        <v>0</v>
      </c>
      <c r="O31" s="1020">
        <f t="shared" ca="1" si="83"/>
        <v>109.26267678014634</v>
      </c>
      <c r="P31" s="1020">
        <f t="shared" ca="1" si="83"/>
        <v>0</v>
      </c>
      <c r="Q31" s="1020">
        <f t="shared" ca="1" si="70"/>
        <v>109.26267678014634</v>
      </c>
      <c r="S31" s="1030">
        <f t="shared" ref="S31:Z31" ca="1" si="84">SUM(S29:S30)</f>
        <v>0</v>
      </c>
      <c r="T31" s="1030">
        <f t="shared" ca="1" si="84"/>
        <v>0</v>
      </c>
      <c r="U31" s="1030">
        <f t="shared" ca="1" si="84"/>
        <v>0</v>
      </c>
      <c r="V31" s="1030">
        <f t="shared" ca="1" si="84"/>
        <v>-109.26267678014634</v>
      </c>
      <c r="W31" s="1030">
        <f t="shared" ca="1" si="84"/>
        <v>0</v>
      </c>
      <c r="X31" s="1132">
        <f t="shared" ca="1" si="84"/>
        <v>0</v>
      </c>
      <c r="Y31" s="1132">
        <f t="shared" ca="1" si="84"/>
        <v>0</v>
      </c>
      <c r="Z31" s="1132">
        <f t="shared" ca="1" si="84"/>
        <v>0</v>
      </c>
      <c r="AA31" s="1030">
        <f t="shared" ref="AA31:AJ31" ca="1" si="85">SUM(AA29:AA30)</f>
        <v>0</v>
      </c>
      <c r="AB31" s="1030">
        <f t="shared" ca="1" si="85"/>
        <v>0</v>
      </c>
      <c r="AC31" s="1030">
        <f t="shared" ca="1" si="85"/>
        <v>0</v>
      </c>
      <c r="AD31" s="1030">
        <f ca="1">SUM(AD29:AD30)</f>
        <v>0</v>
      </c>
      <c r="AE31" s="1030">
        <f ca="1">SUM(AE29:AE30)</f>
        <v>0</v>
      </c>
      <c r="AF31" s="1030">
        <f t="shared" ca="1" si="85"/>
        <v>0</v>
      </c>
      <c r="AG31" s="1030">
        <f ca="1">SUM(AG29:AG30)</f>
        <v>0</v>
      </c>
      <c r="AH31" s="1030">
        <f ca="1">SUM(AH29:AH30)</f>
        <v>0</v>
      </c>
      <c r="AI31" s="1030">
        <f ca="1">SUM(AI29:AI30)</f>
        <v>0</v>
      </c>
      <c r="AJ31" s="1030">
        <f t="shared" ca="1" si="85"/>
        <v>0</v>
      </c>
      <c r="AK31" s="1030">
        <f t="shared" ca="1" si="61"/>
        <v>-109.26267678014634</v>
      </c>
      <c r="AM31" s="1043">
        <f t="shared" ref="AM31:BE31" ca="1" si="86">SUM(AM29:AM30)</f>
        <v>0</v>
      </c>
      <c r="AN31" s="1043">
        <f t="shared" ca="1" si="86"/>
        <v>0</v>
      </c>
      <c r="AO31" s="1043">
        <f t="shared" ca="1" si="86"/>
        <v>0</v>
      </c>
      <c r="AP31" s="1043">
        <f t="shared" ca="1" si="86"/>
        <v>0</v>
      </c>
      <c r="AQ31" s="1043">
        <f t="shared" ca="1" si="86"/>
        <v>0</v>
      </c>
      <c r="AR31" s="1043">
        <f t="shared" ca="1" si="86"/>
        <v>0</v>
      </c>
      <c r="AS31" s="1043">
        <f t="shared" ca="1" si="86"/>
        <v>0</v>
      </c>
      <c r="AT31" s="1043">
        <f t="shared" ca="1" si="86"/>
        <v>0</v>
      </c>
      <c r="AU31" s="1043">
        <f t="shared" ca="1" si="86"/>
        <v>0</v>
      </c>
      <c r="AV31" s="1043">
        <f t="shared" ca="1" si="86"/>
        <v>0</v>
      </c>
      <c r="AW31" s="1043">
        <f t="shared" ca="1" si="86"/>
        <v>0</v>
      </c>
      <c r="AX31" s="1043">
        <f t="shared" ca="1" si="86"/>
        <v>0</v>
      </c>
      <c r="AY31" s="1043">
        <f t="shared" ca="1" si="86"/>
        <v>0</v>
      </c>
      <c r="AZ31" s="1043">
        <f t="shared" ca="1" si="86"/>
        <v>0</v>
      </c>
      <c r="BA31" s="1043">
        <f t="shared" ca="1" si="86"/>
        <v>0</v>
      </c>
      <c r="BB31" s="1043">
        <f t="shared" ca="1" si="86"/>
        <v>0</v>
      </c>
      <c r="BC31" s="1043">
        <f t="shared" ca="1" si="86"/>
        <v>0</v>
      </c>
      <c r="BD31" s="1043">
        <f t="shared" ca="1" si="86"/>
        <v>0</v>
      </c>
      <c r="BE31" s="1043">
        <f t="shared" ca="1" si="86"/>
        <v>0</v>
      </c>
      <c r="BF31" s="1013">
        <f t="shared" ca="1" si="63"/>
        <v>0</v>
      </c>
      <c r="BH31" s="1037">
        <f ca="1">SUM(BH29:BH30)</f>
        <v>0</v>
      </c>
      <c r="BI31" s="1037">
        <f ca="1">SUM(BI29:BI30)</f>
        <v>0</v>
      </c>
      <c r="BJ31" s="1035">
        <f t="shared" ca="1" si="65"/>
        <v>0</v>
      </c>
      <c r="BL31" s="524">
        <f t="shared" ca="1" si="9"/>
        <v>0</v>
      </c>
      <c r="BM31" s="524"/>
      <c r="BN31" s="1484"/>
      <c r="BO31" s="1485">
        <f t="shared" ref="BO31:DF31" ca="1" si="87">SUM(BO29:BO30)</f>
        <v>0</v>
      </c>
      <c r="BP31" s="1486">
        <f t="shared" ca="1" si="87"/>
        <v>0</v>
      </c>
      <c r="BQ31" s="1486">
        <f t="shared" ca="1" si="87"/>
        <v>0</v>
      </c>
      <c r="BR31" s="1486">
        <f t="shared" ca="1" si="87"/>
        <v>0</v>
      </c>
      <c r="BS31" s="1486">
        <f t="shared" ca="1" si="87"/>
        <v>0</v>
      </c>
      <c r="BT31" s="1486">
        <f t="shared" ca="1" si="87"/>
        <v>0</v>
      </c>
      <c r="BU31" s="1486">
        <f t="shared" ca="1" si="87"/>
        <v>0</v>
      </c>
      <c r="BV31" s="1486">
        <f t="shared" ca="1" si="87"/>
        <v>0</v>
      </c>
      <c r="BW31" s="1486">
        <f t="shared" ca="1" si="87"/>
        <v>0</v>
      </c>
      <c r="BX31" s="1486">
        <f t="shared" ca="1" si="87"/>
        <v>0</v>
      </c>
      <c r="BY31" s="1486">
        <f t="shared" ca="1" si="87"/>
        <v>0</v>
      </c>
      <c r="BZ31" s="1486">
        <f t="shared" ca="1" si="87"/>
        <v>0</v>
      </c>
      <c r="CA31" s="1486">
        <f t="shared" ca="1" si="87"/>
        <v>0</v>
      </c>
      <c r="CB31" s="1486">
        <f t="shared" ca="1" si="87"/>
        <v>0</v>
      </c>
      <c r="CC31" s="1486">
        <f t="shared" ca="1" si="87"/>
        <v>0</v>
      </c>
      <c r="CD31" s="1486">
        <f t="shared" ca="1" si="87"/>
        <v>0</v>
      </c>
      <c r="CE31" s="1486">
        <f t="shared" ca="1" si="87"/>
        <v>0</v>
      </c>
      <c r="CF31" s="1486">
        <f t="shared" ca="1" si="87"/>
        <v>0</v>
      </c>
      <c r="CG31" s="1486">
        <f t="shared" ca="1" si="87"/>
        <v>0</v>
      </c>
      <c r="CH31" s="1486">
        <f t="shared" ca="1" si="87"/>
        <v>0</v>
      </c>
      <c r="CI31" s="1486">
        <f t="shared" ca="1" si="87"/>
        <v>0</v>
      </c>
      <c r="CJ31" s="1486">
        <f t="shared" ca="1" si="87"/>
        <v>0</v>
      </c>
      <c r="CK31" s="1486">
        <f t="shared" ca="1" si="87"/>
        <v>0</v>
      </c>
      <c r="CL31" s="1486">
        <f t="shared" ca="1" si="87"/>
        <v>0</v>
      </c>
      <c r="CM31" s="1486">
        <f t="shared" ca="1" si="87"/>
        <v>0</v>
      </c>
      <c r="CN31" s="1486">
        <f t="shared" ca="1" si="87"/>
        <v>0</v>
      </c>
      <c r="CO31" s="1486">
        <f t="shared" ca="1" si="87"/>
        <v>0</v>
      </c>
      <c r="CP31" s="1486">
        <f t="shared" ca="1" si="87"/>
        <v>0</v>
      </c>
      <c r="CQ31" s="1486">
        <f t="shared" ca="1" si="87"/>
        <v>0</v>
      </c>
      <c r="CR31" s="1486">
        <f t="shared" ca="1" si="87"/>
        <v>0</v>
      </c>
      <c r="CS31" s="1486">
        <f t="shared" ca="1" si="87"/>
        <v>0</v>
      </c>
      <c r="CT31" s="1486">
        <f t="shared" ca="1" si="87"/>
        <v>0</v>
      </c>
      <c r="CU31" s="1486">
        <f t="shared" ca="1" si="87"/>
        <v>27.315669195036584</v>
      </c>
      <c r="CV31" s="1486">
        <f t="shared" ca="1" si="87"/>
        <v>3.4007900312355607E-2</v>
      </c>
      <c r="CW31" s="1486">
        <f t="shared" ca="1" si="87"/>
        <v>0.49146486110056409</v>
      </c>
      <c r="CX31" s="1486">
        <f t="shared" ca="1" si="87"/>
        <v>0</v>
      </c>
      <c r="CY31" s="1486">
        <f t="shared" ca="1" si="87"/>
        <v>0</v>
      </c>
      <c r="CZ31" s="1486">
        <f t="shared" ca="1" si="87"/>
        <v>0</v>
      </c>
      <c r="DA31" s="1486">
        <f t="shared" ca="1" si="87"/>
        <v>0</v>
      </c>
      <c r="DB31" s="1486">
        <f t="shared" ca="1" si="87"/>
        <v>0</v>
      </c>
      <c r="DC31" s="1486">
        <f t="shared" ca="1" si="87"/>
        <v>0</v>
      </c>
      <c r="DD31" s="1486">
        <f t="shared" ca="1" si="87"/>
        <v>0</v>
      </c>
      <c r="DE31" s="1486">
        <f t="shared" ca="1" si="87"/>
        <v>0</v>
      </c>
      <c r="DF31" s="1486">
        <f t="shared" ca="1" si="87"/>
        <v>0</v>
      </c>
      <c r="DH31" s="838">
        <f t="shared" ca="1" si="36"/>
        <v>27.841141956449505</v>
      </c>
    </row>
    <row r="32" spans="1:112" s="743" customFormat="1" ht="15.75" collapsed="1">
      <c r="A32" s="22"/>
      <c r="B32" s="753"/>
      <c r="C32" s="744" t="s">
        <v>679</v>
      </c>
      <c r="D32" s="517" t="str">
        <f>INDEX(Workstreams[Workstream], MATCH($C32, Workstreams[Code], 0))</f>
        <v>Transport</v>
      </c>
      <c r="E32" s="512"/>
      <c r="G32" s="1021">
        <f t="shared" ref="G32:P32" ca="1" si="88">G24+G25+G28+G31</f>
        <v>0</v>
      </c>
      <c r="H32" s="1021">
        <f t="shared" ca="1" si="88"/>
        <v>0</v>
      </c>
      <c r="I32" s="1021">
        <f t="shared" ca="1" si="88"/>
        <v>0</v>
      </c>
      <c r="J32" s="1021">
        <f t="shared" ca="1" si="88"/>
        <v>339.5869111380855</v>
      </c>
      <c r="K32" s="1021">
        <f t="shared" ca="1" si="88"/>
        <v>14.894486251116774</v>
      </c>
      <c r="L32" s="1021">
        <f t="shared" ca="1" si="88"/>
        <v>14.344409418627478</v>
      </c>
      <c r="M32" s="1021">
        <f t="shared" ca="1" si="88"/>
        <v>22.788555765479813</v>
      </c>
      <c r="N32" s="1021">
        <f t="shared" ca="1" si="88"/>
        <v>209.1795176408344</v>
      </c>
      <c r="O32" s="1021">
        <f t="shared" ca="1" si="88"/>
        <v>109.26267678014634</v>
      </c>
      <c r="P32" s="1021">
        <f t="shared" ca="1" si="88"/>
        <v>0</v>
      </c>
      <c r="Q32" s="1021">
        <f t="shared" ca="1" si="70"/>
        <v>710.0565569942903</v>
      </c>
      <c r="S32" s="970">
        <f t="shared" ref="S32:Z32" ca="1" si="89">S24+S25+S28+S31</f>
        <v>-18.686386987278301</v>
      </c>
      <c r="T32" s="970">
        <f t="shared" ca="1" si="89"/>
        <v>0</v>
      </c>
      <c r="U32" s="970">
        <f t="shared" ca="1" si="89"/>
        <v>0</v>
      </c>
      <c r="V32" s="970">
        <f t="shared" ca="1" si="89"/>
        <v>-691.37017000701201</v>
      </c>
      <c r="W32" s="970">
        <f t="shared" ca="1" si="89"/>
        <v>0</v>
      </c>
      <c r="X32" s="970">
        <f t="shared" ca="1" si="89"/>
        <v>0</v>
      </c>
      <c r="Y32" s="970">
        <f t="shared" ca="1" si="89"/>
        <v>0</v>
      </c>
      <c r="Z32" s="970">
        <f t="shared" ca="1" si="89"/>
        <v>0</v>
      </c>
      <c r="AA32" s="970">
        <f t="shared" ref="AA32:AJ32" ca="1" si="90">AA24+AA25+AA28+AA31</f>
        <v>0</v>
      </c>
      <c r="AB32" s="970">
        <f t="shared" ca="1" si="90"/>
        <v>0</v>
      </c>
      <c r="AC32" s="970">
        <f t="shared" ca="1" si="90"/>
        <v>0</v>
      </c>
      <c r="AD32" s="970">
        <f ca="1">AD24+AD25+AD28+AD31</f>
        <v>0</v>
      </c>
      <c r="AE32" s="970">
        <f ca="1">AE24+AE25+AE28+AE31</f>
        <v>0</v>
      </c>
      <c r="AF32" s="970">
        <f t="shared" ca="1" si="90"/>
        <v>0</v>
      </c>
      <c r="AG32" s="970">
        <f ca="1">AG24+AG25+AG28+AG31</f>
        <v>0</v>
      </c>
      <c r="AH32" s="970">
        <f ca="1">AH24+AH25+AH28+AH31</f>
        <v>0</v>
      </c>
      <c r="AI32" s="970">
        <f ca="1">AI24+AI25+AI28+AI31</f>
        <v>0</v>
      </c>
      <c r="AJ32" s="970">
        <f t="shared" ca="1" si="90"/>
        <v>0</v>
      </c>
      <c r="AK32" s="970">
        <f t="shared" ca="1" si="61"/>
        <v>-710.0565569942903</v>
      </c>
      <c r="AM32" s="976">
        <f t="shared" ref="AM32:AS32" ca="1" si="91">AM24+AM25+AM28+AM31</f>
        <v>0</v>
      </c>
      <c r="AN32" s="976">
        <f t="shared" ca="1" si="91"/>
        <v>0</v>
      </c>
      <c r="AO32" s="976">
        <f t="shared" ca="1" si="91"/>
        <v>0</v>
      </c>
      <c r="AP32" s="976">
        <f t="shared" ca="1" si="91"/>
        <v>0</v>
      </c>
      <c r="AQ32" s="976">
        <f t="shared" ca="1" si="91"/>
        <v>0</v>
      </c>
      <c r="AR32" s="976">
        <f t="shared" ca="1" si="91"/>
        <v>0</v>
      </c>
      <c r="AS32" s="976">
        <f t="shared" ca="1" si="91"/>
        <v>0</v>
      </c>
      <c r="AT32" s="976">
        <f t="shared" ref="AT32:BE32" ca="1" si="92">AT24+AT25+AT28+AT31</f>
        <v>0</v>
      </c>
      <c r="AU32" s="976">
        <f t="shared" ca="1" si="92"/>
        <v>0</v>
      </c>
      <c r="AV32" s="976">
        <f t="shared" ca="1" si="92"/>
        <v>0</v>
      </c>
      <c r="AW32" s="976">
        <f t="shared" ca="1" si="92"/>
        <v>0</v>
      </c>
      <c r="AX32" s="976">
        <f t="shared" ca="1" si="92"/>
        <v>0</v>
      </c>
      <c r="AY32" s="976">
        <f t="shared" ca="1" si="92"/>
        <v>0</v>
      </c>
      <c r="AZ32" s="976">
        <f t="shared" ca="1" si="92"/>
        <v>0</v>
      </c>
      <c r="BA32" s="976">
        <f t="shared" ca="1" si="92"/>
        <v>0</v>
      </c>
      <c r="BB32" s="976">
        <f t="shared" ca="1" si="92"/>
        <v>0</v>
      </c>
      <c r="BC32" s="976">
        <f t="shared" ca="1" si="92"/>
        <v>0</v>
      </c>
      <c r="BD32" s="976">
        <f t="shared" ca="1" si="92"/>
        <v>0</v>
      </c>
      <c r="BE32" s="976">
        <f t="shared" ca="1" si="92"/>
        <v>0</v>
      </c>
      <c r="BF32" s="976">
        <f t="shared" ca="1" si="63"/>
        <v>0</v>
      </c>
      <c r="BH32" s="990">
        <f ca="1">BH24+BH25+BH28+BH31</f>
        <v>0</v>
      </c>
      <c r="BI32" s="990">
        <f ca="1">BI24+BI25+BI28+BI31</f>
        <v>0</v>
      </c>
      <c r="BJ32" s="990">
        <f t="shared" ca="1" si="65"/>
        <v>0</v>
      </c>
      <c r="BL32" s="515">
        <f t="shared" ca="1" si="9"/>
        <v>0</v>
      </c>
      <c r="BM32" s="515"/>
      <c r="BN32" s="840"/>
      <c r="BO32" s="1482">
        <f t="shared" ref="BO32:DF32" ca="1" si="93">BO24+BO25+BO28+BO31</f>
        <v>93.231993896507817</v>
      </c>
      <c r="BP32" s="1482">
        <f t="shared" ca="1" si="93"/>
        <v>0.11607346434443952</v>
      </c>
      <c r="BQ32" s="1482">
        <f t="shared" ca="1" si="93"/>
        <v>1.677434611003477</v>
      </c>
      <c r="BR32" s="1482">
        <f t="shared" ca="1" si="93"/>
        <v>0</v>
      </c>
      <c r="BS32" s="1482">
        <f t="shared" ca="1" si="93"/>
        <v>0</v>
      </c>
      <c r="BT32" s="1482">
        <f t="shared" ca="1" si="93"/>
        <v>0</v>
      </c>
      <c r="BU32" s="1482">
        <f t="shared" ca="1" si="93"/>
        <v>0</v>
      </c>
      <c r="BV32" s="1482">
        <f t="shared" ca="1" si="93"/>
        <v>0</v>
      </c>
      <c r="BW32" s="1482">
        <f t="shared" ca="1" si="93"/>
        <v>0</v>
      </c>
      <c r="BX32" s="1482">
        <f t="shared" ca="1" si="93"/>
        <v>0</v>
      </c>
      <c r="BY32" s="1482">
        <f t="shared" ca="1" si="93"/>
        <v>0</v>
      </c>
      <c r="BZ32" s="1482">
        <f t="shared" ca="1" si="93"/>
        <v>0</v>
      </c>
      <c r="CA32" s="1482">
        <f t="shared" ca="1" si="93"/>
        <v>0</v>
      </c>
      <c r="CB32" s="1482">
        <f t="shared" ca="1" si="93"/>
        <v>0</v>
      </c>
      <c r="CC32" s="1482">
        <f t="shared" ca="1" si="93"/>
        <v>0</v>
      </c>
      <c r="CD32" s="1482">
        <f t="shared" ca="1" si="93"/>
        <v>0</v>
      </c>
      <c r="CE32" s="1482">
        <f t="shared" ca="1" si="93"/>
        <v>0</v>
      </c>
      <c r="CF32" s="1482">
        <f t="shared" ca="1" si="93"/>
        <v>0</v>
      </c>
      <c r="CG32" s="1482">
        <f t="shared" ca="1" si="93"/>
        <v>0</v>
      </c>
      <c r="CH32" s="1482">
        <f t="shared" ca="1" si="93"/>
        <v>0</v>
      </c>
      <c r="CI32" s="1482">
        <f t="shared" ca="1" si="93"/>
        <v>0</v>
      </c>
      <c r="CJ32" s="1482">
        <f t="shared" ca="1" si="93"/>
        <v>0</v>
      </c>
      <c r="CK32" s="1482">
        <f t="shared" ca="1" si="93"/>
        <v>0</v>
      </c>
      <c r="CL32" s="1482">
        <f t="shared" ca="1" si="93"/>
        <v>0</v>
      </c>
      <c r="CM32" s="1482">
        <f t="shared" ca="1" si="93"/>
        <v>0</v>
      </c>
      <c r="CN32" s="1482">
        <f t="shared" ca="1" si="93"/>
        <v>0</v>
      </c>
      <c r="CO32" s="1482">
        <f t="shared" ca="1" si="93"/>
        <v>0</v>
      </c>
      <c r="CP32" s="1482">
        <f t="shared" ca="1" si="93"/>
        <v>0</v>
      </c>
      <c r="CQ32" s="1482">
        <f t="shared" ca="1" si="93"/>
        <v>0</v>
      </c>
      <c r="CR32" s="1482">
        <f t="shared" ca="1" si="93"/>
        <v>0</v>
      </c>
      <c r="CS32" s="1482">
        <f t="shared" ca="1" si="93"/>
        <v>0</v>
      </c>
      <c r="CT32" s="1482">
        <f t="shared" ca="1" si="93"/>
        <v>0</v>
      </c>
      <c r="CU32" s="1482">
        <f t="shared" ca="1" si="93"/>
        <v>79.610548605245185</v>
      </c>
      <c r="CV32" s="1482">
        <f t="shared" ca="1" si="93"/>
        <v>9.9114818730894103E-2</v>
      </c>
      <c r="CW32" s="1482">
        <f t="shared" ca="1" si="93"/>
        <v>1.4323568986377209</v>
      </c>
      <c r="CX32" s="1482">
        <f t="shared" ca="1" si="93"/>
        <v>0</v>
      </c>
      <c r="CY32" s="1482">
        <f t="shared" ca="1" si="93"/>
        <v>0</v>
      </c>
      <c r="CZ32" s="1482">
        <f t="shared" ca="1" si="93"/>
        <v>0</v>
      </c>
      <c r="DA32" s="1482">
        <f t="shared" ca="1" si="93"/>
        <v>0</v>
      </c>
      <c r="DB32" s="1482">
        <f t="shared" ca="1" si="93"/>
        <v>0</v>
      </c>
      <c r="DC32" s="1482">
        <f t="shared" ca="1" si="93"/>
        <v>0</v>
      </c>
      <c r="DD32" s="1482">
        <f t="shared" ca="1" si="93"/>
        <v>0</v>
      </c>
      <c r="DE32" s="1482">
        <f t="shared" ca="1" si="93"/>
        <v>0</v>
      </c>
      <c r="DF32" s="1482">
        <f t="shared" ca="1" si="93"/>
        <v>0</v>
      </c>
      <c r="DH32" s="838">
        <f t="shared" ca="1" si="36"/>
        <v>176.16752229446953</v>
      </c>
    </row>
    <row r="33" spans="1:112" s="743" customFormat="1" ht="12.75" hidden="1" customHeight="1" outlineLevel="1">
      <c r="A33" s="22"/>
      <c r="B33" s="22"/>
      <c r="C33" s="751"/>
      <c r="D33" s="512"/>
      <c r="E33" s="512"/>
      <c r="G33" s="1021"/>
      <c r="H33" s="1021"/>
      <c r="I33" s="1021"/>
      <c r="J33" s="1021"/>
      <c r="K33" s="1021"/>
      <c r="L33" s="1021"/>
      <c r="M33" s="1021"/>
      <c r="N33" s="1021"/>
      <c r="O33" s="1021"/>
      <c r="P33" s="1021"/>
      <c r="Q33" s="1021"/>
      <c r="S33" s="970"/>
      <c r="T33" s="970"/>
      <c r="U33" s="970"/>
      <c r="V33" s="970"/>
      <c r="W33" s="970"/>
      <c r="X33" s="970"/>
      <c r="Y33" s="970"/>
      <c r="Z33" s="970"/>
      <c r="AA33" s="970"/>
      <c r="AB33" s="970"/>
      <c r="AC33" s="970"/>
      <c r="AD33" s="970"/>
      <c r="AE33" s="970"/>
      <c r="AF33" s="970"/>
      <c r="AG33" s="970"/>
      <c r="AH33" s="970"/>
      <c r="AI33" s="970"/>
      <c r="AJ33" s="970"/>
      <c r="AK33" s="970"/>
      <c r="AM33" s="976"/>
      <c r="AN33" s="976"/>
      <c r="AO33" s="976"/>
      <c r="AP33" s="976"/>
      <c r="AQ33" s="976"/>
      <c r="AR33" s="976"/>
      <c r="AS33" s="976"/>
      <c r="AT33" s="976"/>
      <c r="AU33" s="976"/>
      <c r="AV33" s="976"/>
      <c r="AW33" s="976"/>
      <c r="AX33" s="976"/>
      <c r="AY33" s="976"/>
      <c r="AZ33" s="976"/>
      <c r="BA33" s="976"/>
      <c r="BB33" s="976"/>
      <c r="BC33" s="976"/>
      <c r="BD33" s="976"/>
      <c r="BE33" s="976"/>
      <c r="BF33" s="976"/>
      <c r="BH33" s="990"/>
      <c r="BI33" s="990"/>
      <c r="BJ33" s="990"/>
      <c r="BL33" s="515">
        <f t="shared" si="9"/>
        <v>0</v>
      </c>
      <c r="BM33" s="515"/>
      <c r="BN33" s="22"/>
      <c r="BO33" s="1482"/>
      <c r="BP33" s="1482"/>
      <c r="BQ33" s="1482"/>
      <c r="BR33" s="1482"/>
      <c r="BS33" s="1482"/>
      <c r="BT33" s="1482"/>
      <c r="BU33" s="1482"/>
      <c r="BV33" s="1482"/>
      <c r="BW33" s="1482"/>
      <c r="BX33" s="1482"/>
      <c r="BY33" s="1482"/>
      <c r="BZ33" s="1482"/>
      <c r="CA33" s="1482"/>
      <c r="CB33" s="1482"/>
      <c r="CC33" s="1482"/>
      <c r="CD33" s="1482"/>
      <c r="CE33" s="1482"/>
      <c r="CF33" s="1482"/>
      <c r="CG33" s="1482"/>
      <c r="CH33" s="1482"/>
      <c r="CI33" s="1482"/>
      <c r="CJ33" s="1482"/>
      <c r="CK33" s="1482"/>
      <c r="CL33" s="1482"/>
      <c r="CM33" s="1482"/>
      <c r="CN33" s="1482"/>
      <c r="CO33" s="1482"/>
      <c r="CP33" s="1482"/>
      <c r="CQ33" s="1482"/>
      <c r="CR33" s="1482"/>
      <c r="CS33" s="1482"/>
      <c r="CT33" s="1482"/>
      <c r="CU33" s="1482"/>
      <c r="CV33" s="1482"/>
      <c r="CW33" s="1482"/>
      <c r="CX33" s="1482"/>
      <c r="CY33" s="1482"/>
      <c r="CZ33" s="1482"/>
      <c r="DA33" s="1482"/>
      <c r="DB33" s="1482"/>
      <c r="DC33" s="1482"/>
      <c r="DD33" s="1482"/>
      <c r="DE33" s="1482"/>
      <c r="DF33" s="1482"/>
      <c r="DH33" s="838">
        <f t="shared" si="36"/>
        <v>0</v>
      </c>
    </row>
    <row r="34" spans="1:112" s="743" customFormat="1" ht="12.75" hidden="1" customHeight="1" outlineLevel="1">
      <c r="A34" s="1484"/>
      <c r="B34" s="1484"/>
      <c r="C34" s="746" t="s">
        <v>930</v>
      </c>
      <c r="D34" s="1010" t="str">
        <f>INDEX(Modules[Module], MATCH($C34, Modules[Code], 0))</f>
        <v>Food consumption [UNUSED]</v>
      </c>
      <c r="E34" s="1010"/>
      <c r="G34" s="1022">
        <f t="shared" ref="G34:P34" ca="1" si="94">IFERROR(INDEX(INDIRECT($C34&amp;".Outputs["&amp;this.Year&amp;"]"), MATCH(G$5, INDIRECT($C34&amp;".Outputs[Vector]"), 0)), 0)</f>
        <v>0</v>
      </c>
      <c r="H34" s="1022">
        <f t="shared" ca="1" si="94"/>
        <v>0</v>
      </c>
      <c r="I34" s="1022">
        <f t="shared" ca="1" si="94"/>
        <v>0</v>
      </c>
      <c r="J34" s="1022">
        <f t="shared" ca="1" si="94"/>
        <v>0</v>
      </c>
      <c r="K34" s="1022">
        <f t="shared" ca="1" si="94"/>
        <v>0</v>
      </c>
      <c r="L34" s="1022">
        <f t="shared" ca="1" si="94"/>
        <v>0</v>
      </c>
      <c r="M34" s="1022">
        <f t="shared" ca="1" si="94"/>
        <v>0</v>
      </c>
      <c r="N34" s="1022">
        <f t="shared" ca="1" si="94"/>
        <v>0</v>
      </c>
      <c r="O34" s="1022">
        <f t="shared" ca="1" si="94"/>
        <v>0</v>
      </c>
      <c r="P34" s="1022">
        <f t="shared" ca="1" si="94"/>
        <v>0</v>
      </c>
      <c r="Q34" s="1020">
        <f ca="1">SUM(G34:P34)</f>
        <v>0</v>
      </c>
      <c r="S34" s="1031">
        <f t="shared" ref="S34:BE34" ca="1" si="95">IFERROR(INDEX(INDIRECT($C34&amp;".Outputs["&amp;this.Year&amp;"]"), MATCH(S$5, INDIRECT($C34&amp;".Outputs[Vector]"), 0)), 0)</f>
        <v>0</v>
      </c>
      <c r="T34" s="1031">
        <f t="shared" ca="1" si="95"/>
        <v>0</v>
      </c>
      <c r="U34" s="1031">
        <f t="shared" ca="1" si="95"/>
        <v>0</v>
      </c>
      <c r="V34" s="1031">
        <f t="shared" ca="1" si="95"/>
        <v>0</v>
      </c>
      <c r="W34" s="1031">
        <f t="shared" ca="1" si="95"/>
        <v>0</v>
      </c>
      <c r="X34" s="1031">
        <f ca="1">IFERROR(INDEX(INDIRECT($C34&amp;".Outputs["&amp;this.Year&amp;"]"), MATCH(X$5, INDIRECT($C34&amp;".Outputs[Vector]"), 0)), 0)</f>
        <v>0</v>
      </c>
      <c r="Y34" s="1031">
        <f ca="1">IFERROR(INDEX(INDIRECT($C34&amp;".Outputs["&amp;this.Year&amp;"]"), MATCH(Y$5, INDIRECT($C34&amp;".Outputs[Vector]"), 0)), 0)</f>
        <v>0</v>
      </c>
      <c r="Z34" s="1031">
        <f ca="1">IFERROR(INDEX(INDIRECT($C34&amp;".Outputs["&amp;this.Year&amp;"]"), MATCH(Z$5, INDIRECT($C34&amp;".Outputs[Vector]"), 0)), 0)</f>
        <v>0</v>
      </c>
      <c r="AA34" s="1031">
        <f t="shared" ca="1" si="95"/>
        <v>0</v>
      </c>
      <c r="AB34" s="1031">
        <f t="shared" ca="1" si="95"/>
        <v>0</v>
      </c>
      <c r="AC34" s="1031">
        <f t="shared" ca="1" si="95"/>
        <v>0</v>
      </c>
      <c r="AD34" s="1031">
        <f t="shared" ca="1" si="95"/>
        <v>0</v>
      </c>
      <c r="AE34" s="1031">
        <f t="shared" ca="1" si="95"/>
        <v>0</v>
      </c>
      <c r="AF34" s="1031">
        <f t="shared" ca="1" si="95"/>
        <v>0</v>
      </c>
      <c r="AG34" s="1031">
        <f t="shared" ca="1" si="95"/>
        <v>0</v>
      </c>
      <c r="AH34" s="1031">
        <f t="shared" ca="1" si="95"/>
        <v>0</v>
      </c>
      <c r="AI34" s="1031">
        <f t="shared" ca="1" si="95"/>
        <v>0</v>
      </c>
      <c r="AJ34" s="1031">
        <f t="shared" ca="1" si="95"/>
        <v>0</v>
      </c>
      <c r="AK34" s="1030">
        <f ca="1">SUM(S34:AJ34)</f>
        <v>0</v>
      </c>
      <c r="AM34" s="1042">
        <f t="shared" ref="AM34:AU34" ca="1" si="96">IFERROR(INDEX(INDIRECT($C34&amp;".Outputs["&amp;this.Year&amp;"]"), MATCH(AM$5, INDIRECT($C34&amp;".Outputs[Vector]"), 0)), 0)</f>
        <v>0</v>
      </c>
      <c r="AN34" s="1042">
        <f t="shared" ca="1" si="96"/>
        <v>0</v>
      </c>
      <c r="AO34" s="1042">
        <f t="shared" ca="1" si="96"/>
        <v>0</v>
      </c>
      <c r="AP34" s="1042">
        <f t="shared" ca="1" si="96"/>
        <v>0</v>
      </c>
      <c r="AQ34" s="1042">
        <f t="shared" ca="1" si="96"/>
        <v>0</v>
      </c>
      <c r="AR34" s="1042">
        <f t="shared" ca="1" si="96"/>
        <v>0</v>
      </c>
      <c r="AS34" s="1042">
        <f t="shared" ca="1" si="96"/>
        <v>0</v>
      </c>
      <c r="AT34" s="1042">
        <f t="shared" ca="1" si="96"/>
        <v>0</v>
      </c>
      <c r="AU34" s="1042">
        <f t="shared" ca="1" si="96"/>
        <v>0</v>
      </c>
      <c r="AV34" s="1042">
        <f t="shared" ca="1" si="95"/>
        <v>0</v>
      </c>
      <c r="AW34" s="1042">
        <f t="shared" ca="1" si="95"/>
        <v>0</v>
      </c>
      <c r="AX34" s="1042">
        <f t="shared" ca="1" si="95"/>
        <v>0</v>
      </c>
      <c r="AY34" s="1042">
        <f t="shared" ca="1" si="95"/>
        <v>0</v>
      </c>
      <c r="AZ34" s="1042">
        <f t="shared" ca="1" si="95"/>
        <v>0</v>
      </c>
      <c r="BA34" s="1042">
        <f t="shared" ca="1" si="95"/>
        <v>0</v>
      </c>
      <c r="BB34" s="1042">
        <f t="shared" ca="1" si="95"/>
        <v>0</v>
      </c>
      <c r="BC34" s="1042">
        <f t="shared" ca="1" si="95"/>
        <v>0</v>
      </c>
      <c r="BD34" s="1042">
        <f t="shared" ca="1" si="95"/>
        <v>0</v>
      </c>
      <c r="BE34" s="1042">
        <f t="shared" ca="1" si="95"/>
        <v>0</v>
      </c>
      <c r="BF34" s="1012">
        <f ca="1">SUM(AM34:BE34)</f>
        <v>0</v>
      </c>
      <c r="BH34" s="1036">
        <f ca="1">IFERROR(INDEX(INDIRECT($C34&amp;".Outputs["&amp;this.Year&amp;"]"), MATCH(BH$5, INDIRECT($C34&amp;".Outputs[Vector]"), 0)), 0)</f>
        <v>0</v>
      </c>
      <c r="BI34" s="1036">
        <f ca="1">IFERROR(INDEX(INDIRECT($C34&amp;".Outputs["&amp;this.Year&amp;"]"), MATCH(BI$5, INDIRECT($C34&amp;".Outputs[Vector]"), 0)), 0)</f>
        <v>0</v>
      </c>
      <c r="BJ34" s="1035">
        <f ca="1">SUM(BH34:BI34)</f>
        <v>0</v>
      </c>
      <c r="BL34" s="814">
        <f t="shared" ca="1" si="9"/>
        <v>0</v>
      </c>
      <c r="BM34" s="814"/>
      <c r="BN34" s="840"/>
      <c r="BO34" s="1485">
        <f t="shared" ref="BO34:DF34" ca="1" si="97">IFERROR(SUMIFS(INDIRECT($C34&amp;".Emissions["&amp;this.Year&amp;"]"), INDIRECT($C34&amp;".Emissions[GHG]"), BO$6, INDIRECT($C34&amp;".Emissions[IPCC Sector]"), BO$5),0)</f>
        <v>0</v>
      </c>
      <c r="BP34" s="1486">
        <f t="shared" ca="1" si="97"/>
        <v>0</v>
      </c>
      <c r="BQ34" s="1486">
        <f t="shared" ca="1" si="97"/>
        <v>0</v>
      </c>
      <c r="BR34" s="1486">
        <f t="shared" ca="1" si="97"/>
        <v>0</v>
      </c>
      <c r="BS34" s="1486">
        <f t="shared" ca="1" si="97"/>
        <v>0</v>
      </c>
      <c r="BT34" s="1486">
        <f t="shared" ca="1" si="97"/>
        <v>0</v>
      </c>
      <c r="BU34" s="1486">
        <f t="shared" ca="1" si="97"/>
        <v>0</v>
      </c>
      <c r="BV34" s="1486">
        <f t="shared" ca="1" si="97"/>
        <v>0</v>
      </c>
      <c r="BW34" s="1486">
        <f t="shared" ca="1" si="97"/>
        <v>0</v>
      </c>
      <c r="BX34" s="1486">
        <f t="shared" ca="1" si="97"/>
        <v>0</v>
      </c>
      <c r="BY34" s="1486">
        <f t="shared" ca="1" si="97"/>
        <v>0</v>
      </c>
      <c r="BZ34" s="1486">
        <f t="shared" ca="1" si="97"/>
        <v>0</v>
      </c>
      <c r="CA34" s="1486">
        <f t="shared" ca="1" si="97"/>
        <v>0</v>
      </c>
      <c r="CB34" s="1486">
        <f t="shared" ca="1" si="97"/>
        <v>0</v>
      </c>
      <c r="CC34" s="1486">
        <f t="shared" ca="1" si="97"/>
        <v>0</v>
      </c>
      <c r="CD34" s="1486">
        <f t="shared" ca="1" si="97"/>
        <v>0</v>
      </c>
      <c r="CE34" s="1486">
        <f t="shared" ca="1" si="97"/>
        <v>0</v>
      </c>
      <c r="CF34" s="1486">
        <f t="shared" ca="1" si="97"/>
        <v>0</v>
      </c>
      <c r="CG34" s="1486">
        <f t="shared" ca="1" si="97"/>
        <v>0</v>
      </c>
      <c r="CH34" s="1486">
        <f t="shared" ca="1" si="97"/>
        <v>0</v>
      </c>
      <c r="CI34" s="1486">
        <f t="shared" ca="1" si="97"/>
        <v>0</v>
      </c>
      <c r="CJ34" s="1486">
        <f t="shared" ca="1" si="97"/>
        <v>0</v>
      </c>
      <c r="CK34" s="1486">
        <f t="shared" ca="1" si="97"/>
        <v>0</v>
      </c>
      <c r="CL34" s="1486">
        <f t="shared" ca="1" si="97"/>
        <v>0</v>
      </c>
      <c r="CM34" s="1486">
        <f t="shared" ca="1" si="97"/>
        <v>0</v>
      </c>
      <c r="CN34" s="1486">
        <f t="shared" ca="1" si="97"/>
        <v>0</v>
      </c>
      <c r="CO34" s="1486">
        <f t="shared" ca="1" si="97"/>
        <v>0</v>
      </c>
      <c r="CP34" s="1486">
        <f t="shared" ca="1" si="97"/>
        <v>0</v>
      </c>
      <c r="CQ34" s="1486">
        <f t="shared" ca="1" si="97"/>
        <v>0</v>
      </c>
      <c r="CR34" s="1486">
        <f t="shared" ca="1" si="97"/>
        <v>0</v>
      </c>
      <c r="CS34" s="1486">
        <f t="shared" ca="1" si="97"/>
        <v>0</v>
      </c>
      <c r="CT34" s="1486">
        <f t="shared" ca="1" si="97"/>
        <v>0</v>
      </c>
      <c r="CU34" s="1486">
        <f t="shared" ca="1" si="97"/>
        <v>0</v>
      </c>
      <c r="CV34" s="1486">
        <f t="shared" ca="1" si="97"/>
        <v>0</v>
      </c>
      <c r="CW34" s="1486">
        <f t="shared" ca="1" si="97"/>
        <v>0</v>
      </c>
      <c r="CX34" s="1486">
        <f t="shared" ca="1" si="97"/>
        <v>0</v>
      </c>
      <c r="CY34" s="1486">
        <f t="shared" ca="1" si="97"/>
        <v>0</v>
      </c>
      <c r="CZ34" s="1486">
        <f t="shared" ca="1" si="97"/>
        <v>0</v>
      </c>
      <c r="DA34" s="1486">
        <f t="shared" ca="1" si="97"/>
        <v>0</v>
      </c>
      <c r="DB34" s="1486">
        <f t="shared" ca="1" si="97"/>
        <v>0</v>
      </c>
      <c r="DC34" s="1486">
        <f t="shared" ca="1" si="97"/>
        <v>0</v>
      </c>
      <c r="DD34" s="1486">
        <f t="shared" ca="1" si="97"/>
        <v>0</v>
      </c>
      <c r="DE34" s="1486">
        <f t="shared" ca="1" si="97"/>
        <v>0</v>
      </c>
      <c r="DF34" s="1486">
        <f t="shared" ca="1" si="97"/>
        <v>0</v>
      </c>
      <c r="DH34" s="838">
        <f t="shared" ca="1" si="36"/>
        <v>0</v>
      </c>
    </row>
    <row r="35" spans="1:112" s="743" customFormat="1" ht="15.75" collapsed="1">
      <c r="A35" s="22"/>
      <c r="B35" s="753"/>
      <c r="C35" s="744" t="s">
        <v>680</v>
      </c>
      <c r="D35" s="517" t="str">
        <f>INDEX(Workstreams[Workstream], MATCH($C35, Workstreams[Code], 0))</f>
        <v>Food consumption [UNUSED]</v>
      </c>
      <c r="E35" s="512"/>
      <c r="G35" s="1021">
        <f ca="1">G34</f>
        <v>0</v>
      </c>
      <c r="H35" s="1021">
        <f t="shared" ref="H35:P35" ca="1" si="98">H34</f>
        <v>0</v>
      </c>
      <c r="I35" s="1021">
        <f t="shared" ca="1" si="98"/>
        <v>0</v>
      </c>
      <c r="J35" s="1021">
        <f t="shared" ca="1" si="98"/>
        <v>0</v>
      </c>
      <c r="K35" s="1021">
        <f t="shared" ca="1" si="98"/>
        <v>0</v>
      </c>
      <c r="L35" s="1021">
        <f t="shared" ca="1" si="98"/>
        <v>0</v>
      </c>
      <c r="M35" s="1021">
        <f t="shared" ca="1" si="98"/>
        <v>0</v>
      </c>
      <c r="N35" s="1021">
        <f t="shared" ca="1" si="98"/>
        <v>0</v>
      </c>
      <c r="O35" s="1021">
        <f t="shared" ca="1" si="98"/>
        <v>0</v>
      </c>
      <c r="P35" s="1021">
        <f t="shared" ca="1" si="98"/>
        <v>0</v>
      </c>
      <c r="Q35" s="1021">
        <f ca="1">SUM(G35:P35)</f>
        <v>0</v>
      </c>
      <c r="S35" s="970">
        <f ca="1">S34</f>
        <v>0</v>
      </c>
      <c r="T35" s="970">
        <f t="shared" ref="T35:AJ35" ca="1" si="99">T34</f>
        <v>0</v>
      </c>
      <c r="U35" s="970">
        <f t="shared" ca="1" si="99"/>
        <v>0</v>
      </c>
      <c r="V35" s="970">
        <f t="shared" ca="1" si="99"/>
        <v>0</v>
      </c>
      <c r="W35" s="970">
        <f t="shared" ca="1" si="99"/>
        <v>0</v>
      </c>
      <c r="X35" s="970">
        <f ca="1">X34</f>
        <v>0</v>
      </c>
      <c r="Y35" s="970">
        <f ca="1">Y34</f>
        <v>0</v>
      </c>
      <c r="Z35" s="970">
        <f ca="1">Z34</f>
        <v>0</v>
      </c>
      <c r="AA35" s="970">
        <f t="shared" ca="1" si="99"/>
        <v>0</v>
      </c>
      <c r="AB35" s="970">
        <f t="shared" ca="1" si="99"/>
        <v>0</v>
      </c>
      <c r="AC35" s="970">
        <f t="shared" ca="1" si="99"/>
        <v>0</v>
      </c>
      <c r="AD35" s="970">
        <f ca="1">AD34</f>
        <v>0</v>
      </c>
      <c r="AE35" s="970">
        <f ca="1">AE34</f>
        <v>0</v>
      </c>
      <c r="AF35" s="970">
        <f t="shared" ca="1" si="99"/>
        <v>0</v>
      </c>
      <c r="AG35" s="970">
        <f ca="1">AG34</f>
        <v>0</v>
      </c>
      <c r="AH35" s="970">
        <f ca="1">AH34</f>
        <v>0</v>
      </c>
      <c r="AI35" s="970">
        <f ca="1">AI34</f>
        <v>0</v>
      </c>
      <c r="AJ35" s="970">
        <f t="shared" ca="1" si="99"/>
        <v>0</v>
      </c>
      <c r="AK35" s="970">
        <f ca="1">SUM(S35:AJ35)</f>
        <v>0</v>
      </c>
      <c r="AM35" s="976">
        <f t="shared" ref="AM35:BE35" ca="1" si="100">AM34</f>
        <v>0</v>
      </c>
      <c r="AN35" s="976">
        <f t="shared" ca="1" si="100"/>
        <v>0</v>
      </c>
      <c r="AO35" s="976">
        <f t="shared" ca="1" si="100"/>
        <v>0</v>
      </c>
      <c r="AP35" s="976">
        <f t="shared" ca="1" si="100"/>
        <v>0</v>
      </c>
      <c r="AQ35" s="976">
        <f t="shared" ca="1" si="100"/>
        <v>0</v>
      </c>
      <c r="AR35" s="976">
        <f t="shared" ca="1" si="100"/>
        <v>0</v>
      </c>
      <c r="AS35" s="976">
        <f t="shared" ca="1" si="100"/>
        <v>0</v>
      </c>
      <c r="AT35" s="976">
        <f t="shared" ca="1" si="100"/>
        <v>0</v>
      </c>
      <c r="AU35" s="976">
        <f t="shared" ca="1" si="100"/>
        <v>0</v>
      </c>
      <c r="AV35" s="976">
        <f t="shared" ca="1" si="100"/>
        <v>0</v>
      </c>
      <c r="AW35" s="976">
        <f t="shared" ca="1" si="100"/>
        <v>0</v>
      </c>
      <c r="AX35" s="976">
        <f t="shared" ca="1" si="100"/>
        <v>0</v>
      </c>
      <c r="AY35" s="976">
        <f t="shared" ca="1" si="100"/>
        <v>0</v>
      </c>
      <c r="AZ35" s="976">
        <f t="shared" ca="1" si="100"/>
        <v>0</v>
      </c>
      <c r="BA35" s="976">
        <f t="shared" ca="1" si="100"/>
        <v>0</v>
      </c>
      <c r="BB35" s="976">
        <f t="shared" ca="1" si="100"/>
        <v>0</v>
      </c>
      <c r="BC35" s="976">
        <f t="shared" ca="1" si="100"/>
        <v>0</v>
      </c>
      <c r="BD35" s="976">
        <f t="shared" ca="1" si="100"/>
        <v>0</v>
      </c>
      <c r="BE35" s="976">
        <f t="shared" ca="1" si="100"/>
        <v>0</v>
      </c>
      <c r="BF35" s="976">
        <f ca="1">SUM(AM35:BE35)</f>
        <v>0</v>
      </c>
      <c r="BH35" s="990">
        <f ca="1">BH34</f>
        <v>0</v>
      </c>
      <c r="BI35" s="990">
        <f ca="1">BI34</f>
        <v>0</v>
      </c>
      <c r="BJ35" s="990">
        <f ca="1">SUM(BH35:BI35)</f>
        <v>0</v>
      </c>
      <c r="BL35" s="515">
        <f t="shared" ca="1" si="9"/>
        <v>0</v>
      </c>
      <c r="BM35" s="515"/>
      <c r="BN35" s="840"/>
      <c r="BO35" s="1482">
        <f t="shared" ref="BO35:DF35" ca="1" si="101">BO34</f>
        <v>0</v>
      </c>
      <c r="BP35" s="1482">
        <f t="shared" ca="1" si="101"/>
        <v>0</v>
      </c>
      <c r="BQ35" s="1482">
        <f t="shared" ca="1" si="101"/>
        <v>0</v>
      </c>
      <c r="BR35" s="1482">
        <f t="shared" ca="1" si="101"/>
        <v>0</v>
      </c>
      <c r="BS35" s="1482">
        <f t="shared" ca="1" si="101"/>
        <v>0</v>
      </c>
      <c r="BT35" s="1482">
        <f t="shared" ca="1" si="101"/>
        <v>0</v>
      </c>
      <c r="BU35" s="1482">
        <f t="shared" ca="1" si="101"/>
        <v>0</v>
      </c>
      <c r="BV35" s="1482">
        <f t="shared" ca="1" si="101"/>
        <v>0</v>
      </c>
      <c r="BW35" s="1482">
        <f t="shared" ca="1" si="101"/>
        <v>0</v>
      </c>
      <c r="BX35" s="1482">
        <f t="shared" ca="1" si="101"/>
        <v>0</v>
      </c>
      <c r="BY35" s="1482">
        <f t="shared" ca="1" si="101"/>
        <v>0</v>
      </c>
      <c r="BZ35" s="1482">
        <f t="shared" ca="1" si="101"/>
        <v>0</v>
      </c>
      <c r="CA35" s="1482">
        <f t="shared" ca="1" si="101"/>
        <v>0</v>
      </c>
      <c r="CB35" s="1482">
        <f t="shared" ca="1" si="101"/>
        <v>0</v>
      </c>
      <c r="CC35" s="1482">
        <f t="shared" ca="1" si="101"/>
        <v>0</v>
      </c>
      <c r="CD35" s="1482">
        <f t="shared" ca="1" si="101"/>
        <v>0</v>
      </c>
      <c r="CE35" s="1482">
        <f t="shared" ca="1" si="101"/>
        <v>0</v>
      </c>
      <c r="CF35" s="1482">
        <f t="shared" ca="1" si="101"/>
        <v>0</v>
      </c>
      <c r="CG35" s="1482">
        <f t="shared" ca="1" si="101"/>
        <v>0</v>
      </c>
      <c r="CH35" s="1482">
        <f t="shared" ca="1" si="101"/>
        <v>0</v>
      </c>
      <c r="CI35" s="1482">
        <f t="shared" ca="1" si="101"/>
        <v>0</v>
      </c>
      <c r="CJ35" s="1482">
        <f t="shared" ca="1" si="101"/>
        <v>0</v>
      </c>
      <c r="CK35" s="1482">
        <f t="shared" ca="1" si="101"/>
        <v>0</v>
      </c>
      <c r="CL35" s="1482">
        <f t="shared" ca="1" si="101"/>
        <v>0</v>
      </c>
      <c r="CM35" s="1482">
        <f t="shared" ca="1" si="101"/>
        <v>0</v>
      </c>
      <c r="CN35" s="1482">
        <f t="shared" ca="1" si="101"/>
        <v>0</v>
      </c>
      <c r="CO35" s="1482">
        <f t="shared" ca="1" si="101"/>
        <v>0</v>
      </c>
      <c r="CP35" s="1482">
        <f t="shared" ca="1" si="101"/>
        <v>0</v>
      </c>
      <c r="CQ35" s="1482">
        <f t="shared" ca="1" si="101"/>
        <v>0</v>
      </c>
      <c r="CR35" s="1482">
        <f t="shared" ca="1" si="101"/>
        <v>0</v>
      </c>
      <c r="CS35" s="1482">
        <f t="shared" ca="1" si="101"/>
        <v>0</v>
      </c>
      <c r="CT35" s="1482">
        <f t="shared" ca="1" si="101"/>
        <v>0</v>
      </c>
      <c r="CU35" s="1482">
        <f t="shared" ca="1" si="101"/>
        <v>0</v>
      </c>
      <c r="CV35" s="1482">
        <f t="shared" ca="1" si="101"/>
        <v>0</v>
      </c>
      <c r="CW35" s="1482">
        <f t="shared" ca="1" si="101"/>
        <v>0</v>
      </c>
      <c r="CX35" s="1482">
        <f t="shared" ca="1" si="101"/>
        <v>0</v>
      </c>
      <c r="CY35" s="1482">
        <f t="shared" ca="1" si="101"/>
        <v>0</v>
      </c>
      <c r="CZ35" s="1482">
        <f t="shared" ca="1" si="101"/>
        <v>0</v>
      </c>
      <c r="DA35" s="1482">
        <f t="shared" ca="1" si="101"/>
        <v>0</v>
      </c>
      <c r="DB35" s="1482">
        <f t="shared" ca="1" si="101"/>
        <v>0</v>
      </c>
      <c r="DC35" s="1482">
        <f t="shared" ca="1" si="101"/>
        <v>0</v>
      </c>
      <c r="DD35" s="1482">
        <f t="shared" ca="1" si="101"/>
        <v>0</v>
      </c>
      <c r="DE35" s="1482">
        <f t="shared" ca="1" si="101"/>
        <v>0</v>
      </c>
      <c r="DF35" s="1482">
        <f t="shared" ca="1" si="101"/>
        <v>0</v>
      </c>
      <c r="DH35" s="838">
        <f t="shared" ca="1" si="36"/>
        <v>0</v>
      </c>
    </row>
    <row r="36" spans="1:112" s="743" customFormat="1" ht="12.75" hidden="1" customHeight="1" outlineLevel="1">
      <c r="A36" s="22"/>
      <c r="B36" s="22"/>
      <c r="C36" s="751"/>
      <c r="D36" s="512"/>
      <c r="E36" s="512"/>
      <c r="G36" s="1021"/>
      <c r="H36" s="1021"/>
      <c r="I36" s="1021"/>
      <c r="J36" s="1021"/>
      <c r="K36" s="1021"/>
      <c r="L36" s="1021"/>
      <c r="M36" s="1021"/>
      <c r="N36" s="1021"/>
      <c r="O36" s="1021"/>
      <c r="P36" s="1021"/>
      <c r="Q36" s="1021"/>
      <c r="S36" s="970"/>
      <c r="T36" s="970"/>
      <c r="U36" s="970"/>
      <c r="V36" s="970"/>
      <c r="W36" s="970"/>
      <c r="X36" s="970"/>
      <c r="Y36" s="970"/>
      <c r="Z36" s="970"/>
      <c r="AA36" s="970"/>
      <c r="AB36" s="970"/>
      <c r="AC36" s="970"/>
      <c r="AD36" s="970"/>
      <c r="AE36" s="970"/>
      <c r="AF36" s="970"/>
      <c r="AG36" s="970"/>
      <c r="AH36" s="970"/>
      <c r="AI36" s="970"/>
      <c r="AJ36" s="970"/>
      <c r="AK36" s="970"/>
      <c r="AM36" s="976"/>
      <c r="AN36" s="976"/>
      <c r="AO36" s="976"/>
      <c r="AP36" s="976"/>
      <c r="AQ36" s="976"/>
      <c r="AR36" s="976"/>
      <c r="AS36" s="976"/>
      <c r="AT36" s="976"/>
      <c r="AU36" s="976"/>
      <c r="AV36" s="976"/>
      <c r="AW36" s="976"/>
      <c r="AX36" s="976"/>
      <c r="AY36" s="976"/>
      <c r="AZ36" s="976"/>
      <c r="BA36" s="976"/>
      <c r="BB36" s="976"/>
      <c r="BC36" s="976"/>
      <c r="BD36" s="976"/>
      <c r="BE36" s="976"/>
      <c r="BF36" s="976"/>
      <c r="BH36" s="990"/>
      <c r="BI36" s="990"/>
      <c r="BJ36" s="990"/>
      <c r="BL36" s="515">
        <f t="shared" si="9"/>
        <v>0</v>
      </c>
      <c r="BM36" s="515"/>
      <c r="BN36" s="22"/>
      <c r="BO36" s="1481"/>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H36" s="838">
        <f t="shared" si="36"/>
        <v>0</v>
      </c>
    </row>
    <row r="37" spans="1:112" s="743" customFormat="1" ht="12.75" hidden="1" customHeight="1" outlineLevel="1">
      <c r="A37" s="1484"/>
      <c r="B37" s="1484"/>
      <c r="C37" s="746" t="s">
        <v>962</v>
      </c>
      <c r="D37" s="1010" t="str">
        <f>INDEX(Modules[Module], MATCH($C37, Modules[Code], 0))</f>
        <v>Geosequestration</v>
      </c>
      <c r="E37" s="1010"/>
      <c r="G37" s="1022">
        <f t="shared" ref="G37:P37" ca="1" si="102">IFERROR(INDEX(INDIRECT($C37&amp;".Outputs["&amp;this.Year&amp;"]"), MATCH(G$5, INDIRECT($C37&amp;".Outputs[Vector]"), 0)), 0)</f>
        <v>0</v>
      </c>
      <c r="H37" s="1022">
        <f t="shared" ca="1" si="102"/>
        <v>0</v>
      </c>
      <c r="I37" s="1022">
        <f t="shared" ca="1" si="102"/>
        <v>0</v>
      </c>
      <c r="J37" s="1022">
        <f t="shared" ca="1" si="102"/>
        <v>0</v>
      </c>
      <c r="K37" s="1022">
        <f t="shared" ca="1" si="102"/>
        <v>0</v>
      </c>
      <c r="L37" s="1022">
        <f t="shared" ca="1" si="102"/>
        <v>0</v>
      </c>
      <c r="M37" s="1022">
        <f t="shared" ca="1" si="102"/>
        <v>0</v>
      </c>
      <c r="N37" s="1022">
        <f t="shared" ca="1" si="102"/>
        <v>0</v>
      </c>
      <c r="O37" s="1022">
        <f t="shared" ca="1" si="102"/>
        <v>0</v>
      </c>
      <c r="P37" s="1022">
        <f t="shared" ca="1" si="102"/>
        <v>0</v>
      </c>
      <c r="Q37" s="1020">
        <f ca="1">SUM(G37:P37)</f>
        <v>0</v>
      </c>
      <c r="S37" s="1031">
        <f t="shared" ref="S37:BE37" ca="1" si="103">IFERROR(INDEX(INDIRECT($C37&amp;".Outputs["&amp;this.Year&amp;"]"), MATCH(S$5, INDIRECT($C37&amp;".Outputs[Vector]"), 0)), 0)</f>
        <v>0</v>
      </c>
      <c r="T37" s="1031">
        <f t="shared" ca="1" si="103"/>
        <v>0</v>
      </c>
      <c r="U37" s="1031">
        <f t="shared" ca="1" si="103"/>
        <v>0</v>
      </c>
      <c r="V37" s="1031">
        <f t="shared" ca="1" si="103"/>
        <v>0</v>
      </c>
      <c r="W37" s="1031">
        <f t="shared" ca="1" si="103"/>
        <v>0</v>
      </c>
      <c r="X37" s="1031">
        <f ca="1">IFERROR(INDEX(INDIRECT($C37&amp;".Outputs["&amp;this.Year&amp;"]"), MATCH(X$5, INDIRECT($C37&amp;".Outputs[Vector]"), 0)), 0)</f>
        <v>0</v>
      </c>
      <c r="Y37" s="1031">
        <f ca="1">IFERROR(INDEX(INDIRECT($C37&amp;".Outputs["&amp;this.Year&amp;"]"), MATCH(Y$5, INDIRECT($C37&amp;".Outputs[Vector]"), 0)), 0)</f>
        <v>0</v>
      </c>
      <c r="Z37" s="1031">
        <f ca="1">IFERROR(INDEX(INDIRECT($C37&amp;".Outputs["&amp;this.Year&amp;"]"), MATCH(Z$5, INDIRECT($C37&amp;".Outputs[Vector]"), 0)), 0)</f>
        <v>0</v>
      </c>
      <c r="AA37" s="1031">
        <f t="shared" ca="1" si="103"/>
        <v>0</v>
      </c>
      <c r="AB37" s="1031">
        <f t="shared" ca="1" si="103"/>
        <v>0</v>
      </c>
      <c r="AC37" s="1031">
        <f t="shared" ca="1" si="103"/>
        <v>0</v>
      </c>
      <c r="AD37" s="1031">
        <f t="shared" ca="1" si="103"/>
        <v>0</v>
      </c>
      <c r="AE37" s="1031">
        <f t="shared" ca="1" si="103"/>
        <v>0</v>
      </c>
      <c r="AF37" s="1031">
        <f t="shared" ca="1" si="103"/>
        <v>0</v>
      </c>
      <c r="AG37" s="1031">
        <f t="shared" ca="1" si="103"/>
        <v>0</v>
      </c>
      <c r="AH37" s="1031">
        <f t="shared" ca="1" si="103"/>
        <v>0</v>
      </c>
      <c r="AI37" s="1031">
        <f t="shared" ca="1" si="103"/>
        <v>0</v>
      </c>
      <c r="AJ37" s="1031">
        <f t="shared" ca="1" si="103"/>
        <v>0</v>
      </c>
      <c r="AK37" s="1030">
        <f ca="1">SUM(S37:AJ37)</f>
        <v>0</v>
      </c>
      <c r="AM37" s="1042">
        <f t="shared" ref="AM37:AU37" ca="1" si="104">IFERROR(INDEX(INDIRECT($C37&amp;".Outputs["&amp;this.Year&amp;"]"), MATCH(AM$5, INDIRECT($C37&amp;".Outputs[Vector]"), 0)), 0)</f>
        <v>0</v>
      </c>
      <c r="AN37" s="1042">
        <f t="shared" ca="1" si="104"/>
        <v>0</v>
      </c>
      <c r="AO37" s="1042">
        <f t="shared" ca="1" si="104"/>
        <v>0</v>
      </c>
      <c r="AP37" s="1042">
        <f t="shared" ca="1" si="104"/>
        <v>0</v>
      </c>
      <c r="AQ37" s="1042">
        <f t="shared" ca="1" si="104"/>
        <v>0</v>
      </c>
      <c r="AR37" s="1042">
        <f t="shared" ca="1" si="104"/>
        <v>0</v>
      </c>
      <c r="AS37" s="1042">
        <f t="shared" ca="1" si="104"/>
        <v>0</v>
      </c>
      <c r="AT37" s="1042">
        <f t="shared" ca="1" si="104"/>
        <v>0</v>
      </c>
      <c r="AU37" s="1042">
        <f t="shared" ca="1" si="104"/>
        <v>0</v>
      </c>
      <c r="AV37" s="1042">
        <f t="shared" ca="1" si="103"/>
        <v>0</v>
      </c>
      <c r="AW37" s="1042">
        <f t="shared" ca="1" si="103"/>
        <v>0</v>
      </c>
      <c r="AX37" s="1042">
        <f t="shared" ca="1" si="103"/>
        <v>0</v>
      </c>
      <c r="AY37" s="1042">
        <f t="shared" ca="1" si="103"/>
        <v>0</v>
      </c>
      <c r="AZ37" s="1042">
        <f t="shared" ca="1" si="103"/>
        <v>0</v>
      </c>
      <c r="BA37" s="1042">
        <f t="shared" ca="1" si="103"/>
        <v>0</v>
      </c>
      <c r="BB37" s="1042">
        <f t="shared" ca="1" si="103"/>
        <v>0</v>
      </c>
      <c r="BC37" s="1042">
        <f t="shared" ca="1" si="103"/>
        <v>0</v>
      </c>
      <c r="BD37" s="1042">
        <f t="shared" ca="1" si="103"/>
        <v>0</v>
      </c>
      <c r="BE37" s="1042">
        <f t="shared" ca="1" si="103"/>
        <v>0</v>
      </c>
      <c r="BF37" s="1012">
        <f ca="1">SUM(AM37:BE37)</f>
        <v>0</v>
      </c>
      <c r="BH37" s="1036">
        <f ca="1">IFERROR(INDEX(INDIRECT($C37&amp;".Outputs["&amp;this.Year&amp;"]"), MATCH(BH$5, INDIRECT($C37&amp;".Outputs[Vector]"), 0)), 0)</f>
        <v>0</v>
      </c>
      <c r="BI37" s="1036">
        <f ca="1">IFERROR(INDEX(INDIRECT($C37&amp;".Outputs["&amp;this.Year&amp;"]"), MATCH(BI$5, INDIRECT($C37&amp;".Outputs[Vector]"), 0)), 0)</f>
        <v>0</v>
      </c>
      <c r="BJ37" s="1035">
        <f ca="1">SUM(BH37:BI37)</f>
        <v>0</v>
      </c>
      <c r="BL37" s="814">
        <f t="shared" ca="1" si="9"/>
        <v>0</v>
      </c>
      <c r="BM37" s="814"/>
      <c r="BN37" s="840"/>
      <c r="BO37" s="1485">
        <f t="shared" ref="BO37:DF37" ca="1" si="105">IFERROR(SUMIFS(INDIRECT($C37&amp;".Emissions["&amp;this.Year&amp;"]"), INDIRECT($C37&amp;".Emissions[GHG]"), BO$6, INDIRECT($C37&amp;".Emissions[IPCC Sector]"), BO$5),0)</f>
        <v>0</v>
      </c>
      <c r="BP37" s="1486">
        <f t="shared" ca="1" si="105"/>
        <v>0</v>
      </c>
      <c r="BQ37" s="1486">
        <f t="shared" ca="1" si="105"/>
        <v>0</v>
      </c>
      <c r="BR37" s="1486">
        <f t="shared" ca="1" si="105"/>
        <v>0</v>
      </c>
      <c r="BS37" s="1486">
        <f t="shared" ca="1" si="105"/>
        <v>0</v>
      </c>
      <c r="BT37" s="1486">
        <f t="shared" ca="1" si="105"/>
        <v>0</v>
      </c>
      <c r="BU37" s="1486">
        <f t="shared" ca="1" si="105"/>
        <v>0</v>
      </c>
      <c r="BV37" s="1486">
        <f t="shared" ca="1" si="105"/>
        <v>0</v>
      </c>
      <c r="BW37" s="1486">
        <f t="shared" ca="1" si="105"/>
        <v>0</v>
      </c>
      <c r="BX37" s="1486">
        <f t="shared" ca="1" si="105"/>
        <v>0</v>
      </c>
      <c r="BY37" s="1486">
        <f t="shared" ca="1" si="105"/>
        <v>0</v>
      </c>
      <c r="BZ37" s="1486">
        <f t="shared" ca="1" si="105"/>
        <v>0</v>
      </c>
      <c r="CA37" s="1486">
        <f t="shared" ca="1" si="105"/>
        <v>0</v>
      </c>
      <c r="CB37" s="1486">
        <f t="shared" ca="1" si="105"/>
        <v>0</v>
      </c>
      <c r="CC37" s="1486">
        <f t="shared" ca="1" si="105"/>
        <v>0</v>
      </c>
      <c r="CD37" s="1486">
        <f t="shared" ca="1" si="105"/>
        <v>0</v>
      </c>
      <c r="CE37" s="1486">
        <f t="shared" ca="1" si="105"/>
        <v>0</v>
      </c>
      <c r="CF37" s="1486">
        <f t="shared" ca="1" si="105"/>
        <v>0</v>
      </c>
      <c r="CG37" s="1486">
        <f t="shared" ca="1" si="105"/>
        <v>0</v>
      </c>
      <c r="CH37" s="1486">
        <f t="shared" ca="1" si="105"/>
        <v>0</v>
      </c>
      <c r="CI37" s="1486">
        <f t="shared" ca="1" si="105"/>
        <v>0</v>
      </c>
      <c r="CJ37" s="1486">
        <f t="shared" ca="1" si="105"/>
        <v>0</v>
      </c>
      <c r="CK37" s="1486">
        <f t="shared" ca="1" si="105"/>
        <v>0</v>
      </c>
      <c r="CL37" s="1486">
        <f t="shared" ca="1" si="105"/>
        <v>0</v>
      </c>
      <c r="CM37" s="1486">
        <f t="shared" ca="1" si="105"/>
        <v>0</v>
      </c>
      <c r="CN37" s="1486">
        <f t="shared" ca="1" si="105"/>
        <v>0</v>
      </c>
      <c r="CO37" s="1486">
        <f t="shared" ca="1" si="105"/>
        <v>0</v>
      </c>
      <c r="CP37" s="1486">
        <f t="shared" ca="1" si="105"/>
        <v>0</v>
      </c>
      <c r="CQ37" s="1486">
        <f t="shared" ca="1" si="105"/>
        <v>0</v>
      </c>
      <c r="CR37" s="1486">
        <f t="shared" ca="1" si="105"/>
        <v>0</v>
      </c>
      <c r="CS37" s="1486">
        <f t="shared" ca="1" si="105"/>
        <v>0</v>
      </c>
      <c r="CT37" s="1486">
        <f t="shared" ca="1" si="105"/>
        <v>0</v>
      </c>
      <c r="CU37" s="1486">
        <f t="shared" ca="1" si="105"/>
        <v>0</v>
      </c>
      <c r="CV37" s="1486">
        <f t="shared" ca="1" si="105"/>
        <v>0</v>
      </c>
      <c r="CW37" s="1486">
        <f t="shared" ca="1" si="105"/>
        <v>0</v>
      </c>
      <c r="CX37" s="1486">
        <f t="shared" ca="1" si="105"/>
        <v>0</v>
      </c>
      <c r="CY37" s="1486">
        <f t="shared" ca="1" si="105"/>
        <v>0</v>
      </c>
      <c r="CZ37" s="1486">
        <f t="shared" ca="1" si="105"/>
        <v>0</v>
      </c>
      <c r="DA37" s="1486">
        <f t="shared" ca="1" si="105"/>
        <v>0</v>
      </c>
      <c r="DB37" s="1486">
        <f t="shared" ca="1" si="105"/>
        <v>0</v>
      </c>
      <c r="DC37" s="1486">
        <f t="shared" ca="1" si="105"/>
        <v>0</v>
      </c>
      <c r="DD37" s="1486">
        <f t="shared" ca="1" si="105"/>
        <v>0</v>
      </c>
      <c r="DE37" s="1486">
        <f t="shared" ca="1" si="105"/>
        <v>0</v>
      </c>
      <c r="DF37" s="1486">
        <f t="shared" ca="1" si="105"/>
        <v>0</v>
      </c>
      <c r="DH37" s="838">
        <f t="shared" ca="1" si="36"/>
        <v>0</v>
      </c>
    </row>
    <row r="38" spans="1:112" s="743" customFormat="1" ht="15.75" collapsed="1">
      <c r="A38" s="22"/>
      <c r="B38" s="753"/>
      <c r="C38" s="744" t="s">
        <v>675</v>
      </c>
      <c r="D38" s="517" t="str">
        <f>INDEX(Workstreams[Workstream], MATCH($C38, Workstreams[Code], 0))</f>
        <v>Geosequestration</v>
      </c>
      <c r="E38" s="512"/>
      <c r="G38" s="1021">
        <f ca="1">G37</f>
        <v>0</v>
      </c>
      <c r="H38" s="1021">
        <f t="shared" ref="H38:P38" ca="1" si="106">H37</f>
        <v>0</v>
      </c>
      <c r="I38" s="1021">
        <f t="shared" ca="1" si="106"/>
        <v>0</v>
      </c>
      <c r="J38" s="1021">
        <f t="shared" ca="1" si="106"/>
        <v>0</v>
      </c>
      <c r="K38" s="1021">
        <f t="shared" ca="1" si="106"/>
        <v>0</v>
      </c>
      <c r="L38" s="1021">
        <f t="shared" ca="1" si="106"/>
        <v>0</v>
      </c>
      <c r="M38" s="1021">
        <f t="shared" ca="1" si="106"/>
        <v>0</v>
      </c>
      <c r="N38" s="1021">
        <f t="shared" ca="1" si="106"/>
        <v>0</v>
      </c>
      <c r="O38" s="1021">
        <f t="shared" ca="1" si="106"/>
        <v>0</v>
      </c>
      <c r="P38" s="1021">
        <f t="shared" ca="1" si="106"/>
        <v>0</v>
      </c>
      <c r="Q38" s="1021">
        <f ca="1">SUM(G38:P38)</f>
        <v>0</v>
      </c>
      <c r="S38" s="970">
        <f t="shared" ref="S38:AJ38" ca="1" si="107">S37</f>
        <v>0</v>
      </c>
      <c r="T38" s="970">
        <f t="shared" ca="1" si="107"/>
        <v>0</v>
      </c>
      <c r="U38" s="970">
        <f t="shared" ca="1" si="107"/>
        <v>0</v>
      </c>
      <c r="V38" s="970">
        <f t="shared" ca="1" si="107"/>
        <v>0</v>
      </c>
      <c r="W38" s="970">
        <f t="shared" ca="1" si="107"/>
        <v>0</v>
      </c>
      <c r="X38" s="970">
        <f ca="1">X37</f>
        <v>0</v>
      </c>
      <c r="Y38" s="970">
        <f ca="1">Y37</f>
        <v>0</v>
      </c>
      <c r="Z38" s="970">
        <f ca="1">Z37</f>
        <v>0</v>
      </c>
      <c r="AA38" s="970">
        <f t="shared" ca="1" si="107"/>
        <v>0</v>
      </c>
      <c r="AB38" s="970">
        <f t="shared" ca="1" si="107"/>
        <v>0</v>
      </c>
      <c r="AC38" s="970">
        <f t="shared" ca="1" si="107"/>
        <v>0</v>
      </c>
      <c r="AD38" s="970">
        <f ca="1">AD37</f>
        <v>0</v>
      </c>
      <c r="AE38" s="970">
        <f ca="1">AE37</f>
        <v>0</v>
      </c>
      <c r="AF38" s="970">
        <f t="shared" ca="1" si="107"/>
        <v>0</v>
      </c>
      <c r="AG38" s="970">
        <f ca="1">AG37</f>
        <v>0</v>
      </c>
      <c r="AH38" s="970">
        <f ca="1">AH37</f>
        <v>0</v>
      </c>
      <c r="AI38" s="970">
        <f ca="1">AI37</f>
        <v>0</v>
      </c>
      <c r="AJ38" s="970">
        <f t="shared" ca="1" si="107"/>
        <v>0</v>
      </c>
      <c r="AK38" s="970">
        <f ca="1">SUM(S38:AJ38)</f>
        <v>0</v>
      </c>
      <c r="AM38" s="976">
        <f t="shared" ref="AM38:AS38" ca="1" si="108">AM37</f>
        <v>0</v>
      </c>
      <c r="AN38" s="976">
        <f t="shared" ca="1" si="108"/>
        <v>0</v>
      </c>
      <c r="AO38" s="976">
        <f t="shared" ca="1" si="108"/>
        <v>0</v>
      </c>
      <c r="AP38" s="976">
        <f t="shared" ca="1" si="108"/>
        <v>0</v>
      </c>
      <c r="AQ38" s="976">
        <f t="shared" ca="1" si="108"/>
        <v>0</v>
      </c>
      <c r="AR38" s="976">
        <f t="shared" ca="1" si="108"/>
        <v>0</v>
      </c>
      <c r="AS38" s="976">
        <f t="shared" ca="1" si="108"/>
        <v>0</v>
      </c>
      <c r="AT38" s="976">
        <f t="shared" ref="AT38:BE38" ca="1" si="109">AT37</f>
        <v>0</v>
      </c>
      <c r="AU38" s="976">
        <f t="shared" ca="1" si="109"/>
        <v>0</v>
      </c>
      <c r="AV38" s="976">
        <f t="shared" ca="1" si="109"/>
        <v>0</v>
      </c>
      <c r="AW38" s="976">
        <f t="shared" ca="1" si="109"/>
        <v>0</v>
      </c>
      <c r="AX38" s="976">
        <f t="shared" ca="1" si="109"/>
        <v>0</v>
      </c>
      <c r="AY38" s="976">
        <f t="shared" ca="1" si="109"/>
        <v>0</v>
      </c>
      <c r="AZ38" s="976">
        <f t="shared" ca="1" si="109"/>
        <v>0</v>
      </c>
      <c r="BA38" s="976">
        <f t="shared" ca="1" si="109"/>
        <v>0</v>
      </c>
      <c r="BB38" s="976">
        <f t="shared" ca="1" si="109"/>
        <v>0</v>
      </c>
      <c r="BC38" s="976">
        <f t="shared" ca="1" si="109"/>
        <v>0</v>
      </c>
      <c r="BD38" s="976">
        <f t="shared" ca="1" si="109"/>
        <v>0</v>
      </c>
      <c r="BE38" s="976">
        <f t="shared" ca="1" si="109"/>
        <v>0</v>
      </c>
      <c r="BF38" s="976">
        <f ca="1">SUM(AM38:BE38)</f>
        <v>0</v>
      </c>
      <c r="BH38" s="990">
        <f ca="1">BH37</f>
        <v>0</v>
      </c>
      <c r="BI38" s="990">
        <f ca="1">BI37</f>
        <v>0</v>
      </c>
      <c r="BJ38" s="990">
        <f ca="1">SUM(BH38:BI38)</f>
        <v>0</v>
      </c>
      <c r="BL38" s="515">
        <f t="shared" ca="1" si="9"/>
        <v>0</v>
      </c>
      <c r="BM38" s="515"/>
      <c r="BN38" s="840"/>
      <c r="BO38" s="1482">
        <f t="shared" ref="BO38:DF38" ca="1" si="110">BO37</f>
        <v>0</v>
      </c>
      <c r="BP38" s="1482">
        <f t="shared" ca="1" si="110"/>
        <v>0</v>
      </c>
      <c r="BQ38" s="1482">
        <f t="shared" ca="1" si="110"/>
        <v>0</v>
      </c>
      <c r="BR38" s="1482">
        <f t="shared" ca="1" si="110"/>
        <v>0</v>
      </c>
      <c r="BS38" s="1482">
        <f t="shared" ca="1" si="110"/>
        <v>0</v>
      </c>
      <c r="BT38" s="1482">
        <f t="shared" ca="1" si="110"/>
        <v>0</v>
      </c>
      <c r="BU38" s="1482">
        <f t="shared" ca="1" si="110"/>
        <v>0</v>
      </c>
      <c r="BV38" s="1482">
        <f t="shared" ca="1" si="110"/>
        <v>0</v>
      </c>
      <c r="BW38" s="1482">
        <f t="shared" ca="1" si="110"/>
        <v>0</v>
      </c>
      <c r="BX38" s="1482">
        <f t="shared" ca="1" si="110"/>
        <v>0</v>
      </c>
      <c r="BY38" s="1482">
        <f t="shared" ca="1" si="110"/>
        <v>0</v>
      </c>
      <c r="BZ38" s="1482">
        <f t="shared" ca="1" si="110"/>
        <v>0</v>
      </c>
      <c r="CA38" s="1482">
        <f t="shared" ca="1" si="110"/>
        <v>0</v>
      </c>
      <c r="CB38" s="1482">
        <f t="shared" ca="1" si="110"/>
        <v>0</v>
      </c>
      <c r="CC38" s="1482">
        <f t="shared" ca="1" si="110"/>
        <v>0</v>
      </c>
      <c r="CD38" s="1482">
        <f t="shared" ca="1" si="110"/>
        <v>0</v>
      </c>
      <c r="CE38" s="1482">
        <f t="shared" ca="1" si="110"/>
        <v>0</v>
      </c>
      <c r="CF38" s="1482">
        <f t="shared" ca="1" si="110"/>
        <v>0</v>
      </c>
      <c r="CG38" s="1482">
        <f t="shared" ca="1" si="110"/>
        <v>0</v>
      </c>
      <c r="CH38" s="1482">
        <f t="shared" ca="1" si="110"/>
        <v>0</v>
      </c>
      <c r="CI38" s="1482">
        <f t="shared" ca="1" si="110"/>
        <v>0</v>
      </c>
      <c r="CJ38" s="1482">
        <f t="shared" ca="1" si="110"/>
        <v>0</v>
      </c>
      <c r="CK38" s="1482">
        <f t="shared" ca="1" si="110"/>
        <v>0</v>
      </c>
      <c r="CL38" s="1482">
        <f t="shared" ca="1" si="110"/>
        <v>0</v>
      </c>
      <c r="CM38" s="1482">
        <f t="shared" ca="1" si="110"/>
        <v>0</v>
      </c>
      <c r="CN38" s="1482">
        <f t="shared" ca="1" si="110"/>
        <v>0</v>
      </c>
      <c r="CO38" s="1482">
        <f t="shared" ca="1" si="110"/>
        <v>0</v>
      </c>
      <c r="CP38" s="1482">
        <f t="shared" ca="1" si="110"/>
        <v>0</v>
      </c>
      <c r="CQ38" s="1482">
        <f t="shared" ca="1" si="110"/>
        <v>0</v>
      </c>
      <c r="CR38" s="1482">
        <f t="shared" ca="1" si="110"/>
        <v>0</v>
      </c>
      <c r="CS38" s="1482">
        <f t="shared" ca="1" si="110"/>
        <v>0</v>
      </c>
      <c r="CT38" s="1482">
        <f t="shared" ca="1" si="110"/>
        <v>0</v>
      </c>
      <c r="CU38" s="1482">
        <f t="shared" ca="1" si="110"/>
        <v>0</v>
      </c>
      <c r="CV38" s="1482">
        <f t="shared" ca="1" si="110"/>
        <v>0</v>
      </c>
      <c r="CW38" s="1482">
        <f t="shared" ca="1" si="110"/>
        <v>0</v>
      </c>
      <c r="CX38" s="1482">
        <f t="shared" ca="1" si="110"/>
        <v>0</v>
      </c>
      <c r="CY38" s="1482">
        <f t="shared" ca="1" si="110"/>
        <v>0</v>
      </c>
      <c r="CZ38" s="1482">
        <f t="shared" ca="1" si="110"/>
        <v>0</v>
      </c>
      <c r="DA38" s="1482">
        <f t="shared" ca="1" si="110"/>
        <v>0</v>
      </c>
      <c r="DB38" s="1482">
        <f t="shared" ca="1" si="110"/>
        <v>0</v>
      </c>
      <c r="DC38" s="1482">
        <f t="shared" ca="1" si="110"/>
        <v>0</v>
      </c>
      <c r="DD38" s="1482">
        <f t="shared" ca="1" si="110"/>
        <v>0</v>
      </c>
      <c r="DE38" s="1482">
        <f t="shared" ca="1" si="110"/>
        <v>0</v>
      </c>
      <c r="DF38" s="1482">
        <f t="shared" ca="1" si="110"/>
        <v>0</v>
      </c>
      <c r="DH38" s="838">
        <f t="shared" ca="1" si="36"/>
        <v>0</v>
      </c>
    </row>
    <row r="39" spans="1:112" s="743" customFormat="1" ht="6" customHeight="1">
      <c r="C39" s="516"/>
      <c r="D39" s="517"/>
      <c r="E39" s="509"/>
      <c r="G39" s="1021"/>
      <c r="H39" s="1021"/>
      <c r="I39" s="1021"/>
      <c r="J39" s="1021"/>
      <c r="K39" s="1021"/>
      <c r="L39" s="1021"/>
      <c r="M39" s="1021"/>
      <c r="N39" s="1021"/>
      <c r="O39" s="1021"/>
      <c r="P39" s="1021"/>
      <c r="Q39" s="1021"/>
      <c r="S39" s="970"/>
      <c r="T39" s="970"/>
      <c r="U39" s="970"/>
      <c r="V39" s="970"/>
      <c r="W39" s="970"/>
      <c r="X39" s="970"/>
      <c r="Y39" s="970"/>
      <c r="Z39" s="970"/>
      <c r="AA39" s="970"/>
      <c r="AB39" s="970"/>
      <c r="AC39" s="970"/>
      <c r="AD39" s="970"/>
      <c r="AE39" s="970"/>
      <c r="AF39" s="970"/>
      <c r="AG39" s="970"/>
      <c r="AH39" s="970"/>
      <c r="AI39" s="970"/>
      <c r="AJ39" s="970"/>
      <c r="AK39" s="970"/>
      <c r="AM39" s="976"/>
      <c r="AN39" s="976"/>
      <c r="AO39" s="976"/>
      <c r="AP39" s="976"/>
      <c r="AQ39" s="976"/>
      <c r="AR39" s="976"/>
      <c r="AS39" s="976"/>
      <c r="AT39" s="976"/>
      <c r="AU39" s="976"/>
      <c r="AV39" s="976"/>
      <c r="AW39" s="976"/>
      <c r="AX39" s="976"/>
      <c r="AY39" s="976"/>
      <c r="AZ39" s="976"/>
      <c r="BA39" s="976"/>
      <c r="BB39" s="976"/>
      <c r="BC39" s="976"/>
      <c r="BD39" s="976"/>
      <c r="BE39" s="976"/>
      <c r="BF39" s="976">
        <f>SUM(AM39:BE39)</f>
        <v>0</v>
      </c>
      <c r="BH39" s="990"/>
      <c r="BI39" s="990"/>
      <c r="BJ39" s="990"/>
      <c r="BL39" s="515">
        <f t="shared" si="9"/>
        <v>0</v>
      </c>
      <c r="BM39" s="515"/>
      <c r="BO39" s="1482"/>
      <c r="BP39" s="1482"/>
      <c r="BQ39" s="1482"/>
      <c r="BR39" s="1482"/>
      <c r="BS39" s="1482"/>
      <c r="BT39" s="1482"/>
      <c r="BU39" s="1482"/>
      <c r="BV39" s="1482"/>
      <c r="BW39" s="1482"/>
      <c r="BX39" s="1482"/>
      <c r="BY39" s="1482"/>
      <c r="BZ39" s="1482"/>
      <c r="CA39" s="1482"/>
      <c r="CB39" s="1482"/>
      <c r="CC39" s="1482"/>
      <c r="CD39" s="1482"/>
      <c r="CE39" s="1482"/>
      <c r="CF39" s="1482"/>
      <c r="CG39" s="1482"/>
      <c r="CH39" s="1482"/>
      <c r="CI39" s="1482"/>
      <c r="CJ39" s="1482"/>
      <c r="CK39" s="1482"/>
      <c r="CL39" s="1482"/>
      <c r="CM39" s="1482"/>
      <c r="CN39" s="1482"/>
      <c r="CO39" s="1482"/>
      <c r="CP39" s="1482"/>
      <c r="CQ39" s="1482"/>
      <c r="CR39" s="1482"/>
      <c r="CS39" s="1482"/>
      <c r="CT39" s="1482"/>
      <c r="CU39" s="1482"/>
      <c r="CV39" s="1482"/>
      <c r="CW39" s="1482"/>
      <c r="CX39" s="1482"/>
      <c r="CY39" s="1482"/>
      <c r="CZ39" s="1482"/>
      <c r="DA39" s="1482"/>
      <c r="DB39" s="1482"/>
      <c r="DC39" s="1482"/>
      <c r="DD39" s="1482"/>
      <c r="DE39" s="1482"/>
      <c r="DF39" s="1482"/>
      <c r="DH39" s="838"/>
    </row>
    <row r="40" spans="1:112" s="743" customFormat="1" ht="15.75">
      <c r="B40" s="753"/>
      <c r="C40" s="2051" t="s">
        <v>1815</v>
      </c>
      <c r="D40" s="643" t="s">
        <v>619</v>
      </c>
      <c r="E40" s="644"/>
      <c r="G40" s="1023">
        <f t="shared" ref="G40:Q40" ca="1" si="111">G$15+G$19+G$22+G$32+G$35+G$38</f>
        <v>732.17817493630173</v>
      </c>
      <c r="H40" s="1023">
        <f t="shared" ca="1" si="111"/>
        <v>207.74130210103971</v>
      </c>
      <c r="I40" s="1023">
        <f t="shared" ca="1" si="111"/>
        <v>455.32654715195713</v>
      </c>
      <c r="J40" s="1023">
        <f t="shared" ca="1" si="111"/>
        <v>339.5869111380855</v>
      </c>
      <c r="K40" s="1023">
        <f t="shared" ca="1" si="111"/>
        <v>14.894486251116774</v>
      </c>
      <c r="L40" s="1023">
        <f t="shared" ca="1" si="111"/>
        <v>14.344409418627478</v>
      </c>
      <c r="M40" s="1023">
        <f t="shared" ca="1" si="111"/>
        <v>22.788555765479813</v>
      </c>
      <c r="N40" s="1023">
        <f t="shared" ca="1" si="111"/>
        <v>209.1795176408344</v>
      </c>
      <c r="O40" s="1023">
        <f t="shared" ca="1" si="111"/>
        <v>109.26267678014634</v>
      </c>
      <c r="P40" s="1023">
        <f t="shared" ca="1" si="111"/>
        <v>0</v>
      </c>
      <c r="Q40" s="1023">
        <f t="shared" ca="1" si="111"/>
        <v>2105.3025811835887</v>
      </c>
      <c r="S40" s="1014">
        <f t="shared" ref="S40:AJ40" ca="1" si="112">S$15+S$19+S$22+S$32+S$35+S$38</f>
        <v>-425.13425427528489</v>
      </c>
      <c r="T40" s="1014">
        <f t="shared" ca="1" si="112"/>
        <v>0</v>
      </c>
      <c r="U40" s="1014">
        <f t="shared" ca="1" si="112"/>
        <v>-63.775158388280786</v>
      </c>
      <c r="V40" s="1014">
        <f t="shared" ca="1" si="112"/>
        <v>-785.82198019052726</v>
      </c>
      <c r="W40" s="1014">
        <f t="shared" ca="1" si="112"/>
        <v>-821.64865855584844</v>
      </c>
      <c r="X40" s="1014">
        <f ca="1">X$15+X$19+X$22+X$32+X$35+X$38</f>
        <v>0</v>
      </c>
      <c r="Y40" s="1014">
        <f ca="1">Y$15+Y$19+Y$22+Y$32+Y$35+Y$38</f>
        <v>0</v>
      </c>
      <c r="Z40" s="1014">
        <f ca="1">Z$15+Z$19+Z$22+Z$32+Z$35+Z$38</f>
        <v>0</v>
      </c>
      <c r="AA40" s="1014">
        <f t="shared" ca="1" si="112"/>
        <v>0</v>
      </c>
      <c r="AB40" s="1014">
        <f t="shared" ca="1" si="112"/>
        <v>-8.9225297736472999</v>
      </c>
      <c r="AC40" s="1014">
        <f t="shared" ca="1" si="112"/>
        <v>0</v>
      </c>
      <c r="AD40" s="1014">
        <f t="shared" ca="1" si="112"/>
        <v>0</v>
      </c>
      <c r="AE40" s="1014">
        <f t="shared" ca="1" si="112"/>
        <v>0</v>
      </c>
      <c r="AF40" s="1014">
        <f t="shared" ca="1" si="112"/>
        <v>0</v>
      </c>
      <c r="AG40" s="1014">
        <f t="shared" ca="1" si="112"/>
        <v>0</v>
      </c>
      <c r="AH40" s="1014">
        <f t="shared" ca="1" si="112"/>
        <v>0</v>
      </c>
      <c r="AI40" s="1014">
        <f t="shared" ca="1" si="112"/>
        <v>0</v>
      </c>
      <c r="AJ40" s="1014">
        <f t="shared" ca="1" si="112"/>
        <v>0</v>
      </c>
      <c r="AK40" s="1014">
        <f ca="1">SUM(S40:AJ40)</f>
        <v>-2105.3025811835887</v>
      </c>
      <c r="AM40" s="1015">
        <f t="shared" ref="AM40:BE40" ca="1" si="113">AM$15+AM$19+AM$22+AM$32+AM$35+AM$38</f>
        <v>0</v>
      </c>
      <c r="AN40" s="1015">
        <f t="shared" ca="1" si="113"/>
        <v>0</v>
      </c>
      <c r="AO40" s="1015">
        <f t="shared" ca="1" si="113"/>
        <v>0</v>
      </c>
      <c r="AP40" s="1015">
        <f t="shared" ca="1" si="113"/>
        <v>0</v>
      </c>
      <c r="AQ40" s="1015">
        <f t="shared" ca="1" si="113"/>
        <v>0</v>
      </c>
      <c r="AR40" s="1015">
        <f t="shared" ca="1" si="113"/>
        <v>0</v>
      </c>
      <c r="AS40" s="1015">
        <f t="shared" ca="1" si="113"/>
        <v>0</v>
      </c>
      <c r="AT40" s="1015">
        <f t="shared" ca="1" si="113"/>
        <v>0</v>
      </c>
      <c r="AU40" s="1015">
        <f t="shared" ca="1" si="113"/>
        <v>0</v>
      </c>
      <c r="AV40" s="1015">
        <f t="shared" ca="1" si="113"/>
        <v>0</v>
      </c>
      <c r="AW40" s="1015">
        <f t="shared" ca="1" si="113"/>
        <v>0</v>
      </c>
      <c r="AX40" s="1015">
        <f t="shared" ca="1" si="113"/>
        <v>0</v>
      </c>
      <c r="AY40" s="1015">
        <f t="shared" ca="1" si="113"/>
        <v>0</v>
      </c>
      <c r="AZ40" s="1015">
        <f t="shared" ca="1" si="113"/>
        <v>0</v>
      </c>
      <c r="BA40" s="1015">
        <f t="shared" ca="1" si="113"/>
        <v>0</v>
      </c>
      <c r="BB40" s="1015">
        <f t="shared" ca="1" si="113"/>
        <v>0</v>
      </c>
      <c r="BC40" s="1015">
        <f t="shared" ca="1" si="113"/>
        <v>0</v>
      </c>
      <c r="BD40" s="1015">
        <f t="shared" ca="1" si="113"/>
        <v>0</v>
      </c>
      <c r="BE40" s="1015">
        <f t="shared" ca="1" si="113"/>
        <v>0</v>
      </c>
      <c r="BF40" s="1015">
        <f ca="1">SUM(AM40:BE40)</f>
        <v>0</v>
      </c>
      <c r="BH40" s="1016">
        <f ca="1">BH$15+BH$19+BH$22+BH$32+BH$35+BH$38</f>
        <v>0</v>
      </c>
      <c r="BI40" s="1016">
        <f ca="1">BI$15+BI$19+BI$22+BI$32+BI$35+BI$38</f>
        <v>0</v>
      </c>
      <c r="BJ40" s="1016">
        <f ca="1">SUM(BH40:BI40)</f>
        <v>0</v>
      </c>
      <c r="BL40" s="518">
        <f t="shared" ca="1" si="9"/>
        <v>0</v>
      </c>
      <c r="BM40" s="518"/>
      <c r="BO40" s="1487">
        <f t="shared" ref="BO40:DF40" ca="1" si="114">BO$15+BO$19+BO$22+BO$32+BO$35+BO$38</f>
        <v>287.6710484002532</v>
      </c>
      <c r="BP40" s="1487">
        <f t="shared" ca="1" si="114"/>
        <v>0.50621966532510121</v>
      </c>
      <c r="BQ40" s="1487">
        <f t="shared" ca="1" si="114"/>
        <v>2.6022250579282131</v>
      </c>
      <c r="BR40" s="1487">
        <f t="shared" ca="1" si="114"/>
        <v>0</v>
      </c>
      <c r="BS40" s="1487">
        <f t="shared" ca="1" si="114"/>
        <v>0</v>
      </c>
      <c r="BT40" s="1487">
        <f t="shared" ca="1" si="114"/>
        <v>0</v>
      </c>
      <c r="BU40" s="1487">
        <f t="shared" ca="1" si="114"/>
        <v>0</v>
      </c>
      <c r="BV40" s="1487">
        <f t="shared" ca="1" si="114"/>
        <v>0</v>
      </c>
      <c r="BW40" s="1487">
        <f t="shared" ca="1" si="114"/>
        <v>14.553118871179784</v>
      </c>
      <c r="BX40" s="1487">
        <f t="shared" ca="1" si="114"/>
        <v>0.10991873645734471</v>
      </c>
      <c r="BY40" s="1487">
        <f t="shared" ca="1" si="114"/>
        <v>2.7599956553046825</v>
      </c>
      <c r="BZ40" s="1487">
        <f t="shared" ca="1" si="114"/>
        <v>5.5786316031859631</v>
      </c>
      <c r="CA40" s="1487">
        <f t="shared" ca="1" si="114"/>
        <v>0</v>
      </c>
      <c r="CB40" s="1487">
        <f t="shared" ca="1" si="114"/>
        <v>0</v>
      </c>
      <c r="CC40" s="1487">
        <f t="shared" ca="1" si="114"/>
        <v>0</v>
      </c>
      <c r="CD40" s="1487">
        <f t="shared" ca="1" si="114"/>
        <v>0</v>
      </c>
      <c r="CE40" s="1487">
        <f t="shared" ca="1" si="114"/>
        <v>0</v>
      </c>
      <c r="CF40" s="1487">
        <f t="shared" ca="1" si="114"/>
        <v>0</v>
      </c>
      <c r="CG40" s="1487">
        <f t="shared" ca="1" si="114"/>
        <v>0</v>
      </c>
      <c r="CH40" s="1487">
        <f t="shared" ca="1" si="114"/>
        <v>0</v>
      </c>
      <c r="CI40" s="1487">
        <f t="shared" ca="1" si="114"/>
        <v>0</v>
      </c>
      <c r="CJ40" s="1487">
        <f t="shared" ca="1" si="114"/>
        <v>0</v>
      </c>
      <c r="CK40" s="1487">
        <f t="shared" ca="1" si="114"/>
        <v>0</v>
      </c>
      <c r="CL40" s="1487">
        <f t="shared" ca="1" si="114"/>
        <v>0</v>
      </c>
      <c r="CM40" s="1487">
        <f t="shared" ca="1" si="114"/>
        <v>0</v>
      </c>
      <c r="CN40" s="1487">
        <f t="shared" ca="1" si="114"/>
        <v>0</v>
      </c>
      <c r="CO40" s="1487">
        <f t="shared" ca="1" si="114"/>
        <v>0</v>
      </c>
      <c r="CP40" s="1487">
        <f t="shared" ca="1" si="114"/>
        <v>0</v>
      </c>
      <c r="CQ40" s="1487">
        <f t="shared" ca="1" si="114"/>
        <v>0</v>
      </c>
      <c r="CR40" s="1487">
        <f t="shared" ca="1" si="114"/>
        <v>0</v>
      </c>
      <c r="CS40" s="1487">
        <f t="shared" ca="1" si="114"/>
        <v>0</v>
      </c>
      <c r="CT40" s="1487">
        <f t="shared" ca="1" si="114"/>
        <v>0</v>
      </c>
      <c r="CU40" s="1487">
        <f t="shared" ca="1" si="114"/>
        <v>79.610548605245185</v>
      </c>
      <c r="CV40" s="1487">
        <f t="shared" ca="1" si="114"/>
        <v>9.9114818730894103E-2</v>
      </c>
      <c r="CW40" s="1487">
        <f t="shared" ca="1" si="114"/>
        <v>1.4323568986377209</v>
      </c>
      <c r="CX40" s="1487">
        <f t="shared" ca="1" si="114"/>
        <v>0</v>
      </c>
      <c r="CY40" s="1487">
        <f t="shared" ca="1" si="114"/>
        <v>0</v>
      </c>
      <c r="CZ40" s="1487">
        <f t="shared" ca="1" si="114"/>
        <v>0</v>
      </c>
      <c r="DA40" s="1487">
        <f t="shared" ca="1" si="114"/>
        <v>0</v>
      </c>
      <c r="DB40" s="1487">
        <f t="shared" ca="1" si="114"/>
        <v>0</v>
      </c>
      <c r="DC40" s="1487">
        <f t="shared" ca="1" si="114"/>
        <v>0</v>
      </c>
      <c r="DD40" s="1487">
        <f t="shared" ca="1" si="114"/>
        <v>0</v>
      </c>
      <c r="DE40" s="1487">
        <f t="shared" ca="1" si="114"/>
        <v>0</v>
      </c>
      <c r="DF40" s="1487">
        <f t="shared" ca="1" si="114"/>
        <v>0</v>
      </c>
      <c r="DH40" s="835">
        <f ca="1">SUM(BO40:DF40)</f>
        <v>394.92317831224801</v>
      </c>
    </row>
    <row r="41" spans="1:112" s="743" customFormat="1" ht="6" customHeight="1">
      <c r="C41" s="509"/>
      <c r="D41" s="509"/>
      <c r="E41" s="509"/>
      <c r="G41" s="958"/>
      <c r="H41" s="958"/>
      <c r="I41" s="958"/>
      <c r="J41" s="958"/>
      <c r="K41" s="960"/>
      <c r="L41" s="958"/>
      <c r="M41" s="958"/>
      <c r="N41" s="958"/>
      <c r="O41" s="958"/>
      <c r="P41" s="958"/>
      <c r="Q41" s="958"/>
      <c r="S41" s="970"/>
      <c r="T41" s="970"/>
      <c r="U41" s="970"/>
      <c r="V41" s="970"/>
      <c r="W41" s="970"/>
      <c r="X41" s="970"/>
      <c r="Y41" s="970"/>
      <c r="Z41" s="970"/>
      <c r="AA41" s="970"/>
      <c r="AB41" s="970"/>
      <c r="AC41" s="970"/>
      <c r="AD41" s="970"/>
      <c r="AE41" s="970"/>
      <c r="AF41" s="970"/>
      <c r="AG41" s="970"/>
      <c r="AH41" s="970"/>
      <c r="AI41" s="970"/>
      <c r="AJ41" s="970"/>
      <c r="AK41" s="970"/>
      <c r="AM41" s="976"/>
      <c r="AN41" s="976"/>
      <c r="AO41" s="976"/>
      <c r="AP41" s="976"/>
      <c r="AQ41" s="976"/>
      <c r="AR41" s="976"/>
      <c r="AS41" s="976"/>
      <c r="AT41" s="976"/>
      <c r="AU41" s="976"/>
      <c r="AV41" s="976"/>
      <c r="AW41" s="976"/>
      <c r="AX41" s="976"/>
      <c r="AY41" s="976"/>
      <c r="AZ41" s="976"/>
      <c r="BA41" s="976"/>
      <c r="BB41" s="976"/>
      <c r="BC41" s="976"/>
      <c r="BD41" s="976"/>
      <c r="BE41" s="976"/>
      <c r="BF41" s="976"/>
      <c r="BH41" s="990"/>
      <c r="BI41" s="990"/>
      <c r="BJ41" s="990"/>
      <c r="BL41" s="515">
        <f t="shared" si="9"/>
        <v>0</v>
      </c>
      <c r="BM41" s="515"/>
      <c r="BO41" s="1482"/>
      <c r="BP41" s="1482"/>
      <c r="BQ41" s="1482"/>
      <c r="BR41" s="1482"/>
      <c r="BS41" s="1482"/>
      <c r="BT41" s="1482"/>
      <c r="BU41" s="1482"/>
      <c r="BV41" s="1482"/>
      <c r="BW41" s="1482"/>
      <c r="BX41" s="1482"/>
      <c r="BY41" s="1482"/>
      <c r="BZ41" s="1482"/>
      <c r="CA41" s="1482"/>
      <c r="CB41" s="1482"/>
      <c r="CC41" s="1482"/>
      <c r="CD41" s="1482"/>
      <c r="CE41" s="1482"/>
      <c r="CF41" s="1482"/>
      <c r="CG41" s="1482"/>
      <c r="CH41" s="1482"/>
      <c r="CI41" s="1482"/>
      <c r="CJ41" s="1482"/>
      <c r="CK41" s="1482"/>
      <c r="CL41" s="1482"/>
      <c r="CM41" s="1482"/>
      <c r="CN41" s="1482"/>
      <c r="CO41" s="1482"/>
      <c r="CP41" s="1482"/>
      <c r="CQ41" s="1482"/>
      <c r="CR41" s="1482"/>
      <c r="CS41" s="1482"/>
      <c r="CT41" s="1482"/>
      <c r="CU41" s="1482"/>
      <c r="CV41" s="1482"/>
      <c r="CW41" s="1482"/>
      <c r="CX41" s="1482"/>
      <c r="CY41" s="1482"/>
      <c r="CZ41" s="1482"/>
      <c r="DA41" s="1482"/>
      <c r="DB41" s="1482"/>
      <c r="DC41" s="1482"/>
      <c r="DD41" s="1482"/>
      <c r="DE41" s="1482"/>
      <c r="DF41" s="1482"/>
      <c r="DH41" s="838"/>
    </row>
    <row r="42" spans="1:112" s="743" customFormat="1" ht="24" customHeight="1">
      <c r="C42" s="501" t="s">
        <v>72</v>
      </c>
      <c r="D42" s="501"/>
      <c r="E42" s="639"/>
      <c r="G42" s="957"/>
      <c r="H42" s="957"/>
      <c r="I42" s="957"/>
      <c r="J42" s="957"/>
      <c r="K42" s="957"/>
      <c r="L42" s="957"/>
      <c r="M42" s="957"/>
      <c r="N42" s="957"/>
      <c r="O42" s="957"/>
      <c r="P42" s="957"/>
      <c r="Q42" s="957"/>
      <c r="S42" s="969"/>
      <c r="T42" s="969"/>
      <c r="U42" s="969"/>
      <c r="V42" s="969"/>
      <c r="W42" s="969"/>
      <c r="X42" s="969"/>
      <c r="Y42" s="969"/>
      <c r="Z42" s="969"/>
      <c r="AA42" s="969"/>
      <c r="AB42" s="969"/>
      <c r="AC42" s="969"/>
      <c r="AD42" s="969"/>
      <c r="AE42" s="969"/>
      <c r="AF42" s="969"/>
      <c r="AG42" s="969"/>
      <c r="AH42" s="969"/>
      <c r="AI42" s="969"/>
      <c r="AJ42" s="969"/>
      <c r="AK42" s="969"/>
      <c r="AM42" s="975"/>
      <c r="AN42" s="975"/>
      <c r="AO42" s="975"/>
      <c r="AP42" s="975"/>
      <c r="AQ42" s="975"/>
      <c r="AR42" s="975"/>
      <c r="AS42" s="975"/>
      <c r="AT42" s="975"/>
      <c r="AU42" s="975"/>
      <c r="AV42" s="975"/>
      <c r="AW42" s="975"/>
      <c r="AX42" s="975"/>
      <c r="AY42" s="975"/>
      <c r="AZ42" s="975"/>
      <c r="BA42" s="975"/>
      <c r="BB42" s="975"/>
      <c r="BC42" s="975"/>
      <c r="BD42" s="975"/>
      <c r="BE42" s="975"/>
      <c r="BF42" s="975"/>
      <c r="BH42" s="989"/>
      <c r="BI42" s="989"/>
      <c r="BJ42" s="989"/>
      <c r="BL42" s="514">
        <f t="shared" si="9"/>
        <v>0</v>
      </c>
      <c r="BM42" s="514"/>
      <c r="BO42" s="1482"/>
      <c r="BP42" s="1482"/>
      <c r="BQ42" s="1482"/>
      <c r="BR42" s="1482"/>
      <c r="BS42" s="1482"/>
      <c r="BT42" s="1482"/>
      <c r="BU42" s="1482"/>
      <c r="BV42" s="1482"/>
      <c r="BW42" s="1482"/>
      <c r="BX42" s="1482"/>
      <c r="BY42" s="1482"/>
      <c r="BZ42" s="1482"/>
      <c r="CA42" s="1482"/>
      <c r="CB42" s="1482"/>
      <c r="CC42" s="1482"/>
      <c r="CD42" s="1482"/>
      <c r="CE42" s="1482"/>
      <c r="CF42" s="1482"/>
      <c r="CG42" s="1482"/>
      <c r="CH42" s="1482"/>
      <c r="CI42" s="1482"/>
      <c r="CJ42" s="1482"/>
      <c r="CK42" s="1482"/>
      <c r="CL42" s="1482"/>
      <c r="CM42" s="1482"/>
      <c r="CN42" s="1482"/>
      <c r="CO42" s="1482"/>
      <c r="CP42" s="1482"/>
      <c r="CQ42" s="1482"/>
      <c r="CR42" s="1482"/>
      <c r="CS42" s="1482"/>
      <c r="CT42" s="1482"/>
      <c r="CU42" s="1482"/>
      <c r="CV42" s="1482"/>
      <c r="CW42" s="1482"/>
      <c r="CX42" s="1482"/>
      <c r="CY42" s="1482"/>
      <c r="CZ42" s="1482"/>
      <c r="DA42" s="1482"/>
      <c r="DB42" s="1482"/>
      <c r="DC42" s="1482"/>
      <c r="DD42" s="1482"/>
      <c r="DE42" s="1482"/>
      <c r="DF42" s="1482"/>
      <c r="DH42" s="838"/>
    </row>
    <row r="43" spans="1:112" s="743" customFormat="1" ht="12.75" hidden="1" customHeight="1" outlineLevel="1">
      <c r="A43" s="22"/>
      <c r="B43" s="22"/>
      <c r="C43" s="751"/>
      <c r="D43" s="512"/>
      <c r="E43" s="512"/>
      <c r="G43" s="958"/>
      <c r="H43" s="958"/>
      <c r="I43" s="958"/>
      <c r="J43" s="958"/>
      <c r="K43" s="960"/>
      <c r="L43" s="958"/>
      <c r="M43" s="958"/>
      <c r="N43" s="958"/>
      <c r="O43" s="958"/>
      <c r="P43" s="958"/>
      <c r="Q43" s="958"/>
      <c r="S43" s="970"/>
      <c r="T43" s="970"/>
      <c r="U43" s="970"/>
      <c r="V43" s="970"/>
      <c r="W43" s="970"/>
      <c r="X43" s="970"/>
      <c r="Y43" s="970"/>
      <c r="Z43" s="970"/>
      <c r="AA43" s="970"/>
      <c r="AB43" s="970"/>
      <c r="AC43" s="970"/>
      <c r="AD43" s="970"/>
      <c r="AE43" s="970"/>
      <c r="AF43" s="970"/>
      <c r="AG43" s="970"/>
      <c r="AH43" s="970"/>
      <c r="AI43" s="970"/>
      <c r="AJ43" s="970"/>
      <c r="AK43" s="970"/>
      <c r="AM43" s="976"/>
      <c r="AN43" s="976"/>
      <c r="AO43" s="976"/>
      <c r="AP43" s="976"/>
      <c r="AQ43" s="976"/>
      <c r="AR43" s="976"/>
      <c r="AS43" s="976"/>
      <c r="AT43" s="976"/>
      <c r="AU43" s="976"/>
      <c r="AV43" s="976"/>
      <c r="AW43" s="976"/>
      <c r="AX43" s="976"/>
      <c r="AY43" s="976"/>
      <c r="AZ43" s="976"/>
      <c r="BA43" s="976"/>
      <c r="BB43" s="976"/>
      <c r="BC43" s="976"/>
      <c r="BD43" s="976"/>
      <c r="BE43" s="976"/>
      <c r="BF43" s="976"/>
      <c r="BH43" s="990"/>
      <c r="BI43" s="990"/>
      <c r="BJ43" s="990"/>
      <c r="BL43" s="515">
        <f t="shared" si="9"/>
        <v>0</v>
      </c>
      <c r="BM43" s="515"/>
      <c r="BN43" s="22"/>
      <c r="BO43" s="1482"/>
      <c r="BP43" s="1482"/>
      <c r="BQ43" s="1482"/>
      <c r="BR43" s="1482"/>
      <c r="BS43" s="1482"/>
      <c r="BT43" s="1482"/>
      <c r="BU43" s="1482"/>
      <c r="BV43" s="1482"/>
      <c r="BW43" s="1482"/>
      <c r="BX43" s="1482"/>
      <c r="BY43" s="1482"/>
      <c r="BZ43" s="1482"/>
      <c r="CA43" s="1482"/>
      <c r="CB43" s="1482"/>
      <c r="CC43" s="1482"/>
      <c r="CD43" s="1482"/>
      <c r="CE43" s="1482"/>
      <c r="CF43" s="1482"/>
      <c r="CG43" s="1482"/>
      <c r="CH43" s="1482"/>
      <c r="CI43" s="1482"/>
      <c r="CJ43" s="1482"/>
      <c r="CK43" s="1482"/>
      <c r="CL43" s="1482"/>
      <c r="CM43" s="1482"/>
      <c r="CN43" s="1482"/>
      <c r="CO43" s="1482"/>
      <c r="CP43" s="1482"/>
      <c r="CQ43" s="1482"/>
      <c r="CR43" s="1482"/>
      <c r="CS43" s="1482"/>
      <c r="CT43" s="1482"/>
      <c r="CU43" s="1482"/>
      <c r="CV43" s="1482"/>
      <c r="CW43" s="1482"/>
      <c r="CX43" s="1482"/>
      <c r="CY43" s="1482"/>
      <c r="CZ43" s="1482"/>
      <c r="DA43" s="1482"/>
      <c r="DB43" s="1482"/>
      <c r="DC43" s="1482"/>
      <c r="DD43" s="1482"/>
      <c r="DE43" s="1482"/>
      <c r="DF43" s="1482"/>
      <c r="DH43" s="838"/>
    </row>
    <row r="44" spans="1:112" s="1491" customFormat="1" ht="12.75" hidden="1" customHeight="1" outlineLevel="1">
      <c r="C44" s="1534" t="s">
        <v>1925</v>
      </c>
      <c r="D44" s="1535" t="s">
        <v>1926</v>
      </c>
      <c r="E44" s="1535"/>
      <c r="F44" s="1957"/>
      <c r="G44" s="1070"/>
      <c r="H44" s="1070"/>
      <c r="I44" s="1070"/>
      <c r="J44" s="1070"/>
      <c r="K44" s="1071"/>
      <c r="L44" s="1070"/>
      <c r="M44" s="1070"/>
      <c r="N44" s="1070"/>
      <c r="O44" s="1070"/>
      <c r="P44" s="1070"/>
      <c r="Q44" s="1070"/>
      <c r="R44" s="1957"/>
      <c r="S44" s="1072"/>
      <c r="T44" s="1072"/>
      <c r="U44" s="1072"/>
      <c r="V44" s="1072"/>
      <c r="W44" s="1072"/>
      <c r="X44" s="1072"/>
      <c r="Y44" s="1072"/>
      <c r="Z44" s="1072"/>
      <c r="AA44" s="1072"/>
      <c r="AB44" s="1072"/>
      <c r="AC44" s="1072"/>
      <c r="AD44" s="1072"/>
      <c r="AE44" s="1072"/>
      <c r="AF44" s="1072"/>
      <c r="AG44" s="1072"/>
      <c r="AH44" s="1072"/>
      <c r="AI44" s="1072"/>
      <c r="AJ44" s="1072">
        <f ca="1">AJ$40</f>
        <v>0</v>
      </c>
      <c r="AK44" s="1072"/>
      <c r="AL44" s="1957"/>
      <c r="AM44" s="1073"/>
      <c r="AN44" s="1073"/>
      <c r="AO44" s="1073"/>
      <c r="AP44" s="1073"/>
      <c r="AQ44" s="1073"/>
      <c r="AR44" s="1073"/>
      <c r="AS44" s="1073"/>
      <c r="AT44" s="1073"/>
      <c r="AU44" s="1073"/>
      <c r="AV44" s="1073"/>
      <c r="AW44" s="1073"/>
      <c r="AX44" s="1073"/>
      <c r="AY44" s="1073"/>
      <c r="AZ44" s="1073"/>
      <c r="BA44" s="1073"/>
      <c r="BB44" s="1073"/>
      <c r="BC44" s="1073"/>
      <c r="BD44" s="1073"/>
      <c r="BE44" s="1073"/>
      <c r="BF44" s="1073"/>
      <c r="BG44" s="1957"/>
      <c r="BH44" s="1074"/>
      <c r="BI44" s="1074"/>
      <c r="BJ44" s="1074"/>
      <c r="BK44" s="1957"/>
      <c r="BL44" s="1536">
        <f t="shared" si="9"/>
        <v>0</v>
      </c>
      <c r="BM44" s="1536"/>
      <c r="BO44" s="1963"/>
      <c r="BP44" s="1963"/>
      <c r="BQ44" s="1963"/>
      <c r="BR44" s="1963"/>
      <c r="BS44" s="1963"/>
      <c r="BT44" s="1963"/>
      <c r="BU44" s="1963"/>
      <c r="BV44" s="1963"/>
      <c r="BW44" s="1963"/>
      <c r="BX44" s="1963"/>
      <c r="BY44" s="1963"/>
      <c r="BZ44" s="1963"/>
      <c r="CA44" s="1963"/>
      <c r="CB44" s="1963"/>
      <c r="CC44" s="1963"/>
      <c r="CD44" s="1963"/>
      <c r="CE44" s="1963"/>
      <c r="CF44" s="1963"/>
      <c r="CG44" s="1963"/>
      <c r="CH44" s="1963"/>
      <c r="CI44" s="1963"/>
      <c r="CJ44" s="1963"/>
      <c r="CK44" s="1963"/>
      <c r="CL44" s="1963"/>
      <c r="CM44" s="1963"/>
      <c r="CN44" s="1963"/>
      <c r="CO44" s="1963"/>
      <c r="CP44" s="1963"/>
      <c r="CQ44" s="1963"/>
      <c r="CR44" s="1963"/>
      <c r="CS44" s="1963"/>
      <c r="CT44" s="1963"/>
      <c r="CU44" s="1963"/>
      <c r="CV44" s="1963"/>
      <c r="CW44" s="1963"/>
      <c r="CX44" s="1963"/>
      <c r="CY44" s="1963"/>
      <c r="CZ44" s="1963"/>
      <c r="DA44" s="1963"/>
      <c r="DB44" s="1963"/>
      <c r="DC44" s="1963"/>
      <c r="DD44" s="1963"/>
      <c r="DE44" s="1963"/>
      <c r="DF44" s="1963"/>
      <c r="DH44" s="1962">
        <f>SUM(BO44:DF44)</f>
        <v>0</v>
      </c>
    </row>
    <row r="45" spans="1:112" s="743" customFormat="1" ht="12.75" hidden="1" customHeight="1" outlineLevel="1">
      <c r="A45" s="22"/>
      <c r="B45" s="22"/>
      <c r="C45" s="746" t="s">
        <v>981</v>
      </c>
      <c r="D45" s="1010" t="str">
        <f>INDEX(Modules[Module], MATCH($C45, Modules[Code], 0))</f>
        <v>H2 Production</v>
      </c>
      <c r="E45" s="1069"/>
      <c r="G45" s="1022">
        <f t="shared" ref="G45:P45" ca="1" si="115">IFERROR(INDEX(INDIRECT($C45&amp;".Outputs["&amp;this.Year&amp;"]"), MATCH(G$5, INDIRECT($C45&amp;".Outputs[Vector]"), 0)), 0)</f>
        <v>0</v>
      </c>
      <c r="H45" s="1022">
        <f t="shared" ca="1" si="115"/>
        <v>0</v>
      </c>
      <c r="I45" s="1022">
        <f t="shared" ca="1" si="115"/>
        <v>0</v>
      </c>
      <c r="J45" s="1022">
        <f t="shared" ca="1" si="115"/>
        <v>0</v>
      </c>
      <c r="K45" s="1022">
        <f t="shared" ca="1" si="115"/>
        <v>0</v>
      </c>
      <c r="L45" s="1022">
        <f t="shared" ca="1" si="115"/>
        <v>0</v>
      </c>
      <c r="M45" s="1022">
        <f t="shared" ca="1" si="115"/>
        <v>0</v>
      </c>
      <c r="N45" s="1022">
        <f t="shared" ca="1" si="115"/>
        <v>0</v>
      </c>
      <c r="O45" s="1022">
        <f t="shared" ca="1" si="115"/>
        <v>0</v>
      </c>
      <c r="P45" s="1022">
        <f t="shared" ca="1" si="115"/>
        <v>0</v>
      </c>
      <c r="Q45" s="1020">
        <f ca="1">SUM(G45:P45)</f>
        <v>0</v>
      </c>
      <c r="S45" s="1031">
        <f t="shared" ref="S45:AJ45" ca="1" si="116">IFERROR(INDEX(INDIRECT($C45&amp;".Outputs["&amp;this.Year&amp;"]"), MATCH(S$5, INDIRECT($C45&amp;".Outputs[Vector]"), 0)), 0)</f>
        <v>0</v>
      </c>
      <c r="T45" s="1031">
        <f t="shared" ca="1" si="116"/>
        <v>0</v>
      </c>
      <c r="U45" s="1031">
        <f t="shared" ca="1" si="116"/>
        <v>0</v>
      </c>
      <c r="V45" s="1031">
        <f t="shared" ca="1" si="116"/>
        <v>0</v>
      </c>
      <c r="W45" s="1031">
        <f t="shared" ca="1" si="116"/>
        <v>0</v>
      </c>
      <c r="X45" s="1031">
        <f ca="1">IFERROR(INDEX(INDIRECT($C45&amp;".Outputs["&amp;this.Year&amp;"]"), MATCH(X$5, INDIRECT($C45&amp;".Outputs[Vector]"), 0)), 0)</f>
        <v>0</v>
      </c>
      <c r="Y45" s="1031">
        <f ca="1">IFERROR(INDEX(INDIRECT($C45&amp;".Outputs["&amp;this.Year&amp;"]"), MATCH(Y$5, INDIRECT($C45&amp;".Outputs[Vector]"), 0)), 0)</f>
        <v>0</v>
      </c>
      <c r="Z45" s="1031">
        <f ca="1">IFERROR(INDEX(INDIRECT($C45&amp;".Outputs["&amp;this.Year&amp;"]"), MATCH(Z$5, INDIRECT($C45&amp;".Outputs[Vector]"), 0)), 0)</f>
        <v>0</v>
      </c>
      <c r="AA45" s="1031">
        <f t="shared" ca="1" si="116"/>
        <v>0</v>
      </c>
      <c r="AB45" s="1031">
        <f t="shared" ca="1" si="116"/>
        <v>0</v>
      </c>
      <c r="AC45" s="1031">
        <f t="shared" ca="1" si="116"/>
        <v>0</v>
      </c>
      <c r="AD45" s="1031">
        <f t="shared" ca="1" si="116"/>
        <v>0</v>
      </c>
      <c r="AE45" s="1031">
        <f t="shared" ca="1" si="116"/>
        <v>0</v>
      </c>
      <c r="AF45" s="1031">
        <f t="shared" ca="1" si="116"/>
        <v>0</v>
      </c>
      <c r="AG45" s="1031">
        <f t="shared" ca="1" si="116"/>
        <v>0</v>
      </c>
      <c r="AH45" s="1031">
        <f t="shared" ca="1" si="116"/>
        <v>0</v>
      </c>
      <c r="AI45" s="1031">
        <f t="shared" ca="1" si="116"/>
        <v>0</v>
      </c>
      <c r="AJ45" s="1031">
        <f t="shared" ca="1" si="116"/>
        <v>0</v>
      </c>
      <c r="AK45" s="1030">
        <f ca="1">SUM(S45:AJ45)</f>
        <v>0</v>
      </c>
      <c r="AM45" s="1042">
        <f t="shared" ref="AM45:AU45" ca="1" si="117">IFERROR(INDEX(INDIRECT($C45&amp;".Outputs["&amp;this.Year&amp;"]"), MATCH(AM$5, INDIRECT($C45&amp;".Outputs[Vector]"), 0)), 0)</f>
        <v>0</v>
      </c>
      <c r="AN45" s="1042">
        <f t="shared" ca="1" si="117"/>
        <v>0</v>
      </c>
      <c r="AO45" s="1042">
        <f t="shared" ca="1" si="117"/>
        <v>0</v>
      </c>
      <c r="AP45" s="1042">
        <f t="shared" ca="1" si="117"/>
        <v>0</v>
      </c>
      <c r="AQ45" s="1042">
        <f t="shared" ca="1" si="117"/>
        <v>0</v>
      </c>
      <c r="AR45" s="1042">
        <f t="shared" ca="1" si="117"/>
        <v>0</v>
      </c>
      <c r="AS45" s="1042">
        <f t="shared" ca="1" si="117"/>
        <v>0</v>
      </c>
      <c r="AT45" s="1042">
        <f t="shared" ca="1" si="117"/>
        <v>0</v>
      </c>
      <c r="AU45" s="1042">
        <f t="shared" ca="1" si="117"/>
        <v>0</v>
      </c>
      <c r="AV45" s="1042">
        <f t="shared" ref="AV45:BE45" ca="1" si="118">IFERROR(INDEX(INDIRECT($C45&amp;".Outputs["&amp;this.Year&amp;"]"), MATCH(AV$5, INDIRECT($C45&amp;".Outputs[Vector]"), 0)), 0)</f>
        <v>0</v>
      </c>
      <c r="AW45" s="1042">
        <f t="shared" ca="1" si="118"/>
        <v>0</v>
      </c>
      <c r="AX45" s="1042">
        <f t="shared" ca="1" si="118"/>
        <v>0</v>
      </c>
      <c r="AY45" s="1042">
        <f t="shared" ca="1" si="118"/>
        <v>0</v>
      </c>
      <c r="AZ45" s="1042">
        <f t="shared" ca="1" si="118"/>
        <v>0</v>
      </c>
      <c r="BA45" s="1042">
        <f t="shared" ca="1" si="118"/>
        <v>0</v>
      </c>
      <c r="BB45" s="1042">
        <f t="shared" ca="1" si="118"/>
        <v>0</v>
      </c>
      <c r="BC45" s="1042">
        <f t="shared" ca="1" si="118"/>
        <v>0</v>
      </c>
      <c r="BD45" s="1042">
        <f t="shared" ca="1" si="118"/>
        <v>0</v>
      </c>
      <c r="BE45" s="1042">
        <f t="shared" ca="1" si="118"/>
        <v>0</v>
      </c>
      <c r="BF45" s="1012">
        <f ca="1">SUM(AM45:BE45)</f>
        <v>0</v>
      </c>
      <c r="BH45" s="1036">
        <f ca="1">IFERROR(INDEX(INDIRECT($C45&amp;".Outputs["&amp;this.Year&amp;"]"), MATCH(BH$5, INDIRECT($C45&amp;".Outputs[Vector]"), 0)), 0)</f>
        <v>0</v>
      </c>
      <c r="BI45" s="1036">
        <f ca="1">IFERROR(INDEX(INDIRECT($C45&amp;".Outputs["&amp;this.Year&amp;"]"), MATCH(BI$5, INDIRECT($C45&amp;".Outputs[Vector]"), 0)), 0)</f>
        <v>0</v>
      </c>
      <c r="BJ45" s="1035">
        <f ca="1">SUM(BH45:BI45)</f>
        <v>0</v>
      </c>
      <c r="BL45" s="515"/>
      <c r="BM45" s="515"/>
      <c r="BN45" s="840"/>
      <c r="BO45" s="1485">
        <f t="shared" ref="BO45:DF45" ca="1" si="119">IFERROR(SUMIFS(INDIRECT($C45&amp;".Emissions["&amp;this.Year&amp;"]"), INDIRECT($C45&amp;".Emissions[GHG]"), BO$6, INDIRECT($C45&amp;".Emissions[IPCC Sector]"), BO$5),0)</f>
        <v>0</v>
      </c>
      <c r="BP45" s="1486">
        <f t="shared" ca="1" si="119"/>
        <v>0</v>
      </c>
      <c r="BQ45" s="1486">
        <f t="shared" ca="1" si="119"/>
        <v>0</v>
      </c>
      <c r="BR45" s="1486">
        <f t="shared" ca="1" si="119"/>
        <v>0</v>
      </c>
      <c r="BS45" s="1486">
        <f t="shared" ca="1" si="119"/>
        <v>0</v>
      </c>
      <c r="BT45" s="1486">
        <f t="shared" ca="1" si="119"/>
        <v>0</v>
      </c>
      <c r="BU45" s="1486">
        <f t="shared" ca="1" si="119"/>
        <v>0</v>
      </c>
      <c r="BV45" s="1486">
        <f t="shared" ca="1" si="119"/>
        <v>0</v>
      </c>
      <c r="BW45" s="1486">
        <f t="shared" ca="1" si="119"/>
        <v>0</v>
      </c>
      <c r="BX45" s="1486">
        <f t="shared" ca="1" si="119"/>
        <v>0</v>
      </c>
      <c r="BY45" s="1486">
        <f t="shared" ca="1" si="119"/>
        <v>0</v>
      </c>
      <c r="BZ45" s="1486">
        <f t="shared" ca="1" si="119"/>
        <v>0</v>
      </c>
      <c r="CA45" s="1486">
        <f t="shared" ca="1" si="119"/>
        <v>0</v>
      </c>
      <c r="CB45" s="1486">
        <f t="shared" ca="1" si="119"/>
        <v>0</v>
      </c>
      <c r="CC45" s="1486">
        <f t="shared" ca="1" si="119"/>
        <v>0</v>
      </c>
      <c r="CD45" s="1486">
        <f t="shared" ca="1" si="119"/>
        <v>0</v>
      </c>
      <c r="CE45" s="1486">
        <f t="shared" ca="1" si="119"/>
        <v>0</v>
      </c>
      <c r="CF45" s="1486">
        <f t="shared" ca="1" si="119"/>
        <v>0</v>
      </c>
      <c r="CG45" s="1486">
        <f t="shared" ca="1" si="119"/>
        <v>0</v>
      </c>
      <c r="CH45" s="1486">
        <f t="shared" ca="1" si="119"/>
        <v>0</v>
      </c>
      <c r="CI45" s="1486">
        <f t="shared" ca="1" si="119"/>
        <v>0</v>
      </c>
      <c r="CJ45" s="1486">
        <f t="shared" ca="1" si="119"/>
        <v>0</v>
      </c>
      <c r="CK45" s="1486">
        <f t="shared" ca="1" si="119"/>
        <v>0</v>
      </c>
      <c r="CL45" s="1486">
        <f t="shared" ca="1" si="119"/>
        <v>0</v>
      </c>
      <c r="CM45" s="1486">
        <f t="shared" ca="1" si="119"/>
        <v>0</v>
      </c>
      <c r="CN45" s="1486">
        <f t="shared" ca="1" si="119"/>
        <v>0</v>
      </c>
      <c r="CO45" s="1486">
        <f t="shared" ca="1" si="119"/>
        <v>0</v>
      </c>
      <c r="CP45" s="1486">
        <f t="shared" ca="1" si="119"/>
        <v>0</v>
      </c>
      <c r="CQ45" s="1486">
        <f t="shared" ca="1" si="119"/>
        <v>0</v>
      </c>
      <c r="CR45" s="1486">
        <f t="shared" ca="1" si="119"/>
        <v>0</v>
      </c>
      <c r="CS45" s="1486">
        <f t="shared" ca="1" si="119"/>
        <v>0</v>
      </c>
      <c r="CT45" s="1486">
        <f t="shared" ca="1" si="119"/>
        <v>0</v>
      </c>
      <c r="CU45" s="1486">
        <f t="shared" ca="1" si="119"/>
        <v>0</v>
      </c>
      <c r="CV45" s="1486">
        <f t="shared" ca="1" si="119"/>
        <v>0</v>
      </c>
      <c r="CW45" s="1486">
        <f t="shared" ca="1" si="119"/>
        <v>0</v>
      </c>
      <c r="CX45" s="1486">
        <f t="shared" ca="1" si="119"/>
        <v>0</v>
      </c>
      <c r="CY45" s="1486">
        <f t="shared" ca="1" si="119"/>
        <v>0</v>
      </c>
      <c r="CZ45" s="1486">
        <f t="shared" ca="1" si="119"/>
        <v>0</v>
      </c>
      <c r="DA45" s="1486">
        <f t="shared" ca="1" si="119"/>
        <v>0</v>
      </c>
      <c r="DB45" s="1486">
        <f t="shared" ca="1" si="119"/>
        <v>0</v>
      </c>
      <c r="DC45" s="1486">
        <f t="shared" ca="1" si="119"/>
        <v>0</v>
      </c>
      <c r="DD45" s="1486">
        <f t="shared" ca="1" si="119"/>
        <v>0</v>
      </c>
      <c r="DE45" s="1486">
        <f t="shared" ca="1" si="119"/>
        <v>0</v>
      </c>
      <c r="DF45" s="1486">
        <f t="shared" ca="1" si="119"/>
        <v>0</v>
      </c>
      <c r="DH45" s="838"/>
    </row>
    <row r="46" spans="1:112" s="743" customFormat="1" ht="15.75" collapsed="1">
      <c r="A46" s="22"/>
      <c r="B46" s="753"/>
      <c r="C46" s="744" t="s">
        <v>674</v>
      </c>
      <c r="D46" s="517" t="str">
        <f>INDEX(Workstreams[Workstream], MATCH($C46, Workstreams[Code], 0))</f>
        <v>H2 Production</v>
      </c>
      <c r="E46" s="512"/>
      <c r="G46" s="1021">
        <f ca="1">G45</f>
        <v>0</v>
      </c>
      <c r="H46" s="1021">
        <f t="shared" ref="H46:P46" ca="1" si="120">H45</f>
        <v>0</v>
      </c>
      <c r="I46" s="1021">
        <f t="shared" ca="1" si="120"/>
        <v>0</v>
      </c>
      <c r="J46" s="1021">
        <f t="shared" ca="1" si="120"/>
        <v>0</v>
      </c>
      <c r="K46" s="1021">
        <f t="shared" ca="1" si="120"/>
        <v>0</v>
      </c>
      <c r="L46" s="1021">
        <f t="shared" ca="1" si="120"/>
        <v>0</v>
      </c>
      <c r="M46" s="1021">
        <f t="shared" ca="1" si="120"/>
        <v>0</v>
      </c>
      <c r="N46" s="1021">
        <f t="shared" ca="1" si="120"/>
        <v>0</v>
      </c>
      <c r="O46" s="1021">
        <f t="shared" ca="1" si="120"/>
        <v>0</v>
      </c>
      <c r="P46" s="1021">
        <f t="shared" ca="1" si="120"/>
        <v>0</v>
      </c>
      <c r="Q46" s="1021">
        <f ca="1">SUM(G46:P46)</f>
        <v>0</v>
      </c>
      <c r="S46" s="970">
        <f t="shared" ref="S46:AJ46" ca="1" si="121">S45</f>
        <v>0</v>
      </c>
      <c r="T46" s="970">
        <f t="shared" ca="1" si="121"/>
        <v>0</v>
      </c>
      <c r="U46" s="970">
        <f t="shared" ca="1" si="121"/>
        <v>0</v>
      </c>
      <c r="V46" s="970">
        <f t="shared" ca="1" si="121"/>
        <v>0</v>
      </c>
      <c r="W46" s="970">
        <f t="shared" ca="1" si="121"/>
        <v>0</v>
      </c>
      <c r="X46" s="970">
        <f t="shared" ca="1" si="121"/>
        <v>0</v>
      </c>
      <c r="Y46" s="970">
        <f t="shared" ca="1" si="121"/>
        <v>0</v>
      </c>
      <c r="Z46" s="970">
        <f t="shared" ca="1" si="121"/>
        <v>0</v>
      </c>
      <c r="AA46" s="970">
        <f t="shared" ca="1" si="121"/>
        <v>0</v>
      </c>
      <c r="AB46" s="970">
        <f t="shared" ca="1" si="121"/>
        <v>0</v>
      </c>
      <c r="AC46" s="970">
        <f t="shared" ca="1" si="121"/>
        <v>0</v>
      </c>
      <c r="AD46" s="970">
        <f ca="1">AD45</f>
        <v>0</v>
      </c>
      <c r="AE46" s="970">
        <f ca="1">AE45</f>
        <v>0</v>
      </c>
      <c r="AF46" s="970">
        <f t="shared" ca="1" si="121"/>
        <v>0</v>
      </c>
      <c r="AG46" s="970">
        <f ca="1">AG45</f>
        <v>0</v>
      </c>
      <c r="AH46" s="970">
        <f ca="1">AH45</f>
        <v>0</v>
      </c>
      <c r="AI46" s="970">
        <f ca="1">AI45</f>
        <v>0</v>
      </c>
      <c r="AJ46" s="970">
        <f t="shared" ca="1" si="121"/>
        <v>0</v>
      </c>
      <c r="AK46" s="970">
        <f ca="1">SUM(S46:AJ46)</f>
        <v>0</v>
      </c>
      <c r="AM46" s="976">
        <f ca="1">AM45</f>
        <v>0</v>
      </c>
      <c r="AN46" s="976">
        <f t="shared" ref="AN46:BE46" ca="1" si="122">AN45</f>
        <v>0</v>
      </c>
      <c r="AO46" s="976">
        <f t="shared" ca="1" si="122"/>
        <v>0</v>
      </c>
      <c r="AP46" s="976">
        <f t="shared" ca="1" si="122"/>
        <v>0</v>
      </c>
      <c r="AQ46" s="976">
        <f t="shared" ca="1" si="122"/>
        <v>0</v>
      </c>
      <c r="AR46" s="976">
        <f t="shared" ca="1" si="122"/>
        <v>0</v>
      </c>
      <c r="AS46" s="976">
        <f t="shared" ca="1" si="122"/>
        <v>0</v>
      </c>
      <c r="AT46" s="976">
        <f t="shared" ca="1" si="122"/>
        <v>0</v>
      </c>
      <c r="AU46" s="976">
        <f t="shared" ca="1" si="122"/>
        <v>0</v>
      </c>
      <c r="AV46" s="976">
        <f t="shared" ca="1" si="122"/>
        <v>0</v>
      </c>
      <c r="AW46" s="976">
        <f t="shared" ca="1" si="122"/>
        <v>0</v>
      </c>
      <c r="AX46" s="976">
        <f t="shared" ca="1" si="122"/>
        <v>0</v>
      </c>
      <c r="AY46" s="976">
        <f t="shared" ca="1" si="122"/>
        <v>0</v>
      </c>
      <c r="AZ46" s="976">
        <f t="shared" ca="1" si="122"/>
        <v>0</v>
      </c>
      <c r="BA46" s="976">
        <f t="shared" ca="1" si="122"/>
        <v>0</v>
      </c>
      <c r="BB46" s="976">
        <f t="shared" ca="1" si="122"/>
        <v>0</v>
      </c>
      <c r="BC46" s="976">
        <f t="shared" ca="1" si="122"/>
        <v>0</v>
      </c>
      <c r="BD46" s="976">
        <f t="shared" ca="1" si="122"/>
        <v>0</v>
      </c>
      <c r="BE46" s="976">
        <f t="shared" ca="1" si="122"/>
        <v>0</v>
      </c>
      <c r="BF46" s="976">
        <f ca="1">SUM(AM46:BE46)</f>
        <v>0</v>
      </c>
      <c r="BH46" s="990">
        <f ca="1">BH45</f>
        <v>0</v>
      </c>
      <c r="BI46" s="990">
        <f ca="1">BI45</f>
        <v>0</v>
      </c>
      <c r="BJ46" s="990">
        <f ca="1">SUM(BH46:BI46)</f>
        <v>0</v>
      </c>
      <c r="BL46" s="515">
        <f ca="1">Q46+AK46+BF46+BJ46</f>
        <v>0</v>
      </c>
      <c r="BM46" s="515"/>
      <c r="BN46" s="840"/>
      <c r="BO46" s="1482">
        <f t="shared" ref="BO46:DF46" ca="1" si="123">BO45</f>
        <v>0</v>
      </c>
      <c r="BP46" s="1482">
        <f t="shared" ca="1" si="123"/>
        <v>0</v>
      </c>
      <c r="BQ46" s="1482">
        <f t="shared" ca="1" si="123"/>
        <v>0</v>
      </c>
      <c r="BR46" s="1482">
        <f t="shared" ca="1" si="123"/>
        <v>0</v>
      </c>
      <c r="BS46" s="1482">
        <f t="shared" ca="1" si="123"/>
        <v>0</v>
      </c>
      <c r="BT46" s="1482">
        <f t="shared" ca="1" si="123"/>
        <v>0</v>
      </c>
      <c r="BU46" s="1482">
        <f t="shared" ca="1" si="123"/>
        <v>0</v>
      </c>
      <c r="BV46" s="1482">
        <f t="shared" ca="1" si="123"/>
        <v>0</v>
      </c>
      <c r="BW46" s="1482">
        <f t="shared" ca="1" si="123"/>
        <v>0</v>
      </c>
      <c r="BX46" s="1482">
        <f t="shared" ca="1" si="123"/>
        <v>0</v>
      </c>
      <c r="BY46" s="1482">
        <f t="shared" ca="1" si="123"/>
        <v>0</v>
      </c>
      <c r="BZ46" s="1482">
        <f t="shared" ca="1" si="123"/>
        <v>0</v>
      </c>
      <c r="CA46" s="1482">
        <f t="shared" ca="1" si="123"/>
        <v>0</v>
      </c>
      <c r="CB46" s="1482">
        <f t="shared" ca="1" si="123"/>
        <v>0</v>
      </c>
      <c r="CC46" s="1482">
        <f t="shared" ca="1" si="123"/>
        <v>0</v>
      </c>
      <c r="CD46" s="1482">
        <f t="shared" ca="1" si="123"/>
        <v>0</v>
      </c>
      <c r="CE46" s="1482">
        <f t="shared" ca="1" si="123"/>
        <v>0</v>
      </c>
      <c r="CF46" s="1482">
        <f t="shared" ca="1" si="123"/>
        <v>0</v>
      </c>
      <c r="CG46" s="1482">
        <f t="shared" ca="1" si="123"/>
        <v>0</v>
      </c>
      <c r="CH46" s="1482">
        <f t="shared" ca="1" si="123"/>
        <v>0</v>
      </c>
      <c r="CI46" s="1482">
        <f t="shared" ca="1" si="123"/>
        <v>0</v>
      </c>
      <c r="CJ46" s="1482">
        <f t="shared" ca="1" si="123"/>
        <v>0</v>
      </c>
      <c r="CK46" s="1482">
        <f t="shared" ca="1" si="123"/>
        <v>0</v>
      </c>
      <c r="CL46" s="1482">
        <f t="shared" ca="1" si="123"/>
        <v>0</v>
      </c>
      <c r="CM46" s="1482">
        <f t="shared" ca="1" si="123"/>
        <v>0</v>
      </c>
      <c r="CN46" s="1482">
        <f t="shared" ca="1" si="123"/>
        <v>0</v>
      </c>
      <c r="CO46" s="1482">
        <f t="shared" ca="1" si="123"/>
        <v>0</v>
      </c>
      <c r="CP46" s="1482">
        <f t="shared" ca="1" si="123"/>
        <v>0</v>
      </c>
      <c r="CQ46" s="1482">
        <f t="shared" ca="1" si="123"/>
        <v>0</v>
      </c>
      <c r="CR46" s="1482">
        <f t="shared" ca="1" si="123"/>
        <v>0</v>
      </c>
      <c r="CS46" s="1482">
        <f t="shared" ca="1" si="123"/>
        <v>0</v>
      </c>
      <c r="CT46" s="1482">
        <f t="shared" ca="1" si="123"/>
        <v>0</v>
      </c>
      <c r="CU46" s="1482">
        <f t="shared" ca="1" si="123"/>
        <v>0</v>
      </c>
      <c r="CV46" s="1482">
        <f t="shared" ca="1" si="123"/>
        <v>0</v>
      </c>
      <c r="CW46" s="1482">
        <f t="shared" ca="1" si="123"/>
        <v>0</v>
      </c>
      <c r="CX46" s="1482">
        <f t="shared" ca="1" si="123"/>
        <v>0</v>
      </c>
      <c r="CY46" s="1482">
        <f t="shared" ca="1" si="123"/>
        <v>0</v>
      </c>
      <c r="CZ46" s="1482">
        <f t="shared" ca="1" si="123"/>
        <v>0</v>
      </c>
      <c r="DA46" s="1482">
        <f t="shared" ca="1" si="123"/>
        <v>0</v>
      </c>
      <c r="DB46" s="1482">
        <f t="shared" ca="1" si="123"/>
        <v>0</v>
      </c>
      <c r="DC46" s="1482">
        <f t="shared" ca="1" si="123"/>
        <v>0</v>
      </c>
      <c r="DD46" s="1482">
        <f t="shared" ca="1" si="123"/>
        <v>0</v>
      </c>
      <c r="DE46" s="1482">
        <f t="shared" ca="1" si="123"/>
        <v>0</v>
      </c>
      <c r="DF46" s="1482">
        <f t="shared" ca="1" si="123"/>
        <v>0</v>
      </c>
      <c r="DH46" s="838">
        <f t="shared" ref="DH46:DH82" ca="1" si="124">SUM(BO46:DF46)</f>
        <v>0</v>
      </c>
    </row>
    <row r="47" spans="1:112" s="743" customFormat="1" hidden="1" outlineLevel="1">
      <c r="C47" s="508"/>
      <c r="D47" s="509"/>
      <c r="E47" s="509"/>
      <c r="G47" s="958"/>
      <c r="H47" s="958"/>
      <c r="I47" s="958"/>
      <c r="J47" s="958"/>
      <c r="K47" s="960"/>
      <c r="L47" s="958"/>
      <c r="M47" s="958"/>
      <c r="N47" s="958"/>
      <c r="O47" s="958"/>
      <c r="P47" s="958"/>
      <c r="Q47" s="958"/>
      <c r="S47" s="970"/>
      <c r="T47" s="970"/>
      <c r="U47" s="970"/>
      <c r="V47" s="970"/>
      <c r="W47" s="970"/>
      <c r="X47" s="970"/>
      <c r="Y47" s="970"/>
      <c r="Z47" s="970"/>
      <c r="AA47" s="970"/>
      <c r="AB47" s="970"/>
      <c r="AC47" s="970"/>
      <c r="AD47" s="970"/>
      <c r="AE47" s="970"/>
      <c r="AF47" s="970"/>
      <c r="AG47" s="970"/>
      <c r="AH47" s="970"/>
      <c r="AI47" s="970"/>
      <c r="AJ47" s="970"/>
      <c r="AK47" s="970"/>
      <c r="AM47" s="976"/>
      <c r="AN47" s="976"/>
      <c r="AO47" s="976"/>
      <c r="AP47" s="976"/>
      <c r="AQ47" s="976"/>
      <c r="AR47" s="976"/>
      <c r="AS47" s="976"/>
      <c r="AT47" s="976"/>
      <c r="AU47" s="976"/>
      <c r="AV47" s="976"/>
      <c r="AW47" s="976"/>
      <c r="AX47" s="976"/>
      <c r="AY47" s="976"/>
      <c r="AZ47" s="976"/>
      <c r="BA47" s="976"/>
      <c r="BB47" s="976"/>
      <c r="BC47" s="976"/>
      <c r="BD47" s="976"/>
      <c r="BE47" s="976"/>
      <c r="BF47" s="976"/>
      <c r="BH47" s="990"/>
      <c r="BI47" s="990"/>
      <c r="BJ47" s="990"/>
      <c r="BL47" s="515">
        <f>Q47+AK47+BF47+BJ47</f>
        <v>0</v>
      </c>
      <c r="BM47" s="515"/>
      <c r="BO47" s="1482"/>
      <c r="BP47" s="1482"/>
      <c r="BQ47" s="1482"/>
      <c r="BR47" s="1482"/>
      <c r="BS47" s="1482"/>
      <c r="BT47" s="1482"/>
      <c r="BU47" s="1482"/>
      <c r="BV47" s="1482"/>
      <c r="BW47" s="1482"/>
      <c r="BX47" s="1482"/>
      <c r="BY47" s="1482"/>
      <c r="BZ47" s="1482"/>
      <c r="CA47" s="1482"/>
      <c r="CB47" s="1482"/>
      <c r="CC47" s="1482"/>
      <c r="CD47" s="1482"/>
      <c r="CE47" s="1482"/>
      <c r="CF47" s="1482"/>
      <c r="CG47" s="1482"/>
      <c r="CH47" s="1482"/>
      <c r="CI47" s="1482"/>
      <c r="CJ47" s="1482"/>
      <c r="CK47" s="1482"/>
      <c r="CL47" s="1482"/>
      <c r="CM47" s="1482"/>
      <c r="CN47" s="1482"/>
      <c r="CO47" s="1482"/>
      <c r="CP47" s="1482"/>
      <c r="CQ47" s="1482"/>
      <c r="CR47" s="1482"/>
      <c r="CS47" s="1482"/>
      <c r="CT47" s="1482"/>
      <c r="CU47" s="1482"/>
      <c r="CV47" s="1482"/>
      <c r="CW47" s="1482"/>
      <c r="CX47" s="1482"/>
      <c r="CY47" s="1482"/>
      <c r="CZ47" s="1482"/>
      <c r="DA47" s="1482"/>
      <c r="DB47" s="1482"/>
      <c r="DC47" s="1482"/>
      <c r="DD47" s="1482"/>
      <c r="DE47" s="1482"/>
      <c r="DF47" s="1482"/>
      <c r="DH47" s="838">
        <f t="shared" si="124"/>
        <v>0</v>
      </c>
    </row>
    <row r="48" spans="1:112" s="743" customFormat="1" hidden="1" outlineLevel="1">
      <c r="A48" s="1484"/>
      <c r="B48" s="1484"/>
      <c r="C48" s="746" t="s">
        <v>2280</v>
      </c>
      <c r="D48" s="521" t="str">
        <f>INDEX(Modules[Module], MATCH($C48, Modules[Code], 0))</f>
        <v>Marine algae</v>
      </c>
      <c r="E48" s="521"/>
      <c r="G48" s="1017">
        <f t="shared" ref="G48:P49" ca="1" si="125">IFERROR(INDEX(INDIRECT($C48&amp;".Outputs["&amp;this.Year&amp;"]"), MATCH(G$5, INDIRECT($C48&amp;".Outputs[Vector]"), 0)), 0)</f>
        <v>0</v>
      </c>
      <c r="H48" s="1017">
        <f t="shared" ca="1" si="125"/>
        <v>0</v>
      </c>
      <c r="I48" s="1017">
        <f t="shared" ca="1" si="125"/>
        <v>0</v>
      </c>
      <c r="J48" s="1017">
        <f t="shared" ca="1" si="125"/>
        <v>0</v>
      </c>
      <c r="K48" s="1017">
        <f t="shared" ca="1" si="125"/>
        <v>0</v>
      </c>
      <c r="L48" s="1017">
        <f t="shared" ca="1" si="125"/>
        <v>0</v>
      </c>
      <c r="M48" s="1017">
        <f t="shared" ca="1" si="125"/>
        <v>0</v>
      </c>
      <c r="N48" s="1017">
        <f t="shared" ca="1" si="125"/>
        <v>0</v>
      </c>
      <c r="O48" s="1017">
        <f t="shared" ca="1" si="125"/>
        <v>0</v>
      </c>
      <c r="P48" s="1017">
        <f t="shared" ca="1" si="125"/>
        <v>0</v>
      </c>
      <c r="Q48" s="1019">
        <f ca="1">SUM(G48:P48)</f>
        <v>0</v>
      </c>
      <c r="S48" s="1026">
        <f t="shared" ref="S48:BE49" ca="1" si="126">IFERROR(INDEX(INDIRECT($C48&amp;".Outputs["&amp;this.Year&amp;"]"), MATCH(S$5, INDIRECT($C48&amp;".Outputs[Vector]"), 0)), 0)</f>
        <v>0</v>
      </c>
      <c r="T48" s="1026">
        <f t="shared" ca="1" si="126"/>
        <v>0</v>
      </c>
      <c r="U48" s="1026">
        <f t="shared" ca="1" si="126"/>
        <v>0</v>
      </c>
      <c r="V48" s="1026">
        <f t="shared" ca="1" si="126"/>
        <v>0</v>
      </c>
      <c r="W48" s="1026">
        <f t="shared" ca="1" si="126"/>
        <v>0</v>
      </c>
      <c r="X48" s="1026">
        <f t="shared" ref="X48:Z50" ca="1" si="127">IFERROR(INDEX(INDIRECT($C48&amp;".Outputs["&amp;this.Year&amp;"]"), MATCH(X$5, INDIRECT($C48&amp;".Outputs[Vector]"), 0)), 0)</f>
        <v>0</v>
      </c>
      <c r="Y48" s="1026">
        <f t="shared" ca="1" si="127"/>
        <v>0</v>
      </c>
      <c r="Z48" s="1026">
        <f t="shared" ca="1" si="127"/>
        <v>0</v>
      </c>
      <c r="AA48" s="1026">
        <f t="shared" ca="1" si="126"/>
        <v>0</v>
      </c>
      <c r="AB48" s="1026">
        <f t="shared" ca="1" si="126"/>
        <v>0</v>
      </c>
      <c r="AC48" s="1026">
        <f t="shared" ca="1" si="126"/>
        <v>0</v>
      </c>
      <c r="AD48" s="1026">
        <f t="shared" ca="1" si="126"/>
        <v>0</v>
      </c>
      <c r="AE48" s="1026">
        <f t="shared" ca="1" si="126"/>
        <v>0</v>
      </c>
      <c r="AF48" s="1026">
        <f t="shared" ca="1" si="126"/>
        <v>0</v>
      </c>
      <c r="AG48" s="1026">
        <f t="shared" ca="1" si="126"/>
        <v>0</v>
      </c>
      <c r="AH48" s="1026">
        <f t="shared" ca="1" si="126"/>
        <v>0</v>
      </c>
      <c r="AI48" s="1026">
        <f t="shared" ca="1" si="126"/>
        <v>0</v>
      </c>
      <c r="AJ48" s="1026">
        <f t="shared" ca="1" si="126"/>
        <v>0</v>
      </c>
      <c r="AK48" s="1027">
        <f ca="1">SUM(S48:AJ48)</f>
        <v>0</v>
      </c>
      <c r="AM48" s="1038">
        <f t="shared" ref="AM48:AU50" ca="1" si="128">IFERROR(INDEX(INDIRECT($C48&amp;".Outputs["&amp;this.Year&amp;"]"), MATCH(AM$5, INDIRECT($C48&amp;".Outputs[Vector]"), 0)), 0)</f>
        <v>0</v>
      </c>
      <c r="AN48" s="1038">
        <f t="shared" ca="1" si="128"/>
        <v>0</v>
      </c>
      <c r="AO48" s="1038">
        <f t="shared" ca="1" si="128"/>
        <v>0</v>
      </c>
      <c r="AP48" s="1038">
        <f t="shared" ca="1" si="128"/>
        <v>0</v>
      </c>
      <c r="AQ48" s="1038">
        <f t="shared" ca="1" si="128"/>
        <v>0</v>
      </c>
      <c r="AR48" s="1038">
        <f t="shared" ca="1" si="128"/>
        <v>0</v>
      </c>
      <c r="AS48" s="1038">
        <f t="shared" ca="1" si="128"/>
        <v>0</v>
      </c>
      <c r="AT48" s="1038">
        <f t="shared" ca="1" si="128"/>
        <v>0</v>
      </c>
      <c r="AU48" s="1038">
        <f t="shared" ca="1" si="128"/>
        <v>0</v>
      </c>
      <c r="AV48" s="1038">
        <f t="shared" ca="1" si="126"/>
        <v>0</v>
      </c>
      <c r="AW48" s="1038">
        <f t="shared" ca="1" si="126"/>
        <v>0</v>
      </c>
      <c r="AX48" s="1038">
        <f t="shared" ca="1" si="126"/>
        <v>0</v>
      </c>
      <c r="AY48" s="1038">
        <f t="shared" ca="1" si="126"/>
        <v>0</v>
      </c>
      <c r="AZ48" s="1038">
        <f t="shared" ca="1" si="126"/>
        <v>0</v>
      </c>
      <c r="BA48" s="1038">
        <f t="shared" ca="1" si="126"/>
        <v>0</v>
      </c>
      <c r="BB48" s="1038">
        <f t="shared" ca="1" si="126"/>
        <v>0</v>
      </c>
      <c r="BC48" s="1038">
        <f t="shared" ca="1" si="126"/>
        <v>0</v>
      </c>
      <c r="BD48" s="1038">
        <f t="shared" ca="1" si="126"/>
        <v>0</v>
      </c>
      <c r="BE48" s="1038">
        <f t="shared" ca="1" si="126"/>
        <v>0</v>
      </c>
      <c r="BF48" s="979">
        <f ca="1">SUM(AM48:BE48)</f>
        <v>0</v>
      </c>
      <c r="BH48" s="1032">
        <f t="shared" ref="BH48:BI50" ca="1" si="129">IFERROR(INDEX(INDIRECT($C48&amp;".Outputs["&amp;this.Year&amp;"]"), MATCH(BH$5, INDIRECT($C48&amp;".Outputs[Vector]"), 0)), 0)</f>
        <v>0</v>
      </c>
      <c r="BI48" s="1032">
        <f t="shared" ca="1" si="129"/>
        <v>0</v>
      </c>
      <c r="BJ48" s="1034">
        <f ca="1">SUM(BH48:BI48)</f>
        <v>0</v>
      </c>
      <c r="BL48" s="814"/>
      <c r="BM48" s="814"/>
      <c r="BN48" s="840"/>
      <c r="BO48" s="1481">
        <f t="shared" ref="BO48:BX50" ca="1" si="130">IFERROR(SUMIFS(INDIRECT($C48&amp;".Emissions["&amp;this.Year&amp;"]"), INDIRECT($C48&amp;".Emissions[GHG]"), BO$6, INDIRECT($C48&amp;".Emissions[IPCC Sector]"), BO$5),0)</f>
        <v>0</v>
      </c>
      <c r="BP48" s="1482">
        <f t="shared" ca="1" si="130"/>
        <v>0</v>
      </c>
      <c r="BQ48" s="1482">
        <f t="shared" ca="1" si="130"/>
        <v>0</v>
      </c>
      <c r="BR48" s="1482">
        <f t="shared" ca="1" si="130"/>
        <v>0</v>
      </c>
      <c r="BS48" s="1482">
        <f t="shared" ca="1" si="130"/>
        <v>0</v>
      </c>
      <c r="BT48" s="1482">
        <f t="shared" ca="1" si="130"/>
        <v>0</v>
      </c>
      <c r="BU48" s="1482">
        <f t="shared" ca="1" si="130"/>
        <v>0</v>
      </c>
      <c r="BV48" s="1482">
        <f t="shared" ca="1" si="130"/>
        <v>0</v>
      </c>
      <c r="BW48" s="1482">
        <f t="shared" ca="1" si="130"/>
        <v>0</v>
      </c>
      <c r="BX48" s="1482">
        <f t="shared" ca="1" si="130"/>
        <v>0</v>
      </c>
      <c r="BY48" s="1482">
        <f t="shared" ref="BY48:CH50" ca="1" si="131">IFERROR(SUMIFS(INDIRECT($C48&amp;".Emissions["&amp;this.Year&amp;"]"), INDIRECT($C48&amp;".Emissions[GHG]"), BY$6, INDIRECT($C48&amp;".Emissions[IPCC Sector]"), BY$5),0)</f>
        <v>0</v>
      </c>
      <c r="BZ48" s="1482">
        <f t="shared" ca="1" si="131"/>
        <v>0</v>
      </c>
      <c r="CA48" s="1482">
        <f t="shared" ca="1" si="131"/>
        <v>0</v>
      </c>
      <c r="CB48" s="1482">
        <f t="shared" ca="1" si="131"/>
        <v>0</v>
      </c>
      <c r="CC48" s="1482">
        <f t="shared" ca="1" si="131"/>
        <v>0</v>
      </c>
      <c r="CD48" s="1482">
        <f t="shared" ca="1" si="131"/>
        <v>0</v>
      </c>
      <c r="CE48" s="1482">
        <f t="shared" ca="1" si="131"/>
        <v>0</v>
      </c>
      <c r="CF48" s="1482">
        <f t="shared" ca="1" si="131"/>
        <v>0</v>
      </c>
      <c r="CG48" s="1482">
        <f t="shared" ca="1" si="131"/>
        <v>0</v>
      </c>
      <c r="CH48" s="1482">
        <f t="shared" ca="1" si="131"/>
        <v>0</v>
      </c>
      <c r="CI48" s="1482">
        <f t="shared" ref="CI48:CR50" ca="1" si="132">IFERROR(SUMIFS(INDIRECT($C48&amp;".Emissions["&amp;this.Year&amp;"]"), INDIRECT($C48&amp;".Emissions[GHG]"), CI$6, INDIRECT($C48&amp;".Emissions[IPCC Sector]"), CI$5),0)</f>
        <v>0</v>
      </c>
      <c r="CJ48" s="1482">
        <f t="shared" ca="1" si="132"/>
        <v>0</v>
      </c>
      <c r="CK48" s="1482">
        <f t="shared" ca="1" si="132"/>
        <v>0</v>
      </c>
      <c r="CL48" s="1482">
        <f t="shared" ca="1" si="132"/>
        <v>0</v>
      </c>
      <c r="CM48" s="1482">
        <f t="shared" ca="1" si="132"/>
        <v>0</v>
      </c>
      <c r="CN48" s="1482">
        <f t="shared" ca="1" si="132"/>
        <v>0</v>
      </c>
      <c r="CO48" s="1482">
        <f t="shared" ca="1" si="132"/>
        <v>0</v>
      </c>
      <c r="CP48" s="1482">
        <f t="shared" ca="1" si="132"/>
        <v>0</v>
      </c>
      <c r="CQ48" s="1482">
        <f t="shared" ca="1" si="132"/>
        <v>0</v>
      </c>
      <c r="CR48" s="1482">
        <f t="shared" ca="1" si="132"/>
        <v>0</v>
      </c>
      <c r="CS48" s="1482">
        <f t="shared" ref="CS48:DF50" ca="1" si="133">IFERROR(SUMIFS(INDIRECT($C48&amp;".Emissions["&amp;this.Year&amp;"]"), INDIRECT($C48&amp;".Emissions[GHG]"), CS$6, INDIRECT($C48&amp;".Emissions[IPCC Sector]"), CS$5),0)</f>
        <v>0</v>
      </c>
      <c r="CT48" s="1482">
        <f t="shared" ca="1" si="133"/>
        <v>0</v>
      </c>
      <c r="CU48" s="1482">
        <f t="shared" ca="1" si="133"/>
        <v>0</v>
      </c>
      <c r="CV48" s="1482">
        <f t="shared" ca="1" si="133"/>
        <v>0</v>
      </c>
      <c r="CW48" s="1482">
        <f t="shared" ca="1" si="133"/>
        <v>0</v>
      </c>
      <c r="CX48" s="1482">
        <f t="shared" ca="1" si="133"/>
        <v>0</v>
      </c>
      <c r="CY48" s="1482">
        <f t="shared" ca="1" si="133"/>
        <v>0</v>
      </c>
      <c r="CZ48" s="1482">
        <f t="shared" ca="1" si="133"/>
        <v>0</v>
      </c>
      <c r="DA48" s="1482">
        <f t="shared" ca="1" si="133"/>
        <v>0</v>
      </c>
      <c r="DB48" s="1482">
        <f t="shared" ca="1" si="133"/>
        <v>0</v>
      </c>
      <c r="DC48" s="1482">
        <f t="shared" ca="1" si="133"/>
        <v>0</v>
      </c>
      <c r="DD48" s="1482">
        <f t="shared" ca="1" si="133"/>
        <v>0</v>
      </c>
      <c r="DE48" s="1482">
        <f t="shared" ca="1" si="133"/>
        <v>0</v>
      </c>
      <c r="DF48" s="1482">
        <f t="shared" ca="1" si="133"/>
        <v>0</v>
      </c>
      <c r="DH48" s="838">
        <f ca="1">SUM(BO48:DF48)</f>
        <v>0</v>
      </c>
    </row>
    <row r="49" spans="1:112" s="743" customFormat="1" hidden="1" outlineLevel="1">
      <c r="A49" s="1484"/>
      <c r="B49" s="1484"/>
      <c r="C49" s="746" t="s">
        <v>965</v>
      </c>
      <c r="D49" s="521" t="str">
        <f>INDEX(Modules[Module], MATCH($C49, Modules[Code], 0))</f>
        <v>Waste arising</v>
      </c>
      <c r="E49" s="521"/>
      <c r="G49" s="1017">
        <f t="shared" ca="1" si="125"/>
        <v>0</v>
      </c>
      <c r="H49" s="1017">
        <f t="shared" ca="1" si="125"/>
        <v>0</v>
      </c>
      <c r="I49" s="1017">
        <f t="shared" ca="1" si="125"/>
        <v>0</v>
      </c>
      <c r="J49" s="1017">
        <f t="shared" ca="1" si="125"/>
        <v>0</v>
      </c>
      <c r="K49" s="1017">
        <f t="shared" ca="1" si="125"/>
        <v>0</v>
      </c>
      <c r="L49" s="1017">
        <f t="shared" ca="1" si="125"/>
        <v>0</v>
      </c>
      <c r="M49" s="1017">
        <f t="shared" ca="1" si="125"/>
        <v>0</v>
      </c>
      <c r="N49" s="1017">
        <f t="shared" ca="1" si="125"/>
        <v>0</v>
      </c>
      <c r="O49" s="1017">
        <f t="shared" ca="1" si="125"/>
        <v>0</v>
      </c>
      <c r="P49" s="1017">
        <f t="shared" ca="1" si="125"/>
        <v>0</v>
      </c>
      <c r="Q49" s="1019">
        <f ca="1">SUM(G49:P49)</f>
        <v>0</v>
      </c>
      <c r="S49" s="1026">
        <f t="shared" ca="1" si="126"/>
        <v>0</v>
      </c>
      <c r="T49" s="1026">
        <f t="shared" ca="1" si="126"/>
        <v>0</v>
      </c>
      <c r="U49" s="1026">
        <f t="shared" ca="1" si="126"/>
        <v>0</v>
      </c>
      <c r="V49" s="1026">
        <f t="shared" ca="1" si="126"/>
        <v>0</v>
      </c>
      <c r="W49" s="1026">
        <f t="shared" ca="1" si="126"/>
        <v>0</v>
      </c>
      <c r="X49" s="1026">
        <f t="shared" ca="1" si="127"/>
        <v>93.332151635553913</v>
      </c>
      <c r="Y49" s="1026">
        <f t="shared" ca="1" si="127"/>
        <v>0</v>
      </c>
      <c r="Z49" s="1026">
        <f t="shared" ca="1" si="127"/>
        <v>0</v>
      </c>
      <c r="AA49" s="1026">
        <f t="shared" ca="1" si="126"/>
        <v>0</v>
      </c>
      <c r="AB49" s="1026">
        <f t="shared" ca="1" si="126"/>
        <v>0</v>
      </c>
      <c r="AC49" s="1026">
        <f t="shared" ca="1" si="126"/>
        <v>0</v>
      </c>
      <c r="AD49" s="1026">
        <f t="shared" ca="1" si="126"/>
        <v>0</v>
      </c>
      <c r="AE49" s="1026">
        <f t="shared" ca="1" si="126"/>
        <v>0</v>
      </c>
      <c r="AF49" s="1026">
        <f t="shared" ca="1" si="126"/>
        <v>53.67729087299913</v>
      </c>
      <c r="AG49" s="1026">
        <f t="shared" ca="1" si="126"/>
        <v>21.480301123200192</v>
      </c>
      <c r="AH49" s="1026">
        <f t="shared" ca="1" si="126"/>
        <v>18.128502892916249</v>
      </c>
      <c r="AI49" s="1026">
        <f t="shared" ca="1" si="126"/>
        <v>0</v>
      </c>
      <c r="AJ49" s="1026">
        <f t="shared" ca="1" si="126"/>
        <v>0</v>
      </c>
      <c r="AK49" s="1027">
        <f ca="1">SUM(S49:AJ49)</f>
        <v>186.6182465246695</v>
      </c>
      <c r="AM49" s="1038">
        <f t="shared" ca="1" si="128"/>
        <v>0</v>
      </c>
      <c r="AN49" s="1038">
        <f t="shared" ca="1" si="128"/>
        <v>0</v>
      </c>
      <c r="AO49" s="1038">
        <f t="shared" ca="1" si="128"/>
        <v>0</v>
      </c>
      <c r="AP49" s="1038">
        <f t="shared" ca="1" si="128"/>
        <v>0</v>
      </c>
      <c r="AQ49" s="1038">
        <f t="shared" ca="1" si="128"/>
        <v>0</v>
      </c>
      <c r="AR49" s="1038">
        <f t="shared" ca="1" si="128"/>
        <v>0</v>
      </c>
      <c r="AS49" s="1038">
        <f t="shared" ca="1" si="128"/>
        <v>0</v>
      </c>
      <c r="AT49" s="1038">
        <f t="shared" ca="1" si="128"/>
        <v>0</v>
      </c>
      <c r="AU49" s="1038">
        <f t="shared" ca="1" si="128"/>
        <v>0</v>
      </c>
      <c r="AV49" s="1038">
        <f t="shared" ca="1" si="126"/>
        <v>0</v>
      </c>
      <c r="AW49" s="1038">
        <f t="shared" ca="1" si="126"/>
        <v>0</v>
      </c>
      <c r="AX49" s="1038">
        <f t="shared" ca="1" si="126"/>
        <v>0</v>
      </c>
      <c r="AY49" s="1038">
        <f t="shared" ca="1" si="126"/>
        <v>0</v>
      </c>
      <c r="AZ49" s="1038">
        <f t="shared" ca="1" si="126"/>
        <v>0</v>
      </c>
      <c r="BA49" s="1038">
        <f t="shared" ca="1" si="126"/>
        <v>0</v>
      </c>
      <c r="BB49" s="1038">
        <f t="shared" ca="1" si="126"/>
        <v>0</v>
      </c>
      <c r="BC49" s="1038">
        <f t="shared" ca="1" si="126"/>
        <v>0</v>
      </c>
      <c r="BD49" s="1038">
        <f t="shared" ca="1" si="126"/>
        <v>0</v>
      </c>
      <c r="BE49" s="1038">
        <f t="shared" ca="1" si="126"/>
        <v>-186.61824652466947</v>
      </c>
      <c r="BF49" s="979">
        <f ca="1">SUM(AM49:BE49)</f>
        <v>-186.61824652466947</v>
      </c>
      <c r="BH49" s="1032">
        <f t="shared" ca="1" si="129"/>
        <v>0</v>
      </c>
      <c r="BI49" s="1032">
        <f t="shared" ca="1" si="129"/>
        <v>0</v>
      </c>
      <c r="BJ49" s="1034">
        <f ca="1">SUM(BH49:BI49)</f>
        <v>0</v>
      </c>
      <c r="BL49" s="814"/>
      <c r="BM49" s="814"/>
      <c r="BN49" s="840"/>
      <c r="BO49" s="1481">
        <f t="shared" ca="1" si="130"/>
        <v>0</v>
      </c>
      <c r="BP49" s="1482">
        <f t="shared" ca="1" si="130"/>
        <v>0</v>
      </c>
      <c r="BQ49" s="1482">
        <f t="shared" ca="1" si="130"/>
        <v>0</v>
      </c>
      <c r="BR49" s="1482">
        <f t="shared" ca="1" si="130"/>
        <v>0</v>
      </c>
      <c r="BS49" s="1482">
        <f t="shared" ca="1" si="130"/>
        <v>0</v>
      </c>
      <c r="BT49" s="1482">
        <f t="shared" ca="1" si="130"/>
        <v>0</v>
      </c>
      <c r="BU49" s="1482">
        <f t="shared" ca="1" si="130"/>
        <v>0</v>
      </c>
      <c r="BV49" s="1482">
        <f t="shared" ca="1" si="130"/>
        <v>0</v>
      </c>
      <c r="BW49" s="1482">
        <f t="shared" ca="1" si="130"/>
        <v>0</v>
      </c>
      <c r="BX49" s="1482">
        <f t="shared" ca="1" si="130"/>
        <v>0</v>
      </c>
      <c r="BY49" s="1482">
        <f t="shared" ca="1" si="131"/>
        <v>0</v>
      </c>
      <c r="BZ49" s="1482">
        <f t="shared" ca="1" si="131"/>
        <v>0</v>
      </c>
      <c r="CA49" s="1482">
        <f t="shared" ca="1" si="131"/>
        <v>0</v>
      </c>
      <c r="CB49" s="1482">
        <f t="shared" ca="1" si="131"/>
        <v>0</v>
      </c>
      <c r="CC49" s="1482">
        <f t="shared" ca="1" si="131"/>
        <v>0</v>
      </c>
      <c r="CD49" s="1482">
        <f t="shared" ca="1" si="131"/>
        <v>0</v>
      </c>
      <c r="CE49" s="1482">
        <f t="shared" ca="1" si="131"/>
        <v>0</v>
      </c>
      <c r="CF49" s="1482">
        <f t="shared" ca="1" si="131"/>
        <v>0</v>
      </c>
      <c r="CG49" s="1482">
        <f t="shared" ca="1" si="131"/>
        <v>0</v>
      </c>
      <c r="CH49" s="1482">
        <f t="shared" ca="1" si="131"/>
        <v>0</v>
      </c>
      <c r="CI49" s="1482">
        <f t="shared" ca="1" si="132"/>
        <v>0</v>
      </c>
      <c r="CJ49" s="1482">
        <f t="shared" ca="1" si="132"/>
        <v>0</v>
      </c>
      <c r="CK49" s="1482">
        <f t="shared" ca="1" si="132"/>
        <v>0</v>
      </c>
      <c r="CL49" s="1482">
        <f t="shared" ca="1" si="132"/>
        <v>0</v>
      </c>
      <c r="CM49" s="1482">
        <f t="shared" ca="1" si="132"/>
        <v>0</v>
      </c>
      <c r="CN49" s="1482">
        <f t="shared" ca="1" si="132"/>
        <v>21.695880641230563</v>
      </c>
      <c r="CO49" s="1482">
        <f t="shared" ca="1" si="132"/>
        <v>1.544008380420842</v>
      </c>
      <c r="CP49" s="1482">
        <f t="shared" ca="1" si="132"/>
        <v>0</v>
      </c>
      <c r="CQ49" s="1482">
        <f t="shared" ca="1" si="132"/>
        <v>0</v>
      </c>
      <c r="CR49" s="1482">
        <f t="shared" ca="1" si="132"/>
        <v>0</v>
      </c>
      <c r="CS49" s="1482">
        <f t="shared" ca="1" si="133"/>
        <v>0</v>
      </c>
      <c r="CT49" s="1482">
        <f t="shared" ca="1" si="133"/>
        <v>0</v>
      </c>
      <c r="CU49" s="1482">
        <f t="shared" ca="1" si="133"/>
        <v>0</v>
      </c>
      <c r="CV49" s="1482">
        <f t="shared" ca="1" si="133"/>
        <v>0</v>
      </c>
      <c r="CW49" s="1482">
        <f t="shared" ca="1" si="133"/>
        <v>0</v>
      </c>
      <c r="CX49" s="1482">
        <f t="shared" ca="1" si="133"/>
        <v>0</v>
      </c>
      <c r="CY49" s="1482">
        <f t="shared" ca="1" si="133"/>
        <v>0</v>
      </c>
      <c r="CZ49" s="1482">
        <f t="shared" ca="1" si="133"/>
        <v>0</v>
      </c>
      <c r="DA49" s="1482">
        <f t="shared" ca="1" si="133"/>
        <v>0</v>
      </c>
      <c r="DB49" s="1482">
        <f t="shared" ca="1" si="133"/>
        <v>0</v>
      </c>
      <c r="DC49" s="1482">
        <f t="shared" ca="1" si="133"/>
        <v>0</v>
      </c>
      <c r="DD49" s="1482">
        <f t="shared" ca="1" si="133"/>
        <v>0</v>
      </c>
      <c r="DE49" s="1482">
        <f t="shared" ca="1" si="133"/>
        <v>0</v>
      </c>
      <c r="DF49" s="1482">
        <f t="shared" ca="1" si="133"/>
        <v>0</v>
      </c>
      <c r="DH49" s="838">
        <f t="shared" ca="1" si="124"/>
        <v>23.239889021651404</v>
      </c>
    </row>
    <row r="50" spans="1:112" s="743" customFormat="1" ht="12.75" hidden="1" customHeight="1" outlineLevel="1">
      <c r="A50" s="1484"/>
      <c r="B50" s="1484"/>
      <c r="C50" s="746" t="s">
        <v>924</v>
      </c>
      <c r="D50" s="1010" t="str">
        <f>INDEX(Modules[Module], MATCH($C50, Modules[Code], 0))</f>
        <v>Agriculture and land use</v>
      </c>
      <c r="E50" s="1010"/>
      <c r="G50" s="1022">
        <f t="shared" ref="G50:P50" ca="1" si="134">IFERROR(INDEX(INDIRECT($C50&amp;".Outputs["&amp;this.Year&amp;"]"), MATCH(G$5, INDIRECT($C50&amp;".Outputs[Vector]"), 0)), 0)</f>
        <v>0</v>
      </c>
      <c r="H50" s="1022">
        <f t="shared" ca="1" si="134"/>
        <v>0</v>
      </c>
      <c r="I50" s="1022">
        <f t="shared" ca="1" si="134"/>
        <v>11.045315726699688</v>
      </c>
      <c r="J50" s="1022">
        <f t="shared" ca="1" si="134"/>
        <v>0</v>
      </c>
      <c r="K50" s="1022">
        <f t="shared" ca="1" si="134"/>
        <v>0</v>
      </c>
      <c r="L50" s="1022">
        <f t="shared" ca="1" si="134"/>
        <v>0</v>
      </c>
      <c r="M50" s="1022">
        <f t="shared" ca="1" si="134"/>
        <v>0</v>
      </c>
      <c r="N50" s="1022">
        <f t="shared" ca="1" si="134"/>
        <v>0</v>
      </c>
      <c r="O50" s="1022">
        <f t="shared" ca="1" si="134"/>
        <v>0</v>
      </c>
      <c r="P50" s="1022">
        <f t="shared" ca="1" si="134"/>
        <v>0</v>
      </c>
      <c r="Q50" s="1020">
        <f ca="1">SUM(G50:P50)</f>
        <v>11.045315726699688</v>
      </c>
      <c r="S50" s="1031">
        <f t="shared" ref="S50:AJ50" ca="1" si="135">IFERROR(INDEX(INDIRECT($C50&amp;".Outputs["&amp;this.Year&amp;"]"), MATCH(S$5, INDIRECT($C50&amp;".Outputs[Vector]"), 0)), 0)</f>
        <v>-4.4181262906798748</v>
      </c>
      <c r="T50" s="1031">
        <f t="shared" ca="1" si="135"/>
        <v>0</v>
      </c>
      <c r="U50" s="1031">
        <f t="shared" ca="1" si="135"/>
        <v>-0.88362525813597503</v>
      </c>
      <c r="V50" s="1031">
        <f t="shared" ca="1" si="135"/>
        <v>-3.644954189810897</v>
      </c>
      <c r="W50" s="1031">
        <f t="shared" ca="1" si="135"/>
        <v>-2.0986099880729405</v>
      </c>
      <c r="X50" s="1031">
        <f t="shared" ca="1" si="127"/>
        <v>0</v>
      </c>
      <c r="Y50" s="1031">
        <f t="shared" ca="1" si="127"/>
        <v>0</v>
      </c>
      <c r="Z50" s="1031">
        <f t="shared" ca="1" si="127"/>
        <v>0</v>
      </c>
      <c r="AA50" s="1031">
        <f t="shared" ca="1" si="135"/>
        <v>0</v>
      </c>
      <c r="AB50" s="1031">
        <f t="shared" ca="1" si="135"/>
        <v>0</v>
      </c>
      <c r="AC50" s="1031">
        <f t="shared" ca="1" si="135"/>
        <v>0</v>
      </c>
      <c r="AD50" s="1031">
        <f t="shared" ca="1" si="135"/>
        <v>68.987497373024652</v>
      </c>
      <c r="AE50" s="1031">
        <f t="shared" ca="1" si="135"/>
        <v>1.6328504516407798</v>
      </c>
      <c r="AF50" s="1031">
        <f t="shared" ca="1" si="135"/>
        <v>15.594341534752724</v>
      </c>
      <c r="AG50" s="1031">
        <f t="shared" ca="1" si="135"/>
        <v>26.219750491922046</v>
      </c>
      <c r="AH50" s="1031">
        <f t="shared" ca="1" si="135"/>
        <v>0</v>
      </c>
      <c r="AI50" s="1031">
        <f t="shared" ca="1" si="135"/>
        <v>0</v>
      </c>
      <c r="AJ50" s="1031">
        <f t="shared" ca="1" si="135"/>
        <v>0</v>
      </c>
      <c r="AK50" s="1030">
        <f ca="1">SUM(S50:AJ50)</f>
        <v>101.38912412464052</v>
      </c>
      <c r="AM50" s="1042">
        <f t="shared" ca="1" si="128"/>
        <v>0</v>
      </c>
      <c r="AN50" s="1042">
        <f t="shared" ca="1" si="128"/>
        <v>0</v>
      </c>
      <c r="AO50" s="1042">
        <f t="shared" ca="1" si="128"/>
        <v>0</v>
      </c>
      <c r="AP50" s="1042">
        <f t="shared" ca="1" si="128"/>
        <v>0</v>
      </c>
      <c r="AQ50" s="1042">
        <f t="shared" ca="1" si="128"/>
        <v>0</v>
      </c>
      <c r="AR50" s="1042">
        <f t="shared" ca="1" si="128"/>
        <v>0</v>
      </c>
      <c r="AS50" s="1042">
        <f t="shared" ca="1" si="128"/>
        <v>0</v>
      </c>
      <c r="AT50" s="1042">
        <f t="shared" ca="1" si="128"/>
        <v>0</v>
      </c>
      <c r="AU50" s="1042">
        <f t="shared" ca="1" si="128"/>
        <v>0</v>
      </c>
      <c r="AV50" s="1042">
        <f t="shared" ref="AV50:BE50" ca="1" si="136">IFERROR(INDEX(INDIRECT($C50&amp;".Outputs["&amp;this.Year&amp;"]"), MATCH(AV$5, INDIRECT($C50&amp;".Outputs[Vector]"), 0)), 0)</f>
        <v>0</v>
      </c>
      <c r="AW50" s="1042">
        <f t="shared" ca="1" si="136"/>
        <v>0</v>
      </c>
      <c r="AX50" s="1042">
        <f t="shared" ca="1" si="136"/>
        <v>0</v>
      </c>
      <c r="AY50" s="1042">
        <f t="shared" ca="1" si="136"/>
        <v>0</v>
      </c>
      <c r="AZ50" s="1042">
        <f t="shared" ca="1" si="136"/>
        <v>0</v>
      </c>
      <c r="BA50" s="1042">
        <f t="shared" ca="1" si="136"/>
        <v>0</v>
      </c>
      <c r="BB50" s="1042">
        <f t="shared" ca="1" si="136"/>
        <v>0</v>
      </c>
      <c r="BC50" s="1042">
        <f t="shared" ca="1" si="136"/>
        <v>0</v>
      </c>
      <c r="BD50" s="1042">
        <f t="shared" ca="1" si="136"/>
        <v>-70.62034782466543</v>
      </c>
      <c r="BE50" s="1042">
        <f t="shared" ca="1" si="136"/>
        <v>-41.814092026674771</v>
      </c>
      <c r="BF50" s="1012">
        <f ca="1">SUM(AM50:BE50)</f>
        <v>-112.4344398513402</v>
      </c>
      <c r="BH50" s="1036">
        <f t="shared" ca="1" si="129"/>
        <v>0</v>
      </c>
      <c r="BI50" s="1036">
        <f t="shared" ca="1" si="129"/>
        <v>0</v>
      </c>
      <c r="BJ50" s="1035">
        <f ca="1">SUM(BH50:BI50)</f>
        <v>0</v>
      </c>
      <c r="BL50" s="814">
        <f ca="1">Q50+AK50+BF50+BJ50</f>
        <v>0</v>
      </c>
      <c r="BM50" s="814"/>
      <c r="BN50" s="840"/>
      <c r="BO50" s="1485">
        <f t="shared" ca="1" si="130"/>
        <v>1.5695393647640254</v>
      </c>
      <c r="BP50" s="1486">
        <f t="shared" ca="1" si="130"/>
        <v>2.7080066799517162E-3</v>
      </c>
      <c r="BQ50" s="1486">
        <f t="shared" ca="1" si="130"/>
        <v>1.9638448187508772E-2</v>
      </c>
      <c r="BR50" s="1486">
        <f t="shared" ca="1" si="130"/>
        <v>0</v>
      </c>
      <c r="BS50" s="1486">
        <f t="shared" ca="1" si="130"/>
        <v>0</v>
      </c>
      <c r="BT50" s="1486">
        <f t="shared" ca="1" si="130"/>
        <v>0</v>
      </c>
      <c r="BU50" s="1486">
        <f t="shared" ca="1" si="130"/>
        <v>0</v>
      </c>
      <c r="BV50" s="1486">
        <f t="shared" ca="1" si="130"/>
        <v>0</v>
      </c>
      <c r="BW50" s="1486">
        <f t="shared" ca="1" si="130"/>
        <v>0</v>
      </c>
      <c r="BX50" s="1486">
        <f t="shared" ca="1" si="130"/>
        <v>0</v>
      </c>
      <c r="BY50" s="1486">
        <f t="shared" ca="1" si="131"/>
        <v>0</v>
      </c>
      <c r="BZ50" s="1486">
        <f t="shared" ca="1" si="131"/>
        <v>0</v>
      </c>
      <c r="CA50" s="1486">
        <f t="shared" ca="1" si="131"/>
        <v>0</v>
      </c>
      <c r="CB50" s="1486">
        <f t="shared" ca="1" si="131"/>
        <v>0</v>
      </c>
      <c r="CC50" s="1486">
        <f t="shared" ca="1" si="131"/>
        <v>0</v>
      </c>
      <c r="CD50" s="1486">
        <f t="shared" ca="1" si="131"/>
        <v>0</v>
      </c>
      <c r="CE50" s="1486">
        <f t="shared" ca="1" si="131"/>
        <v>0</v>
      </c>
      <c r="CF50" s="1486">
        <f t="shared" ca="1" si="131"/>
        <v>17.077613253934082</v>
      </c>
      <c r="CG50" s="1486">
        <f t="shared" ca="1" si="131"/>
        <v>21.060040388634832</v>
      </c>
      <c r="CH50" s="1486">
        <f t="shared" ca="1" si="131"/>
        <v>0</v>
      </c>
      <c r="CI50" s="1486">
        <f t="shared" ca="1" si="132"/>
        <v>8.1163788611910945</v>
      </c>
      <c r="CJ50" s="1486">
        <f t="shared" ca="1" si="132"/>
        <v>0</v>
      </c>
      <c r="CK50" s="1486">
        <f t="shared" ca="1" si="132"/>
        <v>0</v>
      </c>
      <c r="CL50" s="1486">
        <f t="shared" ca="1" si="132"/>
        <v>0</v>
      </c>
      <c r="CM50" s="1486">
        <f t="shared" ca="1" si="132"/>
        <v>0</v>
      </c>
      <c r="CN50" s="1486">
        <f t="shared" ca="1" si="132"/>
        <v>0</v>
      </c>
      <c r="CO50" s="1486">
        <f t="shared" ca="1" si="132"/>
        <v>0</v>
      </c>
      <c r="CP50" s="1486">
        <f t="shared" ca="1" si="132"/>
        <v>0</v>
      </c>
      <c r="CQ50" s="1486">
        <f t="shared" ca="1" si="132"/>
        <v>0</v>
      </c>
      <c r="CR50" s="1486">
        <f t="shared" ca="1" si="132"/>
        <v>0</v>
      </c>
      <c r="CS50" s="1486">
        <f t="shared" ca="1" si="133"/>
        <v>0</v>
      </c>
      <c r="CT50" s="1486">
        <f t="shared" ca="1" si="133"/>
        <v>0</v>
      </c>
      <c r="CU50" s="1486">
        <f t="shared" ca="1" si="133"/>
        <v>0</v>
      </c>
      <c r="CV50" s="1486">
        <f t="shared" ca="1" si="133"/>
        <v>0</v>
      </c>
      <c r="CW50" s="1486">
        <f t="shared" ca="1" si="133"/>
        <v>0</v>
      </c>
      <c r="CX50" s="1486">
        <f t="shared" ca="1" si="133"/>
        <v>0</v>
      </c>
      <c r="CY50" s="1486">
        <f t="shared" ca="1" si="133"/>
        <v>0</v>
      </c>
      <c r="CZ50" s="1486">
        <f t="shared" ca="1" si="133"/>
        <v>0</v>
      </c>
      <c r="DA50" s="1486">
        <f t="shared" ca="1" si="133"/>
        <v>0</v>
      </c>
      <c r="DB50" s="1486">
        <f t="shared" ca="1" si="133"/>
        <v>0</v>
      </c>
      <c r="DC50" s="1486">
        <f t="shared" ca="1" si="133"/>
        <v>0</v>
      </c>
      <c r="DD50" s="1486">
        <f t="shared" ca="1" si="133"/>
        <v>0</v>
      </c>
      <c r="DE50" s="1486">
        <f t="shared" ca="1" si="133"/>
        <v>0</v>
      </c>
      <c r="DF50" s="1486">
        <f t="shared" ca="1" si="133"/>
        <v>0</v>
      </c>
      <c r="DH50" s="838">
        <f t="shared" ca="1" si="124"/>
        <v>47.845918323391494</v>
      </c>
    </row>
    <row r="51" spans="1:112" s="743" customFormat="1" ht="15.75" collapsed="1">
      <c r="A51" s="22"/>
      <c r="B51" s="753"/>
      <c r="C51" s="744" t="s">
        <v>672</v>
      </c>
      <c r="D51" s="517" t="str">
        <f>INDEX(Workstreams[Workstream], MATCH($C51, Workstreams[Code], 0))</f>
        <v>Agriculture and waste</v>
      </c>
      <c r="E51" s="512"/>
      <c r="G51" s="1021">
        <f ca="1">SUM(G48:G50)</f>
        <v>0</v>
      </c>
      <c r="H51" s="1021">
        <f t="shared" ref="H51:P51" ca="1" si="137">SUM(H48:H50)</f>
        <v>0</v>
      </c>
      <c r="I51" s="1021">
        <f t="shared" ca="1" si="137"/>
        <v>11.045315726699688</v>
      </c>
      <c r="J51" s="1021">
        <f t="shared" ca="1" si="137"/>
        <v>0</v>
      </c>
      <c r="K51" s="1021">
        <f t="shared" ca="1" si="137"/>
        <v>0</v>
      </c>
      <c r="L51" s="1021">
        <f t="shared" ca="1" si="137"/>
        <v>0</v>
      </c>
      <c r="M51" s="1021">
        <f t="shared" ca="1" si="137"/>
        <v>0</v>
      </c>
      <c r="N51" s="1021">
        <f t="shared" ca="1" si="137"/>
        <v>0</v>
      </c>
      <c r="O51" s="1021">
        <f t="shared" ca="1" si="137"/>
        <v>0</v>
      </c>
      <c r="P51" s="1021">
        <f t="shared" ca="1" si="137"/>
        <v>0</v>
      </c>
      <c r="Q51" s="1021">
        <f ca="1">SUM(G51:P51)</f>
        <v>11.045315726699688</v>
      </c>
      <c r="S51" s="970">
        <f t="shared" ref="S51:AJ51" ca="1" si="138">SUM(S48:S50)</f>
        <v>-4.4181262906798748</v>
      </c>
      <c r="T51" s="970">
        <f t="shared" ca="1" si="138"/>
        <v>0</v>
      </c>
      <c r="U51" s="970">
        <f t="shared" ca="1" si="138"/>
        <v>-0.88362525813597503</v>
      </c>
      <c r="V51" s="970">
        <f t="shared" ca="1" si="138"/>
        <v>-3.644954189810897</v>
      </c>
      <c r="W51" s="970">
        <f t="shared" ca="1" si="138"/>
        <v>-2.0986099880729405</v>
      </c>
      <c r="X51" s="970">
        <f t="shared" ca="1" si="138"/>
        <v>93.332151635553913</v>
      </c>
      <c r="Y51" s="970">
        <f t="shared" ca="1" si="138"/>
        <v>0</v>
      </c>
      <c r="Z51" s="970">
        <f t="shared" ca="1" si="138"/>
        <v>0</v>
      </c>
      <c r="AA51" s="970">
        <f t="shared" ca="1" si="138"/>
        <v>0</v>
      </c>
      <c r="AB51" s="970">
        <f t="shared" ca="1" si="138"/>
        <v>0</v>
      </c>
      <c r="AC51" s="970">
        <f t="shared" ca="1" si="138"/>
        <v>0</v>
      </c>
      <c r="AD51" s="970">
        <f t="shared" ca="1" si="138"/>
        <v>68.987497373024652</v>
      </c>
      <c r="AE51" s="970">
        <f ca="1">SUM(AE48:AE50)</f>
        <v>1.6328504516407798</v>
      </c>
      <c r="AF51" s="970">
        <f t="shared" ca="1" si="138"/>
        <v>69.271632407751852</v>
      </c>
      <c r="AG51" s="970">
        <f t="shared" ca="1" si="138"/>
        <v>47.700051615122234</v>
      </c>
      <c r="AH51" s="970">
        <f ca="1">SUM(AH48:AH50)</f>
        <v>18.128502892916249</v>
      </c>
      <c r="AI51" s="970">
        <f t="shared" ca="1" si="138"/>
        <v>0</v>
      </c>
      <c r="AJ51" s="970">
        <f t="shared" ca="1" si="138"/>
        <v>0</v>
      </c>
      <c r="AK51" s="970">
        <f ca="1">SUM(S51:AJ51)</f>
        <v>288.00737064930996</v>
      </c>
      <c r="AM51" s="976">
        <f t="shared" ref="AM51:BE51" ca="1" si="139">SUM(AM48:AM50)</f>
        <v>0</v>
      </c>
      <c r="AN51" s="976">
        <f t="shared" ca="1" si="139"/>
        <v>0</v>
      </c>
      <c r="AO51" s="976">
        <f t="shared" ca="1" si="139"/>
        <v>0</v>
      </c>
      <c r="AP51" s="976">
        <f t="shared" ca="1" si="139"/>
        <v>0</v>
      </c>
      <c r="AQ51" s="976">
        <f t="shared" ca="1" si="139"/>
        <v>0</v>
      </c>
      <c r="AR51" s="976">
        <f t="shared" ca="1" si="139"/>
        <v>0</v>
      </c>
      <c r="AS51" s="976">
        <f t="shared" ca="1" si="139"/>
        <v>0</v>
      </c>
      <c r="AT51" s="976">
        <f t="shared" ca="1" si="139"/>
        <v>0</v>
      </c>
      <c r="AU51" s="976">
        <f t="shared" ca="1" si="139"/>
        <v>0</v>
      </c>
      <c r="AV51" s="976">
        <f t="shared" ca="1" si="139"/>
        <v>0</v>
      </c>
      <c r="AW51" s="976">
        <f t="shared" ca="1" si="139"/>
        <v>0</v>
      </c>
      <c r="AX51" s="976">
        <f t="shared" ca="1" si="139"/>
        <v>0</v>
      </c>
      <c r="AY51" s="976">
        <f t="shared" ca="1" si="139"/>
        <v>0</v>
      </c>
      <c r="AZ51" s="976">
        <f t="shared" ca="1" si="139"/>
        <v>0</v>
      </c>
      <c r="BA51" s="976">
        <f t="shared" ca="1" si="139"/>
        <v>0</v>
      </c>
      <c r="BB51" s="976">
        <f t="shared" ca="1" si="139"/>
        <v>0</v>
      </c>
      <c r="BC51" s="976">
        <f t="shared" ca="1" si="139"/>
        <v>0</v>
      </c>
      <c r="BD51" s="976">
        <f t="shared" ca="1" si="139"/>
        <v>-70.62034782466543</v>
      </c>
      <c r="BE51" s="976">
        <f t="shared" ca="1" si="139"/>
        <v>-228.43233855134423</v>
      </c>
      <c r="BF51" s="976">
        <f ca="1">SUM(AM51:BE51)</f>
        <v>-299.05268637600966</v>
      </c>
      <c r="BH51" s="990">
        <f ca="1">SUM(BH48:BH50)</f>
        <v>0</v>
      </c>
      <c r="BI51" s="990">
        <f ca="1">SUM(BI48:BI50)</f>
        <v>0</v>
      </c>
      <c r="BJ51" s="990">
        <f ca="1">SUM(BH51:BI51)</f>
        <v>0</v>
      </c>
      <c r="BL51" s="515">
        <f ca="1">Q51+AK51+BF51+BJ51</f>
        <v>0</v>
      </c>
      <c r="BM51" s="515"/>
      <c r="BN51" s="840"/>
      <c r="BO51" s="1482">
        <f t="shared" ref="BO51:DF51" ca="1" si="140">SUM(BO48:BO50)</f>
        <v>1.5695393647640254</v>
      </c>
      <c r="BP51" s="1482">
        <f t="shared" ca="1" si="140"/>
        <v>2.7080066799517162E-3</v>
      </c>
      <c r="BQ51" s="1482">
        <f t="shared" ca="1" si="140"/>
        <v>1.9638448187508772E-2</v>
      </c>
      <c r="BR51" s="1482">
        <f t="shared" ca="1" si="140"/>
        <v>0</v>
      </c>
      <c r="BS51" s="1482">
        <f t="shared" ca="1" si="140"/>
        <v>0</v>
      </c>
      <c r="BT51" s="1482">
        <f t="shared" ca="1" si="140"/>
        <v>0</v>
      </c>
      <c r="BU51" s="1482">
        <f t="shared" ca="1" si="140"/>
        <v>0</v>
      </c>
      <c r="BV51" s="1482">
        <f t="shared" ca="1" si="140"/>
        <v>0</v>
      </c>
      <c r="BW51" s="1482">
        <f t="shared" ca="1" si="140"/>
        <v>0</v>
      </c>
      <c r="BX51" s="1482">
        <f t="shared" ca="1" si="140"/>
        <v>0</v>
      </c>
      <c r="BY51" s="1482">
        <f t="shared" ca="1" si="140"/>
        <v>0</v>
      </c>
      <c r="BZ51" s="1482">
        <f t="shared" ca="1" si="140"/>
        <v>0</v>
      </c>
      <c r="CA51" s="1482">
        <f t="shared" ca="1" si="140"/>
        <v>0</v>
      </c>
      <c r="CB51" s="1482">
        <f t="shared" ca="1" si="140"/>
        <v>0</v>
      </c>
      <c r="CC51" s="1482">
        <f t="shared" ca="1" si="140"/>
        <v>0</v>
      </c>
      <c r="CD51" s="1482">
        <f t="shared" ca="1" si="140"/>
        <v>0</v>
      </c>
      <c r="CE51" s="1482">
        <f t="shared" ca="1" si="140"/>
        <v>0</v>
      </c>
      <c r="CF51" s="1482">
        <f t="shared" ca="1" si="140"/>
        <v>17.077613253934082</v>
      </c>
      <c r="CG51" s="1482">
        <f t="shared" ca="1" si="140"/>
        <v>21.060040388634832</v>
      </c>
      <c r="CH51" s="1482">
        <f t="shared" ca="1" si="140"/>
        <v>0</v>
      </c>
      <c r="CI51" s="1482">
        <f t="shared" ca="1" si="140"/>
        <v>8.1163788611910945</v>
      </c>
      <c r="CJ51" s="1482">
        <f t="shared" ca="1" si="140"/>
        <v>0</v>
      </c>
      <c r="CK51" s="1482">
        <f t="shared" ca="1" si="140"/>
        <v>0</v>
      </c>
      <c r="CL51" s="1482">
        <f t="shared" ca="1" si="140"/>
        <v>0</v>
      </c>
      <c r="CM51" s="1482">
        <f t="shared" ca="1" si="140"/>
        <v>0</v>
      </c>
      <c r="CN51" s="1482">
        <f t="shared" ca="1" si="140"/>
        <v>21.695880641230563</v>
      </c>
      <c r="CO51" s="1482">
        <f t="shared" ca="1" si="140"/>
        <v>1.544008380420842</v>
      </c>
      <c r="CP51" s="1482">
        <f t="shared" ca="1" si="140"/>
        <v>0</v>
      </c>
      <c r="CQ51" s="1482">
        <f t="shared" ca="1" si="140"/>
        <v>0</v>
      </c>
      <c r="CR51" s="1482">
        <f t="shared" ca="1" si="140"/>
        <v>0</v>
      </c>
      <c r="CS51" s="1482">
        <f t="shared" ca="1" si="140"/>
        <v>0</v>
      </c>
      <c r="CT51" s="1482">
        <f t="shared" ca="1" si="140"/>
        <v>0</v>
      </c>
      <c r="CU51" s="1482">
        <f t="shared" ca="1" si="140"/>
        <v>0</v>
      </c>
      <c r="CV51" s="1482">
        <f t="shared" ca="1" si="140"/>
        <v>0</v>
      </c>
      <c r="CW51" s="1482">
        <f t="shared" ca="1" si="140"/>
        <v>0</v>
      </c>
      <c r="CX51" s="1482">
        <f t="shared" ca="1" si="140"/>
        <v>0</v>
      </c>
      <c r="CY51" s="1482">
        <f t="shared" ca="1" si="140"/>
        <v>0</v>
      </c>
      <c r="CZ51" s="1482">
        <f t="shared" ca="1" si="140"/>
        <v>0</v>
      </c>
      <c r="DA51" s="1482">
        <f t="shared" ca="1" si="140"/>
        <v>0</v>
      </c>
      <c r="DB51" s="1482">
        <f t="shared" ca="1" si="140"/>
        <v>0</v>
      </c>
      <c r="DC51" s="1482">
        <f t="shared" ca="1" si="140"/>
        <v>0</v>
      </c>
      <c r="DD51" s="1482">
        <f t="shared" ca="1" si="140"/>
        <v>0</v>
      </c>
      <c r="DE51" s="1482">
        <f t="shared" ca="1" si="140"/>
        <v>0</v>
      </c>
      <c r="DF51" s="1482">
        <f t="shared" ca="1" si="140"/>
        <v>0</v>
      </c>
      <c r="DH51" s="838">
        <f t="shared" ca="1" si="124"/>
        <v>71.085807345042909</v>
      </c>
    </row>
    <row r="52" spans="1:112" s="743" customFormat="1" ht="12.75" hidden="1" customHeight="1" outlineLevel="1">
      <c r="A52" s="22"/>
      <c r="B52" s="22"/>
      <c r="C52" s="751"/>
      <c r="D52" s="512"/>
      <c r="E52" s="512"/>
      <c r="G52" s="958"/>
      <c r="H52" s="958"/>
      <c r="I52" s="958"/>
      <c r="J52" s="958"/>
      <c r="K52" s="960"/>
      <c r="L52" s="958"/>
      <c r="M52" s="958"/>
      <c r="N52" s="958"/>
      <c r="O52" s="958"/>
      <c r="P52" s="958"/>
      <c r="Q52" s="958"/>
      <c r="S52" s="970"/>
      <c r="T52" s="970"/>
      <c r="U52" s="970"/>
      <c r="V52" s="970"/>
      <c r="W52" s="970"/>
      <c r="X52" s="970"/>
      <c r="Y52" s="970"/>
      <c r="Z52" s="970"/>
      <c r="AA52" s="970"/>
      <c r="AB52" s="970"/>
      <c r="AC52" s="970"/>
      <c r="AD52" s="970"/>
      <c r="AE52" s="970"/>
      <c r="AF52" s="970"/>
      <c r="AG52" s="970"/>
      <c r="AH52" s="970"/>
      <c r="AI52" s="970"/>
      <c r="AJ52" s="970"/>
      <c r="AK52" s="970"/>
      <c r="AM52" s="976"/>
      <c r="AN52" s="976"/>
      <c r="AO52" s="976"/>
      <c r="AP52" s="976"/>
      <c r="AQ52" s="976"/>
      <c r="AR52" s="976"/>
      <c r="AS52" s="976"/>
      <c r="AT52" s="976"/>
      <c r="AU52" s="976"/>
      <c r="AV52" s="976"/>
      <c r="AW52" s="976"/>
      <c r="AX52" s="976"/>
      <c r="AY52" s="976"/>
      <c r="AZ52" s="976"/>
      <c r="BA52" s="976"/>
      <c r="BB52" s="976"/>
      <c r="BC52" s="976"/>
      <c r="BD52" s="976"/>
      <c r="BE52" s="976"/>
      <c r="BF52" s="976"/>
      <c r="BH52" s="990"/>
      <c r="BI52" s="990"/>
      <c r="BJ52" s="990"/>
      <c r="BL52" s="515">
        <f>Q52+AK52+BF52+BJ52</f>
        <v>0</v>
      </c>
      <c r="BM52" s="515"/>
      <c r="BN52" s="22"/>
      <c r="BO52" s="1482"/>
      <c r="BP52" s="1482"/>
      <c r="BQ52" s="1482"/>
      <c r="BR52" s="1482"/>
      <c r="BS52" s="1482"/>
      <c r="BT52" s="1482"/>
      <c r="BU52" s="1482"/>
      <c r="BV52" s="1482"/>
      <c r="BW52" s="1482"/>
      <c r="BX52" s="1482"/>
      <c r="BY52" s="1482"/>
      <c r="BZ52" s="1482"/>
      <c r="CA52" s="1482"/>
      <c r="CB52" s="1482"/>
      <c r="CC52" s="1482"/>
      <c r="CD52" s="1482"/>
      <c r="CE52" s="1482"/>
      <c r="CF52" s="1482"/>
      <c r="CG52" s="1482"/>
      <c r="CH52" s="1482"/>
      <c r="CI52" s="1482"/>
      <c r="CJ52" s="1482"/>
      <c r="CK52" s="1482"/>
      <c r="CL52" s="1482"/>
      <c r="CM52" s="1482"/>
      <c r="CN52" s="1482"/>
      <c r="CO52" s="1482"/>
      <c r="CP52" s="1482"/>
      <c r="CQ52" s="1482"/>
      <c r="CR52" s="1482"/>
      <c r="CS52" s="1482"/>
      <c r="CT52" s="1482"/>
      <c r="CU52" s="1482"/>
      <c r="CV52" s="1482"/>
      <c r="CW52" s="1482"/>
      <c r="CX52" s="1482"/>
      <c r="CY52" s="1482"/>
      <c r="CZ52" s="1482"/>
      <c r="DA52" s="1482"/>
      <c r="DB52" s="1482"/>
      <c r="DC52" s="1482"/>
      <c r="DD52" s="1482"/>
      <c r="DE52" s="1482"/>
      <c r="DF52" s="1482"/>
      <c r="DH52" s="838">
        <f t="shared" si="124"/>
        <v>0</v>
      </c>
    </row>
    <row r="53" spans="1:112" s="743" customFormat="1" hidden="1" outlineLevel="1">
      <c r="A53" s="1484"/>
      <c r="B53" s="1484"/>
      <c r="C53" s="522" t="s">
        <v>971</v>
      </c>
      <c r="D53" s="521" t="str">
        <f>INDEX(Modules[Module], MATCH($C53, Modules[Code], 0))</f>
        <v>Petroleum refineries</v>
      </c>
      <c r="E53" s="521"/>
      <c r="G53" s="1017">
        <f t="shared" ref="G53:P54" ca="1" si="141">IFERROR(INDEX(INDIRECT($C53&amp;".Outputs["&amp;this.Year&amp;"]"), MATCH(G$5, INDIRECT($C53&amp;".Outputs[Vector]"), 0)), 0)</f>
        <v>0</v>
      </c>
      <c r="H53" s="1017">
        <f t="shared" ca="1" si="141"/>
        <v>0</v>
      </c>
      <c r="I53" s="1017">
        <f t="shared" ca="1" si="141"/>
        <v>0</v>
      </c>
      <c r="J53" s="1017">
        <f t="shared" ca="1" si="141"/>
        <v>0</v>
      </c>
      <c r="K53" s="1017">
        <f t="shared" ca="1" si="141"/>
        <v>0</v>
      </c>
      <c r="L53" s="1017">
        <f t="shared" ca="1" si="141"/>
        <v>0</v>
      </c>
      <c r="M53" s="1017">
        <f t="shared" ca="1" si="141"/>
        <v>0</v>
      </c>
      <c r="N53" s="1017">
        <f t="shared" ca="1" si="141"/>
        <v>0</v>
      </c>
      <c r="O53" s="1017">
        <f t="shared" ca="1" si="141"/>
        <v>0</v>
      </c>
      <c r="P53" s="1017">
        <f t="shared" ca="1" si="141"/>
        <v>0</v>
      </c>
      <c r="Q53" s="1019">
        <f ca="1">SUM(G53:P53)</f>
        <v>0</v>
      </c>
      <c r="S53" s="1026">
        <f t="shared" ref="S53:BE54" ca="1" si="142">IFERROR(INDEX(INDIRECT($C53&amp;".Outputs["&amp;this.Year&amp;"]"), MATCH(S$5, INDIRECT($C53&amp;".Outputs[Vector]"), 0)), 0)</f>
        <v>-5.0835819404648328</v>
      </c>
      <c r="T53" s="1026">
        <f t="shared" ca="1" si="142"/>
        <v>0</v>
      </c>
      <c r="U53" s="1026">
        <f t="shared" ca="1" si="142"/>
        <v>0</v>
      </c>
      <c r="V53" s="1026">
        <f t="shared" ca="1" si="142"/>
        <v>-41.667001534832153</v>
      </c>
      <c r="W53" s="1026">
        <f t="shared" ca="1" si="142"/>
        <v>-1.8536244716113717</v>
      </c>
      <c r="X53" s="1026">
        <f t="shared" ref="X53:Z54" ca="1" si="143">IFERROR(INDEX(INDIRECT($C53&amp;".Outputs["&amp;this.Year&amp;"]"), MATCH(X$5, INDIRECT($C53&amp;".Outputs[Vector]"), 0)), 0)</f>
        <v>0</v>
      </c>
      <c r="Y53" s="1026">
        <f t="shared" ca="1" si="143"/>
        <v>0</v>
      </c>
      <c r="Z53" s="1026">
        <f t="shared" ca="1" si="143"/>
        <v>0</v>
      </c>
      <c r="AA53" s="1026">
        <f t="shared" ca="1" si="142"/>
        <v>0</v>
      </c>
      <c r="AB53" s="1026">
        <f t="shared" ca="1" si="142"/>
        <v>-0.59696989910337361</v>
      </c>
      <c r="AC53" s="1026">
        <f t="shared" ca="1" si="142"/>
        <v>0</v>
      </c>
      <c r="AD53" s="1026">
        <f t="shared" ca="1" si="142"/>
        <v>0</v>
      </c>
      <c r="AE53" s="1026">
        <f t="shared" ca="1" si="142"/>
        <v>0</v>
      </c>
      <c r="AF53" s="1026">
        <f t="shared" ca="1" si="142"/>
        <v>0</v>
      </c>
      <c r="AG53" s="1026">
        <f t="shared" ca="1" si="142"/>
        <v>0</v>
      </c>
      <c r="AH53" s="1026">
        <f t="shared" ca="1" si="142"/>
        <v>0</v>
      </c>
      <c r="AI53" s="1026">
        <f t="shared" ca="1" si="142"/>
        <v>0</v>
      </c>
      <c r="AJ53" s="1026">
        <f t="shared" ca="1" si="142"/>
        <v>0</v>
      </c>
      <c r="AK53" s="1027">
        <f ca="1">SUM(S53:AJ53)</f>
        <v>-49.201177846011724</v>
      </c>
      <c r="AM53" s="1038">
        <f t="shared" ref="AM53:AU54" ca="1" si="144">IFERROR(INDEX(INDIRECT($C53&amp;".Outputs["&amp;this.Year&amp;"]"), MATCH(AM$5, INDIRECT($C53&amp;".Outputs[Vector]"), 0)), 0)</f>
        <v>0</v>
      </c>
      <c r="AN53" s="1038">
        <f t="shared" ca="1" si="144"/>
        <v>0</v>
      </c>
      <c r="AO53" s="1038">
        <f t="shared" ca="1" si="144"/>
        <v>0</v>
      </c>
      <c r="AP53" s="1038">
        <f t="shared" ca="1" si="144"/>
        <v>0</v>
      </c>
      <c r="AQ53" s="1038">
        <f t="shared" ca="1" si="144"/>
        <v>0</v>
      </c>
      <c r="AR53" s="1038">
        <f t="shared" ca="1" si="144"/>
        <v>0</v>
      </c>
      <c r="AS53" s="1038">
        <f t="shared" ca="1" si="144"/>
        <v>0</v>
      </c>
      <c r="AT53" s="1038">
        <f t="shared" ca="1" si="144"/>
        <v>0</v>
      </c>
      <c r="AU53" s="1038">
        <f t="shared" ca="1" si="144"/>
        <v>0</v>
      </c>
      <c r="AV53" s="1038">
        <f t="shared" ca="1" si="142"/>
        <v>0</v>
      </c>
      <c r="AW53" s="1038">
        <f t="shared" ca="1" si="142"/>
        <v>0</v>
      </c>
      <c r="AX53" s="1038">
        <f t="shared" ca="1" si="142"/>
        <v>0</v>
      </c>
      <c r="AY53" s="1038">
        <f t="shared" ca="1" si="142"/>
        <v>0</v>
      </c>
      <c r="AZ53" s="1038">
        <f t="shared" ca="1" si="142"/>
        <v>0</v>
      </c>
      <c r="BA53" s="1038">
        <f t="shared" ca="1" si="142"/>
        <v>0</v>
      </c>
      <c r="BB53" s="1038">
        <f t="shared" ca="1" si="142"/>
        <v>0</v>
      </c>
      <c r="BC53" s="1038">
        <f t="shared" ca="1" si="142"/>
        <v>0</v>
      </c>
      <c r="BD53" s="1038">
        <f t="shared" ca="1" si="142"/>
        <v>0</v>
      </c>
      <c r="BE53" s="1038">
        <f t="shared" ca="1" si="142"/>
        <v>0</v>
      </c>
      <c r="BF53" s="979">
        <f ca="1">SUM(AM53:BE53)</f>
        <v>0</v>
      </c>
      <c r="BH53" s="1032">
        <f ca="1">IFERROR(INDEX(INDIRECT($C53&amp;".Outputs["&amp;this.Year&amp;"]"), MATCH(BH$5, INDIRECT($C53&amp;".Outputs[Vector]"), 0)), 0)</f>
        <v>0</v>
      </c>
      <c r="BI53" s="1032">
        <f ca="1">IFERROR(INDEX(INDIRECT($C53&amp;".Outputs["&amp;this.Year&amp;"]"), MATCH(BI$5, INDIRECT($C53&amp;".Outputs[Vector]"), 0)), 0)</f>
        <v>49.201177846011724</v>
      </c>
      <c r="BJ53" s="1034">
        <f ca="1">SUM(BH53:BI53)</f>
        <v>49.201177846011724</v>
      </c>
      <c r="BL53" s="814">
        <f ca="1">Q53+AK53+BF53+BJ53</f>
        <v>0</v>
      </c>
      <c r="BM53" s="814"/>
      <c r="BN53" s="840"/>
      <c r="BO53" s="1481">
        <f t="shared" ref="BO53:BX54" ca="1" si="145">IFERROR(SUMIFS(INDIRECT($C53&amp;".Emissions["&amp;this.Year&amp;"]"), INDIRECT($C53&amp;".Emissions[GHG]"), BO$6, INDIRECT($C53&amp;".Emissions[IPCC Sector]"), BO$5),0)</f>
        <v>10.757817286484531</v>
      </c>
      <c r="BP53" s="1482">
        <f t="shared" ca="1" si="145"/>
        <v>1.3652476837176053E-2</v>
      </c>
      <c r="BQ53" s="1482">
        <f t="shared" ca="1" si="145"/>
        <v>0.18815399784987419</v>
      </c>
      <c r="BR53" s="1482">
        <f t="shared" ca="1" si="145"/>
        <v>0</v>
      </c>
      <c r="BS53" s="1482">
        <f t="shared" ca="1" si="145"/>
        <v>0</v>
      </c>
      <c r="BT53" s="1482">
        <f t="shared" ca="1" si="145"/>
        <v>0</v>
      </c>
      <c r="BU53" s="1482">
        <f t="shared" ca="1" si="145"/>
        <v>0</v>
      </c>
      <c r="BV53" s="1482">
        <f t="shared" ca="1" si="145"/>
        <v>0</v>
      </c>
      <c r="BW53" s="1482">
        <f t="shared" ca="1" si="145"/>
        <v>0</v>
      </c>
      <c r="BX53" s="1482">
        <f t="shared" ca="1" si="145"/>
        <v>0</v>
      </c>
      <c r="BY53" s="1482">
        <f t="shared" ref="BY53:CH54" ca="1" si="146">IFERROR(SUMIFS(INDIRECT($C53&amp;".Emissions["&amp;this.Year&amp;"]"), INDIRECT($C53&amp;".Emissions[GHG]"), BY$6, INDIRECT($C53&amp;".Emissions[IPCC Sector]"), BY$5),0)</f>
        <v>0</v>
      </c>
      <c r="BZ53" s="1482">
        <f t="shared" ca="1" si="146"/>
        <v>0</v>
      </c>
      <c r="CA53" s="1482">
        <f t="shared" ca="1" si="146"/>
        <v>0</v>
      </c>
      <c r="CB53" s="1482">
        <f t="shared" ca="1" si="146"/>
        <v>0</v>
      </c>
      <c r="CC53" s="1482">
        <f t="shared" ca="1" si="146"/>
        <v>0</v>
      </c>
      <c r="CD53" s="1482">
        <f t="shared" ca="1" si="146"/>
        <v>0</v>
      </c>
      <c r="CE53" s="1482">
        <f t="shared" ca="1" si="146"/>
        <v>0</v>
      </c>
      <c r="CF53" s="1482">
        <f t="shared" ca="1" si="146"/>
        <v>0</v>
      </c>
      <c r="CG53" s="1482">
        <f t="shared" ca="1" si="146"/>
        <v>0</v>
      </c>
      <c r="CH53" s="1482">
        <f t="shared" ca="1" si="146"/>
        <v>0</v>
      </c>
      <c r="CI53" s="1482">
        <f t="shared" ref="CI53:CR54" ca="1" si="147">IFERROR(SUMIFS(INDIRECT($C53&amp;".Emissions["&amp;this.Year&amp;"]"), INDIRECT($C53&amp;".Emissions[GHG]"), CI$6, INDIRECT($C53&amp;".Emissions[IPCC Sector]"), CI$5),0)</f>
        <v>0</v>
      </c>
      <c r="CJ53" s="1482">
        <f t="shared" ca="1" si="147"/>
        <v>0</v>
      </c>
      <c r="CK53" s="1482">
        <f t="shared" ca="1" si="147"/>
        <v>0</v>
      </c>
      <c r="CL53" s="1482">
        <f t="shared" ca="1" si="147"/>
        <v>0</v>
      </c>
      <c r="CM53" s="1482">
        <f t="shared" ca="1" si="147"/>
        <v>0</v>
      </c>
      <c r="CN53" s="1482">
        <f t="shared" ca="1" si="147"/>
        <v>0</v>
      </c>
      <c r="CO53" s="1482">
        <f t="shared" ca="1" si="147"/>
        <v>0</v>
      </c>
      <c r="CP53" s="1482">
        <f t="shared" ca="1" si="147"/>
        <v>0</v>
      </c>
      <c r="CQ53" s="1482">
        <f t="shared" ca="1" si="147"/>
        <v>0</v>
      </c>
      <c r="CR53" s="1482">
        <f t="shared" ca="1" si="147"/>
        <v>0</v>
      </c>
      <c r="CS53" s="1482">
        <f t="shared" ref="CS53:DF54" ca="1" si="148">IFERROR(SUMIFS(INDIRECT($C53&amp;".Emissions["&amp;this.Year&amp;"]"), INDIRECT($C53&amp;".Emissions[GHG]"), CS$6, INDIRECT($C53&amp;".Emissions[IPCC Sector]"), CS$5),0)</f>
        <v>0</v>
      </c>
      <c r="CT53" s="1482">
        <f t="shared" ca="1" si="148"/>
        <v>0</v>
      </c>
      <c r="CU53" s="1482">
        <f t="shared" ca="1" si="148"/>
        <v>0</v>
      </c>
      <c r="CV53" s="1482">
        <f t="shared" ca="1" si="148"/>
        <v>0</v>
      </c>
      <c r="CW53" s="1482">
        <f t="shared" ca="1" si="148"/>
        <v>0</v>
      </c>
      <c r="CX53" s="1482">
        <f t="shared" ca="1" si="148"/>
        <v>0</v>
      </c>
      <c r="CY53" s="1482">
        <f t="shared" ca="1" si="148"/>
        <v>0</v>
      </c>
      <c r="CZ53" s="1482">
        <f t="shared" ca="1" si="148"/>
        <v>0</v>
      </c>
      <c r="DA53" s="1482">
        <f t="shared" ca="1" si="148"/>
        <v>0</v>
      </c>
      <c r="DB53" s="1482">
        <f t="shared" ca="1" si="148"/>
        <v>0</v>
      </c>
      <c r="DC53" s="1482">
        <f t="shared" ca="1" si="148"/>
        <v>0</v>
      </c>
      <c r="DD53" s="1482">
        <f t="shared" ca="1" si="148"/>
        <v>0</v>
      </c>
      <c r="DE53" s="1482">
        <f t="shared" ca="1" si="148"/>
        <v>0</v>
      </c>
      <c r="DF53" s="1482">
        <f t="shared" ca="1" si="148"/>
        <v>0</v>
      </c>
      <c r="DH53" s="838">
        <f t="shared" ca="1" si="124"/>
        <v>10.959623761171581</v>
      </c>
    </row>
    <row r="54" spans="1:112" s="743" customFormat="1" hidden="1" outlineLevel="1">
      <c r="A54" s="1484"/>
      <c r="B54" s="1484"/>
      <c r="C54" s="522" t="s">
        <v>989</v>
      </c>
      <c r="D54" s="1010" t="str">
        <f>INDEX(Modules[Module], MATCH($C54, Modules[Code], 0))</f>
        <v>Indigenous fossil-fuel production</v>
      </c>
      <c r="E54" s="1010"/>
      <c r="G54" s="1022">
        <f t="shared" ca="1" si="141"/>
        <v>0</v>
      </c>
      <c r="H54" s="1022">
        <f t="shared" ca="1" si="141"/>
        <v>0</v>
      </c>
      <c r="I54" s="1022">
        <f t="shared" ca="1" si="141"/>
        <v>12.203247896803035</v>
      </c>
      <c r="J54" s="1022">
        <f t="shared" ca="1" si="141"/>
        <v>0</v>
      </c>
      <c r="K54" s="1022">
        <f t="shared" ca="1" si="141"/>
        <v>0</v>
      </c>
      <c r="L54" s="1022">
        <f t="shared" ca="1" si="141"/>
        <v>0</v>
      </c>
      <c r="M54" s="1022">
        <f t="shared" ca="1" si="141"/>
        <v>0</v>
      </c>
      <c r="N54" s="1022">
        <f t="shared" ca="1" si="141"/>
        <v>0</v>
      </c>
      <c r="O54" s="1022">
        <f t="shared" ca="1" si="141"/>
        <v>0</v>
      </c>
      <c r="P54" s="1022">
        <f t="shared" ca="1" si="141"/>
        <v>0</v>
      </c>
      <c r="Q54" s="1020">
        <f ca="1">SUM(G54:P54)</f>
        <v>12.203247896803035</v>
      </c>
      <c r="S54" s="1031">
        <f t="shared" ca="1" si="142"/>
        <v>-1.078900514663677</v>
      </c>
      <c r="T54" s="1031">
        <f t="shared" ca="1" si="142"/>
        <v>0</v>
      </c>
      <c r="U54" s="1031">
        <f t="shared" ca="1" si="142"/>
        <v>-4.4692473051785787E-2</v>
      </c>
      <c r="V54" s="1031">
        <f t="shared" ca="1" si="142"/>
        <v>0</v>
      </c>
      <c r="W54" s="1031">
        <f t="shared" ca="1" si="142"/>
        <v>-11.079654909087571</v>
      </c>
      <c r="X54" s="1031">
        <f t="shared" ca="1" si="143"/>
        <v>124.39544583847987</v>
      </c>
      <c r="Y54" s="1031">
        <f t="shared" ca="1" si="143"/>
        <v>166.95884163987617</v>
      </c>
      <c r="Z54" s="1031">
        <f t="shared" ca="1" si="143"/>
        <v>127.88066797955751</v>
      </c>
      <c r="AA54" s="1031">
        <f t="shared" ca="1" si="142"/>
        <v>0</v>
      </c>
      <c r="AB54" s="1031">
        <f t="shared" ca="1" si="142"/>
        <v>0</v>
      </c>
      <c r="AC54" s="1031">
        <f t="shared" ca="1" si="142"/>
        <v>0</v>
      </c>
      <c r="AD54" s="1031">
        <f t="shared" ca="1" si="142"/>
        <v>0</v>
      </c>
      <c r="AE54" s="1031">
        <f t="shared" ca="1" si="142"/>
        <v>0</v>
      </c>
      <c r="AF54" s="1031">
        <f t="shared" ca="1" si="142"/>
        <v>0</v>
      </c>
      <c r="AG54" s="1031">
        <f t="shared" ca="1" si="142"/>
        <v>0</v>
      </c>
      <c r="AH54" s="1031">
        <f t="shared" ca="1" si="142"/>
        <v>0</v>
      </c>
      <c r="AI54" s="1031">
        <f t="shared" ca="1" si="142"/>
        <v>0</v>
      </c>
      <c r="AJ54" s="1031">
        <f t="shared" ca="1" si="142"/>
        <v>0</v>
      </c>
      <c r="AK54" s="1030">
        <f ca="1">SUM(S54:AJ54)</f>
        <v>407.03170756111052</v>
      </c>
      <c r="AM54" s="1042">
        <f t="shared" ca="1" si="144"/>
        <v>-124.39544583847987</v>
      </c>
      <c r="AN54" s="1042">
        <f t="shared" ca="1" si="144"/>
        <v>-166.95884163987617</v>
      </c>
      <c r="AO54" s="1042">
        <f t="shared" ca="1" si="144"/>
        <v>-127.88066797955751</v>
      </c>
      <c r="AP54" s="1042">
        <f t="shared" ca="1" si="144"/>
        <v>0</v>
      </c>
      <c r="AQ54" s="1042">
        <f t="shared" ca="1" si="144"/>
        <v>0</v>
      </c>
      <c r="AR54" s="1042">
        <f t="shared" ca="1" si="144"/>
        <v>0</v>
      </c>
      <c r="AS54" s="1042">
        <f t="shared" ca="1" si="144"/>
        <v>0</v>
      </c>
      <c r="AT54" s="1042">
        <f t="shared" ca="1" si="144"/>
        <v>0</v>
      </c>
      <c r="AU54" s="1042">
        <f t="shared" ca="1" si="144"/>
        <v>0</v>
      </c>
      <c r="AV54" s="1042">
        <f t="shared" ca="1" si="142"/>
        <v>0</v>
      </c>
      <c r="AW54" s="1042">
        <f t="shared" ca="1" si="142"/>
        <v>0</v>
      </c>
      <c r="AX54" s="1042">
        <f t="shared" ca="1" si="142"/>
        <v>0</v>
      </c>
      <c r="AY54" s="1042">
        <f t="shared" ca="1" si="142"/>
        <v>0</v>
      </c>
      <c r="AZ54" s="1042">
        <f t="shared" ca="1" si="142"/>
        <v>0</v>
      </c>
      <c r="BA54" s="1042">
        <f t="shared" ca="1" si="142"/>
        <v>0</v>
      </c>
      <c r="BB54" s="1042">
        <f t="shared" ca="1" si="142"/>
        <v>0</v>
      </c>
      <c r="BC54" s="1042">
        <f t="shared" ca="1" si="142"/>
        <v>0</v>
      </c>
      <c r="BD54" s="1042">
        <f t="shared" ca="1" si="142"/>
        <v>0</v>
      </c>
      <c r="BE54" s="1042">
        <f t="shared" ca="1" si="142"/>
        <v>0</v>
      </c>
      <c r="BF54" s="1012">
        <f ca="1">SUM(AM54:BE54)</f>
        <v>-419.23495545791354</v>
      </c>
      <c r="BH54" s="1036">
        <f ca="1">IFERROR(INDEX(INDIRECT($C54&amp;".Outputs["&amp;this.Year&amp;"]"), MATCH(BH$5, INDIRECT($C54&amp;".Outputs[Vector]"), 0)), 0)</f>
        <v>0</v>
      </c>
      <c r="BI54" s="1036">
        <f ca="1">IFERROR(INDEX(INDIRECT($C54&amp;".Outputs["&amp;this.Year&amp;"]"), MATCH(BI$5, INDIRECT($C54&amp;".Outputs[Vector]"), 0)), 0)</f>
        <v>0</v>
      </c>
      <c r="BJ54" s="1035">
        <f ca="1">SUM(BH54:BI54)</f>
        <v>0</v>
      </c>
      <c r="BL54" s="814"/>
      <c r="BM54" s="814"/>
      <c r="BN54" s="840"/>
      <c r="BO54" s="1485">
        <f t="shared" ca="1" si="145"/>
        <v>2.0219125032721128</v>
      </c>
      <c r="BP54" s="1486">
        <f t="shared" ca="1" si="145"/>
        <v>4.0528947162918475E-3</v>
      </c>
      <c r="BQ54" s="1486">
        <f t="shared" ca="1" si="145"/>
        <v>4.3590853050584537E-3</v>
      </c>
      <c r="BR54" s="1486">
        <f t="shared" ca="1" si="145"/>
        <v>0</v>
      </c>
      <c r="BS54" s="1486">
        <f t="shared" ca="1" si="145"/>
        <v>0.87110255642387768</v>
      </c>
      <c r="BT54" s="1486">
        <f t="shared" ca="1" si="145"/>
        <v>2.6403129612517775</v>
      </c>
      <c r="BU54" s="1486">
        <f t="shared" ca="1" si="145"/>
        <v>0</v>
      </c>
      <c r="BV54" s="1486">
        <f t="shared" ca="1" si="145"/>
        <v>0</v>
      </c>
      <c r="BW54" s="1486">
        <f t="shared" ca="1" si="145"/>
        <v>0</v>
      </c>
      <c r="BX54" s="1486">
        <f t="shared" ca="1" si="145"/>
        <v>0</v>
      </c>
      <c r="BY54" s="1486">
        <f t="shared" ca="1" si="146"/>
        <v>0</v>
      </c>
      <c r="BZ54" s="1486">
        <f t="shared" ca="1" si="146"/>
        <v>0</v>
      </c>
      <c r="CA54" s="1486">
        <f t="shared" ca="1" si="146"/>
        <v>0</v>
      </c>
      <c r="CB54" s="1486">
        <f t="shared" ca="1" si="146"/>
        <v>0</v>
      </c>
      <c r="CC54" s="1486">
        <f t="shared" ca="1" si="146"/>
        <v>0</v>
      </c>
      <c r="CD54" s="1486">
        <f t="shared" ca="1" si="146"/>
        <v>0</v>
      </c>
      <c r="CE54" s="1486">
        <f t="shared" ca="1" si="146"/>
        <v>0</v>
      </c>
      <c r="CF54" s="1486">
        <f t="shared" ca="1" si="146"/>
        <v>0</v>
      </c>
      <c r="CG54" s="1486">
        <f t="shared" ca="1" si="146"/>
        <v>0</v>
      </c>
      <c r="CH54" s="1486">
        <f t="shared" ca="1" si="146"/>
        <v>0</v>
      </c>
      <c r="CI54" s="1486">
        <f t="shared" ca="1" si="147"/>
        <v>0</v>
      </c>
      <c r="CJ54" s="1486">
        <f t="shared" ca="1" si="147"/>
        <v>0</v>
      </c>
      <c r="CK54" s="1486">
        <f t="shared" ca="1" si="147"/>
        <v>0</v>
      </c>
      <c r="CL54" s="1486">
        <f t="shared" ca="1" si="147"/>
        <v>0</v>
      </c>
      <c r="CM54" s="1486">
        <f t="shared" ca="1" si="147"/>
        <v>0</v>
      </c>
      <c r="CN54" s="1486">
        <f t="shared" ca="1" si="147"/>
        <v>0</v>
      </c>
      <c r="CO54" s="1486">
        <f t="shared" ca="1" si="147"/>
        <v>0</v>
      </c>
      <c r="CP54" s="1486">
        <f t="shared" ca="1" si="147"/>
        <v>0</v>
      </c>
      <c r="CQ54" s="1486">
        <f t="shared" ca="1" si="147"/>
        <v>0</v>
      </c>
      <c r="CR54" s="1486">
        <f t="shared" ca="1" si="147"/>
        <v>0</v>
      </c>
      <c r="CS54" s="1486">
        <f t="shared" ca="1" si="148"/>
        <v>0</v>
      </c>
      <c r="CT54" s="1486">
        <f t="shared" ca="1" si="148"/>
        <v>0</v>
      </c>
      <c r="CU54" s="1486">
        <f t="shared" ca="1" si="148"/>
        <v>0</v>
      </c>
      <c r="CV54" s="1486">
        <f t="shared" ca="1" si="148"/>
        <v>0</v>
      </c>
      <c r="CW54" s="1486">
        <f t="shared" ca="1" si="148"/>
        <v>0</v>
      </c>
      <c r="CX54" s="1486">
        <f t="shared" ca="1" si="148"/>
        <v>0</v>
      </c>
      <c r="CY54" s="1486">
        <f t="shared" ca="1" si="148"/>
        <v>0</v>
      </c>
      <c r="CZ54" s="1486">
        <f t="shared" ca="1" si="148"/>
        <v>0</v>
      </c>
      <c r="DA54" s="1486">
        <f t="shared" ca="1" si="148"/>
        <v>0</v>
      </c>
      <c r="DB54" s="1486">
        <f t="shared" ca="1" si="148"/>
        <v>0</v>
      </c>
      <c r="DC54" s="1486">
        <f t="shared" ca="1" si="148"/>
        <v>0</v>
      </c>
      <c r="DD54" s="1486">
        <f t="shared" ca="1" si="148"/>
        <v>0</v>
      </c>
      <c r="DE54" s="1486">
        <f t="shared" ca="1" si="148"/>
        <v>0</v>
      </c>
      <c r="DF54" s="1486">
        <f t="shared" ca="1" si="148"/>
        <v>0</v>
      </c>
      <c r="DH54" s="838">
        <f t="shared" ca="1" si="124"/>
        <v>5.5417400009691189</v>
      </c>
    </row>
    <row r="55" spans="1:112" s="743" customFormat="1" ht="15.75" collapsed="1">
      <c r="A55" s="1488"/>
      <c r="B55" s="1489"/>
      <c r="C55" s="744" t="s">
        <v>969</v>
      </c>
      <c r="D55" s="517" t="str">
        <f>INDEX(Workstreams[Workstream], MATCH($C55, Workstreams[Code], 0))</f>
        <v>Fossil fuel production</v>
      </c>
      <c r="E55" s="512"/>
      <c r="G55" s="1021">
        <f ca="1">SUM(G53:G54)</f>
        <v>0</v>
      </c>
      <c r="H55" s="1021">
        <f t="shared" ref="H55:P55" ca="1" si="149">SUM(H53:H54)</f>
        <v>0</v>
      </c>
      <c r="I55" s="1021">
        <f t="shared" ca="1" si="149"/>
        <v>12.203247896803035</v>
      </c>
      <c r="J55" s="1021">
        <f t="shared" ca="1" si="149"/>
        <v>0</v>
      </c>
      <c r="K55" s="1021">
        <f t="shared" ca="1" si="149"/>
        <v>0</v>
      </c>
      <c r="L55" s="1021">
        <f t="shared" ca="1" si="149"/>
        <v>0</v>
      </c>
      <c r="M55" s="1021">
        <f t="shared" ca="1" si="149"/>
        <v>0</v>
      </c>
      <c r="N55" s="1021">
        <f t="shared" ca="1" si="149"/>
        <v>0</v>
      </c>
      <c r="O55" s="1021">
        <f t="shared" ca="1" si="149"/>
        <v>0</v>
      </c>
      <c r="P55" s="1021">
        <f t="shared" ca="1" si="149"/>
        <v>0</v>
      </c>
      <c r="Q55" s="1021">
        <f ca="1">SUM(G55:P55)</f>
        <v>12.203247896803035</v>
      </c>
      <c r="S55" s="970">
        <f t="shared" ref="S55:AJ55" ca="1" si="150">SUM(S53:S54)</f>
        <v>-6.1624824551285098</v>
      </c>
      <c r="T55" s="970">
        <f t="shared" ca="1" si="150"/>
        <v>0</v>
      </c>
      <c r="U55" s="970">
        <f t="shared" ca="1" si="150"/>
        <v>-4.4692473051785787E-2</v>
      </c>
      <c r="V55" s="970">
        <f t="shared" ca="1" si="150"/>
        <v>-41.667001534832153</v>
      </c>
      <c r="W55" s="970">
        <f t="shared" ca="1" si="150"/>
        <v>-12.933279380698943</v>
      </c>
      <c r="X55" s="970">
        <f ca="1">SUM(X53:X54)</f>
        <v>124.39544583847987</v>
      </c>
      <c r="Y55" s="970">
        <f ca="1">SUM(Y53:Y54)</f>
        <v>166.95884163987617</v>
      </c>
      <c r="Z55" s="970">
        <f ca="1">SUM(Z53:Z54)</f>
        <v>127.88066797955751</v>
      </c>
      <c r="AA55" s="970">
        <f t="shared" ca="1" si="150"/>
        <v>0</v>
      </c>
      <c r="AB55" s="970">
        <f t="shared" ca="1" si="150"/>
        <v>-0.59696989910337361</v>
      </c>
      <c r="AC55" s="970">
        <f t="shared" ca="1" si="150"/>
        <v>0</v>
      </c>
      <c r="AD55" s="970">
        <f ca="1">SUM(AD53:AD54)</f>
        <v>0</v>
      </c>
      <c r="AE55" s="970">
        <f ca="1">SUM(AE53:AE54)</f>
        <v>0</v>
      </c>
      <c r="AF55" s="970">
        <f t="shared" ca="1" si="150"/>
        <v>0</v>
      </c>
      <c r="AG55" s="970">
        <f ca="1">SUM(AG53:AG54)</f>
        <v>0</v>
      </c>
      <c r="AH55" s="970">
        <f ca="1">SUM(AH53:AH54)</f>
        <v>0</v>
      </c>
      <c r="AI55" s="970">
        <f ca="1">SUM(AI53:AI54)</f>
        <v>0</v>
      </c>
      <c r="AJ55" s="970">
        <f t="shared" ca="1" si="150"/>
        <v>0</v>
      </c>
      <c r="AK55" s="970">
        <f ca="1">SUM(S55:AJ55)</f>
        <v>357.83052971509881</v>
      </c>
      <c r="AM55" s="976">
        <f t="shared" ref="AM55:BE55" ca="1" si="151">SUM(AM53:AM54)</f>
        <v>-124.39544583847987</v>
      </c>
      <c r="AN55" s="976">
        <f t="shared" ca="1" si="151"/>
        <v>-166.95884163987617</v>
      </c>
      <c r="AO55" s="976">
        <f t="shared" ca="1" si="151"/>
        <v>-127.88066797955751</v>
      </c>
      <c r="AP55" s="976">
        <f t="shared" ca="1" si="151"/>
        <v>0</v>
      </c>
      <c r="AQ55" s="976">
        <f t="shared" ca="1" si="151"/>
        <v>0</v>
      </c>
      <c r="AR55" s="976">
        <f t="shared" ca="1" si="151"/>
        <v>0</v>
      </c>
      <c r="AS55" s="976">
        <f t="shared" ca="1" si="151"/>
        <v>0</v>
      </c>
      <c r="AT55" s="976">
        <f t="shared" ca="1" si="151"/>
        <v>0</v>
      </c>
      <c r="AU55" s="976">
        <f t="shared" ca="1" si="151"/>
        <v>0</v>
      </c>
      <c r="AV55" s="976">
        <f t="shared" ca="1" si="151"/>
        <v>0</v>
      </c>
      <c r="AW55" s="976">
        <f t="shared" ca="1" si="151"/>
        <v>0</v>
      </c>
      <c r="AX55" s="976">
        <f t="shared" ca="1" si="151"/>
        <v>0</v>
      </c>
      <c r="AY55" s="976">
        <f t="shared" ca="1" si="151"/>
        <v>0</v>
      </c>
      <c r="AZ55" s="976">
        <f t="shared" ca="1" si="151"/>
        <v>0</v>
      </c>
      <c r="BA55" s="976">
        <f t="shared" ca="1" si="151"/>
        <v>0</v>
      </c>
      <c r="BB55" s="976">
        <f t="shared" ca="1" si="151"/>
        <v>0</v>
      </c>
      <c r="BC55" s="976">
        <f t="shared" ca="1" si="151"/>
        <v>0</v>
      </c>
      <c r="BD55" s="976">
        <f t="shared" ca="1" si="151"/>
        <v>0</v>
      </c>
      <c r="BE55" s="976">
        <f t="shared" ca="1" si="151"/>
        <v>0</v>
      </c>
      <c r="BF55" s="976">
        <f ca="1">SUM(AM55:BE55)</f>
        <v>-419.23495545791354</v>
      </c>
      <c r="BH55" s="990">
        <f ca="1">SUM(BH53:BH54)</f>
        <v>0</v>
      </c>
      <c r="BI55" s="990">
        <f ca="1">SUM(BI53:BI54)</f>
        <v>49.201177846011724</v>
      </c>
      <c r="BJ55" s="990">
        <f ca="1">SUM(BH55:BI55)</f>
        <v>49.201177846011724</v>
      </c>
      <c r="BL55" s="515">
        <f ca="1">Q55+AK55+BF55+BJ55</f>
        <v>0</v>
      </c>
      <c r="BM55" s="852"/>
      <c r="BN55" s="840"/>
      <c r="BO55" s="1481">
        <f t="shared" ref="BO55:DF55" ca="1" si="152">SUM(BO53:BO54)</f>
        <v>12.779729789756644</v>
      </c>
      <c r="BP55" s="1482">
        <f t="shared" ca="1" si="152"/>
        <v>1.7705371553467901E-2</v>
      </c>
      <c r="BQ55" s="1482">
        <f t="shared" ca="1" si="152"/>
        <v>0.19251308315493265</v>
      </c>
      <c r="BR55" s="1482">
        <f t="shared" ca="1" si="152"/>
        <v>0</v>
      </c>
      <c r="BS55" s="1482">
        <f t="shared" ca="1" si="152"/>
        <v>0.87110255642387768</v>
      </c>
      <c r="BT55" s="1482">
        <f t="shared" ca="1" si="152"/>
        <v>2.6403129612517775</v>
      </c>
      <c r="BU55" s="1482">
        <f t="shared" ca="1" si="152"/>
        <v>0</v>
      </c>
      <c r="BV55" s="1482">
        <f t="shared" ca="1" si="152"/>
        <v>0</v>
      </c>
      <c r="BW55" s="1482">
        <f t="shared" ca="1" si="152"/>
        <v>0</v>
      </c>
      <c r="BX55" s="1482">
        <f t="shared" ca="1" si="152"/>
        <v>0</v>
      </c>
      <c r="BY55" s="1482">
        <f t="shared" ca="1" si="152"/>
        <v>0</v>
      </c>
      <c r="BZ55" s="1482">
        <f t="shared" ca="1" si="152"/>
        <v>0</v>
      </c>
      <c r="CA55" s="1482">
        <f t="shared" ca="1" si="152"/>
        <v>0</v>
      </c>
      <c r="CB55" s="1482">
        <f t="shared" ca="1" si="152"/>
        <v>0</v>
      </c>
      <c r="CC55" s="1482">
        <f t="shared" ca="1" si="152"/>
        <v>0</v>
      </c>
      <c r="CD55" s="1482">
        <f t="shared" ca="1" si="152"/>
        <v>0</v>
      </c>
      <c r="CE55" s="1482">
        <f t="shared" ca="1" si="152"/>
        <v>0</v>
      </c>
      <c r="CF55" s="1482">
        <f t="shared" ca="1" si="152"/>
        <v>0</v>
      </c>
      <c r="CG55" s="1482">
        <f t="shared" ca="1" si="152"/>
        <v>0</v>
      </c>
      <c r="CH55" s="1482">
        <f t="shared" ca="1" si="152"/>
        <v>0</v>
      </c>
      <c r="CI55" s="1482">
        <f t="shared" ca="1" si="152"/>
        <v>0</v>
      </c>
      <c r="CJ55" s="1482">
        <f t="shared" ca="1" si="152"/>
        <v>0</v>
      </c>
      <c r="CK55" s="1482">
        <f t="shared" ca="1" si="152"/>
        <v>0</v>
      </c>
      <c r="CL55" s="1482">
        <f t="shared" ca="1" si="152"/>
        <v>0</v>
      </c>
      <c r="CM55" s="1482">
        <f t="shared" ca="1" si="152"/>
        <v>0</v>
      </c>
      <c r="CN55" s="1482">
        <f t="shared" ca="1" si="152"/>
        <v>0</v>
      </c>
      <c r="CO55" s="1482">
        <f t="shared" ca="1" si="152"/>
        <v>0</v>
      </c>
      <c r="CP55" s="1482">
        <f t="shared" ca="1" si="152"/>
        <v>0</v>
      </c>
      <c r="CQ55" s="1482">
        <f t="shared" ca="1" si="152"/>
        <v>0</v>
      </c>
      <c r="CR55" s="1482">
        <f t="shared" ca="1" si="152"/>
        <v>0</v>
      </c>
      <c r="CS55" s="1482">
        <f t="shared" ca="1" si="152"/>
        <v>0</v>
      </c>
      <c r="CT55" s="1482">
        <f t="shared" ca="1" si="152"/>
        <v>0</v>
      </c>
      <c r="CU55" s="1482">
        <f t="shared" ca="1" si="152"/>
        <v>0</v>
      </c>
      <c r="CV55" s="1482">
        <f t="shared" ca="1" si="152"/>
        <v>0</v>
      </c>
      <c r="CW55" s="1482">
        <f t="shared" ca="1" si="152"/>
        <v>0</v>
      </c>
      <c r="CX55" s="1482">
        <f t="shared" ca="1" si="152"/>
        <v>0</v>
      </c>
      <c r="CY55" s="1482">
        <f t="shared" ca="1" si="152"/>
        <v>0</v>
      </c>
      <c r="CZ55" s="1482">
        <f t="shared" ca="1" si="152"/>
        <v>0</v>
      </c>
      <c r="DA55" s="1482">
        <f t="shared" ca="1" si="152"/>
        <v>0</v>
      </c>
      <c r="DB55" s="1482">
        <f t="shared" ca="1" si="152"/>
        <v>0</v>
      </c>
      <c r="DC55" s="1482">
        <f t="shared" ca="1" si="152"/>
        <v>0</v>
      </c>
      <c r="DD55" s="1482">
        <f t="shared" ca="1" si="152"/>
        <v>0</v>
      </c>
      <c r="DE55" s="1482">
        <f t="shared" ca="1" si="152"/>
        <v>0</v>
      </c>
      <c r="DF55" s="1482">
        <f t="shared" ca="1" si="152"/>
        <v>0</v>
      </c>
      <c r="DH55" s="838">
        <f t="shared" ca="1" si="124"/>
        <v>16.501363762140699</v>
      </c>
    </row>
    <row r="56" spans="1:112" s="743" customFormat="1" hidden="1" outlineLevel="1">
      <c r="C56" s="520"/>
      <c r="D56" s="38"/>
      <c r="E56" s="509"/>
      <c r="G56" s="958"/>
      <c r="H56" s="958"/>
      <c r="I56" s="958"/>
      <c r="J56" s="958"/>
      <c r="K56" s="960"/>
      <c r="L56" s="958"/>
      <c r="M56" s="958"/>
      <c r="N56" s="958"/>
      <c r="O56" s="958"/>
      <c r="P56" s="958"/>
      <c r="Q56" s="958"/>
      <c r="S56" s="970"/>
      <c r="T56" s="970"/>
      <c r="U56" s="970"/>
      <c r="V56" s="970"/>
      <c r="W56" s="970"/>
      <c r="X56" s="970"/>
      <c r="Y56" s="970"/>
      <c r="Z56" s="970"/>
      <c r="AA56" s="970"/>
      <c r="AB56" s="970"/>
      <c r="AC56" s="970"/>
      <c r="AD56" s="970"/>
      <c r="AE56" s="970"/>
      <c r="AF56" s="970"/>
      <c r="AG56" s="970"/>
      <c r="AH56" s="970"/>
      <c r="AI56" s="970"/>
      <c r="AJ56" s="970"/>
      <c r="AK56" s="970"/>
      <c r="AM56" s="976"/>
      <c r="AN56" s="976"/>
      <c r="AO56" s="976"/>
      <c r="AP56" s="976"/>
      <c r="AQ56" s="976"/>
      <c r="AR56" s="976"/>
      <c r="AS56" s="976"/>
      <c r="AT56" s="976"/>
      <c r="AU56" s="976"/>
      <c r="AV56" s="976"/>
      <c r="AW56" s="976"/>
      <c r="AX56" s="976"/>
      <c r="AY56" s="976"/>
      <c r="AZ56" s="976"/>
      <c r="BA56" s="976"/>
      <c r="BB56" s="976"/>
      <c r="BC56" s="976"/>
      <c r="BD56" s="976"/>
      <c r="BE56" s="976"/>
      <c r="BF56" s="976"/>
      <c r="BH56" s="990"/>
      <c r="BI56" s="990"/>
      <c r="BJ56" s="990"/>
      <c r="BL56" s="515">
        <f t="shared" ref="BL56:BL63" si="153">Q56+AK56+BF56+BJ56</f>
        <v>0</v>
      </c>
      <c r="BM56" s="515"/>
      <c r="BO56" s="1482"/>
      <c r="BP56" s="1482"/>
      <c r="BQ56" s="1482"/>
      <c r="BR56" s="1482"/>
      <c r="BS56" s="1482"/>
      <c r="BT56" s="1482"/>
      <c r="BU56" s="1482"/>
      <c r="BV56" s="1482"/>
      <c r="BW56" s="1482"/>
      <c r="BX56" s="1482"/>
      <c r="BY56" s="1482"/>
      <c r="BZ56" s="1482"/>
      <c r="CA56" s="1482"/>
      <c r="CB56" s="1482"/>
      <c r="CC56" s="1482"/>
      <c r="CD56" s="1482"/>
      <c r="CE56" s="1482"/>
      <c r="CF56" s="1482"/>
      <c r="CG56" s="1482"/>
      <c r="CH56" s="1482"/>
      <c r="CI56" s="1482"/>
      <c r="CJ56" s="1482"/>
      <c r="CK56" s="1482"/>
      <c r="CL56" s="1482"/>
      <c r="CM56" s="1482"/>
      <c r="CN56" s="1482"/>
      <c r="CO56" s="1482"/>
      <c r="CP56" s="1482"/>
      <c r="CQ56" s="1482"/>
      <c r="CR56" s="1482"/>
      <c r="CS56" s="1482"/>
      <c r="CT56" s="1482"/>
      <c r="CU56" s="1482"/>
      <c r="CV56" s="1482"/>
      <c r="CW56" s="1482"/>
      <c r="CX56" s="1482"/>
      <c r="CY56" s="1482"/>
      <c r="CZ56" s="1482"/>
      <c r="DA56" s="1482"/>
      <c r="DB56" s="1482"/>
      <c r="DC56" s="1482"/>
      <c r="DD56" s="1482"/>
      <c r="DE56" s="1482"/>
      <c r="DF56" s="1482"/>
      <c r="DH56" s="838">
        <f t="shared" si="124"/>
        <v>0</v>
      </c>
    </row>
    <row r="57" spans="1:112" s="1484" customFormat="1" ht="12.75" hidden="1" customHeight="1" outlineLevel="1">
      <c r="C57" s="746" t="s">
        <v>1730</v>
      </c>
      <c r="D57" s="521" t="str">
        <f>INDEX(Modules[Module], MATCH($C57, Modules[Code], 0))</f>
        <v>Onshore wind</v>
      </c>
      <c r="E57" s="521"/>
      <c r="F57" s="743"/>
      <c r="G57" s="1017">
        <f t="shared" ref="G57:P62" ca="1" si="154">IFERROR(INDEX(INDIRECT($C57&amp;".Outputs["&amp;this.Year&amp;"]"), MATCH(G$5, INDIRECT($C57&amp;".Outputs[Vector]"), 0)), 0)</f>
        <v>0</v>
      </c>
      <c r="H57" s="1017">
        <f t="shared" ca="1" si="154"/>
        <v>0</v>
      </c>
      <c r="I57" s="1017">
        <f t="shared" ca="1" si="154"/>
        <v>0</v>
      </c>
      <c r="J57" s="1017">
        <f t="shared" ca="1" si="154"/>
        <v>0</v>
      </c>
      <c r="K57" s="1017">
        <f t="shared" ca="1" si="154"/>
        <v>0</v>
      </c>
      <c r="L57" s="1017">
        <f t="shared" ca="1" si="154"/>
        <v>0</v>
      </c>
      <c r="M57" s="1017">
        <f t="shared" ca="1" si="154"/>
        <v>0</v>
      </c>
      <c r="N57" s="1017">
        <f t="shared" ca="1" si="154"/>
        <v>0</v>
      </c>
      <c r="O57" s="1017">
        <f t="shared" ca="1" si="154"/>
        <v>0</v>
      </c>
      <c r="P57" s="1017">
        <f t="shared" ca="1" si="154"/>
        <v>0</v>
      </c>
      <c r="Q57" s="1019">
        <f t="shared" ref="Q57:Q63" ca="1" si="155">SUM(G57:P57)</f>
        <v>0</v>
      </c>
      <c r="R57" s="743"/>
      <c r="S57" s="1026">
        <f t="shared" ref="S57:BE62" ca="1" si="156">IFERROR(INDEX(INDIRECT($C57&amp;".Outputs["&amp;this.Year&amp;"]"), MATCH(S$5, INDIRECT($C57&amp;".Outputs[Vector]"), 0)), 0)</f>
        <v>0</v>
      </c>
      <c r="T57" s="1026">
        <f t="shared" ca="1" si="156"/>
        <v>8.7835319999996164E-2</v>
      </c>
      <c r="U57" s="1026">
        <f t="shared" ca="1" si="156"/>
        <v>0</v>
      </c>
      <c r="V57" s="1026">
        <f t="shared" ca="1" si="156"/>
        <v>0</v>
      </c>
      <c r="W57" s="1026">
        <f t="shared" ca="1" si="156"/>
        <v>0</v>
      </c>
      <c r="X57" s="1026">
        <f t="shared" ref="X57:Z62" ca="1" si="157">IFERROR(INDEX(INDIRECT($C57&amp;".Outputs["&amp;this.Year&amp;"]"), MATCH(X$5, INDIRECT($C57&amp;".Outputs[Vector]"), 0)), 0)</f>
        <v>0</v>
      </c>
      <c r="Y57" s="1026">
        <f t="shared" ca="1" si="157"/>
        <v>0</v>
      </c>
      <c r="Z57" s="1026">
        <f t="shared" ca="1" si="157"/>
        <v>0</v>
      </c>
      <c r="AA57" s="1026">
        <f t="shared" ca="1" si="156"/>
        <v>0</v>
      </c>
      <c r="AB57" s="1026">
        <f t="shared" ca="1" si="156"/>
        <v>0</v>
      </c>
      <c r="AC57" s="1026">
        <f t="shared" ca="1" si="156"/>
        <v>0</v>
      </c>
      <c r="AD57" s="1026">
        <f t="shared" ca="1" si="156"/>
        <v>0</v>
      </c>
      <c r="AE57" s="1026">
        <f t="shared" ca="1" si="156"/>
        <v>0</v>
      </c>
      <c r="AF57" s="1026">
        <f t="shared" ca="1" si="156"/>
        <v>0</v>
      </c>
      <c r="AG57" s="1026">
        <f t="shared" ca="1" si="156"/>
        <v>0</v>
      </c>
      <c r="AH57" s="1026">
        <f t="shared" ca="1" si="156"/>
        <v>0</v>
      </c>
      <c r="AI57" s="1026">
        <f t="shared" ca="1" si="156"/>
        <v>0</v>
      </c>
      <c r="AJ57" s="1026">
        <f t="shared" ca="1" si="156"/>
        <v>0</v>
      </c>
      <c r="AK57" s="1027">
        <f t="shared" ref="AK57:AK63" ca="1" si="158">SUM(S57:AJ57)</f>
        <v>8.7835319999996164E-2</v>
      </c>
      <c r="AL57" s="743"/>
      <c r="AM57" s="1038">
        <f t="shared" ref="AM57:AU62" ca="1" si="159">IFERROR(INDEX(INDIRECT($C57&amp;".Outputs["&amp;this.Year&amp;"]"), MATCH(AM$5, INDIRECT($C57&amp;".Outputs[Vector]"), 0)), 0)</f>
        <v>0</v>
      </c>
      <c r="AN57" s="1038">
        <f t="shared" ca="1" si="159"/>
        <v>0</v>
      </c>
      <c r="AO57" s="1038">
        <f t="shared" ca="1" si="159"/>
        <v>0</v>
      </c>
      <c r="AP57" s="1038">
        <f t="shared" ca="1" si="159"/>
        <v>0</v>
      </c>
      <c r="AQ57" s="1038">
        <f t="shared" ca="1" si="159"/>
        <v>0</v>
      </c>
      <c r="AR57" s="1038">
        <f t="shared" ca="1" si="159"/>
        <v>0</v>
      </c>
      <c r="AS57" s="1038">
        <f t="shared" ca="1" si="159"/>
        <v>0</v>
      </c>
      <c r="AT57" s="1038">
        <f t="shared" ca="1" si="159"/>
        <v>0</v>
      </c>
      <c r="AU57" s="1038">
        <f t="shared" ca="1" si="159"/>
        <v>0</v>
      </c>
      <c r="AV57" s="1038">
        <f t="shared" ca="1" si="156"/>
        <v>0</v>
      </c>
      <c r="AW57" s="1038">
        <f t="shared" ca="1" si="156"/>
        <v>0</v>
      </c>
      <c r="AX57" s="1038">
        <f t="shared" ca="1" si="156"/>
        <v>-8.7835319999996164E-2</v>
      </c>
      <c r="AY57" s="1038">
        <f t="shared" ca="1" si="156"/>
        <v>0</v>
      </c>
      <c r="AZ57" s="1038">
        <f t="shared" ca="1" si="156"/>
        <v>0</v>
      </c>
      <c r="BA57" s="1038">
        <f t="shared" ca="1" si="156"/>
        <v>0</v>
      </c>
      <c r="BB57" s="1038">
        <f t="shared" ca="1" si="156"/>
        <v>0</v>
      </c>
      <c r="BC57" s="1038">
        <f t="shared" ca="1" si="156"/>
        <v>0</v>
      </c>
      <c r="BD57" s="1038">
        <f t="shared" ca="1" si="156"/>
        <v>0</v>
      </c>
      <c r="BE57" s="1038">
        <f t="shared" ca="1" si="156"/>
        <v>0</v>
      </c>
      <c r="BF57" s="979">
        <f t="shared" ref="BF57:BF63" ca="1" si="160">SUM(AM57:BE57)</f>
        <v>-8.7835319999996164E-2</v>
      </c>
      <c r="BG57" s="743"/>
      <c r="BH57" s="1032">
        <f t="shared" ref="BH57:BI62" ca="1" si="161">IFERROR(INDEX(INDIRECT($C57&amp;".Outputs["&amp;this.Year&amp;"]"), MATCH(BH$5, INDIRECT($C57&amp;".Outputs[Vector]"), 0)), 0)</f>
        <v>0</v>
      </c>
      <c r="BI57" s="1032">
        <f t="shared" ca="1" si="161"/>
        <v>0</v>
      </c>
      <c r="BJ57" s="1034">
        <f t="shared" ref="BJ57:BJ63" ca="1" si="162">SUM(BH57:BI57)</f>
        <v>0</v>
      </c>
      <c r="BK57" s="743"/>
      <c r="BL57" s="814">
        <f t="shared" ca="1" si="153"/>
        <v>0</v>
      </c>
      <c r="BM57" s="814"/>
      <c r="BN57" s="840"/>
      <c r="BO57" s="1481">
        <f t="shared" ref="BO57:BX62" ca="1" si="163">IFERROR(SUMIFS(INDIRECT($C57&amp;".Emissions["&amp;this.Year&amp;"]"), INDIRECT($C57&amp;".Emissions[GHG]"), BO$6, INDIRECT($C57&amp;".Emissions[IPCC Sector]"), BO$5),0)</f>
        <v>0</v>
      </c>
      <c r="BP57" s="1482">
        <f t="shared" ca="1" si="163"/>
        <v>0</v>
      </c>
      <c r="BQ57" s="1482">
        <f t="shared" ca="1" si="163"/>
        <v>0</v>
      </c>
      <c r="BR57" s="1482">
        <f t="shared" ca="1" si="163"/>
        <v>0</v>
      </c>
      <c r="BS57" s="1482">
        <f t="shared" ca="1" si="163"/>
        <v>0</v>
      </c>
      <c r="BT57" s="1482">
        <f t="shared" ca="1" si="163"/>
        <v>0</v>
      </c>
      <c r="BU57" s="1482">
        <f t="shared" ca="1" si="163"/>
        <v>0</v>
      </c>
      <c r="BV57" s="1482">
        <f t="shared" ca="1" si="163"/>
        <v>0</v>
      </c>
      <c r="BW57" s="1482">
        <f t="shared" ca="1" si="163"/>
        <v>0</v>
      </c>
      <c r="BX57" s="1482">
        <f t="shared" ca="1" si="163"/>
        <v>0</v>
      </c>
      <c r="BY57" s="1482">
        <f t="shared" ref="BY57:CH62" ca="1" si="164">IFERROR(SUMIFS(INDIRECT($C57&amp;".Emissions["&amp;this.Year&amp;"]"), INDIRECT($C57&amp;".Emissions[GHG]"), BY$6, INDIRECT($C57&amp;".Emissions[IPCC Sector]"), BY$5),0)</f>
        <v>0</v>
      </c>
      <c r="BZ57" s="1482">
        <f t="shared" ca="1" si="164"/>
        <v>0</v>
      </c>
      <c r="CA57" s="1482">
        <f t="shared" ca="1" si="164"/>
        <v>0</v>
      </c>
      <c r="CB57" s="1482">
        <f t="shared" ca="1" si="164"/>
        <v>0</v>
      </c>
      <c r="CC57" s="1482">
        <f t="shared" ca="1" si="164"/>
        <v>0</v>
      </c>
      <c r="CD57" s="1482">
        <f t="shared" ca="1" si="164"/>
        <v>0</v>
      </c>
      <c r="CE57" s="1482">
        <f t="shared" ca="1" si="164"/>
        <v>0</v>
      </c>
      <c r="CF57" s="1482">
        <f t="shared" ca="1" si="164"/>
        <v>0</v>
      </c>
      <c r="CG57" s="1482">
        <f t="shared" ca="1" si="164"/>
        <v>0</v>
      </c>
      <c r="CH57" s="1482">
        <f t="shared" ca="1" si="164"/>
        <v>0</v>
      </c>
      <c r="CI57" s="1482">
        <f t="shared" ref="CI57:CR62" ca="1" si="165">IFERROR(SUMIFS(INDIRECT($C57&amp;".Emissions["&amp;this.Year&amp;"]"), INDIRECT($C57&amp;".Emissions[GHG]"), CI$6, INDIRECT($C57&amp;".Emissions[IPCC Sector]"), CI$5),0)</f>
        <v>0</v>
      </c>
      <c r="CJ57" s="1482">
        <f t="shared" ca="1" si="165"/>
        <v>0</v>
      </c>
      <c r="CK57" s="1482">
        <f t="shared" ca="1" si="165"/>
        <v>0</v>
      </c>
      <c r="CL57" s="1482">
        <f t="shared" ca="1" si="165"/>
        <v>0</v>
      </c>
      <c r="CM57" s="1482">
        <f t="shared" ca="1" si="165"/>
        <v>0</v>
      </c>
      <c r="CN57" s="1482">
        <f t="shared" ca="1" si="165"/>
        <v>0</v>
      </c>
      <c r="CO57" s="1482">
        <f t="shared" ca="1" si="165"/>
        <v>0</v>
      </c>
      <c r="CP57" s="1482">
        <f t="shared" ca="1" si="165"/>
        <v>0</v>
      </c>
      <c r="CQ57" s="1482">
        <f t="shared" ca="1" si="165"/>
        <v>0</v>
      </c>
      <c r="CR57" s="1482">
        <f t="shared" ca="1" si="165"/>
        <v>0</v>
      </c>
      <c r="CS57" s="1482">
        <f t="shared" ref="CS57:DF62" ca="1" si="166">IFERROR(SUMIFS(INDIRECT($C57&amp;".Emissions["&amp;this.Year&amp;"]"), INDIRECT($C57&amp;".Emissions[GHG]"), CS$6, INDIRECT($C57&amp;".Emissions[IPCC Sector]"), CS$5),0)</f>
        <v>0</v>
      </c>
      <c r="CT57" s="1482">
        <f t="shared" ca="1" si="166"/>
        <v>0</v>
      </c>
      <c r="CU57" s="1482">
        <f t="shared" ca="1" si="166"/>
        <v>0</v>
      </c>
      <c r="CV57" s="1482">
        <f t="shared" ca="1" si="166"/>
        <v>0</v>
      </c>
      <c r="CW57" s="1482">
        <f t="shared" ca="1" si="166"/>
        <v>0</v>
      </c>
      <c r="CX57" s="1482">
        <f t="shared" ca="1" si="166"/>
        <v>0</v>
      </c>
      <c r="CY57" s="1482">
        <f t="shared" ca="1" si="166"/>
        <v>0</v>
      </c>
      <c r="CZ57" s="1482">
        <f t="shared" ca="1" si="166"/>
        <v>0</v>
      </c>
      <c r="DA57" s="1482">
        <f t="shared" ca="1" si="166"/>
        <v>0</v>
      </c>
      <c r="DB57" s="1482">
        <f t="shared" ca="1" si="166"/>
        <v>0</v>
      </c>
      <c r="DC57" s="1482">
        <f t="shared" ca="1" si="166"/>
        <v>0</v>
      </c>
      <c r="DD57" s="1482">
        <f t="shared" ca="1" si="166"/>
        <v>0</v>
      </c>
      <c r="DE57" s="1482">
        <f t="shared" ca="1" si="166"/>
        <v>0</v>
      </c>
      <c r="DF57" s="1482">
        <f t="shared" ca="1" si="166"/>
        <v>0</v>
      </c>
      <c r="DH57" s="838">
        <f t="shared" ca="1" si="124"/>
        <v>0</v>
      </c>
    </row>
    <row r="58" spans="1:112" s="1484" customFormat="1" ht="12.75" hidden="1" customHeight="1" outlineLevel="1">
      <c r="C58" s="746" t="s">
        <v>1731</v>
      </c>
      <c r="D58" s="521" t="str">
        <f>INDEX(Modules[Module], MATCH($C58, Modules[Code], 0))</f>
        <v>Offshore wind</v>
      </c>
      <c r="E58" s="521"/>
      <c r="F58" s="743"/>
      <c r="G58" s="1017">
        <f t="shared" ca="1" si="154"/>
        <v>0</v>
      </c>
      <c r="H58" s="1017">
        <f t="shared" ca="1" si="154"/>
        <v>0</v>
      </c>
      <c r="I58" s="1017">
        <f t="shared" ca="1" si="154"/>
        <v>0</v>
      </c>
      <c r="J58" s="1017">
        <f t="shared" ca="1" si="154"/>
        <v>0</v>
      </c>
      <c r="K58" s="1017">
        <f t="shared" ca="1" si="154"/>
        <v>0</v>
      </c>
      <c r="L58" s="1017">
        <f t="shared" ca="1" si="154"/>
        <v>0</v>
      </c>
      <c r="M58" s="1017">
        <f t="shared" ca="1" si="154"/>
        <v>0</v>
      </c>
      <c r="N58" s="1017">
        <f t="shared" ca="1" si="154"/>
        <v>0</v>
      </c>
      <c r="O58" s="1017">
        <f t="shared" ca="1" si="154"/>
        <v>0</v>
      </c>
      <c r="P58" s="1017">
        <f t="shared" ca="1" si="154"/>
        <v>0</v>
      </c>
      <c r="Q58" s="1019">
        <f ca="1">SUM(G58:P58)</f>
        <v>0</v>
      </c>
      <c r="R58" s="743"/>
      <c r="S58" s="1026">
        <f t="shared" ca="1" si="156"/>
        <v>0</v>
      </c>
      <c r="T58" s="1026">
        <f t="shared" ca="1" si="156"/>
        <v>0.19574478000000431</v>
      </c>
      <c r="U58" s="1026">
        <f t="shared" ca="1" si="156"/>
        <v>0</v>
      </c>
      <c r="V58" s="1026">
        <f t="shared" ca="1" si="156"/>
        <v>0</v>
      </c>
      <c r="W58" s="1026">
        <f t="shared" ca="1" si="156"/>
        <v>0</v>
      </c>
      <c r="X58" s="1026">
        <f t="shared" ca="1" si="157"/>
        <v>0</v>
      </c>
      <c r="Y58" s="1026">
        <f t="shared" ca="1" si="157"/>
        <v>0</v>
      </c>
      <c r="Z58" s="1026">
        <f t="shared" ca="1" si="157"/>
        <v>0</v>
      </c>
      <c r="AA58" s="1026">
        <f t="shared" ca="1" si="156"/>
        <v>0</v>
      </c>
      <c r="AB58" s="1026">
        <f t="shared" ca="1" si="156"/>
        <v>0</v>
      </c>
      <c r="AC58" s="1026">
        <f t="shared" ca="1" si="156"/>
        <v>0</v>
      </c>
      <c r="AD58" s="1026">
        <f t="shared" ca="1" si="156"/>
        <v>0</v>
      </c>
      <c r="AE58" s="1026">
        <f t="shared" ca="1" si="156"/>
        <v>0</v>
      </c>
      <c r="AF58" s="1026">
        <f t="shared" ca="1" si="156"/>
        <v>0</v>
      </c>
      <c r="AG58" s="1026">
        <f t="shared" ca="1" si="156"/>
        <v>0</v>
      </c>
      <c r="AH58" s="1026">
        <f t="shared" ca="1" si="156"/>
        <v>0</v>
      </c>
      <c r="AI58" s="1026">
        <f t="shared" ca="1" si="156"/>
        <v>0</v>
      </c>
      <c r="AJ58" s="1026">
        <f t="shared" ca="1" si="156"/>
        <v>0</v>
      </c>
      <c r="AK58" s="1027">
        <f ca="1">SUM(S58:AJ58)</f>
        <v>0.19574478000000431</v>
      </c>
      <c r="AL58" s="743"/>
      <c r="AM58" s="1038">
        <f t="shared" ca="1" si="159"/>
        <v>0</v>
      </c>
      <c r="AN58" s="1038">
        <f t="shared" ca="1" si="159"/>
        <v>0</v>
      </c>
      <c r="AO58" s="1038">
        <f t="shared" ca="1" si="159"/>
        <v>0</v>
      </c>
      <c r="AP58" s="1038">
        <f t="shared" ca="1" si="159"/>
        <v>0</v>
      </c>
      <c r="AQ58" s="1038">
        <f t="shared" ca="1" si="159"/>
        <v>0</v>
      </c>
      <c r="AR58" s="1038">
        <f t="shared" ca="1" si="159"/>
        <v>0</v>
      </c>
      <c r="AS58" s="1038">
        <f t="shared" ca="1" si="159"/>
        <v>0</v>
      </c>
      <c r="AT58" s="1038">
        <f t="shared" ca="1" si="159"/>
        <v>0</v>
      </c>
      <c r="AU58" s="1038">
        <f t="shared" ca="1" si="159"/>
        <v>0</v>
      </c>
      <c r="AV58" s="1038">
        <f t="shared" ca="1" si="156"/>
        <v>0</v>
      </c>
      <c r="AW58" s="1038">
        <f t="shared" ca="1" si="156"/>
        <v>0</v>
      </c>
      <c r="AX58" s="1038">
        <f t="shared" ca="1" si="156"/>
        <v>-0.19574478000000431</v>
      </c>
      <c r="AY58" s="1038">
        <f t="shared" ca="1" si="156"/>
        <v>0</v>
      </c>
      <c r="AZ58" s="1038">
        <f t="shared" ca="1" si="156"/>
        <v>0</v>
      </c>
      <c r="BA58" s="1038">
        <f t="shared" ca="1" si="156"/>
        <v>0</v>
      </c>
      <c r="BB58" s="1038">
        <f t="shared" ca="1" si="156"/>
        <v>0</v>
      </c>
      <c r="BC58" s="1038">
        <f t="shared" ca="1" si="156"/>
        <v>0</v>
      </c>
      <c r="BD58" s="1038">
        <f t="shared" ca="1" si="156"/>
        <v>0</v>
      </c>
      <c r="BE58" s="1038">
        <f t="shared" ca="1" si="156"/>
        <v>0</v>
      </c>
      <c r="BF58" s="979">
        <f ca="1">SUM(AM58:BE58)</f>
        <v>-0.19574478000000431</v>
      </c>
      <c r="BG58" s="743"/>
      <c r="BH58" s="1032">
        <f t="shared" ca="1" si="161"/>
        <v>0</v>
      </c>
      <c r="BI58" s="1032">
        <f t="shared" ca="1" si="161"/>
        <v>0</v>
      </c>
      <c r="BJ58" s="1034">
        <f ca="1">SUM(BH58:BI58)</f>
        <v>0</v>
      </c>
      <c r="BK58" s="743"/>
      <c r="BL58" s="814">
        <f ca="1">Q58+AK58+BF58+BJ58</f>
        <v>0</v>
      </c>
      <c r="BM58" s="814"/>
      <c r="BN58" s="840"/>
      <c r="BO58" s="1481">
        <f t="shared" ca="1" si="163"/>
        <v>0</v>
      </c>
      <c r="BP58" s="1482">
        <f t="shared" ca="1" si="163"/>
        <v>0</v>
      </c>
      <c r="BQ58" s="1482">
        <f t="shared" ca="1" si="163"/>
        <v>0</v>
      </c>
      <c r="BR58" s="1482">
        <f t="shared" ca="1" si="163"/>
        <v>0</v>
      </c>
      <c r="BS58" s="1482">
        <f t="shared" ca="1" si="163"/>
        <v>0</v>
      </c>
      <c r="BT58" s="1482">
        <f t="shared" ca="1" si="163"/>
        <v>0</v>
      </c>
      <c r="BU58" s="1482">
        <f t="shared" ca="1" si="163"/>
        <v>0</v>
      </c>
      <c r="BV58" s="1482">
        <f t="shared" ca="1" si="163"/>
        <v>0</v>
      </c>
      <c r="BW58" s="1482">
        <f t="shared" ca="1" si="163"/>
        <v>0</v>
      </c>
      <c r="BX58" s="1482">
        <f t="shared" ca="1" si="163"/>
        <v>0</v>
      </c>
      <c r="BY58" s="1482">
        <f t="shared" ca="1" si="164"/>
        <v>0</v>
      </c>
      <c r="BZ58" s="1482">
        <f t="shared" ca="1" si="164"/>
        <v>0</v>
      </c>
      <c r="CA58" s="1482">
        <f t="shared" ca="1" si="164"/>
        <v>0</v>
      </c>
      <c r="CB58" s="1482">
        <f t="shared" ca="1" si="164"/>
        <v>0</v>
      </c>
      <c r="CC58" s="1482">
        <f t="shared" ca="1" si="164"/>
        <v>0</v>
      </c>
      <c r="CD58" s="1482">
        <f t="shared" ca="1" si="164"/>
        <v>0</v>
      </c>
      <c r="CE58" s="1482">
        <f t="shared" ca="1" si="164"/>
        <v>0</v>
      </c>
      <c r="CF58" s="1482">
        <f t="shared" ca="1" si="164"/>
        <v>0</v>
      </c>
      <c r="CG58" s="1482">
        <f t="shared" ca="1" si="164"/>
        <v>0</v>
      </c>
      <c r="CH58" s="1482">
        <f t="shared" ca="1" si="164"/>
        <v>0</v>
      </c>
      <c r="CI58" s="1482">
        <f t="shared" ca="1" si="165"/>
        <v>0</v>
      </c>
      <c r="CJ58" s="1482">
        <f t="shared" ca="1" si="165"/>
        <v>0</v>
      </c>
      <c r="CK58" s="1482">
        <f t="shared" ca="1" si="165"/>
        <v>0</v>
      </c>
      <c r="CL58" s="1482">
        <f t="shared" ca="1" si="165"/>
        <v>0</v>
      </c>
      <c r="CM58" s="1482">
        <f t="shared" ca="1" si="165"/>
        <v>0</v>
      </c>
      <c r="CN58" s="1482">
        <f t="shared" ca="1" si="165"/>
        <v>0</v>
      </c>
      <c r="CO58" s="1482">
        <f t="shared" ca="1" si="165"/>
        <v>0</v>
      </c>
      <c r="CP58" s="1482">
        <f t="shared" ca="1" si="165"/>
        <v>0</v>
      </c>
      <c r="CQ58" s="1482">
        <f t="shared" ca="1" si="165"/>
        <v>0</v>
      </c>
      <c r="CR58" s="1482">
        <f t="shared" ca="1" si="165"/>
        <v>0</v>
      </c>
      <c r="CS58" s="1482">
        <f t="shared" ca="1" si="166"/>
        <v>0</v>
      </c>
      <c r="CT58" s="1482">
        <f t="shared" ca="1" si="166"/>
        <v>0</v>
      </c>
      <c r="CU58" s="1482">
        <f t="shared" ca="1" si="166"/>
        <v>0</v>
      </c>
      <c r="CV58" s="1482">
        <f t="shared" ca="1" si="166"/>
        <v>0</v>
      </c>
      <c r="CW58" s="1482">
        <f t="shared" ca="1" si="166"/>
        <v>0</v>
      </c>
      <c r="CX58" s="1482">
        <f t="shared" ca="1" si="166"/>
        <v>0</v>
      </c>
      <c r="CY58" s="1482">
        <f t="shared" ca="1" si="166"/>
        <v>0</v>
      </c>
      <c r="CZ58" s="1482">
        <f t="shared" ca="1" si="166"/>
        <v>0</v>
      </c>
      <c r="DA58" s="1482">
        <f t="shared" ca="1" si="166"/>
        <v>0</v>
      </c>
      <c r="DB58" s="1482">
        <f t="shared" ca="1" si="166"/>
        <v>0</v>
      </c>
      <c r="DC58" s="1482">
        <f t="shared" ca="1" si="166"/>
        <v>0</v>
      </c>
      <c r="DD58" s="1482">
        <f t="shared" ca="1" si="166"/>
        <v>0</v>
      </c>
      <c r="DE58" s="1482">
        <f t="shared" ca="1" si="166"/>
        <v>0</v>
      </c>
      <c r="DF58" s="1482">
        <f t="shared" ca="1" si="166"/>
        <v>0</v>
      </c>
      <c r="DH58" s="838">
        <f ca="1">SUM(BO58:DF58)</f>
        <v>0</v>
      </c>
    </row>
    <row r="59" spans="1:112" s="1484" customFormat="1" ht="12.75" hidden="1" customHeight="1" outlineLevel="1">
      <c r="C59" s="746" t="s">
        <v>803</v>
      </c>
      <c r="D59" s="521" t="str">
        <f>INDEX(Modules[Module], MATCH($C59, Modules[Code], 0))</f>
        <v>Hydroelectric</v>
      </c>
      <c r="E59" s="521"/>
      <c r="F59" s="743"/>
      <c r="G59" s="1017">
        <f t="shared" ca="1" si="154"/>
        <v>0</v>
      </c>
      <c r="H59" s="1017">
        <f t="shared" ca="1" si="154"/>
        <v>0</v>
      </c>
      <c r="I59" s="1017">
        <f t="shared" ca="1" si="154"/>
        <v>0</v>
      </c>
      <c r="J59" s="1017">
        <f t="shared" ca="1" si="154"/>
        <v>0</v>
      </c>
      <c r="K59" s="1017">
        <f t="shared" ca="1" si="154"/>
        <v>0</v>
      </c>
      <c r="L59" s="1017">
        <f t="shared" ca="1" si="154"/>
        <v>0</v>
      </c>
      <c r="M59" s="1017">
        <f t="shared" ca="1" si="154"/>
        <v>0</v>
      </c>
      <c r="N59" s="1017">
        <f t="shared" ca="1" si="154"/>
        <v>0</v>
      </c>
      <c r="O59" s="1017">
        <f t="shared" ca="1" si="154"/>
        <v>0</v>
      </c>
      <c r="P59" s="1017">
        <f t="shared" ca="1" si="154"/>
        <v>0</v>
      </c>
      <c r="Q59" s="1019">
        <f t="shared" ca="1" si="155"/>
        <v>0</v>
      </c>
      <c r="R59" s="743"/>
      <c r="S59" s="1026">
        <f t="shared" ca="1" si="156"/>
        <v>0</v>
      </c>
      <c r="T59" s="1026">
        <f t="shared" ca="1" si="156"/>
        <v>5.3297280000000011</v>
      </c>
      <c r="U59" s="1026">
        <f t="shared" ca="1" si="156"/>
        <v>0</v>
      </c>
      <c r="V59" s="1026">
        <f t="shared" ca="1" si="156"/>
        <v>0</v>
      </c>
      <c r="W59" s="1026">
        <f t="shared" ca="1" si="156"/>
        <v>0</v>
      </c>
      <c r="X59" s="1026">
        <f t="shared" ca="1" si="157"/>
        <v>0</v>
      </c>
      <c r="Y59" s="1026">
        <f t="shared" ca="1" si="157"/>
        <v>0</v>
      </c>
      <c r="Z59" s="1026">
        <f t="shared" ca="1" si="157"/>
        <v>0</v>
      </c>
      <c r="AA59" s="1026">
        <f t="shared" ca="1" si="156"/>
        <v>0</v>
      </c>
      <c r="AB59" s="1026">
        <f t="shared" ca="1" si="156"/>
        <v>0</v>
      </c>
      <c r="AC59" s="1026">
        <f t="shared" ca="1" si="156"/>
        <v>0</v>
      </c>
      <c r="AD59" s="1026">
        <f t="shared" ca="1" si="156"/>
        <v>0</v>
      </c>
      <c r="AE59" s="1026">
        <f t="shared" ca="1" si="156"/>
        <v>0</v>
      </c>
      <c r="AF59" s="1026">
        <f t="shared" ca="1" si="156"/>
        <v>0</v>
      </c>
      <c r="AG59" s="1026">
        <f t="shared" ca="1" si="156"/>
        <v>0</v>
      </c>
      <c r="AH59" s="1026">
        <f t="shared" ca="1" si="156"/>
        <v>0</v>
      </c>
      <c r="AI59" s="1026">
        <f t="shared" ca="1" si="156"/>
        <v>0</v>
      </c>
      <c r="AJ59" s="1026">
        <f t="shared" ca="1" si="156"/>
        <v>0</v>
      </c>
      <c r="AK59" s="1027">
        <f t="shared" ca="1" si="158"/>
        <v>5.3297280000000011</v>
      </c>
      <c r="AL59" s="743"/>
      <c r="AM59" s="1038">
        <f t="shared" ca="1" si="159"/>
        <v>0</v>
      </c>
      <c r="AN59" s="1038">
        <f t="shared" ca="1" si="159"/>
        <v>0</v>
      </c>
      <c r="AO59" s="1038">
        <f t="shared" ca="1" si="159"/>
        <v>0</v>
      </c>
      <c r="AP59" s="1038">
        <f t="shared" ca="1" si="159"/>
        <v>0</v>
      </c>
      <c r="AQ59" s="1038">
        <f t="shared" ca="1" si="159"/>
        <v>0</v>
      </c>
      <c r="AR59" s="1038">
        <f t="shared" ca="1" si="159"/>
        <v>0</v>
      </c>
      <c r="AS59" s="1038">
        <f t="shared" ca="1" si="159"/>
        <v>0</v>
      </c>
      <c r="AT59" s="1038">
        <f t="shared" ca="1" si="159"/>
        <v>0</v>
      </c>
      <c r="AU59" s="1038">
        <f t="shared" ca="1" si="159"/>
        <v>0</v>
      </c>
      <c r="AV59" s="1038">
        <f t="shared" ca="1" si="156"/>
        <v>0</v>
      </c>
      <c r="AW59" s="1038">
        <f t="shared" ca="1" si="156"/>
        <v>0</v>
      </c>
      <c r="AX59" s="1038">
        <f t="shared" ca="1" si="156"/>
        <v>0</v>
      </c>
      <c r="AY59" s="1038">
        <f t="shared" ca="1" si="156"/>
        <v>0</v>
      </c>
      <c r="AZ59" s="1038">
        <f t="shared" ca="1" si="156"/>
        <v>0</v>
      </c>
      <c r="BA59" s="1038">
        <f t="shared" ca="1" si="156"/>
        <v>0</v>
      </c>
      <c r="BB59" s="1038">
        <f t="shared" ca="1" si="156"/>
        <v>-5.3297280000000011</v>
      </c>
      <c r="BC59" s="1038">
        <f t="shared" ca="1" si="156"/>
        <v>0</v>
      </c>
      <c r="BD59" s="1038">
        <f t="shared" ca="1" si="156"/>
        <v>0</v>
      </c>
      <c r="BE59" s="1038">
        <f t="shared" ca="1" si="156"/>
        <v>0</v>
      </c>
      <c r="BF59" s="979">
        <f t="shared" ca="1" si="160"/>
        <v>-5.3297280000000011</v>
      </c>
      <c r="BG59" s="743"/>
      <c r="BH59" s="1032">
        <f t="shared" ca="1" si="161"/>
        <v>0</v>
      </c>
      <c r="BI59" s="1032">
        <f t="shared" ca="1" si="161"/>
        <v>0</v>
      </c>
      <c r="BJ59" s="1034">
        <f t="shared" ca="1" si="162"/>
        <v>0</v>
      </c>
      <c r="BK59" s="743"/>
      <c r="BL59" s="814">
        <f t="shared" ca="1" si="153"/>
        <v>0</v>
      </c>
      <c r="BM59" s="814"/>
      <c r="BN59" s="840"/>
      <c r="BO59" s="1481">
        <f t="shared" ca="1" si="163"/>
        <v>0</v>
      </c>
      <c r="BP59" s="1482">
        <f t="shared" ca="1" si="163"/>
        <v>0</v>
      </c>
      <c r="BQ59" s="1482">
        <f t="shared" ca="1" si="163"/>
        <v>0</v>
      </c>
      <c r="BR59" s="1482">
        <f t="shared" ca="1" si="163"/>
        <v>0</v>
      </c>
      <c r="BS59" s="1482">
        <f t="shared" ca="1" si="163"/>
        <v>0</v>
      </c>
      <c r="BT59" s="1482">
        <f t="shared" ca="1" si="163"/>
        <v>0</v>
      </c>
      <c r="BU59" s="1482">
        <f t="shared" ca="1" si="163"/>
        <v>0</v>
      </c>
      <c r="BV59" s="1482">
        <f t="shared" ca="1" si="163"/>
        <v>0</v>
      </c>
      <c r="BW59" s="1482">
        <f t="shared" ca="1" si="163"/>
        <v>0</v>
      </c>
      <c r="BX59" s="1482">
        <f t="shared" ca="1" si="163"/>
        <v>0</v>
      </c>
      <c r="BY59" s="1482">
        <f t="shared" ca="1" si="164"/>
        <v>0</v>
      </c>
      <c r="BZ59" s="1482">
        <f t="shared" ca="1" si="164"/>
        <v>0</v>
      </c>
      <c r="CA59" s="1482">
        <f t="shared" ca="1" si="164"/>
        <v>0</v>
      </c>
      <c r="CB59" s="1482">
        <f t="shared" ca="1" si="164"/>
        <v>0</v>
      </c>
      <c r="CC59" s="1482">
        <f t="shared" ca="1" si="164"/>
        <v>0</v>
      </c>
      <c r="CD59" s="1482">
        <f t="shared" ca="1" si="164"/>
        <v>0</v>
      </c>
      <c r="CE59" s="1482">
        <f t="shared" ca="1" si="164"/>
        <v>0</v>
      </c>
      <c r="CF59" s="1482">
        <f t="shared" ca="1" si="164"/>
        <v>0</v>
      </c>
      <c r="CG59" s="1482">
        <f t="shared" ca="1" si="164"/>
        <v>0</v>
      </c>
      <c r="CH59" s="1482">
        <f t="shared" ca="1" si="164"/>
        <v>0</v>
      </c>
      <c r="CI59" s="1482">
        <f t="shared" ca="1" si="165"/>
        <v>0</v>
      </c>
      <c r="CJ59" s="1482">
        <f t="shared" ca="1" si="165"/>
        <v>0</v>
      </c>
      <c r="CK59" s="1482">
        <f t="shared" ca="1" si="165"/>
        <v>0</v>
      </c>
      <c r="CL59" s="1482">
        <f t="shared" ca="1" si="165"/>
        <v>0</v>
      </c>
      <c r="CM59" s="1482">
        <f t="shared" ca="1" si="165"/>
        <v>0</v>
      </c>
      <c r="CN59" s="1482">
        <f t="shared" ca="1" si="165"/>
        <v>0</v>
      </c>
      <c r="CO59" s="1482">
        <f t="shared" ca="1" si="165"/>
        <v>0</v>
      </c>
      <c r="CP59" s="1482">
        <f t="shared" ca="1" si="165"/>
        <v>0</v>
      </c>
      <c r="CQ59" s="1482">
        <f t="shared" ca="1" si="165"/>
        <v>0</v>
      </c>
      <c r="CR59" s="1482">
        <f t="shared" ca="1" si="165"/>
        <v>0</v>
      </c>
      <c r="CS59" s="1482">
        <f t="shared" ca="1" si="166"/>
        <v>0</v>
      </c>
      <c r="CT59" s="1482">
        <f t="shared" ca="1" si="166"/>
        <v>0</v>
      </c>
      <c r="CU59" s="1482">
        <f t="shared" ca="1" si="166"/>
        <v>0</v>
      </c>
      <c r="CV59" s="1482">
        <f t="shared" ca="1" si="166"/>
        <v>0</v>
      </c>
      <c r="CW59" s="1482">
        <f t="shared" ca="1" si="166"/>
        <v>0</v>
      </c>
      <c r="CX59" s="1482">
        <f t="shared" ca="1" si="166"/>
        <v>0</v>
      </c>
      <c r="CY59" s="1482">
        <f t="shared" ca="1" si="166"/>
        <v>0</v>
      </c>
      <c r="CZ59" s="1482">
        <f t="shared" ca="1" si="166"/>
        <v>0</v>
      </c>
      <c r="DA59" s="1482">
        <f t="shared" ca="1" si="166"/>
        <v>0</v>
      </c>
      <c r="DB59" s="1482">
        <f t="shared" ca="1" si="166"/>
        <v>0</v>
      </c>
      <c r="DC59" s="1482">
        <f t="shared" ca="1" si="166"/>
        <v>0</v>
      </c>
      <c r="DD59" s="1482">
        <f t="shared" ca="1" si="166"/>
        <v>0</v>
      </c>
      <c r="DE59" s="1482">
        <f t="shared" ca="1" si="166"/>
        <v>0</v>
      </c>
      <c r="DF59" s="1482">
        <f t="shared" ca="1" si="166"/>
        <v>0</v>
      </c>
      <c r="DH59" s="838">
        <f t="shared" ca="1" si="124"/>
        <v>0</v>
      </c>
    </row>
    <row r="60" spans="1:112" s="1484" customFormat="1" ht="12.75" hidden="1" customHeight="1" outlineLevel="1">
      <c r="C60" s="746" t="s">
        <v>808</v>
      </c>
      <c r="D60" s="521" t="str">
        <f>INDEX(Modules[Module], MATCH($C60, Modules[Code], 0))</f>
        <v>Wave and Tidal</v>
      </c>
      <c r="E60" s="521"/>
      <c r="F60" s="743"/>
      <c r="G60" s="1017">
        <f t="shared" ca="1" si="154"/>
        <v>0</v>
      </c>
      <c r="H60" s="1017">
        <f t="shared" ca="1" si="154"/>
        <v>0</v>
      </c>
      <c r="I60" s="1017">
        <f t="shared" ca="1" si="154"/>
        <v>0</v>
      </c>
      <c r="J60" s="1017">
        <f t="shared" ca="1" si="154"/>
        <v>0</v>
      </c>
      <c r="K60" s="1017">
        <f t="shared" ca="1" si="154"/>
        <v>0</v>
      </c>
      <c r="L60" s="1017">
        <f t="shared" ca="1" si="154"/>
        <v>0</v>
      </c>
      <c r="M60" s="1017">
        <f t="shared" ca="1" si="154"/>
        <v>0</v>
      </c>
      <c r="N60" s="1017">
        <f t="shared" ca="1" si="154"/>
        <v>0</v>
      </c>
      <c r="O60" s="1017">
        <f t="shared" ca="1" si="154"/>
        <v>0</v>
      </c>
      <c r="P60" s="1017">
        <f t="shared" ca="1" si="154"/>
        <v>0</v>
      </c>
      <c r="Q60" s="1019">
        <f t="shared" ca="1" si="155"/>
        <v>0</v>
      </c>
      <c r="R60" s="743"/>
      <c r="S60" s="1026">
        <f t="shared" ca="1" si="156"/>
        <v>0</v>
      </c>
      <c r="T60" s="1026">
        <f t="shared" ca="1" si="156"/>
        <v>0</v>
      </c>
      <c r="U60" s="1026">
        <f t="shared" ca="1" si="156"/>
        <v>0</v>
      </c>
      <c r="V60" s="1026">
        <f t="shared" ca="1" si="156"/>
        <v>0</v>
      </c>
      <c r="W60" s="1026">
        <f t="shared" ca="1" si="156"/>
        <v>0</v>
      </c>
      <c r="X60" s="1026">
        <f t="shared" ca="1" si="157"/>
        <v>0</v>
      </c>
      <c r="Y60" s="1026">
        <f t="shared" ca="1" si="157"/>
        <v>0</v>
      </c>
      <c r="Z60" s="1026">
        <f t="shared" ca="1" si="157"/>
        <v>0</v>
      </c>
      <c r="AA60" s="1026">
        <f t="shared" ca="1" si="156"/>
        <v>0</v>
      </c>
      <c r="AB60" s="1026">
        <f t="shared" ca="1" si="156"/>
        <v>0</v>
      </c>
      <c r="AC60" s="1026">
        <f t="shared" ca="1" si="156"/>
        <v>0</v>
      </c>
      <c r="AD60" s="1026">
        <f t="shared" ca="1" si="156"/>
        <v>0</v>
      </c>
      <c r="AE60" s="1026">
        <f t="shared" ca="1" si="156"/>
        <v>0</v>
      </c>
      <c r="AF60" s="1026">
        <f t="shared" ca="1" si="156"/>
        <v>0</v>
      </c>
      <c r="AG60" s="1026">
        <f t="shared" ca="1" si="156"/>
        <v>0</v>
      </c>
      <c r="AH60" s="1026">
        <f t="shared" ca="1" si="156"/>
        <v>0</v>
      </c>
      <c r="AI60" s="1026">
        <f t="shared" ca="1" si="156"/>
        <v>0</v>
      </c>
      <c r="AJ60" s="1026">
        <f t="shared" ca="1" si="156"/>
        <v>0</v>
      </c>
      <c r="AK60" s="1027">
        <f t="shared" ca="1" si="158"/>
        <v>0</v>
      </c>
      <c r="AL60" s="743"/>
      <c r="AM60" s="1038">
        <f t="shared" ca="1" si="159"/>
        <v>0</v>
      </c>
      <c r="AN60" s="1038">
        <f t="shared" ca="1" si="159"/>
        <v>0</v>
      </c>
      <c r="AO60" s="1038">
        <f t="shared" ca="1" si="159"/>
        <v>0</v>
      </c>
      <c r="AP60" s="1038">
        <f t="shared" ca="1" si="159"/>
        <v>0</v>
      </c>
      <c r="AQ60" s="1038">
        <f t="shared" ca="1" si="159"/>
        <v>0</v>
      </c>
      <c r="AR60" s="1038">
        <f t="shared" ca="1" si="159"/>
        <v>0</v>
      </c>
      <c r="AS60" s="1038">
        <f t="shared" ca="1" si="159"/>
        <v>0</v>
      </c>
      <c r="AT60" s="1038">
        <f t="shared" ca="1" si="159"/>
        <v>0</v>
      </c>
      <c r="AU60" s="1038">
        <f t="shared" ca="1" si="159"/>
        <v>0</v>
      </c>
      <c r="AV60" s="1038">
        <f t="shared" ca="1" si="156"/>
        <v>0</v>
      </c>
      <c r="AW60" s="1038">
        <f t="shared" ca="1" si="156"/>
        <v>0</v>
      </c>
      <c r="AX60" s="1038">
        <f t="shared" ca="1" si="156"/>
        <v>0</v>
      </c>
      <c r="AY60" s="1038">
        <f t="shared" ca="1" si="156"/>
        <v>0</v>
      </c>
      <c r="AZ60" s="1038">
        <f t="shared" ca="1" si="156"/>
        <v>0</v>
      </c>
      <c r="BA60" s="1038">
        <f t="shared" ca="1" si="156"/>
        <v>0</v>
      </c>
      <c r="BB60" s="1038">
        <f t="shared" ca="1" si="156"/>
        <v>0</v>
      </c>
      <c r="BC60" s="1038">
        <f t="shared" ca="1" si="156"/>
        <v>0</v>
      </c>
      <c r="BD60" s="1038">
        <f t="shared" ca="1" si="156"/>
        <v>0</v>
      </c>
      <c r="BE60" s="1038">
        <f t="shared" ca="1" si="156"/>
        <v>0</v>
      </c>
      <c r="BF60" s="979">
        <f t="shared" ca="1" si="160"/>
        <v>0</v>
      </c>
      <c r="BG60" s="743"/>
      <c r="BH60" s="1032">
        <f t="shared" ca="1" si="161"/>
        <v>0</v>
      </c>
      <c r="BI60" s="1032">
        <f t="shared" ca="1" si="161"/>
        <v>0</v>
      </c>
      <c r="BJ60" s="1034">
        <f t="shared" ca="1" si="162"/>
        <v>0</v>
      </c>
      <c r="BK60" s="743"/>
      <c r="BL60" s="814">
        <f t="shared" ca="1" si="153"/>
        <v>0</v>
      </c>
      <c r="BM60" s="814"/>
      <c r="BN60" s="840"/>
      <c r="BO60" s="1481">
        <f t="shared" ca="1" si="163"/>
        <v>0</v>
      </c>
      <c r="BP60" s="1482">
        <f t="shared" ca="1" si="163"/>
        <v>0</v>
      </c>
      <c r="BQ60" s="1482">
        <f t="shared" ca="1" si="163"/>
        <v>0</v>
      </c>
      <c r="BR60" s="1482">
        <f t="shared" ca="1" si="163"/>
        <v>0</v>
      </c>
      <c r="BS60" s="1482">
        <f t="shared" ca="1" si="163"/>
        <v>0</v>
      </c>
      <c r="BT60" s="1482">
        <f t="shared" ca="1" si="163"/>
        <v>0</v>
      </c>
      <c r="BU60" s="1482">
        <f t="shared" ca="1" si="163"/>
        <v>0</v>
      </c>
      <c r="BV60" s="1482">
        <f t="shared" ca="1" si="163"/>
        <v>0</v>
      </c>
      <c r="BW60" s="1482">
        <f t="shared" ca="1" si="163"/>
        <v>0</v>
      </c>
      <c r="BX60" s="1482">
        <f t="shared" ca="1" si="163"/>
        <v>0</v>
      </c>
      <c r="BY60" s="1482">
        <f t="shared" ca="1" si="164"/>
        <v>0</v>
      </c>
      <c r="BZ60" s="1482">
        <f t="shared" ca="1" si="164"/>
        <v>0</v>
      </c>
      <c r="CA60" s="1482">
        <f t="shared" ca="1" si="164"/>
        <v>0</v>
      </c>
      <c r="CB60" s="1482">
        <f t="shared" ca="1" si="164"/>
        <v>0</v>
      </c>
      <c r="CC60" s="1482">
        <f t="shared" ca="1" si="164"/>
        <v>0</v>
      </c>
      <c r="CD60" s="1482">
        <f t="shared" ca="1" si="164"/>
        <v>0</v>
      </c>
      <c r="CE60" s="1482">
        <f t="shared" ca="1" si="164"/>
        <v>0</v>
      </c>
      <c r="CF60" s="1482">
        <f t="shared" ca="1" si="164"/>
        <v>0</v>
      </c>
      <c r="CG60" s="1482">
        <f t="shared" ca="1" si="164"/>
        <v>0</v>
      </c>
      <c r="CH60" s="1482">
        <f t="shared" ca="1" si="164"/>
        <v>0</v>
      </c>
      <c r="CI60" s="1482">
        <f t="shared" ca="1" si="165"/>
        <v>0</v>
      </c>
      <c r="CJ60" s="1482">
        <f t="shared" ca="1" si="165"/>
        <v>0</v>
      </c>
      <c r="CK60" s="1482">
        <f t="shared" ca="1" si="165"/>
        <v>0</v>
      </c>
      <c r="CL60" s="1482">
        <f t="shared" ca="1" si="165"/>
        <v>0</v>
      </c>
      <c r="CM60" s="1482">
        <f t="shared" ca="1" si="165"/>
        <v>0</v>
      </c>
      <c r="CN60" s="1482">
        <f t="shared" ca="1" si="165"/>
        <v>0</v>
      </c>
      <c r="CO60" s="1482">
        <f t="shared" ca="1" si="165"/>
        <v>0</v>
      </c>
      <c r="CP60" s="1482">
        <f t="shared" ca="1" si="165"/>
        <v>0</v>
      </c>
      <c r="CQ60" s="1482">
        <f t="shared" ca="1" si="165"/>
        <v>0</v>
      </c>
      <c r="CR60" s="1482">
        <f t="shared" ca="1" si="165"/>
        <v>0</v>
      </c>
      <c r="CS60" s="1482">
        <f t="shared" ca="1" si="166"/>
        <v>0</v>
      </c>
      <c r="CT60" s="1482">
        <f t="shared" ca="1" si="166"/>
        <v>0</v>
      </c>
      <c r="CU60" s="1482">
        <f t="shared" ca="1" si="166"/>
        <v>0</v>
      </c>
      <c r="CV60" s="1482">
        <f t="shared" ca="1" si="166"/>
        <v>0</v>
      </c>
      <c r="CW60" s="1482">
        <f t="shared" ca="1" si="166"/>
        <v>0</v>
      </c>
      <c r="CX60" s="1482">
        <f t="shared" ca="1" si="166"/>
        <v>0</v>
      </c>
      <c r="CY60" s="1482">
        <f t="shared" ca="1" si="166"/>
        <v>0</v>
      </c>
      <c r="CZ60" s="1482">
        <f t="shared" ca="1" si="166"/>
        <v>0</v>
      </c>
      <c r="DA60" s="1482">
        <f t="shared" ca="1" si="166"/>
        <v>0</v>
      </c>
      <c r="DB60" s="1482">
        <f t="shared" ca="1" si="166"/>
        <v>0</v>
      </c>
      <c r="DC60" s="1482">
        <f t="shared" ca="1" si="166"/>
        <v>0</v>
      </c>
      <c r="DD60" s="1482">
        <f t="shared" ca="1" si="166"/>
        <v>0</v>
      </c>
      <c r="DE60" s="1482">
        <f t="shared" ca="1" si="166"/>
        <v>0</v>
      </c>
      <c r="DF60" s="1482">
        <f t="shared" ca="1" si="166"/>
        <v>0</v>
      </c>
      <c r="DH60" s="838">
        <f t="shared" ca="1" si="124"/>
        <v>0</v>
      </c>
    </row>
    <row r="61" spans="1:112" s="1484" customFormat="1" ht="12.75" hidden="1" customHeight="1" outlineLevel="1">
      <c r="C61" s="746" t="s">
        <v>809</v>
      </c>
      <c r="D61" s="521" t="str">
        <f>INDEX(Modules[Module], MATCH($C61, Modules[Code], 0))</f>
        <v>Geothermal</v>
      </c>
      <c r="E61" s="521"/>
      <c r="F61" s="743"/>
      <c r="G61" s="1017">
        <f t="shared" ca="1" si="154"/>
        <v>0</v>
      </c>
      <c r="H61" s="1017">
        <f t="shared" ca="1" si="154"/>
        <v>0</v>
      </c>
      <c r="I61" s="1017">
        <f t="shared" ca="1" si="154"/>
        <v>0</v>
      </c>
      <c r="J61" s="1017">
        <f t="shared" ca="1" si="154"/>
        <v>0</v>
      </c>
      <c r="K61" s="1017">
        <f t="shared" ca="1" si="154"/>
        <v>0</v>
      </c>
      <c r="L61" s="1017">
        <f t="shared" ca="1" si="154"/>
        <v>0</v>
      </c>
      <c r="M61" s="1017">
        <f t="shared" ca="1" si="154"/>
        <v>0</v>
      </c>
      <c r="N61" s="1017">
        <f t="shared" ca="1" si="154"/>
        <v>0</v>
      </c>
      <c r="O61" s="1017">
        <f t="shared" ca="1" si="154"/>
        <v>0</v>
      </c>
      <c r="P61" s="1017">
        <f t="shared" ca="1" si="154"/>
        <v>0</v>
      </c>
      <c r="Q61" s="1019">
        <f t="shared" ca="1" si="155"/>
        <v>0</v>
      </c>
      <c r="R61" s="743"/>
      <c r="S61" s="1026">
        <f t="shared" ca="1" si="156"/>
        <v>0</v>
      </c>
      <c r="T61" s="1026">
        <f t="shared" ca="1" si="156"/>
        <v>0</v>
      </c>
      <c r="U61" s="1026">
        <f t="shared" ca="1" si="156"/>
        <v>0</v>
      </c>
      <c r="V61" s="1026">
        <f t="shared" ca="1" si="156"/>
        <v>0</v>
      </c>
      <c r="W61" s="1026">
        <f t="shared" ca="1" si="156"/>
        <v>0</v>
      </c>
      <c r="X61" s="1026">
        <f t="shared" ca="1" si="157"/>
        <v>0</v>
      </c>
      <c r="Y61" s="1026">
        <f t="shared" ca="1" si="157"/>
        <v>0</v>
      </c>
      <c r="Z61" s="1026">
        <f t="shared" ca="1" si="157"/>
        <v>0</v>
      </c>
      <c r="AA61" s="1026">
        <f t="shared" ca="1" si="156"/>
        <v>0</v>
      </c>
      <c r="AB61" s="1026">
        <f t="shared" ca="1" si="156"/>
        <v>0</v>
      </c>
      <c r="AC61" s="1026">
        <f t="shared" ca="1" si="156"/>
        <v>0</v>
      </c>
      <c r="AD61" s="1026">
        <f t="shared" ca="1" si="156"/>
        <v>0</v>
      </c>
      <c r="AE61" s="1026">
        <f t="shared" ca="1" si="156"/>
        <v>0</v>
      </c>
      <c r="AF61" s="1026">
        <f t="shared" ca="1" si="156"/>
        <v>0</v>
      </c>
      <c r="AG61" s="1026">
        <f t="shared" ca="1" si="156"/>
        <v>0</v>
      </c>
      <c r="AH61" s="1026">
        <f t="shared" ca="1" si="156"/>
        <v>0</v>
      </c>
      <c r="AI61" s="1026">
        <f t="shared" ca="1" si="156"/>
        <v>0</v>
      </c>
      <c r="AJ61" s="1026">
        <f t="shared" ca="1" si="156"/>
        <v>0</v>
      </c>
      <c r="AK61" s="1027">
        <f t="shared" ca="1" si="158"/>
        <v>0</v>
      </c>
      <c r="AL61" s="743"/>
      <c r="AM61" s="1038">
        <f t="shared" ca="1" si="159"/>
        <v>0</v>
      </c>
      <c r="AN61" s="1038">
        <f t="shared" ca="1" si="159"/>
        <v>0</v>
      </c>
      <c r="AO61" s="1038">
        <f t="shared" ca="1" si="159"/>
        <v>0</v>
      </c>
      <c r="AP61" s="1038">
        <f t="shared" ca="1" si="159"/>
        <v>0</v>
      </c>
      <c r="AQ61" s="1038">
        <f t="shared" ca="1" si="159"/>
        <v>0</v>
      </c>
      <c r="AR61" s="1038">
        <f t="shared" ca="1" si="159"/>
        <v>0</v>
      </c>
      <c r="AS61" s="1038">
        <f t="shared" ca="1" si="159"/>
        <v>0</v>
      </c>
      <c r="AT61" s="1038">
        <f t="shared" ca="1" si="159"/>
        <v>0</v>
      </c>
      <c r="AU61" s="1038">
        <f t="shared" ca="1" si="159"/>
        <v>0</v>
      </c>
      <c r="AV61" s="1038">
        <f t="shared" ca="1" si="156"/>
        <v>0</v>
      </c>
      <c r="AW61" s="1038">
        <f t="shared" ca="1" si="156"/>
        <v>0</v>
      </c>
      <c r="AX61" s="1038">
        <f t="shared" ca="1" si="156"/>
        <v>0</v>
      </c>
      <c r="AY61" s="1038">
        <f t="shared" ca="1" si="156"/>
        <v>0</v>
      </c>
      <c r="AZ61" s="1038">
        <f t="shared" ca="1" si="156"/>
        <v>0</v>
      </c>
      <c r="BA61" s="1038">
        <f t="shared" ca="1" si="156"/>
        <v>0</v>
      </c>
      <c r="BB61" s="1038">
        <f t="shared" ca="1" si="156"/>
        <v>0</v>
      </c>
      <c r="BC61" s="1038">
        <f t="shared" ca="1" si="156"/>
        <v>0</v>
      </c>
      <c r="BD61" s="1038">
        <f t="shared" ca="1" si="156"/>
        <v>0</v>
      </c>
      <c r="BE61" s="1038">
        <f t="shared" ca="1" si="156"/>
        <v>0</v>
      </c>
      <c r="BF61" s="979">
        <f t="shared" ca="1" si="160"/>
        <v>0</v>
      </c>
      <c r="BG61" s="743"/>
      <c r="BH61" s="1032">
        <f t="shared" ca="1" si="161"/>
        <v>0</v>
      </c>
      <c r="BI61" s="1032">
        <f t="shared" ca="1" si="161"/>
        <v>0</v>
      </c>
      <c r="BJ61" s="1034">
        <f t="shared" ca="1" si="162"/>
        <v>0</v>
      </c>
      <c r="BK61" s="743"/>
      <c r="BL61" s="814">
        <f t="shared" ca="1" si="153"/>
        <v>0</v>
      </c>
      <c r="BM61" s="814"/>
      <c r="BN61" s="840"/>
      <c r="BO61" s="1481">
        <f t="shared" ca="1" si="163"/>
        <v>0</v>
      </c>
      <c r="BP61" s="1482">
        <f t="shared" ca="1" si="163"/>
        <v>0</v>
      </c>
      <c r="BQ61" s="1482">
        <f t="shared" ca="1" si="163"/>
        <v>0</v>
      </c>
      <c r="BR61" s="1482">
        <f t="shared" ca="1" si="163"/>
        <v>0</v>
      </c>
      <c r="BS61" s="1482">
        <f t="shared" ca="1" si="163"/>
        <v>0</v>
      </c>
      <c r="BT61" s="1482">
        <f t="shared" ca="1" si="163"/>
        <v>0</v>
      </c>
      <c r="BU61" s="1482">
        <f t="shared" ca="1" si="163"/>
        <v>0</v>
      </c>
      <c r="BV61" s="1482">
        <f t="shared" ca="1" si="163"/>
        <v>0</v>
      </c>
      <c r="BW61" s="1482">
        <f t="shared" ca="1" si="163"/>
        <v>0</v>
      </c>
      <c r="BX61" s="1482">
        <f t="shared" ca="1" si="163"/>
        <v>0</v>
      </c>
      <c r="BY61" s="1482">
        <f t="shared" ca="1" si="164"/>
        <v>0</v>
      </c>
      <c r="BZ61" s="1482">
        <f t="shared" ca="1" si="164"/>
        <v>0</v>
      </c>
      <c r="CA61" s="1482">
        <f t="shared" ca="1" si="164"/>
        <v>0</v>
      </c>
      <c r="CB61" s="1482">
        <f t="shared" ca="1" si="164"/>
        <v>0</v>
      </c>
      <c r="CC61" s="1482">
        <f t="shared" ca="1" si="164"/>
        <v>0</v>
      </c>
      <c r="CD61" s="1482">
        <f t="shared" ca="1" si="164"/>
        <v>0</v>
      </c>
      <c r="CE61" s="1482">
        <f t="shared" ca="1" si="164"/>
        <v>0</v>
      </c>
      <c r="CF61" s="1482">
        <f t="shared" ca="1" si="164"/>
        <v>0</v>
      </c>
      <c r="CG61" s="1482">
        <f t="shared" ca="1" si="164"/>
        <v>0</v>
      </c>
      <c r="CH61" s="1482">
        <f t="shared" ca="1" si="164"/>
        <v>0</v>
      </c>
      <c r="CI61" s="1482">
        <f t="shared" ca="1" si="165"/>
        <v>0</v>
      </c>
      <c r="CJ61" s="1482">
        <f t="shared" ca="1" si="165"/>
        <v>0</v>
      </c>
      <c r="CK61" s="1482">
        <f t="shared" ca="1" si="165"/>
        <v>0</v>
      </c>
      <c r="CL61" s="1482">
        <f t="shared" ca="1" si="165"/>
        <v>0</v>
      </c>
      <c r="CM61" s="1482">
        <f t="shared" ca="1" si="165"/>
        <v>0</v>
      </c>
      <c r="CN61" s="1482">
        <f t="shared" ca="1" si="165"/>
        <v>0</v>
      </c>
      <c r="CO61" s="1482">
        <f t="shared" ca="1" si="165"/>
        <v>0</v>
      </c>
      <c r="CP61" s="1482">
        <f t="shared" ca="1" si="165"/>
        <v>0</v>
      </c>
      <c r="CQ61" s="1482">
        <f t="shared" ca="1" si="165"/>
        <v>0</v>
      </c>
      <c r="CR61" s="1482">
        <f t="shared" ca="1" si="165"/>
        <v>0</v>
      </c>
      <c r="CS61" s="1482">
        <f t="shared" ca="1" si="166"/>
        <v>0</v>
      </c>
      <c r="CT61" s="1482">
        <f t="shared" ca="1" si="166"/>
        <v>0</v>
      </c>
      <c r="CU61" s="1482">
        <f t="shared" ca="1" si="166"/>
        <v>0</v>
      </c>
      <c r="CV61" s="1482">
        <f t="shared" ca="1" si="166"/>
        <v>0</v>
      </c>
      <c r="CW61" s="1482">
        <f t="shared" ca="1" si="166"/>
        <v>0</v>
      </c>
      <c r="CX61" s="1482">
        <f t="shared" ca="1" si="166"/>
        <v>0</v>
      </c>
      <c r="CY61" s="1482">
        <f t="shared" ca="1" si="166"/>
        <v>0</v>
      </c>
      <c r="CZ61" s="1482">
        <f t="shared" ca="1" si="166"/>
        <v>0</v>
      </c>
      <c r="DA61" s="1482">
        <f t="shared" ca="1" si="166"/>
        <v>0</v>
      </c>
      <c r="DB61" s="1482">
        <f t="shared" ca="1" si="166"/>
        <v>0</v>
      </c>
      <c r="DC61" s="1482">
        <f t="shared" ca="1" si="166"/>
        <v>0</v>
      </c>
      <c r="DD61" s="1482">
        <f t="shared" ca="1" si="166"/>
        <v>0</v>
      </c>
      <c r="DE61" s="1482">
        <f t="shared" ca="1" si="166"/>
        <v>0</v>
      </c>
      <c r="DF61" s="1482">
        <f t="shared" ca="1" si="166"/>
        <v>0</v>
      </c>
      <c r="DH61" s="838">
        <f t="shared" ca="1" si="124"/>
        <v>0</v>
      </c>
    </row>
    <row r="62" spans="1:112" s="743" customFormat="1" ht="12.75" hidden="1" customHeight="1" outlineLevel="1">
      <c r="A62" s="1484"/>
      <c r="B62" s="1484"/>
      <c r="C62" s="746" t="s">
        <v>810</v>
      </c>
      <c r="D62" s="1010" t="str">
        <f>INDEX(Modules[Module], MATCH($C62, Modules[Code], 0))</f>
        <v>Tidal [UNUSED - See III.c]</v>
      </c>
      <c r="E62" s="1010"/>
      <c r="G62" s="1022">
        <f t="shared" ca="1" si="154"/>
        <v>0</v>
      </c>
      <c r="H62" s="1022">
        <f t="shared" ca="1" si="154"/>
        <v>0</v>
      </c>
      <c r="I62" s="1022">
        <f t="shared" ca="1" si="154"/>
        <v>0</v>
      </c>
      <c r="J62" s="1022">
        <f t="shared" ca="1" si="154"/>
        <v>0</v>
      </c>
      <c r="K62" s="1022">
        <f t="shared" ca="1" si="154"/>
        <v>0</v>
      </c>
      <c r="L62" s="1022">
        <f t="shared" ca="1" si="154"/>
        <v>0</v>
      </c>
      <c r="M62" s="1022">
        <f t="shared" ca="1" si="154"/>
        <v>0</v>
      </c>
      <c r="N62" s="1022">
        <f t="shared" ca="1" si="154"/>
        <v>0</v>
      </c>
      <c r="O62" s="1022">
        <f t="shared" ca="1" si="154"/>
        <v>0</v>
      </c>
      <c r="P62" s="1022">
        <f t="shared" ca="1" si="154"/>
        <v>0</v>
      </c>
      <c r="Q62" s="1020">
        <f t="shared" ca="1" si="155"/>
        <v>0</v>
      </c>
      <c r="S62" s="1031">
        <f t="shared" ca="1" si="156"/>
        <v>0</v>
      </c>
      <c r="T62" s="1031">
        <f t="shared" ca="1" si="156"/>
        <v>0</v>
      </c>
      <c r="U62" s="1031">
        <f t="shared" ca="1" si="156"/>
        <v>0</v>
      </c>
      <c r="V62" s="1031">
        <f t="shared" ca="1" si="156"/>
        <v>0</v>
      </c>
      <c r="W62" s="1031">
        <f t="shared" ca="1" si="156"/>
        <v>0</v>
      </c>
      <c r="X62" s="1031">
        <f t="shared" ca="1" si="157"/>
        <v>0</v>
      </c>
      <c r="Y62" s="1031">
        <f t="shared" ca="1" si="157"/>
        <v>0</v>
      </c>
      <c r="Z62" s="1031">
        <f t="shared" ca="1" si="157"/>
        <v>0</v>
      </c>
      <c r="AA62" s="1031">
        <f t="shared" ca="1" si="156"/>
        <v>0</v>
      </c>
      <c r="AB62" s="1031">
        <f t="shared" ca="1" si="156"/>
        <v>0</v>
      </c>
      <c r="AC62" s="1031">
        <f t="shared" ca="1" si="156"/>
        <v>0</v>
      </c>
      <c r="AD62" s="1031">
        <f t="shared" ca="1" si="156"/>
        <v>0</v>
      </c>
      <c r="AE62" s="1031">
        <f t="shared" ca="1" si="156"/>
        <v>0</v>
      </c>
      <c r="AF62" s="1031">
        <f t="shared" ca="1" si="156"/>
        <v>0</v>
      </c>
      <c r="AG62" s="1031">
        <f t="shared" ca="1" si="156"/>
        <v>0</v>
      </c>
      <c r="AH62" s="1031">
        <f t="shared" ca="1" si="156"/>
        <v>0</v>
      </c>
      <c r="AI62" s="1031">
        <f t="shared" ca="1" si="156"/>
        <v>0</v>
      </c>
      <c r="AJ62" s="1031">
        <f t="shared" ca="1" si="156"/>
        <v>0</v>
      </c>
      <c r="AK62" s="1030">
        <f t="shared" ca="1" si="158"/>
        <v>0</v>
      </c>
      <c r="AM62" s="1042">
        <f t="shared" ca="1" si="159"/>
        <v>0</v>
      </c>
      <c r="AN62" s="1042">
        <f t="shared" ca="1" si="159"/>
        <v>0</v>
      </c>
      <c r="AO62" s="1042">
        <f t="shared" ca="1" si="159"/>
        <v>0</v>
      </c>
      <c r="AP62" s="1042">
        <f t="shared" ca="1" si="159"/>
        <v>0</v>
      </c>
      <c r="AQ62" s="1042">
        <f t="shared" ca="1" si="159"/>
        <v>0</v>
      </c>
      <c r="AR62" s="1042">
        <f t="shared" ca="1" si="159"/>
        <v>0</v>
      </c>
      <c r="AS62" s="1042">
        <f t="shared" ca="1" si="159"/>
        <v>0</v>
      </c>
      <c r="AT62" s="1042">
        <f t="shared" ca="1" si="159"/>
        <v>0</v>
      </c>
      <c r="AU62" s="1042">
        <f t="shared" ca="1" si="159"/>
        <v>0</v>
      </c>
      <c r="AV62" s="1042">
        <f t="shared" ca="1" si="156"/>
        <v>0</v>
      </c>
      <c r="AW62" s="1042">
        <f t="shared" ca="1" si="156"/>
        <v>0</v>
      </c>
      <c r="AX62" s="1042">
        <f t="shared" ca="1" si="156"/>
        <v>0</v>
      </c>
      <c r="AY62" s="1042">
        <f t="shared" ca="1" si="156"/>
        <v>0</v>
      </c>
      <c r="AZ62" s="1042">
        <f t="shared" ca="1" si="156"/>
        <v>0</v>
      </c>
      <c r="BA62" s="1042">
        <f t="shared" ca="1" si="156"/>
        <v>0</v>
      </c>
      <c r="BB62" s="1042">
        <f t="shared" ca="1" si="156"/>
        <v>0</v>
      </c>
      <c r="BC62" s="1042">
        <f t="shared" ca="1" si="156"/>
        <v>0</v>
      </c>
      <c r="BD62" s="1042">
        <f t="shared" ca="1" si="156"/>
        <v>0</v>
      </c>
      <c r="BE62" s="1042">
        <f t="shared" ca="1" si="156"/>
        <v>0</v>
      </c>
      <c r="BF62" s="1012">
        <f t="shared" ca="1" si="160"/>
        <v>0</v>
      </c>
      <c r="BH62" s="1036">
        <f t="shared" ca="1" si="161"/>
        <v>0</v>
      </c>
      <c r="BI62" s="1036">
        <f t="shared" ca="1" si="161"/>
        <v>0</v>
      </c>
      <c r="BJ62" s="1035">
        <f t="shared" ca="1" si="162"/>
        <v>0</v>
      </c>
      <c r="BL62" s="814">
        <f t="shared" ca="1" si="153"/>
        <v>0</v>
      </c>
      <c r="BM62" s="814"/>
      <c r="BN62" s="840"/>
      <c r="BO62" s="1485">
        <f t="shared" ca="1" si="163"/>
        <v>0</v>
      </c>
      <c r="BP62" s="1486">
        <f t="shared" ca="1" si="163"/>
        <v>0</v>
      </c>
      <c r="BQ62" s="1486">
        <f t="shared" ca="1" si="163"/>
        <v>0</v>
      </c>
      <c r="BR62" s="1486">
        <f t="shared" ca="1" si="163"/>
        <v>0</v>
      </c>
      <c r="BS62" s="1486">
        <f t="shared" ca="1" si="163"/>
        <v>0</v>
      </c>
      <c r="BT62" s="1486">
        <f t="shared" ca="1" si="163"/>
        <v>0</v>
      </c>
      <c r="BU62" s="1486">
        <f t="shared" ca="1" si="163"/>
        <v>0</v>
      </c>
      <c r="BV62" s="1486">
        <f t="shared" ca="1" si="163"/>
        <v>0</v>
      </c>
      <c r="BW62" s="1486">
        <f t="shared" ca="1" si="163"/>
        <v>0</v>
      </c>
      <c r="BX62" s="1486">
        <f t="shared" ca="1" si="163"/>
        <v>0</v>
      </c>
      <c r="BY62" s="1486">
        <f t="shared" ca="1" si="164"/>
        <v>0</v>
      </c>
      <c r="BZ62" s="1486">
        <f t="shared" ca="1" si="164"/>
        <v>0</v>
      </c>
      <c r="CA62" s="1486">
        <f t="shared" ca="1" si="164"/>
        <v>0</v>
      </c>
      <c r="CB62" s="1486">
        <f t="shared" ca="1" si="164"/>
        <v>0</v>
      </c>
      <c r="CC62" s="1486">
        <f t="shared" ca="1" si="164"/>
        <v>0</v>
      </c>
      <c r="CD62" s="1486">
        <f t="shared" ca="1" si="164"/>
        <v>0</v>
      </c>
      <c r="CE62" s="1486">
        <f t="shared" ca="1" si="164"/>
        <v>0</v>
      </c>
      <c r="CF62" s="1486">
        <f t="shared" ca="1" si="164"/>
        <v>0</v>
      </c>
      <c r="CG62" s="1486">
        <f t="shared" ca="1" si="164"/>
        <v>0</v>
      </c>
      <c r="CH62" s="1486">
        <f t="shared" ca="1" si="164"/>
        <v>0</v>
      </c>
      <c r="CI62" s="1486">
        <f t="shared" ca="1" si="165"/>
        <v>0</v>
      </c>
      <c r="CJ62" s="1486">
        <f t="shared" ca="1" si="165"/>
        <v>0</v>
      </c>
      <c r="CK62" s="1486">
        <f t="shared" ca="1" si="165"/>
        <v>0</v>
      </c>
      <c r="CL62" s="1486">
        <f t="shared" ca="1" si="165"/>
        <v>0</v>
      </c>
      <c r="CM62" s="1486">
        <f t="shared" ca="1" si="165"/>
        <v>0</v>
      </c>
      <c r="CN62" s="1486">
        <f t="shared" ca="1" si="165"/>
        <v>0</v>
      </c>
      <c r="CO62" s="1486">
        <f t="shared" ca="1" si="165"/>
        <v>0</v>
      </c>
      <c r="CP62" s="1486">
        <f t="shared" ca="1" si="165"/>
        <v>0</v>
      </c>
      <c r="CQ62" s="1486">
        <f t="shared" ca="1" si="165"/>
        <v>0</v>
      </c>
      <c r="CR62" s="1486">
        <f t="shared" ca="1" si="165"/>
        <v>0</v>
      </c>
      <c r="CS62" s="1486">
        <f t="shared" ca="1" si="166"/>
        <v>0</v>
      </c>
      <c r="CT62" s="1486">
        <f t="shared" ca="1" si="166"/>
        <v>0</v>
      </c>
      <c r="CU62" s="1486">
        <f t="shared" ca="1" si="166"/>
        <v>0</v>
      </c>
      <c r="CV62" s="1486">
        <f t="shared" ca="1" si="166"/>
        <v>0</v>
      </c>
      <c r="CW62" s="1486">
        <f t="shared" ca="1" si="166"/>
        <v>0</v>
      </c>
      <c r="CX62" s="1486">
        <f t="shared" ca="1" si="166"/>
        <v>0</v>
      </c>
      <c r="CY62" s="1486">
        <f t="shared" ca="1" si="166"/>
        <v>0</v>
      </c>
      <c r="CZ62" s="1486">
        <f t="shared" ca="1" si="166"/>
        <v>0</v>
      </c>
      <c r="DA62" s="1486">
        <f t="shared" ca="1" si="166"/>
        <v>0</v>
      </c>
      <c r="DB62" s="1486">
        <f t="shared" ca="1" si="166"/>
        <v>0</v>
      </c>
      <c r="DC62" s="1486">
        <f t="shared" ca="1" si="166"/>
        <v>0</v>
      </c>
      <c r="DD62" s="1486">
        <f t="shared" ca="1" si="166"/>
        <v>0</v>
      </c>
      <c r="DE62" s="1486">
        <f t="shared" ca="1" si="166"/>
        <v>0</v>
      </c>
      <c r="DF62" s="1486">
        <f t="shared" ca="1" si="166"/>
        <v>0</v>
      </c>
      <c r="DH62" s="838">
        <f t="shared" ca="1" si="124"/>
        <v>0</v>
      </c>
    </row>
    <row r="63" spans="1:112" s="743" customFormat="1" ht="15.75" collapsed="1">
      <c r="A63" s="22"/>
      <c r="B63" s="753"/>
      <c r="C63" s="744" t="s">
        <v>76</v>
      </c>
      <c r="D63" s="517" t="str">
        <f>INDEX(Workstreams[Workstream], MATCH($C63, Workstreams[Code], 0))</f>
        <v>National renewable power generation</v>
      </c>
      <c r="E63" s="512"/>
      <c r="G63" s="958">
        <f t="shared" ref="G63:P63" ca="1" si="167">SUM(G57:G62)</f>
        <v>0</v>
      </c>
      <c r="H63" s="958">
        <f t="shared" ca="1" si="167"/>
        <v>0</v>
      </c>
      <c r="I63" s="958">
        <f t="shared" ca="1" si="167"/>
        <v>0</v>
      </c>
      <c r="J63" s="958">
        <f t="shared" ca="1" si="167"/>
        <v>0</v>
      </c>
      <c r="K63" s="958">
        <f t="shared" ca="1" si="167"/>
        <v>0</v>
      </c>
      <c r="L63" s="958">
        <f t="shared" ca="1" si="167"/>
        <v>0</v>
      </c>
      <c r="M63" s="958">
        <f t="shared" ca="1" si="167"/>
        <v>0</v>
      </c>
      <c r="N63" s="958">
        <f t="shared" ca="1" si="167"/>
        <v>0</v>
      </c>
      <c r="O63" s="958">
        <f t="shared" ca="1" si="167"/>
        <v>0</v>
      </c>
      <c r="P63" s="958">
        <f t="shared" ca="1" si="167"/>
        <v>0</v>
      </c>
      <c r="Q63" s="1021">
        <f t="shared" ca="1" si="155"/>
        <v>0</v>
      </c>
      <c r="S63" s="970">
        <f t="shared" ref="S63:AJ63" ca="1" si="168">SUM(S57:S62)</f>
        <v>0</v>
      </c>
      <c r="T63" s="970">
        <f t="shared" ca="1" si="168"/>
        <v>5.6133081000000011</v>
      </c>
      <c r="U63" s="970">
        <f t="shared" ca="1" si="168"/>
        <v>0</v>
      </c>
      <c r="V63" s="970">
        <f t="shared" ca="1" si="168"/>
        <v>0</v>
      </c>
      <c r="W63" s="970">
        <f t="shared" ca="1" si="168"/>
        <v>0</v>
      </c>
      <c r="X63" s="970">
        <f t="shared" ca="1" si="168"/>
        <v>0</v>
      </c>
      <c r="Y63" s="970">
        <f t="shared" ca="1" si="168"/>
        <v>0</v>
      </c>
      <c r="Z63" s="970">
        <f t="shared" ca="1" si="168"/>
        <v>0</v>
      </c>
      <c r="AA63" s="970">
        <f t="shared" ca="1" si="168"/>
        <v>0</v>
      </c>
      <c r="AB63" s="970">
        <f t="shared" ca="1" si="168"/>
        <v>0</v>
      </c>
      <c r="AC63" s="970">
        <f t="shared" ca="1" si="168"/>
        <v>0</v>
      </c>
      <c r="AD63" s="970">
        <f t="shared" ca="1" si="168"/>
        <v>0</v>
      </c>
      <c r="AE63" s="970">
        <f ca="1">SUM(AE57:AE62)</f>
        <v>0</v>
      </c>
      <c r="AF63" s="970">
        <f t="shared" ca="1" si="168"/>
        <v>0</v>
      </c>
      <c r="AG63" s="970">
        <f t="shared" ca="1" si="168"/>
        <v>0</v>
      </c>
      <c r="AH63" s="970">
        <f ca="1">SUM(AH57:AH62)</f>
        <v>0</v>
      </c>
      <c r="AI63" s="970">
        <f t="shared" ca="1" si="168"/>
        <v>0</v>
      </c>
      <c r="AJ63" s="970">
        <f t="shared" ca="1" si="168"/>
        <v>0</v>
      </c>
      <c r="AK63" s="970">
        <f t="shared" ca="1" si="158"/>
        <v>5.6133081000000011</v>
      </c>
      <c r="AM63" s="976">
        <f t="shared" ref="AM63:BE63" ca="1" si="169">SUM(AM57:AM62)</f>
        <v>0</v>
      </c>
      <c r="AN63" s="976">
        <f t="shared" ca="1" si="169"/>
        <v>0</v>
      </c>
      <c r="AO63" s="976">
        <f t="shared" ca="1" si="169"/>
        <v>0</v>
      </c>
      <c r="AP63" s="976">
        <f t="shared" ca="1" si="169"/>
        <v>0</v>
      </c>
      <c r="AQ63" s="976">
        <f t="shared" ca="1" si="169"/>
        <v>0</v>
      </c>
      <c r="AR63" s="976">
        <f t="shared" ca="1" si="169"/>
        <v>0</v>
      </c>
      <c r="AS63" s="976">
        <f t="shared" ca="1" si="169"/>
        <v>0</v>
      </c>
      <c r="AT63" s="976">
        <f t="shared" ca="1" si="169"/>
        <v>0</v>
      </c>
      <c r="AU63" s="976">
        <f t="shared" ca="1" si="169"/>
        <v>0</v>
      </c>
      <c r="AV63" s="976">
        <f t="shared" ca="1" si="169"/>
        <v>0</v>
      </c>
      <c r="AW63" s="976">
        <f t="shared" ca="1" si="169"/>
        <v>0</v>
      </c>
      <c r="AX63" s="976">
        <f t="shared" ca="1" si="169"/>
        <v>-0.28358010000000045</v>
      </c>
      <c r="AY63" s="976">
        <f t="shared" ca="1" si="169"/>
        <v>0</v>
      </c>
      <c r="AZ63" s="976">
        <f t="shared" ca="1" si="169"/>
        <v>0</v>
      </c>
      <c r="BA63" s="976">
        <f t="shared" ca="1" si="169"/>
        <v>0</v>
      </c>
      <c r="BB63" s="976">
        <f t="shared" ca="1" si="169"/>
        <v>-5.3297280000000011</v>
      </c>
      <c r="BC63" s="976">
        <f t="shared" ca="1" si="169"/>
        <v>0</v>
      </c>
      <c r="BD63" s="976">
        <f t="shared" ca="1" si="169"/>
        <v>0</v>
      </c>
      <c r="BE63" s="976">
        <f t="shared" ca="1" si="169"/>
        <v>0</v>
      </c>
      <c r="BF63" s="976">
        <f t="shared" ca="1" si="160"/>
        <v>-5.6133081000000011</v>
      </c>
      <c r="BH63" s="990">
        <f ca="1">SUM(BH57:BH62)</f>
        <v>0</v>
      </c>
      <c r="BI63" s="990">
        <f ca="1">SUM(BI57:BI62)</f>
        <v>0</v>
      </c>
      <c r="BJ63" s="990">
        <f t="shared" ca="1" si="162"/>
        <v>0</v>
      </c>
      <c r="BL63" s="515">
        <f t="shared" ca="1" si="153"/>
        <v>0</v>
      </c>
      <c r="BM63" s="515"/>
      <c r="BN63" s="840"/>
      <c r="BO63" s="1482">
        <f t="shared" ref="BO63:DF63" ca="1" si="170">SUM(BO57:BO62)</f>
        <v>0</v>
      </c>
      <c r="BP63" s="1482">
        <f t="shared" ca="1" si="170"/>
        <v>0</v>
      </c>
      <c r="BQ63" s="1482">
        <f t="shared" ca="1" si="170"/>
        <v>0</v>
      </c>
      <c r="BR63" s="1482">
        <f t="shared" ca="1" si="170"/>
        <v>0</v>
      </c>
      <c r="BS63" s="1482">
        <f t="shared" ca="1" si="170"/>
        <v>0</v>
      </c>
      <c r="BT63" s="1482">
        <f t="shared" ca="1" si="170"/>
        <v>0</v>
      </c>
      <c r="BU63" s="1482">
        <f t="shared" ca="1" si="170"/>
        <v>0</v>
      </c>
      <c r="BV63" s="1482">
        <f t="shared" ca="1" si="170"/>
        <v>0</v>
      </c>
      <c r="BW63" s="1482">
        <f t="shared" ca="1" si="170"/>
        <v>0</v>
      </c>
      <c r="BX63" s="1482">
        <f t="shared" ca="1" si="170"/>
        <v>0</v>
      </c>
      <c r="BY63" s="1482">
        <f t="shared" ca="1" si="170"/>
        <v>0</v>
      </c>
      <c r="BZ63" s="1482">
        <f t="shared" ca="1" si="170"/>
        <v>0</v>
      </c>
      <c r="CA63" s="1482">
        <f t="shared" ca="1" si="170"/>
        <v>0</v>
      </c>
      <c r="CB63" s="1482">
        <f t="shared" ca="1" si="170"/>
        <v>0</v>
      </c>
      <c r="CC63" s="1482">
        <f t="shared" ca="1" si="170"/>
        <v>0</v>
      </c>
      <c r="CD63" s="1482">
        <f t="shared" ca="1" si="170"/>
        <v>0</v>
      </c>
      <c r="CE63" s="1482">
        <f t="shared" ca="1" si="170"/>
        <v>0</v>
      </c>
      <c r="CF63" s="1482">
        <f t="shared" ca="1" si="170"/>
        <v>0</v>
      </c>
      <c r="CG63" s="1482">
        <f t="shared" ca="1" si="170"/>
        <v>0</v>
      </c>
      <c r="CH63" s="1482">
        <f t="shared" ca="1" si="170"/>
        <v>0</v>
      </c>
      <c r="CI63" s="1482">
        <f t="shared" ca="1" si="170"/>
        <v>0</v>
      </c>
      <c r="CJ63" s="1482">
        <f t="shared" ca="1" si="170"/>
        <v>0</v>
      </c>
      <c r="CK63" s="1482">
        <f t="shared" ca="1" si="170"/>
        <v>0</v>
      </c>
      <c r="CL63" s="1482">
        <f t="shared" ca="1" si="170"/>
        <v>0</v>
      </c>
      <c r="CM63" s="1482">
        <f t="shared" ca="1" si="170"/>
        <v>0</v>
      </c>
      <c r="CN63" s="1482">
        <f t="shared" ca="1" si="170"/>
        <v>0</v>
      </c>
      <c r="CO63" s="1482">
        <f t="shared" ca="1" si="170"/>
        <v>0</v>
      </c>
      <c r="CP63" s="1482">
        <f t="shared" ca="1" si="170"/>
        <v>0</v>
      </c>
      <c r="CQ63" s="1482">
        <f t="shared" ca="1" si="170"/>
        <v>0</v>
      </c>
      <c r="CR63" s="1482">
        <f t="shared" ca="1" si="170"/>
        <v>0</v>
      </c>
      <c r="CS63" s="1482">
        <f t="shared" ca="1" si="170"/>
        <v>0</v>
      </c>
      <c r="CT63" s="1482">
        <f t="shared" ca="1" si="170"/>
        <v>0</v>
      </c>
      <c r="CU63" s="1482">
        <f t="shared" ca="1" si="170"/>
        <v>0</v>
      </c>
      <c r="CV63" s="1482">
        <f t="shared" ca="1" si="170"/>
        <v>0</v>
      </c>
      <c r="CW63" s="1482">
        <f t="shared" ca="1" si="170"/>
        <v>0</v>
      </c>
      <c r="CX63" s="1482">
        <f t="shared" ca="1" si="170"/>
        <v>0</v>
      </c>
      <c r="CY63" s="1482">
        <f t="shared" ca="1" si="170"/>
        <v>0</v>
      </c>
      <c r="CZ63" s="1482">
        <f t="shared" ca="1" si="170"/>
        <v>0</v>
      </c>
      <c r="DA63" s="1482">
        <f t="shared" ca="1" si="170"/>
        <v>0</v>
      </c>
      <c r="DB63" s="1482">
        <f t="shared" ca="1" si="170"/>
        <v>0</v>
      </c>
      <c r="DC63" s="1482">
        <f t="shared" ca="1" si="170"/>
        <v>0</v>
      </c>
      <c r="DD63" s="1482">
        <f t="shared" ca="1" si="170"/>
        <v>0</v>
      </c>
      <c r="DE63" s="1482">
        <f t="shared" ca="1" si="170"/>
        <v>0</v>
      </c>
      <c r="DF63" s="1482">
        <f t="shared" ca="1" si="170"/>
        <v>0</v>
      </c>
      <c r="DH63" s="838">
        <f t="shared" ca="1" si="124"/>
        <v>0</v>
      </c>
    </row>
    <row r="64" spans="1:112" s="743" customFormat="1" ht="12.75" hidden="1" customHeight="1" outlineLevel="1">
      <c r="A64" s="22"/>
      <c r="B64" s="22"/>
      <c r="C64" s="751"/>
      <c r="D64" s="512"/>
      <c r="E64" s="512"/>
      <c r="G64" s="958"/>
      <c r="H64" s="958"/>
      <c r="I64" s="958"/>
      <c r="J64" s="958"/>
      <c r="K64" s="960"/>
      <c r="L64" s="958"/>
      <c r="M64" s="958"/>
      <c r="N64" s="958"/>
      <c r="O64" s="958"/>
      <c r="P64" s="958"/>
      <c r="Q64" s="958"/>
      <c r="S64" s="970"/>
      <c r="T64" s="970"/>
      <c r="U64" s="970"/>
      <c r="V64" s="970"/>
      <c r="W64" s="970"/>
      <c r="X64" s="970"/>
      <c r="Y64" s="970"/>
      <c r="Z64" s="970"/>
      <c r="AA64" s="970"/>
      <c r="AB64" s="970"/>
      <c r="AC64" s="970"/>
      <c r="AD64" s="970"/>
      <c r="AE64" s="970"/>
      <c r="AF64" s="970"/>
      <c r="AG64" s="970"/>
      <c r="AH64" s="970"/>
      <c r="AI64" s="970"/>
      <c r="AJ64" s="970"/>
      <c r="AK64" s="970"/>
      <c r="AM64" s="976"/>
      <c r="AN64" s="976"/>
      <c r="AO64" s="976"/>
      <c r="AP64" s="976"/>
      <c r="AQ64" s="976"/>
      <c r="AR64" s="976"/>
      <c r="AS64" s="976"/>
      <c r="AT64" s="976"/>
      <c r="AU64" s="976"/>
      <c r="AV64" s="976"/>
      <c r="AW64" s="976"/>
      <c r="AX64" s="976"/>
      <c r="AY64" s="976"/>
      <c r="AZ64" s="976"/>
      <c r="BA64" s="976"/>
      <c r="BB64" s="976"/>
      <c r="BC64" s="976"/>
      <c r="BD64" s="976"/>
      <c r="BE64" s="976"/>
      <c r="BF64" s="976"/>
      <c r="BH64" s="990"/>
      <c r="BI64" s="990"/>
      <c r="BJ64" s="990"/>
      <c r="BL64" s="515"/>
      <c r="BM64" s="515"/>
      <c r="BN64" s="22"/>
      <c r="BO64" s="1482"/>
      <c r="BP64" s="1482"/>
      <c r="BQ64" s="1482"/>
      <c r="BR64" s="1482"/>
      <c r="BS64" s="1482"/>
      <c r="BT64" s="1482"/>
      <c r="BU64" s="1482"/>
      <c r="BV64" s="1482"/>
      <c r="BW64" s="1482"/>
      <c r="BX64" s="1482"/>
      <c r="BY64" s="1482"/>
      <c r="BZ64" s="1482"/>
      <c r="CA64" s="1482"/>
      <c r="CB64" s="1482"/>
      <c r="CC64" s="1482"/>
      <c r="CD64" s="1482"/>
      <c r="CE64" s="1482"/>
      <c r="CF64" s="1482"/>
      <c r="CG64" s="1482"/>
      <c r="CH64" s="1482"/>
      <c r="CI64" s="1482"/>
      <c r="CJ64" s="1482"/>
      <c r="CK64" s="1482"/>
      <c r="CL64" s="1482"/>
      <c r="CM64" s="1482"/>
      <c r="CN64" s="1482"/>
      <c r="CO64" s="1482"/>
      <c r="CP64" s="1482"/>
      <c r="CQ64" s="1482"/>
      <c r="CR64" s="1482"/>
      <c r="CS64" s="1482"/>
      <c r="CT64" s="1482"/>
      <c r="CU64" s="1482"/>
      <c r="CV64" s="1482"/>
      <c r="CW64" s="1482"/>
      <c r="CX64" s="1482"/>
      <c r="CY64" s="1482"/>
      <c r="CZ64" s="1482"/>
      <c r="DA64" s="1482"/>
      <c r="DB64" s="1482"/>
      <c r="DC64" s="1482"/>
      <c r="DD64" s="1482"/>
      <c r="DE64" s="1482"/>
      <c r="DF64" s="1482"/>
      <c r="DH64" s="838">
        <f t="shared" si="124"/>
        <v>0</v>
      </c>
    </row>
    <row r="65" spans="1:112" s="1484" customFormat="1" ht="12.75" hidden="1" customHeight="1" outlineLevel="1">
      <c r="C65" s="746" t="s">
        <v>976</v>
      </c>
      <c r="D65" s="521" t="str">
        <f>INDEX(Modules[Module], MATCH($C65, Modules[Code], 0))</f>
        <v>Distributed solar PV</v>
      </c>
      <c r="E65" s="521"/>
      <c r="G65" s="1604">
        <f t="shared" ref="G65:P67" ca="1" si="171">IFERROR(INDEX(INDIRECT($C65&amp;".Outputs["&amp;this.Year&amp;"]"), MATCH(G$5, INDIRECT($C65&amp;".Outputs[Vector]"), 0)), 0)</f>
        <v>0</v>
      </c>
      <c r="H65" s="1604">
        <f t="shared" ca="1" si="171"/>
        <v>0</v>
      </c>
      <c r="I65" s="1604">
        <f t="shared" ca="1" si="171"/>
        <v>0</v>
      </c>
      <c r="J65" s="1604">
        <f t="shared" ca="1" si="171"/>
        <v>0</v>
      </c>
      <c r="K65" s="1605">
        <f t="shared" ca="1" si="171"/>
        <v>0</v>
      </c>
      <c r="L65" s="1604">
        <f t="shared" ca="1" si="171"/>
        <v>0</v>
      </c>
      <c r="M65" s="1604">
        <f t="shared" ca="1" si="171"/>
        <v>0</v>
      </c>
      <c r="N65" s="1604">
        <f t="shared" ca="1" si="171"/>
        <v>0</v>
      </c>
      <c r="O65" s="1604">
        <f t="shared" ca="1" si="171"/>
        <v>0</v>
      </c>
      <c r="P65" s="1604">
        <f t="shared" ca="1" si="171"/>
        <v>0</v>
      </c>
      <c r="Q65" s="963">
        <f ca="1">SUM(G65:P65)</f>
        <v>0</v>
      </c>
      <c r="S65" s="1606">
        <f t="shared" ref="S65:BE67" ca="1" si="172">IFERROR(INDEX(INDIRECT($C65&amp;".Outputs["&amp;this.Year&amp;"]"), MATCH(S$5, INDIRECT($C65&amp;".Outputs[Vector]"), 0)), 0)</f>
        <v>0</v>
      </c>
      <c r="T65" s="1606">
        <f t="shared" ca="1" si="172"/>
        <v>0</v>
      </c>
      <c r="U65" s="1606">
        <f t="shared" ca="1" si="172"/>
        <v>0</v>
      </c>
      <c r="V65" s="1606">
        <f t="shared" ca="1" si="172"/>
        <v>0</v>
      </c>
      <c r="W65" s="1606">
        <f t="shared" ca="1" si="172"/>
        <v>0</v>
      </c>
      <c r="X65" s="1606">
        <f t="shared" ref="X65:Z67" ca="1" si="173">IFERROR(INDEX(INDIRECT($C65&amp;".Outputs["&amp;this.Year&amp;"]"), MATCH(X$5, INDIRECT($C65&amp;".Outputs[Vector]"), 0)), 0)</f>
        <v>0</v>
      </c>
      <c r="Y65" s="1606">
        <f t="shared" ca="1" si="173"/>
        <v>0</v>
      </c>
      <c r="Z65" s="1606">
        <f t="shared" ca="1" si="173"/>
        <v>0</v>
      </c>
      <c r="AA65" s="1606">
        <f t="shared" ca="1" si="172"/>
        <v>0</v>
      </c>
      <c r="AB65" s="1606">
        <f t="shared" ca="1" si="172"/>
        <v>0</v>
      </c>
      <c r="AC65" s="1606">
        <f t="shared" ca="1" si="172"/>
        <v>0</v>
      </c>
      <c r="AD65" s="1606">
        <f t="shared" ca="1" si="172"/>
        <v>0</v>
      </c>
      <c r="AE65" s="1606">
        <f t="shared" ca="1" si="172"/>
        <v>0</v>
      </c>
      <c r="AF65" s="1606">
        <f t="shared" ca="1" si="172"/>
        <v>0</v>
      </c>
      <c r="AG65" s="1606">
        <f t="shared" ca="1" si="172"/>
        <v>0</v>
      </c>
      <c r="AH65" s="1606">
        <f t="shared" ca="1" si="172"/>
        <v>0</v>
      </c>
      <c r="AI65" s="1606">
        <f t="shared" ca="1" si="172"/>
        <v>0</v>
      </c>
      <c r="AJ65" s="1606">
        <f t="shared" ca="1" si="172"/>
        <v>0</v>
      </c>
      <c r="AK65" s="972">
        <f ca="1">SUM(S65:AJ65)</f>
        <v>0</v>
      </c>
      <c r="AM65" s="1607">
        <f t="shared" ref="AM65:AU67" ca="1" si="174">IFERROR(INDEX(INDIRECT($C65&amp;".Outputs["&amp;this.Year&amp;"]"), MATCH(AM$5, INDIRECT($C65&amp;".Outputs[Vector]"), 0)), 0)</f>
        <v>0</v>
      </c>
      <c r="AN65" s="1607">
        <f t="shared" ca="1" si="174"/>
        <v>0</v>
      </c>
      <c r="AO65" s="1607">
        <f t="shared" ca="1" si="174"/>
        <v>0</v>
      </c>
      <c r="AP65" s="1607">
        <f t="shared" ca="1" si="174"/>
        <v>0</v>
      </c>
      <c r="AQ65" s="1607">
        <f t="shared" ca="1" si="174"/>
        <v>0</v>
      </c>
      <c r="AR65" s="1607">
        <f t="shared" ca="1" si="174"/>
        <v>0</v>
      </c>
      <c r="AS65" s="1607">
        <f t="shared" ca="1" si="174"/>
        <v>0</v>
      </c>
      <c r="AT65" s="1607">
        <f t="shared" ca="1" si="174"/>
        <v>0</v>
      </c>
      <c r="AU65" s="1607">
        <f t="shared" ca="1" si="174"/>
        <v>0</v>
      </c>
      <c r="AV65" s="1607">
        <f t="shared" ca="1" si="172"/>
        <v>0</v>
      </c>
      <c r="AW65" s="1607">
        <f t="shared" ca="1" si="172"/>
        <v>0</v>
      </c>
      <c r="AX65" s="1607">
        <f t="shared" ca="1" si="172"/>
        <v>0</v>
      </c>
      <c r="AY65" s="1607">
        <f t="shared" ca="1" si="172"/>
        <v>0</v>
      </c>
      <c r="AZ65" s="1607">
        <f t="shared" ca="1" si="172"/>
        <v>0</v>
      </c>
      <c r="BA65" s="1607">
        <f t="shared" ca="1" si="172"/>
        <v>0</v>
      </c>
      <c r="BB65" s="1607">
        <f t="shared" ca="1" si="172"/>
        <v>0</v>
      </c>
      <c r="BC65" s="1607">
        <f t="shared" ca="1" si="172"/>
        <v>0</v>
      </c>
      <c r="BD65" s="1607">
        <f t="shared" ca="1" si="172"/>
        <v>0</v>
      </c>
      <c r="BE65" s="1607">
        <f t="shared" ca="1" si="172"/>
        <v>0</v>
      </c>
      <c r="BF65" s="979">
        <f ca="1">SUM(AM65:BE65)</f>
        <v>0</v>
      </c>
      <c r="BH65" s="1608">
        <f t="shared" ref="BH65:BI67" ca="1" si="175">IFERROR(INDEX(INDIRECT($C65&amp;".Outputs["&amp;this.Year&amp;"]"), MATCH(BH$5, INDIRECT($C65&amp;".Outputs[Vector]"), 0)), 0)</f>
        <v>0</v>
      </c>
      <c r="BI65" s="1608">
        <f t="shared" ca="1" si="175"/>
        <v>0</v>
      </c>
      <c r="BJ65" s="992">
        <f ca="1">SUM(BH65:BI65)</f>
        <v>0</v>
      </c>
      <c r="BL65" s="814">
        <f t="shared" ref="BL65:BL70" ca="1" si="176">Q65+AK65+BF65+BJ65</f>
        <v>0</v>
      </c>
      <c r="BM65" s="814"/>
      <c r="BO65" s="1602">
        <f t="shared" ref="BO65:DF67" ca="1" si="177">IFERROR(SUMIFS(INDIRECT($C65&amp;".Emissions["&amp;this.Year&amp;"]"), INDIRECT($C65&amp;".Emissions[GHG]"), BO$6, INDIRECT($C65&amp;".Emissions[IPCC Sector]"), BO$5),0)</f>
        <v>0</v>
      </c>
      <c r="BP65" s="1602">
        <f t="shared" ca="1" si="177"/>
        <v>0</v>
      </c>
      <c r="BQ65" s="1602">
        <f t="shared" ca="1" si="177"/>
        <v>0</v>
      </c>
      <c r="BR65" s="1602">
        <f t="shared" ca="1" si="177"/>
        <v>0</v>
      </c>
      <c r="BS65" s="1602">
        <f t="shared" ca="1" si="177"/>
        <v>0</v>
      </c>
      <c r="BT65" s="1602">
        <f t="shared" ca="1" si="177"/>
        <v>0</v>
      </c>
      <c r="BU65" s="1602">
        <f t="shared" ca="1" si="177"/>
        <v>0</v>
      </c>
      <c r="BV65" s="1602">
        <f t="shared" ca="1" si="177"/>
        <v>0</v>
      </c>
      <c r="BW65" s="1602">
        <f t="shared" ca="1" si="177"/>
        <v>0</v>
      </c>
      <c r="BX65" s="1602">
        <f t="shared" ca="1" si="177"/>
        <v>0</v>
      </c>
      <c r="BY65" s="1602">
        <f t="shared" ca="1" si="177"/>
        <v>0</v>
      </c>
      <c r="BZ65" s="1602">
        <f t="shared" ca="1" si="177"/>
        <v>0</v>
      </c>
      <c r="CA65" s="1602">
        <f t="shared" ca="1" si="177"/>
        <v>0</v>
      </c>
      <c r="CB65" s="1602">
        <f t="shared" ca="1" si="177"/>
        <v>0</v>
      </c>
      <c r="CC65" s="1602">
        <f t="shared" ca="1" si="177"/>
        <v>0</v>
      </c>
      <c r="CD65" s="1602">
        <f t="shared" ca="1" si="177"/>
        <v>0</v>
      </c>
      <c r="CE65" s="1602">
        <f t="shared" ca="1" si="177"/>
        <v>0</v>
      </c>
      <c r="CF65" s="1602">
        <f t="shared" ca="1" si="177"/>
        <v>0</v>
      </c>
      <c r="CG65" s="1602">
        <f t="shared" ca="1" si="177"/>
        <v>0</v>
      </c>
      <c r="CH65" s="1602">
        <f t="shared" ca="1" si="177"/>
        <v>0</v>
      </c>
      <c r="CI65" s="1602">
        <f t="shared" ca="1" si="177"/>
        <v>0</v>
      </c>
      <c r="CJ65" s="1602">
        <f t="shared" ca="1" si="177"/>
        <v>0</v>
      </c>
      <c r="CK65" s="1602">
        <f t="shared" ca="1" si="177"/>
        <v>0</v>
      </c>
      <c r="CL65" s="1602">
        <f t="shared" ca="1" si="177"/>
        <v>0</v>
      </c>
      <c r="CM65" s="1602">
        <f t="shared" ca="1" si="177"/>
        <v>0</v>
      </c>
      <c r="CN65" s="1602">
        <f t="shared" ca="1" si="177"/>
        <v>0</v>
      </c>
      <c r="CO65" s="1602">
        <f t="shared" ca="1" si="177"/>
        <v>0</v>
      </c>
      <c r="CP65" s="1602">
        <f t="shared" ca="1" si="177"/>
        <v>0</v>
      </c>
      <c r="CQ65" s="1602">
        <f t="shared" ca="1" si="177"/>
        <v>0</v>
      </c>
      <c r="CR65" s="1602">
        <f t="shared" ca="1" si="177"/>
        <v>0</v>
      </c>
      <c r="CS65" s="1602">
        <f t="shared" ca="1" si="177"/>
        <v>0</v>
      </c>
      <c r="CT65" s="1602">
        <f t="shared" ca="1" si="177"/>
        <v>0</v>
      </c>
      <c r="CU65" s="1602">
        <f t="shared" ca="1" si="177"/>
        <v>0</v>
      </c>
      <c r="CV65" s="1602">
        <f t="shared" ca="1" si="177"/>
        <v>0</v>
      </c>
      <c r="CW65" s="1602">
        <f t="shared" ca="1" si="177"/>
        <v>0</v>
      </c>
      <c r="CX65" s="1602">
        <f t="shared" ca="1" si="177"/>
        <v>0</v>
      </c>
      <c r="CY65" s="1602">
        <f t="shared" ca="1" si="177"/>
        <v>0</v>
      </c>
      <c r="CZ65" s="1602">
        <f t="shared" ca="1" si="177"/>
        <v>0</v>
      </c>
      <c r="DA65" s="1602">
        <f t="shared" ca="1" si="177"/>
        <v>0</v>
      </c>
      <c r="DB65" s="1602">
        <f t="shared" ca="1" si="177"/>
        <v>0</v>
      </c>
      <c r="DC65" s="1602">
        <f t="shared" ca="1" si="177"/>
        <v>0</v>
      </c>
      <c r="DD65" s="1602">
        <f t="shared" ca="1" si="177"/>
        <v>0</v>
      </c>
      <c r="DE65" s="1602">
        <f t="shared" ca="1" si="177"/>
        <v>0</v>
      </c>
      <c r="DF65" s="1602">
        <f t="shared" ca="1" si="177"/>
        <v>0</v>
      </c>
      <c r="DH65" s="1603">
        <f t="shared" ca="1" si="124"/>
        <v>0</v>
      </c>
    </row>
    <row r="66" spans="1:112" s="1484" customFormat="1" ht="12.75" hidden="1" customHeight="1" outlineLevel="1">
      <c r="C66" s="746" t="s">
        <v>1329</v>
      </c>
      <c r="D66" s="521" t="str">
        <f>INDEX(Modules[Module], MATCH($C66, Modules[Code], 0))</f>
        <v>Distributed solar thermal</v>
      </c>
      <c r="E66" s="521"/>
      <c r="G66" s="1604">
        <f t="shared" ca="1" si="171"/>
        <v>0</v>
      </c>
      <c r="H66" s="1604">
        <f t="shared" ca="1" si="171"/>
        <v>0</v>
      </c>
      <c r="I66" s="1604">
        <f t="shared" ca="1" si="171"/>
        <v>0</v>
      </c>
      <c r="J66" s="1604">
        <f t="shared" ca="1" si="171"/>
        <v>0</v>
      </c>
      <c r="K66" s="1605">
        <f t="shared" ca="1" si="171"/>
        <v>0</v>
      </c>
      <c r="L66" s="1604">
        <f t="shared" ca="1" si="171"/>
        <v>0</v>
      </c>
      <c r="M66" s="1604">
        <f t="shared" ca="1" si="171"/>
        <v>0</v>
      </c>
      <c r="N66" s="1604">
        <f t="shared" ca="1" si="171"/>
        <v>0</v>
      </c>
      <c r="O66" s="1604">
        <f t="shared" ca="1" si="171"/>
        <v>0</v>
      </c>
      <c r="P66" s="1604">
        <f t="shared" ca="1" si="171"/>
        <v>0</v>
      </c>
      <c r="Q66" s="963">
        <f ca="1">SUM(G66:P66)</f>
        <v>0</v>
      </c>
      <c r="S66" s="1606">
        <f t="shared" ca="1" si="172"/>
        <v>0</v>
      </c>
      <c r="T66" s="1606">
        <f t="shared" ca="1" si="172"/>
        <v>0</v>
      </c>
      <c r="U66" s="1606">
        <f t="shared" ca="1" si="172"/>
        <v>0</v>
      </c>
      <c r="V66" s="1606">
        <f t="shared" ca="1" si="172"/>
        <v>0</v>
      </c>
      <c r="W66" s="1606">
        <f t="shared" ca="1" si="172"/>
        <v>0</v>
      </c>
      <c r="X66" s="1606">
        <f t="shared" ca="1" si="173"/>
        <v>0</v>
      </c>
      <c r="Y66" s="1606">
        <f t="shared" ca="1" si="173"/>
        <v>0</v>
      </c>
      <c r="Z66" s="1606">
        <f t="shared" ca="1" si="173"/>
        <v>0</v>
      </c>
      <c r="AA66" s="1606">
        <f t="shared" ca="1" si="172"/>
        <v>0</v>
      </c>
      <c r="AB66" s="1606">
        <f t="shared" ca="1" si="172"/>
        <v>0</v>
      </c>
      <c r="AC66" s="1606">
        <f t="shared" ca="1" si="172"/>
        <v>0</v>
      </c>
      <c r="AD66" s="1606">
        <f t="shared" ca="1" si="172"/>
        <v>0</v>
      </c>
      <c r="AE66" s="1606">
        <f t="shared" ca="1" si="172"/>
        <v>0</v>
      </c>
      <c r="AF66" s="1606">
        <f t="shared" ca="1" si="172"/>
        <v>0</v>
      </c>
      <c r="AG66" s="1606">
        <f t="shared" ca="1" si="172"/>
        <v>0</v>
      </c>
      <c r="AH66" s="1606">
        <f t="shared" ca="1" si="172"/>
        <v>0</v>
      </c>
      <c r="AI66" s="1606">
        <f t="shared" ca="1" si="172"/>
        <v>0</v>
      </c>
      <c r="AJ66" s="1606">
        <f t="shared" ca="1" si="172"/>
        <v>0</v>
      </c>
      <c r="AK66" s="972">
        <f ca="1">SUM(S66:AJ66)</f>
        <v>0</v>
      </c>
      <c r="AM66" s="1607">
        <f t="shared" ca="1" si="174"/>
        <v>0</v>
      </c>
      <c r="AN66" s="1607">
        <f t="shared" ca="1" si="174"/>
        <v>0</v>
      </c>
      <c r="AO66" s="1607">
        <f t="shared" ca="1" si="174"/>
        <v>0</v>
      </c>
      <c r="AP66" s="1607">
        <f t="shared" ca="1" si="174"/>
        <v>0</v>
      </c>
      <c r="AQ66" s="1607">
        <f t="shared" ca="1" si="174"/>
        <v>0</v>
      </c>
      <c r="AR66" s="1607">
        <f t="shared" ca="1" si="174"/>
        <v>0</v>
      </c>
      <c r="AS66" s="1607">
        <f t="shared" ca="1" si="174"/>
        <v>0</v>
      </c>
      <c r="AT66" s="1607">
        <f t="shared" ca="1" si="174"/>
        <v>0</v>
      </c>
      <c r="AU66" s="1607">
        <f t="shared" ca="1" si="174"/>
        <v>0</v>
      </c>
      <c r="AV66" s="1607">
        <f t="shared" ca="1" si="172"/>
        <v>0</v>
      </c>
      <c r="AW66" s="1607">
        <f t="shared" ca="1" si="172"/>
        <v>0</v>
      </c>
      <c r="AX66" s="1607">
        <f t="shared" ca="1" si="172"/>
        <v>0</v>
      </c>
      <c r="AY66" s="1607">
        <f t="shared" ca="1" si="172"/>
        <v>0</v>
      </c>
      <c r="AZ66" s="1607">
        <f t="shared" ca="1" si="172"/>
        <v>0</v>
      </c>
      <c r="BA66" s="1607">
        <f t="shared" ca="1" si="172"/>
        <v>0</v>
      </c>
      <c r="BB66" s="1607">
        <f t="shared" ca="1" si="172"/>
        <v>0</v>
      </c>
      <c r="BC66" s="1607">
        <f t="shared" ca="1" si="172"/>
        <v>0</v>
      </c>
      <c r="BD66" s="1607">
        <f t="shared" ca="1" si="172"/>
        <v>0</v>
      </c>
      <c r="BE66" s="1607">
        <f t="shared" ca="1" si="172"/>
        <v>0</v>
      </c>
      <c r="BF66" s="979">
        <f ca="1">SUM(AM66:BE66)</f>
        <v>0</v>
      </c>
      <c r="BH66" s="1608">
        <f t="shared" ca="1" si="175"/>
        <v>0</v>
      </c>
      <c r="BI66" s="1608">
        <f t="shared" ca="1" si="175"/>
        <v>0</v>
      </c>
      <c r="BJ66" s="992">
        <f ca="1">SUM(BH66:BI66)</f>
        <v>0</v>
      </c>
      <c r="BL66" s="814">
        <f t="shared" ca="1" si="176"/>
        <v>0</v>
      </c>
      <c r="BM66" s="814"/>
      <c r="BO66" s="1602">
        <f t="shared" ca="1" si="177"/>
        <v>0</v>
      </c>
      <c r="BP66" s="1602">
        <f t="shared" ca="1" si="177"/>
        <v>0</v>
      </c>
      <c r="BQ66" s="1602">
        <f t="shared" ca="1" si="177"/>
        <v>0</v>
      </c>
      <c r="BR66" s="1602">
        <f t="shared" ca="1" si="177"/>
        <v>0</v>
      </c>
      <c r="BS66" s="1602">
        <f t="shared" ca="1" si="177"/>
        <v>0</v>
      </c>
      <c r="BT66" s="1602">
        <f t="shared" ca="1" si="177"/>
        <v>0</v>
      </c>
      <c r="BU66" s="1602">
        <f t="shared" ca="1" si="177"/>
        <v>0</v>
      </c>
      <c r="BV66" s="1602">
        <f t="shared" ca="1" si="177"/>
        <v>0</v>
      </c>
      <c r="BW66" s="1602">
        <f t="shared" ca="1" si="177"/>
        <v>0</v>
      </c>
      <c r="BX66" s="1602">
        <f t="shared" ca="1" si="177"/>
        <v>0</v>
      </c>
      <c r="BY66" s="1602">
        <f t="shared" ca="1" si="177"/>
        <v>0</v>
      </c>
      <c r="BZ66" s="1602">
        <f t="shared" ca="1" si="177"/>
        <v>0</v>
      </c>
      <c r="CA66" s="1602">
        <f t="shared" ca="1" si="177"/>
        <v>0</v>
      </c>
      <c r="CB66" s="1602">
        <f t="shared" ca="1" si="177"/>
        <v>0</v>
      </c>
      <c r="CC66" s="1602">
        <f t="shared" ca="1" si="177"/>
        <v>0</v>
      </c>
      <c r="CD66" s="1602">
        <f t="shared" ca="1" si="177"/>
        <v>0</v>
      </c>
      <c r="CE66" s="1602">
        <f t="shared" ca="1" si="177"/>
        <v>0</v>
      </c>
      <c r="CF66" s="1602">
        <f t="shared" ca="1" si="177"/>
        <v>0</v>
      </c>
      <c r="CG66" s="1602">
        <f t="shared" ca="1" si="177"/>
        <v>0</v>
      </c>
      <c r="CH66" s="1602">
        <f t="shared" ca="1" si="177"/>
        <v>0</v>
      </c>
      <c r="CI66" s="1602">
        <f t="shared" ca="1" si="177"/>
        <v>0</v>
      </c>
      <c r="CJ66" s="1602">
        <f t="shared" ca="1" si="177"/>
        <v>0</v>
      </c>
      <c r="CK66" s="1602">
        <f t="shared" ca="1" si="177"/>
        <v>0</v>
      </c>
      <c r="CL66" s="1602">
        <f t="shared" ca="1" si="177"/>
        <v>0</v>
      </c>
      <c r="CM66" s="1602">
        <f t="shared" ca="1" si="177"/>
        <v>0</v>
      </c>
      <c r="CN66" s="1602">
        <f t="shared" ca="1" si="177"/>
        <v>0</v>
      </c>
      <c r="CO66" s="1602">
        <f t="shared" ca="1" si="177"/>
        <v>0</v>
      </c>
      <c r="CP66" s="1602">
        <f t="shared" ca="1" si="177"/>
        <v>0</v>
      </c>
      <c r="CQ66" s="1602">
        <f t="shared" ca="1" si="177"/>
        <v>0</v>
      </c>
      <c r="CR66" s="1602">
        <f t="shared" ca="1" si="177"/>
        <v>0</v>
      </c>
      <c r="CS66" s="1602">
        <f t="shared" ca="1" si="177"/>
        <v>0</v>
      </c>
      <c r="CT66" s="1602">
        <f t="shared" ca="1" si="177"/>
        <v>0</v>
      </c>
      <c r="CU66" s="1602">
        <f t="shared" ca="1" si="177"/>
        <v>0</v>
      </c>
      <c r="CV66" s="1602">
        <f t="shared" ca="1" si="177"/>
        <v>0</v>
      </c>
      <c r="CW66" s="1602">
        <f t="shared" ca="1" si="177"/>
        <v>0</v>
      </c>
      <c r="CX66" s="1602">
        <f t="shared" ca="1" si="177"/>
        <v>0</v>
      </c>
      <c r="CY66" s="1602">
        <f t="shared" ca="1" si="177"/>
        <v>0</v>
      </c>
      <c r="CZ66" s="1602">
        <f t="shared" ca="1" si="177"/>
        <v>0</v>
      </c>
      <c r="DA66" s="1602">
        <f t="shared" ca="1" si="177"/>
        <v>0</v>
      </c>
      <c r="DB66" s="1602">
        <f t="shared" ca="1" si="177"/>
        <v>0</v>
      </c>
      <c r="DC66" s="1602">
        <f t="shared" ca="1" si="177"/>
        <v>0</v>
      </c>
      <c r="DD66" s="1602">
        <f t="shared" ca="1" si="177"/>
        <v>0</v>
      </c>
      <c r="DE66" s="1602">
        <f t="shared" ca="1" si="177"/>
        <v>0</v>
      </c>
      <c r="DF66" s="1602">
        <f t="shared" ca="1" si="177"/>
        <v>0</v>
      </c>
      <c r="DH66" s="1603">
        <f t="shared" ca="1" si="124"/>
        <v>0</v>
      </c>
    </row>
    <row r="67" spans="1:112" s="1484" customFormat="1" ht="12.75" hidden="1" customHeight="1" outlineLevel="1">
      <c r="C67" s="746" t="s">
        <v>1597</v>
      </c>
      <c r="D67" s="1010" t="str">
        <f>INDEX(Modules[Module], MATCH($C67, Modules[Code], 0))</f>
        <v>Micro wind</v>
      </c>
      <c r="E67" s="1010"/>
      <c r="F67" s="743"/>
      <c r="G67" s="1022">
        <f t="shared" ca="1" si="171"/>
        <v>0</v>
      </c>
      <c r="H67" s="1022">
        <f t="shared" ca="1" si="171"/>
        <v>0</v>
      </c>
      <c r="I67" s="1022">
        <f t="shared" ca="1" si="171"/>
        <v>0</v>
      </c>
      <c r="J67" s="1022">
        <f t="shared" ca="1" si="171"/>
        <v>0</v>
      </c>
      <c r="K67" s="1022">
        <f t="shared" ca="1" si="171"/>
        <v>0</v>
      </c>
      <c r="L67" s="1022">
        <f t="shared" ca="1" si="171"/>
        <v>0</v>
      </c>
      <c r="M67" s="1022">
        <f t="shared" ca="1" si="171"/>
        <v>0</v>
      </c>
      <c r="N67" s="1022">
        <f t="shared" ca="1" si="171"/>
        <v>0</v>
      </c>
      <c r="O67" s="1022">
        <f t="shared" ca="1" si="171"/>
        <v>0</v>
      </c>
      <c r="P67" s="1022">
        <f t="shared" ca="1" si="171"/>
        <v>0</v>
      </c>
      <c r="Q67" s="1020">
        <f ca="1">SUM(G67:P67)</f>
        <v>0</v>
      </c>
      <c r="R67" s="743"/>
      <c r="S67" s="1031">
        <f t="shared" ca="1" si="172"/>
        <v>0</v>
      </c>
      <c r="T67" s="1031">
        <f t="shared" ca="1" si="172"/>
        <v>0</v>
      </c>
      <c r="U67" s="1031">
        <f t="shared" ca="1" si="172"/>
        <v>0</v>
      </c>
      <c r="V67" s="1031">
        <f t="shared" ca="1" si="172"/>
        <v>0</v>
      </c>
      <c r="W67" s="1031">
        <f t="shared" ca="1" si="172"/>
        <v>0</v>
      </c>
      <c r="X67" s="1031">
        <f t="shared" ca="1" si="173"/>
        <v>0</v>
      </c>
      <c r="Y67" s="1031">
        <f t="shared" ca="1" si="173"/>
        <v>0</v>
      </c>
      <c r="Z67" s="1031">
        <f t="shared" ca="1" si="173"/>
        <v>0</v>
      </c>
      <c r="AA67" s="1031">
        <f t="shared" ca="1" si="172"/>
        <v>0</v>
      </c>
      <c r="AB67" s="1031">
        <f t="shared" ca="1" si="172"/>
        <v>0</v>
      </c>
      <c r="AC67" s="1031">
        <f t="shared" ca="1" si="172"/>
        <v>0</v>
      </c>
      <c r="AD67" s="1031">
        <f t="shared" ca="1" si="172"/>
        <v>0</v>
      </c>
      <c r="AE67" s="1031">
        <f t="shared" ca="1" si="172"/>
        <v>0</v>
      </c>
      <c r="AF67" s="1031">
        <f t="shared" ca="1" si="172"/>
        <v>0</v>
      </c>
      <c r="AG67" s="1031">
        <f t="shared" ca="1" si="172"/>
        <v>0</v>
      </c>
      <c r="AH67" s="1031">
        <f t="shared" ca="1" si="172"/>
        <v>0</v>
      </c>
      <c r="AI67" s="1031">
        <f t="shared" ca="1" si="172"/>
        <v>0</v>
      </c>
      <c r="AJ67" s="1031">
        <f t="shared" ca="1" si="172"/>
        <v>0</v>
      </c>
      <c r="AK67" s="1030">
        <f ca="1">SUM(S67:AJ67)</f>
        <v>0</v>
      </c>
      <c r="AL67" s="743"/>
      <c r="AM67" s="1042">
        <f t="shared" ca="1" si="174"/>
        <v>0</v>
      </c>
      <c r="AN67" s="1042">
        <f t="shared" ca="1" si="174"/>
        <v>0</v>
      </c>
      <c r="AO67" s="1042">
        <f t="shared" ca="1" si="174"/>
        <v>0</v>
      </c>
      <c r="AP67" s="1042">
        <f t="shared" ca="1" si="174"/>
        <v>0</v>
      </c>
      <c r="AQ67" s="1042">
        <f t="shared" ca="1" si="174"/>
        <v>0</v>
      </c>
      <c r="AR67" s="1042">
        <f t="shared" ca="1" si="174"/>
        <v>0</v>
      </c>
      <c r="AS67" s="1042">
        <f t="shared" ca="1" si="174"/>
        <v>0</v>
      </c>
      <c r="AT67" s="1042">
        <f t="shared" ca="1" si="174"/>
        <v>0</v>
      </c>
      <c r="AU67" s="1042">
        <f t="shared" ca="1" si="174"/>
        <v>0</v>
      </c>
      <c r="AV67" s="1042">
        <f t="shared" ca="1" si="172"/>
        <v>0</v>
      </c>
      <c r="AW67" s="1042">
        <f t="shared" ca="1" si="172"/>
        <v>0</v>
      </c>
      <c r="AX67" s="1042">
        <f t="shared" ca="1" si="172"/>
        <v>0</v>
      </c>
      <c r="AY67" s="1042">
        <f t="shared" ca="1" si="172"/>
        <v>0</v>
      </c>
      <c r="AZ67" s="1042">
        <f t="shared" ca="1" si="172"/>
        <v>0</v>
      </c>
      <c r="BA67" s="1042">
        <f t="shared" ca="1" si="172"/>
        <v>0</v>
      </c>
      <c r="BB67" s="1042">
        <f t="shared" ca="1" si="172"/>
        <v>0</v>
      </c>
      <c r="BC67" s="1042">
        <f t="shared" ca="1" si="172"/>
        <v>0</v>
      </c>
      <c r="BD67" s="1042">
        <f t="shared" ca="1" si="172"/>
        <v>0</v>
      </c>
      <c r="BE67" s="1042">
        <f t="shared" ca="1" si="172"/>
        <v>0</v>
      </c>
      <c r="BF67" s="1012">
        <f ca="1">SUM(AM67:BE67)</f>
        <v>0</v>
      </c>
      <c r="BG67" s="743"/>
      <c r="BH67" s="1036">
        <f t="shared" ca="1" si="175"/>
        <v>0</v>
      </c>
      <c r="BI67" s="1036">
        <f t="shared" ca="1" si="175"/>
        <v>0</v>
      </c>
      <c r="BJ67" s="1035">
        <f ca="1">SUM(BH67:BI67)</f>
        <v>0</v>
      </c>
      <c r="BK67" s="743"/>
      <c r="BL67" s="814">
        <f t="shared" ca="1" si="176"/>
        <v>0</v>
      </c>
      <c r="BM67" s="814"/>
      <c r="BN67" s="840"/>
      <c r="BO67" s="1485">
        <f t="shared" ca="1" si="177"/>
        <v>0</v>
      </c>
      <c r="BP67" s="1486">
        <f t="shared" ca="1" si="177"/>
        <v>0</v>
      </c>
      <c r="BQ67" s="1486">
        <f t="shared" ca="1" si="177"/>
        <v>0</v>
      </c>
      <c r="BR67" s="1486">
        <f t="shared" ca="1" si="177"/>
        <v>0</v>
      </c>
      <c r="BS67" s="1486">
        <f t="shared" ca="1" si="177"/>
        <v>0</v>
      </c>
      <c r="BT67" s="1486">
        <f t="shared" ca="1" si="177"/>
        <v>0</v>
      </c>
      <c r="BU67" s="1486">
        <f t="shared" ca="1" si="177"/>
        <v>0</v>
      </c>
      <c r="BV67" s="1486">
        <f t="shared" ca="1" si="177"/>
        <v>0</v>
      </c>
      <c r="BW67" s="1486">
        <f t="shared" ca="1" si="177"/>
        <v>0</v>
      </c>
      <c r="BX67" s="1486">
        <f t="shared" ca="1" si="177"/>
        <v>0</v>
      </c>
      <c r="BY67" s="1486">
        <f t="shared" ca="1" si="177"/>
        <v>0</v>
      </c>
      <c r="BZ67" s="1486">
        <f t="shared" ca="1" si="177"/>
        <v>0</v>
      </c>
      <c r="CA67" s="1486">
        <f t="shared" ca="1" si="177"/>
        <v>0</v>
      </c>
      <c r="CB67" s="1486">
        <f t="shared" ca="1" si="177"/>
        <v>0</v>
      </c>
      <c r="CC67" s="1486">
        <f t="shared" ca="1" si="177"/>
        <v>0</v>
      </c>
      <c r="CD67" s="1486">
        <f t="shared" ca="1" si="177"/>
        <v>0</v>
      </c>
      <c r="CE67" s="1486">
        <f t="shared" ca="1" si="177"/>
        <v>0</v>
      </c>
      <c r="CF67" s="1486">
        <f t="shared" ca="1" si="177"/>
        <v>0</v>
      </c>
      <c r="CG67" s="1486">
        <f t="shared" ca="1" si="177"/>
        <v>0</v>
      </c>
      <c r="CH67" s="1486">
        <f t="shared" ca="1" si="177"/>
        <v>0</v>
      </c>
      <c r="CI67" s="1486">
        <f t="shared" ca="1" si="177"/>
        <v>0</v>
      </c>
      <c r="CJ67" s="1486">
        <f t="shared" ca="1" si="177"/>
        <v>0</v>
      </c>
      <c r="CK67" s="1486">
        <f t="shared" ca="1" si="177"/>
        <v>0</v>
      </c>
      <c r="CL67" s="1486">
        <f t="shared" ca="1" si="177"/>
        <v>0</v>
      </c>
      <c r="CM67" s="1486">
        <f t="shared" ca="1" si="177"/>
        <v>0</v>
      </c>
      <c r="CN67" s="1486">
        <f t="shared" ca="1" si="177"/>
        <v>0</v>
      </c>
      <c r="CO67" s="1486">
        <f t="shared" ca="1" si="177"/>
        <v>0</v>
      </c>
      <c r="CP67" s="1486">
        <f t="shared" ca="1" si="177"/>
        <v>0</v>
      </c>
      <c r="CQ67" s="1486">
        <f t="shared" ca="1" si="177"/>
        <v>0</v>
      </c>
      <c r="CR67" s="1486">
        <f t="shared" ca="1" si="177"/>
        <v>0</v>
      </c>
      <c r="CS67" s="1486">
        <f t="shared" ca="1" si="177"/>
        <v>0</v>
      </c>
      <c r="CT67" s="1486">
        <f t="shared" ca="1" si="177"/>
        <v>0</v>
      </c>
      <c r="CU67" s="1486">
        <f t="shared" ca="1" si="177"/>
        <v>0</v>
      </c>
      <c r="CV67" s="1486">
        <f t="shared" ca="1" si="177"/>
        <v>0</v>
      </c>
      <c r="CW67" s="1486">
        <f t="shared" ca="1" si="177"/>
        <v>0</v>
      </c>
      <c r="CX67" s="1486">
        <f t="shared" ca="1" si="177"/>
        <v>0</v>
      </c>
      <c r="CY67" s="1486">
        <f t="shared" ca="1" si="177"/>
        <v>0</v>
      </c>
      <c r="CZ67" s="1486">
        <f t="shared" ca="1" si="177"/>
        <v>0</v>
      </c>
      <c r="DA67" s="1486">
        <f t="shared" ca="1" si="177"/>
        <v>0</v>
      </c>
      <c r="DB67" s="1486">
        <f t="shared" ca="1" si="177"/>
        <v>0</v>
      </c>
      <c r="DC67" s="1486">
        <f t="shared" ca="1" si="177"/>
        <v>0</v>
      </c>
      <c r="DD67" s="1486">
        <f t="shared" ca="1" si="177"/>
        <v>0</v>
      </c>
      <c r="DE67" s="1486">
        <f t="shared" ca="1" si="177"/>
        <v>0</v>
      </c>
      <c r="DF67" s="1486">
        <f t="shared" ca="1" si="177"/>
        <v>0</v>
      </c>
      <c r="DH67" s="838">
        <f t="shared" ca="1" si="124"/>
        <v>0</v>
      </c>
    </row>
    <row r="68" spans="1:112" s="743" customFormat="1" ht="15.75" collapsed="1">
      <c r="A68" s="22"/>
      <c r="B68" s="753"/>
      <c r="C68" s="744" t="s">
        <v>77</v>
      </c>
      <c r="D68" s="517" t="str">
        <f>INDEX(Workstreams[Workstream], MATCH($C68, Workstreams[Code], 0))</f>
        <v>Distributed renewable power generation</v>
      </c>
      <c r="E68" s="512"/>
      <c r="G68" s="1021">
        <f ca="1">SUM(G65:G67)</f>
        <v>0</v>
      </c>
      <c r="H68" s="1021">
        <f t="shared" ref="H68:P68" ca="1" si="178">SUM(H65:H67)</f>
        <v>0</v>
      </c>
      <c r="I68" s="1021">
        <f t="shared" ca="1" si="178"/>
        <v>0</v>
      </c>
      <c r="J68" s="1021">
        <f t="shared" ca="1" si="178"/>
        <v>0</v>
      </c>
      <c r="K68" s="1021">
        <f t="shared" ca="1" si="178"/>
        <v>0</v>
      </c>
      <c r="L68" s="1021">
        <f t="shared" ca="1" si="178"/>
        <v>0</v>
      </c>
      <c r="M68" s="1021">
        <f t="shared" ca="1" si="178"/>
        <v>0</v>
      </c>
      <c r="N68" s="1021">
        <f t="shared" ca="1" si="178"/>
        <v>0</v>
      </c>
      <c r="O68" s="1021">
        <f t="shared" ca="1" si="178"/>
        <v>0</v>
      </c>
      <c r="P68" s="1021">
        <f t="shared" ca="1" si="178"/>
        <v>0</v>
      </c>
      <c r="Q68" s="1021">
        <f ca="1">SUM(G68:P68)</f>
        <v>0</v>
      </c>
      <c r="S68" s="970">
        <f t="shared" ref="S68:AJ68" ca="1" si="179">SUM(S65:S67)</f>
        <v>0</v>
      </c>
      <c r="T68" s="970">
        <f t="shared" ca="1" si="179"/>
        <v>0</v>
      </c>
      <c r="U68" s="970">
        <f t="shared" ca="1" si="179"/>
        <v>0</v>
      </c>
      <c r="V68" s="970">
        <f t="shared" ca="1" si="179"/>
        <v>0</v>
      </c>
      <c r="W68" s="970">
        <f t="shared" ca="1" si="179"/>
        <v>0</v>
      </c>
      <c r="X68" s="970">
        <f t="shared" ca="1" si="179"/>
        <v>0</v>
      </c>
      <c r="Y68" s="970">
        <f t="shared" ca="1" si="179"/>
        <v>0</v>
      </c>
      <c r="Z68" s="970">
        <f t="shared" ca="1" si="179"/>
        <v>0</v>
      </c>
      <c r="AA68" s="970">
        <f t="shared" ca="1" si="179"/>
        <v>0</v>
      </c>
      <c r="AB68" s="970">
        <f t="shared" ca="1" si="179"/>
        <v>0</v>
      </c>
      <c r="AC68" s="970">
        <f t="shared" ca="1" si="179"/>
        <v>0</v>
      </c>
      <c r="AD68" s="970">
        <f t="shared" ca="1" si="179"/>
        <v>0</v>
      </c>
      <c r="AE68" s="970">
        <f ca="1">SUM(AE65:AE67)</f>
        <v>0</v>
      </c>
      <c r="AF68" s="970">
        <f t="shared" ca="1" si="179"/>
        <v>0</v>
      </c>
      <c r="AG68" s="970">
        <f t="shared" ca="1" si="179"/>
        <v>0</v>
      </c>
      <c r="AH68" s="970">
        <f ca="1">SUM(AH65:AH67)</f>
        <v>0</v>
      </c>
      <c r="AI68" s="970">
        <f t="shared" ca="1" si="179"/>
        <v>0</v>
      </c>
      <c r="AJ68" s="970">
        <f t="shared" ca="1" si="179"/>
        <v>0</v>
      </c>
      <c r="AK68" s="970">
        <f ca="1">SUM(S68:AJ68)</f>
        <v>0</v>
      </c>
      <c r="AM68" s="976">
        <f t="shared" ref="AM68:BE68" ca="1" si="180">SUM(AM65:AM67)</f>
        <v>0</v>
      </c>
      <c r="AN68" s="976">
        <f t="shared" ca="1" si="180"/>
        <v>0</v>
      </c>
      <c r="AO68" s="976">
        <f t="shared" ca="1" si="180"/>
        <v>0</v>
      </c>
      <c r="AP68" s="976">
        <f t="shared" ca="1" si="180"/>
        <v>0</v>
      </c>
      <c r="AQ68" s="976">
        <f t="shared" ca="1" si="180"/>
        <v>0</v>
      </c>
      <c r="AR68" s="976">
        <f t="shared" ca="1" si="180"/>
        <v>0</v>
      </c>
      <c r="AS68" s="976">
        <f t="shared" ca="1" si="180"/>
        <v>0</v>
      </c>
      <c r="AT68" s="976">
        <f t="shared" ca="1" si="180"/>
        <v>0</v>
      </c>
      <c r="AU68" s="976">
        <f t="shared" ca="1" si="180"/>
        <v>0</v>
      </c>
      <c r="AV68" s="976">
        <f t="shared" ca="1" si="180"/>
        <v>0</v>
      </c>
      <c r="AW68" s="976">
        <f t="shared" ca="1" si="180"/>
        <v>0</v>
      </c>
      <c r="AX68" s="976">
        <f t="shared" ca="1" si="180"/>
        <v>0</v>
      </c>
      <c r="AY68" s="976">
        <f t="shared" ca="1" si="180"/>
        <v>0</v>
      </c>
      <c r="AZ68" s="976">
        <f t="shared" ca="1" si="180"/>
        <v>0</v>
      </c>
      <c r="BA68" s="976">
        <f t="shared" ca="1" si="180"/>
        <v>0</v>
      </c>
      <c r="BB68" s="976">
        <f t="shared" ca="1" si="180"/>
        <v>0</v>
      </c>
      <c r="BC68" s="976">
        <f t="shared" ca="1" si="180"/>
        <v>0</v>
      </c>
      <c r="BD68" s="976">
        <f t="shared" ca="1" si="180"/>
        <v>0</v>
      </c>
      <c r="BE68" s="976">
        <f t="shared" ca="1" si="180"/>
        <v>0</v>
      </c>
      <c r="BF68" s="976">
        <f ca="1">SUM(AM68:BE68)</f>
        <v>0</v>
      </c>
      <c r="BH68" s="990">
        <f ca="1">SUM(BH65:BH67)</f>
        <v>0</v>
      </c>
      <c r="BI68" s="990">
        <f ca="1">SUM(BI65:BI67)</f>
        <v>0</v>
      </c>
      <c r="BJ68" s="990">
        <f ca="1">SUM(BH68:BI68)</f>
        <v>0</v>
      </c>
      <c r="BL68" s="515">
        <f t="shared" ca="1" si="176"/>
        <v>0</v>
      </c>
      <c r="BM68" s="515"/>
      <c r="BN68" s="840"/>
      <c r="BO68" s="1482">
        <f ca="1">SUM(BO65:BO67)</f>
        <v>0</v>
      </c>
      <c r="BP68" s="1482">
        <f t="shared" ref="BP68:DF68" ca="1" si="181">SUM(BP65:BP67)</f>
        <v>0</v>
      </c>
      <c r="BQ68" s="1482">
        <f t="shared" ca="1" si="181"/>
        <v>0</v>
      </c>
      <c r="BR68" s="1482">
        <f t="shared" ca="1" si="181"/>
        <v>0</v>
      </c>
      <c r="BS68" s="1482">
        <f t="shared" ca="1" si="181"/>
        <v>0</v>
      </c>
      <c r="BT68" s="1482">
        <f t="shared" ca="1" si="181"/>
        <v>0</v>
      </c>
      <c r="BU68" s="1482">
        <f t="shared" ca="1" si="181"/>
        <v>0</v>
      </c>
      <c r="BV68" s="1482">
        <f t="shared" ca="1" si="181"/>
        <v>0</v>
      </c>
      <c r="BW68" s="1482">
        <f t="shared" ca="1" si="181"/>
        <v>0</v>
      </c>
      <c r="BX68" s="1482">
        <f t="shared" ca="1" si="181"/>
        <v>0</v>
      </c>
      <c r="BY68" s="1482">
        <f t="shared" ca="1" si="181"/>
        <v>0</v>
      </c>
      <c r="BZ68" s="1482">
        <f t="shared" ca="1" si="181"/>
        <v>0</v>
      </c>
      <c r="CA68" s="1482">
        <f t="shared" ca="1" si="181"/>
        <v>0</v>
      </c>
      <c r="CB68" s="1482">
        <f t="shared" ca="1" si="181"/>
        <v>0</v>
      </c>
      <c r="CC68" s="1482">
        <f t="shared" ca="1" si="181"/>
        <v>0</v>
      </c>
      <c r="CD68" s="1482">
        <f t="shared" ca="1" si="181"/>
        <v>0</v>
      </c>
      <c r="CE68" s="1482">
        <f t="shared" ca="1" si="181"/>
        <v>0</v>
      </c>
      <c r="CF68" s="1482">
        <f t="shared" ca="1" si="181"/>
        <v>0</v>
      </c>
      <c r="CG68" s="1482">
        <f t="shared" ca="1" si="181"/>
        <v>0</v>
      </c>
      <c r="CH68" s="1482">
        <f t="shared" ca="1" si="181"/>
        <v>0</v>
      </c>
      <c r="CI68" s="1482">
        <f t="shared" ca="1" si="181"/>
        <v>0</v>
      </c>
      <c r="CJ68" s="1482">
        <f t="shared" ca="1" si="181"/>
        <v>0</v>
      </c>
      <c r="CK68" s="1482">
        <f t="shared" ca="1" si="181"/>
        <v>0</v>
      </c>
      <c r="CL68" s="1482">
        <f t="shared" ca="1" si="181"/>
        <v>0</v>
      </c>
      <c r="CM68" s="1482">
        <f t="shared" ca="1" si="181"/>
        <v>0</v>
      </c>
      <c r="CN68" s="1482">
        <f t="shared" ca="1" si="181"/>
        <v>0</v>
      </c>
      <c r="CO68" s="1482">
        <f t="shared" ca="1" si="181"/>
        <v>0</v>
      </c>
      <c r="CP68" s="1482">
        <f t="shared" ca="1" si="181"/>
        <v>0</v>
      </c>
      <c r="CQ68" s="1482">
        <f t="shared" ca="1" si="181"/>
        <v>0</v>
      </c>
      <c r="CR68" s="1482">
        <f t="shared" ca="1" si="181"/>
        <v>0</v>
      </c>
      <c r="CS68" s="1482">
        <f t="shared" ca="1" si="181"/>
        <v>0</v>
      </c>
      <c r="CT68" s="1482">
        <f t="shared" ca="1" si="181"/>
        <v>0</v>
      </c>
      <c r="CU68" s="1482">
        <f t="shared" ca="1" si="181"/>
        <v>0</v>
      </c>
      <c r="CV68" s="1482">
        <f t="shared" ca="1" si="181"/>
        <v>0</v>
      </c>
      <c r="CW68" s="1482">
        <f t="shared" ca="1" si="181"/>
        <v>0</v>
      </c>
      <c r="CX68" s="1482">
        <f t="shared" ca="1" si="181"/>
        <v>0</v>
      </c>
      <c r="CY68" s="1482">
        <f t="shared" ca="1" si="181"/>
        <v>0</v>
      </c>
      <c r="CZ68" s="1482">
        <f t="shared" ca="1" si="181"/>
        <v>0</v>
      </c>
      <c r="DA68" s="1482">
        <f t="shared" ca="1" si="181"/>
        <v>0</v>
      </c>
      <c r="DB68" s="1482">
        <f t="shared" ca="1" si="181"/>
        <v>0</v>
      </c>
      <c r="DC68" s="1482">
        <f t="shared" ca="1" si="181"/>
        <v>0</v>
      </c>
      <c r="DD68" s="1482">
        <f t="shared" ca="1" si="181"/>
        <v>0</v>
      </c>
      <c r="DE68" s="1482">
        <f t="shared" ca="1" si="181"/>
        <v>0</v>
      </c>
      <c r="DF68" s="1482">
        <f t="shared" ca="1" si="181"/>
        <v>0</v>
      </c>
      <c r="DH68" s="838">
        <f t="shared" ca="1" si="124"/>
        <v>0</v>
      </c>
    </row>
    <row r="69" spans="1:112" s="743" customFormat="1" ht="12.75" hidden="1" customHeight="1" outlineLevel="1">
      <c r="A69" s="22"/>
      <c r="B69" s="22"/>
      <c r="C69" s="751"/>
      <c r="D69" s="512"/>
      <c r="E69" s="512"/>
      <c r="G69" s="958"/>
      <c r="H69" s="958"/>
      <c r="I69" s="958"/>
      <c r="J69" s="958"/>
      <c r="K69" s="960"/>
      <c r="L69" s="958"/>
      <c r="M69" s="958"/>
      <c r="N69" s="958"/>
      <c r="O69" s="958"/>
      <c r="P69" s="958"/>
      <c r="Q69" s="958"/>
      <c r="S69" s="970"/>
      <c r="T69" s="970"/>
      <c r="U69" s="970"/>
      <c r="V69" s="970"/>
      <c r="W69" s="970"/>
      <c r="X69" s="970"/>
      <c r="Y69" s="970"/>
      <c r="Z69" s="970"/>
      <c r="AA69" s="970"/>
      <c r="AB69" s="970"/>
      <c r="AC69" s="970"/>
      <c r="AD69" s="970"/>
      <c r="AE69" s="970"/>
      <c r="AF69" s="970"/>
      <c r="AG69" s="970"/>
      <c r="AH69" s="970"/>
      <c r="AI69" s="970"/>
      <c r="AJ69" s="970"/>
      <c r="AK69" s="970"/>
      <c r="AM69" s="976"/>
      <c r="AN69" s="976"/>
      <c r="AO69" s="976"/>
      <c r="AP69" s="976"/>
      <c r="AQ69" s="976"/>
      <c r="AR69" s="976"/>
      <c r="AS69" s="976"/>
      <c r="AT69" s="976"/>
      <c r="AU69" s="976"/>
      <c r="AV69" s="976"/>
      <c r="AW69" s="976"/>
      <c r="AX69" s="976"/>
      <c r="AY69" s="976"/>
      <c r="AZ69" s="976"/>
      <c r="BA69" s="976"/>
      <c r="BB69" s="976"/>
      <c r="BC69" s="976"/>
      <c r="BD69" s="976"/>
      <c r="BE69" s="976"/>
      <c r="BF69" s="976"/>
      <c r="BH69" s="990"/>
      <c r="BI69" s="990"/>
      <c r="BJ69" s="990"/>
      <c r="BL69" s="515">
        <f t="shared" si="176"/>
        <v>0</v>
      </c>
      <c r="BM69" s="515"/>
      <c r="BN69" s="22"/>
      <c r="BO69" s="1482"/>
      <c r="BP69" s="1482"/>
      <c r="BQ69" s="1482"/>
      <c r="BR69" s="1482"/>
      <c r="BS69" s="1482"/>
      <c r="BT69" s="1482"/>
      <c r="BU69" s="1482"/>
      <c r="BV69" s="1482"/>
      <c r="BW69" s="1482"/>
      <c r="BX69" s="1482"/>
      <c r="BY69" s="1482"/>
      <c r="BZ69" s="1482"/>
      <c r="CA69" s="1482"/>
      <c r="CB69" s="1482"/>
      <c r="CC69" s="1482"/>
      <c r="CD69" s="1482"/>
      <c r="CE69" s="1482"/>
      <c r="CF69" s="1482"/>
      <c r="CG69" s="1482"/>
      <c r="CH69" s="1482"/>
      <c r="CI69" s="1482"/>
      <c r="CJ69" s="1482"/>
      <c r="CK69" s="1482"/>
      <c r="CL69" s="1482"/>
      <c r="CM69" s="1482"/>
      <c r="CN69" s="1482"/>
      <c r="CO69" s="1482"/>
      <c r="CP69" s="1482"/>
      <c r="CQ69" s="1482"/>
      <c r="CR69" s="1482"/>
      <c r="CS69" s="1482"/>
      <c r="CT69" s="1482"/>
      <c r="CU69" s="1482"/>
      <c r="CV69" s="1482"/>
      <c r="CW69" s="1482"/>
      <c r="CX69" s="1482"/>
      <c r="CY69" s="1482"/>
      <c r="CZ69" s="1482"/>
      <c r="DA69" s="1482"/>
      <c r="DB69" s="1482"/>
      <c r="DC69" s="1482"/>
      <c r="DD69" s="1482"/>
      <c r="DE69" s="1482"/>
      <c r="DF69" s="1482"/>
      <c r="DH69" s="838">
        <f t="shared" si="124"/>
        <v>0</v>
      </c>
    </row>
    <row r="70" spans="1:112" s="1491" customFormat="1" ht="12.75" hidden="1" customHeight="1" outlineLevel="1">
      <c r="C70" s="1534" t="s">
        <v>1718</v>
      </c>
      <c r="D70" s="1535" t="s">
        <v>1340</v>
      </c>
      <c r="E70" s="1535"/>
      <c r="F70" s="1957"/>
      <c r="G70" s="1070"/>
      <c r="H70" s="1070"/>
      <c r="I70" s="1070"/>
      <c r="J70" s="1070"/>
      <c r="K70" s="1071"/>
      <c r="L70" s="1070"/>
      <c r="M70" s="1070"/>
      <c r="N70" s="1070"/>
      <c r="O70" s="1070"/>
      <c r="P70" s="1070"/>
      <c r="Q70" s="1070"/>
      <c r="R70" s="1957"/>
      <c r="S70" s="1072"/>
      <c r="T70" s="1072"/>
      <c r="U70" s="1072"/>
      <c r="V70" s="1072"/>
      <c r="W70" s="1072"/>
      <c r="X70" s="1072"/>
      <c r="Y70" s="1072"/>
      <c r="Z70" s="1072"/>
      <c r="AA70" s="1072"/>
      <c r="AB70" s="1072">
        <f ca="1">AB$40+AB$46+AB$51+AB$99+AB$55+AB$63+AB$68</f>
        <v>-9.5194996727506727</v>
      </c>
      <c r="AC70" s="1072"/>
      <c r="AD70" s="1072"/>
      <c r="AE70" s="1072"/>
      <c r="AF70" s="1072"/>
      <c r="AG70" s="1072"/>
      <c r="AH70" s="1072"/>
      <c r="AI70" s="1072"/>
      <c r="AJ70" s="1072"/>
      <c r="AK70" s="1072"/>
      <c r="AL70" s="1957"/>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957"/>
      <c r="BH70" s="1074"/>
      <c r="BI70" s="1074"/>
      <c r="BJ70" s="1074">
        <f>SUM(BH70:BI70)</f>
        <v>0</v>
      </c>
      <c r="BK70" s="1957"/>
      <c r="BL70" s="1536">
        <f t="shared" si="176"/>
        <v>0</v>
      </c>
      <c r="BM70" s="1536"/>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1963"/>
      <c r="CO70" s="1963"/>
      <c r="CP70" s="1963"/>
      <c r="CQ70" s="1963"/>
      <c r="CR70" s="1963"/>
      <c r="CS70" s="1963"/>
      <c r="CT70" s="1963"/>
      <c r="CU70" s="1963"/>
      <c r="CV70" s="1963"/>
      <c r="CW70" s="1963"/>
      <c r="CX70" s="1963"/>
      <c r="CY70" s="1963"/>
      <c r="CZ70" s="1963"/>
      <c r="DA70" s="1963"/>
      <c r="DB70" s="1963"/>
      <c r="DC70" s="1963"/>
      <c r="DD70" s="1963"/>
      <c r="DE70" s="1963"/>
      <c r="DF70" s="1963"/>
      <c r="DH70" s="1962">
        <f t="shared" si="124"/>
        <v>0</v>
      </c>
    </row>
    <row r="71" spans="1:112" s="1484" customFormat="1" ht="12.75" hidden="1" customHeight="1" outlineLevel="1">
      <c r="C71" s="746" t="s">
        <v>1338</v>
      </c>
      <c r="D71" s="1010" t="str">
        <f>INDEX(Modules[Module], MATCH($C71, Modules[Code], 0))</f>
        <v>District heating effective demand</v>
      </c>
      <c r="E71" s="1010"/>
      <c r="F71" s="743"/>
      <c r="G71" s="1022">
        <f t="shared" ref="G71:P71" ca="1" si="182">IFERROR(INDEX(INDIRECT($C71&amp;".Outputs["&amp;this.Year&amp;"]"), MATCH(G$5, INDIRECT($C71&amp;".Outputs[Vector]"), 0)), 0)</f>
        <v>0</v>
      </c>
      <c r="H71" s="1022">
        <f t="shared" ca="1" si="182"/>
        <v>0</v>
      </c>
      <c r="I71" s="1022">
        <f t="shared" ca="1" si="182"/>
        <v>0</v>
      </c>
      <c r="J71" s="1022">
        <f t="shared" ca="1" si="182"/>
        <v>0</v>
      </c>
      <c r="K71" s="1022">
        <f t="shared" ca="1" si="182"/>
        <v>0</v>
      </c>
      <c r="L71" s="1022">
        <f t="shared" ca="1" si="182"/>
        <v>0</v>
      </c>
      <c r="M71" s="1022">
        <f t="shared" ca="1" si="182"/>
        <v>0</v>
      </c>
      <c r="N71" s="1022">
        <f t="shared" ca="1" si="182"/>
        <v>0</v>
      </c>
      <c r="O71" s="1022">
        <f t="shared" ca="1" si="182"/>
        <v>0</v>
      </c>
      <c r="P71" s="1022">
        <f t="shared" ca="1" si="182"/>
        <v>0</v>
      </c>
      <c r="Q71" s="1020">
        <f ca="1">SUM(G71:P71)</f>
        <v>0</v>
      </c>
      <c r="R71" s="743"/>
      <c r="S71" s="1031">
        <f t="shared" ref="S71:BE71" ca="1" si="183">IFERROR(INDEX(INDIRECT($C71&amp;".Outputs["&amp;this.Year&amp;"]"), MATCH(S$5, INDIRECT($C71&amp;".Outputs[Vector]"), 0)), 0)</f>
        <v>0</v>
      </c>
      <c r="T71" s="1031">
        <f t="shared" ca="1" si="183"/>
        <v>-1.3599285246786674</v>
      </c>
      <c r="U71" s="1031">
        <f t="shared" ca="1" si="183"/>
        <v>0</v>
      </c>
      <c r="V71" s="1031">
        <f t="shared" ca="1" si="183"/>
        <v>0</v>
      </c>
      <c r="W71" s="1031">
        <f t="shared" ca="1" si="183"/>
        <v>0</v>
      </c>
      <c r="X71" s="1031">
        <f ca="1">IFERROR(INDEX(INDIRECT($C71&amp;".Outputs["&amp;this.Year&amp;"]"), MATCH(X$5, INDIRECT($C71&amp;".Outputs[Vector]"), 0)), 0)</f>
        <v>0</v>
      </c>
      <c r="Y71" s="1031">
        <f ca="1">IFERROR(INDEX(INDIRECT($C71&amp;".Outputs["&amp;this.Year&amp;"]"), MATCH(Y$5, INDIRECT($C71&amp;".Outputs[Vector]"), 0)), 0)</f>
        <v>0</v>
      </c>
      <c r="Z71" s="1031">
        <f ca="1">IFERROR(INDEX(INDIRECT($C71&amp;".Outputs["&amp;this.Year&amp;"]"), MATCH(Z$5, INDIRECT($C71&amp;".Outputs[Vector]"), 0)), 0)</f>
        <v>0</v>
      </c>
      <c r="AA71" s="1031">
        <f t="shared" ca="1" si="183"/>
        <v>0</v>
      </c>
      <c r="AB71" s="1031">
        <f t="shared" ca="1" si="183"/>
        <v>9.5194996727506727</v>
      </c>
      <c r="AC71" s="1031">
        <f t="shared" ca="1" si="183"/>
        <v>0</v>
      </c>
      <c r="AD71" s="1031">
        <f t="shared" ca="1" si="183"/>
        <v>0</v>
      </c>
      <c r="AE71" s="1031">
        <f t="shared" ca="1" si="183"/>
        <v>0</v>
      </c>
      <c r="AF71" s="1031">
        <f t="shared" ca="1" si="183"/>
        <v>0</v>
      </c>
      <c r="AG71" s="1031">
        <f t="shared" ca="1" si="183"/>
        <v>0</v>
      </c>
      <c r="AH71" s="1031">
        <f t="shared" ca="1" si="183"/>
        <v>0</v>
      </c>
      <c r="AI71" s="1031">
        <f t="shared" ca="1" si="183"/>
        <v>0</v>
      </c>
      <c r="AJ71" s="1031">
        <f t="shared" ca="1" si="183"/>
        <v>0</v>
      </c>
      <c r="AK71" s="1030">
        <f ca="1">SUM(S71:AJ71)</f>
        <v>8.1595711480720059</v>
      </c>
      <c r="AL71" s="743"/>
      <c r="AM71" s="1042">
        <f t="shared" ref="AM71:AU71" ca="1" si="184">IFERROR(INDEX(INDIRECT($C71&amp;".Outputs["&amp;this.Year&amp;"]"), MATCH(AM$5, INDIRECT($C71&amp;".Outputs[Vector]"), 0)), 0)</f>
        <v>0</v>
      </c>
      <c r="AN71" s="1042">
        <f t="shared" ca="1" si="184"/>
        <v>0</v>
      </c>
      <c r="AO71" s="1042">
        <f t="shared" ca="1" si="184"/>
        <v>0</v>
      </c>
      <c r="AP71" s="1042">
        <f t="shared" ca="1" si="184"/>
        <v>0</v>
      </c>
      <c r="AQ71" s="1042">
        <f t="shared" ca="1" si="184"/>
        <v>0</v>
      </c>
      <c r="AR71" s="1042">
        <f t="shared" ca="1" si="184"/>
        <v>0</v>
      </c>
      <c r="AS71" s="1042">
        <f t="shared" ca="1" si="184"/>
        <v>0</v>
      </c>
      <c r="AT71" s="1042">
        <f t="shared" ca="1" si="184"/>
        <v>0</v>
      </c>
      <c r="AU71" s="1042">
        <f t="shared" ca="1" si="184"/>
        <v>0</v>
      </c>
      <c r="AV71" s="1042">
        <f t="shared" ca="1" si="183"/>
        <v>0</v>
      </c>
      <c r="AW71" s="1042">
        <f t="shared" ca="1" si="183"/>
        <v>0</v>
      </c>
      <c r="AX71" s="1042">
        <f t="shared" ca="1" si="183"/>
        <v>0</v>
      </c>
      <c r="AY71" s="1042">
        <f t="shared" ca="1" si="183"/>
        <v>0</v>
      </c>
      <c r="AZ71" s="1042">
        <f t="shared" ca="1" si="183"/>
        <v>0</v>
      </c>
      <c r="BA71" s="1042">
        <f t="shared" ca="1" si="183"/>
        <v>0</v>
      </c>
      <c r="BB71" s="1042">
        <f t="shared" ca="1" si="183"/>
        <v>0</v>
      </c>
      <c r="BC71" s="1042">
        <f t="shared" ca="1" si="183"/>
        <v>0</v>
      </c>
      <c r="BD71" s="1042">
        <f t="shared" ca="1" si="183"/>
        <v>0</v>
      </c>
      <c r="BE71" s="1042">
        <f t="shared" ca="1" si="183"/>
        <v>0</v>
      </c>
      <c r="BF71" s="1012">
        <f ca="1">SUM(AM71:BE71)</f>
        <v>0</v>
      </c>
      <c r="BG71" s="743"/>
      <c r="BH71" s="1036">
        <f ca="1">IFERROR(INDEX(INDIRECT($C71&amp;".Outputs["&amp;this.Year&amp;"]"), MATCH(BH$5, INDIRECT($C71&amp;".Outputs[Vector]"), 0)), 0)</f>
        <v>-8.1595711480720059</v>
      </c>
      <c r="BI71" s="1036">
        <f ca="1">IFERROR(INDEX(INDIRECT($C71&amp;".Outputs["&amp;this.Year&amp;"]"), MATCH(BI$5, INDIRECT($C71&amp;".Outputs[Vector]"), 0)), 0)</f>
        <v>0</v>
      </c>
      <c r="BJ71" s="1035">
        <f ca="1">SUM(BH71:BI71)</f>
        <v>-8.1595711480720059</v>
      </c>
      <c r="BK71" s="743"/>
      <c r="BL71" s="814">
        <f ca="1">Q71+AK71+BF71+BJ71</f>
        <v>0</v>
      </c>
      <c r="BM71" s="814"/>
      <c r="BN71" s="840"/>
      <c r="BO71" s="1485">
        <f t="shared" ref="BO71:DF71" ca="1" si="185">IFERROR(SUMIFS(INDIRECT($C71&amp;".Emissions["&amp;this.Year&amp;"]"), INDIRECT($C71&amp;".Emissions[GHG]"), BO$6, INDIRECT($C71&amp;".Emissions[IPCC Sector]"), BO$5),0)</f>
        <v>0</v>
      </c>
      <c r="BP71" s="1486">
        <f t="shared" ca="1" si="185"/>
        <v>0</v>
      </c>
      <c r="BQ71" s="1486">
        <f t="shared" ca="1" si="185"/>
        <v>0</v>
      </c>
      <c r="BR71" s="1486">
        <f t="shared" ca="1" si="185"/>
        <v>0</v>
      </c>
      <c r="BS71" s="1486">
        <f t="shared" ca="1" si="185"/>
        <v>0</v>
      </c>
      <c r="BT71" s="1486">
        <f t="shared" ca="1" si="185"/>
        <v>0</v>
      </c>
      <c r="BU71" s="1486">
        <f t="shared" ca="1" si="185"/>
        <v>0</v>
      </c>
      <c r="BV71" s="1486">
        <f t="shared" ca="1" si="185"/>
        <v>0</v>
      </c>
      <c r="BW71" s="1486">
        <f t="shared" ca="1" si="185"/>
        <v>0</v>
      </c>
      <c r="BX71" s="1486">
        <f t="shared" ca="1" si="185"/>
        <v>0</v>
      </c>
      <c r="BY71" s="1486">
        <f t="shared" ca="1" si="185"/>
        <v>0</v>
      </c>
      <c r="BZ71" s="1486">
        <f t="shared" ca="1" si="185"/>
        <v>0</v>
      </c>
      <c r="CA71" s="1486">
        <f t="shared" ca="1" si="185"/>
        <v>0</v>
      </c>
      <c r="CB71" s="1486">
        <f t="shared" ca="1" si="185"/>
        <v>0</v>
      </c>
      <c r="CC71" s="1486">
        <f t="shared" ca="1" si="185"/>
        <v>0</v>
      </c>
      <c r="CD71" s="1486">
        <f t="shared" ca="1" si="185"/>
        <v>0</v>
      </c>
      <c r="CE71" s="1486">
        <f t="shared" ca="1" si="185"/>
        <v>0</v>
      </c>
      <c r="CF71" s="1486">
        <f t="shared" ca="1" si="185"/>
        <v>0</v>
      </c>
      <c r="CG71" s="1486">
        <f t="shared" ca="1" si="185"/>
        <v>0</v>
      </c>
      <c r="CH71" s="1486">
        <f t="shared" ca="1" si="185"/>
        <v>0</v>
      </c>
      <c r="CI71" s="1486">
        <f t="shared" ca="1" si="185"/>
        <v>0</v>
      </c>
      <c r="CJ71" s="1486">
        <f t="shared" ca="1" si="185"/>
        <v>0</v>
      </c>
      <c r="CK71" s="1486">
        <f t="shared" ca="1" si="185"/>
        <v>0</v>
      </c>
      <c r="CL71" s="1486">
        <f t="shared" ca="1" si="185"/>
        <v>0</v>
      </c>
      <c r="CM71" s="1486">
        <f t="shared" ca="1" si="185"/>
        <v>0</v>
      </c>
      <c r="CN71" s="1486">
        <f t="shared" ca="1" si="185"/>
        <v>0</v>
      </c>
      <c r="CO71" s="1486">
        <f t="shared" ca="1" si="185"/>
        <v>0</v>
      </c>
      <c r="CP71" s="1486">
        <f t="shared" ca="1" si="185"/>
        <v>0</v>
      </c>
      <c r="CQ71" s="1486">
        <f t="shared" ca="1" si="185"/>
        <v>0</v>
      </c>
      <c r="CR71" s="1486">
        <f t="shared" ca="1" si="185"/>
        <v>0</v>
      </c>
      <c r="CS71" s="1486">
        <f t="shared" ca="1" si="185"/>
        <v>0</v>
      </c>
      <c r="CT71" s="1486">
        <f t="shared" ca="1" si="185"/>
        <v>0</v>
      </c>
      <c r="CU71" s="1486">
        <f t="shared" ca="1" si="185"/>
        <v>0</v>
      </c>
      <c r="CV71" s="1486">
        <f t="shared" ca="1" si="185"/>
        <v>0</v>
      </c>
      <c r="CW71" s="1486">
        <f t="shared" ca="1" si="185"/>
        <v>0</v>
      </c>
      <c r="CX71" s="1486">
        <f t="shared" ca="1" si="185"/>
        <v>0</v>
      </c>
      <c r="CY71" s="1486">
        <f t="shared" ca="1" si="185"/>
        <v>0</v>
      </c>
      <c r="CZ71" s="1486">
        <f t="shared" ca="1" si="185"/>
        <v>0</v>
      </c>
      <c r="DA71" s="1486">
        <f t="shared" ca="1" si="185"/>
        <v>0</v>
      </c>
      <c r="DB71" s="1486">
        <f t="shared" ca="1" si="185"/>
        <v>0</v>
      </c>
      <c r="DC71" s="1486">
        <f t="shared" ca="1" si="185"/>
        <v>0</v>
      </c>
      <c r="DD71" s="1486">
        <f t="shared" ca="1" si="185"/>
        <v>0</v>
      </c>
      <c r="DE71" s="1486">
        <f t="shared" ca="1" si="185"/>
        <v>0</v>
      </c>
      <c r="DF71" s="1486">
        <f t="shared" ca="1" si="185"/>
        <v>0</v>
      </c>
      <c r="DH71" s="838">
        <f t="shared" ca="1" si="124"/>
        <v>0</v>
      </c>
    </row>
    <row r="72" spans="1:112" s="743" customFormat="1" ht="15.75" collapsed="1">
      <c r="A72" s="22"/>
      <c r="B72" s="753"/>
      <c r="C72" s="744" t="s">
        <v>1336</v>
      </c>
      <c r="D72" s="517" t="str">
        <f>INDEX(Workstreams[Workstream], MATCH($C72, Workstreams[Code], 0))</f>
        <v>District heating</v>
      </c>
      <c r="E72" s="512"/>
      <c r="G72" s="1021">
        <f ca="1">G71</f>
        <v>0</v>
      </c>
      <c r="H72" s="1021">
        <f t="shared" ref="H72:P72" ca="1" si="186">H71</f>
        <v>0</v>
      </c>
      <c r="I72" s="1021">
        <f t="shared" ca="1" si="186"/>
        <v>0</v>
      </c>
      <c r="J72" s="1021">
        <f t="shared" ca="1" si="186"/>
        <v>0</v>
      </c>
      <c r="K72" s="1021">
        <f t="shared" ca="1" si="186"/>
        <v>0</v>
      </c>
      <c r="L72" s="1021">
        <f t="shared" ca="1" si="186"/>
        <v>0</v>
      </c>
      <c r="M72" s="1021">
        <f t="shared" ca="1" si="186"/>
        <v>0</v>
      </c>
      <c r="N72" s="1021">
        <f t="shared" ca="1" si="186"/>
        <v>0</v>
      </c>
      <c r="O72" s="1021">
        <f t="shared" ca="1" si="186"/>
        <v>0</v>
      </c>
      <c r="P72" s="1021">
        <f t="shared" ca="1" si="186"/>
        <v>0</v>
      </c>
      <c r="Q72" s="1021">
        <f ca="1">SUM(G72:P72)</f>
        <v>0</v>
      </c>
      <c r="S72" s="970">
        <f t="shared" ref="S72:AJ72" ca="1" si="187">S71</f>
        <v>0</v>
      </c>
      <c r="T72" s="970">
        <f t="shared" ca="1" si="187"/>
        <v>-1.3599285246786674</v>
      </c>
      <c r="U72" s="970">
        <f t="shared" ca="1" si="187"/>
        <v>0</v>
      </c>
      <c r="V72" s="970">
        <f t="shared" ca="1" si="187"/>
        <v>0</v>
      </c>
      <c r="W72" s="970">
        <f t="shared" ca="1" si="187"/>
        <v>0</v>
      </c>
      <c r="X72" s="970">
        <f t="shared" ca="1" si="187"/>
        <v>0</v>
      </c>
      <c r="Y72" s="970">
        <f t="shared" ca="1" si="187"/>
        <v>0</v>
      </c>
      <c r="Z72" s="970">
        <f t="shared" ca="1" si="187"/>
        <v>0</v>
      </c>
      <c r="AA72" s="970">
        <f t="shared" ca="1" si="187"/>
        <v>0</v>
      </c>
      <c r="AB72" s="970">
        <f t="shared" ca="1" si="187"/>
        <v>9.5194996727506727</v>
      </c>
      <c r="AC72" s="970">
        <f t="shared" ca="1" si="187"/>
        <v>0</v>
      </c>
      <c r="AD72" s="970">
        <f ca="1">AD71</f>
        <v>0</v>
      </c>
      <c r="AE72" s="970">
        <f ca="1">AE71</f>
        <v>0</v>
      </c>
      <c r="AF72" s="970">
        <f t="shared" ca="1" si="187"/>
        <v>0</v>
      </c>
      <c r="AG72" s="970">
        <f t="shared" ca="1" si="187"/>
        <v>0</v>
      </c>
      <c r="AH72" s="970">
        <f ca="1">AH71</f>
        <v>0</v>
      </c>
      <c r="AI72" s="970">
        <f ca="1">AI71</f>
        <v>0</v>
      </c>
      <c r="AJ72" s="970">
        <f t="shared" ca="1" si="187"/>
        <v>0</v>
      </c>
      <c r="AK72" s="970">
        <f ca="1">SUM(S72:AJ72)</f>
        <v>8.1595711480720059</v>
      </c>
      <c r="AM72" s="976">
        <f ca="1">AM71</f>
        <v>0</v>
      </c>
      <c r="AN72" s="976">
        <f t="shared" ref="AN72:BE72" ca="1" si="188">AN71</f>
        <v>0</v>
      </c>
      <c r="AO72" s="976">
        <f t="shared" ca="1" si="188"/>
        <v>0</v>
      </c>
      <c r="AP72" s="976">
        <f t="shared" ca="1" si="188"/>
        <v>0</v>
      </c>
      <c r="AQ72" s="976">
        <f t="shared" ca="1" si="188"/>
        <v>0</v>
      </c>
      <c r="AR72" s="976">
        <f t="shared" ca="1" si="188"/>
        <v>0</v>
      </c>
      <c r="AS72" s="976">
        <f t="shared" ca="1" si="188"/>
        <v>0</v>
      </c>
      <c r="AT72" s="976">
        <f t="shared" ca="1" si="188"/>
        <v>0</v>
      </c>
      <c r="AU72" s="976">
        <f t="shared" ca="1" si="188"/>
        <v>0</v>
      </c>
      <c r="AV72" s="976">
        <f t="shared" ca="1" si="188"/>
        <v>0</v>
      </c>
      <c r="AW72" s="976">
        <f t="shared" ca="1" si="188"/>
        <v>0</v>
      </c>
      <c r="AX72" s="976">
        <f t="shared" ca="1" si="188"/>
        <v>0</v>
      </c>
      <c r="AY72" s="976">
        <f t="shared" ca="1" si="188"/>
        <v>0</v>
      </c>
      <c r="AZ72" s="976">
        <f t="shared" ca="1" si="188"/>
        <v>0</v>
      </c>
      <c r="BA72" s="976">
        <f t="shared" ca="1" si="188"/>
        <v>0</v>
      </c>
      <c r="BB72" s="976">
        <f t="shared" ca="1" si="188"/>
        <v>0</v>
      </c>
      <c r="BC72" s="976">
        <f t="shared" ca="1" si="188"/>
        <v>0</v>
      </c>
      <c r="BD72" s="976">
        <f t="shared" ca="1" si="188"/>
        <v>0</v>
      </c>
      <c r="BE72" s="976">
        <f t="shared" ca="1" si="188"/>
        <v>0</v>
      </c>
      <c r="BF72" s="976">
        <f ca="1">SUM(AM72:BE72)</f>
        <v>0</v>
      </c>
      <c r="BH72" s="990">
        <f ca="1">BH71</f>
        <v>-8.1595711480720059</v>
      </c>
      <c r="BI72" s="990">
        <f ca="1">BI71</f>
        <v>0</v>
      </c>
      <c r="BJ72" s="990">
        <f ca="1">SUM(BH72:BI72)</f>
        <v>-8.1595711480720059</v>
      </c>
      <c r="BL72" s="515">
        <f ca="1">Q72+AK72+BF72+BJ72</f>
        <v>0</v>
      </c>
      <c r="BM72" s="515"/>
      <c r="BN72" s="840"/>
      <c r="BO72" s="1482">
        <f t="shared" ref="BO72:DF72" ca="1" si="189">BO71</f>
        <v>0</v>
      </c>
      <c r="BP72" s="1482">
        <f t="shared" ca="1" si="189"/>
        <v>0</v>
      </c>
      <c r="BQ72" s="1482">
        <f t="shared" ca="1" si="189"/>
        <v>0</v>
      </c>
      <c r="BR72" s="1482">
        <f t="shared" ca="1" si="189"/>
        <v>0</v>
      </c>
      <c r="BS72" s="1482">
        <f t="shared" ca="1" si="189"/>
        <v>0</v>
      </c>
      <c r="BT72" s="1482">
        <f t="shared" ca="1" si="189"/>
        <v>0</v>
      </c>
      <c r="BU72" s="1482">
        <f t="shared" ca="1" si="189"/>
        <v>0</v>
      </c>
      <c r="BV72" s="1482">
        <f t="shared" ca="1" si="189"/>
        <v>0</v>
      </c>
      <c r="BW72" s="1482">
        <f t="shared" ca="1" si="189"/>
        <v>0</v>
      </c>
      <c r="BX72" s="1482">
        <f t="shared" ca="1" si="189"/>
        <v>0</v>
      </c>
      <c r="BY72" s="1482">
        <f t="shared" ca="1" si="189"/>
        <v>0</v>
      </c>
      <c r="BZ72" s="1482">
        <f t="shared" ca="1" si="189"/>
        <v>0</v>
      </c>
      <c r="CA72" s="1482">
        <f t="shared" ca="1" si="189"/>
        <v>0</v>
      </c>
      <c r="CB72" s="1482">
        <f t="shared" ca="1" si="189"/>
        <v>0</v>
      </c>
      <c r="CC72" s="1482">
        <f t="shared" ca="1" si="189"/>
        <v>0</v>
      </c>
      <c r="CD72" s="1482">
        <f t="shared" ca="1" si="189"/>
        <v>0</v>
      </c>
      <c r="CE72" s="1482">
        <f t="shared" ca="1" si="189"/>
        <v>0</v>
      </c>
      <c r="CF72" s="1482">
        <f t="shared" ca="1" si="189"/>
        <v>0</v>
      </c>
      <c r="CG72" s="1482">
        <f t="shared" ca="1" si="189"/>
        <v>0</v>
      </c>
      <c r="CH72" s="1482">
        <f t="shared" ca="1" si="189"/>
        <v>0</v>
      </c>
      <c r="CI72" s="1482">
        <f t="shared" ca="1" si="189"/>
        <v>0</v>
      </c>
      <c r="CJ72" s="1482">
        <f t="shared" ca="1" si="189"/>
        <v>0</v>
      </c>
      <c r="CK72" s="1482">
        <f t="shared" ca="1" si="189"/>
        <v>0</v>
      </c>
      <c r="CL72" s="1482">
        <f t="shared" ca="1" si="189"/>
        <v>0</v>
      </c>
      <c r="CM72" s="1482">
        <f t="shared" ca="1" si="189"/>
        <v>0</v>
      </c>
      <c r="CN72" s="1482">
        <f t="shared" ca="1" si="189"/>
        <v>0</v>
      </c>
      <c r="CO72" s="1482">
        <f t="shared" ca="1" si="189"/>
        <v>0</v>
      </c>
      <c r="CP72" s="1482">
        <f t="shared" ca="1" si="189"/>
        <v>0</v>
      </c>
      <c r="CQ72" s="1482">
        <f t="shared" ca="1" si="189"/>
        <v>0</v>
      </c>
      <c r="CR72" s="1482">
        <f t="shared" ca="1" si="189"/>
        <v>0</v>
      </c>
      <c r="CS72" s="1482">
        <f t="shared" ca="1" si="189"/>
        <v>0</v>
      </c>
      <c r="CT72" s="1482">
        <f t="shared" ca="1" si="189"/>
        <v>0</v>
      </c>
      <c r="CU72" s="1482">
        <f t="shared" ca="1" si="189"/>
        <v>0</v>
      </c>
      <c r="CV72" s="1482">
        <f t="shared" ca="1" si="189"/>
        <v>0</v>
      </c>
      <c r="CW72" s="1482">
        <f t="shared" ca="1" si="189"/>
        <v>0</v>
      </c>
      <c r="CX72" s="1482">
        <f t="shared" ca="1" si="189"/>
        <v>0</v>
      </c>
      <c r="CY72" s="1482">
        <f t="shared" ca="1" si="189"/>
        <v>0</v>
      </c>
      <c r="CZ72" s="1482">
        <f t="shared" ca="1" si="189"/>
        <v>0</v>
      </c>
      <c r="DA72" s="1482">
        <f t="shared" ca="1" si="189"/>
        <v>0</v>
      </c>
      <c r="DB72" s="1482">
        <f t="shared" ca="1" si="189"/>
        <v>0</v>
      </c>
      <c r="DC72" s="1482">
        <f t="shared" ca="1" si="189"/>
        <v>0</v>
      </c>
      <c r="DD72" s="1482">
        <f t="shared" ca="1" si="189"/>
        <v>0</v>
      </c>
      <c r="DE72" s="1482">
        <f t="shared" ca="1" si="189"/>
        <v>0</v>
      </c>
      <c r="DF72" s="1482">
        <f t="shared" ca="1" si="189"/>
        <v>0</v>
      </c>
      <c r="DH72" s="838">
        <f t="shared" ca="1" si="124"/>
        <v>0</v>
      </c>
    </row>
    <row r="73" spans="1:112" s="743" customFormat="1" ht="12.75" hidden="1" customHeight="1" outlineLevel="1">
      <c r="A73" s="22"/>
      <c r="B73" s="22"/>
      <c r="C73" s="751"/>
      <c r="D73" s="512"/>
      <c r="E73" s="512"/>
      <c r="G73" s="958"/>
      <c r="H73" s="958"/>
      <c r="I73" s="958"/>
      <c r="J73" s="958"/>
      <c r="K73" s="960"/>
      <c r="L73" s="958"/>
      <c r="M73" s="958"/>
      <c r="N73" s="958"/>
      <c r="O73" s="958"/>
      <c r="P73" s="958"/>
      <c r="Q73" s="958"/>
      <c r="S73" s="970"/>
      <c r="T73" s="970"/>
      <c r="U73" s="970"/>
      <c r="V73" s="970"/>
      <c r="W73" s="970"/>
      <c r="X73" s="970"/>
      <c r="Y73" s="970"/>
      <c r="Z73" s="970"/>
      <c r="AA73" s="970"/>
      <c r="AB73" s="970"/>
      <c r="AC73" s="970"/>
      <c r="AD73" s="970"/>
      <c r="AE73" s="970"/>
      <c r="AF73" s="970"/>
      <c r="AG73" s="970"/>
      <c r="AH73" s="970"/>
      <c r="AI73" s="970"/>
      <c r="AJ73" s="970"/>
      <c r="AK73" s="970"/>
      <c r="AM73" s="976"/>
      <c r="AN73" s="976"/>
      <c r="AO73" s="976"/>
      <c r="AP73" s="976"/>
      <c r="AQ73" s="976"/>
      <c r="AR73" s="976"/>
      <c r="AS73" s="976"/>
      <c r="AT73" s="976"/>
      <c r="AU73" s="976"/>
      <c r="AV73" s="976"/>
      <c r="AW73" s="976"/>
      <c r="AX73" s="976"/>
      <c r="AY73" s="976"/>
      <c r="AZ73" s="976"/>
      <c r="BA73" s="976"/>
      <c r="BB73" s="976"/>
      <c r="BC73" s="976"/>
      <c r="BD73" s="976"/>
      <c r="BE73" s="976"/>
      <c r="BF73" s="976"/>
      <c r="BH73" s="990"/>
      <c r="BI73" s="990"/>
      <c r="BJ73" s="990"/>
      <c r="BL73" s="515"/>
      <c r="BM73" s="515"/>
      <c r="BN73" s="22"/>
      <c r="BO73" s="1482"/>
      <c r="BP73" s="1482"/>
      <c r="BQ73" s="1482"/>
      <c r="BR73" s="1482"/>
      <c r="BS73" s="1482"/>
      <c r="BT73" s="1482"/>
      <c r="BU73" s="1482"/>
      <c r="BV73" s="1482"/>
      <c r="BW73" s="1482"/>
      <c r="BX73" s="1482"/>
      <c r="BY73" s="1482"/>
      <c r="BZ73" s="1482"/>
      <c r="CA73" s="1482"/>
      <c r="CB73" s="1482"/>
      <c r="CC73" s="1482"/>
      <c r="CD73" s="1482"/>
      <c r="CE73" s="1482"/>
      <c r="CF73" s="1482"/>
      <c r="CG73" s="1482"/>
      <c r="CH73" s="1482"/>
      <c r="CI73" s="1482"/>
      <c r="CJ73" s="1482"/>
      <c r="CK73" s="1482"/>
      <c r="CL73" s="1482"/>
      <c r="CM73" s="1482"/>
      <c r="CN73" s="1482"/>
      <c r="CO73" s="1482"/>
      <c r="CP73" s="1482"/>
      <c r="CQ73" s="1482"/>
      <c r="CR73" s="1482"/>
      <c r="CS73" s="1482"/>
      <c r="CT73" s="1482"/>
      <c r="CU73" s="1482"/>
      <c r="CV73" s="1482"/>
      <c r="CW73" s="1482"/>
      <c r="CX73" s="1482"/>
      <c r="CY73" s="1482"/>
      <c r="CZ73" s="1482"/>
      <c r="DA73" s="1482"/>
      <c r="DB73" s="1482"/>
      <c r="DC73" s="1482"/>
      <c r="DD73" s="1482"/>
      <c r="DE73" s="1482"/>
      <c r="DF73" s="1482"/>
      <c r="DH73" s="838">
        <f t="shared" si="124"/>
        <v>0</v>
      </c>
    </row>
    <row r="74" spans="1:112" s="1488" customFormat="1" ht="12.75" hidden="1" customHeight="1" outlineLevel="1">
      <c r="C74" s="1048" t="s">
        <v>1719</v>
      </c>
      <c r="D74" s="1049" t="s">
        <v>1334</v>
      </c>
      <c r="E74" s="1049"/>
      <c r="F74" s="743"/>
      <c r="G74" s="1050"/>
      <c r="H74" s="1050"/>
      <c r="I74" s="1050"/>
      <c r="J74" s="1050"/>
      <c r="K74" s="1051"/>
      <c r="L74" s="1050"/>
      <c r="M74" s="1050"/>
      <c r="N74" s="1050"/>
      <c r="O74" s="1050"/>
      <c r="P74" s="1050"/>
      <c r="Q74" s="1050"/>
      <c r="R74" s="743"/>
      <c r="S74" s="1052">
        <f ca="1">S$40+S$46+S$51+S$99+S$55+S$93+S$63+S$68+S$72</f>
        <v>-435.71486302109327</v>
      </c>
      <c r="T74" s="1052">
        <f ca="1">T$40+T$46+T$51+T$99+T$55+T$93+T$63+T$68+T$72</f>
        <v>-28.41644520418663</v>
      </c>
      <c r="U74" s="1052"/>
      <c r="V74" s="1052"/>
      <c r="W74" s="1052"/>
      <c r="X74" s="1052"/>
      <c r="Y74" s="1052"/>
      <c r="Z74" s="1052"/>
      <c r="AA74" s="1052"/>
      <c r="AB74" s="1052"/>
      <c r="AC74" s="1052"/>
      <c r="AD74" s="1052"/>
      <c r="AE74" s="1052"/>
      <c r="AF74" s="1052"/>
      <c r="AG74" s="1052"/>
      <c r="AH74" s="1052"/>
      <c r="AI74" s="1052"/>
      <c r="AJ74" s="1052"/>
      <c r="AK74" s="1052"/>
      <c r="AL74" s="743"/>
      <c r="AM74" s="1053"/>
      <c r="AN74" s="1053"/>
      <c r="AO74" s="1053"/>
      <c r="AP74" s="1053"/>
      <c r="AQ74" s="1053"/>
      <c r="AR74" s="1053"/>
      <c r="AS74" s="1053"/>
      <c r="AT74" s="1053"/>
      <c r="AU74" s="1053"/>
      <c r="AV74" s="1053"/>
      <c r="AW74" s="1053"/>
      <c r="AX74" s="1053"/>
      <c r="AY74" s="1053"/>
      <c r="AZ74" s="1053"/>
      <c r="BA74" s="1053"/>
      <c r="BB74" s="1053"/>
      <c r="BC74" s="1053"/>
      <c r="BD74" s="1053"/>
      <c r="BE74" s="1053"/>
      <c r="BF74" s="1053"/>
      <c r="BG74" s="743"/>
      <c r="BH74" s="1054"/>
      <c r="BI74" s="1054"/>
      <c r="BJ74" s="1054">
        <f>SUM(BH74:BI74)</f>
        <v>0</v>
      </c>
      <c r="BK74" s="743"/>
      <c r="BL74" s="852">
        <f t="shared" ref="BL74:BL80" si="190">Q74+AK74+BF74+BJ74</f>
        <v>0</v>
      </c>
      <c r="BM74" s="852"/>
      <c r="BO74" s="1490"/>
      <c r="BP74" s="1490"/>
      <c r="BQ74" s="1490"/>
      <c r="BR74" s="1490"/>
      <c r="BS74" s="1490"/>
      <c r="BT74" s="1490"/>
      <c r="BU74" s="1490"/>
      <c r="BV74" s="1490"/>
      <c r="BW74" s="1490"/>
      <c r="BX74" s="1490"/>
      <c r="BY74" s="1490"/>
      <c r="BZ74" s="1490"/>
      <c r="CA74" s="1490"/>
      <c r="CB74" s="1490"/>
      <c r="CC74" s="1490"/>
      <c r="CD74" s="1490"/>
      <c r="CE74" s="1490"/>
      <c r="CF74" s="1490"/>
      <c r="CG74" s="1490"/>
      <c r="CH74" s="1490"/>
      <c r="CI74" s="1490"/>
      <c r="CJ74" s="1490"/>
      <c r="CK74" s="1490"/>
      <c r="CL74" s="1490"/>
      <c r="CM74" s="1490"/>
      <c r="CN74" s="1490"/>
      <c r="CO74" s="1490"/>
      <c r="CP74" s="1490"/>
      <c r="CQ74" s="1490"/>
      <c r="CR74" s="1490"/>
      <c r="CS74" s="1490"/>
      <c r="CT74" s="1490"/>
      <c r="CU74" s="1490"/>
      <c r="CV74" s="1490"/>
      <c r="CW74" s="1490"/>
      <c r="CX74" s="1490"/>
      <c r="CY74" s="1490"/>
      <c r="CZ74" s="1490"/>
      <c r="DA74" s="1490"/>
      <c r="DB74" s="1490"/>
      <c r="DC74" s="1490"/>
      <c r="DD74" s="1490"/>
      <c r="DE74" s="1490"/>
      <c r="DF74" s="1490"/>
      <c r="DH74" s="838">
        <f t="shared" si="124"/>
        <v>0</v>
      </c>
    </row>
    <row r="75" spans="1:112" s="1484" customFormat="1" ht="12.75" hidden="1" customHeight="1" outlineLevel="1">
      <c r="C75" s="746" t="s">
        <v>756</v>
      </c>
      <c r="D75" s="1010" t="str">
        <f>INDEX(Modules[Module], MATCH($C75, Modules[Code], 0))</f>
        <v>Nuclear power</v>
      </c>
      <c r="E75" s="1010"/>
      <c r="F75" s="743"/>
      <c r="G75" s="1022">
        <f t="shared" ref="G75:P75" ca="1" si="191">IFERROR(INDEX(INDIRECT($C75&amp;".Outputs["&amp;this.Year&amp;"]"), MATCH(G$5, INDIRECT($C75&amp;".Outputs[Vector]"), 0)), 0)</f>
        <v>0</v>
      </c>
      <c r="H75" s="1022">
        <f t="shared" ca="1" si="191"/>
        <v>0</v>
      </c>
      <c r="I75" s="1022">
        <f t="shared" ca="1" si="191"/>
        <v>0</v>
      </c>
      <c r="J75" s="1022">
        <f t="shared" ca="1" si="191"/>
        <v>0</v>
      </c>
      <c r="K75" s="1022">
        <f t="shared" ca="1" si="191"/>
        <v>0</v>
      </c>
      <c r="L75" s="1022">
        <f t="shared" ca="1" si="191"/>
        <v>0</v>
      </c>
      <c r="M75" s="1022">
        <f t="shared" ca="1" si="191"/>
        <v>0</v>
      </c>
      <c r="N75" s="1022">
        <f t="shared" ca="1" si="191"/>
        <v>0</v>
      </c>
      <c r="O75" s="1022">
        <f t="shared" ca="1" si="191"/>
        <v>0</v>
      </c>
      <c r="P75" s="1022">
        <f t="shared" ca="1" si="191"/>
        <v>0</v>
      </c>
      <c r="Q75" s="1020">
        <f ca="1">SUM(G75:P75)</f>
        <v>0</v>
      </c>
      <c r="R75" s="743"/>
      <c r="S75" s="1031">
        <f t="shared" ref="S75:BE75" ca="1" si="192">IFERROR(INDEX(INDIRECT($C75&amp;".Outputs["&amp;this.Year&amp;"]"), MATCH(S$5, INDIRECT($C75&amp;".Outputs[Vector]"), 0)), 0)</f>
        <v>0</v>
      </c>
      <c r="T75" s="1031">
        <f t="shared" ca="1" si="192"/>
        <v>0</v>
      </c>
      <c r="U75" s="1031">
        <f t="shared" ca="1" si="192"/>
        <v>0</v>
      </c>
      <c r="V75" s="1031">
        <f t="shared" ca="1" si="192"/>
        <v>0</v>
      </c>
      <c r="W75" s="1031">
        <f t="shared" ca="1" si="192"/>
        <v>0</v>
      </c>
      <c r="X75" s="1031">
        <f ca="1">IFERROR(INDEX(INDIRECT($C75&amp;".Outputs["&amp;this.Year&amp;"]"), MATCH(X$5, INDIRECT($C75&amp;".Outputs[Vector]"), 0)), 0)</f>
        <v>0</v>
      </c>
      <c r="Y75" s="1031">
        <f ca="1">IFERROR(INDEX(INDIRECT($C75&amp;".Outputs["&amp;this.Year&amp;"]"), MATCH(Y$5, INDIRECT($C75&amp;".Outputs[Vector]"), 0)), 0)</f>
        <v>0</v>
      </c>
      <c r="Z75" s="1031">
        <f ca="1">IFERROR(INDEX(INDIRECT($C75&amp;".Outputs["&amp;this.Year&amp;"]"), MATCH(Z$5, INDIRECT($C75&amp;".Outputs[Vector]"), 0)), 0)</f>
        <v>0</v>
      </c>
      <c r="AA75" s="1031">
        <f t="shared" ca="1" si="192"/>
        <v>0</v>
      </c>
      <c r="AB75" s="1031">
        <f t="shared" ca="1" si="192"/>
        <v>0</v>
      </c>
      <c r="AC75" s="1031">
        <f t="shared" ca="1" si="192"/>
        <v>0</v>
      </c>
      <c r="AD75" s="1031">
        <f t="shared" ca="1" si="192"/>
        <v>0</v>
      </c>
      <c r="AE75" s="1031">
        <f t="shared" ca="1" si="192"/>
        <v>0</v>
      </c>
      <c r="AF75" s="1031">
        <f t="shared" ca="1" si="192"/>
        <v>0</v>
      </c>
      <c r="AG75" s="1031">
        <f t="shared" ca="1" si="192"/>
        <v>0</v>
      </c>
      <c r="AH75" s="1031">
        <f t="shared" ca="1" si="192"/>
        <v>0</v>
      </c>
      <c r="AI75" s="1031">
        <f t="shared" ca="1" si="192"/>
        <v>0</v>
      </c>
      <c r="AJ75" s="1031">
        <f t="shared" ca="1" si="192"/>
        <v>0</v>
      </c>
      <c r="AK75" s="1030">
        <f ca="1">SUM(S75:AJ75)</f>
        <v>0</v>
      </c>
      <c r="AL75" s="743"/>
      <c r="AM75" s="1042">
        <f t="shared" ref="AM75:AU75" ca="1" si="193">IFERROR(INDEX(INDIRECT($C75&amp;".Outputs["&amp;this.Year&amp;"]"), MATCH(AM$5, INDIRECT($C75&amp;".Outputs[Vector]"), 0)), 0)</f>
        <v>0</v>
      </c>
      <c r="AN75" s="1042">
        <f t="shared" ca="1" si="193"/>
        <v>0</v>
      </c>
      <c r="AO75" s="1042">
        <f t="shared" ca="1" si="193"/>
        <v>0</v>
      </c>
      <c r="AP75" s="1042">
        <f t="shared" ca="1" si="193"/>
        <v>0</v>
      </c>
      <c r="AQ75" s="1042">
        <f t="shared" ca="1" si="193"/>
        <v>0</v>
      </c>
      <c r="AR75" s="1042">
        <f t="shared" ca="1" si="193"/>
        <v>0</v>
      </c>
      <c r="AS75" s="1042">
        <f t="shared" ca="1" si="193"/>
        <v>0</v>
      </c>
      <c r="AT75" s="1042">
        <f t="shared" ca="1" si="193"/>
        <v>0</v>
      </c>
      <c r="AU75" s="1042">
        <f t="shared" ca="1" si="193"/>
        <v>0</v>
      </c>
      <c r="AV75" s="1042">
        <f t="shared" ca="1" si="192"/>
        <v>0</v>
      </c>
      <c r="AW75" s="1042">
        <f t="shared" ca="1" si="192"/>
        <v>0</v>
      </c>
      <c r="AX75" s="1042">
        <f t="shared" ca="1" si="192"/>
        <v>0</v>
      </c>
      <c r="AY75" s="1042">
        <f t="shared" ca="1" si="192"/>
        <v>0</v>
      </c>
      <c r="AZ75" s="1042">
        <f t="shared" ca="1" si="192"/>
        <v>0</v>
      </c>
      <c r="BA75" s="1042">
        <f t="shared" ca="1" si="192"/>
        <v>0</v>
      </c>
      <c r="BB75" s="1042">
        <f t="shared" ca="1" si="192"/>
        <v>0</v>
      </c>
      <c r="BC75" s="1042">
        <f t="shared" ca="1" si="192"/>
        <v>0</v>
      </c>
      <c r="BD75" s="1042">
        <f t="shared" ca="1" si="192"/>
        <v>0</v>
      </c>
      <c r="BE75" s="1042">
        <f t="shared" ca="1" si="192"/>
        <v>0</v>
      </c>
      <c r="BF75" s="1012">
        <f ca="1">SUM(AM75:BE75)</f>
        <v>0</v>
      </c>
      <c r="BG75" s="743"/>
      <c r="BH75" s="1036">
        <f ca="1">IFERROR(INDEX(INDIRECT($C75&amp;".Outputs["&amp;this.Year&amp;"]"), MATCH(BH$5, INDIRECT($C75&amp;".Outputs[Vector]"), 0)), 0)</f>
        <v>0</v>
      </c>
      <c r="BI75" s="1036">
        <f ca="1">IFERROR(INDEX(INDIRECT($C75&amp;".Outputs["&amp;this.Year&amp;"]"), MATCH(BI$5, INDIRECT($C75&amp;".Outputs[Vector]"), 0)), 0)</f>
        <v>0</v>
      </c>
      <c r="BJ75" s="1035">
        <f ca="1">SUM(BH75:BI75)</f>
        <v>0</v>
      </c>
      <c r="BK75" s="743"/>
      <c r="BL75" s="814">
        <f t="shared" ca="1" si="190"/>
        <v>0</v>
      </c>
      <c r="BM75" s="814"/>
      <c r="BN75" s="840"/>
      <c r="BO75" s="1485">
        <f t="shared" ref="BO75:DF75" ca="1" si="194">IFERROR(SUMIFS(INDIRECT($C75&amp;".Emissions["&amp;this.Year&amp;"]"), INDIRECT($C75&amp;".Emissions[GHG]"), BO$6, INDIRECT($C75&amp;".Emissions[IPCC Sector]"), BO$5),0)</f>
        <v>0</v>
      </c>
      <c r="BP75" s="1486">
        <f t="shared" ca="1" si="194"/>
        <v>0</v>
      </c>
      <c r="BQ75" s="1486">
        <f t="shared" ca="1" si="194"/>
        <v>0</v>
      </c>
      <c r="BR75" s="1486">
        <f t="shared" ca="1" si="194"/>
        <v>0</v>
      </c>
      <c r="BS75" s="1486">
        <f t="shared" ca="1" si="194"/>
        <v>0</v>
      </c>
      <c r="BT75" s="1486">
        <f t="shared" ca="1" si="194"/>
        <v>0</v>
      </c>
      <c r="BU75" s="1486">
        <f t="shared" ca="1" si="194"/>
        <v>0</v>
      </c>
      <c r="BV75" s="1486">
        <f t="shared" ca="1" si="194"/>
        <v>0</v>
      </c>
      <c r="BW75" s="1486">
        <f t="shared" ca="1" si="194"/>
        <v>0</v>
      </c>
      <c r="BX75" s="1486">
        <f t="shared" ca="1" si="194"/>
        <v>0</v>
      </c>
      <c r="BY75" s="1486">
        <f t="shared" ca="1" si="194"/>
        <v>0</v>
      </c>
      <c r="BZ75" s="1486">
        <f t="shared" ca="1" si="194"/>
        <v>0</v>
      </c>
      <c r="CA75" s="1486">
        <f t="shared" ca="1" si="194"/>
        <v>0</v>
      </c>
      <c r="CB75" s="1486">
        <f t="shared" ca="1" si="194"/>
        <v>0</v>
      </c>
      <c r="CC75" s="1486">
        <f t="shared" ca="1" si="194"/>
        <v>0</v>
      </c>
      <c r="CD75" s="1486">
        <f t="shared" ca="1" si="194"/>
        <v>0</v>
      </c>
      <c r="CE75" s="1486">
        <f t="shared" ca="1" si="194"/>
        <v>0</v>
      </c>
      <c r="CF75" s="1486">
        <f t="shared" ca="1" si="194"/>
        <v>0</v>
      </c>
      <c r="CG75" s="1486">
        <f t="shared" ca="1" si="194"/>
        <v>0</v>
      </c>
      <c r="CH75" s="1486">
        <f t="shared" ca="1" si="194"/>
        <v>0</v>
      </c>
      <c r="CI75" s="1486">
        <f t="shared" ca="1" si="194"/>
        <v>0</v>
      </c>
      <c r="CJ75" s="1486">
        <f t="shared" ca="1" si="194"/>
        <v>0</v>
      </c>
      <c r="CK75" s="1486">
        <f t="shared" ca="1" si="194"/>
        <v>0</v>
      </c>
      <c r="CL75" s="1486">
        <f t="shared" ca="1" si="194"/>
        <v>0</v>
      </c>
      <c r="CM75" s="1486">
        <f t="shared" ca="1" si="194"/>
        <v>0</v>
      </c>
      <c r="CN75" s="1486">
        <f t="shared" ca="1" si="194"/>
        <v>0</v>
      </c>
      <c r="CO75" s="1486">
        <f t="shared" ca="1" si="194"/>
        <v>0</v>
      </c>
      <c r="CP75" s="1486">
        <f t="shared" ca="1" si="194"/>
        <v>0</v>
      </c>
      <c r="CQ75" s="1486">
        <f t="shared" ca="1" si="194"/>
        <v>0</v>
      </c>
      <c r="CR75" s="1486">
        <f t="shared" ca="1" si="194"/>
        <v>0</v>
      </c>
      <c r="CS75" s="1486">
        <f t="shared" ca="1" si="194"/>
        <v>0</v>
      </c>
      <c r="CT75" s="1486">
        <f t="shared" ca="1" si="194"/>
        <v>0</v>
      </c>
      <c r="CU75" s="1486">
        <f t="shared" ca="1" si="194"/>
        <v>0</v>
      </c>
      <c r="CV75" s="1486">
        <f t="shared" ca="1" si="194"/>
        <v>0</v>
      </c>
      <c r="CW75" s="1486">
        <f t="shared" ca="1" si="194"/>
        <v>0</v>
      </c>
      <c r="CX75" s="1486">
        <f t="shared" ca="1" si="194"/>
        <v>0</v>
      </c>
      <c r="CY75" s="1486">
        <f t="shared" ca="1" si="194"/>
        <v>0</v>
      </c>
      <c r="CZ75" s="1486">
        <f t="shared" ca="1" si="194"/>
        <v>0</v>
      </c>
      <c r="DA75" s="1486">
        <f t="shared" ca="1" si="194"/>
        <v>0</v>
      </c>
      <c r="DB75" s="1486">
        <f t="shared" ca="1" si="194"/>
        <v>0</v>
      </c>
      <c r="DC75" s="1486">
        <f t="shared" ca="1" si="194"/>
        <v>0</v>
      </c>
      <c r="DD75" s="1486">
        <f t="shared" ca="1" si="194"/>
        <v>0</v>
      </c>
      <c r="DE75" s="1486">
        <f t="shared" ca="1" si="194"/>
        <v>0</v>
      </c>
      <c r="DF75" s="1486">
        <f t="shared" ca="1" si="194"/>
        <v>0</v>
      </c>
      <c r="DH75" s="838">
        <f t="shared" ca="1" si="124"/>
        <v>0</v>
      </c>
    </row>
    <row r="76" spans="1:112" s="743" customFormat="1" ht="15.75" collapsed="1">
      <c r="A76" s="22"/>
      <c r="B76" s="753"/>
      <c r="C76" s="744" t="s">
        <v>75</v>
      </c>
      <c r="D76" s="517" t="str">
        <f>INDEX(Workstreams[Workstream], MATCH($C76, Workstreams[Code], 0))</f>
        <v>Nuclear power generation</v>
      </c>
      <c r="E76" s="512"/>
      <c r="G76" s="1021">
        <f ca="1">G75</f>
        <v>0</v>
      </c>
      <c r="H76" s="1021">
        <f t="shared" ref="H76:P76" ca="1" si="195">H75</f>
        <v>0</v>
      </c>
      <c r="I76" s="1021">
        <f t="shared" ca="1" si="195"/>
        <v>0</v>
      </c>
      <c r="J76" s="1021">
        <f t="shared" ca="1" si="195"/>
        <v>0</v>
      </c>
      <c r="K76" s="1021">
        <f t="shared" ca="1" si="195"/>
        <v>0</v>
      </c>
      <c r="L76" s="1021">
        <f t="shared" ca="1" si="195"/>
        <v>0</v>
      </c>
      <c r="M76" s="1021">
        <f t="shared" ca="1" si="195"/>
        <v>0</v>
      </c>
      <c r="N76" s="1021">
        <f t="shared" ca="1" si="195"/>
        <v>0</v>
      </c>
      <c r="O76" s="1021">
        <f t="shared" ca="1" si="195"/>
        <v>0</v>
      </c>
      <c r="P76" s="1021">
        <f t="shared" ca="1" si="195"/>
        <v>0</v>
      </c>
      <c r="Q76" s="1021">
        <f ca="1">SUM(G76:P76)</f>
        <v>0</v>
      </c>
      <c r="S76" s="970">
        <f t="shared" ref="S76:AJ76" ca="1" si="196">S75</f>
        <v>0</v>
      </c>
      <c r="T76" s="970">
        <f t="shared" ca="1" si="196"/>
        <v>0</v>
      </c>
      <c r="U76" s="970">
        <f t="shared" ca="1" si="196"/>
        <v>0</v>
      </c>
      <c r="V76" s="970">
        <f t="shared" ca="1" si="196"/>
        <v>0</v>
      </c>
      <c r="W76" s="970">
        <f t="shared" ca="1" si="196"/>
        <v>0</v>
      </c>
      <c r="X76" s="970">
        <f t="shared" ca="1" si="196"/>
        <v>0</v>
      </c>
      <c r="Y76" s="970">
        <f t="shared" ca="1" si="196"/>
        <v>0</v>
      </c>
      <c r="Z76" s="970">
        <f t="shared" ca="1" si="196"/>
        <v>0</v>
      </c>
      <c r="AA76" s="970">
        <f t="shared" ca="1" si="196"/>
        <v>0</v>
      </c>
      <c r="AB76" s="970">
        <f t="shared" ca="1" si="196"/>
        <v>0</v>
      </c>
      <c r="AC76" s="970">
        <f t="shared" ca="1" si="196"/>
        <v>0</v>
      </c>
      <c r="AD76" s="970">
        <f ca="1">AD75</f>
        <v>0</v>
      </c>
      <c r="AE76" s="970">
        <f ca="1">AE75</f>
        <v>0</v>
      </c>
      <c r="AF76" s="970">
        <f t="shared" ca="1" si="196"/>
        <v>0</v>
      </c>
      <c r="AG76" s="970">
        <f ca="1">AG75</f>
        <v>0</v>
      </c>
      <c r="AH76" s="970">
        <f ca="1">AH75</f>
        <v>0</v>
      </c>
      <c r="AI76" s="970">
        <f ca="1">AI75</f>
        <v>0</v>
      </c>
      <c r="AJ76" s="970">
        <f t="shared" ca="1" si="196"/>
        <v>0</v>
      </c>
      <c r="AK76" s="970">
        <f ca="1">SUM(S76:AJ76)</f>
        <v>0</v>
      </c>
      <c r="AM76" s="976">
        <f ca="1">AM75</f>
        <v>0</v>
      </c>
      <c r="AN76" s="976">
        <f t="shared" ref="AN76:BE76" ca="1" si="197">AN75</f>
        <v>0</v>
      </c>
      <c r="AO76" s="976">
        <f t="shared" ca="1" si="197"/>
        <v>0</v>
      </c>
      <c r="AP76" s="976">
        <f t="shared" ca="1" si="197"/>
        <v>0</v>
      </c>
      <c r="AQ76" s="976">
        <f t="shared" ca="1" si="197"/>
        <v>0</v>
      </c>
      <c r="AR76" s="976">
        <f t="shared" ca="1" si="197"/>
        <v>0</v>
      </c>
      <c r="AS76" s="976">
        <f t="shared" ca="1" si="197"/>
        <v>0</v>
      </c>
      <c r="AT76" s="976">
        <f t="shared" ca="1" si="197"/>
        <v>0</v>
      </c>
      <c r="AU76" s="976">
        <f t="shared" ca="1" si="197"/>
        <v>0</v>
      </c>
      <c r="AV76" s="976">
        <f t="shared" ca="1" si="197"/>
        <v>0</v>
      </c>
      <c r="AW76" s="976">
        <f t="shared" ca="1" si="197"/>
        <v>0</v>
      </c>
      <c r="AX76" s="976">
        <f t="shared" ca="1" si="197"/>
        <v>0</v>
      </c>
      <c r="AY76" s="976">
        <f t="shared" ca="1" si="197"/>
        <v>0</v>
      </c>
      <c r="AZ76" s="976">
        <f t="shared" ca="1" si="197"/>
        <v>0</v>
      </c>
      <c r="BA76" s="976">
        <f t="shared" ca="1" si="197"/>
        <v>0</v>
      </c>
      <c r="BB76" s="976">
        <f t="shared" ca="1" si="197"/>
        <v>0</v>
      </c>
      <c r="BC76" s="976">
        <f t="shared" ca="1" si="197"/>
        <v>0</v>
      </c>
      <c r="BD76" s="976">
        <f t="shared" ca="1" si="197"/>
        <v>0</v>
      </c>
      <c r="BE76" s="976">
        <f t="shared" ca="1" si="197"/>
        <v>0</v>
      </c>
      <c r="BF76" s="976">
        <f ca="1">SUM(AM76:BE76)</f>
        <v>0</v>
      </c>
      <c r="BH76" s="990">
        <f ca="1">BH75</f>
        <v>0</v>
      </c>
      <c r="BI76" s="990">
        <f ca="1">BI75</f>
        <v>0</v>
      </c>
      <c r="BJ76" s="990">
        <f ca="1">SUM(BH76:BI76)</f>
        <v>0</v>
      </c>
      <c r="BL76" s="515">
        <f t="shared" ca="1" si="190"/>
        <v>0</v>
      </c>
      <c r="BM76" s="515"/>
      <c r="BN76" s="840"/>
      <c r="BO76" s="1482">
        <f t="shared" ref="BO76:DF76" ca="1" si="198">BO75</f>
        <v>0</v>
      </c>
      <c r="BP76" s="1482">
        <f t="shared" ca="1" si="198"/>
        <v>0</v>
      </c>
      <c r="BQ76" s="1482">
        <f t="shared" ca="1" si="198"/>
        <v>0</v>
      </c>
      <c r="BR76" s="1482">
        <f t="shared" ca="1" si="198"/>
        <v>0</v>
      </c>
      <c r="BS76" s="1482">
        <f t="shared" ca="1" si="198"/>
        <v>0</v>
      </c>
      <c r="BT76" s="1482">
        <f t="shared" ca="1" si="198"/>
        <v>0</v>
      </c>
      <c r="BU76" s="1482">
        <f t="shared" ca="1" si="198"/>
        <v>0</v>
      </c>
      <c r="BV76" s="1482">
        <f t="shared" ca="1" si="198"/>
        <v>0</v>
      </c>
      <c r="BW76" s="1482">
        <f t="shared" ca="1" si="198"/>
        <v>0</v>
      </c>
      <c r="BX76" s="1482">
        <f t="shared" ca="1" si="198"/>
        <v>0</v>
      </c>
      <c r="BY76" s="1482">
        <f t="shared" ca="1" si="198"/>
        <v>0</v>
      </c>
      <c r="BZ76" s="1482">
        <f t="shared" ca="1" si="198"/>
        <v>0</v>
      </c>
      <c r="CA76" s="1482">
        <f t="shared" ca="1" si="198"/>
        <v>0</v>
      </c>
      <c r="CB76" s="1482">
        <f t="shared" ca="1" si="198"/>
        <v>0</v>
      </c>
      <c r="CC76" s="1482">
        <f t="shared" ca="1" si="198"/>
        <v>0</v>
      </c>
      <c r="CD76" s="1482">
        <f t="shared" ca="1" si="198"/>
        <v>0</v>
      </c>
      <c r="CE76" s="1482">
        <f t="shared" ca="1" si="198"/>
        <v>0</v>
      </c>
      <c r="CF76" s="1482">
        <f t="shared" ca="1" si="198"/>
        <v>0</v>
      </c>
      <c r="CG76" s="1482">
        <f t="shared" ca="1" si="198"/>
        <v>0</v>
      </c>
      <c r="CH76" s="1482">
        <f t="shared" ca="1" si="198"/>
        <v>0</v>
      </c>
      <c r="CI76" s="1482">
        <f t="shared" ca="1" si="198"/>
        <v>0</v>
      </c>
      <c r="CJ76" s="1482">
        <f t="shared" ca="1" si="198"/>
        <v>0</v>
      </c>
      <c r="CK76" s="1482">
        <f t="shared" ca="1" si="198"/>
        <v>0</v>
      </c>
      <c r="CL76" s="1482">
        <f t="shared" ca="1" si="198"/>
        <v>0</v>
      </c>
      <c r="CM76" s="1482">
        <f t="shared" ca="1" si="198"/>
        <v>0</v>
      </c>
      <c r="CN76" s="1482">
        <f t="shared" ca="1" si="198"/>
        <v>0</v>
      </c>
      <c r="CO76" s="1482">
        <f t="shared" ca="1" si="198"/>
        <v>0</v>
      </c>
      <c r="CP76" s="1482">
        <f t="shared" ca="1" si="198"/>
        <v>0</v>
      </c>
      <c r="CQ76" s="1482">
        <f t="shared" ca="1" si="198"/>
        <v>0</v>
      </c>
      <c r="CR76" s="1482">
        <f t="shared" ca="1" si="198"/>
        <v>0</v>
      </c>
      <c r="CS76" s="1482">
        <f t="shared" ca="1" si="198"/>
        <v>0</v>
      </c>
      <c r="CT76" s="1482">
        <f t="shared" ca="1" si="198"/>
        <v>0</v>
      </c>
      <c r="CU76" s="1482">
        <f t="shared" ca="1" si="198"/>
        <v>0</v>
      </c>
      <c r="CV76" s="1482">
        <f t="shared" ca="1" si="198"/>
        <v>0</v>
      </c>
      <c r="CW76" s="1482">
        <f t="shared" ca="1" si="198"/>
        <v>0</v>
      </c>
      <c r="CX76" s="1482">
        <f t="shared" ca="1" si="198"/>
        <v>0</v>
      </c>
      <c r="CY76" s="1482">
        <f t="shared" ca="1" si="198"/>
        <v>0</v>
      </c>
      <c r="CZ76" s="1482">
        <f t="shared" ca="1" si="198"/>
        <v>0</v>
      </c>
      <c r="DA76" s="1482">
        <f t="shared" ca="1" si="198"/>
        <v>0</v>
      </c>
      <c r="DB76" s="1482">
        <f t="shared" ca="1" si="198"/>
        <v>0</v>
      </c>
      <c r="DC76" s="1482">
        <f t="shared" ca="1" si="198"/>
        <v>0</v>
      </c>
      <c r="DD76" s="1482">
        <f t="shared" ca="1" si="198"/>
        <v>0</v>
      </c>
      <c r="DE76" s="1482">
        <f t="shared" ca="1" si="198"/>
        <v>0</v>
      </c>
      <c r="DF76" s="1482">
        <f t="shared" ca="1" si="198"/>
        <v>0</v>
      </c>
      <c r="DH76" s="838">
        <f t="shared" ca="1" si="124"/>
        <v>0</v>
      </c>
    </row>
    <row r="77" spans="1:112" s="743" customFormat="1" ht="12.75" hidden="1" customHeight="1" outlineLevel="1">
      <c r="A77" s="22"/>
      <c r="B77" s="22"/>
      <c r="C77" s="751"/>
      <c r="D77" s="512"/>
      <c r="E77" s="512"/>
      <c r="G77" s="958"/>
      <c r="H77" s="958"/>
      <c r="I77" s="958"/>
      <c r="J77" s="958"/>
      <c r="K77" s="960"/>
      <c r="L77" s="958"/>
      <c r="M77" s="958"/>
      <c r="N77" s="958"/>
      <c r="O77" s="958"/>
      <c r="P77" s="958"/>
      <c r="Q77" s="958"/>
      <c r="S77" s="970"/>
      <c r="T77" s="970"/>
      <c r="U77" s="970"/>
      <c r="V77" s="970"/>
      <c r="W77" s="970"/>
      <c r="X77" s="970"/>
      <c r="Y77" s="970"/>
      <c r="Z77" s="970"/>
      <c r="AA77" s="970"/>
      <c r="AB77" s="970"/>
      <c r="AC77" s="970"/>
      <c r="AD77" s="970"/>
      <c r="AE77" s="970"/>
      <c r="AF77" s="970"/>
      <c r="AG77" s="970"/>
      <c r="AH77" s="970"/>
      <c r="AI77" s="970"/>
      <c r="AJ77" s="970"/>
      <c r="AK77" s="970"/>
      <c r="AM77" s="976"/>
      <c r="AN77" s="976"/>
      <c r="AO77" s="976"/>
      <c r="AP77" s="976"/>
      <c r="AQ77" s="976"/>
      <c r="AR77" s="976"/>
      <c r="AS77" s="976"/>
      <c r="AT77" s="976"/>
      <c r="AU77" s="976"/>
      <c r="AV77" s="976"/>
      <c r="AW77" s="976"/>
      <c r="AX77" s="976"/>
      <c r="AY77" s="976"/>
      <c r="AZ77" s="976"/>
      <c r="BA77" s="976"/>
      <c r="BB77" s="976"/>
      <c r="BC77" s="976"/>
      <c r="BD77" s="976"/>
      <c r="BE77" s="976"/>
      <c r="BF77" s="976"/>
      <c r="BH77" s="990"/>
      <c r="BI77" s="990"/>
      <c r="BJ77" s="990"/>
      <c r="BL77" s="515">
        <f t="shared" si="190"/>
        <v>0</v>
      </c>
      <c r="BM77" s="515"/>
      <c r="BN77" s="22"/>
      <c r="BO77" s="1482"/>
      <c r="BP77" s="1482"/>
      <c r="BQ77" s="1482"/>
      <c r="BR77" s="1482"/>
      <c r="BS77" s="1482"/>
      <c r="BT77" s="1482"/>
      <c r="BU77" s="1482"/>
      <c r="BV77" s="1482"/>
      <c r="BW77" s="1482"/>
      <c r="BX77" s="1482"/>
      <c r="BY77" s="1482"/>
      <c r="BZ77" s="1482"/>
      <c r="CA77" s="1482"/>
      <c r="CB77" s="1482"/>
      <c r="CC77" s="1482"/>
      <c r="CD77" s="1482"/>
      <c r="CE77" s="1482"/>
      <c r="CF77" s="1482"/>
      <c r="CG77" s="1482"/>
      <c r="CH77" s="1482"/>
      <c r="CI77" s="1482"/>
      <c r="CJ77" s="1482"/>
      <c r="CK77" s="1482"/>
      <c r="CL77" s="1482"/>
      <c r="CM77" s="1482"/>
      <c r="CN77" s="1482"/>
      <c r="CO77" s="1482"/>
      <c r="CP77" s="1482"/>
      <c r="CQ77" s="1482"/>
      <c r="CR77" s="1482"/>
      <c r="CS77" s="1482"/>
      <c r="CT77" s="1482"/>
      <c r="CU77" s="1482"/>
      <c r="CV77" s="1482"/>
      <c r="CW77" s="1482"/>
      <c r="CX77" s="1482"/>
      <c r="CY77" s="1482"/>
      <c r="CZ77" s="1482"/>
      <c r="DA77" s="1482"/>
      <c r="DB77" s="1482"/>
      <c r="DC77" s="1482"/>
      <c r="DD77" s="1482"/>
      <c r="DE77" s="1482"/>
      <c r="DF77" s="1482"/>
      <c r="DH77" s="838">
        <f t="shared" si="124"/>
        <v>0</v>
      </c>
    </row>
    <row r="78" spans="1:112" s="1488" customFormat="1" ht="12.75" hidden="1" customHeight="1" outlineLevel="1">
      <c r="C78" s="1048" t="s">
        <v>1720</v>
      </c>
      <c r="D78" s="1049" t="s">
        <v>1334</v>
      </c>
      <c r="E78" s="1049"/>
      <c r="F78" s="743"/>
      <c r="G78" s="1050"/>
      <c r="H78" s="1050"/>
      <c r="I78" s="1050"/>
      <c r="J78" s="1050"/>
      <c r="K78" s="1051"/>
      <c r="L78" s="1050"/>
      <c r="M78" s="1050"/>
      <c r="N78" s="1050"/>
      <c r="O78" s="1050"/>
      <c r="P78" s="1050"/>
      <c r="Q78" s="1050"/>
      <c r="R78" s="743"/>
      <c r="S78" s="1052">
        <f ca="1">S$74+S$76</f>
        <v>-435.71486302109327</v>
      </c>
      <c r="T78" s="1052">
        <f ca="1">T$74+T$76</f>
        <v>-28.41644520418663</v>
      </c>
      <c r="U78" s="1052"/>
      <c r="V78" s="1052"/>
      <c r="W78" s="1052"/>
      <c r="X78" s="1052"/>
      <c r="Y78" s="1052"/>
      <c r="Z78" s="1052"/>
      <c r="AA78" s="1052"/>
      <c r="AB78" s="1052"/>
      <c r="AC78" s="1052"/>
      <c r="AD78" s="1052"/>
      <c r="AE78" s="1052"/>
      <c r="AF78" s="1052"/>
      <c r="AG78" s="1052"/>
      <c r="AH78" s="1052"/>
      <c r="AI78" s="1052"/>
      <c r="AJ78" s="1052"/>
      <c r="AK78" s="1052"/>
      <c r="AL78" s="743"/>
      <c r="AM78" s="1053"/>
      <c r="AN78" s="1053"/>
      <c r="AO78" s="1053"/>
      <c r="AP78" s="1053"/>
      <c r="AQ78" s="1053"/>
      <c r="AR78" s="1053"/>
      <c r="AS78" s="1053"/>
      <c r="AT78" s="1053"/>
      <c r="AU78" s="1053"/>
      <c r="AV78" s="1053"/>
      <c r="AW78" s="1053"/>
      <c r="AX78" s="1053"/>
      <c r="AY78" s="1053"/>
      <c r="AZ78" s="1053"/>
      <c r="BA78" s="1053"/>
      <c r="BB78" s="1053"/>
      <c r="BC78" s="1053"/>
      <c r="BD78" s="1053"/>
      <c r="BE78" s="1053"/>
      <c r="BF78" s="1053"/>
      <c r="BG78" s="743"/>
      <c r="BH78" s="1054"/>
      <c r="BI78" s="1054"/>
      <c r="BJ78" s="1054"/>
      <c r="BK78" s="743"/>
      <c r="BL78" s="852">
        <f t="shared" si="190"/>
        <v>0</v>
      </c>
      <c r="BM78" s="852"/>
      <c r="BO78" s="1490"/>
      <c r="BP78" s="1490"/>
      <c r="BQ78" s="1490"/>
      <c r="BR78" s="1490"/>
      <c r="BS78" s="1490"/>
      <c r="BT78" s="1490"/>
      <c r="BU78" s="1490"/>
      <c r="BV78" s="1490"/>
      <c r="BW78" s="1490"/>
      <c r="BX78" s="1490"/>
      <c r="BY78" s="1490"/>
      <c r="BZ78" s="1490"/>
      <c r="CA78" s="1490"/>
      <c r="CB78" s="1490"/>
      <c r="CC78" s="1490"/>
      <c r="CD78" s="1490"/>
      <c r="CE78" s="1490"/>
      <c r="CF78" s="1490"/>
      <c r="CG78" s="1490"/>
      <c r="CH78" s="1490"/>
      <c r="CI78" s="1490"/>
      <c r="CJ78" s="1490"/>
      <c r="CK78" s="1490"/>
      <c r="CL78" s="1490"/>
      <c r="CM78" s="1490"/>
      <c r="CN78" s="1490"/>
      <c r="CO78" s="1490"/>
      <c r="CP78" s="1490"/>
      <c r="CQ78" s="1490"/>
      <c r="CR78" s="1490"/>
      <c r="CS78" s="1490"/>
      <c r="CT78" s="1490"/>
      <c r="CU78" s="1490"/>
      <c r="CV78" s="1490"/>
      <c r="CW78" s="1490"/>
      <c r="CX78" s="1490"/>
      <c r="CY78" s="1490"/>
      <c r="CZ78" s="1490"/>
      <c r="DA78" s="1490"/>
      <c r="DB78" s="1490"/>
      <c r="DC78" s="1490"/>
      <c r="DD78" s="1490"/>
      <c r="DE78" s="1490"/>
      <c r="DF78" s="1490"/>
      <c r="DH78" s="838">
        <f t="shared" si="124"/>
        <v>0</v>
      </c>
    </row>
    <row r="79" spans="1:112" s="1484" customFormat="1" ht="12.75" hidden="1" customHeight="1" outlineLevel="1">
      <c r="C79" s="746" t="s">
        <v>878</v>
      </c>
      <c r="D79" s="521" t="str">
        <f>INDEX(Modules[Module], MATCH($C79, Modules[Code], 0))</f>
        <v>Combustion + CCS</v>
      </c>
      <c r="E79" s="521"/>
      <c r="F79" s="743"/>
      <c r="G79" s="2013">
        <f t="shared" ref="G79:P79" ca="1" si="199">IFERROR(INDEX(INDIRECT($C79&amp;".Outputs["&amp;this.Year&amp;"]"), MATCH(G$5, INDIRECT($C79&amp;".Outputs[Vector]"), 0)), 0)</f>
        <v>0</v>
      </c>
      <c r="H79" s="2013">
        <f t="shared" ca="1" si="199"/>
        <v>0</v>
      </c>
      <c r="I79" s="2013">
        <f t="shared" ca="1" si="199"/>
        <v>0</v>
      </c>
      <c r="J79" s="2013">
        <f t="shared" ca="1" si="199"/>
        <v>0</v>
      </c>
      <c r="K79" s="2013">
        <f t="shared" ca="1" si="199"/>
        <v>0</v>
      </c>
      <c r="L79" s="2013">
        <f t="shared" ca="1" si="199"/>
        <v>0</v>
      </c>
      <c r="M79" s="2013">
        <f t="shared" ca="1" si="199"/>
        <v>0</v>
      </c>
      <c r="N79" s="2013">
        <f t="shared" ca="1" si="199"/>
        <v>0</v>
      </c>
      <c r="O79" s="2013">
        <f t="shared" ca="1" si="199"/>
        <v>0</v>
      </c>
      <c r="P79" s="2013">
        <f t="shared" ca="1" si="199"/>
        <v>0</v>
      </c>
      <c r="Q79" s="2014">
        <f ca="1">SUM(G79:P79)</f>
        <v>0</v>
      </c>
      <c r="R79" s="743"/>
      <c r="S79" s="2015">
        <f t="shared" ref="S79:BE79" ca="1" si="200">IFERROR(INDEX(INDIRECT($C79&amp;".Outputs["&amp;this.Year&amp;"]"), MATCH(S$5, INDIRECT($C79&amp;".Outputs[Vector]"), 0)), 0)</f>
        <v>0</v>
      </c>
      <c r="T79" s="2015">
        <f t="shared" ca="1" si="200"/>
        <v>9.748668600000002</v>
      </c>
      <c r="U79" s="2015">
        <f t="shared" ca="1" si="200"/>
        <v>-27.711631649842534</v>
      </c>
      <c r="V79" s="2015">
        <f t="shared" ca="1" si="200"/>
        <v>0</v>
      </c>
      <c r="W79" s="2015">
        <f t="shared" ca="1" si="200"/>
        <v>0</v>
      </c>
      <c r="X79" s="2015">
        <f ca="1">IFERROR(INDEX(INDIRECT($C79&amp;".Outputs["&amp;this.Year&amp;"]"), MATCH(X$5, INDIRECT($C79&amp;".Outputs[Vector]"), 0)), 0)</f>
        <v>0</v>
      </c>
      <c r="Y79" s="2015">
        <f ca="1">IFERROR(INDEX(INDIRECT($C79&amp;".Outputs["&amp;this.Year&amp;"]"), MATCH(Y$5, INDIRECT($C79&amp;".Outputs[Vector]"), 0)), 0)</f>
        <v>0</v>
      </c>
      <c r="Z79" s="2015">
        <f ca="1">IFERROR(INDEX(INDIRECT($C79&amp;".Outputs["&amp;this.Year&amp;"]"), MATCH(Z$5, INDIRECT($C79&amp;".Outputs[Vector]"), 0)), 0)</f>
        <v>0</v>
      </c>
      <c r="AA79" s="2015">
        <f t="shared" ca="1" si="200"/>
        <v>0</v>
      </c>
      <c r="AB79" s="2015">
        <f t="shared" ca="1" si="200"/>
        <v>0</v>
      </c>
      <c r="AC79" s="2015">
        <f t="shared" ca="1" si="200"/>
        <v>0</v>
      </c>
      <c r="AD79" s="2015">
        <f t="shared" ca="1" si="200"/>
        <v>0</v>
      </c>
      <c r="AE79" s="2015">
        <f t="shared" ca="1" si="200"/>
        <v>0</v>
      </c>
      <c r="AF79" s="2015">
        <f t="shared" ca="1" si="200"/>
        <v>0</v>
      </c>
      <c r="AG79" s="2015">
        <f t="shared" ca="1" si="200"/>
        <v>0</v>
      </c>
      <c r="AH79" s="2015">
        <f t="shared" ca="1" si="200"/>
        <v>0</v>
      </c>
      <c r="AI79" s="2015">
        <f t="shared" ca="1" si="200"/>
        <v>0</v>
      </c>
      <c r="AJ79" s="2015">
        <f t="shared" ca="1" si="200"/>
        <v>0</v>
      </c>
      <c r="AK79" s="2016">
        <f ca="1">SUM(S79:AJ79)</f>
        <v>-17.962963049842532</v>
      </c>
      <c r="AL79" s="743"/>
      <c r="AM79" s="2017">
        <f t="shared" ref="AM79:AU79" ca="1" si="201">IFERROR(INDEX(INDIRECT($C79&amp;".Outputs["&amp;this.Year&amp;"]"), MATCH(AM$5, INDIRECT($C79&amp;".Outputs[Vector]"), 0)), 0)</f>
        <v>0</v>
      </c>
      <c r="AN79" s="2017">
        <f t="shared" ca="1" si="201"/>
        <v>0</v>
      </c>
      <c r="AO79" s="2017">
        <f t="shared" ca="1" si="201"/>
        <v>0</v>
      </c>
      <c r="AP79" s="2017">
        <f t="shared" ca="1" si="201"/>
        <v>0</v>
      </c>
      <c r="AQ79" s="2017">
        <f t="shared" ca="1" si="201"/>
        <v>0</v>
      </c>
      <c r="AR79" s="2017">
        <f t="shared" ca="1" si="201"/>
        <v>0</v>
      </c>
      <c r="AS79" s="2017">
        <f t="shared" ca="1" si="201"/>
        <v>0</v>
      </c>
      <c r="AT79" s="2017">
        <f t="shared" ca="1" si="201"/>
        <v>0</v>
      </c>
      <c r="AU79" s="2017">
        <f t="shared" ca="1" si="201"/>
        <v>0</v>
      </c>
      <c r="AV79" s="2017">
        <f t="shared" ca="1" si="200"/>
        <v>0</v>
      </c>
      <c r="AW79" s="2017">
        <f t="shared" ca="1" si="200"/>
        <v>0</v>
      </c>
      <c r="AX79" s="2017">
        <f t="shared" ca="1" si="200"/>
        <v>0</v>
      </c>
      <c r="AY79" s="2017">
        <f t="shared" ca="1" si="200"/>
        <v>0</v>
      </c>
      <c r="AZ79" s="2017">
        <f t="shared" ca="1" si="200"/>
        <v>0</v>
      </c>
      <c r="BA79" s="2017">
        <f t="shared" ca="1" si="200"/>
        <v>0</v>
      </c>
      <c r="BB79" s="2017">
        <f t="shared" ca="1" si="200"/>
        <v>0</v>
      </c>
      <c r="BC79" s="2017">
        <f t="shared" ca="1" si="200"/>
        <v>0</v>
      </c>
      <c r="BD79" s="2017">
        <f t="shared" ca="1" si="200"/>
        <v>0</v>
      </c>
      <c r="BE79" s="2017">
        <f t="shared" ca="1" si="200"/>
        <v>0</v>
      </c>
      <c r="BF79" s="2018">
        <f ca="1">SUM(AM79:BE79)</f>
        <v>0</v>
      </c>
      <c r="BG79" s="743"/>
      <c r="BH79" s="2019">
        <f ca="1">IFERROR(INDEX(INDIRECT($C79&amp;".Outputs["&amp;this.Year&amp;"]"), MATCH(BH$5, INDIRECT($C79&amp;".Outputs[Vector]"), 0)), 0)</f>
        <v>14.926492502301548</v>
      </c>
      <c r="BI79" s="2019">
        <f ca="1">IFERROR(INDEX(INDIRECT($C79&amp;".Outputs["&amp;this.Year&amp;"]"), MATCH(BI$5, INDIRECT($C79&amp;".Outputs[Vector]"), 0)), 0)</f>
        <v>3.0364705475409841</v>
      </c>
      <c r="BJ79" s="2020">
        <f ca="1">SUM(BH79:BI79)</f>
        <v>17.962963049842532</v>
      </c>
      <c r="BK79" s="743"/>
      <c r="BL79" s="814">
        <f t="shared" ca="1" si="190"/>
        <v>0</v>
      </c>
      <c r="BM79" s="814"/>
      <c r="BN79" s="840"/>
      <c r="BO79" s="1481">
        <f t="shared" ref="BO79:DF79" ca="1" si="202">IFERROR(SUMIFS(INDIRECT($C79&amp;".Emissions["&amp;this.Year&amp;"]"), INDIRECT($C79&amp;".Emissions[GHG]"), BO$6, INDIRECT($C79&amp;".Emissions[IPCC Sector]"), BO$5),0)</f>
        <v>8.5351825481514982</v>
      </c>
      <c r="BP79" s="1482">
        <f t="shared" ca="1" si="202"/>
        <v>2.5073281914804985E-2</v>
      </c>
      <c r="BQ79" s="1482">
        <f t="shared" ca="1" si="202"/>
        <v>7.5609029288674801E-2</v>
      </c>
      <c r="BR79" s="1482">
        <f t="shared" ca="1" si="202"/>
        <v>0</v>
      </c>
      <c r="BS79" s="1482">
        <f t="shared" ca="1" si="202"/>
        <v>0</v>
      </c>
      <c r="BT79" s="1482">
        <f t="shared" ca="1" si="202"/>
        <v>0</v>
      </c>
      <c r="BU79" s="1482">
        <f t="shared" ca="1" si="202"/>
        <v>0</v>
      </c>
      <c r="BV79" s="1482">
        <f t="shared" ca="1" si="202"/>
        <v>0</v>
      </c>
      <c r="BW79" s="1482">
        <f t="shared" ca="1" si="202"/>
        <v>0</v>
      </c>
      <c r="BX79" s="1482">
        <f t="shared" ca="1" si="202"/>
        <v>0</v>
      </c>
      <c r="BY79" s="1482">
        <f t="shared" ca="1" si="202"/>
        <v>0</v>
      </c>
      <c r="BZ79" s="1482">
        <f t="shared" ca="1" si="202"/>
        <v>0</v>
      </c>
      <c r="CA79" s="1482">
        <f t="shared" ca="1" si="202"/>
        <v>0</v>
      </c>
      <c r="CB79" s="1482">
        <f t="shared" ca="1" si="202"/>
        <v>0</v>
      </c>
      <c r="CC79" s="1482">
        <f t="shared" ca="1" si="202"/>
        <v>0</v>
      </c>
      <c r="CD79" s="1482">
        <f t="shared" ca="1" si="202"/>
        <v>0</v>
      </c>
      <c r="CE79" s="1482">
        <f t="shared" ca="1" si="202"/>
        <v>0</v>
      </c>
      <c r="CF79" s="1482">
        <f t="shared" ca="1" si="202"/>
        <v>0</v>
      </c>
      <c r="CG79" s="1482">
        <f t="shared" ca="1" si="202"/>
        <v>0</v>
      </c>
      <c r="CH79" s="1482">
        <f t="shared" ca="1" si="202"/>
        <v>0</v>
      </c>
      <c r="CI79" s="1482">
        <f t="shared" ca="1" si="202"/>
        <v>0</v>
      </c>
      <c r="CJ79" s="1482">
        <f t="shared" ca="1" si="202"/>
        <v>0</v>
      </c>
      <c r="CK79" s="1482">
        <f t="shared" ca="1" si="202"/>
        <v>0</v>
      </c>
      <c r="CL79" s="1482">
        <f t="shared" ca="1" si="202"/>
        <v>0</v>
      </c>
      <c r="CM79" s="1482">
        <f t="shared" ca="1" si="202"/>
        <v>0</v>
      </c>
      <c r="CN79" s="1482">
        <f t="shared" ca="1" si="202"/>
        <v>0</v>
      </c>
      <c r="CO79" s="1482">
        <f t="shared" ca="1" si="202"/>
        <v>0</v>
      </c>
      <c r="CP79" s="1482">
        <f t="shared" ca="1" si="202"/>
        <v>0</v>
      </c>
      <c r="CQ79" s="1482">
        <f t="shared" ca="1" si="202"/>
        <v>0</v>
      </c>
      <c r="CR79" s="1482">
        <f t="shared" ca="1" si="202"/>
        <v>0</v>
      </c>
      <c r="CS79" s="1482">
        <f t="shared" ca="1" si="202"/>
        <v>0</v>
      </c>
      <c r="CT79" s="1482">
        <f t="shared" ca="1" si="202"/>
        <v>0</v>
      </c>
      <c r="CU79" s="1482">
        <f t="shared" ca="1" si="202"/>
        <v>0</v>
      </c>
      <c r="CV79" s="1482">
        <f t="shared" ca="1" si="202"/>
        <v>0</v>
      </c>
      <c r="CW79" s="1482">
        <f t="shared" ca="1" si="202"/>
        <v>0</v>
      </c>
      <c r="CX79" s="1482">
        <f t="shared" ca="1" si="202"/>
        <v>0</v>
      </c>
      <c r="CY79" s="1482">
        <f t="shared" ca="1" si="202"/>
        <v>0</v>
      </c>
      <c r="CZ79" s="1482">
        <f t="shared" ca="1" si="202"/>
        <v>0</v>
      </c>
      <c r="DA79" s="1482">
        <f t="shared" ca="1" si="202"/>
        <v>0</v>
      </c>
      <c r="DB79" s="1482">
        <f t="shared" ca="1" si="202"/>
        <v>0</v>
      </c>
      <c r="DC79" s="1482">
        <f t="shared" ca="1" si="202"/>
        <v>-7.6816642933363486</v>
      </c>
      <c r="DD79" s="1482">
        <f t="shared" ca="1" si="202"/>
        <v>0</v>
      </c>
      <c r="DE79" s="1482">
        <f t="shared" ca="1" si="202"/>
        <v>0</v>
      </c>
      <c r="DF79" s="1482">
        <f t="shared" ca="1" si="202"/>
        <v>0</v>
      </c>
      <c r="DH79" s="838">
        <f t="shared" ca="1" si="124"/>
        <v>0.95420056601862946</v>
      </c>
    </row>
    <row r="80" spans="1:112" s="1491" customFormat="1" ht="12.75" hidden="1" customHeight="1" outlineLevel="1">
      <c r="C80" s="1534" t="s">
        <v>1721</v>
      </c>
      <c r="D80" s="1049" t="s">
        <v>1334</v>
      </c>
      <c r="E80" s="1535"/>
      <c r="F80" s="1957"/>
      <c r="G80" s="1070"/>
      <c r="H80" s="1070"/>
      <c r="I80" s="1070"/>
      <c r="J80" s="1070"/>
      <c r="K80" s="1071"/>
      <c r="L80" s="1070"/>
      <c r="M80" s="1070"/>
      <c r="N80" s="1070"/>
      <c r="O80" s="1070"/>
      <c r="P80" s="1070"/>
      <c r="Q80" s="1070"/>
      <c r="R80" s="1957"/>
      <c r="S80" s="1072">
        <f ca="1">S78+S79</f>
        <v>-435.71486302109327</v>
      </c>
      <c r="T80" s="1072">
        <f ca="1">T78+T79</f>
        <v>-18.667776604186628</v>
      </c>
      <c r="U80" s="1072"/>
      <c r="V80" s="1072"/>
      <c r="W80" s="1072"/>
      <c r="X80" s="1072"/>
      <c r="Y80" s="1072"/>
      <c r="Z80" s="1072"/>
      <c r="AA80" s="1072"/>
      <c r="AB80" s="1072"/>
      <c r="AC80" s="1072"/>
      <c r="AD80" s="1072"/>
      <c r="AE80" s="1072"/>
      <c r="AF80" s="1072"/>
      <c r="AG80" s="1072"/>
      <c r="AH80" s="1072"/>
      <c r="AI80" s="1072"/>
      <c r="AJ80" s="1072"/>
      <c r="AK80" s="1072"/>
      <c r="AL80" s="1957"/>
      <c r="AM80" s="1073"/>
      <c r="AN80" s="1073"/>
      <c r="AO80" s="1073"/>
      <c r="AP80" s="1073"/>
      <c r="AQ80" s="1073"/>
      <c r="AR80" s="1073"/>
      <c r="AS80" s="1073"/>
      <c r="AT80" s="1073"/>
      <c r="AU80" s="1073"/>
      <c r="AV80" s="1073"/>
      <c r="AW80" s="1073"/>
      <c r="AX80" s="1073"/>
      <c r="AY80" s="1073"/>
      <c r="AZ80" s="1073"/>
      <c r="BA80" s="1073"/>
      <c r="BB80" s="1073"/>
      <c r="BC80" s="1073"/>
      <c r="BD80" s="1073"/>
      <c r="BE80" s="1073"/>
      <c r="BF80" s="1073"/>
      <c r="BG80" s="1957"/>
      <c r="BH80" s="1074"/>
      <c r="BI80" s="1074"/>
      <c r="BJ80" s="1074"/>
      <c r="BK80" s="1957"/>
      <c r="BL80" s="1536">
        <f t="shared" si="190"/>
        <v>0</v>
      </c>
      <c r="BM80" s="1536"/>
      <c r="BO80" s="1963"/>
      <c r="BP80" s="1963"/>
      <c r="BQ80" s="1963"/>
      <c r="BR80" s="1963"/>
      <c r="BS80" s="1963"/>
      <c r="BT80" s="1963"/>
      <c r="BU80" s="1963"/>
      <c r="BV80" s="1963"/>
      <c r="BW80" s="1963"/>
      <c r="BX80" s="1963"/>
      <c r="BY80" s="1963"/>
      <c r="BZ80" s="1963"/>
      <c r="CA80" s="1963"/>
      <c r="CB80" s="1963"/>
      <c r="CC80" s="1963"/>
      <c r="CD80" s="1963"/>
      <c r="CE80" s="1963"/>
      <c r="CF80" s="1963"/>
      <c r="CG80" s="1963"/>
      <c r="CH80" s="1963"/>
      <c r="CI80" s="1963"/>
      <c r="CJ80" s="1963"/>
      <c r="CK80" s="1963"/>
      <c r="CL80" s="1963"/>
      <c r="CM80" s="1963"/>
      <c r="CN80" s="1963"/>
      <c r="CO80" s="1963"/>
      <c r="CP80" s="1963"/>
      <c r="CQ80" s="1963"/>
      <c r="CR80" s="1963"/>
      <c r="CS80" s="1963"/>
      <c r="CT80" s="1963"/>
      <c r="CU80" s="1963"/>
      <c r="CV80" s="1963"/>
      <c r="CW80" s="1963"/>
      <c r="CX80" s="1963"/>
      <c r="CY80" s="1963"/>
      <c r="CZ80" s="1963"/>
      <c r="DA80" s="1963"/>
      <c r="DB80" s="1963"/>
      <c r="DC80" s="1963"/>
      <c r="DD80" s="1963"/>
      <c r="DE80" s="1963"/>
      <c r="DF80" s="1963"/>
      <c r="DH80" s="1962">
        <f t="shared" si="124"/>
        <v>0</v>
      </c>
    </row>
    <row r="81" spans="1:112" s="1484" customFormat="1" ht="12.75" hidden="1" customHeight="1" outlineLevel="1">
      <c r="C81" s="746" t="s">
        <v>742</v>
      </c>
      <c r="D81" s="521" t="str">
        <f>INDEX(Modules[Module], MATCH($C81, Modules[Code], 0))</f>
        <v>Conventional thermal plant</v>
      </c>
      <c r="E81" s="521"/>
      <c r="F81" s="743"/>
      <c r="G81" s="1022">
        <f t="shared" ref="G81:P81" ca="1" si="203">IFERROR(INDEX(INDIRECT($C81&amp;".Outputs["&amp;this.Year&amp;"]"), MATCH(G$5, INDIRECT($C81&amp;".Outputs[Vector]"), 0)), 0)</f>
        <v>0</v>
      </c>
      <c r="H81" s="1022">
        <f t="shared" ca="1" si="203"/>
        <v>0</v>
      </c>
      <c r="I81" s="1022">
        <f t="shared" ca="1" si="203"/>
        <v>0</v>
      </c>
      <c r="J81" s="1022">
        <f t="shared" ca="1" si="203"/>
        <v>0</v>
      </c>
      <c r="K81" s="1022">
        <f t="shared" ca="1" si="203"/>
        <v>0</v>
      </c>
      <c r="L81" s="1022">
        <f t="shared" ca="1" si="203"/>
        <v>0</v>
      </c>
      <c r="M81" s="1022">
        <f t="shared" ca="1" si="203"/>
        <v>0</v>
      </c>
      <c r="N81" s="1022">
        <f t="shared" ca="1" si="203"/>
        <v>0</v>
      </c>
      <c r="O81" s="1022">
        <f t="shared" ca="1" si="203"/>
        <v>0</v>
      </c>
      <c r="P81" s="1022">
        <f t="shared" ca="1" si="203"/>
        <v>0</v>
      </c>
      <c r="Q81" s="1020">
        <f ca="1">SUM(G81:P81)</f>
        <v>0</v>
      </c>
      <c r="R81" s="743"/>
      <c r="S81" s="1031">
        <f t="shared" ref="S81:BE81" ca="1" si="204">IFERROR(INDEX(INDIRECT($C81&amp;".Outputs["&amp;this.Year&amp;"]"), MATCH(S$5, INDIRECT($C81&amp;".Outputs[Vector]"), 0)), 0)</f>
        <v>0</v>
      </c>
      <c r="T81" s="1031">
        <f t="shared" ca="1" si="204"/>
        <v>454.38263962527992</v>
      </c>
      <c r="U81" s="1031">
        <f t="shared" ca="1" si="204"/>
        <v>-20.638670399999999</v>
      </c>
      <c r="V81" s="1031">
        <f t="shared" ca="1" si="204"/>
        <v>0</v>
      </c>
      <c r="W81" s="1031">
        <f t="shared" ca="1" si="204"/>
        <v>-912.90628896357111</v>
      </c>
      <c r="X81" s="1031">
        <f ca="1">IFERROR(INDEX(INDIRECT($C81&amp;".Outputs["&amp;this.Year&amp;"]"), MATCH(X$5, INDIRECT($C81&amp;".Outputs[Vector]"), 0)), 0)</f>
        <v>0</v>
      </c>
      <c r="Y81" s="1031">
        <f ca="1">IFERROR(INDEX(INDIRECT($C81&amp;".Outputs["&amp;this.Year&amp;"]"), MATCH(Y$5, INDIRECT($C81&amp;".Outputs[Vector]"), 0)), 0)</f>
        <v>0</v>
      </c>
      <c r="Z81" s="1031">
        <f ca="1">IFERROR(INDEX(INDIRECT($C81&amp;".Outputs["&amp;this.Year&amp;"]"), MATCH(Z$5, INDIRECT($C81&amp;".Outputs[Vector]"), 0)), 0)</f>
        <v>0</v>
      </c>
      <c r="AA81" s="1031">
        <f t="shared" ca="1" si="204"/>
        <v>0</v>
      </c>
      <c r="AB81" s="1031">
        <f t="shared" ca="1" si="204"/>
        <v>0</v>
      </c>
      <c r="AC81" s="1031">
        <f t="shared" ca="1" si="204"/>
        <v>0</v>
      </c>
      <c r="AD81" s="1031">
        <f t="shared" ca="1" si="204"/>
        <v>0</v>
      </c>
      <c r="AE81" s="1031">
        <f t="shared" ca="1" si="204"/>
        <v>0</v>
      </c>
      <c r="AF81" s="1031">
        <f t="shared" ca="1" si="204"/>
        <v>0</v>
      </c>
      <c r="AG81" s="1031">
        <f t="shared" ca="1" si="204"/>
        <v>0</v>
      </c>
      <c r="AH81" s="1031">
        <f t="shared" ca="1" si="204"/>
        <v>0</v>
      </c>
      <c r="AI81" s="1031">
        <f t="shared" ca="1" si="204"/>
        <v>0</v>
      </c>
      <c r="AJ81" s="1031">
        <f t="shared" ca="1" si="204"/>
        <v>0</v>
      </c>
      <c r="AK81" s="1030">
        <f ca="1">SUM(S81:AJ81)</f>
        <v>-479.16231973829122</v>
      </c>
      <c r="AL81" s="743"/>
      <c r="AM81" s="1042">
        <f t="shared" ref="AM81:AU81" ca="1" si="205">IFERROR(INDEX(INDIRECT($C81&amp;".Outputs["&amp;this.Year&amp;"]"), MATCH(AM$5, INDIRECT($C81&amp;".Outputs[Vector]"), 0)), 0)</f>
        <v>0</v>
      </c>
      <c r="AN81" s="1042">
        <f t="shared" ca="1" si="205"/>
        <v>0</v>
      </c>
      <c r="AO81" s="1042">
        <f t="shared" ca="1" si="205"/>
        <v>0</v>
      </c>
      <c r="AP81" s="1042">
        <f t="shared" ca="1" si="205"/>
        <v>0</v>
      </c>
      <c r="AQ81" s="1042">
        <f t="shared" ca="1" si="205"/>
        <v>0</v>
      </c>
      <c r="AR81" s="1042">
        <f t="shared" ca="1" si="205"/>
        <v>0</v>
      </c>
      <c r="AS81" s="1042">
        <f t="shared" ca="1" si="205"/>
        <v>0</v>
      </c>
      <c r="AT81" s="1042">
        <f t="shared" ca="1" si="205"/>
        <v>0</v>
      </c>
      <c r="AU81" s="1042">
        <f t="shared" ca="1" si="205"/>
        <v>0</v>
      </c>
      <c r="AV81" s="1042">
        <f t="shared" ca="1" si="204"/>
        <v>0</v>
      </c>
      <c r="AW81" s="1042">
        <f t="shared" ca="1" si="204"/>
        <v>0</v>
      </c>
      <c r="AX81" s="1042">
        <f t="shared" ca="1" si="204"/>
        <v>0</v>
      </c>
      <c r="AY81" s="1042">
        <f t="shared" ca="1" si="204"/>
        <v>0</v>
      </c>
      <c r="AZ81" s="1042">
        <f t="shared" ca="1" si="204"/>
        <v>0</v>
      </c>
      <c r="BA81" s="1042">
        <f t="shared" ca="1" si="204"/>
        <v>0</v>
      </c>
      <c r="BB81" s="1042">
        <f t="shared" ca="1" si="204"/>
        <v>0</v>
      </c>
      <c r="BC81" s="1042">
        <f t="shared" ca="1" si="204"/>
        <v>0</v>
      </c>
      <c r="BD81" s="1042">
        <f t="shared" ca="1" si="204"/>
        <v>0</v>
      </c>
      <c r="BE81" s="1042">
        <f t="shared" ca="1" si="204"/>
        <v>0</v>
      </c>
      <c r="BF81" s="1012">
        <f ca="1">SUM(AM81:BE81)</f>
        <v>0</v>
      </c>
      <c r="BG81" s="743"/>
      <c r="BH81" s="1036">
        <f ca="1">IFERROR(INDEX(INDIRECT($C81&amp;".Outputs["&amp;this.Year&amp;"]"), MATCH(BH$5, INDIRECT($C81&amp;".Outputs[Vector]"), 0)), 0)</f>
        <v>469.86828024178556</v>
      </c>
      <c r="BI81" s="1036">
        <f ca="1">IFERROR(INDEX(INDIRECT($C81&amp;".Outputs["&amp;this.Year&amp;"]"), MATCH(BI$5, INDIRECT($C81&amp;".Outputs[Vector]"), 0)), 0)</f>
        <v>9.2940394965055972</v>
      </c>
      <c r="BJ81" s="1035">
        <f ca="1">SUM(BH81:BI81)</f>
        <v>479.16231973829116</v>
      </c>
      <c r="BK81" s="743"/>
      <c r="BL81" s="814">
        <f t="shared" ref="BL81:BL87" ca="1" si="206">Q81+AK81+BF81+BJ81</f>
        <v>0</v>
      </c>
      <c r="BM81" s="814"/>
      <c r="BN81" s="840"/>
      <c r="BO81" s="1485">
        <f t="shared" ref="BO81:DF81" ca="1" si="207">IFERROR(SUMIFS(INDIRECT($C81&amp;".Emissions["&amp;this.Year&amp;"]"), INDIRECT($C81&amp;".Emissions[GHG]"), BO$6, INDIRECT($C81&amp;".Emissions[IPCC Sector]"), BO$5),0)</f>
        <v>174.33146765249705</v>
      </c>
      <c r="BP81" s="1486">
        <f t="shared" ca="1" si="207"/>
        <v>0.35537671834104823</v>
      </c>
      <c r="BQ81" s="1486">
        <f t="shared" ca="1" si="207"/>
        <v>0.41845145117487481</v>
      </c>
      <c r="BR81" s="1486">
        <f t="shared" ca="1" si="207"/>
        <v>0</v>
      </c>
      <c r="BS81" s="1486">
        <f t="shared" ca="1" si="207"/>
        <v>0</v>
      </c>
      <c r="BT81" s="1486">
        <f t="shared" ca="1" si="207"/>
        <v>0</v>
      </c>
      <c r="BU81" s="1486">
        <f t="shared" ca="1" si="207"/>
        <v>0</v>
      </c>
      <c r="BV81" s="1486">
        <f t="shared" ca="1" si="207"/>
        <v>0</v>
      </c>
      <c r="BW81" s="1486">
        <f t="shared" ca="1" si="207"/>
        <v>0</v>
      </c>
      <c r="BX81" s="1486">
        <f t="shared" ca="1" si="207"/>
        <v>0</v>
      </c>
      <c r="BY81" s="1486">
        <f t="shared" ca="1" si="207"/>
        <v>0</v>
      </c>
      <c r="BZ81" s="1486">
        <f t="shared" ca="1" si="207"/>
        <v>0</v>
      </c>
      <c r="CA81" s="1486">
        <f t="shared" ca="1" si="207"/>
        <v>0</v>
      </c>
      <c r="CB81" s="1486">
        <f t="shared" ca="1" si="207"/>
        <v>0</v>
      </c>
      <c r="CC81" s="1486">
        <f t="shared" ca="1" si="207"/>
        <v>0</v>
      </c>
      <c r="CD81" s="1486">
        <f t="shared" ca="1" si="207"/>
        <v>0</v>
      </c>
      <c r="CE81" s="1486">
        <f t="shared" ca="1" si="207"/>
        <v>0</v>
      </c>
      <c r="CF81" s="1486">
        <f t="shared" ca="1" si="207"/>
        <v>0</v>
      </c>
      <c r="CG81" s="1486">
        <f t="shared" ca="1" si="207"/>
        <v>0</v>
      </c>
      <c r="CH81" s="1486">
        <f t="shared" ca="1" si="207"/>
        <v>0</v>
      </c>
      <c r="CI81" s="1486">
        <f t="shared" ca="1" si="207"/>
        <v>0</v>
      </c>
      <c r="CJ81" s="1486">
        <f t="shared" ca="1" si="207"/>
        <v>0</v>
      </c>
      <c r="CK81" s="1486">
        <f t="shared" ca="1" si="207"/>
        <v>0</v>
      </c>
      <c r="CL81" s="1486">
        <f t="shared" ca="1" si="207"/>
        <v>0</v>
      </c>
      <c r="CM81" s="1486">
        <f t="shared" ca="1" si="207"/>
        <v>0</v>
      </c>
      <c r="CN81" s="1486">
        <f t="shared" ca="1" si="207"/>
        <v>0</v>
      </c>
      <c r="CO81" s="1486">
        <f t="shared" ca="1" si="207"/>
        <v>0</v>
      </c>
      <c r="CP81" s="1486">
        <f t="shared" ca="1" si="207"/>
        <v>0</v>
      </c>
      <c r="CQ81" s="1486">
        <f t="shared" ca="1" si="207"/>
        <v>0</v>
      </c>
      <c r="CR81" s="1486">
        <f t="shared" ca="1" si="207"/>
        <v>0</v>
      </c>
      <c r="CS81" s="1486">
        <f t="shared" ca="1" si="207"/>
        <v>0</v>
      </c>
      <c r="CT81" s="1486">
        <f t="shared" ca="1" si="207"/>
        <v>0</v>
      </c>
      <c r="CU81" s="1486">
        <f t="shared" ca="1" si="207"/>
        <v>0</v>
      </c>
      <c r="CV81" s="1486">
        <f t="shared" ca="1" si="207"/>
        <v>0</v>
      </c>
      <c r="CW81" s="1486">
        <f t="shared" ca="1" si="207"/>
        <v>0</v>
      </c>
      <c r="CX81" s="1486">
        <f t="shared" ca="1" si="207"/>
        <v>0</v>
      </c>
      <c r="CY81" s="1486">
        <f t="shared" ca="1" si="207"/>
        <v>0</v>
      </c>
      <c r="CZ81" s="1486">
        <f t="shared" ca="1" si="207"/>
        <v>0</v>
      </c>
      <c r="DA81" s="1486">
        <f t="shared" ca="1" si="207"/>
        <v>0</v>
      </c>
      <c r="DB81" s="1486">
        <f t="shared" ca="1" si="207"/>
        <v>0</v>
      </c>
      <c r="DC81" s="1486">
        <f t="shared" ca="1" si="207"/>
        <v>0</v>
      </c>
      <c r="DD81" s="1486">
        <f t="shared" ca="1" si="207"/>
        <v>0</v>
      </c>
      <c r="DE81" s="1486">
        <f t="shared" ca="1" si="207"/>
        <v>0</v>
      </c>
      <c r="DF81" s="1486">
        <f t="shared" ca="1" si="207"/>
        <v>0</v>
      </c>
      <c r="DH81" s="838">
        <f t="shared" ca="1" si="124"/>
        <v>175.10529582201298</v>
      </c>
    </row>
    <row r="82" spans="1:112" s="743" customFormat="1" ht="15.75" collapsed="1">
      <c r="A82" s="22"/>
      <c r="B82" s="753"/>
      <c r="C82" s="744" t="s">
        <v>74</v>
      </c>
      <c r="D82" s="517" t="str">
        <f>INDEX(Workstreams[Workstream], MATCH($C82, Workstreams[Code], 0))</f>
        <v>Hydrocarbon fuel power generation</v>
      </c>
      <c r="E82" s="512"/>
      <c r="G82" s="1021">
        <f t="shared" ref="G82:P82" ca="1" si="208">G79+G81</f>
        <v>0</v>
      </c>
      <c r="H82" s="1021">
        <f t="shared" ca="1" si="208"/>
        <v>0</v>
      </c>
      <c r="I82" s="1021">
        <f t="shared" ca="1" si="208"/>
        <v>0</v>
      </c>
      <c r="J82" s="1021">
        <f t="shared" ca="1" si="208"/>
        <v>0</v>
      </c>
      <c r="K82" s="1021">
        <f t="shared" ca="1" si="208"/>
        <v>0</v>
      </c>
      <c r="L82" s="1021">
        <f t="shared" ca="1" si="208"/>
        <v>0</v>
      </c>
      <c r="M82" s="1021">
        <f t="shared" ca="1" si="208"/>
        <v>0</v>
      </c>
      <c r="N82" s="1021">
        <f t="shared" ca="1" si="208"/>
        <v>0</v>
      </c>
      <c r="O82" s="1021">
        <f t="shared" ca="1" si="208"/>
        <v>0</v>
      </c>
      <c r="P82" s="1021">
        <f t="shared" ca="1" si="208"/>
        <v>0</v>
      </c>
      <c r="Q82" s="1021">
        <f ca="1">SUM(G82:P82)</f>
        <v>0</v>
      </c>
      <c r="S82" s="970">
        <f t="shared" ref="S82:AJ82" ca="1" si="209">S79+S81</f>
        <v>0</v>
      </c>
      <c r="T82" s="970">
        <f t="shared" ca="1" si="209"/>
        <v>464.13130822527989</v>
      </c>
      <c r="U82" s="970">
        <f t="shared" ca="1" si="209"/>
        <v>-48.350302049842533</v>
      </c>
      <c r="V82" s="970">
        <f t="shared" ca="1" si="209"/>
        <v>0</v>
      </c>
      <c r="W82" s="970">
        <f t="shared" ca="1" si="209"/>
        <v>-912.90628896357111</v>
      </c>
      <c r="X82" s="970">
        <f t="shared" ca="1" si="209"/>
        <v>0</v>
      </c>
      <c r="Y82" s="970">
        <f t="shared" ca="1" si="209"/>
        <v>0</v>
      </c>
      <c r="Z82" s="970">
        <f t="shared" ca="1" si="209"/>
        <v>0</v>
      </c>
      <c r="AA82" s="970">
        <f t="shared" ca="1" si="209"/>
        <v>0</v>
      </c>
      <c r="AB82" s="970">
        <f t="shared" ca="1" si="209"/>
        <v>0</v>
      </c>
      <c r="AC82" s="970">
        <f t="shared" ca="1" si="209"/>
        <v>0</v>
      </c>
      <c r="AD82" s="970">
        <f ca="1">AD79+AD81</f>
        <v>0</v>
      </c>
      <c r="AE82" s="970">
        <f ca="1">AE79+AE81</f>
        <v>0</v>
      </c>
      <c r="AF82" s="970">
        <f t="shared" ca="1" si="209"/>
        <v>0</v>
      </c>
      <c r="AG82" s="970">
        <f t="shared" ca="1" si="209"/>
        <v>0</v>
      </c>
      <c r="AH82" s="970">
        <f ca="1">AH79+AH81</f>
        <v>0</v>
      </c>
      <c r="AI82" s="970">
        <f t="shared" ca="1" si="209"/>
        <v>0</v>
      </c>
      <c r="AJ82" s="970">
        <f t="shared" ca="1" si="209"/>
        <v>0</v>
      </c>
      <c r="AK82" s="970">
        <f ca="1">SUM(S82:AJ82)</f>
        <v>-497.12528278813375</v>
      </c>
      <c r="AM82" s="976">
        <f t="shared" ref="AM82:BE82" ca="1" si="210">AM79+AM81</f>
        <v>0</v>
      </c>
      <c r="AN82" s="976">
        <f t="shared" ca="1" si="210"/>
        <v>0</v>
      </c>
      <c r="AO82" s="976">
        <f t="shared" ca="1" si="210"/>
        <v>0</v>
      </c>
      <c r="AP82" s="976">
        <f t="shared" ca="1" si="210"/>
        <v>0</v>
      </c>
      <c r="AQ82" s="976">
        <f t="shared" ca="1" si="210"/>
        <v>0</v>
      </c>
      <c r="AR82" s="976">
        <f t="shared" ca="1" si="210"/>
        <v>0</v>
      </c>
      <c r="AS82" s="976">
        <f t="shared" ca="1" si="210"/>
        <v>0</v>
      </c>
      <c r="AT82" s="976">
        <f t="shared" ca="1" si="210"/>
        <v>0</v>
      </c>
      <c r="AU82" s="976">
        <f t="shared" ca="1" si="210"/>
        <v>0</v>
      </c>
      <c r="AV82" s="976">
        <f t="shared" ca="1" si="210"/>
        <v>0</v>
      </c>
      <c r="AW82" s="976">
        <f t="shared" ca="1" si="210"/>
        <v>0</v>
      </c>
      <c r="AX82" s="976">
        <f t="shared" ca="1" si="210"/>
        <v>0</v>
      </c>
      <c r="AY82" s="976">
        <f t="shared" ca="1" si="210"/>
        <v>0</v>
      </c>
      <c r="AZ82" s="976">
        <f t="shared" ca="1" si="210"/>
        <v>0</v>
      </c>
      <c r="BA82" s="976">
        <f t="shared" ca="1" si="210"/>
        <v>0</v>
      </c>
      <c r="BB82" s="976">
        <f t="shared" ca="1" si="210"/>
        <v>0</v>
      </c>
      <c r="BC82" s="976">
        <f t="shared" ca="1" si="210"/>
        <v>0</v>
      </c>
      <c r="BD82" s="976">
        <f t="shared" ca="1" si="210"/>
        <v>0</v>
      </c>
      <c r="BE82" s="976">
        <f t="shared" ca="1" si="210"/>
        <v>0</v>
      </c>
      <c r="BF82" s="976">
        <f ca="1">SUM(AM82:BE82)</f>
        <v>0</v>
      </c>
      <c r="BH82" s="990">
        <f ca="1">BH79+BH81</f>
        <v>484.79477274408708</v>
      </c>
      <c r="BI82" s="990">
        <f ca="1">BI79+BI81</f>
        <v>12.330510044046582</v>
      </c>
      <c r="BJ82" s="990">
        <f ca="1">SUM(BH82:BI82)</f>
        <v>497.12528278813369</v>
      </c>
      <c r="BL82" s="515">
        <f t="shared" ca="1" si="206"/>
        <v>0</v>
      </c>
      <c r="BM82" s="515"/>
      <c r="BN82" s="840"/>
      <c r="BO82" s="1482">
        <f t="shared" ref="BO82:DF82" ca="1" si="211">BO79+BO81</f>
        <v>182.86665020064856</v>
      </c>
      <c r="BP82" s="1482">
        <f t="shared" ca="1" si="211"/>
        <v>0.38045000025585318</v>
      </c>
      <c r="BQ82" s="1482">
        <f t="shared" ca="1" si="211"/>
        <v>0.49406048046354961</v>
      </c>
      <c r="BR82" s="1482">
        <f t="shared" ca="1" si="211"/>
        <v>0</v>
      </c>
      <c r="BS82" s="1482">
        <f t="shared" ca="1" si="211"/>
        <v>0</v>
      </c>
      <c r="BT82" s="1482">
        <f t="shared" ca="1" si="211"/>
        <v>0</v>
      </c>
      <c r="BU82" s="1482">
        <f t="shared" ca="1" si="211"/>
        <v>0</v>
      </c>
      <c r="BV82" s="1482">
        <f t="shared" ca="1" si="211"/>
        <v>0</v>
      </c>
      <c r="BW82" s="1482">
        <f t="shared" ca="1" si="211"/>
        <v>0</v>
      </c>
      <c r="BX82" s="1482">
        <f t="shared" ca="1" si="211"/>
        <v>0</v>
      </c>
      <c r="BY82" s="1482">
        <f t="shared" ca="1" si="211"/>
        <v>0</v>
      </c>
      <c r="BZ82" s="1482">
        <f t="shared" ca="1" si="211"/>
        <v>0</v>
      </c>
      <c r="CA82" s="1482">
        <f t="shared" ca="1" si="211"/>
        <v>0</v>
      </c>
      <c r="CB82" s="1482">
        <f t="shared" ca="1" si="211"/>
        <v>0</v>
      </c>
      <c r="CC82" s="1482">
        <f t="shared" ca="1" si="211"/>
        <v>0</v>
      </c>
      <c r="CD82" s="1482">
        <f t="shared" ca="1" si="211"/>
        <v>0</v>
      </c>
      <c r="CE82" s="1482">
        <f t="shared" ca="1" si="211"/>
        <v>0</v>
      </c>
      <c r="CF82" s="1482">
        <f t="shared" ca="1" si="211"/>
        <v>0</v>
      </c>
      <c r="CG82" s="1482">
        <f t="shared" ca="1" si="211"/>
        <v>0</v>
      </c>
      <c r="CH82" s="1482">
        <f t="shared" ca="1" si="211"/>
        <v>0</v>
      </c>
      <c r="CI82" s="1482">
        <f t="shared" ca="1" si="211"/>
        <v>0</v>
      </c>
      <c r="CJ82" s="1482">
        <f t="shared" ca="1" si="211"/>
        <v>0</v>
      </c>
      <c r="CK82" s="1482">
        <f t="shared" ca="1" si="211"/>
        <v>0</v>
      </c>
      <c r="CL82" s="1482">
        <f t="shared" ca="1" si="211"/>
        <v>0</v>
      </c>
      <c r="CM82" s="1482">
        <f t="shared" ca="1" si="211"/>
        <v>0</v>
      </c>
      <c r="CN82" s="1482">
        <f t="shared" ca="1" si="211"/>
        <v>0</v>
      </c>
      <c r="CO82" s="1482">
        <f t="shared" ca="1" si="211"/>
        <v>0</v>
      </c>
      <c r="CP82" s="1482">
        <f t="shared" ca="1" si="211"/>
        <v>0</v>
      </c>
      <c r="CQ82" s="1482">
        <f t="shared" ca="1" si="211"/>
        <v>0</v>
      </c>
      <c r="CR82" s="1482">
        <f t="shared" ca="1" si="211"/>
        <v>0</v>
      </c>
      <c r="CS82" s="1482">
        <f t="shared" ca="1" si="211"/>
        <v>0</v>
      </c>
      <c r="CT82" s="1482">
        <f t="shared" ca="1" si="211"/>
        <v>0</v>
      </c>
      <c r="CU82" s="1482">
        <f t="shared" ca="1" si="211"/>
        <v>0</v>
      </c>
      <c r="CV82" s="1482">
        <f t="shared" ca="1" si="211"/>
        <v>0</v>
      </c>
      <c r="CW82" s="1482">
        <f t="shared" ca="1" si="211"/>
        <v>0</v>
      </c>
      <c r="CX82" s="1482">
        <f t="shared" ca="1" si="211"/>
        <v>0</v>
      </c>
      <c r="CY82" s="1482">
        <f t="shared" ca="1" si="211"/>
        <v>0</v>
      </c>
      <c r="CZ82" s="1482">
        <f t="shared" ca="1" si="211"/>
        <v>0</v>
      </c>
      <c r="DA82" s="1482">
        <f t="shared" ca="1" si="211"/>
        <v>0</v>
      </c>
      <c r="DB82" s="1482">
        <f t="shared" ca="1" si="211"/>
        <v>0</v>
      </c>
      <c r="DC82" s="1482">
        <f t="shared" ca="1" si="211"/>
        <v>-7.6816642933363486</v>
      </c>
      <c r="DD82" s="1482">
        <f t="shared" ca="1" si="211"/>
        <v>0</v>
      </c>
      <c r="DE82" s="1482">
        <f t="shared" ca="1" si="211"/>
        <v>0</v>
      </c>
      <c r="DF82" s="1482">
        <f t="shared" ca="1" si="211"/>
        <v>0</v>
      </c>
      <c r="DH82" s="838">
        <f t="shared" ca="1" si="124"/>
        <v>176.05949638803162</v>
      </c>
    </row>
    <row r="83" spans="1:112" s="743" customFormat="1" ht="6" customHeight="1">
      <c r="C83" s="516"/>
      <c r="D83" s="517"/>
      <c r="E83" s="509"/>
      <c r="G83" s="958"/>
      <c r="H83" s="958"/>
      <c r="I83" s="958"/>
      <c r="J83" s="958"/>
      <c r="K83" s="960"/>
      <c r="L83" s="958"/>
      <c r="M83" s="958"/>
      <c r="N83" s="958"/>
      <c r="O83" s="958"/>
      <c r="P83" s="958"/>
      <c r="Q83" s="958"/>
      <c r="S83" s="970"/>
      <c r="T83" s="970"/>
      <c r="U83" s="970"/>
      <c r="V83" s="970"/>
      <c r="W83" s="970"/>
      <c r="X83" s="970"/>
      <c r="Y83" s="970"/>
      <c r="Z83" s="970"/>
      <c r="AA83" s="970"/>
      <c r="AB83" s="970"/>
      <c r="AC83" s="970"/>
      <c r="AD83" s="970"/>
      <c r="AE83" s="970"/>
      <c r="AF83" s="970"/>
      <c r="AG83" s="970"/>
      <c r="AH83" s="970"/>
      <c r="AI83" s="970"/>
      <c r="AJ83" s="970"/>
      <c r="AK83" s="970"/>
      <c r="AM83" s="976"/>
      <c r="AN83" s="976"/>
      <c r="AO83" s="976"/>
      <c r="AP83" s="976"/>
      <c r="AQ83" s="976"/>
      <c r="AR83" s="976"/>
      <c r="AS83" s="976"/>
      <c r="AT83" s="976"/>
      <c r="AU83" s="976"/>
      <c r="AV83" s="976"/>
      <c r="AW83" s="976"/>
      <c r="AX83" s="976"/>
      <c r="AY83" s="976"/>
      <c r="AZ83" s="976"/>
      <c r="BA83" s="976"/>
      <c r="BB83" s="976"/>
      <c r="BC83" s="976"/>
      <c r="BD83" s="976"/>
      <c r="BE83" s="976"/>
      <c r="BF83" s="976">
        <f>SUM(AM83:BE83)</f>
        <v>0</v>
      </c>
      <c r="BH83" s="990"/>
      <c r="BI83" s="990"/>
      <c r="BJ83" s="990"/>
      <c r="BL83" s="515">
        <f t="shared" si="206"/>
        <v>0</v>
      </c>
      <c r="BM83" s="515"/>
      <c r="BO83" s="1482"/>
      <c r="BP83" s="1482"/>
      <c r="BQ83" s="1482"/>
      <c r="BR83" s="1482"/>
      <c r="BS83" s="1482"/>
      <c r="BT83" s="1482"/>
      <c r="BU83" s="1482"/>
      <c r="BV83" s="1482"/>
      <c r="BW83" s="1482"/>
      <c r="BX83" s="1482"/>
      <c r="BY83" s="1482"/>
      <c r="BZ83" s="1482"/>
      <c r="CA83" s="1482"/>
      <c r="CB83" s="1482"/>
      <c r="CC83" s="1482"/>
      <c r="CD83" s="1482"/>
      <c r="CE83" s="1482"/>
      <c r="CF83" s="1482"/>
      <c r="CG83" s="1482"/>
      <c r="CH83" s="1482"/>
      <c r="CI83" s="1482"/>
      <c r="CJ83" s="1482"/>
      <c r="CK83" s="1482"/>
      <c r="CL83" s="1482"/>
      <c r="CM83" s="1482"/>
      <c r="CN83" s="1482"/>
      <c r="CO83" s="1482"/>
      <c r="CP83" s="1482"/>
      <c r="CQ83" s="1482"/>
      <c r="CR83" s="1482"/>
      <c r="CS83" s="1482"/>
      <c r="CT83" s="1482"/>
      <c r="CU83" s="1482"/>
      <c r="CV83" s="1482"/>
      <c r="CW83" s="1482"/>
      <c r="CX83" s="1482"/>
      <c r="CY83" s="1482"/>
      <c r="CZ83" s="1482"/>
      <c r="DA83" s="1482"/>
      <c r="DB83" s="1482"/>
      <c r="DC83" s="1482"/>
      <c r="DD83" s="1482"/>
      <c r="DE83" s="1482"/>
      <c r="DF83" s="1482"/>
      <c r="DH83" s="838"/>
    </row>
    <row r="84" spans="1:112" s="743" customFormat="1" ht="15.75">
      <c r="B84" s="753"/>
      <c r="C84" s="2051" t="s">
        <v>1816</v>
      </c>
      <c r="D84" s="643" t="s">
        <v>249</v>
      </c>
      <c r="E84" s="644"/>
      <c r="G84" s="1075">
        <f t="shared" ref="G84:P84" ca="1" si="212">G$51+G$55+G$63+G$68+G$72+G$76+G$82+G$46</f>
        <v>0</v>
      </c>
      <c r="H84" s="1075">
        <f t="shared" ca="1" si="212"/>
        <v>0</v>
      </c>
      <c r="I84" s="1075">
        <f t="shared" ca="1" si="212"/>
        <v>23.248563623502722</v>
      </c>
      <c r="J84" s="1075">
        <f t="shared" ca="1" si="212"/>
        <v>0</v>
      </c>
      <c r="K84" s="1076">
        <f t="shared" ca="1" si="212"/>
        <v>0</v>
      </c>
      <c r="L84" s="1075">
        <f t="shared" ca="1" si="212"/>
        <v>0</v>
      </c>
      <c r="M84" s="1075">
        <f t="shared" ca="1" si="212"/>
        <v>0</v>
      </c>
      <c r="N84" s="1075">
        <f t="shared" ca="1" si="212"/>
        <v>0</v>
      </c>
      <c r="O84" s="1075">
        <f t="shared" ca="1" si="212"/>
        <v>0</v>
      </c>
      <c r="P84" s="1075">
        <f t="shared" ca="1" si="212"/>
        <v>0</v>
      </c>
      <c r="Q84" s="1023">
        <f ca="1">SUM(G84:P84)</f>
        <v>23.248563623502722</v>
      </c>
      <c r="S84" s="1014">
        <f t="shared" ref="S84:AJ84" ca="1" si="213">S$51+S$55+S$63+S$68+S$72+S$76+S$82+S$46</f>
        <v>-10.580608745808384</v>
      </c>
      <c r="T84" s="1014">
        <f t="shared" ca="1" si="213"/>
        <v>468.38468780060123</v>
      </c>
      <c r="U84" s="1014">
        <f t="shared" ca="1" si="213"/>
        <v>-49.278619781030294</v>
      </c>
      <c r="V84" s="1014">
        <f t="shared" ca="1" si="213"/>
        <v>-45.311955724643049</v>
      </c>
      <c r="W84" s="1014">
        <f t="shared" ca="1" si="213"/>
        <v>-927.938178332343</v>
      </c>
      <c r="X84" s="1014">
        <f t="shared" ca="1" si="213"/>
        <v>217.72759747403379</v>
      </c>
      <c r="Y84" s="1014">
        <f t="shared" ca="1" si="213"/>
        <v>166.95884163987617</v>
      </c>
      <c r="Z84" s="1014">
        <f t="shared" ca="1" si="213"/>
        <v>127.88066797955751</v>
      </c>
      <c r="AA84" s="1014">
        <f t="shared" ca="1" si="213"/>
        <v>0</v>
      </c>
      <c r="AB84" s="1014">
        <f t="shared" ca="1" si="213"/>
        <v>8.9225297736472982</v>
      </c>
      <c r="AC84" s="1014">
        <f t="shared" ca="1" si="213"/>
        <v>0</v>
      </c>
      <c r="AD84" s="1014">
        <f t="shared" ca="1" si="213"/>
        <v>68.987497373024652</v>
      </c>
      <c r="AE84" s="1014">
        <f t="shared" ca="1" si="213"/>
        <v>1.6328504516407798</v>
      </c>
      <c r="AF84" s="1014">
        <f t="shared" ca="1" si="213"/>
        <v>69.271632407751852</v>
      </c>
      <c r="AG84" s="1014">
        <f t="shared" ca="1" si="213"/>
        <v>47.700051615122234</v>
      </c>
      <c r="AH84" s="1014">
        <f t="shared" ca="1" si="213"/>
        <v>18.128502892916249</v>
      </c>
      <c r="AI84" s="1014">
        <f t="shared" ca="1" si="213"/>
        <v>0</v>
      </c>
      <c r="AJ84" s="1014">
        <f t="shared" ca="1" si="213"/>
        <v>0</v>
      </c>
      <c r="AK84" s="1014">
        <f ca="1">SUM(S84:AJ84)</f>
        <v>162.48549682434711</v>
      </c>
      <c r="AM84" s="1015">
        <f t="shared" ref="AM84:BE84" ca="1" si="214">AM$51+AM$55+AM$63+AM$68+AM$72+AM$76+AM$82+AM$46</f>
        <v>-124.39544583847987</v>
      </c>
      <c r="AN84" s="1015">
        <f t="shared" ca="1" si="214"/>
        <v>-166.95884163987617</v>
      </c>
      <c r="AO84" s="1015">
        <f t="shared" ca="1" si="214"/>
        <v>-127.88066797955751</v>
      </c>
      <c r="AP84" s="1015">
        <f t="shared" ca="1" si="214"/>
        <v>0</v>
      </c>
      <c r="AQ84" s="1015">
        <f t="shared" ca="1" si="214"/>
        <v>0</v>
      </c>
      <c r="AR84" s="1015">
        <f t="shared" ca="1" si="214"/>
        <v>0</v>
      </c>
      <c r="AS84" s="1015">
        <f t="shared" ca="1" si="214"/>
        <v>0</v>
      </c>
      <c r="AT84" s="1015">
        <f t="shared" ca="1" si="214"/>
        <v>0</v>
      </c>
      <c r="AU84" s="1015">
        <f t="shared" ca="1" si="214"/>
        <v>0</v>
      </c>
      <c r="AV84" s="1015">
        <f t="shared" ca="1" si="214"/>
        <v>0</v>
      </c>
      <c r="AW84" s="1015">
        <f t="shared" ca="1" si="214"/>
        <v>0</v>
      </c>
      <c r="AX84" s="1015">
        <f t="shared" ca="1" si="214"/>
        <v>-0.28358010000000045</v>
      </c>
      <c r="AY84" s="1015">
        <f t="shared" ca="1" si="214"/>
        <v>0</v>
      </c>
      <c r="AZ84" s="1015">
        <f t="shared" ca="1" si="214"/>
        <v>0</v>
      </c>
      <c r="BA84" s="1015">
        <f t="shared" ca="1" si="214"/>
        <v>0</v>
      </c>
      <c r="BB84" s="1015">
        <f t="shared" ca="1" si="214"/>
        <v>-5.3297280000000011</v>
      </c>
      <c r="BC84" s="1015">
        <f t="shared" ca="1" si="214"/>
        <v>0</v>
      </c>
      <c r="BD84" s="1015">
        <f t="shared" ca="1" si="214"/>
        <v>-70.62034782466543</v>
      </c>
      <c r="BE84" s="1015">
        <f t="shared" ca="1" si="214"/>
        <v>-228.43233855134423</v>
      </c>
      <c r="BF84" s="1015">
        <f ca="1">SUM(AM84:BE84)</f>
        <v>-723.90094993392313</v>
      </c>
      <c r="BH84" s="1016">
        <f ca="1">BH$51+BH$55+BH$63+BH$68+BH$72+BH$76+BH$82+BH$46</f>
        <v>476.63520159601507</v>
      </c>
      <c r="BI84" s="1016">
        <f ca="1">BI$51+BI$55+BI$63+BI$68+BI$72+BI$76+BI$82+BI$46</f>
        <v>61.531687890058308</v>
      </c>
      <c r="BJ84" s="1016">
        <f ca="1">SUM(BH84:BI84)</f>
        <v>538.16688948607339</v>
      </c>
      <c r="BL84" s="518">
        <f t="shared" ca="1" si="206"/>
        <v>0</v>
      </c>
      <c r="BM84" s="518"/>
      <c r="BO84" s="1487">
        <f t="shared" ref="BO84:DE84" ca="1" si="215">BO$51+BO$55+BO$63+BO$68+BO$72+BO$76+BO$82+BO$46</f>
        <v>197.21591935516923</v>
      </c>
      <c r="BP84" s="1487">
        <f t="shared" ca="1" si="215"/>
        <v>0.40086337848927278</v>
      </c>
      <c r="BQ84" s="1487">
        <f t="shared" ca="1" si="215"/>
        <v>0.70621201180599102</v>
      </c>
      <c r="BR84" s="1487">
        <f t="shared" ca="1" si="215"/>
        <v>0</v>
      </c>
      <c r="BS84" s="1487">
        <f t="shared" ca="1" si="215"/>
        <v>0.87110255642387768</v>
      </c>
      <c r="BT84" s="1487">
        <f t="shared" ca="1" si="215"/>
        <v>2.6403129612517775</v>
      </c>
      <c r="BU84" s="1487">
        <f t="shared" ca="1" si="215"/>
        <v>0</v>
      </c>
      <c r="BV84" s="1487">
        <f t="shared" ca="1" si="215"/>
        <v>0</v>
      </c>
      <c r="BW84" s="1487">
        <f t="shared" ca="1" si="215"/>
        <v>0</v>
      </c>
      <c r="BX84" s="1487">
        <f t="shared" ca="1" si="215"/>
        <v>0</v>
      </c>
      <c r="BY84" s="1487">
        <f t="shared" ca="1" si="215"/>
        <v>0</v>
      </c>
      <c r="BZ84" s="1487">
        <f t="shared" ca="1" si="215"/>
        <v>0</v>
      </c>
      <c r="CA84" s="1487">
        <f t="shared" ca="1" si="215"/>
        <v>0</v>
      </c>
      <c r="CB84" s="1487">
        <f t="shared" ca="1" si="215"/>
        <v>0</v>
      </c>
      <c r="CC84" s="1487">
        <f t="shared" ca="1" si="215"/>
        <v>0</v>
      </c>
      <c r="CD84" s="1487">
        <f t="shared" ca="1" si="215"/>
        <v>0</v>
      </c>
      <c r="CE84" s="1487">
        <f t="shared" ca="1" si="215"/>
        <v>0</v>
      </c>
      <c r="CF84" s="1487">
        <f t="shared" ca="1" si="215"/>
        <v>17.077613253934082</v>
      </c>
      <c r="CG84" s="1487">
        <f t="shared" ca="1" si="215"/>
        <v>21.060040388634832</v>
      </c>
      <c r="CH84" s="1487">
        <f t="shared" ca="1" si="215"/>
        <v>0</v>
      </c>
      <c r="CI84" s="1487">
        <f t="shared" ca="1" si="215"/>
        <v>8.1163788611910945</v>
      </c>
      <c r="CJ84" s="1487">
        <f t="shared" ca="1" si="215"/>
        <v>0</v>
      </c>
      <c r="CK84" s="1487">
        <f t="shared" ca="1" si="215"/>
        <v>0</v>
      </c>
      <c r="CL84" s="1487">
        <f t="shared" ca="1" si="215"/>
        <v>0</v>
      </c>
      <c r="CM84" s="1487">
        <f t="shared" ca="1" si="215"/>
        <v>0</v>
      </c>
      <c r="CN84" s="1487">
        <f t="shared" ca="1" si="215"/>
        <v>21.695880641230563</v>
      </c>
      <c r="CO84" s="1487">
        <f t="shared" ca="1" si="215"/>
        <v>1.544008380420842</v>
      </c>
      <c r="CP84" s="1487">
        <f t="shared" ca="1" si="215"/>
        <v>0</v>
      </c>
      <c r="CQ84" s="1487">
        <f t="shared" ca="1" si="215"/>
        <v>0</v>
      </c>
      <c r="CR84" s="1487">
        <f t="shared" ca="1" si="215"/>
        <v>0</v>
      </c>
      <c r="CS84" s="1487">
        <f t="shared" ca="1" si="215"/>
        <v>0</v>
      </c>
      <c r="CT84" s="1487">
        <f t="shared" ca="1" si="215"/>
        <v>0</v>
      </c>
      <c r="CU84" s="1487">
        <f t="shared" ca="1" si="215"/>
        <v>0</v>
      </c>
      <c r="CV84" s="1487">
        <f t="shared" ca="1" si="215"/>
        <v>0</v>
      </c>
      <c r="CW84" s="1487">
        <f t="shared" ca="1" si="215"/>
        <v>0</v>
      </c>
      <c r="CX84" s="1487">
        <f t="shared" ca="1" si="215"/>
        <v>0</v>
      </c>
      <c r="CY84" s="1487">
        <f t="shared" ca="1" si="215"/>
        <v>0</v>
      </c>
      <c r="CZ84" s="1487">
        <f t="shared" ca="1" si="215"/>
        <v>0</v>
      </c>
      <c r="DA84" s="1487">
        <f t="shared" ca="1" si="215"/>
        <v>0</v>
      </c>
      <c r="DB84" s="1487">
        <f t="shared" ca="1" si="215"/>
        <v>0</v>
      </c>
      <c r="DC84" s="1487">
        <f t="shared" ca="1" si="215"/>
        <v>-7.6816642933363486</v>
      </c>
      <c r="DD84" s="1487">
        <f t="shared" ca="1" si="215"/>
        <v>0</v>
      </c>
      <c r="DE84" s="1487">
        <f t="shared" ca="1" si="215"/>
        <v>0</v>
      </c>
      <c r="DF84" s="1487">
        <f ca="1">DF$51+DF$99+DF$55+DF$63+DF$68+DF$76+DF$82+DF$46</f>
        <v>0</v>
      </c>
      <c r="DH84" s="835">
        <f ca="1">SUM(BO84:DF84)</f>
        <v>263.64666749521524</v>
      </c>
    </row>
    <row r="85" spans="1:112" s="743" customFormat="1" ht="6" customHeight="1">
      <c r="C85" s="516"/>
      <c r="D85" s="517"/>
      <c r="E85" s="509"/>
      <c r="G85" s="958"/>
      <c r="H85" s="958"/>
      <c r="I85" s="958"/>
      <c r="J85" s="958"/>
      <c r="K85" s="960"/>
      <c r="L85" s="958"/>
      <c r="M85" s="958"/>
      <c r="N85" s="958"/>
      <c r="O85" s="958"/>
      <c r="P85" s="958"/>
      <c r="Q85" s="958"/>
      <c r="S85" s="970"/>
      <c r="T85" s="970"/>
      <c r="U85" s="970"/>
      <c r="V85" s="970"/>
      <c r="W85" s="970"/>
      <c r="X85" s="970"/>
      <c r="Y85" s="970"/>
      <c r="Z85" s="970"/>
      <c r="AA85" s="970"/>
      <c r="AB85" s="970"/>
      <c r="AC85" s="970"/>
      <c r="AD85" s="970"/>
      <c r="AE85" s="970"/>
      <c r="AF85" s="970"/>
      <c r="AG85" s="970"/>
      <c r="AH85" s="970"/>
      <c r="AI85" s="970"/>
      <c r="AJ85" s="970"/>
      <c r="AK85" s="970"/>
      <c r="AM85" s="976"/>
      <c r="AN85" s="976"/>
      <c r="AO85" s="976"/>
      <c r="AP85" s="976"/>
      <c r="AQ85" s="976"/>
      <c r="AR85" s="976"/>
      <c r="AS85" s="976"/>
      <c r="AT85" s="976"/>
      <c r="AU85" s="976"/>
      <c r="AV85" s="976"/>
      <c r="AW85" s="976"/>
      <c r="AX85" s="976"/>
      <c r="AY85" s="976"/>
      <c r="AZ85" s="976"/>
      <c r="BA85" s="976"/>
      <c r="BB85" s="976"/>
      <c r="BC85" s="976"/>
      <c r="BD85" s="976"/>
      <c r="BE85" s="976"/>
      <c r="BF85" s="976"/>
      <c r="BH85" s="990"/>
      <c r="BI85" s="990"/>
      <c r="BJ85" s="990"/>
      <c r="BL85" s="515">
        <f t="shared" si="206"/>
        <v>0</v>
      </c>
      <c r="BM85" s="515"/>
      <c r="BO85" s="1482"/>
      <c r="BP85" s="1482"/>
      <c r="BQ85" s="1482"/>
      <c r="BR85" s="1482"/>
      <c r="BS85" s="1482"/>
      <c r="BT85" s="1482"/>
      <c r="BU85" s="1482"/>
      <c r="BV85" s="1482"/>
      <c r="BW85" s="1482"/>
      <c r="BX85" s="1482"/>
      <c r="BY85" s="1482"/>
      <c r="BZ85" s="1482"/>
      <c r="CA85" s="1482"/>
      <c r="CB85" s="1482"/>
      <c r="CC85" s="1482"/>
      <c r="CD85" s="1482"/>
      <c r="CE85" s="1482"/>
      <c r="CF85" s="1482"/>
      <c r="CG85" s="1482"/>
      <c r="CH85" s="1482"/>
      <c r="CI85" s="1482"/>
      <c r="CJ85" s="1482"/>
      <c r="CK85" s="1482"/>
      <c r="CL85" s="1482"/>
      <c r="CM85" s="1482"/>
      <c r="CN85" s="1482"/>
      <c r="CO85" s="1482"/>
      <c r="CP85" s="1482"/>
      <c r="CQ85" s="1482"/>
      <c r="CR85" s="1482"/>
      <c r="CS85" s="1482"/>
      <c r="CT85" s="1482"/>
      <c r="CU85" s="1482"/>
      <c r="CV85" s="1482"/>
      <c r="CW85" s="1482"/>
      <c r="CX85" s="1482"/>
      <c r="CY85" s="1482"/>
      <c r="CZ85" s="1482"/>
      <c r="DA85" s="1482"/>
      <c r="DB85" s="1482"/>
      <c r="DC85" s="1482"/>
      <c r="DD85" s="1482"/>
      <c r="DE85" s="1482"/>
      <c r="DF85" s="1482"/>
      <c r="DH85" s="838"/>
    </row>
    <row r="86" spans="1:112" s="743" customFormat="1" ht="24" customHeight="1">
      <c r="C86" s="501" t="s">
        <v>987</v>
      </c>
      <c r="D86" s="501"/>
      <c r="E86" s="639"/>
      <c r="G86" s="957"/>
      <c r="H86" s="957"/>
      <c r="I86" s="957"/>
      <c r="J86" s="957"/>
      <c r="K86" s="957"/>
      <c r="L86" s="957"/>
      <c r="M86" s="957"/>
      <c r="N86" s="957"/>
      <c r="O86" s="957"/>
      <c r="P86" s="957"/>
      <c r="Q86" s="957"/>
      <c r="S86" s="973"/>
      <c r="T86" s="973"/>
      <c r="U86" s="973"/>
      <c r="V86" s="973"/>
      <c r="W86" s="973"/>
      <c r="X86" s="969"/>
      <c r="Y86" s="969"/>
      <c r="Z86" s="969"/>
      <c r="AA86" s="973"/>
      <c r="AB86" s="973"/>
      <c r="AC86" s="973"/>
      <c r="AD86" s="973"/>
      <c r="AE86" s="973"/>
      <c r="AF86" s="973"/>
      <c r="AG86" s="973"/>
      <c r="AH86" s="973"/>
      <c r="AI86" s="973"/>
      <c r="AJ86" s="973"/>
      <c r="AK86" s="973"/>
      <c r="AM86" s="980"/>
      <c r="AN86" s="980"/>
      <c r="AO86" s="980"/>
      <c r="AP86" s="980"/>
      <c r="AQ86" s="980"/>
      <c r="AR86" s="980"/>
      <c r="AS86" s="980"/>
      <c r="AT86" s="980"/>
      <c r="AU86" s="980"/>
      <c r="AV86" s="980"/>
      <c r="AW86" s="975"/>
      <c r="AX86" s="975"/>
      <c r="AY86" s="975"/>
      <c r="AZ86" s="975"/>
      <c r="BA86" s="975"/>
      <c r="BB86" s="975"/>
      <c r="BC86" s="975"/>
      <c r="BD86" s="975"/>
      <c r="BE86" s="975"/>
      <c r="BF86" s="980"/>
      <c r="BH86" s="993"/>
      <c r="BI86" s="993"/>
      <c r="BJ86" s="993"/>
      <c r="BL86" s="514">
        <f t="shared" si="206"/>
        <v>0</v>
      </c>
      <c r="BM86" s="514"/>
      <c r="BO86" s="1482"/>
      <c r="BP86" s="1482"/>
      <c r="BQ86" s="1482"/>
      <c r="BR86" s="1482"/>
      <c r="BS86" s="1482"/>
      <c r="BT86" s="1482"/>
      <c r="BU86" s="1482"/>
      <c r="BV86" s="1482"/>
      <c r="BW86" s="1482"/>
      <c r="BX86" s="1482"/>
      <c r="BY86" s="1482"/>
      <c r="BZ86" s="1482"/>
      <c r="CA86" s="1482"/>
      <c r="CB86" s="1482"/>
      <c r="CC86" s="1482"/>
      <c r="CD86" s="1482"/>
      <c r="CE86" s="1482"/>
      <c r="CF86" s="1482"/>
      <c r="CG86" s="1482"/>
      <c r="CH86" s="1482"/>
      <c r="CI86" s="1482"/>
      <c r="CJ86" s="1482"/>
      <c r="CK86" s="1482"/>
      <c r="CL86" s="1482"/>
      <c r="CM86" s="1482"/>
      <c r="CN86" s="1482"/>
      <c r="CO86" s="1482"/>
      <c r="CP86" s="1482"/>
      <c r="CQ86" s="1482"/>
      <c r="CR86" s="1482"/>
      <c r="CS86" s="1482"/>
      <c r="CT86" s="1482"/>
      <c r="CU86" s="1482"/>
      <c r="CV86" s="1482"/>
      <c r="CW86" s="1482"/>
      <c r="CX86" s="1482"/>
      <c r="CY86" s="1482"/>
      <c r="CZ86" s="1482"/>
      <c r="DA86" s="1482"/>
      <c r="DB86" s="1482"/>
      <c r="DC86" s="1482"/>
      <c r="DD86" s="1482"/>
      <c r="DE86" s="1482"/>
      <c r="DF86" s="1482"/>
      <c r="DH86" s="838"/>
    </row>
    <row r="87" spans="1:112" s="743" customFormat="1" ht="6" customHeight="1">
      <c r="C87" s="520"/>
      <c r="D87" s="38"/>
      <c r="E87" s="509"/>
      <c r="G87" s="958"/>
      <c r="H87" s="958"/>
      <c r="I87" s="958"/>
      <c r="J87" s="958"/>
      <c r="K87" s="960"/>
      <c r="L87" s="958"/>
      <c r="M87" s="958"/>
      <c r="N87" s="958"/>
      <c r="O87" s="958"/>
      <c r="P87" s="958"/>
      <c r="Q87" s="958"/>
      <c r="S87" s="970"/>
      <c r="T87" s="970"/>
      <c r="U87" s="970"/>
      <c r="V87" s="970"/>
      <c r="W87" s="970"/>
      <c r="X87" s="970"/>
      <c r="Y87" s="970"/>
      <c r="Z87" s="970"/>
      <c r="AA87" s="970"/>
      <c r="AB87" s="970"/>
      <c r="AC87" s="970"/>
      <c r="AD87" s="970"/>
      <c r="AE87" s="970"/>
      <c r="AF87" s="970"/>
      <c r="AG87" s="970"/>
      <c r="AH87" s="970"/>
      <c r="AI87" s="970"/>
      <c r="AJ87" s="970"/>
      <c r="AK87" s="970"/>
      <c r="AM87" s="976"/>
      <c r="AN87" s="976"/>
      <c r="AO87" s="976"/>
      <c r="AP87" s="976"/>
      <c r="AQ87" s="976"/>
      <c r="AR87" s="976"/>
      <c r="AS87" s="976"/>
      <c r="AT87" s="976"/>
      <c r="AU87" s="976"/>
      <c r="AV87" s="976"/>
      <c r="AW87" s="976"/>
      <c r="AX87" s="976"/>
      <c r="AY87" s="976"/>
      <c r="AZ87" s="976"/>
      <c r="BA87" s="976"/>
      <c r="BB87" s="976"/>
      <c r="BC87" s="976"/>
      <c r="BD87" s="976"/>
      <c r="BE87" s="976"/>
      <c r="BF87" s="976"/>
      <c r="BH87" s="990"/>
      <c r="BI87" s="990"/>
      <c r="BJ87" s="990"/>
      <c r="BL87" s="515">
        <f t="shared" si="206"/>
        <v>0</v>
      </c>
      <c r="BM87" s="515"/>
      <c r="BO87" s="1482"/>
      <c r="BP87" s="1482"/>
      <c r="BQ87" s="1482"/>
      <c r="BR87" s="1482"/>
      <c r="BS87" s="1482"/>
      <c r="BT87" s="1482"/>
      <c r="BU87" s="1482"/>
      <c r="BV87" s="1482"/>
      <c r="BW87" s="1482"/>
      <c r="BX87" s="1482"/>
      <c r="BY87" s="1482"/>
      <c r="BZ87" s="1482"/>
      <c r="CA87" s="1482"/>
      <c r="CB87" s="1482"/>
      <c r="CC87" s="1482"/>
      <c r="CD87" s="1482"/>
      <c r="CE87" s="1482"/>
      <c r="CF87" s="1482"/>
      <c r="CG87" s="1482"/>
      <c r="CH87" s="1482"/>
      <c r="CI87" s="1482"/>
      <c r="CJ87" s="1482"/>
      <c r="CK87" s="1482"/>
      <c r="CL87" s="1482"/>
      <c r="CM87" s="1482"/>
      <c r="CN87" s="1482"/>
      <c r="CO87" s="1482"/>
      <c r="CP87" s="1482"/>
      <c r="CQ87" s="1482"/>
      <c r="CR87" s="1482"/>
      <c r="CS87" s="1482"/>
      <c r="CT87" s="1482"/>
      <c r="CU87" s="1482"/>
      <c r="CV87" s="1482"/>
      <c r="CW87" s="1482"/>
      <c r="CX87" s="1482"/>
      <c r="CY87" s="1482"/>
      <c r="CZ87" s="1482"/>
      <c r="DA87" s="1482"/>
      <c r="DB87" s="1482"/>
      <c r="DC87" s="1482"/>
      <c r="DD87" s="1482"/>
      <c r="DE87" s="1482"/>
      <c r="DF87" s="1482"/>
      <c r="DH87" s="838"/>
    </row>
    <row r="88" spans="1:112" s="743" customFormat="1" hidden="1" outlineLevel="1">
      <c r="A88" s="1488"/>
      <c r="B88" s="1488"/>
      <c r="C88" s="850"/>
      <c r="D88" s="851"/>
      <c r="E88" s="851"/>
      <c r="G88" s="961"/>
      <c r="H88" s="961"/>
      <c r="I88" s="961"/>
      <c r="J88" s="961"/>
      <c r="K88" s="962"/>
      <c r="L88" s="961"/>
      <c r="M88" s="961"/>
      <c r="N88" s="961"/>
      <c r="O88" s="961"/>
      <c r="P88" s="961"/>
      <c r="Q88" s="961"/>
      <c r="S88" s="971"/>
      <c r="T88" s="971"/>
      <c r="U88" s="971"/>
      <c r="V88" s="971"/>
      <c r="W88" s="971"/>
      <c r="X88" s="971"/>
      <c r="Y88" s="971"/>
      <c r="Z88" s="971"/>
      <c r="AA88" s="971"/>
      <c r="AB88" s="971"/>
      <c r="AC88" s="971"/>
      <c r="AD88" s="971"/>
      <c r="AE88" s="971"/>
      <c r="AF88" s="971"/>
      <c r="AG88" s="971"/>
      <c r="AH88" s="971"/>
      <c r="AI88" s="971"/>
      <c r="AJ88" s="971"/>
      <c r="AK88" s="971"/>
      <c r="AM88" s="978"/>
      <c r="AN88" s="978"/>
      <c r="AO88" s="978"/>
      <c r="AP88" s="978"/>
      <c r="AQ88" s="978"/>
      <c r="AR88" s="978"/>
      <c r="AS88" s="978"/>
      <c r="AT88" s="978"/>
      <c r="AU88" s="978"/>
      <c r="AV88" s="978"/>
      <c r="AW88" s="978"/>
      <c r="AX88" s="978"/>
      <c r="AY88" s="978"/>
      <c r="AZ88" s="978"/>
      <c r="BA88" s="978"/>
      <c r="BB88" s="978"/>
      <c r="BC88" s="978"/>
      <c r="BD88" s="978"/>
      <c r="BE88" s="978"/>
      <c r="BF88" s="978"/>
      <c r="BH88" s="991"/>
      <c r="BI88" s="991"/>
      <c r="BJ88" s="991"/>
      <c r="BL88" s="852"/>
      <c r="BM88" s="852"/>
      <c r="BN88" s="1488"/>
      <c r="BO88" s="1490"/>
      <c r="BP88" s="1482"/>
      <c r="BQ88" s="1482"/>
      <c r="BR88" s="1482"/>
      <c r="BS88" s="1482"/>
      <c r="BT88" s="1482"/>
      <c r="BU88" s="1482"/>
      <c r="BV88" s="1482"/>
      <c r="BW88" s="1482"/>
      <c r="BX88" s="1482"/>
      <c r="BY88" s="1482"/>
      <c r="BZ88" s="1482"/>
      <c r="CA88" s="1482"/>
      <c r="CB88" s="1482"/>
      <c r="CC88" s="1482"/>
      <c r="CD88" s="1482"/>
      <c r="CE88" s="1482"/>
      <c r="CF88" s="1482"/>
      <c r="CG88" s="1482"/>
      <c r="CH88" s="1482"/>
      <c r="CI88" s="1482"/>
      <c r="CJ88" s="1482"/>
      <c r="CK88" s="1482"/>
      <c r="CL88" s="1482"/>
      <c r="CM88" s="1482"/>
      <c r="CN88" s="1482"/>
      <c r="CO88" s="1482"/>
      <c r="CP88" s="1482"/>
      <c r="CQ88" s="1482"/>
      <c r="CR88" s="1482"/>
      <c r="CS88" s="1482"/>
      <c r="CT88" s="1482"/>
      <c r="CU88" s="1482"/>
      <c r="CV88" s="1482"/>
      <c r="CW88" s="1482"/>
      <c r="CX88" s="1482"/>
      <c r="CY88" s="1482"/>
      <c r="CZ88" s="1482"/>
      <c r="DA88" s="1482"/>
      <c r="DB88" s="1482"/>
      <c r="DC88" s="1482"/>
      <c r="DD88" s="1482"/>
      <c r="DE88" s="1482"/>
      <c r="DF88" s="1482"/>
      <c r="DH88" s="838"/>
    </row>
    <row r="89" spans="1:112" s="1484" customFormat="1" hidden="1" outlineLevel="1">
      <c r="C89" s="522" t="s">
        <v>774</v>
      </c>
      <c r="D89" s="521" t="str">
        <f>INDEX(Modules[Module], MATCH($C89, Modules[Code], 0))</f>
        <v>Electricity imports / exports</v>
      </c>
      <c r="E89" s="521"/>
      <c r="F89" s="743"/>
      <c r="G89" s="1017">
        <f t="shared" ref="G89:P89" ca="1" si="216">IFERROR(INDEX(INDIRECT($C89&amp;".Outputs["&amp;this.Year&amp;"]"), MATCH(G$5, INDIRECT($C89&amp;".Outputs[Vector]"), 0)), 0)</f>
        <v>0</v>
      </c>
      <c r="H89" s="1017">
        <f t="shared" ca="1" si="216"/>
        <v>0</v>
      </c>
      <c r="I89" s="1017">
        <f t="shared" ca="1" si="216"/>
        <v>0</v>
      </c>
      <c r="J89" s="1017">
        <f t="shared" ca="1" si="216"/>
        <v>0</v>
      </c>
      <c r="K89" s="1017">
        <f t="shared" ca="1" si="216"/>
        <v>0</v>
      </c>
      <c r="L89" s="1017">
        <f t="shared" ca="1" si="216"/>
        <v>0</v>
      </c>
      <c r="M89" s="1017">
        <f t="shared" ca="1" si="216"/>
        <v>0</v>
      </c>
      <c r="N89" s="1017">
        <f t="shared" ca="1" si="216"/>
        <v>0</v>
      </c>
      <c r="O89" s="1017">
        <f t="shared" ca="1" si="216"/>
        <v>0</v>
      </c>
      <c r="P89" s="1017">
        <f t="shared" ca="1" si="216"/>
        <v>0</v>
      </c>
      <c r="Q89" s="1019">
        <f ca="1">SUM(G89:P89)</f>
        <v>0</v>
      </c>
      <c r="R89" s="743"/>
      <c r="S89" s="1026">
        <f t="shared" ref="S89:AJ89" ca="1" si="217">IFERROR(INDEX(INDIRECT($C89&amp;".Outputs["&amp;this.Year&amp;"]"), MATCH(S$5, INDIRECT($C89&amp;".Outputs[Vector]"), 0)), 0)</f>
        <v>0</v>
      </c>
      <c r="T89" s="1026">
        <f t="shared" ca="1" si="217"/>
        <v>0</v>
      </c>
      <c r="U89" s="1026">
        <f t="shared" ca="1" si="217"/>
        <v>0</v>
      </c>
      <c r="V89" s="1026">
        <f t="shared" ca="1" si="217"/>
        <v>0</v>
      </c>
      <c r="W89" s="1026">
        <f t="shared" ca="1" si="217"/>
        <v>0</v>
      </c>
      <c r="X89" s="1026">
        <f ca="1">IFERROR(INDEX(INDIRECT($C89&amp;".Outputs["&amp;this.Year&amp;"]"), MATCH(X$5, INDIRECT($C89&amp;".Outputs[Vector]"), 0)), 0)</f>
        <v>0</v>
      </c>
      <c r="Y89" s="1026">
        <f ca="1">IFERROR(INDEX(INDIRECT($C89&amp;".Outputs["&amp;this.Year&amp;"]"), MATCH(Y$5, INDIRECT($C89&amp;".Outputs[Vector]"), 0)), 0)</f>
        <v>0</v>
      </c>
      <c r="Z89" s="1026">
        <f ca="1">IFERROR(INDEX(INDIRECT($C89&amp;".Outputs["&amp;this.Year&amp;"]"), MATCH(Z$5, INDIRECT($C89&amp;".Outputs[Vector]"), 0)), 0)</f>
        <v>0</v>
      </c>
      <c r="AA89" s="1026">
        <f t="shared" ca="1" si="217"/>
        <v>0</v>
      </c>
      <c r="AB89" s="1026">
        <f t="shared" ca="1" si="217"/>
        <v>0</v>
      </c>
      <c r="AC89" s="1026">
        <f t="shared" ca="1" si="217"/>
        <v>0</v>
      </c>
      <c r="AD89" s="1026">
        <f t="shared" ca="1" si="217"/>
        <v>0</v>
      </c>
      <c r="AE89" s="1026">
        <f t="shared" ca="1" si="217"/>
        <v>0</v>
      </c>
      <c r="AF89" s="1026">
        <f t="shared" ca="1" si="217"/>
        <v>0</v>
      </c>
      <c r="AG89" s="1026">
        <f t="shared" ca="1" si="217"/>
        <v>0</v>
      </c>
      <c r="AH89" s="1026">
        <f t="shared" ca="1" si="217"/>
        <v>0</v>
      </c>
      <c r="AI89" s="1026">
        <f t="shared" ca="1" si="217"/>
        <v>0</v>
      </c>
      <c r="AJ89" s="1026">
        <f t="shared" ca="1" si="217"/>
        <v>0</v>
      </c>
      <c r="AK89" s="1027">
        <f ca="1">SUM(S89:AJ89)</f>
        <v>0</v>
      </c>
      <c r="AL89" s="743"/>
      <c r="AM89" s="1038">
        <f t="shared" ref="AM89:AU89" ca="1" si="218">IFERROR(INDEX(INDIRECT($C89&amp;".Outputs["&amp;this.Year&amp;"]"), MATCH(AM$5, INDIRECT($C89&amp;".Outputs[Vector]"), 0)), 0)</f>
        <v>0</v>
      </c>
      <c r="AN89" s="1038">
        <f t="shared" ca="1" si="218"/>
        <v>0</v>
      </c>
      <c r="AO89" s="1038">
        <f t="shared" ca="1" si="218"/>
        <v>0</v>
      </c>
      <c r="AP89" s="1038">
        <f t="shared" ca="1" si="218"/>
        <v>0</v>
      </c>
      <c r="AQ89" s="1038">
        <f t="shared" ca="1" si="218"/>
        <v>0</v>
      </c>
      <c r="AR89" s="1038">
        <f t="shared" ca="1" si="218"/>
        <v>0</v>
      </c>
      <c r="AS89" s="1038">
        <f t="shared" ca="1" si="218"/>
        <v>0</v>
      </c>
      <c r="AT89" s="1038">
        <f t="shared" ca="1" si="218"/>
        <v>0</v>
      </c>
      <c r="AU89" s="1038">
        <f t="shared" ca="1" si="218"/>
        <v>0</v>
      </c>
      <c r="AV89" s="1038">
        <f t="shared" ref="AV89:BE89" ca="1" si="219">IFERROR(INDEX(INDIRECT($C89&amp;".Outputs["&amp;this.Year&amp;"]"), MATCH(AV$5, INDIRECT($C89&amp;".Outputs[Vector]"), 0)), 0)</f>
        <v>0</v>
      </c>
      <c r="AW89" s="1038">
        <f t="shared" ca="1" si="219"/>
        <v>0</v>
      </c>
      <c r="AX89" s="1038">
        <f t="shared" ca="1" si="219"/>
        <v>0</v>
      </c>
      <c r="AY89" s="1038">
        <f t="shared" ca="1" si="219"/>
        <v>0</v>
      </c>
      <c r="AZ89" s="1038">
        <f t="shared" ca="1" si="219"/>
        <v>0</v>
      </c>
      <c r="BA89" s="1038">
        <f t="shared" ca="1" si="219"/>
        <v>0</v>
      </c>
      <c r="BB89" s="1038">
        <f t="shared" ca="1" si="219"/>
        <v>0</v>
      </c>
      <c r="BC89" s="1038">
        <f t="shared" ca="1" si="219"/>
        <v>0</v>
      </c>
      <c r="BD89" s="1038">
        <f t="shared" ca="1" si="219"/>
        <v>0</v>
      </c>
      <c r="BE89" s="1038">
        <f t="shared" ca="1" si="219"/>
        <v>0</v>
      </c>
      <c r="BF89" s="979">
        <f ca="1">SUM(AM89:BE89)</f>
        <v>0</v>
      </c>
      <c r="BG89" s="743"/>
      <c r="BH89" s="1032">
        <f ca="1">IFERROR(INDEX(INDIRECT($C89&amp;".Outputs["&amp;this.Year&amp;"]"), MATCH(BH$5, INDIRECT($C89&amp;".Outputs[Vector]"), 0)), 0)</f>
        <v>0</v>
      </c>
      <c r="BI89" s="1032">
        <f ca="1">IFERROR(INDEX(INDIRECT($C89&amp;".Outputs["&amp;this.Year&amp;"]"), MATCH(BI$5, INDIRECT($C89&amp;".Outputs[Vector]"), 0)), 0)</f>
        <v>0</v>
      </c>
      <c r="BJ89" s="1034">
        <f ca="1">SUM(BH89:BI89)</f>
        <v>0</v>
      </c>
      <c r="BK89" s="743"/>
      <c r="BL89" s="814">
        <f t="shared" ref="BL89:BL94" ca="1" si="220">Q89+AK89+BF89+BJ89</f>
        <v>0</v>
      </c>
      <c r="BM89" s="814"/>
      <c r="BO89" s="1481">
        <f t="shared" ref="BO89:DF89" ca="1" si="221">IFERROR(SUMIFS(INDIRECT($C89&amp;".Emissions["&amp;this.Year&amp;"]"), INDIRECT($C89&amp;".Emissions[GHG]"), BO$6, INDIRECT($C89&amp;".Emissions[IPCC Sector]"), BO$5),0)</f>
        <v>0</v>
      </c>
      <c r="BP89" s="1482">
        <f t="shared" ca="1" si="221"/>
        <v>0</v>
      </c>
      <c r="BQ89" s="1482">
        <f t="shared" ca="1" si="221"/>
        <v>0</v>
      </c>
      <c r="BR89" s="1482">
        <f t="shared" ca="1" si="221"/>
        <v>0</v>
      </c>
      <c r="BS89" s="1482">
        <f t="shared" ca="1" si="221"/>
        <v>0</v>
      </c>
      <c r="BT89" s="1482">
        <f t="shared" ca="1" si="221"/>
        <v>0</v>
      </c>
      <c r="BU89" s="1482">
        <f t="shared" ca="1" si="221"/>
        <v>0</v>
      </c>
      <c r="BV89" s="1482">
        <f t="shared" ca="1" si="221"/>
        <v>0</v>
      </c>
      <c r="BW89" s="1482">
        <f t="shared" ca="1" si="221"/>
        <v>0</v>
      </c>
      <c r="BX89" s="1482">
        <f t="shared" ca="1" si="221"/>
        <v>0</v>
      </c>
      <c r="BY89" s="1482">
        <f t="shared" ca="1" si="221"/>
        <v>0</v>
      </c>
      <c r="BZ89" s="1482">
        <f t="shared" ca="1" si="221"/>
        <v>0</v>
      </c>
      <c r="CA89" s="1482">
        <f t="shared" ca="1" si="221"/>
        <v>0</v>
      </c>
      <c r="CB89" s="1482">
        <f t="shared" ca="1" si="221"/>
        <v>0</v>
      </c>
      <c r="CC89" s="1482">
        <f t="shared" ca="1" si="221"/>
        <v>0</v>
      </c>
      <c r="CD89" s="1482">
        <f t="shared" ca="1" si="221"/>
        <v>0</v>
      </c>
      <c r="CE89" s="1482">
        <f t="shared" ca="1" si="221"/>
        <v>0</v>
      </c>
      <c r="CF89" s="1482">
        <f t="shared" ca="1" si="221"/>
        <v>0</v>
      </c>
      <c r="CG89" s="1482">
        <f t="shared" ca="1" si="221"/>
        <v>0</v>
      </c>
      <c r="CH89" s="1482">
        <f t="shared" ca="1" si="221"/>
        <v>0</v>
      </c>
      <c r="CI89" s="1482">
        <f t="shared" ca="1" si="221"/>
        <v>0</v>
      </c>
      <c r="CJ89" s="1482">
        <f t="shared" ca="1" si="221"/>
        <v>0</v>
      </c>
      <c r="CK89" s="1482">
        <f t="shared" ca="1" si="221"/>
        <v>0</v>
      </c>
      <c r="CL89" s="1482">
        <f t="shared" ca="1" si="221"/>
        <v>0</v>
      </c>
      <c r="CM89" s="1482">
        <f t="shared" ca="1" si="221"/>
        <v>0</v>
      </c>
      <c r="CN89" s="1482">
        <f t="shared" ca="1" si="221"/>
        <v>0</v>
      </c>
      <c r="CO89" s="1482">
        <f t="shared" ca="1" si="221"/>
        <v>0</v>
      </c>
      <c r="CP89" s="1482">
        <f t="shared" ca="1" si="221"/>
        <v>0</v>
      </c>
      <c r="CQ89" s="1482">
        <f t="shared" ca="1" si="221"/>
        <v>0</v>
      </c>
      <c r="CR89" s="1482">
        <f t="shared" ca="1" si="221"/>
        <v>0</v>
      </c>
      <c r="CS89" s="1482">
        <f t="shared" ca="1" si="221"/>
        <v>0</v>
      </c>
      <c r="CT89" s="1482">
        <f t="shared" ca="1" si="221"/>
        <v>0</v>
      </c>
      <c r="CU89" s="1482">
        <f t="shared" ca="1" si="221"/>
        <v>0</v>
      </c>
      <c r="CV89" s="1482">
        <f t="shared" ca="1" si="221"/>
        <v>0</v>
      </c>
      <c r="CW89" s="1482">
        <f t="shared" ca="1" si="221"/>
        <v>0</v>
      </c>
      <c r="CX89" s="1482">
        <f t="shared" ca="1" si="221"/>
        <v>0</v>
      </c>
      <c r="CY89" s="1482">
        <f t="shared" ca="1" si="221"/>
        <v>0</v>
      </c>
      <c r="CZ89" s="1482">
        <f t="shared" ca="1" si="221"/>
        <v>0</v>
      </c>
      <c r="DA89" s="1482">
        <f t="shared" ca="1" si="221"/>
        <v>0</v>
      </c>
      <c r="DB89" s="1482">
        <f t="shared" ca="1" si="221"/>
        <v>0</v>
      </c>
      <c r="DC89" s="1482">
        <f t="shared" ca="1" si="221"/>
        <v>0</v>
      </c>
      <c r="DD89" s="1482">
        <f t="shared" ca="1" si="221"/>
        <v>0</v>
      </c>
      <c r="DE89" s="1482">
        <f t="shared" ca="1" si="221"/>
        <v>0</v>
      </c>
      <c r="DF89" s="1482">
        <f t="shared" ca="1" si="221"/>
        <v>0</v>
      </c>
      <c r="DH89" s="838"/>
    </row>
    <row r="90" spans="1:112" s="1488" customFormat="1" ht="12.75" hidden="1" customHeight="1" outlineLevel="1">
      <c r="C90" s="1048" t="s">
        <v>1722</v>
      </c>
      <c r="D90" s="1049" t="s">
        <v>1335</v>
      </c>
      <c r="E90" s="1049"/>
      <c r="F90" s="743"/>
      <c r="G90" s="1070"/>
      <c r="H90" s="1070"/>
      <c r="I90" s="1070"/>
      <c r="J90" s="1070"/>
      <c r="K90" s="1071"/>
      <c r="L90" s="1070"/>
      <c r="M90" s="1070"/>
      <c r="N90" s="1070"/>
      <c r="O90" s="1070"/>
      <c r="P90" s="1070"/>
      <c r="Q90" s="1070"/>
      <c r="R90" s="743"/>
      <c r="S90" s="1072">
        <f ca="1">S$40+$S46+S$51+S$99+S$55+S$89</f>
        <v>-435.71486302109327</v>
      </c>
      <c r="T90" s="1072">
        <f ca="1">T$40+$S46+T$51+T$99+T$55+T$89</f>
        <v>0</v>
      </c>
      <c r="U90" s="1072"/>
      <c r="V90" s="1072"/>
      <c r="W90" s="1072"/>
      <c r="X90" s="1072"/>
      <c r="Y90" s="1072"/>
      <c r="Z90" s="1072"/>
      <c r="AA90" s="1072"/>
      <c r="AB90" s="1072"/>
      <c r="AC90" s="1072"/>
      <c r="AD90" s="1072"/>
      <c r="AE90" s="1072"/>
      <c r="AF90" s="1072"/>
      <c r="AG90" s="1072"/>
      <c r="AH90" s="1072"/>
      <c r="AI90" s="1072"/>
      <c r="AJ90" s="1072"/>
      <c r="AK90" s="1072"/>
      <c r="AL90" s="74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743"/>
      <c r="BH90" s="1074"/>
      <c r="BI90" s="1074"/>
      <c r="BJ90" s="1074"/>
      <c r="BK90" s="743"/>
      <c r="BL90" s="852">
        <f t="shared" si="220"/>
        <v>0</v>
      </c>
      <c r="BM90" s="852"/>
      <c r="BO90" s="1490"/>
      <c r="BP90" s="1490"/>
      <c r="BQ90" s="1490"/>
      <c r="BR90" s="1490"/>
      <c r="BS90" s="1490"/>
      <c r="BT90" s="1490"/>
      <c r="BU90" s="1490"/>
      <c r="BV90" s="1490"/>
      <c r="BW90" s="1490"/>
      <c r="BX90" s="1490"/>
      <c r="BY90" s="1490"/>
      <c r="BZ90" s="1490"/>
      <c r="CA90" s="1490"/>
      <c r="CB90" s="1490"/>
      <c r="CC90" s="1490"/>
      <c r="CD90" s="1490"/>
      <c r="CE90" s="1490"/>
      <c r="CF90" s="1490"/>
      <c r="CG90" s="1490"/>
      <c r="CH90" s="1490"/>
      <c r="CI90" s="1490"/>
      <c r="CJ90" s="1490"/>
      <c r="CK90" s="1490"/>
      <c r="CL90" s="1490"/>
      <c r="CM90" s="1490"/>
      <c r="CN90" s="1490"/>
      <c r="CO90" s="1490"/>
      <c r="CP90" s="1490"/>
      <c r="CQ90" s="1490"/>
      <c r="CR90" s="1490"/>
      <c r="CS90" s="1490"/>
      <c r="CT90" s="1490"/>
      <c r="CU90" s="1490"/>
      <c r="CV90" s="1490"/>
      <c r="CW90" s="1490"/>
      <c r="CX90" s="1490"/>
      <c r="CY90" s="1490"/>
      <c r="CZ90" s="1490"/>
      <c r="DA90" s="1490"/>
      <c r="DB90" s="1490"/>
      <c r="DC90" s="1490"/>
      <c r="DD90" s="1490"/>
      <c r="DE90" s="1490"/>
      <c r="DF90" s="1490"/>
      <c r="DH90" s="838"/>
    </row>
    <row r="91" spans="1:112" s="1484" customFormat="1" hidden="1" outlineLevel="1">
      <c r="C91" s="522" t="s">
        <v>784</v>
      </c>
      <c r="D91" s="521" t="str">
        <f>INDEX(Modules[Module], MATCH($C91, Modules[Code], 0))</f>
        <v>Electricity grid distribution</v>
      </c>
      <c r="E91" s="521"/>
      <c r="F91" s="743"/>
      <c r="G91" s="1017">
        <f t="shared" ref="G91:P92" ca="1" si="222">IFERROR(INDEX(INDIRECT($C91&amp;".Outputs["&amp;this.Year&amp;"]"), MATCH(G$5, INDIRECT($C91&amp;".Outputs[Vector]"), 0)), 0)</f>
        <v>0</v>
      </c>
      <c r="H91" s="1017">
        <f t="shared" ca="1" si="222"/>
        <v>0</v>
      </c>
      <c r="I91" s="1017">
        <f t="shared" ca="1" si="222"/>
        <v>0</v>
      </c>
      <c r="J91" s="1017">
        <f t="shared" ca="1" si="222"/>
        <v>0</v>
      </c>
      <c r="K91" s="1017">
        <f t="shared" ca="1" si="222"/>
        <v>0</v>
      </c>
      <c r="L91" s="1017">
        <f t="shared" ca="1" si="222"/>
        <v>0</v>
      </c>
      <c r="M91" s="1017">
        <f t="shared" ca="1" si="222"/>
        <v>0</v>
      </c>
      <c r="N91" s="1017">
        <f t="shared" ca="1" si="222"/>
        <v>0</v>
      </c>
      <c r="O91" s="1017">
        <f t="shared" ca="1" si="222"/>
        <v>0</v>
      </c>
      <c r="P91" s="1017">
        <f t="shared" ca="1" si="222"/>
        <v>0</v>
      </c>
      <c r="Q91" s="1019">
        <f ca="1">SUM(G91:P91)</f>
        <v>0</v>
      </c>
      <c r="R91" s="743"/>
      <c r="S91" s="1026">
        <f t="shared" ref="S91:AJ92" ca="1" si="223">IFERROR(INDEX(INDIRECT($C91&amp;".Outputs["&amp;this.Year&amp;"]"), MATCH(S$5, INDIRECT($C91&amp;".Outputs[Vector]"), 0)), 0)</f>
        <v>0</v>
      </c>
      <c r="T91" s="1026">
        <f t="shared" ca="1" si="223"/>
        <v>-32.669824779507962</v>
      </c>
      <c r="U91" s="1026">
        <f t="shared" ca="1" si="223"/>
        <v>0</v>
      </c>
      <c r="V91" s="1026">
        <f t="shared" ca="1" si="223"/>
        <v>0</v>
      </c>
      <c r="W91" s="1026">
        <f t="shared" ca="1" si="223"/>
        <v>0</v>
      </c>
      <c r="X91" s="1026">
        <f t="shared" ref="X91:Z92" ca="1" si="224">IFERROR(INDEX(INDIRECT($C91&amp;".Outputs["&amp;this.Year&amp;"]"), MATCH(X$5, INDIRECT($C91&amp;".Outputs[Vector]"), 0)), 0)</f>
        <v>0</v>
      </c>
      <c r="Y91" s="1026">
        <f t="shared" ca="1" si="224"/>
        <v>0</v>
      </c>
      <c r="Z91" s="1026">
        <f t="shared" ca="1" si="224"/>
        <v>0</v>
      </c>
      <c r="AA91" s="1026">
        <f t="shared" ca="1" si="223"/>
        <v>0</v>
      </c>
      <c r="AB91" s="1026">
        <f t="shared" ca="1" si="223"/>
        <v>0</v>
      </c>
      <c r="AC91" s="1026">
        <f t="shared" ca="1" si="223"/>
        <v>0</v>
      </c>
      <c r="AD91" s="1026">
        <f t="shared" ca="1" si="223"/>
        <v>0</v>
      </c>
      <c r="AE91" s="1026">
        <f t="shared" ca="1" si="223"/>
        <v>0</v>
      </c>
      <c r="AF91" s="1026">
        <f t="shared" ca="1" si="223"/>
        <v>0</v>
      </c>
      <c r="AG91" s="1026">
        <f t="shared" ca="1" si="223"/>
        <v>0</v>
      </c>
      <c r="AH91" s="1026">
        <f t="shared" ca="1" si="223"/>
        <v>0</v>
      </c>
      <c r="AI91" s="1026">
        <f t="shared" ca="1" si="223"/>
        <v>0</v>
      </c>
      <c r="AJ91" s="1026">
        <f t="shared" ca="1" si="223"/>
        <v>0</v>
      </c>
      <c r="AK91" s="1027">
        <f ca="1">SUM(S91:AJ91)</f>
        <v>-32.669824779507962</v>
      </c>
      <c r="AL91" s="743"/>
      <c r="AM91" s="1038">
        <f t="shared" ref="AM91:AU92" ca="1" si="225">IFERROR(INDEX(INDIRECT($C91&amp;".Outputs["&amp;this.Year&amp;"]"), MATCH(AM$5, INDIRECT($C91&amp;".Outputs[Vector]"), 0)), 0)</f>
        <v>0</v>
      </c>
      <c r="AN91" s="1038">
        <f t="shared" ca="1" si="225"/>
        <v>0</v>
      </c>
      <c r="AO91" s="1038">
        <f t="shared" ca="1" si="225"/>
        <v>0</v>
      </c>
      <c r="AP91" s="1038">
        <f t="shared" ca="1" si="225"/>
        <v>0</v>
      </c>
      <c r="AQ91" s="1038">
        <f t="shared" ca="1" si="225"/>
        <v>0</v>
      </c>
      <c r="AR91" s="1038">
        <f t="shared" ca="1" si="225"/>
        <v>0</v>
      </c>
      <c r="AS91" s="1038">
        <f t="shared" ca="1" si="225"/>
        <v>0</v>
      </c>
      <c r="AT91" s="1038">
        <f t="shared" ca="1" si="225"/>
        <v>0</v>
      </c>
      <c r="AU91" s="1038">
        <f t="shared" ca="1" si="225"/>
        <v>0</v>
      </c>
      <c r="AV91" s="1038">
        <f t="shared" ref="AV91:BE92" ca="1" si="226">IFERROR(INDEX(INDIRECT($C91&amp;".Outputs["&amp;this.Year&amp;"]"), MATCH(AV$5, INDIRECT($C91&amp;".Outputs[Vector]"), 0)), 0)</f>
        <v>0</v>
      </c>
      <c r="AW91" s="1038">
        <f t="shared" ca="1" si="226"/>
        <v>0</v>
      </c>
      <c r="AX91" s="1038">
        <f t="shared" ca="1" si="226"/>
        <v>0</v>
      </c>
      <c r="AY91" s="1038">
        <f t="shared" ca="1" si="226"/>
        <v>0</v>
      </c>
      <c r="AZ91" s="1038">
        <f t="shared" ca="1" si="226"/>
        <v>0</v>
      </c>
      <c r="BA91" s="1038">
        <f t="shared" ca="1" si="226"/>
        <v>0</v>
      </c>
      <c r="BB91" s="1038">
        <f t="shared" ca="1" si="226"/>
        <v>0</v>
      </c>
      <c r="BC91" s="1038">
        <f t="shared" ca="1" si="226"/>
        <v>0</v>
      </c>
      <c r="BD91" s="1038">
        <f t="shared" ca="1" si="226"/>
        <v>0</v>
      </c>
      <c r="BE91" s="1038">
        <f t="shared" ca="1" si="226"/>
        <v>0</v>
      </c>
      <c r="BF91" s="979">
        <f ca="1">SUM(AM91:BE91)</f>
        <v>0</v>
      </c>
      <c r="BG91" s="743"/>
      <c r="BH91" s="1032">
        <f ca="1">IFERROR(INDEX(INDIRECT($C91&amp;".Outputs["&amp;this.Year&amp;"]"), MATCH(BH$5, INDIRECT($C91&amp;".Outputs[Vector]"), 0)), 0)</f>
        <v>0</v>
      </c>
      <c r="BI91" s="1032">
        <f ca="1">IFERROR(INDEX(INDIRECT($C91&amp;".Outputs["&amp;this.Year&amp;"]"), MATCH(BI$5, INDIRECT($C91&amp;".Outputs[Vector]"), 0)), 0)</f>
        <v>32.669824779507927</v>
      </c>
      <c r="BJ91" s="1034">
        <f ca="1">SUM(BH91:BI91)</f>
        <v>32.669824779507927</v>
      </c>
      <c r="BK91" s="743"/>
      <c r="BL91" s="852">
        <f t="shared" ca="1" si="220"/>
        <v>0</v>
      </c>
      <c r="BM91" s="814"/>
      <c r="BO91" s="1481">
        <f t="shared" ref="BO91:BX92" ca="1" si="227">IFERROR(SUMIFS(INDIRECT($C91&amp;".Emissions["&amp;this.Year&amp;"]"), INDIRECT($C91&amp;".Emissions[GHG]"), BO$6, INDIRECT($C91&amp;".Emissions[IPCC Sector]"), BO$5),0)</f>
        <v>0</v>
      </c>
      <c r="BP91" s="1482">
        <f t="shared" ca="1" si="227"/>
        <v>0</v>
      </c>
      <c r="BQ91" s="1482">
        <f t="shared" ca="1" si="227"/>
        <v>0</v>
      </c>
      <c r="BR91" s="1482">
        <f t="shared" ca="1" si="227"/>
        <v>0</v>
      </c>
      <c r="BS91" s="1482">
        <f t="shared" ca="1" si="227"/>
        <v>0</v>
      </c>
      <c r="BT91" s="1482">
        <f t="shared" ca="1" si="227"/>
        <v>0</v>
      </c>
      <c r="BU91" s="1482">
        <f t="shared" ca="1" si="227"/>
        <v>0</v>
      </c>
      <c r="BV91" s="1482">
        <f t="shared" ca="1" si="227"/>
        <v>0</v>
      </c>
      <c r="BW91" s="1482">
        <f t="shared" ca="1" si="227"/>
        <v>0</v>
      </c>
      <c r="BX91" s="1482">
        <f t="shared" ca="1" si="227"/>
        <v>0</v>
      </c>
      <c r="BY91" s="1482">
        <f t="shared" ref="BY91:CH92" ca="1" si="228">IFERROR(SUMIFS(INDIRECT($C91&amp;".Emissions["&amp;this.Year&amp;"]"), INDIRECT($C91&amp;".Emissions[GHG]"), BY$6, INDIRECT($C91&amp;".Emissions[IPCC Sector]"), BY$5),0)</f>
        <v>0</v>
      </c>
      <c r="BZ91" s="1482">
        <f t="shared" ca="1" si="228"/>
        <v>0</v>
      </c>
      <c r="CA91" s="1482">
        <f t="shared" ca="1" si="228"/>
        <v>0</v>
      </c>
      <c r="CB91" s="1482">
        <f t="shared" ca="1" si="228"/>
        <v>0</v>
      </c>
      <c r="CC91" s="1482">
        <f t="shared" ca="1" si="228"/>
        <v>0</v>
      </c>
      <c r="CD91" s="1482">
        <f t="shared" ca="1" si="228"/>
        <v>0</v>
      </c>
      <c r="CE91" s="1482">
        <f t="shared" ca="1" si="228"/>
        <v>0</v>
      </c>
      <c r="CF91" s="1482">
        <f t="shared" ca="1" si="228"/>
        <v>0</v>
      </c>
      <c r="CG91" s="1482">
        <f t="shared" ca="1" si="228"/>
        <v>0</v>
      </c>
      <c r="CH91" s="1482">
        <f t="shared" ca="1" si="228"/>
        <v>0</v>
      </c>
      <c r="CI91" s="1482">
        <f t="shared" ref="CI91:CR92" ca="1" si="229">IFERROR(SUMIFS(INDIRECT($C91&amp;".Emissions["&amp;this.Year&amp;"]"), INDIRECT($C91&amp;".Emissions[GHG]"), CI$6, INDIRECT($C91&amp;".Emissions[IPCC Sector]"), CI$5),0)</f>
        <v>0</v>
      </c>
      <c r="CJ91" s="1482">
        <f t="shared" ca="1" si="229"/>
        <v>0</v>
      </c>
      <c r="CK91" s="1482">
        <f t="shared" ca="1" si="229"/>
        <v>0</v>
      </c>
      <c r="CL91" s="1482">
        <f t="shared" ca="1" si="229"/>
        <v>0</v>
      </c>
      <c r="CM91" s="1482">
        <f t="shared" ca="1" si="229"/>
        <v>0</v>
      </c>
      <c r="CN91" s="1482">
        <f t="shared" ca="1" si="229"/>
        <v>0</v>
      </c>
      <c r="CO91" s="1482">
        <f t="shared" ca="1" si="229"/>
        <v>0</v>
      </c>
      <c r="CP91" s="1482">
        <f t="shared" ca="1" si="229"/>
        <v>0</v>
      </c>
      <c r="CQ91" s="1482">
        <f t="shared" ca="1" si="229"/>
        <v>0</v>
      </c>
      <c r="CR91" s="1482">
        <f t="shared" ca="1" si="229"/>
        <v>0</v>
      </c>
      <c r="CS91" s="1482">
        <f t="shared" ref="CS91:DF92" ca="1" si="230">IFERROR(SUMIFS(INDIRECT($C91&amp;".Emissions["&amp;this.Year&amp;"]"), INDIRECT($C91&amp;".Emissions[GHG]"), CS$6, INDIRECT($C91&amp;".Emissions[IPCC Sector]"), CS$5),0)</f>
        <v>0</v>
      </c>
      <c r="CT91" s="1482">
        <f t="shared" ca="1" si="230"/>
        <v>0</v>
      </c>
      <c r="CU91" s="1482">
        <f t="shared" ca="1" si="230"/>
        <v>0</v>
      </c>
      <c r="CV91" s="1482">
        <f t="shared" ca="1" si="230"/>
        <v>0</v>
      </c>
      <c r="CW91" s="1482">
        <f t="shared" ca="1" si="230"/>
        <v>0</v>
      </c>
      <c r="CX91" s="1482">
        <f t="shared" ca="1" si="230"/>
        <v>0</v>
      </c>
      <c r="CY91" s="1482">
        <f t="shared" ca="1" si="230"/>
        <v>0</v>
      </c>
      <c r="CZ91" s="1482">
        <f t="shared" ca="1" si="230"/>
        <v>0</v>
      </c>
      <c r="DA91" s="1482">
        <f t="shared" ca="1" si="230"/>
        <v>0</v>
      </c>
      <c r="DB91" s="1482">
        <f t="shared" ca="1" si="230"/>
        <v>0</v>
      </c>
      <c r="DC91" s="1482">
        <f t="shared" ca="1" si="230"/>
        <v>0</v>
      </c>
      <c r="DD91" s="1482">
        <f t="shared" ca="1" si="230"/>
        <v>0</v>
      </c>
      <c r="DE91" s="1482">
        <f t="shared" ca="1" si="230"/>
        <v>0</v>
      </c>
      <c r="DF91" s="1482">
        <f t="shared" ca="1" si="230"/>
        <v>0</v>
      </c>
      <c r="DH91" s="838"/>
    </row>
    <row r="92" spans="1:112" s="1484" customFormat="1" hidden="1" outlineLevel="1">
      <c r="C92" s="522" t="s">
        <v>796</v>
      </c>
      <c r="D92" s="1010" t="str">
        <f>INDEX(Modules[Module], MATCH($C92, Modules[Code], 0))</f>
        <v>Storage, demand shifting, backup</v>
      </c>
      <c r="E92" s="1010"/>
      <c r="F92" s="743"/>
      <c r="G92" s="1022">
        <f t="shared" ca="1" si="222"/>
        <v>0</v>
      </c>
      <c r="H92" s="1022">
        <f t="shared" ca="1" si="222"/>
        <v>0</v>
      </c>
      <c r="I92" s="1022">
        <f t="shared" ca="1" si="222"/>
        <v>0</v>
      </c>
      <c r="J92" s="1022">
        <f t="shared" ca="1" si="222"/>
        <v>0</v>
      </c>
      <c r="K92" s="1022">
        <f t="shared" ca="1" si="222"/>
        <v>0</v>
      </c>
      <c r="L92" s="1022">
        <f t="shared" ca="1" si="222"/>
        <v>0</v>
      </c>
      <c r="M92" s="1022">
        <f t="shared" ca="1" si="222"/>
        <v>0</v>
      </c>
      <c r="N92" s="1022">
        <f t="shared" ca="1" si="222"/>
        <v>0</v>
      </c>
      <c r="O92" s="1022">
        <f t="shared" ca="1" si="222"/>
        <v>0</v>
      </c>
      <c r="P92" s="1022">
        <f t="shared" ca="1" si="222"/>
        <v>0</v>
      </c>
      <c r="Q92" s="1020">
        <f ca="1">SUM(G92:P92)</f>
        <v>0</v>
      </c>
      <c r="R92" s="743"/>
      <c r="S92" s="1031">
        <f t="shared" ca="1" si="223"/>
        <v>0</v>
      </c>
      <c r="T92" s="1031">
        <f t="shared" ca="1" si="223"/>
        <v>0</v>
      </c>
      <c r="U92" s="1031">
        <f t="shared" ca="1" si="223"/>
        <v>0</v>
      </c>
      <c r="V92" s="1031">
        <f t="shared" ca="1" si="223"/>
        <v>0</v>
      </c>
      <c r="W92" s="1031">
        <f t="shared" ca="1" si="223"/>
        <v>0</v>
      </c>
      <c r="X92" s="1031">
        <f t="shared" ca="1" si="224"/>
        <v>0</v>
      </c>
      <c r="Y92" s="1031">
        <f t="shared" ca="1" si="224"/>
        <v>0</v>
      </c>
      <c r="Z92" s="1031">
        <f t="shared" ca="1" si="224"/>
        <v>0</v>
      </c>
      <c r="AA92" s="1031">
        <f t="shared" ca="1" si="223"/>
        <v>0</v>
      </c>
      <c r="AB92" s="1031">
        <f t="shared" ca="1" si="223"/>
        <v>0</v>
      </c>
      <c r="AC92" s="1031">
        <f t="shared" ca="1" si="223"/>
        <v>0</v>
      </c>
      <c r="AD92" s="1031">
        <f t="shared" ca="1" si="223"/>
        <v>0</v>
      </c>
      <c r="AE92" s="1031">
        <f t="shared" ca="1" si="223"/>
        <v>0</v>
      </c>
      <c r="AF92" s="1031">
        <f t="shared" ca="1" si="223"/>
        <v>0</v>
      </c>
      <c r="AG92" s="1031">
        <f t="shared" ca="1" si="223"/>
        <v>0</v>
      </c>
      <c r="AH92" s="1031">
        <f t="shared" ca="1" si="223"/>
        <v>0</v>
      </c>
      <c r="AI92" s="1031">
        <f t="shared" ca="1" si="223"/>
        <v>0</v>
      </c>
      <c r="AJ92" s="1031">
        <f t="shared" ca="1" si="223"/>
        <v>0</v>
      </c>
      <c r="AK92" s="1030">
        <f ca="1">SUM(S92:AJ92)</f>
        <v>0</v>
      </c>
      <c r="AL92" s="743"/>
      <c r="AM92" s="1042">
        <f t="shared" ca="1" si="225"/>
        <v>0</v>
      </c>
      <c r="AN92" s="1042">
        <f t="shared" ca="1" si="225"/>
        <v>0</v>
      </c>
      <c r="AO92" s="1042">
        <f t="shared" ca="1" si="225"/>
        <v>0</v>
      </c>
      <c r="AP92" s="1042">
        <f t="shared" ca="1" si="225"/>
        <v>0</v>
      </c>
      <c r="AQ92" s="1042">
        <f t="shared" ca="1" si="225"/>
        <v>0</v>
      </c>
      <c r="AR92" s="1042">
        <f t="shared" ca="1" si="225"/>
        <v>0</v>
      </c>
      <c r="AS92" s="1042">
        <f t="shared" ca="1" si="225"/>
        <v>0</v>
      </c>
      <c r="AT92" s="1042">
        <f t="shared" ca="1" si="225"/>
        <v>0</v>
      </c>
      <c r="AU92" s="1042">
        <f t="shared" ca="1" si="225"/>
        <v>0</v>
      </c>
      <c r="AV92" s="1042">
        <f t="shared" ca="1" si="226"/>
        <v>0</v>
      </c>
      <c r="AW92" s="1042">
        <f t="shared" ca="1" si="226"/>
        <v>0</v>
      </c>
      <c r="AX92" s="1042">
        <f t="shared" ca="1" si="226"/>
        <v>0</v>
      </c>
      <c r="AY92" s="1042">
        <f t="shared" ca="1" si="226"/>
        <v>0</v>
      </c>
      <c r="AZ92" s="1042">
        <f t="shared" ca="1" si="226"/>
        <v>0</v>
      </c>
      <c r="BA92" s="1042">
        <f t="shared" ca="1" si="226"/>
        <v>0</v>
      </c>
      <c r="BB92" s="1042">
        <f t="shared" ca="1" si="226"/>
        <v>0</v>
      </c>
      <c r="BC92" s="1042">
        <f t="shared" ca="1" si="226"/>
        <v>0</v>
      </c>
      <c r="BD92" s="1042">
        <f t="shared" ca="1" si="226"/>
        <v>0</v>
      </c>
      <c r="BE92" s="1042">
        <f t="shared" ca="1" si="226"/>
        <v>0</v>
      </c>
      <c r="BF92" s="1012">
        <f ca="1">SUM(AM92:BE92)</f>
        <v>0</v>
      </c>
      <c r="BG92" s="743"/>
      <c r="BH92" s="1036">
        <f ca="1">IFERROR(INDEX(INDIRECT($C92&amp;".Outputs["&amp;this.Year&amp;"]"), MATCH(BH$5, INDIRECT($C92&amp;".Outputs[Vector]"), 0)), 0)</f>
        <v>0</v>
      </c>
      <c r="BI92" s="1036">
        <f ca="1">IFERROR(INDEX(INDIRECT($C92&amp;".Outputs["&amp;this.Year&amp;"]"), MATCH(BI$5, INDIRECT($C92&amp;".Outputs[Vector]"), 0)), 0)</f>
        <v>0</v>
      </c>
      <c r="BJ92" s="1035">
        <f ca="1">SUM(BH92:BI92)</f>
        <v>0</v>
      </c>
      <c r="BK92" s="743"/>
      <c r="BL92" s="852">
        <f t="shared" ca="1" si="220"/>
        <v>0</v>
      </c>
      <c r="BM92" s="814"/>
      <c r="BO92" s="1485">
        <f t="shared" ca="1" si="227"/>
        <v>0</v>
      </c>
      <c r="BP92" s="1486">
        <f t="shared" ca="1" si="227"/>
        <v>0</v>
      </c>
      <c r="BQ92" s="1486">
        <f t="shared" ca="1" si="227"/>
        <v>0</v>
      </c>
      <c r="BR92" s="1486">
        <f t="shared" ca="1" si="227"/>
        <v>0</v>
      </c>
      <c r="BS92" s="1486">
        <f t="shared" ca="1" si="227"/>
        <v>0</v>
      </c>
      <c r="BT92" s="1486">
        <f t="shared" ca="1" si="227"/>
        <v>0</v>
      </c>
      <c r="BU92" s="1486">
        <f t="shared" ca="1" si="227"/>
        <v>0</v>
      </c>
      <c r="BV92" s="1486">
        <f t="shared" ca="1" si="227"/>
        <v>0</v>
      </c>
      <c r="BW92" s="1486">
        <f t="shared" ca="1" si="227"/>
        <v>0</v>
      </c>
      <c r="BX92" s="1486">
        <f t="shared" ca="1" si="227"/>
        <v>0</v>
      </c>
      <c r="BY92" s="1486">
        <f t="shared" ca="1" si="228"/>
        <v>0</v>
      </c>
      <c r="BZ92" s="1486">
        <f t="shared" ca="1" si="228"/>
        <v>0</v>
      </c>
      <c r="CA92" s="1486">
        <f t="shared" ca="1" si="228"/>
        <v>0</v>
      </c>
      <c r="CB92" s="1486">
        <f t="shared" ca="1" si="228"/>
        <v>0</v>
      </c>
      <c r="CC92" s="1486">
        <f t="shared" ca="1" si="228"/>
        <v>0</v>
      </c>
      <c r="CD92" s="1486">
        <f t="shared" ca="1" si="228"/>
        <v>0</v>
      </c>
      <c r="CE92" s="1486">
        <f t="shared" ca="1" si="228"/>
        <v>0</v>
      </c>
      <c r="CF92" s="1486">
        <f t="shared" ca="1" si="228"/>
        <v>0</v>
      </c>
      <c r="CG92" s="1486">
        <f t="shared" ca="1" si="228"/>
        <v>0</v>
      </c>
      <c r="CH92" s="1486">
        <f t="shared" ca="1" si="228"/>
        <v>0</v>
      </c>
      <c r="CI92" s="1486">
        <f t="shared" ca="1" si="229"/>
        <v>0</v>
      </c>
      <c r="CJ92" s="1486">
        <f t="shared" ca="1" si="229"/>
        <v>0</v>
      </c>
      <c r="CK92" s="1486">
        <f t="shared" ca="1" si="229"/>
        <v>0</v>
      </c>
      <c r="CL92" s="1486">
        <f t="shared" ca="1" si="229"/>
        <v>0</v>
      </c>
      <c r="CM92" s="1486">
        <f t="shared" ca="1" si="229"/>
        <v>0</v>
      </c>
      <c r="CN92" s="1486">
        <f t="shared" ca="1" si="229"/>
        <v>0</v>
      </c>
      <c r="CO92" s="1486">
        <f t="shared" ca="1" si="229"/>
        <v>0</v>
      </c>
      <c r="CP92" s="1486">
        <f t="shared" ca="1" si="229"/>
        <v>0</v>
      </c>
      <c r="CQ92" s="1486">
        <f t="shared" ca="1" si="229"/>
        <v>0</v>
      </c>
      <c r="CR92" s="1486">
        <f t="shared" ca="1" si="229"/>
        <v>0</v>
      </c>
      <c r="CS92" s="1486">
        <f t="shared" ca="1" si="230"/>
        <v>0</v>
      </c>
      <c r="CT92" s="1486">
        <f t="shared" ca="1" si="230"/>
        <v>0</v>
      </c>
      <c r="CU92" s="1486">
        <f t="shared" ca="1" si="230"/>
        <v>0</v>
      </c>
      <c r="CV92" s="1486">
        <f t="shared" ca="1" si="230"/>
        <v>0</v>
      </c>
      <c r="CW92" s="1486">
        <f t="shared" ca="1" si="230"/>
        <v>0</v>
      </c>
      <c r="CX92" s="1486">
        <f t="shared" ca="1" si="230"/>
        <v>0</v>
      </c>
      <c r="CY92" s="1486">
        <f t="shared" ca="1" si="230"/>
        <v>0</v>
      </c>
      <c r="CZ92" s="1486">
        <f t="shared" ca="1" si="230"/>
        <v>0</v>
      </c>
      <c r="DA92" s="1486">
        <f t="shared" ca="1" si="230"/>
        <v>0</v>
      </c>
      <c r="DB92" s="1486">
        <f t="shared" ca="1" si="230"/>
        <v>0</v>
      </c>
      <c r="DC92" s="1486">
        <f t="shared" ca="1" si="230"/>
        <v>0</v>
      </c>
      <c r="DD92" s="1486">
        <f t="shared" ca="1" si="230"/>
        <v>0</v>
      </c>
      <c r="DE92" s="1486">
        <f t="shared" ca="1" si="230"/>
        <v>0</v>
      </c>
      <c r="DF92" s="1486">
        <f t="shared" ca="1" si="230"/>
        <v>0</v>
      </c>
      <c r="DH92" s="838"/>
    </row>
    <row r="93" spans="1:112" s="22" customFormat="1" ht="12.75" customHeight="1" collapsed="1">
      <c r="B93" s="753"/>
      <c r="C93" s="744" t="s">
        <v>673</v>
      </c>
      <c r="D93" s="517" t="str">
        <f>INDEX(Workstreams[Workstream], MATCH($C93, Workstreams[Code], 0))</f>
        <v>Electricity distribution, storage, and balancing</v>
      </c>
      <c r="E93" s="512"/>
      <c r="F93" s="743"/>
      <c r="G93" s="958">
        <f t="shared" ref="G93:P93" ca="1" si="231">G$89+G$91+G$92</f>
        <v>0</v>
      </c>
      <c r="H93" s="958">
        <f t="shared" ca="1" si="231"/>
        <v>0</v>
      </c>
      <c r="I93" s="958">
        <f t="shared" ca="1" si="231"/>
        <v>0</v>
      </c>
      <c r="J93" s="958">
        <f t="shared" ca="1" si="231"/>
        <v>0</v>
      </c>
      <c r="K93" s="960">
        <f t="shared" ca="1" si="231"/>
        <v>0</v>
      </c>
      <c r="L93" s="958">
        <f t="shared" ca="1" si="231"/>
        <v>0</v>
      </c>
      <c r="M93" s="958">
        <f t="shared" ca="1" si="231"/>
        <v>0</v>
      </c>
      <c r="N93" s="958">
        <f t="shared" ca="1" si="231"/>
        <v>0</v>
      </c>
      <c r="O93" s="958">
        <f t="shared" ca="1" si="231"/>
        <v>0</v>
      </c>
      <c r="P93" s="958">
        <f t="shared" ca="1" si="231"/>
        <v>0</v>
      </c>
      <c r="Q93" s="1021">
        <f ca="1">SUM(G93:P93)</f>
        <v>0</v>
      </c>
      <c r="R93" s="743"/>
      <c r="S93" s="970">
        <f t="shared" ref="S93:AJ93" ca="1" si="232">S$89+S$91+S$92</f>
        <v>0</v>
      </c>
      <c r="T93" s="970">
        <f t="shared" ca="1" si="232"/>
        <v>-32.669824779507962</v>
      </c>
      <c r="U93" s="970">
        <f t="shared" ca="1" si="232"/>
        <v>0</v>
      </c>
      <c r="V93" s="970">
        <f t="shared" ca="1" si="232"/>
        <v>0</v>
      </c>
      <c r="W93" s="970">
        <f t="shared" ca="1" si="232"/>
        <v>0</v>
      </c>
      <c r="X93" s="970">
        <f ca="1">X$89+X$91+X$92</f>
        <v>0</v>
      </c>
      <c r="Y93" s="970">
        <f ca="1">Y$89+Y$91+Y$92</f>
        <v>0</v>
      </c>
      <c r="Z93" s="970">
        <f ca="1">Z$89+Z$91+Z$92</f>
        <v>0</v>
      </c>
      <c r="AA93" s="970">
        <f t="shared" ca="1" si="232"/>
        <v>0</v>
      </c>
      <c r="AB93" s="970">
        <f t="shared" ca="1" si="232"/>
        <v>0</v>
      </c>
      <c r="AC93" s="970">
        <f t="shared" ca="1" si="232"/>
        <v>0</v>
      </c>
      <c r="AD93" s="970">
        <f t="shared" ca="1" si="232"/>
        <v>0</v>
      </c>
      <c r="AE93" s="970">
        <f t="shared" ca="1" si="232"/>
        <v>0</v>
      </c>
      <c r="AF93" s="970">
        <f t="shared" ca="1" si="232"/>
        <v>0</v>
      </c>
      <c r="AG93" s="970">
        <f t="shared" ca="1" si="232"/>
        <v>0</v>
      </c>
      <c r="AH93" s="970">
        <f t="shared" ca="1" si="232"/>
        <v>0</v>
      </c>
      <c r="AI93" s="970">
        <f t="shared" ca="1" si="232"/>
        <v>0</v>
      </c>
      <c r="AJ93" s="970">
        <f t="shared" ca="1" si="232"/>
        <v>0</v>
      </c>
      <c r="AK93" s="970">
        <f ca="1">SUM(S93:AJ93)</f>
        <v>-32.669824779507962</v>
      </c>
      <c r="AL93" s="743"/>
      <c r="AM93" s="976">
        <f t="shared" ref="AM93:BE93" ca="1" si="233">AM$89+AM$91+AM$92</f>
        <v>0</v>
      </c>
      <c r="AN93" s="976">
        <f t="shared" ca="1" si="233"/>
        <v>0</v>
      </c>
      <c r="AO93" s="976">
        <f t="shared" ca="1" si="233"/>
        <v>0</v>
      </c>
      <c r="AP93" s="976">
        <f t="shared" ca="1" si="233"/>
        <v>0</v>
      </c>
      <c r="AQ93" s="976">
        <f t="shared" ca="1" si="233"/>
        <v>0</v>
      </c>
      <c r="AR93" s="976">
        <f t="shared" ca="1" si="233"/>
        <v>0</v>
      </c>
      <c r="AS93" s="976">
        <f t="shared" ca="1" si="233"/>
        <v>0</v>
      </c>
      <c r="AT93" s="976">
        <f t="shared" ca="1" si="233"/>
        <v>0</v>
      </c>
      <c r="AU93" s="976">
        <f t="shared" ca="1" si="233"/>
        <v>0</v>
      </c>
      <c r="AV93" s="976">
        <f t="shared" ca="1" si="233"/>
        <v>0</v>
      </c>
      <c r="AW93" s="976">
        <f t="shared" ca="1" si="233"/>
        <v>0</v>
      </c>
      <c r="AX93" s="976">
        <f t="shared" ca="1" si="233"/>
        <v>0</v>
      </c>
      <c r="AY93" s="976">
        <f t="shared" ca="1" si="233"/>
        <v>0</v>
      </c>
      <c r="AZ93" s="976">
        <f t="shared" ca="1" si="233"/>
        <v>0</v>
      </c>
      <c r="BA93" s="976">
        <f t="shared" ca="1" si="233"/>
        <v>0</v>
      </c>
      <c r="BB93" s="976">
        <f t="shared" ca="1" si="233"/>
        <v>0</v>
      </c>
      <c r="BC93" s="976">
        <f t="shared" ca="1" si="233"/>
        <v>0</v>
      </c>
      <c r="BD93" s="976">
        <f t="shared" ca="1" si="233"/>
        <v>0</v>
      </c>
      <c r="BE93" s="976">
        <f t="shared" ca="1" si="233"/>
        <v>0</v>
      </c>
      <c r="BF93" s="976">
        <f ca="1">SUM(AM93:BE93)</f>
        <v>0</v>
      </c>
      <c r="BG93" s="743"/>
      <c r="BH93" s="990">
        <f ca="1">BH$89+BH$91+BH$92</f>
        <v>0</v>
      </c>
      <c r="BI93" s="990">
        <f ca="1">BI$89+BI$91+BI$92</f>
        <v>32.669824779507927</v>
      </c>
      <c r="BJ93" s="990">
        <f ca="1">SUM(BH93:BI93)</f>
        <v>32.669824779507927</v>
      </c>
      <c r="BK93" s="743"/>
      <c r="BL93" s="515">
        <f t="shared" ca="1" si="220"/>
        <v>0</v>
      </c>
      <c r="BM93" s="515"/>
      <c r="BN93" s="840"/>
      <c r="BO93" s="1482">
        <f t="shared" ref="BO93:DF93" ca="1" si="234">BO$89+BO$91+BO$92</f>
        <v>0</v>
      </c>
      <c r="BP93" s="1482">
        <f t="shared" ca="1" si="234"/>
        <v>0</v>
      </c>
      <c r="BQ93" s="1482">
        <f t="shared" ca="1" si="234"/>
        <v>0</v>
      </c>
      <c r="BR93" s="1482">
        <f t="shared" ca="1" si="234"/>
        <v>0</v>
      </c>
      <c r="BS93" s="1482">
        <f t="shared" ca="1" si="234"/>
        <v>0</v>
      </c>
      <c r="BT93" s="1482">
        <f t="shared" ca="1" si="234"/>
        <v>0</v>
      </c>
      <c r="BU93" s="1482">
        <f t="shared" ca="1" si="234"/>
        <v>0</v>
      </c>
      <c r="BV93" s="1482">
        <f t="shared" ca="1" si="234"/>
        <v>0</v>
      </c>
      <c r="BW93" s="1482">
        <f t="shared" ca="1" si="234"/>
        <v>0</v>
      </c>
      <c r="BX93" s="1482">
        <f t="shared" ca="1" si="234"/>
        <v>0</v>
      </c>
      <c r="BY93" s="1482">
        <f t="shared" ca="1" si="234"/>
        <v>0</v>
      </c>
      <c r="BZ93" s="1482">
        <f t="shared" ca="1" si="234"/>
        <v>0</v>
      </c>
      <c r="CA93" s="1482">
        <f t="shared" ca="1" si="234"/>
        <v>0</v>
      </c>
      <c r="CB93" s="1482">
        <f t="shared" ca="1" si="234"/>
        <v>0</v>
      </c>
      <c r="CC93" s="1482">
        <f t="shared" ca="1" si="234"/>
        <v>0</v>
      </c>
      <c r="CD93" s="1482">
        <f t="shared" ca="1" si="234"/>
        <v>0</v>
      </c>
      <c r="CE93" s="1482">
        <f t="shared" ca="1" si="234"/>
        <v>0</v>
      </c>
      <c r="CF93" s="1482">
        <f t="shared" ca="1" si="234"/>
        <v>0</v>
      </c>
      <c r="CG93" s="1482">
        <f t="shared" ca="1" si="234"/>
        <v>0</v>
      </c>
      <c r="CH93" s="1482">
        <f t="shared" ca="1" si="234"/>
        <v>0</v>
      </c>
      <c r="CI93" s="1482">
        <f t="shared" ca="1" si="234"/>
        <v>0</v>
      </c>
      <c r="CJ93" s="1482">
        <f t="shared" ca="1" si="234"/>
        <v>0</v>
      </c>
      <c r="CK93" s="1482">
        <f t="shared" ca="1" si="234"/>
        <v>0</v>
      </c>
      <c r="CL93" s="1482">
        <f t="shared" ca="1" si="234"/>
        <v>0</v>
      </c>
      <c r="CM93" s="1482">
        <f t="shared" ca="1" si="234"/>
        <v>0</v>
      </c>
      <c r="CN93" s="1482">
        <f t="shared" ca="1" si="234"/>
        <v>0</v>
      </c>
      <c r="CO93" s="1482">
        <f t="shared" ca="1" si="234"/>
        <v>0</v>
      </c>
      <c r="CP93" s="1482">
        <f t="shared" ca="1" si="234"/>
        <v>0</v>
      </c>
      <c r="CQ93" s="1482">
        <f t="shared" ca="1" si="234"/>
        <v>0</v>
      </c>
      <c r="CR93" s="1482">
        <f t="shared" ca="1" si="234"/>
        <v>0</v>
      </c>
      <c r="CS93" s="1482">
        <f t="shared" ca="1" si="234"/>
        <v>0</v>
      </c>
      <c r="CT93" s="1482">
        <f t="shared" ca="1" si="234"/>
        <v>0</v>
      </c>
      <c r="CU93" s="1482">
        <f t="shared" ca="1" si="234"/>
        <v>0</v>
      </c>
      <c r="CV93" s="1482">
        <f t="shared" ca="1" si="234"/>
        <v>0</v>
      </c>
      <c r="CW93" s="1482">
        <f t="shared" ca="1" si="234"/>
        <v>0</v>
      </c>
      <c r="CX93" s="1482">
        <f t="shared" ca="1" si="234"/>
        <v>0</v>
      </c>
      <c r="CY93" s="1482">
        <f t="shared" ca="1" si="234"/>
        <v>0</v>
      </c>
      <c r="CZ93" s="1482">
        <f t="shared" ca="1" si="234"/>
        <v>0</v>
      </c>
      <c r="DA93" s="1482">
        <f t="shared" ca="1" si="234"/>
        <v>0</v>
      </c>
      <c r="DB93" s="1482">
        <f t="shared" ca="1" si="234"/>
        <v>0</v>
      </c>
      <c r="DC93" s="1482">
        <f t="shared" ca="1" si="234"/>
        <v>0</v>
      </c>
      <c r="DD93" s="1482">
        <f t="shared" ca="1" si="234"/>
        <v>0</v>
      </c>
      <c r="DE93" s="1482">
        <f t="shared" ca="1" si="234"/>
        <v>0</v>
      </c>
      <c r="DF93" s="1482">
        <f t="shared" ca="1" si="234"/>
        <v>0</v>
      </c>
      <c r="DH93" s="838">
        <f t="shared" ref="DH93:DH104" ca="1" si="235">SUM(BO93:DF93)</f>
        <v>0</v>
      </c>
    </row>
    <row r="94" spans="1:112" s="743" customFormat="1" ht="12.75" hidden="1" customHeight="1" outlineLevel="1">
      <c r="A94" s="22"/>
      <c r="B94" s="22"/>
      <c r="C94" s="751"/>
      <c r="D94" s="512"/>
      <c r="E94" s="512"/>
      <c r="G94" s="958"/>
      <c r="H94" s="958"/>
      <c r="I94" s="958"/>
      <c r="J94" s="958"/>
      <c r="K94" s="960"/>
      <c r="L94" s="958"/>
      <c r="M94" s="958"/>
      <c r="N94" s="958"/>
      <c r="O94" s="958"/>
      <c r="P94" s="958"/>
      <c r="Q94" s="958"/>
      <c r="S94" s="970"/>
      <c r="T94" s="970"/>
      <c r="U94" s="970"/>
      <c r="V94" s="970"/>
      <c r="W94" s="970"/>
      <c r="X94" s="970"/>
      <c r="Y94" s="970"/>
      <c r="Z94" s="970"/>
      <c r="AA94" s="970"/>
      <c r="AB94" s="970"/>
      <c r="AC94" s="970"/>
      <c r="AD94" s="970"/>
      <c r="AE94" s="970"/>
      <c r="AF94" s="970"/>
      <c r="AG94" s="970"/>
      <c r="AH94" s="970"/>
      <c r="AI94" s="970"/>
      <c r="AJ94" s="970"/>
      <c r="AK94" s="970"/>
      <c r="AM94" s="976"/>
      <c r="AN94" s="976"/>
      <c r="AO94" s="976"/>
      <c r="AP94" s="976"/>
      <c r="AQ94" s="976"/>
      <c r="AR94" s="976"/>
      <c r="AS94" s="976"/>
      <c r="AT94" s="976"/>
      <c r="AU94" s="976"/>
      <c r="AV94" s="976"/>
      <c r="AW94" s="976"/>
      <c r="AX94" s="976"/>
      <c r="AY94" s="976"/>
      <c r="AZ94" s="976"/>
      <c r="BA94" s="976"/>
      <c r="BB94" s="976"/>
      <c r="BC94" s="976"/>
      <c r="BD94" s="976"/>
      <c r="BE94" s="976"/>
      <c r="BF94" s="976"/>
      <c r="BH94" s="990"/>
      <c r="BI94" s="990"/>
      <c r="BJ94" s="990"/>
      <c r="BL94" s="515">
        <f t="shared" si="220"/>
        <v>0</v>
      </c>
      <c r="BM94" s="515"/>
      <c r="BN94" s="840"/>
      <c r="BO94" s="1482"/>
      <c r="BP94" s="1482"/>
      <c r="BQ94" s="1482"/>
      <c r="BR94" s="1482"/>
      <c r="BS94" s="1482"/>
      <c r="BT94" s="1482"/>
      <c r="BU94" s="1482"/>
      <c r="BV94" s="1482"/>
      <c r="BW94" s="1482"/>
      <c r="BX94" s="1482"/>
      <c r="BY94" s="1482"/>
      <c r="BZ94" s="1482"/>
      <c r="CA94" s="1482"/>
      <c r="CB94" s="1482"/>
      <c r="CC94" s="1482"/>
      <c r="CD94" s="1482"/>
      <c r="CE94" s="1482"/>
      <c r="CF94" s="1482"/>
      <c r="CG94" s="1482"/>
      <c r="CH94" s="1482"/>
      <c r="CI94" s="1482"/>
      <c r="CJ94" s="1482"/>
      <c r="CK94" s="1482"/>
      <c r="CL94" s="1482"/>
      <c r="CM94" s="1482"/>
      <c r="CN94" s="1482"/>
      <c r="CO94" s="1482"/>
      <c r="CP94" s="1482"/>
      <c r="CQ94" s="1482"/>
      <c r="CR94" s="1482"/>
      <c r="CS94" s="1482"/>
      <c r="CT94" s="1482"/>
      <c r="CU94" s="1482"/>
      <c r="CV94" s="1482"/>
      <c r="CW94" s="1482"/>
      <c r="CX94" s="1482"/>
      <c r="CY94" s="1482"/>
      <c r="CZ94" s="1482"/>
      <c r="DA94" s="1482"/>
      <c r="DB94" s="1482"/>
      <c r="DC94" s="1482"/>
      <c r="DD94" s="1482"/>
      <c r="DE94" s="1482"/>
      <c r="DF94" s="1482"/>
      <c r="DH94" s="838">
        <f t="shared" si="235"/>
        <v>0</v>
      </c>
    </row>
    <row r="95" spans="1:112" s="1491" customFormat="1" ht="12.75" hidden="1" customHeight="1" outlineLevel="1">
      <c r="C95" s="1534" t="s">
        <v>1723</v>
      </c>
      <c r="D95" s="1535" t="s">
        <v>1665</v>
      </c>
      <c r="E95" s="1535"/>
      <c r="G95" s="1070"/>
      <c r="H95" s="1070"/>
      <c r="I95" s="1070"/>
      <c r="J95" s="1070"/>
      <c r="K95" s="1071"/>
      <c r="L95" s="1070"/>
      <c r="M95" s="1070"/>
      <c r="N95" s="1070"/>
      <c r="O95" s="1070"/>
      <c r="P95" s="1070"/>
      <c r="Q95" s="1070"/>
      <c r="S95" s="1072"/>
      <c r="T95" s="1072"/>
      <c r="U95" s="1072">
        <f ca="1">(U$40+U$84+U$93)</f>
        <v>-113.05377816931107</v>
      </c>
      <c r="V95" s="1072">
        <f ca="1">(V$40+V$84+V$93)</f>
        <v>-831.13393591517035</v>
      </c>
      <c r="W95" s="1072">
        <f ca="1">(W$40+W$84+W$93)</f>
        <v>-1749.5868368881916</v>
      </c>
      <c r="X95" s="1072"/>
      <c r="Y95" s="1072"/>
      <c r="Z95" s="1072"/>
      <c r="AA95" s="1072"/>
      <c r="AB95" s="1072"/>
      <c r="AC95" s="1072">
        <f t="shared" ref="AC95:AH95" ca="1" si="236">(AC$40+AC$84+AC$93)</f>
        <v>0</v>
      </c>
      <c r="AD95" s="1072">
        <f t="shared" ca="1" si="236"/>
        <v>68.987497373024652</v>
      </c>
      <c r="AE95" s="1072">
        <f t="shared" ca="1" si="236"/>
        <v>1.6328504516407798</v>
      </c>
      <c r="AF95" s="1072">
        <f t="shared" ca="1" si="236"/>
        <v>69.271632407751852</v>
      </c>
      <c r="AG95" s="1072">
        <f t="shared" ca="1" si="236"/>
        <v>47.700051615122234</v>
      </c>
      <c r="AH95" s="1072">
        <f t="shared" ca="1" si="236"/>
        <v>18.128502892916249</v>
      </c>
      <c r="AI95" s="1072"/>
      <c r="AJ95" s="1072"/>
      <c r="AK95" s="1072"/>
      <c r="AM95" s="1073"/>
      <c r="AN95" s="1073"/>
      <c r="AO95" s="1073"/>
      <c r="AP95" s="1073"/>
      <c r="AQ95" s="1073"/>
      <c r="AR95" s="1073"/>
      <c r="AS95" s="1073"/>
      <c r="AT95" s="1073"/>
      <c r="AU95" s="1073"/>
      <c r="AV95" s="1073"/>
      <c r="AW95" s="1073"/>
      <c r="AX95" s="1073"/>
      <c r="AY95" s="1073"/>
      <c r="AZ95" s="1073"/>
      <c r="BA95" s="1073"/>
      <c r="BB95" s="1073"/>
      <c r="BC95" s="1073"/>
      <c r="BD95" s="1073"/>
      <c r="BE95" s="1073"/>
      <c r="BF95" s="1073"/>
      <c r="BH95" s="1074"/>
      <c r="BI95" s="1074"/>
      <c r="BJ95" s="1074"/>
      <c r="BL95" s="1536"/>
      <c r="BM95" s="1536"/>
      <c r="BN95" s="1537"/>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8"/>
      <c r="CP95" s="1538"/>
      <c r="CQ95" s="1538"/>
      <c r="CR95" s="1538"/>
      <c r="CS95" s="1538"/>
      <c r="CT95" s="1538"/>
      <c r="CU95" s="1538"/>
      <c r="CV95" s="1538"/>
      <c r="CW95" s="1538"/>
      <c r="CX95" s="1538"/>
      <c r="CY95" s="1538"/>
      <c r="CZ95" s="1538"/>
      <c r="DA95" s="1538"/>
      <c r="DB95" s="1538"/>
      <c r="DC95" s="1538"/>
      <c r="DD95" s="1538"/>
      <c r="DE95" s="1538"/>
      <c r="DF95" s="1538"/>
      <c r="DH95" s="1537">
        <f t="shared" si="235"/>
        <v>0</v>
      </c>
    </row>
    <row r="96" spans="1:112" s="1957" customFormat="1" ht="12.75" hidden="1" customHeight="1" outlineLevel="1">
      <c r="A96" s="1954"/>
      <c r="B96" s="1954"/>
      <c r="C96" s="1955" t="s">
        <v>963</v>
      </c>
      <c r="D96" s="1956" t="str">
        <f>INDEX(Modules[Module], MATCH($C96, Modules[Code], 0))</f>
        <v>Biomatter to fuel conversion</v>
      </c>
      <c r="E96" s="1956"/>
      <c r="G96" s="1061">
        <f t="shared" ref="G96:P96" ca="1" si="237">IFERROR(INDEX(INDIRECT($C96&amp;".Outputs["&amp;this.Year&amp;"]"), MATCH(G$5, INDIRECT($C96&amp;".Outputs[Vector]"), 0)), 0)</f>
        <v>0</v>
      </c>
      <c r="H96" s="1061">
        <f t="shared" ca="1" si="237"/>
        <v>0</v>
      </c>
      <c r="I96" s="1061">
        <f t="shared" ca="1" si="237"/>
        <v>0</v>
      </c>
      <c r="J96" s="1061">
        <f t="shared" ca="1" si="237"/>
        <v>0</v>
      </c>
      <c r="K96" s="1061">
        <f t="shared" ca="1" si="237"/>
        <v>0</v>
      </c>
      <c r="L96" s="1061">
        <f t="shared" ca="1" si="237"/>
        <v>0</v>
      </c>
      <c r="M96" s="1061">
        <f t="shared" ca="1" si="237"/>
        <v>0</v>
      </c>
      <c r="N96" s="1061">
        <f t="shared" ca="1" si="237"/>
        <v>0</v>
      </c>
      <c r="O96" s="1061">
        <f t="shared" ca="1" si="237"/>
        <v>0</v>
      </c>
      <c r="P96" s="1061">
        <f t="shared" ca="1" si="237"/>
        <v>0</v>
      </c>
      <c r="Q96" s="1062">
        <f ca="1">SUM(G96:P96)</f>
        <v>0</v>
      </c>
      <c r="S96" s="1063">
        <f t="shared" ref="S96:AJ96" ca="1" si="238">IFERROR(INDEX(INDIRECT($C96&amp;".Outputs["&amp;this.Year&amp;"]"), MATCH(S$5, INDIRECT($C96&amp;".Outputs[Vector]"), 0)), 0)</f>
        <v>0</v>
      </c>
      <c r="T96" s="1063">
        <f t="shared" ca="1" si="238"/>
        <v>0</v>
      </c>
      <c r="U96" s="1063">
        <f t="shared" ca="1" si="238"/>
        <v>62.344469166976666</v>
      </c>
      <c r="V96" s="1063">
        <f t="shared" ca="1" si="238"/>
        <v>44.658181958744422</v>
      </c>
      <c r="W96" s="1063">
        <f t="shared" ca="1" si="238"/>
        <v>56.288544185014032</v>
      </c>
      <c r="X96" s="1063">
        <f t="shared" ca="1" si="238"/>
        <v>0</v>
      </c>
      <c r="Y96" s="1063">
        <f t="shared" ca="1" si="238"/>
        <v>0</v>
      </c>
      <c r="Z96" s="1063">
        <f t="shared" ca="1" si="238"/>
        <v>0</v>
      </c>
      <c r="AA96" s="1063">
        <f t="shared" ca="1" si="238"/>
        <v>0</v>
      </c>
      <c r="AB96" s="1063">
        <f t="shared" ca="1" si="238"/>
        <v>0</v>
      </c>
      <c r="AC96" s="1063">
        <f t="shared" ca="1" si="238"/>
        <v>0</v>
      </c>
      <c r="AD96" s="1063">
        <f t="shared" ca="1" si="238"/>
        <v>-68.987497373024652</v>
      </c>
      <c r="AE96" s="1063">
        <f t="shared" ca="1" si="238"/>
        <v>-1.6328504516407798</v>
      </c>
      <c r="AF96" s="1063">
        <f t="shared" ca="1" si="238"/>
        <v>-69.271632407751852</v>
      </c>
      <c r="AG96" s="1063">
        <f t="shared" ca="1" si="238"/>
        <v>-47.700051615122234</v>
      </c>
      <c r="AH96" s="1063">
        <f t="shared" ca="1" si="238"/>
        <v>-18.128502892916249</v>
      </c>
      <c r="AI96" s="1063">
        <f t="shared" ca="1" si="238"/>
        <v>0</v>
      </c>
      <c r="AJ96" s="1063">
        <f t="shared" ca="1" si="238"/>
        <v>0</v>
      </c>
      <c r="AK96" s="1064">
        <f ca="1">SUM(S96:AJ96)</f>
        <v>-42.429339429720628</v>
      </c>
      <c r="AM96" s="1065">
        <f t="shared" ref="AM96:BE96" ca="1" si="239">IFERROR(INDEX(INDIRECT($C96&amp;".Outputs["&amp;this.Year&amp;"]"), MATCH(AM$5, INDIRECT($C96&amp;".Outputs[Vector]"), 0)), 0)</f>
        <v>0</v>
      </c>
      <c r="AN96" s="1065">
        <f t="shared" ca="1" si="239"/>
        <v>0</v>
      </c>
      <c r="AO96" s="1065">
        <f t="shared" ca="1" si="239"/>
        <v>0</v>
      </c>
      <c r="AP96" s="1065">
        <f t="shared" ca="1" si="239"/>
        <v>0</v>
      </c>
      <c r="AQ96" s="1065">
        <f t="shared" ca="1" si="239"/>
        <v>0</v>
      </c>
      <c r="AR96" s="1065">
        <f t="shared" ca="1" si="239"/>
        <v>0</v>
      </c>
      <c r="AS96" s="1065">
        <f t="shared" ca="1" si="239"/>
        <v>0</v>
      </c>
      <c r="AT96" s="1065">
        <f t="shared" ca="1" si="239"/>
        <v>0</v>
      </c>
      <c r="AU96" s="1065">
        <f t="shared" ca="1" si="239"/>
        <v>0</v>
      </c>
      <c r="AV96" s="1065">
        <f t="shared" ca="1" si="239"/>
        <v>0</v>
      </c>
      <c r="AW96" s="1065">
        <f t="shared" ca="1" si="239"/>
        <v>0</v>
      </c>
      <c r="AX96" s="1065">
        <f t="shared" ca="1" si="239"/>
        <v>0</v>
      </c>
      <c r="AY96" s="1065">
        <f t="shared" ca="1" si="239"/>
        <v>0</v>
      </c>
      <c r="AZ96" s="1065">
        <f t="shared" ca="1" si="239"/>
        <v>0</v>
      </c>
      <c r="BA96" s="1065">
        <f t="shared" ca="1" si="239"/>
        <v>0</v>
      </c>
      <c r="BB96" s="1065">
        <f t="shared" ca="1" si="239"/>
        <v>0</v>
      </c>
      <c r="BC96" s="1065">
        <f t="shared" ca="1" si="239"/>
        <v>0</v>
      </c>
      <c r="BD96" s="1065">
        <f t="shared" ca="1" si="239"/>
        <v>0</v>
      </c>
      <c r="BE96" s="1065">
        <f t="shared" ca="1" si="239"/>
        <v>0</v>
      </c>
      <c r="BF96" s="1066">
        <f ca="1">SUM(AM96:BE96)</f>
        <v>0</v>
      </c>
      <c r="BH96" s="1067">
        <f ca="1">IFERROR(INDEX(INDIRECT($C96&amp;".Outputs["&amp;this.Year&amp;"]"), MATCH(BH$5, INDIRECT($C96&amp;".Outputs[Vector]"), 0)), 0)</f>
        <v>42.42933942972067</v>
      </c>
      <c r="BI96" s="1067">
        <f ca="1">IFERROR(INDEX(INDIRECT($C96&amp;".Outputs["&amp;this.Year&amp;"]"), MATCH(BI$5, INDIRECT($C96&amp;".Outputs[Vector]"), 0)), 0)</f>
        <v>0</v>
      </c>
      <c r="BJ96" s="1068">
        <f ca="1">SUM(BH96:BI96)</f>
        <v>42.42933942972067</v>
      </c>
      <c r="BL96" s="1958">
        <f ca="1">Q96+AK96+BF96+BJ96</f>
        <v>0</v>
      </c>
      <c r="BM96" s="1958"/>
      <c r="BN96" s="1959"/>
      <c r="BO96" s="1960">
        <f t="shared" ref="BO96:DF96" ca="1" si="240">IFERROR(SUMIFS(INDIRECT($C96&amp;".Emissions["&amp;this.Year&amp;"]"), INDIRECT($C96&amp;".Emissions[GHG]"), BO$6, INDIRECT($C96&amp;".Emissions[IPCC Sector]"), BO$5),0)</f>
        <v>0</v>
      </c>
      <c r="BP96" s="1961">
        <f t="shared" ca="1" si="240"/>
        <v>0</v>
      </c>
      <c r="BQ96" s="1961">
        <f t="shared" ca="1" si="240"/>
        <v>0</v>
      </c>
      <c r="BR96" s="1961">
        <f t="shared" ca="1" si="240"/>
        <v>0</v>
      </c>
      <c r="BS96" s="1961">
        <f t="shared" ca="1" si="240"/>
        <v>0</v>
      </c>
      <c r="BT96" s="1961">
        <f t="shared" ca="1" si="240"/>
        <v>0</v>
      </c>
      <c r="BU96" s="1961">
        <f t="shared" ca="1" si="240"/>
        <v>0</v>
      </c>
      <c r="BV96" s="1961">
        <f t="shared" ca="1" si="240"/>
        <v>0</v>
      </c>
      <c r="BW96" s="1961">
        <f t="shared" ca="1" si="240"/>
        <v>0</v>
      </c>
      <c r="BX96" s="1961">
        <f t="shared" ca="1" si="240"/>
        <v>0</v>
      </c>
      <c r="BY96" s="1961">
        <f t="shared" ca="1" si="240"/>
        <v>0</v>
      </c>
      <c r="BZ96" s="1961">
        <f t="shared" ca="1" si="240"/>
        <v>0</v>
      </c>
      <c r="CA96" s="1961">
        <f t="shared" ca="1" si="240"/>
        <v>0</v>
      </c>
      <c r="CB96" s="1961">
        <f t="shared" ca="1" si="240"/>
        <v>0</v>
      </c>
      <c r="CC96" s="1961">
        <f t="shared" ca="1" si="240"/>
        <v>0</v>
      </c>
      <c r="CD96" s="1961">
        <f t="shared" ca="1" si="240"/>
        <v>0</v>
      </c>
      <c r="CE96" s="1961">
        <f t="shared" ca="1" si="240"/>
        <v>0</v>
      </c>
      <c r="CF96" s="1961">
        <f t="shared" ca="1" si="240"/>
        <v>0</v>
      </c>
      <c r="CG96" s="1961">
        <f t="shared" ca="1" si="240"/>
        <v>0</v>
      </c>
      <c r="CH96" s="1961">
        <f t="shared" ca="1" si="240"/>
        <v>0</v>
      </c>
      <c r="CI96" s="1961">
        <f t="shared" ca="1" si="240"/>
        <v>0</v>
      </c>
      <c r="CJ96" s="1961">
        <f t="shared" ca="1" si="240"/>
        <v>0</v>
      </c>
      <c r="CK96" s="1961">
        <f t="shared" ca="1" si="240"/>
        <v>0</v>
      </c>
      <c r="CL96" s="1961">
        <f t="shared" ca="1" si="240"/>
        <v>0</v>
      </c>
      <c r="CM96" s="1961">
        <f t="shared" ca="1" si="240"/>
        <v>0</v>
      </c>
      <c r="CN96" s="1961">
        <f t="shared" ca="1" si="240"/>
        <v>0</v>
      </c>
      <c r="CO96" s="1961">
        <f t="shared" ca="1" si="240"/>
        <v>0</v>
      </c>
      <c r="CP96" s="1961">
        <f t="shared" ca="1" si="240"/>
        <v>0</v>
      </c>
      <c r="CQ96" s="1961">
        <f t="shared" ca="1" si="240"/>
        <v>0</v>
      </c>
      <c r="CR96" s="1961">
        <f t="shared" ca="1" si="240"/>
        <v>0</v>
      </c>
      <c r="CS96" s="1961">
        <f t="shared" ca="1" si="240"/>
        <v>0</v>
      </c>
      <c r="CT96" s="1961">
        <f t="shared" ca="1" si="240"/>
        <v>0</v>
      </c>
      <c r="CU96" s="1961">
        <f t="shared" ca="1" si="240"/>
        <v>0</v>
      </c>
      <c r="CV96" s="1961">
        <f t="shared" ca="1" si="240"/>
        <v>0</v>
      </c>
      <c r="CW96" s="1961">
        <f t="shared" ca="1" si="240"/>
        <v>0</v>
      </c>
      <c r="CX96" s="1961">
        <f t="shared" ca="1" si="240"/>
        <v>0</v>
      </c>
      <c r="CY96" s="1961">
        <f t="shared" ca="1" si="240"/>
        <v>-40.723734123157499</v>
      </c>
      <c r="CZ96" s="1961">
        <f t="shared" ca="1" si="240"/>
        <v>0</v>
      </c>
      <c r="DA96" s="1961">
        <f t="shared" ca="1" si="240"/>
        <v>0</v>
      </c>
      <c r="DB96" s="1961">
        <f t="shared" ca="1" si="240"/>
        <v>0</v>
      </c>
      <c r="DC96" s="1961">
        <f t="shared" ca="1" si="240"/>
        <v>0</v>
      </c>
      <c r="DD96" s="1961">
        <f t="shared" ca="1" si="240"/>
        <v>0</v>
      </c>
      <c r="DE96" s="1961">
        <f t="shared" ca="1" si="240"/>
        <v>0</v>
      </c>
      <c r="DF96" s="1961">
        <f t="shared" ca="1" si="240"/>
        <v>0</v>
      </c>
      <c r="DH96" s="1962">
        <f t="shared" ca="1" si="235"/>
        <v>-40.723734123157499</v>
      </c>
    </row>
    <row r="97" spans="1:112" s="1491" customFormat="1" ht="12.75" hidden="1" customHeight="1" outlineLevel="1">
      <c r="C97" s="1534" t="s">
        <v>1724</v>
      </c>
      <c r="D97" s="1535" t="s">
        <v>1665</v>
      </c>
      <c r="E97" s="1535"/>
      <c r="G97" s="1070"/>
      <c r="H97" s="1070"/>
      <c r="I97" s="1070"/>
      <c r="J97" s="1070"/>
      <c r="K97" s="1071"/>
      <c r="L97" s="1070"/>
      <c r="M97" s="1070"/>
      <c r="N97" s="1070"/>
      <c r="O97" s="1070"/>
      <c r="P97" s="1070"/>
      <c r="Q97" s="1070"/>
      <c r="S97" s="1072"/>
      <c r="T97" s="1072"/>
      <c r="U97" s="1072">
        <f ca="1">U$95+U$96</f>
        <v>-50.709309002334408</v>
      </c>
      <c r="V97" s="1072">
        <f ca="1">V$95+V$96</f>
        <v>-786.47575395642593</v>
      </c>
      <c r="W97" s="1072">
        <f ca="1">W$95+W$96</f>
        <v>-1693.2982927031776</v>
      </c>
      <c r="X97" s="1072"/>
      <c r="Y97" s="1072"/>
      <c r="Z97" s="1072"/>
      <c r="AA97" s="1072"/>
      <c r="AB97" s="1072"/>
      <c r="AC97" s="1072">
        <f t="shared" ref="AC97:AH97" ca="1" si="241">AC$95+AC$96</f>
        <v>0</v>
      </c>
      <c r="AD97" s="1072">
        <f t="shared" ca="1" si="241"/>
        <v>0</v>
      </c>
      <c r="AE97" s="1072">
        <f t="shared" ca="1" si="241"/>
        <v>0</v>
      </c>
      <c r="AF97" s="1072">
        <f t="shared" ca="1" si="241"/>
        <v>0</v>
      </c>
      <c r="AG97" s="1072">
        <f t="shared" ca="1" si="241"/>
        <v>0</v>
      </c>
      <c r="AH97" s="1072">
        <f t="shared" ca="1" si="241"/>
        <v>0</v>
      </c>
      <c r="AI97" s="1072"/>
      <c r="AJ97" s="1072"/>
      <c r="AK97" s="1072"/>
      <c r="AM97" s="1073"/>
      <c r="AN97" s="1073"/>
      <c r="AO97" s="1073"/>
      <c r="AP97" s="1073"/>
      <c r="AQ97" s="1073"/>
      <c r="AR97" s="1073"/>
      <c r="AS97" s="1073"/>
      <c r="AT97" s="1073"/>
      <c r="AU97" s="1073"/>
      <c r="AV97" s="1073"/>
      <c r="AW97" s="1073"/>
      <c r="AX97" s="1073"/>
      <c r="AY97" s="1073"/>
      <c r="AZ97" s="1073"/>
      <c r="BA97" s="1073"/>
      <c r="BB97" s="1073"/>
      <c r="BC97" s="1073"/>
      <c r="BD97" s="1073"/>
      <c r="BE97" s="1073"/>
      <c r="BF97" s="1073"/>
      <c r="BH97" s="1074"/>
      <c r="BI97" s="1074"/>
      <c r="BJ97" s="1074"/>
      <c r="BL97" s="1536"/>
      <c r="BM97" s="1536"/>
      <c r="BN97" s="1537"/>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8"/>
      <c r="CP97" s="1538"/>
      <c r="CQ97" s="1538"/>
      <c r="CR97" s="1538"/>
      <c r="CS97" s="1538"/>
      <c r="CT97" s="1538"/>
      <c r="CU97" s="1538"/>
      <c r="CV97" s="1538"/>
      <c r="CW97" s="1538"/>
      <c r="CX97" s="1538"/>
      <c r="CY97" s="1538"/>
      <c r="CZ97" s="1538"/>
      <c r="DA97" s="1538"/>
      <c r="DB97" s="1538"/>
      <c r="DC97" s="1538"/>
      <c r="DD97" s="1538"/>
      <c r="DE97" s="1538"/>
      <c r="DF97" s="1538"/>
      <c r="DH97" s="1537">
        <f>SUM(BO97:DF97)</f>
        <v>0</v>
      </c>
    </row>
    <row r="98" spans="1:112" s="743" customFormat="1" ht="12.75" hidden="1" customHeight="1" outlineLevel="1">
      <c r="A98" s="1484"/>
      <c r="B98" s="1484"/>
      <c r="C98" s="746" t="s">
        <v>1695</v>
      </c>
      <c r="D98" s="1010" t="str">
        <f>INDEX(Modules[Module], MATCH($C98, Modules[Code], 0))</f>
        <v>Bioenergy imports</v>
      </c>
      <c r="E98" s="1010"/>
      <c r="G98" s="1022">
        <f t="shared" ref="G98:P98" ca="1" si="242">IFERROR(INDEX(INDIRECT($C98&amp;".Outputs["&amp;this.Year&amp;"]"), MATCH(G$5, INDIRECT($C98&amp;".Outputs[Vector]"), 0)), 0)</f>
        <v>0</v>
      </c>
      <c r="H98" s="1022">
        <f t="shared" ca="1" si="242"/>
        <v>0</v>
      </c>
      <c r="I98" s="1022">
        <f t="shared" ca="1" si="242"/>
        <v>0</v>
      </c>
      <c r="J98" s="1022">
        <f t="shared" ca="1" si="242"/>
        <v>0</v>
      </c>
      <c r="K98" s="1022">
        <f t="shared" ca="1" si="242"/>
        <v>0</v>
      </c>
      <c r="L98" s="1022">
        <f t="shared" ca="1" si="242"/>
        <v>0</v>
      </c>
      <c r="M98" s="1022">
        <f t="shared" ca="1" si="242"/>
        <v>0</v>
      </c>
      <c r="N98" s="1022">
        <f t="shared" ca="1" si="242"/>
        <v>0</v>
      </c>
      <c r="O98" s="1022">
        <f t="shared" ca="1" si="242"/>
        <v>0</v>
      </c>
      <c r="P98" s="1022">
        <f t="shared" ca="1" si="242"/>
        <v>0</v>
      </c>
      <c r="Q98" s="1020">
        <f ca="1">SUM(G98:P98)</f>
        <v>0</v>
      </c>
      <c r="S98" s="1031">
        <f t="shared" ref="S98:AJ98" ca="1" si="243">IFERROR(INDEX(INDIRECT($C98&amp;".Outputs["&amp;this.Year&amp;"]"), MATCH(S$5, INDIRECT($C98&amp;".Outputs[Vector]"), 0)), 0)</f>
        <v>0</v>
      </c>
      <c r="T98" s="1031">
        <f t="shared" ca="1" si="243"/>
        <v>0</v>
      </c>
      <c r="U98" s="1031">
        <f t="shared" ca="1" si="243"/>
        <v>0.51117906976744187</v>
      </c>
      <c r="V98" s="1031">
        <f t="shared" ca="1" si="243"/>
        <v>-4.5979069767441871E-2</v>
      </c>
      <c r="W98" s="1031">
        <f t="shared" ca="1" si="243"/>
        <v>0</v>
      </c>
      <c r="X98" s="1031">
        <f t="shared" ca="1" si="243"/>
        <v>0</v>
      </c>
      <c r="Y98" s="1031">
        <f t="shared" ca="1" si="243"/>
        <v>0</v>
      </c>
      <c r="Z98" s="1031">
        <f t="shared" ca="1" si="243"/>
        <v>0</v>
      </c>
      <c r="AA98" s="1031">
        <f t="shared" ca="1" si="243"/>
        <v>0</v>
      </c>
      <c r="AB98" s="1031">
        <f t="shared" ca="1" si="243"/>
        <v>0</v>
      </c>
      <c r="AC98" s="1031">
        <f t="shared" ca="1" si="243"/>
        <v>0</v>
      </c>
      <c r="AD98" s="1031">
        <f t="shared" ca="1" si="243"/>
        <v>0</v>
      </c>
      <c r="AE98" s="1031">
        <f t="shared" ca="1" si="243"/>
        <v>0</v>
      </c>
      <c r="AF98" s="1031">
        <f t="shared" ca="1" si="243"/>
        <v>0</v>
      </c>
      <c r="AG98" s="1031">
        <f t="shared" ca="1" si="243"/>
        <v>0</v>
      </c>
      <c r="AH98" s="1031">
        <f t="shared" ca="1" si="243"/>
        <v>0</v>
      </c>
      <c r="AI98" s="1031">
        <f t="shared" ca="1" si="243"/>
        <v>0</v>
      </c>
      <c r="AJ98" s="1031">
        <f t="shared" ca="1" si="243"/>
        <v>0</v>
      </c>
      <c r="AK98" s="1030">
        <f ca="1">SUM(S98:AJ98)</f>
        <v>0.4652</v>
      </c>
      <c r="AM98" s="1042">
        <f t="shared" ref="AM98:BE98" ca="1" si="244">IFERROR(INDEX(INDIRECT($C98&amp;".Outputs["&amp;this.Year&amp;"]"), MATCH(AM$5, INDIRECT($C98&amp;".Outputs[Vector]"), 0)), 0)</f>
        <v>0</v>
      </c>
      <c r="AN98" s="1042">
        <f t="shared" ca="1" si="244"/>
        <v>0</v>
      </c>
      <c r="AO98" s="1042">
        <f t="shared" ca="1" si="244"/>
        <v>0</v>
      </c>
      <c r="AP98" s="1042">
        <f t="shared" ca="1" si="244"/>
        <v>-0.4652</v>
      </c>
      <c r="AQ98" s="1042">
        <f t="shared" ca="1" si="244"/>
        <v>0</v>
      </c>
      <c r="AR98" s="1042">
        <f t="shared" ca="1" si="244"/>
        <v>0</v>
      </c>
      <c r="AS98" s="1042">
        <f t="shared" ca="1" si="244"/>
        <v>0</v>
      </c>
      <c r="AT98" s="1042">
        <f t="shared" ca="1" si="244"/>
        <v>0</v>
      </c>
      <c r="AU98" s="1042">
        <f t="shared" ca="1" si="244"/>
        <v>0</v>
      </c>
      <c r="AV98" s="1042">
        <f t="shared" ca="1" si="244"/>
        <v>0</v>
      </c>
      <c r="AW98" s="1042">
        <f t="shared" ca="1" si="244"/>
        <v>0</v>
      </c>
      <c r="AX98" s="1042">
        <f t="shared" ca="1" si="244"/>
        <v>0</v>
      </c>
      <c r="AY98" s="1042">
        <f t="shared" ca="1" si="244"/>
        <v>0</v>
      </c>
      <c r="AZ98" s="1042">
        <f t="shared" ca="1" si="244"/>
        <v>0</v>
      </c>
      <c r="BA98" s="1042">
        <f t="shared" ca="1" si="244"/>
        <v>0</v>
      </c>
      <c r="BB98" s="1042">
        <f t="shared" ca="1" si="244"/>
        <v>0</v>
      </c>
      <c r="BC98" s="1042">
        <f t="shared" ca="1" si="244"/>
        <v>0</v>
      </c>
      <c r="BD98" s="1042">
        <f t="shared" ca="1" si="244"/>
        <v>0</v>
      </c>
      <c r="BE98" s="1042">
        <f t="shared" ca="1" si="244"/>
        <v>0</v>
      </c>
      <c r="BF98" s="1012">
        <f ca="1">SUM(AM98:BE98)</f>
        <v>-0.4652</v>
      </c>
      <c r="BH98" s="1036">
        <f ca="1">IFERROR(INDEX(INDIRECT($C98&amp;".Outputs["&amp;this.Year&amp;"]"), MATCH(BH$5, INDIRECT($C98&amp;".Outputs[Vector]"), 0)), 0)</f>
        <v>0</v>
      </c>
      <c r="BI98" s="1036">
        <f ca="1">IFERROR(INDEX(INDIRECT($C98&amp;".Outputs["&amp;this.Year&amp;"]"), MATCH(BI$5, INDIRECT($C98&amp;".Outputs[Vector]"), 0)), 0)</f>
        <v>0</v>
      </c>
      <c r="BJ98" s="1035">
        <f ca="1">SUM(BH98:BI98)</f>
        <v>0</v>
      </c>
      <c r="BL98" s="814">
        <f ca="1">Q98+AK98+BF98+BJ98</f>
        <v>0</v>
      </c>
      <c r="BM98" s="814"/>
      <c r="BN98" s="840"/>
      <c r="BO98" s="1485">
        <f t="shared" ref="BO98:DF98" ca="1" si="245">IFERROR(SUMIFS(INDIRECT($C98&amp;".Emissions["&amp;this.Year&amp;"]"), INDIRECT($C98&amp;".Emissions[GHG]"), BO$6, INDIRECT($C98&amp;".Emissions[IPCC Sector]"), BO$5),0)</f>
        <v>0</v>
      </c>
      <c r="BP98" s="1486">
        <f t="shared" ca="1" si="245"/>
        <v>0</v>
      </c>
      <c r="BQ98" s="1486">
        <f t="shared" ca="1" si="245"/>
        <v>0</v>
      </c>
      <c r="BR98" s="1486">
        <f t="shared" ca="1" si="245"/>
        <v>0</v>
      </c>
      <c r="BS98" s="1486">
        <f t="shared" ca="1" si="245"/>
        <v>0</v>
      </c>
      <c r="BT98" s="1486">
        <f t="shared" ca="1" si="245"/>
        <v>0</v>
      </c>
      <c r="BU98" s="1486">
        <f t="shared" ca="1" si="245"/>
        <v>0</v>
      </c>
      <c r="BV98" s="1486">
        <f t="shared" ca="1" si="245"/>
        <v>0</v>
      </c>
      <c r="BW98" s="1486">
        <f t="shared" ca="1" si="245"/>
        <v>0</v>
      </c>
      <c r="BX98" s="1486">
        <f t="shared" ca="1" si="245"/>
        <v>0</v>
      </c>
      <c r="BY98" s="1486">
        <f t="shared" ca="1" si="245"/>
        <v>0</v>
      </c>
      <c r="BZ98" s="1486">
        <f t="shared" ca="1" si="245"/>
        <v>0</v>
      </c>
      <c r="CA98" s="1486">
        <f t="shared" ca="1" si="245"/>
        <v>0</v>
      </c>
      <c r="CB98" s="1486">
        <f t="shared" ca="1" si="245"/>
        <v>0</v>
      </c>
      <c r="CC98" s="1486">
        <f t="shared" ca="1" si="245"/>
        <v>0</v>
      </c>
      <c r="CD98" s="1486">
        <f t="shared" ca="1" si="245"/>
        <v>0</v>
      </c>
      <c r="CE98" s="1486">
        <f t="shared" ca="1" si="245"/>
        <v>0</v>
      </c>
      <c r="CF98" s="1486">
        <f t="shared" ca="1" si="245"/>
        <v>0</v>
      </c>
      <c r="CG98" s="1486">
        <f t="shared" ca="1" si="245"/>
        <v>0</v>
      </c>
      <c r="CH98" s="1486">
        <f t="shared" ca="1" si="245"/>
        <v>0</v>
      </c>
      <c r="CI98" s="1486">
        <f t="shared" ca="1" si="245"/>
        <v>0</v>
      </c>
      <c r="CJ98" s="1486">
        <f t="shared" ca="1" si="245"/>
        <v>0</v>
      </c>
      <c r="CK98" s="1486">
        <f t="shared" ca="1" si="245"/>
        <v>0</v>
      </c>
      <c r="CL98" s="1486">
        <f t="shared" ca="1" si="245"/>
        <v>0</v>
      </c>
      <c r="CM98" s="1486">
        <f t="shared" ca="1" si="245"/>
        <v>0</v>
      </c>
      <c r="CN98" s="1486">
        <f t="shared" ca="1" si="245"/>
        <v>0</v>
      </c>
      <c r="CO98" s="1486">
        <f t="shared" ca="1" si="245"/>
        <v>0</v>
      </c>
      <c r="CP98" s="1486">
        <f t="shared" ca="1" si="245"/>
        <v>0</v>
      </c>
      <c r="CQ98" s="1486">
        <f t="shared" ca="1" si="245"/>
        <v>0</v>
      </c>
      <c r="CR98" s="1486">
        <f t="shared" ca="1" si="245"/>
        <v>0</v>
      </c>
      <c r="CS98" s="1486">
        <f t="shared" ca="1" si="245"/>
        <v>0</v>
      </c>
      <c r="CT98" s="1486">
        <f t="shared" ca="1" si="245"/>
        <v>0</v>
      </c>
      <c r="CU98" s="1486">
        <f t="shared" ca="1" si="245"/>
        <v>0</v>
      </c>
      <c r="CV98" s="1486">
        <f t="shared" ca="1" si="245"/>
        <v>0</v>
      </c>
      <c r="CW98" s="1486">
        <f t="shared" ca="1" si="245"/>
        <v>0</v>
      </c>
      <c r="CX98" s="1486">
        <f t="shared" ca="1" si="245"/>
        <v>0</v>
      </c>
      <c r="CY98" s="1486">
        <f t="shared" ca="1" si="245"/>
        <v>-0.14594838604651161</v>
      </c>
      <c r="CZ98" s="1486">
        <f t="shared" ca="1" si="245"/>
        <v>0</v>
      </c>
      <c r="DA98" s="1486">
        <f t="shared" ca="1" si="245"/>
        <v>0</v>
      </c>
      <c r="DB98" s="1486">
        <f t="shared" ca="1" si="245"/>
        <v>0</v>
      </c>
      <c r="DC98" s="1486">
        <f t="shared" ca="1" si="245"/>
        <v>0</v>
      </c>
      <c r="DD98" s="1486">
        <f t="shared" ca="1" si="245"/>
        <v>0</v>
      </c>
      <c r="DE98" s="1486">
        <f t="shared" ca="1" si="245"/>
        <v>0</v>
      </c>
      <c r="DF98" s="1486">
        <f t="shared" ca="1" si="245"/>
        <v>0</v>
      </c>
      <c r="DH98" s="838">
        <f ca="1">SUM(BO98:DF98)</f>
        <v>-0.14594838604651161</v>
      </c>
    </row>
    <row r="99" spans="1:112" s="743" customFormat="1" ht="15.75" collapsed="1">
      <c r="A99" s="22"/>
      <c r="B99" s="753"/>
      <c r="C99" s="744" t="s">
        <v>671</v>
      </c>
      <c r="D99" s="517" t="str">
        <f>INDEX(Workstreams[Workstream], MATCH($C99, Workstreams[Code], 0))</f>
        <v>Bioenergy</v>
      </c>
      <c r="E99" s="512"/>
      <c r="G99" s="1021">
        <f ca="1">G$96+G98</f>
        <v>0</v>
      </c>
      <c r="H99" s="1021">
        <f t="shared" ref="H99:P99" ca="1" si="246">H$96+H98</f>
        <v>0</v>
      </c>
      <c r="I99" s="1021">
        <f t="shared" ca="1" si="246"/>
        <v>0</v>
      </c>
      <c r="J99" s="1021">
        <f t="shared" ca="1" si="246"/>
        <v>0</v>
      </c>
      <c r="K99" s="1021">
        <f t="shared" ca="1" si="246"/>
        <v>0</v>
      </c>
      <c r="L99" s="1021">
        <f t="shared" ca="1" si="246"/>
        <v>0</v>
      </c>
      <c r="M99" s="1021">
        <f t="shared" ca="1" si="246"/>
        <v>0</v>
      </c>
      <c r="N99" s="1021">
        <f t="shared" ca="1" si="246"/>
        <v>0</v>
      </c>
      <c r="O99" s="1021">
        <f t="shared" ca="1" si="246"/>
        <v>0</v>
      </c>
      <c r="P99" s="1021">
        <f t="shared" ca="1" si="246"/>
        <v>0</v>
      </c>
      <c r="Q99" s="1021">
        <f ca="1">SUM(G99:P99)</f>
        <v>0</v>
      </c>
      <c r="S99" s="970">
        <f t="shared" ref="S99:AJ99" ca="1" si="247">S$96+S98</f>
        <v>0</v>
      </c>
      <c r="T99" s="970">
        <f t="shared" ca="1" si="247"/>
        <v>0</v>
      </c>
      <c r="U99" s="970">
        <f t="shared" ca="1" si="247"/>
        <v>62.855648236744109</v>
      </c>
      <c r="V99" s="970">
        <f t="shared" ca="1" si="247"/>
        <v>44.612202888976981</v>
      </c>
      <c r="W99" s="970">
        <f t="shared" ca="1" si="247"/>
        <v>56.288544185014032</v>
      </c>
      <c r="X99" s="970">
        <f t="shared" ca="1" si="247"/>
        <v>0</v>
      </c>
      <c r="Y99" s="970">
        <f t="shared" ca="1" si="247"/>
        <v>0</v>
      </c>
      <c r="Z99" s="970">
        <f t="shared" ca="1" si="247"/>
        <v>0</v>
      </c>
      <c r="AA99" s="970">
        <f t="shared" ca="1" si="247"/>
        <v>0</v>
      </c>
      <c r="AB99" s="970">
        <f t="shared" ca="1" si="247"/>
        <v>0</v>
      </c>
      <c r="AC99" s="970">
        <f t="shared" ca="1" si="247"/>
        <v>0</v>
      </c>
      <c r="AD99" s="970">
        <f ca="1">AD$96+AD98</f>
        <v>-68.987497373024652</v>
      </c>
      <c r="AE99" s="970">
        <f ca="1">AE$96+AE98</f>
        <v>-1.6328504516407798</v>
      </c>
      <c r="AF99" s="970">
        <f t="shared" ca="1" si="247"/>
        <v>-69.271632407751852</v>
      </c>
      <c r="AG99" s="970">
        <f t="shared" ca="1" si="247"/>
        <v>-47.700051615122234</v>
      </c>
      <c r="AH99" s="970">
        <f ca="1">AH$96+AH98</f>
        <v>-18.128502892916249</v>
      </c>
      <c r="AI99" s="970">
        <f t="shared" ca="1" si="247"/>
        <v>0</v>
      </c>
      <c r="AJ99" s="970">
        <f t="shared" ca="1" si="247"/>
        <v>0</v>
      </c>
      <c r="AK99" s="970">
        <f ca="1">SUM(S99:AJ99)</f>
        <v>-41.964139429720646</v>
      </c>
      <c r="AM99" s="976">
        <f t="shared" ref="AM99:BE99" ca="1" si="248">AM$96+AM98</f>
        <v>0</v>
      </c>
      <c r="AN99" s="976">
        <f t="shared" ca="1" si="248"/>
        <v>0</v>
      </c>
      <c r="AO99" s="976">
        <f t="shared" ca="1" si="248"/>
        <v>0</v>
      </c>
      <c r="AP99" s="976">
        <f t="shared" ca="1" si="248"/>
        <v>-0.4652</v>
      </c>
      <c r="AQ99" s="976">
        <f t="shared" ca="1" si="248"/>
        <v>0</v>
      </c>
      <c r="AR99" s="976">
        <f t="shared" ca="1" si="248"/>
        <v>0</v>
      </c>
      <c r="AS99" s="976">
        <f t="shared" ca="1" si="248"/>
        <v>0</v>
      </c>
      <c r="AT99" s="976">
        <f t="shared" ca="1" si="248"/>
        <v>0</v>
      </c>
      <c r="AU99" s="976">
        <f t="shared" ca="1" si="248"/>
        <v>0</v>
      </c>
      <c r="AV99" s="976">
        <f t="shared" ca="1" si="248"/>
        <v>0</v>
      </c>
      <c r="AW99" s="976">
        <f t="shared" ca="1" si="248"/>
        <v>0</v>
      </c>
      <c r="AX99" s="976">
        <f t="shared" ca="1" si="248"/>
        <v>0</v>
      </c>
      <c r="AY99" s="976">
        <f t="shared" ca="1" si="248"/>
        <v>0</v>
      </c>
      <c r="AZ99" s="976">
        <f t="shared" ca="1" si="248"/>
        <v>0</v>
      </c>
      <c r="BA99" s="976">
        <f t="shared" ca="1" si="248"/>
        <v>0</v>
      </c>
      <c r="BB99" s="976">
        <f t="shared" ca="1" si="248"/>
        <v>0</v>
      </c>
      <c r="BC99" s="976">
        <f t="shared" ca="1" si="248"/>
        <v>0</v>
      </c>
      <c r="BD99" s="976">
        <f t="shared" ca="1" si="248"/>
        <v>0</v>
      </c>
      <c r="BE99" s="976">
        <f t="shared" ca="1" si="248"/>
        <v>0</v>
      </c>
      <c r="BF99" s="976">
        <f ca="1">SUM(AM99:BE99)</f>
        <v>-0.4652</v>
      </c>
      <c r="BH99" s="990">
        <f ca="1">BH$96+BH98</f>
        <v>42.42933942972067</v>
      </c>
      <c r="BI99" s="990">
        <f ca="1">BI$96+BI98</f>
        <v>0</v>
      </c>
      <c r="BJ99" s="990">
        <f ca="1">SUM(BH99:BI99)</f>
        <v>42.42933942972067</v>
      </c>
      <c r="BL99" s="515">
        <f ca="1">Q99+AK99+BF99+BJ99</f>
        <v>0</v>
      </c>
      <c r="BM99" s="515"/>
      <c r="BN99" s="840"/>
      <c r="BO99" s="1482">
        <f t="shared" ref="BO99:DF99" ca="1" si="249">BO$96+BO98</f>
        <v>0</v>
      </c>
      <c r="BP99" s="1482">
        <f t="shared" ca="1" si="249"/>
        <v>0</v>
      </c>
      <c r="BQ99" s="1482">
        <f t="shared" ca="1" si="249"/>
        <v>0</v>
      </c>
      <c r="BR99" s="1482">
        <f t="shared" ca="1" si="249"/>
        <v>0</v>
      </c>
      <c r="BS99" s="1482">
        <f t="shared" ca="1" si="249"/>
        <v>0</v>
      </c>
      <c r="BT99" s="1482">
        <f t="shared" ca="1" si="249"/>
        <v>0</v>
      </c>
      <c r="BU99" s="1482">
        <f t="shared" ca="1" si="249"/>
        <v>0</v>
      </c>
      <c r="BV99" s="1482">
        <f t="shared" ca="1" si="249"/>
        <v>0</v>
      </c>
      <c r="BW99" s="1482">
        <f t="shared" ca="1" si="249"/>
        <v>0</v>
      </c>
      <c r="BX99" s="1482">
        <f t="shared" ca="1" si="249"/>
        <v>0</v>
      </c>
      <c r="BY99" s="1482">
        <f t="shared" ca="1" si="249"/>
        <v>0</v>
      </c>
      <c r="BZ99" s="1482">
        <f t="shared" ca="1" si="249"/>
        <v>0</v>
      </c>
      <c r="CA99" s="1482">
        <f t="shared" ca="1" si="249"/>
        <v>0</v>
      </c>
      <c r="CB99" s="1482">
        <f t="shared" ca="1" si="249"/>
        <v>0</v>
      </c>
      <c r="CC99" s="1482">
        <f t="shared" ca="1" si="249"/>
        <v>0</v>
      </c>
      <c r="CD99" s="1482">
        <f t="shared" ca="1" si="249"/>
        <v>0</v>
      </c>
      <c r="CE99" s="1482">
        <f t="shared" ca="1" si="249"/>
        <v>0</v>
      </c>
      <c r="CF99" s="1482">
        <f t="shared" ca="1" si="249"/>
        <v>0</v>
      </c>
      <c r="CG99" s="1482">
        <f t="shared" ca="1" si="249"/>
        <v>0</v>
      </c>
      <c r="CH99" s="1482">
        <f t="shared" ca="1" si="249"/>
        <v>0</v>
      </c>
      <c r="CI99" s="1482">
        <f t="shared" ca="1" si="249"/>
        <v>0</v>
      </c>
      <c r="CJ99" s="1482">
        <f t="shared" ca="1" si="249"/>
        <v>0</v>
      </c>
      <c r="CK99" s="1482">
        <f t="shared" ca="1" si="249"/>
        <v>0</v>
      </c>
      <c r="CL99" s="1482">
        <f t="shared" ca="1" si="249"/>
        <v>0</v>
      </c>
      <c r="CM99" s="1482">
        <f t="shared" ca="1" si="249"/>
        <v>0</v>
      </c>
      <c r="CN99" s="1482">
        <f t="shared" ca="1" si="249"/>
        <v>0</v>
      </c>
      <c r="CO99" s="1482">
        <f t="shared" ca="1" si="249"/>
        <v>0</v>
      </c>
      <c r="CP99" s="1482">
        <f t="shared" ca="1" si="249"/>
        <v>0</v>
      </c>
      <c r="CQ99" s="1482">
        <f t="shared" ca="1" si="249"/>
        <v>0</v>
      </c>
      <c r="CR99" s="1482">
        <f t="shared" ca="1" si="249"/>
        <v>0</v>
      </c>
      <c r="CS99" s="1482">
        <f t="shared" ca="1" si="249"/>
        <v>0</v>
      </c>
      <c r="CT99" s="1482">
        <f t="shared" ca="1" si="249"/>
        <v>0</v>
      </c>
      <c r="CU99" s="1482">
        <f t="shared" ca="1" si="249"/>
        <v>0</v>
      </c>
      <c r="CV99" s="1482">
        <f t="shared" ca="1" si="249"/>
        <v>0</v>
      </c>
      <c r="CW99" s="1482">
        <f t="shared" ca="1" si="249"/>
        <v>0</v>
      </c>
      <c r="CX99" s="1482">
        <f t="shared" ca="1" si="249"/>
        <v>0</v>
      </c>
      <c r="CY99" s="1482">
        <f t="shared" ca="1" si="249"/>
        <v>-40.869682509204011</v>
      </c>
      <c r="CZ99" s="1482">
        <f t="shared" ca="1" si="249"/>
        <v>0</v>
      </c>
      <c r="DA99" s="1482">
        <f t="shared" ca="1" si="249"/>
        <v>0</v>
      </c>
      <c r="DB99" s="1482">
        <f t="shared" ca="1" si="249"/>
        <v>0</v>
      </c>
      <c r="DC99" s="1482">
        <f t="shared" ca="1" si="249"/>
        <v>0</v>
      </c>
      <c r="DD99" s="1482">
        <f t="shared" ca="1" si="249"/>
        <v>0</v>
      </c>
      <c r="DE99" s="1482">
        <f t="shared" ca="1" si="249"/>
        <v>0</v>
      </c>
      <c r="DF99" s="1482">
        <f t="shared" ca="1" si="249"/>
        <v>0</v>
      </c>
      <c r="DH99" s="838">
        <f t="shared" ca="1" si="235"/>
        <v>-40.869682509204011</v>
      </c>
    </row>
    <row r="100" spans="1:112" s="22" customFormat="1" ht="12.75" hidden="1" customHeight="1" outlineLevel="1">
      <c r="B100" s="753"/>
      <c r="C100" s="744"/>
      <c r="D100" s="517"/>
      <c r="E100" s="512"/>
      <c r="F100" s="743"/>
      <c r="G100" s="958"/>
      <c r="H100" s="958"/>
      <c r="I100" s="958"/>
      <c r="J100" s="958"/>
      <c r="K100" s="960"/>
      <c r="L100" s="958"/>
      <c r="M100" s="958"/>
      <c r="N100" s="958"/>
      <c r="O100" s="958"/>
      <c r="P100" s="958"/>
      <c r="Q100" s="1021"/>
      <c r="R100" s="743"/>
      <c r="S100" s="970"/>
      <c r="T100" s="970"/>
      <c r="U100" s="970"/>
      <c r="V100" s="970"/>
      <c r="W100" s="970"/>
      <c r="X100" s="970"/>
      <c r="Y100" s="970"/>
      <c r="Z100" s="970"/>
      <c r="AA100" s="970"/>
      <c r="AB100" s="970"/>
      <c r="AC100" s="970"/>
      <c r="AD100" s="970"/>
      <c r="AE100" s="970"/>
      <c r="AF100" s="970"/>
      <c r="AG100" s="970"/>
      <c r="AH100" s="970"/>
      <c r="AI100" s="970"/>
      <c r="AJ100" s="970"/>
      <c r="AK100" s="970"/>
      <c r="AL100" s="743"/>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743"/>
      <c r="BH100" s="990"/>
      <c r="BI100" s="990"/>
      <c r="BJ100" s="990"/>
      <c r="BK100" s="743"/>
      <c r="BL100" s="515"/>
      <c r="BM100" s="515"/>
      <c r="BO100" s="1482"/>
      <c r="BP100" s="1482"/>
      <c r="BQ100" s="1482"/>
      <c r="BR100" s="1482"/>
      <c r="BS100" s="1482"/>
      <c r="BT100" s="1482"/>
      <c r="BU100" s="1482"/>
      <c r="BV100" s="1482"/>
      <c r="BW100" s="1482"/>
      <c r="BX100" s="1482"/>
      <c r="BY100" s="1482"/>
      <c r="BZ100" s="1482"/>
      <c r="CA100" s="1482"/>
      <c r="CB100" s="1482"/>
      <c r="CC100" s="1482"/>
      <c r="CD100" s="1482"/>
      <c r="CE100" s="1482"/>
      <c r="CF100" s="1482"/>
      <c r="CG100" s="1482"/>
      <c r="CH100" s="1482"/>
      <c r="CI100" s="1482"/>
      <c r="CJ100" s="1482"/>
      <c r="CK100" s="1482"/>
      <c r="CL100" s="1482"/>
      <c r="CM100" s="1482"/>
      <c r="CN100" s="1482"/>
      <c r="CO100" s="1482"/>
      <c r="CP100" s="1482"/>
      <c r="CQ100" s="1482"/>
      <c r="CR100" s="1482"/>
      <c r="CS100" s="1482"/>
      <c r="CT100" s="1482"/>
      <c r="CU100" s="1482"/>
      <c r="CV100" s="1482"/>
      <c r="CW100" s="1482"/>
      <c r="CX100" s="1482"/>
      <c r="CY100" s="1482"/>
      <c r="CZ100" s="1482"/>
      <c r="DA100" s="1482"/>
      <c r="DB100" s="1482"/>
      <c r="DC100" s="1482"/>
      <c r="DD100" s="1482"/>
      <c r="DE100" s="1482"/>
      <c r="DF100" s="1482"/>
      <c r="DH100" s="838">
        <f t="shared" si="235"/>
        <v>0</v>
      </c>
    </row>
    <row r="101" spans="1:112" s="1488" customFormat="1" ht="12.75" hidden="1" customHeight="1" outlineLevel="1">
      <c r="C101" s="1048" t="s">
        <v>1725</v>
      </c>
      <c r="D101" s="851" t="s">
        <v>1224</v>
      </c>
      <c r="E101" s="851"/>
      <c r="G101" s="1070"/>
      <c r="H101" s="1070"/>
      <c r="I101" s="1070"/>
      <c r="J101" s="1070"/>
      <c r="K101" s="1071"/>
      <c r="L101" s="1070"/>
      <c r="M101" s="1070"/>
      <c r="N101" s="1070"/>
      <c r="O101" s="1070"/>
      <c r="P101" s="1070"/>
      <c r="Q101" s="1478"/>
      <c r="R101" s="1491"/>
      <c r="S101" s="1072">
        <f ca="1">(S$40+S$84+S$93+S$99)</f>
        <v>-435.71486302109327</v>
      </c>
      <c r="T101" s="1072">
        <f ca="1">(T$40+T$84+T$93+T$99)</f>
        <v>435.71486302109327</v>
      </c>
      <c r="U101" s="1072">
        <f ca="1">(U$40+U$84+U$93+U$99)</f>
        <v>-50.198129932566964</v>
      </c>
      <c r="V101" s="1072">
        <f ca="1">(V$40+V$84+V$93+V$99)</f>
        <v>-786.52173302619337</v>
      </c>
      <c r="W101" s="1072">
        <f ca="1">(W$40+W$84+W$93+W$99)</f>
        <v>-1693.2982927031776</v>
      </c>
      <c r="X101" s="1072"/>
      <c r="Y101" s="1072"/>
      <c r="Z101" s="1072"/>
      <c r="AA101" s="1072"/>
      <c r="AB101" s="1072"/>
      <c r="AC101" s="1072"/>
      <c r="AD101" s="1072"/>
      <c r="AE101" s="1072"/>
      <c r="AF101" s="1072"/>
      <c r="AG101" s="1072"/>
      <c r="AH101" s="1072"/>
      <c r="AI101" s="1072"/>
      <c r="AJ101" s="1072"/>
      <c r="AK101" s="1072"/>
      <c r="AL101" s="1491"/>
      <c r="AM101" s="1073"/>
      <c r="AN101" s="1073"/>
      <c r="AO101" s="1073"/>
      <c r="AP101" s="1073"/>
      <c r="AQ101" s="1073"/>
      <c r="AR101" s="1073"/>
      <c r="AS101" s="1073"/>
      <c r="AT101" s="1073"/>
      <c r="AU101" s="1073"/>
      <c r="AV101" s="1073"/>
      <c r="AW101" s="1073"/>
      <c r="AX101" s="1073"/>
      <c r="AY101" s="1073"/>
      <c r="AZ101" s="1073"/>
      <c r="BA101" s="1073"/>
      <c r="BB101" s="1073"/>
      <c r="BC101" s="1073"/>
      <c r="BD101" s="1073"/>
      <c r="BE101" s="1073"/>
      <c r="BF101" s="1073"/>
      <c r="BG101" s="1491"/>
      <c r="BH101" s="1074"/>
      <c r="BI101" s="1074"/>
      <c r="BJ101" s="1074"/>
      <c r="BL101" s="852"/>
      <c r="BM101" s="852"/>
      <c r="BO101" s="1490"/>
      <c r="BP101" s="1490"/>
      <c r="BQ101" s="1490"/>
      <c r="BR101" s="1490"/>
      <c r="BS101" s="1490"/>
      <c r="BT101" s="1490"/>
      <c r="BU101" s="1490"/>
      <c r="BV101" s="1490"/>
      <c r="BW101" s="1490"/>
      <c r="BX101" s="1490"/>
      <c r="BY101" s="1490"/>
      <c r="BZ101" s="1490"/>
      <c r="CA101" s="1490"/>
      <c r="CB101" s="1490"/>
      <c r="CC101" s="1490"/>
      <c r="CD101" s="1490"/>
      <c r="CE101" s="1490"/>
      <c r="CF101" s="1490"/>
      <c r="CG101" s="1490"/>
      <c r="CH101" s="1490"/>
      <c r="CI101" s="1490"/>
      <c r="CJ101" s="1490"/>
      <c r="CK101" s="1490"/>
      <c r="CL101" s="1490"/>
      <c r="CM101" s="1490"/>
      <c r="CN101" s="1490"/>
      <c r="CO101" s="1490"/>
      <c r="CP101" s="1490"/>
      <c r="CQ101" s="1490"/>
      <c r="CR101" s="1490"/>
      <c r="CS101" s="1490"/>
      <c r="CT101" s="1490"/>
      <c r="CU101" s="1490"/>
      <c r="CV101" s="1490"/>
      <c r="CW101" s="1490"/>
      <c r="CX101" s="1490"/>
      <c r="CY101" s="1490"/>
      <c r="CZ101" s="1490"/>
      <c r="DA101" s="1490"/>
      <c r="DB101" s="1490"/>
      <c r="DC101" s="1490"/>
      <c r="DD101" s="1490"/>
      <c r="DE101" s="1490"/>
      <c r="DF101" s="1490"/>
      <c r="DH101" s="838">
        <f t="shared" si="235"/>
        <v>0</v>
      </c>
    </row>
    <row r="102" spans="1:112" s="1484" customFormat="1" ht="12.75" hidden="1" customHeight="1" outlineLevel="1">
      <c r="B102" s="1492"/>
      <c r="C102" s="522" t="s">
        <v>1013</v>
      </c>
      <c r="D102" s="521" t="str">
        <f>INDEX(Modules[Module], MATCH($C102, Modules[Code], 0))</f>
        <v>Fossil fuel transfers</v>
      </c>
      <c r="E102" s="521"/>
      <c r="F102" s="743"/>
      <c r="G102" s="963">
        <f t="shared" ref="G102:P102" ca="1" si="250">IFERROR(INDEX(INDIRECT($C102&amp;".Outputs["&amp;this.Year&amp;"]"), MATCH(G$5, INDIRECT($C102&amp;".Outputs[Vector]"), 0)), 0)</f>
        <v>0</v>
      </c>
      <c r="H102" s="963">
        <f t="shared" ca="1" si="250"/>
        <v>0</v>
      </c>
      <c r="I102" s="963">
        <f t="shared" ca="1" si="250"/>
        <v>0</v>
      </c>
      <c r="J102" s="963">
        <f t="shared" ca="1" si="250"/>
        <v>0</v>
      </c>
      <c r="K102" s="964">
        <f t="shared" ca="1" si="250"/>
        <v>0</v>
      </c>
      <c r="L102" s="963">
        <f t="shared" ca="1" si="250"/>
        <v>0</v>
      </c>
      <c r="M102" s="963">
        <f t="shared" ca="1" si="250"/>
        <v>0</v>
      </c>
      <c r="N102" s="963">
        <f t="shared" ca="1" si="250"/>
        <v>0</v>
      </c>
      <c r="O102" s="963">
        <f t="shared" ca="1" si="250"/>
        <v>0</v>
      </c>
      <c r="P102" s="963">
        <f t="shared" ca="1" si="250"/>
        <v>0</v>
      </c>
      <c r="Q102" s="1096">
        <f ca="1">SUM(G102:P102)</f>
        <v>0</v>
      </c>
      <c r="R102" s="743"/>
      <c r="S102" s="972">
        <f t="shared" ref="S102:AJ102" ca="1" si="251">IFERROR(INDEX(INDIRECT($C102&amp;".Outputs["&amp;this.Year&amp;"]"), MATCH(S$5, INDIRECT($C102&amp;".Outputs[Vector]"), 0)), 0)</f>
        <v>0</v>
      </c>
      <c r="T102" s="972">
        <f t="shared" ca="1" si="251"/>
        <v>0</v>
      </c>
      <c r="U102" s="972">
        <f t="shared" ca="1" si="251"/>
        <v>50.198129932566964</v>
      </c>
      <c r="V102" s="972">
        <f t="shared" ca="1" si="251"/>
        <v>786.52173302619337</v>
      </c>
      <c r="W102" s="972">
        <f t="shared" ca="1" si="251"/>
        <v>1693.2982927031776</v>
      </c>
      <c r="X102" s="972">
        <f t="shared" ca="1" si="251"/>
        <v>-50.198129932566964</v>
      </c>
      <c r="Y102" s="972">
        <f t="shared" ca="1" si="251"/>
        <v>-786.52173302619337</v>
      </c>
      <c r="Z102" s="972">
        <f t="shared" ca="1" si="251"/>
        <v>-1712.8141656029861</v>
      </c>
      <c r="AA102" s="972">
        <f t="shared" ca="1" si="251"/>
        <v>0</v>
      </c>
      <c r="AB102" s="972">
        <f t="shared" ca="1" si="251"/>
        <v>0</v>
      </c>
      <c r="AC102" s="972">
        <f t="shared" ca="1" si="251"/>
        <v>0</v>
      </c>
      <c r="AD102" s="972">
        <f t="shared" ca="1" si="251"/>
        <v>0</v>
      </c>
      <c r="AE102" s="972">
        <f t="shared" ca="1" si="251"/>
        <v>0</v>
      </c>
      <c r="AF102" s="972">
        <f t="shared" ca="1" si="251"/>
        <v>0</v>
      </c>
      <c r="AG102" s="972">
        <f t="shared" ca="1" si="251"/>
        <v>0</v>
      </c>
      <c r="AH102" s="972">
        <f t="shared" ca="1" si="251"/>
        <v>0</v>
      </c>
      <c r="AI102" s="972">
        <f t="shared" ca="1" si="251"/>
        <v>0</v>
      </c>
      <c r="AJ102" s="972">
        <f t="shared" ca="1" si="251"/>
        <v>0</v>
      </c>
      <c r="AK102" s="972">
        <f ca="1">SUM(S102:AJ102)</f>
        <v>-19.515872899808528</v>
      </c>
      <c r="AL102" s="743"/>
      <c r="AM102" s="979">
        <f t="shared" ref="AM102:BE102" ca="1" si="252">IFERROR(INDEX(INDIRECT($C102&amp;".Outputs["&amp;this.Year&amp;"]"), MATCH(AM$5, INDIRECT($C102&amp;".Outputs[Vector]"), 0)), 0)</f>
        <v>0</v>
      </c>
      <c r="AN102" s="979">
        <f t="shared" ca="1" si="252"/>
        <v>0</v>
      </c>
      <c r="AO102" s="979">
        <f t="shared" ca="1" si="252"/>
        <v>0</v>
      </c>
      <c r="AP102" s="979">
        <f t="shared" ca="1" si="252"/>
        <v>0</v>
      </c>
      <c r="AQ102" s="979">
        <f t="shared" ca="1" si="252"/>
        <v>0</v>
      </c>
      <c r="AR102" s="979">
        <f t="shared" ca="1" si="252"/>
        <v>0</v>
      </c>
      <c r="AS102" s="979">
        <f t="shared" ca="1" si="252"/>
        <v>0</v>
      </c>
      <c r="AT102" s="979">
        <f t="shared" ca="1" si="252"/>
        <v>0</v>
      </c>
      <c r="AU102" s="979">
        <f t="shared" ca="1" si="252"/>
        <v>0</v>
      </c>
      <c r="AV102" s="979">
        <f t="shared" ca="1" si="252"/>
        <v>0</v>
      </c>
      <c r="AW102" s="979">
        <f t="shared" ca="1" si="252"/>
        <v>0</v>
      </c>
      <c r="AX102" s="979">
        <f t="shared" ca="1" si="252"/>
        <v>0</v>
      </c>
      <c r="AY102" s="979">
        <f t="shared" ca="1" si="252"/>
        <v>0</v>
      </c>
      <c r="AZ102" s="979">
        <f t="shared" ca="1" si="252"/>
        <v>0</v>
      </c>
      <c r="BA102" s="979">
        <f t="shared" ca="1" si="252"/>
        <v>0</v>
      </c>
      <c r="BB102" s="979">
        <f t="shared" ca="1" si="252"/>
        <v>0</v>
      </c>
      <c r="BC102" s="979">
        <f t="shared" ca="1" si="252"/>
        <v>0</v>
      </c>
      <c r="BD102" s="979">
        <f t="shared" ca="1" si="252"/>
        <v>0</v>
      </c>
      <c r="BE102" s="979">
        <f t="shared" ca="1" si="252"/>
        <v>0</v>
      </c>
      <c r="BF102" s="979">
        <f ca="1">SUM(AM102:BE102)</f>
        <v>0</v>
      </c>
      <c r="BG102" s="743"/>
      <c r="BH102" s="992">
        <f ca="1">IFERROR(INDEX(INDIRECT($C102&amp;".Outputs["&amp;this.Year&amp;"]"), MATCH(BH$5, INDIRECT($C102&amp;".Outputs[Vector]"), 0)), 0)</f>
        <v>0</v>
      </c>
      <c r="BI102" s="992">
        <f ca="1">IFERROR(INDEX(INDIRECT($C102&amp;".Outputs["&amp;this.Year&amp;"]"), MATCH(BI$5, INDIRECT($C102&amp;".Outputs[Vector]"), 0)), 0)</f>
        <v>19.515872899808492</v>
      </c>
      <c r="BJ102" s="992">
        <f ca="1">SUM(BH102:BI102)</f>
        <v>19.515872899808492</v>
      </c>
      <c r="BK102" s="743"/>
      <c r="BL102" s="515">
        <f t="shared" ref="BL102:BL109" ca="1" si="253">Q102+AK102+BF102+BJ102</f>
        <v>-3.5527136788005009E-14</v>
      </c>
      <c r="BM102" s="814"/>
      <c r="BO102" s="1481">
        <f t="shared" ref="BO102:BX103" ca="1" si="254">IFERROR(SUMIFS(INDIRECT($C102&amp;".Emissions["&amp;this.Year&amp;"]"), INDIRECT($C102&amp;".Emissions[GHG]"), BO$6, INDIRECT($C102&amp;".Emissions[IPCC Sector]"), BO$5),0)</f>
        <v>0</v>
      </c>
      <c r="BP102" s="1482">
        <f t="shared" ca="1" si="254"/>
        <v>0</v>
      </c>
      <c r="BQ102" s="1482">
        <f t="shared" ca="1" si="254"/>
        <v>0</v>
      </c>
      <c r="BR102" s="1482">
        <f t="shared" ca="1" si="254"/>
        <v>0</v>
      </c>
      <c r="BS102" s="1482">
        <f t="shared" ca="1" si="254"/>
        <v>0</v>
      </c>
      <c r="BT102" s="1482">
        <f t="shared" ca="1" si="254"/>
        <v>7.425286206852471</v>
      </c>
      <c r="BU102" s="1482">
        <f t="shared" ca="1" si="254"/>
        <v>0</v>
      </c>
      <c r="BV102" s="1482">
        <f t="shared" ca="1" si="254"/>
        <v>0</v>
      </c>
      <c r="BW102" s="1482">
        <f t="shared" ca="1" si="254"/>
        <v>0</v>
      </c>
      <c r="BX102" s="1482">
        <f t="shared" ca="1" si="254"/>
        <v>0</v>
      </c>
      <c r="BY102" s="1482">
        <f t="shared" ref="BY102:CH103" ca="1" si="255">IFERROR(SUMIFS(INDIRECT($C102&amp;".Emissions["&amp;this.Year&amp;"]"), INDIRECT($C102&amp;".Emissions[GHG]"), BY$6, INDIRECT($C102&amp;".Emissions[IPCC Sector]"), BY$5),0)</f>
        <v>0</v>
      </c>
      <c r="BZ102" s="1482">
        <f t="shared" ca="1" si="255"/>
        <v>0</v>
      </c>
      <c r="CA102" s="1482">
        <f t="shared" ca="1" si="255"/>
        <v>0</v>
      </c>
      <c r="CB102" s="1482">
        <f t="shared" ca="1" si="255"/>
        <v>0</v>
      </c>
      <c r="CC102" s="1482">
        <f t="shared" ca="1" si="255"/>
        <v>0</v>
      </c>
      <c r="CD102" s="1482">
        <f t="shared" ca="1" si="255"/>
        <v>0</v>
      </c>
      <c r="CE102" s="1482">
        <f t="shared" ca="1" si="255"/>
        <v>0</v>
      </c>
      <c r="CF102" s="1482">
        <f t="shared" ca="1" si="255"/>
        <v>0</v>
      </c>
      <c r="CG102" s="1482">
        <f t="shared" ca="1" si="255"/>
        <v>0</v>
      </c>
      <c r="CH102" s="1482">
        <f t="shared" ca="1" si="255"/>
        <v>0</v>
      </c>
      <c r="CI102" s="1482">
        <f t="shared" ref="CI102:CR103" ca="1" si="256">IFERROR(SUMIFS(INDIRECT($C102&amp;".Emissions["&amp;this.Year&amp;"]"), INDIRECT($C102&amp;".Emissions[GHG]"), CI$6, INDIRECT($C102&amp;".Emissions[IPCC Sector]"), CI$5),0)</f>
        <v>0</v>
      </c>
      <c r="CJ102" s="1482">
        <f t="shared" ca="1" si="256"/>
        <v>0</v>
      </c>
      <c r="CK102" s="1482">
        <f t="shared" ca="1" si="256"/>
        <v>0</v>
      </c>
      <c r="CL102" s="1482">
        <f t="shared" ca="1" si="256"/>
        <v>0</v>
      </c>
      <c r="CM102" s="1482">
        <f t="shared" ca="1" si="256"/>
        <v>0</v>
      </c>
      <c r="CN102" s="1482">
        <f t="shared" ca="1" si="256"/>
        <v>0</v>
      </c>
      <c r="CO102" s="1482">
        <f t="shared" ca="1" si="256"/>
        <v>0</v>
      </c>
      <c r="CP102" s="1482">
        <f t="shared" ca="1" si="256"/>
        <v>0</v>
      </c>
      <c r="CQ102" s="1482">
        <f t="shared" ca="1" si="256"/>
        <v>0</v>
      </c>
      <c r="CR102" s="1482">
        <f t="shared" ca="1" si="256"/>
        <v>0</v>
      </c>
      <c r="CS102" s="1482">
        <f t="shared" ref="CS102:DF103" ca="1" si="257">IFERROR(SUMIFS(INDIRECT($C102&amp;".Emissions["&amp;this.Year&amp;"]"), INDIRECT($C102&amp;".Emissions[GHG]"), CS$6, INDIRECT($C102&amp;".Emissions[IPCC Sector]"), CS$5),0)</f>
        <v>0</v>
      </c>
      <c r="CT102" s="1482">
        <f t="shared" ca="1" si="257"/>
        <v>0</v>
      </c>
      <c r="CU102" s="1482">
        <f t="shared" ca="1" si="257"/>
        <v>0</v>
      </c>
      <c r="CV102" s="1482">
        <f t="shared" ca="1" si="257"/>
        <v>0</v>
      </c>
      <c r="CW102" s="1482">
        <f t="shared" ca="1" si="257"/>
        <v>0</v>
      </c>
      <c r="CX102" s="1482">
        <f t="shared" ca="1" si="257"/>
        <v>0</v>
      </c>
      <c r="CY102" s="1482">
        <f t="shared" ca="1" si="257"/>
        <v>0</v>
      </c>
      <c r="CZ102" s="1482">
        <f t="shared" ca="1" si="257"/>
        <v>0</v>
      </c>
      <c r="DA102" s="1482">
        <f t="shared" ca="1" si="257"/>
        <v>0</v>
      </c>
      <c r="DB102" s="1482">
        <f t="shared" ca="1" si="257"/>
        <v>0</v>
      </c>
      <c r="DC102" s="1482">
        <f t="shared" ca="1" si="257"/>
        <v>0</v>
      </c>
      <c r="DD102" s="1482">
        <f t="shared" ca="1" si="257"/>
        <v>0</v>
      </c>
      <c r="DE102" s="1482">
        <f t="shared" ca="1" si="257"/>
        <v>0</v>
      </c>
      <c r="DF102" s="1482">
        <f t="shared" ca="1" si="257"/>
        <v>0</v>
      </c>
      <c r="DH102" s="838">
        <f t="shared" ca="1" si="235"/>
        <v>7.425286206852471</v>
      </c>
    </row>
    <row r="103" spans="1:112" s="1484" customFormat="1" ht="12.75" hidden="1" customHeight="1" outlineLevel="1">
      <c r="B103" s="1492" t="s">
        <v>798</v>
      </c>
      <c r="C103" s="522" t="s">
        <v>1014</v>
      </c>
      <c r="D103" s="1010" t="str">
        <f>INDEX(Modules[Module], MATCH($C103, Modules[Code], 0))</f>
        <v>Balancing imports</v>
      </c>
      <c r="E103" s="1010"/>
      <c r="F103" s="743"/>
      <c r="G103" s="1102"/>
      <c r="H103" s="1102"/>
      <c r="I103" s="1102"/>
      <c r="J103" s="1102"/>
      <c r="K103" s="1103"/>
      <c r="L103" s="1102"/>
      <c r="M103" s="1102"/>
      <c r="N103" s="1102"/>
      <c r="O103" s="1102"/>
      <c r="P103" s="1102"/>
      <c r="Q103" s="1104">
        <f>SUM(G103:P103)</f>
        <v>0</v>
      </c>
      <c r="R103" s="743"/>
      <c r="S103" s="1105"/>
      <c r="T103" s="1105">
        <f ca="1">-(T$101+S$101)</f>
        <v>0</v>
      </c>
      <c r="U103" s="1105"/>
      <c r="V103" s="1105"/>
      <c r="W103" s="1105"/>
      <c r="X103" s="1105">
        <f ca="1">-(X$40+X$84+X$93+X$99+X$102)</f>
        <v>-167.52946754146683</v>
      </c>
      <c r="Y103" s="1105">
        <f ca="1">-(Y$40+Y$84+Y$93+Y$99+Y$102)</f>
        <v>619.56289138631723</v>
      </c>
      <c r="Z103" s="1105">
        <f ca="1">-(Z$40+Z$84+Z$93+Z$99+Z$102)</f>
        <v>1584.9334976234286</v>
      </c>
      <c r="AA103" s="1105"/>
      <c r="AB103" s="1105"/>
      <c r="AC103" s="1105"/>
      <c r="AD103" s="1105"/>
      <c r="AE103" s="1105"/>
      <c r="AF103" s="1105"/>
      <c r="AG103" s="1105"/>
      <c r="AH103" s="1105"/>
      <c r="AI103" s="1105"/>
      <c r="AJ103" s="1105"/>
      <c r="AK103" s="1105">
        <f ca="1">SUM(S103:AJ103)</f>
        <v>2036.966921468279</v>
      </c>
      <c r="AL103" s="743"/>
      <c r="AM103" s="1012"/>
      <c r="AN103" s="1012"/>
      <c r="AO103" s="1012"/>
      <c r="AP103" s="1012"/>
      <c r="AQ103" s="1012">
        <f ca="1">-T103</f>
        <v>0</v>
      </c>
      <c r="AR103" s="1012">
        <f>-V103</f>
        <v>0</v>
      </c>
      <c r="AS103" s="1012">
        <f ca="1">-X103</f>
        <v>167.52946754146683</v>
      </c>
      <c r="AT103" s="1012">
        <f ca="1">-Y103</f>
        <v>-619.56289138631723</v>
      </c>
      <c r="AU103" s="1012">
        <f ca="1">-Z103</f>
        <v>-1584.9334976234286</v>
      </c>
      <c r="AV103" s="1012"/>
      <c r="AW103" s="1012"/>
      <c r="AX103" s="1012"/>
      <c r="AY103" s="1012"/>
      <c r="AZ103" s="1012"/>
      <c r="BA103" s="1012"/>
      <c r="BB103" s="1012"/>
      <c r="BC103" s="1012"/>
      <c r="BD103" s="1012"/>
      <c r="BE103" s="1012"/>
      <c r="BF103" s="1012">
        <f ca="1">SUM(AM103:BE103)</f>
        <v>-2036.966921468279</v>
      </c>
      <c r="BG103" s="743"/>
      <c r="BH103" s="1106"/>
      <c r="BI103" s="1106"/>
      <c r="BJ103" s="1106">
        <f>SUM(BH103:BI103)</f>
        <v>0</v>
      </c>
      <c r="BK103" s="743"/>
      <c r="BL103" s="515">
        <f t="shared" ca="1" si="253"/>
        <v>0</v>
      </c>
      <c r="BM103" s="814"/>
      <c r="BO103" s="1485">
        <f t="shared" ca="1" si="254"/>
        <v>0</v>
      </c>
      <c r="BP103" s="1486">
        <f t="shared" ca="1" si="254"/>
        <v>0</v>
      </c>
      <c r="BQ103" s="1486">
        <f t="shared" ca="1" si="254"/>
        <v>0</v>
      </c>
      <c r="BR103" s="1486">
        <f t="shared" ca="1" si="254"/>
        <v>0</v>
      </c>
      <c r="BS103" s="1486">
        <f t="shared" ca="1" si="254"/>
        <v>0</v>
      </c>
      <c r="BT103" s="1486">
        <f t="shared" ca="1" si="254"/>
        <v>0</v>
      </c>
      <c r="BU103" s="1486">
        <f t="shared" ca="1" si="254"/>
        <v>0</v>
      </c>
      <c r="BV103" s="1486">
        <f t="shared" ca="1" si="254"/>
        <v>0</v>
      </c>
      <c r="BW103" s="1486">
        <f t="shared" ca="1" si="254"/>
        <v>0</v>
      </c>
      <c r="BX103" s="1486">
        <f t="shared" ca="1" si="254"/>
        <v>0</v>
      </c>
      <c r="BY103" s="1486">
        <f t="shared" ca="1" si="255"/>
        <v>0</v>
      </c>
      <c r="BZ103" s="1486">
        <f t="shared" ca="1" si="255"/>
        <v>0</v>
      </c>
      <c r="CA103" s="1486">
        <f t="shared" ca="1" si="255"/>
        <v>0</v>
      </c>
      <c r="CB103" s="1486">
        <f t="shared" ca="1" si="255"/>
        <v>0</v>
      </c>
      <c r="CC103" s="1486">
        <f t="shared" ca="1" si="255"/>
        <v>0</v>
      </c>
      <c r="CD103" s="1486">
        <f t="shared" ca="1" si="255"/>
        <v>0</v>
      </c>
      <c r="CE103" s="1486">
        <f t="shared" ca="1" si="255"/>
        <v>0</v>
      </c>
      <c r="CF103" s="1486">
        <f t="shared" ca="1" si="255"/>
        <v>0</v>
      </c>
      <c r="CG103" s="1486">
        <f t="shared" ca="1" si="255"/>
        <v>0</v>
      </c>
      <c r="CH103" s="1486">
        <f t="shared" ca="1" si="255"/>
        <v>0</v>
      </c>
      <c r="CI103" s="1486">
        <f t="shared" ca="1" si="256"/>
        <v>0</v>
      </c>
      <c r="CJ103" s="1486">
        <f t="shared" ca="1" si="256"/>
        <v>0</v>
      </c>
      <c r="CK103" s="1486">
        <f t="shared" ca="1" si="256"/>
        <v>0</v>
      </c>
      <c r="CL103" s="1486">
        <f t="shared" ca="1" si="256"/>
        <v>0</v>
      </c>
      <c r="CM103" s="1486">
        <f t="shared" ca="1" si="256"/>
        <v>0</v>
      </c>
      <c r="CN103" s="1486">
        <f t="shared" ca="1" si="256"/>
        <v>0</v>
      </c>
      <c r="CO103" s="1486">
        <f t="shared" ca="1" si="256"/>
        <v>0</v>
      </c>
      <c r="CP103" s="1486">
        <f t="shared" ca="1" si="256"/>
        <v>0</v>
      </c>
      <c r="CQ103" s="1486">
        <f t="shared" ca="1" si="256"/>
        <v>0</v>
      </c>
      <c r="CR103" s="1486">
        <f t="shared" ca="1" si="256"/>
        <v>0</v>
      </c>
      <c r="CS103" s="1486">
        <f t="shared" ca="1" si="257"/>
        <v>0</v>
      </c>
      <c r="CT103" s="1486">
        <f t="shared" ca="1" si="257"/>
        <v>0</v>
      </c>
      <c r="CU103" s="1486">
        <f t="shared" ca="1" si="257"/>
        <v>0</v>
      </c>
      <c r="CV103" s="1486">
        <f t="shared" ca="1" si="257"/>
        <v>0</v>
      </c>
      <c r="CW103" s="1486">
        <f t="shared" ca="1" si="257"/>
        <v>0</v>
      </c>
      <c r="CX103" s="1486">
        <f t="shared" ca="1" si="257"/>
        <v>0</v>
      </c>
      <c r="CY103" s="1486">
        <f t="shared" ca="1" si="257"/>
        <v>0</v>
      </c>
      <c r="CZ103" s="1486">
        <f t="shared" ca="1" si="257"/>
        <v>0</v>
      </c>
      <c r="DA103" s="1486">
        <f t="shared" ca="1" si="257"/>
        <v>0</v>
      </c>
      <c r="DB103" s="1486">
        <f t="shared" ca="1" si="257"/>
        <v>0</v>
      </c>
      <c r="DC103" s="1486">
        <f t="shared" ca="1" si="257"/>
        <v>0</v>
      </c>
      <c r="DD103" s="1486">
        <f t="shared" ca="1" si="257"/>
        <v>0</v>
      </c>
      <c r="DE103" s="1486">
        <f t="shared" ca="1" si="257"/>
        <v>0</v>
      </c>
      <c r="DF103" s="1486">
        <f t="shared" ca="1" si="257"/>
        <v>0</v>
      </c>
      <c r="DH103" s="838">
        <f t="shared" ca="1" si="235"/>
        <v>0</v>
      </c>
    </row>
    <row r="104" spans="1:112" s="743" customFormat="1" ht="15.75" collapsed="1">
      <c r="B104" s="753" t="s">
        <v>798</v>
      </c>
      <c r="C104" s="516" t="s">
        <v>1012</v>
      </c>
      <c r="D104" s="517" t="str">
        <f>INDEX(Workstreams[Workstream], MATCH($C104, Workstreams[Code], 0))</f>
        <v>Transfers</v>
      </c>
      <c r="E104" s="509"/>
      <c r="G104" s="1021">
        <f ca="1">SUM(G102:G103)</f>
        <v>0</v>
      </c>
      <c r="H104" s="1021">
        <f t="shared" ref="H104:P104" ca="1" si="258">SUM(H102:H103)</f>
        <v>0</v>
      </c>
      <c r="I104" s="1021">
        <f t="shared" ca="1" si="258"/>
        <v>0</v>
      </c>
      <c r="J104" s="1021">
        <f t="shared" ca="1" si="258"/>
        <v>0</v>
      </c>
      <c r="K104" s="1021">
        <f t="shared" ca="1" si="258"/>
        <v>0</v>
      </c>
      <c r="L104" s="1021">
        <f t="shared" ca="1" si="258"/>
        <v>0</v>
      </c>
      <c r="M104" s="1021">
        <f t="shared" ca="1" si="258"/>
        <v>0</v>
      </c>
      <c r="N104" s="1021">
        <f t="shared" ca="1" si="258"/>
        <v>0</v>
      </c>
      <c r="O104" s="1021">
        <f t="shared" ca="1" si="258"/>
        <v>0</v>
      </c>
      <c r="P104" s="1021">
        <f t="shared" ca="1" si="258"/>
        <v>0</v>
      </c>
      <c r="Q104" s="1021">
        <f ca="1">SUM(G104:P104)</f>
        <v>0</v>
      </c>
      <c r="S104" s="970">
        <f t="shared" ref="S104:AJ104" ca="1" si="259">SUM(S102:S103)</f>
        <v>0</v>
      </c>
      <c r="T104" s="970">
        <f t="shared" ca="1" si="259"/>
        <v>0</v>
      </c>
      <c r="U104" s="970">
        <f t="shared" ca="1" si="259"/>
        <v>50.198129932566964</v>
      </c>
      <c r="V104" s="970">
        <f t="shared" ca="1" si="259"/>
        <v>786.52173302619337</v>
      </c>
      <c r="W104" s="970">
        <f t="shared" ca="1" si="259"/>
        <v>1693.2982927031776</v>
      </c>
      <c r="X104" s="970">
        <f t="shared" ca="1" si="259"/>
        <v>-217.72759747403379</v>
      </c>
      <c r="Y104" s="970">
        <f t="shared" ca="1" si="259"/>
        <v>-166.95884163987614</v>
      </c>
      <c r="Z104" s="970">
        <f t="shared" ca="1" si="259"/>
        <v>-127.88066797955753</v>
      </c>
      <c r="AA104" s="970">
        <f t="shared" ca="1" si="259"/>
        <v>0</v>
      </c>
      <c r="AB104" s="970">
        <f t="shared" ca="1" si="259"/>
        <v>0</v>
      </c>
      <c r="AC104" s="970">
        <f t="shared" ca="1" si="259"/>
        <v>0</v>
      </c>
      <c r="AD104" s="970">
        <f ca="1">SUM(AD102:AD103)</f>
        <v>0</v>
      </c>
      <c r="AE104" s="970">
        <f ca="1">SUM(AE102:AE103)</f>
        <v>0</v>
      </c>
      <c r="AF104" s="970">
        <f t="shared" ca="1" si="259"/>
        <v>0</v>
      </c>
      <c r="AG104" s="970">
        <f ca="1">SUM(AG102:AG103)</f>
        <v>0</v>
      </c>
      <c r="AH104" s="970">
        <f ca="1">SUM(AH102:AH103)</f>
        <v>0</v>
      </c>
      <c r="AI104" s="970">
        <f ca="1">SUM(AI102:AI103)</f>
        <v>0</v>
      </c>
      <c r="AJ104" s="970">
        <f t="shared" ca="1" si="259"/>
        <v>0</v>
      </c>
      <c r="AK104" s="970">
        <f ca="1">SUM(S104:AJ104)</f>
        <v>2017.4510485684709</v>
      </c>
      <c r="AM104" s="976">
        <f t="shared" ref="AM104:BE104" ca="1" si="260">SUM(AM102:AM103)</f>
        <v>0</v>
      </c>
      <c r="AN104" s="976">
        <f t="shared" ca="1" si="260"/>
        <v>0</v>
      </c>
      <c r="AO104" s="976">
        <f t="shared" ca="1" si="260"/>
        <v>0</v>
      </c>
      <c r="AP104" s="976">
        <f t="shared" ca="1" si="260"/>
        <v>0</v>
      </c>
      <c r="AQ104" s="976">
        <f t="shared" ca="1" si="260"/>
        <v>0</v>
      </c>
      <c r="AR104" s="976">
        <f t="shared" ca="1" si="260"/>
        <v>0</v>
      </c>
      <c r="AS104" s="976">
        <f t="shared" ca="1" si="260"/>
        <v>167.52946754146683</v>
      </c>
      <c r="AT104" s="976">
        <f t="shared" ca="1" si="260"/>
        <v>-619.56289138631723</v>
      </c>
      <c r="AU104" s="976">
        <f t="shared" ca="1" si="260"/>
        <v>-1584.9334976234286</v>
      </c>
      <c r="AV104" s="976">
        <f t="shared" ca="1" si="260"/>
        <v>0</v>
      </c>
      <c r="AW104" s="976">
        <f t="shared" ca="1" si="260"/>
        <v>0</v>
      </c>
      <c r="AX104" s="976">
        <f t="shared" ca="1" si="260"/>
        <v>0</v>
      </c>
      <c r="AY104" s="976">
        <f t="shared" ca="1" si="260"/>
        <v>0</v>
      </c>
      <c r="AZ104" s="976">
        <f t="shared" ca="1" si="260"/>
        <v>0</v>
      </c>
      <c r="BA104" s="976">
        <f t="shared" ca="1" si="260"/>
        <v>0</v>
      </c>
      <c r="BB104" s="976">
        <f t="shared" ca="1" si="260"/>
        <v>0</v>
      </c>
      <c r="BC104" s="976">
        <f t="shared" ca="1" si="260"/>
        <v>0</v>
      </c>
      <c r="BD104" s="976">
        <f t="shared" ca="1" si="260"/>
        <v>0</v>
      </c>
      <c r="BE104" s="976">
        <f t="shared" ca="1" si="260"/>
        <v>0</v>
      </c>
      <c r="BF104" s="976">
        <f ca="1">SUM(AM104:BE104)</f>
        <v>-2036.966921468279</v>
      </c>
      <c r="BH104" s="990">
        <f ca="1">SUM(BH102:BH103)</f>
        <v>0</v>
      </c>
      <c r="BI104" s="990">
        <f ca="1">SUM(BI102:BI103)</f>
        <v>19.515872899808492</v>
      </c>
      <c r="BJ104" s="990">
        <f ca="1">SUM(BH104:BI104)</f>
        <v>19.515872899808492</v>
      </c>
      <c r="BL104" s="515">
        <f t="shared" ca="1" si="253"/>
        <v>4.1922021409845911E-13</v>
      </c>
      <c r="BM104" s="515"/>
      <c r="BN104" s="840"/>
      <c r="BO104" s="1482">
        <f t="shared" ref="BO104:DF104" ca="1" si="261">SUM(BO102:BO103)</f>
        <v>0</v>
      </c>
      <c r="BP104" s="1482">
        <f t="shared" ca="1" si="261"/>
        <v>0</v>
      </c>
      <c r="BQ104" s="1482">
        <f t="shared" ca="1" si="261"/>
        <v>0</v>
      </c>
      <c r="BR104" s="1482">
        <f t="shared" ca="1" si="261"/>
        <v>0</v>
      </c>
      <c r="BS104" s="1482">
        <f t="shared" ca="1" si="261"/>
        <v>0</v>
      </c>
      <c r="BT104" s="1482">
        <f t="shared" ca="1" si="261"/>
        <v>7.425286206852471</v>
      </c>
      <c r="BU104" s="1482">
        <f t="shared" ca="1" si="261"/>
        <v>0</v>
      </c>
      <c r="BV104" s="1482">
        <f t="shared" ca="1" si="261"/>
        <v>0</v>
      </c>
      <c r="BW104" s="1482">
        <f t="shared" ca="1" si="261"/>
        <v>0</v>
      </c>
      <c r="BX104" s="1482">
        <f t="shared" ca="1" si="261"/>
        <v>0</v>
      </c>
      <c r="BY104" s="1482">
        <f t="shared" ca="1" si="261"/>
        <v>0</v>
      </c>
      <c r="BZ104" s="1482">
        <f t="shared" ca="1" si="261"/>
        <v>0</v>
      </c>
      <c r="CA104" s="1482">
        <f t="shared" ca="1" si="261"/>
        <v>0</v>
      </c>
      <c r="CB104" s="1482">
        <f t="shared" ca="1" si="261"/>
        <v>0</v>
      </c>
      <c r="CC104" s="1482">
        <f t="shared" ca="1" si="261"/>
        <v>0</v>
      </c>
      <c r="CD104" s="1482">
        <f t="shared" ca="1" si="261"/>
        <v>0</v>
      </c>
      <c r="CE104" s="1482">
        <f t="shared" ca="1" si="261"/>
        <v>0</v>
      </c>
      <c r="CF104" s="1482">
        <f t="shared" ca="1" si="261"/>
        <v>0</v>
      </c>
      <c r="CG104" s="1482">
        <f t="shared" ca="1" si="261"/>
        <v>0</v>
      </c>
      <c r="CH104" s="1482">
        <f t="shared" ca="1" si="261"/>
        <v>0</v>
      </c>
      <c r="CI104" s="1482">
        <f t="shared" ca="1" si="261"/>
        <v>0</v>
      </c>
      <c r="CJ104" s="1482">
        <f t="shared" ca="1" si="261"/>
        <v>0</v>
      </c>
      <c r="CK104" s="1482">
        <f t="shared" ca="1" si="261"/>
        <v>0</v>
      </c>
      <c r="CL104" s="1482">
        <f t="shared" ca="1" si="261"/>
        <v>0</v>
      </c>
      <c r="CM104" s="1482">
        <f t="shared" ca="1" si="261"/>
        <v>0</v>
      </c>
      <c r="CN104" s="1482">
        <f t="shared" ca="1" si="261"/>
        <v>0</v>
      </c>
      <c r="CO104" s="1482">
        <f t="shared" ca="1" si="261"/>
        <v>0</v>
      </c>
      <c r="CP104" s="1482">
        <f t="shared" ca="1" si="261"/>
        <v>0</v>
      </c>
      <c r="CQ104" s="1482">
        <f t="shared" ca="1" si="261"/>
        <v>0</v>
      </c>
      <c r="CR104" s="1482">
        <f t="shared" ca="1" si="261"/>
        <v>0</v>
      </c>
      <c r="CS104" s="1482">
        <f t="shared" ca="1" si="261"/>
        <v>0</v>
      </c>
      <c r="CT104" s="1482">
        <f t="shared" ca="1" si="261"/>
        <v>0</v>
      </c>
      <c r="CU104" s="1482">
        <f t="shared" ca="1" si="261"/>
        <v>0</v>
      </c>
      <c r="CV104" s="1482">
        <f t="shared" ca="1" si="261"/>
        <v>0</v>
      </c>
      <c r="CW104" s="1482">
        <f t="shared" ca="1" si="261"/>
        <v>0</v>
      </c>
      <c r="CX104" s="1482">
        <f t="shared" ca="1" si="261"/>
        <v>0</v>
      </c>
      <c r="CY104" s="1482">
        <f t="shared" ca="1" si="261"/>
        <v>0</v>
      </c>
      <c r="CZ104" s="1482">
        <f t="shared" ca="1" si="261"/>
        <v>0</v>
      </c>
      <c r="DA104" s="1482">
        <f t="shared" ca="1" si="261"/>
        <v>0</v>
      </c>
      <c r="DB104" s="1482">
        <f t="shared" ca="1" si="261"/>
        <v>0</v>
      </c>
      <c r="DC104" s="1482">
        <f t="shared" ca="1" si="261"/>
        <v>0</v>
      </c>
      <c r="DD104" s="1482">
        <f t="shared" ca="1" si="261"/>
        <v>0</v>
      </c>
      <c r="DE104" s="1482">
        <f t="shared" ca="1" si="261"/>
        <v>0</v>
      </c>
      <c r="DF104" s="1482">
        <f t="shared" ca="1" si="261"/>
        <v>0</v>
      </c>
      <c r="DH104" s="838">
        <f t="shared" ca="1" si="235"/>
        <v>7.425286206852471</v>
      </c>
    </row>
    <row r="105" spans="1:112" s="743" customFormat="1" ht="6" customHeight="1">
      <c r="C105" s="508"/>
      <c r="D105" s="509"/>
      <c r="E105" s="509"/>
      <c r="G105" s="958"/>
      <c r="H105" s="958"/>
      <c r="I105" s="958"/>
      <c r="J105" s="958"/>
      <c r="K105" s="960"/>
      <c r="L105" s="958"/>
      <c r="M105" s="958"/>
      <c r="N105" s="958"/>
      <c r="O105" s="958"/>
      <c r="P105" s="958"/>
      <c r="Q105" s="958"/>
      <c r="S105" s="970"/>
      <c r="T105" s="970"/>
      <c r="U105" s="970"/>
      <c r="V105" s="970"/>
      <c r="W105" s="970"/>
      <c r="X105" s="970"/>
      <c r="Y105" s="970"/>
      <c r="Z105" s="970"/>
      <c r="AA105" s="970"/>
      <c r="AB105" s="970"/>
      <c r="AC105" s="970"/>
      <c r="AD105" s="970"/>
      <c r="AE105" s="970"/>
      <c r="AF105" s="970"/>
      <c r="AG105" s="970"/>
      <c r="AH105" s="970"/>
      <c r="AI105" s="970"/>
      <c r="AJ105" s="970"/>
      <c r="AK105" s="970"/>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H105" s="990"/>
      <c r="BI105" s="990"/>
      <c r="BJ105" s="990"/>
      <c r="BL105" s="515">
        <f t="shared" si="253"/>
        <v>0</v>
      </c>
      <c r="BM105" s="515"/>
      <c r="BO105" s="1482"/>
      <c r="BP105" s="1482"/>
      <c r="BQ105" s="1482"/>
      <c r="BR105" s="1482"/>
      <c r="BS105" s="1482"/>
      <c r="BT105" s="1482"/>
      <c r="BU105" s="1482"/>
      <c r="BV105" s="1482"/>
      <c r="BW105" s="1482"/>
      <c r="BX105" s="1482"/>
      <c r="BY105" s="1482"/>
      <c r="BZ105" s="1482"/>
      <c r="CA105" s="1482"/>
      <c r="CB105" s="1482"/>
      <c r="CC105" s="1482"/>
      <c r="CD105" s="1482"/>
      <c r="CE105" s="1482"/>
      <c r="CF105" s="1482"/>
      <c r="CG105" s="1482"/>
      <c r="CH105" s="1482"/>
      <c r="CI105" s="1482"/>
      <c r="CJ105" s="1482"/>
      <c r="CK105" s="1482"/>
      <c r="CL105" s="1482"/>
      <c r="CM105" s="1482"/>
      <c r="CN105" s="1482"/>
      <c r="CO105" s="1482"/>
      <c r="CP105" s="1482"/>
      <c r="CQ105" s="1482"/>
      <c r="CR105" s="1482"/>
      <c r="CS105" s="1482"/>
      <c r="CT105" s="1482"/>
      <c r="CU105" s="1482"/>
      <c r="CV105" s="1482"/>
      <c r="CW105" s="1482"/>
      <c r="CX105" s="1482"/>
      <c r="CY105" s="1482"/>
      <c r="CZ105" s="1482"/>
      <c r="DA105" s="1482"/>
      <c r="DB105" s="1482"/>
      <c r="DC105" s="1482"/>
      <c r="DD105" s="1482"/>
      <c r="DE105" s="1482"/>
      <c r="DF105" s="1482"/>
      <c r="DH105" s="838"/>
    </row>
    <row r="106" spans="1:112" s="743" customFormat="1" ht="15.75">
      <c r="B106" s="753"/>
      <c r="C106" s="2051" t="s">
        <v>1817</v>
      </c>
      <c r="D106" s="643" t="s">
        <v>1016</v>
      </c>
      <c r="E106" s="644"/>
      <c r="G106" s="1075">
        <f t="shared" ref="G106:P106" ca="1" si="262">G$93+G$99+G$104</f>
        <v>0</v>
      </c>
      <c r="H106" s="1075">
        <f t="shared" ca="1" si="262"/>
        <v>0</v>
      </c>
      <c r="I106" s="1075">
        <f t="shared" ca="1" si="262"/>
        <v>0</v>
      </c>
      <c r="J106" s="1075">
        <f t="shared" ca="1" si="262"/>
        <v>0</v>
      </c>
      <c r="K106" s="1076">
        <f t="shared" ca="1" si="262"/>
        <v>0</v>
      </c>
      <c r="L106" s="1075">
        <f t="shared" ca="1" si="262"/>
        <v>0</v>
      </c>
      <c r="M106" s="1075">
        <f t="shared" ca="1" si="262"/>
        <v>0</v>
      </c>
      <c r="N106" s="1075">
        <f t="shared" ca="1" si="262"/>
        <v>0</v>
      </c>
      <c r="O106" s="1075">
        <f t="shared" ca="1" si="262"/>
        <v>0</v>
      </c>
      <c r="P106" s="1075">
        <f t="shared" ca="1" si="262"/>
        <v>0</v>
      </c>
      <c r="Q106" s="1023">
        <f ca="1">SUM(G106:P106)</f>
        <v>0</v>
      </c>
      <c r="S106" s="1014">
        <f t="shared" ref="S106:AJ106" ca="1" si="263">S$93+S$99+S$104</f>
        <v>0</v>
      </c>
      <c r="T106" s="1014">
        <f t="shared" ca="1" si="263"/>
        <v>-32.669824779507962</v>
      </c>
      <c r="U106" s="1014">
        <f t="shared" ca="1" si="263"/>
        <v>113.05377816931107</v>
      </c>
      <c r="V106" s="1014">
        <f t="shared" ca="1" si="263"/>
        <v>831.13393591517035</v>
      </c>
      <c r="W106" s="1014">
        <f t="shared" ca="1" si="263"/>
        <v>1749.5868368881916</v>
      </c>
      <c r="X106" s="1014">
        <f t="shared" ca="1" si="263"/>
        <v>-217.72759747403379</v>
      </c>
      <c r="Y106" s="1014">
        <f t="shared" ca="1" si="263"/>
        <v>-166.95884163987614</v>
      </c>
      <c r="Z106" s="1014">
        <f t="shared" ca="1" si="263"/>
        <v>-127.88066797955753</v>
      </c>
      <c r="AA106" s="1014">
        <f t="shared" ca="1" si="263"/>
        <v>0</v>
      </c>
      <c r="AB106" s="1014">
        <f t="shared" ca="1" si="263"/>
        <v>0</v>
      </c>
      <c r="AC106" s="1014">
        <f t="shared" ca="1" si="263"/>
        <v>0</v>
      </c>
      <c r="AD106" s="1014">
        <f t="shared" ca="1" si="263"/>
        <v>-68.987497373024652</v>
      </c>
      <c r="AE106" s="1014">
        <f t="shared" ca="1" si="263"/>
        <v>-1.6328504516407798</v>
      </c>
      <c r="AF106" s="1014">
        <f t="shared" ca="1" si="263"/>
        <v>-69.271632407751852</v>
      </c>
      <c r="AG106" s="1014">
        <f t="shared" ca="1" si="263"/>
        <v>-47.700051615122234</v>
      </c>
      <c r="AH106" s="1014">
        <f t="shared" ca="1" si="263"/>
        <v>-18.128502892916249</v>
      </c>
      <c r="AI106" s="1014">
        <f t="shared" ca="1" si="263"/>
        <v>0</v>
      </c>
      <c r="AJ106" s="1014">
        <f t="shared" ca="1" si="263"/>
        <v>0</v>
      </c>
      <c r="AK106" s="1014">
        <f ca="1">SUM(S106:AJ106)</f>
        <v>1942.8170843592416</v>
      </c>
      <c r="AM106" s="1015">
        <f t="shared" ref="AM106:BE106" ca="1" si="264">AM$93+AM$99+AM$104</f>
        <v>0</v>
      </c>
      <c r="AN106" s="1015">
        <f t="shared" ca="1" si="264"/>
        <v>0</v>
      </c>
      <c r="AO106" s="1015">
        <f t="shared" ca="1" si="264"/>
        <v>0</v>
      </c>
      <c r="AP106" s="1015">
        <f t="shared" ca="1" si="264"/>
        <v>-0.4652</v>
      </c>
      <c r="AQ106" s="1015">
        <f t="shared" ca="1" si="264"/>
        <v>0</v>
      </c>
      <c r="AR106" s="1015">
        <f t="shared" ca="1" si="264"/>
        <v>0</v>
      </c>
      <c r="AS106" s="1015">
        <f t="shared" ca="1" si="264"/>
        <v>167.52946754146683</v>
      </c>
      <c r="AT106" s="1015">
        <f t="shared" ca="1" si="264"/>
        <v>-619.56289138631723</v>
      </c>
      <c r="AU106" s="1015">
        <f t="shared" ca="1" si="264"/>
        <v>-1584.9334976234286</v>
      </c>
      <c r="AV106" s="1015">
        <f t="shared" ca="1" si="264"/>
        <v>0</v>
      </c>
      <c r="AW106" s="1015">
        <f t="shared" ca="1" si="264"/>
        <v>0</v>
      </c>
      <c r="AX106" s="1015">
        <f t="shared" ca="1" si="264"/>
        <v>0</v>
      </c>
      <c r="AY106" s="1015">
        <f t="shared" ca="1" si="264"/>
        <v>0</v>
      </c>
      <c r="AZ106" s="1015">
        <f t="shared" ca="1" si="264"/>
        <v>0</v>
      </c>
      <c r="BA106" s="1015">
        <f t="shared" ca="1" si="264"/>
        <v>0</v>
      </c>
      <c r="BB106" s="1015">
        <f t="shared" ca="1" si="264"/>
        <v>0</v>
      </c>
      <c r="BC106" s="1015">
        <f t="shared" ca="1" si="264"/>
        <v>0</v>
      </c>
      <c r="BD106" s="1015">
        <f t="shared" ca="1" si="264"/>
        <v>0</v>
      </c>
      <c r="BE106" s="1015">
        <f t="shared" ca="1" si="264"/>
        <v>0</v>
      </c>
      <c r="BF106" s="1015">
        <f ca="1">SUM(AM106:BE106)</f>
        <v>-2037.4321214682791</v>
      </c>
      <c r="BH106" s="1016">
        <f ca="1">BH$93+BH$99+BH$104</f>
        <v>42.42933942972067</v>
      </c>
      <c r="BI106" s="1016">
        <f ca="1">BI$93+BI$99+BI$104</f>
        <v>52.185697679316419</v>
      </c>
      <c r="BJ106" s="1016">
        <f ca="1">SUM(BH106:BI106)</f>
        <v>94.61503710903709</v>
      </c>
      <c r="BL106" s="518">
        <f t="shared" ca="1" si="253"/>
        <v>-4.4053649617126212E-13</v>
      </c>
      <c r="BM106" s="518"/>
      <c r="BO106" s="1487">
        <f t="shared" ref="BO106:DE106" ca="1" si="265">BO$93+BO$99+BO$104</f>
        <v>0</v>
      </c>
      <c r="BP106" s="1487">
        <f t="shared" ca="1" si="265"/>
        <v>0</v>
      </c>
      <c r="BQ106" s="1487">
        <f t="shared" ca="1" si="265"/>
        <v>0</v>
      </c>
      <c r="BR106" s="1487">
        <f t="shared" ca="1" si="265"/>
        <v>0</v>
      </c>
      <c r="BS106" s="1487">
        <f t="shared" ca="1" si="265"/>
        <v>0</v>
      </c>
      <c r="BT106" s="1487">
        <f t="shared" ca="1" si="265"/>
        <v>7.425286206852471</v>
      </c>
      <c r="BU106" s="1487">
        <f t="shared" ca="1" si="265"/>
        <v>0</v>
      </c>
      <c r="BV106" s="1487">
        <f t="shared" ca="1" si="265"/>
        <v>0</v>
      </c>
      <c r="BW106" s="1487">
        <f t="shared" ca="1" si="265"/>
        <v>0</v>
      </c>
      <c r="BX106" s="1487">
        <f t="shared" ca="1" si="265"/>
        <v>0</v>
      </c>
      <c r="BY106" s="1487">
        <f t="shared" ca="1" si="265"/>
        <v>0</v>
      </c>
      <c r="BZ106" s="1487">
        <f t="shared" ca="1" si="265"/>
        <v>0</v>
      </c>
      <c r="CA106" s="1487">
        <f t="shared" ca="1" si="265"/>
        <v>0</v>
      </c>
      <c r="CB106" s="1487">
        <f t="shared" ca="1" si="265"/>
        <v>0</v>
      </c>
      <c r="CC106" s="1487">
        <f t="shared" ca="1" si="265"/>
        <v>0</v>
      </c>
      <c r="CD106" s="1487">
        <f t="shared" ca="1" si="265"/>
        <v>0</v>
      </c>
      <c r="CE106" s="1487">
        <f t="shared" ca="1" si="265"/>
        <v>0</v>
      </c>
      <c r="CF106" s="1487">
        <f t="shared" ca="1" si="265"/>
        <v>0</v>
      </c>
      <c r="CG106" s="1487">
        <f t="shared" ca="1" si="265"/>
        <v>0</v>
      </c>
      <c r="CH106" s="1487">
        <f t="shared" ca="1" si="265"/>
        <v>0</v>
      </c>
      <c r="CI106" s="1487">
        <f t="shared" ca="1" si="265"/>
        <v>0</v>
      </c>
      <c r="CJ106" s="1487">
        <f t="shared" ca="1" si="265"/>
        <v>0</v>
      </c>
      <c r="CK106" s="1487">
        <f t="shared" ca="1" si="265"/>
        <v>0</v>
      </c>
      <c r="CL106" s="1487">
        <f t="shared" ca="1" si="265"/>
        <v>0</v>
      </c>
      <c r="CM106" s="1487">
        <f t="shared" ca="1" si="265"/>
        <v>0</v>
      </c>
      <c r="CN106" s="1487">
        <f t="shared" ca="1" si="265"/>
        <v>0</v>
      </c>
      <c r="CO106" s="1487">
        <f t="shared" ca="1" si="265"/>
        <v>0</v>
      </c>
      <c r="CP106" s="1487">
        <f t="shared" ca="1" si="265"/>
        <v>0</v>
      </c>
      <c r="CQ106" s="1487">
        <f t="shared" ca="1" si="265"/>
        <v>0</v>
      </c>
      <c r="CR106" s="1487">
        <f t="shared" ca="1" si="265"/>
        <v>0</v>
      </c>
      <c r="CS106" s="1487">
        <f t="shared" ca="1" si="265"/>
        <v>0</v>
      </c>
      <c r="CT106" s="1487">
        <f t="shared" ca="1" si="265"/>
        <v>0</v>
      </c>
      <c r="CU106" s="1487">
        <f t="shared" ca="1" si="265"/>
        <v>0</v>
      </c>
      <c r="CV106" s="1487">
        <f t="shared" ca="1" si="265"/>
        <v>0</v>
      </c>
      <c r="CW106" s="1487">
        <f t="shared" ca="1" si="265"/>
        <v>0</v>
      </c>
      <c r="CX106" s="1487">
        <f t="shared" ca="1" si="265"/>
        <v>0</v>
      </c>
      <c r="CY106" s="1487">
        <f t="shared" ca="1" si="265"/>
        <v>-40.869682509204011</v>
      </c>
      <c r="CZ106" s="1487">
        <f t="shared" ca="1" si="265"/>
        <v>0</v>
      </c>
      <c r="DA106" s="1487">
        <f t="shared" ca="1" si="265"/>
        <v>0</v>
      </c>
      <c r="DB106" s="1487">
        <f t="shared" ca="1" si="265"/>
        <v>0</v>
      </c>
      <c r="DC106" s="1487">
        <f t="shared" ca="1" si="265"/>
        <v>0</v>
      </c>
      <c r="DD106" s="1487">
        <f t="shared" ca="1" si="265"/>
        <v>0</v>
      </c>
      <c r="DE106" s="1487">
        <f t="shared" ca="1" si="265"/>
        <v>0</v>
      </c>
      <c r="DF106" s="1487">
        <f ca="1">DF$93+DF$104</f>
        <v>0</v>
      </c>
      <c r="DH106" s="835">
        <f ca="1">SUM(BO106:DF106)</f>
        <v>-33.444396302351542</v>
      </c>
    </row>
    <row r="107" spans="1:112" s="743" customFormat="1">
      <c r="C107" s="508"/>
      <c r="D107" s="509"/>
      <c r="E107" s="509"/>
      <c r="G107" s="958"/>
      <c r="H107" s="958"/>
      <c r="I107" s="958"/>
      <c r="J107" s="958"/>
      <c r="K107" s="960"/>
      <c r="L107" s="958"/>
      <c r="M107" s="958"/>
      <c r="N107" s="958"/>
      <c r="O107" s="958"/>
      <c r="P107" s="958"/>
      <c r="Q107" s="958"/>
      <c r="S107" s="970"/>
      <c r="T107" s="970"/>
      <c r="U107" s="970"/>
      <c r="V107" s="970"/>
      <c r="W107" s="970"/>
      <c r="X107" s="970"/>
      <c r="Y107" s="970"/>
      <c r="Z107" s="970"/>
      <c r="AA107" s="970"/>
      <c r="AB107" s="970"/>
      <c r="AC107" s="970"/>
      <c r="AD107" s="970"/>
      <c r="AE107" s="970"/>
      <c r="AF107" s="970"/>
      <c r="AG107" s="970"/>
      <c r="AH107" s="970"/>
      <c r="AI107" s="970"/>
      <c r="AJ107" s="970"/>
      <c r="AK107" s="970"/>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H107" s="990"/>
      <c r="BI107" s="990"/>
      <c r="BJ107" s="990"/>
      <c r="BL107" s="515">
        <f t="shared" si="253"/>
        <v>0</v>
      </c>
      <c r="BM107" s="515"/>
      <c r="BO107" s="1482"/>
      <c r="BP107" s="1482"/>
      <c r="BQ107" s="1482"/>
      <c r="BR107" s="1482"/>
      <c r="BS107" s="1482"/>
      <c r="BT107" s="1482"/>
      <c r="BU107" s="1482"/>
      <c r="BV107" s="1482"/>
      <c r="BW107" s="1482"/>
      <c r="BX107" s="1482"/>
      <c r="BY107" s="1482"/>
      <c r="BZ107" s="1482"/>
      <c r="CA107" s="1482"/>
      <c r="CB107" s="1482"/>
      <c r="CC107" s="1482"/>
      <c r="CD107" s="1482"/>
      <c r="CE107" s="1482"/>
      <c r="CF107" s="1482"/>
      <c r="CG107" s="1482"/>
      <c r="CH107" s="1482"/>
      <c r="CI107" s="1482"/>
      <c r="CJ107" s="1482"/>
      <c r="CK107" s="1482"/>
      <c r="CL107" s="1482"/>
      <c r="CM107" s="1482"/>
      <c r="CN107" s="1482"/>
      <c r="CO107" s="1482"/>
      <c r="CP107" s="1482"/>
      <c r="CQ107" s="1482"/>
      <c r="CR107" s="1482"/>
      <c r="CS107" s="1482"/>
      <c r="CT107" s="1482"/>
      <c r="CU107" s="1482"/>
      <c r="CV107" s="1482"/>
      <c r="CW107" s="1482"/>
      <c r="CX107" s="1482"/>
      <c r="CY107" s="1482"/>
      <c r="CZ107" s="1482"/>
      <c r="DA107" s="1482"/>
      <c r="DB107" s="1482"/>
      <c r="DC107" s="1482"/>
      <c r="DD107" s="1482"/>
      <c r="DE107" s="1482"/>
      <c r="DF107" s="1482"/>
      <c r="DH107" s="838"/>
    </row>
    <row r="108" spans="1:112" s="743" customFormat="1" ht="13.5" thickBot="1">
      <c r="C108" s="508"/>
      <c r="D108" s="509"/>
      <c r="E108" s="509"/>
      <c r="G108" s="958"/>
      <c r="H108" s="958"/>
      <c r="I108" s="958"/>
      <c r="J108" s="958"/>
      <c r="K108" s="960"/>
      <c r="L108" s="958"/>
      <c r="M108" s="958"/>
      <c r="N108" s="958"/>
      <c r="O108" s="958"/>
      <c r="P108" s="958"/>
      <c r="Q108" s="958"/>
      <c r="S108" s="970"/>
      <c r="T108" s="970"/>
      <c r="U108" s="970"/>
      <c r="V108" s="970"/>
      <c r="W108" s="970"/>
      <c r="X108" s="970"/>
      <c r="Y108" s="970"/>
      <c r="Z108" s="970"/>
      <c r="AA108" s="970"/>
      <c r="AB108" s="970"/>
      <c r="AC108" s="970"/>
      <c r="AD108" s="970"/>
      <c r="AE108" s="970"/>
      <c r="AF108" s="970"/>
      <c r="AG108" s="970"/>
      <c r="AH108" s="970"/>
      <c r="AI108" s="970"/>
      <c r="AJ108" s="970"/>
      <c r="AK108" s="970"/>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H108" s="990"/>
      <c r="BI108" s="990"/>
      <c r="BJ108" s="990"/>
      <c r="BL108" s="515">
        <f t="shared" si="253"/>
        <v>0</v>
      </c>
      <c r="BM108" s="515"/>
      <c r="BO108" s="1482"/>
      <c r="BP108" s="1482"/>
      <c r="BQ108" s="1482"/>
      <c r="BR108" s="1482"/>
      <c r="BS108" s="1482"/>
      <c r="BT108" s="1482"/>
      <c r="BU108" s="1482"/>
      <c r="BV108" s="1482"/>
      <c r="BW108" s="1482"/>
      <c r="BX108" s="1482"/>
      <c r="BY108" s="1482"/>
      <c r="BZ108" s="1482"/>
      <c r="CA108" s="1482"/>
      <c r="CB108" s="1482"/>
      <c r="CC108" s="1482"/>
      <c r="CD108" s="1482"/>
      <c r="CE108" s="1482"/>
      <c r="CF108" s="1482"/>
      <c r="CG108" s="1482"/>
      <c r="CH108" s="1482"/>
      <c r="CI108" s="1482"/>
      <c r="CJ108" s="1482"/>
      <c r="CK108" s="1482"/>
      <c r="CL108" s="1482"/>
      <c r="CM108" s="1482"/>
      <c r="CN108" s="1482"/>
      <c r="CO108" s="1482"/>
      <c r="CP108" s="1482"/>
      <c r="CQ108" s="1482"/>
      <c r="CR108" s="1482"/>
      <c r="CS108" s="1482"/>
      <c r="CT108" s="1482"/>
      <c r="CU108" s="1482"/>
      <c r="CV108" s="1482"/>
      <c r="CW108" s="1482"/>
      <c r="CX108" s="1482"/>
      <c r="CY108" s="1482"/>
      <c r="CZ108" s="1482"/>
      <c r="DA108" s="1482"/>
      <c r="DB108" s="1482"/>
      <c r="DC108" s="1482"/>
      <c r="DD108" s="1482"/>
      <c r="DE108" s="1482"/>
      <c r="DF108" s="1482"/>
      <c r="DH108" s="838"/>
    </row>
    <row r="109" spans="1:112" s="743" customFormat="1" ht="24" customHeight="1" thickBot="1">
      <c r="C109" s="608" t="s">
        <v>593</v>
      </c>
      <c r="D109" s="608"/>
      <c r="E109" s="608"/>
      <c r="G109" s="1098">
        <f t="shared" ref="G109:P109" ca="1" si="266">G$40+G$84+G$106</f>
        <v>732.17817493630173</v>
      </c>
      <c r="H109" s="1098">
        <f t="shared" ca="1" si="266"/>
        <v>207.74130210103971</v>
      </c>
      <c r="I109" s="1098">
        <f t="shared" ca="1" si="266"/>
        <v>478.57511077545985</v>
      </c>
      <c r="J109" s="1098">
        <f t="shared" ca="1" si="266"/>
        <v>339.5869111380855</v>
      </c>
      <c r="K109" s="1098">
        <f t="shared" ca="1" si="266"/>
        <v>14.894486251116774</v>
      </c>
      <c r="L109" s="1098">
        <f t="shared" ca="1" si="266"/>
        <v>14.344409418627478</v>
      </c>
      <c r="M109" s="1098">
        <f t="shared" ca="1" si="266"/>
        <v>22.788555765479813</v>
      </c>
      <c r="N109" s="1098">
        <f t="shared" ca="1" si="266"/>
        <v>209.1795176408344</v>
      </c>
      <c r="O109" s="1098">
        <f t="shared" ca="1" si="266"/>
        <v>109.26267678014634</v>
      </c>
      <c r="P109" s="1098">
        <f t="shared" ca="1" si="266"/>
        <v>0</v>
      </c>
      <c r="Q109" s="1098">
        <f ca="1">SUM(G109:P109)</f>
        <v>2128.5511448070915</v>
      </c>
      <c r="S109" s="1099">
        <f t="shared" ref="S109:AJ109" ca="1" si="267">S$40+S$84+S$106</f>
        <v>-435.71486302109327</v>
      </c>
      <c r="T109" s="1099">
        <f t="shared" ca="1" si="267"/>
        <v>435.71486302109327</v>
      </c>
      <c r="U109" s="1099">
        <f t="shared" ca="1" si="267"/>
        <v>0</v>
      </c>
      <c r="V109" s="1099">
        <f t="shared" ca="1" si="267"/>
        <v>0</v>
      </c>
      <c r="W109" s="1099">
        <f t="shared" ca="1" si="267"/>
        <v>0</v>
      </c>
      <c r="X109" s="1099">
        <f t="shared" ca="1" si="267"/>
        <v>0</v>
      </c>
      <c r="Y109" s="1099">
        <f t="shared" ca="1" si="267"/>
        <v>0</v>
      </c>
      <c r="Z109" s="1099">
        <f t="shared" ca="1" si="267"/>
        <v>0</v>
      </c>
      <c r="AA109" s="1099">
        <f t="shared" ca="1" si="267"/>
        <v>0</v>
      </c>
      <c r="AB109" s="1099">
        <f t="shared" ca="1" si="267"/>
        <v>-1.7763568394002505E-15</v>
      </c>
      <c r="AC109" s="1099">
        <f t="shared" ca="1" si="267"/>
        <v>0</v>
      </c>
      <c r="AD109" s="1099">
        <f t="shared" ca="1" si="267"/>
        <v>0</v>
      </c>
      <c r="AE109" s="1099">
        <f t="shared" ca="1" si="267"/>
        <v>0</v>
      </c>
      <c r="AF109" s="1099">
        <f t="shared" ca="1" si="267"/>
        <v>0</v>
      </c>
      <c r="AG109" s="1099">
        <f t="shared" ca="1" si="267"/>
        <v>0</v>
      </c>
      <c r="AH109" s="1099">
        <f t="shared" ca="1" si="267"/>
        <v>0</v>
      </c>
      <c r="AI109" s="1099">
        <f t="shared" ca="1" si="267"/>
        <v>0</v>
      </c>
      <c r="AJ109" s="1099">
        <f t="shared" ca="1" si="267"/>
        <v>0</v>
      </c>
      <c r="AK109" s="1099">
        <f ca="1">SUM(S109:AJ109)</f>
        <v>-1.7763568394002505E-15</v>
      </c>
      <c r="AM109" s="1100">
        <f t="shared" ref="AM109:BE109" ca="1" si="268">AM$40+AM$84+AM$106</f>
        <v>-124.39544583847987</v>
      </c>
      <c r="AN109" s="1100">
        <f t="shared" ca="1" si="268"/>
        <v>-166.95884163987617</v>
      </c>
      <c r="AO109" s="1100">
        <f t="shared" ca="1" si="268"/>
        <v>-127.88066797955751</v>
      </c>
      <c r="AP109" s="1100">
        <f t="shared" ca="1" si="268"/>
        <v>-0.4652</v>
      </c>
      <c r="AQ109" s="1100">
        <f t="shared" ca="1" si="268"/>
        <v>0</v>
      </c>
      <c r="AR109" s="1100">
        <f t="shared" ca="1" si="268"/>
        <v>0</v>
      </c>
      <c r="AS109" s="1100">
        <f t="shared" ca="1" si="268"/>
        <v>167.52946754146683</v>
      </c>
      <c r="AT109" s="1100">
        <f t="shared" ca="1" si="268"/>
        <v>-619.56289138631723</v>
      </c>
      <c r="AU109" s="1100">
        <f t="shared" ca="1" si="268"/>
        <v>-1584.9334976234286</v>
      </c>
      <c r="AV109" s="1100">
        <f t="shared" ca="1" si="268"/>
        <v>0</v>
      </c>
      <c r="AW109" s="1100">
        <f t="shared" ca="1" si="268"/>
        <v>0</v>
      </c>
      <c r="AX109" s="1100">
        <f t="shared" ca="1" si="268"/>
        <v>-0.28358010000000045</v>
      </c>
      <c r="AY109" s="1100">
        <f t="shared" ca="1" si="268"/>
        <v>0</v>
      </c>
      <c r="AZ109" s="1100">
        <f t="shared" ca="1" si="268"/>
        <v>0</v>
      </c>
      <c r="BA109" s="1100">
        <f t="shared" ca="1" si="268"/>
        <v>0</v>
      </c>
      <c r="BB109" s="1100">
        <f t="shared" ca="1" si="268"/>
        <v>-5.3297280000000011</v>
      </c>
      <c r="BC109" s="1100">
        <f t="shared" ca="1" si="268"/>
        <v>0</v>
      </c>
      <c r="BD109" s="1100">
        <f t="shared" ca="1" si="268"/>
        <v>-70.62034782466543</v>
      </c>
      <c r="BE109" s="1100">
        <f t="shared" ca="1" si="268"/>
        <v>-228.43233855134423</v>
      </c>
      <c r="BF109" s="1100">
        <f ca="1">SUM(AM109:BE109)</f>
        <v>-2761.3330714022027</v>
      </c>
      <c r="BH109" s="1101">
        <f ca="1">BH$40+BH$84+BH$106</f>
        <v>519.06454102573571</v>
      </c>
      <c r="BI109" s="1101">
        <f ca="1">BI$40+BI$84+BI$106</f>
        <v>113.71738556937473</v>
      </c>
      <c r="BJ109" s="1101">
        <f ca="1">SUM(BH109:BI109)</f>
        <v>632.78192659511046</v>
      </c>
      <c r="BL109" s="514">
        <f t="shared" ca="1" si="253"/>
        <v>0</v>
      </c>
      <c r="BM109" s="514"/>
      <c r="BO109" s="1493">
        <f t="shared" ref="BO109:DF109" ca="1" si="269">BO$40+BO$84+BO$106</f>
        <v>484.88696775542246</v>
      </c>
      <c r="BP109" s="1493">
        <f t="shared" ca="1" si="269"/>
        <v>0.90708304381437399</v>
      </c>
      <c r="BQ109" s="1493">
        <f t="shared" ca="1" si="269"/>
        <v>3.3084370697342043</v>
      </c>
      <c r="BR109" s="1493">
        <f t="shared" ca="1" si="269"/>
        <v>0</v>
      </c>
      <c r="BS109" s="1493">
        <f t="shared" ca="1" si="269"/>
        <v>0.87110255642387768</v>
      </c>
      <c r="BT109" s="1493">
        <f t="shared" ca="1" si="269"/>
        <v>10.065599168104249</v>
      </c>
      <c r="BU109" s="1493">
        <f t="shared" ca="1" si="269"/>
        <v>0</v>
      </c>
      <c r="BV109" s="1493">
        <f t="shared" ca="1" si="269"/>
        <v>0</v>
      </c>
      <c r="BW109" s="1493">
        <f t="shared" ca="1" si="269"/>
        <v>14.553118871179784</v>
      </c>
      <c r="BX109" s="1493">
        <f t="shared" ca="1" si="269"/>
        <v>0.10991873645734471</v>
      </c>
      <c r="BY109" s="1493">
        <f t="shared" ca="1" si="269"/>
        <v>2.7599956553046825</v>
      </c>
      <c r="BZ109" s="1493">
        <f t="shared" ca="1" si="269"/>
        <v>5.5786316031859631</v>
      </c>
      <c r="CA109" s="1493">
        <f t="shared" ca="1" si="269"/>
        <v>0</v>
      </c>
      <c r="CB109" s="1493">
        <f t="shared" ca="1" si="269"/>
        <v>0</v>
      </c>
      <c r="CC109" s="1493">
        <f t="shared" ca="1" si="269"/>
        <v>0</v>
      </c>
      <c r="CD109" s="1493">
        <f t="shared" ca="1" si="269"/>
        <v>0</v>
      </c>
      <c r="CE109" s="1493">
        <f t="shared" ca="1" si="269"/>
        <v>0</v>
      </c>
      <c r="CF109" s="1493">
        <f t="shared" ca="1" si="269"/>
        <v>17.077613253934082</v>
      </c>
      <c r="CG109" s="1493">
        <f t="shared" ca="1" si="269"/>
        <v>21.060040388634832</v>
      </c>
      <c r="CH109" s="1493">
        <f t="shared" ca="1" si="269"/>
        <v>0</v>
      </c>
      <c r="CI109" s="1493">
        <f t="shared" ca="1" si="269"/>
        <v>8.1163788611910945</v>
      </c>
      <c r="CJ109" s="1493">
        <f t="shared" ca="1" si="269"/>
        <v>0</v>
      </c>
      <c r="CK109" s="1493">
        <f t="shared" ca="1" si="269"/>
        <v>0</v>
      </c>
      <c r="CL109" s="1493">
        <f t="shared" ca="1" si="269"/>
        <v>0</v>
      </c>
      <c r="CM109" s="1493">
        <f t="shared" ca="1" si="269"/>
        <v>0</v>
      </c>
      <c r="CN109" s="1493">
        <f t="shared" ca="1" si="269"/>
        <v>21.695880641230563</v>
      </c>
      <c r="CO109" s="1493">
        <f t="shared" ca="1" si="269"/>
        <v>1.544008380420842</v>
      </c>
      <c r="CP109" s="1493">
        <f t="shared" ca="1" si="269"/>
        <v>0</v>
      </c>
      <c r="CQ109" s="1493">
        <f t="shared" ca="1" si="269"/>
        <v>0</v>
      </c>
      <c r="CR109" s="1493">
        <f t="shared" ca="1" si="269"/>
        <v>0</v>
      </c>
      <c r="CS109" s="1493">
        <f t="shared" ca="1" si="269"/>
        <v>0</v>
      </c>
      <c r="CT109" s="1493">
        <f t="shared" ca="1" si="269"/>
        <v>0</v>
      </c>
      <c r="CU109" s="1493">
        <f t="shared" ca="1" si="269"/>
        <v>79.610548605245185</v>
      </c>
      <c r="CV109" s="1493">
        <f t="shared" ca="1" si="269"/>
        <v>9.9114818730894103E-2</v>
      </c>
      <c r="CW109" s="1493">
        <f t="shared" ca="1" si="269"/>
        <v>1.4323568986377209</v>
      </c>
      <c r="CX109" s="1493">
        <f t="shared" ca="1" si="269"/>
        <v>0</v>
      </c>
      <c r="CY109" s="1493">
        <f t="shared" ca="1" si="269"/>
        <v>-40.869682509204011</v>
      </c>
      <c r="CZ109" s="1493">
        <f t="shared" ca="1" si="269"/>
        <v>0</v>
      </c>
      <c r="DA109" s="1493">
        <f t="shared" ca="1" si="269"/>
        <v>0</v>
      </c>
      <c r="DB109" s="1493">
        <f t="shared" ca="1" si="269"/>
        <v>0</v>
      </c>
      <c r="DC109" s="1493">
        <f t="shared" ca="1" si="269"/>
        <v>-7.6816642933363486</v>
      </c>
      <c r="DD109" s="1493">
        <f t="shared" ca="1" si="269"/>
        <v>0</v>
      </c>
      <c r="DE109" s="1493">
        <f t="shared" ca="1" si="269"/>
        <v>0</v>
      </c>
      <c r="DF109" s="1493">
        <f t="shared" ca="1" si="269"/>
        <v>0</v>
      </c>
      <c r="DH109" s="835">
        <f ca="1">SUM(BO109:DF109)</f>
        <v>625.12544950511176</v>
      </c>
    </row>
    <row r="110" spans="1:112" s="743" customFormat="1">
      <c r="C110" s="508"/>
      <c r="D110" s="509"/>
      <c r="E110" s="509"/>
      <c r="G110" s="995"/>
      <c r="H110" s="995"/>
      <c r="I110" s="995"/>
      <c r="J110" s="995"/>
      <c r="K110" s="996"/>
      <c r="L110" s="995"/>
      <c r="M110" s="995"/>
      <c r="N110" s="995"/>
      <c r="O110" s="995"/>
      <c r="P110" s="995"/>
      <c r="Q110" s="995"/>
      <c r="S110" s="998"/>
      <c r="T110" s="998"/>
      <c r="U110" s="998"/>
      <c r="V110" s="998"/>
      <c r="W110" s="998"/>
      <c r="X110" s="998"/>
      <c r="Y110" s="998"/>
      <c r="Z110" s="998"/>
      <c r="AA110" s="998"/>
      <c r="AB110" s="998"/>
      <c r="AC110" s="998"/>
      <c r="AD110" s="998"/>
      <c r="AE110" s="998"/>
      <c r="AF110" s="998"/>
      <c r="AG110" s="998"/>
      <c r="AH110" s="998"/>
      <c r="AI110" s="998"/>
      <c r="AJ110" s="998"/>
      <c r="AK110" s="998"/>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H110" s="1002"/>
      <c r="BI110" s="1002"/>
      <c r="BJ110" s="1002"/>
      <c r="BL110" s="515"/>
      <c r="BM110" s="515"/>
      <c r="BO110" s="1494"/>
      <c r="BP110" s="1494"/>
      <c r="BQ110" s="1494"/>
      <c r="BR110" s="1494"/>
      <c r="BS110" s="1494"/>
      <c r="BT110" s="1494"/>
      <c r="BU110" s="1494"/>
      <c r="BV110" s="1494"/>
      <c r="BW110" s="1494"/>
      <c r="BX110" s="1494"/>
      <c r="BY110" s="1494"/>
      <c r="BZ110" s="1494"/>
      <c r="CA110" s="1494"/>
      <c r="CB110" s="1494"/>
      <c r="CC110" s="1494"/>
      <c r="CD110" s="1494"/>
      <c r="CE110" s="1494"/>
      <c r="CF110" s="1494"/>
      <c r="CG110" s="1494"/>
      <c r="CH110" s="1494"/>
      <c r="CI110" s="1494"/>
      <c r="CJ110" s="1494"/>
      <c r="CK110" s="1494"/>
      <c r="CL110" s="1494"/>
      <c r="CM110" s="1494"/>
      <c r="CN110" s="1494"/>
      <c r="CO110" s="1494"/>
      <c r="CP110" s="1494"/>
      <c r="CQ110" s="1494"/>
      <c r="CR110" s="1494"/>
      <c r="CS110" s="1494"/>
      <c r="CT110" s="1494"/>
      <c r="CU110" s="1494"/>
      <c r="CV110" s="1494"/>
      <c r="CW110" s="1494"/>
      <c r="CX110" s="1494"/>
      <c r="CY110" s="1494"/>
      <c r="CZ110" s="1494"/>
      <c r="DA110" s="1494"/>
      <c r="DB110" s="1494"/>
      <c r="DC110" s="1494"/>
      <c r="DD110" s="1494"/>
      <c r="DE110" s="1494"/>
      <c r="DF110" s="1494"/>
    </row>
    <row r="111" spans="1:112">
      <c r="G111" s="515"/>
      <c r="H111" s="515"/>
      <c r="I111" s="515"/>
      <c r="J111" s="515"/>
      <c r="K111" s="519"/>
      <c r="L111" s="515"/>
      <c r="M111" s="515"/>
      <c r="N111" s="515"/>
      <c r="O111" s="515"/>
      <c r="P111" s="515"/>
      <c r="Q111" s="515"/>
      <c r="S111" s="515"/>
      <c r="T111" s="515"/>
      <c r="U111" s="515"/>
      <c r="V111" s="515"/>
      <c r="W111" s="515"/>
      <c r="X111" s="515"/>
      <c r="Y111" s="515"/>
      <c r="Z111" s="515"/>
      <c r="AA111" s="515"/>
      <c r="AB111" s="515"/>
      <c r="AC111" s="515"/>
      <c r="AD111" s="515"/>
      <c r="AE111" s="515"/>
      <c r="AF111" s="515"/>
      <c r="AG111" s="515"/>
      <c r="AH111" s="515"/>
      <c r="AI111" s="515"/>
      <c r="AJ111" s="515"/>
      <c r="AK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H111" s="515"/>
      <c r="BI111" s="515"/>
      <c r="BJ111" s="515"/>
      <c r="BL111" s="515"/>
      <c r="BM111" s="515"/>
    </row>
    <row r="112" spans="1:112">
      <c r="G112" s="515"/>
      <c r="H112" s="515"/>
      <c r="I112" s="515"/>
      <c r="J112" s="515"/>
      <c r="K112" s="519"/>
      <c r="L112" s="515"/>
      <c r="M112" s="515"/>
      <c r="N112" s="515"/>
      <c r="O112" s="515"/>
      <c r="P112" s="515"/>
      <c r="Q112" s="515"/>
      <c r="S112" s="515"/>
      <c r="T112" s="515"/>
      <c r="U112" s="515"/>
      <c r="V112" s="515"/>
      <c r="W112" s="515"/>
      <c r="X112" s="515"/>
      <c r="Y112" s="515"/>
      <c r="Z112" s="515"/>
      <c r="AA112" s="515"/>
      <c r="AB112" s="515"/>
      <c r="AC112" s="515"/>
      <c r="AD112" s="515"/>
      <c r="AE112" s="515"/>
      <c r="AF112" s="515"/>
      <c r="AG112" s="515"/>
      <c r="AH112" s="515"/>
      <c r="AI112" s="515"/>
      <c r="AJ112" s="515"/>
      <c r="AK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H112" s="515"/>
      <c r="BI112" s="515"/>
      <c r="BJ112" s="515"/>
      <c r="BL112" s="515"/>
      <c r="BM112" s="515"/>
      <c r="DF112" s="20" t="s">
        <v>2428</v>
      </c>
      <c r="DH112" s="2293">
        <f ca="1">SUM(DH63,DH68,DH76,DH82)</f>
        <v>176.05949638803162</v>
      </c>
    </row>
    <row r="113" spans="2:112">
      <c r="B113" s="121" t="s">
        <v>798</v>
      </c>
      <c r="C113" s="1095" t="s">
        <v>1017</v>
      </c>
      <c r="G113" s="515"/>
      <c r="H113" s="515"/>
      <c r="I113" s="515"/>
      <c r="J113" s="515"/>
      <c r="K113" s="519"/>
      <c r="L113" s="515"/>
      <c r="M113" s="515"/>
      <c r="N113" s="515"/>
      <c r="O113" s="515"/>
      <c r="P113" s="515"/>
      <c r="Q113" s="515"/>
      <c r="S113" s="515"/>
      <c r="T113" s="515"/>
      <c r="U113" s="515"/>
      <c r="V113" s="515"/>
      <c r="W113" s="515"/>
      <c r="X113" s="515"/>
      <c r="Y113" s="515"/>
      <c r="Z113" s="515"/>
      <c r="AA113" s="515"/>
      <c r="AB113" s="515"/>
      <c r="AC113" s="515"/>
      <c r="AD113" s="515"/>
      <c r="AE113" s="515"/>
      <c r="AF113" s="515"/>
      <c r="AG113" s="515"/>
      <c r="AH113" s="515"/>
      <c r="AI113" s="515"/>
      <c r="AJ113" s="515"/>
      <c r="AK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H113" s="515"/>
      <c r="BI113" s="515"/>
      <c r="BJ113" s="515"/>
      <c r="BL113" s="515"/>
      <c r="BM113" s="515"/>
      <c r="DF113" s="20" t="s">
        <v>2429</v>
      </c>
      <c r="DH113" s="2293">
        <f ca="1">T109-MIN(T103,0)-T72</f>
        <v>437.07479154577192</v>
      </c>
    </row>
    <row r="114" spans="2:112" ht="15.75">
      <c r="B114" s="3"/>
      <c r="G114" s="515"/>
      <c r="H114" s="515"/>
      <c r="I114" s="515"/>
      <c r="J114" s="515"/>
      <c r="K114" s="519"/>
      <c r="L114" s="515"/>
      <c r="M114" s="515"/>
      <c r="N114" s="515"/>
      <c r="O114" s="515"/>
      <c r="P114" s="515"/>
      <c r="Q114" s="515"/>
      <c r="S114" s="515"/>
      <c r="T114" s="515"/>
      <c r="U114" s="515"/>
      <c r="V114" s="515"/>
      <c r="W114" s="515"/>
      <c r="X114" s="515"/>
      <c r="Y114" s="515"/>
      <c r="Z114" s="515"/>
      <c r="AA114" s="515"/>
      <c r="AB114" s="515"/>
      <c r="AC114" s="515"/>
      <c r="AD114" s="515"/>
      <c r="AE114" s="515"/>
      <c r="AF114" s="515"/>
      <c r="AG114" s="515"/>
      <c r="AH114" s="515"/>
      <c r="AI114" s="515"/>
      <c r="AJ114" s="515"/>
      <c r="AK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H114" s="515"/>
      <c r="BI114" s="515"/>
      <c r="BJ114" s="515"/>
      <c r="BL114" s="515"/>
      <c r="BM114" s="515"/>
      <c r="DF114" s="20" t="s">
        <v>2430</v>
      </c>
      <c r="DH114" s="121">
        <f ca="1">DH112/DH113</f>
        <v>0.40281320221048272</v>
      </c>
    </row>
    <row r="115" spans="2:112">
      <c r="G115" s="515"/>
      <c r="H115" s="515"/>
      <c r="I115" s="515"/>
      <c r="J115" s="515"/>
      <c r="K115" s="519"/>
      <c r="L115" s="515"/>
      <c r="M115" s="515"/>
      <c r="N115" s="515"/>
      <c r="O115" s="515"/>
      <c r="P115" s="515"/>
      <c r="Q115" s="515"/>
      <c r="S115" s="515"/>
      <c r="T115" s="515"/>
      <c r="U115" s="515"/>
      <c r="V115" s="515"/>
      <c r="W115" s="515"/>
      <c r="X115" s="515"/>
      <c r="Y115" s="515"/>
      <c r="Z115" s="515"/>
      <c r="AA115" s="515"/>
      <c r="AB115" s="515"/>
      <c r="AC115" s="515"/>
      <c r="AD115" s="515"/>
      <c r="AE115" s="515"/>
      <c r="AF115" s="515"/>
      <c r="AG115" s="515"/>
      <c r="AH115" s="515"/>
      <c r="AI115" s="515"/>
      <c r="AJ115" s="515"/>
      <c r="AK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H115" s="515"/>
      <c r="BI115" s="515"/>
      <c r="BJ115" s="515"/>
      <c r="BL115" s="515"/>
      <c r="BM115" s="515"/>
    </row>
    <row r="116" spans="2:112" ht="15.75">
      <c r="B116" s="3"/>
      <c r="G116" s="515"/>
      <c r="H116" s="515"/>
      <c r="I116" s="515"/>
      <c r="J116" s="515"/>
      <c r="K116" s="519"/>
      <c r="L116" s="515"/>
      <c r="M116" s="515"/>
      <c r="N116" s="515"/>
      <c r="O116" s="515"/>
      <c r="P116" s="515"/>
      <c r="Q116" s="515"/>
      <c r="S116" s="515"/>
      <c r="T116" s="515"/>
      <c r="U116" s="515"/>
      <c r="V116" s="515"/>
      <c r="W116" s="515"/>
      <c r="X116" s="515"/>
      <c r="Y116" s="515"/>
      <c r="Z116" s="515"/>
      <c r="AA116" s="515"/>
      <c r="AB116" s="515"/>
      <c r="AC116" s="515"/>
      <c r="AD116" s="515"/>
      <c r="AE116" s="515"/>
      <c r="AF116" s="515"/>
      <c r="AG116" s="515"/>
      <c r="AH116" s="515"/>
      <c r="AI116" s="515"/>
      <c r="AJ116" s="515"/>
      <c r="AK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H116" s="515"/>
      <c r="BI116" s="515"/>
      <c r="BJ116" s="515"/>
      <c r="BL116" s="515"/>
      <c r="BM116" s="515"/>
    </row>
    <row r="117" spans="2:112" ht="15.75">
      <c r="B117" s="3"/>
      <c r="G117" s="515"/>
      <c r="H117" s="515"/>
      <c r="I117" s="515"/>
      <c r="J117" s="515"/>
      <c r="K117" s="519"/>
      <c r="L117" s="515"/>
      <c r="M117" s="515"/>
      <c r="N117" s="515"/>
      <c r="O117" s="515"/>
      <c r="P117" s="515"/>
      <c r="Q117" s="515"/>
      <c r="S117" s="515"/>
      <c r="T117" s="515"/>
      <c r="U117" s="515"/>
      <c r="V117" s="515"/>
      <c r="W117" s="515"/>
      <c r="X117" s="515"/>
      <c r="Y117" s="515"/>
      <c r="Z117" s="515"/>
      <c r="AA117" s="515"/>
      <c r="AB117" s="515"/>
      <c r="AC117" s="515"/>
      <c r="AD117" s="515"/>
      <c r="AE117" s="515"/>
      <c r="AF117" s="515"/>
      <c r="AG117" s="515"/>
      <c r="AH117" s="515"/>
      <c r="AI117" s="515"/>
      <c r="AJ117" s="515"/>
      <c r="AK117" s="515"/>
      <c r="AM117" s="515"/>
      <c r="AN117" s="515"/>
      <c r="AO117" s="515"/>
      <c r="AP117" s="515"/>
      <c r="AQ117" s="515"/>
      <c r="AR117" s="515"/>
      <c r="AS117" s="515"/>
      <c r="AT117" s="515"/>
      <c r="AU117" s="515"/>
      <c r="AV117" s="515"/>
      <c r="AW117" s="515"/>
      <c r="AX117" s="515"/>
      <c r="AY117" s="515"/>
      <c r="AZ117" s="515"/>
      <c r="BA117" s="515"/>
      <c r="BB117" s="515"/>
      <c r="BC117" s="515"/>
      <c r="BD117" s="515"/>
      <c r="BE117" s="515"/>
      <c r="BF117" s="515"/>
      <c r="BH117" s="515"/>
      <c r="BI117" s="515"/>
      <c r="BJ117" s="515"/>
      <c r="BL117" s="515"/>
      <c r="BM117" s="515"/>
    </row>
    <row r="118" spans="2:112" ht="15.75">
      <c r="B118" s="3"/>
      <c r="G118" s="515"/>
      <c r="H118" s="515"/>
      <c r="I118" s="515"/>
      <c r="J118" s="515"/>
      <c r="K118" s="519"/>
      <c r="L118" s="515"/>
      <c r="M118" s="515"/>
      <c r="N118" s="515"/>
      <c r="O118" s="515"/>
      <c r="P118" s="515"/>
      <c r="Q118" s="515"/>
      <c r="S118" s="515"/>
      <c r="T118" s="515"/>
      <c r="U118" s="515"/>
      <c r="V118" s="515"/>
      <c r="W118" s="515"/>
      <c r="X118" s="515"/>
      <c r="Y118" s="515"/>
      <c r="Z118" s="515"/>
      <c r="AA118" s="515"/>
      <c r="AB118" s="515"/>
      <c r="AC118" s="515"/>
      <c r="AD118" s="515"/>
      <c r="AE118" s="515"/>
      <c r="AF118" s="515"/>
      <c r="AG118" s="515"/>
      <c r="AH118" s="515"/>
      <c r="AI118" s="515"/>
      <c r="AJ118" s="515"/>
      <c r="AK118" s="515"/>
      <c r="AM118" s="515"/>
      <c r="AN118" s="515"/>
      <c r="AO118" s="515"/>
      <c r="AP118" s="515"/>
      <c r="AQ118" s="515"/>
      <c r="AR118" s="515"/>
      <c r="AS118" s="515"/>
      <c r="AT118" s="515"/>
      <c r="AU118" s="515"/>
      <c r="AV118" s="515"/>
      <c r="AW118" s="515"/>
      <c r="AX118" s="515"/>
      <c r="AY118" s="515"/>
      <c r="AZ118" s="515"/>
      <c r="BA118" s="515"/>
      <c r="BB118" s="515"/>
      <c r="BC118" s="515"/>
      <c r="BD118" s="515"/>
      <c r="BE118" s="515"/>
      <c r="BF118" s="515"/>
      <c r="BH118" s="515"/>
      <c r="BI118" s="515"/>
      <c r="BJ118" s="515"/>
      <c r="BL118" s="515"/>
      <c r="BM118" s="515"/>
    </row>
    <row r="119" spans="2:112" ht="15.75">
      <c r="B119" s="3"/>
      <c r="G119" s="515"/>
      <c r="H119" s="515"/>
      <c r="I119" s="515"/>
      <c r="J119" s="515"/>
      <c r="K119" s="519"/>
      <c r="L119" s="515"/>
      <c r="M119" s="515"/>
      <c r="N119" s="515"/>
      <c r="O119" s="515"/>
      <c r="P119" s="515"/>
      <c r="Q119" s="515"/>
      <c r="S119" s="515"/>
      <c r="T119" s="515"/>
      <c r="U119" s="515"/>
      <c r="V119" s="515"/>
      <c r="W119" s="515"/>
      <c r="X119" s="515"/>
      <c r="Y119" s="515"/>
      <c r="Z119" s="515"/>
      <c r="AA119" s="515"/>
      <c r="AB119" s="515"/>
      <c r="AC119" s="515"/>
      <c r="AD119" s="515"/>
      <c r="AE119" s="515"/>
      <c r="AF119" s="515"/>
      <c r="AG119" s="515"/>
      <c r="AH119" s="515"/>
      <c r="AI119" s="515"/>
      <c r="AJ119" s="515"/>
      <c r="AK119" s="515"/>
      <c r="AM119" s="515"/>
      <c r="AN119" s="515"/>
      <c r="AO119" s="515"/>
      <c r="AP119" s="515"/>
      <c r="AQ119" s="515"/>
      <c r="AR119" s="515"/>
      <c r="AS119" s="515"/>
      <c r="AT119" s="515"/>
      <c r="AU119" s="515"/>
      <c r="AV119" s="515"/>
      <c r="AW119" s="515"/>
      <c r="AX119" s="515"/>
      <c r="AY119" s="515"/>
      <c r="AZ119" s="515"/>
      <c r="BA119" s="515"/>
      <c r="BB119" s="515"/>
      <c r="BC119" s="515"/>
      <c r="BD119" s="515"/>
      <c r="BE119" s="515"/>
      <c r="BF119" s="515"/>
      <c r="BH119" s="515"/>
      <c r="BI119" s="515"/>
      <c r="BJ119" s="515"/>
      <c r="BL119" s="515"/>
      <c r="BM119" s="515"/>
    </row>
    <row r="120" spans="2:112" ht="15.75">
      <c r="B120" s="3"/>
      <c r="G120" s="515"/>
      <c r="H120" s="515"/>
      <c r="I120" s="515"/>
      <c r="J120" s="515"/>
      <c r="K120" s="519"/>
      <c r="L120" s="515"/>
      <c r="M120" s="515"/>
      <c r="N120" s="515"/>
      <c r="O120" s="515"/>
      <c r="P120" s="515"/>
      <c r="Q120" s="515"/>
      <c r="S120" s="515"/>
      <c r="T120" s="515"/>
      <c r="U120" s="515"/>
      <c r="V120" s="515"/>
      <c r="W120" s="515"/>
      <c r="X120" s="515"/>
      <c r="Y120" s="515"/>
      <c r="Z120" s="515"/>
      <c r="AA120" s="515"/>
      <c r="AB120" s="515"/>
      <c r="AC120" s="515"/>
      <c r="AD120" s="515"/>
      <c r="AE120" s="515"/>
      <c r="AF120" s="515"/>
      <c r="AG120" s="515"/>
      <c r="AH120" s="515"/>
      <c r="AI120" s="515"/>
      <c r="AJ120" s="515"/>
      <c r="AK120" s="515"/>
      <c r="AM120" s="515"/>
      <c r="AN120" s="515"/>
      <c r="AO120" s="515"/>
      <c r="AP120" s="515"/>
      <c r="AQ120" s="515"/>
      <c r="AR120" s="515"/>
      <c r="AS120" s="515"/>
      <c r="AT120" s="515"/>
      <c r="AU120" s="515"/>
      <c r="AV120" s="515"/>
      <c r="AW120" s="515"/>
      <c r="AX120" s="515"/>
      <c r="AY120" s="515"/>
      <c r="AZ120" s="515"/>
      <c r="BA120" s="515"/>
      <c r="BB120" s="515"/>
      <c r="BC120" s="515"/>
      <c r="BD120" s="515"/>
      <c r="BE120" s="515"/>
      <c r="BF120" s="515"/>
      <c r="BH120" s="515"/>
      <c r="BI120" s="515"/>
      <c r="BJ120" s="515"/>
      <c r="BL120" s="515"/>
      <c r="BM120" s="515"/>
    </row>
    <row r="121" spans="2:112" ht="15.75">
      <c r="B121" s="3"/>
      <c r="G121" s="515"/>
      <c r="H121" s="515"/>
      <c r="I121" s="515"/>
      <c r="J121" s="515"/>
      <c r="K121" s="519"/>
      <c r="L121" s="515"/>
      <c r="M121" s="515"/>
      <c r="N121" s="515"/>
      <c r="O121" s="515"/>
      <c r="P121" s="515"/>
      <c r="Q121" s="515"/>
      <c r="S121" s="515"/>
      <c r="T121" s="515"/>
      <c r="U121" s="515"/>
      <c r="V121" s="515"/>
      <c r="W121" s="515"/>
      <c r="X121" s="515"/>
      <c r="Y121" s="515"/>
      <c r="Z121" s="515"/>
      <c r="AA121" s="515"/>
      <c r="AB121" s="515"/>
      <c r="AC121" s="515"/>
      <c r="AD121" s="515"/>
      <c r="AE121" s="515"/>
      <c r="AF121" s="515"/>
      <c r="AG121" s="515"/>
      <c r="AH121" s="515"/>
      <c r="AI121" s="515"/>
      <c r="AJ121" s="515"/>
      <c r="AK121" s="515"/>
      <c r="AM121" s="515"/>
      <c r="AN121" s="515"/>
      <c r="AO121" s="515"/>
      <c r="AP121" s="515"/>
      <c r="AQ121" s="515"/>
      <c r="AR121" s="515"/>
      <c r="AS121" s="515"/>
      <c r="AT121" s="515"/>
      <c r="AU121" s="515"/>
      <c r="AV121" s="515"/>
      <c r="AW121" s="515"/>
      <c r="AX121" s="515"/>
      <c r="AY121" s="515"/>
      <c r="AZ121" s="515"/>
      <c r="BA121" s="515"/>
      <c r="BB121" s="515"/>
      <c r="BC121" s="515"/>
      <c r="BD121" s="515"/>
      <c r="BE121" s="515"/>
      <c r="BF121" s="515"/>
      <c r="BH121" s="515"/>
      <c r="BI121" s="515"/>
      <c r="BJ121" s="515"/>
      <c r="BL121" s="515"/>
      <c r="BM121" s="515"/>
    </row>
    <row r="122" spans="2:112">
      <c r="G122" s="515"/>
      <c r="H122" s="515"/>
      <c r="I122" s="515"/>
      <c r="J122" s="515"/>
      <c r="K122" s="519"/>
      <c r="L122" s="515"/>
      <c r="M122" s="515"/>
      <c r="N122" s="515"/>
      <c r="O122" s="515"/>
      <c r="P122" s="515"/>
      <c r="Q122" s="515"/>
      <c r="S122" s="515"/>
      <c r="T122" s="515"/>
      <c r="U122" s="515"/>
      <c r="V122" s="515"/>
      <c r="W122" s="515"/>
      <c r="X122" s="515"/>
      <c r="Y122" s="515"/>
      <c r="Z122" s="515"/>
      <c r="AA122" s="515"/>
      <c r="AB122" s="515"/>
      <c r="AC122" s="515"/>
      <c r="AD122" s="515"/>
      <c r="AE122" s="515"/>
      <c r="AF122" s="515"/>
      <c r="AG122" s="515"/>
      <c r="AH122" s="515"/>
      <c r="AI122" s="515"/>
      <c r="AJ122" s="515"/>
      <c r="AK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H122" s="515"/>
      <c r="BI122" s="515"/>
      <c r="BJ122" s="515"/>
      <c r="BL122" s="515"/>
      <c r="BM122" s="515"/>
    </row>
    <row r="123" spans="2:112" ht="24" customHeight="1">
      <c r="G123" s="515"/>
      <c r="H123" s="515"/>
      <c r="I123" s="515"/>
      <c r="J123" s="515"/>
      <c r="K123" s="519"/>
      <c r="L123" s="515"/>
      <c r="M123" s="515"/>
      <c r="N123" s="515"/>
      <c r="O123" s="515"/>
      <c r="P123" s="515"/>
      <c r="Q123" s="515"/>
      <c r="S123" s="515"/>
      <c r="T123" s="515"/>
      <c r="U123" s="515"/>
      <c r="V123" s="515"/>
      <c r="W123" s="515"/>
      <c r="X123" s="515"/>
      <c r="Y123" s="515"/>
      <c r="Z123" s="515"/>
      <c r="AA123" s="515"/>
      <c r="AB123" s="515"/>
      <c r="AC123" s="515"/>
      <c r="AD123" s="515"/>
      <c r="AE123" s="515"/>
      <c r="AF123" s="515"/>
      <c r="AG123" s="515"/>
      <c r="AH123" s="515"/>
      <c r="AI123" s="515"/>
      <c r="AJ123" s="515"/>
      <c r="AK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H123" s="515"/>
      <c r="BI123" s="515"/>
      <c r="BJ123" s="515"/>
      <c r="BL123" s="515"/>
      <c r="BM123" s="515"/>
    </row>
    <row r="124" spans="2:112">
      <c r="G124" s="515"/>
      <c r="H124" s="515"/>
      <c r="I124" s="515"/>
      <c r="J124" s="515"/>
      <c r="K124" s="519"/>
      <c r="L124" s="515"/>
      <c r="M124" s="515"/>
      <c r="N124" s="515"/>
      <c r="O124" s="515"/>
      <c r="P124" s="515"/>
      <c r="Q124" s="515"/>
      <c r="S124" s="515"/>
      <c r="T124" s="515"/>
      <c r="U124" s="515"/>
      <c r="V124" s="515"/>
      <c r="W124" s="515"/>
      <c r="X124" s="515"/>
      <c r="Y124" s="515"/>
      <c r="Z124" s="515"/>
      <c r="AA124" s="515"/>
      <c r="AB124" s="515"/>
      <c r="AC124" s="515"/>
      <c r="AD124" s="515"/>
      <c r="AE124" s="515"/>
      <c r="AF124" s="515"/>
      <c r="AG124" s="515"/>
      <c r="AH124" s="515"/>
      <c r="AI124" s="515"/>
      <c r="AJ124" s="515"/>
      <c r="AK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H124" s="515"/>
      <c r="BI124" s="515"/>
      <c r="BJ124" s="515"/>
      <c r="BL124" s="515"/>
      <c r="BM124" s="515"/>
    </row>
    <row r="125" spans="2:112">
      <c r="C125" s="520"/>
      <c r="D125" s="38"/>
      <c r="G125" s="515"/>
      <c r="H125" s="515"/>
      <c r="I125" s="515"/>
      <c r="J125" s="515"/>
      <c r="K125" s="519"/>
      <c r="L125" s="515"/>
      <c r="M125" s="515"/>
      <c r="N125" s="515"/>
      <c r="O125" s="515"/>
      <c r="P125" s="515"/>
      <c r="Q125" s="515"/>
      <c r="S125" s="515"/>
      <c r="T125" s="515"/>
      <c r="U125" s="515"/>
      <c r="V125" s="515"/>
      <c r="W125" s="515"/>
      <c r="X125" s="515"/>
      <c r="Y125" s="515"/>
      <c r="Z125" s="515"/>
      <c r="AA125" s="515"/>
      <c r="AB125" s="515"/>
      <c r="AC125" s="515"/>
      <c r="AD125" s="515"/>
      <c r="AE125" s="515"/>
      <c r="AF125" s="515"/>
      <c r="AG125" s="515"/>
      <c r="AH125" s="515"/>
      <c r="AI125" s="515"/>
      <c r="AJ125" s="515"/>
      <c r="AK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H125" s="515"/>
      <c r="BI125" s="515"/>
      <c r="BJ125" s="515"/>
      <c r="BL125" s="515"/>
      <c r="BM125" s="515"/>
    </row>
    <row r="126" spans="2:112">
      <c r="G126" s="515"/>
      <c r="H126" s="515"/>
      <c r="I126" s="515"/>
      <c r="J126" s="515"/>
      <c r="K126" s="519"/>
      <c r="L126" s="515"/>
      <c r="M126" s="515"/>
      <c r="N126" s="515"/>
      <c r="O126" s="515"/>
      <c r="P126" s="515"/>
      <c r="Q126" s="515"/>
      <c r="S126" s="515"/>
      <c r="T126" s="515"/>
      <c r="U126" s="515"/>
      <c r="V126" s="515"/>
      <c r="W126" s="515"/>
      <c r="X126" s="515"/>
      <c r="Y126" s="515"/>
      <c r="Z126" s="515"/>
      <c r="AA126" s="515"/>
      <c r="AB126" s="515"/>
      <c r="AC126" s="515"/>
      <c r="AD126" s="515"/>
      <c r="AE126" s="515"/>
      <c r="AF126" s="515"/>
      <c r="AG126" s="515"/>
      <c r="AH126" s="515"/>
      <c r="AI126" s="515"/>
      <c r="AJ126" s="515"/>
      <c r="AK126" s="515"/>
      <c r="AM126" s="515"/>
      <c r="AN126" s="515"/>
      <c r="AO126" s="515"/>
      <c r="AP126" s="515"/>
      <c r="AQ126" s="515"/>
      <c r="AR126" s="515"/>
      <c r="AS126" s="515"/>
      <c r="AT126" s="515"/>
      <c r="AU126" s="515"/>
      <c r="AV126" s="515"/>
      <c r="AW126" s="515"/>
      <c r="AX126" s="515"/>
      <c r="AY126" s="515"/>
      <c r="AZ126" s="515"/>
      <c r="BA126" s="515"/>
      <c r="BB126" s="515"/>
      <c r="BC126" s="515"/>
      <c r="BD126" s="515"/>
      <c r="BE126" s="515"/>
      <c r="BF126" s="515"/>
      <c r="BH126" s="515"/>
      <c r="BI126" s="515"/>
      <c r="BJ126" s="515"/>
      <c r="BL126" s="515"/>
      <c r="BM126" s="515"/>
    </row>
    <row r="127" spans="2:112">
      <c r="G127" s="515"/>
      <c r="H127" s="515"/>
      <c r="I127" s="515"/>
      <c r="J127" s="515"/>
      <c r="K127" s="519"/>
      <c r="L127" s="515"/>
      <c r="M127" s="515"/>
      <c r="N127" s="515"/>
      <c r="O127" s="515"/>
      <c r="P127" s="515"/>
      <c r="Q127" s="515"/>
      <c r="S127" s="515"/>
      <c r="T127" s="515"/>
      <c r="U127" s="515"/>
      <c r="V127" s="515"/>
      <c r="W127" s="515"/>
      <c r="X127" s="515"/>
      <c r="Y127" s="515"/>
      <c r="Z127" s="515"/>
      <c r="AA127" s="515"/>
      <c r="AB127" s="515"/>
      <c r="AC127" s="515"/>
      <c r="AD127" s="515"/>
      <c r="AE127" s="515"/>
      <c r="AF127" s="515"/>
      <c r="AG127" s="515"/>
      <c r="AH127" s="515"/>
      <c r="AI127" s="515"/>
      <c r="AJ127" s="515"/>
      <c r="AK127" s="515"/>
      <c r="AM127" s="515"/>
      <c r="AN127" s="515"/>
      <c r="AO127" s="515"/>
      <c r="AP127" s="515"/>
      <c r="AQ127" s="515"/>
      <c r="AR127" s="515"/>
      <c r="AS127" s="515"/>
      <c r="AT127" s="515"/>
      <c r="AU127" s="515"/>
      <c r="AV127" s="515"/>
      <c r="AW127" s="515"/>
      <c r="AX127" s="515"/>
      <c r="AY127" s="515"/>
      <c r="AZ127" s="515"/>
      <c r="BA127" s="515"/>
      <c r="BB127" s="515"/>
      <c r="BC127" s="515"/>
      <c r="BD127" s="515"/>
      <c r="BE127" s="515"/>
      <c r="BF127" s="515"/>
      <c r="BH127" s="515"/>
      <c r="BI127" s="515"/>
      <c r="BJ127" s="515"/>
      <c r="BL127" s="515"/>
      <c r="BM127" s="515"/>
    </row>
    <row r="128" spans="2:112">
      <c r="G128" s="515"/>
      <c r="H128" s="515"/>
      <c r="I128" s="515"/>
      <c r="J128" s="515"/>
      <c r="K128" s="519"/>
      <c r="L128" s="515"/>
      <c r="M128" s="515"/>
      <c r="N128" s="515"/>
      <c r="O128" s="515"/>
      <c r="P128" s="515"/>
      <c r="Q128" s="515"/>
      <c r="S128" s="515"/>
      <c r="T128" s="515"/>
      <c r="U128" s="515"/>
      <c r="V128" s="515"/>
      <c r="W128" s="515"/>
      <c r="X128" s="515"/>
      <c r="Y128" s="515"/>
      <c r="Z128" s="515"/>
      <c r="AA128" s="515"/>
      <c r="AB128" s="515"/>
      <c r="AC128" s="515"/>
      <c r="AD128" s="515"/>
      <c r="AE128" s="515"/>
      <c r="AF128" s="515"/>
      <c r="AG128" s="515"/>
      <c r="AH128" s="515"/>
      <c r="AI128" s="515"/>
      <c r="AJ128" s="515"/>
      <c r="AK128" s="515"/>
      <c r="AM128" s="515"/>
      <c r="AN128" s="515"/>
      <c r="AO128" s="515"/>
      <c r="AP128" s="515"/>
      <c r="AQ128" s="515"/>
      <c r="AR128" s="515"/>
      <c r="AS128" s="515"/>
      <c r="AT128" s="515"/>
      <c r="AU128" s="515"/>
      <c r="AV128" s="515"/>
      <c r="AW128" s="515"/>
      <c r="AX128" s="515"/>
      <c r="AY128" s="515"/>
      <c r="AZ128" s="515"/>
      <c r="BA128" s="515"/>
      <c r="BB128" s="515"/>
      <c r="BC128" s="515"/>
      <c r="BD128" s="515"/>
      <c r="BE128" s="515"/>
      <c r="BF128" s="515"/>
      <c r="BH128" s="515"/>
      <c r="BI128" s="515"/>
      <c r="BJ128" s="515"/>
      <c r="BL128" s="515"/>
      <c r="BM128" s="515"/>
    </row>
    <row r="129" spans="7:65">
      <c r="G129" s="515"/>
      <c r="H129" s="515"/>
      <c r="I129" s="515"/>
      <c r="J129" s="515"/>
      <c r="K129" s="519"/>
      <c r="L129" s="515"/>
      <c r="M129" s="515"/>
      <c r="N129" s="515"/>
      <c r="O129" s="515"/>
      <c r="P129" s="515"/>
      <c r="Q129" s="515"/>
      <c r="S129" s="515"/>
      <c r="T129" s="515"/>
      <c r="U129" s="515"/>
      <c r="V129" s="515"/>
      <c r="W129" s="515"/>
      <c r="X129" s="515"/>
      <c r="Y129" s="515"/>
      <c r="Z129" s="515"/>
      <c r="AA129" s="515"/>
      <c r="AB129" s="515"/>
      <c r="AC129" s="515"/>
      <c r="AD129" s="515"/>
      <c r="AE129" s="515"/>
      <c r="AF129" s="515"/>
      <c r="AG129" s="515"/>
      <c r="AH129" s="515"/>
      <c r="AI129" s="515"/>
      <c r="AJ129" s="515"/>
      <c r="AK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H129" s="515"/>
      <c r="BI129" s="515"/>
      <c r="BJ129" s="515"/>
      <c r="BL129" s="515"/>
      <c r="BM129" s="515"/>
    </row>
    <row r="130" spans="7:65">
      <c r="G130" s="515"/>
      <c r="H130" s="515"/>
      <c r="I130" s="515"/>
      <c r="J130" s="515"/>
      <c r="K130" s="519"/>
      <c r="L130" s="515"/>
      <c r="M130" s="515"/>
      <c r="N130" s="515"/>
      <c r="O130" s="515"/>
      <c r="P130" s="515"/>
      <c r="Q130" s="515"/>
      <c r="S130" s="515"/>
      <c r="T130" s="515"/>
      <c r="U130" s="515"/>
      <c r="V130" s="515"/>
      <c r="W130" s="515"/>
      <c r="X130" s="515"/>
      <c r="Y130" s="515"/>
      <c r="Z130" s="515"/>
      <c r="AA130" s="515"/>
      <c r="AB130" s="515"/>
      <c r="AC130" s="515"/>
      <c r="AD130" s="515"/>
      <c r="AE130" s="515"/>
      <c r="AF130" s="515"/>
      <c r="AG130" s="515"/>
      <c r="AH130" s="515"/>
      <c r="AI130" s="515"/>
      <c r="AJ130" s="515"/>
      <c r="AK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H130" s="515"/>
      <c r="BI130" s="515"/>
      <c r="BJ130" s="515"/>
      <c r="BL130" s="515"/>
      <c r="BM130" s="515"/>
    </row>
    <row r="131" spans="7:65">
      <c r="G131" s="515"/>
      <c r="H131" s="515"/>
      <c r="I131" s="515"/>
      <c r="J131" s="515"/>
      <c r="K131" s="519"/>
      <c r="L131" s="515"/>
      <c r="M131" s="515"/>
      <c r="N131" s="515"/>
      <c r="O131" s="515"/>
      <c r="P131" s="515"/>
      <c r="Q131" s="515"/>
      <c r="S131" s="515"/>
      <c r="T131" s="515"/>
      <c r="U131" s="515"/>
      <c r="V131" s="515"/>
      <c r="W131" s="515"/>
      <c r="X131" s="515"/>
      <c r="Y131" s="515"/>
      <c r="Z131" s="515"/>
      <c r="AA131" s="515"/>
      <c r="AB131" s="515"/>
      <c r="AC131" s="515"/>
      <c r="AD131" s="515"/>
      <c r="AE131" s="515"/>
      <c r="AF131" s="515"/>
      <c r="AG131" s="515"/>
      <c r="AH131" s="515"/>
      <c r="AI131" s="515"/>
      <c r="AJ131" s="515"/>
      <c r="AK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H131" s="515"/>
      <c r="BI131" s="515"/>
      <c r="BJ131" s="515"/>
      <c r="BL131" s="515"/>
      <c r="BM131" s="515"/>
    </row>
    <row r="132" spans="7:65">
      <c r="G132" s="515"/>
      <c r="H132" s="515"/>
      <c r="I132" s="515"/>
      <c r="J132" s="515"/>
      <c r="K132" s="519"/>
      <c r="L132" s="515"/>
      <c r="M132" s="515"/>
      <c r="N132" s="515"/>
      <c r="O132" s="515"/>
      <c r="P132" s="515"/>
      <c r="Q132" s="515"/>
      <c r="S132" s="515"/>
      <c r="T132" s="515"/>
      <c r="U132" s="515"/>
      <c r="V132" s="515"/>
      <c r="W132" s="515"/>
      <c r="X132" s="515"/>
      <c r="Y132" s="515"/>
      <c r="Z132" s="515"/>
      <c r="AA132" s="515"/>
      <c r="AB132" s="515"/>
      <c r="AC132" s="515"/>
      <c r="AD132" s="515"/>
      <c r="AE132" s="515"/>
      <c r="AF132" s="515"/>
      <c r="AG132" s="515"/>
      <c r="AH132" s="515"/>
      <c r="AI132" s="515"/>
      <c r="AJ132" s="515"/>
      <c r="AK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H132" s="515"/>
      <c r="BI132" s="515"/>
      <c r="BJ132" s="515"/>
      <c r="BL132" s="515"/>
      <c r="BM132" s="515"/>
    </row>
    <row r="133" spans="7:65">
      <c r="G133" s="515"/>
      <c r="H133" s="515"/>
      <c r="I133" s="515"/>
      <c r="J133" s="515"/>
      <c r="K133" s="519"/>
      <c r="L133" s="515"/>
      <c r="M133" s="515"/>
      <c r="N133" s="515"/>
      <c r="O133" s="515"/>
      <c r="P133" s="515"/>
      <c r="Q133" s="515"/>
      <c r="S133" s="515"/>
      <c r="T133" s="515"/>
      <c r="U133" s="515"/>
      <c r="V133" s="515"/>
      <c r="W133" s="515"/>
      <c r="X133" s="515"/>
      <c r="Y133" s="515"/>
      <c r="Z133" s="515"/>
      <c r="AA133" s="515"/>
      <c r="AB133" s="515"/>
      <c r="AC133" s="515"/>
      <c r="AD133" s="515"/>
      <c r="AE133" s="515"/>
      <c r="AF133" s="515"/>
      <c r="AG133" s="515"/>
      <c r="AH133" s="515"/>
      <c r="AI133" s="515"/>
      <c r="AJ133" s="515"/>
      <c r="AK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H133" s="515"/>
      <c r="BI133" s="515"/>
      <c r="BJ133" s="515"/>
      <c r="BL133" s="515"/>
      <c r="BM133" s="515"/>
    </row>
    <row r="134" spans="7:65">
      <c r="G134" s="515"/>
      <c r="H134" s="515"/>
      <c r="I134" s="515"/>
      <c r="J134" s="515"/>
      <c r="K134" s="519"/>
      <c r="L134" s="515"/>
      <c r="M134" s="515"/>
      <c r="N134" s="515"/>
      <c r="O134" s="515"/>
      <c r="P134" s="515"/>
      <c r="Q134" s="515"/>
      <c r="S134" s="515"/>
      <c r="T134" s="515"/>
      <c r="U134" s="515"/>
      <c r="V134" s="515"/>
      <c r="W134" s="515"/>
      <c r="X134" s="515"/>
      <c r="Y134" s="515"/>
      <c r="Z134" s="515"/>
      <c r="AA134" s="515"/>
      <c r="AB134" s="515"/>
      <c r="AC134" s="515"/>
      <c r="AD134" s="515"/>
      <c r="AE134" s="515"/>
      <c r="AF134" s="515"/>
      <c r="AG134" s="515"/>
      <c r="AH134" s="515"/>
      <c r="AI134" s="515"/>
      <c r="AJ134" s="515"/>
      <c r="AK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H134" s="515"/>
      <c r="BI134" s="515"/>
      <c r="BJ134" s="515"/>
      <c r="BL134" s="515"/>
      <c r="BM134" s="515"/>
    </row>
    <row r="135" spans="7:65">
      <c r="G135" s="515"/>
      <c r="H135" s="515"/>
      <c r="I135" s="515"/>
      <c r="J135" s="515"/>
      <c r="K135" s="519"/>
      <c r="L135" s="515"/>
      <c r="M135" s="515"/>
      <c r="N135" s="515"/>
      <c r="O135" s="515"/>
      <c r="P135" s="515"/>
      <c r="Q135" s="515"/>
      <c r="S135" s="515"/>
      <c r="T135" s="515"/>
      <c r="U135" s="515"/>
      <c r="V135" s="515"/>
      <c r="W135" s="515"/>
      <c r="X135" s="515"/>
      <c r="Y135" s="515"/>
      <c r="Z135" s="515"/>
      <c r="AA135" s="515"/>
      <c r="AB135" s="515"/>
      <c r="AC135" s="515"/>
      <c r="AD135" s="515"/>
      <c r="AE135" s="515"/>
      <c r="AF135" s="515"/>
      <c r="AG135" s="515"/>
      <c r="AH135" s="515"/>
      <c r="AI135" s="515"/>
      <c r="AJ135" s="515"/>
      <c r="AK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H135" s="515"/>
      <c r="BI135" s="515"/>
      <c r="BJ135" s="515"/>
      <c r="BL135" s="515"/>
      <c r="BM135" s="515"/>
    </row>
    <row r="136" spans="7:65">
      <c r="G136" s="515"/>
      <c r="H136" s="515"/>
      <c r="I136" s="515"/>
      <c r="J136" s="515"/>
      <c r="K136" s="519"/>
      <c r="L136" s="515"/>
      <c r="M136" s="515"/>
      <c r="N136" s="515"/>
      <c r="O136" s="515"/>
      <c r="P136" s="515"/>
      <c r="Q136" s="515"/>
      <c r="S136" s="515"/>
      <c r="T136" s="515"/>
      <c r="U136" s="515"/>
      <c r="V136" s="515"/>
      <c r="W136" s="515"/>
      <c r="X136" s="515"/>
      <c r="Y136" s="515"/>
      <c r="Z136" s="515"/>
      <c r="AA136" s="515"/>
      <c r="AB136" s="515"/>
      <c r="AC136" s="515"/>
      <c r="AD136" s="515"/>
      <c r="AE136" s="515"/>
      <c r="AF136" s="515"/>
      <c r="AG136" s="515"/>
      <c r="AH136" s="515"/>
      <c r="AI136" s="515"/>
      <c r="AJ136" s="515"/>
      <c r="AK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H136" s="515"/>
      <c r="BI136" s="515"/>
      <c r="BJ136" s="515"/>
      <c r="BL136" s="515"/>
      <c r="BM136" s="515"/>
    </row>
    <row r="137" spans="7:65">
      <c r="G137" s="515"/>
      <c r="H137" s="515"/>
      <c r="I137" s="515"/>
      <c r="J137" s="515"/>
      <c r="K137" s="519"/>
      <c r="L137" s="515"/>
      <c r="M137" s="515"/>
      <c r="N137" s="515"/>
      <c r="O137" s="515"/>
      <c r="P137" s="515"/>
      <c r="Q137" s="515"/>
      <c r="S137" s="515"/>
      <c r="T137" s="515"/>
      <c r="U137" s="515"/>
      <c r="V137" s="515"/>
      <c r="W137" s="515"/>
      <c r="X137" s="515"/>
      <c r="Y137" s="515"/>
      <c r="Z137" s="515"/>
      <c r="AA137" s="515"/>
      <c r="AB137" s="515"/>
      <c r="AC137" s="515"/>
      <c r="AD137" s="515"/>
      <c r="AE137" s="515"/>
      <c r="AF137" s="515"/>
      <c r="AG137" s="515"/>
      <c r="AH137" s="515"/>
      <c r="AI137" s="515"/>
      <c r="AJ137" s="515"/>
      <c r="AK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H137" s="515"/>
      <c r="BI137" s="515"/>
      <c r="BJ137" s="515"/>
      <c r="BL137" s="515"/>
      <c r="BM137" s="515"/>
    </row>
    <row r="138" spans="7:65">
      <c r="G138" s="515"/>
      <c r="H138" s="515"/>
      <c r="I138" s="515"/>
      <c r="J138" s="515"/>
      <c r="K138" s="519"/>
      <c r="L138" s="515"/>
      <c r="M138" s="515"/>
      <c r="N138" s="515"/>
      <c r="O138" s="515"/>
      <c r="P138" s="515"/>
      <c r="Q138" s="515"/>
      <c r="S138" s="515"/>
      <c r="T138" s="515"/>
      <c r="U138" s="515"/>
      <c r="V138" s="515"/>
      <c r="W138" s="515"/>
      <c r="X138" s="515"/>
      <c r="Y138" s="515"/>
      <c r="Z138" s="515"/>
      <c r="AA138" s="515"/>
      <c r="AB138" s="515"/>
      <c r="AC138" s="515"/>
      <c r="AD138" s="515"/>
      <c r="AE138" s="515"/>
      <c r="AF138" s="515"/>
      <c r="AG138" s="515"/>
      <c r="AH138" s="515"/>
      <c r="AI138" s="515"/>
      <c r="AJ138" s="515"/>
      <c r="AK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H138" s="515"/>
      <c r="BI138" s="515"/>
      <c r="BJ138" s="515"/>
      <c r="BL138" s="515"/>
      <c r="BM138" s="515"/>
    </row>
    <row r="139" spans="7:65">
      <c r="G139" s="515"/>
      <c r="H139" s="515"/>
      <c r="I139" s="515"/>
      <c r="J139" s="515"/>
      <c r="K139" s="519"/>
      <c r="L139" s="515"/>
      <c r="M139" s="515"/>
      <c r="N139" s="515"/>
      <c r="O139" s="515"/>
      <c r="P139" s="515"/>
      <c r="Q139" s="515"/>
      <c r="S139" s="515"/>
      <c r="T139" s="515"/>
      <c r="U139" s="515"/>
      <c r="V139" s="515"/>
      <c r="W139" s="515"/>
      <c r="X139" s="515"/>
      <c r="Y139" s="515"/>
      <c r="Z139" s="515"/>
      <c r="AA139" s="515"/>
      <c r="AB139" s="515"/>
      <c r="AC139" s="515"/>
      <c r="AD139" s="515"/>
      <c r="AE139" s="515"/>
      <c r="AF139" s="515"/>
      <c r="AG139" s="515"/>
      <c r="AH139" s="515"/>
      <c r="AI139" s="515"/>
      <c r="AJ139" s="515"/>
      <c r="AK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H139" s="515"/>
      <c r="BI139" s="515"/>
      <c r="BJ139" s="515"/>
      <c r="BL139" s="515"/>
      <c r="BM139" s="515"/>
    </row>
    <row r="140" spans="7:65">
      <c r="G140" s="515"/>
      <c r="H140" s="515"/>
      <c r="I140" s="515"/>
      <c r="J140" s="515"/>
      <c r="K140" s="519"/>
      <c r="L140" s="515"/>
      <c r="M140" s="515"/>
      <c r="N140" s="515"/>
      <c r="O140" s="515"/>
      <c r="P140" s="515"/>
      <c r="Q140" s="515"/>
      <c r="S140" s="515"/>
      <c r="T140" s="515"/>
      <c r="U140" s="515"/>
      <c r="V140" s="515"/>
      <c r="W140" s="515"/>
      <c r="X140" s="515"/>
      <c r="Y140" s="515"/>
      <c r="Z140" s="515"/>
      <c r="AA140" s="515"/>
      <c r="AB140" s="515"/>
      <c r="AC140" s="515"/>
      <c r="AD140" s="515"/>
      <c r="AE140" s="515"/>
      <c r="AF140" s="515"/>
      <c r="AG140" s="515"/>
      <c r="AH140" s="515"/>
      <c r="AI140" s="515"/>
      <c r="AJ140" s="515"/>
      <c r="AK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H140" s="515"/>
      <c r="BI140" s="515"/>
      <c r="BJ140" s="515"/>
      <c r="BL140" s="515"/>
      <c r="BM140" s="515"/>
    </row>
    <row r="141" spans="7:65">
      <c r="G141" s="515"/>
      <c r="H141" s="515"/>
      <c r="I141" s="515"/>
      <c r="J141" s="515"/>
      <c r="K141" s="519"/>
      <c r="L141" s="515"/>
      <c r="M141" s="515"/>
      <c r="N141" s="515"/>
      <c r="O141" s="515"/>
      <c r="P141" s="515"/>
      <c r="Q141" s="515"/>
      <c r="S141" s="515"/>
      <c r="T141" s="515"/>
      <c r="U141" s="515"/>
      <c r="V141" s="515"/>
      <c r="W141" s="515"/>
      <c r="X141" s="515"/>
      <c r="Y141" s="515"/>
      <c r="Z141" s="515"/>
      <c r="AA141" s="515"/>
      <c r="AB141" s="515"/>
      <c r="AC141" s="515"/>
      <c r="AD141" s="515"/>
      <c r="AE141" s="515"/>
      <c r="AF141" s="515"/>
      <c r="AG141" s="515"/>
      <c r="AH141" s="515"/>
      <c r="AI141" s="515"/>
      <c r="AJ141" s="515"/>
      <c r="AK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H141" s="515"/>
      <c r="BI141" s="515"/>
      <c r="BJ141" s="515"/>
      <c r="BL141" s="515"/>
      <c r="BM141" s="515"/>
    </row>
    <row r="142" spans="7:65">
      <c r="G142" s="515"/>
      <c r="H142" s="515"/>
      <c r="I142" s="515"/>
      <c r="J142" s="515"/>
      <c r="K142" s="519"/>
      <c r="L142" s="515"/>
      <c r="M142" s="515"/>
      <c r="N142" s="515"/>
      <c r="O142" s="515"/>
      <c r="P142" s="515"/>
      <c r="Q142" s="515"/>
      <c r="S142" s="515"/>
      <c r="T142" s="515"/>
      <c r="U142" s="515"/>
      <c r="V142" s="515"/>
      <c r="W142" s="515"/>
      <c r="X142" s="515"/>
      <c r="Y142" s="515"/>
      <c r="Z142" s="515"/>
      <c r="AA142" s="515"/>
      <c r="AB142" s="515"/>
      <c r="AC142" s="515"/>
      <c r="AD142" s="515"/>
      <c r="AE142" s="515"/>
      <c r="AF142" s="515"/>
      <c r="AG142" s="515"/>
      <c r="AH142" s="515"/>
      <c r="AI142" s="515"/>
      <c r="AJ142" s="515"/>
      <c r="AK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H142" s="515"/>
      <c r="BI142" s="515"/>
      <c r="BJ142" s="515"/>
      <c r="BL142" s="515"/>
      <c r="BM142" s="515"/>
    </row>
    <row r="143" spans="7:65">
      <c r="G143" s="515"/>
      <c r="H143" s="515"/>
      <c r="I143" s="515"/>
      <c r="J143" s="515"/>
      <c r="K143" s="519"/>
      <c r="L143" s="515"/>
      <c r="M143" s="515"/>
      <c r="N143" s="515"/>
      <c r="O143" s="515"/>
      <c r="P143" s="515"/>
      <c r="Q143" s="515"/>
      <c r="S143" s="515"/>
      <c r="T143" s="515"/>
      <c r="U143" s="515"/>
      <c r="V143" s="515"/>
      <c r="W143" s="515"/>
      <c r="X143" s="515"/>
      <c r="Y143" s="515"/>
      <c r="Z143" s="515"/>
      <c r="AA143" s="515"/>
      <c r="AB143" s="515"/>
      <c r="AC143" s="515"/>
      <c r="AD143" s="515"/>
      <c r="AE143" s="515"/>
      <c r="AF143" s="515"/>
      <c r="AG143" s="515"/>
      <c r="AH143" s="515"/>
      <c r="AI143" s="515"/>
      <c r="AJ143" s="515"/>
      <c r="AK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H143" s="515"/>
      <c r="BI143" s="515"/>
      <c r="BJ143" s="515"/>
      <c r="BL143" s="515"/>
      <c r="BM143" s="515"/>
    </row>
    <row r="144" spans="7:65">
      <c r="G144" s="515"/>
      <c r="H144" s="515"/>
      <c r="I144" s="515"/>
      <c r="J144" s="515"/>
      <c r="K144" s="519"/>
      <c r="L144" s="515"/>
      <c r="M144" s="515"/>
      <c r="N144" s="515"/>
      <c r="O144" s="515"/>
      <c r="P144" s="515"/>
      <c r="Q144" s="515"/>
      <c r="S144" s="515"/>
      <c r="T144" s="515"/>
      <c r="U144" s="515"/>
      <c r="V144" s="515"/>
      <c r="W144" s="515"/>
      <c r="X144" s="515"/>
      <c r="Y144" s="515"/>
      <c r="Z144" s="515"/>
      <c r="AA144" s="515"/>
      <c r="AB144" s="515"/>
      <c r="AC144" s="515"/>
      <c r="AD144" s="515"/>
      <c r="AE144" s="515"/>
      <c r="AF144" s="515"/>
      <c r="AG144" s="515"/>
      <c r="AH144" s="515"/>
      <c r="AI144" s="515"/>
      <c r="AJ144" s="515"/>
      <c r="AK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H144" s="515"/>
      <c r="BI144" s="515"/>
      <c r="BJ144" s="515"/>
      <c r="BL144" s="515"/>
      <c r="BM144" s="515"/>
    </row>
    <row r="145" spans="7:65">
      <c r="G145" s="515"/>
      <c r="H145" s="515"/>
      <c r="I145" s="515"/>
      <c r="J145" s="515"/>
      <c r="K145" s="519"/>
      <c r="L145" s="515"/>
      <c r="M145" s="515"/>
      <c r="N145" s="515"/>
      <c r="O145" s="515"/>
      <c r="P145" s="515"/>
      <c r="Q145" s="515"/>
      <c r="S145" s="515"/>
      <c r="T145" s="515"/>
      <c r="U145" s="515"/>
      <c r="V145" s="515"/>
      <c r="W145" s="515"/>
      <c r="X145" s="515"/>
      <c r="Y145" s="515"/>
      <c r="Z145" s="515"/>
      <c r="AA145" s="515"/>
      <c r="AB145" s="515"/>
      <c r="AC145" s="515"/>
      <c r="AD145" s="515"/>
      <c r="AE145" s="515"/>
      <c r="AF145" s="515"/>
      <c r="AG145" s="515"/>
      <c r="AH145" s="515"/>
      <c r="AI145" s="515"/>
      <c r="AJ145" s="515"/>
      <c r="AK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H145" s="515"/>
      <c r="BI145" s="515"/>
      <c r="BJ145" s="515"/>
      <c r="BL145" s="515"/>
      <c r="BM145" s="515"/>
    </row>
    <row r="146" spans="7:65">
      <c r="G146" s="515"/>
      <c r="H146" s="515"/>
      <c r="I146" s="515"/>
      <c r="J146" s="515"/>
      <c r="K146" s="519"/>
      <c r="L146" s="515"/>
      <c r="M146" s="515"/>
      <c r="N146" s="515"/>
      <c r="O146" s="515"/>
      <c r="P146" s="515"/>
      <c r="Q146" s="515"/>
      <c r="S146" s="515"/>
      <c r="T146" s="515"/>
      <c r="U146" s="515"/>
      <c r="V146" s="515"/>
      <c r="W146" s="515"/>
      <c r="X146" s="515"/>
      <c r="Y146" s="515"/>
      <c r="Z146" s="515"/>
      <c r="AA146" s="515"/>
      <c r="AB146" s="515"/>
      <c r="AC146" s="515"/>
      <c r="AD146" s="515"/>
      <c r="AE146" s="515"/>
      <c r="AF146" s="515"/>
      <c r="AG146" s="515"/>
      <c r="AH146" s="515"/>
      <c r="AI146" s="515"/>
      <c r="AJ146" s="515"/>
      <c r="AK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H146" s="515"/>
      <c r="BI146" s="515"/>
      <c r="BJ146" s="515"/>
      <c r="BL146" s="515"/>
      <c r="BM146" s="515"/>
    </row>
    <row r="147" spans="7:65">
      <c r="G147" s="515"/>
      <c r="H147" s="515"/>
      <c r="I147" s="515"/>
      <c r="J147" s="515"/>
      <c r="K147" s="519"/>
      <c r="L147" s="515"/>
      <c r="M147" s="515"/>
      <c r="N147" s="515"/>
      <c r="O147" s="515"/>
      <c r="P147" s="515"/>
      <c r="Q147" s="515"/>
      <c r="S147" s="515"/>
      <c r="T147" s="515"/>
      <c r="U147" s="515"/>
      <c r="V147" s="515"/>
      <c r="W147" s="515"/>
      <c r="X147" s="515"/>
      <c r="Y147" s="515"/>
      <c r="Z147" s="515"/>
      <c r="AA147" s="515"/>
      <c r="AB147" s="515"/>
      <c r="AC147" s="515"/>
      <c r="AD147" s="515"/>
      <c r="AE147" s="515"/>
      <c r="AF147" s="515"/>
      <c r="AG147" s="515"/>
      <c r="AH147" s="515"/>
      <c r="AI147" s="515"/>
      <c r="AJ147" s="515"/>
      <c r="AK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H147" s="515"/>
      <c r="BI147" s="515"/>
      <c r="BJ147" s="515"/>
      <c r="BL147" s="515"/>
      <c r="BM147" s="515"/>
    </row>
    <row r="148" spans="7:65">
      <c r="G148" s="515"/>
      <c r="H148" s="515"/>
      <c r="I148" s="515"/>
      <c r="J148" s="515"/>
      <c r="K148" s="519"/>
      <c r="L148" s="515"/>
      <c r="M148" s="515"/>
      <c r="N148" s="515"/>
      <c r="O148" s="515"/>
      <c r="P148" s="515"/>
      <c r="Q148" s="515"/>
      <c r="S148" s="515"/>
      <c r="T148" s="515"/>
      <c r="U148" s="515"/>
      <c r="V148" s="515"/>
      <c r="W148" s="515"/>
      <c r="X148" s="515"/>
      <c r="Y148" s="515"/>
      <c r="Z148" s="515"/>
      <c r="AA148" s="515"/>
      <c r="AB148" s="515"/>
      <c r="AC148" s="515"/>
      <c r="AD148" s="515"/>
      <c r="AE148" s="515"/>
      <c r="AF148" s="515"/>
      <c r="AG148" s="515"/>
      <c r="AH148" s="515"/>
      <c r="AI148" s="515"/>
      <c r="AJ148" s="515"/>
      <c r="AK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H148" s="515"/>
      <c r="BI148" s="515"/>
      <c r="BJ148" s="515"/>
      <c r="BL148" s="515"/>
      <c r="BM148" s="515"/>
    </row>
  </sheetData>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worksheet>
</file>

<file path=xl/worksheets/sheet62.xml><?xml version="1.0" encoding="utf-8"?>
<worksheet xmlns="http://schemas.openxmlformats.org/spreadsheetml/2006/main" xmlns:r="http://schemas.openxmlformats.org/officeDocument/2006/relationships">
  <sheetPr codeName="Sheet14">
    <tabColor theme="6" tint="0.39997558519241921"/>
    <pageSetUpPr autoPageBreaks="0"/>
  </sheetPr>
  <dimension ref="A1:DH148"/>
  <sheetViews>
    <sheetView showGridLines="0" zoomScale="80" zoomScaleNormal="80" workbookViewId="0">
      <pane xSplit="5" ySplit="5" topLeftCell="F6" activePane="bottomRight" state="frozen"/>
      <selection pane="topRight"/>
      <selection pane="bottomLeft"/>
      <selection pane="bottomRight"/>
    </sheetView>
  </sheetViews>
  <sheetFormatPr defaultRowHeight="12.75" outlineLevelRow="2" outlineLevelCol="2"/>
  <cols>
    <col min="1" max="1" width="1.7109375" style="121" customWidth="1"/>
    <col min="2" max="2" width="1.5703125" style="121" customWidth="1"/>
    <col min="3" max="3" width="4.42578125" style="508" customWidth="1"/>
    <col min="4" max="4" width="3.85546875" style="509" customWidth="1"/>
    <col min="5" max="5" width="41.7109375" style="509" customWidth="1"/>
    <col min="6" max="6" width="1.140625" style="121" customWidth="1" outlineLevel="1"/>
    <col min="7" max="10" width="10" style="509" customWidth="1" outlineLevel="2"/>
    <col min="11" max="11" width="10" style="530" customWidth="1" outlineLevel="2"/>
    <col min="12" max="16" width="10" style="509" customWidth="1" outlineLevel="2"/>
    <col min="17" max="17" width="10" style="509" customWidth="1" outlineLevel="1"/>
    <col min="18" max="18" width="1.140625" style="121" customWidth="1" outlineLevel="1"/>
    <col min="19" max="36" width="10" style="509" customWidth="1" outlineLevel="2"/>
    <col min="37" max="37" width="10" style="509" customWidth="1" outlineLevel="1"/>
    <col min="38" max="38" width="1.140625" style="121" customWidth="1" outlineLevel="1"/>
    <col min="39" max="57" width="10" style="509" customWidth="1" outlineLevel="2"/>
    <col min="58" max="58" width="10" style="509" customWidth="1" outlineLevel="1"/>
    <col min="59" max="59" width="1.140625" style="121" customWidth="1" outlineLevel="1"/>
    <col min="60" max="61" width="10" style="509" customWidth="1" outlineLevel="2"/>
    <col min="62" max="62" width="10" style="509" customWidth="1" outlineLevel="1"/>
    <col min="63" max="63" width="1.140625" style="121" customWidth="1" outlineLevel="1"/>
    <col min="64" max="64" width="11" style="509" customWidth="1" outlineLevel="1"/>
    <col min="65" max="65" width="5.28515625" style="509" customWidth="1"/>
    <col min="66" max="66" width="9.140625" style="121"/>
    <col min="67" max="110" width="7.5703125" style="121" customWidth="1"/>
    <col min="111" max="111" width="2.5703125" style="121" customWidth="1"/>
    <col min="112" max="16384" width="9.140625" style="121"/>
  </cols>
  <sheetData>
    <row r="1" spans="1:112" ht="6" customHeight="1"/>
    <row r="2" spans="1:112" ht="21" customHeight="1">
      <c r="D2" s="495"/>
      <c r="E2" s="965">
        <v>2050</v>
      </c>
      <c r="G2" s="121"/>
      <c r="H2" s="121"/>
      <c r="I2" s="121"/>
      <c r="J2" s="121"/>
      <c r="K2" s="121"/>
      <c r="L2" s="121"/>
      <c r="M2" s="121"/>
      <c r="N2" s="121"/>
      <c r="O2" s="121"/>
      <c r="P2" s="121"/>
      <c r="Q2" s="121"/>
      <c r="S2" s="121"/>
      <c r="T2" s="121"/>
      <c r="U2" s="121"/>
      <c r="V2" s="121"/>
      <c r="W2" s="121"/>
      <c r="X2" s="121"/>
      <c r="Y2" s="121"/>
      <c r="Z2" s="121"/>
      <c r="AA2" s="121"/>
      <c r="AB2" s="121"/>
      <c r="AC2" s="121"/>
      <c r="AD2" s="121"/>
      <c r="AE2" s="121"/>
      <c r="AF2" s="121"/>
      <c r="AG2" s="121"/>
      <c r="AH2" s="121"/>
      <c r="AI2" s="121"/>
      <c r="AJ2" s="121"/>
      <c r="AK2" s="121"/>
      <c r="AM2" s="121"/>
      <c r="AN2" s="121"/>
      <c r="AO2" s="121"/>
      <c r="AP2" s="121"/>
      <c r="AQ2" s="121"/>
      <c r="AR2" s="121"/>
      <c r="AS2" s="121"/>
      <c r="AT2" s="121"/>
      <c r="AU2" s="121"/>
      <c r="AV2" s="121"/>
      <c r="AW2" s="121"/>
      <c r="AX2" s="121"/>
      <c r="AY2" s="121"/>
      <c r="AZ2" s="121"/>
      <c r="BA2" s="121"/>
      <c r="BB2" s="121"/>
      <c r="BC2" s="121"/>
      <c r="BD2" s="121"/>
      <c r="BE2" s="121"/>
      <c r="BF2" s="121"/>
      <c r="BH2" s="121"/>
      <c r="BI2" s="121"/>
      <c r="BJ2" s="121"/>
      <c r="BL2" s="121"/>
      <c r="BM2" s="681"/>
    </row>
    <row r="3" spans="1:112" ht="39" customHeight="1">
      <c r="A3" s="754"/>
      <c r="B3" s="754"/>
      <c r="C3" s="754"/>
      <c r="D3" s="500"/>
      <c r="E3" s="808" t="str">
        <f>Preferences.EnergyUnits</f>
        <v>TWh</v>
      </c>
      <c r="G3" s="994" t="s">
        <v>751</v>
      </c>
      <c r="H3" s="994"/>
      <c r="I3" s="994"/>
      <c r="J3" s="994"/>
      <c r="K3" s="994"/>
      <c r="L3" s="994"/>
      <c r="M3" s="994"/>
      <c r="N3" s="994"/>
      <c r="O3" s="994"/>
      <c r="P3" s="994"/>
      <c r="Q3" s="994"/>
      <c r="S3" s="1133" t="s">
        <v>689</v>
      </c>
      <c r="T3" s="1134"/>
      <c r="U3" s="1134"/>
      <c r="V3" s="1134"/>
      <c r="W3" s="1134"/>
      <c r="X3" s="1138"/>
      <c r="Y3" s="1134"/>
      <c r="Z3" s="1134"/>
      <c r="AA3" s="1134"/>
      <c r="AB3" s="1134"/>
      <c r="AC3" s="1134"/>
      <c r="AD3" s="1134"/>
      <c r="AE3" s="1134"/>
      <c r="AF3" s="1134"/>
      <c r="AG3" s="1134"/>
      <c r="AH3" s="1134"/>
      <c r="AI3" s="1134"/>
      <c r="AJ3" s="1134"/>
      <c r="AK3" s="1137"/>
      <c r="AM3" s="1135" t="s">
        <v>1063</v>
      </c>
      <c r="AN3" s="1136"/>
      <c r="AO3" s="1136"/>
      <c r="AP3" s="1139"/>
      <c r="AQ3" s="1136"/>
      <c r="AR3" s="1136"/>
      <c r="AS3" s="1136"/>
      <c r="AT3" s="1136"/>
      <c r="AU3" s="1136"/>
      <c r="AV3" s="1136"/>
      <c r="AW3" s="1136"/>
      <c r="AX3" s="1136"/>
      <c r="AY3" s="1136"/>
      <c r="AZ3" s="1136"/>
      <c r="BA3" s="1136"/>
      <c r="BB3" s="1136"/>
      <c r="BC3" s="1136"/>
      <c r="BD3" s="1136"/>
      <c r="BE3" s="1136"/>
      <c r="BF3" s="1140"/>
      <c r="BH3" s="1025" t="s">
        <v>944</v>
      </c>
      <c r="BI3" s="1003"/>
      <c r="BJ3" s="1003"/>
      <c r="BL3" s="504"/>
      <c r="BM3" s="504"/>
      <c r="BN3" s="754"/>
      <c r="BO3" s="1142" t="s">
        <v>1067</v>
      </c>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3"/>
      <c r="CM3" s="1143"/>
      <c r="CN3" s="1143"/>
      <c r="CO3" s="1143"/>
      <c r="CP3" s="1143"/>
      <c r="CQ3" s="1143"/>
      <c r="CR3" s="1143"/>
      <c r="CS3" s="1143"/>
      <c r="CT3" s="1143"/>
      <c r="CU3" s="1143"/>
      <c r="CV3" s="1143"/>
      <c r="CW3" s="1143"/>
      <c r="CX3" s="1143"/>
      <c r="CY3" s="1143"/>
      <c r="CZ3" s="1143"/>
      <c r="DA3" s="1143"/>
      <c r="DB3" s="1143"/>
      <c r="DC3" s="1280"/>
      <c r="DD3" s="1280"/>
      <c r="DE3" s="1280"/>
      <c r="DF3" s="1280"/>
    </row>
    <row r="4" spans="1:112" ht="36.75" customHeight="1">
      <c r="C4" s="505"/>
      <c r="D4" s="505"/>
      <c r="G4" s="966" t="str">
        <f>INDEX(Vectors[Description], MATCH(G$5,Vectors[Code],FALSE))</f>
        <v>Heating and cooling</v>
      </c>
      <c r="H4" s="966" t="str">
        <f>INDEX(Vectors[Description], MATCH(H$5,Vectors[Code],FALSE))</f>
        <v>Lighting &amp; appliances</v>
      </c>
      <c r="I4" s="966" t="str">
        <f>INDEX(Vectors[Description], MATCH(I$5,Vectors[Code],FALSE))</f>
        <v>Industry</v>
      </c>
      <c r="J4" s="966" t="str">
        <f>INDEX(Vectors[Description], MATCH(J$5,Vectors[Code],FALSE))</f>
        <v>Road transport</v>
      </c>
      <c r="K4" s="966" t="str">
        <f>INDEX(Vectors[Description], MATCH(K$5,Vectors[Code],FALSE))</f>
        <v>Rail transport</v>
      </c>
      <c r="L4" s="966" t="str">
        <f>INDEX(Vectors[Description], MATCH(L$5,Vectors[Code],FALSE))</f>
        <v>Domestic aviation</v>
      </c>
      <c r="M4" s="966" t="str">
        <f>INDEX(Vectors[Description], MATCH(M$5,Vectors[Code],FALSE))</f>
        <v>National navigation</v>
      </c>
      <c r="N4" s="966" t="str">
        <f>INDEX(Vectors[Description], MATCH(N$5,Vectors[Code],FALSE))</f>
        <v>International aviation</v>
      </c>
      <c r="O4" s="966" t="str">
        <f>INDEX(Vectors[Description], MATCH(O$5,Vectors[Code],FALSE))</f>
        <v>International shipping</v>
      </c>
      <c r="P4" s="966" t="str">
        <f>INDEX(Vectors[Description], MATCH(P$5,Vectors[Code],FALSE))</f>
        <v>Food consumption [UNUSED]</v>
      </c>
      <c r="Q4" s="983" t="s">
        <v>949</v>
      </c>
      <c r="S4" s="967" t="str">
        <f>INDEX(Vectors[Description], MATCH(S$5,Vectors[Code],FALSE))</f>
        <v>Electricity (delivered to end user)</v>
      </c>
      <c r="T4" s="967" t="str">
        <f>INDEX(Vectors[Description], MATCH(T$5,Vectors[Code],FALSE))</f>
        <v>Electricity (supplied to grid)</v>
      </c>
      <c r="U4" s="967" t="str">
        <f>INDEX(Vectors[Description], MATCH(U$5,Vectors[Code],FALSE))</f>
        <v>Solid hydrocarbons</v>
      </c>
      <c r="V4" s="967" t="str">
        <f>INDEX(Vectors[Description], MATCH(V$5,Vectors[Code],FALSE))</f>
        <v>Liquid hydrocarbons</v>
      </c>
      <c r="W4" s="967" t="str">
        <f>INDEX(Vectors[Description], MATCH(W$5,Vectors[Code],FALSE))</f>
        <v>Gaseous hydrocarbons</v>
      </c>
      <c r="X4" s="967" t="str">
        <f>INDEX(Vectors[Description], MATCH(X$5,Vectors[Code],FALSE))</f>
        <v>Coal and fossil waste</v>
      </c>
      <c r="Y4" s="967" t="str">
        <f>INDEX(Vectors[Description], MATCH(Y$5,Vectors[Code],FALSE))</f>
        <v>Oil and petroleum products</v>
      </c>
      <c r="Z4" s="967" t="str">
        <f>INDEX(Vectors[Description], MATCH(Z$5,Vectors[Code],FALSE))</f>
        <v>Natural gas</v>
      </c>
      <c r="AA4" s="967" t="str">
        <f>INDEX(Vectors[Description], MATCH(AA$5,Vectors[Code],FALSE))</f>
        <v>Blast furnace gas</v>
      </c>
      <c r="AB4" s="967" t="str">
        <f>INDEX(Vectors[Description], MATCH(AB$5,Vectors[Code],FALSE))</f>
        <v>Heat transport</v>
      </c>
      <c r="AC4" s="967" t="str">
        <f>INDEX(Vectors[Description], MATCH(AC$5,Vectors[Code],FALSE))</f>
        <v>Edible biomatter</v>
      </c>
      <c r="AD4" s="967" t="str">
        <f>INDEX(Vectors[Description], MATCH(AD$5,Vectors[Code],FALSE))</f>
        <v>Energy crops (second generation)</v>
      </c>
      <c r="AE4" s="967" t="str">
        <f>INDEX(Vectors[Description], MATCH(AE$5,Vectors[Code],FALSE))</f>
        <v>Energy crops (first generation)</v>
      </c>
      <c r="AF4" s="967" t="str">
        <f>INDEX(Vectors[Description], MATCH(AF$5,Vectors[Code],FALSE))</f>
        <v>Dry biomatter and waste</v>
      </c>
      <c r="AG4" s="967" t="str">
        <f>INDEX(Vectors[Description], MATCH(AG$5,Vectors[Code],FALSE))</f>
        <v>Wet biomatter and waste</v>
      </c>
      <c r="AH4" s="967" t="str">
        <f>INDEX(Vectors[Description], MATCH(AH$5,Vectors[Code],FALSE))</f>
        <v>Gaseous waste</v>
      </c>
      <c r="AI4" s="967" t="str">
        <f>INDEX(Vectors[Description], MATCH(AI$5,Vectors[Code],FALSE))</f>
        <v>Domestic solar thermal</v>
      </c>
      <c r="AJ4" s="967" t="str">
        <f>INDEX(Vectors[Description], MATCH(AJ$5,Vectors[Code],FALSE))</f>
        <v>H2</v>
      </c>
      <c r="AK4" s="997" t="s">
        <v>685</v>
      </c>
      <c r="AM4" s="981" t="str">
        <f>INDEX(Vectors[Description], MATCH(AM$5,Vectors[Code],FALSE))</f>
        <v>Coal reserves</v>
      </c>
      <c r="AN4" s="981" t="str">
        <f>INDEX(Vectors[Description], MATCH(AN$5,Vectors[Code],FALSE))</f>
        <v>Oil reserves</v>
      </c>
      <c r="AO4" s="981" t="str">
        <f>INDEX(Vectors[Description], MATCH(AO$5,Vectors[Code],FALSE))</f>
        <v>Gas reserves</v>
      </c>
      <c r="AP4" s="981" t="str">
        <f>INDEX(Vectors[Description], MATCH(AP$5,Vectors[Code],FALSE))</f>
        <v>Biomatter exports (imports)</v>
      </c>
      <c r="AQ4" s="981" t="str">
        <f>INDEX(Vectors[Description], MATCH(AQ$5,Vectors[Code],FALSE))</f>
        <v>Electricity exports (imports)</v>
      </c>
      <c r="AR4" s="981" t="str">
        <f>INDEX(Vectors[Description], MATCH(AR$5,Vectors[Code],FALSE))</f>
        <v>Petroleum products exports</v>
      </c>
      <c r="AS4" s="981" t="str">
        <f>INDEX(Vectors[Description], MATCH(AS$5,Vectors[Code],FALSE))</f>
        <v>Coal exports (imports)</v>
      </c>
      <c r="AT4" s="981" t="str">
        <f>INDEX(Vectors[Description], MATCH(AT$5,Vectors[Code],FALSE))</f>
        <v>Oil and petroleum products exports (imports)</v>
      </c>
      <c r="AU4" s="981" t="str">
        <f>INDEX(Vectors[Description], MATCH(AU$5,Vectors[Code],FALSE))</f>
        <v>Gas exports (imports)</v>
      </c>
      <c r="AV4" s="981" t="str">
        <f>INDEX(Vectors[Description], MATCH(AV$5,Vectors[Code],FALSE))</f>
        <v>Nuclear fission</v>
      </c>
      <c r="AW4" s="981" t="str">
        <f>INDEX(Vectors[Description], MATCH(AW$5,Vectors[Code],FALSE))</f>
        <v>Solar</v>
      </c>
      <c r="AX4" s="981" t="str">
        <f>INDEX(Vectors[Description], MATCH(AX$5,Vectors[Code],FALSE))</f>
        <v>Wind</v>
      </c>
      <c r="AY4" s="981" t="str">
        <f>INDEX(Vectors[Description], MATCH(AY$5,Vectors[Code],FALSE))</f>
        <v>Tidal</v>
      </c>
      <c r="AZ4" s="981" t="str">
        <f>INDEX(Vectors[Description], MATCH(AZ$5,Vectors[Code],FALSE))</f>
        <v>Wave</v>
      </c>
      <c r="BA4" s="981" t="str">
        <f>INDEX(Vectors[Description], MATCH(BA$5,Vectors[Code],FALSE))</f>
        <v>Geothermal</v>
      </c>
      <c r="BB4" s="981" t="str">
        <f>INDEX(Vectors[Description], MATCH(BB$5,Vectors[Code],FALSE))</f>
        <v>Hydro</v>
      </c>
      <c r="BC4" s="981" t="str">
        <f>INDEX(Vectors[Description], MATCH(BC$5,Vectors[Code],FALSE))</f>
        <v>Environmental heat</v>
      </c>
      <c r="BD4" s="981" t="str">
        <f>INDEX(Vectors[Description], MATCH(BD$5,Vectors[Code],FALSE))</f>
        <v>Agriculture</v>
      </c>
      <c r="BE4" s="981" t="str">
        <f>INDEX(Vectors[Description], MATCH(BE$5,Vectors[Code],FALSE))</f>
        <v>Waste</v>
      </c>
      <c r="BF4" s="999" t="s">
        <v>686</v>
      </c>
      <c r="BH4" s="986" t="str">
        <f>INDEX(Vectors[Description], MATCH(BH$5,Vectors[Code],FALSE))</f>
        <v>Conversion losses</v>
      </c>
      <c r="BI4" s="986" t="str">
        <f>INDEX(Vectors[Description], MATCH(BI$5,Vectors[Code],FALSE))</f>
        <v>Distribution losses and own use</v>
      </c>
      <c r="BJ4" s="1001" t="s">
        <v>943</v>
      </c>
      <c r="BL4" s="507" t="str">
        <f>INDEX(Vectors[Description], MATCH(BL$5,Vectors[Code],FALSE))</f>
        <v>Unallocated</v>
      </c>
      <c r="BM4" s="507"/>
      <c r="BO4" s="1151" t="str">
        <f>INDEX(IPCC[Sector_description], MATCH(BO$5, IPCC[Sector_code], 0))</f>
        <v>Fuel Combustion</v>
      </c>
      <c r="BP4" s="1152"/>
      <c r="BQ4" s="1152"/>
      <c r="BR4" s="1153"/>
      <c r="BS4" s="1151" t="str">
        <f>INDEX(IPCC[Sector_description], MATCH(BS$5, IPCC[Sector_code], 0))</f>
        <v>Fugitive Emissions from Fuels</v>
      </c>
      <c r="BT4" s="1152"/>
      <c r="BU4" s="1152"/>
      <c r="BV4" s="1153"/>
      <c r="BW4" s="1151" t="str">
        <f>INDEX(IPCC[Sector_description], MATCH(BW$5, IPCC[Sector_code], 0))</f>
        <v>Industrial Processes</v>
      </c>
      <c r="BX4" s="1152"/>
      <c r="BY4" s="1152"/>
      <c r="BZ4" s="1153"/>
      <c r="CA4" s="1151" t="str">
        <f>INDEX(IPCC[Sector_description], MATCH(CA$5, IPCC[Sector_code], 0))</f>
        <v>Solvent and Other Product Use</v>
      </c>
      <c r="CB4" s="1152"/>
      <c r="CC4" s="1152"/>
      <c r="CD4" s="1153"/>
      <c r="CE4" s="1151" t="str">
        <f>INDEX(IPCC[Sector_description], MATCH(CE$5, IPCC[Sector_code], 0))</f>
        <v>Agriculture</v>
      </c>
      <c r="CF4" s="1152"/>
      <c r="CG4" s="1152"/>
      <c r="CH4" s="1153"/>
      <c r="CI4" s="1151" t="str">
        <f>INDEX(IPCC[Sector_description], MATCH(CI$5, IPCC[Sector_code], 0))</f>
        <v>Land Use, Land-Use Change and Forestry</v>
      </c>
      <c r="CJ4" s="1152"/>
      <c r="CK4" s="1152"/>
      <c r="CL4" s="1153"/>
      <c r="CM4" s="1151" t="str">
        <f>INDEX(IPCC[Sector_description], MATCH(CM$5, IPCC[Sector_code], 0))</f>
        <v>Waste</v>
      </c>
      <c r="CN4" s="1152"/>
      <c r="CO4" s="1152"/>
      <c r="CP4" s="1153"/>
      <c r="CQ4" s="1151" t="str">
        <f>INDEX(IPCC[Sector_description], MATCH(CQ$5, IPCC[Sector_code], 0))</f>
        <v>Other</v>
      </c>
      <c r="CR4" s="1152"/>
      <c r="CS4" s="1152"/>
      <c r="CT4" s="1153"/>
      <c r="CU4" s="1151" t="str">
        <f>INDEX(IPCC[Sector_description], MATCH(CU$5, IPCC[Sector_code], 0))</f>
        <v>International Aviation and Shipping</v>
      </c>
      <c r="CV4" s="1152"/>
      <c r="CW4" s="1152"/>
      <c r="CX4" s="1153"/>
      <c r="CY4" s="1151" t="str">
        <f>INDEX(IPCC[Sector_description], MATCH(CY$5, IPCC[Sector_code], 0))</f>
        <v>Bioenergy credit</v>
      </c>
      <c r="CZ4" s="1152"/>
      <c r="DA4" s="1152"/>
      <c r="DB4" s="1153"/>
      <c r="DC4" s="1151" t="str">
        <f>INDEX(IPCC[Sector_description], MATCH(DC$5, IPCC[Sector_code], 0))</f>
        <v>Carbon capture</v>
      </c>
      <c r="DD4" s="1152"/>
      <c r="DE4" s="1152"/>
      <c r="DF4" s="1153"/>
      <c r="DH4" s="1479" t="s">
        <v>148</v>
      </c>
    </row>
    <row r="5" spans="1:112">
      <c r="D5" s="951" t="s">
        <v>200</v>
      </c>
      <c r="G5" s="984" t="s">
        <v>6</v>
      </c>
      <c r="H5" s="984" t="s">
        <v>57</v>
      </c>
      <c r="I5" s="984" t="s">
        <v>13</v>
      </c>
      <c r="J5" s="984" t="s">
        <v>36</v>
      </c>
      <c r="K5" s="984" t="s">
        <v>37</v>
      </c>
      <c r="L5" s="984" t="s">
        <v>38</v>
      </c>
      <c r="M5" s="984" t="s">
        <v>39</v>
      </c>
      <c r="N5" s="984" t="s">
        <v>966</v>
      </c>
      <c r="O5" s="984" t="s">
        <v>967</v>
      </c>
      <c r="P5" s="984" t="s">
        <v>40</v>
      </c>
      <c r="Q5" s="984"/>
      <c r="S5" s="985" t="s">
        <v>45</v>
      </c>
      <c r="T5" s="985" t="s">
        <v>46</v>
      </c>
      <c r="U5" s="985" t="s">
        <v>47</v>
      </c>
      <c r="V5" s="985" t="s">
        <v>49</v>
      </c>
      <c r="W5" s="985" t="s">
        <v>50</v>
      </c>
      <c r="X5" s="985" t="s">
        <v>64</v>
      </c>
      <c r="Y5" s="985" t="s">
        <v>65</v>
      </c>
      <c r="Z5" s="985" t="s">
        <v>66</v>
      </c>
      <c r="AA5" s="985" t="s">
        <v>108</v>
      </c>
      <c r="AB5" s="985" t="s">
        <v>753</v>
      </c>
      <c r="AC5" s="985" t="s">
        <v>754</v>
      </c>
      <c r="AD5" s="985" t="s">
        <v>1801</v>
      </c>
      <c r="AE5" s="985" t="s">
        <v>2291</v>
      </c>
      <c r="AF5" s="985" t="s">
        <v>755</v>
      </c>
      <c r="AG5" s="985" t="s">
        <v>929</v>
      </c>
      <c r="AH5" s="985" t="s">
        <v>2294</v>
      </c>
      <c r="AI5" s="985" t="s">
        <v>1331</v>
      </c>
      <c r="AJ5" s="985" t="s">
        <v>1476</v>
      </c>
      <c r="AK5" s="985"/>
      <c r="AM5" s="982" t="s">
        <v>999</v>
      </c>
      <c r="AN5" s="982" t="s">
        <v>1000</v>
      </c>
      <c r="AO5" s="982" t="s">
        <v>1001</v>
      </c>
      <c r="AP5" s="982" t="s">
        <v>59</v>
      </c>
      <c r="AQ5" s="982" t="s">
        <v>60</v>
      </c>
      <c r="AR5" s="982" t="s">
        <v>799</v>
      </c>
      <c r="AS5" s="982" t="s">
        <v>991</v>
      </c>
      <c r="AT5" s="982" t="s">
        <v>992</v>
      </c>
      <c r="AU5" s="982" t="s">
        <v>993</v>
      </c>
      <c r="AV5" s="982" t="s">
        <v>7</v>
      </c>
      <c r="AW5" s="982" t="s">
        <v>33</v>
      </c>
      <c r="AX5" s="982" t="s">
        <v>8</v>
      </c>
      <c r="AY5" s="982" t="s">
        <v>9</v>
      </c>
      <c r="AZ5" s="982" t="s">
        <v>10</v>
      </c>
      <c r="BA5" s="982" t="s">
        <v>11</v>
      </c>
      <c r="BB5" s="982" t="s">
        <v>12</v>
      </c>
      <c r="BC5" s="982" t="s">
        <v>104</v>
      </c>
      <c r="BD5" s="982" t="s">
        <v>1027</v>
      </c>
      <c r="BE5" s="982" t="s">
        <v>54</v>
      </c>
      <c r="BF5" s="982"/>
      <c r="BH5" s="987" t="s">
        <v>34</v>
      </c>
      <c r="BI5" s="987" t="s">
        <v>35</v>
      </c>
      <c r="BJ5" s="987"/>
      <c r="BL5" s="502" t="s">
        <v>61</v>
      </c>
      <c r="BM5" s="502"/>
      <c r="BO5" s="1154" t="s">
        <v>1065</v>
      </c>
      <c r="BP5" s="1155" t="s">
        <v>1065</v>
      </c>
      <c r="BQ5" s="1155" t="s">
        <v>1065</v>
      </c>
      <c r="BR5" s="1156" t="s">
        <v>1065</v>
      </c>
      <c r="BS5" s="1154" t="s">
        <v>1064</v>
      </c>
      <c r="BT5" s="1155" t="s">
        <v>1064</v>
      </c>
      <c r="BU5" s="1155" t="s">
        <v>1064</v>
      </c>
      <c r="BV5" s="1156" t="s">
        <v>1064</v>
      </c>
      <c r="BW5" s="1154">
        <v>2</v>
      </c>
      <c r="BX5" s="1155">
        <v>2</v>
      </c>
      <c r="BY5" s="1155">
        <v>2</v>
      </c>
      <c r="BZ5" s="1156">
        <v>2</v>
      </c>
      <c r="CA5" s="1154">
        <v>3</v>
      </c>
      <c r="CB5" s="1155">
        <v>3</v>
      </c>
      <c r="CC5" s="1155">
        <v>3</v>
      </c>
      <c r="CD5" s="1156">
        <v>3</v>
      </c>
      <c r="CE5" s="1154">
        <v>4</v>
      </c>
      <c r="CF5" s="1155">
        <v>4</v>
      </c>
      <c r="CG5" s="1155">
        <v>4</v>
      </c>
      <c r="CH5" s="1156">
        <v>4</v>
      </c>
      <c r="CI5" s="1154">
        <v>5</v>
      </c>
      <c r="CJ5" s="1155">
        <v>5</v>
      </c>
      <c r="CK5" s="1155">
        <v>5</v>
      </c>
      <c r="CL5" s="1156">
        <v>5</v>
      </c>
      <c r="CM5" s="1154">
        <v>6</v>
      </c>
      <c r="CN5" s="1155">
        <v>6</v>
      </c>
      <c r="CO5" s="1155">
        <v>6</v>
      </c>
      <c r="CP5" s="1156">
        <v>6</v>
      </c>
      <c r="CQ5" s="1154">
        <v>7</v>
      </c>
      <c r="CR5" s="1155">
        <v>7</v>
      </c>
      <c r="CS5" s="1155">
        <v>7</v>
      </c>
      <c r="CT5" s="1156">
        <v>7</v>
      </c>
      <c r="CU5" s="1154" t="s">
        <v>1050</v>
      </c>
      <c r="CV5" s="1155" t="s">
        <v>1050</v>
      </c>
      <c r="CW5" s="1155" t="s">
        <v>1050</v>
      </c>
      <c r="CX5" s="1156" t="s">
        <v>1050</v>
      </c>
      <c r="CY5" s="1154" t="s">
        <v>1051</v>
      </c>
      <c r="CZ5" s="1155" t="s">
        <v>1051</v>
      </c>
      <c r="DA5" s="1155" t="s">
        <v>1051</v>
      </c>
      <c r="DB5" s="1156" t="s">
        <v>1051</v>
      </c>
      <c r="DC5" s="1154" t="s">
        <v>1078</v>
      </c>
      <c r="DD5" s="1155" t="s">
        <v>1078</v>
      </c>
      <c r="DE5" s="1155" t="s">
        <v>1078</v>
      </c>
      <c r="DF5" s="1156" t="s">
        <v>1078</v>
      </c>
    </row>
    <row r="6" spans="1:112" ht="15.75" customHeight="1">
      <c r="G6" s="955"/>
      <c r="H6" s="955"/>
      <c r="I6" s="955"/>
      <c r="J6" s="955"/>
      <c r="K6" s="956"/>
      <c r="L6" s="955"/>
      <c r="M6" s="955"/>
      <c r="N6" s="955"/>
      <c r="O6" s="955"/>
      <c r="P6" s="955"/>
      <c r="Q6" s="955"/>
      <c r="S6" s="968"/>
      <c r="T6" s="968"/>
      <c r="U6" s="968"/>
      <c r="V6" s="968"/>
      <c r="W6" s="968"/>
      <c r="X6" s="968"/>
      <c r="Y6" s="968"/>
      <c r="Z6" s="968"/>
      <c r="AA6" s="968"/>
      <c r="AB6" s="968"/>
      <c r="AC6" s="968"/>
      <c r="AD6" s="968"/>
      <c r="AE6" s="968"/>
      <c r="AF6" s="968"/>
      <c r="AG6" s="968"/>
      <c r="AH6" s="968"/>
      <c r="AI6" s="968"/>
      <c r="AJ6" s="968"/>
      <c r="AK6" s="968"/>
      <c r="AM6" s="974"/>
      <c r="AN6" s="974"/>
      <c r="AO6" s="974"/>
      <c r="AP6" s="974"/>
      <c r="AQ6" s="974"/>
      <c r="AR6" s="974"/>
      <c r="AS6" s="974"/>
      <c r="AT6" s="974"/>
      <c r="AU6" s="974"/>
      <c r="AV6" s="974"/>
      <c r="AW6" s="974"/>
      <c r="AX6" s="974"/>
      <c r="AY6" s="974"/>
      <c r="AZ6" s="974"/>
      <c r="BA6" s="974"/>
      <c r="BB6" s="974"/>
      <c r="BC6" s="974"/>
      <c r="BD6" s="974"/>
      <c r="BE6" s="974"/>
      <c r="BF6" s="974"/>
      <c r="BH6" s="988"/>
      <c r="BI6" s="988"/>
      <c r="BJ6" s="988"/>
      <c r="BL6" s="511"/>
      <c r="BM6" s="511"/>
      <c r="BO6" s="1144" t="s">
        <v>1055</v>
      </c>
      <c r="BP6" s="1144" t="s">
        <v>1056</v>
      </c>
      <c r="BQ6" s="1144" t="s">
        <v>1057</v>
      </c>
      <c r="BR6" s="1144" t="s">
        <v>1058</v>
      </c>
      <c r="BS6" s="1144" t="s">
        <v>1055</v>
      </c>
      <c r="BT6" s="1144" t="s">
        <v>1056</v>
      </c>
      <c r="BU6" s="1144" t="s">
        <v>1057</v>
      </c>
      <c r="BV6" s="1144" t="s">
        <v>1058</v>
      </c>
      <c r="BW6" s="1144" t="s">
        <v>1055</v>
      </c>
      <c r="BX6" s="1144" t="s">
        <v>1056</v>
      </c>
      <c r="BY6" s="1144" t="s">
        <v>1057</v>
      </c>
      <c r="BZ6" s="1144" t="s">
        <v>1058</v>
      </c>
      <c r="CA6" s="1144" t="s">
        <v>1055</v>
      </c>
      <c r="CB6" s="1144" t="s">
        <v>1056</v>
      </c>
      <c r="CC6" s="1144" t="s">
        <v>1057</v>
      </c>
      <c r="CD6" s="1144" t="s">
        <v>1058</v>
      </c>
      <c r="CE6" s="1144" t="s">
        <v>1055</v>
      </c>
      <c r="CF6" s="1144" t="s">
        <v>1056</v>
      </c>
      <c r="CG6" s="1144" t="s">
        <v>1057</v>
      </c>
      <c r="CH6" s="1144" t="s">
        <v>1058</v>
      </c>
      <c r="CI6" s="1144" t="s">
        <v>1055</v>
      </c>
      <c r="CJ6" s="1144" t="s">
        <v>1056</v>
      </c>
      <c r="CK6" s="1144" t="s">
        <v>1057</v>
      </c>
      <c r="CL6" s="1144" t="s">
        <v>1058</v>
      </c>
      <c r="CM6" s="1144" t="s">
        <v>1055</v>
      </c>
      <c r="CN6" s="1144" t="s">
        <v>1056</v>
      </c>
      <c r="CO6" s="1144" t="s">
        <v>1057</v>
      </c>
      <c r="CP6" s="1144" t="s">
        <v>1058</v>
      </c>
      <c r="CQ6" s="1144" t="s">
        <v>1055</v>
      </c>
      <c r="CR6" s="1144" t="s">
        <v>1056</v>
      </c>
      <c r="CS6" s="1144" t="s">
        <v>1057</v>
      </c>
      <c r="CT6" s="1144" t="s">
        <v>1058</v>
      </c>
      <c r="CU6" s="1144" t="s">
        <v>1055</v>
      </c>
      <c r="CV6" s="1144" t="s">
        <v>1056</v>
      </c>
      <c r="CW6" s="1144" t="s">
        <v>1057</v>
      </c>
      <c r="CX6" s="1144" t="s">
        <v>1058</v>
      </c>
      <c r="CY6" s="1144" t="s">
        <v>1055</v>
      </c>
      <c r="CZ6" s="1144" t="s">
        <v>1056</v>
      </c>
      <c r="DA6" s="1144" t="s">
        <v>1057</v>
      </c>
      <c r="DB6" s="1144" t="s">
        <v>1058</v>
      </c>
      <c r="DC6" s="1144" t="s">
        <v>1055</v>
      </c>
      <c r="DD6" s="1144" t="s">
        <v>1056</v>
      </c>
      <c r="DE6" s="1144" t="s">
        <v>1057</v>
      </c>
      <c r="DF6" s="1144" t="s">
        <v>1058</v>
      </c>
    </row>
    <row r="7" spans="1:112" ht="18" customHeight="1">
      <c r="C7" s="501" t="s">
        <v>592</v>
      </c>
      <c r="D7" s="501"/>
      <c r="E7" s="639"/>
      <c r="G7" s="957"/>
      <c r="H7" s="957"/>
      <c r="I7" s="957"/>
      <c r="J7" s="957"/>
      <c r="K7" s="957"/>
      <c r="L7" s="957"/>
      <c r="M7" s="957"/>
      <c r="N7" s="957"/>
      <c r="O7" s="957"/>
      <c r="P7" s="957"/>
      <c r="Q7" s="957"/>
      <c r="S7" s="969"/>
      <c r="T7" s="969"/>
      <c r="U7" s="969"/>
      <c r="V7" s="969"/>
      <c r="W7" s="969"/>
      <c r="X7" s="969"/>
      <c r="Y7" s="969"/>
      <c r="Z7" s="969"/>
      <c r="AA7" s="969"/>
      <c r="AB7" s="969"/>
      <c r="AC7" s="969"/>
      <c r="AD7" s="969"/>
      <c r="AE7" s="969"/>
      <c r="AF7" s="969"/>
      <c r="AG7" s="969"/>
      <c r="AH7" s="969"/>
      <c r="AI7" s="969"/>
      <c r="AJ7" s="969"/>
      <c r="AK7" s="969"/>
      <c r="AM7" s="975"/>
      <c r="AN7" s="975"/>
      <c r="AO7" s="975"/>
      <c r="AP7" s="975"/>
      <c r="AQ7" s="975"/>
      <c r="AR7" s="975"/>
      <c r="AS7" s="975"/>
      <c r="AT7" s="975"/>
      <c r="AU7" s="975"/>
      <c r="AV7" s="975"/>
      <c r="AW7" s="975"/>
      <c r="AX7" s="975"/>
      <c r="AY7" s="975"/>
      <c r="AZ7" s="975"/>
      <c r="BA7" s="975"/>
      <c r="BB7" s="975"/>
      <c r="BC7" s="975"/>
      <c r="BD7" s="975"/>
      <c r="BE7" s="975"/>
      <c r="BF7" s="975"/>
      <c r="BH7" s="989"/>
      <c r="BI7" s="989"/>
      <c r="BJ7" s="989"/>
      <c r="BL7" s="514"/>
      <c r="BM7" s="514"/>
      <c r="BO7" s="1145"/>
      <c r="BP7" s="1145"/>
      <c r="BQ7" s="1145"/>
      <c r="BR7" s="1145"/>
      <c r="BS7" s="1145"/>
      <c r="BT7" s="1145"/>
      <c r="BU7" s="1145"/>
      <c r="BV7" s="1145"/>
      <c r="BW7" s="1145"/>
      <c r="BX7" s="1145"/>
      <c r="BY7" s="1145"/>
      <c r="BZ7" s="1145"/>
      <c r="CA7" s="1145"/>
      <c r="CB7" s="1145"/>
      <c r="CC7" s="1145"/>
      <c r="CD7" s="1145"/>
      <c r="CE7" s="1145"/>
      <c r="CF7" s="1145"/>
      <c r="CG7" s="1145"/>
      <c r="CH7" s="1145"/>
      <c r="CI7" s="1145"/>
      <c r="CJ7" s="1145"/>
      <c r="CK7" s="1145"/>
      <c r="CL7" s="1145"/>
      <c r="CM7" s="1145"/>
      <c r="CN7" s="1145"/>
      <c r="CO7" s="1145"/>
      <c r="CP7" s="1145"/>
      <c r="CQ7" s="1145"/>
      <c r="CR7" s="1145"/>
      <c r="CS7" s="1145"/>
      <c r="CT7" s="1145"/>
      <c r="CU7" s="1145"/>
      <c r="CV7" s="1145"/>
      <c r="CW7" s="1145"/>
      <c r="CX7" s="1145"/>
      <c r="CY7" s="1145"/>
      <c r="CZ7" s="1145"/>
      <c r="DA7" s="1145"/>
      <c r="DB7" s="1145"/>
      <c r="DC7" s="1145"/>
      <c r="DD7" s="1145"/>
      <c r="DE7" s="1145"/>
      <c r="DF7" s="1145"/>
    </row>
    <row r="8" spans="1:112" ht="6" hidden="1" customHeight="1" outlineLevel="1">
      <c r="G8" s="958"/>
      <c r="H8" s="958"/>
      <c r="I8" s="958"/>
      <c r="J8" s="958"/>
      <c r="K8" s="959"/>
      <c r="L8" s="958"/>
      <c r="M8" s="958"/>
      <c r="N8" s="958"/>
      <c r="O8" s="958"/>
      <c r="P8" s="958"/>
      <c r="Q8" s="958"/>
      <c r="S8" s="970"/>
      <c r="T8" s="970"/>
      <c r="U8" s="970"/>
      <c r="V8" s="970"/>
      <c r="W8" s="970"/>
      <c r="X8" s="970"/>
      <c r="Y8" s="970"/>
      <c r="Z8" s="970"/>
      <c r="AA8" s="970"/>
      <c r="AB8" s="970"/>
      <c r="AC8" s="970"/>
      <c r="AD8" s="970"/>
      <c r="AE8" s="970"/>
      <c r="AF8" s="970"/>
      <c r="AG8" s="970"/>
      <c r="AH8" s="970"/>
      <c r="AI8" s="970"/>
      <c r="AJ8" s="970"/>
      <c r="AK8" s="970"/>
      <c r="AM8" s="976"/>
      <c r="AN8" s="976"/>
      <c r="AO8" s="976"/>
      <c r="AP8" s="976"/>
      <c r="AQ8" s="976"/>
      <c r="AR8" s="976"/>
      <c r="AS8" s="976"/>
      <c r="AT8" s="976"/>
      <c r="AU8" s="976"/>
      <c r="AV8" s="976"/>
      <c r="AW8" s="976"/>
      <c r="AX8" s="976"/>
      <c r="AY8" s="976"/>
      <c r="AZ8" s="976"/>
      <c r="BA8" s="976"/>
      <c r="BB8" s="976"/>
      <c r="BC8" s="976"/>
      <c r="BD8" s="976"/>
      <c r="BE8" s="976"/>
      <c r="BF8" s="976"/>
      <c r="BH8" s="990"/>
      <c r="BI8" s="990"/>
      <c r="BJ8" s="990"/>
      <c r="BL8" s="515"/>
      <c r="BM8" s="515"/>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1146"/>
      <c r="DA8" s="1146"/>
      <c r="DB8" s="1146"/>
      <c r="DC8" s="1146"/>
      <c r="DD8" s="1146"/>
      <c r="DE8" s="1146"/>
      <c r="DF8" s="1146"/>
    </row>
    <row r="9" spans="1:112" s="743" customFormat="1" ht="10.5" hidden="1" customHeight="1" outlineLevel="2">
      <c r="A9" s="1480"/>
      <c r="B9" s="1480"/>
      <c r="C9" s="746" t="s">
        <v>829</v>
      </c>
      <c r="D9" s="1480" t="str">
        <f>INDEX(Modules[Module], MATCH($C9, Modules[Code], 0))</f>
        <v>Domestic space heating and hot water</v>
      </c>
      <c r="E9" s="521"/>
      <c r="G9" s="1017">
        <f ca="1">IFERROR(INDEX(INDIRECT($C9&amp;".Outputs["&amp;this.Year&amp;"]"), MATCH(G$5, INDIRECT($C9&amp;".Outputs[Vector]"), 0)), 0)</f>
        <v>593.44696631116494</v>
      </c>
      <c r="H9" s="1017">
        <f t="shared" ref="H9:P9" ca="1" si="0">IFERROR(INDEX(INDIRECT($C9&amp;".Outputs["&amp;this.Year&amp;"]"), MATCH(H$5, INDIRECT($C9&amp;".Outputs[Vector]"), 0)), 0)</f>
        <v>0</v>
      </c>
      <c r="I9" s="1017">
        <f t="shared" ca="1" si="0"/>
        <v>0</v>
      </c>
      <c r="J9" s="1017">
        <f t="shared" ca="1" si="0"/>
        <v>0</v>
      </c>
      <c r="K9" s="1017">
        <f t="shared" ca="1" si="0"/>
        <v>0</v>
      </c>
      <c r="L9" s="1017">
        <f t="shared" ca="1" si="0"/>
        <v>0</v>
      </c>
      <c r="M9" s="1017">
        <f t="shared" ca="1" si="0"/>
        <v>0</v>
      </c>
      <c r="N9" s="1017">
        <f t="shared" ca="1" si="0"/>
        <v>0</v>
      </c>
      <c r="O9" s="1017">
        <f t="shared" ca="1" si="0"/>
        <v>0</v>
      </c>
      <c r="P9" s="1017">
        <f t="shared" ca="1" si="0"/>
        <v>0</v>
      </c>
      <c r="Q9" s="1019">
        <f t="shared" ref="Q9:Q15" ca="1" si="1">SUM(G9:P9)</f>
        <v>593.44696631116494</v>
      </c>
      <c r="S9" s="1026">
        <f t="shared" ref="S9:BE13" ca="1" si="2">IFERROR(INDEX(INDIRECT($C9&amp;".Outputs["&amp;this.Year&amp;"]"), MATCH(S$5, INDIRECT($C9&amp;".Outputs[Vector]"), 0)), 0)</f>
        <v>-61.333574761505936</v>
      </c>
      <c r="T9" s="1026">
        <f t="shared" ca="1" si="2"/>
        <v>0</v>
      </c>
      <c r="U9" s="1026">
        <f t="shared" ca="1" si="2"/>
        <v>-2.3812757672217852</v>
      </c>
      <c r="V9" s="1026">
        <f t="shared" ca="1" si="2"/>
        <v>-2.1357834200855184</v>
      </c>
      <c r="W9" s="1026">
        <f t="shared" ca="1" si="2"/>
        <v>-527.59633236235175</v>
      </c>
      <c r="X9" s="1026">
        <f t="shared" ref="X9:Z10" ca="1" si="3">IFERROR(INDEX(INDIRECT($C9&amp;".Outputs["&amp;this.Year&amp;"]"), MATCH(X$5, INDIRECT($C9&amp;".Outputs[Vector]"), 0)), 0)</f>
        <v>0</v>
      </c>
      <c r="Y9" s="1026">
        <f t="shared" ca="1" si="3"/>
        <v>0</v>
      </c>
      <c r="Z9" s="1026">
        <f t="shared" ca="1" si="3"/>
        <v>0</v>
      </c>
      <c r="AA9" s="1026">
        <f t="shared" ca="1" si="2"/>
        <v>0</v>
      </c>
      <c r="AB9" s="1026">
        <f t="shared" ca="1" si="2"/>
        <v>0</v>
      </c>
      <c r="AC9" s="1026">
        <f t="shared" ca="1" si="2"/>
        <v>0</v>
      </c>
      <c r="AD9" s="1026">
        <f t="shared" ca="1" si="2"/>
        <v>0</v>
      </c>
      <c r="AE9" s="1026">
        <f t="shared" ca="1" si="2"/>
        <v>0</v>
      </c>
      <c r="AF9" s="1026">
        <f t="shared" ca="1" si="2"/>
        <v>0</v>
      </c>
      <c r="AG9" s="1026">
        <f t="shared" ca="1" si="2"/>
        <v>0</v>
      </c>
      <c r="AH9" s="1026">
        <f t="shared" ca="1" si="2"/>
        <v>0</v>
      </c>
      <c r="AI9" s="1026">
        <f t="shared" ca="1" si="2"/>
        <v>0</v>
      </c>
      <c r="AJ9" s="1026">
        <f t="shared" ca="1" si="2"/>
        <v>0</v>
      </c>
      <c r="AK9" s="1027">
        <f t="shared" ref="AK9:AK15" ca="1" si="4">SUM(S9:AJ9)</f>
        <v>-593.44696631116494</v>
      </c>
      <c r="AM9" s="1038">
        <f t="shared" ref="AM9:AU10" ca="1" si="5">IFERROR(INDEX(INDIRECT($C9&amp;".Outputs["&amp;this.Year&amp;"]"), MATCH(AM$5, INDIRECT($C9&amp;".Outputs[Vector]"), 0)), 0)</f>
        <v>0</v>
      </c>
      <c r="AN9" s="1038">
        <f t="shared" ca="1" si="5"/>
        <v>0</v>
      </c>
      <c r="AO9" s="1038">
        <f t="shared" ca="1" si="5"/>
        <v>0</v>
      </c>
      <c r="AP9" s="1038">
        <f t="shared" ca="1" si="5"/>
        <v>0</v>
      </c>
      <c r="AQ9" s="1038">
        <f t="shared" ca="1" si="5"/>
        <v>0</v>
      </c>
      <c r="AR9" s="1038">
        <f t="shared" ca="1" si="5"/>
        <v>0</v>
      </c>
      <c r="AS9" s="1038">
        <f t="shared" ca="1" si="5"/>
        <v>0</v>
      </c>
      <c r="AT9" s="1038">
        <f t="shared" ca="1" si="5"/>
        <v>0</v>
      </c>
      <c r="AU9" s="1038">
        <f t="shared" ca="1" si="5"/>
        <v>0</v>
      </c>
      <c r="AV9" s="1038">
        <f t="shared" ca="1" si="2"/>
        <v>0</v>
      </c>
      <c r="AW9" s="1038">
        <f t="shared" ca="1" si="2"/>
        <v>0</v>
      </c>
      <c r="AX9" s="1038">
        <f t="shared" ca="1" si="2"/>
        <v>0</v>
      </c>
      <c r="AY9" s="1038">
        <f t="shared" ca="1" si="2"/>
        <v>0</v>
      </c>
      <c r="AZ9" s="1038">
        <f t="shared" ca="1" si="2"/>
        <v>0</v>
      </c>
      <c r="BA9" s="1038">
        <f t="shared" ca="1" si="2"/>
        <v>0</v>
      </c>
      <c r="BB9" s="1038">
        <f t="shared" ca="1" si="2"/>
        <v>0</v>
      </c>
      <c r="BC9" s="1038">
        <f t="shared" ca="1" si="2"/>
        <v>0</v>
      </c>
      <c r="BD9" s="1038">
        <f t="shared" ca="1" si="2"/>
        <v>0</v>
      </c>
      <c r="BE9" s="1038">
        <f t="shared" ca="1" si="2"/>
        <v>0</v>
      </c>
      <c r="BF9" s="977">
        <f t="shared" ref="BF9:BF15" ca="1" si="6">SUM(AM9:BE9)</f>
        <v>0</v>
      </c>
      <c r="BH9" s="1032">
        <f t="shared" ref="BH9:BI13" ca="1" si="7">IFERROR(INDEX(INDIRECT($C9&amp;".Outputs["&amp;this.Year&amp;"]"), MATCH(BH$5, INDIRECT($C9&amp;".Outputs[Vector]"), 0)), 0)</f>
        <v>0</v>
      </c>
      <c r="BI9" s="1032">
        <f t="shared" ca="1" si="7"/>
        <v>0</v>
      </c>
      <c r="BJ9" s="1034">
        <f t="shared" ref="BJ9:BJ15" ca="1" si="8">SUM(BH9:BI9)</f>
        <v>0</v>
      </c>
      <c r="BL9" s="524">
        <f t="shared" ref="BL9:BL44" ca="1" si="9">Q9+AK9+BF9+BJ9</f>
        <v>0</v>
      </c>
      <c r="BM9" s="524"/>
      <c r="BN9" s="840"/>
      <c r="BO9" s="1481">
        <f t="shared" ref="BO9:BX10" ca="1" si="10">IFERROR(SUMIFS(INDIRECT($C9&amp;".Emissions["&amp;this.Year&amp;"]"), INDIRECT($C9&amp;".Emissions[GHG]"), BO$6, INDIRECT($C9&amp;".Emissions[IPCC Sector]"), BO$5),0)</f>
        <v>98.345103945998389</v>
      </c>
      <c r="BP9" s="1482">
        <f t="shared" ca="1" si="10"/>
        <v>0.19741023407249442</v>
      </c>
      <c r="BQ9" s="1482">
        <f t="shared" ca="1" si="10"/>
        <v>0.22539589246766653</v>
      </c>
      <c r="BR9" s="1482">
        <f t="shared" ca="1" si="10"/>
        <v>0</v>
      </c>
      <c r="BS9" s="1482">
        <f t="shared" ca="1" si="10"/>
        <v>0</v>
      </c>
      <c r="BT9" s="1482">
        <f t="shared" ca="1" si="10"/>
        <v>0</v>
      </c>
      <c r="BU9" s="1482">
        <f t="shared" ca="1" si="10"/>
        <v>0</v>
      </c>
      <c r="BV9" s="1482">
        <f t="shared" ca="1" si="10"/>
        <v>0</v>
      </c>
      <c r="BW9" s="1482">
        <f t="shared" ca="1" si="10"/>
        <v>0</v>
      </c>
      <c r="BX9" s="1482">
        <f t="shared" ca="1" si="10"/>
        <v>0</v>
      </c>
      <c r="BY9" s="1482">
        <f t="shared" ref="BY9:CH10" ca="1" si="11">IFERROR(SUMIFS(INDIRECT($C9&amp;".Emissions["&amp;this.Year&amp;"]"), INDIRECT($C9&amp;".Emissions[GHG]"), BY$6, INDIRECT($C9&amp;".Emissions[IPCC Sector]"), BY$5),0)</f>
        <v>0</v>
      </c>
      <c r="BZ9" s="1482">
        <f t="shared" ca="1" si="11"/>
        <v>0</v>
      </c>
      <c r="CA9" s="1482">
        <f t="shared" ca="1" si="11"/>
        <v>0</v>
      </c>
      <c r="CB9" s="1482">
        <f t="shared" ca="1" si="11"/>
        <v>0</v>
      </c>
      <c r="CC9" s="1482">
        <f t="shared" ca="1" si="11"/>
        <v>0</v>
      </c>
      <c r="CD9" s="1482">
        <f t="shared" ca="1" si="11"/>
        <v>0</v>
      </c>
      <c r="CE9" s="1482">
        <f t="shared" ca="1" si="11"/>
        <v>0</v>
      </c>
      <c r="CF9" s="1482">
        <f t="shared" ca="1" si="11"/>
        <v>0</v>
      </c>
      <c r="CG9" s="1482">
        <f t="shared" ca="1" si="11"/>
        <v>0</v>
      </c>
      <c r="CH9" s="1482">
        <f t="shared" ca="1" si="11"/>
        <v>0</v>
      </c>
      <c r="CI9" s="1482">
        <f t="shared" ref="CI9:CR10" ca="1" si="12">IFERROR(SUMIFS(INDIRECT($C9&amp;".Emissions["&amp;this.Year&amp;"]"), INDIRECT($C9&amp;".Emissions[GHG]"), CI$6, INDIRECT($C9&amp;".Emissions[IPCC Sector]"), CI$5),0)</f>
        <v>0</v>
      </c>
      <c r="CJ9" s="1482">
        <f t="shared" ca="1" si="12"/>
        <v>0</v>
      </c>
      <c r="CK9" s="1482">
        <f t="shared" ca="1" si="12"/>
        <v>0</v>
      </c>
      <c r="CL9" s="1482">
        <f t="shared" ca="1" si="12"/>
        <v>0</v>
      </c>
      <c r="CM9" s="1482">
        <f t="shared" ca="1" si="12"/>
        <v>0</v>
      </c>
      <c r="CN9" s="1482">
        <f t="shared" ca="1" si="12"/>
        <v>0</v>
      </c>
      <c r="CO9" s="1482">
        <f t="shared" ca="1" si="12"/>
        <v>0</v>
      </c>
      <c r="CP9" s="1482">
        <f t="shared" ca="1" si="12"/>
        <v>0</v>
      </c>
      <c r="CQ9" s="1482">
        <f t="shared" ca="1" si="12"/>
        <v>0</v>
      </c>
      <c r="CR9" s="1482">
        <f t="shared" ca="1" si="12"/>
        <v>0</v>
      </c>
      <c r="CS9" s="1482">
        <f t="shared" ref="CS9:DF10" ca="1" si="13">IFERROR(SUMIFS(INDIRECT($C9&amp;".Emissions["&amp;this.Year&amp;"]"), INDIRECT($C9&amp;".Emissions[GHG]"), CS$6, INDIRECT($C9&amp;".Emissions[IPCC Sector]"), CS$5),0)</f>
        <v>0</v>
      </c>
      <c r="CT9" s="1482">
        <f t="shared" ca="1" si="13"/>
        <v>0</v>
      </c>
      <c r="CU9" s="1482">
        <f t="shared" ca="1" si="13"/>
        <v>0</v>
      </c>
      <c r="CV9" s="1482">
        <f t="shared" ca="1" si="13"/>
        <v>0</v>
      </c>
      <c r="CW9" s="1482">
        <f t="shared" ca="1" si="13"/>
        <v>0</v>
      </c>
      <c r="CX9" s="1482">
        <f t="shared" ca="1" si="13"/>
        <v>0</v>
      </c>
      <c r="CY9" s="1482">
        <f t="shared" ca="1" si="13"/>
        <v>0</v>
      </c>
      <c r="CZ9" s="1482">
        <f t="shared" ca="1" si="13"/>
        <v>0</v>
      </c>
      <c r="DA9" s="1482">
        <f t="shared" ca="1" si="13"/>
        <v>0</v>
      </c>
      <c r="DB9" s="1482">
        <f t="shared" ca="1" si="13"/>
        <v>0</v>
      </c>
      <c r="DC9" s="1482">
        <f t="shared" ca="1" si="13"/>
        <v>0</v>
      </c>
      <c r="DD9" s="1482">
        <f t="shared" ca="1" si="13"/>
        <v>0</v>
      </c>
      <c r="DE9" s="1482">
        <f t="shared" ca="1" si="13"/>
        <v>0</v>
      </c>
      <c r="DF9" s="1482">
        <f t="shared" ca="1" si="13"/>
        <v>0</v>
      </c>
      <c r="DH9" s="838"/>
    </row>
    <row r="10" spans="1:112" s="743" customFormat="1" ht="10.5" hidden="1" customHeight="1" outlineLevel="2">
      <c r="A10" s="1483"/>
      <c r="B10" s="1483"/>
      <c r="C10" s="1009" t="s">
        <v>898</v>
      </c>
      <c r="D10" s="1483" t="str">
        <f>INDEX(Modules[Module], MATCH($C10, Modules[Code], 0))</f>
        <v>Domestic hot water [UNUSED - See IX.a]</v>
      </c>
      <c r="E10" s="1006"/>
      <c r="G10" s="1018">
        <f t="shared" ref="G10:P13" ca="1" si="14">IFERROR(INDEX(INDIRECT($C10&amp;".Outputs["&amp;this.Year&amp;"]"), MATCH(G$5, INDIRECT($C10&amp;".Outputs[Vector]"), 0)), 0)</f>
        <v>0</v>
      </c>
      <c r="H10" s="1018">
        <f t="shared" ca="1" si="14"/>
        <v>0</v>
      </c>
      <c r="I10" s="1018">
        <f t="shared" ca="1" si="14"/>
        <v>0</v>
      </c>
      <c r="J10" s="1018">
        <f t="shared" ca="1" si="14"/>
        <v>0</v>
      </c>
      <c r="K10" s="1018">
        <f t="shared" ca="1" si="14"/>
        <v>0</v>
      </c>
      <c r="L10" s="1018">
        <f t="shared" ca="1" si="14"/>
        <v>0</v>
      </c>
      <c r="M10" s="1018">
        <f t="shared" ca="1" si="14"/>
        <v>0</v>
      </c>
      <c r="N10" s="1018">
        <f t="shared" ca="1" si="14"/>
        <v>0</v>
      </c>
      <c r="O10" s="1018">
        <f t="shared" ca="1" si="14"/>
        <v>0</v>
      </c>
      <c r="P10" s="1018">
        <f t="shared" ca="1" si="14"/>
        <v>0</v>
      </c>
      <c r="Q10" s="1024">
        <f t="shared" ca="1" si="1"/>
        <v>0</v>
      </c>
      <c r="S10" s="1028">
        <f t="shared" ca="1" si="2"/>
        <v>0</v>
      </c>
      <c r="T10" s="1028">
        <f t="shared" ca="1" si="2"/>
        <v>0</v>
      </c>
      <c r="U10" s="1028">
        <f t="shared" ca="1" si="2"/>
        <v>0</v>
      </c>
      <c r="V10" s="1028">
        <f t="shared" ca="1" si="2"/>
        <v>0</v>
      </c>
      <c r="W10" s="1028">
        <f t="shared" ca="1" si="2"/>
        <v>0</v>
      </c>
      <c r="X10" s="1028">
        <f t="shared" ca="1" si="3"/>
        <v>0</v>
      </c>
      <c r="Y10" s="1028">
        <f t="shared" ca="1" si="3"/>
        <v>0</v>
      </c>
      <c r="Z10" s="1028">
        <f t="shared" ca="1" si="3"/>
        <v>0</v>
      </c>
      <c r="AA10" s="1028">
        <f t="shared" ca="1" si="2"/>
        <v>0</v>
      </c>
      <c r="AB10" s="1028">
        <f t="shared" ca="1" si="2"/>
        <v>0</v>
      </c>
      <c r="AC10" s="1028">
        <f t="shared" ca="1" si="2"/>
        <v>0</v>
      </c>
      <c r="AD10" s="1028">
        <f t="shared" ca="1" si="2"/>
        <v>0</v>
      </c>
      <c r="AE10" s="1028">
        <f t="shared" ca="1" si="2"/>
        <v>0</v>
      </c>
      <c r="AF10" s="1028">
        <f t="shared" ca="1" si="2"/>
        <v>0</v>
      </c>
      <c r="AG10" s="1028">
        <f t="shared" ca="1" si="2"/>
        <v>0</v>
      </c>
      <c r="AH10" s="1028">
        <f t="shared" ca="1" si="2"/>
        <v>0</v>
      </c>
      <c r="AI10" s="1028">
        <f t="shared" ca="1" si="2"/>
        <v>0</v>
      </c>
      <c r="AJ10" s="1028">
        <f t="shared" ca="1" si="2"/>
        <v>0</v>
      </c>
      <c r="AK10" s="1029">
        <f t="shared" ca="1" si="4"/>
        <v>0</v>
      </c>
      <c r="AM10" s="1039">
        <f t="shared" ca="1" si="5"/>
        <v>0</v>
      </c>
      <c r="AN10" s="1039">
        <f t="shared" ca="1" si="5"/>
        <v>0</v>
      </c>
      <c r="AO10" s="1039">
        <f t="shared" ca="1" si="5"/>
        <v>0</v>
      </c>
      <c r="AP10" s="1039">
        <f t="shared" ca="1" si="5"/>
        <v>0</v>
      </c>
      <c r="AQ10" s="1039">
        <f t="shared" ca="1" si="5"/>
        <v>0</v>
      </c>
      <c r="AR10" s="1039">
        <f t="shared" ca="1" si="5"/>
        <v>0</v>
      </c>
      <c r="AS10" s="1039">
        <f t="shared" ca="1" si="5"/>
        <v>0</v>
      </c>
      <c r="AT10" s="1039">
        <f t="shared" ca="1" si="5"/>
        <v>0</v>
      </c>
      <c r="AU10" s="1039">
        <f t="shared" ca="1" si="5"/>
        <v>0</v>
      </c>
      <c r="AV10" s="1039">
        <f t="shared" ca="1" si="2"/>
        <v>0</v>
      </c>
      <c r="AW10" s="1039">
        <f t="shared" ca="1" si="2"/>
        <v>0</v>
      </c>
      <c r="AX10" s="1039">
        <f t="shared" ca="1" si="2"/>
        <v>0</v>
      </c>
      <c r="AY10" s="1039">
        <f t="shared" ca="1" si="2"/>
        <v>0</v>
      </c>
      <c r="AZ10" s="1039">
        <f t="shared" ca="1" si="2"/>
        <v>0</v>
      </c>
      <c r="BA10" s="1039">
        <f t="shared" ca="1" si="2"/>
        <v>0</v>
      </c>
      <c r="BB10" s="1039">
        <f t="shared" ca="1" si="2"/>
        <v>0</v>
      </c>
      <c r="BC10" s="1039">
        <f t="shared" ca="1" si="2"/>
        <v>0</v>
      </c>
      <c r="BD10" s="1039">
        <f t="shared" ca="1" si="2"/>
        <v>0</v>
      </c>
      <c r="BE10" s="1039">
        <f t="shared" ca="1" si="2"/>
        <v>0</v>
      </c>
      <c r="BF10" s="1008">
        <f t="shared" ca="1" si="6"/>
        <v>0</v>
      </c>
      <c r="BH10" s="1033">
        <f t="shared" ca="1" si="7"/>
        <v>0</v>
      </c>
      <c r="BI10" s="1033">
        <f t="shared" ca="1" si="7"/>
        <v>0</v>
      </c>
      <c r="BJ10" s="1044">
        <f t="shared" ca="1" si="8"/>
        <v>0</v>
      </c>
      <c r="BL10" s="1007">
        <f t="shared" ca="1" si="9"/>
        <v>0</v>
      </c>
      <c r="BM10" s="1007"/>
      <c r="BN10" s="840"/>
      <c r="BO10" s="1481">
        <f t="shared" ca="1" si="10"/>
        <v>0</v>
      </c>
      <c r="BP10" s="1482">
        <f t="shared" ca="1" si="10"/>
        <v>0</v>
      </c>
      <c r="BQ10" s="1482">
        <f t="shared" ca="1" si="10"/>
        <v>0</v>
      </c>
      <c r="BR10" s="1482">
        <f t="shared" ca="1" si="10"/>
        <v>0</v>
      </c>
      <c r="BS10" s="1482">
        <f t="shared" ca="1" si="10"/>
        <v>0</v>
      </c>
      <c r="BT10" s="1482">
        <f t="shared" ca="1" si="10"/>
        <v>0</v>
      </c>
      <c r="BU10" s="1482">
        <f t="shared" ca="1" si="10"/>
        <v>0</v>
      </c>
      <c r="BV10" s="1482">
        <f t="shared" ca="1" si="10"/>
        <v>0</v>
      </c>
      <c r="BW10" s="1482">
        <f t="shared" ca="1" si="10"/>
        <v>0</v>
      </c>
      <c r="BX10" s="1482">
        <f t="shared" ca="1" si="10"/>
        <v>0</v>
      </c>
      <c r="BY10" s="1482">
        <f t="shared" ca="1" si="11"/>
        <v>0</v>
      </c>
      <c r="BZ10" s="1482">
        <f t="shared" ca="1" si="11"/>
        <v>0</v>
      </c>
      <c r="CA10" s="1482">
        <f t="shared" ca="1" si="11"/>
        <v>0</v>
      </c>
      <c r="CB10" s="1482">
        <f t="shared" ca="1" si="11"/>
        <v>0</v>
      </c>
      <c r="CC10" s="1482">
        <f t="shared" ca="1" si="11"/>
        <v>0</v>
      </c>
      <c r="CD10" s="1482">
        <f t="shared" ca="1" si="11"/>
        <v>0</v>
      </c>
      <c r="CE10" s="1482">
        <f t="shared" ca="1" si="11"/>
        <v>0</v>
      </c>
      <c r="CF10" s="1482">
        <f t="shared" ca="1" si="11"/>
        <v>0</v>
      </c>
      <c r="CG10" s="1482">
        <f t="shared" ca="1" si="11"/>
        <v>0</v>
      </c>
      <c r="CH10" s="1482">
        <f t="shared" ca="1" si="11"/>
        <v>0</v>
      </c>
      <c r="CI10" s="1482">
        <f t="shared" ca="1" si="12"/>
        <v>0</v>
      </c>
      <c r="CJ10" s="1482">
        <f t="shared" ca="1" si="12"/>
        <v>0</v>
      </c>
      <c r="CK10" s="1482">
        <f t="shared" ca="1" si="12"/>
        <v>0</v>
      </c>
      <c r="CL10" s="1482">
        <f t="shared" ca="1" si="12"/>
        <v>0</v>
      </c>
      <c r="CM10" s="1482">
        <f t="shared" ca="1" si="12"/>
        <v>0</v>
      </c>
      <c r="CN10" s="1482">
        <f t="shared" ca="1" si="12"/>
        <v>0</v>
      </c>
      <c r="CO10" s="1482">
        <f t="shared" ca="1" si="12"/>
        <v>0</v>
      </c>
      <c r="CP10" s="1482">
        <f t="shared" ca="1" si="12"/>
        <v>0</v>
      </c>
      <c r="CQ10" s="1482">
        <f t="shared" ca="1" si="12"/>
        <v>0</v>
      </c>
      <c r="CR10" s="1482">
        <f t="shared" ca="1" si="12"/>
        <v>0</v>
      </c>
      <c r="CS10" s="1482">
        <f t="shared" ca="1" si="13"/>
        <v>0</v>
      </c>
      <c r="CT10" s="1482">
        <f t="shared" ca="1" si="13"/>
        <v>0</v>
      </c>
      <c r="CU10" s="1482">
        <f t="shared" ca="1" si="13"/>
        <v>0</v>
      </c>
      <c r="CV10" s="1482">
        <f t="shared" ca="1" si="13"/>
        <v>0</v>
      </c>
      <c r="CW10" s="1482">
        <f t="shared" ca="1" si="13"/>
        <v>0</v>
      </c>
      <c r="CX10" s="1482">
        <f t="shared" ca="1" si="13"/>
        <v>0</v>
      </c>
      <c r="CY10" s="1482">
        <f t="shared" ca="1" si="13"/>
        <v>0</v>
      </c>
      <c r="CZ10" s="1482">
        <f t="shared" ca="1" si="13"/>
        <v>0</v>
      </c>
      <c r="DA10" s="1482">
        <f t="shared" ca="1" si="13"/>
        <v>0</v>
      </c>
      <c r="DB10" s="1482">
        <f t="shared" ca="1" si="13"/>
        <v>0</v>
      </c>
      <c r="DC10" s="1482">
        <f t="shared" ca="1" si="13"/>
        <v>0</v>
      </c>
      <c r="DD10" s="1482">
        <f t="shared" ca="1" si="13"/>
        <v>0</v>
      </c>
      <c r="DE10" s="1482">
        <f t="shared" ca="1" si="13"/>
        <v>0</v>
      </c>
      <c r="DF10" s="1482">
        <f t="shared" ca="1" si="13"/>
        <v>0</v>
      </c>
      <c r="DH10" s="838"/>
    </row>
    <row r="11" spans="1:112" s="743" customFormat="1" ht="12.75" hidden="1" customHeight="1" outlineLevel="1" collapsed="1">
      <c r="A11" s="1484"/>
      <c r="B11" s="1484"/>
      <c r="C11" s="746"/>
      <c r="D11" s="1484" t="s">
        <v>947</v>
      </c>
      <c r="E11" s="521"/>
      <c r="G11" s="1019">
        <f ca="1">SUM(G9:G10)</f>
        <v>593.44696631116494</v>
      </c>
      <c r="H11" s="1019">
        <f t="shared" ref="H11:P11" ca="1" si="15">SUM(H9:H10)</f>
        <v>0</v>
      </c>
      <c r="I11" s="1019">
        <f t="shared" ca="1" si="15"/>
        <v>0</v>
      </c>
      <c r="J11" s="1019">
        <f t="shared" ca="1" si="15"/>
        <v>0</v>
      </c>
      <c r="K11" s="1019">
        <f t="shared" ca="1" si="15"/>
        <v>0</v>
      </c>
      <c r="L11" s="1019">
        <f t="shared" ca="1" si="15"/>
        <v>0</v>
      </c>
      <c r="M11" s="1019">
        <f t="shared" ca="1" si="15"/>
        <v>0</v>
      </c>
      <c r="N11" s="1019">
        <f t="shared" ca="1" si="15"/>
        <v>0</v>
      </c>
      <c r="O11" s="1019">
        <f t="shared" ca="1" si="15"/>
        <v>0</v>
      </c>
      <c r="P11" s="1019">
        <f t="shared" ca="1" si="15"/>
        <v>0</v>
      </c>
      <c r="Q11" s="1019">
        <f t="shared" ca="1" si="1"/>
        <v>593.44696631116494</v>
      </c>
      <c r="S11" s="1027">
        <f ca="1">SUM(S9:S10)</f>
        <v>-61.333574761505936</v>
      </c>
      <c r="T11" s="1027">
        <f t="shared" ref="T11:AJ11" ca="1" si="16">SUM(T9:T10)</f>
        <v>0</v>
      </c>
      <c r="U11" s="1027">
        <f t="shared" ca="1" si="16"/>
        <v>-2.3812757672217852</v>
      </c>
      <c r="V11" s="1027">
        <f t="shared" ca="1" si="16"/>
        <v>-2.1357834200855184</v>
      </c>
      <c r="W11" s="1027">
        <f t="shared" ca="1" si="16"/>
        <v>-527.59633236235175</v>
      </c>
      <c r="X11" s="1027">
        <f ca="1">SUM(X9:X10)</f>
        <v>0</v>
      </c>
      <c r="Y11" s="1027">
        <f ca="1">SUM(Y9:Y10)</f>
        <v>0</v>
      </c>
      <c r="Z11" s="1027">
        <f ca="1">SUM(Z9:Z10)</f>
        <v>0</v>
      </c>
      <c r="AA11" s="1027">
        <f t="shared" ca="1" si="16"/>
        <v>0</v>
      </c>
      <c r="AB11" s="1027">
        <f t="shared" ca="1" si="16"/>
        <v>0</v>
      </c>
      <c r="AC11" s="1027">
        <f t="shared" ca="1" si="16"/>
        <v>0</v>
      </c>
      <c r="AD11" s="1027">
        <f ca="1">SUM(AD9:AD10)</f>
        <v>0</v>
      </c>
      <c r="AE11" s="1027">
        <f ca="1">SUM(AE9:AE10)</f>
        <v>0</v>
      </c>
      <c r="AF11" s="1027">
        <f t="shared" ca="1" si="16"/>
        <v>0</v>
      </c>
      <c r="AG11" s="1027">
        <f ca="1">SUM(AG9:AG10)</f>
        <v>0</v>
      </c>
      <c r="AH11" s="1027">
        <f ca="1">SUM(AH9:AH10)</f>
        <v>0</v>
      </c>
      <c r="AI11" s="1027">
        <f ca="1">SUM(AI9:AI10)</f>
        <v>0</v>
      </c>
      <c r="AJ11" s="1027">
        <f t="shared" ca="1" si="16"/>
        <v>0</v>
      </c>
      <c r="AK11" s="1027">
        <f t="shared" ca="1" si="4"/>
        <v>-593.44696631116494</v>
      </c>
      <c r="AM11" s="1040">
        <f t="shared" ref="AM11:BE11" ca="1" si="17">SUM(AM9:AM10)</f>
        <v>0</v>
      </c>
      <c r="AN11" s="1040">
        <f t="shared" ca="1" si="17"/>
        <v>0</v>
      </c>
      <c r="AO11" s="1040">
        <f t="shared" ca="1" si="17"/>
        <v>0</v>
      </c>
      <c r="AP11" s="1040">
        <f t="shared" ca="1" si="17"/>
        <v>0</v>
      </c>
      <c r="AQ11" s="1040">
        <f t="shared" ca="1" si="17"/>
        <v>0</v>
      </c>
      <c r="AR11" s="1040">
        <f t="shared" ca="1" si="17"/>
        <v>0</v>
      </c>
      <c r="AS11" s="1040">
        <f t="shared" ca="1" si="17"/>
        <v>0</v>
      </c>
      <c r="AT11" s="1040">
        <f t="shared" ca="1" si="17"/>
        <v>0</v>
      </c>
      <c r="AU11" s="1040">
        <f t="shared" ca="1" si="17"/>
        <v>0</v>
      </c>
      <c r="AV11" s="1040">
        <f t="shared" ca="1" si="17"/>
        <v>0</v>
      </c>
      <c r="AW11" s="1040">
        <f t="shared" ca="1" si="17"/>
        <v>0</v>
      </c>
      <c r="AX11" s="1040">
        <f t="shared" ca="1" si="17"/>
        <v>0</v>
      </c>
      <c r="AY11" s="1040">
        <f t="shared" ca="1" si="17"/>
        <v>0</v>
      </c>
      <c r="AZ11" s="1040">
        <f t="shared" ca="1" si="17"/>
        <v>0</v>
      </c>
      <c r="BA11" s="1040">
        <f t="shared" ca="1" si="17"/>
        <v>0</v>
      </c>
      <c r="BB11" s="1040">
        <f t="shared" ca="1" si="17"/>
        <v>0</v>
      </c>
      <c r="BC11" s="1040">
        <f t="shared" ca="1" si="17"/>
        <v>0</v>
      </c>
      <c r="BD11" s="1040">
        <f t="shared" ca="1" si="17"/>
        <v>0</v>
      </c>
      <c r="BE11" s="1040">
        <f t="shared" ca="1" si="17"/>
        <v>0</v>
      </c>
      <c r="BF11" s="979">
        <f t="shared" ca="1" si="6"/>
        <v>0</v>
      </c>
      <c r="BH11" s="1034">
        <f ca="1">SUM(BH9:BH10)</f>
        <v>0</v>
      </c>
      <c r="BI11" s="1034">
        <f ca="1">SUM(BI9:BI10)</f>
        <v>0</v>
      </c>
      <c r="BJ11" s="1034">
        <f t="shared" ca="1" si="8"/>
        <v>0</v>
      </c>
      <c r="BL11" s="814">
        <f t="shared" ca="1" si="9"/>
        <v>0</v>
      </c>
      <c r="BM11" s="814"/>
      <c r="BN11" s="840"/>
      <c r="BO11" s="1481">
        <f t="shared" ref="BO11:DF11" ca="1" si="18">SUM(BO9:BO10)</f>
        <v>98.345103945998389</v>
      </c>
      <c r="BP11" s="1482">
        <f t="shared" ca="1" si="18"/>
        <v>0.19741023407249442</v>
      </c>
      <c r="BQ11" s="1482">
        <f t="shared" ca="1" si="18"/>
        <v>0.22539589246766653</v>
      </c>
      <c r="BR11" s="1482">
        <f t="shared" ca="1" si="18"/>
        <v>0</v>
      </c>
      <c r="BS11" s="1482">
        <f t="shared" ca="1" si="18"/>
        <v>0</v>
      </c>
      <c r="BT11" s="1482">
        <f t="shared" ca="1" si="18"/>
        <v>0</v>
      </c>
      <c r="BU11" s="1482">
        <f t="shared" ca="1" si="18"/>
        <v>0</v>
      </c>
      <c r="BV11" s="1482">
        <f t="shared" ca="1" si="18"/>
        <v>0</v>
      </c>
      <c r="BW11" s="1482">
        <f t="shared" ca="1" si="18"/>
        <v>0</v>
      </c>
      <c r="BX11" s="1482">
        <f t="shared" ca="1" si="18"/>
        <v>0</v>
      </c>
      <c r="BY11" s="1482">
        <f t="shared" ca="1" si="18"/>
        <v>0</v>
      </c>
      <c r="BZ11" s="1482">
        <f t="shared" ca="1" si="18"/>
        <v>0</v>
      </c>
      <c r="CA11" s="1482">
        <f t="shared" ca="1" si="18"/>
        <v>0</v>
      </c>
      <c r="CB11" s="1482">
        <f t="shared" ca="1" si="18"/>
        <v>0</v>
      </c>
      <c r="CC11" s="1482">
        <f t="shared" ca="1" si="18"/>
        <v>0</v>
      </c>
      <c r="CD11" s="1482">
        <f t="shared" ca="1" si="18"/>
        <v>0</v>
      </c>
      <c r="CE11" s="1482">
        <f t="shared" ca="1" si="18"/>
        <v>0</v>
      </c>
      <c r="CF11" s="1482">
        <f t="shared" ca="1" si="18"/>
        <v>0</v>
      </c>
      <c r="CG11" s="1482">
        <f t="shared" ca="1" si="18"/>
        <v>0</v>
      </c>
      <c r="CH11" s="1482">
        <f t="shared" ca="1" si="18"/>
        <v>0</v>
      </c>
      <c r="CI11" s="1482">
        <f t="shared" ca="1" si="18"/>
        <v>0</v>
      </c>
      <c r="CJ11" s="1482">
        <f t="shared" ca="1" si="18"/>
        <v>0</v>
      </c>
      <c r="CK11" s="1482">
        <f t="shared" ca="1" si="18"/>
        <v>0</v>
      </c>
      <c r="CL11" s="1482">
        <f t="shared" ca="1" si="18"/>
        <v>0</v>
      </c>
      <c r="CM11" s="1482">
        <f t="shared" ca="1" si="18"/>
        <v>0</v>
      </c>
      <c r="CN11" s="1482">
        <f t="shared" ca="1" si="18"/>
        <v>0</v>
      </c>
      <c r="CO11" s="1482">
        <f t="shared" ca="1" si="18"/>
        <v>0</v>
      </c>
      <c r="CP11" s="1482">
        <f t="shared" ca="1" si="18"/>
        <v>0</v>
      </c>
      <c r="CQ11" s="1482">
        <f t="shared" ca="1" si="18"/>
        <v>0</v>
      </c>
      <c r="CR11" s="1482">
        <f t="shared" ca="1" si="18"/>
        <v>0</v>
      </c>
      <c r="CS11" s="1482">
        <f t="shared" ca="1" si="18"/>
        <v>0</v>
      </c>
      <c r="CT11" s="1482">
        <f t="shared" ca="1" si="18"/>
        <v>0</v>
      </c>
      <c r="CU11" s="1482">
        <f t="shared" ca="1" si="18"/>
        <v>0</v>
      </c>
      <c r="CV11" s="1482">
        <f t="shared" ca="1" si="18"/>
        <v>0</v>
      </c>
      <c r="CW11" s="1482">
        <f t="shared" ca="1" si="18"/>
        <v>0</v>
      </c>
      <c r="CX11" s="1482">
        <f t="shared" ca="1" si="18"/>
        <v>0</v>
      </c>
      <c r="CY11" s="1482">
        <f t="shared" ca="1" si="18"/>
        <v>0</v>
      </c>
      <c r="CZ11" s="1482">
        <f t="shared" ca="1" si="18"/>
        <v>0</v>
      </c>
      <c r="DA11" s="1482">
        <f t="shared" ca="1" si="18"/>
        <v>0</v>
      </c>
      <c r="DB11" s="1482">
        <f t="shared" ca="1" si="18"/>
        <v>0</v>
      </c>
      <c r="DC11" s="1482">
        <f t="shared" ca="1" si="18"/>
        <v>0</v>
      </c>
      <c r="DD11" s="1482">
        <f t="shared" ca="1" si="18"/>
        <v>0</v>
      </c>
      <c r="DE11" s="1482">
        <f t="shared" ca="1" si="18"/>
        <v>0</v>
      </c>
      <c r="DF11" s="1482">
        <f t="shared" ca="1" si="18"/>
        <v>0</v>
      </c>
      <c r="DH11" s="838"/>
    </row>
    <row r="12" spans="1:112" s="743" customFormat="1" ht="10.5" hidden="1" customHeight="1" outlineLevel="2">
      <c r="A12" s="1480"/>
      <c r="B12" s="1480"/>
      <c r="C12" s="746" t="s">
        <v>945</v>
      </c>
      <c r="D12" s="1480" t="str">
        <f>INDEX(Modules[Module], MATCH($C12, Modules[Code], 0))</f>
        <v>Commercial heating and cooling</v>
      </c>
      <c r="E12" s="1006"/>
      <c r="G12" s="1017">
        <f t="shared" ca="1" si="14"/>
        <v>174.26990618059693</v>
      </c>
      <c r="H12" s="1017">
        <f t="shared" ca="1" si="14"/>
        <v>0</v>
      </c>
      <c r="I12" s="1017">
        <f t="shared" ca="1" si="14"/>
        <v>0</v>
      </c>
      <c r="J12" s="1017">
        <f t="shared" ca="1" si="14"/>
        <v>0</v>
      </c>
      <c r="K12" s="1017">
        <f t="shared" ca="1" si="14"/>
        <v>0</v>
      </c>
      <c r="L12" s="1017">
        <f t="shared" ca="1" si="14"/>
        <v>0</v>
      </c>
      <c r="M12" s="1017">
        <f t="shared" ca="1" si="14"/>
        <v>0</v>
      </c>
      <c r="N12" s="1017">
        <f t="shared" ca="1" si="14"/>
        <v>0</v>
      </c>
      <c r="O12" s="1017">
        <f t="shared" ca="1" si="14"/>
        <v>0</v>
      </c>
      <c r="P12" s="1017">
        <f t="shared" ca="1" si="14"/>
        <v>0</v>
      </c>
      <c r="Q12" s="1019">
        <f t="shared" ca="1" si="1"/>
        <v>174.26990618059693</v>
      </c>
      <c r="S12" s="1026">
        <f t="shared" ca="1" si="2"/>
        <v>-32.767588468647652</v>
      </c>
      <c r="T12" s="1026">
        <f t="shared" ca="1" si="2"/>
        <v>0</v>
      </c>
      <c r="U12" s="1026">
        <f t="shared" ca="1" si="2"/>
        <v>0</v>
      </c>
      <c r="V12" s="1026">
        <f t="shared" ca="1" si="2"/>
        <v>-0.52296340154565946</v>
      </c>
      <c r="W12" s="1026">
        <f t="shared" ca="1" si="2"/>
        <v>-140.97935431040366</v>
      </c>
      <c r="X12" s="1026">
        <f t="shared" ref="X12:Z13" ca="1" si="19">IFERROR(INDEX(INDIRECT($C12&amp;".Outputs["&amp;this.Year&amp;"]"), MATCH(X$5, INDIRECT($C12&amp;".Outputs[Vector]"), 0)), 0)</f>
        <v>0</v>
      </c>
      <c r="Y12" s="1026">
        <f t="shared" ca="1" si="19"/>
        <v>0</v>
      </c>
      <c r="Z12" s="1026">
        <f t="shared" ca="1" si="19"/>
        <v>0</v>
      </c>
      <c r="AA12" s="1026">
        <f t="shared" ca="1" si="2"/>
        <v>0</v>
      </c>
      <c r="AB12" s="1026">
        <f t="shared" ca="1" si="2"/>
        <v>0</v>
      </c>
      <c r="AC12" s="1026">
        <f t="shared" ca="1" si="2"/>
        <v>0</v>
      </c>
      <c r="AD12" s="1026">
        <f t="shared" ca="1" si="2"/>
        <v>0</v>
      </c>
      <c r="AE12" s="1026">
        <f t="shared" ca="1" si="2"/>
        <v>0</v>
      </c>
      <c r="AF12" s="1026">
        <f t="shared" ca="1" si="2"/>
        <v>0</v>
      </c>
      <c r="AG12" s="1026">
        <f t="shared" ca="1" si="2"/>
        <v>0</v>
      </c>
      <c r="AH12" s="1026">
        <f t="shared" ca="1" si="2"/>
        <v>0</v>
      </c>
      <c r="AI12" s="1026">
        <f t="shared" ca="1" si="2"/>
        <v>0</v>
      </c>
      <c r="AJ12" s="1026">
        <f t="shared" ca="1" si="2"/>
        <v>0</v>
      </c>
      <c r="AK12" s="1027">
        <f t="shared" ca="1" si="4"/>
        <v>-174.26990618059699</v>
      </c>
      <c r="AM12" s="1038">
        <f t="shared" ref="AM12:AU13" ca="1" si="20">IFERROR(INDEX(INDIRECT($C12&amp;".Outputs["&amp;this.Year&amp;"]"), MATCH(AM$5, INDIRECT($C12&amp;".Outputs[Vector]"), 0)), 0)</f>
        <v>0</v>
      </c>
      <c r="AN12" s="1038">
        <f t="shared" ca="1" si="20"/>
        <v>0</v>
      </c>
      <c r="AO12" s="1038">
        <f t="shared" ca="1" si="20"/>
        <v>0</v>
      </c>
      <c r="AP12" s="1038">
        <f t="shared" ca="1" si="20"/>
        <v>0</v>
      </c>
      <c r="AQ12" s="1038">
        <f t="shared" ca="1" si="20"/>
        <v>0</v>
      </c>
      <c r="AR12" s="1038">
        <f t="shared" ca="1" si="20"/>
        <v>0</v>
      </c>
      <c r="AS12" s="1038">
        <f t="shared" ca="1" si="20"/>
        <v>0</v>
      </c>
      <c r="AT12" s="1038">
        <f t="shared" ca="1" si="20"/>
        <v>0</v>
      </c>
      <c r="AU12" s="1038">
        <f t="shared" ca="1" si="20"/>
        <v>0</v>
      </c>
      <c r="AV12" s="1038">
        <f t="shared" ca="1" si="2"/>
        <v>0</v>
      </c>
      <c r="AW12" s="1038">
        <f t="shared" ca="1" si="2"/>
        <v>0</v>
      </c>
      <c r="AX12" s="1038">
        <f t="shared" ca="1" si="2"/>
        <v>0</v>
      </c>
      <c r="AY12" s="1038">
        <f t="shared" ca="1" si="2"/>
        <v>0</v>
      </c>
      <c r="AZ12" s="1038">
        <f t="shared" ca="1" si="2"/>
        <v>0</v>
      </c>
      <c r="BA12" s="1038">
        <f t="shared" ca="1" si="2"/>
        <v>0</v>
      </c>
      <c r="BB12" s="1038">
        <f t="shared" ca="1" si="2"/>
        <v>0</v>
      </c>
      <c r="BC12" s="1038">
        <f t="shared" ca="1" si="2"/>
        <v>0</v>
      </c>
      <c r="BD12" s="1038">
        <f t="shared" ca="1" si="2"/>
        <v>0</v>
      </c>
      <c r="BE12" s="1038">
        <f t="shared" ca="1" si="2"/>
        <v>0</v>
      </c>
      <c r="BF12" s="977">
        <f t="shared" ca="1" si="6"/>
        <v>0</v>
      </c>
      <c r="BH12" s="1032">
        <f t="shared" ca="1" si="7"/>
        <v>0</v>
      </c>
      <c r="BI12" s="1032">
        <f t="shared" ca="1" si="7"/>
        <v>0</v>
      </c>
      <c r="BJ12" s="1034">
        <f t="shared" ca="1" si="8"/>
        <v>0</v>
      </c>
      <c r="BL12" s="524">
        <f t="shared" ca="1" si="9"/>
        <v>-5.6843418860808015E-14</v>
      </c>
      <c r="BM12" s="524"/>
      <c r="BN12" s="840"/>
      <c r="BO12" s="1481">
        <f t="shared" ref="BO12:BX13" ca="1" si="21">IFERROR(SUMIFS(INDIRECT($C12&amp;".Emissions["&amp;this.Year&amp;"]"), INDIRECT($C12&amp;".Emissions[GHG]"), BO$6, INDIRECT($C12&amp;".Emissions[IPCC Sector]"), BO$5),0)</f>
        <v>26.070942043500683</v>
      </c>
      <c r="BP12" s="1482">
        <f t="shared" ca="1" si="21"/>
        <v>5.2159534405262074E-2</v>
      </c>
      <c r="BQ12" s="1482">
        <f t="shared" ca="1" si="21"/>
        <v>5.8277341836730404E-2</v>
      </c>
      <c r="BR12" s="1482">
        <f t="shared" ca="1" si="21"/>
        <v>0</v>
      </c>
      <c r="BS12" s="1482">
        <f t="shared" ca="1" si="21"/>
        <v>0</v>
      </c>
      <c r="BT12" s="1482">
        <f t="shared" ca="1" si="21"/>
        <v>0</v>
      </c>
      <c r="BU12" s="1482">
        <f t="shared" ca="1" si="21"/>
        <v>0</v>
      </c>
      <c r="BV12" s="1482">
        <f t="shared" ca="1" si="21"/>
        <v>0</v>
      </c>
      <c r="BW12" s="1482">
        <f t="shared" ca="1" si="21"/>
        <v>0</v>
      </c>
      <c r="BX12" s="1482">
        <f t="shared" ca="1" si="21"/>
        <v>0</v>
      </c>
      <c r="BY12" s="1482">
        <f t="shared" ref="BY12:CH13" ca="1" si="22">IFERROR(SUMIFS(INDIRECT($C12&amp;".Emissions["&amp;this.Year&amp;"]"), INDIRECT($C12&amp;".Emissions[GHG]"), BY$6, INDIRECT($C12&amp;".Emissions[IPCC Sector]"), BY$5),0)</f>
        <v>0</v>
      </c>
      <c r="BZ12" s="1482">
        <f t="shared" ca="1" si="22"/>
        <v>0</v>
      </c>
      <c r="CA12" s="1482">
        <f t="shared" ca="1" si="22"/>
        <v>0</v>
      </c>
      <c r="CB12" s="1482">
        <f t="shared" ca="1" si="22"/>
        <v>0</v>
      </c>
      <c r="CC12" s="1482">
        <f t="shared" ca="1" si="22"/>
        <v>0</v>
      </c>
      <c r="CD12" s="1482">
        <f t="shared" ca="1" si="22"/>
        <v>0</v>
      </c>
      <c r="CE12" s="1482">
        <f t="shared" ca="1" si="22"/>
        <v>0</v>
      </c>
      <c r="CF12" s="1482">
        <f t="shared" ca="1" si="22"/>
        <v>0</v>
      </c>
      <c r="CG12" s="1482">
        <f t="shared" ca="1" si="22"/>
        <v>0</v>
      </c>
      <c r="CH12" s="1482">
        <f t="shared" ca="1" si="22"/>
        <v>0</v>
      </c>
      <c r="CI12" s="1482">
        <f t="shared" ref="CI12:CR13" ca="1" si="23">IFERROR(SUMIFS(INDIRECT($C12&amp;".Emissions["&amp;this.Year&amp;"]"), INDIRECT($C12&amp;".Emissions[GHG]"), CI$6, INDIRECT($C12&amp;".Emissions[IPCC Sector]"), CI$5),0)</f>
        <v>0</v>
      </c>
      <c r="CJ12" s="1482">
        <f t="shared" ca="1" si="23"/>
        <v>0</v>
      </c>
      <c r="CK12" s="1482">
        <f t="shared" ca="1" si="23"/>
        <v>0</v>
      </c>
      <c r="CL12" s="1482">
        <f t="shared" ca="1" si="23"/>
        <v>0</v>
      </c>
      <c r="CM12" s="1482">
        <f t="shared" ca="1" si="23"/>
        <v>0</v>
      </c>
      <c r="CN12" s="1482">
        <f t="shared" ca="1" si="23"/>
        <v>0</v>
      </c>
      <c r="CO12" s="1482">
        <f t="shared" ca="1" si="23"/>
        <v>0</v>
      </c>
      <c r="CP12" s="1482">
        <f t="shared" ca="1" si="23"/>
        <v>0</v>
      </c>
      <c r="CQ12" s="1482">
        <f t="shared" ca="1" si="23"/>
        <v>0</v>
      </c>
      <c r="CR12" s="1482">
        <f t="shared" ca="1" si="23"/>
        <v>0</v>
      </c>
      <c r="CS12" s="1482">
        <f t="shared" ref="CS12:DF13" ca="1" si="24">IFERROR(SUMIFS(INDIRECT($C12&amp;".Emissions["&amp;this.Year&amp;"]"), INDIRECT($C12&amp;".Emissions[GHG]"), CS$6, INDIRECT($C12&amp;".Emissions[IPCC Sector]"), CS$5),0)</f>
        <v>0</v>
      </c>
      <c r="CT12" s="1482">
        <f t="shared" ca="1" si="24"/>
        <v>0</v>
      </c>
      <c r="CU12" s="1482">
        <f t="shared" ca="1" si="24"/>
        <v>0</v>
      </c>
      <c r="CV12" s="1482">
        <f t="shared" ca="1" si="24"/>
        <v>0</v>
      </c>
      <c r="CW12" s="1482">
        <f t="shared" ca="1" si="24"/>
        <v>0</v>
      </c>
      <c r="CX12" s="1482">
        <f t="shared" ca="1" si="24"/>
        <v>0</v>
      </c>
      <c r="CY12" s="1482">
        <f t="shared" ca="1" si="24"/>
        <v>0</v>
      </c>
      <c r="CZ12" s="1482">
        <f t="shared" ca="1" si="24"/>
        <v>0</v>
      </c>
      <c r="DA12" s="1482">
        <f t="shared" ca="1" si="24"/>
        <v>0</v>
      </c>
      <c r="DB12" s="1482">
        <f t="shared" ca="1" si="24"/>
        <v>0</v>
      </c>
      <c r="DC12" s="1482">
        <f t="shared" ca="1" si="24"/>
        <v>0</v>
      </c>
      <c r="DD12" s="1482">
        <f t="shared" ca="1" si="24"/>
        <v>0</v>
      </c>
      <c r="DE12" s="1482">
        <f t="shared" ca="1" si="24"/>
        <v>0</v>
      </c>
      <c r="DF12" s="1482">
        <f t="shared" ca="1" si="24"/>
        <v>0</v>
      </c>
      <c r="DH12" s="838"/>
    </row>
    <row r="13" spans="1:112" s="743" customFormat="1" ht="10.5" hidden="1" customHeight="1" outlineLevel="2">
      <c r="A13" s="1483"/>
      <c r="B13" s="1483"/>
      <c r="C13" s="1009" t="s">
        <v>946</v>
      </c>
      <c r="D13" s="1483" t="str">
        <f>INDEX(Modules[Module], MATCH($C13, Modules[Code], 0))</f>
        <v>Commercial hot water [UNUSED - See IX.c]</v>
      </c>
      <c r="E13" s="1006"/>
      <c r="G13" s="1018">
        <f t="shared" ca="1" si="14"/>
        <v>0</v>
      </c>
      <c r="H13" s="1018">
        <f t="shared" ca="1" si="14"/>
        <v>0</v>
      </c>
      <c r="I13" s="1018">
        <f t="shared" ca="1" si="14"/>
        <v>0</v>
      </c>
      <c r="J13" s="1018">
        <f t="shared" ca="1" si="14"/>
        <v>0</v>
      </c>
      <c r="K13" s="1018">
        <f t="shared" ca="1" si="14"/>
        <v>0</v>
      </c>
      <c r="L13" s="1018">
        <f t="shared" ca="1" si="14"/>
        <v>0</v>
      </c>
      <c r="M13" s="1018">
        <f t="shared" ca="1" si="14"/>
        <v>0</v>
      </c>
      <c r="N13" s="1018">
        <f t="shared" ca="1" si="14"/>
        <v>0</v>
      </c>
      <c r="O13" s="1018">
        <f t="shared" ca="1" si="14"/>
        <v>0</v>
      </c>
      <c r="P13" s="1018">
        <f t="shared" ca="1" si="14"/>
        <v>0</v>
      </c>
      <c r="Q13" s="1024">
        <f t="shared" ca="1" si="1"/>
        <v>0</v>
      </c>
      <c r="S13" s="1028">
        <f t="shared" ca="1" si="2"/>
        <v>0</v>
      </c>
      <c r="T13" s="1028">
        <f t="shared" ca="1" si="2"/>
        <v>0</v>
      </c>
      <c r="U13" s="1028">
        <f t="shared" ca="1" si="2"/>
        <v>0</v>
      </c>
      <c r="V13" s="1028">
        <f t="shared" ca="1" si="2"/>
        <v>0</v>
      </c>
      <c r="W13" s="1028">
        <f t="shared" ca="1" si="2"/>
        <v>0</v>
      </c>
      <c r="X13" s="1028">
        <f t="shared" ca="1" si="19"/>
        <v>0</v>
      </c>
      <c r="Y13" s="1028">
        <f t="shared" ca="1" si="19"/>
        <v>0</v>
      </c>
      <c r="Z13" s="1028">
        <f t="shared" ca="1" si="19"/>
        <v>0</v>
      </c>
      <c r="AA13" s="1028">
        <f t="shared" ca="1" si="2"/>
        <v>0</v>
      </c>
      <c r="AB13" s="1028">
        <f t="shared" ca="1" si="2"/>
        <v>0</v>
      </c>
      <c r="AC13" s="1028">
        <f t="shared" ca="1" si="2"/>
        <v>0</v>
      </c>
      <c r="AD13" s="1028">
        <f t="shared" ca="1" si="2"/>
        <v>0</v>
      </c>
      <c r="AE13" s="1028">
        <f t="shared" ca="1" si="2"/>
        <v>0</v>
      </c>
      <c r="AF13" s="1028">
        <f t="shared" ca="1" si="2"/>
        <v>0</v>
      </c>
      <c r="AG13" s="1028">
        <f t="shared" ca="1" si="2"/>
        <v>0</v>
      </c>
      <c r="AH13" s="1028">
        <f t="shared" ca="1" si="2"/>
        <v>0</v>
      </c>
      <c r="AI13" s="1028">
        <f t="shared" ca="1" si="2"/>
        <v>0</v>
      </c>
      <c r="AJ13" s="1028">
        <f t="shared" ca="1" si="2"/>
        <v>0</v>
      </c>
      <c r="AK13" s="1029">
        <f t="shared" ca="1" si="4"/>
        <v>0</v>
      </c>
      <c r="AM13" s="1039">
        <f t="shared" ca="1" si="20"/>
        <v>0</v>
      </c>
      <c r="AN13" s="1039">
        <f t="shared" ca="1" si="20"/>
        <v>0</v>
      </c>
      <c r="AO13" s="1039">
        <f t="shared" ca="1" si="20"/>
        <v>0</v>
      </c>
      <c r="AP13" s="1039">
        <f t="shared" ca="1" si="20"/>
        <v>0</v>
      </c>
      <c r="AQ13" s="1039">
        <f t="shared" ca="1" si="20"/>
        <v>0</v>
      </c>
      <c r="AR13" s="1039">
        <f t="shared" ca="1" si="20"/>
        <v>0</v>
      </c>
      <c r="AS13" s="1039">
        <f t="shared" ca="1" si="20"/>
        <v>0</v>
      </c>
      <c r="AT13" s="1039">
        <f t="shared" ca="1" si="20"/>
        <v>0</v>
      </c>
      <c r="AU13" s="1039">
        <f t="shared" ca="1" si="20"/>
        <v>0</v>
      </c>
      <c r="AV13" s="1039">
        <f t="shared" ca="1" si="2"/>
        <v>0</v>
      </c>
      <c r="AW13" s="1039">
        <f t="shared" ca="1" si="2"/>
        <v>0</v>
      </c>
      <c r="AX13" s="1039">
        <f t="shared" ca="1" si="2"/>
        <v>0</v>
      </c>
      <c r="AY13" s="1039">
        <f t="shared" ca="1" si="2"/>
        <v>0</v>
      </c>
      <c r="AZ13" s="1039">
        <f t="shared" ca="1" si="2"/>
        <v>0</v>
      </c>
      <c r="BA13" s="1039">
        <f t="shared" ca="1" si="2"/>
        <v>0</v>
      </c>
      <c r="BB13" s="1039">
        <f t="shared" ca="1" si="2"/>
        <v>0</v>
      </c>
      <c r="BC13" s="1039">
        <f t="shared" ca="1" si="2"/>
        <v>0</v>
      </c>
      <c r="BD13" s="1039">
        <f t="shared" ca="1" si="2"/>
        <v>0</v>
      </c>
      <c r="BE13" s="1039">
        <f t="shared" ca="1" si="2"/>
        <v>0</v>
      </c>
      <c r="BF13" s="1008">
        <f t="shared" ca="1" si="6"/>
        <v>0</v>
      </c>
      <c r="BH13" s="1033">
        <f t="shared" ca="1" si="7"/>
        <v>0</v>
      </c>
      <c r="BI13" s="1033">
        <f t="shared" ca="1" si="7"/>
        <v>0</v>
      </c>
      <c r="BJ13" s="1044">
        <f t="shared" ca="1" si="8"/>
        <v>0</v>
      </c>
      <c r="BL13" s="1007">
        <f t="shared" ca="1" si="9"/>
        <v>0</v>
      </c>
      <c r="BM13" s="1007"/>
      <c r="BN13" s="840"/>
      <c r="BO13" s="1481">
        <f t="shared" ca="1" si="21"/>
        <v>0</v>
      </c>
      <c r="BP13" s="1482">
        <f t="shared" ca="1" si="21"/>
        <v>0</v>
      </c>
      <c r="BQ13" s="1482">
        <f t="shared" ca="1" si="21"/>
        <v>0</v>
      </c>
      <c r="BR13" s="1482">
        <f t="shared" ca="1" si="21"/>
        <v>0</v>
      </c>
      <c r="BS13" s="1482">
        <f t="shared" ca="1" si="21"/>
        <v>0</v>
      </c>
      <c r="BT13" s="1482">
        <f t="shared" ca="1" si="21"/>
        <v>0</v>
      </c>
      <c r="BU13" s="1482">
        <f t="shared" ca="1" si="21"/>
        <v>0</v>
      </c>
      <c r="BV13" s="1482">
        <f t="shared" ca="1" si="21"/>
        <v>0</v>
      </c>
      <c r="BW13" s="1482">
        <f t="shared" ca="1" si="21"/>
        <v>0</v>
      </c>
      <c r="BX13" s="1482">
        <f t="shared" ca="1" si="21"/>
        <v>0</v>
      </c>
      <c r="BY13" s="1482">
        <f t="shared" ca="1" si="22"/>
        <v>0</v>
      </c>
      <c r="BZ13" s="1482">
        <f t="shared" ca="1" si="22"/>
        <v>0</v>
      </c>
      <c r="CA13" s="1482">
        <f t="shared" ca="1" si="22"/>
        <v>0</v>
      </c>
      <c r="CB13" s="1482">
        <f t="shared" ca="1" si="22"/>
        <v>0</v>
      </c>
      <c r="CC13" s="1482">
        <f t="shared" ca="1" si="22"/>
        <v>0</v>
      </c>
      <c r="CD13" s="1482">
        <f t="shared" ca="1" si="22"/>
        <v>0</v>
      </c>
      <c r="CE13" s="1482">
        <f t="shared" ca="1" si="22"/>
        <v>0</v>
      </c>
      <c r="CF13" s="1482">
        <f t="shared" ca="1" si="22"/>
        <v>0</v>
      </c>
      <c r="CG13" s="1482">
        <f t="shared" ca="1" si="22"/>
        <v>0</v>
      </c>
      <c r="CH13" s="1482">
        <f t="shared" ca="1" si="22"/>
        <v>0</v>
      </c>
      <c r="CI13" s="1482">
        <f t="shared" ca="1" si="23"/>
        <v>0</v>
      </c>
      <c r="CJ13" s="1482">
        <f t="shared" ca="1" si="23"/>
        <v>0</v>
      </c>
      <c r="CK13" s="1482">
        <f t="shared" ca="1" si="23"/>
        <v>0</v>
      </c>
      <c r="CL13" s="1482">
        <f t="shared" ca="1" si="23"/>
        <v>0</v>
      </c>
      <c r="CM13" s="1482">
        <f t="shared" ca="1" si="23"/>
        <v>0</v>
      </c>
      <c r="CN13" s="1482">
        <f t="shared" ca="1" si="23"/>
        <v>0</v>
      </c>
      <c r="CO13" s="1482">
        <f t="shared" ca="1" si="23"/>
        <v>0</v>
      </c>
      <c r="CP13" s="1482">
        <f t="shared" ca="1" si="23"/>
        <v>0</v>
      </c>
      <c r="CQ13" s="1482">
        <f t="shared" ca="1" si="23"/>
        <v>0</v>
      </c>
      <c r="CR13" s="1482">
        <f t="shared" ca="1" si="23"/>
        <v>0</v>
      </c>
      <c r="CS13" s="1482">
        <f t="shared" ca="1" si="24"/>
        <v>0</v>
      </c>
      <c r="CT13" s="1482">
        <f t="shared" ca="1" si="24"/>
        <v>0</v>
      </c>
      <c r="CU13" s="1482">
        <f t="shared" ca="1" si="24"/>
        <v>0</v>
      </c>
      <c r="CV13" s="1482">
        <f t="shared" ca="1" si="24"/>
        <v>0</v>
      </c>
      <c r="CW13" s="1482">
        <f t="shared" ca="1" si="24"/>
        <v>0</v>
      </c>
      <c r="CX13" s="1482">
        <f t="shared" ca="1" si="24"/>
        <v>0</v>
      </c>
      <c r="CY13" s="1482">
        <f t="shared" ca="1" si="24"/>
        <v>0</v>
      </c>
      <c r="CZ13" s="1482">
        <f t="shared" ca="1" si="24"/>
        <v>0</v>
      </c>
      <c r="DA13" s="1482">
        <f t="shared" ca="1" si="24"/>
        <v>0</v>
      </c>
      <c r="DB13" s="1482">
        <f t="shared" ca="1" si="24"/>
        <v>0</v>
      </c>
      <c r="DC13" s="1482">
        <f t="shared" ca="1" si="24"/>
        <v>0</v>
      </c>
      <c r="DD13" s="1482">
        <f t="shared" ca="1" si="24"/>
        <v>0</v>
      </c>
      <c r="DE13" s="1482">
        <f t="shared" ca="1" si="24"/>
        <v>0</v>
      </c>
      <c r="DF13" s="1482">
        <f t="shared" ca="1" si="24"/>
        <v>0</v>
      </c>
      <c r="DH13" s="838"/>
    </row>
    <row r="14" spans="1:112" s="743" customFormat="1" ht="12.75" hidden="1" customHeight="1" outlineLevel="1" collapsed="1">
      <c r="A14" s="1484"/>
      <c r="B14" s="1484"/>
      <c r="C14" s="746"/>
      <c r="D14" s="1010" t="s">
        <v>948</v>
      </c>
      <c r="E14" s="1010"/>
      <c r="G14" s="1020">
        <f ca="1">SUM(G12:G13)</f>
        <v>174.26990618059693</v>
      </c>
      <c r="H14" s="1020">
        <f t="shared" ref="H14:P14" ca="1" si="25">SUM(H12:H13)</f>
        <v>0</v>
      </c>
      <c r="I14" s="1020">
        <f t="shared" ca="1" si="25"/>
        <v>0</v>
      </c>
      <c r="J14" s="1020">
        <f t="shared" ca="1" si="25"/>
        <v>0</v>
      </c>
      <c r="K14" s="1020">
        <f t="shared" ca="1" si="25"/>
        <v>0</v>
      </c>
      <c r="L14" s="1020">
        <f t="shared" ca="1" si="25"/>
        <v>0</v>
      </c>
      <c r="M14" s="1020">
        <f t="shared" ca="1" si="25"/>
        <v>0</v>
      </c>
      <c r="N14" s="1020">
        <f t="shared" ca="1" si="25"/>
        <v>0</v>
      </c>
      <c r="O14" s="1020">
        <f t="shared" ca="1" si="25"/>
        <v>0</v>
      </c>
      <c r="P14" s="1020">
        <f t="shared" ca="1" si="25"/>
        <v>0</v>
      </c>
      <c r="Q14" s="1020">
        <f t="shared" ca="1" si="1"/>
        <v>174.26990618059693</v>
      </c>
      <c r="S14" s="1030">
        <f t="shared" ref="S14:AJ14" ca="1" si="26">SUM(S12:S13)</f>
        <v>-32.767588468647652</v>
      </c>
      <c r="T14" s="1030">
        <f t="shared" ca="1" si="26"/>
        <v>0</v>
      </c>
      <c r="U14" s="1030">
        <f t="shared" ca="1" si="26"/>
        <v>0</v>
      </c>
      <c r="V14" s="1030">
        <f t="shared" ca="1" si="26"/>
        <v>-0.52296340154565946</v>
      </c>
      <c r="W14" s="1030">
        <f t="shared" ca="1" si="26"/>
        <v>-140.97935431040366</v>
      </c>
      <c r="X14" s="1030">
        <f ca="1">SUM(X12:X13)</f>
        <v>0</v>
      </c>
      <c r="Y14" s="1030">
        <f ca="1">SUM(Y12:Y13)</f>
        <v>0</v>
      </c>
      <c r="Z14" s="1030">
        <f ca="1">SUM(Z12:Z13)</f>
        <v>0</v>
      </c>
      <c r="AA14" s="1030">
        <f t="shared" ca="1" si="26"/>
        <v>0</v>
      </c>
      <c r="AB14" s="1030">
        <f t="shared" ca="1" si="26"/>
        <v>0</v>
      </c>
      <c r="AC14" s="1030">
        <f t="shared" ca="1" si="26"/>
        <v>0</v>
      </c>
      <c r="AD14" s="1030">
        <f ca="1">SUM(AD12:AD13)</f>
        <v>0</v>
      </c>
      <c r="AE14" s="1030">
        <f ca="1">SUM(AE12:AE13)</f>
        <v>0</v>
      </c>
      <c r="AF14" s="1030">
        <f t="shared" ca="1" si="26"/>
        <v>0</v>
      </c>
      <c r="AG14" s="1030">
        <f ca="1">SUM(AG12:AG13)</f>
        <v>0</v>
      </c>
      <c r="AH14" s="1030">
        <f ca="1">SUM(AH12:AH13)</f>
        <v>0</v>
      </c>
      <c r="AI14" s="1030">
        <f ca="1">SUM(AI12:AI13)</f>
        <v>0</v>
      </c>
      <c r="AJ14" s="1030">
        <f t="shared" ca="1" si="26"/>
        <v>0</v>
      </c>
      <c r="AK14" s="1030">
        <f t="shared" ca="1" si="4"/>
        <v>-174.26990618059699</v>
      </c>
      <c r="AM14" s="1041">
        <f t="shared" ref="AM14:AS14" ca="1" si="27">SUM(AM12:AM13)</f>
        <v>0</v>
      </c>
      <c r="AN14" s="1041">
        <f t="shared" ca="1" si="27"/>
        <v>0</v>
      </c>
      <c r="AO14" s="1041">
        <f t="shared" ca="1" si="27"/>
        <v>0</v>
      </c>
      <c r="AP14" s="1041">
        <f t="shared" ca="1" si="27"/>
        <v>0</v>
      </c>
      <c r="AQ14" s="1041">
        <f t="shared" ca="1" si="27"/>
        <v>0</v>
      </c>
      <c r="AR14" s="1041">
        <f t="shared" ca="1" si="27"/>
        <v>0</v>
      </c>
      <c r="AS14" s="1041">
        <f t="shared" ca="1" si="27"/>
        <v>0</v>
      </c>
      <c r="AT14" s="1041">
        <f t="shared" ref="AT14:BE14" ca="1" si="28">SUM(AT12:AT13)</f>
        <v>0</v>
      </c>
      <c r="AU14" s="1041">
        <f t="shared" ca="1" si="28"/>
        <v>0</v>
      </c>
      <c r="AV14" s="1041">
        <f t="shared" ca="1" si="28"/>
        <v>0</v>
      </c>
      <c r="AW14" s="1041">
        <f t="shared" ca="1" si="28"/>
        <v>0</v>
      </c>
      <c r="AX14" s="1041">
        <f t="shared" ca="1" si="28"/>
        <v>0</v>
      </c>
      <c r="AY14" s="1041">
        <f t="shared" ca="1" si="28"/>
        <v>0</v>
      </c>
      <c r="AZ14" s="1041">
        <f t="shared" ca="1" si="28"/>
        <v>0</v>
      </c>
      <c r="BA14" s="1041">
        <f t="shared" ca="1" si="28"/>
        <v>0</v>
      </c>
      <c r="BB14" s="1041">
        <f t="shared" ca="1" si="28"/>
        <v>0</v>
      </c>
      <c r="BC14" s="1041">
        <f t="shared" ca="1" si="28"/>
        <v>0</v>
      </c>
      <c r="BD14" s="1041">
        <f t="shared" ca="1" si="28"/>
        <v>0</v>
      </c>
      <c r="BE14" s="1041">
        <f t="shared" ca="1" si="28"/>
        <v>0</v>
      </c>
      <c r="BF14" s="1012">
        <f t="shared" ca="1" si="6"/>
        <v>0</v>
      </c>
      <c r="BH14" s="1035">
        <f ca="1">SUM(BH12:BH13)</f>
        <v>0</v>
      </c>
      <c r="BI14" s="1035">
        <f ca="1">SUM(BI12:BI13)</f>
        <v>0</v>
      </c>
      <c r="BJ14" s="1035">
        <f t="shared" ca="1" si="8"/>
        <v>0</v>
      </c>
      <c r="BL14" s="814">
        <f t="shared" ca="1" si="9"/>
        <v>-5.6843418860808015E-14</v>
      </c>
      <c r="BM14" s="814"/>
      <c r="BN14" s="840"/>
      <c r="BO14" s="1485">
        <f t="shared" ref="BO14:DF14" ca="1" si="29">SUM(BO12:BO13)</f>
        <v>26.070942043500683</v>
      </c>
      <c r="BP14" s="1486">
        <f t="shared" ca="1" si="29"/>
        <v>5.2159534405262074E-2</v>
      </c>
      <c r="BQ14" s="1486">
        <f t="shared" ca="1" si="29"/>
        <v>5.8277341836730404E-2</v>
      </c>
      <c r="BR14" s="1486">
        <f t="shared" ca="1" si="29"/>
        <v>0</v>
      </c>
      <c r="BS14" s="1486">
        <f t="shared" ca="1" si="29"/>
        <v>0</v>
      </c>
      <c r="BT14" s="1486">
        <f t="shared" ca="1" si="29"/>
        <v>0</v>
      </c>
      <c r="BU14" s="1486">
        <f t="shared" ca="1" si="29"/>
        <v>0</v>
      </c>
      <c r="BV14" s="1486">
        <f t="shared" ca="1" si="29"/>
        <v>0</v>
      </c>
      <c r="BW14" s="1486">
        <f t="shared" ca="1" si="29"/>
        <v>0</v>
      </c>
      <c r="BX14" s="1486">
        <f t="shared" ca="1" si="29"/>
        <v>0</v>
      </c>
      <c r="BY14" s="1486">
        <f t="shared" ca="1" si="29"/>
        <v>0</v>
      </c>
      <c r="BZ14" s="1486">
        <f t="shared" ca="1" si="29"/>
        <v>0</v>
      </c>
      <c r="CA14" s="1486">
        <f t="shared" ca="1" si="29"/>
        <v>0</v>
      </c>
      <c r="CB14" s="1486">
        <f t="shared" ca="1" si="29"/>
        <v>0</v>
      </c>
      <c r="CC14" s="1486">
        <f t="shared" ca="1" si="29"/>
        <v>0</v>
      </c>
      <c r="CD14" s="1486">
        <f t="shared" ca="1" si="29"/>
        <v>0</v>
      </c>
      <c r="CE14" s="1486">
        <f t="shared" ca="1" si="29"/>
        <v>0</v>
      </c>
      <c r="CF14" s="1486">
        <f t="shared" ca="1" si="29"/>
        <v>0</v>
      </c>
      <c r="CG14" s="1486">
        <f t="shared" ca="1" si="29"/>
        <v>0</v>
      </c>
      <c r="CH14" s="1486">
        <f t="shared" ca="1" si="29"/>
        <v>0</v>
      </c>
      <c r="CI14" s="1486">
        <f t="shared" ca="1" si="29"/>
        <v>0</v>
      </c>
      <c r="CJ14" s="1486">
        <f t="shared" ca="1" si="29"/>
        <v>0</v>
      </c>
      <c r="CK14" s="1486">
        <f t="shared" ca="1" si="29"/>
        <v>0</v>
      </c>
      <c r="CL14" s="1486">
        <f t="shared" ca="1" si="29"/>
        <v>0</v>
      </c>
      <c r="CM14" s="1486">
        <f t="shared" ca="1" si="29"/>
        <v>0</v>
      </c>
      <c r="CN14" s="1486">
        <f t="shared" ca="1" si="29"/>
        <v>0</v>
      </c>
      <c r="CO14" s="1486">
        <f t="shared" ca="1" si="29"/>
        <v>0</v>
      </c>
      <c r="CP14" s="1486">
        <f t="shared" ca="1" si="29"/>
        <v>0</v>
      </c>
      <c r="CQ14" s="1486">
        <f t="shared" ca="1" si="29"/>
        <v>0</v>
      </c>
      <c r="CR14" s="1486">
        <f t="shared" ca="1" si="29"/>
        <v>0</v>
      </c>
      <c r="CS14" s="1486">
        <f t="shared" ca="1" si="29"/>
        <v>0</v>
      </c>
      <c r="CT14" s="1486">
        <f t="shared" ca="1" si="29"/>
        <v>0</v>
      </c>
      <c r="CU14" s="1486">
        <f t="shared" ca="1" si="29"/>
        <v>0</v>
      </c>
      <c r="CV14" s="1486">
        <f t="shared" ca="1" si="29"/>
        <v>0</v>
      </c>
      <c r="CW14" s="1486">
        <f t="shared" ca="1" si="29"/>
        <v>0</v>
      </c>
      <c r="CX14" s="1486">
        <f t="shared" ca="1" si="29"/>
        <v>0</v>
      </c>
      <c r="CY14" s="1486">
        <f t="shared" ca="1" si="29"/>
        <v>0</v>
      </c>
      <c r="CZ14" s="1486">
        <f t="shared" ca="1" si="29"/>
        <v>0</v>
      </c>
      <c r="DA14" s="1486">
        <f t="shared" ca="1" si="29"/>
        <v>0</v>
      </c>
      <c r="DB14" s="1486">
        <f t="shared" ca="1" si="29"/>
        <v>0</v>
      </c>
      <c r="DC14" s="1486">
        <f t="shared" ca="1" si="29"/>
        <v>0</v>
      </c>
      <c r="DD14" s="1486">
        <f t="shared" ca="1" si="29"/>
        <v>0</v>
      </c>
      <c r="DE14" s="1486">
        <f t="shared" ca="1" si="29"/>
        <v>0</v>
      </c>
      <c r="DF14" s="1486">
        <f t="shared" ca="1" si="29"/>
        <v>0</v>
      </c>
      <c r="DH14" s="838"/>
    </row>
    <row r="15" spans="1:112" s="743" customFormat="1" ht="15.75" collapsed="1">
      <c r="A15" s="22"/>
      <c r="B15" s="753"/>
      <c r="C15" s="744" t="s">
        <v>676</v>
      </c>
      <c r="D15" s="517" t="str">
        <f>INDEX(Workstreams[Workstream], MATCH($C15, Workstreams[Code], 0))</f>
        <v>Heating</v>
      </c>
      <c r="E15" s="512"/>
      <c r="G15" s="1021">
        <f t="shared" ref="G15:P15" ca="1" si="30">G14+G11</f>
        <v>767.71687249176193</v>
      </c>
      <c r="H15" s="1021">
        <f t="shared" ca="1" si="30"/>
        <v>0</v>
      </c>
      <c r="I15" s="1021">
        <f t="shared" ca="1" si="30"/>
        <v>0</v>
      </c>
      <c r="J15" s="1021">
        <f t="shared" ca="1" si="30"/>
        <v>0</v>
      </c>
      <c r="K15" s="1021">
        <f t="shared" ca="1" si="30"/>
        <v>0</v>
      </c>
      <c r="L15" s="1021">
        <f t="shared" ca="1" si="30"/>
        <v>0</v>
      </c>
      <c r="M15" s="1021">
        <f t="shared" ca="1" si="30"/>
        <v>0</v>
      </c>
      <c r="N15" s="1021">
        <f t="shared" ca="1" si="30"/>
        <v>0</v>
      </c>
      <c r="O15" s="1021">
        <f t="shared" ca="1" si="30"/>
        <v>0</v>
      </c>
      <c r="P15" s="1021">
        <f t="shared" ca="1" si="30"/>
        <v>0</v>
      </c>
      <c r="Q15" s="1021">
        <f t="shared" ca="1" si="1"/>
        <v>767.71687249176193</v>
      </c>
      <c r="S15" s="970">
        <f t="shared" ref="S15:Z15" ca="1" si="31">S14+S11</f>
        <v>-94.101163230153588</v>
      </c>
      <c r="T15" s="970">
        <f t="shared" ca="1" si="31"/>
        <v>0</v>
      </c>
      <c r="U15" s="970">
        <f t="shared" ca="1" si="31"/>
        <v>-2.3812757672217852</v>
      </c>
      <c r="V15" s="970">
        <f t="shared" ca="1" si="31"/>
        <v>-2.658746821631178</v>
      </c>
      <c r="W15" s="970">
        <f t="shared" ca="1" si="31"/>
        <v>-668.57568667275541</v>
      </c>
      <c r="X15" s="970">
        <f t="shared" ca="1" si="31"/>
        <v>0</v>
      </c>
      <c r="Y15" s="970">
        <f t="shared" ca="1" si="31"/>
        <v>0</v>
      </c>
      <c r="Z15" s="970">
        <f t="shared" ca="1" si="31"/>
        <v>0</v>
      </c>
      <c r="AA15" s="970">
        <f t="shared" ref="AA15:AJ15" ca="1" si="32">AA14+AA11</f>
        <v>0</v>
      </c>
      <c r="AB15" s="970">
        <f t="shared" ca="1" si="32"/>
        <v>0</v>
      </c>
      <c r="AC15" s="970">
        <f t="shared" ca="1" si="32"/>
        <v>0</v>
      </c>
      <c r="AD15" s="970">
        <f ca="1">AD14+AD11</f>
        <v>0</v>
      </c>
      <c r="AE15" s="970">
        <f ca="1">AE14+AE11</f>
        <v>0</v>
      </c>
      <c r="AF15" s="970">
        <f t="shared" ca="1" si="32"/>
        <v>0</v>
      </c>
      <c r="AG15" s="970">
        <f ca="1">AG14+AG11</f>
        <v>0</v>
      </c>
      <c r="AH15" s="970">
        <f ca="1">AH14+AH11</f>
        <v>0</v>
      </c>
      <c r="AI15" s="970">
        <f ca="1">AI14+AI11</f>
        <v>0</v>
      </c>
      <c r="AJ15" s="970">
        <f t="shared" ca="1" si="32"/>
        <v>0</v>
      </c>
      <c r="AK15" s="970">
        <f t="shared" ca="1" si="4"/>
        <v>-767.71687249176193</v>
      </c>
      <c r="AM15" s="976">
        <f t="shared" ref="AM15:AS15" ca="1" si="33">AM14+AM11</f>
        <v>0</v>
      </c>
      <c r="AN15" s="976">
        <f t="shared" ca="1" si="33"/>
        <v>0</v>
      </c>
      <c r="AO15" s="976">
        <f t="shared" ca="1" si="33"/>
        <v>0</v>
      </c>
      <c r="AP15" s="976">
        <f t="shared" ca="1" si="33"/>
        <v>0</v>
      </c>
      <c r="AQ15" s="976">
        <f t="shared" ca="1" si="33"/>
        <v>0</v>
      </c>
      <c r="AR15" s="976">
        <f t="shared" ca="1" si="33"/>
        <v>0</v>
      </c>
      <c r="AS15" s="976">
        <f t="shared" ca="1" si="33"/>
        <v>0</v>
      </c>
      <c r="AT15" s="976">
        <f t="shared" ref="AT15:BE15" ca="1" si="34">AT14+AT11</f>
        <v>0</v>
      </c>
      <c r="AU15" s="976">
        <f t="shared" ca="1" si="34"/>
        <v>0</v>
      </c>
      <c r="AV15" s="976">
        <f t="shared" ca="1" si="34"/>
        <v>0</v>
      </c>
      <c r="AW15" s="976">
        <f t="shared" ca="1" si="34"/>
        <v>0</v>
      </c>
      <c r="AX15" s="976">
        <f t="shared" ca="1" si="34"/>
        <v>0</v>
      </c>
      <c r="AY15" s="976">
        <f t="shared" ca="1" si="34"/>
        <v>0</v>
      </c>
      <c r="AZ15" s="976">
        <f t="shared" ca="1" si="34"/>
        <v>0</v>
      </c>
      <c r="BA15" s="976">
        <f t="shared" ca="1" si="34"/>
        <v>0</v>
      </c>
      <c r="BB15" s="976">
        <f t="shared" ca="1" si="34"/>
        <v>0</v>
      </c>
      <c r="BC15" s="976">
        <f t="shared" ca="1" si="34"/>
        <v>0</v>
      </c>
      <c r="BD15" s="976">
        <f t="shared" ca="1" si="34"/>
        <v>0</v>
      </c>
      <c r="BE15" s="976">
        <f t="shared" ca="1" si="34"/>
        <v>0</v>
      </c>
      <c r="BF15" s="976">
        <f t="shared" ca="1" si="6"/>
        <v>0</v>
      </c>
      <c r="BH15" s="990">
        <f ca="1">BH14+BH11</f>
        <v>0</v>
      </c>
      <c r="BI15" s="990">
        <f ca="1">BI14+BI11</f>
        <v>0</v>
      </c>
      <c r="BJ15" s="990">
        <f t="shared" ca="1" si="8"/>
        <v>0</v>
      </c>
      <c r="BL15" s="515">
        <f t="shared" ca="1" si="9"/>
        <v>0</v>
      </c>
      <c r="BM15" s="515"/>
      <c r="BN15" s="840"/>
      <c r="BO15" s="1482">
        <f t="shared" ref="BO15:DF15" ca="1" si="35">BO14+BO11</f>
        <v>124.41604598949907</v>
      </c>
      <c r="BP15" s="1482">
        <f t="shared" ca="1" si="35"/>
        <v>0.2495697684777565</v>
      </c>
      <c r="BQ15" s="1482">
        <f t="shared" ca="1" si="35"/>
        <v>0.28367323430439695</v>
      </c>
      <c r="BR15" s="1482">
        <f t="shared" ca="1" si="35"/>
        <v>0</v>
      </c>
      <c r="BS15" s="1482">
        <f t="shared" ca="1" si="35"/>
        <v>0</v>
      </c>
      <c r="BT15" s="1482">
        <f t="shared" ca="1" si="35"/>
        <v>0</v>
      </c>
      <c r="BU15" s="1482">
        <f t="shared" ca="1" si="35"/>
        <v>0</v>
      </c>
      <c r="BV15" s="1482">
        <f t="shared" ca="1" si="35"/>
        <v>0</v>
      </c>
      <c r="BW15" s="1482">
        <f t="shared" ca="1" si="35"/>
        <v>0</v>
      </c>
      <c r="BX15" s="1482">
        <f t="shared" ca="1" si="35"/>
        <v>0</v>
      </c>
      <c r="BY15" s="1482">
        <f t="shared" ca="1" si="35"/>
        <v>0</v>
      </c>
      <c r="BZ15" s="1482">
        <f t="shared" ca="1" si="35"/>
        <v>0</v>
      </c>
      <c r="CA15" s="1482">
        <f t="shared" ca="1" si="35"/>
        <v>0</v>
      </c>
      <c r="CB15" s="1482">
        <f t="shared" ca="1" si="35"/>
        <v>0</v>
      </c>
      <c r="CC15" s="1482">
        <f t="shared" ca="1" si="35"/>
        <v>0</v>
      </c>
      <c r="CD15" s="1482">
        <f t="shared" ca="1" si="35"/>
        <v>0</v>
      </c>
      <c r="CE15" s="1482">
        <f t="shared" ca="1" si="35"/>
        <v>0</v>
      </c>
      <c r="CF15" s="1482">
        <f t="shared" ca="1" si="35"/>
        <v>0</v>
      </c>
      <c r="CG15" s="1482">
        <f t="shared" ca="1" si="35"/>
        <v>0</v>
      </c>
      <c r="CH15" s="1482">
        <f t="shared" ca="1" si="35"/>
        <v>0</v>
      </c>
      <c r="CI15" s="1482">
        <f t="shared" ca="1" si="35"/>
        <v>0</v>
      </c>
      <c r="CJ15" s="1482">
        <f t="shared" ca="1" si="35"/>
        <v>0</v>
      </c>
      <c r="CK15" s="1482">
        <f t="shared" ca="1" si="35"/>
        <v>0</v>
      </c>
      <c r="CL15" s="1482">
        <f t="shared" ca="1" si="35"/>
        <v>0</v>
      </c>
      <c r="CM15" s="1482">
        <f t="shared" ca="1" si="35"/>
        <v>0</v>
      </c>
      <c r="CN15" s="1482">
        <f t="shared" ca="1" si="35"/>
        <v>0</v>
      </c>
      <c r="CO15" s="1482">
        <f t="shared" ca="1" si="35"/>
        <v>0</v>
      </c>
      <c r="CP15" s="1482">
        <f t="shared" ca="1" si="35"/>
        <v>0</v>
      </c>
      <c r="CQ15" s="1482">
        <f t="shared" ca="1" si="35"/>
        <v>0</v>
      </c>
      <c r="CR15" s="1482">
        <f t="shared" ca="1" si="35"/>
        <v>0</v>
      </c>
      <c r="CS15" s="1482">
        <f t="shared" ca="1" si="35"/>
        <v>0</v>
      </c>
      <c r="CT15" s="1482">
        <f t="shared" ca="1" si="35"/>
        <v>0</v>
      </c>
      <c r="CU15" s="1482">
        <f t="shared" ca="1" si="35"/>
        <v>0</v>
      </c>
      <c r="CV15" s="1482">
        <f t="shared" ca="1" si="35"/>
        <v>0</v>
      </c>
      <c r="CW15" s="1482">
        <f t="shared" ca="1" si="35"/>
        <v>0</v>
      </c>
      <c r="CX15" s="1482">
        <f t="shared" ca="1" si="35"/>
        <v>0</v>
      </c>
      <c r="CY15" s="1482">
        <f t="shared" ca="1" si="35"/>
        <v>0</v>
      </c>
      <c r="CZ15" s="1482">
        <f t="shared" ca="1" si="35"/>
        <v>0</v>
      </c>
      <c r="DA15" s="1482">
        <f t="shared" ca="1" si="35"/>
        <v>0</v>
      </c>
      <c r="DB15" s="1482">
        <f t="shared" ca="1" si="35"/>
        <v>0</v>
      </c>
      <c r="DC15" s="1482">
        <f t="shared" ca="1" si="35"/>
        <v>0</v>
      </c>
      <c r="DD15" s="1482">
        <f t="shared" ca="1" si="35"/>
        <v>0</v>
      </c>
      <c r="DE15" s="1482">
        <f t="shared" ca="1" si="35"/>
        <v>0</v>
      </c>
      <c r="DF15" s="1482">
        <f t="shared" ca="1" si="35"/>
        <v>0</v>
      </c>
      <c r="DH15" s="838">
        <f t="shared" ref="DH15:DH38" ca="1" si="36">SUM(BO15:DF15)</f>
        <v>124.94928899228123</v>
      </c>
    </row>
    <row r="16" spans="1:112" s="743" customFormat="1" hidden="1" outlineLevel="1">
      <c r="A16" s="1484"/>
      <c r="B16" s="1484"/>
      <c r="C16" s="746"/>
      <c r="D16" s="521"/>
      <c r="E16" s="521"/>
      <c r="G16" s="1019"/>
      <c r="H16" s="1019"/>
      <c r="I16" s="1019"/>
      <c r="J16" s="1019"/>
      <c r="K16" s="1019"/>
      <c r="L16" s="1019"/>
      <c r="M16" s="1019"/>
      <c r="N16" s="1019"/>
      <c r="O16" s="1019"/>
      <c r="P16" s="1019"/>
      <c r="Q16" s="1019"/>
      <c r="S16" s="1027"/>
      <c r="T16" s="1027"/>
      <c r="U16" s="1027"/>
      <c r="V16" s="1027"/>
      <c r="W16" s="1027"/>
      <c r="X16" s="1027"/>
      <c r="Y16" s="1027"/>
      <c r="Z16" s="1027"/>
      <c r="AA16" s="1027"/>
      <c r="AB16" s="1027"/>
      <c r="AC16" s="1027"/>
      <c r="AD16" s="1027"/>
      <c r="AE16" s="1027"/>
      <c r="AF16" s="1027"/>
      <c r="AG16" s="1027"/>
      <c r="AH16" s="1027"/>
      <c r="AI16" s="1027"/>
      <c r="AJ16" s="1027"/>
      <c r="AK16" s="1027"/>
      <c r="AM16" s="1040"/>
      <c r="AN16" s="1040"/>
      <c r="AO16" s="1040"/>
      <c r="AP16" s="1040"/>
      <c r="AQ16" s="1040"/>
      <c r="AR16" s="1040"/>
      <c r="AS16" s="1040"/>
      <c r="AT16" s="1040"/>
      <c r="AU16" s="1040"/>
      <c r="AV16" s="1040"/>
      <c r="AW16" s="1040"/>
      <c r="AX16" s="1040"/>
      <c r="AY16" s="1040"/>
      <c r="AZ16" s="1040"/>
      <c r="BA16" s="1040"/>
      <c r="BB16" s="1040"/>
      <c r="BC16" s="1040"/>
      <c r="BD16" s="1040"/>
      <c r="BE16" s="1040"/>
      <c r="BF16" s="979"/>
      <c r="BH16" s="1034"/>
      <c r="BI16" s="1034"/>
      <c r="BJ16" s="1034"/>
      <c r="BL16" s="814">
        <f t="shared" si="9"/>
        <v>0</v>
      </c>
      <c r="BM16" s="814"/>
      <c r="BN16" s="1484"/>
      <c r="BO16" s="1481"/>
      <c r="BP16" s="1482"/>
      <c r="BQ16" s="1482"/>
      <c r="BR16" s="1482"/>
      <c r="BS16" s="1482"/>
      <c r="BT16" s="1482"/>
      <c r="BU16" s="1482"/>
      <c r="BV16" s="1482"/>
      <c r="BW16" s="1482"/>
      <c r="BX16" s="1482"/>
      <c r="BY16" s="1482"/>
      <c r="BZ16" s="1482"/>
      <c r="CA16" s="1482"/>
      <c r="CB16" s="1482"/>
      <c r="CC16" s="1482"/>
      <c r="CD16" s="1482"/>
      <c r="CE16" s="1482"/>
      <c r="CF16" s="1482"/>
      <c r="CG16" s="1482"/>
      <c r="CH16" s="1482"/>
      <c r="CI16" s="1482"/>
      <c r="CJ16" s="1482"/>
      <c r="CK16" s="1482"/>
      <c r="CL16" s="1482"/>
      <c r="CM16" s="1482"/>
      <c r="CN16" s="1482"/>
      <c r="CO16" s="1482"/>
      <c r="CP16" s="1482"/>
      <c r="CQ16" s="1482"/>
      <c r="CR16" s="1482"/>
      <c r="CS16" s="1482"/>
      <c r="CT16" s="1482"/>
      <c r="CU16" s="1482"/>
      <c r="CV16" s="1482"/>
      <c r="CW16" s="1482"/>
      <c r="CX16" s="1482"/>
      <c r="CY16" s="1482"/>
      <c r="CZ16" s="1482"/>
      <c r="DA16" s="1482"/>
      <c r="DB16" s="1482"/>
      <c r="DC16" s="1482"/>
      <c r="DD16" s="1482"/>
      <c r="DE16" s="1482"/>
      <c r="DF16" s="1482"/>
      <c r="DH16" s="838">
        <f t="shared" si="36"/>
        <v>0</v>
      </c>
    </row>
    <row r="17" spans="1:112" s="743" customFormat="1" ht="12.75" hidden="1" customHeight="1" outlineLevel="1">
      <c r="A17" s="1484"/>
      <c r="B17" s="1484"/>
      <c r="C17" s="746" t="s">
        <v>950</v>
      </c>
      <c r="D17" s="1480" t="str">
        <f>INDEX(Modules[Module], MATCH($C17, Modules[Code], 0))</f>
        <v>Domestic lighting, appliances, and cooking</v>
      </c>
      <c r="E17" s="1006"/>
      <c r="G17" s="1017">
        <f t="shared" ref="G17:P18" ca="1" si="37">IFERROR(INDEX(INDIRECT($C17&amp;".Outputs["&amp;this.Year&amp;"]"), MATCH(G$5, INDIRECT($C17&amp;".Outputs[Vector]"), 0)), 0)</f>
        <v>0</v>
      </c>
      <c r="H17" s="1017">
        <f t="shared" ca="1" si="37"/>
        <v>111.43620774985737</v>
      </c>
      <c r="I17" s="1017">
        <f t="shared" ca="1" si="37"/>
        <v>0</v>
      </c>
      <c r="J17" s="1017">
        <f t="shared" ca="1" si="37"/>
        <v>0</v>
      </c>
      <c r="K17" s="1017">
        <f t="shared" ca="1" si="37"/>
        <v>0</v>
      </c>
      <c r="L17" s="1017">
        <f t="shared" ca="1" si="37"/>
        <v>0</v>
      </c>
      <c r="M17" s="1017">
        <f t="shared" ca="1" si="37"/>
        <v>0</v>
      </c>
      <c r="N17" s="1017">
        <f t="shared" ca="1" si="37"/>
        <v>0</v>
      </c>
      <c r="O17" s="1017">
        <f t="shared" ca="1" si="37"/>
        <v>0</v>
      </c>
      <c r="P17" s="1017">
        <f t="shared" ca="1" si="37"/>
        <v>0</v>
      </c>
      <c r="Q17" s="1019">
        <f ca="1">SUM(G17:P17)</f>
        <v>111.43620774985737</v>
      </c>
      <c r="S17" s="1026">
        <f t="shared" ref="S17:BE18" ca="1" si="38">IFERROR(INDEX(INDIRECT($C17&amp;".Outputs["&amp;this.Year&amp;"]"), MATCH(S$5, INDIRECT($C17&amp;".Outputs[Vector]"), 0)), 0)</f>
        <v>-103.40155946528074</v>
      </c>
      <c r="T17" s="1026">
        <f t="shared" ca="1" si="38"/>
        <v>0</v>
      </c>
      <c r="U17" s="1026">
        <f t="shared" ca="1" si="38"/>
        <v>0</v>
      </c>
      <c r="V17" s="1026">
        <f t="shared" ca="1" si="38"/>
        <v>0</v>
      </c>
      <c r="W17" s="1026">
        <f t="shared" ca="1" si="38"/>
        <v>-8.0346482845766367</v>
      </c>
      <c r="X17" s="1026">
        <f t="shared" ref="X17:Z18" ca="1" si="39">IFERROR(INDEX(INDIRECT($C17&amp;".Outputs["&amp;this.Year&amp;"]"), MATCH(X$5, INDIRECT($C17&amp;".Outputs[Vector]"), 0)), 0)</f>
        <v>0</v>
      </c>
      <c r="Y17" s="1026">
        <f t="shared" ca="1" si="39"/>
        <v>0</v>
      </c>
      <c r="Z17" s="1026">
        <f t="shared" ca="1" si="39"/>
        <v>0</v>
      </c>
      <c r="AA17" s="1026">
        <f t="shared" ca="1" si="38"/>
        <v>0</v>
      </c>
      <c r="AB17" s="1026">
        <f t="shared" ca="1" si="38"/>
        <v>0</v>
      </c>
      <c r="AC17" s="1026">
        <f t="shared" ca="1" si="38"/>
        <v>0</v>
      </c>
      <c r="AD17" s="1026">
        <f t="shared" ca="1" si="38"/>
        <v>0</v>
      </c>
      <c r="AE17" s="1026">
        <f t="shared" ca="1" si="38"/>
        <v>0</v>
      </c>
      <c r="AF17" s="1026">
        <f t="shared" ca="1" si="38"/>
        <v>0</v>
      </c>
      <c r="AG17" s="1026">
        <f t="shared" ca="1" si="38"/>
        <v>0</v>
      </c>
      <c r="AH17" s="1026">
        <f t="shared" ca="1" si="38"/>
        <v>0</v>
      </c>
      <c r="AI17" s="1026">
        <f t="shared" ca="1" si="38"/>
        <v>0</v>
      </c>
      <c r="AJ17" s="1026">
        <f t="shared" ca="1" si="38"/>
        <v>0</v>
      </c>
      <c r="AK17" s="1027">
        <f ca="1">SUM(S17:AJ17)</f>
        <v>-111.43620774985737</v>
      </c>
      <c r="AM17" s="1038">
        <f t="shared" ref="AM17:AU18" ca="1" si="40">IFERROR(INDEX(INDIRECT($C17&amp;".Outputs["&amp;this.Year&amp;"]"), MATCH(AM$5, INDIRECT($C17&amp;".Outputs[Vector]"), 0)), 0)</f>
        <v>0</v>
      </c>
      <c r="AN17" s="1038">
        <f t="shared" ca="1" si="40"/>
        <v>0</v>
      </c>
      <c r="AO17" s="1038">
        <f t="shared" ca="1" si="40"/>
        <v>0</v>
      </c>
      <c r="AP17" s="1038">
        <f t="shared" ca="1" si="40"/>
        <v>0</v>
      </c>
      <c r="AQ17" s="1038">
        <f t="shared" ca="1" si="40"/>
        <v>0</v>
      </c>
      <c r="AR17" s="1038">
        <f t="shared" ca="1" si="40"/>
        <v>0</v>
      </c>
      <c r="AS17" s="1038">
        <f t="shared" ca="1" si="40"/>
        <v>0</v>
      </c>
      <c r="AT17" s="1038">
        <f t="shared" ca="1" si="40"/>
        <v>0</v>
      </c>
      <c r="AU17" s="1038">
        <f t="shared" ca="1" si="40"/>
        <v>0</v>
      </c>
      <c r="AV17" s="1038">
        <f t="shared" ca="1" si="38"/>
        <v>0</v>
      </c>
      <c r="AW17" s="1038">
        <f t="shared" ca="1" si="38"/>
        <v>0</v>
      </c>
      <c r="AX17" s="1038">
        <f t="shared" ca="1" si="38"/>
        <v>0</v>
      </c>
      <c r="AY17" s="1038">
        <f t="shared" ca="1" si="38"/>
        <v>0</v>
      </c>
      <c r="AZ17" s="1038">
        <f t="shared" ca="1" si="38"/>
        <v>0</v>
      </c>
      <c r="BA17" s="1038">
        <f t="shared" ca="1" si="38"/>
        <v>0</v>
      </c>
      <c r="BB17" s="1038">
        <f t="shared" ca="1" si="38"/>
        <v>0</v>
      </c>
      <c r="BC17" s="1038">
        <f t="shared" ca="1" si="38"/>
        <v>0</v>
      </c>
      <c r="BD17" s="1038">
        <f t="shared" ca="1" si="38"/>
        <v>0</v>
      </c>
      <c r="BE17" s="1038">
        <f t="shared" ca="1" si="38"/>
        <v>0</v>
      </c>
      <c r="BF17" s="979">
        <f ca="1">SUM(AM17:BE17)</f>
        <v>0</v>
      </c>
      <c r="BH17" s="1032">
        <f ca="1">IFERROR(INDEX(INDIRECT($C17&amp;".Outputs["&amp;this.Year&amp;"]"), MATCH(BH$5, INDIRECT($C17&amp;".Outputs[Vector]"), 0)), 0)</f>
        <v>0</v>
      </c>
      <c r="BI17" s="1032">
        <f ca="1">IFERROR(INDEX(INDIRECT($C17&amp;".Outputs["&amp;this.Year&amp;"]"), MATCH(BI$5, INDIRECT($C17&amp;".Outputs[Vector]"), 0)), 0)</f>
        <v>0</v>
      </c>
      <c r="BJ17" s="1034">
        <f ca="1">SUM(BH17:BI17)</f>
        <v>0</v>
      </c>
      <c r="BL17" s="814">
        <f t="shared" ca="1" si="9"/>
        <v>0</v>
      </c>
      <c r="BM17" s="814"/>
      <c r="BN17" s="840"/>
      <c r="BO17" s="1481">
        <f t="shared" ref="BO17:BX18" ca="1" si="41">IFERROR(SUMIFS(INDIRECT($C17&amp;".Emissions["&amp;this.Year&amp;"]"), INDIRECT($C17&amp;".Emissions[GHG]"), BO$6, INDIRECT($C17&amp;".Emissions[IPCC Sector]"), BO$5),0)</f>
        <v>1.478375284362101</v>
      </c>
      <c r="BP17" s="1482">
        <f t="shared" ca="1" si="41"/>
        <v>2.9633821290442073E-3</v>
      </c>
      <c r="BQ17" s="1482">
        <f t="shared" ca="1" si="41"/>
        <v>3.1872615491498114E-3</v>
      </c>
      <c r="BR17" s="1482">
        <f t="shared" ca="1" si="41"/>
        <v>0</v>
      </c>
      <c r="BS17" s="1482">
        <f t="shared" ca="1" si="41"/>
        <v>0</v>
      </c>
      <c r="BT17" s="1482">
        <f t="shared" ca="1" si="41"/>
        <v>0</v>
      </c>
      <c r="BU17" s="1482">
        <f t="shared" ca="1" si="41"/>
        <v>0</v>
      </c>
      <c r="BV17" s="1482">
        <f t="shared" ca="1" si="41"/>
        <v>0</v>
      </c>
      <c r="BW17" s="1482">
        <f t="shared" ca="1" si="41"/>
        <v>0</v>
      </c>
      <c r="BX17" s="1482">
        <f t="shared" ca="1" si="41"/>
        <v>0</v>
      </c>
      <c r="BY17" s="1482">
        <f t="shared" ref="BY17:CH18" ca="1" si="42">IFERROR(SUMIFS(INDIRECT($C17&amp;".Emissions["&amp;this.Year&amp;"]"), INDIRECT($C17&amp;".Emissions[GHG]"), BY$6, INDIRECT($C17&amp;".Emissions[IPCC Sector]"), BY$5),0)</f>
        <v>0</v>
      </c>
      <c r="BZ17" s="1482">
        <f t="shared" ca="1" si="42"/>
        <v>0</v>
      </c>
      <c r="CA17" s="1482">
        <f t="shared" ca="1" si="42"/>
        <v>0</v>
      </c>
      <c r="CB17" s="1482">
        <f t="shared" ca="1" si="42"/>
        <v>0</v>
      </c>
      <c r="CC17" s="1482">
        <f t="shared" ca="1" si="42"/>
        <v>0</v>
      </c>
      <c r="CD17" s="1482">
        <f t="shared" ca="1" si="42"/>
        <v>0</v>
      </c>
      <c r="CE17" s="1482">
        <f t="shared" ca="1" si="42"/>
        <v>0</v>
      </c>
      <c r="CF17" s="1482">
        <f t="shared" ca="1" si="42"/>
        <v>0</v>
      </c>
      <c r="CG17" s="1482">
        <f t="shared" ca="1" si="42"/>
        <v>0</v>
      </c>
      <c r="CH17" s="1482">
        <f t="shared" ca="1" si="42"/>
        <v>0</v>
      </c>
      <c r="CI17" s="1482">
        <f t="shared" ref="CI17:CR18" ca="1" si="43">IFERROR(SUMIFS(INDIRECT($C17&amp;".Emissions["&amp;this.Year&amp;"]"), INDIRECT($C17&amp;".Emissions[GHG]"), CI$6, INDIRECT($C17&amp;".Emissions[IPCC Sector]"), CI$5),0)</f>
        <v>0</v>
      </c>
      <c r="CJ17" s="1482">
        <f t="shared" ca="1" si="43"/>
        <v>0</v>
      </c>
      <c r="CK17" s="1482">
        <f t="shared" ca="1" si="43"/>
        <v>0</v>
      </c>
      <c r="CL17" s="1482">
        <f t="shared" ca="1" si="43"/>
        <v>0</v>
      </c>
      <c r="CM17" s="1482">
        <f t="shared" ca="1" si="43"/>
        <v>0</v>
      </c>
      <c r="CN17" s="1482">
        <f t="shared" ca="1" si="43"/>
        <v>0</v>
      </c>
      <c r="CO17" s="1482">
        <f t="shared" ca="1" si="43"/>
        <v>0</v>
      </c>
      <c r="CP17" s="1482">
        <f t="shared" ca="1" si="43"/>
        <v>0</v>
      </c>
      <c r="CQ17" s="1482">
        <f t="shared" ca="1" si="43"/>
        <v>0</v>
      </c>
      <c r="CR17" s="1482">
        <f t="shared" ca="1" si="43"/>
        <v>0</v>
      </c>
      <c r="CS17" s="1482">
        <f t="shared" ref="CS17:DF18" ca="1" si="44">IFERROR(SUMIFS(INDIRECT($C17&amp;".Emissions["&amp;this.Year&amp;"]"), INDIRECT($C17&amp;".Emissions[GHG]"), CS$6, INDIRECT($C17&amp;".Emissions[IPCC Sector]"), CS$5),0)</f>
        <v>0</v>
      </c>
      <c r="CT17" s="1482">
        <f t="shared" ca="1" si="44"/>
        <v>0</v>
      </c>
      <c r="CU17" s="1482">
        <f t="shared" ca="1" si="44"/>
        <v>0</v>
      </c>
      <c r="CV17" s="1482">
        <f t="shared" ca="1" si="44"/>
        <v>0</v>
      </c>
      <c r="CW17" s="1482">
        <f t="shared" ca="1" si="44"/>
        <v>0</v>
      </c>
      <c r="CX17" s="1482">
        <f t="shared" ca="1" si="44"/>
        <v>0</v>
      </c>
      <c r="CY17" s="1482">
        <f t="shared" ca="1" si="44"/>
        <v>0</v>
      </c>
      <c r="CZ17" s="1482">
        <f t="shared" ca="1" si="44"/>
        <v>0</v>
      </c>
      <c r="DA17" s="1482">
        <f t="shared" ca="1" si="44"/>
        <v>0</v>
      </c>
      <c r="DB17" s="1482">
        <f t="shared" ca="1" si="44"/>
        <v>0</v>
      </c>
      <c r="DC17" s="1482">
        <f t="shared" ca="1" si="44"/>
        <v>0</v>
      </c>
      <c r="DD17" s="1482">
        <f t="shared" ca="1" si="44"/>
        <v>0</v>
      </c>
      <c r="DE17" s="1482">
        <f t="shared" ca="1" si="44"/>
        <v>0</v>
      </c>
      <c r="DF17" s="1482">
        <f t="shared" ca="1" si="44"/>
        <v>0</v>
      </c>
      <c r="DH17" s="838">
        <f t="shared" ca="1" si="36"/>
        <v>1.4845259280402949</v>
      </c>
    </row>
    <row r="18" spans="1:112" s="743" customFormat="1" ht="12.75" hidden="1" customHeight="1" outlineLevel="1">
      <c r="A18" s="1484"/>
      <c r="B18" s="1484"/>
      <c r="C18" s="746" t="s">
        <v>951</v>
      </c>
      <c r="D18" s="1010" t="str">
        <f>INDEX(Modules[Module], MATCH($C18, Modules[Code], 0))</f>
        <v>Commercial lighting, appliances, and catering</v>
      </c>
      <c r="E18" s="1010"/>
      <c r="G18" s="1022">
        <f t="shared" ca="1" si="37"/>
        <v>0</v>
      </c>
      <c r="H18" s="1022">
        <f t="shared" ca="1" si="37"/>
        <v>101.39066503541156</v>
      </c>
      <c r="I18" s="1022">
        <f t="shared" ca="1" si="37"/>
        <v>0</v>
      </c>
      <c r="J18" s="1022">
        <f t="shared" ca="1" si="37"/>
        <v>0</v>
      </c>
      <c r="K18" s="1022">
        <f t="shared" ca="1" si="37"/>
        <v>0</v>
      </c>
      <c r="L18" s="1022">
        <f t="shared" ca="1" si="37"/>
        <v>0</v>
      </c>
      <c r="M18" s="1022">
        <f t="shared" ca="1" si="37"/>
        <v>0</v>
      </c>
      <c r="N18" s="1022">
        <f t="shared" ca="1" si="37"/>
        <v>0</v>
      </c>
      <c r="O18" s="1022">
        <f t="shared" ca="1" si="37"/>
        <v>0</v>
      </c>
      <c r="P18" s="1022">
        <f t="shared" ca="1" si="37"/>
        <v>0</v>
      </c>
      <c r="Q18" s="1020">
        <f ca="1">SUM(G18:P18)</f>
        <v>101.39066503541156</v>
      </c>
      <c r="S18" s="1031">
        <f t="shared" ca="1" si="38"/>
        <v>-92.33773101406193</v>
      </c>
      <c r="T18" s="1031">
        <f t="shared" ca="1" si="38"/>
        <v>0</v>
      </c>
      <c r="U18" s="1031">
        <f t="shared" ca="1" si="38"/>
        <v>0</v>
      </c>
      <c r="V18" s="1031">
        <f t="shared" ca="1" si="38"/>
        <v>0</v>
      </c>
      <c r="W18" s="1031">
        <f t="shared" ca="1" si="38"/>
        <v>-9.052934021349623</v>
      </c>
      <c r="X18" s="1031">
        <f t="shared" ca="1" si="39"/>
        <v>0</v>
      </c>
      <c r="Y18" s="1031">
        <f t="shared" ca="1" si="39"/>
        <v>0</v>
      </c>
      <c r="Z18" s="1031">
        <f t="shared" ca="1" si="39"/>
        <v>0</v>
      </c>
      <c r="AA18" s="1031">
        <f t="shared" ca="1" si="38"/>
        <v>0</v>
      </c>
      <c r="AB18" s="1031">
        <f t="shared" ca="1" si="38"/>
        <v>0</v>
      </c>
      <c r="AC18" s="1031">
        <f t="shared" ca="1" si="38"/>
        <v>0</v>
      </c>
      <c r="AD18" s="1031">
        <f t="shared" ca="1" si="38"/>
        <v>0</v>
      </c>
      <c r="AE18" s="1031">
        <f t="shared" ca="1" si="38"/>
        <v>0</v>
      </c>
      <c r="AF18" s="1031">
        <f t="shared" ca="1" si="38"/>
        <v>0</v>
      </c>
      <c r="AG18" s="1031">
        <f t="shared" ca="1" si="38"/>
        <v>0</v>
      </c>
      <c r="AH18" s="1031">
        <f t="shared" ca="1" si="38"/>
        <v>0</v>
      </c>
      <c r="AI18" s="1031">
        <f t="shared" ca="1" si="38"/>
        <v>0</v>
      </c>
      <c r="AJ18" s="1031">
        <f t="shared" ca="1" si="38"/>
        <v>0</v>
      </c>
      <c r="AK18" s="1030">
        <f ca="1">SUM(S18:AJ18)</f>
        <v>-101.39066503541156</v>
      </c>
      <c r="AM18" s="1042">
        <f t="shared" ca="1" si="40"/>
        <v>0</v>
      </c>
      <c r="AN18" s="1042">
        <f t="shared" ca="1" si="40"/>
        <v>0</v>
      </c>
      <c r="AO18" s="1042">
        <f t="shared" ca="1" si="40"/>
        <v>0</v>
      </c>
      <c r="AP18" s="1042">
        <f t="shared" ca="1" si="40"/>
        <v>0</v>
      </c>
      <c r="AQ18" s="1042">
        <f t="shared" ca="1" si="40"/>
        <v>0</v>
      </c>
      <c r="AR18" s="1042">
        <f t="shared" ca="1" si="40"/>
        <v>0</v>
      </c>
      <c r="AS18" s="1042">
        <f t="shared" ca="1" si="40"/>
        <v>0</v>
      </c>
      <c r="AT18" s="1042">
        <f t="shared" ca="1" si="40"/>
        <v>0</v>
      </c>
      <c r="AU18" s="1042">
        <f t="shared" ca="1" si="40"/>
        <v>0</v>
      </c>
      <c r="AV18" s="1042">
        <f t="shared" ca="1" si="38"/>
        <v>0</v>
      </c>
      <c r="AW18" s="1042">
        <f t="shared" ca="1" si="38"/>
        <v>0</v>
      </c>
      <c r="AX18" s="1042">
        <f t="shared" ca="1" si="38"/>
        <v>0</v>
      </c>
      <c r="AY18" s="1042">
        <f t="shared" ca="1" si="38"/>
        <v>0</v>
      </c>
      <c r="AZ18" s="1042">
        <f t="shared" ca="1" si="38"/>
        <v>0</v>
      </c>
      <c r="BA18" s="1042">
        <f t="shared" ca="1" si="38"/>
        <v>0</v>
      </c>
      <c r="BB18" s="1042">
        <f t="shared" ca="1" si="38"/>
        <v>0</v>
      </c>
      <c r="BC18" s="1042">
        <f t="shared" ca="1" si="38"/>
        <v>0</v>
      </c>
      <c r="BD18" s="1042">
        <f t="shared" ca="1" si="38"/>
        <v>0</v>
      </c>
      <c r="BE18" s="1042">
        <f t="shared" ca="1" si="38"/>
        <v>0</v>
      </c>
      <c r="BF18" s="1012">
        <f ca="1">SUM(AM18:BE18)</f>
        <v>0</v>
      </c>
      <c r="BH18" s="1036">
        <f ca="1">IFERROR(INDEX(INDIRECT($C18&amp;".Outputs["&amp;this.Year&amp;"]"), MATCH(BH$5, INDIRECT($C18&amp;".Outputs[Vector]"), 0)), 0)</f>
        <v>0</v>
      </c>
      <c r="BI18" s="1036">
        <f ca="1">IFERROR(INDEX(INDIRECT($C18&amp;".Outputs["&amp;this.Year&amp;"]"), MATCH(BI$5, INDIRECT($C18&amp;".Outputs[Vector]"), 0)), 0)</f>
        <v>0</v>
      </c>
      <c r="BJ18" s="1035">
        <f ca="1">SUM(BH18:BI18)</f>
        <v>0</v>
      </c>
      <c r="BL18" s="814">
        <f t="shared" ca="1" si="9"/>
        <v>0</v>
      </c>
      <c r="BM18" s="814"/>
      <c r="BN18" s="840"/>
      <c r="BO18" s="1485">
        <f t="shared" ca="1" si="41"/>
        <v>1.6657398599283304</v>
      </c>
      <c r="BP18" s="1486">
        <f t="shared" ca="1" si="41"/>
        <v>3.3389517430130263E-3</v>
      </c>
      <c r="BQ18" s="1486">
        <f t="shared" ca="1" si="41"/>
        <v>3.5912049278655155E-3</v>
      </c>
      <c r="BR18" s="1486">
        <f t="shared" ca="1" si="41"/>
        <v>0</v>
      </c>
      <c r="BS18" s="1486">
        <f t="shared" ca="1" si="41"/>
        <v>0</v>
      </c>
      <c r="BT18" s="1486">
        <f t="shared" ca="1" si="41"/>
        <v>0</v>
      </c>
      <c r="BU18" s="1486">
        <f t="shared" ca="1" si="41"/>
        <v>0</v>
      </c>
      <c r="BV18" s="1486">
        <f t="shared" ca="1" si="41"/>
        <v>0</v>
      </c>
      <c r="BW18" s="1486">
        <f t="shared" ca="1" si="41"/>
        <v>0</v>
      </c>
      <c r="BX18" s="1486">
        <f t="shared" ca="1" si="41"/>
        <v>0</v>
      </c>
      <c r="BY18" s="1486">
        <f t="shared" ca="1" si="42"/>
        <v>0</v>
      </c>
      <c r="BZ18" s="1486">
        <f t="shared" ca="1" si="42"/>
        <v>0</v>
      </c>
      <c r="CA18" s="1486">
        <f t="shared" ca="1" si="42"/>
        <v>0</v>
      </c>
      <c r="CB18" s="1486">
        <f t="shared" ca="1" si="42"/>
        <v>0</v>
      </c>
      <c r="CC18" s="1486">
        <f t="shared" ca="1" si="42"/>
        <v>0</v>
      </c>
      <c r="CD18" s="1486">
        <f t="shared" ca="1" si="42"/>
        <v>0</v>
      </c>
      <c r="CE18" s="1486">
        <f t="shared" ca="1" si="42"/>
        <v>0</v>
      </c>
      <c r="CF18" s="1486">
        <f t="shared" ca="1" si="42"/>
        <v>0</v>
      </c>
      <c r="CG18" s="1486">
        <f t="shared" ca="1" si="42"/>
        <v>0</v>
      </c>
      <c r="CH18" s="1486">
        <f t="shared" ca="1" si="42"/>
        <v>0</v>
      </c>
      <c r="CI18" s="1486">
        <f t="shared" ca="1" si="43"/>
        <v>0</v>
      </c>
      <c r="CJ18" s="1486">
        <f t="shared" ca="1" si="43"/>
        <v>0</v>
      </c>
      <c r="CK18" s="1486">
        <f t="shared" ca="1" si="43"/>
        <v>0</v>
      </c>
      <c r="CL18" s="1486">
        <f t="shared" ca="1" si="43"/>
        <v>0</v>
      </c>
      <c r="CM18" s="1486">
        <f t="shared" ca="1" si="43"/>
        <v>0</v>
      </c>
      <c r="CN18" s="1486">
        <f t="shared" ca="1" si="43"/>
        <v>0</v>
      </c>
      <c r="CO18" s="1486">
        <f t="shared" ca="1" si="43"/>
        <v>0</v>
      </c>
      <c r="CP18" s="1486">
        <f t="shared" ca="1" si="43"/>
        <v>0</v>
      </c>
      <c r="CQ18" s="1486">
        <f t="shared" ca="1" si="43"/>
        <v>0</v>
      </c>
      <c r="CR18" s="1486">
        <f t="shared" ca="1" si="43"/>
        <v>0</v>
      </c>
      <c r="CS18" s="1486">
        <f t="shared" ca="1" si="44"/>
        <v>0</v>
      </c>
      <c r="CT18" s="1486">
        <f t="shared" ca="1" si="44"/>
        <v>0</v>
      </c>
      <c r="CU18" s="1486">
        <f t="shared" ca="1" si="44"/>
        <v>0</v>
      </c>
      <c r="CV18" s="1486">
        <f t="shared" ca="1" si="44"/>
        <v>0</v>
      </c>
      <c r="CW18" s="1486">
        <f t="shared" ca="1" si="44"/>
        <v>0</v>
      </c>
      <c r="CX18" s="1486">
        <f t="shared" ca="1" si="44"/>
        <v>0</v>
      </c>
      <c r="CY18" s="1486">
        <f t="shared" ca="1" si="44"/>
        <v>0</v>
      </c>
      <c r="CZ18" s="1486">
        <f t="shared" ca="1" si="44"/>
        <v>0</v>
      </c>
      <c r="DA18" s="1486">
        <f t="shared" ca="1" si="44"/>
        <v>0</v>
      </c>
      <c r="DB18" s="1486">
        <f t="shared" ca="1" si="44"/>
        <v>0</v>
      </c>
      <c r="DC18" s="1486">
        <f t="shared" ca="1" si="44"/>
        <v>0</v>
      </c>
      <c r="DD18" s="1486">
        <f t="shared" ca="1" si="44"/>
        <v>0</v>
      </c>
      <c r="DE18" s="1486">
        <f t="shared" ca="1" si="44"/>
        <v>0</v>
      </c>
      <c r="DF18" s="1486">
        <f t="shared" ca="1" si="44"/>
        <v>0</v>
      </c>
      <c r="DH18" s="838">
        <f t="shared" ca="1" si="36"/>
        <v>1.672670016599209</v>
      </c>
    </row>
    <row r="19" spans="1:112" s="743" customFormat="1" ht="15.75" collapsed="1">
      <c r="A19" s="22"/>
      <c r="B19" s="753"/>
      <c r="C19" s="744" t="s">
        <v>677</v>
      </c>
      <c r="D19" s="517" t="str">
        <f>INDEX(Workstreams[Workstream], MATCH($C19, Workstreams[Code], 0))</f>
        <v>Lighting and appliances</v>
      </c>
      <c r="E19" s="512"/>
      <c r="G19" s="1021">
        <f ca="1">G17+G18</f>
        <v>0</v>
      </c>
      <c r="H19" s="1021">
        <f t="shared" ref="H19:P19" ca="1" si="45">H17+H18</f>
        <v>212.82687278526893</v>
      </c>
      <c r="I19" s="1021">
        <f t="shared" ca="1" si="45"/>
        <v>0</v>
      </c>
      <c r="J19" s="1021">
        <f t="shared" ca="1" si="45"/>
        <v>0</v>
      </c>
      <c r="K19" s="1021">
        <f t="shared" ca="1" si="45"/>
        <v>0</v>
      </c>
      <c r="L19" s="1021">
        <f t="shared" ca="1" si="45"/>
        <v>0</v>
      </c>
      <c r="M19" s="1021">
        <f t="shared" ca="1" si="45"/>
        <v>0</v>
      </c>
      <c r="N19" s="1021">
        <f t="shared" ca="1" si="45"/>
        <v>0</v>
      </c>
      <c r="O19" s="1021">
        <f t="shared" ca="1" si="45"/>
        <v>0</v>
      </c>
      <c r="P19" s="1021">
        <f t="shared" ca="1" si="45"/>
        <v>0</v>
      </c>
      <c r="Q19" s="1021">
        <f ca="1">SUM(G19:P19)</f>
        <v>212.82687278526893</v>
      </c>
      <c r="S19" s="970">
        <f ca="1">S17+S18</f>
        <v>-195.73929047934269</v>
      </c>
      <c r="T19" s="970">
        <f t="shared" ref="T19:AJ19" ca="1" si="46">T17+T18</f>
        <v>0</v>
      </c>
      <c r="U19" s="970">
        <f t="shared" ca="1" si="46"/>
        <v>0</v>
      </c>
      <c r="V19" s="970">
        <f t="shared" ca="1" si="46"/>
        <v>0</v>
      </c>
      <c r="W19" s="970">
        <f t="shared" ca="1" si="46"/>
        <v>-17.087582305926261</v>
      </c>
      <c r="X19" s="970">
        <f ca="1">X17+X18</f>
        <v>0</v>
      </c>
      <c r="Y19" s="970">
        <f ca="1">Y17+Y18</f>
        <v>0</v>
      </c>
      <c r="Z19" s="970">
        <f ca="1">Z17+Z18</f>
        <v>0</v>
      </c>
      <c r="AA19" s="970">
        <f t="shared" ca="1" si="46"/>
        <v>0</v>
      </c>
      <c r="AB19" s="970">
        <f t="shared" ca="1" si="46"/>
        <v>0</v>
      </c>
      <c r="AC19" s="970">
        <f t="shared" ca="1" si="46"/>
        <v>0</v>
      </c>
      <c r="AD19" s="970">
        <f ca="1">AD17+AD18</f>
        <v>0</v>
      </c>
      <c r="AE19" s="970">
        <f ca="1">AE17+AE18</f>
        <v>0</v>
      </c>
      <c r="AF19" s="970">
        <f t="shared" ca="1" si="46"/>
        <v>0</v>
      </c>
      <c r="AG19" s="970">
        <f ca="1">AG17+AG18</f>
        <v>0</v>
      </c>
      <c r="AH19" s="970">
        <f ca="1">AH17+AH18</f>
        <v>0</v>
      </c>
      <c r="AI19" s="970">
        <f ca="1">AI17+AI18</f>
        <v>0</v>
      </c>
      <c r="AJ19" s="970">
        <f t="shared" ca="1" si="46"/>
        <v>0</v>
      </c>
      <c r="AK19" s="970">
        <f ca="1">SUM(S19:AJ19)</f>
        <v>-212.82687278526896</v>
      </c>
      <c r="AM19" s="976">
        <f t="shared" ref="AM19:BE19" ca="1" si="47">AM17+AM18</f>
        <v>0</v>
      </c>
      <c r="AN19" s="976">
        <f t="shared" ca="1" si="47"/>
        <v>0</v>
      </c>
      <c r="AO19" s="976">
        <f t="shared" ca="1" si="47"/>
        <v>0</v>
      </c>
      <c r="AP19" s="976">
        <f t="shared" ca="1" si="47"/>
        <v>0</v>
      </c>
      <c r="AQ19" s="976">
        <f t="shared" ca="1" si="47"/>
        <v>0</v>
      </c>
      <c r="AR19" s="976">
        <f t="shared" ca="1" si="47"/>
        <v>0</v>
      </c>
      <c r="AS19" s="976">
        <f t="shared" ca="1" si="47"/>
        <v>0</v>
      </c>
      <c r="AT19" s="976">
        <f t="shared" ca="1" si="47"/>
        <v>0</v>
      </c>
      <c r="AU19" s="976">
        <f t="shared" ca="1" si="47"/>
        <v>0</v>
      </c>
      <c r="AV19" s="976">
        <f t="shared" ca="1" si="47"/>
        <v>0</v>
      </c>
      <c r="AW19" s="976">
        <f t="shared" ca="1" si="47"/>
        <v>0</v>
      </c>
      <c r="AX19" s="976">
        <f t="shared" ca="1" si="47"/>
        <v>0</v>
      </c>
      <c r="AY19" s="976">
        <f t="shared" ca="1" si="47"/>
        <v>0</v>
      </c>
      <c r="AZ19" s="976">
        <f t="shared" ca="1" si="47"/>
        <v>0</v>
      </c>
      <c r="BA19" s="976">
        <f t="shared" ca="1" si="47"/>
        <v>0</v>
      </c>
      <c r="BB19" s="976">
        <f t="shared" ca="1" si="47"/>
        <v>0</v>
      </c>
      <c r="BC19" s="976">
        <f t="shared" ca="1" si="47"/>
        <v>0</v>
      </c>
      <c r="BD19" s="976">
        <f t="shared" ca="1" si="47"/>
        <v>0</v>
      </c>
      <c r="BE19" s="976">
        <f t="shared" ca="1" si="47"/>
        <v>0</v>
      </c>
      <c r="BF19" s="976">
        <f ca="1">SUM(AM19:BE19)</f>
        <v>0</v>
      </c>
      <c r="BH19" s="990">
        <f ca="1">BH17+BH18</f>
        <v>0</v>
      </c>
      <c r="BI19" s="990">
        <f ca="1">BI17+BI18</f>
        <v>0</v>
      </c>
      <c r="BJ19" s="990">
        <f ca="1">SUM(BH19:BI19)</f>
        <v>0</v>
      </c>
      <c r="BL19" s="515">
        <f t="shared" ca="1" si="9"/>
        <v>-2.8421709430404007E-14</v>
      </c>
      <c r="BM19" s="515"/>
      <c r="BN19" s="840"/>
      <c r="BO19" s="1482">
        <f t="shared" ref="BO19:DF19" ca="1" si="48">BO17+BO18</f>
        <v>3.1441151442904314</v>
      </c>
      <c r="BP19" s="1482">
        <f t="shared" ca="1" si="48"/>
        <v>6.302333872057234E-3</v>
      </c>
      <c r="BQ19" s="1482">
        <f t="shared" ca="1" si="48"/>
        <v>6.7784664770153269E-3</v>
      </c>
      <c r="BR19" s="1482">
        <f t="shared" ca="1" si="48"/>
        <v>0</v>
      </c>
      <c r="BS19" s="1482">
        <f t="shared" ca="1" si="48"/>
        <v>0</v>
      </c>
      <c r="BT19" s="1482">
        <f t="shared" ca="1" si="48"/>
        <v>0</v>
      </c>
      <c r="BU19" s="1482">
        <f t="shared" ca="1" si="48"/>
        <v>0</v>
      </c>
      <c r="BV19" s="1482">
        <f t="shared" ca="1" si="48"/>
        <v>0</v>
      </c>
      <c r="BW19" s="1482">
        <f t="shared" ca="1" si="48"/>
        <v>0</v>
      </c>
      <c r="BX19" s="1482">
        <f t="shared" ca="1" si="48"/>
        <v>0</v>
      </c>
      <c r="BY19" s="1482">
        <f t="shared" ca="1" si="48"/>
        <v>0</v>
      </c>
      <c r="BZ19" s="1482">
        <f t="shared" ca="1" si="48"/>
        <v>0</v>
      </c>
      <c r="CA19" s="1482">
        <f t="shared" ca="1" si="48"/>
        <v>0</v>
      </c>
      <c r="CB19" s="1482">
        <f t="shared" ca="1" si="48"/>
        <v>0</v>
      </c>
      <c r="CC19" s="1482">
        <f t="shared" ca="1" si="48"/>
        <v>0</v>
      </c>
      <c r="CD19" s="1482">
        <f t="shared" ca="1" si="48"/>
        <v>0</v>
      </c>
      <c r="CE19" s="1482">
        <f t="shared" ca="1" si="48"/>
        <v>0</v>
      </c>
      <c r="CF19" s="1482">
        <f t="shared" ca="1" si="48"/>
        <v>0</v>
      </c>
      <c r="CG19" s="1482">
        <f t="shared" ca="1" si="48"/>
        <v>0</v>
      </c>
      <c r="CH19" s="1482">
        <f t="shared" ca="1" si="48"/>
        <v>0</v>
      </c>
      <c r="CI19" s="1482">
        <f t="shared" ca="1" si="48"/>
        <v>0</v>
      </c>
      <c r="CJ19" s="1482">
        <f t="shared" ca="1" si="48"/>
        <v>0</v>
      </c>
      <c r="CK19" s="1482">
        <f t="shared" ca="1" si="48"/>
        <v>0</v>
      </c>
      <c r="CL19" s="1482">
        <f t="shared" ca="1" si="48"/>
        <v>0</v>
      </c>
      <c r="CM19" s="1482">
        <f t="shared" ca="1" si="48"/>
        <v>0</v>
      </c>
      <c r="CN19" s="1482">
        <f t="shared" ca="1" si="48"/>
        <v>0</v>
      </c>
      <c r="CO19" s="1482">
        <f t="shared" ca="1" si="48"/>
        <v>0</v>
      </c>
      <c r="CP19" s="1482">
        <f t="shared" ca="1" si="48"/>
        <v>0</v>
      </c>
      <c r="CQ19" s="1482">
        <f t="shared" ca="1" si="48"/>
        <v>0</v>
      </c>
      <c r="CR19" s="1482">
        <f t="shared" ca="1" si="48"/>
        <v>0</v>
      </c>
      <c r="CS19" s="1482">
        <f t="shared" ca="1" si="48"/>
        <v>0</v>
      </c>
      <c r="CT19" s="1482">
        <f t="shared" ca="1" si="48"/>
        <v>0</v>
      </c>
      <c r="CU19" s="1482">
        <f t="shared" ca="1" si="48"/>
        <v>0</v>
      </c>
      <c r="CV19" s="1482">
        <f t="shared" ca="1" si="48"/>
        <v>0</v>
      </c>
      <c r="CW19" s="1482">
        <f t="shared" ca="1" si="48"/>
        <v>0</v>
      </c>
      <c r="CX19" s="1482">
        <f t="shared" ca="1" si="48"/>
        <v>0</v>
      </c>
      <c r="CY19" s="1482">
        <f t="shared" ca="1" si="48"/>
        <v>0</v>
      </c>
      <c r="CZ19" s="1482">
        <f t="shared" ca="1" si="48"/>
        <v>0</v>
      </c>
      <c r="DA19" s="1482">
        <f t="shared" ca="1" si="48"/>
        <v>0</v>
      </c>
      <c r="DB19" s="1482">
        <f t="shared" ca="1" si="48"/>
        <v>0</v>
      </c>
      <c r="DC19" s="1482">
        <f t="shared" ca="1" si="48"/>
        <v>0</v>
      </c>
      <c r="DD19" s="1482">
        <f t="shared" ca="1" si="48"/>
        <v>0</v>
      </c>
      <c r="DE19" s="1482">
        <f t="shared" ca="1" si="48"/>
        <v>0</v>
      </c>
      <c r="DF19" s="1482">
        <f t="shared" ca="1" si="48"/>
        <v>0</v>
      </c>
      <c r="DH19" s="838">
        <f t="shared" ca="1" si="36"/>
        <v>3.1571959446395041</v>
      </c>
    </row>
    <row r="20" spans="1:112" s="743" customFormat="1" ht="12.75" hidden="1" customHeight="1" outlineLevel="1">
      <c r="A20" s="1484"/>
      <c r="B20" s="1484"/>
      <c r="C20" s="746"/>
      <c r="D20" s="521"/>
      <c r="E20" s="521"/>
      <c r="G20" s="1019"/>
      <c r="H20" s="1019"/>
      <c r="I20" s="1019"/>
      <c r="J20" s="1019"/>
      <c r="K20" s="1019"/>
      <c r="L20" s="1019"/>
      <c r="M20" s="1019"/>
      <c r="N20" s="1019"/>
      <c r="O20" s="1019"/>
      <c r="P20" s="1019"/>
      <c r="Q20" s="1019"/>
      <c r="S20" s="1027"/>
      <c r="T20" s="1027"/>
      <c r="U20" s="1027"/>
      <c r="V20" s="1027"/>
      <c r="W20" s="1027"/>
      <c r="X20" s="1027"/>
      <c r="Y20" s="1027"/>
      <c r="Z20" s="1027"/>
      <c r="AA20" s="1027"/>
      <c r="AB20" s="1027"/>
      <c r="AC20" s="1027"/>
      <c r="AD20" s="1027"/>
      <c r="AE20" s="1027"/>
      <c r="AF20" s="1027"/>
      <c r="AG20" s="1027"/>
      <c r="AH20" s="1027"/>
      <c r="AI20" s="1027"/>
      <c r="AJ20" s="1027"/>
      <c r="AK20" s="1027"/>
      <c r="AM20" s="1040"/>
      <c r="AN20" s="1040"/>
      <c r="AO20" s="1040"/>
      <c r="AP20" s="1040"/>
      <c r="AQ20" s="1040"/>
      <c r="AR20" s="1040"/>
      <c r="AS20" s="1040"/>
      <c r="AT20" s="1040"/>
      <c r="AU20" s="1040"/>
      <c r="AV20" s="1040"/>
      <c r="AW20" s="1040"/>
      <c r="AX20" s="1040"/>
      <c r="AY20" s="1040"/>
      <c r="AZ20" s="1040"/>
      <c r="BA20" s="1040"/>
      <c r="BB20" s="1040"/>
      <c r="BC20" s="1040"/>
      <c r="BD20" s="1040"/>
      <c r="BE20" s="1040"/>
      <c r="BF20" s="979"/>
      <c r="BH20" s="1034"/>
      <c r="BI20" s="1034"/>
      <c r="BJ20" s="1034"/>
      <c r="BL20" s="814">
        <f t="shared" si="9"/>
        <v>0</v>
      </c>
      <c r="BM20" s="814"/>
      <c r="BN20" s="1484"/>
      <c r="BO20" s="1481"/>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H20" s="838">
        <f t="shared" si="36"/>
        <v>0</v>
      </c>
    </row>
    <row r="21" spans="1:112" s="743" customFormat="1" ht="12.75" hidden="1" customHeight="1" outlineLevel="1">
      <c r="A21" s="1484"/>
      <c r="B21" s="1484"/>
      <c r="C21" s="746" t="s">
        <v>900</v>
      </c>
      <c r="D21" s="1010" t="str">
        <f>INDEX(Modules[Module], MATCH($C21, Modules[Code], 0))</f>
        <v>Industrial processes</v>
      </c>
      <c r="E21" s="1010"/>
      <c r="G21" s="1022">
        <f t="shared" ref="G21:P21" ca="1" si="49">IFERROR(INDEX(INDIRECT($C21&amp;".Outputs["&amp;this.Year&amp;"]"), MATCH(G$5, INDIRECT($C21&amp;".Outputs[Vector]"), 0)), 0)</f>
        <v>0</v>
      </c>
      <c r="H21" s="1022">
        <f t="shared" ca="1" si="49"/>
        <v>0</v>
      </c>
      <c r="I21" s="1022">
        <f t="shared" ca="1" si="49"/>
        <v>463.85254641550875</v>
      </c>
      <c r="J21" s="1022">
        <f t="shared" ca="1" si="49"/>
        <v>0</v>
      </c>
      <c r="K21" s="1022">
        <f t="shared" ca="1" si="49"/>
        <v>0</v>
      </c>
      <c r="L21" s="1022">
        <f t="shared" ca="1" si="49"/>
        <v>0</v>
      </c>
      <c r="M21" s="1022">
        <f t="shared" ca="1" si="49"/>
        <v>0</v>
      </c>
      <c r="N21" s="1022">
        <f t="shared" ca="1" si="49"/>
        <v>0</v>
      </c>
      <c r="O21" s="1022">
        <f t="shared" ca="1" si="49"/>
        <v>0</v>
      </c>
      <c r="P21" s="1022">
        <f t="shared" ca="1" si="49"/>
        <v>0</v>
      </c>
      <c r="Q21" s="1020">
        <f ca="1">SUM(G21:P21)</f>
        <v>463.85254641550875</v>
      </c>
      <c r="S21" s="1031">
        <f t="shared" ref="S21:BE21" ca="1" si="50">IFERROR(INDEX(INDIRECT($C21&amp;".Outputs["&amp;this.Year&amp;"]"), MATCH(S$5, INDIRECT($C21&amp;".Outputs[Vector]"), 0)), 0)</f>
        <v>-129.83547253124902</v>
      </c>
      <c r="T21" s="1031">
        <f t="shared" ca="1" si="50"/>
        <v>0</v>
      </c>
      <c r="U21" s="1031">
        <f t="shared" ca="1" si="50"/>
        <v>-61.928869813194837</v>
      </c>
      <c r="V21" s="1031">
        <f t="shared" ca="1" si="50"/>
        <v>-92.65846727879547</v>
      </c>
      <c r="W21" s="1031">
        <f t="shared" ca="1" si="50"/>
        <v>-170.34013245915492</v>
      </c>
      <c r="X21" s="1031">
        <f ca="1">IFERROR(INDEX(INDIRECT($C21&amp;".Outputs["&amp;this.Year&amp;"]"), MATCH(X$5, INDIRECT($C21&amp;".Outputs[Vector]"), 0)), 0)</f>
        <v>0</v>
      </c>
      <c r="Y21" s="1031">
        <f ca="1">IFERROR(INDEX(INDIRECT($C21&amp;".Outputs["&amp;this.Year&amp;"]"), MATCH(Y$5, INDIRECT($C21&amp;".Outputs[Vector]"), 0)), 0)</f>
        <v>0</v>
      </c>
      <c r="Z21" s="1031">
        <f ca="1">IFERROR(INDEX(INDIRECT($C21&amp;".Outputs["&amp;this.Year&amp;"]"), MATCH(Z$5, INDIRECT($C21&amp;".Outputs[Vector]"), 0)), 0)</f>
        <v>0</v>
      </c>
      <c r="AA21" s="1031">
        <f t="shared" ca="1" si="50"/>
        <v>0</v>
      </c>
      <c r="AB21" s="1031">
        <f t="shared" ca="1" si="50"/>
        <v>-9.0896043331144991</v>
      </c>
      <c r="AC21" s="1031">
        <f t="shared" ca="1" si="50"/>
        <v>0</v>
      </c>
      <c r="AD21" s="1031">
        <f t="shared" ca="1" si="50"/>
        <v>0</v>
      </c>
      <c r="AE21" s="1031">
        <f t="shared" ca="1" si="50"/>
        <v>0</v>
      </c>
      <c r="AF21" s="1031">
        <f t="shared" ca="1" si="50"/>
        <v>0</v>
      </c>
      <c r="AG21" s="1031">
        <f t="shared" ca="1" si="50"/>
        <v>0</v>
      </c>
      <c r="AH21" s="1031">
        <f t="shared" ca="1" si="50"/>
        <v>0</v>
      </c>
      <c r="AI21" s="1031">
        <f t="shared" ca="1" si="50"/>
        <v>0</v>
      </c>
      <c r="AJ21" s="1031">
        <f t="shared" ca="1" si="50"/>
        <v>0</v>
      </c>
      <c r="AK21" s="1030">
        <f ca="1">SUM(S21:AJ21)</f>
        <v>-463.85254641550875</v>
      </c>
      <c r="AM21" s="1042">
        <f t="shared" ref="AM21:AU21" ca="1" si="51">IFERROR(INDEX(INDIRECT($C21&amp;".Outputs["&amp;this.Year&amp;"]"), MATCH(AM$5, INDIRECT($C21&amp;".Outputs[Vector]"), 0)), 0)</f>
        <v>0</v>
      </c>
      <c r="AN21" s="1042">
        <f t="shared" ca="1" si="51"/>
        <v>0</v>
      </c>
      <c r="AO21" s="1042">
        <f t="shared" ca="1" si="51"/>
        <v>0</v>
      </c>
      <c r="AP21" s="1042">
        <f t="shared" ca="1" si="51"/>
        <v>0</v>
      </c>
      <c r="AQ21" s="1042">
        <f t="shared" ca="1" si="51"/>
        <v>0</v>
      </c>
      <c r="AR21" s="1042">
        <f t="shared" ca="1" si="51"/>
        <v>0</v>
      </c>
      <c r="AS21" s="1042">
        <f t="shared" ca="1" si="51"/>
        <v>0</v>
      </c>
      <c r="AT21" s="1042">
        <f t="shared" ca="1" si="51"/>
        <v>0</v>
      </c>
      <c r="AU21" s="1042">
        <f t="shared" ca="1" si="51"/>
        <v>0</v>
      </c>
      <c r="AV21" s="1042">
        <f t="shared" ca="1" si="50"/>
        <v>0</v>
      </c>
      <c r="AW21" s="1042">
        <f t="shared" ca="1" si="50"/>
        <v>0</v>
      </c>
      <c r="AX21" s="1042">
        <f t="shared" ca="1" si="50"/>
        <v>0</v>
      </c>
      <c r="AY21" s="1042">
        <f t="shared" ca="1" si="50"/>
        <v>0</v>
      </c>
      <c r="AZ21" s="1042">
        <f t="shared" ca="1" si="50"/>
        <v>0</v>
      </c>
      <c r="BA21" s="1042">
        <f t="shared" ca="1" si="50"/>
        <v>0</v>
      </c>
      <c r="BB21" s="1042">
        <f t="shared" ca="1" si="50"/>
        <v>0</v>
      </c>
      <c r="BC21" s="1042">
        <f t="shared" ca="1" si="50"/>
        <v>0</v>
      </c>
      <c r="BD21" s="1042">
        <f t="shared" ca="1" si="50"/>
        <v>0</v>
      </c>
      <c r="BE21" s="1042">
        <f t="shared" ca="1" si="50"/>
        <v>0</v>
      </c>
      <c r="BF21" s="1012">
        <f ca="1">SUM(AM21:BE21)</f>
        <v>0</v>
      </c>
      <c r="BH21" s="1036">
        <f ca="1">IFERROR(INDEX(INDIRECT($C21&amp;".Outputs["&amp;this.Year&amp;"]"), MATCH(BH$5, INDIRECT($C21&amp;".Outputs[Vector]"), 0)), 0)</f>
        <v>0</v>
      </c>
      <c r="BI21" s="1036">
        <f ca="1">IFERROR(INDEX(INDIRECT($C21&amp;".Outputs["&amp;this.Year&amp;"]"), MATCH(BI$5, INDIRECT($C21&amp;".Outputs[Vector]"), 0)), 0)</f>
        <v>0</v>
      </c>
      <c r="BJ21" s="1035">
        <f ca="1">SUM(BH21:BI21)</f>
        <v>0</v>
      </c>
      <c r="BL21" s="814">
        <f t="shared" ca="1" si="9"/>
        <v>0</v>
      </c>
      <c r="BM21" s="814"/>
      <c r="BN21" s="840"/>
      <c r="BO21" s="1485">
        <f t="shared" ref="BO21:DF21" ca="1" si="52">IFERROR(SUMIFS(INDIRECT($C21&amp;".Emissions["&amp;this.Year&amp;"]"), INDIRECT($C21&amp;".Emissions[GHG]"), BO$6, INDIRECT($C21&amp;".Emissions[IPCC Sector]"), BO$5),0)</f>
        <v>73.581293094647364</v>
      </c>
      <c r="BP21" s="1486">
        <f t="shared" ca="1" si="52"/>
        <v>0.1476984080159586</v>
      </c>
      <c r="BQ21" s="1486">
        <f t="shared" ca="1" si="52"/>
        <v>0.65331918427045665</v>
      </c>
      <c r="BR21" s="1486">
        <f t="shared" ca="1" si="52"/>
        <v>0</v>
      </c>
      <c r="BS21" s="1486">
        <f t="shared" ca="1" si="52"/>
        <v>0</v>
      </c>
      <c r="BT21" s="1486">
        <f t="shared" ca="1" si="52"/>
        <v>0</v>
      </c>
      <c r="BU21" s="1486">
        <f t="shared" ca="1" si="52"/>
        <v>0</v>
      </c>
      <c r="BV21" s="1486">
        <f t="shared" ca="1" si="52"/>
        <v>0</v>
      </c>
      <c r="BW21" s="1486">
        <f t="shared" ca="1" si="52"/>
        <v>14.595047605826055</v>
      </c>
      <c r="BX21" s="1486">
        <f t="shared" ca="1" si="52"/>
        <v>0.10964411416456435</v>
      </c>
      <c r="BY21" s="1486">
        <f t="shared" ca="1" si="52"/>
        <v>2.7597231230198167</v>
      </c>
      <c r="BZ21" s="1486">
        <f t="shared" ca="1" si="52"/>
        <v>5.1255093746608766</v>
      </c>
      <c r="CA21" s="1486">
        <f t="shared" ca="1" si="52"/>
        <v>0</v>
      </c>
      <c r="CB21" s="1486">
        <f t="shared" ca="1" si="52"/>
        <v>0</v>
      </c>
      <c r="CC21" s="1486">
        <f t="shared" ca="1" si="52"/>
        <v>0</v>
      </c>
      <c r="CD21" s="1486">
        <f t="shared" ca="1" si="52"/>
        <v>0</v>
      </c>
      <c r="CE21" s="1486">
        <f t="shared" ca="1" si="52"/>
        <v>0</v>
      </c>
      <c r="CF21" s="1486">
        <f t="shared" ca="1" si="52"/>
        <v>0</v>
      </c>
      <c r="CG21" s="1486">
        <f t="shared" ca="1" si="52"/>
        <v>0</v>
      </c>
      <c r="CH21" s="1486">
        <f t="shared" ca="1" si="52"/>
        <v>0</v>
      </c>
      <c r="CI21" s="1486">
        <f t="shared" ca="1" si="52"/>
        <v>0</v>
      </c>
      <c r="CJ21" s="1486">
        <f t="shared" ca="1" si="52"/>
        <v>0</v>
      </c>
      <c r="CK21" s="1486">
        <f t="shared" ca="1" si="52"/>
        <v>0</v>
      </c>
      <c r="CL21" s="1486">
        <f t="shared" ca="1" si="52"/>
        <v>0</v>
      </c>
      <c r="CM21" s="1486">
        <f t="shared" ca="1" si="52"/>
        <v>0</v>
      </c>
      <c r="CN21" s="1486">
        <f t="shared" ca="1" si="52"/>
        <v>0</v>
      </c>
      <c r="CO21" s="1486">
        <f t="shared" ca="1" si="52"/>
        <v>0</v>
      </c>
      <c r="CP21" s="1486">
        <f t="shared" ca="1" si="52"/>
        <v>0</v>
      </c>
      <c r="CQ21" s="1486">
        <f t="shared" ca="1" si="52"/>
        <v>0</v>
      </c>
      <c r="CR21" s="1486">
        <f t="shared" ca="1" si="52"/>
        <v>0</v>
      </c>
      <c r="CS21" s="1486">
        <f t="shared" ca="1" si="52"/>
        <v>0</v>
      </c>
      <c r="CT21" s="1486">
        <f t="shared" ca="1" si="52"/>
        <v>0</v>
      </c>
      <c r="CU21" s="1486">
        <f t="shared" ca="1" si="52"/>
        <v>0</v>
      </c>
      <c r="CV21" s="1486">
        <f t="shared" ca="1" si="52"/>
        <v>0</v>
      </c>
      <c r="CW21" s="1486">
        <f t="shared" ca="1" si="52"/>
        <v>0</v>
      </c>
      <c r="CX21" s="1486">
        <f t="shared" ca="1" si="52"/>
        <v>0</v>
      </c>
      <c r="CY21" s="1486">
        <f t="shared" ca="1" si="52"/>
        <v>0</v>
      </c>
      <c r="CZ21" s="1486">
        <f t="shared" ca="1" si="52"/>
        <v>0</v>
      </c>
      <c r="DA21" s="1486">
        <f t="shared" ca="1" si="52"/>
        <v>0</v>
      </c>
      <c r="DB21" s="1486">
        <f t="shared" ca="1" si="52"/>
        <v>0</v>
      </c>
      <c r="DC21" s="1486">
        <f t="shared" ca="1" si="52"/>
        <v>0</v>
      </c>
      <c r="DD21" s="1486">
        <f t="shared" ca="1" si="52"/>
        <v>0</v>
      </c>
      <c r="DE21" s="1486">
        <f t="shared" ca="1" si="52"/>
        <v>0</v>
      </c>
      <c r="DF21" s="1486">
        <f t="shared" ca="1" si="52"/>
        <v>0</v>
      </c>
      <c r="DH21" s="838">
        <f t="shared" ca="1" si="36"/>
        <v>96.972234904605088</v>
      </c>
    </row>
    <row r="22" spans="1:112" s="743" customFormat="1" ht="15.75" collapsed="1">
      <c r="A22" s="22"/>
      <c r="B22" s="753"/>
      <c r="C22" s="744" t="s">
        <v>678</v>
      </c>
      <c r="D22" s="517" t="str">
        <f>INDEX(Workstreams[Workstream], MATCH($C22, Workstreams[Code], 0))</f>
        <v>Industry</v>
      </c>
      <c r="E22" s="512"/>
      <c r="G22" s="1021">
        <f ca="1">G21</f>
        <v>0</v>
      </c>
      <c r="H22" s="1021">
        <f t="shared" ref="H22:P22" ca="1" si="53">H21</f>
        <v>0</v>
      </c>
      <c r="I22" s="1021">
        <f t="shared" ca="1" si="53"/>
        <v>463.85254641550875</v>
      </c>
      <c r="J22" s="1021">
        <f t="shared" ca="1" si="53"/>
        <v>0</v>
      </c>
      <c r="K22" s="1021">
        <f t="shared" ca="1" si="53"/>
        <v>0</v>
      </c>
      <c r="L22" s="1021">
        <f t="shared" ca="1" si="53"/>
        <v>0</v>
      </c>
      <c r="M22" s="1021">
        <f t="shared" ca="1" si="53"/>
        <v>0</v>
      </c>
      <c r="N22" s="1021">
        <f t="shared" ca="1" si="53"/>
        <v>0</v>
      </c>
      <c r="O22" s="1021">
        <f t="shared" ca="1" si="53"/>
        <v>0</v>
      </c>
      <c r="P22" s="1021">
        <f t="shared" ca="1" si="53"/>
        <v>0</v>
      </c>
      <c r="Q22" s="1021">
        <f ca="1">SUM(G22:P22)</f>
        <v>463.85254641550875</v>
      </c>
      <c r="S22" s="970">
        <f t="shared" ref="S22:Z22" ca="1" si="54">S21</f>
        <v>-129.83547253124902</v>
      </c>
      <c r="T22" s="970">
        <f t="shared" ca="1" si="54"/>
        <v>0</v>
      </c>
      <c r="U22" s="970">
        <f t="shared" ca="1" si="54"/>
        <v>-61.928869813194837</v>
      </c>
      <c r="V22" s="970">
        <f t="shared" ca="1" si="54"/>
        <v>-92.65846727879547</v>
      </c>
      <c r="W22" s="970">
        <f t="shared" ca="1" si="54"/>
        <v>-170.34013245915492</v>
      </c>
      <c r="X22" s="970">
        <f t="shared" ca="1" si="54"/>
        <v>0</v>
      </c>
      <c r="Y22" s="970">
        <f t="shared" ca="1" si="54"/>
        <v>0</v>
      </c>
      <c r="Z22" s="970">
        <f t="shared" ca="1" si="54"/>
        <v>0</v>
      </c>
      <c r="AA22" s="970">
        <f t="shared" ref="AA22:AJ22" ca="1" si="55">AA21</f>
        <v>0</v>
      </c>
      <c r="AB22" s="970">
        <f t="shared" ca="1" si="55"/>
        <v>-9.0896043331144991</v>
      </c>
      <c r="AC22" s="970">
        <f t="shared" ca="1" si="55"/>
        <v>0</v>
      </c>
      <c r="AD22" s="970">
        <f ca="1">AD21</f>
        <v>0</v>
      </c>
      <c r="AE22" s="970">
        <f ca="1">AE21</f>
        <v>0</v>
      </c>
      <c r="AF22" s="970">
        <f t="shared" ca="1" si="55"/>
        <v>0</v>
      </c>
      <c r="AG22" s="970">
        <f ca="1">AG21</f>
        <v>0</v>
      </c>
      <c r="AH22" s="970">
        <f ca="1">AH21</f>
        <v>0</v>
      </c>
      <c r="AI22" s="970">
        <f ca="1">AI21</f>
        <v>0</v>
      </c>
      <c r="AJ22" s="970">
        <f t="shared" ca="1" si="55"/>
        <v>0</v>
      </c>
      <c r="AK22" s="970">
        <f ca="1">SUM(S22:AJ22)</f>
        <v>-463.85254641550875</v>
      </c>
      <c r="AM22" s="976">
        <f t="shared" ref="AM22:BE22" ca="1" si="56">AM21</f>
        <v>0</v>
      </c>
      <c r="AN22" s="976">
        <f t="shared" ca="1" si="56"/>
        <v>0</v>
      </c>
      <c r="AO22" s="976">
        <f t="shared" ca="1" si="56"/>
        <v>0</v>
      </c>
      <c r="AP22" s="976">
        <f t="shared" ca="1" si="56"/>
        <v>0</v>
      </c>
      <c r="AQ22" s="976">
        <f t="shared" ca="1" si="56"/>
        <v>0</v>
      </c>
      <c r="AR22" s="976">
        <f t="shared" ca="1" si="56"/>
        <v>0</v>
      </c>
      <c r="AS22" s="976">
        <f t="shared" ca="1" si="56"/>
        <v>0</v>
      </c>
      <c r="AT22" s="976">
        <f t="shared" ca="1" si="56"/>
        <v>0</v>
      </c>
      <c r="AU22" s="976">
        <f t="shared" ca="1" si="56"/>
        <v>0</v>
      </c>
      <c r="AV22" s="976">
        <f t="shared" ca="1" si="56"/>
        <v>0</v>
      </c>
      <c r="AW22" s="976">
        <f t="shared" ca="1" si="56"/>
        <v>0</v>
      </c>
      <c r="AX22" s="976">
        <f t="shared" ca="1" si="56"/>
        <v>0</v>
      </c>
      <c r="AY22" s="976">
        <f t="shared" ca="1" si="56"/>
        <v>0</v>
      </c>
      <c r="AZ22" s="976">
        <f t="shared" ca="1" si="56"/>
        <v>0</v>
      </c>
      <c r="BA22" s="976">
        <f t="shared" ca="1" si="56"/>
        <v>0</v>
      </c>
      <c r="BB22" s="976">
        <f t="shared" ca="1" si="56"/>
        <v>0</v>
      </c>
      <c r="BC22" s="976">
        <f t="shared" ca="1" si="56"/>
        <v>0</v>
      </c>
      <c r="BD22" s="976">
        <f t="shared" ca="1" si="56"/>
        <v>0</v>
      </c>
      <c r="BE22" s="976">
        <f t="shared" ca="1" si="56"/>
        <v>0</v>
      </c>
      <c r="BF22" s="976">
        <f ca="1">SUM(AM22:BE22)</f>
        <v>0</v>
      </c>
      <c r="BH22" s="990">
        <f ca="1">BH21</f>
        <v>0</v>
      </c>
      <c r="BI22" s="990">
        <f ca="1">BI21</f>
        <v>0</v>
      </c>
      <c r="BJ22" s="990">
        <f ca="1">SUM(BH22:BI22)</f>
        <v>0</v>
      </c>
      <c r="BL22" s="515">
        <f t="shared" ca="1" si="9"/>
        <v>0</v>
      </c>
      <c r="BM22" s="515"/>
      <c r="BN22" s="840"/>
      <c r="BO22" s="1482">
        <f t="shared" ref="BO22:DF22" ca="1" si="57">BO21</f>
        <v>73.581293094647364</v>
      </c>
      <c r="BP22" s="1482">
        <f t="shared" ca="1" si="57"/>
        <v>0.1476984080159586</v>
      </c>
      <c r="BQ22" s="1482">
        <f t="shared" ca="1" si="57"/>
        <v>0.65331918427045665</v>
      </c>
      <c r="BR22" s="1482">
        <f t="shared" ca="1" si="57"/>
        <v>0</v>
      </c>
      <c r="BS22" s="1482">
        <f t="shared" ca="1" si="57"/>
        <v>0</v>
      </c>
      <c r="BT22" s="1482">
        <f t="shared" ca="1" si="57"/>
        <v>0</v>
      </c>
      <c r="BU22" s="1482">
        <f t="shared" ca="1" si="57"/>
        <v>0</v>
      </c>
      <c r="BV22" s="1482">
        <f t="shared" ca="1" si="57"/>
        <v>0</v>
      </c>
      <c r="BW22" s="1482">
        <f t="shared" ca="1" si="57"/>
        <v>14.595047605826055</v>
      </c>
      <c r="BX22" s="1482">
        <f t="shared" ca="1" si="57"/>
        <v>0.10964411416456435</v>
      </c>
      <c r="BY22" s="1482">
        <f t="shared" ca="1" si="57"/>
        <v>2.7597231230198167</v>
      </c>
      <c r="BZ22" s="1482">
        <f t="shared" ca="1" si="57"/>
        <v>5.1255093746608766</v>
      </c>
      <c r="CA22" s="1482">
        <f t="shared" ca="1" si="57"/>
        <v>0</v>
      </c>
      <c r="CB22" s="1482">
        <f t="shared" ca="1" si="57"/>
        <v>0</v>
      </c>
      <c r="CC22" s="1482">
        <f t="shared" ca="1" si="57"/>
        <v>0</v>
      </c>
      <c r="CD22" s="1482">
        <f t="shared" ca="1" si="57"/>
        <v>0</v>
      </c>
      <c r="CE22" s="1482">
        <f t="shared" ca="1" si="57"/>
        <v>0</v>
      </c>
      <c r="CF22" s="1482">
        <f t="shared" ca="1" si="57"/>
        <v>0</v>
      </c>
      <c r="CG22" s="1482">
        <f t="shared" ca="1" si="57"/>
        <v>0</v>
      </c>
      <c r="CH22" s="1482">
        <f t="shared" ca="1" si="57"/>
        <v>0</v>
      </c>
      <c r="CI22" s="1482">
        <f t="shared" ca="1" si="57"/>
        <v>0</v>
      </c>
      <c r="CJ22" s="1482">
        <f t="shared" ca="1" si="57"/>
        <v>0</v>
      </c>
      <c r="CK22" s="1482">
        <f t="shared" ca="1" si="57"/>
        <v>0</v>
      </c>
      <c r="CL22" s="1482">
        <f t="shared" ca="1" si="57"/>
        <v>0</v>
      </c>
      <c r="CM22" s="1482">
        <f t="shared" ca="1" si="57"/>
        <v>0</v>
      </c>
      <c r="CN22" s="1482">
        <f t="shared" ca="1" si="57"/>
        <v>0</v>
      </c>
      <c r="CO22" s="1482">
        <f t="shared" ca="1" si="57"/>
        <v>0</v>
      </c>
      <c r="CP22" s="1482">
        <f t="shared" ca="1" si="57"/>
        <v>0</v>
      </c>
      <c r="CQ22" s="1482">
        <f t="shared" ca="1" si="57"/>
        <v>0</v>
      </c>
      <c r="CR22" s="1482">
        <f t="shared" ca="1" si="57"/>
        <v>0</v>
      </c>
      <c r="CS22" s="1482">
        <f t="shared" ca="1" si="57"/>
        <v>0</v>
      </c>
      <c r="CT22" s="1482">
        <f t="shared" ca="1" si="57"/>
        <v>0</v>
      </c>
      <c r="CU22" s="1482">
        <f t="shared" ca="1" si="57"/>
        <v>0</v>
      </c>
      <c r="CV22" s="1482">
        <f t="shared" ca="1" si="57"/>
        <v>0</v>
      </c>
      <c r="CW22" s="1482">
        <f t="shared" ca="1" si="57"/>
        <v>0</v>
      </c>
      <c r="CX22" s="1482">
        <f t="shared" ca="1" si="57"/>
        <v>0</v>
      </c>
      <c r="CY22" s="1482">
        <f t="shared" ca="1" si="57"/>
        <v>0</v>
      </c>
      <c r="CZ22" s="1482">
        <f t="shared" ca="1" si="57"/>
        <v>0</v>
      </c>
      <c r="DA22" s="1482">
        <f t="shared" ca="1" si="57"/>
        <v>0</v>
      </c>
      <c r="DB22" s="1482">
        <f t="shared" ca="1" si="57"/>
        <v>0</v>
      </c>
      <c r="DC22" s="1482">
        <f t="shared" ca="1" si="57"/>
        <v>0</v>
      </c>
      <c r="DD22" s="1482">
        <f t="shared" ca="1" si="57"/>
        <v>0</v>
      </c>
      <c r="DE22" s="1482">
        <f t="shared" ca="1" si="57"/>
        <v>0</v>
      </c>
      <c r="DF22" s="1482">
        <f t="shared" ca="1" si="57"/>
        <v>0</v>
      </c>
      <c r="DH22" s="838">
        <f t="shared" ca="1" si="36"/>
        <v>96.972234904605088</v>
      </c>
    </row>
    <row r="23" spans="1:112" s="743" customFormat="1" ht="12.75" hidden="1" customHeight="1" outlineLevel="1">
      <c r="A23" s="22"/>
      <c r="B23" s="22"/>
      <c r="C23" s="751"/>
      <c r="D23" s="512"/>
      <c r="E23" s="512"/>
      <c r="G23" s="1021"/>
      <c r="H23" s="1021"/>
      <c r="I23" s="1021"/>
      <c r="J23" s="1021"/>
      <c r="K23" s="1021"/>
      <c r="L23" s="1021"/>
      <c r="M23" s="1021"/>
      <c r="N23" s="1021"/>
      <c r="O23" s="1021"/>
      <c r="P23" s="1021"/>
      <c r="Q23" s="1021"/>
      <c r="S23" s="970"/>
      <c r="T23" s="970"/>
      <c r="U23" s="970"/>
      <c r="V23" s="970"/>
      <c r="W23" s="970"/>
      <c r="X23" s="970"/>
      <c r="Y23" s="970"/>
      <c r="Z23" s="970"/>
      <c r="AA23" s="970"/>
      <c r="AB23" s="970"/>
      <c r="AC23" s="970"/>
      <c r="AD23" s="970"/>
      <c r="AE23" s="970"/>
      <c r="AF23" s="970"/>
      <c r="AG23" s="970"/>
      <c r="AH23" s="970"/>
      <c r="AI23" s="970"/>
      <c r="AJ23" s="970"/>
      <c r="AK23" s="970"/>
      <c r="AM23" s="976"/>
      <c r="AN23" s="976"/>
      <c r="AO23" s="976"/>
      <c r="AP23" s="976"/>
      <c r="AQ23" s="976"/>
      <c r="AR23" s="976"/>
      <c r="AS23" s="976"/>
      <c r="AT23" s="976"/>
      <c r="AU23" s="976"/>
      <c r="AV23" s="976"/>
      <c r="AW23" s="976"/>
      <c r="AX23" s="976"/>
      <c r="AY23" s="976"/>
      <c r="AZ23" s="976"/>
      <c r="BA23" s="976"/>
      <c r="BB23" s="976"/>
      <c r="BC23" s="976"/>
      <c r="BD23" s="976"/>
      <c r="BE23" s="976"/>
      <c r="BF23" s="976"/>
      <c r="BH23" s="990"/>
      <c r="BI23" s="990"/>
      <c r="BJ23" s="990"/>
      <c r="BL23" s="515">
        <f t="shared" si="9"/>
        <v>0</v>
      </c>
      <c r="BM23" s="515"/>
      <c r="BN23" s="22"/>
      <c r="BO23" s="1482"/>
      <c r="BP23" s="1482"/>
      <c r="BQ23" s="1482"/>
      <c r="BR23" s="1482"/>
      <c r="BS23" s="1482"/>
      <c r="BT23" s="1482"/>
      <c r="BU23" s="1482"/>
      <c r="BV23" s="1482"/>
      <c r="BW23" s="1482"/>
      <c r="BX23" s="1482"/>
      <c r="BY23" s="1482"/>
      <c r="BZ23" s="1482"/>
      <c r="CA23" s="1482"/>
      <c r="CB23" s="1482"/>
      <c r="CC23" s="1482"/>
      <c r="CD23" s="1482"/>
      <c r="CE23" s="1482"/>
      <c r="CF23" s="1482"/>
      <c r="CG23" s="1482"/>
      <c r="CH23" s="1482"/>
      <c r="CI23" s="1482"/>
      <c r="CJ23" s="1482"/>
      <c r="CK23" s="1482"/>
      <c r="CL23" s="1482"/>
      <c r="CM23" s="1482"/>
      <c r="CN23" s="1482"/>
      <c r="CO23" s="1482"/>
      <c r="CP23" s="1482"/>
      <c r="CQ23" s="1482"/>
      <c r="CR23" s="1482"/>
      <c r="CS23" s="1482"/>
      <c r="CT23" s="1482"/>
      <c r="CU23" s="1482"/>
      <c r="CV23" s="1482"/>
      <c r="CW23" s="1482"/>
      <c r="CX23" s="1482"/>
      <c r="CY23" s="1482"/>
      <c r="CZ23" s="1482"/>
      <c r="DA23" s="1482"/>
      <c r="DB23" s="1482"/>
      <c r="DC23" s="1482"/>
      <c r="DD23" s="1482"/>
      <c r="DE23" s="1482"/>
      <c r="DF23" s="1482"/>
      <c r="DH23" s="838">
        <f t="shared" si="36"/>
        <v>0</v>
      </c>
    </row>
    <row r="24" spans="1:112" s="743" customFormat="1" ht="12.75" hidden="1" customHeight="1" outlineLevel="1">
      <c r="A24" s="1484"/>
      <c r="B24" s="1484"/>
      <c r="C24" s="746" t="s">
        <v>903</v>
      </c>
      <c r="D24" s="523" t="str">
        <f>INDEX(Modules[Module], MATCH($C24, Modules[Code], 0))</f>
        <v>Domestic passenger transport</v>
      </c>
      <c r="E24" s="1006"/>
      <c r="G24" s="1017">
        <f t="shared" ref="G24:P27" ca="1" si="58">IFERROR(INDEX(INDIRECT($C24&amp;".Outputs["&amp;this.Year&amp;"]"), MATCH(G$5, INDIRECT($C24&amp;".Outputs[Vector]"), 0)), 0)</f>
        <v>0</v>
      </c>
      <c r="H24" s="1017">
        <f t="shared" ca="1" si="58"/>
        <v>0</v>
      </c>
      <c r="I24" s="1017">
        <f t="shared" ca="1" si="58"/>
        <v>0</v>
      </c>
      <c r="J24" s="1017">
        <f t="shared" ca="1" si="58"/>
        <v>207.13104078836022</v>
      </c>
      <c r="K24" s="1017">
        <f t="shared" ca="1" si="58"/>
        <v>10.861476270797985</v>
      </c>
      <c r="L24" s="1017">
        <f t="shared" ca="1" si="58"/>
        <v>14.785449092646568</v>
      </c>
      <c r="M24" s="1017">
        <f t="shared" ca="1" si="58"/>
        <v>0</v>
      </c>
      <c r="N24" s="1017">
        <f t="shared" ca="1" si="58"/>
        <v>0</v>
      </c>
      <c r="O24" s="1017">
        <f t="shared" ca="1" si="58"/>
        <v>0</v>
      </c>
      <c r="P24" s="1017">
        <f t="shared" ca="1" si="58"/>
        <v>0</v>
      </c>
      <c r="Q24" s="1019">
        <f ca="1">SUM(G24:P24)</f>
        <v>232.77796615180478</v>
      </c>
      <c r="S24" s="1026">
        <f t="shared" ref="S24:BE30" ca="1" si="59">IFERROR(INDEX(INDIRECT($C24&amp;".Outputs["&amp;this.Year&amp;"]"), MATCH(S$5, INDIRECT($C24&amp;".Outputs[Vector]"), 0)), 0)</f>
        <v>-20.620614709478314</v>
      </c>
      <c r="T24" s="1026">
        <f t="shared" ca="1" si="59"/>
        <v>0</v>
      </c>
      <c r="U24" s="1026">
        <f t="shared" ca="1" si="59"/>
        <v>0</v>
      </c>
      <c r="V24" s="1026">
        <f t="shared" ca="1" si="59"/>
        <v>-212.15735144232644</v>
      </c>
      <c r="W24" s="1026">
        <f t="shared" ca="1" si="59"/>
        <v>0</v>
      </c>
      <c r="X24" s="1026">
        <f t="shared" ref="X24:Z27" ca="1" si="60">IFERROR(INDEX(INDIRECT($C24&amp;".Outputs["&amp;this.Year&amp;"]"), MATCH(X$5, INDIRECT($C24&amp;".Outputs[Vector]"), 0)), 0)</f>
        <v>0</v>
      </c>
      <c r="Y24" s="1026">
        <f t="shared" ca="1" si="60"/>
        <v>0</v>
      </c>
      <c r="Z24" s="1026">
        <f t="shared" ca="1" si="60"/>
        <v>0</v>
      </c>
      <c r="AA24" s="1026">
        <f t="shared" ca="1" si="59"/>
        <v>0</v>
      </c>
      <c r="AB24" s="1026">
        <f t="shared" ca="1" si="59"/>
        <v>0</v>
      </c>
      <c r="AC24" s="1026">
        <f t="shared" ca="1" si="59"/>
        <v>0</v>
      </c>
      <c r="AD24" s="1026">
        <f t="shared" ca="1" si="59"/>
        <v>0</v>
      </c>
      <c r="AE24" s="1026">
        <f t="shared" ca="1" si="59"/>
        <v>0</v>
      </c>
      <c r="AF24" s="1026">
        <f t="shared" ca="1" si="59"/>
        <v>0</v>
      </c>
      <c r="AG24" s="1026">
        <f t="shared" ca="1" si="59"/>
        <v>0</v>
      </c>
      <c r="AH24" s="1026">
        <f t="shared" ca="1" si="59"/>
        <v>0</v>
      </c>
      <c r="AI24" s="1026">
        <f t="shared" ca="1" si="59"/>
        <v>0</v>
      </c>
      <c r="AJ24" s="1026">
        <f t="shared" ca="1" si="59"/>
        <v>0</v>
      </c>
      <c r="AK24" s="1027">
        <f t="shared" ref="AK24:AK32" ca="1" si="61">SUM(S24:AJ24)</f>
        <v>-232.77796615180475</v>
      </c>
      <c r="AM24" s="1038">
        <f t="shared" ref="AM24:AU27" ca="1" si="62">IFERROR(INDEX(INDIRECT($C24&amp;".Outputs["&amp;this.Year&amp;"]"), MATCH(AM$5, INDIRECT($C24&amp;".Outputs[Vector]"), 0)), 0)</f>
        <v>0</v>
      </c>
      <c r="AN24" s="1038">
        <f t="shared" ca="1" si="62"/>
        <v>0</v>
      </c>
      <c r="AO24" s="1038">
        <f t="shared" ca="1" si="62"/>
        <v>0</v>
      </c>
      <c r="AP24" s="1038">
        <f t="shared" ca="1" si="62"/>
        <v>0</v>
      </c>
      <c r="AQ24" s="1038">
        <f t="shared" ca="1" si="62"/>
        <v>0</v>
      </c>
      <c r="AR24" s="1038">
        <f t="shared" ca="1" si="62"/>
        <v>0</v>
      </c>
      <c r="AS24" s="1038">
        <f t="shared" ca="1" si="62"/>
        <v>0</v>
      </c>
      <c r="AT24" s="1038">
        <f t="shared" ca="1" si="62"/>
        <v>0</v>
      </c>
      <c r="AU24" s="1038">
        <f t="shared" ca="1" si="62"/>
        <v>0</v>
      </c>
      <c r="AV24" s="1038">
        <f t="shared" ca="1" si="59"/>
        <v>0</v>
      </c>
      <c r="AW24" s="1038">
        <f t="shared" ca="1" si="59"/>
        <v>0</v>
      </c>
      <c r="AX24" s="1038">
        <f t="shared" ca="1" si="59"/>
        <v>0</v>
      </c>
      <c r="AY24" s="1038">
        <f t="shared" ca="1" si="59"/>
        <v>0</v>
      </c>
      <c r="AZ24" s="1038">
        <f t="shared" ca="1" si="59"/>
        <v>0</v>
      </c>
      <c r="BA24" s="1038">
        <f t="shared" ca="1" si="59"/>
        <v>0</v>
      </c>
      <c r="BB24" s="1038">
        <f t="shared" ca="1" si="59"/>
        <v>0</v>
      </c>
      <c r="BC24" s="1038">
        <f t="shared" ca="1" si="59"/>
        <v>0</v>
      </c>
      <c r="BD24" s="1038">
        <f t="shared" ca="1" si="59"/>
        <v>0</v>
      </c>
      <c r="BE24" s="1038">
        <f t="shared" ca="1" si="59"/>
        <v>0</v>
      </c>
      <c r="BF24" s="979">
        <f t="shared" ref="BF24:BF32" ca="1" si="63">SUM(AM24:BE24)</f>
        <v>0</v>
      </c>
      <c r="BH24" s="1032">
        <f t="shared" ref="BH24:BI30" ca="1" si="64">IFERROR(INDEX(INDIRECT($C24&amp;".Outputs["&amp;this.Year&amp;"]"), MATCH(BH$5, INDIRECT($C24&amp;".Outputs[Vector]"), 0)), 0)</f>
        <v>0</v>
      </c>
      <c r="BI24" s="1032">
        <f t="shared" ca="1" si="64"/>
        <v>0</v>
      </c>
      <c r="BJ24" s="1034">
        <f t="shared" ref="BJ24:BJ32" ca="1" si="65">SUM(BH24:BI24)</f>
        <v>0</v>
      </c>
      <c r="BL24" s="814">
        <f t="shared" ca="1" si="9"/>
        <v>2.8421709430404007E-14</v>
      </c>
      <c r="BM24" s="814"/>
      <c r="BN24" s="840"/>
      <c r="BO24" s="1481">
        <f t="shared" ref="BO24:BX27" ca="1" si="66">IFERROR(SUMIFS(INDIRECT($C24&amp;".Emissions["&amp;this.Year&amp;"]"), INDIRECT($C24&amp;".Emissions[GHG]"), BO$6, INDIRECT($C24&amp;".Emissions[IPCC Sector]"), BO$5),0)</f>
        <v>53.039337860581611</v>
      </c>
      <c r="BP24" s="1482">
        <f t="shared" ca="1" si="66"/>
        <v>6.6033766250316178E-2</v>
      </c>
      <c r="BQ24" s="1482">
        <f t="shared" ca="1" si="66"/>
        <v>0.95428637052220378</v>
      </c>
      <c r="BR24" s="1482">
        <f t="shared" ca="1" si="66"/>
        <v>0</v>
      </c>
      <c r="BS24" s="1482">
        <f t="shared" ca="1" si="66"/>
        <v>0</v>
      </c>
      <c r="BT24" s="1482">
        <f t="shared" ca="1" si="66"/>
        <v>0</v>
      </c>
      <c r="BU24" s="1482">
        <f t="shared" ca="1" si="66"/>
        <v>0</v>
      </c>
      <c r="BV24" s="1482">
        <f t="shared" ca="1" si="66"/>
        <v>0</v>
      </c>
      <c r="BW24" s="1482">
        <f t="shared" ca="1" si="66"/>
        <v>0</v>
      </c>
      <c r="BX24" s="1482">
        <f t="shared" ca="1" si="66"/>
        <v>0</v>
      </c>
      <c r="BY24" s="1482">
        <f t="shared" ref="BY24:CH27" ca="1" si="67">IFERROR(SUMIFS(INDIRECT($C24&amp;".Emissions["&amp;this.Year&amp;"]"), INDIRECT($C24&amp;".Emissions[GHG]"), BY$6, INDIRECT($C24&amp;".Emissions[IPCC Sector]"), BY$5),0)</f>
        <v>0</v>
      </c>
      <c r="BZ24" s="1482">
        <f t="shared" ca="1" si="67"/>
        <v>0</v>
      </c>
      <c r="CA24" s="1482">
        <f t="shared" ca="1" si="67"/>
        <v>0</v>
      </c>
      <c r="CB24" s="1482">
        <f t="shared" ca="1" si="67"/>
        <v>0</v>
      </c>
      <c r="CC24" s="1482">
        <f t="shared" ca="1" si="67"/>
        <v>0</v>
      </c>
      <c r="CD24" s="1482">
        <f t="shared" ca="1" si="67"/>
        <v>0</v>
      </c>
      <c r="CE24" s="1482">
        <f t="shared" ca="1" si="67"/>
        <v>0</v>
      </c>
      <c r="CF24" s="1482">
        <f t="shared" ca="1" si="67"/>
        <v>0</v>
      </c>
      <c r="CG24" s="1482">
        <f t="shared" ca="1" si="67"/>
        <v>0</v>
      </c>
      <c r="CH24" s="1482">
        <f t="shared" ca="1" si="67"/>
        <v>0</v>
      </c>
      <c r="CI24" s="1482">
        <f t="shared" ref="CI24:CR27" ca="1" si="68">IFERROR(SUMIFS(INDIRECT($C24&amp;".Emissions["&amp;this.Year&amp;"]"), INDIRECT($C24&amp;".Emissions[GHG]"), CI$6, INDIRECT($C24&amp;".Emissions[IPCC Sector]"), CI$5),0)</f>
        <v>0</v>
      </c>
      <c r="CJ24" s="1482">
        <f t="shared" ca="1" si="68"/>
        <v>0</v>
      </c>
      <c r="CK24" s="1482">
        <f t="shared" ca="1" si="68"/>
        <v>0</v>
      </c>
      <c r="CL24" s="1482">
        <f t="shared" ca="1" si="68"/>
        <v>0</v>
      </c>
      <c r="CM24" s="1482">
        <f t="shared" ca="1" si="68"/>
        <v>0</v>
      </c>
      <c r="CN24" s="1482">
        <f t="shared" ca="1" si="68"/>
        <v>0</v>
      </c>
      <c r="CO24" s="1482">
        <f t="shared" ca="1" si="68"/>
        <v>0</v>
      </c>
      <c r="CP24" s="1482">
        <f t="shared" ca="1" si="68"/>
        <v>0</v>
      </c>
      <c r="CQ24" s="1482">
        <f t="shared" ca="1" si="68"/>
        <v>0</v>
      </c>
      <c r="CR24" s="1482">
        <f t="shared" ca="1" si="68"/>
        <v>0</v>
      </c>
      <c r="CS24" s="1482">
        <f t="shared" ref="CS24:DF27" ca="1" si="69">IFERROR(SUMIFS(INDIRECT($C24&amp;".Emissions["&amp;this.Year&amp;"]"), INDIRECT($C24&amp;".Emissions[GHG]"), CS$6, INDIRECT($C24&amp;".Emissions[IPCC Sector]"), CS$5),0)</f>
        <v>0</v>
      </c>
      <c r="CT24" s="1482">
        <f t="shared" ca="1" si="69"/>
        <v>0</v>
      </c>
      <c r="CU24" s="1482">
        <f t="shared" ca="1" si="69"/>
        <v>0</v>
      </c>
      <c r="CV24" s="1482">
        <f t="shared" ca="1" si="69"/>
        <v>0</v>
      </c>
      <c r="CW24" s="1482">
        <f t="shared" ca="1" si="69"/>
        <v>0</v>
      </c>
      <c r="CX24" s="1482">
        <f t="shared" ca="1" si="69"/>
        <v>0</v>
      </c>
      <c r="CY24" s="1482">
        <f t="shared" ca="1" si="69"/>
        <v>0</v>
      </c>
      <c r="CZ24" s="1482">
        <f t="shared" ca="1" si="69"/>
        <v>0</v>
      </c>
      <c r="DA24" s="1482">
        <f t="shared" ca="1" si="69"/>
        <v>0</v>
      </c>
      <c r="DB24" s="1482">
        <f t="shared" ca="1" si="69"/>
        <v>0</v>
      </c>
      <c r="DC24" s="1482">
        <f t="shared" ca="1" si="69"/>
        <v>0</v>
      </c>
      <c r="DD24" s="1482">
        <f t="shared" ca="1" si="69"/>
        <v>0</v>
      </c>
      <c r="DE24" s="1482">
        <f t="shared" ca="1" si="69"/>
        <v>0</v>
      </c>
      <c r="DF24" s="1482">
        <f t="shared" ca="1" si="69"/>
        <v>0</v>
      </c>
      <c r="DH24" s="838">
        <f t="shared" ca="1" si="36"/>
        <v>54.05965799735413</v>
      </c>
    </row>
    <row r="25" spans="1:112" s="743" customFormat="1" ht="12.75" hidden="1" customHeight="1" outlineLevel="1">
      <c r="A25" s="1484"/>
      <c r="B25" s="1484"/>
      <c r="C25" s="746" t="s">
        <v>916</v>
      </c>
      <c r="D25" s="523" t="str">
        <f>INDEX(Modules[Module], MATCH($C25, Modules[Code], 0))</f>
        <v>Domestic freight</v>
      </c>
      <c r="E25" s="1006"/>
      <c r="G25" s="1017">
        <f t="shared" ca="1" si="58"/>
        <v>0</v>
      </c>
      <c r="H25" s="1017">
        <f t="shared" ca="1" si="58"/>
        <v>0</v>
      </c>
      <c r="I25" s="1017">
        <f t="shared" ca="1" si="58"/>
        <v>0</v>
      </c>
      <c r="J25" s="1017">
        <f t="shared" ca="1" si="58"/>
        <v>128.71742792420721</v>
      </c>
      <c r="K25" s="1017">
        <f t="shared" ca="1" si="58"/>
        <v>3.5611188106766831</v>
      </c>
      <c r="L25" s="1017">
        <f t="shared" ca="1" si="58"/>
        <v>0</v>
      </c>
      <c r="M25" s="1017">
        <f t="shared" ca="1" si="58"/>
        <v>22.496144870285519</v>
      </c>
      <c r="N25" s="1017">
        <f t="shared" ca="1" si="58"/>
        <v>0</v>
      </c>
      <c r="O25" s="1017">
        <f t="shared" ca="1" si="58"/>
        <v>0</v>
      </c>
      <c r="P25" s="1017">
        <f t="shared" ca="1" si="58"/>
        <v>0</v>
      </c>
      <c r="Q25" s="1019">
        <f ca="1">SUM(G25:P25)</f>
        <v>154.77469160516941</v>
      </c>
      <c r="S25" s="1026">
        <f t="shared" ca="1" si="59"/>
        <v>-0.14952773450535101</v>
      </c>
      <c r="T25" s="1026">
        <f t="shared" ca="1" si="59"/>
        <v>0</v>
      </c>
      <c r="U25" s="1026">
        <f t="shared" ca="1" si="59"/>
        <v>0</v>
      </c>
      <c r="V25" s="1026">
        <f t="shared" ca="1" si="59"/>
        <v>-154.62516387066407</v>
      </c>
      <c r="W25" s="1026">
        <f t="shared" ca="1" si="59"/>
        <v>0</v>
      </c>
      <c r="X25" s="1026">
        <f t="shared" ca="1" si="60"/>
        <v>0</v>
      </c>
      <c r="Y25" s="1026">
        <f t="shared" ca="1" si="60"/>
        <v>0</v>
      </c>
      <c r="Z25" s="1026">
        <f t="shared" ca="1" si="60"/>
        <v>0</v>
      </c>
      <c r="AA25" s="1026">
        <f t="shared" ca="1" si="59"/>
        <v>0</v>
      </c>
      <c r="AB25" s="1026">
        <f t="shared" ca="1" si="59"/>
        <v>0</v>
      </c>
      <c r="AC25" s="1026">
        <f t="shared" ca="1" si="59"/>
        <v>0</v>
      </c>
      <c r="AD25" s="1026">
        <f t="shared" ca="1" si="59"/>
        <v>0</v>
      </c>
      <c r="AE25" s="1026">
        <f t="shared" ca="1" si="59"/>
        <v>0</v>
      </c>
      <c r="AF25" s="1026">
        <f t="shared" ca="1" si="59"/>
        <v>0</v>
      </c>
      <c r="AG25" s="1026">
        <f t="shared" ca="1" si="59"/>
        <v>0</v>
      </c>
      <c r="AH25" s="1026">
        <f t="shared" ca="1" si="59"/>
        <v>0</v>
      </c>
      <c r="AI25" s="1026">
        <f t="shared" ca="1" si="59"/>
        <v>0</v>
      </c>
      <c r="AJ25" s="1026">
        <f t="shared" ca="1" si="59"/>
        <v>0</v>
      </c>
      <c r="AK25" s="1027">
        <f t="shared" ca="1" si="61"/>
        <v>-154.77469160516941</v>
      </c>
      <c r="AM25" s="1038">
        <f t="shared" ca="1" si="62"/>
        <v>0</v>
      </c>
      <c r="AN25" s="1038">
        <f t="shared" ca="1" si="62"/>
        <v>0</v>
      </c>
      <c r="AO25" s="1038">
        <f t="shared" ca="1" si="62"/>
        <v>0</v>
      </c>
      <c r="AP25" s="1038">
        <f t="shared" ca="1" si="62"/>
        <v>0</v>
      </c>
      <c r="AQ25" s="1038">
        <f t="shared" ca="1" si="62"/>
        <v>0</v>
      </c>
      <c r="AR25" s="1038">
        <f t="shared" ca="1" si="62"/>
        <v>0</v>
      </c>
      <c r="AS25" s="1038">
        <f t="shared" ca="1" si="62"/>
        <v>0</v>
      </c>
      <c r="AT25" s="1038">
        <f t="shared" ca="1" si="62"/>
        <v>0</v>
      </c>
      <c r="AU25" s="1038">
        <f t="shared" ca="1" si="62"/>
        <v>0</v>
      </c>
      <c r="AV25" s="1038">
        <f t="shared" ca="1" si="59"/>
        <v>0</v>
      </c>
      <c r="AW25" s="1038">
        <f t="shared" ca="1" si="59"/>
        <v>0</v>
      </c>
      <c r="AX25" s="1038">
        <f t="shared" ca="1" si="59"/>
        <v>0</v>
      </c>
      <c r="AY25" s="1038">
        <f t="shared" ca="1" si="59"/>
        <v>0</v>
      </c>
      <c r="AZ25" s="1038">
        <f t="shared" ca="1" si="59"/>
        <v>0</v>
      </c>
      <c r="BA25" s="1038">
        <f t="shared" ca="1" si="59"/>
        <v>0</v>
      </c>
      <c r="BB25" s="1038">
        <f t="shared" ca="1" si="59"/>
        <v>0</v>
      </c>
      <c r="BC25" s="1038">
        <f t="shared" ca="1" si="59"/>
        <v>0</v>
      </c>
      <c r="BD25" s="1038">
        <f t="shared" ca="1" si="59"/>
        <v>0</v>
      </c>
      <c r="BE25" s="1038">
        <f t="shared" ca="1" si="59"/>
        <v>0</v>
      </c>
      <c r="BF25" s="979">
        <f t="shared" ca="1" si="63"/>
        <v>0</v>
      </c>
      <c r="BH25" s="1032">
        <f t="shared" ca="1" si="64"/>
        <v>0</v>
      </c>
      <c r="BI25" s="1032">
        <f t="shared" ca="1" si="64"/>
        <v>0</v>
      </c>
      <c r="BJ25" s="1034">
        <f t="shared" ca="1" si="65"/>
        <v>0</v>
      </c>
      <c r="BL25" s="814">
        <f t="shared" ca="1" si="9"/>
        <v>0</v>
      </c>
      <c r="BM25" s="814"/>
      <c r="BN25" s="840"/>
      <c r="BO25" s="1481">
        <f t="shared" ca="1" si="66"/>
        <v>38.656290967666017</v>
      </c>
      <c r="BP25" s="1482">
        <f t="shared" ca="1" si="66"/>
        <v>4.8126929649326411E-2</v>
      </c>
      <c r="BQ25" s="1482">
        <f t="shared" ca="1" si="66"/>
        <v>0.69550588475200359</v>
      </c>
      <c r="BR25" s="1482">
        <f t="shared" ca="1" si="66"/>
        <v>0</v>
      </c>
      <c r="BS25" s="1482">
        <f t="shared" ca="1" si="66"/>
        <v>0</v>
      </c>
      <c r="BT25" s="1482">
        <f t="shared" ca="1" si="66"/>
        <v>0</v>
      </c>
      <c r="BU25" s="1482">
        <f t="shared" ca="1" si="66"/>
        <v>0</v>
      </c>
      <c r="BV25" s="1482">
        <f t="shared" ca="1" si="66"/>
        <v>0</v>
      </c>
      <c r="BW25" s="1482">
        <f t="shared" ca="1" si="66"/>
        <v>0</v>
      </c>
      <c r="BX25" s="1482">
        <f t="shared" ca="1" si="66"/>
        <v>0</v>
      </c>
      <c r="BY25" s="1482">
        <f t="shared" ca="1" si="67"/>
        <v>0</v>
      </c>
      <c r="BZ25" s="1482">
        <f t="shared" ca="1" si="67"/>
        <v>0</v>
      </c>
      <c r="CA25" s="1482">
        <f t="shared" ca="1" si="67"/>
        <v>0</v>
      </c>
      <c r="CB25" s="1482">
        <f t="shared" ca="1" si="67"/>
        <v>0</v>
      </c>
      <c r="CC25" s="1482">
        <f t="shared" ca="1" si="67"/>
        <v>0</v>
      </c>
      <c r="CD25" s="1482">
        <f t="shared" ca="1" si="67"/>
        <v>0</v>
      </c>
      <c r="CE25" s="1482">
        <f t="shared" ca="1" si="67"/>
        <v>0</v>
      </c>
      <c r="CF25" s="1482">
        <f t="shared" ca="1" si="67"/>
        <v>0</v>
      </c>
      <c r="CG25" s="1482">
        <f t="shared" ca="1" si="67"/>
        <v>0</v>
      </c>
      <c r="CH25" s="1482">
        <f t="shared" ca="1" si="67"/>
        <v>0</v>
      </c>
      <c r="CI25" s="1482">
        <f t="shared" ca="1" si="68"/>
        <v>0</v>
      </c>
      <c r="CJ25" s="1482">
        <f t="shared" ca="1" si="68"/>
        <v>0</v>
      </c>
      <c r="CK25" s="1482">
        <f t="shared" ca="1" si="68"/>
        <v>0</v>
      </c>
      <c r="CL25" s="1482">
        <f t="shared" ca="1" si="68"/>
        <v>0</v>
      </c>
      <c r="CM25" s="1482">
        <f t="shared" ca="1" si="68"/>
        <v>0</v>
      </c>
      <c r="CN25" s="1482">
        <f t="shared" ca="1" si="68"/>
        <v>0</v>
      </c>
      <c r="CO25" s="1482">
        <f t="shared" ca="1" si="68"/>
        <v>0</v>
      </c>
      <c r="CP25" s="1482">
        <f t="shared" ca="1" si="68"/>
        <v>0</v>
      </c>
      <c r="CQ25" s="1482">
        <f t="shared" ca="1" si="68"/>
        <v>0</v>
      </c>
      <c r="CR25" s="1482">
        <f t="shared" ca="1" si="68"/>
        <v>0</v>
      </c>
      <c r="CS25" s="1482">
        <f t="shared" ca="1" si="69"/>
        <v>0</v>
      </c>
      <c r="CT25" s="1482">
        <f t="shared" ca="1" si="69"/>
        <v>0</v>
      </c>
      <c r="CU25" s="1482">
        <f t="shared" ca="1" si="69"/>
        <v>0</v>
      </c>
      <c r="CV25" s="1482">
        <f t="shared" ca="1" si="69"/>
        <v>0</v>
      </c>
      <c r="CW25" s="1482">
        <f t="shared" ca="1" si="69"/>
        <v>0</v>
      </c>
      <c r="CX25" s="1482">
        <f t="shared" ca="1" si="69"/>
        <v>0</v>
      </c>
      <c r="CY25" s="1482">
        <f t="shared" ca="1" si="69"/>
        <v>0</v>
      </c>
      <c r="CZ25" s="1482">
        <f t="shared" ca="1" si="69"/>
        <v>0</v>
      </c>
      <c r="DA25" s="1482">
        <f t="shared" ca="1" si="69"/>
        <v>0</v>
      </c>
      <c r="DB25" s="1482">
        <f t="shared" ca="1" si="69"/>
        <v>0</v>
      </c>
      <c r="DC25" s="1482">
        <f t="shared" ca="1" si="69"/>
        <v>0</v>
      </c>
      <c r="DD25" s="1482">
        <f t="shared" ca="1" si="69"/>
        <v>0</v>
      </c>
      <c r="DE25" s="1482">
        <f t="shared" ca="1" si="69"/>
        <v>0</v>
      </c>
      <c r="DF25" s="1482">
        <f t="shared" ca="1" si="69"/>
        <v>0</v>
      </c>
      <c r="DH25" s="838">
        <f t="shared" ca="1" si="36"/>
        <v>39.399923782067347</v>
      </c>
    </row>
    <row r="26" spans="1:112" s="743" customFormat="1" ht="10.5" hidden="1" customHeight="1" outlineLevel="2">
      <c r="A26" s="1480"/>
      <c r="B26" s="1480"/>
      <c r="C26" s="746" t="s">
        <v>919</v>
      </c>
      <c r="D26" s="523" t="str">
        <f>INDEX(Modules[Module], MATCH($C26, Modules[Code], 0))</f>
        <v>International aviation</v>
      </c>
      <c r="E26" s="1006"/>
      <c r="G26" s="1017">
        <f t="shared" ca="1" si="58"/>
        <v>0</v>
      </c>
      <c r="H26" s="1017">
        <f t="shared" ca="1" si="58"/>
        <v>0</v>
      </c>
      <c r="I26" s="1017">
        <f t="shared" ca="1" si="58"/>
        <v>0</v>
      </c>
      <c r="J26" s="1017">
        <f t="shared" ca="1" si="58"/>
        <v>0</v>
      </c>
      <c r="K26" s="1017">
        <f t="shared" ca="1" si="58"/>
        <v>0</v>
      </c>
      <c r="L26" s="1017">
        <f t="shared" ca="1" si="58"/>
        <v>0</v>
      </c>
      <c r="M26" s="1017">
        <f t="shared" ca="1" si="58"/>
        <v>0</v>
      </c>
      <c r="N26" s="1017">
        <f t="shared" ca="1" si="58"/>
        <v>206.26698515563612</v>
      </c>
      <c r="O26" s="1017">
        <f t="shared" ca="1" si="58"/>
        <v>0</v>
      </c>
      <c r="P26" s="1017">
        <f t="shared" ca="1" si="58"/>
        <v>0</v>
      </c>
      <c r="Q26" s="1019">
        <f t="shared" ref="Q26:Q32" ca="1" si="70">SUM(G26:P26)</f>
        <v>206.26698515563612</v>
      </c>
      <c r="S26" s="1026">
        <f t="shared" ca="1" si="59"/>
        <v>0</v>
      </c>
      <c r="T26" s="1026">
        <f t="shared" ca="1" si="59"/>
        <v>0</v>
      </c>
      <c r="U26" s="1026">
        <f t="shared" ca="1" si="59"/>
        <v>0</v>
      </c>
      <c r="V26" s="1026">
        <f t="shared" ca="1" si="59"/>
        <v>-206.26698515563612</v>
      </c>
      <c r="W26" s="1026">
        <f t="shared" ca="1" si="59"/>
        <v>0</v>
      </c>
      <c r="X26" s="1026">
        <f t="shared" ca="1" si="60"/>
        <v>0</v>
      </c>
      <c r="Y26" s="1026">
        <f t="shared" ca="1" si="60"/>
        <v>0</v>
      </c>
      <c r="Z26" s="1026">
        <f t="shared" ca="1" si="60"/>
        <v>0</v>
      </c>
      <c r="AA26" s="1026">
        <f t="shared" ca="1" si="59"/>
        <v>0</v>
      </c>
      <c r="AB26" s="1026">
        <f t="shared" ca="1" si="59"/>
        <v>0</v>
      </c>
      <c r="AC26" s="1026">
        <f t="shared" ca="1" si="59"/>
        <v>0</v>
      </c>
      <c r="AD26" s="1026">
        <f t="shared" ca="1" si="59"/>
        <v>0</v>
      </c>
      <c r="AE26" s="1026">
        <f t="shared" ca="1" si="59"/>
        <v>0</v>
      </c>
      <c r="AF26" s="1026">
        <f t="shared" ca="1" si="59"/>
        <v>0</v>
      </c>
      <c r="AG26" s="1026">
        <f t="shared" ca="1" si="59"/>
        <v>0</v>
      </c>
      <c r="AH26" s="1026">
        <f t="shared" ca="1" si="59"/>
        <v>0</v>
      </c>
      <c r="AI26" s="1026">
        <f t="shared" ca="1" si="59"/>
        <v>0</v>
      </c>
      <c r="AJ26" s="1026">
        <f t="shared" ca="1" si="59"/>
        <v>0</v>
      </c>
      <c r="AK26" s="1027">
        <f t="shared" ca="1" si="61"/>
        <v>-206.26698515563612</v>
      </c>
      <c r="AM26" s="1038">
        <f t="shared" ca="1" si="62"/>
        <v>0</v>
      </c>
      <c r="AN26" s="1038">
        <f t="shared" ca="1" si="62"/>
        <v>0</v>
      </c>
      <c r="AO26" s="1038">
        <f t="shared" ca="1" si="62"/>
        <v>0</v>
      </c>
      <c r="AP26" s="1038">
        <f t="shared" ca="1" si="62"/>
        <v>0</v>
      </c>
      <c r="AQ26" s="1038">
        <f t="shared" ca="1" si="62"/>
        <v>0</v>
      </c>
      <c r="AR26" s="1038">
        <f t="shared" ca="1" si="62"/>
        <v>0</v>
      </c>
      <c r="AS26" s="1038">
        <f t="shared" ca="1" si="62"/>
        <v>0</v>
      </c>
      <c r="AT26" s="1038">
        <f t="shared" ca="1" si="62"/>
        <v>0</v>
      </c>
      <c r="AU26" s="1038">
        <f t="shared" ca="1" si="62"/>
        <v>0</v>
      </c>
      <c r="AV26" s="1038">
        <f t="shared" ca="1" si="59"/>
        <v>0</v>
      </c>
      <c r="AW26" s="1038">
        <f t="shared" ca="1" si="59"/>
        <v>0</v>
      </c>
      <c r="AX26" s="1038">
        <f t="shared" ca="1" si="59"/>
        <v>0</v>
      </c>
      <c r="AY26" s="1038">
        <f t="shared" ca="1" si="59"/>
        <v>0</v>
      </c>
      <c r="AZ26" s="1038">
        <f t="shared" ca="1" si="59"/>
        <v>0</v>
      </c>
      <c r="BA26" s="1038">
        <f t="shared" ca="1" si="59"/>
        <v>0</v>
      </c>
      <c r="BB26" s="1038">
        <f t="shared" ca="1" si="59"/>
        <v>0</v>
      </c>
      <c r="BC26" s="1038">
        <f t="shared" ca="1" si="59"/>
        <v>0</v>
      </c>
      <c r="BD26" s="1038">
        <f t="shared" ca="1" si="59"/>
        <v>0</v>
      </c>
      <c r="BE26" s="1038">
        <f t="shared" ca="1" si="59"/>
        <v>0</v>
      </c>
      <c r="BF26" s="977">
        <f t="shared" ca="1" si="63"/>
        <v>0</v>
      </c>
      <c r="BH26" s="1032">
        <f t="shared" ca="1" si="64"/>
        <v>0</v>
      </c>
      <c r="BI26" s="1032">
        <f t="shared" ca="1" si="64"/>
        <v>0</v>
      </c>
      <c r="BJ26" s="1034">
        <f t="shared" ca="1" si="65"/>
        <v>0</v>
      </c>
      <c r="BL26" s="524">
        <f t="shared" ca="1" si="9"/>
        <v>0</v>
      </c>
      <c r="BM26" s="524"/>
      <c r="BN26" s="840"/>
      <c r="BO26" s="1481">
        <f t="shared" ca="1" si="66"/>
        <v>0</v>
      </c>
      <c r="BP26" s="1482">
        <f t="shared" ca="1" si="66"/>
        <v>0</v>
      </c>
      <c r="BQ26" s="1482">
        <f t="shared" ca="1" si="66"/>
        <v>0</v>
      </c>
      <c r="BR26" s="1482">
        <f t="shared" ca="1" si="66"/>
        <v>0</v>
      </c>
      <c r="BS26" s="1482">
        <f t="shared" ca="1" si="66"/>
        <v>0</v>
      </c>
      <c r="BT26" s="1482">
        <f t="shared" ca="1" si="66"/>
        <v>0</v>
      </c>
      <c r="BU26" s="1482">
        <f t="shared" ca="1" si="66"/>
        <v>0</v>
      </c>
      <c r="BV26" s="1482">
        <f t="shared" ca="1" si="66"/>
        <v>0</v>
      </c>
      <c r="BW26" s="1482">
        <f t="shared" ca="1" si="66"/>
        <v>0</v>
      </c>
      <c r="BX26" s="1482">
        <f t="shared" ca="1" si="66"/>
        <v>0</v>
      </c>
      <c r="BY26" s="1482">
        <f t="shared" ca="1" si="67"/>
        <v>0</v>
      </c>
      <c r="BZ26" s="1482">
        <f t="shared" ca="1" si="67"/>
        <v>0</v>
      </c>
      <c r="CA26" s="1482">
        <f t="shared" ca="1" si="67"/>
        <v>0</v>
      </c>
      <c r="CB26" s="1482">
        <f t="shared" ca="1" si="67"/>
        <v>0</v>
      </c>
      <c r="CC26" s="1482">
        <f t="shared" ca="1" si="67"/>
        <v>0</v>
      </c>
      <c r="CD26" s="1482">
        <f t="shared" ca="1" si="67"/>
        <v>0</v>
      </c>
      <c r="CE26" s="1482">
        <f t="shared" ca="1" si="67"/>
        <v>0</v>
      </c>
      <c r="CF26" s="1482">
        <f t="shared" ca="1" si="67"/>
        <v>0</v>
      </c>
      <c r="CG26" s="1482">
        <f t="shared" ca="1" si="67"/>
        <v>0</v>
      </c>
      <c r="CH26" s="1482">
        <f t="shared" ca="1" si="67"/>
        <v>0</v>
      </c>
      <c r="CI26" s="1482">
        <f t="shared" ca="1" si="68"/>
        <v>0</v>
      </c>
      <c r="CJ26" s="1482">
        <f t="shared" ca="1" si="68"/>
        <v>0</v>
      </c>
      <c r="CK26" s="1482">
        <f t="shared" ca="1" si="68"/>
        <v>0</v>
      </c>
      <c r="CL26" s="1482">
        <f t="shared" ca="1" si="68"/>
        <v>0</v>
      </c>
      <c r="CM26" s="1482">
        <f t="shared" ca="1" si="68"/>
        <v>0</v>
      </c>
      <c r="CN26" s="1482">
        <f t="shared" ca="1" si="68"/>
        <v>0</v>
      </c>
      <c r="CO26" s="1482">
        <f t="shared" ca="1" si="68"/>
        <v>0</v>
      </c>
      <c r="CP26" s="1482">
        <f t="shared" ca="1" si="68"/>
        <v>0</v>
      </c>
      <c r="CQ26" s="1482">
        <f t="shared" ca="1" si="68"/>
        <v>0</v>
      </c>
      <c r="CR26" s="1482">
        <f t="shared" ca="1" si="68"/>
        <v>0</v>
      </c>
      <c r="CS26" s="1482">
        <f t="shared" ca="1" si="69"/>
        <v>0</v>
      </c>
      <c r="CT26" s="1482">
        <f t="shared" ca="1" si="69"/>
        <v>0</v>
      </c>
      <c r="CU26" s="1482">
        <f t="shared" ca="1" si="69"/>
        <v>51.56674628890903</v>
      </c>
      <c r="CV26" s="1482">
        <f t="shared" ca="1" si="69"/>
        <v>6.4200395557008905E-2</v>
      </c>
      <c r="CW26" s="1482">
        <f t="shared" ca="1" si="69"/>
        <v>0.92779143067421976</v>
      </c>
      <c r="CX26" s="1482">
        <f t="shared" ca="1" si="69"/>
        <v>0</v>
      </c>
      <c r="CY26" s="1482">
        <f t="shared" ca="1" si="69"/>
        <v>0</v>
      </c>
      <c r="CZ26" s="1482">
        <f t="shared" ca="1" si="69"/>
        <v>0</v>
      </c>
      <c r="DA26" s="1482">
        <f t="shared" ca="1" si="69"/>
        <v>0</v>
      </c>
      <c r="DB26" s="1482">
        <f t="shared" ca="1" si="69"/>
        <v>0</v>
      </c>
      <c r="DC26" s="1482">
        <f t="shared" ca="1" si="69"/>
        <v>0</v>
      </c>
      <c r="DD26" s="1482">
        <f t="shared" ca="1" si="69"/>
        <v>0</v>
      </c>
      <c r="DE26" s="1482">
        <f t="shared" ca="1" si="69"/>
        <v>0</v>
      </c>
      <c r="DF26" s="1482">
        <f t="shared" ca="1" si="69"/>
        <v>0</v>
      </c>
      <c r="DH26" s="838">
        <f t="shared" ca="1" si="36"/>
        <v>52.558738115140258</v>
      </c>
    </row>
    <row r="27" spans="1:112" s="743" customFormat="1" ht="10.5" hidden="1" customHeight="1" outlineLevel="2">
      <c r="A27" s="1483"/>
      <c r="B27" s="1483"/>
      <c r="C27" s="1009" t="s">
        <v>954</v>
      </c>
      <c r="D27" s="1005" t="str">
        <f>INDEX(Modules[Module], MATCH($C27, Modules[Code], 0))</f>
        <v>Domestic aviation [UNUSED - see XII.a]</v>
      </c>
      <c r="E27" s="1006"/>
      <c r="G27" s="1018">
        <f t="shared" ca="1" si="58"/>
        <v>0</v>
      </c>
      <c r="H27" s="1018">
        <f t="shared" ca="1" si="58"/>
        <v>0</v>
      </c>
      <c r="I27" s="1018">
        <f t="shared" ca="1" si="58"/>
        <v>0</v>
      </c>
      <c r="J27" s="1018">
        <f t="shared" ca="1" si="58"/>
        <v>0</v>
      </c>
      <c r="K27" s="1018">
        <f t="shared" ca="1" si="58"/>
        <v>0</v>
      </c>
      <c r="L27" s="1018">
        <f t="shared" ca="1" si="58"/>
        <v>0</v>
      </c>
      <c r="M27" s="1018">
        <f t="shared" ca="1" si="58"/>
        <v>0</v>
      </c>
      <c r="N27" s="1018">
        <f t="shared" ca="1" si="58"/>
        <v>0</v>
      </c>
      <c r="O27" s="1018">
        <f t="shared" ca="1" si="58"/>
        <v>0</v>
      </c>
      <c r="P27" s="1018">
        <f t="shared" ca="1" si="58"/>
        <v>0</v>
      </c>
      <c r="Q27" s="1024">
        <f t="shared" ca="1" si="70"/>
        <v>0</v>
      </c>
      <c r="S27" s="1028">
        <f t="shared" ca="1" si="59"/>
        <v>0</v>
      </c>
      <c r="T27" s="1028">
        <f t="shared" ca="1" si="59"/>
        <v>0</v>
      </c>
      <c r="U27" s="1028">
        <f t="shared" ca="1" si="59"/>
        <v>0</v>
      </c>
      <c r="V27" s="1028">
        <f t="shared" ca="1" si="59"/>
        <v>0</v>
      </c>
      <c r="W27" s="1028">
        <f t="shared" ca="1" si="59"/>
        <v>0</v>
      </c>
      <c r="X27" s="1028">
        <f t="shared" ca="1" si="60"/>
        <v>0</v>
      </c>
      <c r="Y27" s="1028">
        <f t="shared" ca="1" si="60"/>
        <v>0</v>
      </c>
      <c r="Z27" s="1028">
        <f t="shared" ca="1" si="60"/>
        <v>0</v>
      </c>
      <c r="AA27" s="1028">
        <f t="shared" ca="1" si="59"/>
        <v>0</v>
      </c>
      <c r="AB27" s="1028">
        <f t="shared" ca="1" si="59"/>
        <v>0</v>
      </c>
      <c r="AC27" s="1028">
        <f t="shared" ca="1" si="59"/>
        <v>0</v>
      </c>
      <c r="AD27" s="1028">
        <f t="shared" ca="1" si="59"/>
        <v>0</v>
      </c>
      <c r="AE27" s="1028">
        <f t="shared" ca="1" si="59"/>
        <v>0</v>
      </c>
      <c r="AF27" s="1028">
        <f t="shared" ca="1" si="59"/>
        <v>0</v>
      </c>
      <c r="AG27" s="1028">
        <f t="shared" ca="1" si="59"/>
        <v>0</v>
      </c>
      <c r="AH27" s="1028">
        <f t="shared" ca="1" si="59"/>
        <v>0</v>
      </c>
      <c r="AI27" s="1028">
        <f t="shared" ca="1" si="59"/>
        <v>0</v>
      </c>
      <c r="AJ27" s="1028">
        <f t="shared" ca="1" si="59"/>
        <v>0</v>
      </c>
      <c r="AK27" s="1029">
        <f t="shared" ca="1" si="61"/>
        <v>0</v>
      </c>
      <c r="AM27" s="1039">
        <f t="shared" ca="1" si="62"/>
        <v>0</v>
      </c>
      <c r="AN27" s="1039">
        <f t="shared" ca="1" si="62"/>
        <v>0</v>
      </c>
      <c r="AO27" s="1039">
        <f t="shared" ca="1" si="62"/>
        <v>0</v>
      </c>
      <c r="AP27" s="1039">
        <f t="shared" ca="1" si="62"/>
        <v>0</v>
      </c>
      <c r="AQ27" s="1039">
        <f t="shared" ca="1" si="62"/>
        <v>0</v>
      </c>
      <c r="AR27" s="1039">
        <f t="shared" ca="1" si="62"/>
        <v>0</v>
      </c>
      <c r="AS27" s="1039">
        <f t="shared" ca="1" si="62"/>
        <v>0</v>
      </c>
      <c r="AT27" s="1039">
        <f t="shared" ca="1" si="62"/>
        <v>0</v>
      </c>
      <c r="AU27" s="1039">
        <f t="shared" ca="1" si="62"/>
        <v>0</v>
      </c>
      <c r="AV27" s="1039">
        <f t="shared" ca="1" si="59"/>
        <v>0</v>
      </c>
      <c r="AW27" s="1039">
        <f t="shared" ca="1" si="59"/>
        <v>0</v>
      </c>
      <c r="AX27" s="1039">
        <f t="shared" ca="1" si="59"/>
        <v>0</v>
      </c>
      <c r="AY27" s="1039">
        <f t="shared" ca="1" si="59"/>
        <v>0</v>
      </c>
      <c r="AZ27" s="1039">
        <f t="shared" ca="1" si="59"/>
        <v>0</v>
      </c>
      <c r="BA27" s="1039">
        <f t="shared" ca="1" si="59"/>
        <v>0</v>
      </c>
      <c r="BB27" s="1039">
        <f t="shared" ca="1" si="59"/>
        <v>0</v>
      </c>
      <c r="BC27" s="1039">
        <f t="shared" ca="1" si="59"/>
        <v>0</v>
      </c>
      <c r="BD27" s="1039">
        <f t="shared" ca="1" si="59"/>
        <v>0</v>
      </c>
      <c r="BE27" s="1039">
        <f t="shared" ca="1" si="59"/>
        <v>0</v>
      </c>
      <c r="BF27" s="1008">
        <f t="shared" ca="1" si="63"/>
        <v>0</v>
      </c>
      <c r="BH27" s="1033">
        <f t="shared" ca="1" si="64"/>
        <v>0</v>
      </c>
      <c r="BI27" s="1033">
        <f t="shared" ca="1" si="64"/>
        <v>0</v>
      </c>
      <c r="BJ27" s="1044">
        <f t="shared" ca="1" si="65"/>
        <v>0</v>
      </c>
      <c r="BL27" s="1007">
        <f t="shared" ca="1" si="9"/>
        <v>0</v>
      </c>
      <c r="BM27" s="1007"/>
      <c r="BN27" s="840"/>
      <c r="BO27" s="1481">
        <f t="shared" ca="1" si="66"/>
        <v>0</v>
      </c>
      <c r="BP27" s="1482">
        <f t="shared" ca="1" si="66"/>
        <v>0</v>
      </c>
      <c r="BQ27" s="1482">
        <f t="shared" ca="1" si="66"/>
        <v>0</v>
      </c>
      <c r="BR27" s="1482">
        <f t="shared" ca="1" si="66"/>
        <v>0</v>
      </c>
      <c r="BS27" s="1482">
        <f t="shared" ca="1" si="66"/>
        <v>0</v>
      </c>
      <c r="BT27" s="1482">
        <f t="shared" ca="1" si="66"/>
        <v>0</v>
      </c>
      <c r="BU27" s="1482">
        <f t="shared" ca="1" si="66"/>
        <v>0</v>
      </c>
      <c r="BV27" s="1482">
        <f t="shared" ca="1" si="66"/>
        <v>0</v>
      </c>
      <c r="BW27" s="1482">
        <f t="shared" ca="1" si="66"/>
        <v>0</v>
      </c>
      <c r="BX27" s="1482">
        <f t="shared" ca="1" si="66"/>
        <v>0</v>
      </c>
      <c r="BY27" s="1482">
        <f t="shared" ca="1" si="67"/>
        <v>0</v>
      </c>
      <c r="BZ27" s="1482">
        <f t="shared" ca="1" si="67"/>
        <v>0</v>
      </c>
      <c r="CA27" s="1482">
        <f t="shared" ca="1" si="67"/>
        <v>0</v>
      </c>
      <c r="CB27" s="1482">
        <f t="shared" ca="1" si="67"/>
        <v>0</v>
      </c>
      <c r="CC27" s="1482">
        <f t="shared" ca="1" si="67"/>
        <v>0</v>
      </c>
      <c r="CD27" s="1482">
        <f t="shared" ca="1" si="67"/>
        <v>0</v>
      </c>
      <c r="CE27" s="1482">
        <f t="shared" ca="1" si="67"/>
        <v>0</v>
      </c>
      <c r="CF27" s="1482">
        <f t="shared" ca="1" si="67"/>
        <v>0</v>
      </c>
      <c r="CG27" s="1482">
        <f t="shared" ca="1" si="67"/>
        <v>0</v>
      </c>
      <c r="CH27" s="1482">
        <f t="shared" ca="1" si="67"/>
        <v>0</v>
      </c>
      <c r="CI27" s="1482">
        <f t="shared" ca="1" si="68"/>
        <v>0</v>
      </c>
      <c r="CJ27" s="1482">
        <f t="shared" ca="1" si="68"/>
        <v>0</v>
      </c>
      <c r="CK27" s="1482">
        <f t="shared" ca="1" si="68"/>
        <v>0</v>
      </c>
      <c r="CL27" s="1482">
        <f t="shared" ca="1" si="68"/>
        <v>0</v>
      </c>
      <c r="CM27" s="1482">
        <f t="shared" ca="1" si="68"/>
        <v>0</v>
      </c>
      <c r="CN27" s="1482">
        <f t="shared" ca="1" si="68"/>
        <v>0</v>
      </c>
      <c r="CO27" s="1482">
        <f t="shared" ca="1" si="68"/>
        <v>0</v>
      </c>
      <c r="CP27" s="1482">
        <f t="shared" ca="1" si="68"/>
        <v>0</v>
      </c>
      <c r="CQ27" s="1482">
        <f t="shared" ca="1" si="68"/>
        <v>0</v>
      </c>
      <c r="CR27" s="1482">
        <f t="shared" ca="1" si="68"/>
        <v>0</v>
      </c>
      <c r="CS27" s="1482">
        <f t="shared" ca="1" si="69"/>
        <v>0</v>
      </c>
      <c r="CT27" s="1482">
        <f t="shared" ca="1" si="69"/>
        <v>0</v>
      </c>
      <c r="CU27" s="1482">
        <f t="shared" ca="1" si="69"/>
        <v>0</v>
      </c>
      <c r="CV27" s="1482">
        <f t="shared" ca="1" si="69"/>
        <v>0</v>
      </c>
      <c r="CW27" s="1482">
        <f t="shared" ca="1" si="69"/>
        <v>0</v>
      </c>
      <c r="CX27" s="1482">
        <f t="shared" ca="1" si="69"/>
        <v>0</v>
      </c>
      <c r="CY27" s="1482">
        <f t="shared" ca="1" si="69"/>
        <v>0</v>
      </c>
      <c r="CZ27" s="1482">
        <f t="shared" ca="1" si="69"/>
        <v>0</v>
      </c>
      <c r="DA27" s="1482">
        <f t="shared" ca="1" si="69"/>
        <v>0</v>
      </c>
      <c r="DB27" s="1482">
        <f t="shared" ca="1" si="69"/>
        <v>0</v>
      </c>
      <c r="DC27" s="1482">
        <f t="shared" ca="1" si="69"/>
        <v>0</v>
      </c>
      <c r="DD27" s="1482">
        <f t="shared" ca="1" si="69"/>
        <v>0</v>
      </c>
      <c r="DE27" s="1482">
        <f t="shared" ca="1" si="69"/>
        <v>0</v>
      </c>
      <c r="DF27" s="1482">
        <f t="shared" ca="1" si="69"/>
        <v>0</v>
      </c>
      <c r="DH27" s="838">
        <f t="shared" ca="1" si="36"/>
        <v>0</v>
      </c>
    </row>
    <row r="28" spans="1:112" s="743" customFormat="1" ht="10.5" hidden="1" customHeight="1" outlineLevel="1" collapsed="1">
      <c r="A28" s="1484"/>
      <c r="B28" s="1484"/>
      <c r="C28" s="746"/>
      <c r="D28" s="523" t="s">
        <v>960</v>
      </c>
      <c r="E28" s="1006"/>
      <c r="G28" s="1019">
        <f ca="1">SUM(G26:G27)</f>
        <v>0</v>
      </c>
      <c r="H28" s="1019">
        <f t="shared" ref="H28:P28" ca="1" si="71">SUM(H26:H27)</f>
        <v>0</v>
      </c>
      <c r="I28" s="1019">
        <f t="shared" ca="1" si="71"/>
        <v>0</v>
      </c>
      <c r="J28" s="1019">
        <f t="shared" ca="1" si="71"/>
        <v>0</v>
      </c>
      <c r="K28" s="1019">
        <f t="shared" ca="1" si="71"/>
        <v>0</v>
      </c>
      <c r="L28" s="1019">
        <f t="shared" ca="1" si="71"/>
        <v>0</v>
      </c>
      <c r="M28" s="1019">
        <f t="shared" ca="1" si="71"/>
        <v>0</v>
      </c>
      <c r="N28" s="1019">
        <f t="shared" ca="1" si="71"/>
        <v>206.26698515563612</v>
      </c>
      <c r="O28" s="1019">
        <f t="shared" ca="1" si="71"/>
        <v>0</v>
      </c>
      <c r="P28" s="1019">
        <f t="shared" ca="1" si="71"/>
        <v>0</v>
      </c>
      <c r="Q28" s="1019">
        <f t="shared" ca="1" si="70"/>
        <v>206.26698515563612</v>
      </c>
      <c r="S28" s="1027">
        <f t="shared" ref="S28:Z28" ca="1" si="72">SUM(S26:S27)</f>
        <v>0</v>
      </c>
      <c r="T28" s="1027">
        <f t="shared" ca="1" si="72"/>
        <v>0</v>
      </c>
      <c r="U28" s="1027">
        <f t="shared" ca="1" si="72"/>
        <v>0</v>
      </c>
      <c r="V28" s="1027">
        <f t="shared" ca="1" si="72"/>
        <v>-206.26698515563612</v>
      </c>
      <c r="W28" s="1027">
        <f t="shared" ca="1" si="72"/>
        <v>0</v>
      </c>
      <c r="X28" s="1027">
        <f t="shared" ca="1" si="72"/>
        <v>0</v>
      </c>
      <c r="Y28" s="1027">
        <f t="shared" ca="1" si="72"/>
        <v>0</v>
      </c>
      <c r="Z28" s="1027">
        <f t="shared" ca="1" si="72"/>
        <v>0</v>
      </c>
      <c r="AA28" s="1027">
        <f t="shared" ref="AA28:AJ28" ca="1" si="73">SUM(AA26:AA27)</f>
        <v>0</v>
      </c>
      <c r="AB28" s="1027">
        <f t="shared" ca="1" si="73"/>
        <v>0</v>
      </c>
      <c r="AC28" s="1027">
        <f t="shared" ca="1" si="73"/>
        <v>0</v>
      </c>
      <c r="AD28" s="1027">
        <f ca="1">SUM(AD26:AD27)</f>
        <v>0</v>
      </c>
      <c r="AE28" s="1027">
        <f ca="1">SUM(AE26:AE27)</f>
        <v>0</v>
      </c>
      <c r="AF28" s="1027">
        <f t="shared" ca="1" si="73"/>
        <v>0</v>
      </c>
      <c r="AG28" s="1027">
        <f ca="1">SUM(AG26:AG27)</f>
        <v>0</v>
      </c>
      <c r="AH28" s="1027">
        <f ca="1">SUM(AH26:AH27)</f>
        <v>0</v>
      </c>
      <c r="AI28" s="1027">
        <f ca="1">SUM(AI26:AI27)</f>
        <v>0</v>
      </c>
      <c r="AJ28" s="1027">
        <f t="shared" ca="1" si="73"/>
        <v>0</v>
      </c>
      <c r="AK28" s="1027">
        <f t="shared" ca="1" si="61"/>
        <v>-206.26698515563612</v>
      </c>
      <c r="AM28" s="1040">
        <f t="shared" ref="AM28:BE28" ca="1" si="74">SUM(AM26:AM27)</f>
        <v>0</v>
      </c>
      <c r="AN28" s="1040">
        <f t="shared" ca="1" si="74"/>
        <v>0</v>
      </c>
      <c r="AO28" s="1040">
        <f t="shared" ca="1" si="74"/>
        <v>0</v>
      </c>
      <c r="AP28" s="1040">
        <f t="shared" ca="1" si="74"/>
        <v>0</v>
      </c>
      <c r="AQ28" s="1040">
        <f t="shared" ca="1" si="74"/>
        <v>0</v>
      </c>
      <c r="AR28" s="1040">
        <f t="shared" ca="1" si="74"/>
        <v>0</v>
      </c>
      <c r="AS28" s="1040">
        <f t="shared" ca="1" si="74"/>
        <v>0</v>
      </c>
      <c r="AT28" s="1040">
        <f t="shared" ca="1" si="74"/>
        <v>0</v>
      </c>
      <c r="AU28" s="1040">
        <f t="shared" ca="1" si="74"/>
        <v>0</v>
      </c>
      <c r="AV28" s="1040">
        <f t="shared" ca="1" si="74"/>
        <v>0</v>
      </c>
      <c r="AW28" s="1040">
        <f t="shared" ca="1" si="74"/>
        <v>0</v>
      </c>
      <c r="AX28" s="1040">
        <f t="shared" ca="1" si="74"/>
        <v>0</v>
      </c>
      <c r="AY28" s="1040">
        <f t="shared" ca="1" si="74"/>
        <v>0</v>
      </c>
      <c r="AZ28" s="1040">
        <f t="shared" ca="1" si="74"/>
        <v>0</v>
      </c>
      <c r="BA28" s="1040">
        <f t="shared" ca="1" si="74"/>
        <v>0</v>
      </c>
      <c r="BB28" s="1040">
        <f t="shared" ca="1" si="74"/>
        <v>0</v>
      </c>
      <c r="BC28" s="1040">
        <f t="shared" ca="1" si="74"/>
        <v>0</v>
      </c>
      <c r="BD28" s="1040">
        <f t="shared" ca="1" si="74"/>
        <v>0</v>
      </c>
      <c r="BE28" s="1040">
        <f t="shared" ca="1" si="74"/>
        <v>0</v>
      </c>
      <c r="BF28" s="977">
        <f t="shared" ca="1" si="63"/>
        <v>0</v>
      </c>
      <c r="BH28" s="1034">
        <f ca="1">SUM(BH26:BH27)</f>
        <v>0</v>
      </c>
      <c r="BI28" s="1034">
        <f ca="1">SUM(BI26:BI27)</f>
        <v>0</v>
      </c>
      <c r="BJ28" s="1034">
        <f t="shared" ca="1" si="65"/>
        <v>0</v>
      </c>
      <c r="BL28" s="524">
        <f t="shared" ca="1" si="9"/>
        <v>0</v>
      </c>
      <c r="BM28" s="524"/>
      <c r="BN28" s="840"/>
      <c r="BO28" s="1481">
        <f t="shared" ref="BO28:DF28" ca="1" si="75">SUM(BO26:BO27)</f>
        <v>0</v>
      </c>
      <c r="BP28" s="1482">
        <f t="shared" ca="1" si="75"/>
        <v>0</v>
      </c>
      <c r="BQ28" s="1482">
        <f t="shared" ca="1" si="75"/>
        <v>0</v>
      </c>
      <c r="BR28" s="1482">
        <f t="shared" ca="1" si="75"/>
        <v>0</v>
      </c>
      <c r="BS28" s="1482">
        <f t="shared" ca="1" si="75"/>
        <v>0</v>
      </c>
      <c r="BT28" s="1482">
        <f t="shared" ca="1" si="75"/>
        <v>0</v>
      </c>
      <c r="BU28" s="1482">
        <f t="shared" ca="1" si="75"/>
        <v>0</v>
      </c>
      <c r="BV28" s="1482">
        <f t="shared" ca="1" si="75"/>
        <v>0</v>
      </c>
      <c r="BW28" s="1482">
        <f t="shared" ca="1" si="75"/>
        <v>0</v>
      </c>
      <c r="BX28" s="1482">
        <f t="shared" ca="1" si="75"/>
        <v>0</v>
      </c>
      <c r="BY28" s="1482">
        <f t="shared" ca="1" si="75"/>
        <v>0</v>
      </c>
      <c r="BZ28" s="1482">
        <f t="shared" ca="1" si="75"/>
        <v>0</v>
      </c>
      <c r="CA28" s="1482">
        <f t="shared" ca="1" si="75"/>
        <v>0</v>
      </c>
      <c r="CB28" s="1482">
        <f t="shared" ca="1" si="75"/>
        <v>0</v>
      </c>
      <c r="CC28" s="1482">
        <f t="shared" ca="1" si="75"/>
        <v>0</v>
      </c>
      <c r="CD28" s="1482">
        <f t="shared" ca="1" si="75"/>
        <v>0</v>
      </c>
      <c r="CE28" s="1482">
        <f t="shared" ca="1" si="75"/>
        <v>0</v>
      </c>
      <c r="CF28" s="1482">
        <f t="shared" ca="1" si="75"/>
        <v>0</v>
      </c>
      <c r="CG28" s="1482">
        <f t="shared" ca="1" si="75"/>
        <v>0</v>
      </c>
      <c r="CH28" s="1482">
        <f t="shared" ca="1" si="75"/>
        <v>0</v>
      </c>
      <c r="CI28" s="1482">
        <f t="shared" ca="1" si="75"/>
        <v>0</v>
      </c>
      <c r="CJ28" s="1482">
        <f t="shared" ca="1" si="75"/>
        <v>0</v>
      </c>
      <c r="CK28" s="1482">
        <f t="shared" ca="1" si="75"/>
        <v>0</v>
      </c>
      <c r="CL28" s="1482">
        <f t="shared" ca="1" si="75"/>
        <v>0</v>
      </c>
      <c r="CM28" s="1482">
        <f t="shared" ca="1" si="75"/>
        <v>0</v>
      </c>
      <c r="CN28" s="1482">
        <f t="shared" ca="1" si="75"/>
        <v>0</v>
      </c>
      <c r="CO28" s="1482">
        <f t="shared" ca="1" si="75"/>
        <v>0</v>
      </c>
      <c r="CP28" s="1482">
        <f t="shared" ca="1" si="75"/>
        <v>0</v>
      </c>
      <c r="CQ28" s="1482">
        <f t="shared" ca="1" si="75"/>
        <v>0</v>
      </c>
      <c r="CR28" s="1482">
        <f t="shared" ca="1" si="75"/>
        <v>0</v>
      </c>
      <c r="CS28" s="1482">
        <f t="shared" ca="1" si="75"/>
        <v>0</v>
      </c>
      <c r="CT28" s="1482">
        <f t="shared" ca="1" si="75"/>
        <v>0</v>
      </c>
      <c r="CU28" s="1482">
        <f t="shared" ca="1" si="75"/>
        <v>51.56674628890903</v>
      </c>
      <c r="CV28" s="1482">
        <f t="shared" ca="1" si="75"/>
        <v>6.4200395557008905E-2</v>
      </c>
      <c r="CW28" s="1482">
        <f t="shared" ca="1" si="75"/>
        <v>0.92779143067421976</v>
      </c>
      <c r="CX28" s="1482">
        <f t="shared" ca="1" si="75"/>
        <v>0</v>
      </c>
      <c r="CY28" s="1482">
        <f t="shared" ca="1" si="75"/>
        <v>0</v>
      </c>
      <c r="CZ28" s="1482">
        <f t="shared" ca="1" si="75"/>
        <v>0</v>
      </c>
      <c r="DA28" s="1482">
        <f t="shared" ca="1" si="75"/>
        <v>0</v>
      </c>
      <c r="DB28" s="1482">
        <f t="shared" ca="1" si="75"/>
        <v>0</v>
      </c>
      <c r="DC28" s="1482">
        <f t="shared" ca="1" si="75"/>
        <v>0</v>
      </c>
      <c r="DD28" s="1482">
        <f t="shared" ca="1" si="75"/>
        <v>0</v>
      </c>
      <c r="DE28" s="1482">
        <f t="shared" ca="1" si="75"/>
        <v>0</v>
      </c>
      <c r="DF28" s="1482">
        <f t="shared" ca="1" si="75"/>
        <v>0</v>
      </c>
      <c r="DH28" s="838">
        <f t="shared" ca="1" si="36"/>
        <v>52.558738115140258</v>
      </c>
    </row>
    <row r="29" spans="1:112" s="743" customFormat="1" ht="12.75" hidden="1" customHeight="1" outlineLevel="2">
      <c r="A29" s="1480"/>
      <c r="B29" s="1480"/>
      <c r="C29" s="746" t="s">
        <v>957</v>
      </c>
      <c r="D29" s="523" t="str">
        <f>INDEX(Modules[Module], MATCH($C29, Modules[Code], 0))</f>
        <v>International shipping (maritime bunkers)</v>
      </c>
      <c r="E29" s="1006"/>
      <c r="G29" s="1017">
        <f t="shared" ref="G29:P30" ca="1" si="76">IFERROR(INDEX(INDIRECT($C29&amp;".Outputs["&amp;this.Year&amp;"]"), MATCH(G$5, INDIRECT($C29&amp;".Outputs[Vector]"), 0)), 0)</f>
        <v>0</v>
      </c>
      <c r="H29" s="1017">
        <f t="shared" ca="1" si="76"/>
        <v>0</v>
      </c>
      <c r="I29" s="1017">
        <f t="shared" ca="1" si="76"/>
        <v>0</v>
      </c>
      <c r="J29" s="1017">
        <f t="shared" ca="1" si="76"/>
        <v>0</v>
      </c>
      <c r="K29" s="1017">
        <f t="shared" ca="1" si="76"/>
        <v>0</v>
      </c>
      <c r="L29" s="1017">
        <f t="shared" ca="1" si="76"/>
        <v>0</v>
      </c>
      <c r="M29" s="1017">
        <f t="shared" ca="1" si="76"/>
        <v>0</v>
      </c>
      <c r="N29" s="1017">
        <f t="shared" ca="1" si="76"/>
        <v>0</v>
      </c>
      <c r="O29" s="1017">
        <f t="shared" ca="1" si="76"/>
        <v>127.59749264150933</v>
      </c>
      <c r="P29" s="1017">
        <f t="shared" ca="1" si="76"/>
        <v>0</v>
      </c>
      <c r="Q29" s="1019">
        <f t="shared" ca="1" si="70"/>
        <v>127.59749264150933</v>
      </c>
      <c r="S29" s="1026">
        <f t="shared" ca="1" si="59"/>
        <v>0</v>
      </c>
      <c r="T29" s="1026">
        <f t="shared" ca="1" si="59"/>
        <v>0</v>
      </c>
      <c r="U29" s="1026">
        <f t="shared" ca="1" si="59"/>
        <v>0</v>
      </c>
      <c r="V29" s="1026">
        <f t="shared" ca="1" si="59"/>
        <v>-127.59749264150933</v>
      </c>
      <c r="W29" s="1026">
        <f t="shared" ca="1" si="59"/>
        <v>0</v>
      </c>
      <c r="X29" s="1026">
        <f t="shared" ref="X29:Z30" ca="1" si="77">IFERROR(INDEX(INDIRECT($C29&amp;".Outputs["&amp;this.Year&amp;"]"), MATCH(X$5, INDIRECT($C29&amp;".Outputs[Vector]"), 0)), 0)</f>
        <v>0</v>
      </c>
      <c r="Y29" s="1026">
        <f t="shared" ca="1" si="77"/>
        <v>0</v>
      </c>
      <c r="Z29" s="1026">
        <f t="shared" ca="1" si="77"/>
        <v>0</v>
      </c>
      <c r="AA29" s="1026">
        <f t="shared" ca="1" si="59"/>
        <v>0</v>
      </c>
      <c r="AB29" s="1026">
        <f t="shared" ca="1" si="59"/>
        <v>0</v>
      </c>
      <c r="AC29" s="1026">
        <f t="shared" ca="1" si="59"/>
        <v>0</v>
      </c>
      <c r="AD29" s="1026">
        <f t="shared" ca="1" si="59"/>
        <v>0</v>
      </c>
      <c r="AE29" s="1026">
        <f t="shared" ca="1" si="59"/>
        <v>0</v>
      </c>
      <c r="AF29" s="1026">
        <f t="shared" ca="1" si="59"/>
        <v>0</v>
      </c>
      <c r="AG29" s="1026">
        <f t="shared" ca="1" si="59"/>
        <v>0</v>
      </c>
      <c r="AH29" s="1026">
        <f t="shared" ca="1" si="59"/>
        <v>0</v>
      </c>
      <c r="AI29" s="1026">
        <f t="shared" ca="1" si="59"/>
        <v>0</v>
      </c>
      <c r="AJ29" s="1026">
        <f t="shared" ca="1" si="59"/>
        <v>0</v>
      </c>
      <c r="AK29" s="1027">
        <f t="shared" ca="1" si="61"/>
        <v>-127.59749264150933</v>
      </c>
      <c r="AM29" s="1038">
        <f t="shared" ref="AM29:AU30" ca="1" si="78">IFERROR(INDEX(INDIRECT($C29&amp;".Outputs["&amp;this.Year&amp;"]"), MATCH(AM$5, INDIRECT($C29&amp;".Outputs[Vector]"), 0)), 0)</f>
        <v>0</v>
      </c>
      <c r="AN29" s="1038">
        <f t="shared" ca="1" si="78"/>
        <v>0</v>
      </c>
      <c r="AO29" s="1038">
        <f t="shared" ca="1" si="78"/>
        <v>0</v>
      </c>
      <c r="AP29" s="1038">
        <f t="shared" ca="1" si="78"/>
        <v>0</v>
      </c>
      <c r="AQ29" s="1038">
        <f t="shared" ca="1" si="78"/>
        <v>0</v>
      </c>
      <c r="AR29" s="1038">
        <f t="shared" ca="1" si="78"/>
        <v>0</v>
      </c>
      <c r="AS29" s="1038">
        <f t="shared" ca="1" si="78"/>
        <v>0</v>
      </c>
      <c r="AT29" s="1038">
        <f t="shared" ca="1" si="78"/>
        <v>0</v>
      </c>
      <c r="AU29" s="1038">
        <f t="shared" ca="1" si="78"/>
        <v>0</v>
      </c>
      <c r="AV29" s="1038">
        <f t="shared" ca="1" si="59"/>
        <v>0</v>
      </c>
      <c r="AW29" s="1038">
        <f t="shared" ca="1" si="59"/>
        <v>0</v>
      </c>
      <c r="AX29" s="1038">
        <f t="shared" ca="1" si="59"/>
        <v>0</v>
      </c>
      <c r="AY29" s="1038">
        <f t="shared" ca="1" si="59"/>
        <v>0</v>
      </c>
      <c r="AZ29" s="1038">
        <f t="shared" ca="1" si="59"/>
        <v>0</v>
      </c>
      <c r="BA29" s="1038">
        <f t="shared" ca="1" si="59"/>
        <v>0</v>
      </c>
      <c r="BB29" s="1038">
        <f t="shared" ca="1" si="59"/>
        <v>0</v>
      </c>
      <c r="BC29" s="1038">
        <f t="shared" ca="1" si="59"/>
        <v>0</v>
      </c>
      <c r="BD29" s="1038">
        <f t="shared" ca="1" si="59"/>
        <v>0</v>
      </c>
      <c r="BE29" s="1038">
        <f t="shared" ca="1" si="59"/>
        <v>0</v>
      </c>
      <c r="BF29" s="979">
        <f t="shared" ca="1" si="63"/>
        <v>0</v>
      </c>
      <c r="BH29" s="1032">
        <f t="shared" ca="1" si="64"/>
        <v>0</v>
      </c>
      <c r="BI29" s="1032">
        <f t="shared" ca="1" si="64"/>
        <v>0</v>
      </c>
      <c r="BJ29" s="1034">
        <f t="shared" ca="1" si="65"/>
        <v>0</v>
      </c>
      <c r="BL29" s="814">
        <f t="shared" ca="1" si="9"/>
        <v>0</v>
      </c>
      <c r="BM29" s="814"/>
      <c r="BN29" s="840"/>
      <c r="BO29" s="1481">
        <f t="shared" ref="BO29:BX30" ca="1" si="79">IFERROR(SUMIFS(INDIRECT($C29&amp;".Emissions["&amp;this.Year&amp;"]"), INDIRECT($C29&amp;".Emissions[GHG]"), BO$6, INDIRECT($C29&amp;".Emissions[IPCC Sector]"), BO$5),0)</f>
        <v>0</v>
      </c>
      <c r="BP29" s="1482">
        <f t="shared" ca="1" si="79"/>
        <v>0</v>
      </c>
      <c r="BQ29" s="1482">
        <f t="shared" ca="1" si="79"/>
        <v>0</v>
      </c>
      <c r="BR29" s="1482">
        <f t="shared" ca="1" si="79"/>
        <v>0</v>
      </c>
      <c r="BS29" s="1482">
        <f t="shared" ca="1" si="79"/>
        <v>0</v>
      </c>
      <c r="BT29" s="1482">
        <f t="shared" ca="1" si="79"/>
        <v>0</v>
      </c>
      <c r="BU29" s="1482">
        <f t="shared" ca="1" si="79"/>
        <v>0</v>
      </c>
      <c r="BV29" s="1482">
        <f t="shared" ca="1" si="79"/>
        <v>0</v>
      </c>
      <c r="BW29" s="1482">
        <f t="shared" ca="1" si="79"/>
        <v>0</v>
      </c>
      <c r="BX29" s="1482">
        <f t="shared" ca="1" si="79"/>
        <v>0</v>
      </c>
      <c r="BY29" s="1482">
        <f t="shared" ref="BY29:CH30" ca="1" si="80">IFERROR(SUMIFS(INDIRECT($C29&amp;".Emissions["&amp;this.Year&amp;"]"), INDIRECT($C29&amp;".Emissions[GHG]"), BY$6, INDIRECT($C29&amp;".Emissions[IPCC Sector]"), BY$5),0)</f>
        <v>0</v>
      </c>
      <c r="BZ29" s="1482">
        <f t="shared" ca="1" si="80"/>
        <v>0</v>
      </c>
      <c r="CA29" s="1482">
        <f t="shared" ca="1" si="80"/>
        <v>0</v>
      </c>
      <c r="CB29" s="1482">
        <f t="shared" ca="1" si="80"/>
        <v>0</v>
      </c>
      <c r="CC29" s="1482">
        <f t="shared" ca="1" si="80"/>
        <v>0</v>
      </c>
      <c r="CD29" s="1482">
        <f t="shared" ca="1" si="80"/>
        <v>0</v>
      </c>
      <c r="CE29" s="1482">
        <f t="shared" ca="1" si="80"/>
        <v>0</v>
      </c>
      <c r="CF29" s="1482">
        <f t="shared" ca="1" si="80"/>
        <v>0</v>
      </c>
      <c r="CG29" s="1482">
        <f t="shared" ca="1" si="80"/>
        <v>0</v>
      </c>
      <c r="CH29" s="1482">
        <f t="shared" ca="1" si="80"/>
        <v>0</v>
      </c>
      <c r="CI29" s="1482">
        <f t="shared" ref="CI29:CR30" ca="1" si="81">IFERROR(SUMIFS(INDIRECT($C29&amp;".Emissions["&amp;this.Year&amp;"]"), INDIRECT($C29&amp;".Emissions[GHG]"), CI$6, INDIRECT($C29&amp;".Emissions[IPCC Sector]"), CI$5),0)</f>
        <v>0</v>
      </c>
      <c r="CJ29" s="1482">
        <f t="shared" ca="1" si="81"/>
        <v>0</v>
      </c>
      <c r="CK29" s="1482">
        <f t="shared" ca="1" si="81"/>
        <v>0</v>
      </c>
      <c r="CL29" s="1482">
        <f t="shared" ca="1" si="81"/>
        <v>0</v>
      </c>
      <c r="CM29" s="1482">
        <f t="shared" ca="1" si="81"/>
        <v>0</v>
      </c>
      <c r="CN29" s="1482">
        <f t="shared" ca="1" si="81"/>
        <v>0</v>
      </c>
      <c r="CO29" s="1482">
        <f t="shared" ca="1" si="81"/>
        <v>0</v>
      </c>
      <c r="CP29" s="1482">
        <f t="shared" ca="1" si="81"/>
        <v>0</v>
      </c>
      <c r="CQ29" s="1482">
        <f t="shared" ca="1" si="81"/>
        <v>0</v>
      </c>
      <c r="CR29" s="1482">
        <f t="shared" ca="1" si="81"/>
        <v>0</v>
      </c>
      <c r="CS29" s="1482">
        <f t="shared" ref="CS29:DF30" ca="1" si="82">IFERROR(SUMIFS(INDIRECT($C29&amp;".Emissions["&amp;this.Year&amp;"]"), INDIRECT($C29&amp;".Emissions[GHG]"), CS$6, INDIRECT($C29&amp;".Emissions[IPCC Sector]"), CS$5),0)</f>
        <v>0</v>
      </c>
      <c r="CT29" s="1482">
        <f t="shared" ca="1" si="82"/>
        <v>0</v>
      </c>
      <c r="CU29" s="1482">
        <f t="shared" ca="1" si="82"/>
        <v>31.899373160377333</v>
      </c>
      <c r="CV29" s="1482">
        <f t="shared" ca="1" si="82"/>
        <v>3.9714593653882163E-2</v>
      </c>
      <c r="CW29" s="1482">
        <f t="shared" ca="1" si="82"/>
        <v>0.57393508786189962</v>
      </c>
      <c r="CX29" s="1482">
        <f t="shared" ca="1" si="82"/>
        <v>0</v>
      </c>
      <c r="CY29" s="1482">
        <f t="shared" ca="1" si="82"/>
        <v>0</v>
      </c>
      <c r="CZ29" s="1482">
        <f t="shared" ca="1" si="82"/>
        <v>0</v>
      </c>
      <c r="DA29" s="1482">
        <f t="shared" ca="1" si="82"/>
        <v>0</v>
      </c>
      <c r="DB29" s="1482">
        <f t="shared" ca="1" si="82"/>
        <v>0</v>
      </c>
      <c r="DC29" s="1482">
        <f t="shared" ca="1" si="82"/>
        <v>0</v>
      </c>
      <c r="DD29" s="1482">
        <f t="shared" ca="1" si="82"/>
        <v>0</v>
      </c>
      <c r="DE29" s="1482">
        <f t="shared" ca="1" si="82"/>
        <v>0</v>
      </c>
      <c r="DF29" s="1482">
        <f t="shared" ca="1" si="82"/>
        <v>0</v>
      </c>
      <c r="DH29" s="838">
        <f t="shared" ca="1" si="36"/>
        <v>32.513022841893118</v>
      </c>
    </row>
    <row r="30" spans="1:112" s="743" customFormat="1" ht="10.5" hidden="1" customHeight="1" outlineLevel="2">
      <c r="A30" s="1483"/>
      <c r="B30" s="1483"/>
      <c r="C30" s="1009" t="s">
        <v>959</v>
      </c>
      <c r="D30" s="1005" t="str">
        <f>INDEX(Modules[Module], MATCH($C30, Modules[Code], 0))</f>
        <v>National navigation [UNUSED - see XII.a]</v>
      </c>
      <c r="E30" s="1006"/>
      <c r="G30" s="1018">
        <f t="shared" ca="1" si="76"/>
        <v>0</v>
      </c>
      <c r="H30" s="1018">
        <f t="shared" ca="1" si="76"/>
        <v>0</v>
      </c>
      <c r="I30" s="1018">
        <f t="shared" ca="1" si="76"/>
        <v>0</v>
      </c>
      <c r="J30" s="1018">
        <f t="shared" ca="1" si="76"/>
        <v>0</v>
      </c>
      <c r="K30" s="1018">
        <f t="shared" ca="1" si="76"/>
        <v>0</v>
      </c>
      <c r="L30" s="1018">
        <f t="shared" ca="1" si="76"/>
        <v>0</v>
      </c>
      <c r="M30" s="1018">
        <f t="shared" ca="1" si="76"/>
        <v>0</v>
      </c>
      <c r="N30" s="1018">
        <f t="shared" ca="1" si="76"/>
        <v>0</v>
      </c>
      <c r="O30" s="1018">
        <f t="shared" ca="1" si="76"/>
        <v>0</v>
      </c>
      <c r="P30" s="1018">
        <f t="shared" ca="1" si="76"/>
        <v>0</v>
      </c>
      <c r="Q30" s="1024">
        <f t="shared" ca="1" si="70"/>
        <v>0</v>
      </c>
      <c r="S30" s="1028">
        <f t="shared" ca="1" si="59"/>
        <v>0</v>
      </c>
      <c r="T30" s="1028">
        <f t="shared" ca="1" si="59"/>
        <v>0</v>
      </c>
      <c r="U30" s="1028">
        <f t="shared" ca="1" si="59"/>
        <v>0</v>
      </c>
      <c r="V30" s="1028">
        <f t="shared" ca="1" si="59"/>
        <v>0</v>
      </c>
      <c r="W30" s="1028">
        <f t="shared" ca="1" si="59"/>
        <v>0</v>
      </c>
      <c r="X30" s="1028">
        <f t="shared" ca="1" si="77"/>
        <v>0</v>
      </c>
      <c r="Y30" s="1028">
        <f t="shared" ca="1" si="77"/>
        <v>0</v>
      </c>
      <c r="Z30" s="1028">
        <f t="shared" ca="1" si="77"/>
        <v>0</v>
      </c>
      <c r="AA30" s="1028">
        <f t="shared" ca="1" si="59"/>
        <v>0</v>
      </c>
      <c r="AB30" s="1028">
        <f t="shared" ca="1" si="59"/>
        <v>0</v>
      </c>
      <c r="AC30" s="1028">
        <f t="shared" ca="1" si="59"/>
        <v>0</v>
      </c>
      <c r="AD30" s="1028">
        <f t="shared" ca="1" si="59"/>
        <v>0</v>
      </c>
      <c r="AE30" s="1028">
        <f t="shared" ca="1" si="59"/>
        <v>0</v>
      </c>
      <c r="AF30" s="1028">
        <f t="shared" ca="1" si="59"/>
        <v>0</v>
      </c>
      <c r="AG30" s="1028">
        <f t="shared" ca="1" si="59"/>
        <v>0</v>
      </c>
      <c r="AH30" s="1028">
        <f t="shared" ca="1" si="59"/>
        <v>0</v>
      </c>
      <c r="AI30" s="1028">
        <f t="shared" ca="1" si="59"/>
        <v>0</v>
      </c>
      <c r="AJ30" s="1028">
        <f t="shared" ca="1" si="59"/>
        <v>0</v>
      </c>
      <c r="AK30" s="1029">
        <f t="shared" ca="1" si="61"/>
        <v>0</v>
      </c>
      <c r="AM30" s="1039">
        <f t="shared" ca="1" si="78"/>
        <v>0</v>
      </c>
      <c r="AN30" s="1039">
        <f t="shared" ca="1" si="78"/>
        <v>0</v>
      </c>
      <c r="AO30" s="1039">
        <f t="shared" ca="1" si="78"/>
        <v>0</v>
      </c>
      <c r="AP30" s="1039">
        <f t="shared" ca="1" si="78"/>
        <v>0</v>
      </c>
      <c r="AQ30" s="1039">
        <f t="shared" ca="1" si="78"/>
        <v>0</v>
      </c>
      <c r="AR30" s="1039">
        <f t="shared" ca="1" si="78"/>
        <v>0</v>
      </c>
      <c r="AS30" s="1039">
        <f t="shared" ca="1" si="78"/>
        <v>0</v>
      </c>
      <c r="AT30" s="1039">
        <f t="shared" ca="1" si="78"/>
        <v>0</v>
      </c>
      <c r="AU30" s="1039">
        <f t="shared" ca="1" si="78"/>
        <v>0</v>
      </c>
      <c r="AV30" s="1039">
        <f t="shared" ca="1" si="59"/>
        <v>0</v>
      </c>
      <c r="AW30" s="1039">
        <f t="shared" ca="1" si="59"/>
        <v>0</v>
      </c>
      <c r="AX30" s="1039">
        <f t="shared" ca="1" si="59"/>
        <v>0</v>
      </c>
      <c r="AY30" s="1039">
        <f t="shared" ca="1" si="59"/>
        <v>0</v>
      </c>
      <c r="AZ30" s="1039">
        <f t="shared" ca="1" si="59"/>
        <v>0</v>
      </c>
      <c r="BA30" s="1039">
        <f t="shared" ca="1" si="59"/>
        <v>0</v>
      </c>
      <c r="BB30" s="1039">
        <f t="shared" ca="1" si="59"/>
        <v>0</v>
      </c>
      <c r="BC30" s="1039">
        <f t="shared" ca="1" si="59"/>
        <v>0</v>
      </c>
      <c r="BD30" s="1039">
        <f t="shared" ca="1" si="59"/>
        <v>0</v>
      </c>
      <c r="BE30" s="1039">
        <f t="shared" ca="1" si="59"/>
        <v>0</v>
      </c>
      <c r="BF30" s="1008">
        <f t="shared" ca="1" si="63"/>
        <v>0</v>
      </c>
      <c r="BH30" s="1033">
        <f t="shared" ca="1" si="64"/>
        <v>0</v>
      </c>
      <c r="BI30" s="1033">
        <f t="shared" ca="1" si="64"/>
        <v>0</v>
      </c>
      <c r="BJ30" s="1044">
        <f t="shared" ca="1" si="65"/>
        <v>0</v>
      </c>
      <c r="BL30" s="1007">
        <f t="shared" ca="1" si="9"/>
        <v>0</v>
      </c>
      <c r="BM30" s="1007"/>
      <c r="BN30" s="840"/>
      <c r="BO30" s="1481">
        <f t="shared" ca="1" si="79"/>
        <v>0</v>
      </c>
      <c r="BP30" s="1482">
        <f t="shared" ca="1" si="79"/>
        <v>0</v>
      </c>
      <c r="BQ30" s="1482">
        <f t="shared" ca="1" si="79"/>
        <v>0</v>
      </c>
      <c r="BR30" s="1482">
        <f t="shared" ca="1" si="79"/>
        <v>0</v>
      </c>
      <c r="BS30" s="1482">
        <f t="shared" ca="1" si="79"/>
        <v>0</v>
      </c>
      <c r="BT30" s="1482">
        <f t="shared" ca="1" si="79"/>
        <v>0</v>
      </c>
      <c r="BU30" s="1482">
        <f t="shared" ca="1" si="79"/>
        <v>0</v>
      </c>
      <c r="BV30" s="1482">
        <f t="shared" ca="1" si="79"/>
        <v>0</v>
      </c>
      <c r="BW30" s="1482">
        <f t="shared" ca="1" si="79"/>
        <v>0</v>
      </c>
      <c r="BX30" s="1482">
        <f t="shared" ca="1" si="79"/>
        <v>0</v>
      </c>
      <c r="BY30" s="1482">
        <f t="shared" ca="1" si="80"/>
        <v>0</v>
      </c>
      <c r="BZ30" s="1482">
        <f t="shared" ca="1" si="80"/>
        <v>0</v>
      </c>
      <c r="CA30" s="1482">
        <f t="shared" ca="1" si="80"/>
        <v>0</v>
      </c>
      <c r="CB30" s="1482">
        <f t="shared" ca="1" si="80"/>
        <v>0</v>
      </c>
      <c r="CC30" s="1482">
        <f t="shared" ca="1" si="80"/>
        <v>0</v>
      </c>
      <c r="CD30" s="1482">
        <f t="shared" ca="1" si="80"/>
        <v>0</v>
      </c>
      <c r="CE30" s="1482">
        <f t="shared" ca="1" si="80"/>
        <v>0</v>
      </c>
      <c r="CF30" s="1482">
        <f t="shared" ca="1" si="80"/>
        <v>0</v>
      </c>
      <c r="CG30" s="1482">
        <f t="shared" ca="1" si="80"/>
        <v>0</v>
      </c>
      <c r="CH30" s="1482">
        <f t="shared" ca="1" si="80"/>
        <v>0</v>
      </c>
      <c r="CI30" s="1482">
        <f t="shared" ca="1" si="81"/>
        <v>0</v>
      </c>
      <c r="CJ30" s="1482">
        <f t="shared" ca="1" si="81"/>
        <v>0</v>
      </c>
      <c r="CK30" s="1482">
        <f t="shared" ca="1" si="81"/>
        <v>0</v>
      </c>
      <c r="CL30" s="1482">
        <f t="shared" ca="1" si="81"/>
        <v>0</v>
      </c>
      <c r="CM30" s="1482">
        <f t="shared" ca="1" si="81"/>
        <v>0</v>
      </c>
      <c r="CN30" s="1482">
        <f t="shared" ca="1" si="81"/>
        <v>0</v>
      </c>
      <c r="CO30" s="1482">
        <f t="shared" ca="1" si="81"/>
        <v>0</v>
      </c>
      <c r="CP30" s="1482">
        <f t="shared" ca="1" si="81"/>
        <v>0</v>
      </c>
      <c r="CQ30" s="1482">
        <f t="shared" ca="1" si="81"/>
        <v>0</v>
      </c>
      <c r="CR30" s="1482">
        <f t="shared" ca="1" si="81"/>
        <v>0</v>
      </c>
      <c r="CS30" s="1482">
        <f t="shared" ca="1" si="82"/>
        <v>0</v>
      </c>
      <c r="CT30" s="1482">
        <f t="shared" ca="1" si="82"/>
        <v>0</v>
      </c>
      <c r="CU30" s="1482">
        <f t="shared" ca="1" si="82"/>
        <v>0</v>
      </c>
      <c r="CV30" s="1482">
        <f t="shared" ca="1" si="82"/>
        <v>0</v>
      </c>
      <c r="CW30" s="1482">
        <f t="shared" ca="1" si="82"/>
        <v>0</v>
      </c>
      <c r="CX30" s="1482">
        <f t="shared" ca="1" si="82"/>
        <v>0</v>
      </c>
      <c r="CY30" s="1482">
        <f t="shared" ca="1" si="82"/>
        <v>0</v>
      </c>
      <c r="CZ30" s="1482">
        <f t="shared" ca="1" si="82"/>
        <v>0</v>
      </c>
      <c r="DA30" s="1482">
        <f t="shared" ca="1" si="82"/>
        <v>0</v>
      </c>
      <c r="DB30" s="1482">
        <f t="shared" ca="1" si="82"/>
        <v>0</v>
      </c>
      <c r="DC30" s="1482">
        <f t="shared" ca="1" si="82"/>
        <v>0</v>
      </c>
      <c r="DD30" s="1482">
        <f t="shared" ca="1" si="82"/>
        <v>0</v>
      </c>
      <c r="DE30" s="1482">
        <f t="shared" ca="1" si="82"/>
        <v>0</v>
      </c>
      <c r="DF30" s="1482">
        <f t="shared" ca="1" si="82"/>
        <v>0</v>
      </c>
      <c r="DH30" s="838">
        <f t="shared" ca="1" si="36"/>
        <v>0</v>
      </c>
    </row>
    <row r="31" spans="1:112" s="743" customFormat="1" ht="11.25" hidden="1" customHeight="1" outlineLevel="1" collapsed="1">
      <c r="A31" s="1484"/>
      <c r="B31" s="1484"/>
      <c r="C31" s="746"/>
      <c r="D31" s="1011" t="s">
        <v>961</v>
      </c>
      <c r="E31" s="1010"/>
      <c r="G31" s="1020">
        <f ca="1">SUM(G29:G30)</f>
        <v>0</v>
      </c>
      <c r="H31" s="1020">
        <f t="shared" ref="H31:P31" ca="1" si="83">SUM(H29:H30)</f>
        <v>0</v>
      </c>
      <c r="I31" s="1020">
        <f t="shared" ca="1" si="83"/>
        <v>0</v>
      </c>
      <c r="J31" s="1020">
        <f t="shared" ca="1" si="83"/>
        <v>0</v>
      </c>
      <c r="K31" s="1020">
        <f t="shared" ca="1" si="83"/>
        <v>0</v>
      </c>
      <c r="L31" s="1020">
        <f t="shared" ca="1" si="83"/>
        <v>0</v>
      </c>
      <c r="M31" s="1020">
        <f t="shared" ca="1" si="83"/>
        <v>0</v>
      </c>
      <c r="N31" s="1020">
        <f t="shared" ca="1" si="83"/>
        <v>0</v>
      </c>
      <c r="O31" s="1020">
        <f t="shared" ca="1" si="83"/>
        <v>127.59749264150933</v>
      </c>
      <c r="P31" s="1020">
        <f t="shared" ca="1" si="83"/>
        <v>0</v>
      </c>
      <c r="Q31" s="1020">
        <f t="shared" ca="1" si="70"/>
        <v>127.59749264150933</v>
      </c>
      <c r="S31" s="1030">
        <f t="shared" ref="S31:Z31" ca="1" si="84">SUM(S29:S30)</f>
        <v>0</v>
      </c>
      <c r="T31" s="1030">
        <f t="shared" ca="1" si="84"/>
        <v>0</v>
      </c>
      <c r="U31" s="1030">
        <f t="shared" ca="1" si="84"/>
        <v>0</v>
      </c>
      <c r="V31" s="1030">
        <f t="shared" ca="1" si="84"/>
        <v>-127.59749264150933</v>
      </c>
      <c r="W31" s="1030">
        <f t="shared" ca="1" si="84"/>
        <v>0</v>
      </c>
      <c r="X31" s="1132">
        <f t="shared" ca="1" si="84"/>
        <v>0</v>
      </c>
      <c r="Y31" s="1132">
        <f t="shared" ca="1" si="84"/>
        <v>0</v>
      </c>
      <c r="Z31" s="1132">
        <f t="shared" ca="1" si="84"/>
        <v>0</v>
      </c>
      <c r="AA31" s="1030">
        <f t="shared" ref="AA31:AJ31" ca="1" si="85">SUM(AA29:AA30)</f>
        <v>0</v>
      </c>
      <c r="AB31" s="1030">
        <f t="shared" ca="1" si="85"/>
        <v>0</v>
      </c>
      <c r="AC31" s="1030">
        <f t="shared" ca="1" si="85"/>
        <v>0</v>
      </c>
      <c r="AD31" s="1030">
        <f ca="1">SUM(AD29:AD30)</f>
        <v>0</v>
      </c>
      <c r="AE31" s="1030">
        <f ca="1">SUM(AE29:AE30)</f>
        <v>0</v>
      </c>
      <c r="AF31" s="1030">
        <f t="shared" ca="1" si="85"/>
        <v>0</v>
      </c>
      <c r="AG31" s="1030">
        <f ca="1">SUM(AG29:AG30)</f>
        <v>0</v>
      </c>
      <c r="AH31" s="1030">
        <f ca="1">SUM(AH29:AH30)</f>
        <v>0</v>
      </c>
      <c r="AI31" s="1030">
        <f ca="1">SUM(AI29:AI30)</f>
        <v>0</v>
      </c>
      <c r="AJ31" s="1030">
        <f t="shared" ca="1" si="85"/>
        <v>0</v>
      </c>
      <c r="AK31" s="1030">
        <f t="shared" ca="1" si="61"/>
        <v>-127.59749264150933</v>
      </c>
      <c r="AM31" s="1043">
        <f t="shared" ref="AM31:BE31" ca="1" si="86">SUM(AM29:AM30)</f>
        <v>0</v>
      </c>
      <c r="AN31" s="1043">
        <f t="shared" ca="1" si="86"/>
        <v>0</v>
      </c>
      <c r="AO31" s="1043">
        <f t="shared" ca="1" si="86"/>
        <v>0</v>
      </c>
      <c r="AP31" s="1043">
        <f t="shared" ca="1" si="86"/>
        <v>0</v>
      </c>
      <c r="AQ31" s="1043">
        <f t="shared" ca="1" si="86"/>
        <v>0</v>
      </c>
      <c r="AR31" s="1043">
        <f t="shared" ca="1" si="86"/>
        <v>0</v>
      </c>
      <c r="AS31" s="1043">
        <f t="shared" ca="1" si="86"/>
        <v>0</v>
      </c>
      <c r="AT31" s="1043">
        <f t="shared" ca="1" si="86"/>
        <v>0</v>
      </c>
      <c r="AU31" s="1043">
        <f t="shared" ca="1" si="86"/>
        <v>0</v>
      </c>
      <c r="AV31" s="1043">
        <f t="shared" ca="1" si="86"/>
        <v>0</v>
      </c>
      <c r="AW31" s="1043">
        <f t="shared" ca="1" si="86"/>
        <v>0</v>
      </c>
      <c r="AX31" s="1043">
        <f t="shared" ca="1" si="86"/>
        <v>0</v>
      </c>
      <c r="AY31" s="1043">
        <f t="shared" ca="1" si="86"/>
        <v>0</v>
      </c>
      <c r="AZ31" s="1043">
        <f t="shared" ca="1" si="86"/>
        <v>0</v>
      </c>
      <c r="BA31" s="1043">
        <f t="shared" ca="1" si="86"/>
        <v>0</v>
      </c>
      <c r="BB31" s="1043">
        <f t="shared" ca="1" si="86"/>
        <v>0</v>
      </c>
      <c r="BC31" s="1043">
        <f t="shared" ca="1" si="86"/>
        <v>0</v>
      </c>
      <c r="BD31" s="1043">
        <f t="shared" ca="1" si="86"/>
        <v>0</v>
      </c>
      <c r="BE31" s="1043">
        <f t="shared" ca="1" si="86"/>
        <v>0</v>
      </c>
      <c r="BF31" s="1013">
        <f t="shared" ca="1" si="63"/>
        <v>0</v>
      </c>
      <c r="BH31" s="1037">
        <f ca="1">SUM(BH29:BH30)</f>
        <v>0</v>
      </c>
      <c r="BI31" s="1037">
        <f ca="1">SUM(BI29:BI30)</f>
        <v>0</v>
      </c>
      <c r="BJ31" s="1035">
        <f t="shared" ca="1" si="65"/>
        <v>0</v>
      </c>
      <c r="BL31" s="524">
        <f t="shared" ca="1" si="9"/>
        <v>0</v>
      </c>
      <c r="BM31" s="524"/>
      <c r="BN31" s="1484"/>
      <c r="BO31" s="1485">
        <f t="shared" ref="BO31:DF31" ca="1" si="87">SUM(BO29:BO30)</f>
        <v>0</v>
      </c>
      <c r="BP31" s="1486">
        <f t="shared" ca="1" si="87"/>
        <v>0</v>
      </c>
      <c r="BQ31" s="1486">
        <f t="shared" ca="1" si="87"/>
        <v>0</v>
      </c>
      <c r="BR31" s="1486">
        <f t="shared" ca="1" si="87"/>
        <v>0</v>
      </c>
      <c r="BS31" s="1486">
        <f t="shared" ca="1" si="87"/>
        <v>0</v>
      </c>
      <c r="BT31" s="1486">
        <f t="shared" ca="1" si="87"/>
        <v>0</v>
      </c>
      <c r="BU31" s="1486">
        <f t="shared" ca="1" si="87"/>
        <v>0</v>
      </c>
      <c r="BV31" s="1486">
        <f t="shared" ca="1" si="87"/>
        <v>0</v>
      </c>
      <c r="BW31" s="1486">
        <f t="shared" ca="1" si="87"/>
        <v>0</v>
      </c>
      <c r="BX31" s="1486">
        <f t="shared" ca="1" si="87"/>
        <v>0</v>
      </c>
      <c r="BY31" s="1486">
        <f t="shared" ca="1" si="87"/>
        <v>0</v>
      </c>
      <c r="BZ31" s="1486">
        <f t="shared" ca="1" si="87"/>
        <v>0</v>
      </c>
      <c r="CA31" s="1486">
        <f t="shared" ca="1" si="87"/>
        <v>0</v>
      </c>
      <c r="CB31" s="1486">
        <f t="shared" ca="1" si="87"/>
        <v>0</v>
      </c>
      <c r="CC31" s="1486">
        <f t="shared" ca="1" si="87"/>
        <v>0</v>
      </c>
      <c r="CD31" s="1486">
        <f t="shared" ca="1" si="87"/>
        <v>0</v>
      </c>
      <c r="CE31" s="1486">
        <f t="shared" ca="1" si="87"/>
        <v>0</v>
      </c>
      <c r="CF31" s="1486">
        <f t="shared" ca="1" si="87"/>
        <v>0</v>
      </c>
      <c r="CG31" s="1486">
        <f t="shared" ca="1" si="87"/>
        <v>0</v>
      </c>
      <c r="CH31" s="1486">
        <f t="shared" ca="1" si="87"/>
        <v>0</v>
      </c>
      <c r="CI31" s="1486">
        <f t="shared" ca="1" si="87"/>
        <v>0</v>
      </c>
      <c r="CJ31" s="1486">
        <f t="shared" ca="1" si="87"/>
        <v>0</v>
      </c>
      <c r="CK31" s="1486">
        <f t="shared" ca="1" si="87"/>
        <v>0</v>
      </c>
      <c r="CL31" s="1486">
        <f t="shared" ca="1" si="87"/>
        <v>0</v>
      </c>
      <c r="CM31" s="1486">
        <f t="shared" ca="1" si="87"/>
        <v>0</v>
      </c>
      <c r="CN31" s="1486">
        <f t="shared" ca="1" si="87"/>
        <v>0</v>
      </c>
      <c r="CO31" s="1486">
        <f t="shared" ca="1" si="87"/>
        <v>0</v>
      </c>
      <c r="CP31" s="1486">
        <f t="shared" ca="1" si="87"/>
        <v>0</v>
      </c>
      <c r="CQ31" s="1486">
        <f t="shared" ca="1" si="87"/>
        <v>0</v>
      </c>
      <c r="CR31" s="1486">
        <f t="shared" ca="1" si="87"/>
        <v>0</v>
      </c>
      <c r="CS31" s="1486">
        <f t="shared" ca="1" si="87"/>
        <v>0</v>
      </c>
      <c r="CT31" s="1486">
        <f t="shared" ca="1" si="87"/>
        <v>0</v>
      </c>
      <c r="CU31" s="1486">
        <f t="shared" ca="1" si="87"/>
        <v>31.899373160377333</v>
      </c>
      <c r="CV31" s="1486">
        <f t="shared" ca="1" si="87"/>
        <v>3.9714593653882163E-2</v>
      </c>
      <c r="CW31" s="1486">
        <f t="shared" ca="1" si="87"/>
        <v>0.57393508786189962</v>
      </c>
      <c r="CX31" s="1486">
        <f t="shared" ca="1" si="87"/>
        <v>0</v>
      </c>
      <c r="CY31" s="1486">
        <f t="shared" ca="1" si="87"/>
        <v>0</v>
      </c>
      <c r="CZ31" s="1486">
        <f t="shared" ca="1" si="87"/>
        <v>0</v>
      </c>
      <c r="DA31" s="1486">
        <f t="shared" ca="1" si="87"/>
        <v>0</v>
      </c>
      <c r="DB31" s="1486">
        <f t="shared" ca="1" si="87"/>
        <v>0</v>
      </c>
      <c r="DC31" s="1486">
        <f t="shared" ca="1" si="87"/>
        <v>0</v>
      </c>
      <c r="DD31" s="1486">
        <f t="shared" ca="1" si="87"/>
        <v>0</v>
      </c>
      <c r="DE31" s="1486">
        <f t="shared" ca="1" si="87"/>
        <v>0</v>
      </c>
      <c r="DF31" s="1486">
        <f t="shared" ca="1" si="87"/>
        <v>0</v>
      </c>
      <c r="DH31" s="838">
        <f t="shared" ca="1" si="36"/>
        <v>32.513022841893118</v>
      </c>
    </row>
    <row r="32" spans="1:112" s="743" customFormat="1" ht="15.75" collapsed="1">
      <c r="A32" s="22"/>
      <c r="B32" s="753"/>
      <c r="C32" s="744" t="s">
        <v>679</v>
      </c>
      <c r="D32" s="517" t="str">
        <f>INDEX(Workstreams[Workstream], MATCH($C32, Workstreams[Code], 0))</f>
        <v>Transport</v>
      </c>
      <c r="E32" s="512"/>
      <c r="G32" s="1021">
        <f t="shared" ref="G32:P32" ca="1" si="88">G24+G25+G28+G31</f>
        <v>0</v>
      </c>
      <c r="H32" s="1021">
        <f t="shared" ca="1" si="88"/>
        <v>0</v>
      </c>
      <c r="I32" s="1021">
        <f t="shared" ca="1" si="88"/>
        <v>0</v>
      </c>
      <c r="J32" s="1021">
        <f t="shared" ca="1" si="88"/>
        <v>335.84846871256741</v>
      </c>
      <c r="K32" s="1021">
        <f t="shared" ca="1" si="88"/>
        <v>14.422595081474668</v>
      </c>
      <c r="L32" s="1021">
        <f t="shared" ca="1" si="88"/>
        <v>14.785449092646568</v>
      </c>
      <c r="M32" s="1021">
        <f t="shared" ca="1" si="88"/>
        <v>22.496144870285519</v>
      </c>
      <c r="N32" s="1021">
        <f t="shared" ca="1" si="88"/>
        <v>206.26698515563612</v>
      </c>
      <c r="O32" s="1021">
        <f t="shared" ca="1" si="88"/>
        <v>127.59749264150933</v>
      </c>
      <c r="P32" s="1021">
        <f t="shared" ca="1" si="88"/>
        <v>0</v>
      </c>
      <c r="Q32" s="1021">
        <f t="shared" ca="1" si="70"/>
        <v>721.41713555411968</v>
      </c>
      <c r="S32" s="970">
        <f t="shared" ref="S32:Z32" ca="1" si="89">S24+S25+S28+S31</f>
        <v>-20.770142443983666</v>
      </c>
      <c r="T32" s="970">
        <f t="shared" ca="1" si="89"/>
        <v>0</v>
      </c>
      <c r="U32" s="970">
        <f t="shared" ca="1" si="89"/>
        <v>0</v>
      </c>
      <c r="V32" s="970">
        <f t="shared" ca="1" si="89"/>
        <v>-700.64699311013601</v>
      </c>
      <c r="W32" s="970">
        <f t="shared" ca="1" si="89"/>
        <v>0</v>
      </c>
      <c r="X32" s="970">
        <f t="shared" ca="1" si="89"/>
        <v>0</v>
      </c>
      <c r="Y32" s="970">
        <f t="shared" ca="1" si="89"/>
        <v>0</v>
      </c>
      <c r="Z32" s="970">
        <f t="shared" ca="1" si="89"/>
        <v>0</v>
      </c>
      <c r="AA32" s="970">
        <f t="shared" ref="AA32:AJ32" ca="1" si="90">AA24+AA25+AA28+AA31</f>
        <v>0</v>
      </c>
      <c r="AB32" s="970">
        <f t="shared" ca="1" si="90"/>
        <v>0</v>
      </c>
      <c r="AC32" s="970">
        <f t="shared" ca="1" si="90"/>
        <v>0</v>
      </c>
      <c r="AD32" s="970">
        <f ca="1">AD24+AD25+AD28+AD31</f>
        <v>0</v>
      </c>
      <c r="AE32" s="970">
        <f ca="1">AE24+AE25+AE28+AE31</f>
        <v>0</v>
      </c>
      <c r="AF32" s="970">
        <f t="shared" ca="1" si="90"/>
        <v>0</v>
      </c>
      <c r="AG32" s="970">
        <f ca="1">AG24+AG25+AG28+AG31</f>
        <v>0</v>
      </c>
      <c r="AH32" s="970">
        <f ca="1">AH24+AH25+AH28+AH31</f>
        <v>0</v>
      </c>
      <c r="AI32" s="970">
        <f ca="1">AI24+AI25+AI28+AI31</f>
        <v>0</v>
      </c>
      <c r="AJ32" s="970">
        <f t="shared" ca="1" si="90"/>
        <v>0</v>
      </c>
      <c r="AK32" s="970">
        <f t="shared" ca="1" si="61"/>
        <v>-721.41713555411968</v>
      </c>
      <c r="AM32" s="976">
        <f t="shared" ref="AM32:AS32" ca="1" si="91">AM24+AM25+AM28+AM31</f>
        <v>0</v>
      </c>
      <c r="AN32" s="976">
        <f t="shared" ca="1" si="91"/>
        <v>0</v>
      </c>
      <c r="AO32" s="976">
        <f t="shared" ca="1" si="91"/>
        <v>0</v>
      </c>
      <c r="AP32" s="976">
        <f t="shared" ca="1" si="91"/>
        <v>0</v>
      </c>
      <c r="AQ32" s="976">
        <f t="shared" ca="1" si="91"/>
        <v>0</v>
      </c>
      <c r="AR32" s="976">
        <f t="shared" ca="1" si="91"/>
        <v>0</v>
      </c>
      <c r="AS32" s="976">
        <f t="shared" ca="1" si="91"/>
        <v>0</v>
      </c>
      <c r="AT32" s="976">
        <f t="shared" ref="AT32:BE32" ca="1" si="92">AT24+AT25+AT28+AT31</f>
        <v>0</v>
      </c>
      <c r="AU32" s="976">
        <f t="shared" ca="1" si="92"/>
        <v>0</v>
      </c>
      <c r="AV32" s="976">
        <f t="shared" ca="1" si="92"/>
        <v>0</v>
      </c>
      <c r="AW32" s="976">
        <f t="shared" ca="1" si="92"/>
        <v>0</v>
      </c>
      <c r="AX32" s="976">
        <f t="shared" ca="1" si="92"/>
        <v>0</v>
      </c>
      <c r="AY32" s="976">
        <f t="shared" ca="1" si="92"/>
        <v>0</v>
      </c>
      <c r="AZ32" s="976">
        <f t="shared" ca="1" si="92"/>
        <v>0</v>
      </c>
      <c r="BA32" s="976">
        <f t="shared" ca="1" si="92"/>
        <v>0</v>
      </c>
      <c r="BB32" s="976">
        <f t="shared" ca="1" si="92"/>
        <v>0</v>
      </c>
      <c r="BC32" s="976">
        <f t="shared" ca="1" si="92"/>
        <v>0</v>
      </c>
      <c r="BD32" s="976">
        <f t="shared" ca="1" si="92"/>
        <v>0</v>
      </c>
      <c r="BE32" s="976">
        <f t="shared" ca="1" si="92"/>
        <v>0</v>
      </c>
      <c r="BF32" s="976">
        <f t="shared" ca="1" si="63"/>
        <v>0</v>
      </c>
      <c r="BH32" s="990">
        <f ca="1">BH24+BH25+BH28+BH31</f>
        <v>0</v>
      </c>
      <c r="BI32" s="990">
        <f ca="1">BI24+BI25+BI28+BI31</f>
        <v>0</v>
      </c>
      <c r="BJ32" s="990">
        <f t="shared" ca="1" si="65"/>
        <v>0</v>
      </c>
      <c r="BL32" s="515">
        <f t="shared" ca="1" si="9"/>
        <v>0</v>
      </c>
      <c r="BM32" s="515"/>
      <c r="BN32" s="840"/>
      <c r="BO32" s="1482">
        <f t="shared" ref="BO32:DF32" ca="1" si="93">BO24+BO25+BO28+BO31</f>
        <v>91.695628828247635</v>
      </c>
      <c r="BP32" s="1482">
        <f t="shared" ca="1" si="93"/>
        <v>0.11416069589964259</v>
      </c>
      <c r="BQ32" s="1482">
        <f t="shared" ca="1" si="93"/>
        <v>1.6497922552742073</v>
      </c>
      <c r="BR32" s="1482">
        <f t="shared" ca="1" si="93"/>
        <v>0</v>
      </c>
      <c r="BS32" s="1482">
        <f t="shared" ca="1" si="93"/>
        <v>0</v>
      </c>
      <c r="BT32" s="1482">
        <f t="shared" ca="1" si="93"/>
        <v>0</v>
      </c>
      <c r="BU32" s="1482">
        <f t="shared" ca="1" si="93"/>
        <v>0</v>
      </c>
      <c r="BV32" s="1482">
        <f t="shared" ca="1" si="93"/>
        <v>0</v>
      </c>
      <c r="BW32" s="1482">
        <f t="shared" ca="1" si="93"/>
        <v>0</v>
      </c>
      <c r="BX32" s="1482">
        <f t="shared" ca="1" si="93"/>
        <v>0</v>
      </c>
      <c r="BY32" s="1482">
        <f t="shared" ca="1" si="93"/>
        <v>0</v>
      </c>
      <c r="BZ32" s="1482">
        <f t="shared" ca="1" si="93"/>
        <v>0</v>
      </c>
      <c r="CA32" s="1482">
        <f t="shared" ca="1" si="93"/>
        <v>0</v>
      </c>
      <c r="CB32" s="1482">
        <f t="shared" ca="1" si="93"/>
        <v>0</v>
      </c>
      <c r="CC32" s="1482">
        <f t="shared" ca="1" si="93"/>
        <v>0</v>
      </c>
      <c r="CD32" s="1482">
        <f t="shared" ca="1" si="93"/>
        <v>0</v>
      </c>
      <c r="CE32" s="1482">
        <f t="shared" ca="1" si="93"/>
        <v>0</v>
      </c>
      <c r="CF32" s="1482">
        <f t="shared" ca="1" si="93"/>
        <v>0</v>
      </c>
      <c r="CG32" s="1482">
        <f t="shared" ca="1" si="93"/>
        <v>0</v>
      </c>
      <c r="CH32" s="1482">
        <f t="shared" ca="1" si="93"/>
        <v>0</v>
      </c>
      <c r="CI32" s="1482">
        <f t="shared" ca="1" si="93"/>
        <v>0</v>
      </c>
      <c r="CJ32" s="1482">
        <f t="shared" ca="1" si="93"/>
        <v>0</v>
      </c>
      <c r="CK32" s="1482">
        <f t="shared" ca="1" si="93"/>
        <v>0</v>
      </c>
      <c r="CL32" s="1482">
        <f t="shared" ca="1" si="93"/>
        <v>0</v>
      </c>
      <c r="CM32" s="1482">
        <f t="shared" ca="1" si="93"/>
        <v>0</v>
      </c>
      <c r="CN32" s="1482">
        <f t="shared" ca="1" si="93"/>
        <v>0</v>
      </c>
      <c r="CO32" s="1482">
        <f t="shared" ca="1" si="93"/>
        <v>0</v>
      </c>
      <c r="CP32" s="1482">
        <f t="shared" ca="1" si="93"/>
        <v>0</v>
      </c>
      <c r="CQ32" s="1482">
        <f t="shared" ca="1" si="93"/>
        <v>0</v>
      </c>
      <c r="CR32" s="1482">
        <f t="shared" ca="1" si="93"/>
        <v>0</v>
      </c>
      <c r="CS32" s="1482">
        <f t="shared" ca="1" si="93"/>
        <v>0</v>
      </c>
      <c r="CT32" s="1482">
        <f t="shared" ca="1" si="93"/>
        <v>0</v>
      </c>
      <c r="CU32" s="1482">
        <f t="shared" ca="1" si="93"/>
        <v>83.466119449286367</v>
      </c>
      <c r="CV32" s="1482">
        <f t="shared" ca="1" si="93"/>
        <v>0.10391498921089107</v>
      </c>
      <c r="CW32" s="1482">
        <f t="shared" ca="1" si="93"/>
        <v>1.5017265185361195</v>
      </c>
      <c r="CX32" s="1482">
        <f t="shared" ca="1" si="93"/>
        <v>0</v>
      </c>
      <c r="CY32" s="1482">
        <f t="shared" ca="1" si="93"/>
        <v>0</v>
      </c>
      <c r="CZ32" s="1482">
        <f t="shared" ca="1" si="93"/>
        <v>0</v>
      </c>
      <c r="DA32" s="1482">
        <f t="shared" ca="1" si="93"/>
        <v>0</v>
      </c>
      <c r="DB32" s="1482">
        <f t="shared" ca="1" si="93"/>
        <v>0</v>
      </c>
      <c r="DC32" s="1482">
        <f t="shared" ca="1" si="93"/>
        <v>0</v>
      </c>
      <c r="DD32" s="1482">
        <f t="shared" ca="1" si="93"/>
        <v>0</v>
      </c>
      <c r="DE32" s="1482">
        <f t="shared" ca="1" si="93"/>
        <v>0</v>
      </c>
      <c r="DF32" s="1482">
        <f t="shared" ca="1" si="93"/>
        <v>0</v>
      </c>
      <c r="DH32" s="838">
        <f t="shared" ca="1" si="36"/>
        <v>178.53134273645486</v>
      </c>
    </row>
    <row r="33" spans="1:112" s="743" customFormat="1" ht="12.75" hidden="1" customHeight="1" outlineLevel="1">
      <c r="A33" s="22"/>
      <c r="B33" s="22"/>
      <c r="C33" s="751"/>
      <c r="D33" s="512"/>
      <c r="E33" s="512"/>
      <c r="G33" s="1021"/>
      <c r="H33" s="1021"/>
      <c r="I33" s="1021"/>
      <c r="J33" s="1021"/>
      <c r="K33" s="1021"/>
      <c r="L33" s="1021"/>
      <c r="M33" s="1021"/>
      <c r="N33" s="1021"/>
      <c r="O33" s="1021"/>
      <c r="P33" s="1021"/>
      <c r="Q33" s="1021"/>
      <c r="S33" s="970"/>
      <c r="T33" s="970"/>
      <c r="U33" s="970"/>
      <c r="V33" s="970"/>
      <c r="W33" s="970"/>
      <c r="X33" s="970"/>
      <c r="Y33" s="970"/>
      <c r="Z33" s="970"/>
      <c r="AA33" s="970"/>
      <c r="AB33" s="970"/>
      <c r="AC33" s="970"/>
      <c r="AD33" s="970"/>
      <c r="AE33" s="970"/>
      <c r="AF33" s="970"/>
      <c r="AG33" s="970"/>
      <c r="AH33" s="970"/>
      <c r="AI33" s="970"/>
      <c r="AJ33" s="970"/>
      <c r="AK33" s="970"/>
      <c r="AM33" s="976"/>
      <c r="AN33" s="976"/>
      <c r="AO33" s="976"/>
      <c r="AP33" s="976"/>
      <c r="AQ33" s="976"/>
      <c r="AR33" s="976"/>
      <c r="AS33" s="976"/>
      <c r="AT33" s="976"/>
      <c r="AU33" s="976"/>
      <c r="AV33" s="976"/>
      <c r="AW33" s="976"/>
      <c r="AX33" s="976"/>
      <c r="AY33" s="976"/>
      <c r="AZ33" s="976"/>
      <c r="BA33" s="976"/>
      <c r="BB33" s="976"/>
      <c r="BC33" s="976"/>
      <c r="BD33" s="976"/>
      <c r="BE33" s="976"/>
      <c r="BF33" s="976"/>
      <c r="BH33" s="990"/>
      <c r="BI33" s="990"/>
      <c r="BJ33" s="990"/>
      <c r="BL33" s="515"/>
      <c r="BM33" s="515"/>
      <c r="BN33" s="22"/>
      <c r="BO33" s="1482"/>
      <c r="BP33" s="1482"/>
      <c r="BQ33" s="1482"/>
      <c r="BR33" s="1482"/>
      <c r="BS33" s="1482"/>
      <c r="BT33" s="1482"/>
      <c r="BU33" s="1482"/>
      <c r="BV33" s="1482"/>
      <c r="BW33" s="1482"/>
      <c r="BX33" s="1482"/>
      <c r="BY33" s="1482"/>
      <c r="BZ33" s="1482"/>
      <c r="CA33" s="1482"/>
      <c r="CB33" s="1482"/>
      <c r="CC33" s="1482"/>
      <c r="CD33" s="1482"/>
      <c r="CE33" s="1482"/>
      <c r="CF33" s="1482"/>
      <c r="CG33" s="1482"/>
      <c r="CH33" s="1482"/>
      <c r="CI33" s="1482"/>
      <c r="CJ33" s="1482"/>
      <c r="CK33" s="1482"/>
      <c r="CL33" s="1482"/>
      <c r="CM33" s="1482"/>
      <c r="CN33" s="1482"/>
      <c r="CO33" s="1482"/>
      <c r="CP33" s="1482"/>
      <c r="CQ33" s="1482"/>
      <c r="CR33" s="1482"/>
      <c r="CS33" s="1482"/>
      <c r="CT33" s="1482"/>
      <c r="CU33" s="1482"/>
      <c r="CV33" s="1482"/>
      <c r="CW33" s="1482"/>
      <c r="CX33" s="1482"/>
      <c r="CY33" s="1482"/>
      <c r="CZ33" s="1482"/>
      <c r="DA33" s="1482"/>
      <c r="DB33" s="1482"/>
      <c r="DC33" s="1482"/>
      <c r="DD33" s="1482"/>
      <c r="DE33" s="1482"/>
      <c r="DF33" s="1482"/>
      <c r="DH33" s="838">
        <f t="shared" si="36"/>
        <v>0</v>
      </c>
    </row>
    <row r="34" spans="1:112" s="743" customFormat="1" ht="12.75" hidden="1" customHeight="1" outlineLevel="1">
      <c r="A34" s="1484"/>
      <c r="B34" s="1484"/>
      <c r="C34" s="746" t="s">
        <v>930</v>
      </c>
      <c r="D34" s="1010" t="str">
        <f>INDEX(Modules[Module], MATCH($C34, Modules[Code], 0))</f>
        <v>Food consumption [UNUSED]</v>
      </c>
      <c r="E34" s="1010"/>
      <c r="G34" s="1022">
        <f t="shared" ref="G34:P34" ca="1" si="94">IFERROR(INDEX(INDIRECT($C34&amp;".Outputs["&amp;this.Year&amp;"]"), MATCH(G$5, INDIRECT($C34&amp;".Outputs[Vector]"), 0)), 0)</f>
        <v>0</v>
      </c>
      <c r="H34" s="1022">
        <f t="shared" ca="1" si="94"/>
        <v>0</v>
      </c>
      <c r="I34" s="1022">
        <f t="shared" ca="1" si="94"/>
        <v>0</v>
      </c>
      <c r="J34" s="1022">
        <f t="shared" ca="1" si="94"/>
        <v>0</v>
      </c>
      <c r="K34" s="1022">
        <f t="shared" ca="1" si="94"/>
        <v>0</v>
      </c>
      <c r="L34" s="1022">
        <f t="shared" ca="1" si="94"/>
        <v>0</v>
      </c>
      <c r="M34" s="1022">
        <f t="shared" ca="1" si="94"/>
        <v>0</v>
      </c>
      <c r="N34" s="1022">
        <f t="shared" ca="1" si="94"/>
        <v>0</v>
      </c>
      <c r="O34" s="1022">
        <f t="shared" ca="1" si="94"/>
        <v>0</v>
      </c>
      <c r="P34" s="1022">
        <f t="shared" ca="1" si="94"/>
        <v>0</v>
      </c>
      <c r="Q34" s="1020">
        <f ca="1">SUM(G34:P34)</f>
        <v>0</v>
      </c>
      <c r="S34" s="1031">
        <f t="shared" ref="S34:BE34" ca="1" si="95">IFERROR(INDEX(INDIRECT($C34&amp;".Outputs["&amp;this.Year&amp;"]"), MATCH(S$5, INDIRECT($C34&amp;".Outputs[Vector]"), 0)), 0)</f>
        <v>0</v>
      </c>
      <c r="T34" s="1031">
        <f t="shared" ca="1" si="95"/>
        <v>0</v>
      </c>
      <c r="U34" s="1031">
        <f t="shared" ca="1" si="95"/>
        <v>0</v>
      </c>
      <c r="V34" s="1031">
        <f t="shared" ca="1" si="95"/>
        <v>0</v>
      </c>
      <c r="W34" s="1031">
        <f t="shared" ca="1" si="95"/>
        <v>0</v>
      </c>
      <c r="X34" s="1031">
        <f ca="1">IFERROR(INDEX(INDIRECT($C34&amp;".Outputs["&amp;this.Year&amp;"]"), MATCH(X$5, INDIRECT($C34&amp;".Outputs[Vector]"), 0)), 0)</f>
        <v>0</v>
      </c>
      <c r="Y34" s="1031">
        <f ca="1">IFERROR(INDEX(INDIRECT($C34&amp;".Outputs["&amp;this.Year&amp;"]"), MATCH(Y$5, INDIRECT($C34&amp;".Outputs[Vector]"), 0)), 0)</f>
        <v>0</v>
      </c>
      <c r="Z34" s="1031">
        <f ca="1">IFERROR(INDEX(INDIRECT($C34&amp;".Outputs["&amp;this.Year&amp;"]"), MATCH(Z$5, INDIRECT($C34&amp;".Outputs[Vector]"), 0)), 0)</f>
        <v>0</v>
      </c>
      <c r="AA34" s="1031">
        <f t="shared" ca="1" si="95"/>
        <v>0</v>
      </c>
      <c r="AB34" s="1031">
        <f t="shared" ca="1" si="95"/>
        <v>0</v>
      </c>
      <c r="AC34" s="1031">
        <f t="shared" ca="1" si="95"/>
        <v>0</v>
      </c>
      <c r="AD34" s="1031">
        <f t="shared" ca="1" si="95"/>
        <v>0</v>
      </c>
      <c r="AE34" s="1031">
        <f t="shared" ca="1" si="95"/>
        <v>0</v>
      </c>
      <c r="AF34" s="1031">
        <f t="shared" ca="1" si="95"/>
        <v>0</v>
      </c>
      <c r="AG34" s="1031">
        <f t="shared" ca="1" si="95"/>
        <v>0</v>
      </c>
      <c r="AH34" s="1031">
        <f t="shared" ca="1" si="95"/>
        <v>0</v>
      </c>
      <c r="AI34" s="1031">
        <f t="shared" ca="1" si="95"/>
        <v>0</v>
      </c>
      <c r="AJ34" s="1031">
        <f t="shared" ca="1" si="95"/>
        <v>0</v>
      </c>
      <c r="AK34" s="1030">
        <f ca="1">SUM(S34:AJ34)</f>
        <v>0</v>
      </c>
      <c r="AM34" s="1042">
        <f t="shared" ref="AM34:AU34" ca="1" si="96">IFERROR(INDEX(INDIRECT($C34&amp;".Outputs["&amp;this.Year&amp;"]"), MATCH(AM$5, INDIRECT($C34&amp;".Outputs[Vector]"), 0)), 0)</f>
        <v>0</v>
      </c>
      <c r="AN34" s="1042">
        <f t="shared" ca="1" si="96"/>
        <v>0</v>
      </c>
      <c r="AO34" s="1042">
        <f t="shared" ca="1" si="96"/>
        <v>0</v>
      </c>
      <c r="AP34" s="1042">
        <f t="shared" ca="1" si="96"/>
        <v>0</v>
      </c>
      <c r="AQ34" s="1042">
        <f t="shared" ca="1" si="96"/>
        <v>0</v>
      </c>
      <c r="AR34" s="1042">
        <f t="shared" ca="1" si="96"/>
        <v>0</v>
      </c>
      <c r="AS34" s="1042">
        <f t="shared" ca="1" si="96"/>
        <v>0</v>
      </c>
      <c r="AT34" s="1042">
        <f t="shared" ca="1" si="96"/>
        <v>0</v>
      </c>
      <c r="AU34" s="1042">
        <f t="shared" ca="1" si="96"/>
        <v>0</v>
      </c>
      <c r="AV34" s="1042">
        <f t="shared" ca="1" si="95"/>
        <v>0</v>
      </c>
      <c r="AW34" s="1042">
        <f t="shared" ca="1" si="95"/>
        <v>0</v>
      </c>
      <c r="AX34" s="1042">
        <f t="shared" ca="1" si="95"/>
        <v>0</v>
      </c>
      <c r="AY34" s="1042">
        <f t="shared" ca="1" si="95"/>
        <v>0</v>
      </c>
      <c r="AZ34" s="1042">
        <f t="shared" ca="1" si="95"/>
        <v>0</v>
      </c>
      <c r="BA34" s="1042">
        <f t="shared" ca="1" si="95"/>
        <v>0</v>
      </c>
      <c r="BB34" s="1042">
        <f t="shared" ca="1" si="95"/>
        <v>0</v>
      </c>
      <c r="BC34" s="1042">
        <f t="shared" ca="1" si="95"/>
        <v>0</v>
      </c>
      <c r="BD34" s="1042">
        <f t="shared" ca="1" si="95"/>
        <v>0</v>
      </c>
      <c r="BE34" s="1042">
        <f t="shared" ca="1" si="95"/>
        <v>0</v>
      </c>
      <c r="BF34" s="1012">
        <f ca="1">SUM(AM34:BE34)</f>
        <v>0</v>
      </c>
      <c r="BH34" s="1036">
        <f ca="1">IFERROR(INDEX(INDIRECT($C34&amp;".Outputs["&amp;this.Year&amp;"]"), MATCH(BH$5, INDIRECT($C34&amp;".Outputs[Vector]"), 0)), 0)</f>
        <v>0</v>
      </c>
      <c r="BI34" s="1036">
        <f ca="1">IFERROR(INDEX(INDIRECT($C34&amp;".Outputs["&amp;this.Year&amp;"]"), MATCH(BI$5, INDIRECT($C34&amp;".Outputs[Vector]"), 0)), 0)</f>
        <v>0</v>
      </c>
      <c r="BJ34" s="1035">
        <f ca="1">SUM(BH34:BI34)</f>
        <v>0</v>
      </c>
      <c r="BL34" s="814">
        <f t="shared" ca="1" si="9"/>
        <v>0</v>
      </c>
      <c r="BM34" s="814"/>
      <c r="BN34" s="840"/>
      <c r="BO34" s="1485">
        <f t="shared" ref="BO34:DF34" ca="1" si="97">IFERROR(SUMIFS(INDIRECT($C34&amp;".Emissions["&amp;this.Year&amp;"]"), INDIRECT($C34&amp;".Emissions[GHG]"), BO$6, INDIRECT($C34&amp;".Emissions[IPCC Sector]"), BO$5),0)</f>
        <v>0</v>
      </c>
      <c r="BP34" s="1486">
        <f t="shared" ca="1" si="97"/>
        <v>0</v>
      </c>
      <c r="BQ34" s="1486">
        <f t="shared" ca="1" si="97"/>
        <v>0</v>
      </c>
      <c r="BR34" s="1486">
        <f t="shared" ca="1" si="97"/>
        <v>0</v>
      </c>
      <c r="BS34" s="1486">
        <f t="shared" ca="1" si="97"/>
        <v>0</v>
      </c>
      <c r="BT34" s="1486">
        <f t="shared" ca="1" si="97"/>
        <v>0</v>
      </c>
      <c r="BU34" s="1486">
        <f t="shared" ca="1" si="97"/>
        <v>0</v>
      </c>
      <c r="BV34" s="1486">
        <f t="shared" ca="1" si="97"/>
        <v>0</v>
      </c>
      <c r="BW34" s="1486">
        <f t="shared" ca="1" si="97"/>
        <v>0</v>
      </c>
      <c r="BX34" s="1486">
        <f t="shared" ca="1" si="97"/>
        <v>0</v>
      </c>
      <c r="BY34" s="1486">
        <f t="shared" ca="1" si="97"/>
        <v>0</v>
      </c>
      <c r="BZ34" s="1486">
        <f t="shared" ca="1" si="97"/>
        <v>0</v>
      </c>
      <c r="CA34" s="1486">
        <f t="shared" ca="1" si="97"/>
        <v>0</v>
      </c>
      <c r="CB34" s="1486">
        <f t="shared" ca="1" si="97"/>
        <v>0</v>
      </c>
      <c r="CC34" s="1486">
        <f t="shared" ca="1" si="97"/>
        <v>0</v>
      </c>
      <c r="CD34" s="1486">
        <f t="shared" ca="1" si="97"/>
        <v>0</v>
      </c>
      <c r="CE34" s="1486">
        <f t="shared" ca="1" si="97"/>
        <v>0</v>
      </c>
      <c r="CF34" s="1486">
        <f t="shared" ca="1" si="97"/>
        <v>0</v>
      </c>
      <c r="CG34" s="1486">
        <f t="shared" ca="1" si="97"/>
        <v>0</v>
      </c>
      <c r="CH34" s="1486">
        <f t="shared" ca="1" si="97"/>
        <v>0</v>
      </c>
      <c r="CI34" s="1486">
        <f t="shared" ca="1" si="97"/>
        <v>0</v>
      </c>
      <c r="CJ34" s="1486">
        <f t="shared" ca="1" si="97"/>
        <v>0</v>
      </c>
      <c r="CK34" s="1486">
        <f t="shared" ca="1" si="97"/>
        <v>0</v>
      </c>
      <c r="CL34" s="1486">
        <f t="shared" ca="1" si="97"/>
        <v>0</v>
      </c>
      <c r="CM34" s="1486">
        <f t="shared" ca="1" si="97"/>
        <v>0</v>
      </c>
      <c r="CN34" s="1486">
        <f t="shared" ca="1" si="97"/>
        <v>0</v>
      </c>
      <c r="CO34" s="1486">
        <f t="shared" ca="1" si="97"/>
        <v>0</v>
      </c>
      <c r="CP34" s="1486">
        <f t="shared" ca="1" si="97"/>
        <v>0</v>
      </c>
      <c r="CQ34" s="1486">
        <f t="shared" ca="1" si="97"/>
        <v>0</v>
      </c>
      <c r="CR34" s="1486">
        <f t="shared" ca="1" si="97"/>
        <v>0</v>
      </c>
      <c r="CS34" s="1486">
        <f t="shared" ca="1" si="97"/>
        <v>0</v>
      </c>
      <c r="CT34" s="1486">
        <f t="shared" ca="1" si="97"/>
        <v>0</v>
      </c>
      <c r="CU34" s="1486">
        <f t="shared" ca="1" si="97"/>
        <v>0</v>
      </c>
      <c r="CV34" s="1486">
        <f t="shared" ca="1" si="97"/>
        <v>0</v>
      </c>
      <c r="CW34" s="1486">
        <f t="shared" ca="1" si="97"/>
        <v>0</v>
      </c>
      <c r="CX34" s="1486">
        <f t="shared" ca="1" si="97"/>
        <v>0</v>
      </c>
      <c r="CY34" s="1486">
        <f t="shared" ca="1" si="97"/>
        <v>0</v>
      </c>
      <c r="CZ34" s="1486">
        <f t="shared" ca="1" si="97"/>
        <v>0</v>
      </c>
      <c r="DA34" s="1486">
        <f t="shared" ca="1" si="97"/>
        <v>0</v>
      </c>
      <c r="DB34" s="1486">
        <f t="shared" ca="1" si="97"/>
        <v>0</v>
      </c>
      <c r="DC34" s="1486">
        <f t="shared" ca="1" si="97"/>
        <v>0</v>
      </c>
      <c r="DD34" s="1486">
        <f t="shared" ca="1" si="97"/>
        <v>0</v>
      </c>
      <c r="DE34" s="1486">
        <f t="shared" ca="1" si="97"/>
        <v>0</v>
      </c>
      <c r="DF34" s="1486">
        <f t="shared" ca="1" si="97"/>
        <v>0</v>
      </c>
      <c r="DH34" s="838">
        <f t="shared" ca="1" si="36"/>
        <v>0</v>
      </c>
    </row>
    <row r="35" spans="1:112" s="743" customFormat="1" ht="15.75" collapsed="1">
      <c r="A35" s="22"/>
      <c r="B35" s="753"/>
      <c r="C35" s="744" t="s">
        <v>680</v>
      </c>
      <c r="D35" s="517" t="str">
        <f>INDEX(Workstreams[Workstream], MATCH($C35, Workstreams[Code], 0))</f>
        <v>Food consumption [UNUSED]</v>
      </c>
      <c r="E35" s="512"/>
      <c r="G35" s="1021">
        <f ca="1">G34</f>
        <v>0</v>
      </c>
      <c r="H35" s="1021">
        <f t="shared" ref="H35:P35" ca="1" si="98">H34</f>
        <v>0</v>
      </c>
      <c r="I35" s="1021">
        <f t="shared" ca="1" si="98"/>
        <v>0</v>
      </c>
      <c r="J35" s="1021">
        <f t="shared" ca="1" si="98"/>
        <v>0</v>
      </c>
      <c r="K35" s="1021">
        <f t="shared" ca="1" si="98"/>
        <v>0</v>
      </c>
      <c r="L35" s="1021">
        <f t="shared" ca="1" si="98"/>
        <v>0</v>
      </c>
      <c r="M35" s="1021">
        <f t="shared" ca="1" si="98"/>
        <v>0</v>
      </c>
      <c r="N35" s="1021">
        <f t="shared" ca="1" si="98"/>
        <v>0</v>
      </c>
      <c r="O35" s="1021">
        <f t="shared" ca="1" si="98"/>
        <v>0</v>
      </c>
      <c r="P35" s="1021">
        <f t="shared" ca="1" si="98"/>
        <v>0</v>
      </c>
      <c r="Q35" s="1021">
        <f ca="1">SUM(G35:P35)</f>
        <v>0</v>
      </c>
      <c r="S35" s="970">
        <f ca="1">S34</f>
        <v>0</v>
      </c>
      <c r="T35" s="970">
        <f t="shared" ref="T35:AJ35" ca="1" si="99">T34</f>
        <v>0</v>
      </c>
      <c r="U35" s="970">
        <f t="shared" ca="1" si="99"/>
        <v>0</v>
      </c>
      <c r="V35" s="970">
        <f t="shared" ca="1" si="99"/>
        <v>0</v>
      </c>
      <c r="W35" s="970">
        <f t="shared" ca="1" si="99"/>
        <v>0</v>
      </c>
      <c r="X35" s="970">
        <f ca="1">X34</f>
        <v>0</v>
      </c>
      <c r="Y35" s="970">
        <f ca="1">Y34</f>
        <v>0</v>
      </c>
      <c r="Z35" s="970">
        <f ca="1">Z34</f>
        <v>0</v>
      </c>
      <c r="AA35" s="970">
        <f t="shared" ca="1" si="99"/>
        <v>0</v>
      </c>
      <c r="AB35" s="970">
        <f t="shared" ca="1" si="99"/>
        <v>0</v>
      </c>
      <c r="AC35" s="970">
        <f t="shared" ca="1" si="99"/>
        <v>0</v>
      </c>
      <c r="AD35" s="970">
        <f ca="1">AD34</f>
        <v>0</v>
      </c>
      <c r="AE35" s="970">
        <f ca="1">AE34</f>
        <v>0</v>
      </c>
      <c r="AF35" s="970">
        <f t="shared" ca="1" si="99"/>
        <v>0</v>
      </c>
      <c r="AG35" s="970">
        <f ca="1">AG34</f>
        <v>0</v>
      </c>
      <c r="AH35" s="970">
        <f ca="1">AH34</f>
        <v>0</v>
      </c>
      <c r="AI35" s="970">
        <f ca="1">AI34</f>
        <v>0</v>
      </c>
      <c r="AJ35" s="970">
        <f t="shared" ca="1" si="99"/>
        <v>0</v>
      </c>
      <c r="AK35" s="970">
        <f ca="1">SUM(S35:AJ35)</f>
        <v>0</v>
      </c>
      <c r="AM35" s="976">
        <f t="shared" ref="AM35:BE35" ca="1" si="100">AM34</f>
        <v>0</v>
      </c>
      <c r="AN35" s="976">
        <f t="shared" ca="1" si="100"/>
        <v>0</v>
      </c>
      <c r="AO35" s="976">
        <f t="shared" ca="1" si="100"/>
        <v>0</v>
      </c>
      <c r="AP35" s="976">
        <f t="shared" ca="1" si="100"/>
        <v>0</v>
      </c>
      <c r="AQ35" s="976">
        <f t="shared" ca="1" si="100"/>
        <v>0</v>
      </c>
      <c r="AR35" s="976">
        <f t="shared" ca="1" si="100"/>
        <v>0</v>
      </c>
      <c r="AS35" s="976">
        <f t="shared" ca="1" si="100"/>
        <v>0</v>
      </c>
      <c r="AT35" s="976">
        <f t="shared" ca="1" si="100"/>
        <v>0</v>
      </c>
      <c r="AU35" s="976">
        <f t="shared" ca="1" si="100"/>
        <v>0</v>
      </c>
      <c r="AV35" s="976">
        <f t="shared" ca="1" si="100"/>
        <v>0</v>
      </c>
      <c r="AW35" s="976">
        <f t="shared" ca="1" si="100"/>
        <v>0</v>
      </c>
      <c r="AX35" s="976">
        <f t="shared" ca="1" si="100"/>
        <v>0</v>
      </c>
      <c r="AY35" s="976">
        <f t="shared" ca="1" si="100"/>
        <v>0</v>
      </c>
      <c r="AZ35" s="976">
        <f t="shared" ca="1" si="100"/>
        <v>0</v>
      </c>
      <c r="BA35" s="976">
        <f t="shared" ca="1" si="100"/>
        <v>0</v>
      </c>
      <c r="BB35" s="976">
        <f t="shared" ca="1" si="100"/>
        <v>0</v>
      </c>
      <c r="BC35" s="976">
        <f t="shared" ca="1" si="100"/>
        <v>0</v>
      </c>
      <c r="BD35" s="976">
        <f t="shared" ca="1" si="100"/>
        <v>0</v>
      </c>
      <c r="BE35" s="976">
        <f t="shared" ca="1" si="100"/>
        <v>0</v>
      </c>
      <c r="BF35" s="976">
        <f ca="1">SUM(AM35:BE35)</f>
        <v>0</v>
      </c>
      <c r="BH35" s="990">
        <f ca="1">BH34</f>
        <v>0</v>
      </c>
      <c r="BI35" s="990">
        <f ca="1">BI34</f>
        <v>0</v>
      </c>
      <c r="BJ35" s="990">
        <f ca="1">SUM(BH35:BI35)</f>
        <v>0</v>
      </c>
      <c r="BL35" s="515">
        <f t="shared" ca="1" si="9"/>
        <v>0</v>
      </c>
      <c r="BM35" s="515"/>
      <c r="BN35" s="840"/>
      <c r="BO35" s="1482">
        <f t="shared" ref="BO35:DF35" ca="1" si="101">BO34</f>
        <v>0</v>
      </c>
      <c r="BP35" s="1482">
        <f t="shared" ca="1" si="101"/>
        <v>0</v>
      </c>
      <c r="BQ35" s="1482">
        <f t="shared" ca="1" si="101"/>
        <v>0</v>
      </c>
      <c r="BR35" s="1482">
        <f t="shared" ca="1" si="101"/>
        <v>0</v>
      </c>
      <c r="BS35" s="1482">
        <f t="shared" ca="1" si="101"/>
        <v>0</v>
      </c>
      <c r="BT35" s="1482">
        <f t="shared" ca="1" si="101"/>
        <v>0</v>
      </c>
      <c r="BU35" s="1482">
        <f t="shared" ca="1" si="101"/>
        <v>0</v>
      </c>
      <c r="BV35" s="1482">
        <f t="shared" ca="1" si="101"/>
        <v>0</v>
      </c>
      <c r="BW35" s="1482">
        <f t="shared" ca="1" si="101"/>
        <v>0</v>
      </c>
      <c r="BX35" s="1482">
        <f t="shared" ca="1" si="101"/>
        <v>0</v>
      </c>
      <c r="BY35" s="1482">
        <f t="shared" ca="1" si="101"/>
        <v>0</v>
      </c>
      <c r="BZ35" s="1482">
        <f t="shared" ca="1" si="101"/>
        <v>0</v>
      </c>
      <c r="CA35" s="1482">
        <f t="shared" ca="1" si="101"/>
        <v>0</v>
      </c>
      <c r="CB35" s="1482">
        <f t="shared" ca="1" si="101"/>
        <v>0</v>
      </c>
      <c r="CC35" s="1482">
        <f t="shared" ca="1" si="101"/>
        <v>0</v>
      </c>
      <c r="CD35" s="1482">
        <f t="shared" ca="1" si="101"/>
        <v>0</v>
      </c>
      <c r="CE35" s="1482">
        <f t="shared" ca="1" si="101"/>
        <v>0</v>
      </c>
      <c r="CF35" s="1482">
        <f t="shared" ca="1" si="101"/>
        <v>0</v>
      </c>
      <c r="CG35" s="1482">
        <f t="shared" ca="1" si="101"/>
        <v>0</v>
      </c>
      <c r="CH35" s="1482">
        <f t="shared" ca="1" si="101"/>
        <v>0</v>
      </c>
      <c r="CI35" s="1482">
        <f t="shared" ca="1" si="101"/>
        <v>0</v>
      </c>
      <c r="CJ35" s="1482">
        <f t="shared" ca="1" si="101"/>
        <v>0</v>
      </c>
      <c r="CK35" s="1482">
        <f t="shared" ca="1" si="101"/>
        <v>0</v>
      </c>
      <c r="CL35" s="1482">
        <f t="shared" ca="1" si="101"/>
        <v>0</v>
      </c>
      <c r="CM35" s="1482">
        <f t="shared" ca="1" si="101"/>
        <v>0</v>
      </c>
      <c r="CN35" s="1482">
        <f t="shared" ca="1" si="101"/>
        <v>0</v>
      </c>
      <c r="CO35" s="1482">
        <f t="shared" ca="1" si="101"/>
        <v>0</v>
      </c>
      <c r="CP35" s="1482">
        <f t="shared" ca="1" si="101"/>
        <v>0</v>
      </c>
      <c r="CQ35" s="1482">
        <f t="shared" ca="1" si="101"/>
        <v>0</v>
      </c>
      <c r="CR35" s="1482">
        <f t="shared" ca="1" si="101"/>
        <v>0</v>
      </c>
      <c r="CS35" s="1482">
        <f t="shared" ca="1" si="101"/>
        <v>0</v>
      </c>
      <c r="CT35" s="1482">
        <f t="shared" ca="1" si="101"/>
        <v>0</v>
      </c>
      <c r="CU35" s="1482">
        <f t="shared" ca="1" si="101"/>
        <v>0</v>
      </c>
      <c r="CV35" s="1482">
        <f t="shared" ca="1" si="101"/>
        <v>0</v>
      </c>
      <c r="CW35" s="1482">
        <f t="shared" ca="1" si="101"/>
        <v>0</v>
      </c>
      <c r="CX35" s="1482">
        <f t="shared" ca="1" si="101"/>
        <v>0</v>
      </c>
      <c r="CY35" s="1482">
        <f t="shared" ca="1" si="101"/>
        <v>0</v>
      </c>
      <c r="CZ35" s="1482">
        <f t="shared" ca="1" si="101"/>
        <v>0</v>
      </c>
      <c r="DA35" s="1482">
        <f t="shared" ca="1" si="101"/>
        <v>0</v>
      </c>
      <c r="DB35" s="1482">
        <f t="shared" ca="1" si="101"/>
        <v>0</v>
      </c>
      <c r="DC35" s="1482">
        <f t="shared" ca="1" si="101"/>
        <v>0</v>
      </c>
      <c r="DD35" s="1482">
        <f t="shared" ca="1" si="101"/>
        <v>0</v>
      </c>
      <c r="DE35" s="1482">
        <f t="shared" ca="1" si="101"/>
        <v>0</v>
      </c>
      <c r="DF35" s="1482">
        <f t="shared" ca="1" si="101"/>
        <v>0</v>
      </c>
      <c r="DH35" s="838">
        <f t="shared" ca="1" si="36"/>
        <v>0</v>
      </c>
    </row>
    <row r="36" spans="1:112" s="743" customFormat="1" ht="12.75" hidden="1" customHeight="1" outlineLevel="1">
      <c r="A36" s="22"/>
      <c r="B36" s="22"/>
      <c r="C36" s="751"/>
      <c r="D36" s="512"/>
      <c r="E36" s="512"/>
      <c r="G36" s="1021"/>
      <c r="H36" s="1021"/>
      <c r="I36" s="1021"/>
      <c r="J36" s="1021"/>
      <c r="K36" s="1021"/>
      <c r="L36" s="1021"/>
      <c r="M36" s="1021"/>
      <c r="N36" s="1021"/>
      <c r="O36" s="1021"/>
      <c r="P36" s="1021"/>
      <c r="Q36" s="1021"/>
      <c r="S36" s="970"/>
      <c r="T36" s="970"/>
      <c r="U36" s="970"/>
      <c r="V36" s="970"/>
      <c r="W36" s="970"/>
      <c r="X36" s="970"/>
      <c r="Y36" s="970"/>
      <c r="Z36" s="970"/>
      <c r="AA36" s="970"/>
      <c r="AB36" s="970"/>
      <c r="AC36" s="970"/>
      <c r="AD36" s="970"/>
      <c r="AE36" s="970"/>
      <c r="AF36" s="970"/>
      <c r="AG36" s="970"/>
      <c r="AH36" s="970"/>
      <c r="AI36" s="970"/>
      <c r="AJ36" s="970"/>
      <c r="AK36" s="970"/>
      <c r="AM36" s="976"/>
      <c r="AN36" s="976"/>
      <c r="AO36" s="976"/>
      <c r="AP36" s="976"/>
      <c r="AQ36" s="976"/>
      <c r="AR36" s="976"/>
      <c r="AS36" s="976"/>
      <c r="AT36" s="976"/>
      <c r="AU36" s="976"/>
      <c r="AV36" s="976"/>
      <c r="AW36" s="976"/>
      <c r="AX36" s="976"/>
      <c r="AY36" s="976"/>
      <c r="AZ36" s="976"/>
      <c r="BA36" s="976"/>
      <c r="BB36" s="976"/>
      <c r="BC36" s="976"/>
      <c r="BD36" s="976"/>
      <c r="BE36" s="976"/>
      <c r="BF36" s="976"/>
      <c r="BH36" s="990"/>
      <c r="BI36" s="990"/>
      <c r="BJ36" s="990"/>
      <c r="BL36" s="515">
        <f t="shared" si="9"/>
        <v>0</v>
      </c>
      <c r="BM36" s="515"/>
      <c r="BN36" s="22"/>
      <c r="BO36" s="1481"/>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H36" s="838">
        <f t="shared" si="36"/>
        <v>0</v>
      </c>
    </row>
    <row r="37" spans="1:112" s="743" customFormat="1" ht="12.75" hidden="1" customHeight="1" outlineLevel="1">
      <c r="A37" s="1484"/>
      <c r="B37" s="1484"/>
      <c r="C37" s="746" t="s">
        <v>962</v>
      </c>
      <c r="D37" s="1010" t="str">
        <f>INDEX(Modules[Module], MATCH($C37, Modules[Code], 0))</f>
        <v>Geosequestration</v>
      </c>
      <c r="E37" s="1010"/>
      <c r="G37" s="1022">
        <f t="shared" ref="G37:P37" ca="1" si="102">IFERROR(INDEX(INDIRECT($C37&amp;".Outputs["&amp;this.Year&amp;"]"), MATCH(G$5, INDIRECT($C37&amp;".Outputs[Vector]"), 0)), 0)</f>
        <v>0</v>
      </c>
      <c r="H37" s="1022">
        <f t="shared" ca="1" si="102"/>
        <v>0</v>
      </c>
      <c r="I37" s="1022">
        <f t="shared" ca="1" si="102"/>
        <v>0</v>
      </c>
      <c r="J37" s="1022">
        <f t="shared" ca="1" si="102"/>
        <v>0</v>
      </c>
      <c r="K37" s="1022">
        <f t="shared" ca="1" si="102"/>
        <v>0</v>
      </c>
      <c r="L37" s="1022">
        <f t="shared" ca="1" si="102"/>
        <v>0</v>
      </c>
      <c r="M37" s="1022">
        <f t="shared" ca="1" si="102"/>
        <v>0</v>
      </c>
      <c r="N37" s="1022">
        <f t="shared" ca="1" si="102"/>
        <v>0</v>
      </c>
      <c r="O37" s="1022">
        <f t="shared" ca="1" si="102"/>
        <v>0</v>
      </c>
      <c r="P37" s="1022">
        <f t="shared" ca="1" si="102"/>
        <v>0</v>
      </c>
      <c r="Q37" s="1020">
        <f ca="1">SUM(G37:P37)</f>
        <v>0</v>
      </c>
      <c r="S37" s="1031">
        <f t="shared" ref="S37:BE37" ca="1" si="103">IFERROR(INDEX(INDIRECT($C37&amp;".Outputs["&amp;this.Year&amp;"]"), MATCH(S$5, INDIRECT($C37&amp;".Outputs[Vector]"), 0)), 0)</f>
        <v>0</v>
      </c>
      <c r="T37" s="1031">
        <f t="shared" ca="1" si="103"/>
        <v>0</v>
      </c>
      <c r="U37" s="1031">
        <f t="shared" ca="1" si="103"/>
        <v>0</v>
      </c>
      <c r="V37" s="1031">
        <f t="shared" ca="1" si="103"/>
        <v>0</v>
      </c>
      <c r="W37" s="1031">
        <f t="shared" ca="1" si="103"/>
        <v>0</v>
      </c>
      <c r="X37" s="1031">
        <f ca="1">IFERROR(INDEX(INDIRECT($C37&amp;".Outputs["&amp;this.Year&amp;"]"), MATCH(X$5, INDIRECT($C37&amp;".Outputs[Vector]"), 0)), 0)</f>
        <v>0</v>
      </c>
      <c r="Y37" s="1031">
        <f ca="1">IFERROR(INDEX(INDIRECT($C37&amp;".Outputs["&amp;this.Year&amp;"]"), MATCH(Y$5, INDIRECT($C37&amp;".Outputs[Vector]"), 0)), 0)</f>
        <v>0</v>
      </c>
      <c r="Z37" s="1031">
        <f ca="1">IFERROR(INDEX(INDIRECT($C37&amp;".Outputs["&amp;this.Year&amp;"]"), MATCH(Z$5, INDIRECT($C37&amp;".Outputs[Vector]"), 0)), 0)</f>
        <v>0</v>
      </c>
      <c r="AA37" s="1031">
        <f t="shared" ca="1" si="103"/>
        <v>0</v>
      </c>
      <c r="AB37" s="1031">
        <f t="shared" ca="1" si="103"/>
        <v>0</v>
      </c>
      <c r="AC37" s="1031">
        <f t="shared" ca="1" si="103"/>
        <v>0</v>
      </c>
      <c r="AD37" s="1031">
        <f t="shared" ca="1" si="103"/>
        <v>0</v>
      </c>
      <c r="AE37" s="1031">
        <f t="shared" ca="1" si="103"/>
        <v>0</v>
      </c>
      <c r="AF37" s="1031">
        <f t="shared" ca="1" si="103"/>
        <v>0</v>
      </c>
      <c r="AG37" s="1031">
        <f t="shared" ca="1" si="103"/>
        <v>0</v>
      </c>
      <c r="AH37" s="1031">
        <f t="shared" ca="1" si="103"/>
        <v>0</v>
      </c>
      <c r="AI37" s="1031">
        <f t="shared" ca="1" si="103"/>
        <v>0</v>
      </c>
      <c r="AJ37" s="1031">
        <f t="shared" ca="1" si="103"/>
        <v>0</v>
      </c>
      <c r="AK37" s="1030">
        <f ca="1">SUM(S37:AJ37)</f>
        <v>0</v>
      </c>
      <c r="AM37" s="1042">
        <f t="shared" ref="AM37:AU37" ca="1" si="104">IFERROR(INDEX(INDIRECT($C37&amp;".Outputs["&amp;this.Year&amp;"]"), MATCH(AM$5, INDIRECT($C37&amp;".Outputs[Vector]"), 0)), 0)</f>
        <v>0</v>
      </c>
      <c r="AN37" s="1042">
        <f t="shared" ca="1" si="104"/>
        <v>0</v>
      </c>
      <c r="AO37" s="1042">
        <f t="shared" ca="1" si="104"/>
        <v>0</v>
      </c>
      <c r="AP37" s="1042">
        <f t="shared" ca="1" si="104"/>
        <v>0</v>
      </c>
      <c r="AQ37" s="1042">
        <f t="shared" ca="1" si="104"/>
        <v>0</v>
      </c>
      <c r="AR37" s="1042">
        <f t="shared" ca="1" si="104"/>
        <v>0</v>
      </c>
      <c r="AS37" s="1042">
        <f t="shared" ca="1" si="104"/>
        <v>0</v>
      </c>
      <c r="AT37" s="1042">
        <f t="shared" ca="1" si="104"/>
        <v>0</v>
      </c>
      <c r="AU37" s="1042">
        <f t="shared" ca="1" si="104"/>
        <v>0</v>
      </c>
      <c r="AV37" s="1042">
        <f t="shared" ca="1" si="103"/>
        <v>0</v>
      </c>
      <c r="AW37" s="1042">
        <f t="shared" ca="1" si="103"/>
        <v>0</v>
      </c>
      <c r="AX37" s="1042">
        <f t="shared" ca="1" si="103"/>
        <v>0</v>
      </c>
      <c r="AY37" s="1042">
        <f t="shared" ca="1" si="103"/>
        <v>0</v>
      </c>
      <c r="AZ37" s="1042">
        <f t="shared" ca="1" si="103"/>
        <v>0</v>
      </c>
      <c r="BA37" s="1042">
        <f t="shared" ca="1" si="103"/>
        <v>0</v>
      </c>
      <c r="BB37" s="1042">
        <f t="shared" ca="1" si="103"/>
        <v>0</v>
      </c>
      <c r="BC37" s="1042">
        <f t="shared" ca="1" si="103"/>
        <v>0</v>
      </c>
      <c r="BD37" s="1042">
        <f t="shared" ca="1" si="103"/>
        <v>0</v>
      </c>
      <c r="BE37" s="1042">
        <f t="shared" ca="1" si="103"/>
        <v>0</v>
      </c>
      <c r="BF37" s="1012">
        <f ca="1">SUM(AM37:BE37)</f>
        <v>0</v>
      </c>
      <c r="BH37" s="1036">
        <f ca="1">IFERROR(INDEX(INDIRECT($C37&amp;".Outputs["&amp;this.Year&amp;"]"), MATCH(BH$5, INDIRECT($C37&amp;".Outputs[Vector]"), 0)), 0)</f>
        <v>0</v>
      </c>
      <c r="BI37" s="1036">
        <f ca="1">IFERROR(INDEX(INDIRECT($C37&amp;".Outputs["&amp;this.Year&amp;"]"), MATCH(BI$5, INDIRECT($C37&amp;".Outputs[Vector]"), 0)), 0)</f>
        <v>0</v>
      </c>
      <c r="BJ37" s="1035">
        <f ca="1">SUM(BH37:BI37)</f>
        <v>0</v>
      </c>
      <c r="BL37" s="814">
        <f t="shared" ca="1" si="9"/>
        <v>0</v>
      </c>
      <c r="BM37" s="814"/>
      <c r="BN37" s="840"/>
      <c r="BO37" s="1485">
        <f t="shared" ref="BO37:DF37" ca="1" si="105">IFERROR(SUMIFS(INDIRECT($C37&amp;".Emissions["&amp;this.Year&amp;"]"), INDIRECT($C37&amp;".Emissions[GHG]"), BO$6, INDIRECT($C37&amp;".Emissions[IPCC Sector]"), BO$5),0)</f>
        <v>0</v>
      </c>
      <c r="BP37" s="1486">
        <f t="shared" ca="1" si="105"/>
        <v>0</v>
      </c>
      <c r="BQ37" s="1486">
        <f t="shared" ca="1" si="105"/>
        <v>0</v>
      </c>
      <c r="BR37" s="1486">
        <f t="shared" ca="1" si="105"/>
        <v>0</v>
      </c>
      <c r="BS37" s="1486">
        <f t="shared" ca="1" si="105"/>
        <v>0</v>
      </c>
      <c r="BT37" s="1486">
        <f t="shared" ca="1" si="105"/>
        <v>0</v>
      </c>
      <c r="BU37" s="1486">
        <f t="shared" ca="1" si="105"/>
        <v>0</v>
      </c>
      <c r="BV37" s="1486">
        <f t="shared" ca="1" si="105"/>
        <v>0</v>
      </c>
      <c r="BW37" s="1486">
        <f t="shared" ca="1" si="105"/>
        <v>0</v>
      </c>
      <c r="BX37" s="1486">
        <f t="shared" ca="1" si="105"/>
        <v>0</v>
      </c>
      <c r="BY37" s="1486">
        <f t="shared" ca="1" si="105"/>
        <v>0</v>
      </c>
      <c r="BZ37" s="1486">
        <f t="shared" ca="1" si="105"/>
        <v>0</v>
      </c>
      <c r="CA37" s="1486">
        <f t="shared" ca="1" si="105"/>
        <v>0</v>
      </c>
      <c r="CB37" s="1486">
        <f t="shared" ca="1" si="105"/>
        <v>0</v>
      </c>
      <c r="CC37" s="1486">
        <f t="shared" ca="1" si="105"/>
        <v>0</v>
      </c>
      <c r="CD37" s="1486">
        <f t="shared" ca="1" si="105"/>
        <v>0</v>
      </c>
      <c r="CE37" s="1486">
        <f t="shared" ca="1" si="105"/>
        <v>0</v>
      </c>
      <c r="CF37" s="1486">
        <f t="shared" ca="1" si="105"/>
        <v>0</v>
      </c>
      <c r="CG37" s="1486">
        <f t="shared" ca="1" si="105"/>
        <v>0</v>
      </c>
      <c r="CH37" s="1486">
        <f t="shared" ca="1" si="105"/>
        <v>0</v>
      </c>
      <c r="CI37" s="1486">
        <f t="shared" ca="1" si="105"/>
        <v>0</v>
      </c>
      <c r="CJ37" s="1486">
        <f t="shared" ca="1" si="105"/>
        <v>0</v>
      </c>
      <c r="CK37" s="1486">
        <f t="shared" ca="1" si="105"/>
        <v>0</v>
      </c>
      <c r="CL37" s="1486">
        <f t="shared" ca="1" si="105"/>
        <v>0</v>
      </c>
      <c r="CM37" s="1486">
        <f t="shared" ca="1" si="105"/>
        <v>0</v>
      </c>
      <c r="CN37" s="1486">
        <f t="shared" ca="1" si="105"/>
        <v>0</v>
      </c>
      <c r="CO37" s="1486">
        <f t="shared" ca="1" si="105"/>
        <v>0</v>
      </c>
      <c r="CP37" s="1486">
        <f t="shared" ca="1" si="105"/>
        <v>0</v>
      </c>
      <c r="CQ37" s="1486">
        <f t="shared" ca="1" si="105"/>
        <v>0</v>
      </c>
      <c r="CR37" s="1486">
        <f t="shared" ca="1" si="105"/>
        <v>0</v>
      </c>
      <c r="CS37" s="1486">
        <f t="shared" ca="1" si="105"/>
        <v>0</v>
      </c>
      <c r="CT37" s="1486">
        <f t="shared" ca="1" si="105"/>
        <v>0</v>
      </c>
      <c r="CU37" s="1486">
        <f t="shared" ca="1" si="105"/>
        <v>0</v>
      </c>
      <c r="CV37" s="1486">
        <f t="shared" ca="1" si="105"/>
        <v>0</v>
      </c>
      <c r="CW37" s="1486">
        <f t="shared" ca="1" si="105"/>
        <v>0</v>
      </c>
      <c r="CX37" s="1486">
        <f t="shared" ca="1" si="105"/>
        <v>0</v>
      </c>
      <c r="CY37" s="1486">
        <f t="shared" ca="1" si="105"/>
        <v>0</v>
      </c>
      <c r="CZ37" s="1486">
        <f t="shared" ca="1" si="105"/>
        <v>0</v>
      </c>
      <c r="DA37" s="1486">
        <f t="shared" ca="1" si="105"/>
        <v>0</v>
      </c>
      <c r="DB37" s="1486">
        <f t="shared" ca="1" si="105"/>
        <v>0</v>
      </c>
      <c r="DC37" s="1486">
        <f t="shared" ca="1" si="105"/>
        <v>0</v>
      </c>
      <c r="DD37" s="1486">
        <f t="shared" ca="1" si="105"/>
        <v>0</v>
      </c>
      <c r="DE37" s="1486">
        <f t="shared" ca="1" si="105"/>
        <v>0</v>
      </c>
      <c r="DF37" s="1486">
        <f t="shared" ca="1" si="105"/>
        <v>0</v>
      </c>
      <c r="DH37" s="838">
        <f t="shared" ca="1" si="36"/>
        <v>0</v>
      </c>
    </row>
    <row r="38" spans="1:112" s="743" customFormat="1" ht="15.75" collapsed="1">
      <c r="A38" s="22"/>
      <c r="B38" s="753"/>
      <c r="C38" s="744" t="s">
        <v>675</v>
      </c>
      <c r="D38" s="517" t="str">
        <f>INDEX(Workstreams[Workstream], MATCH($C38, Workstreams[Code], 0))</f>
        <v>Geosequestration</v>
      </c>
      <c r="E38" s="512"/>
      <c r="G38" s="1021">
        <f ca="1">G37</f>
        <v>0</v>
      </c>
      <c r="H38" s="1021">
        <f t="shared" ref="H38:P38" ca="1" si="106">H37</f>
        <v>0</v>
      </c>
      <c r="I38" s="1021">
        <f t="shared" ca="1" si="106"/>
        <v>0</v>
      </c>
      <c r="J38" s="1021">
        <f t="shared" ca="1" si="106"/>
        <v>0</v>
      </c>
      <c r="K38" s="1021">
        <f t="shared" ca="1" si="106"/>
        <v>0</v>
      </c>
      <c r="L38" s="1021">
        <f t="shared" ca="1" si="106"/>
        <v>0</v>
      </c>
      <c r="M38" s="1021">
        <f t="shared" ca="1" si="106"/>
        <v>0</v>
      </c>
      <c r="N38" s="1021">
        <f t="shared" ca="1" si="106"/>
        <v>0</v>
      </c>
      <c r="O38" s="1021">
        <f t="shared" ca="1" si="106"/>
        <v>0</v>
      </c>
      <c r="P38" s="1021">
        <f t="shared" ca="1" si="106"/>
        <v>0</v>
      </c>
      <c r="Q38" s="1021">
        <f ca="1">SUM(G38:P38)</f>
        <v>0</v>
      </c>
      <c r="S38" s="970">
        <f t="shared" ref="S38:AJ38" ca="1" si="107">S37</f>
        <v>0</v>
      </c>
      <c r="T38" s="970">
        <f t="shared" ca="1" si="107"/>
        <v>0</v>
      </c>
      <c r="U38" s="970">
        <f t="shared" ca="1" si="107"/>
        <v>0</v>
      </c>
      <c r="V38" s="970">
        <f t="shared" ca="1" si="107"/>
        <v>0</v>
      </c>
      <c r="W38" s="970">
        <f t="shared" ca="1" si="107"/>
        <v>0</v>
      </c>
      <c r="X38" s="970">
        <f ca="1">X37</f>
        <v>0</v>
      </c>
      <c r="Y38" s="970">
        <f ca="1">Y37</f>
        <v>0</v>
      </c>
      <c r="Z38" s="970">
        <f ca="1">Z37</f>
        <v>0</v>
      </c>
      <c r="AA38" s="970">
        <f t="shared" ca="1" si="107"/>
        <v>0</v>
      </c>
      <c r="AB38" s="970">
        <f t="shared" ca="1" si="107"/>
        <v>0</v>
      </c>
      <c r="AC38" s="970">
        <f t="shared" ca="1" si="107"/>
        <v>0</v>
      </c>
      <c r="AD38" s="970">
        <f ca="1">AD37</f>
        <v>0</v>
      </c>
      <c r="AE38" s="970">
        <f ca="1">AE37</f>
        <v>0</v>
      </c>
      <c r="AF38" s="970">
        <f t="shared" ca="1" si="107"/>
        <v>0</v>
      </c>
      <c r="AG38" s="970">
        <f ca="1">AG37</f>
        <v>0</v>
      </c>
      <c r="AH38" s="970">
        <f ca="1">AH37</f>
        <v>0</v>
      </c>
      <c r="AI38" s="970">
        <f ca="1">AI37</f>
        <v>0</v>
      </c>
      <c r="AJ38" s="970">
        <f t="shared" ca="1" si="107"/>
        <v>0</v>
      </c>
      <c r="AK38" s="970">
        <f ca="1">SUM(S38:AJ38)</f>
        <v>0</v>
      </c>
      <c r="AM38" s="976">
        <f t="shared" ref="AM38:AS38" ca="1" si="108">AM37</f>
        <v>0</v>
      </c>
      <c r="AN38" s="976">
        <f t="shared" ca="1" si="108"/>
        <v>0</v>
      </c>
      <c r="AO38" s="976">
        <f t="shared" ca="1" si="108"/>
        <v>0</v>
      </c>
      <c r="AP38" s="976">
        <f t="shared" ca="1" si="108"/>
        <v>0</v>
      </c>
      <c r="AQ38" s="976">
        <f t="shared" ca="1" si="108"/>
        <v>0</v>
      </c>
      <c r="AR38" s="976">
        <f t="shared" ca="1" si="108"/>
        <v>0</v>
      </c>
      <c r="AS38" s="976">
        <f t="shared" ca="1" si="108"/>
        <v>0</v>
      </c>
      <c r="AT38" s="976">
        <f t="shared" ref="AT38:BE38" ca="1" si="109">AT37</f>
        <v>0</v>
      </c>
      <c r="AU38" s="976">
        <f t="shared" ca="1" si="109"/>
        <v>0</v>
      </c>
      <c r="AV38" s="976">
        <f t="shared" ca="1" si="109"/>
        <v>0</v>
      </c>
      <c r="AW38" s="976">
        <f t="shared" ca="1" si="109"/>
        <v>0</v>
      </c>
      <c r="AX38" s="976">
        <f t="shared" ca="1" si="109"/>
        <v>0</v>
      </c>
      <c r="AY38" s="976">
        <f t="shared" ca="1" si="109"/>
        <v>0</v>
      </c>
      <c r="AZ38" s="976">
        <f t="shared" ca="1" si="109"/>
        <v>0</v>
      </c>
      <c r="BA38" s="976">
        <f t="shared" ca="1" si="109"/>
        <v>0</v>
      </c>
      <c r="BB38" s="976">
        <f t="shared" ca="1" si="109"/>
        <v>0</v>
      </c>
      <c r="BC38" s="976">
        <f t="shared" ca="1" si="109"/>
        <v>0</v>
      </c>
      <c r="BD38" s="976">
        <f t="shared" ca="1" si="109"/>
        <v>0</v>
      </c>
      <c r="BE38" s="976">
        <f t="shared" ca="1" si="109"/>
        <v>0</v>
      </c>
      <c r="BF38" s="976">
        <f ca="1">SUM(AM38:BE38)</f>
        <v>0</v>
      </c>
      <c r="BH38" s="990">
        <f ca="1">BH37</f>
        <v>0</v>
      </c>
      <c r="BI38" s="990">
        <f ca="1">BI37</f>
        <v>0</v>
      </c>
      <c r="BJ38" s="990">
        <f ca="1">SUM(BH38:BI38)</f>
        <v>0</v>
      </c>
      <c r="BL38" s="515">
        <f t="shared" ca="1" si="9"/>
        <v>0</v>
      </c>
      <c r="BM38" s="515"/>
      <c r="BN38" s="840"/>
      <c r="BO38" s="1482">
        <f t="shared" ref="BO38:DF38" ca="1" si="110">BO37</f>
        <v>0</v>
      </c>
      <c r="BP38" s="1482">
        <f t="shared" ca="1" si="110"/>
        <v>0</v>
      </c>
      <c r="BQ38" s="1482">
        <f t="shared" ca="1" si="110"/>
        <v>0</v>
      </c>
      <c r="BR38" s="1482">
        <f t="shared" ca="1" si="110"/>
        <v>0</v>
      </c>
      <c r="BS38" s="1482">
        <f t="shared" ca="1" si="110"/>
        <v>0</v>
      </c>
      <c r="BT38" s="1482">
        <f t="shared" ca="1" si="110"/>
        <v>0</v>
      </c>
      <c r="BU38" s="1482">
        <f t="shared" ca="1" si="110"/>
        <v>0</v>
      </c>
      <c r="BV38" s="1482">
        <f t="shared" ca="1" si="110"/>
        <v>0</v>
      </c>
      <c r="BW38" s="1482">
        <f t="shared" ca="1" si="110"/>
        <v>0</v>
      </c>
      <c r="BX38" s="1482">
        <f t="shared" ca="1" si="110"/>
        <v>0</v>
      </c>
      <c r="BY38" s="1482">
        <f t="shared" ca="1" si="110"/>
        <v>0</v>
      </c>
      <c r="BZ38" s="1482">
        <f t="shared" ca="1" si="110"/>
        <v>0</v>
      </c>
      <c r="CA38" s="1482">
        <f t="shared" ca="1" si="110"/>
        <v>0</v>
      </c>
      <c r="CB38" s="1482">
        <f t="shared" ca="1" si="110"/>
        <v>0</v>
      </c>
      <c r="CC38" s="1482">
        <f t="shared" ca="1" si="110"/>
        <v>0</v>
      </c>
      <c r="CD38" s="1482">
        <f t="shared" ca="1" si="110"/>
        <v>0</v>
      </c>
      <c r="CE38" s="1482">
        <f t="shared" ca="1" si="110"/>
        <v>0</v>
      </c>
      <c r="CF38" s="1482">
        <f t="shared" ca="1" si="110"/>
        <v>0</v>
      </c>
      <c r="CG38" s="1482">
        <f t="shared" ca="1" si="110"/>
        <v>0</v>
      </c>
      <c r="CH38" s="1482">
        <f t="shared" ca="1" si="110"/>
        <v>0</v>
      </c>
      <c r="CI38" s="1482">
        <f t="shared" ca="1" si="110"/>
        <v>0</v>
      </c>
      <c r="CJ38" s="1482">
        <f t="shared" ca="1" si="110"/>
        <v>0</v>
      </c>
      <c r="CK38" s="1482">
        <f t="shared" ca="1" si="110"/>
        <v>0</v>
      </c>
      <c r="CL38" s="1482">
        <f t="shared" ca="1" si="110"/>
        <v>0</v>
      </c>
      <c r="CM38" s="1482">
        <f t="shared" ca="1" si="110"/>
        <v>0</v>
      </c>
      <c r="CN38" s="1482">
        <f t="shared" ca="1" si="110"/>
        <v>0</v>
      </c>
      <c r="CO38" s="1482">
        <f t="shared" ca="1" si="110"/>
        <v>0</v>
      </c>
      <c r="CP38" s="1482">
        <f t="shared" ca="1" si="110"/>
        <v>0</v>
      </c>
      <c r="CQ38" s="1482">
        <f t="shared" ca="1" si="110"/>
        <v>0</v>
      </c>
      <c r="CR38" s="1482">
        <f t="shared" ca="1" si="110"/>
        <v>0</v>
      </c>
      <c r="CS38" s="1482">
        <f t="shared" ca="1" si="110"/>
        <v>0</v>
      </c>
      <c r="CT38" s="1482">
        <f t="shared" ca="1" si="110"/>
        <v>0</v>
      </c>
      <c r="CU38" s="1482">
        <f t="shared" ca="1" si="110"/>
        <v>0</v>
      </c>
      <c r="CV38" s="1482">
        <f t="shared" ca="1" si="110"/>
        <v>0</v>
      </c>
      <c r="CW38" s="1482">
        <f t="shared" ca="1" si="110"/>
        <v>0</v>
      </c>
      <c r="CX38" s="1482">
        <f t="shared" ca="1" si="110"/>
        <v>0</v>
      </c>
      <c r="CY38" s="1482">
        <f t="shared" ca="1" si="110"/>
        <v>0</v>
      </c>
      <c r="CZ38" s="1482">
        <f t="shared" ca="1" si="110"/>
        <v>0</v>
      </c>
      <c r="DA38" s="1482">
        <f t="shared" ca="1" si="110"/>
        <v>0</v>
      </c>
      <c r="DB38" s="1482">
        <f t="shared" ca="1" si="110"/>
        <v>0</v>
      </c>
      <c r="DC38" s="1482">
        <f t="shared" ca="1" si="110"/>
        <v>0</v>
      </c>
      <c r="DD38" s="1482">
        <f t="shared" ca="1" si="110"/>
        <v>0</v>
      </c>
      <c r="DE38" s="1482">
        <f t="shared" ca="1" si="110"/>
        <v>0</v>
      </c>
      <c r="DF38" s="1482">
        <f t="shared" ca="1" si="110"/>
        <v>0</v>
      </c>
      <c r="DH38" s="838">
        <f t="shared" ca="1" si="36"/>
        <v>0</v>
      </c>
    </row>
    <row r="39" spans="1:112" s="743" customFormat="1" ht="6" customHeight="1">
      <c r="C39" s="516"/>
      <c r="D39" s="517"/>
      <c r="E39" s="509"/>
      <c r="G39" s="1021"/>
      <c r="H39" s="1021"/>
      <c r="I39" s="1021"/>
      <c r="J39" s="1021"/>
      <c r="K39" s="1021"/>
      <c r="L39" s="1021"/>
      <c r="M39" s="1021"/>
      <c r="N39" s="1021"/>
      <c r="O39" s="1021"/>
      <c r="P39" s="1021"/>
      <c r="Q39" s="1021"/>
      <c r="S39" s="970"/>
      <c r="T39" s="970"/>
      <c r="U39" s="970"/>
      <c r="V39" s="970"/>
      <c r="W39" s="970"/>
      <c r="X39" s="970"/>
      <c r="Y39" s="970"/>
      <c r="Z39" s="970"/>
      <c r="AA39" s="970"/>
      <c r="AB39" s="970"/>
      <c r="AC39" s="970"/>
      <c r="AD39" s="970"/>
      <c r="AE39" s="970"/>
      <c r="AF39" s="970"/>
      <c r="AG39" s="970"/>
      <c r="AH39" s="970"/>
      <c r="AI39" s="970"/>
      <c r="AJ39" s="970"/>
      <c r="AK39" s="970"/>
      <c r="AM39" s="976"/>
      <c r="AN39" s="976"/>
      <c r="AO39" s="976"/>
      <c r="AP39" s="976"/>
      <c r="AQ39" s="976"/>
      <c r="AR39" s="976"/>
      <c r="AS39" s="976"/>
      <c r="AT39" s="976"/>
      <c r="AU39" s="976"/>
      <c r="AV39" s="976"/>
      <c r="AW39" s="976"/>
      <c r="AX39" s="976"/>
      <c r="AY39" s="976"/>
      <c r="AZ39" s="976"/>
      <c r="BA39" s="976"/>
      <c r="BB39" s="976"/>
      <c r="BC39" s="976"/>
      <c r="BD39" s="976"/>
      <c r="BE39" s="976"/>
      <c r="BF39" s="976">
        <f>SUM(AM39:BE39)</f>
        <v>0</v>
      </c>
      <c r="BH39" s="990"/>
      <c r="BI39" s="990"/>
      <c r="BJ39" s="990"/>
      <c r="BL39" s="515"/>
      <c r="BM39" s="515"/>
      <c r="BO39" s="1482"/>
      <c r="BP39" s="1482"/>
      <c r="BQ39" s="1482"/>
      <c r="BR39" s="1482"/>
      <c r="BS39" s="1482"/>
      <c r="BT39" s="1482"/>
      <c r="BU39" s="1482"/>
      <c r="BV39" s="1482"/>
      <c r="BW39" s="1482"/>
      <c r="BX39" s="1482"/>
      <c r="BY39" s="1482"/>
      <c r="BZ39" s="1482"/>
      <c r="CA39" s="1482"/>
      <c r="CB39" s="1482"/>
      <c r="CC39" s="1482"/>
      <c r="CD39" s="1482"/>
      <c r="CE39" s="1482"/>
      <c r="CF39" s="1482"/>
      <c r="CG39" s="1482"/>
      <c r="CH39" s="1482"/>
      <c r="CI39" s="1482"/>
      <c r="CJ39" s="1482"/>
      <c r="CK39" s="1482"/>
      <c r="CL39" s="1482"/>
      <c r="CM39" s="1482"/>
      <c r="CN39" s="1482"/>
      <c r="CO39" s="1482"/>
      <c r="CP39" s="1482"/>
      <c r="CQ39" s="1482"/>
      <c r="CR39" s="1482"/>
      <c r="CS39" s="1482"/>
      <c r="CT39" s="1482"/>
      <c r="CU39" s="1482"/>
      <c r="CV39" s="1482"/>
      <c r="CW39" s="1482"/>
      <c r="CX39" s="1482"/>
      <c r="CY39" s="1482"/>
      <c r="CZ39" s="1482"/>
      <c r="DA39" s="1482"/>
      <c r="DB39" s="1482"/>
      <c r="DC39" s="1482"/>
      <c r="DD39" s="1482"/>
      <c r="DE39" s="1482"/>
      <c r="DF39" s="1482"/>
      <c r="DH39" s="838"/>
    </row>
    <row r="40" spans="1:112" s="743" customFormat="1" ht="15.75">
      <c r="B40" s="753"/>
      <c r="C40" s="2051" t="s">
        <v>1815</v>
      </c>
      <c r="D40" s="643" t="s">
        <v>619</v>
      </c>
      <c r="E40" s="644"/>
      <c r="G40" s="1023">
        <f t="shared" ref="G40:Q40" ca="1" si="111">G$15+G$19+G$22+G$32+G$35+G$38</f>
        <v>767.71687249176193</v>
      </c>
      <c r="H40" s="1023">
        <f t="shared" ca="1" si="111"/>
        <v>212.82687278526893</v>
      </c>
      <c r="I40" s="1023">
        <f t="shared" ca="1" si="111"/>
        <v>463.85254641550875</v>
      </c>
      <c r="J40" s="1023">
        <f t="shared" ca="1" si="111"/>
        <v>335.84846871256741</v>
      </c>
      <c r="K40" s="1023">
        <f t="shared" ca="1" si="111"/>
        <v>14.422595081474668</v>
      </c>
      <c r="L40" s="1023">
        <f t="shared" ca="1" si="111"/>
        <v>14.785449092646568</v>
      </c>
      <c r="M40" s="1023">
        <f t="shared" ca="1" si="111"/>
        <v>22.496144870285519</v>
      </c>
      <c r="N40" s="1023">
        <f t="shared" ca="1" si="111"/>
        <v>206.26698515563612</v>
      </c>
      <c r="O40" s="1023">
        <f t="shared" ca="1" si="111"/>
        <v>127.59749264150933</v>
      </c>
      <c r="P40" s="1023">
        <f t="shared" ca="1" si="111"/>
        <v>0</v>
      </c>
      <c r="Q40" s="1023">
        <f t="shared" ca="1" si="111"/>
        <v>2165.8134272466596</v>
      </c>
      <c r="S40" s="1014">
        <f t="shared" ref="S40:AJ40" ca="1" si="112">S$15+S$19+S$22+S$32+S$35+S$38</f>
        <v>-440.44606868472897</v>
      </c>
      <c r="T40" s="1014">
        <f t="shared" ca="1" si="112"/>
        <v>0</v>
      </c>
      <c r="U40" s="1014">
        <f t="shared" ca="1" si="112"/>
        <v>-64.310145580416616</v>
      </c>
      <c r="V40" s="1014">
        <f t="shared" ca="1" si="112"/>
        <v>-795.96420721056268</v>
      </c>
      <c r="W40" s="1014">
        <f t="shared" ca="1" si="112"/>
        <v>-856.0034014378366</v>
      </c>
      <c r="X40" s="1014">
        <f ca="1">X$15+X$19+X$22+X$32+X$35+X$38</f>
        <v>0</v>
      </c>
      <c r="Y40" s="1014">
        <f ca="1">Y$15+Y$19+Y$22+Y$32+Y$35+Y$38</f>
        <v>0</v>
      </c>
      <c r="Z40" s="1014">
        <f ca="1">Z$15+Z$19+Z$22+Z$32+Z$35+Z$38</f>
        <v>0</v>
      </c>
      <c r="AA40" s="1014">
        <f t="shared" ca="1" si="112"/>
        <v>0</v>
      </c>
      <c r="AB40" s="1014">
        <f t="shared" ca="1" si="112"/>
        <v>-9.0896043331144991</v>
      </c>
      <c r="AC40" s="1014">
        <f t="shared" ca="1" si="112"/>
        <v>0</v>
      </c>
      <c r="AD40" s="1014">
        <f t="shared" ca="1" si="112"/>
        <v>0</v>
      </c>
      <c r="AE40" s="1014">
        <f t="shared" ca="1" si="112"/>
        <v>0</v>
      </c>
      <c r="AF40" s="1014">
        <f t="shared" ca="1" si="112"/>
        <v>0</v>
      </c>
      <c r="AG40" s="1014">
        <f t="shared" ca="1" si="112"/>
        <v>0</v>
      </c>
      <c r="AH40" s="1014">
        <f t="shared" ca="1" si="112"/>
        <v>0</v>
      </c>
      <c r="AI40" s="1014">
        <f t="shared" ca="1" si="112"/>
        <v>0</v>
      </c>
      <c r="AJ40" s="1014">
        <f t="shared" ca="1" si="112"/>
        <v>0</v>
      </c>
      <c r="AK40" s="1014">
        <f ca="1">SUM(S40:AJ40)</f>
        <v>-2165.8134272466591</v>
      </c>
      <c r="AM40" s="1015">
        <f t="shared" ref="AM40:BE40" ca="1" si="113">AM$15+AM$19+AM$22+AM$32+AM$35+AM$38</f>
        <v>0</v>
      </c>
      <c r="AN40" s="1015">
        <f t="shared" ca="1" si="113"/>
        <v>0</v>
      </c>
      <c r="AO40" s="1015">
        <f t="shared" ca="1" si="113"/>
        <v>0</v>
      </c>
      <c r="AP40" s="1015">
        <f t="shared" ca="1" si="113"/>
        <v>0</v>
      </c>
      <c r="AQ40" s="1015">
        <f t="shared" ca="1" si="113"/>
        <v>0</v>
      </c>
      <c r="AR40" s="1015">
        <f t="shared" ca="1" si="113"/>
        <v>0</v>
      </c>
      <c r="AS40" s="1015">
        <f t="shared" ca="1" si="113"/>
        <v>0</v>
      </c>
      <c r="AT40" s="1015">
        <f t="shared" ca="1" si="113"/>
        <v>0</v>
      </c>
      <c r="AU40" s="1015">
        <f t="shared" ca="1" si="113"/>
        <v>0</v>
      </c>
      <c r="AV40" s="1015">
        <f t="shared" ca="1" si="113"/>
        <v>0</v>
      </c>
      <c r="AW40" s="1015">
        <f t="shared" ca="1" si="113"/>
        <v>0</v>
      </c>
      <c r="AX40" s="1015">
        <f t="shared" ca="1" si="113"/>
        <v>0</v>
      </c>
      <c r="AY40" s="1015">
        <f t="shared" ca="1" si="113"/>
        <v>0</v>
      </c>
      <c r="AZ40" s="1015">
        <f t="shared" ca="1" si="113"/>
        <v>0</v>
      </c>
      <c r="BA40" s="1015">
        <f t="shared" ca="1" si="113"/>
        <v>0</v>
      </c>
      <c r="BB40" s="1015">
        <f t="shared" ca="1" si="113"/>
        <v>0</v>
      </c>
      <c r="BC40" s="1015">
        <f t="shared" ca="1" si="113"/>
        <v>0</v>
      </c>
      <c r="BD40" s="1015">
        <f t="shared" ca="1" si="113"/>
        <v>0</v>
      </c>
      <c r="BE40" s="1015">
        <f t="shared" ca="1" si="113"/>
        <v>0</v>
      </c>
      <c r="BF40" s="1015">
        <f ca="1">SUM(AM40:BE40)</f>
        <v>0</v>
      </c>
      <c r="BH40" s="1016">
        <f ca="1">BH$15+BH$19+BH$22+BH$32+BH$35+BH$38</f>
        <v>0</v>
      </c>
      <c r="BI40" s="1016">
        <f ca="1">BI$15+BI$19+BI$22+BI$32+BI$35+BI$38</f>
        <v>0</v>
      </c>
      <c r="BJ40" s="1016">
        <f ca="1">SUM(BH40:BI40)</f>
        <v>0</v>
      </c>
      <c r="BL40" s="518">
        <f t="shared" ca="1" si="9"/>
        <v>4.5474735088646412E-13</v>
      </c>
      <c r="BM40" s="518"/>
      <c r="BO40" s="1487">
        <f t="shared" ref="BO40:DF40" ca="1" si="114">BO$15+BO$19+BO$22+BO$32+BO$35+BO$38</f>
        <v>292.83708305668449</v>
      </c>
      <c r="BP40" s="1487">
        <f t="shared" ca="1" si="114"/>
        <v>0.51773120626541491</v>
      </c>
      <c r="BQ40" s="1487">
        <f t="shared" ca="1" si="114"/>
        <v>2.5935631403260762</v>
      </c>
      <c r="BR40" s="1487">
        <f t="shared" ca="1" si="114"/>
        <v>0</v>
      </c>
      <c r="BS40" s="1487">
        <f t="shared" ca="1" si="114"/>
        <v>0</v>
      </c>
      <c r="BT40" s="1487">
        <f t="shared" ca="1" si="114"/>
        <v>0</v>
      </c>
      <c r="BU40" s="1487">
        <f t="shared" ca="1" si="114"/>
        <v>0</v>
      </c>
      <c r="BV40" s="1487">
        <f t="shared" ca="1" si="114"/>
        <v>0</v>
      </c>
      <c r="BW40" s="1487">
        <f t="shared" ca="1" si="114"/>
        <v>14.595047605826055</v>
      </c>
      <c r="BX40" s="1487">
        <f t="shared" ca="1" si="114"/>
        <v>0.10964411416456435</v>
      </c>
      <c r="BY40" s="1487">
        <f t="shared" ca="1" si="114"/>
        <v>2.7597231230198167</v>
      </c>
      <c r="BZ40" s="1487">
        <f t="shared" ca="1" si="114"/>
        <v>5.1255093746608766</v>
      </c>
      <c r="CA40" s="1487">
        <f t="shared" ca="1" si="114"/>
        <v>0</v>
      </c>
      <c r="CB40" s="1487">
        <f t="shared" ca="1" si="114"/>
        <v>0</v>
      </c>
      <c r="CC40" s="1487">
        <f t="shared" ca="1" si="114"/>
        <v>0</v>
      </c>
      <c r="CD40" s="1487">
        <f t="shared" ca="1" si="114"/>
        <v>0</v>
      </c>
      <c r="CE40" s="1487">
        <f t="shared" ca="1" si="114"/>
        <v>0</v>
      </c>
      <c r="CF40" s="1487">
        <f t="shared" ca="1" si="114"/>
        <v>0</v>
      </c>
      <c r="CG40" s="1487">
        <f t="shared" ca="1" si="114"/>
        <v>0</v>
      </c>
      <c r="CH40" s="1487">
        <f t="shared" ca="1" si="114"/>
        <v>0</v>
      </c>
      <c r="CI40" s="1487">
        <f t="shared" ca="1" si="114"/>
        <v>0</v>
      </c>
      <c r="CJ40" s="1487">
        <f t="shared" ca="1" si="114"/>
        <v>0</v>
      </c>
      <c r="CK40" s="1487">
        <f t="shared" ca="1" si="114"/>
        <v>0</v>
      </c>
      <c r="CL40" s="1487">
        <f t="shared" ca="1" si="114"/>
        <v>0</v>
      </c>
      <c r="CM40" s="1487">
        <f t="shared" ca="1" si="114"/>
        <v>0</v>
      </c>
      <c r="CN40" s="1487">
        <f t="shared" ca="1" si="114"/>
        <v>0</v>
      </c>
      <c r="CO40" s="1487">
        <f t="shared" ca="1" si="114"/>
        <v>0</v>
      </c>
      <c r="CP40" s="1487">
        <f t="shared" ca="1" si="114"/>
        <v>0</v>
      </c>
      <c r="CQ40" s="1487">
        <f t="shared" ca="1" si="114"/>
        <v>0</v>
      </c>
      <c r="CR40" s="1487">
        <f t="shared" ca="1" si="114"/>
        <v>0</v>
      </c>
      <c r="CS40" s="1487">
        <f t="shared" ca="1" si="114"/>
        <v>0</v>
      </c>
      <c r="CT40" s="1487">
        <f t="shared" ca="1" si="114"/>
        <v>0</v>
      </c>
      <c r="CU40" s="1487">
        <f t="shared" ca="1" si="114"/>
        <v>83.466119449286367</v>
      </c>
      <c r="CV40" s="1487">
        <f t="shared" ca="1" si="114"/>
        <v>0.10391498921089107</v>
      </c>
      <c r="CW40" s="1487">
        <f t="shared" ca="1" si="114"/>
        <v>1.5017265185361195</v>
      </c>
      <c r="CX40" s="1487">
        <f t="shared" ca="1" si="114"/>
        <v>0</v>
      </c>
      <c r="CY40" s="1487">
        <f t="shared" ca="1" si="114"/>
        <v>0</v>
      </c>
      <c r="CZ40" s="1487">
        <f t="shared" ca="1" si="114"/>
        <v>0</v>
      </c>
      <c r="DA40" s="1487">
        <f t="shared" ca="1" si="114"/>
        <v>0</v>
      </c>
      <c r="DB40" s="1487">
        <f t="shared" ca="1" si="114"/>
        <v>0</v>
      </c>
      <c r="DC40" s="1487">
        <f t="shared" ca="1" si="114"/>
        <v>0</v>
      </c>
      <c r="DD40" s="1487">
        <f t="shared" ca="1" si="114"/>
        <v>0</v>
      </c>
      <c r="DE40" s="1487">
        <f t="shared" ca="1" si="114"/>
        <v>0</v>
      </c>
      <c r="DF40" s="1487">
        <f t="shared" ca="1" si="114"/>
        <v>0</v>
      </c>
      <c r="DH40" s="835">
        <f ca="1">SUM(BO40:DF40)</f>
        <v>403.61006257798056</v>
      </c>
    </row>
    <row r="41" spans="1:112" s="743" customFormat="1" ht="6" customHeight="1">
      <c r="C41" s="509"/>
      <c r="D41" s="509"/>
      <c r="E41" s="509"/>
      <c r="G41" s="958"/>
      <c r="H41" s="958"/>
      <c r="I41" s="958"/>
      <c r="J41" s="958"/>
      <c r="K41" s="960"/>
      <c r="L41" s="958"/>
      <c r="M41" s="958"/>
      <c r="N41" s="958"/>
      <c r="O41" s="958"/>
      <c r="P41" s="958"/>
      <c r="Q41" s="958"/>
      <c r="S41" s="970"/>
      <c r="T41" s="970"/>
      <c r="U41" s="970"/>
      <c r="V41" s="970"/>
      <c r="W41" s="970"/>
      <c r="X41" s="970"/>
      <c r="Y41" s="970"/>
      <c r="Z41" s="970"/>
      <c r="AA41" s="970"/>
      <c r="AB41" s="970"/>
      <c r="AC41" s="970"/>
      <c r="AD41" s="970"/>
      <c r="AE41" s="970"/>
      <c r="AF41" s="970"/>
      <c r="AG41" s="970"/>
      <c r="AH41" s="970"/>
      <c r="AI41" s="970"/>
      <c r="AJ41" s="970"/>
      <c r="AK41" s="970"/>
      <c r="AM41" s="976"/>
      <c r="AN41" s="976"/>
      <c r="AO41" s="976"/>
      <c r="AP41" s="976"/>
      <c r="AQ41" s="976"/>
      <c r="AR41" s="976"/>
      <c r="AS41" s="976"/>
      <c r="AT41" s="976"/>
      <c r="AU41" s="976"/>
      <c r="AV41" s="976"/>
      <c r="AW41" s="976"/>
      <c r="AX41" s="976"/>
      <c r="AY41" s="976"/>
      <c r="AZ41" s="976"/>
      <c r="BA41" s="976"/>
      <c r="BB41" s="976"/>
      <c r="BC41" s="976"/>
      <c r="BD41" s="976"/>
      <c r="BE41" s="976"/>
      <c r="BF41" s="976"/>
      <c r="BH41" s="990"/>
      <c r="BI41" s="990"/>
      <c r="BJ41" s="990"/>
      <c r="BL41" s="515">
        <f t="shared" si="9"/>
        <v>0</v>
      </c>
      <c r="BM41" s="515"/>
      <c r="BO41" s="1482"/>
      <c r="BP41" s="1482"/>
      <c r="BQ41" s="1482"/>
      <c r="BR41" s="1482"/>
      <c r="BS41" s="1482"/>
      <c r="BT41" s="1482"/>
      <c r="BU41" s="1482"/>
      <c r="BV41" s="1482"/>
      <c r="BW41" s="1482"/>
      <c r="BX41" s="1482"/>
      <c r="BY41" s="1482"/>
      <c r="BZ41" s="1482"/>
      <c r="CA41" s="1482"/>
      <c r="CB41" s="1482"/>
      <c r="CC41" s="1482"/>
      <c r="CD41" s="1482"/>
      <c r="CE41" s="1482"/>
      <c r="CF41" s="1482"/>
      <c r="CG41" s="1482"/>
      <c r="CH41" s="1482"/>
      <c r="CI41" s="1482"/>
      <c r="CJ41" s="1482"/>
      <c r="CK41" s="1482"/>
      <c r="CL41" s="1482"/>
      <c r="CM41" s="1482"/>
      <c r="CN41" s="1482"/>
      <c r="CO41" s="1482"/>
      <c r="CP41" s="1482"/>
      <c r="CQ41" s="1482"/>
      <c r="CR41" s="1482"/>
      <c r="CS41" s="1482"/>
      <c r="CT41" s="1482"/>
      <c r="CU41" s="1482"/>
      <c r="CV41" s="1482"/>
      <c r="CW41" s="1482"/>
      <c r="CX41" s="1482"/>
      <c r="CY41" s="1482"/>
      <c r="CZ41" s="1482"/>
      <c r="DA41" s="1482"/>
      <c r="DB41" s="1482"/>
      <c r="DC41" s="1482"/>
      <c r="DD41" s="1482"/>
      <c r="DE41" s="1482"/>
      <c r="DF41" s="1482"/>
      <c r="DH41" s="838"/>
    </row>
    <row r="42" spans="1:112" s="743" customFormat="1" ht="24" customHeight="1">
      <c r="C42" s="501" t="s">
        <v>72</v>
      </c>
      <c r="D42" s="501"/>
      <c r="E42" s="639"/>
      <c r="G42" s="957"/>
      <c r="H42" s="957"/>
      <c r="I42" s="957"/>
      <c r="J42" s="957"/>
      <c r="K42" s="957"/>
      <c r="L42" s="957"/>
      <c r="M42" s="957"/>
      <c r="N42" s="957"/>
      <c r="O42" s="957"/>
      <c r="P42" s="957"/>
      <c r="Q42" s="957"/>
      <c r="S42" s="969"/>
      <c r="T42" s="969"/>
      <c r="U42" s="969"/>
      <c r="V42" s="969"/>
      <c r="W42" s="969"/>
      <c r="X42" s="969"/>
      <c r="Y42" s="969"/>
      <c r="Z42" s="969"/>
      <c r="AA42" s="969"/>
      <c r="AB42" s="969"/>
      <c r="AC42" s="969"/>
      <c r="AD42" s="969"/>
      <c r="AE42" s="969"/>
      <c r="AF42" s="969"/>
      <c r="AG42" s="969"/>
      <c r="AH42" s="969"/>
      <c r="AI42" s="969"/>
      <c r="AJ42" s="969"/>
      <c r="AK42" s="969"/>
      <c r="AM42" s="975"/>
      <c r="AN42" s="975"/>
      <c r="AO42" s="975"/>
      <c r="AP42" s="975"/>
      <c r="AQ42" s="975"/>
      <c r="AR42" s="975"/>
      <c r="AS42" s="975"/>
      <c r="AT42" s="975"/>
      <c r="AU42" s="975"/>
      <c r="AV42" s="975"/>
      <c r="AW42" s="975"/>
      <c r="AX42" s="975"/>
      <c r="AY42" s="975"/>
      <c r="AZ42" s="975"/>
      <c r="BA42" s="975"/>
      <c r="BB42" s="975"/>
      <c r="BC42" s="975"/>
      <c r="BD42" s="975"/>
      <c r="BE42" s="975"/>
      <c r="BF42" s="975"/>
      <c r="BH42" s="989"/>
      <c r="BI42" s="989"/>
      <c r="BJ42" s="989"/>
      <c r="BL42" s="514">
        <f t="shared" si="9"/>
        <v>0</v>
      </c>
      <c r="BM42" s="514"/>
      <c r="BO42" s="1482"/>
      <c r="BP42" s="1482"/>
      <c r="BQ42" s="1482"/>
      <c r="BR42" s="1482"/>
      <c r="BS42" s="1482"/>
      <c r="BT42" s="1482"/>
      <c r="BU42" s="1482"/>
      <c r="BV42" s="1482"/>
      <c r="BW42" s="1482"/>
      <c r="BX42" s="1482"/>
      <c r="BY42" s="1482"/>
      <c r="BZ42" s="1482"/>
      <c r="CA42" s="1482"/>
      <c r="CB42" s="1482"/>
      <c r="CC42" s="1482"/>
      <c r="CD42" s="1482"/>
      <c r="CE42" s="1482"/>
      <c r="CF42" s="1482"/>
      <c r="CG42" s="1482"/>
      <c r="CH42" s="1482"/>
      <c r="CI42" s="1482"/>
      <c r="CJ42" s="1482"/>
      <c r="CK42" s="1482"/>
      <c r="CL42" s="1482"/>
      <c r="CM42" s="1482"/>
      <c r="CN42" s="1482"/>
      <c r="CO42" s="1482"/>
      <c r="CP42" s="1482"/>
      <c r="CQ42" s="1482"/>
      <c r="CR42" s="1482"/>
      <c r="CS42" s="1482"/>
      <c r="CT42" s="1482"/>
      <c r="CU42" s="1482"/>
      <c r="CV42" s="1482"/>
      <c r="CW42" s="1482"/>
      <c r="CX42" s="1482"/>
      <c r="CY42" s="1482"/>
      <c r="CZ42" s="1482"/>
      <c r="DA42" s="1482"/>
      <c r="DB42" s="1482"/>
      <c r="DC42" s="1482"/>
      <c r="DD42" s="1482"/>
      <c r="DE42" s="1482"/>
      <c r="DF42" s="1482"/>
      <c r="DH42" s="838"/>
    </row>
    <row r="43" spans="1:112" s="743" customFormat="1" ht="12.75" hidden="1" customHeight="1" outlineLevel="1">
      <c r="A43" s="22"/>
      <c r="B43" s="22"/>
      <c r="C43" s="751"/>
      <c r="D43" s="512"/>
      <c r="E43" s="512"/>
      <c r="G43" s="958"/>
      <c r="H43" s="958"/>
      <c r="I43" s="958"/>
      <c r="J43" s="958"/>
      <c r="K43" s="960"/>
      <c r="L43" s="958"/>
      <c r="M43" s="958"/>
      <c r="N43" s="958"/>
      <c r="O43" s="958"/>
      <c r="P43" s="958"/>
      <c r="Q43" s="958"/>
      <c r="S43" s="970"/>
      <c r="T43" s="970"/>
      <c r="U43" s="970"/>
      <c r="V43" s="970"/>
      <c r="W43" s="970"/>
      <c r="X43" s="970"/>
      <c r="Y43" s="970"/>
      <c r="Z43" s="970"/>
      <c r="AA43" s="970"/>
      <c r="AB43" s="970"/>
      <c r="AC43" s="970"/>
      <c r="AD43" s="970"/>
      <c r="AE43" s="970"/>
      <c r="AF43" s="970"/>
      <c r="AG43" s="970"/>
      <c r="AH43" s="970"/>
      <c r="AI43" s="970"/>
      <c r="AJ43" s="970"/>
      <c r="AK43" s="970"/>
      <c r="AM43" s="976"/>
      <c r="AN43" s="976"/>
      <c r="AO43" s="976"/>
      <c r="AP43" s="976"/>
      <c r="AQ43" s="976"/>
      <c r="AR43" s="976"/>
      <c r="AS43" s="976"/>
      <c r="AT43" s="976"/>
      <c r="AU43" s="976"/>
      <c r="AV43" s="976"/>
      <c r="AW43" s="976"/>
      <c r="AX43" s="976"/>
      <c r="AY43" s="976"/>
      <c r="AZ43" s="976"/>
      <c r="BA43" s="976"/>
      <c r="BB43" s="976"/>
      <c r="BC43" s="976"/>
      <c r="BD43" s="976"/>
      <c r="BE43" s="976"/>
      <c r="BF43" s="976"/>
      <c r="BH43" s="990"/>
      <c r="BI43" s="990"/>
      <c r="BJ43" s="990"/>
      <c r="BL43" s="515">
        <f t="shared" si="9"/>
        <v>0</v>
      </c>
      <c r="BM43" s="515"/>
      <c r="BN43" s="22"/>
      <c r="BO43" s="1482"/>
      <c r="BP43" s="1482"/>
      <c r="BQ43" s="1482"/>
      <c r="BR43" s="1482"/>
      <c r="BS43" s="1482"/>
      <c r="BT43" s="1482"/>
      <c r="BU43" s="1482"/>
      <c r="BV43" s="1482"/>
      <c r="BW43" s="1482"/>
      <c r="BX43" s="1482"/>
      <c r="BY43" s="1482"/>
      <c r="BZ43" s="1482"/>
      <c r="CA43" s="1482"/>
      <c r="CB43" s="1482"/>
      <c r="CC43" s="1482"/>
      <c r="CD43" s="1482"/>
      <c r="CE43" s="1482"/>
      <c r="CF43" s="1482"/>
      <c r="CG43" s="1482"/>
      <c r="CH43" s="1482"/>
      <c r="CI43" s="1482"/>
      <c r="CJ43" s="1482"/>
      <c r="CK43" s="1482"/>
      <c r="CL43" s="1482"/>
      <c r="CM43" s="1482"/>
      <c r="CN43" s="1482"/>
      <c r="CO43" s="1482"/>
      <c r="CP43" s="1482"/>
      <c r="CQ43" s="1482"/>
      <c r="CR43" s="1482"/>
      <c r="CS43" s="1482"/>
      <c r="CT43" s="1482"/>
      <c r="CU43" s="1482"/>
      <c r="CV43" s="1482"/>
      <c r="CW43" s="1482"/>
      <c r="CX43" s="1482"/>
      <c r="CY43" s="1482"/>
      <c r="CZ43" s="1482"/>
      <c r="DA43" s="1482"/>
      <c r="DB43" s="1482"/>
      <c r="DC43" s="1482"/>
      <c r="DD43" s="1482"/>
      <c r="DE43" s="1482"/>
      <c r="DF43" s="1482"/>
      <c r="DH43" s="838"/>
    </row>
    <row r="44" spans="1:112" s="1491" customFormat="1" ht="12.75" hidden="1" customHeight="1" outlineLevel="1">
      <c r="C44" s="1534" t="s">
        <v>1925</v>
      </c>
      <c r="D44" s="1535" t="s">
        <v>1926</v>
      </c>
      <c r="E44" s="1535"/>
      <c r="F44" s="1957"/>
      <c r="G44" s="1070"/>
      <c r="H44" s="1070"/>
      <c r="I44" s="1070"/>
      <c r="J44" s="1070"/>
      <c r="K44" s="1071"/>
      <c r="L44" s="1070"/>
      <c r="M44" s="1070"/>
      <c r="N44" s="1070"/>
      <c r="O44" s="1070"/>
      <c r="P44" s="1070"/>
      <c r="Q44" s="1070"/>
      <c r="R44" s="1957"/>
      <c r="S44" s="1072"/>
      <c r="T44" s="1072"/>
      <c r="U44" s="1072"/>
      <c r="V44" s="1072"/>
      <c r="W44" s="1072"/>
      <c r="X44" s="1072"/>
      <c r="Y44" s="1072"/>
      <c r="Z44" s="1072"/>
      <c r="AA44" s="1072"/>
      <c r="AB44" s="1072"/>
      <c r="AC44" s="1072"/>
      <c r="AD44" s="1072"/>
      <c r="AE44" s="1072"/>
      <c r="AF44" s="1072"/>
      <c r="AG44" s="1072"/>
      <c r="AH44" s="1072"/>
      <c r="AI44" s="1072"/>
      <c r="AJ44" s="1072">
        <f ca="1">AJ$40</f>
        <v>0</v>
      </c>
      <c r="AK44" s="1072"/>
      <c r="AL44" s="1957"/>
      <c r="AM44" s="1073"/>
      <c r="AN44" s="1073"/>
      <c r="AO44" s="1073"/>
      <c r="AP44" s="1073"/>
      <c r="AQ44" s="1073"/>
      <c r="AR44" s="1073"/>
      <c r="AS44" s="1073"/>
      <c r="AT44" s="1073"/>
      <c r="AU44" s="1073"/>
      <c r="AV44" s="1073"/>
      <c r="AW44" s="1073"/>
      <c r="AX44" s="1073"/>
      <c r="AY44" s="1073"/>
      <c r="AZ44" s="1073"/>
      <c r="BA44" s="1073"/>
      <c r="BB44" s="1073"/>
      <c r="BC44" s="1073"/>
      <c r="BD44" s="1073"/>
      <c r="BE44" s="1073"/>
      <c r="BF44" s="1073"/>
      <c r="BG44" s="1957"/>
      <c r="BH44" s="1074"/>
      <c r="BI44" s="1074"/>
      <c r="BJ44" s="1074"/>
      <c r="BK44" s="1957"/>
      <c r="BL44" s="1536">
        <f t="shared" si="9"/>
        <v>0</v>
      </c>
      <c r="BM44" s="1536"/>
      <c r="BO44" s="1963"/>
      <c r="BP44" s="1963"/>
      <c r="BQ44" s="1963"/>
      <c r="BR44" s="1963"/>
      <c r="BS44" s="1963"/>
      <c r="BT44" s="1963"/>
      <c r="BU44" s="1963"/>
      <c r="BV44" s="1963"/>
      <c r="BW44" s="1963"/>
      <c r="BX44" s="1963"/>
      <c r="BY44" s="1963"/>
      <c r="BZ44" s="1963"/>
      <c r="CA44" s="1963"/>
      <c r="CB44" s="1963"/>
      <c r="CC44" s="1963"/>
      <c r="CD44" s="1963"/>
      <c r="CE44" s="1963"/>
      <c r="CF44" s="1963"/>
      <c r="CG44" s="1963"/>
      <c r="CH44" s="1963"/>
      <c r="CI44" s="1963"/>
      <c r="CJ44" s="1963"/>
      <c r="CK44" s="1963"/>
      <c r="CL44" s="1963"/>
      <c r="CM44" s="1963"/>
      <c r="CN44" s="1963"/>
      <c r="CO44" s="1963"/>
      <c r="CP44" s="1963"/>
      <c r="CQ44" s="1963"/>
      <c r="CR44" s="1963"/>
      <c r="CS44" s="1963"/>
      <c r="CT44" s="1963"/>
      <c r="CU44" s="1963"/>
      <c r="CV44" s="1963"/>
      <c r="CW44" s="1963"/>
      <c r="CX44" s="1963"/>
      <c r="CY44" s="1963"/>
      <c r="CZ44" s="1963"/>
      <c r="DA44" s="1963"/>
      <c r="DB44" s="1963"/>
      <c r="DC44" s="1963"/>
      <c r="DD44" s="1963"/>
      <c r="DE44" s="1963"/>
      <c r="DF44" s="1963"/>
      <c r="DH44" s="1962">
        <f>SUM(BO44:DF44)</f>
        <v>0</v>
      </c>
    </row>
    <row r="45" spans="1:112" s="743" customFormat="1" ht="12.75" hidden="1" customHeight="1" outlineLevel="1">
      <c r="A45" s="22"/>
      <c r="B45" s="22"/>
      <c r="C45" s="746" t="s">
        <v>981</v>
      </c>
      <c r="D45" s="1010" t="str">
        <f>INDEX(Modules[Module], MATCH($C45, Modules[Code], 0))</f>
        <v>H2 Production</v>
      </c>
      <c r="E45" s="1069"/>
      <c r="G45" s="1022">
        <f t="shared" ref="G45:P45" ca="1" si="115">IFERROR(INDEX(INDIRECT($C45&amp;".Outputs["&amp;this.Year&amp;"]"), MATCH(G$5, INDIRECT($C45&amp;".Outputs[Vector]"), 0)), 0)</f>
        <v>0</v>
      </c>
      <c r="H45" s="1022">
        <f t="shared" ca="1" si="115"/>
        <v>0</v>
      </c>
      <c r="I45" s="1022">
        <f t="shared" ca="1" si="115"/>
        <v>0</v>
      </c>
      <c r="J45" s="1022">
        <f t="shared" ca="1" si="115"/>
        <v>0</v>
      </c>
      <c r="K45" s="1022">
        <f t="shared" ca="1" si="115"/>
        <v>0</v>
      </c>
      <c r="L45" s="1022">
        <f t="shared" ca="1" si="115"/>
        <v>0</v>
      </c>
      <c r="M45" s="1022">
        <f t="shared" ca="1" si="115"/>
        <v>0</v>
      </c>
      <c r="N45" s="1022">
        <f t="shared" ca="1" si="115"/>
        <v>0</v>
      </c>
      <c r="O45" s="1022">
        <f t="shared" ca="1" si="115"/>
        <v>0</v>
      </c>
      <c r="P45" s="1022">
        <f t="shared" ca="1" si="115"/>
        <v>0</v>
      </c>
      <c r="Q45" s="1020">
        <f ca="1">SUM(G45:P45)</f>
        <v>0</v>
      </c>
      <c r="S45" s="1031">
        <f t="shared" ref="S45:AJ45" ca="1" si="116">IFERROR(INDEX(INDIRECT($C45&amp;".Outputs["&amp;this.Year&amp;"]"), MATCH(S$5, INDIRECT($C45&amp;".Outputs[Vector]"), 0)), 0)</f>
        <v>0</v>
      </c>
      <c r="T45" s="1031">
        <f t="shared" ca="1" si="116"/>
        <v>0</v>
      </c>
      <c r="U45" s="1031">
        <f t="shared" ca="1" si="116"/>
        <v>0</v>
      </c>
      <c r="V45" s="1031">
        <f t="shared" ca="1" si="116"/>
        <v>0</v>
      </c>
      <c r="W45" s="1031">
        <f t="shared" ca="1" si="116"/>
        <v>0</v>
      </c>
      <c r="X45" s="1031">
        <f ca="1">IFERROR(INDEX(INDIRECT($C45&amp;".Outputs["&amp;this.Year&amp;"]"), MATCH(X$5, INDIRECT($C45&amp;".Outputs[Vector]"), 0)), 0)</f>
        <v>0</v>
      </c>
      <c r="Y45" s="1031">
        <f ca="1">IFERROR(INDEX(INDIRECT($C45&amp;".Outputs["&amp;this.Year&amp;"]"), MATCH(Y$5, INDIRECT($C45&amp;".Outputs[Vector]"), 0)), 0)</f>
        <v>0</v>
      </c>
      <c r="Z45" s="1031">
        <f ca="1">IFERROR(INDEX(INDIRECT($C45&amp;".Outputs["&amp;this.Year&amp;"]"), MATCH(Z$5, INDIRECT($C45&amp;".Outputs[Vector]"), 0)), 0)</f>
        <v>0</v>
      </c>
      <c r="AA45" s="1031">
        <f t="shared" ca="1" si="116"/>
        <v>0</v>
      </c>
      <c r="AB45" s="1031">
        <f t="shared" ca="1" si="116"/>
        <v>0</v>
      </c>
      <c r="AC45" s="1031">
        <f t="shared" ca="1" si="116"/>
        <v>0</v>
      </c>
      <c r="AD45" s="1031">
        <f t="shared" ca="1" si="116"/>
        <v>0</v>
      </c>
      <c r="AE45" s="1031">
        <f t="shared" ca="1" si="116"/>
        <v>0</v>
      </c>
      <c r="AF45" s="1031">
        <f t="shared" ca="1" si="116"/>
        <v>0</v>
      </c>
      <c r="AG45" s="1031">
        <f t="shared" ca="1" si="116"/>
        <v>0</v>
      </c>
      <c r="AH45" s="1031">
        <f t="shared" ca="1" si="116"/>
        <v>0</v>
      </c>
      <c r="AI45" s="1031">
        <f t="shared" ca="1" si="116"/>
        <v>0</v>
      </c>
      <c r="AJ45" s="1031">
        <f t="shared" ca="1" si="116"/>
        <v>0</v>
      </c>
      <c r="AK45" s="1030">
        <f ca="1">SUM(S45:AJ45)</f>
        <v>0</v>
      </c>
      <c r="AM45" s="1042">
        <f t="shared" ref="AM45:AU45" ca="1" si="117">IFERROR(INDEX(INDIRECT($C45&amp;".Outputs["&amp;this.Year&amp;"]"), MATCH(AM$5, INDIRECT($C45&amp;".Outputs[Vector]"), 0)), 0)</f>
        <v>0</v>
      </c>
      <c r="AN45" s="1042">
        <f t="shared" ca="1" si="117"/>
        <v>0</v>
      </c>
      <c r="AO45" s="1042">
        <f t="shared" ca="1" si="117"/>
        <v>0</v>
      </c>
      <c r="AP45" s="1042">
        <f t="shared" ca="1" si="117"/>
        <v>0</v>
      </c>
      <c r="AQ45" s="1042">
        <f t="shared" ca="1" si="117"/>
        <v>0</v>
      </c>
      <c r="AR45" s="1042">
        <f t="shared" ca="1" si="117"/>
        <v>0</v>
      </c>
      <c r="AS45" s="1042">
        <f t="shared" ca="1" si="117"/>
        <v>0</v>
      </c>
      <c r="AT45" s="1042">
        <f t="shared" ca="1" si="117"/>
        <v>0</v>
      </c>
      <c r="AU45" s="1042">
        <f t="shared" ca="1" si="117"/>
        <v>0</v>
      </c>
      <c r="AV45" s="1042">
        <f t="shared" ref="AV45:BE45" ca="1" si="118">IFERROR(INDEX(INDIRECT($C45&amp;".Outputs["&amp;this.Year&amp;"]"), MATCH(AV$5, INDIRECT($C45&amp;".Outputs[Vector]"), 0)), 0)</f>
        <v>0</v>
      </c>
      <c r="AW45" s="1042">
        <f t="shared" ca="1" si="118"/>
        <v>0</v>
      </c>
      <c r="AX45" s="1042">
        <f t="shared" ca="1" si="118"/>
        <v>0</v>
      </c>
      <c r="AY45" s="1042">
        <f t="shared" ca="1" si="118"/>
        <v>0</v>
      </c>
      <c r="AZ45" s="1042">
        <f t="shared" ca="1" si="118"/>
        <v>0</v>
      </c>
      <c r="BA45" s="1042">
        <f t="shared" ca="1" si="118"/>
        <v>0</v>
      </c>
      <c r="BB45" s="1042">
        <f t="shared" ca="1" si="118"/>
        <v>0</v>
      </c>
      <c r="BC45" s="1042">
        <f t="shared" ca="1" si="118"/>
        <v>0</v>
      </c>
      <c r="BD45" s="1042">
        <f t="shared" ca="1" si="118"/>
        <v>0</v>
      </c>
      <c r="BE45" s="1042">
        <f t="shared" ca="1" si="118"/>
        <v>0</v>
      </c>
      <c r="BF45" s="1012">
        <f ca="1">SUM(AM45:BE45)</f>
        <v>0</v>
      </c>
      <c r="BH45" s="1036">
        <f ca="1">IFERROR(INDEX(INDIRECT($C45&amp;".Outputs["&amp;this.Year&amp;"]"), MATCH(BH$5, INDIRECT($C45&amp;".Outputs[Vector]"), 0)), 0)</f>
        <v>0</v>
      </c>
      <c r="BI45" s="1036">
        <f ca="1">IFERROR(INDEX(INDIRECT($C45&amp;".Outputs["&amp;this.Year&amp;"]"), MATCH(BI$5, INDIRECT($C45&amp;".Outputs[Vector]"), 0)), 0)</f>
        <v>0</v>
      </c>
      <c r="BJ45" s="1035">
        <f ca="1">SUM(BH45:BI45)</f>
        <v>0</v>
      </c>
      <c r="BL45" s="515"/>
      <c r="BM45" s="515"/>
      <c r="BN45" s="840"/>
      <c r="BO45" s="1485">
        <f t="shared" ref="BO45:DF45" ca="1" si="119">IFERROR(SUMIFS(INDIRECT($C45&amp;".Emissions["&amp;this.Year&amp;"]"), INDIRECT($C45&amp;".Emissions[GHG]"), BO$6, INDIRECT($C45&amp;".Emissions[IPCC Sector]"), BO$5),0)</f>
        <v>0</v>
      </c>
      <c r="BP45" s="1486">
        <f t="shared" ca="1" si="119"/>
        <v>0</v>
      </c>
      <c r="BQ45" s="1486">
        <f t="shared" ca="1" si="119"/>
        <v>0</v>
      </c>
      <c r="BR45" s="1486">
        <f t="shared" ca="1" si="119"/>
        <v>0</v>
      </c>
      <c r="BS45" s="1486">
        <f t="shared" ca="1" si="119"/>
        <v>0</v>
      </c>
      <c r="BT45" s="1486">
        <f t="shared" ca="1" si="119"/>
        <v>0</v>
      </c>
      <c r="BU45" s="1486">
        <f t="shared" ca="1" si="119"/>
        <v>0</v>
      </c>
      <c r="BV45" s="1486">
        <f t="shared" ca="1" si="119"/>
        <v>0</v>
      </c>
      <c r="BW45" s="1486">
        <f t="shared" ca="1" si="119"/>
        <v>0</v>
      </c>
      <c r="BX45" s="1486">
        <f t="shared" ca="1" si="119"/>
        <v>0</v>
      </c>
      <c r="BY45" s="1486">
        <f t="shared" ca="1" si="119"/>
        <v>0</v>
      </c>
      <c r="BZ45" s="1486">
        <f t="shared" ca="1" si="119"/>
        <v>0</v>
      </c>
      <c r="CA45" s="1486">
        <f t="shared" ca="1" si="119"/>
        <v>0</v>
      </c>
      <c r="CB45" s="1486">
        <f t="shared" ca="1" si="119"/>
        <v>0</v>
      </c>
      <c r="CC45" s="1486">
        <f t="shared" ca="1" si="119"/>
        <v>0</v>
      </c>
      <c r="CD45" s="1486">
        <f t="shared" ca="1" si="119"/>
        <v>0</v>
      </c>
      <c r="CE45" s="1486">
        <f t="shared" ca="1" si="119"/>
        <v>0</v>
      </c>
      <c r="CF45" s="1486">
        <f t="shared" ca="1" si="119"/>
        <v>0</v>
      </c>
      <c r="CG45" s="1486">
        <f t="shared" ca="1" si="119"/>
        <v>0</v>
      </c>
      <c r="CH45" s="1486">
        <f t="shared" ca="1" si="119"/>
        <v>0</v>
      </c>
      <c r="CI45" s="1486">
        <f t="shared" ca="1" si="119"/>
        <v>0</v>
      </c>
      <c r="CJ45" s="1486">
        <f t="shared" ca="1" si="119"/>
        <v>0</v>
      </c>
      <c r="CK45" s="1486">
        <f t="shared" ca="1" si="119"/>
        <v>0</v>
      </c>
      <c r="CL45" s="1486">
        <f t="shared" ca="1" si="119"/>
        <v>0</v>
      </c>
      <c r="CM45" s="1486">
        <f t="shared" ca="1" si="119"/>
        <v>0</v>
      </c>
      <c r="CN45" s="1486">
        <f t="shared" ca="1" si="119"/>
        <v>0</v>
      </c>
      <c r="CO45" s="1486">
        <f t="shared" ca="1" si="119"/>
        <v>0</v>
      </c>
      <c r="CP45" s="1486">
        <f t="shared" ca="1" si="119"/>
        <v>0</v>
      </c>
      <c r="CQ45" s="1486">
        <f t="shared" ca="1" si="119"/>
        <v>0</v>
      </c>
      <c r="CR45" s="1486">
        <f t="shared" ca="1" si="119"/>
        <v>0</v>
      </c>
      <c r="CS45" s="1486">
        <f t="shared" ca="1" si="119"/>
        <v>0</v>
      </c>
      <c r="CT45" s="1486">
        <f t="shared" ca="1" si="119"/>
        <v>0</v>
      </c>
      <c r="CU45" s="1486">
        <f t="shared" ca="1" si="119"/>
        <v>0</v>
      </c>
      <c r="CV45" s="1486">
        <f t="shared" ca="1" si="119"/>
        <v>0</v>
      </c>
      <c r="CW45" s="1486">
        <f t="shared" ca="1" si="119"/>
        <v>0</v>
      </c>
      <c r="CX45" s="1486">
        <f t="shared" ca="1" si="119"/>
        <v>0</v>
      </c>
      <c r="CY45" s="1486">
        <f t="shared" ca="1" si="119"/>
        <v>0</v>
      </c>
      <c r="CZ45" s="1486">
        <f t="shared" ca="1" si="119"/>
        <v>0</v>
      </c>
      <c r="DA45" s="1486">
        <f t="shared" ca="1" si="119"/>
        <v>0</v>
      </c>
      <c r="DB45" s="1486">
        <f t="shared" ca="1" si="119"/>
        <v>0</v>
      </c>
      <c r="DC45" s="1486">
        <f t="shared" ca="1" si="119"/>
        <v>0</v>
      </c>
      <c r="DD45" s="1486">
        <f t="shared" ca="1" si="119"/>
        <v>0</v>
      </c>
      <c r="DE45" s="1486">
        <f t="shared" ca="1" si="119"/>
        <v>0</v>
      </c>
      <c r="DF45" s="1486">
        <f t="shared" ca="1" si="119"/>
        <v>0</v>
      </c>
      <c r="DH45" s="838"/>
    </row>
    <row r="46" spans="1:112" s="743" customFormat="1" ht="15.75" collapsed="1">
      <c r="A46" s="22"/>
      <c r="B46" s="753"/>
      <c r="C46" s="744" t="s">
        <v>674</v>
      </c>
      <c r="D46" s="517" t="str">
        <f>INDEX(Workstreams[Workstream], MATCH($C46, Workstreams[Code], 0))</f>
        <v>H2 Production</v>
      </c>
      <c r="E46" s="512"/>
      <c r="G46" s="1021">
        <f ca="1">G45</f>
        <v>0</v>
      </c>
      <c r="H46" s="1021">
        <f t="shared" ref="H46:P46" ca="1" si="120">H45</f>
        <v>0</v>
      </c>
      <c r="I46" s="1021">
        <f t="shared" ca="1" si="120"/>
        <v>0</v>
      </c>
      <c r="J46" s="1021">
        <f t="shared" ca="1" si="120"/>
        <v>0</v>
      </c>
      <c r="K46" s="1021">
        <f t="shared" ca="1" si="120"/>
        <v>0</v>
      </c>
      <c r="L46" s="1021">
        <f t="shared" ca="1" si="120"/>
        <v>0</v>
      </c>
      <c r="M46" s="1021">
        <f t="shared" ca="1" si="120"/>
        <v>0</v>
      </c>
      <c r="N46" s="1021">
        <f t="shared" ca="1" si="120"/>
        <v>0</v>
      </c>
      <c r="O46" s="1021">
        <f t="shared" ca="1" si="120"/>
        <v>0</v>
      </c>
      <c r="P46" s="1021">
        <f t="shared" ca="1" si="120"/>
        <v>0</v>
      </c>
      <c r="Q46" s="1021">
        <f ca="1">SUM(G46:P46)</f>
        <v>0</v>
      </c>
      <c r="S46" s="970">
        <f t="shared" ref="S46:AJ46" ca="1" si="121">S45</f>
        <v>0</v>
      </c>
      <c r="T46" s="970">
        <f t="shared" ca="1" si="121"/>
        <v>0</v>
      </c>
      <c r="U46" s="970">
        <f t="shared" ca="1" si="121"/>
        <v>0</v>
      </c>
      <c r="V46" s="970">
        <f t="shared" ca="1" si="121"/>
        <v>0</v>
      </c>
      <c r="W46" s="970">
        <f t="shared" ca="1" si="121"/>
        <v>0</v>
      </c>
      <c r="X46" s="970">
        <f t="shared" ca="1" si="121"/>
        <v>0</v>
      </c>
      <c r="Y46" s="970">
        <f t="shared" ca="1" si="121"/>
        <v>0</v>
      </c>
      <c r="Z46" s="970">
        <f t="shared" ca="1" si="121"/>
        <v>0</v>
      </c>
      <c r="AA46" s="970">
        <f t="shared" ca="1" si="121"/>
        <v>0</v>
      </c>
      <c r="AB46" s="970">
        <f t="shared" ca="1" si="121"/>
        <v>0</v>
      </c>
      <c r="AC46" s="970">
        <f t="shared" ca="1" si="121"/>
        <v>0</v>
      </c>
      <c r="AD46" s="970">
        <f ca="1">AD45</f>
        <v>0</v>
      </c>
      <c r="AE46" s="970">
        <f ca="1">AE45</f>
        <v>0</v>
      </c>
      <c r="AF46" s="970">
        <f t="shared" ca="1" si="121"/>
        <v>0</v>
      </c>
      <c r="AG46" s="970">
        <f ca="1">AG45</f>
        <v>0</v>
      </c>
      <c r="AH46" s="970">
        <f ca="1">AH45</f>
        <v>0</v>
      </c>
      <c r="AI46" s="970">
        <f ca="1">AI45</f>
        <v>0</v>
      </c>
      <c r="AJ46" s="970">
        <f t="shared" ca="1" si="121"/>
        <v>0</v>
      </c>
      <c r="AK46" s="970">
        <f ca="1">SUM(S46:AJ46)</f>
        <v>0</v>
      </c>
      <c r="AM46" s="976">
        <f ca="1">AM45</f>
        <v>0</v>
      </c>
      <c r="AN46" s="976">
        <f t="shared" ref="AN46:BE46" ca="1" si="122">AN45</f>
        <v>0</v>
      </c>
      <c r="AO46" s="976">
        <f t="shared" ca="1" si="122"/>
        <v>0</v>
      </c>
      <c r="AP46" s="976">
        <f t="shared" ca="1" si="122"/>
        <v>0</v>
      </c>
      <c r="AQ46" s="976">
        <f t="shared" ca="1" si="122"/>
        <v>0</v>
      </c>
      <c r="AR46" s="976">
        <f t="shared" ca="1" si="122"/>
        <v>0</v>
      </c>
      <c r="AS46" s="976">
        <f t="shared" ca="1" si="122"/>
        <v>0</v>
      </c>
      <c r="AT46" s="976">
        <f t="shared" ca="1" si="122"/>
        <v>0</v>
      </c>
      <c r="AU46" s="976">
        <f t="shared" ca="1" si="122"/>
        <v>0</v>
      </c>
      <c r="AV46" s="976">
        <f t="shared" ca="1" si="122"/>
        <v>0</v>
      </c>
      <c r="AW46" s="976">
        <f t="shared" ca="1" si="122"/>
        <v>0</v>
      </c>
      <c r="AX46" s="976">
        <f t="shared" ca="1" si="122"/>
        <v>0</v>
      </c>
      <c r="AY46" s="976">
        <f t="shared" ca="1" si="122"/>
        <v>0</v>
      </c>
      <c r="AZ46" s="976">
        <f t="shared" ca="1" si="122"/>
        <v>0</v>
      </c>
      <c r="BA46" s="976">
        <f t="shared" ca="1" si="122"/>
        <v>0</v>
      </c>
      <c r="BB46" s="976">
        <f t="shared" ca="1" si="122"/>
        <v>0</v>
      </c>
      <c r="BC46" s="976">
        <f t="shared" ca="1" si="122"/>
        <v>0</v>
      </c>
      <c r="BD46" s="976">
        <f t="shared" ca="1" si="122"/>
        <v>0</v>
      </c>
      <c r="BE46" s="976">
        <f t="shared" ca="1" si="122"/>
        <v>0</v>
      </c>
      <c r="BF46" s="976">
        <f ca="1">SUM(AM46:BE46)</f>
        <v>0</v>
      </c>
      <c r="BH46" s="990">
        <f ca="1">BH45</f>
        <v>0</v>
      </c>
      <c r="BI46" s="990">
        <f ca="1">BI45</f>
        <v>0</v>
      </c>
      <c r="BJ46" s="990">
        <f ca="1">SUM(BH46:BI46)</f>
        <v>0</v>
      </c>
      <c r="BL46" s="515">
        <f ca="1">Q46+AK46+BF46+BJ46</f>
        <v>0</v>
      </c>
      <c r="BM46" s="515"/>
      <c r="BN46" s="840"/>
      <c r="BO46" s="1482">
        <f t="shared" ref="BO46:DF46" ca="1" si="123">BO45</f>
        <v>0</v>
      </c>
      <c r="BP46" s="1482">
        <f t="shared" ca="1" si="123"/>
        <v>0</v>
      </c>
      <c r="BQ46" s="1482">
        <f t="shared" ca="1" si="123"/>
        <v>0</v>
      </c>
      <c r="BR46" s="1482">
        <f t="shared" ca="1" si="123"/>
        <v>0</v>
      </c>
      <c r="BS46" s="1482">
        <f t="shared" ca="1" si="123"/>
        <v>0</v>
      </c>
      <c r="BT46" s="1482">
        <f t="shared" ca="1" si="123"/>
        <v>0</v>
      </c>
      <c r="BU46" s="1482">
        <f t="shared" ca="1" si="123"/>
        <v>0</v>
      </c>
      <c r="BV46" s="1482">
        <f t="shared" ca="1" si="123"/>
        <v>0</v>
      </c>
      <c r="BW46" s="1482">
        <f t="shared" ca="1" si="123"/>
        <v>0</v>
      </c>
      <c r="BX46" s="1482">
        <f t="shared" ca="1" si="123"/>
        <v>0</v>
      </c>
      <c r="BY46" s="1482">
        <f t="shared" ca="1" si="123"/>
        <v>0</v>
      </c>
      <c r="BZ46" s="1482">
        <f t="shared" ca="1" si="123"/>
        <v>0</v>
      </c>
      <c r="CA46" s="1482">
        <f t="shared" ca="1" si="123"/>
        <v>0</v>
      </c>
      <c r="CB46" s="1482">
        <f t="shared" ca="1" si="123"/>
        <v>0</v>
      </c>
      <c r="CC46" s="1482">
        <f t="shared" ca="1" si="123"/>
        <v>0</v>
      </c>
      <c r="CD46" s="1482">
        <f t="shared" ca="1" si="123"/>
        <v>0</v>
      </c>
      <c r="CE46" s="1482">
        <f t="shared" ca="1" si="123"/>
        <v>0</v>
      </c>
      <c r="CF46" s="1482">
        <f t="shared" ca="1" si="123"/>
        <v>0</v>
      </c>
      <c r="CG46" s="1482">
        <f t="shared" ca="1" si="123"/>
        <v>0</v>
      </c>
      <c r="CH46" s="1482">
        <f t="shared" ca="1" si="123"/>
        <v>0</v>
      </c>
      <c r="CI46" s="1482">
        <f t="shared" ca="1" si="123"/>
        <v>0</v>
      </c>
      <c r="CJ46" s="1482">
        <f t="shared" ca="1" si="123"/>
        <v>0</v>
      </c>
      <c r="CK46" s="1482">
        <f t="shared" ca="1" si="123"/>
        <v>0</v>
      </c>
      <c r="CL46" s="1482">
        <f t="shared" ca="1" si="123"/>
        <v>0</v>
      </c>
      <c r="CM46" s="1482">
        <f t="shared" ca="1" si="123"/>
        <v>0</v>
      </c>
      <c r="CN46" s="1482">
        <f t="shared" ca="1" si="123"/>
        <v>0</v>
      </c>
      <c r="CO46" s="1482">
        <f t="shared" ca="1" si="123"/>
        <v>0</v>
      </c>
      <c r="CP46" s="1482">
        <f t="shared" ca="1" si="123"/>
        <v>0</v>
      </c>
      <c r="CQ46" s="1482">
        <f t="shared" ca="1" si="123"/>
        <v>0</v>
      </c>
      <c r="CR46" s="1482">
        <f t="shared" ca="1" si="123"/>
        <v>0</v>
      </c>
      <c r="CS46" s="1482">
        <f t="shared" ca="1" si="123"/>
        <v>0</v>
      </c>
      <c r="CT46" s="1482">
        <f t="shared" ca="1" si="123"/>
        <v>0</v>
      </c>
      <c r="CU46" s="1482">
        <f t="shared" ca="1" si="123"/>
        <v>0</v>
      </c>
      <c r="CV46" s="1482">
        <f t="shared" ca="1" si="123"/>
        <v>0</v>
      </c>
      <c r="CW46" s="1482">
        <f t="shared" ca="1" si="123"/>
        <v>0</v>
      </c>
      <c r="CX46" s="1482">
        <f t="shared" ca="1" si="123"/>
        <v>0</v>
      </c>
      <c r="CY46" s="1482">
        <f t="shared" ca="1" si="123"/>
        <v>0</v>
      </c>
      <c r="CZ46" s="1482">
        <f t="shared" ca="1" si="123"/>
        <v>0</v>
      </c>
      <c r="DA46" s="1482">
        <f t="shared" ca="1" si="123"/>
        <v>0</v>
      </c>
      <c r="DB46" s="1482">
        <f t="shared" ca="1" si="123"/>
        <v>0</v>
      </c>
      <c r="DC46" s="1482">
        <f t="shared" ca="1" si="123"/>
        <v>0</v>
      </c>
      <c r="DD46" s="1482">
        <f t="shared" ca="1" si="123"/>
        <v>0</v>
      </c>
      <c r="DE46" s="1482">
        <f t="shared" ca="1" si="123"/>
        <v>0</v>
      </c>
      <c r="DF46" s="1482">
        <f t="shared" ca="1" si="123"/>
        <v>0</v>
      </c>
      <c r="DH46" s="838">
        <f t="shared" ref="DH46:DH82" ca="1" si="124">SUM(BO46:DF46)</f>
        <v>0</v>
      </c>
    </row>
    <row r="47" spans="1:112" s="743" customFormat="1" hidden="1" outlineLevel="1">
      <c r="C47" s="508"/>
      <c r="D47" s="509"/>
      <c r="E47" s="509"/>
      <c r="G47" s="958"/>
      <c r="H47" s="958"/>
      <c r="I47" s="958"/>
      <c r="J47" s="958"/>
      <c r="K47" s="960"/>
      <c r="L47" s="958"/>
      <c r="M47" s="958"/>
      <c r="N47" s="958"/>
      <c r="O47" s="958"/>
      <c r="P47" s="958"/>
      <c r="Q47" s="958"/>
      <c r="S47" s="970"/>
      <c r="T47" s="970"/>
      <c r="U47" s="970"/>
      <c r="V47" s="970"/>
      <c r="W47" s="970"/>
      <c r="X47" s="970"/>
      <c r="Y47" s="970"/>
      <c r="Z47" s="970"/>
      <c r="AA47" s="970"/>
      <c r="AB47" s="970"/>
      <c r="AC47" s="970"/>
      <c r="AD47" s="970"/>
      <c r="AE47" s="970"/>
      <c r="AF47" s="970"/>
      <c r="AG47" s="970"/>
      <c r="AH47" s="970"/>
      <c r="AI47" s="970"/>
      <c r="AJ47" s="970"/>
      <c r="AK47" s="970"/>
      <c r="AM47" s="976"/>
      <c r="AN47" s="976"/>
      <c r="AO47" s="976"/>
      <c r="AP47" s="976"/>
      <c r="AQ47" s="976"/>
      <c r="AR47" s="976"/>
      <c r="AS47" s="976"/>
      <c r="AT47" s="976"/>
      <c r="AU47" s="976"/>
      <c r="AV47" s="976"/>
      <c r="AW47" s="976"/>
      <c r="AX47" s="976"/>
      <c r="AY47" s="976"/>
      <c r="AZ47" s="976"/>
      <c r="BA47" s="976"/>
      <c r="BB47" s="976"/>
      <c r="BC47" s="976"/>
      <c r="BD47" s="976"/>
      <c r="BE47" s="976"/>
      <c r="BF47" s="976"/>
      <c r="BH47" s="990"/>
      <c r="BI47" s="990"/>
      <c r="BJ47" s="990"/>
      <c r="BL47" s="515">
        <f>Q47+AK47+BF47+BJ47</f>
        <v>0</v>
      </c>
      <c r="BM47" s="515"/>
      <c r="BO47" s="1482"/>
      <c r="BP47" s="1482"/>
      <c r="BQ47" s="1482"/>
      <c r="BR47" s="1482"/>
      <c r="BS47" s="1482"/>
      <c r="BT47" s="1482"/>
      <c r="BU47" s="1482"/>
      <c r="BV47" s="1482"/>
      <c r="BW47" s="1482"/>
      <c r="BX47" s="1482"/>
      <c r="BY47" s="1482"/>
      <c r="BZ47" s="1482"/>
      <c r="CA47" s="1482"/>
      <c r="CB47" s="1482"/>
      <c r="CC47" s="1482"/>
      <c r="CD47" s="1482"/>
      <c r="CE47" s="1482"/>
      <c r="CF47" s="1482"/>
      <c r="CG47" s="1482"/>
      <c r="CH47" s="1482"/>
      <c r="CI47" s="1482"/>
      <c r="CJ47" s="1482"/>
      <c r="CK47" s="1482"/>
      <c r="CL47" s="1482"/>
      <c r="CM47" s="1482"/>
      <c r="CN47" s="1482"/>
      <c r="CO47" s="1482"/>
      <c r="CP47" s="1482"/>
      <c r="CQ47" s="1482"/>
      <c r="CR47" s="1482"/>
      <c r="CS47" s="1482"/>
      <c r="CT47" s="1482"/>
      <c r="CU47" s="1482"/>
      <c r="CV47" s="1482"/>
      <c r="CW47" s="1482"/>
      <c r="CX47" s="1482"/>
      <c r="CY47" s="1482"/>
      <c r="CZ47" s="1482"/>
      <c r="DA47" s="1482"/>
      <c r="DB47" s="1482"/>
      <c r="DC47" s="1482"/>
      <c r="DD47" s="1482"/>
      <c r="DE47" s="1482"/>
      <c r="DF47" s="1482"/>
      <c r="DH47" s="838">
        <f t="shared" si="124"/>
        <v>0</v>
      </c>
    </row>
    <row r="48" spans="1:112" s="743" customFormat="1" hidden="1" outlineLevel="1">
      <c r="A48" s="1484"/>
      <c r="B48" s="1484"/>
      <c r="C48" s="746" t="s">
        <v>2280</v>
      </c>
      <c r="D48" s="521" t="str">
        <f>INDEX(Modules[Module], MATCH($C48, Modules[Code], 0))</f>
        <v>Marine algae</v>
      </c>
      <c r="E48" s="521"/>
      <c r="G48" s="1017">
        <f t="shared" ref="G48:P49" ca="1" si="125">IFERROR(INDEX(INDIRECT($C48&amp;".Outputs["&amp;this.Year&amp;"]"), MATCH(G$5, INDIRECT($C48&amp;".Outputs[Vector]"), 0)), 0)</f>
        <v>0</v>
      </c>
      <c r="H48" s="1017">
        <f t="shared" ca="1" si="125"/>
        <v>0</v>
      </c>
      <c r="I48" s="1017">
        <f t="shared" ca="1" si="125"/>
        <v>0</v>
      </c>
      <c r="J48" s="1017">
        <f t="shared" ca="1" si="125"/>
        <v>0</v>
      </c>
      <c r="K48" s="1017">
        <f t="shared" ca="1" si="125"/>
        <v>0</v>
      </c>
      <c r="L48" s="1017">
        <f t="shared" ca="1" si="125"/>
        <v>0</v>
      </c>
      <c r="M48" s="1017">
        <f t="shared" ca="1" si="125"/>
        <v>0</v>
      </c>
      <c r="N48" s="1017">
        <f t="shared" ca="1" si="125"/>
        <v>0</v>
      </c>
      <c r="O48" s="1017">
        <f t="shared" ca="1" si="125"/>
        <v>0</v>
      </c>
      <c r="P48" s="1017">
        <f t="shared" ca="1" si="125"/>
        <v>0</v>
      </c>
      <c r="Q48" s="1019">
        <f ca="1">SUM(G48:P48)</f>
        <v>0</v>
      </c>
      <c r="S48" s="1026">
        <f t="shared" ref="S48:BE49" ca="1" si="126">IFERROR(INDEX(INDIRECT($C48&amp;".Outputs["&amp;this.Year&amp;"]"), MATCH(S$5, INDIRECT($C48&amp;".Outputs[Vector]"), 0)), 0)</f>
        <v>0</v>
      </c>
      <c r="T48" s="1026">
        <f t="shared" ca="1" si="126"/>
        <v>0</v>
      </c>
      <c r="U48" s="1026">
        <f t="shared" ca="1" si="126"/>
        <v>0</v>
      </c>
      <c r="V48" s="1026">
        <f t="shared" ca="1" si="126"/>
        <v>0</v>
      </c>
      <c r="W48" s="1026">
        <f t="shared" ca="1" si="126"/>
        <v>0</v>
      </c>
      <c r="X48" s="1026">
        <f t="shared" ref="X48:Z50" ca="1" si="127">IFERROR(INDEX(INDIRECT($C48&amp;".Outputs["&amp;this.Year&amp;"]"), MATCH(X$5, INDIRECT($C48&amp;".Outputs[Vector]"), 0)), 0)</f>
        <v>0</v>
      </c>
      <c r="Y48" s="1026">
        <f t="shared" ca="1" si="127"/>
        <v>0</v>
      </c>
      <c r="Z48" s="1026">
        <f t="shared" ca="1" si="127"/>
        <v>0</v>
      </c>
      <c r="AA48" s="1026">
        <f t="shared" ca="1" si="126"/>
        <v>0</v>
      </c>
      <c r="AB48" s="1026">
        <f t="shared" ca="1" si="126"/>
        <v>0</v>
      </c>
      <c r="AC48" s="1026">
        <f t="shared" ca="1" si="126"/>
        <v>0</v>
      </c>
      <c r="AD48" s="1026">
        <f t="shared" ca="1" si="126"/>
        <v>0</v>
      </c>
      <c r="AE48" s="1026">
        <f t="shared" ca="1" si="126"/>
        <v>0</v>
      </c>
      <c r="AF48" s="1026">
        <f t="shared" ca="1" si="126"/>
        <v>0</v>
      </c>
      <c r="AG48" s="1026">
        <f t="shared" ca="1" si="126"/>
        <v>0</v>
      </c>
      <c r="AH48" s="1026">
        <f t="shared" ca="1" si="126"/>
        <v>0</v>
      </c>
      <c r="AI48" s="1026">
        <f t="shared" ca="1" si="126"/>
        <v>0</v>
      </c>
      <c r="AJ48" s="1026">
        <f t="shared" ca="1" si="126"/>
        <v>0</v>
      </c>
      <c r="AK48" s="1027">
        <f ca="1">SUM(S48:AJ48)</f>
        <v>0</v>
      </c>
      <c r="AM48" s="1038">
        <f t="shared" ref="AM48:AU50" ca="1" si="128">IFERROR(INDEX(INDIRECT($C48&amp;".Outputs["&amp;this.Year&amp;"]"), MATCH(AM$5, INDIRECT($C48&amp;".Outputs[Vector]"), 0)), 0)</f>
        <v>0</v>
      </c>
      <c r="AN48" s="1038">
        <f t="shared" ca="1" si="128"/>
        <v>0</v>
      </c>
      <c r="AO48" s="1038">
        <f t="shared" ca="1" si="128"/>
        <v>0</v>
      </c>
      <c r="AP48" s="1038">
        <f t="shared" ca="1" si="128"/>
        <v>0</v>
      </c>
      <c r="AQ48" s="1038">
        <f t="shared" ca="1" si="128"/>
        <v>0</v>
      </c>
      <c r="AR48" s="1038">
        <f t="shared" ca="1" si="128"/>
        <v>0</v>
      </c>
      <c r="AS48" s="1038">
        <f t="shared" ca="1" si="128"/>
        <v>0</v>
      </c>
      <c r="AT48" s="1038">
        <f t="shared" ca="1" si="128"/>
        <v>0</v>
      </c>
      <c r="AU48" s="1038">
        <f t="shared" ca="1" si="128"/>
        <v>0</v>
      </c>
      <c r="AV48" s="1038">
        <f t="shared" ca="1" si="126"/>
        <v>0</v>
      </c>
      <c r="AW48" s="1038">
        <f t="shared" ca="1" si="126"/>
        <v>0</v>
      </c>
      <c r="AX48" s="1038">
        <f t="shared" ca="1" si="126"/>
        <v>0</v>
      </c>
      <c r="AY48" s="1038">
        <f t="shared" ca="1" si="126"/>
        <v>0</v>
      </c>
      <c r="AZ48" s="1038">
        <f t="shared" ca="1" si="126"/>
        <v>0</v>
      </c>
      <c r="BA48" s="1038">
        <f t="shared" ca="1" si="126"/>
        <v>0</v>
      </c>
      <c r="BB48" s="1038">
        <f t="shared" ca="1" si="126"/>
        <v>0</v>
      </c>
      <c r="BC48" s="1038">
        <f t="shared" ca="1" si="126"/>
        <v>0</v>
      </c>
      <c r="BD48" s="1038">
        <f t="shared" ca="1" si="126"/>
        <v>0</v>
      </c>
      <c r="BE48" s="1038">
        <f t="shared" ca="1" si="126"/>
        <v>0</v>
      </c>
      <c r="BF48" s="979">
        <f ca="1">SUM(AM48:BE48)</f>
        <v>0</v>
      </c>
      <c r="BH48" s="1032">
        <f t="shared" ref="BH48:BI50" ca="1" si="129">IFERROR(INDEX(INDIRECT($C48&amp;".Outputs["&amp;this.Year&amp;"]"), MATCH(BH$5, INDIRECT($C48&amp;".Outputs[Vector]"), 0)), 0)</f>
        <v>0</v>
      </c>
      <c r="BI48" s="1032">
        <f t="shared" ca="1" si="129"/>
        <v>0</v>
      </c>
      <c r="BJ48" s="1034">
        <f ca="1">SUM(BH48:BI48)</f>
        <v>0</v>
      </c>
      <c r="BL48" s="814"/>
      <c r="BM48" s="814"/>
      <c r="BN48" s="840"/>
      <c r="BO48" s="1481">
        <f t="shared" ref="BO48:BX50" ca="1" si="130">IFERROR(SUMIFS(INDIRECT($C48&amp;".Emissions["&amp;this.Year&amp;"]"), INDIRECT($C48&amp;".Emissions[GHG]"), BO$6, INDIRECT($C48&amp;".Emissions[IPCC Sector]"), BO$5),0)</f>
        <v>0</v>
      </c>
      <c r="BP48" s="1482">
        <f t="shared" ca="1" si="130"/>
        <v>0</v>
      </c>
      <c r="BQ48" s="1482">
        <f t="shared" ca="1" si="130"/>
        <v>0</v>
      </c>
      <c r="BR48" s="1482">
        <f t="shared" ca="1" si="130"/>
        <v>0</v>
      </c>
      <c r="BS48" s="1482">
        <f t="shared" ca="1" si="130"/>
        <v>0</v>
      </c>
      <c r="BT48" s="1482">
        <f t="shared" ca="1" si="130"/>
        <v>0</v>
      </c>
      <c r="BU48" s="1482">
        <f t="shared" ca="1" si="130"/>
        <v>0</v>
      </c>
      <c r="BV48" s="1482">
        <f t="shared" ca="1" si="130"/>
        <v>0</v>
      </c>
      <c r="BW48" s="1482">
        <f t="shared" ca="1" si="130"/>
        <v>0</v>
      </c>
      <c r="BX48" s="1482">
        <f t="shared" ca="1" si="130"/>
        <v>0</v>
      </c>
      <c r="BY48" s="1482">
        <f t="shared" ref="BY48:CH50" ca="1" si="131">IFERROR(SUMIFS(INDIRECT($C48&amp;".Emissions["&amp;this.Year&amp;"]"), INDIRECT($C48&amp;".Emissions[GHG]"), BY$6, INDIRECT($C48&amp;".Emissions[IPCC Sector]"), BY$5),0)</f>
        <v>0</v>
      </c>
      <c r="BZ48" s="1482">
        <f t="shared" ca="1" si="131"/>
        <v>0</v>
      </c>
      <c r="CA48" s="1482">
        <f t="shared" ca="1" si="131"/>
        <v>0</v>
      </c>
      <c r="CB48" s="1482">
        <f t="shared" ca="1" si="131"/>
        <v>0</v>
      </c>
      <c r="CC48" s="1482">
        <f t="shared" ca="1" si="131"/>
        <v>0</v>
      </c>
      <c r="CD48" s="1482">
        <f t="shared" ca="1" si="131"/>
        <v>0</v>
      </c>
      <c r="CE48" s="1482">
        <f t="shared" ca="1" si="131"/>
        <v>0</v>
      </c>
      <c r="CF48" s="1482">
        <f t="shared" ca="1" si="131"/>
        <v>0</v>
      </c>
      <c r="CG48" s="1482">
        <f t="shared" ca="1" si="131"/>
        <v>0</v>
      </c>
      <c r="CH48" s="1482">
        <f t="shared" ca="1" si="131"/>
        <v>0</v>
      </c>
      <c r="CI48" s="1482">
        <f t="shared" ref="CI48:CR50" ca="1" si="132">IFERROR(SUMIFS(INDIRECT($C48&amp;".Emissions["&amp;this.Year&amp;"]"), INDIRECT($C48&amp;".Emissions[GHG]"), CI$6, INDIRECT($C48&amp;".Emissions[IPCC Sector]"), CI$5),0)</f>
        <v>0</v>
      </c>
      <c r="CJ48" s="1482">
        <f t="shared" ca="1" si="132"/>
        <v>0</v>
      </c>
      <c r="CK48" s="1482">
        <f t="shared" ca="1" si="132"/>
        <v>0</v>
      </c>
      <c r="CL48" s="1482">
        <f t="shared" ca="1" si="132"/>
        <v>0</v>
      </c>
      <c r="CM48" s="1482">
        <f t="shared" ca="1" si="132"/>
        <v>0</v>
      </c>
      <c r="CN48" s="1482">
        <f t="shared" ca="1" si="132"/>
        <v>0</v>
      </c>
      <c r="CO48" s="1482">
        <f t="shared" ca="1" si="132"/>
        <v>0</v>
      </c>
      <c r="CP48" s="1482">
        <f t="shared" ca="1" si="132"/>
        <v>0</v>
      </c>
      <c r="CQ48" s="1482">
        <f t="shared" ca="1" si="132"/>
        <v>0</v>
      </c>
      <c r="CR48" s="1482">
        <f t="shared" ca="1" si="132"/>
        <v>0</v>
      </c>
      <c r="CS48" s="1482">
        <f t="shared" ref="CS48:DF50" ca="1" si="133">IFERROR(SUMIFS(INDIRECT($C48&amp;".Emissions["&amp;this.Year&amp;"]"), INDIRECT($C48&amp;".Emissions[GHG]"), CS$6, INDIRECT($C48&amp;".Emissions[IPCC Sector]"), CS$5),0)</f>
        <v>0</v>
      </c>
      <c r="CT48" s="1482">
        <f t="shared" ca="1" si="133"/>
        <v>0</v>
      </c>
      <c r="CU48" s="1482">
        <f t="shared" ca="1" si="133"/>
        <v>0</v>
      </c>
      <c r="CV48" s="1482">
        <f t="shared" ca="1" si="133"/>
        <v>0</v>
      </c>
      <c r="CW48" s="1482">
        <f t="shared" ca="1" si="133"/>
        <v>0</v>
      </c>
      <c r="CX48" s="1482">
        <f t="shared" ca="1" si="133"/>
        <v>0</v>
      </c>
      <c r="CY48" s="1482">
        <f t="shared" ca="1" si="133"/>
        <v>0</v>
      </c>
      <c r="CZ48" s="1482">
        <f t="shared" ca="1" si="133"/>
        <v>0</v>
      </c>
      <c r="DA48" s="1482">
        <f t="shared" ca="1" si="133"/>
        <v>0</v>
      </c>
      <c r="DB48" s="1482">
        <f t="shared" ca="1" si="133"/>
        <v>0</v>
      </c>
      <c r="DC48" s="1482">
        <f t="shared" ca="1" si="133"/>
        <v>0</v>
      </c>
      <c r="DD48" s="1482">
        <f t="shared" ca="1" si="133"/>
        <v>0</v>
      </c>
      <c r="DE48" s="1482">
        <f t="shared" ca="1" si="133"/>
        <v>0</v>
      </c>
      <c r="DF48" s="1482">
        <f t="shared" ca="1" si="133"/>
        <v>0</v>
      </c>
      <c r="DH48" s="838">
        <f ca="1">SUM(BO48:DF48)</f>
        <v>0</v>
      </c>
    </row>
    <row r="49" spans="1:112" s="743" customFormat="1" hidden="1" outlineLevel="1">
      <c r="A49" s="1484"/>
      <c r="B49" s="1484"/>
      <c r="C49" s="746" t="s">
        <v>965</v>
      </c>
      <c r="D49" s="521" t="str">
        <f>INDEX(Modules[Module], MATCH($C49, Modules[Code], 0))</f>
        <v>Waste arising</v>
      </c>
      <c r="E49" s="521"/>
      <c r="G49" s="1017">
        <f t="shared" ca="1" si="125"/>
        <v>0</v>
      </c>
      <c r="H49" s="1017">
        <f t="shared" ca="1" si="125"/>
        <v>0</v>
      </c>
      <c r="I49" s="1017">
        <f t="shared" ca="1" si="125"/>
        <v>0</v>
      </c>
      <c r="J49" s="1017">
        <f t="shared" ca="1" si="125"/>
        <v>0</v>
      </c>
      <c r="K49" s="1017">
        <f t="shared" ca="1" si="125"/>
        <v>0</v>
      </c>
      <c r="L49" s="1017">
        <f t="shared" ca="1" si="125"/>
        <v>0</v>
      </c>
      <c r="M49" s="1017">
        <f t="shared" ca="1" si="125"/>
        <v>0</v>
      </c>
      <c r="N49" s="1017">
        <f t="shared" ca="1" si="125"/>
        <v>0</v>
      </c>
      <c r="O49" s="1017">
        <f t="shared" ca="1" si="125"/>
        <v>0</v>
      </c>
      <c r="P49" s="1017">
        <f t="shared" ca="1" si="125"/>
        <v>0</v>
      </c>
      <c r="Q49" s="1019">
        <f ca="1">SUM(G49:P49)</f>
        <v>0</v>
      </c>
      <c r="S49" s="1026">
        <f t="shared" ca="1" si="126"/>
        <v>0</v>
      </c>
      <c r="T49" s="1026">
        <f t="shared" ca="1" si="126"/>
        <v>0</v>
      </c>
      <c r="U49" s="1026">
        <f t="shared" ca="1" si="126"/>
        <v>0</v>
      </c>
      <c r="V49" s="1026">
        <f t="shared" ca="1" si="126"/>
        <v>0</v>
      </c>
      <c r="W49" s="1026">
        <f t="shared" ca="1" si="126"/>
        <v>0</v>
      </c>
      <c r="X49" s="1026">
        <f t="shared" ca="1" si="127"/>
        <v>98.093029366424318</v>
      </c>
      <c r="Y49" s="1026">
        <f t="shared" ca="1" si="127"/>
        <v>0</v>
      </c>
      <c r="Z49" s="1026">
        <f t="shared" ca="1" si="127"/>
        <v>0</v>
      </c>
      <c r="AA49" s="1026">
        <f t="shared" ca="1" si="126"/>
        <v>0</v>
      </c>
      <c r="AB49" s="1026">
        <f t="shared" ca="1" si="126"/>
        <v>0</v>
      </c>
      <c r="AC49" s="1026">
        <f t="shared" ca="1" si="126"/>
        <v>0</v>
      </c>
      <c r="AD49" s="1026">
        <f t="shared" ca="1" si="126"/>
        <v>0</v>
      </c>
      <c r="AE49" s="1026">
        <f t="shared" ca="1" si="126"/>
        <v>0</v>
      </c>
      <c r="AF49" s="1026">
        <f t="shared" ca="1" si="126"/>
        <v>56.415372169663094</v>
      </c>
      <c r="AG49" s="1026">
        <f t="shared" ca="1" si="126"/>
        <v>22.418287168340431</v>
      </c>
      <c r="AH49" s="1026">
        <f t="shared" ca="1" si="126"/>
        <v>18.806405883014129</v>
      </c>
      <c r="AI49" s="1026">
        <f t="shared" ca="1" si="126"/>
        <v>0</v>
      </c>
      <c r="AJ49" s="1026">
        <f t="shared" ca="1" si="126"/>
        <v>0</v>
      </c>
      <c r="AK49" s="1027">
        <f ca="1">SUM(S49:AJ49)</f>
        <v>195.73309458744197</v>
      </c>
      <c r="AM49" s="1038">
        <f t="shared" ca="1" si="128"/>
        <v>0</v>
      </c>
      <c r="AN49" s="1038">
        <f t="shared" ca="1" si="128"/>
        <v>0</v>
      </c>
      <c r="AO49" s="1038">
        <f t="shared" ca="1" si="128"/>
        <v>0</v>
      </c>
      <c r="AP49" s="1038">
        <f t="shared" ca="1" si="128"/>
        <v>0</v>
      </c>
      <c r="AQ49" s="1038">
        <f t="shared" ca="1" si="128"/>
        <v>0</v>
      </c>
      <c r="AR49" s="1038">
        <f t="shared" ca="1" si="128"/>
        <v>0</v>
      </c>
      <c r="AS49" s="1038">
        <f t="shared" ca="1" si="128"/>
        <v>0</v>
      </c>
      <c r="AT49" s="1038">
        <f t="shared" ca="1" si="128"/>
        <v>0</v>
      </c>
      <c r="AU49" s="1038">
        <f t="shared" ca="1" si="128"/>
        <v>0</v>
      </c>
      <c r="AV49" s="1038">
        <f t="shared" ca="1" si="126"/>
        <v>0</v>
      </c>
      <c r="AW49" s="1038">
        <f t="shared" ca="1" si="126"/>
        <v>0</v>
      </c>
      <c r="AX49" s="1038">
        <f t="shared" ca="1" si="126"/>
        <v>0</v>
      </c>
      <c r="AY49" s="1038">
        <f t="shared" ca="1" si="126"/>
        <v>0</v>
      </c>
      <c r="AZ49" s="1038">
        <f t="shared" ca="1" si="126"/>
        <v>0</v>
      </c>
      <c r="BA49" s="1038">
        <f t="shared" ca="1" si="126"/>
        <v>0</v>
      </c>
      <c r="BB49" s="1038">
        <f t="shared" ca="1" si="126"/>
        <v>0</v>
      </c>
      <c r="BC49" s="1038">
        <f t="shared" ca="1" si="126"/>
        <v>0</v>
      </c>
      <c r="BD49" s="1038">
        <f t="shared" ca="1" si="126"/>
        <v>0</v>
      </c>
      <c r="BE49" s="1038">
        <f t="shared" ca="1" si="126"/>
        <v>-195.73309458744197</v>
      </c>
      <c r="BF49" s="979">
        <f ca="1">SUM(AM49:BE49)</f>
        <v>-195.73309458744197</v>
      </c>
      <c r="BH49" s="1032">
        <f t="shared" ca="1" si="129"/>
        <v>0</v>
      </c>
      <c r="BI49" s="1032">
        <f t="shared" ca="1" si="129"/>
        <v>0</v>
      </c>
      <c r="BJ49" s="1034">
        <f ca="1">SUM(BH49:BI49)</f>
        <v>0</v>
      </c>
      <c r="BL49" s="814"/>
      <c r="BM49" s="814"/>
      <c r="BN49" s="840"/>
      <c r="BO49" s="1481">
        <f t="shared" ca="1" si="130"/>
        <v>0</v>
      </c>
      <c r="BP49" s="1482">
        <f t="shared" ca="1" si="130"/>
        <v>0</v>
      </c>
      <c r="BQ49" s="1482">
        <f t="shared" ca="1" si="130"/>
        <v>0</v>
      </c>
      <c r="BR49" s="1482">
        <f t="shared" ca="1" si="130"/>
        <v>0</v>
      </c>
      <c r="BS49" s="1482">
        <f t="shared" ca="1" si="130"/>
        <v>0</v>
      </c>
      <c r="BT49" s="1482">
        <f t="shared" ca="1" si="130"/>
        <v>0</v>
      </c>
      <c r="BU49" s="1482">
        <f t="shared" ca="1" si="130"/>
        <v>0</v>
      </c>
      <c r="BV49" s="1482">
        <f t="shared" ca="1" si="130"/>
        <v>0</v>
      </c>
      <c r="BW49" s="1482">
        <f t="shared" ca="1" si="130"/>
        <v>0</v>
      </c>
      <c r="BX49" s="1482">
        <f t="shared" ca="1" si="130"/>
        <v>0</v>
      </c>
      <c r="BY49" s="1482">
        <f t="shared" ca="1" si="131"/>
        <v>0</v>
      </c>
      <c r="BZ49" s="1482">
        <f t="shared" ca="1" si="131"/>
        <v>0</v>
      </c>
      <c r="CA49" s="1482">
        <f t="shared" ca="1" si="131"/>
        <v>0</v>
      </c>
      <c r="CB49" s="1482">
        <f t="shared" ca="1" si="131"/>
        <v>0</v>
      </c>
      <c r="CC49" s="1482">
        <f t="shared" ca="1" si="131"/>
        <v>0</v>
      </c>
      <c r="CD49" s="1482">
        <f t="shared" ca="1" si="131"/>
        <v>0</v>
      </c>
      <c r="CE49" s="1482">
        <f t="shared" ca="1" si="131"/>
        <v>0</v>
      </c>
      <c r="CF49" s="1482">
        <f t="shared" ca="1" si="131"/>
        <v>0</v>
      </c>
      <c r="CG49" s="1482">
        <f t="shared" ca="1" si="131"/>
        <v>0</v>
      </c>
      <c r="CH49" s="1482">
        <f t="shared" ca="1" si="131"/>
        <v>0</v>
      </c>
      <c r="CI49" s="1482">
        <f t="shared" ca="1" si="132"/>
        <v>0</v>
      </c>
      <c r="CJ49" s="1482">
        <f t="shared" ca="1" si="132"/>
        <v>0</v>
      </c>
      <c r="CK49" s="1482">
        <f t="shared" ca="1" si="132"/>
        <v>0</v>
      </c>
      <c r="CL49" s="1482">
        <f t="shared" ca="1" si="132"/>
        <v>0</v>
      </c>
      <c r="CM49" s="1482">
        <f t="shared" ca="1" si="132"/>
        <v>0</v>
      </c>
      <c r="CN49" s="1482">
        <f t="shared" ca="1" si="132"/>
        <v>22.487907635672475</v>
      </c>
      <c r="CO49" s="1482">
        <f t="shared" ca="1" si="132"/>
        <v>1.5733701984796546</v>
      </c>
      <c r="CP49" s="1482">
        <f t="shared" ca="1" si="132"/>
        <v>0</v>
      </c>
      <c r="CQ49" s="1482">
        <f t="shared" ca="1" si="132"/>
        <v>0</v>
      </c>
      <c r="CR49" s="1482">
        <f t="shared" ca="1" si="132"/>
        <v>0</v>
      </c>
      <c r="CS49" s="1482">
        <f t="shared" ca="1" si="133"/>
        <v>0</v>
      </c>
      <c r="CT49" s="1482">
        <f t="shared" ca="1" si="133"/>
        <v>0</v>
      </c>
      <c r="CU49" s="1482">
        <f t="shared" ca="1" si="133"/>
        <v>0</v>
      </c>
      <c r="CV49" s="1482">
        <f t="shared" ca="1" si="133"/>
        <v>0</v>
      </c>
      <c r="CW49" s="1482">
        <f t="shared" ca="1" si="133"/>
        <v>0</v>
      </c>
      <c r="CX49" s="1482">
        <f t="shared" ca="1" si="133"/>
        <v>0</v>
      </c>
      <c r="CY49" s="1482">
        <f t="shared" ca="1" si="133"/>
        <v>0</v>
      </c>
      <c r="CZ49" s="1482">
        <f t="shared" ca="1" si="133"/>
        <v>0</v>
      </c>
      <c r="DA49" s="1482">
        <f t="shared" ca="1" si="133"/>
        <v>0</v>
      </c>
      <c r="DB49" s="1482">
        <f t="shared" ca="1" si="133"/>
        <v>0</v>
      </c>
      <c r="DC49" s="1482">
        <f t="shared" ca="1" si="133"/>
        <v>0</v>
      </c>
      <c r="DD49" s="1482">
        <f t="shared" ca="1" si="133"/>
        <v>0</v>
      </c>
      <c r="DE49" s="1482">
        <f t="shared" ca="1" si="133"/>
        <v>0</v>
      </c>
      <c r="DF49" s="1482">
        <f t="shared" ca="1" si="133"/>
        <v>0</v>
      </c>
      <c r="DH49" s="838">
        <f t="shared" ca="1" si="124"/>
        <v>24.061277834152129</v>
      </c>
    </row>
    <row r="50" spans="1:112" s="743" customFormat="1" ht="12.75" hidden="1" customHeight="1" outlineLevel="1">
      <c r="A50" s="1484"/>
      <c r="B50" s="1484"/>
      <c r="C50" s="746" t="s">
        <v>924</v>
      </c>
      <c r="D50" s="1010" t="str">
        <f>INDEX(Modules[Module], MATCH($C50, Modules[Code], 0))</f>
        <v>Agriculture and land use</v>
      </c>
      <c r="E50" s="1010"/>
      <c r="G50" s="1022">
        <f t="shared" ref="G50:P50" ca="1" si="134">IFERROR(INDEX(INDIRECT($C50&amp;".Outputs["&amp;this.Year&amp;"]"), MATCH(G$5, INDIRECT($C50&amp;".Outputs[Vector]"), 0)), 0)</f>
        <v>0</v>
      </c>
      <c r="H50" s="1022">
        <f t="shared" ca="1" si="134"/>
        <v>0</v>
      </c>
      <c r="I50" s="1022">
        <f t="shared" ca="1" si="134"/>
        <v>11.130457409731727</v>
      </c>
      <c r="J50" s="1022">
        <f t="shared" ca="1" si="134"/>
        <v>0</v>
      </c>
      <c r="K50" s="1022">
        <f t="shared" ca="1" si="134"/>
        <v>0</v>
      </c>
      <c r="L50" s="1022">
        <f t="shared" ca="1" si="134"/>
        <v>0</v>
      </c>
      <c r="M50" s="1022">
        <f t="shared" ca="1" si="134"/>
        <v>0</v>
      </c>
      <c r="N50" s="1022">
        <f t="shared" ca="1" si="134"/>
        <v>0</v>
      </c>
      <c r="O50" s="1022">
        <f t="shared" ca="1" si="134"/>
        <v>0</v>
      </c>
      <c r="P50" s="1022">
        <f t="shared" ca="1" si="134"/>
        <v>0</v>
      </c>
      <c r="Q50" s="1020">
        <f ca="1">SUM(G50:P50)</f>
        <v>11.130457409731727</v>
      </c>
      <c r="S50" s="1031">
        <f t="shared" ref="S50:AJ50" ca="1" si="135">IFERROR(INDEX(INDIRECT($C50&amp;".Outputs["&amp;this.Year&amp;"]"), MATCH(S$5, INDIRECT($C50&amp;".Outputs[Vector]"), 0)), 0)</f>
        <v>-4.4521829638926915</v>
      </c>
      <c r="T50" s="1031">
        <f t="shared" ca="1" si="135"/>
        <v>0</v>
      </c>
      <c r="U50" s="1031">
        <f t="shared" ca="1" si="135"/>
        <v>-0.89043659277853826</v>
      </c>
      <c r="V50" s="1031">
        <f t="shared" ca="1" si="135"/>
        <v>-3.6730509452114704</v>
      </c>
      <c r="W50" s="1031">
        <f t="shared" ca="1" si="135"/>
        <v>-2.1147869078490285</v>
      </c>
      <c r="X50" s="1031">
        <f t="shared" ca="1" si="127"/>
        <v>0</v>
      </c>
      <c r="Y50" s="1031">
        <f t="shared" ca="1" si="127"/>
        <v>0</v>
      </c>
      <c r="Z50" s="1031">
        <f t="shared" ca="1" si="127"/>
        <v>0</v>
      </c>
      <c r="AA50" s="1031">
        <f t="shared" ca="1" si="135"/>
        <v>0</v>
      </c>
      <c r="AB50" s="1031">
        <f t="shared" ca="1" si="135"/>
        <v>0</v>
      </c>
      <c r="AC50" s="1031">
        <f t="shared" ca="1" si="135"/>
        <v>0</v>
      </c>
      <c r="AD50" s="1031">
        <f t="shared" ca="1" si="135"/>
        <v>84.551105543007012</v>
      </c>
      <c r="AE50" s="1031">
        <f t="shared" ca="1" si="135"/>
        <v>1.7066988158250447</v>
      </c>
      <c r="AF50" s="1031">
        <f t="shared" ca="1" si="135"/>
        <v>19.598185340311709</v>
      </c>
      <c r="AG50" s="1031">
        <f t="shared" ca="1" si="135"/>
        <v>26.482998886539406</v>
      </c>
      <c r="AH50" s="1031">
        <f t="shared" ca="1" si="135"/>
        <v>0</v>
      </c>
      <c r="AI50" s="1031">
        <f t="shared" ca="1" si="135"/>
        <v>0</v>
      </c>
      <c r="AJ50" s="1031">
        <f t="shared" ca="1" si="135"/>
        <v>0</v>
      </c>
      <c r="AK50" s="1030">
        <f ca="1">SUM(S50:AJ50)</f>
        <v>121.20853117595144</v>
      </c>
      <c r="AM50" s="1042">
        <f t="shared" ca="1" si="128"/>
        <v>0</v>
      </c>
      <c r="AN50" s="1042">
        <f t="shared" ca="1" si="128"/>
        <v>0</v>
      </c>
      <c r="AO50" s="1042">
        <f t="shared" ca="1" si="128"/>
        <v>0</v>
      </c>
      <c r="AP50" s="1042">
        <f t="shared" ca="1" si="128"/>
        <v>0</v>
      </c>
      <c r="AQ50" s="1042">
        <f t="shared" ca="1" si="128"/>
        <v>0</v>
      </c>
      <c r="AR50" s="1042">
        <f t="shared" ca="1" si="128"/>
        <v>0</v>
      </c>
      <c r="AS50" s="1042">
        <f t="shared" ca="1" si="128"/>
        <v>0</v>
      </c>
      <c r="AT50" s="1042">
        <f t="shared" ca="1" si="128"/>
        <v>0</v>
      </c>
      <c r="AU50" s="1042">
        <f t="shared" ca="1" si="128"/>
        <v>0</v>
      </c>
      <c r="AV50" s="1042">
        <f t="shared" ref="AV50:BE50" ca="1" si="136">IFERROR(INDEX(INDIRECT($C50&amp;".Outputs["&amp;this.Year&amp;"]"), MATCH(AV$5, INDIRECT($C50&amp;".Outputs[Vector]"), 0)), 0)</f>
        <v>0</v>
      </c>
      <c r="AW50" s="1042">
        <f t="shared" ca="1" si="136"/>
        <v>0</v>
      </c>
      <c r="AX50" s="1042">
        <f t="shared" ca="1" si="136"/>
        <v>0</v>
      </c>
      <c r="AY50" s="1042">
        <f t="shared" ca="1" si="136"/>
        <v>0</v>
      </c>
      <c r="AZ50" s="1042">
        <f t="shared" ca="1" si="136"/>
        <v>0</v>
      </c>
      <c r="BA50" s="1042">
        <f t="shared" ca="1" si="136"/>
        <v>0</v>
      </c>
      <c r="BB50" s="1042">
        <f t="shared" ca="1" si="136"/>
        <v>0</v>
      </c>
      <c r="BC50" s="1042">
        <f t="shared" ca="1" si="136"/>
        <v>0</v>
      </c>
      <c r="BD50" s="1042">
        <f t="shared" ca="1" si="136"/>
        <v>-86.257804358832061</v>
      </c>
      <c r="BE50" s="1042">
        <f t="shared" ca="1" si="136"/>
        <v>-46.081184226851114</v>
      </c>
      <c r="BF50" s="1012">
        <f ca="1">SUM(AM50:BE50)</f>
        <v>-132.33898858568318</v>
      </c>
      <c r="BH50" s="1036">
        <f t="shared" ca="1" si="129"/>
        <v>0</v>
      </c>
      <c r="BI50" s="1036">
        <f t="shared" ca="1" si="129"/>
        <v>0</v>
      </c>
      <c r="BJ50" s="1035">
        <f ca="1">SUM(BH50:BI50)</f>
        <v>0</v>
      </c>
      <c r="BL50" s="814">
        <f ca="1">Q50+AK50+BF50+BJ50</f>
        <v>-2.8421709430404007E-14</v>
      </c>
      <c r="BM50" s="814"/>
      <c r="BN50" s="840"/>
      <c r="BO50" s="1485">
        <f t="shared" ca="1" si="130"/>
        <v>1.5816379979228785</v>
      </c>
      <c r="BP50" s="1486">
        <f t="shared" ca="1" si="130"/>
        <v>2.7288810716031703E-3</v>
      </c>
      <c r="BQ50" s="1486">
        <f t="shared" ca="1" si="130"/>
        <v>1.9789829150461256E-2</v>
      </c>
      <c r="BR50" s="1486">
        <f t="shared" ca="1" si="130"/>
        <v>0</v>
      </c>
      <c r="BS50" s="1486">
        <f t="shared" ca="1" si="130"/>
        <v>0</v>
      </c>
      <c r="BT50" s="1486">
        <f t="shared" ca="1" si="130"/>
        <v>0</v>
      </c>
      <c r="BU50" s="1486">
        <f t="shared" ca="1" si="130"/>
        <v>0</v>
      </c>
      <c r="BV50" s="1486">
        <f t="shared" ca="1" si="130"/>
        <v>0</v>
      </c>
      <c r="BW50" s="1486">
        <f t="shared" ca="1" si="130"/>
        <v>0</v>
      </c>
      <c r="BX50" s="1486">
        <f t="shared" ca="1" si="130"/>
        <v>0</v>
      </c>
      <c r="BY50" s="1486">
        <f t="shared" ca="1" si="131"/>
        <v>0</v>
      </c>
      <c r="BZ50" s="1486">
        <f t="shared" ca="1" si="131"/>
        <v>0</v>
      </c>
      <c r="CA50" s="1486">
        <f t="shared" ca="1" si="131"/>
        <v>0</v>
      </c>
      <c r="CB50" s="1486">
        <f t="shared" ca="1" si="131"/>
        <v>0</v>
      </c>
      <c r="CC50" s="1486">
        <f t="shared" ca="1" si="131"/>
        <v>0</v>
      </c>
      <c r="CD50" s="1486">
        <f t="shared" ca="1" si="131"/>
        <v>0</v>
      </c>
      <c r="CE50" s="1486">
        <f t="shared" ca="1" si="131"/>
        <v>0</v>
      </c>
      <c r="CF50" s="1486">
        <f t="shared" ca="1" si="131"/>
        <v>17.017505669284798</v>
      </c>
      <c r="CG50" s="1486">
        <f t="shared" ca="1" si="131"/>
        <v>20.989247999999979</v>
      </c>
      <c r="CH50" s="1486">
        <f t="shared" ca="1" si="131"/>
        <v>0</v>
      </c>
      <c r="CI50" s="1486">
        <f t="shared" ca="1" si="132"/>
        <v>6.9520980316789114</v>
      </c>
      <c r="CJ50" s="1486">
        <f t="shared" ca="1" si="132"/>
        <v>0</v>
      </c>
      <c r="CK50" s="1486">
        <f t="shared" ca="1" si="132"/>
        <v>0</v>
      </c>
      <c r="CL50" s="1486">
        <f t="shared" ca="1" si="132"/>
        <v>0</v>
      </c>
      <c r="CM50" s="1486">
        <f t="shared" ca="1" si="132"/>
        <v>0</v>
      </c>
      <c r="CN50" s="1486">
        <f t="shared" ca="1" si="132"/>
        <v>0</v>
      </c>
      <c r="CO50" s="1486">
        <f t="shared" ca="1" si="132"/>
        <v>0</v>
      </c>
      <c r="CP50" s="1486">
        <f t="shared" ca="1" si="132"/>
        <v>0</v>
      </c>
      <c r="CQ50" s="1486">
        <f t="shared" ca="1" si="132"/>
        <v>0</v>
      </c>
      <c r="CR50" s="1486">
        <f t="shared" ca="1" si="132"/>
        <v>0</v>
      </c>
      <c r="CS50" s="1486">
        <f t="shared" ca="1" si="133"/>
        <v>0</v>
      </c>
      <c r="CT50" s="1486">
        <f t="shared" ca="1" si="133"/>
        <v>0</v>
      </c>
      <c r="CU50" s="1486">
        <f t="shared" ca="1" si="133"/>
        <v>0</v>
      </c>
      <c r="CV50" s="1486">
        <f t="shared" ca="1" si="133"/>
        <v>0</v>
      </c>
      <c r="CW50" s="1486">
        <f t="shared" ca="1" si="133"/>
        <v>0</v>
      </c>
      <c r="CX50" s="1486">
        <f t="shared" ca="1" si="133"/>
        <v>0</v>
      </c>
      <c r="CY50" s="1486">
        <f t="shared" ca="1" si="133"/>
        <v>0</v>
      </c>
      <c r="CZ50" s="1486">
        <f t="shared" ca="1" si="133"/>
        <v>0</v>
      </c>
      <c r="DA50" s="1486">
        <f t="shared" ca="1" si="133"/>
        <v>0</v>
      </c>
      <c r="DB50" s="1486">
        <f t="shared" ca="1" si="133"/>
        <v>0</v>
      </c>
      <c r="DC50" s="1486">
        <f t="shared" ca="1" si="133"/>
        <v>0</v>
      </c>
      <c r="DD50" s="1486">
        <f t="shared" ca="1" si="133"/>
        <v>0</v>
      </c>
      <c r="DE50" s="1486">
        <f t="shared" ca="1" si="133"/>
        <v>0</v>
      </c>
      <c r="DF50" s="1486">
        <f t="shared" ca="1" si="133"/>
        <v>0</v>
      </c>
      <c r="DH50" s="838">
        <f t="shared" ca="1" si="124"/>
        <v>46.563008409108633</v>
      </c>
    </row>
    <row r="51" spans="1:112" s="743" customFormat="1" ht="15.75" collapsed="1">
      <c r="A51" s="22"/>
      <c r="B51" s="753"/>
      <c r="C51" s="744" t="s">
        <v>672</v>
      </c>
      <c r="D51" s="517" t="str">
        <f>INDEX(Workstreams[Workstream], MATCH($C51, Workstreams[Code], 0))</f>
        <v>Agriculture and waste</v>
      </c>
      <c r="E51" s="512"/>
      <c r="G51" s="1021">
        <f ca="1">SUM(G48:G50)</f>
        <v>0</v>
      </c>
      <c r="H51" s="1021">
        <f t="shared" ref="H51:P51" ca="1" si="137">SUM(H48:H50)</f>
        <v>0</v>
      </c>
      <c r="I51" s="1021">
        <f t="shared" ca="1" si="137"/>
        <v>11.130457409731727</v>
      </c>
      <c r="J51" s="1021">
        <f t="shared" ca="1" si="137"/>
        <v>0</v>
      </c>
      <c r="K51" s="1021">
        <f t="shared" ca="1" si="137"/>
        <v>0</v>
      </c>
      <c r="L51" s="1021">
        <f t="shared" ca="1" si="137"/>
        <v>0</v>
      </c>
      <c r="M51" s="1021">
        <f t="shared" ca="1" si="137"/>
        <v>0</v>
      </c>
      <c r="N51" s="1021">
        <f t="shared" ca="1" si="137"/>
        <v>0</v>
      </c>
      <c r="O51" s="1021">
        <f t="shared" ca="1" si="137"/>
        <v>0</v>
      </c>
      <c r="P51" s="1021">
        <f t="shared" ca="1" si="137"/>
        <v>0</v>
      </c>
      <c r="Q51" s="1021">
        <f ca="1">SUM(G51:P51)</f>
        <v>11.130457409731727</v>
      </c>
      <c r="S51" s="970">
        <f t="shared" ref="S51:AJ51" ca="1" si="138">SUM(S48:S50)</f>
        <v>-4.4521829638926915</v>
      </c>
      <c r="T51" s="970">
        <f t="shared" ca="1" si="138"/>
        <v>0</v>
      </c>
      <c r="U51" s="970">
        <f t="shared" ca="1" si="138"/>
        <v>-0.89043659277853826</v>
      </c>
      <c r="V51" s="970">
        <f t="shared" ca="1" si="138"/>
        <v>-3.6730509452114704</v>
      </c>
      <c r="W51" s="970">
        <f t="shared" ca="1" si="138"/>
        <v>-2.1147869078490285</v>
      </c>
      <c r="X51" s="970">
        <f t="shared" ca="1" si="138"/>
        <v>98.093029366424318</v>
      </c>
      <c r="Y51" s="970">
        <f t="shared" ca="1" si="138"/>
        <v>0</v>
      </c>
      <c r="Z51" s="970">
        <f t="shared" ca="1" si="138"/>
        <v>0</v>
      </c>
      <c r="AA51" s="970">
        <f t="shared" ca="1" si="138"/>
        <v>0</v>
      </c>
      <c r="AB51" s="970">
        <f t="shared" ca="1" si="138"/>
        <v>0</v>
      </c>
      <c r="AC51" s="970">
        <f t="shared" ca="1" si="138"/>
        <v>0</v>
      </c>
      <c r="AD51" s="970">
        <f t="shared" ca="1" si="138"/>
        <v>84.551105543007012</v>
      </c>
      <c r="AE51" s="970">
        <f ca="1">SUM(AE48:AE50)</f>
        <v>1.7066988158250447</v>
      </c>
      <c r="AF51" s="970">
        <f t="shared" ca="1" si="138"/>
        <v>76.013557509974802</v>
      </c>
      <c r="AG51" s="970">
        <f t="shared" ca="1" si="138"/>
        <v>48.901286054879833</v>
      </c>
      <c r="AH51" s="970">
        <f ca="1">SUM(AH48:AH50)</f>
        <v>18.806405883014129</v>
      </c>
      <c r="AI51" s="970">
        <f t="shared" ca="1" si="138"/>
        <v>0</v>
      </c>
      <c r="AJ51" s="970">
        <f t="shared" ca="1" si="138"/>
        <v>0</v>
      </c>
      <c r="AK51" s="970">
        <f ca="1">SUM(S51:AJ51)</f>
        <v>316.9416257633934</v>
      </c>
      <c r="AM51" s="976">
        <f t="shared" ref="AM51:BE51" ca="1" si="139">SUM(AM48:AM50)</f>
        <v>0</v>
      </c>
      <c r="AN51" s="976">
        <f t="shared" ca="1" si="139"/>
        <v>0</v>
      </c>
      <c r="AO51" s="976">
        <f t="shared" ca="1" si="139"/>
        <v>0</v>
      </c>
      <c r="AP51" s="976">
        <f t="shared" ca="1" si="139"/>
        <v>0</v>
      </c>
      <c r="AQ51" s="976">
        <f t="shared" ca="1" si="139"/>
        <v>0</v>
      </c>
      <c r="AR51" s="976">
        <f t="shared" ca="1" si="139"/>
        <v>0</v>
      </c>
      <c r="AS51" s="976">
        <f t="shared" ca="1" si="139"/>
        <v>0</v>
      </c>
      <c r="AT51" s="976">
        <f t="shared" ca="1" si="139"/>
        <v>0</v>
      </c>
      <c r="AU51" s="976">
        <f t="shared" ca="1" si="139"/>
        <v>0</v>
      </c>
      <c r="AV51" s="976">
        <f t="shared" ca="1" si="139"/>
        <v>0</v>
      </c>
      <c r="AW51" s="976">
        <f t="shared" ca="1" si="139"/>
        <v>0</v>
      </c>
      <c r="AX51" s="976">
        <f t="shared" ca="1" si="139"/>
        <v>0</v>
      </c>
      <c r="AY51" s="976">
        <f t="shared" ca="1" si="139"/>
        <v>0</v>
      </c>
      <c r="AZ51" s="976">
        <f t="shared" ca="1" si="139"/>
        <v>0</v>
      </c>
      <c r="BA51" s="976">
        <f t="shared" ca="1" si="139"/>
        <v>0</v>
      </c>
      <c r="BB51" s="976">
        <f t="shared" ca="1" si="139"/>
        <v>0</v>
      </c>
      <c r="BC51" s="976">
        <f t="shared" ca="1" si="139"/>
        <v>0</v>
      </c>
      <c r="BD51" s="976">
        <f t="shared" ca="1" si="139"/>
        <v>-86.257804358832061</v>
      </c>
      <c r="BE51" s="976">
        <f t="shared" ca="1" si="139"/>
        <v>-241.81427881429309</v>
      </c>
      <c r="BF51" s="976">
        <f ca="1">SUM(AM51:BE51)</f>
        <v>-328.07208317312518</v>
      </c>
      <c r="BH51" s="990">
        <f ca="1">SUM(BH48:BH50)</f>
        <v>0</v>
      </c>
      <c r="BI51" s="990">
        <f ca="1">SUM(BI48:BI50)</f>
        <v>0</v>
      </c>
      <c r="BJ51" s="990">
        <f ca="1">SUM(BH51:BI51)</f>
        <v>0</v>
      </c>
      <c r="BL51" s="515">
        <f ca="1">Q51+AK51+BF51+BJ51</f>
        <v>-5.6843418860808015E-14</v>
      </c>
      <c r="BM51" s="515"/>
      <c r="BN51" s="840"/>
      <c r="BO51" s="1482">
        <f t="shared" ref="BO51:DF51" ca="1" si="140">SUM(BO48:BO50)</f>
        <v>1.5816379979228785</v>
      </c>
      <c r="BP51" s="1482">
        <f t="shared" ca="1" si="140"/>
        <v>2.7288810716031703E-3</v>
      </c>
      <c r="BQ51" s="1482">
        <f t="shared" ca="1" si="140"/>
        <v>1.9789829150461256E-2</v>
      </c>
      <c r="BR51" s="1482">
        <f t="shared" ca="1" si="140"/>
        <v>0</v>
      </c>
      <c r="BS51" s="1482">
        <f t="shared" ca="1" si="140"/>
        <v>0</v>
      </c>
      <c r="BT51" s="1482">
        <f t="shared" ca="1" si="140"/>
        <v>0</v>
      </c>
      <c r="BU51" s="1482">
        <f t="shared" ca="1" si="140"/>
        <v>0</v>
      </c>
      <c r="BV51" s="1482">
        <f t="shared" ca="1" si="140"/>
        <v>0</v>
      </c>
      <c r="BW51" s="1482">
        <f t="shared" ca="1" si="140"/>
        <v>0</v>
      </c>
      <c r="BX51" s="1482">
        <f t="shared" ca="1" si="140"/>
        <v>0</v>
      </c>
      <c r="BY51" s="1482">
        <f t="shared" ca="1" si="140"/>
        <v>0</v>
      </c>
      <c r="BZ51" s="1482">
        <f t="shared" ca="1" si="140"/>
        <v>0</v>
      </c>
      <c r="CA51" s="1482">
        <f t="shared" ca="1" si="140"/>
        <v>0</v>
      </c>
      <c r="CB51" s="1482">
        <f t="shared" ca="1" si="140"/>
        <v>0</v>
      </c>
      <c r="CC51" s="1482">
        <f t="shared" ca="1" si="140"/>
        <v>0</v>
      </c>
      <c r="CD51" s="1482">
        <f t="shared" ca="1" si="140"/>
        <v>0</v>
      </c>
      <c r="CE51" s="1482">
        <f t="shared" ca="1" si="140"/>
        <v>0</v>
      </c>
      <c r="CF51" s="1482">
        <f t="shared" ca="1" si="140"/>
        <v>17.017505669284798</v>
      </c>
      <c r="CG51" s="1482">
        <f t="shared" ca="1" si="140"/>
        <v>20.989247999999979</v>
      </c>
      <c r="CH51" s="1482">
        <f t="shared" ca="1" si="140"/>
        <v>0</v>
      </c>
      <c r="CI51" s="1482">
        <f t="shared" ca="1" si="140"/>
        <v>6.9520980316789114</v>
      </c>
      <c r="CJ51" s="1482">
        <f t="shared" ca="1" si="140"/>
        <v>0</v>
      </c>
      <c r="CK51" s="1482">
        <f t="shared" ca="1" si="140"/>
        <v>0</v>
      </c>
      <c r="CL51" s="1482">
        <f t="shared" ca="1" si="140"/>
        <v>0</v>
      </c>
      <c r="CM51" s="1482">
        <f t="shared" ca="1" si="140"/>
        <v>0</v>
      </c>
      <c r="CN51" s="1482">
        <f t="shared" ca="1" si="140"/>
        <v>22.487907635672475</v>
      </c>
      <c r="CO51" s="1482">
        <f t="shared" ca="1" si="140"/>
        <v>1.5733701984796546</v>
      </c>
      <c r="CP51" s="1482">
        <f t="shared" ca="1" si="140"/>
        <v>0</v>
      </c>
      <c r="CQ51" s="1482">
        <f t="shared" ca="1" si="140"/>
        <v>0</v>
      </c>
      <c r="CR51" s="1482">
        <f t="shared" ca="1" si="140"/>
        <v>0</v>
      </c>
      <c r="CS51" s="1482">
        <f t="shared" ca="1" si="140"/>
        <v>0</v>
      </c>
      <c r="CT51" s="1482">
        <f t="shared" ca="1" si="140"/>
        <v>0</v>
      </c>
      <c r="CU51" s="1482">
        <f t="shared" ca="1" si="140"/>
        <v>0</v>
      </c>
      <c r="CV51" s="1482">
        <f t="shared" ca="1" si="140"/>
        <v>0</v>
      </c>
      <c r="CW51" s="1482">
        <f t="shared" ca="1" si="140"/>
        <v>0</v>
      </c>
      <c r="CX51" s="1482">
        <f t="shared" ca="1" si="140"/>
        <v>0</v>
      </c>
      <c r="CY51" s="1482">
        <f t="shared" ca="1" si="140"/>
        <v>0</v>
      </c>
      <c r="CZ51" s="1482">
        <f t="shared" ca="1" si="140"/>
        <v>0</v>
      </c>
      <c r="DA51" s="1482">
        <f t="shared" ca="1" si="140"/>
        <v>0</v>
      </c>
      <c r="DB51" s="1482">
        <f t="shared" ca="1" si="140"/>
        <v>0</v>
      </c>
      <c r="DC51" s="1482">
        <f t="shared" ca="1" si="140"/>
        <v>0</v>
      </c>
      <c r="DD51" s="1482">
        <f t="shared" ca="1" si="140"/>
        <v>0</v>
      </c>
      <c r="DE51" s="1482">
        <f t="shared" ca="1" si="140"/>
        <v>0</v>
      </c>
      <c r="DF51" s="1482">
        <f t="shared" ca="1" si="140"/>
        <v>0</v>
      </c>
      <c r="DH51" s="838">
        <f t="shared" ca="1" si="124"/>
        <v>70.624286243260755</v>
      </c>
    </row>
    <row r="52" spans="1:112" s="743" customFormat="1" ht="12.75" hidden="1" customHeight="1" outlineLevel="1">
      <c r="A52" s="22"/>
      <c r="B52" s="22"/>
      <c r="C52" s="751"/>
      <c r="D52" s="512"/>
      <c r="E52" s="512"/>
      <c r="G52" s="958"/>
      <c r="H52" s="958"/>
      <c r="I52" s="958"/>
      <c r="J52" s="958"/>
      <c r="K52" s="960"/>
      <c r="L52" s="958"/>
      <c r="M52" s="958"/>
      <c r="N52" s="958"/>
      <c r="O52" s="958"/>
      <c r="P52" s="958"/>
      <c r="Q52" s="958"/>
      <c r="S52" s="970"/>
      <c r="T52" s="970"/>
      <c r="U52" s="970"/>
      <c r="V52" s="970"/>
      <c r="W52" s="970"/>
      <c r="X52" s="970"/>
      <c r="Y52" s="970"/>
      <c r="Z52" s="970"/>
      <c r="AA52" s="970"/>
      <c r="AB52" s="970"/>
      <c r="AC52" s="970"/>
      <c r="AD52" s="970"/>
      <c r="AE52" s="970"/>
      <c r="AF52" s="970"/>
      <c r="AG52" s="970"/>
      <c r="AH52" s="970"/>
      <c r="AI52" s="970"/>
      <c r="AJ52" s="970"/>
      <c r="AK52" s="970"/>
      <c r="AM52" s="976"/>
      <c r="AN52" s="976"/>
      <c r="AO52" s="976"/>
      <c r="AP52" s="976"/>
      <c r="AQ52" s="976"/>
      <c r="AR52" s="976"/>
      <c r="AS52" s="976"/>
      <c r="AT52" s="976"/>
      <c r="AU52" s="976"/>
      <c r="AV52" s="976"/>
      <c r="AW52" s="976"/>
      <c r="AX52" s="976"/>
      <c r="AY52" s="976"/>
      <c r="AZ52" s="976"/>
      <c r="BA52" s="976"/>
      <c r="BB52" s="976"/>
      <c r="BC52" s="976"/>
      <c r="BD52" s="976"/>
      <c r="BE52" s="976"/>
      <c r="BF52" s="976"/>
      <c r="BH52" s="990"/>
      <c r="BI52" s="990"/>
      <c r="BJ52" s="990"/>
      <c r="BL52" s="515">
        <f>Q52+AK52+BF52+BJ52</f>
        <v>0</v>
      </c>
      <c r="BM52" s="515"/>
      <c r="BN52" s="22"/>
      <c r="BO52" s="1482"/>
      <c r="BP52" s="1482"/>
      <c r="BQ52" s="1482"/>
      <c r="BR52" s="1482"/>
      <c r="BS52" s="1482"/>
      <c r="BT52" s="1482"/>
      <c r="BU52" s="1482"/>
      <c r="BV52" s="1482"/>
      <c r="BW52" s="1482"/>
      <c r="BX52" s="1482"/>
      <c r="BY52" s="1482"/>
      <c r="BZ52" s="1482"/>
      <c r="CA52" s="1482"/>
      <c r="CB52" s="1482"/>
      <c r="CC52" s="1482"/>
      <c r="CD52" s="1482"/>
      <c r="CE52" s="1482"/>
      <c r="CF52" s="1482"/>
      <c r="CG52" s="1482"/>
      <c r="CH52" s="1482"/>
      <c r="CI52" s="1482"/>
      <c r="CJ52" s="1482"/>
      <c r="CK52" s="1482"/>
      <c r="CL52" s="1482"/>
      <c r="CM52" s="1482"/>
      <c r="CN52" s="1482"/>
      <c r="CO52" s="1482"/>
      <c r="CP52" s="1482"/>
      <c r="CQ52" s="1482"/>
      <c r="CR52" s="1482"/>
      <c r="CS52" s="1482"/>
      <c r="CT52" s="1482"/>
      <c r="CU52" s="1482"/>
      <c r="CV52" s="1482"/>
      <c r="CW52" s="1482"/>
      <c r="CX52" s="1482"/>
      <c r="CY52" s="1482"/>
      <c r="CZ52" s="1482"/>
      <c r="DA52" s="1482"/>
      <c r="DB52" s="1482"/>
      <c r="DC52" s="1482"/>
      <c r="DD52" s="1482"/>
      <c r="DE52" s="1482"/>
      <c r="DF52" s="1482"/>
      <c r="DH52" s="838">
        <f t="shared" si="124"/>
        <v>0</v>
      </c>
    </row>
    <row r="53" spans="1:112" s="743" customFormat="1" hidden="1" outlineLevel="1">
      <c r="A53" s="1484"/>
      <c r="B53" s="1484"/>
      <c r="C53" s="522" t="s">
        <v>971</v>
      </c>
      <c r="D53" s="521" t="str">
        <f>INDEX(Modules[Module], MATCH($C53, Modules[Code], 0))</f>
        <v>Petroleum refineries</v>
      </c>
      <c r="E53" s="521"/>
      <c r="G53" s="1017">
        <f t="shared" ref="G53:P54" ca="1" si="141">IFERROR(INDEX(INDIRECT($C53&amp;".Outputs["&amp;this.Year&amp;"]"), MATCH(G$5, INDIRECT($C53&amp;".Outputs[Vector]"), 0)), 0)</f>
        <v>0</v>
      </c>
      <c r="H53" s="1017">
        <f t="shared" ca="1" si="141"/>
        <v>0</v>
      </c>
      <c r="I53" s="1017">
        <f t="shared" ca="1" si="141"/>
        <v>0</v>
      </c>
      <c r="J53" s="1017">
        <f t="shared" ca="1" si="141"/>
        <v>0</v>
      </c>
      <c r="K53" s="1017">
        <f t="shared" ca="1" si="141"/>
        <v>0</v>
      </c>
      <c r="L53" s="1017">
        <f t="shared" ca="1" si="141"/>
        <v>0</v>
      </c>
      <c r="M53" s="1017">
        <f t="shared" ca="1" si="141"/>
        <v>0</v>
      </c>
      <c r="N53" s="1017">
        <f t="shared" ca="1" si="141"/>
        <v>0</v>
      </c>
      <c r="O53" s="1017">
        <f t="shared" ca="1" si="141"/>
        <v>0</v>
      </c>
      <c r="P53" s="1017">
        <f t="shared" ca="1" si="141"/>
        <v>0</v>
      </c>
      <c r="Q53" s="1019">
        <f ca="1">SUM(G53:P53)</f>
        <v>0</v>
      </c>
      <c r="S53" s="1026">
        <f t="shared" ref="S53:BE54" ca="1" si="142">IFERROR(INDEX(INDIRECT($C53&amp;".Outputs["&amp;this.Year&amp;"]"), MATCH(S$5, INDIRECT($C53&amp;".Outputs[Vector]"), 0)), 0)</f>
        <v>-5.0088952451600477</v>
      </c>
      <c r="T53" s="1026">
        <f t="shared" ca="1" si="142"/>
        <v>0</v>
      </c>
      <c r="U53" s="1026">
        <f t="shared" ca="1" si="142"/>
        <v>0</v>
      </c>
      <c r="V53" s="1026">
        <f t="shared" ca="1" si="142"/>
        <v>-41.054840526247823</v>
      </c>
      <c r="W53" s="1026">
        <f t="shared" ca="1" si="142"/>
        <v>-1.8263914914524892</v>
      </c>
      <c r="X53" s="1026">
        <f t="shared" ref="X53:Z54" ca="1" si="143">IFERROR(INDEX(INDIRECT($C53&amp;".Outputs["&amp;this.Year&amp;"]"), MATCH(X$5, INDIRECT($C53&amp;".Outputs[Vector]"), 0)), 0)</f>
        <v>0</v>
      </c>
      <c r="Y53" s="1026">
        <f t="shared" ca="1" si="143"/>
        <v>0</v>
      </c>
      <c r="Z53" s="1026">
        <f t="shared" ca="1" si="143"/>
        <v>0</v>
      </c>
      <c r="AA53" s="1026">
        <f t="shared" ca="1" si="142"/>
        <v>0</v>
      </c>
      <c r="AB53" s="1026">
        <f t="shared" ca="1" si="142"/>
        <v>-0.58819936889797564</v>
      </c>
      <c r="AC53" s="1026">
        <f t="shared" ca="1" si="142"/>
        <v>0</v>
      </c>
      <c r="AD53" s="1026">
        <f t="shared" ca="1" si="142"/>
        <v>0</v>
      </c>
      <c r="AE53" s="1026">
        <f t="shared" ca="1" si="142"/>
        <v>0</v>
      </c>
      <c r="AF53" s="1026">
        <f t="shared" ca="1" si="142"/>
        <v>0</v>
      </c>
      <c r="AG53" s="1026">
        <f t="shared" ca="1" si="142"/>
        <v>0</v>
      </c>
      <c r="AH53" s="1026">
        <f t="shared" ca="1" si="142"/>
        <v>0</v>
      </c>
      <c r="AI53" s="1026">
        <f t="shared" ca="1" si="142"/>
        <v>0</v>
      </c>
      <c r="AJ53" s="1026">
        <f t="shared" ca="1" si="142"/>
        <v>0</v>
      </c>
      <c r="AK53" s="1027">
        <f ca="1">SUM(S53:AJ53)</f>
        <v>-48.478326631758335</v>
      </c>
      <c r="AM53" s="1038">
        <f t="shared" ref="AM53:AU54" ca="1" si="144">IFERROR(INDEX(INDIRECT($C53&amp;".Outputs["&amp;this.Year&amp;"]"), MATCH(AM$5, INDIRECT($C53&amp;".Outputs[Vector]"), 0)), 0)</f>
        <v>0</v>
      </c>
      <c r="AN53" s="1038">
        <f t="shared" ca="1" si="144"/>
        <v>0</v>
      </c>
      <c r="AO53" s="1038">
        <f t="shared" ca="1" si="144"/>
        <v>0</v>
      </c>
      <c r="AP53" s="1038">
        <f t="shared" ca="1" si="144"/>
        <v>0</v>
      </c>
      <c r="AQ53" s="1038">
        <f t="shared" ca="1" si="144"/>
        <v>0</v>
      </c>
      <c r="AR53" s="1038">
        <f t="shared" ca="1" si="144"/>
        <v>0</v>
      </c>
      <c r="AS53" s="1038">
        <f t="shared" ca="1" si="144"/>
        <v>0</v>
      </c>
      <c r="AT53" s="1038">
        <f t="shared" ca="1" si="144"/>
        <v>0</v>
      </c>
      <c r="AU53" s="1038">
        <f t="shared" ca="1" si="144"/>
        <v>0</v>
      </c>
      <c r="AV53" s="1038">
        <f t="shared" ca="1" si="142"/>
        <v>0</v>
      </c>
      <c r="AW53" s="1038">
        <f t="shared" ca="1" si="142"/>
        <v>0</v>
      </c>
      <c r="AX53" s="1038">
        <f t="shared" ca="1" si="142"/>
        <v>0</v>
      </c>
      <c r="AY53" s="1038">
        <f t="shared" ca="1" si="142"/>
        <v>0</v>
      </c>
      <c r="AZ53" s="1038">
        <f t="shared" ca="1" si="142"/>
        <v>0</v>
      </c>
      <c r="BA53" s="1038">
        <f t="shared" ca="1" si="142"/>
        <v>0</v>
      </c>
      <c r="BB53" s="1038">
        <f t="shared" ca="1" si="142"/>
        <v>0</v>
      </c>
      <c r="BC53" s="1038">
        <f t="shared" ca="1" si="142"/>
        <v>0</v>
      </c>
      <c r="BD53" s="1038">
        <f t="shared" ca="1" si="142"/>
        <v>0</v>
      </c>
      <c r="BE53" s="1038">
        <f t="shared" ca="1" si="142"/>
        <v>0</v>
      </c>
      <c r="BF53" s="979">
        <f ca="1">SUM(AM53:BE53)</f>
        <v>0</v>
      </c>
      <c r="BH53" s="1032">
        <f ca="1">IFERROR(INDEX(INDIRECT($C53&amp;".Outputs["&amp;this.Year&amp;"]"), MATCH(BH$5, INDIRECT($C53&amp;".Outputs[Vector]"), 0)), 0)</f>
        <v>0</v>
      </c>
      <c r="BI53" s="1032">
        <f ca="1">IFERROR(INDEX(INDIRECT($C53&amp;".Outputs["&amp;this.Year&amp;"]"), MATCH(BI$5, INDIRECT($C53&amp;".Outputs[Vector]"), 0)), 0)</f>
        <v>48.478326631758335</v>
      </c>
      <c r="BJ53" s="1034">
        <f ca="1">SUM(BH53:BI53)</f>
        <v>48.478326631758335</v>
      </c>
      <c r="BL53" s="814">
        <f ca="1">Q53+AK53+BF53+BJ53</f>
        <v>0</v>
      </c>
      <c r="BM53" s="814"/>
      <c r="BN53" s="840"/>
      <c r="BO53" s="1481">
        <f t="shared" ref="BO53:BX54" ca="1" si="145">IFERROR(SUMIFS(INDIRECT($C53&amp;".Emissions["&amp;this.Year&amp;"]"), INDIRECT($C53&amp;".Emissions[GHG]"), BO$6, INDIRECT($C53&amp;".Emissions[IPCC Sector]"), BO$5),0)</f>
        <v>10.599766165989214</v>
      </c>
      <c r="BP53" s="1482">
        <f t="shared" ca="1" si="145"/>
        <v>1.3451898113426678E-2</v>
      </c>
      <c r="BQ53" s="1482">
        <f t="shared" ca="1" si="145"/>
        <v>0.18538968707995557</v>
      </c>
      <c r="BR53" s="1482">
        <f t="shared" ca="1" si="145"/>
        <v>0</v>
      </c>
      <c r="BS53" s="1482">
        <f t="shared" ca="1" si="145"/>
        <v>0</v>
      </c>
      <c r="BT53" s="1482">
        <f t="shared" ca="1" si="145"/>
        <v>0</v>
      </c>
      <c r="BU53" s="1482">
        <f t="shared" ca="1" si="145"/>
        <v>0</v>
      </c>
      <c r="BV53" s="1482">
        <f t="shared" ca="1" si="145"/>
        <v>0</v>
      </c>
      <c r="BW53" s="1482">
        <f t="shared" ca="1" si="145"/>
        <v>0</v>
      </c>
      <c r="BX53" s="1482">
        <f t="shared" ca="1" si="145"/>
        <v>0</v>
      </c>
      <c r="BY53" s="1482">
        <f t="shared" ref="BY53:CH54" ca="1" si="146">IFERROR(SUMIFS(INDIRECT($C53&amp;".Emissions["&amp;this.Year&amp;"]"), INDIRECT($C53&amp;".Emissions[GHG]"), BY$6, INDIRECT($C53&amp;".Emissions[IPCC Sector]"), BY$5),0)</f>
        <v>0</v>
      </c>
      <c r="BZ53" s="1482">
        <f t="shared" ca="1" si="146"/>
        <v>0</v>
      </c>
      <c r="CA53" s="1482">
        <f t="shared" ca="1" si="146"/>
        <v>0</v>
      </c>
      <c r="CB53" s="1482">
        <f t="shared" ca="1" si="146"/>
        <v>0</v>
      </c>
      <c r="CC53" s="1482">
        <f t="shared" ca="1" si="146"/>
        <v>0</v>
      </c>
      <c r="CD53" s="1482">
        <f t="shared" ca="1" si="146"/>
        <v>0</v>
      </c>
      <c r="CE53" s="1482">
        <f t="shared" ca="1" si="146"/>
        <v>0</v>
      </c>
      <c r="CF53" s="1482">
        <f t="shared" ca="1" si="146"/>
        <v>0</v>
      </c>
      <c r="CG53" s="1482">
        <f t="shared" ca="1" si="146"/>
        <v>0</v>
      </c>
      <c r="CH53" s="1482">
        <f t="shared" ca="1" si="146"/>
        <v>0</v>
      </c>
      <c r="CI53" s="1482">
        <f t="shared" ref="CI53:CR54" ca="1" si="147">IFERROR(SUMIFS(INDIRECT($C53&amp;".Emissions["&amp;this.Year&amp;"]"), INDIRECT($C53&amp;".Emissions[GHG]"), CI$6, INDIRECT($C53&amp;".Emissions[IPCC Sector]"), CI$5),0)</f>
        <v>0</v>
      </c>
      <c r="CJ53" s="1482">
        <f t="shared" ca="1" si="147"/>
        <v>0</v>
      </c>
      <c r="CK53" s="1482">
        <f t="shared" ca="1" si="147"/>
        <v>0</v>
      </c>
      <c r="CL53" s="1482">
        <f t="shared" ca="1" si="147"/>
        <v>0</v>
      </c>
      <c r="CM53" s="1482">
        <f t="shared" ca="1" si="147"/>
        <v>0</v>
      </c>
      <c r="CN53" s="1482">
        <f t="shared" ca="1" si="147"/>
        <v>0</v>
      </c>
      <c r="CO53" s="1482">
        <f t="shared" ca="1" si="147"/>
        <v>0</v>
      </c>
      <c r="CP53" s="1482">
        <f t="shared" ca="1" si="147"/>
        <v>0</v>
      </c>
      <c r="CQ53" s="1482">
        <f t="shared" ca="1" si="147"/>
        <v>0</v>
      </c>
      <c r="CR53" s="1482">
        <f t="shared" ca="1" si="147"/>
        <v>0</v>
      </c>
      <c r="CS53" s="1482">
        <f t="shared" ref="CS53:DF54" ca="1" si="148">IFERROR(SUMIFS(INDIRECT($C53&amp;".Emissions["&amp;this.Year&amp;"]"), INDIRECT($C53&amp;".Emissions[GHG]"), CS$6, INDIRECT($C53&amp;".Emissions[IPCC Sector]"), CS$5),0)</f>
        <v>0</v>
      </c>
      <c r="CT53" s="1482">
        <f t="shared" ca="1" si="148"/>
        <v>0</v>
      </c>
      <c r="CU53" s="1482">
        <f t="shared" ca="1" si="148"/>
        <v>0</v>
      </c>
      <c r="CV53" s="1482">
        <f t="shared" ca="1" si="148"/>
        <v>0</v>
      </c>
      <c r="CW53" s="1482">
        <f t="shared" ca="1" si="148"/>
        <v>0</v>
      </c>
      <c r="CX53" s="1482">
        <f t="shared" ca="1" si="148"/>
        <v>0</v>
      </c>
      <c r="CY53" s="1482">
        <f t="shared" ca="1" si="148"/>
        <v>0</v>
      </c>
      <c r="CZ53" s="1482">
        <f t="shared" ca="1" si="148"/>
        <v>0</v>
      </c>
      <c r="DA53" s="1482">
        <f t="shared" ca="1" si="148"/>
        <v>0</v>
      </c>
      <c r="DB53" s="1482">
        <f t="shared" ca="1" si="148"/>
        <v>0</v>
      </c>
      <c r="DC53" s="1482">
        <f t="shared" ca="1" si="148"/>
        <v>0</v>
      </c>
      <c r="DD53" s="1482">
        <f t="shared" ca="1" si="148"/>
        <v>0</v>
      </c>
      <c r="DE53" s="1482">
        <f t="shared" ca="1" si="148"/>
        <v>0</v>
      </c>
      <c r="DF53" s="1482">
        <f t="shared" ca="1" si="148"/>
        <v>0</v>
      </c>
      <c r="DH53" s="838">
        <f t="shared" ca="1" si="124"/>
        <v>10.798607751182598</v>
      </c>
    </row>
    <row r="54" spans="1:112" s="743" customFormat="1" hidden="1" outlineLevel="1">
      <c r="A54" s="1484"/>
      <c r="B54" s="1484"/>
      <c r="C54" s="522" t="s">
        <v>989</v>
      </c>
      <c r="D54" s="1010" t="str">
        <f>INDEX(Modules[Module], MATCH($C54, Modules[Code], 0))</f>
        <v>Indigenous fossil-fuel production</v>
      </c>
      <c r="E54" s="1010"/>
      <c r="G54" s="1022">
        <f t="shared" ca="1" si="141"/>
        <v>0</v>
      </c>
      <c r="H54" s="1022">
        <f t="shared" ca="1" si="141"/>
        <v>0</v>
      </c>
      <c r="I54" s="1022">
        <f t="shared" ca="1" si="141"/>
        <v>9.9238153644397809</v>
      </c>
      <c r="J54" s="1022">
        <f t="shared" ca="1" si="141"/>
        <v>0</v>
      </c>
      <c r="K54" s="1022">
        <f t="shared" ca="1" si="141"/>
        <v>0</v>
      </c>
      <c r="L54" s="1022">
        <f t="shared" ca="1" si="141"/>
        <v>0</v>
      </c>
      <c r="M54" s="1022">
        <f t="shared" ca="1" si="141"/>
        <v>0</v>
      </c>
      <c r="N54" s="1022">
        <f t="shared" ca="1" si="141"/>
        <v>0</v>
      </c>
      <c r="O54" s="1022">
        <f t="shared" ca="1" si="141"/>
        <v>0</v>
      </c>
      <c r="P54" s="1022">
        <f t="shared" ca="1" si="141"/>
        <v>0</v>
      </c>
      <c r="Q54" s="1020">
        <f ca="1">SUM(G54:P54)</f>
        <v>9.9238153644397809</v>
      </c>
      <c r="S54" s="1031">
        <f t="shared" ca="1" si="142"/>
        <v>-1.0591852126727159</v>
      </c>
      <c r="T54" s="1031">
        <f t="shared" ca="1" si="142"/>
        <v>0</v>
      </c>
      <c r="U54" s="1031">
        <f t="shared" ca="1" si="142"/>
        <v>-4.4692473051785787E-2</v>
      </c>
      <c r="V54" s="1031">
        <f t="shared" ca="1" si="142"/>
        <v>0</v>
      </c>
      <c r="W54" s="1031">
        <f t="shared" ca="1" si="142"/>
        <v>-8.819937678715279</v>
      </c>
      <c r="X54" s="1031">
        <f t="shared" ca="1" si="143"/>
        <v>124.39544583847987</v>
      </c>
      <c r="Y54" s="1031">
        <f t="shared" ca="1" si="143"/>
        <v>132.62526993906516</v>
      </c>
      <c r="Z54" s="1031">
        <f t="shared" ca="1" si="143"/>
        <v>101.5831683077875</v>
      </c>
      <c r="AA54" s="1031">
        <f t="shared" ca="1" si="142"/>
        <v>0</v>
      </c>
      <c r="AB54" s="1031">
        <f t="shared" ca="1" si="142"/>
        <v>0</v>
      </c>
      <c r="AC54" s="1031">
        <f t="shared" ca="1" si="142"/>
        <v>0</v>
      </c>
      <c r="AD54" s="1031">
        <f t="shared" ca="1" si="142"/>
        <v>0</v>
      </c>
      <c r="AE54" s="1031">
        <f t="shared" ca="1" si="142"/>
        <v>0</v>
      </c>
      <c r="AF54" s="1031">
        <f t="shared" ca="1" si="142"/>
        <v>0</v>
      </c>
      <c r="AG54" s="1031">
        <f t="shared" ca="1" si="142"/>
        <v>0</v>
      </c>
      <c r="AH54" s="1031">
        <f t="shared" ca="1" si="142"/>
        <v>0</v>
      </c>
      <c r="AI54" s="1031">
        <f t="shared" ca="1" si="142"/>
        <v>0</v>
      </c>
      <c r="AJ54" s="1031">
        <f t="shared" ca="1" si="142"/>
        <v>0</v>
      </c>
      <c r="AK54" s="1030">
        <f ca="1">SUM(S54:AJ54)</f>
        <v>348.68006872089279</v>
      </c>
      <c r="AM54" s="1042">
        <f t="shared" ca="1" si="144"/>
        <v>-124.39544583847987</v>
      </c>
      <c r="AN54" s="1042">
        <f t="shared" ca="1" si="144"/>
        <v>-132.62526993906516</v>
      </c>
      <c r="AO54" s="1042">
        <f t="shared" ca="1" si="144"/>
        <v>-101.5831683077875</v>
      </c>
      <c r="AP54" s="1042">
        <f t="shared" ca="1" si="144"/>
        <v>0</v>
      </c>
      <c r="AQ54" s="1042">
        <f t="shared" ca="1" si="144"/>
        <v>0</v>
      </c>
      <c r="AR54" s="1042">
        <f t="shared" ca="1" si="144"/>
        <v>0</v>
      </c>
      <c r="AS54" s="1042">
        <f t="shared" ca="1" si="144"/>
        <v>0</v>
      </c>
      <c r="AT54" s="1042">
        <f t="shared" ca="1" si="144"/>
        <v>0</v>
      </c>
      <c r="AU54" s="1042">
        <f t="shared" ca="1" si="144"/>
        <v>0</v>
      </c>
      <c r="AV54" s="1042">
        <f t="shared" ca="1" si="142"/>
        <v>0</v>
      </c>
      <c r="AW54" s="1042">
        <f t="shared" ca="1" si="142"/>
        <v>0</v>
      </c>
      <c r="AX54" s="1042">
        <f t="shared" ca="1" si="142"/>
        <v>0</v>
      </c>
      <c r="AY54" s="1042">
        <f t="shared" ca="1" si="142"/>
        <v>0</v>
      </c>
      <c r="AZ54" s="1042">
        <f t="shared" ca="1" si="142"/>
        <v>0</v>
      </c>
      <c r="BA54" s="1042">
        <f t="shared" ca="1" si="142"/>
        <v>0</v>
      </c>
      <c r="BB54" s="1042">
        <f t="shared" ca="1" si="142"/>
        <v>0</v>
      </c>
      <c r="BC54" s="1042">
        <f t="shared" ca="1" si="142"/>
        <v>0</v>
      </c>
      <c r="BD54" s="1042">
        <f t="shared" ca="1" si="142"/>
        <v>0</v>
      </c>
      <c r="BE54" s="1042">
        <f t="shared" ca="1" si="142"/>
        <v>0</v>
      </c>
      <c r="BF54" s="1012">
        <f ca="1">SUM(AM54:BE54)</f>
        <v>-358.60388408533254</v>
      </c>
      <c r="BH54" s="1036">
        <f ca="1">IFERROR(INDEX(INDIRECT($C54&amp;".Outputs["&amp;this.Year&amp;"]"), MATCH(BH$5, INDIRECT($C54&amp;".Outputs[Vector]"), 0)), 0)</f>
        <v>0</v>
      </c>
      <c r="BI54" s="1036">
        <f ca="1">IFERROR(INDEX(INDIRECT($C54&amp;".Outputs["&amp;this.Year&amp;"]"), MATCH(BI$5, INDIRECT($C54&amp;".Outputs[Vector]"), 0)), 0)</f>
        <v>0</v>
      </c>
      <c r="BJ54" s="1035">
        <f ca="1">SUM(BH54:BI54)</f>
        <v>0</v>
      </c>
      <c r="BL54" s="814"/>
      <c r="BM54" s="814"/>
      <c r="BN54" s="840"/>
      <c r="BO54" s="1485">
        <f t="shared" ca="1" si="145"/>
        <v>1.6061245328836111</v>
      </c>
      <c r="BP54" s="1486">
        <f t="shared" ca="1" si="145"/>
        <v>3.2194536719547871E-3</v>
      </c>
      <c r="BQ54" s="1486">
        <f t="shared" ca="1" si="145"/>
        <v>3.4626789428605573E-3</v>
      </c>
      <c r="BR54" s="1486">
        <f t="shared" ca="1" si="145"/>
        <v>0</v>
      </c>
      <c r="BS54" s="1486">
        <f t="shared" ca="1" si="145"/>
        <v>0.69196821537322806</v>
      </c>
      <c r="BT54" s="1486">
        <f t="shared" ca="1" si="145"/>
        <v>2.6403129612517775</v>
      </c>
      <c r="BU54" s="1486">
        <f t="shared" ca="1" si="145"/>
        <v>0</v>
      </c>
      <c r="BV54" s="1486">
        <f t="shared" ca="1" si="145"/>
        <v>0</v>
      </c>
      <c r="BW54" s="1486">
        <f t="shared" ca="1" si="145"/>
        <v>0</v>
      </c>
      <c r="BX54" s="1486">
        <f t="shared" ca="1" si="145"/>
        <v>0</v>
      </c>
      <c r="BY54" s="1486">
        <f t="shared" ca="1" si="146"/>
        <v>0</v>
      </c>
      <c r="BZ54" s="1486">
        <f t="shared" ca="1" si="146"/>
        <v>0</v>
      </c>
      <c r="CA54" s="1486">
        <f t="shared" ca="1" si="146"/>
        <v>0</v>
      </c>
      <c r="CB54" s="1486">
        <f t="shared" ca="1" si="146"/>
        <v>0</v>
      </c>
      <c r="CC54" s="1486">
        <f t="shared" ca="1" si="146"/>
        <v>0</v>
      </c>
      <c r="CD54" s="1486">
        <f t="shared" ca="1" si="146"/>
        <v>0</v>
      </c>
      <c r="CE54" s="1486">
        <f t="shared" ca="1" si="146"/>
        <v>0</v>
      </c>
      <c r="CF54" s="1486">
        <f t="shared" ca="1" si="146"/>
        <v>0</v>
      </c>
      <c r="CG54" s="1486">
        <f t="shared" ca="1" si="146"/>
        <v>0</v>
      </c>
      <c r="CH54" s="1486">
        <f t="shared" ca="1" si="146"/>
        <v>0</v>
      </c>
      <c r="CI54" s="1486">
        <f t="shared" ca="1" si="147"/>
        <v>0</v>
      </c>
      <c r="CJ54" s="1486">
        <f t="shared" ca="1" si="147"/>
        <v>0</v>
      </c>
      <c r="CK54" s="1486">
        <f t="shared" ca="1" si="147"/>
        <v>0</v>
      </c>
      <c r="CL54" s="1486">
        <f t="shared" ca="1" si="147"/>
        <v>0</v>
      </c>
      <c r="CM54" s="1486">
        <f t="shared" ca="1" si="147"/>
        <v>0</v>
      </c>
      <c r="CN54" s="1486">
        <f t="shared" ca="1" si="147"/>
        <v>0</v>
      </c>
      <c r="CO54" s="1486">
        <f t="shared" ca="1" si="147"/>
        <v>0</v>
      </c>
      <c r="CP54" s="1486">
        <f t="shared" ca="1" si="147"/>
        <v>0</v>
      </c>
      <c r="CQ54" s="1486">
        <f t="shared" ca="1" si="147"/>
        <v>0</v>
      </c>
      <c r="CR54" s="1486">
        <f t="shared" ca="1" si="147"/>
        <v>0</v>
      </c>
      <c r="CS54" s="1486">
        <f t="shared" ca="1" si="148"/>
        <v>0</v>
      </c>
      <c r="CT54" s="1486">
        <f t="shared" ca="1" si="148"/>
        <v>0</v>
      </c>
      <c r="CU54" s="1486">
        <f t="shared" ca="1" si="148"/>
        <v>0</v>
      </c>
      <c r="CV54" s="1486">
        <f t="shared" ca="1" si="148"/>
        <v>0</v>
      </c>
      <c r="CW54" s="1486">
        <f t="shared" ca="1" si="148"/>
        <v>0</v>
      </c>
      <c r="CX54" s="1486">
        <f t="shared" ca="1" si="148"/>
        <v>0</v>
      </c>
      <c r="CY54" s="1486">
        <f t="shared" ca="1" si="148"/>
        <v>0</v>
      </c>
      <c r="CZ54" s="1486">
        <f t="shared" ca="1" si="148"/>
        <v>0</v>
      </c>
      <c r="DA54" s="1486">
        <f t="shared" ca="1" si="148"/>
        <v>0</v>
      </c>
      <c r="DB54" s="1486">
        <f t="shared" ca="1" si="148"/>
        <v>0</v>
      </c>
      <c r="DC54" s="1486">
        <f t="shared" ca="1" si="148"/>
        <v>0</v>
      </c>
      <c r="DD54" s="1486">
        <f t="shared" ca="1" si="148"/>
        <v>0</v>
      </c>
      <c r="DE54" s="1486">
        <f t="shared" ca="1" si="148"/>
        <v>0</v>
      </c>
      <c r="DF54" s="1486">
        <f t="shared" ca="1" si="148"/>
        <v>0</v>
      </c>
      <c r="DH54" s="838">
        <f t="shared" ca="1" si="124"/>
        <v>4.9450878421234314</v>
      </c>
    </row>
    <row r="55" spans="1:112" s="743" customFormat="1" ht="15.75" collapsed="1">
      <c r="A55" s="1488"/>
      <c r="B55" s="1489"/>
      <c r="C55" s="744" t="s">
        <v>969</v>
      </c>
      <c r="D55" s="517" t="str">
        <f>INDEX(Workstreams[Workstream], MATCH($C55, Workstreams[Code], 0))</f>
        <v>Fossil fuel production</v>
      </c>
      <c r="E55" s="512"/>
      <c r="G55" s="1021">
        <f ca="1">SUM(G53:G54)</f>
        <v>0</v>
      </c>
      <c r="H55" s="1021">
        <f t="shared" ref="H55:P55" ca="1" si="149">SUM(H53:H54)</f>
        <v>0</v>
      </c>
      <c r="I55" s="1021">
        <f t="shared" ca="1" si="149"/>
        <v>9.9238153644397809</v>
      </c>
      <c r="J55" s="1021">
        <f t="shared" ca="1" si="149"/>
        <v>0</v>
      </c>
      <c r="K55" s="1021">
        <f t="shared" ca="1" si="149"/>
        <v>0</v>
      </c>
      <c r="L55" s="1021">
        <f t="shared" ca="1" si="149"/>
        <v>0</v>
      </c>
      <c r="M55" s="1021">
        <f t="shared" ca="1" si="149"/>
        <v>0</v>
      </c>
      <c r="N55" s="1021">
        <f t="shared" ca="1" si="149"/>
        <v>0</v>
      </c>
      <c r="O55" s="1021">
        <f t="shared" ca="1" si="149"/>
        <v>0</v>
      </c>
      <c r="P55" s="1021">
        <f t="shared" ca="1" si="149"/>
        <v>0</v>
      </c>
      <c r="Q55" s="1021">
        <f ca="1">SUM(G55:P55)</f>
        <v>9.9238153644397809</v>
      </c>
      <c r="S55" s="970">
        <f t="shared" ref="S55:AJ55" ca="1" si="150">SUM(S53:S54)</f>
        <v>-6.0680804578327638</v>
      </c>
      <c r="T55" s="970">
        <f t="shared" ca="1" si="150"/>
        <v>0</v>
      </c>
      <c r="U55" s="970">
        <f t="shared" ca="1" si="150"/>
        <v>-4.4692473051785787E-2</v>
      </c>
      <c r="V55" s="970">
        <f t="shared" ca="1" si="150"/>
        <v>-41.054840526247823</v>
      </c>
      <c r="W55" s="970">
        <f t="shared" ca="1" si="150"/>
        <v>-10.646329170167768</v>
      </c>
      <c r="X55" s="970">
        <f ca="1">SUM(X53:X54)</f>
        <v>124.39544583847987</v>
      </c>
      <c r="Y55" s="970">
        <f ca="1">SUM(Y53:Y54)</f>
        <v>132.62526993906516</v>
      </c>
      <c r="Z55" s="970">
        <f ca="1">SUM(Z53:Z54)</f>
        <v>101.5831683077875</v>
      </c>
      <c r="AA55" s="970">
        <f t="shared" ca="1" si="150"/>
        <v>0</v>
      </c>
      <c r="AB55" s="970">
        <f t="shared" ca="1" si="150"/>
        <v>-0.58819936889797564</v>
      </c>
      <c r="AC55" s="970">
        <f t="shared" ca="1" si="150"/>
        <v>0</v>
      </c>
      <c r="AD55" s="970">
        <f ca="1">SUM(AD53:AD54)</f>
        <v>0</v>
      </c>
      <c r="AE55" s="970">
        <f ca="1">SUM(AE53:AE54)</f>
        <v>0</v>
      </c>
      <c r="AF55" s="970">
        <f t="shared" ca="1" si="150"/>
        <v>0</v>
      </c>
      <c r="AG55" s="970">
        <f ca="1">SUM(AG53:AG54)</f>
        <v>0</v>
      </c>
      <c r="AH55" s="970">
        <f ca="1">SUM(AH53:AH54)</f>
        <v>0</v>
      </c>
      <c r="AI55" s="970">
        <f ca="1">SUM(AI53:AI54)</f>
        <v>0</v>
      </c>
      <c r="AJ55" s="970">
        <f t="shared" ca="1" si="150"/>
        <v>0</v>
      </c>
      <c r="AK55" s="970">
        <f ca="1">SUM(S55:AJ55)</f>
        <v>300.20174208913443</v>
      </c>
      <c r="AM55" s="976">
        <f t="shared" ref="AM55:BE55" ca="1" si="151">SUM(AM53:AM54)</f>
        <v>-124.39544583847987</v>
      </c>
      <c r="AN55" s="976">
        <f t="shared" ca="1" si="151"/>
        <v>-132.62526993906516</v>
      </c>
      <c r="AO55" s="976">
        <f t="shared" ca="1" si="151"/>
        <v>-101.5831683077875</v>
      </c>
      <c r="AP55" s="976">
        <f t="shared" ca="1" si="151"/>
        <v>0</v>
      </c>
      <c r="AQ55" s="976">
        <f t="shared" ca="1" si="151"/>
        <v>0</v>
      </c>
      <c r="AR55" s="976">
        <f t="shared" ca="1" si="151"/>
        <v>0</v>
      </c>
      <c r="AS55" s="976">
        <f t="shared" ca="1" si="151"/>
        <v>0</v>
      </c>
      <c r="AT55" s="976">
        <f t="shared" ca="1" si="151"/>
        <v>0</v>
      </c>
      <c r="AU55" s="976">
        <f t="shared" ca="1" si="151"/>
        <v>0</v>
      </c>
      <c r="AV55" s="976">
        <f t="shared" ca="1" si="151"/>
        <v>0</v>
      </c>
      <c r="AW55" s="976">
        <f t="shared" ca="1" si="151"/>
        <v>0</v>
      </c>
      <c r="AX55" s="976">
        <f t="shared" ca="1" si="151"/>
        <v>0</v>
      </c>
      <c r="AY55" s="976">
        <f t="shared" ca="1" si="151"/>
        <v>0</v>
      </c>
      <c r="AZ55" s="976">
        <f t="shared" ca="1" si="151"/>
        <v>0</v>
      </c>
      <c r="BA55" s="976">
        <f t="shared" ca="1" si="151"/>
        <v>0</v>
      </c>
      <c r="BB55" s="976">
        <f t="shared" ca="1" si="151"/>
        <v>0</v>
      </c>
      <c r="BC55" s="976">
        <f t="shared" ca="1" si="151"/>
        <v>0</v>
      </c>
      <c r="BD55" s="976">
        <f t="shared" ca="1" si="151"/>
        <v>0</v>
      </c>
      <c r="BE55" s="976">
        <f t="shared" ca="1" si="151"/>
        <v>0</v>
      </c>
      <c r="BF55" s="976">
        <f ca="1">SUM(AM55:BE55)</f>
        <v>-358.60388408533254</v>
      </c>
      <c r="BH55" s="990">
        <f ca="1">SUM(BH53:BH54)</f>
        <v>0</v>
      </c>
      <c r="BI55" s="990">
        <f ca="1">SUM(BI53:BI54)</f>
        <v>48.478326631758335</v>
      </c>
      <c r="BJ55" s="990">
        <f ca="1">SUM(BH55:BI55)</f>
        <v>48.478326631758335</v>
      </c>
      <c r="BL55" s="515">
        <f ca="1">Q55+AK55+BF55+BJ55</f>
        <v>0</v>
      </c>
      <c r="BM55" s="852"/>
      <c r="BN55" s="840"/>
      <c r="BO55" s="1481">
        <f t="shared" ref="BO55:DF55" ca="1" si="152">SUM(BO53:BO54)</f>
        <v>12.205890698872825</v>
      </c>
      <c r="BP55" s="1482">
        <f t="shared" ca="1" si="152"/>
        <v>1.6671351785381466E-2</v>
      </c>
      <c r="BQ55" s="1482">
        <f t="shared" ca="1" si="152"/>
        <v>0.18885236602281613</v>
      </c>
      <c r="BR55" s="1482">
        <f t="shared" ca="1" si="152"/>
        <v>0</v>
      </c>
      <c r="BS55" s="1482">
        <f t="shared" ca="1" si="152"/>
        <v>0.69196821537322806</v>
      </c>
      <c r="BT55" s="1482">
        <f t="shared" ca="1" si="152"/>
        <v>2.6403129612517775</v>
      </c>
      <c r="BU55" s="1482">
        <f t="shared" ca="1" si="152"/>
        <v>0</v>
      </c>
      <c r="BV55" s="1482">
        <f t="shared" ca="1" si="152"/>
        <v>0</v>
      </c>
      <c r="BW55" s="1482">
        <f t="shared" ca="1" si="152"/>
        <v>0</v>
      </c>
      <c r="BX55" s="1482">
        <f t="shared" ca="1" si="152"/>
        <v>0</v>
      </c>
      <c r="BY55" s="1482">
        <f t="shared" ca="1" si="152"/>
        <v>0</v>
      </c>
      <c r="BZ55" s="1482">
        <f t="shared" ca="1" si="152"/>
        <v>0</v>
      </c>
      <c r="CA55" s="1482">
        <f t="shared" ca="1" si="152"/>
        <v>0</v>
      </c>
      <c r="CB55" s="1482">
        <f t="shared" ca="1" si="152"/>
        <v>0</v>
      </c>
      <c r="CC55" s="1482">
        <f t="shared" ca="1" si="152"/>
        <v>0</v>
      </c>
      <c r="CD55" s="1482">
        <f t="shared" ca="1" si="152"/>
        <v>0</v>
      </c>
      <c r="CE55" s="1482">
        <f t="shared" ca="1" si="152"/>
        <v>0</v>
      </c>
      <c r="CF55" s="1482">
        <f t="shared" ca="1" si="152"/>
        <v>0</v>
      </c>
      <c r="CG55" s="1482">
        <f t="shared" ca="1" si="152"/>
        <v>0</v>
      </c>
      <c r="CH55" s="1482">
        <f t="shared" ca="1" si="152"/>
        <v>0</v>
      </c>
      <c r="CI55" s="1482">
        <f t="shared" ca="1" si="152"/>
        <v>0</v>
      </c>
      <c r="CJ55" s="1482">
        <f t="shared" ca="1" si="152"/>
        <v>0</v>
      </c>
      <c r="CK55" s="1482">
        <f t="shared" ca="1" si="152"/>
        <v>0</v>
      </c>
      <c r="CL55" s="1482">
        <f t="shared" ca="1" si="152"/>
        <v>0</v>
      </c>
      <c r="CM55" s="1482">
        <f t="shared" ca="1" si="152"/>
        <v>0</v>
      </c>
      <c r="CN55" s="1482">
        <f t="shared" ca="1" si="152"/>
        <v>0</v>
      </c>
      <c r="CO55" s="1482">
        <f t="shared" ca="1" si="152"/>
        <v>0</v>
      </c>
      <c r="CP55" s="1482">
        <f t="shared" ca="1" si="152"/>
        <v>0</v>
      </c>
      <c r="CQ55" s="1482">
        <f t="shared" ca="1" si="152"/>
        <v>0</v>
      </c>
      <c r="CR55" s="1482">
        <f t="shared" ca="1" si="152"/>
        <v>0</v>
      </c>
      <c r="CS55" s="1482">
        <f t="shared" ca="1" si="152"/>
        <v>0</v>
      </c>
      <c r="CT55" s="1482">
        <f t="shared" ca="1" si="152"/>
        <v>0</v>
      </c>
      <c r="CU55" s="1482">
        <f t="shared" ca="1" si="152"/>
        <v>0</v>
      </c>
      <c r="CV55" s="1482">
        <f t="shared" ca="1" si="152"/>
        <v>0</v>
      </c>
      <c r="CW55" s="1482">
        <f t="shared" ca="1" si="152"/>
        <v>0</v>
      </c>
      <c r="CX55" s="1482">
        <f t="shared" ca="1" si="152"/>
        <v>0</v>
      </c>
      <c r="CY55" s="1482">
        <f t="shared" ca="1" si="152"/>
        <v>0</v>
      </c>
      <c r="CZ55" s="1482">
        <f t="shared" ca="1" si="152"/>
        <v>0</v>
      </c>
      <c r="DA55" s="1482">
        <f t="shared" ca="1" si="152"/>
        <v>0</v>
      </c>
      <c r="DB55" s="1482">
        <f t="shared" ca="1" si="152"/>
        <v>0</v>
      </c>
      <c r="DC55" s="1482">
        <f t="shared" ca="1" si="152"/>
        <v>0</v>
      </c>
      <c r="DD55" s="1482">
        <f t="shared" ca="1" si="152"/>
        <v>0</v>
      </c>
      <c r="DE55" s="1482">
        <f t="shared" ca="1" si="152"/>
        <v>0</v>
      </c>
      <c r="DF55" s="1482">
        <f t="shared" ca="1" si="152"/>
        <v>0</v>
      </c>
      <c r="DH55" s="838">
        <f t="shared" ca="1" si="124"/>
        <v>15.743695593306029</v>
      </c>
    </row>
    <row r="56" spans="1:112" s="743" customFormat="1" hidden="1" outlineLevel="1">
      <c r="C56" s="520"/>
      <c r="D56" s="38"/>
      <c r="E56" s="509"/>
      <c r="G56" s="958"/>
      <c r="H56" s="958"/>
      <c r="I56" s="958"/>
      <c r="J56" s="958"/>
      <c r="K56" s="960"/>
      <c r="L56" s="958"/>
      <c r="M56" s="958"/>
      <c r="N56" s="958"/>
      <c r="O56" s="958"/>
      <c r="P56" s="958"/>
      <c r="Q56" s="958"/>
      <c r="S56" s="970"/>
      <c r="T56" s="970"/>
      <c r="U56" s="970"/>
      <c r="V56" s="970"/>
      <c r="W56" s="970"/>
      <c r="X56" s="970"/>
      <c r="Y56" s="970"/>
      <c r="Z56" s="970"/>
      <c r="AA56" s="970"/>
      <c r="AB56" s="970"/>
      <c r="AC56" s="970"/>
      <c r="AD56" s="970"/>
      <c r="AE56" s="970"/>
      <c r="AF56" s="970"/>
      <c r="AG56" s="970"/>
      <c r="AH56" s="970"/>
      <c r="AI56" s="970"/>
      <c r="AJ56" s="970"/>
      <c r="AK56" s="970"/>
      <c r="AM56" s="976"/>
      <c r="AN56" s="976"/>
      <c r="AO56" s="976"/>
      <c r="AP56" s="976"/>
      <c r="AQ56" s="976"/>
      <c r="AR56" s="976"/>
      <c r="AS56" s="976"/>
      <c r="AT56" s="976"/>
      <c r="AU56" s="976"/>
      <c r="AV56" s="976"/>
      <c r="AW56" s="976"/>
      <c r="AX56" s="976"/>
      <c r="AY56" s="976"/>
      <c r="AZ56" s="976"/>
      <c r="BA56" s="976"/>
      <c r="BB56" s="976"/>
      <c r="BC56" s="976"/>
      <c r="BD56" s="976"/>
      <c r="BE56" s="976"/>
      <c r="BF56" s="976"/>
      <c r="BH56" s="990"/>
      <c r="BI56" s="990"/>
      <c r="BJ56" s="990"/>
      <c r="BL56" s="515">
        <f t="shared" ref="BL56:BL63" si="153">Q56+AK56+BF56+BJ56</f>
        <v>0</v>
      </c>
      <c r="BM56" s="515"/>
      <c r="BO56" s="1482"/>
      <c r="BP56" s="1482"/>
      <c r="BQ56" s="1482"/>
      <c r="BR56" s="1482"/>
      <c r="BS56" s="1482"/>
      <c r="BT56" s="1482"/>
      <c r="BU56" s="1482"/>
      <c r="BV56" s="1482"/>
      <c r="BW56" s="1482"/>
      <c r="BX56" s="1482"/>
      <c r="BY56" s="1482"/>
      <c r="BZ56" s="1482"/>
      <c r="CA56" s="1482"/>
      <c r="CB56" s="1482"/>
      <c r="CC56" s="1482"/>
      <c r="CD56" s="1482"/>
      <c r="CE56" s="1482"/>
      <c r="CF56" s="1482"/>
      <c r="CG56" s="1482"/>
      <c r="CH56" s="1482"/>
      <c r="CI56" s="1482"/>
      <c r="CJ56" s="1482"/>
      <c r="CK56" s="1482"/>
      <c r="CL56" s="1482"/>
      <c r="CM56" s="1482"/>
      <c r="CN56" s="1482"/>
      <c r="CO56" s="1482"/>
      <c r="CP56" s="1482"/>
      <c r="CQ56" s="1482"/>
      <c r="CR56" s="1482"/>
      <c r="CS56" s="1482"/>
      <c r="CT56" s="1482"/>
      <c r="CU56" s="1482"/>
      <c r="CV56" s="1482"/>
      <c r="CW56" s="1482"/>
      <c r="CX56" s="1482"/>
      <c r="CY56" s="1482"/>
      <c r="CZ56" s="1482"/>
      <c r="DA56" s="1482"/>
      <c r="DB56" s="1482"/>
      <c r="DC56" s="1482"/>
      <c r="DD56" s="1482"/>
      <c r="DE56" s="1482"/>
      <c r="DF56" s="1482"/>
      <c r="DH56" s="838">
        <f t="shared" si="124"/>
        <v>0</v>
      </c>
    </row>
    <row r="57" spans="1:112" s="1484" customFormat="1" ht="12.75" hidden="1" customHeight="1" outlineLevel="1">
      <c r="C57" s="746" t="s">
        <v>1730</v>
      </c>
      <c r="D57" s="521" t="str">
        <f>INDEX(Modules[Module], MATCH($C57, Modules[Code], 0))</f>
        <v>Onshore wind</v>
      </c>
      <c r="E57" s="521"/>
      <c r="F57" s="743"/>
      <c r="G57" s="1017">
        <f t="shared" ref="G57:P62" ca="1" si="154">IFERROR(INDEX(INDIRECT($C57&amp;".Outputs["&amp;this.Year&amp;"]"), MATCH(G$5, INDIRECT($C57&amp;".Outputs[Vector]"), 0)), 0)</f>
        <v>0</v>
      </c>
      <c r="H57" s="1017">
        <f t="shared" ca="1" si="154"/>
        <v>0</v>
      </c>
      <c r="I57" s="1017">
        <f t="shared" ca="1" si="154"/>
        <v>0</v>
      </c>
      <c r="J57" s="1017">
        <f t="shared" ca="1" si="154"/>
        <v>0</v>
      </c>
      <c r="K57" s="1017">
        <f t="shared" ca="1" si="154"/>
        <v>0</v>
      </c>
      <c r="L57" s="1017">
        <f t="shared" ca="1" si="154"/>
        <v>0</v>
      </c>
      <c r="M57" s="1017">
        <f t="shared" ca="1" si="154"/>
        <v>0</v>
      </c>
      <c r="N57" s="1017">
        <f t="shared" ca="1" si="154"/>
        <v>0</v>
      </c>
      <c r="O57" s="1017">
        <f t="shared" ca="1" si="154"/>
        <v>0</v>
      </c>
      <c r="P57" s="1017">
        <f t="shared" ca="1" si="154"/>
        <v>0</v>
      </c>
      <c r="Q57" s="1019">
        <f t="shared" ref="Q57:Q63" ca="1" si="155">SUM(G57:P57)</f>
        <v>0</v>
      </c>
      <c r="R57" s="743"/>
      <c r="S57" s="1026">
        <f t="shared" ref="S57:BE62" ca="1" si="156">IFERROR(INDEX(INDIRECT($C57&amp;".Outputs["&amp;this.Year&amp;"]"), MATCH(S$5, INDIRECT($C57&amp;".Outputs[Vector]"), 0)), 0)</f>
        <v>0</v>
      </c>
      <c r="T57" s="1026">
        <f t="shared" ca="1" si="156"/>
        <v>8.7835319999996164E-2</v>
      </c>
      <c r="U57" s="1026">
        <f t="shared" ca="1" si="156"/>
        <v>0</v>
      </c>
      <c r="V57" s="1026">
        <f t="shared" ca="1" si="156"/>
        <v>0</v>
      </c>
      <c r="W57" s="1026">
        <f t="shared" ca="1" si="156"/>
        <v>0</v>
      </c>
      <c r="X57" s="1026">
        <f t="shared" ref="X57:Z62" ca="1" si="157">IFERROR(INDEX(INDIRECT($C57&amp;".Outputs["&amp;this.Year&amp;"]"), MATCH(X$5, INDIRECT($C57&amp;".Outputs[Vector]"), 0)), 0)</f>
        <v>0</v>
      </c>
      <c r="Y57" s="1026">
        <f t="shared" ca="1" si="157"/>
        <v>0</v>
      </c>
      <c r="Z57" s="1026">
        <f t="shared" ca="1" si="157"/>
        <v>0</v>
      </c>
      <c r="AA57" s="1026">
        <f t="shared" ca="1" si="156"/>
        <v>0</v>
      </c>
      <c r="AB57" s="1026">
        <f t="shared" ca="1" si="156"/>
        <v>0</v>
      </c>
      <c r="AC57" s="1026">
        <f t="shared" ca="1" si="156"/>
        <v>0</v>
      </c>
      <c r="AD57" s="1026">
        <f t="shared" ca="1" si="156"/>
        <v>0</v>
      </c>
      <c r="AE57" s="1026">
        <f t="shared" ca="1" si="156"/>
        <v>0</v>
      </c>
      <c r="AF57" s="1026">
        <f t="shared" ca="1" si="156"/>
        <v>0</v>
      </c>
      <c r="AG57" s="1026">
        <f t="shared" ca="1" si="156"/>
        <v>0</v>
      </c>
      <c r="AH57" s="1026">
        <f t="shared" ca="1" si="156"/>
        <v>0</v>
      </c>
      <c r="AI57" s="1026">
        <f t="shared" ca="1" si="156"/>
        <v>0</v>
      </c>
      <c r="AJ57" s="1026">
        <f t="shared" ca="1" si="156"/>
        <v>0</v>
      </c>
      <c r="AK57" s="1027">
        <f t="shared" ref="AK57:AK63" ca="1" si="158">SUM(S57:AJ57)</f>
        <v>8.7835319999996164E-2</v>
      </c>
      <c r="AL57" s="743"/>
      <c r="AM57" s="1038">
        <f t="shared" ref="AM57:AU62" ca="1" si="159">IFERROR(INDEX(INDIRECT($C57&amp;".Outputs["&amp;this.Year&amp;"]"), MATCH(AM$5, INDIRECT($C57&amp;".Outputs[Vector]"), 0)), 0)</f>
        <v>0</v>
      </c>
      <c r="AN57" s="1038">
        <f t="shared" ca="1" si="159"/>
        <v>0</v>
      </c>
      <c r="AO57" s="1038">
        <f t="shared" ca="1" si="159"/>
        <v>0</v>
      </c>
      <c r="AP57" s="1038">
        <f t="shared" ca="1" si="159"/>
        <v>0</v>
      </c>
      <c r="AQ57" s="1038">
        <f t="shared" ca="1" si="159"/>
        <v>0</v>
      </c>
      <c r="AR57" s="1038">
        <f t="shared" ca="1" si="159"/>
        <v>0</v>
      </c>
      <c r="AS57" s="1038">
        <f t="shared" ca="1" si="159"/>
        <v>0</v>
      </c>
      <c r="AT57" s="1038">
        <f t="shared" ca="1" si="159"/>
        <v>0</v>
      </c>
      <c r="AU57" s="1038">
        <f t="shared" ca="1" si="159"/>
        <v>0</v>
      </c>
      <c r="AV57" s="1038">
        <f t="shared" ca="1" si="156"/>
        <v>0</v>
      </c>
      <c r="AW57" s="1038">
        <f t="shared" ca="1" si="156"/>
        <v>0</v>
      </c>
      <c r="AX57" s="1038">
        <f t="shared" ca="1" si="156"/>
        <v>-8.7835319999996164E-2</v>
      </c>
      <c r="AY57" s="1038">
        <f t="shared" ca="1" si="156"/>
        <v>0</v>
      </c>
      <c r="AZ57" s="1038">
        <f t="shared" ca="1" si="156"/>
        <v>0</v>
      </c>
      <c r="BA57" s="1038">
        <f t="shared" ca="1" si="156"/>
        <v>0</v>
      </c>
      <c r="BB57" s="1038">
        <f t="shared" ca="1" si="156"/>
        <v>0</v>
      </c>
      <c r="BC57" s="1038">
        <f t="shared" ca="1" si="156"/>
        <v>0</v>
      </c>
      <c r="BD57" s="1038">
        <f t="shared" ca="1" si="156"/>
        <v>0</v>
      </c>
      <c r="BE57" s="1038">
        <f t="shared" ca="1" si="156"/>
        <v>0</v>
      </c>
      <c r="BF57" s="979">
        <f t="shared" ref="BF57:BF63" ca="1" si="160">SUM(AM57:BE57)</f>
        <v>-8.7835319999996164E-2</v>
      </c>
      <c r="BG57" s="743"/>
      <c r="BH57" s="1032">
        <f t="shared" ref="BH57:BI62" ca="1" si="161">IFERROR(INDEX(INDIRECT($C57&amp;".Outputs["&amp;this.Year&amp;"]"), MATCH(BH$5, INDIRECT($C57&amp;".Outputs[Vector]"), 0)), 0)</f>
        <v>0</v>
      </c>
      <c r="BI57" s="1032">
        <f t="shared" ca="1" si="161"/>
        <v>0</v>
      </c>
      <c r="BJ57" s="1034">
        <f t="shared" ref="BJ57:BJ63" ca="1" si="162">SUM(BH57:BI57)</f>
        <v>0</v>
      </c>
      <c r="BK57" s="743"/>
      <c r="BL57" s="814">
        <f t="shared" ca="1" si="153"/>
        <v>0</v>
      </c>
      <c r="BM57" s="814"/>
      <c r="BN57" s="840"/>
      <c r="BO57" s="1481">
        <f t="shared" ref="BO57:BX62" ca="1" si="163">IFERROR(SUMIFS(INDIRECT($C57&amp;".Emissions["&amp;this.Year&amp;"]"), INDIRECT($C57&amp;".Emissions[GHG]"), BO$6, INDIRECT($C57&amp;".Emissions[IPCC Sector]"), BO$5),0)</f>
        <v>0</v>
      </c>
      <c r="BP57" s="1482">
        <f t="shared" ca="1" si="163"/>
        <v>0</v>
      </c>
      <c r="BQ57" s="1482">
        <f t="shared" ca="1" si="163"/>
        <v>0</v>
      </c>
      <c r="BR57" s="1482">
        <f t="shared" ca="1" si="163"/>
        <v>0</v>
      </c>
      <c r="BS57" s="1482">
        <f t="shared" ca="1" si="163"/>
        <v>0</v>
      </c>
      <c r="BT57" s="1482">
        <f t="shared" ca="1" si="163"/>
        <v>0</v>
      </c>
      <c r="BU57" s="1482">
        <f t="shared" ca="1" si="163"/>
        <v>0</v>
      </c>
      <c r="BV57" s="1482">
        <f t="shared" ca="1" si="163"/>
        <v>0</v>
      </c>
      <c r="BW57" s="1482">
        <f t="shared" ca="1" si="163"/>
        <v>0</v>
      </c>
      <c r="BX57" s="1482">
        <f t="shared" ca="1" si="163"/>
        <v>0</v>
      </c>
      <c r="BY57" s="1482">
        <f t="shared" ref="BY57:CH62" ca="1" si="164">IFERROR(SUMIFS(INDIRECT($C57&amp;".Emissions["&amp;this.Year&amp;"]"), INDIRECT($C57&amp;".Emissions[GHG]"), BY$6, INDIRECT($C57&amp;".Emissions[IPCC Sector]"), BY$5),0)</f>
        <v>0</v>
      </c>
      <c r="BZ57" s="1482">
        <f t="shared" ca="1" si="164"/>
        <v>0</v>
      </c>
      <c r="CA57" s="1482">
        <f t="shared" ca="1" si="164"/>
        <v>0</v>
      </c>
      <c r="CB57" s="1482">
        <f t="shared" ca="1" si="164"/>
        <v>0</v>
      </c>
      <c r="CC57" s="1482">
        <f t="shared" ca="1" si="164"/>
        <v>0</v>
      </c>
      <c r="CD57" s="1482">
        <f t="shared" ca="1" si="164"/>
        <v>0</v>
      </c>
      <c r="CE57" s="1482">
        <f t="shared" ca="1" si="164"/>
        <v>0</v>
      </c>
      <c r="CF57" s="1482">
        <f t="shared" ca="1" si="164"/>
        <v>0</v>
      </c>
      <c r="CG57" s="1482">
        <f t="shared" ca="1" si="164"/>
        <v>0</v>
      </c>
      <c r="CH57" s="1482">
        <f t="shared" ca="1" si="164"/>
        <v>0</v>
      </c>
      <c r="CI57" s="1482">
        <f t="shared" ref="CI57:CR62" ca="1" si="165">IFERROR(SUMIFS(INDIRECT($C57&amp;".Emissions["&amp;this.Year&amp;"]"), INDIRECT($C57&amp;".Emissions[GHG]"), CI$6, INDIRECT($C57&amp;".Emissions[IPCC Sector]"), CI$5),0)</f>
        <v>0</v>
      </c>
      <c r="CJ57" s="1482">
        <f t="shared" ca="1" si="165"/>
        <v>0</v>
      </c>
      <c r="CK57" s="1482">
        <f t="shared" ca="1" si="165"/>
        <v>0</v>
      </c>
      <c r="CL57" s="1482">
        <f t="shared" ca="1" si="165"/>
        <v>0</v>
      </c>
      <c r="CM57" s="1482">
        <f t="shared" ca="1" si="165"/>
        <v>0</v>
      </c>
      <c r="CN57" s="1482">
        <f t="shared" ca="1" si="165"/>
        <v>0</v>
      </c>
      <c r="CO57" s="1482">
        <f t="shared" ca="1" si="165"/>
        <v>0</v>
      </c>
      <c r="CP57" s="1482">
        <f t="shared" ca="1" si="165"/>
        <v>0</v>
      </c>
      <c r="CQ57" s="1482">
        <f t="shared" ca="1" si="165"/>
        <v>0</v>
      </c>
      <c r="CR57" s="1482">
        <f t="shared" ca="1" si="165"/>
        <v>0</v>
      </c>
      <c r="CS57" s="1482">
        <f t="shared" ref="CS57:DF62" ca="1" si="166">IFERROR(SUMIFS(INDIRECT($C57&amp;".Emissions["&amp;this.Year&amp;"]"), INDIRECT($C57&amp;".Emissions[GHG]"), CS$6, INDIRECT($C57&amp;".Emissions[IPCC Sector]"), CS$5),0)</f>
        <v>0</v>
      </c>
      <c r="CT57" s="1482">
        <f t="shared" ca="1" si="166"/>
        <v>0</v>
      </c>
      <c r="CU57" s="1482">
        <f t="shared" ca="1" si="166"/>
        <v>0</v>
      </c>
      <c r="CV57" s="1482">
        <f t="shared" ca="1" si="166"/>
        <v>0</v>
      </c>
      <c r="CW57" s="1482">
        <f t="shared" ca="1" si="166"/>
        <v>0</v>
      </c>
      <c r="CX57" s="1482">
        <f t="shared" ca="1" si="166"/>
        <v>0</v>
      </c>
      <c r="CY57" s="1482">
        <f t="shared" ca="1" si="166"/>
        <v>0</v>
      </c>
      <c r="CZ57" s="1482">
        <f t="shared" ca="1" si="166"/>
        <v>0</v>
      </c>
      <c r="DA57" s="1482">
        <f t="shared" ca="1" si="166"/>
        <v>0</v>
      </c>
      <c r="DB57" s="1482">
        <f t="shared" ca="1" si="166"/>
        <v>0</v>
      </c>
      <c r="DC57" s="1482">
        <f t="shared" ca="1" si="166"/>
        <v>0</v>
      </c>
      <c r="DD57" s="1482">
        <f t="shared" ca="1" si="166"/>
        <v>0</v>
      </c>
      <c r="DE57" s="1482">
        <f t="shared" ca="1" si="166"/>
        <v>0</v>
      </c>
      <c r="DF57" s="1482">
        <f t="shared" ca="1" si="166"/>
        <v>0</v>
      </c>
      <c r="DH57" s="838">
        <f t="shared" ca="1" si="124"/>
        <v>0</v>
      </c>
    </row>
    <row r="58" spans="1:112" s="1484" customFormat="1" ht="12.75" hidden="1" customHeight="1" outlineLevel="1">
      <c r="C58" s="746" t="s">
        <v>1731</v>
      </c>
      <c r="D58" s="521" t="str">
        <f>INDEX(Modules[Module], MATCH($C58, Modules[Code], 0))</f>
        <v>Offshore wind</v>
      </c>
      <c r="E58" s="521"/>
      <c r="F58" s="743"/>
      <c r="G58" s="1017">
        <f t="shared" ca="1" si="154"/>
        <v>0</v>
      </c>
      <c r="H58" s="1017">
        <f t="shared" ca="1" si="154"/>
        <v>0</v>
      </c>
      <c r="I58" s="1017">
        <f t="shared" ca="1" si="154"/>
        <v>0</v>
      </c>
      <c r="J58" s="1017">
        <f t="shared" ca="1" si="154"/>
        <v>0</v>
      </c>
      <c r="K58" s="1017">
        <f t="shared" ca="1" si="154"/>
        <v>0</v>
      </c>
      <c r="L58" s="1017">
        <f t="shared" ca="1" si="154"/>
        <v>0</v>
      </c>
      <c r="M58" s="1017">
        <f t="shared" ca="1" si="154"/>
        <v>0</v>
      </c>
      <c r="N58" s="1017">
        <f t="shared" ca="1" si="154"/>
        <v>0</v>
      </c>
      <c r="O58" s="1017">
        <f t="shared" ca="1" si="154"/>
        <v>0</v>
      </c>
      <c r="P58" s="1017">
        <f t="shared" ca="1" si="154"/>
        <v>0</v>
      </c>
      <c r="Q58" s="1019">
        <f ca="1">SUM(G58:P58)</f>
        <v>0</v>
      </c>
      <c r="R58" s="743"/>
      <c r="S58" s="1026">
        <f t="shared" ca="1" si="156"/>
        <v>0</v>
      </c>
      <c r="T58" s="1026">
        <f t="shared" ca="1" si="156"/>
        <v>0.19574478000000431</v>
      </c>
      <c r="U58" s="1026">
        <f t="shared" ca="1" si="156"/>
        <v>0</v>
      </c>
      <c r="V58" s="1026">
        <f t="shared" ca="1" si="156"/>
        <v>0</v>
      </c>
      <c r="W58" s="1026">
        <f t="shared" ca="1" si="156"/>
        <v>0</v>
      </c>
      <c r="X58" s="1026">
        <f t="shared" ca="1" si="157"/>
        <v>0</v>
      </c>
      <c r="Y58" s="1026">
        <f t="shared" ca="1" si="157"/>
        <v>0</v>
      </c>
      <c r="Z58" s="1026">
        <f t="shared" ca="1" si="157"/>
        <v>0</v>
      </c>
      <c r="AA58" s="1026">
        <f t="shared" ca="1" si="156"/>
        <v>0</v>
      </c>
      <c r="AB58" s="1026">
        <f t="shared" ca="1" si="156"/>
        <v>0</v>
      </c>
      <c r="AC58" s="1026">
        <f t="shared" ca="1" si="156"/>
        <v>0</v>
      </c>
      <c r="AD58" s="1026">
        <f t="shared" ca="1" si="156"/>
        <v>0</v>
      </c>
      <c r="AE58" s="1026">
        <f t="shared" ca="1" si="156"/>
        <v>0</v>
      </c>
      <c r="AF58" s="1026">
        <f t="shared" ca="1" si="156"/>
        <v>0</v>
      </c>
      <c r="AG58" s="1026">
        <f t="shared" ca="1" si="156"/>
        <v>0</v>
      </c>
      <c r="AH58" s="1026">
        <f t="shared" ca="1" si="156"/>
        <v>0</v>
      </c>
      <c r="AI58" s="1026">
        <f t="shared" ca="1" si="156"/>
        <v>0</v>
      </c>
      <c r="AJ58" s="1026">
        <f t="shared" ca="1" si="156"/>
        <v>0</v>
      </c>
      <c r="AK58" s="1027">
        <f ca="1">SUM(S58:AJ58)</f>
        <v>0.19574478000000431</v>
      </c>
      <c r="AL58" s="743"/>
      <c r="AM58" s="1038">
        <f t="shared" ca="1" si="159"/>
        <v>0</v>
      </c>
      <c r="AN58" s="1038">
        <f t="shared" ca="1" si="159"/>
        <v>0</v>
      </c>
      <c r="AO58" s="1038">
        <f t="shared" ca="1" si="159"/>
        <v>0</v>
      </c>
      <c r="AP58" s="1038">
        <f t="shared" ca="1" si="159"/>
        <v>0</v>
      </c>
      <c r="AQ58" s="1038">
        <f t="shared" ca="1" si="159"/>
        <v>0</v>
      </c>
      <c r="AR58" s="1038">
        <f t="shared" ca="1" si="159"/>
        <v>0</v>
      </c>
      <c r="AS58" s="1038">
        <f t="shared" ca="1" si="159"/>
        <v>0</v>
      </c>
      <c r="AT58" s="1038">
        <f t="shared" ca="1" si="159"/>
        <v>0</v>
      </c>
      <c r="AU58" s="1038">
        <f t="shared" ca="1" si="159"/>
        <v>0</v>
      </c>
      <c r="AV58" s="1038">
        <f t="shared" ca="1" si="156"/>
        <v>0</v>
      </c>
      <c r="AW58" s="1038">
        <f t="shared" ca="1" si="156"/>
        <v>0</v>
      </c>
      <c r="AX58" s="1038">
        <f t="shared" ca="1" si="156"/>
        <v>-0.19574478000000431</v>
      </c>
      <c r="AY58" s="1038">
        <f t="shared" ca="1" si="156"/>
        <v>0</v>
      </c>
      <c r="AZ58" s="1038">
        <f t="shared" ca="1" si="156"/>
        <v>0</v>
      </c>
      <c r="BA58" s="1038">
        <f t="shared" ca="1" si="156"/>
        <v>0</v>
      </c>
      <c r="BB58" s="1038">
        <f t="shared" ca="1" si="156"/>
        <v>0</v>
      </c>
      <c r="BC58" s="1038">
        <f t="shared" ca="1" si="156"/>
        <v>0</v>
      </c>
      <c r="BD58" s="1038">
        <f t="shared" ca="1" si="156"/>
        <v>0</v>
      </c>
      <c r="BE58" s="1038">
        <f t="shared" ca="1" si="156"/>
        <v>0</v>
      </c>
      <c r="BF58" s="979">
        <f ca="1">SUM(AM58:BE58)</f>
        <v>-0.19574478000000431</v>
      </c>
      <c r="BG58" s="743"/>
      <c r="BH58" s="1032">
        <f t="shared" ca="1" si="161"/>
        <v>0</v>
      </c>
      <c r="BI58" s="1032">
        <f t="shared" ca="1" si="161"/>
        <v>0</v>
      </c>
      <c r="BJ58" s="1034">
        <f ca="1">SUM(BH58:BI58)</f>
        <v>0</v>
      </c>
      <c r="BK58" s="743"/>
      <c r="BL58" s="814">
        <f ca="1">Q58+AK58+BF58+BJ58</f>
        <v>0</v>
      </c>
      <c r="BM58" s="814"/>
      <c r="BN58" s="840"/>
      <c r="BO58" s="1481">
        <f t="shared" ca="1" si="163"/>
        <v>0</v>
      </c>
      <c r="BP58" s="1482">
        <f t="shared" ca="1" si="163"/>
        <v>0</v>
      </c>
      <c r="BQ58" s="1482">
        <f t="shared" ca="1" si="163"/>
        <v>0</v>
      </c>
      <c r="BR58" s="1482">
        <f t="shared" ca="1" si="163"/>
        <v>0</v>
      </c>
      <c r="BS58" s="1482">
        <f t="shared" ca="1" si="163"/>
        <v>0</v>
      </c>
      <c r="BT58" s="1482">
        <f t="shared" ca="1" si="163"/>
        <v>0</v>
      </c>
      <c r="BU58" s="1482">
        <f t="shared" ca="1" si="163"/>
        <v>0</v>
      </c>
      <c r="BV58" s="1482">
        <f t="shared" ca="1" si="163"/>
        <v>0</v>
      </c>
      <c r="BW58" s="1482">
        <f t="shared" ca="1" si="163"/>
        <v>0</v>
      </c>
      <c r="BX58" s="1482">
        <f t="shared" ca="1" si="163"/>
        <v>0</v>
      </c>
      <c r="BY58" s="1482">
        <f t="shared" ca="1" si="164"/>
        <v>0</v>
      </c>
      <c r="BZ58" s="1482">
        <f t="shared" ca="1" si="164"/>
        <v>0</v>
      </c>
      <c r="CA58" s="1482">
        <f t="shared" ca="1" si="164"/>
        <v>0</v>
      </c>
      <c r="CB58" s="1482">
        <f t="shared" ca="1" si="164"/>
        <v>0</v>
      </c>
      <c r="CC58" s="1482">
        <f t="shared" ca="1" si="164"/>
        <v>0</v>
      </c>
      <c r="CD58" s="1482">
        <f t="shared" ca="1" si="164"/>
        <v>0</v>
      </c>
      <c r="CE58" s="1482">
        <f t="shared" ca="1" si="164"/>
        <v>0</v>
      </c>
      <c r="CF58" s="1482">
        <f t="shared" ca="1" si="164"/>
        <v>0</v>
      </c>
      <c r="CG58" s="1482">
        <f t="shared" ca="1" si="164"/>
        <v>0</v>
      </c>
      <c r="CH58" s="1482">
        <f t="shared" ca="1" si="164"/>
        <v>0</v>
      </c>
      <c r="CI58" s="1482">
        <f t="shared" ca="1" si="165"/>
        <v>0</v>
      </c>
      <c r="CJ58" s="1482">
        <f t="shared" ca="1" si="165"/>
        <v>0</v>
      </c>
      <c r="CK58" s="1482">
        <f t="shared" ca="1" si="165"/>
        <v>0</v>
      </c>
      <c r="CL58" s="1482">
        <f t="shared" ca="1" si="165"/>
        <v>0</v>
      </c>
      <c r="CM58" s="1482">
        <f t="shared" ca="1" si="165"/>
        <v>0</v>
      </c>
      <c r="CN58" s="1482">
        <f t="shared" ca="1" si="165"/>
        <v>0</v>
      </c>
      <c r="CO58" s="1482">
        <f t="shared" ca="1" si="165"/>
        <v>0</v>
      </c>
      <c r="CP58" s="1482">
        <f t="shared" ca="1" si="165"/>
        <v>0</v>
      </c>
      <c r="CQ58" s="1482">
        <f t="shared" ca="1" si="165"/>
        <v>0</v>
      </c>
      <c r="CR58" s="1482">
        <f t="shared" ca="1" si="165"/>
        <v>0</v>
      </c>
      <c r="CS58" s="1482">
        <f t="shared" ca="1" si="166"/>
        <v>0</v>
      </c>
      <c r="CT58" s="1482">
        <f t="shared" ca="1" si="166"/>
        <v>0</v>
      </c>
      <c r="CU58" s="1482">
        <f t="shared" ca="1" si="166"/>
        <v>0</v>
      </c>
      <c r="CV58" s="1482">
        <f t="shared" ca="1" si="166"/>
        <v>0</v>
      </c>
      <c r="CW58" s="1482">
        <f t="shared" ca="1" si="166"/>
        <v>0</v>
      </c>
      <c r="CX58" s="1482">
        <f t="shared" ca="1" si="166"/>
        <v>0</v>
      </c>
      <c r="CY58" s="1482">
        <f t="shared" ca="1" si="166"/>
        <v>0</v>
      </c>
      <c r="CZ58" s="1482">
        <f t="shared" ca="1" si="166"/>
        <v>0</v>
      </c>
      <c r="DA58" s="1482">
        <f t="shared" ca="1" si="166"/>
        <v>0</v>
      </c>
      <c r="DB58" s="1482">
        <f t="shared" ca="1" si="166"/>
        <v>0</v>
      </c>
      <c r="DC58" s="1482">
        <f t="shared" ca="1" si="166"/>
        <v>0</v>
      </c>
      <c r="DD58" s="1482">
        <f t="shared" ca="1" si="166"/>
        <v>0</v>
      </c>
      <c r="DE58" s="1482">
        <f t="shared" ca="1" si="166"/>
        <v>0</v>
      </c>
      <c r="DF58" s="1482">
        <f t="shared" ca="1" si="166"/>
        <v>0</v>
      </c>
      <c r="DH58" s="838">
        <f ca="1">SUM(BO58:DF58)</f>
        <v>0</v>
      </c>
    </row>
    <row r="59" spans="1:112" s="1484" customFormat="1" ht="12.75" hidden="1" customHeight="1" outlineLevel="1">
      <c r="C59" s="746" t="s">
        <v>803</v>
      </c>
      <c r="D59" s="521" t="str">
        <f>INDEX(Modules[Module], MATCH($C59, Modules[Code], 0))</f>
        <v>Hydroelectric</v>
      </c>
      <c r="E59" s="521"/>
      <c r="F59" s="743"/>
      <c r="G59" s="1017">
        <f t="shared" ca="1" si="154"/>
        <v>0</v>
      </c>
      <c r="H59" s="1017">
        <f t="shared" ca="1" si="154"/>
        <v>0</v>
      </c>
      <c r="I59" s="1017">
        <f t="shared" ca="1" si="154"/>
        <v>0</v>
      </c>
      <c r="J59" s="1017">
        <f t="shared" ca="1" si="154"/>
        <v>0</v>
      </c>
      <c r="K59" s="1017">
        <f t="shared" ca="1" si="154"/>
        <v>0</v>
      </c>
      <c r="L59" s="1017">
        <f t="shared" ca="1" si="154"/>
        <v>0</v>
      </c>
      <c r="M59" s="1017">
        <f t="shared" ca="1" si="154"/>
        <v>0</v>
      </c>
      <c r="N59" s="1017">
        <f t="shared" ca="1" si="154"/>
        <v>0</v>
      </c>
      <c r="O59" s="1017">
        <f t="shared" ca="1" si="154"/>
        <v>0</v>
      </c>
      <c r="P59" s="1017">
        <f t="shared" ca="1" si="154"/>
        <v>0</v>
      </c>
      <c r="Q59" s="1019">
        <f t="shared" ca="1" si="155"/>
        <v>0</v>
      </c>
      <c r="R59" s="743"/>
      <c r="S59" s="1026">
        <f t="shared" ca="1" si="156"/>
        <v>0</v>
      </c>
      <c r="T59" s="1026">
        <f t="shared" ca="1" si="156"/>
        <v>5.3297280000000011</v>
      </c>
      <c r="U59" s="1026">
        <f t="shared" ca="1" si="156"/>
        <v>0</v>
      </c>
      <c r="V59" s="1026">
        <f t="shared" ca="1" si="156"/>
        <v>0</v>
      </c>
      <c r="W59" s="1026">
        <f t="shared" ca="1" si="156"/>
        <v>0</v>
      </c>
      <c r="X59" s="1026">
        <f t="shared" ca="1" si="157"/>
        <v>0</v>
      </c>
      <c r="Y59" s="1026">
        <f t="shared" ca="1" si="157"/>
        <v>0</v>
      </c>
      <c r="Z59" s="1026">
        <f t="shared" ca="1" si="157"/>
        <v>0</v>
      </c>
      <c r="AA59" s="1026">
        <f t="shared" ca="1" si="156"/>
        <v>0</v>
      </c>
      <c r="AB59" s="1026">
        <f t="shared" ca="1" si="156"/>
        <v>0</v>
      </c>
      <c r="AC59" s="1026">
        <f t="shared" ca="1" si="156"/>
        <v>0</v>
      </c>
      <c r="AD59" s="1026">
        <f t="shared" ca="1" si="156"/>
        <v>0</v>
      </c>
      <c r="AE59" s="1026">
        <f t="shared" ca="1" si="156"/>
        <v>0</v>
      </c>
      <c r="AF59" s="1026">
        <f t="shared" ca="1" si="156"/>
        <v>0</v>
      </c>
      <c r="AG59" s="1026">
        <f t="shared" ca="1" si="156"/>
        <v>0</v>
      </c>
      <c r="AH59" s="1026">
        <f t="shared" ca="1" si="156"/>
        <v>0</v>
      </c>
      <c r="AI59" s="1026">
        <f t="shared" ca="1" si="156"/>
        <v>0</v>
      </c>
      <c r="AJ59" s="1026">
        <f t="shared" ca="1" si="156"/>
        <v>0</v>
      </c>
      <c r="AK59" s="1027">
        <f t="shared" ca="1" si="158"/>
        <v>5.3297280000000011</v>
      </c>
      <c r="AL59" s="743"/>
      <c r="AM59" s="1038">
        <f t="shared" ca="1" si="159"/>
        <v>0</v>
      </c>
      <c r="AN59" s="1038">
        <f t="shared" ca="1" si="159"/>
        <v>0</v>
      </c>
      <c r="AO59" s="1038">
        <f t="shared" ca="1" si="159"/>
        <v>0</v>
      </c>
      <c r="AP59" s="1038">
        <f t="shared" ca="1" si="159"/>
        <v>0</v>
      </c>
      <c r="AQ59" s="1038">
        <f t="shared" ca="1" si="159"/>
        <v>0</v>
      </c>
      <c r="AR59" s="1038">
        <f t="shared" ca="1" si="159"/>
        <v>0</v>
      </c>
      <c r="AS59" s="1038">
        <f t="shared" ca="1" si="159"/>
        <v>0</v>
      </c>
      <c r="AT59" s="1038">
        <f t="shared" ca="1" si="159"/>
        <v>0</v>
      </c>
      <c r="AU59" s="1038">
        <f t="shared" ca="1" si="159"/>
        <v>0</v>
      </c>
      <c r="AV59" s="1038">
        <f t="shared" ca="1" si="156"/>
        <v>0</v>
      </c>
      <c r="AW59" s="1038">
        <f t="shared" ca="1" si="156"/>
        <v>0</v>
      </c>
      <c r="AX59" s="1038">
        <f t="shared" ca="1" si="156"/>
        <v>0</v>
      </c>
      <c r="AY59" s="1038">
        <f t="shared" ca="1" si="156"/>
        <v>0</v>
      </c>
      <c r="AZ59" s="1038">
        <f t="shared" ca="1" si="156"/>
        <v>0</v>
      </c>
      <c r="BA59" s="1038">
        <f t="shared" ca="1" si="156"/>
        <v>0</v>
      </c>
      <c r="BB59" s="1038">
        <f t="shared" ca="1" si="156"/>
        <v>-5.3297280000000011</v>
      </c>
      <c r="BC59" s="1038">
        <f t="shared" ca="1" si="156"/>
        <v>0</v>
      </c>
      <c r="BD59" s="1038">
        <f t="shared" ca="1" si="156"/>
        <v>0</v>
      </c>
      <c r="BE59" s="1038">
        <f t="shared" ca="1" si="156"/>
        <v>0</v>
      </c>
      <c r="BF59" s="979">
        <f t="shared" ca="1" si="160"/>
        <v>-5.3297280000000011</v>
      </c>
      <c r="BG59" s="743"/>
      <c r="BH59" s="1032">
        <f t="shared" ca="1" si="161"/>
        <v>0</v>
      </c>
      <c r="BI59" s="1032">
        <f t="shared" ca="1" si="161"/>
        <v>0</v>
      </c>
      <c r="BJ59" s="1034">
        <f t="shared" ca="1" si="162"/>
        <v>0</v>
      </c>
      <c r="BK59" s="743"/>
      <c r="BL59" s="814">
        <f t="shared" ca="1" si="153"/>
        <v>0</v>
      </c>
      <c r="BM59" s="814"/>
      <c r="BN59" s="840"/>
      <c r="BO59" s="1481">
        <f t="shared" ca="1" si="163"/>
        <v>0</v>
      </c>
      <c r="BP59" s="1482">
        <f t="shared" ca="1" si="163"/>
        <v>0</v>
      </c>
      <c r="BQ59" s="1482">
        <f t="shared" ca="1" si="163"/>
        <v>0</v>
      </c>
      <c r="BR59" s="1482">
        <f t="shared" ca="1" si="163"/>
        <v>0</v>
      </c>
      <c r="BS59" s="1482">
        <f t="shared" ca="1" si="163"/>
        <v>0</v>
      </c>
      <c r="BT59" s="1482">
        <f t="shared" ca="1" si="163"/>
        <v>0</v>
      </c>
      <c r="BU59" s="1482">
        <f t="shared" ca="1" si="163"/>
        <v>0</v>
      </c>
      <c r="BV59" s="1482">
        <f t="shared" ca="1" si="163"/>
        <v>0</v>
      </c>
      <c r="BW59" s="1482">
        <f t="shared" ca="1" si="163"/>
        <v>0</v>
      </c>
      <c r="BX59" s="1482">
        <f t="shared" ca="1" si="163"/>
        <v>0</v>
      </c>
      <c r="BY59" s="1482">
        <f t="shared" ca="1" si="164"/>
        <v>0</v>
      </c>
      <c r="BZ59" s="1482">
        <f t="shared" ca="1" si="164"/>
        <v>0</v>
      </c>
      <c r="CA59" s="1482">
        <f t="shared" ca="1" si="164"/>
        <v>0</v>
      </c>
      <c r="CB59" s="1482">
        <f t="shared" ca="1" si="164"/>
        <v>0</v>
      </c>
      <c r="CC59" s="1482">
        <f t="shared" ca="1" si="164"/>
        <v>0</v>
      </c>
      <c r="CD59" s="1482">
        <f t="shared" ca="1" si="164"/>
        <v>0</v>
      </c>
      <c r="CE59" s="1482">
        <f t="shared" ca="1" si="164"/>
        <v>0</v>
      </c>
      <c r="CF59" s="1482">
        <f t="shared" ca="1" si="164"/>
        <v>0</v>
      </c>
      <c r="CG59" s="1482">
        <f t="shared" ca="1" si="164"/>
        <v>0</v>
      </c>
      <c r="CH59" s="1482">
        <f t="shared" ca="1" si="164"/>
        <v>0</v>
      </c>
      <c r="CI59" s="1482">
        <f t="shared" ca="1" si="165"/>
        <v>0</v>
      </c>
      <c r="CJ59" s="1482">
        <f t="shared" ca="1" si="165"/>
        <v>0</v>
      </c>
      <c r="CK59" s="1482">
        <f t="shared" ca="1" si="165"/>
        <v>0</v>
      </c>
      <c r="CL59" s="1482">
        <f t="shared" ca="1" si="165"/>
        <v>0</v>
      </c>
      <c r="CM59" s="1482">
        <f t="shared" ca="1" si="165"/>
        <v>0</v>
      </c>
      <c r="CN59" s="1482">
        <f t="shared" ca="1" si="165"/>
        <v>0</v>
      </c>
      <c r="CO59" s="1482">
        <f t="shared" ca="1" si="165"/>
        <v>0</v>
      </c>
      <c r="CP59" s="1482">
        <f t="shared" ca="1" si="165"/>
        <v>0</v>
      </c>
      <c r="CQ59" s="1482">
        <f t="shared" ca="1" si="165"/>
        <v>0</v>
      </c>
      <c r="CR59" s="1482">
        <f t="shared" ca="1" si="165"/>
        <v>0</v>
      </c>
      <c r="CS59" s="1482">
        <f t="shared" ca="1" si="166"/>
        <v>0</v>
      </c>
      <c r="CT59" s="1482">
        <f t="shared" ca="1" si="166"/>
        <v>0</v>
      </c>
      <c r="CU59" s="1482">
        <f t="shared" ca="1" si="166"/>
        <v>0</v>
      </c>
      <c r="CV59" s="1482">
        <f t="shared" ca="1" si="166"/>
        <v>0</v>
      </c>
      <c r="CW59" s="1482">
        <f t="shared" ca="1" si="166"/>
        <v>0</v>
      </c>
      <c r="CX59" s="1482">
        <f t="shared" ca="1" si="166"/>
        <v>0</v>
      </c>
      <c r="CY59" s="1482">
        <f t="shared" ca="1" si="166"/>
        <v>0</v>
      </c>
      <c r="CZ59" s="1482">
        <f t="shared" ca="1" si="166"/>
        <v>0</v>
      </c>
      <c r="DA59" s="1482">
        <f t="shared" ca="1" si="166"/>
        <v>0</v>
      </c>
      <c r="DB59" s="1482">
        <f t="shared" ca="1" si="166"/>
        <v>0</v>
      </c>
      <c r="DC59" s="1482">
        <f t="shared" ca="1" si="166"/>
        <v>0</v>
      </c>
      <c r="DD59" s="1482">
        <f t="shared" ca="1" si="166"/>
        <v>0</v>
      </c>
      <c r="DE59" s="1482">
        <f t="shared" ca="1" si="166"/>
        <v>0</v>
      </c>
      <c r="DF59" s="1482">
        <f t="shared" ca="1" si="166"/>
        <v>0</v>
      </c>
      <c r="DH59" s="838">
        <f t="shared" ca="1" si="124"/>
        <v>0</v>
      </c>
    </row>
    <row r="60" spans="1:112" s="1484" customFormat="1" ht="12.75" hidden="1" customHeight="1" outlineLevel="1">
      <c r="C60" s="746" t="s">
        <v>808</v>
      </c>
      <c r="D60" s="521" t="str">
        <f>INDEX(Modules[Module], MATCH($C60, Modules[Code], 0))</f>
        <v>Wave and Tidal</v>
      </c>
      <c r="E60" s="521"/>
      <c r="F60" s="743"/>
      <c r="G60" s="1017">
        <f t="shared" ca="1" si="154"/>
        <v>0</v>
      </c>
      <c r="H60" s="1017">
        <f t="shared" ca="1" si="154"/>
        <v>0</v>
      </c>
      <c r="I60" s="1017">
        <f t="shared" ca="1" si="154"/>
        <v>0</v>
      </c>
      <c r="J60" s="1017">
        <f t="shared" ca="1" si="154"/>
        <v>0</v>
      </c>
      <c r="K60" s="1017">
        <f t="shared" ca="1" si="154"/>
        <v>0</v>
      </c>
      <c r="L60" s="1017">
        <f t="shared" ca="1" si="154"/>
        <v>0</v>
      </c>
      <c r="M60" s="1017">
        <f t="shared" ca="1" si="154"/>
        <v>0</v>
      </c>
      <c r="N60" s="1017">
        <f t="shared" ca="1" si="154"/>
        <v>0</v>
      </c>
      <c r="O60" s="1017">
        <f t="shared" ca="1" si="154"/>
        <v>0</v>
      </c>
      <c r="P60" s="1017">
        <f t="shared" ca="1" si="154"/>
        <v>0</v>
      </c>
      <c r="Q60" s="1019">
        <f t="shared" ca="1" si="155"/>
        <v>0</v>
      </c>
      <c r="R60" s="743"/>
      <c r="S60" s="1026">
        <f t="shared" ca="1" si="156"/>
        <v>0</v>
      </c>
      <c r="T60" s="1026">
        <f t="shared" ca="1" si="156"/>
        <v>0</v>
      </c>
      <c r="U60" s="1026">
        <f t="shared" ca="1" si="156"/>
        <v>0</v>
      </c>
      <c r="V60" s="1026">
        <f t="shared" ca="1" si="156"/>
        <v>0</v>
      </c>
      <c r="W60" s="1026">
        <f t="shared" ca="1" si="156"/>
        <v>0</v>
      </c>
      <c r="X60" s="1026">
        <f t="shared" ca="1" si="157"/>
        <v>0</v>
      </c>
      <c r="Y60" s="1026">
        <f t="shared" ca="1" si="157"/>
        <v>0</v>
      </c>
      <c r="Z60" s="1026">
        <f t="shared" ca="1" si="157"/>
        <v>0</v>
      </c>
      <c r="AA60" s="1026">
        <f t="shared" ca="1" si="156"/>
        <v>0</v>
      </c>
      <c r="AB60" s="1026">
        <f t="shared" ca="1" si="156"/>
        <v>0</v>
      </c>
      <c r="AC60" s="1026">
        <f t="shared" ca="1" si="156"/>
        <v>0</v>
      </c>
      <c r="AD60" s="1026">
        <f t="shared" ca="1" si="156"/>
        <v>0</v>
      </c>
      <c r="AE60" s="1026">
        <f t="shared" ca="1" si="156"/>
        <v>0</v>
      </c>
      <c r="AF60" s="1026">
        <f t="shared" ca="1" si="156"/>
        <v>0</v>
      </c>
      <c r="AG60" s="1026">
        <f t="shared" ca="1" si="156"/>
        <v>0</v>
      </c>
      <c r="AH60" s="1026">
        <f t="shared" ca="1" si="156"/>
        <v>0</v>
      </c>
      <c r="AI60" s="1026">
        <f t="shared" ca="1" si="156"/>
        <v>0</v>
      </c>
      <c r="AJ60" s="1026">
        <f t="shared" ca="1" si="156"/>
        <v>0</v>
      </c>
      <c r="AK60" s="1027">
        <f t="shared" ca="1" si="158"/>
        <v>0</v>
      </c>
      <c r="AL60" s="743"/>
      <c r="AM60" s="1038">
        <f t="shared" ca="1" si="159"/>
        <v>0</v>
      </c>
      <c r="AN60" s="1038">
        <f t="shared" ca="1" si="159"/>
        <v>0</v>
      </c>
      <c r="AO60" s="1038">
        <f t="shared" ca="1" si="159"/>
        <v>0</v>
      </c>
      <c r="AP60" s="1038">
        <f t="shared" ca="1" si="159"/>
        <v>0</v>
      </c>
      <c r="AQ60" s="1038">
        <f t="shared" ca="1" si="159"/>
        <v>0</v>
      </c>
      <c r="AR60" s="1038">
        <f t="shared" ca="1" si="159"/>
        <v>0</v>
      </c>
      <c r="AS60" s="1038">
        <f t="shared" ca="1" si="159"/>
        <v>0</v>
      </c>
      <c r="AT60" s="1038">
        <f t="shared" ca="1" si="159"/>
        <v>0</v>
      </c>
      <c r="AU60" s="1038">
        <f t="shared" ca="1" si="159"/>
        <v>0</v>
      </c>
      <c r="AV60" s="1038">
        <f t="shared" ca="1" si="156"/>
        <v>0</v>
      </c>
      <c r="AW60" s="1038">
        <f t="shared" ca="1" si="156"/>
        <v>0</v>
      </c>
      <c r="AX60" s="1038">
        <f t="shared" ca="1" si="156"/>
        <v>0</v>
      </c>
      <c r="AY60" s="1038">
        <f t="shared" ca="1" si="156"/>
        <v>0</v>
      </c>
      <c r="AZ60" s="1038">
        <f t="shared" ca="1" si="156"/>
        <v>0</v>
      </c>
      <c r="BA60" s="1038">
        <f t="shared" ca="1" si="156"/>
        <v>0</v>
      </c>
      <c r="BB60" s="1038">
        <f t="shared" ca="1" si="156"/>
        <v>0</v>
      </c>
      <c r="BC60" s="1038">
        <f t="shared" ca="1" si="156"/>
        <v>0</v>
      </c>
      <c r="BD60" s="1038">
        <f t="shared" ca="1" si="156"/>
        <v>0</v>
      </c>
      <c r="BE60" s="1038">
        <f t="shared" ca="1" si="156"/>
        <v>0</v>
      </c>
      <c r="BF60" s="979">
        <f t="shared" ca="1" si="160"/>
        <v>0</v>
      </c>
      <c r="BG60" s="743"/>
      <c r="BH60" s="1032">
        <f t="shared" ca="1" si="161"/>
        <v>0</v>
      </c>
      <c r="BI60" s="1032">
        <f t="shared" ca="1" si="161"/>
        <v>0</v>
      </c>
      <c r="BJ60" s="1034">
        <f t="shared" ca="1" si="162"/>
        <v>0</v>
      </c>
      <c r="BK60" s="743"/>
      <c r="BL60" s="814">
        <f t="shared" ca="1" si="153"/>
        <v>0</v>
      </c>
      <c r="BM60" s="814"/>
      <c r="BN60" s="840"/>
      <c r="BO60" s="1481">
        <f t="shared" ca="1" si="163"/>
        <v>0</v>
      </c>
      <c r="BP60" s="1482">
        <f t="shared" ca="1" si="163"/>
        <v>0</v>
      </c>
      <c r="BQ60" s="1482">
        <f t="shared" ca="1" si="163"/>
        <v>0</v>
      </c>
      <c r="BR60" s="1482">
        <f t="shared" ca="1" si="163"/>
        <v>0</v>
      </c>
      <c r="BS60" s="1482">
        <f t="shared" ca="1" si="163"/>
        <v>0</v>
      </c>
      <c r="BT60" s="1482">
        <f t="shared" ca="1" si="163"/>
        <v>0</v>
      </c>
      <c r="BU60" s="1482">
        <f t="shared" ca="1" si="163"/>
        <v>0</v>
      </c>
      <c r="BV60" s="1482">
        <f t="shared" ca="1" si="163"/>
        <v>0</v>
      </c>
      <c r="BW60" s="1482">
        <f t="shared" ca="1" si="163"/>
        <v>0</v>
      </c>
      <c r="BX60" s="1482">
        <f t="shared" ca="1" si="163"/>
        <v>0</v>
      </c>
      <c r="BY60" s="1482">
        <f t="shared" ca="1" si="164"/>
        <v>0</v>
      </c>
      <c r="BZ60" s="1482">
        <f t="shared" ca="1" si="164"/>
        <v>0</v>
      </c>
      <c r="CA60" s="1482">
        <f t="shared" ca="1" si="164"/>
        <v>0</v>
      </c>
      <c r="CB60" s="1482">
        <f t="shared" ca="1" si="164"/>
        <v>0</v>
      </c>
      <c r="CC60" s="1482">
        <f t="shared" ca="1" si="164"/>
        <v>0</v>
      </c>
      <c r="CD60" s="1482">
        <f t="shared" ca="1" si="164"/>
        <v>0</v>
      </c>
      <c r="CE60" s="1482">
        <f t="shared" ca="1" si="164"/>
        <v>0</v>
      </c>
      <c r="CF60" s="1482">
        <f t="shared" ca="1" si="164"/>
        <v>0</v>
      </c>
      <c r="CG60" s="1482">
        <f t="shared" ca="1" si="164"/>
        <v>0</v>
      </c>
      <c r="CH60" s="1482">
        <f t="shared" ca="1" si="164"/>
        <v>0</v>
      </c>
      <c r="CI60" s="1482">
        <f t="shared" ca="1" si="165"/>
        <v>0</v>
      </c>
      <c r="CJ60" s="1482">
        <f t="shared" ca="1" si="165"/>
        <v>0</v>
      </c>
      <c r="CK60" s="1482">
        <f t="shared" ca="1" si="165"/>
        <v>0</v>
      </c>
      <c r="CL60" s="1482">
        <f t="shared" ca="1" si="165"/>
        <v>0</v>
      </c>
      <c r="CM60" s="1482">
        <f t="shared" ca="1" si="165"/>
        <v>0</v>
      </c>
      <c r="CN60" s="1482">
        <f t="shared" ca="1" si="165"/>
        <v>0</v>
      </c>
      <c r="CO60" s="1482">
        <f t="shared" ca="1" si="165"/>
        <v>0</v>
      </c>
      <c r="CP60" s="1482">
        <f t="shared" ca="1" si="165"/>
        <v>0</v>
      </c>
      <c r="CQ60" s="1482">
        <f t="shared" ca="1" si="165"/>
        <v>0</v>
      </c>
      <c r="CR60" s="1482">
        <f t="shared" ca="1" si="165"/>
        <v>0</v>
      </c>
      <c r="CS60" s="1482">
        <f t="shared" ca="1" si="166"/>
        <v>0</v>
      </c>
      <c r="CT60" s="1482">
        <f t="shared" ca="1" si="166"/>
        <v>0</v>
      </c>
      <c r="CU60" s="1482">
        <f t="shared" ca="1" si="166"/>
        <v>0</v>
      </c>
      <c r="CV60" s="1482">
        <f t="shared" ca="1" si="166"/>
        <v>0</v>
      </c>
      <c r="CW60" s="1482">
        <f t="shared" ca="1" si="166"/>
        <v>0</v>
      </c>
      <c r="CX60" s="1482">
        <f t="shared" ca="1" si="166"/>
        <v>0</v>
      </c>
      <c r="CY60" s="1482">
        <f t="shared" ca="1" si="166"/>
        <v>0</v>
      </c>
      <c r="CZ60" s="1482">
        <f t="shared" ca="1" si="166"/>
        <v>0</v>
      </c>
      <c r="DA60" s="1482">
        <f t="shared" ca="1" si="166"/>
        <v>0</v>
      </c>
      <c r="DB60" s="1482">
        <f t="shared" ca="1" si="166"/>
        <v>0</v>
      </c>
      <c r="DC60" s="1482">
        <f t="shared" ca="1" si="166"/>
        <v>0</v>
      </c>
      <c r="DD60" s="1482">
        <f t="shared" ca="1" si="166"/>
        <v>0</v>
      </c>
      <c r="DE60" s="1482">
        <f t="shared" ca="1" si="166"/>
        <v>0</v>
      </c>
      <c r="DF60" s="1482">
        <f t="shared" ca="1" si="166"/>
        <v>0</v>
      </c>
      <c r="DH60" s="838">
        <f t="shared" ca="1" si="124"/>
        <v>0</v>
      </c>
    </row>
    <row r="61" spans="1:112" s="1484" customFormat="1" ht="12.75" hidden="1" customHeight="1" outlineLevel="1">
      <c r="C61" s="746" t="s">
        <v>809</v>
      </c>
      <c r="D61" s="521" t="str">
        <f>INDEX(Modules[Module], MATCH($C61, Modules[Code], 0))</f>
        <v>Geothermal</v>
      </c>
      <c r="E61" s="521"/>
      <c r="F61" s="743"/>
      <c r="G61" s="1017">
        <f t="shared" ca="1" si="154"/>
        <v>0</v>
      </c>
      <c r="H61" s="1017">
        <f t="shared" ca="1" si="154"/>
        <v>0</v>
      </c>
      <c r="I61" s="1017">
        <f t="shared" ca="1" si="154"/>
        <v>0</v>
      </c>
      <c r="J61" s="1017">
        <f t="shared" ca="1" si="154"/>
        <v>0</v>
      </c>
      <c r="K61" s="1017">
        <f t="shared" ca="1" si="154"/>
        <v>0</v>
      </c>
      <c r="L61" s="1017">
        <f t="shared" ca="1" si="154"/>
        <v>0</v>
      </c>
      <c r="M61" s="1017">
        <f t="shared" ca="1" si="154"/>
        <v>0</v>
      </c>
      <c r="N61" s="1017">
        <f t="shared" ca="1" si="154"/>
        <v>0</v>
      </c>
      <c r="O61" s="1017">
        <f t="shared" ca="1" si="154"/>
        <v>0</v>
      </c>
      <c r="P61" s="1017">
        <f t="shared" ca="1" si="154"/>
        <v>0</v>
      </c>
      <c r="Q61" s="1019">
        <f t="shared" ca="1" si="155"/>
        <v>0</v>
      </c>
      <c r="R61" s="743"/>
      <c r="S61" s="1026">
        <f t="shared" ca="1" si="156"/>
        <v>0</v>
      </c>
      <c r="T61" s="1026">
        <f t="shared" ca="1" si="156"/>
        <v>0</v>
      </c>
      <c r="U61" s="1026">
        <f t="shared" ca="1" si="156"/>
        <v>0</v>
      </c>
      <c r="V61" s="1026">
        <f t="shared" ca="1" si="156"/>
        <v>0</v>
      </c>
      <c r="W61" s="1026">
        <f t="shared" ca="1" si="156"/>
        <v>0</v>
      </c>
      <c r="X61" s="1026">
        <f t="shared" ca="1" si="157"/>
        <v>0</v>
      </c>
      <c r="Y61" s="1026">
        <f t="shared" ca="1" si="157"/>
        <v>0</v>
      </c>
      <c r="Z61" s="1026">
        <f t="shared" ca="1" si="157"/>
        <v>0</v>
      </c>
      <c r="AA61" s="1026">
        <f t="shared" ca="1" si="156"/>
        <v>0</v>
      </c>
      <c r="AB61" s="1026">
        <f t="shared" ca="1" si="156"/>
        <v>0</v>
      </c>
      <c r="AC61" s="1026">
        <f t="shared" ca="1" si="156"/>
        <v>0</v>
      </c>
      <c r="AD61" s="1026">
        <f t="shared" ca="1" si="156"/>
        <v>0</v>
      </c>
      <c r="AE61" s="1026">
        <f t="shared" ca="1" si="156"/>
        <v>0</v>
      </c>
      <c r="AF61" s="1026">
        <f t="shared" ca="1" si="156"/>
        <v>0</v>
      </c>
      <c r="AG61" s="1026">
        <f t="shared" ca="1" si="156"/>
        <v>0</v>
      </c>
      <c r="AH61" s="1026">
        <f t="shared" ca="1" si="156"/>
        <v>0</v>
      </c>
      <c r="AI61" s="1026">
        <f t="shared" ca="1" si="156"/>
        <v>0</v>
      </c>
      <c r="AJ61" s="1026">
        <f t="shared" ca="1" si="156"/>
        <v>0</v>
      </c>
      <c r="AK61" s="1027">
        <f t="shared" ca="1" si="158"/>
        <v>0</v>
      </c>
      <c r="AL61" s="743"/>
      <c r="AM61" s="1038">
        <f t="shared" ca="1" si="159"/>
        <v>0</v>
      </c>
      <c r="AN61" s="1038">
        <f t="shared" ca="1" si="159"/>
        <v>0</v>
      </c>
      <c r="AO61" s="1038">
        <f t="shared" ca="1" si="159"/>
        <v>0</v>
      </c>
      <c r="AP61" s="1038">
        <f t="shared" ca="1" si="159"/>
        <v>0</v>
      </c>
      <c r="AQ61" s="1038">
        <f t="shared" ca="1" si="159"/>
        <v>0</v>
      </c>
      <c r="AR61" s="1038">
        <f t="shared" ca="1" si="159"/>
        <v>0</v>
      </c>
      <c r="AS61" s="1038">
        <f t="shared" ca="1" si="159"/>
        <v>0</v>
      </c>
      <c r="AT61" s="1038">
        <f t="shared" ca="1" si="159"/>
        <v>0</v>
      </c>
      <c r="AU61" s="1038">
        <f t="shared" ca="1" si="159"/>
        <v>0</v>
      </c>
      <c r="AV61" s="1038">
        <f t="shared" ca="1" si="156"/>
        <v>0</v>
      </c>
      <c r="AW61" s="1038">
        <f t="shared" ca="1" si="156"/>
        <v>0</v>
      </c>
      <c r="AX61" s="1038">
        <f t="shared" ca="1" si="156"/>
        <v>0</v>
      </c>
      <c r="AY61" s="1038">
        <f t="shared" ca="1" si="156"/>
        <v>0</v>
      </c>
      <c r="AZ61" s="1038">
        <f t="shared" ca="1" si="156"/>
        <v>0</v>
      </c>
      <c r="BA61" s="1038">
        <f t="shared" ca="1" si="156"/>
        <v>0</v>
      </c>
      <c r="BB61" s="1038">
        <f t="shared" ca="1" si="156"/>
        <v>0</v>
      </c>
      <c r="BC61" s="1038">
        <f t="shared" ca="1" si="156"/>
        <v>0</v>
      </c>
      <c r="BD61" s="1038">
        <f t="shared" ca="1" si="156"/>
        <v>0</v>
      </c>
      <c r="BE61" s="1038">
        <f t="shared" ca="1" si="156"/>
        <v>0</v>
      </c>
      <c r="BF61" s="979">
        <f t="shared" ca="1" si="160"/>
        <v>0</v>
      </c>
      <c r="BG61" s="743"/>
      <c r="BH61" s="1032">
        <f t="shared" ca="1" si="161"/>
        <v>0</v>
      </c>
      <c r="BI61" s="1032">
        <f t="shared" ca="1" si="161"/>
        <v>0</v>
      </c>
      <c r="BJ61" s="1034">
        <f t="shared" ca="1" si="162"/>
        <v>0</v>
      </c>
      <c r="BK61" s="743"/>
      <c r="BL61" s="814">
        <f t="shared" ca="1" si="153"/>
        <v>0</v>
      </c>
      <c r="BM61" s="814"/>
      <c r="BN61" s="840"/>
      <c r="BO61" s="1481">
        <f t="shared" ca="1" si="163"/>
        <v>0</v>
      </c>
      <c r="BP61" s="1482">
        <f t="shared" ca="1" si="163"/>
        <v>0</v>
      </c>
      <c r="BQ61" s="1482">
        <f t="shared" ca="1" si="163"/>
        <v>0</v>
      </c>
      <c r="BR61" s="1482">
        <f t="shared" ca="1" si="163"/>
        <v>0</v>
      </c>
      <c r="BS61" s="1482">
        <f t="shared" ca="1" si="163"/>
        <v>0</v>
      </c>
      <c r="BT61" s="1482">
        <f t="shared" ca="1" si="163"/>
        <v>0</v>
      </c>
      <c r="BU61" s="1482">
        <f t="shared" ca="1" si="163"/>
        <v>0</v>
      </c>
      <c r="BV61" s="1482">
        <f t="shared" ca="1" si="163"/>
        <v>0</v>
      </c>
      <c r="BW61" s="1482">
        <f t="shared" ca="1" si="163"/>
        <v>0</v>
      </c>
      <c r="BX61" s="1482">
        <f t="shared" ca="1" si="163"/>
        <v>0</v>
      </c>
      <c r="BY61" s="1482">
        <f t="shared" ca="1" si="164"/>
        <v>0</v>
      </c>
      <c r="BZ61" s="1482">
        <f t="shared" ca="1" si="164"/>
        <v>0</v>
      </c>
      <c r="CA61" s="1482">
        <f t="shared" ca="1" si="164"/>
        <v>0</v>
      </c>
      <c r="CB61" s="1482">
        <f t="shared" ca="1" si="164"/>
        <v>0</v>
      </c>
      <c r="CC61" s="1482">
        <f t="shared" ca="1" si="164"/>
        <v>0</v>
      </c>
      <c r="CD61" s="1482">
        <f t="shared" ca="1" si="164"/>
        <v>0</v>
      </c>
      <c r="CE61" s="1482">
        <f t="shared" ca="1" si="164"/>
        <v>0</v>
      </c>
      <c r="CF61" s="1482">
        <f t="shared" ca="1" si="164"/>
        <v>0</v>
      </c>
      <c r="CG61" s="1482">
        <f t="shared" ca="1" si="164"/>
        <v>0</v>
      </c>
      <c r="CH61" s="1482">
        <f t="shared" ca="1" si="164"/>
        <v>0</v>
      </c>
      <c r="CI61" s="1482">
        <f t="shared" ca="1" si="165"/>
        <v>0</v>
      </c>
      <c r="CJ61" s="1482">
        <f t="shared" ca="1" si="165"/>
        <v>0</v>
      </c>
      <c r="CK61" s="1482">
        <f t="shared" ca="1" si="165"/>
        <v>0</v>
      </c>
      <c r="CL61" s="1482">
        <f t="shared" ca="1" si="165"/>
        <v>0</v>
      </c>
      <c r="CM61" s="1482">
        <f t="shared" ca="1" si="165"/>
        <v>0</v>
      </c>
      <c r="CN61" s="1482">
        <f t="shared" ca="1" si="165"/>
        <v>0</v>
      </c>
      <c r="CO61" s="1482">
        <f t="shared" ca="1" si="165"/>
        <v>0</v>
      </c>
      <c r="CP61" s="1482">
        <f t="shared" ca="1" si="165"/>
        <v>0</v>
      </c>
      <c r="CQ61" s="1482">
        <f t="shared" ca="1" si="165"/>
        <v>0</v>
      </c>
      <c r="CR61" s="1482">
        <f t="shared" ca="1" si="165"/>
        <v>0</v>
      </c>
      <c r="CS61" s="1482">
        <f t="shared" ca="1" si="166"/>
        <v>0</v>
      </c>
      <c r="CT61" s="1482">
        <f t="shared" ca="1" si="166"/>
        <v>0</v>
      </c>
      <c r="CU61" s="1482">
        <f t="shared" ca="1" si="166"/>
        <v>0</v>
      </c>
      <c r="CV61" s="1482">
        <f t="shared" ca="1" si="166"/>
        <v>0</v>
      </c>
      <c r="CW61" s="1482">
        <f t="shared" ca="1" si="166"/>
        <v>0</v>
      </c>
      <c r="CX61" s="1482">
        <f t="shared" ca="1" si="166"/>
        <v>0</v>
      </c>
      <c r="CY61" s="1482">
        <f t="shared" ca="1" si="166"/>
        <v>0</v>
      </c>
      <c r="CZ61" s="1482">
        <f t="shared" ca="1" si="166"/>
        <v>0</v>
      </c>
      <c r="DA61" s="1482">
        <f t="shared" ca="1" si="166"/>
        <v>0</v>
      </c>
      <c r="DB61" s="1482">
        <f t="shared" ca="1" si="166"/>
        <v>0</v>
      </c>
      <c r="DC61" s="1482">
        <f t="shared" ca="1" si="166"/>
        <v>0</v>
      </c>
      <c r="DD61" s="1482">
        <f t="shared" ca="1" si="166"/>
        <v>0</v>
      </c>
      <c r="DE61" s="1482">
        <f t="shared" ca="1" si="166"/>
        <v>0</v>
      </c>
      <c r="DF61" s="1482">
        <f t="shared" ca="1" si="166"/>
        <v>0</v>
      </c>
      <c r="DH61" s="838">
        <f t="shared" ca="1" si="124"/>
        <v>0</v>
      </c>
    </row>
    <row r="62" spans="1:112" s="743" customFormat="1" ht="12.75" hidden="1" customHeight="1" outlineLevel="1">
      <c r="A62" s="1484"/>
      <c r="B62" s="1484"/>
      <c r="C62" s="746" t="s">
        <v>810</v>
      </c>
      <c r="D62" s="1010" t="str">
        <f>INDEX(Modules[Module], MATCH($C62, Modules[Code], 0))</f>
        <v>Tidal [UNUSED - See III.c]</v>
      </c>
      <c r="E62" s="1010"/>
      <c r="G62" s="1022">
        <f t="shared" ca="1" si="154"/>
        <v>0</v>
      </c>
      <c r="H62" s="1022">
        <f t="shared" ca="1" si="154"/>
        <v>0</v>
      </c>
      <c r="I62" s="1022">
        <f t="shared" ca="1" si="154"/>
        <v>0</v>
      </c>
      <c r="J62" s="1022">
        <f t="shared" ca="1" si="154"/>
        <v>0</v>
      </c>
      <c r="K62" s="1022">
        <f t="shared" ca="1" si="154"/>
        <v>0</v>
      </c>
      <c r="L62" s="1022">
        <f t="shared" ca="1" si="154"/>
        <v>0</v>
      </c>
      <c r="M62" s="1022">
        <f t="shared" ca="1" si="154"/>
        <v>0</v>
      </c>
      <c r="N62" s="1022">
        <f t="shared" ca="1" si="154"/>
        <v>0</v>
      </c>
      <c r="O62" s="1022">
        <f t="shared" ca="1" si="154"/>
        <v>0</v>
      </c>
      <c r="P62" s="1022">
        <f t="shared" ca="1" si="154"/>
        <v>0</v>
      </c>
      <c r="Q62" s="1020">
        <f t="shared" ca="1" si="155"/>
        <v>0</v>
      </c>
      <c r="S62" s="1031">
        <f t="shared" ca="1" si="156"/>
        <v>0</v>
      </c>
      <c r="T62" s="1031">
        <f t="shared" ca="1" si="156"/>
        <v>0</v>
      </c>
      <c r="U62" s="1031">
        <f t="shared" ca="1" si="156"/>
        <v>0</v>
      </c>
      <c r="V62" s="1031">
        <f t="shared" ca="1" si="156"/>
        <v>0</v>
      </c>
      <c r="W62" s="1031">
        <f t="shared" ca="1" si="156"/>
        <v>0</v>
      </c>
      <c r="X62" s="1031">
        <f t="shared" ca="1" si="157"/>
        <v>0</v>
      </c>
      <c r="Y62" s="1031">
        <f t="shared" ca="1" si="157"/>
        <v>0</v>
      </c>
      <c r="Z62" s="1031">
        <f t="shared" ca="1" si="157"/>
        <v>0</v>
      </c>
      <c r="AA62" s="1031">
        <f t="shared" ca="1" si="156"/>
        <v>0</v>
      </c>
      <c r="AB62" s="1031">
        <f t="shared" ca="1" si="156"/>
        <v>0</v>
      </c>
      <c r="AC62" s="1031">
        <f t="shared" ca="1" si="156"/>
        <v>0</v>
      </c>
      <c r="AD62" s="1031">
        <f t="shared" ca="1" si="156"/>
        <v>0</v>
      </c>
      <c r="AE62" s="1031">
        <f t="shared" ca="1" si="156"/>
        <v>0</v>
      </c>
      <c r="AF62" s="1031">
        <f t="shared" ca="1" si="156"/>
        <v>0</v>
      </c>
      <c r="AG62" s="1031">
        <f t="shared" ca="1" si="156"/>
        <v>0</v>
      </c>
      <c r="AH62" s="1031">
        <f t="shared" ca="1" si="156"/>
        <v>0</v>
      </c>
      <c r="AI62" s="1031">
        <f t="shared" ca="1" si="156"/>
        <v>0</v>
      </c>
      <c r="AJ62" s="1031">
        <f t="shared" ca="1" si="156"/>
        <v>0</v>
      </c>
      <c r="AK62" s="1030">
        <f t="shared" ca="1" si="158"/>
        <v>0</v>
      </c>
      <c r="AM62" s="1042">
        <f t="shared" ca="1" si="159"/>
        <v>0</v>
      </c>
      <c r="AN62" s="1042">
        <f t="shared" ca="1" si="159"/>
        <v>0</v>
      </c>
      <c r="AO62" s="1042">
        <f t="shared" ca="1" si="159"/>
        <v>0</v>
      </c>
      <c r="AP62" s="1042">
        <f t="shared" ca="1" si="159"/>
        <v>0</v>
      </c>
      <c r="AQ62" s="1042">
        <f t="shared" ca="1" si="159"/>
        <v>0</v>
      </c>
      <c r="AR62" s="1042">
        <f t="shared" ca="1" si="159"/>
        <v>0</v>
      </c>
      <c r="AS62" s="1042">
        <f t="shared" ca="1" si="159"/>
        <v>0</v>
      </c>
      <c r="AT62" s="1042">
        <f t="shared" ca="1" si="159"/>
        <v>0</v>
      </c>
      <c r="AU62" s="1042">
        <f t="shared" ca="1" si="159"/>
        <v>0</v>
      </c>
      <c r="AV62" s="1042">
        <f t="shared" ca="1" si="156"/>
        <v>0</v>
      </c>
      <c r="AW62" s="1042">
        <f t="shared" ca="1" si="156"/>
        <v>0</v>
      </c>
      <c r="AX62" s="1042">
        <f t="shared" ca="1" si="156"/>
        <v>0</v>
      </c>
      <c r="AY62" s="1042">
        <f t="shared" ca="1" si="156"/>
        <v>0</v>
      </c>
      <c r="AZ62" s="1042">
        <f t="shared" ca="1" si="156"/>
        <v>0</v>
      </c>
      <c r="BA62" s="1042">
        <f t="shared" ca="1" si="156"/>
        <v>0</v>
      </c>
      <c r="BB62" s="1042">
        <f t="shared" ca="1" si="156"/>
        <v>0</v>
      </c>
      <c r="BC62" s="1042">
        <f t="shared" ca="1" si="156"/>
        <v>0</v>
      </c>
      <c r="BD62" s="1042">
        <f t="shared" ca="1" si="156"/>
        <v>0</v>
      </c>
      <c r="BE62" s="1042">
        <f t="shared" ca="1" si="156"/>
        <v>0</v>
      </c>
      <c r="BF62" s="1012">
        <f t="shared" ca="1" si="160"/>
        <v>0</v>
      </c>
      <c r="BH62" s="1036">
        <f t="shared" ca="1" si="161"/>
        <v>0</v>
      </c>
      <c r="BI62" s="1036">
        <f t="shared" ca="1" si="161"/>
        <v>0</v>
      </c>
      <c r="BJ62" s="1035">
        <f t="shared" ca="1" si="162"/>
        <v>0</v>
      </c>
      <c r="BL62" s="814">
        <f t="shared" ca="1" si="153"/>
        <v>0</v>
      </c>
      <c r="BM62" s="814"/>
      <c r="BN62" s="840"/>
      <c r="BO62" s="1485">
        <f t="shared" ca="1" si="163"/>
        <v>0</v>
      </c>
      <c r="BP62" s="1486">
        <f t="shared" ca="1" si="163"/>
        <v>0</v>
      </c>
      <c r="BQ62" s="1486">
        <f t="shared" ca="1" si="163"/>
        <v>0</v>
      </c>
      <c r="BR62" s="1486">
        <f t="shared" ca="1" si="163"/>
        <v>0</v>
      </c>
      <c r="BS62" s="1486">
        <f t="shared" ca="1" si="163"/>
        <v>0</v>
      </c>
      <c r="BT62" s="1486">
        <f t="shared" ca="1" si="163"/>
        <v>0</v>
      </c>
      <c r="BU62" s="1486">
        <f t="shared" ca="1" si="163"/>
        <v>0</v>
      </c>
      <c r="BV62" s="1486">
        <f t="shared" ca="1" si="163"/>
        <v>0</v>
      </c>
      <c r="BW62" s="1486">
        <f t="shared" ca="1" si="163"/>
        <v>0</v>
      </c>
      <c r="BX62" s="1486">
        <f t="shared" ca="1" si="163"/>
        <v>0</v>
      </c>
      <c r="BY62" s="1486">
        <f t="shared" ca="1" si="164"/>
        <v>0</v>
      </c>
      <c r="BZ62" s="1486">
        <f t="shared" ca="1" si="164"/>
        <v>0</v>
      </c>
      <c r="CA62" s="1486">
        <f t="shared" ca="1" si="164"/>
        <v>0</v>
      </c>
      <c r="CB62" s="1486">
        <f t="shared" ca="1" si="164"/>
        <v>0</v>
      </c>
      <c r="CC62" s="1486">
        <f t="shared" ca="1" si="164"/>
        <v>0</v>
      </c>
      <c r="CD62" s="1486">
        <f t="shared" ca="1" si="164"/>
        <v>0</v>
      </c>
      <c r="CE62" s="1486">
        <f t="shared" ca="1" si="164"/>
        <v>0</v>
      </c>
      <c r="CF62" s="1486">
        <f t="shared" ca="1" si="164"/>
        <v>0</v>
      </c>
      <c r="CG62" s="1486">
        <f t="shared" ca="1" si="164"/>
        <v>0</v>
      </c>
      <c r="CH62" s="1486">
        <f t="shared" ca="1" si="164"/>
        <v>0</v>
      </c>
      <c r="CI62" s="1486">
        <f t="shared" ca="1" si="165"/>
        <v>0</v>
      </c>
      <c r="CJ62" s="1486">
        <f t="shared" ca="1" si="165"/>
        <v>0</v>
      </c>
      <c r="CK62" s="1486">
        <f t="shared" ca="1" si="165"/>
        <v>0</v>
      </c>
      <c r="CL62" s="1486">
        <f t="shared" ca="1" si="165"/>
        <v>0</v>
      </c>
      <c r="CM62" s="1486">
        <f t="shared" ca="1" si="165"/>
        <v>0</v>
      </c>
      <c r="CN62" s="1486">
        <f t="shared" ca="1" si="165"/>
        <v>0</v>
      </c>
      <c r="CO62" s="1486">
        <f t="shared" ca="1" si="165"/>
        <v>0</v>
      </c>
      <c r="CP62" s="1486">
        <f t="shared" ca="1" si="165"/>
        <v>0</v>
      </c>
      <c r="CQ62" s="1486">
        <f t="shared" ca="1" si="165"/>
        <v>0</v>
      </c>
      <c r="CR62" s="1486">
        <f t="shared" ca="1" si="165"/>
        <v>0</v>
      </c>
      <c r="CS62" s="1486">
        <f t="shared" ca="1" si="166"/>
        <v>0</v>
      </c>
      <c r="CT62" s="1486">
        <f t="shared" ca="1" si="166"/>
        <v>0</v>
      </c>
      <c r="CU62" s="1486">
        <f t="shared" ca="1" si="166"/>
        <v>0</v>
      </c>
      <c r="CV62" s="1486">
        <f t="shared" ca="1" si="166"/>
        <v>0</v>
      </c>
      <c r="CW62" s="1486">
        <f t="shared" ca="1" si="166"/>
        <v>0</v>
      </c>
      <c r="CX62" s="1486">
        <f t="shared" ca="1" si="166"/>
        <v>0</v>
      </c>
      <c r="CY62" s="1486">
        <f t="shared" ca="1" si="166"/>
        <v>0</v>
      </c>
      <c r="CZ62" s="1486">
        <f t="shared" ca="1" si="166"/>
        <v>0</v>
      </c>
      <c r="DA62" s="1486">
        <f t="shared" ca="1" si="166"/>
        <v>0</v>
      </c>
      <c r="DB62" s="1486">
        <f t="shared" ca="1" si="166"/>
        <v>0</v>
      </c>
      <c r="DC62" s="1486">
        <f t="shared" ca="1" si="166"/>
        <v>0</v>
      </c>
      <c r="DD62" s="1486">
        <f t="shared" ca="1" si="166"/>
        <v>0</v>
      </c>
      <c r="DE62" s="1486">
        <f t="shared" ca="1" si="166"/>
        <v>0</v>
      </c>
      <c r="DF62" s="1486">
        <f t="shared" ca="1" si="166"/>
        <v>0</v>
      </c>
      <c r="DH62" s="838">
        <f t="shared" ca="1" si="124"/>
        <v>0</v>
      </c>
    </row>
    <row r="63" spans="1:112" s="743" customFormat="1" ht="15.75" collapsed="1">
      <c r="A63" s="22"/>
      <c r="B63" s="753"/>
      <c r="C63" s="744" t="s">
        <v>76</v>
      </c>
      <c r="D63" s="517" t="str">
        <f>INDEX(Workstreams[Workstream], MATCH($C63, Workstreams[Code], 0))</f>
        <v>National renewable power generation</v>
      </c>
      <c r="E63" s="512"/>
      <c r="G63" s="958">
        <f t="shared" ref="G63:P63" ca="1" si="167">SUM(G57:G62)</f>
        <v>0</v>
      </c>
      <c r="H63" s="958">
        <f t="shared" ca="1" si="167"/>
        <v>0</v>
      </c>
      <c r="I63" s="958">
        <f t="shared" ca="1" si="167"/>
        <v>0</v>
      </c>
      <c r="J63" s="958">
        <f t="shared" ca="1" si="167"/>
        <v>0</v>
      </c>
      <c r="K63" s="958">
        <f t="shared" ca="1" si="167"/>
        <v>0</v>
      </c>
      <c r="L63" s="958">
        <f t="shared" ca="1" si="167"/>
        <v>0</v>
      </c>
      <c r="M63" s="958">
        <f t="shared" ca="1" si="167"/>
        <v>0</v>
      </c>
      <c r="N63" s="958">
        <f t="shared" ca="1" si="167"/>
        <v>0</v>
      </c>
      <c r="O63" s="958">
        <f t="shared" ca="1" si="167"/>
        <v>0</v>
      </c>
      <c r="P63" s="958">
        <f t="shared" ca="1" si="167"/>
        <v>0</v>
      </c>
      <c r="Q63" s="1021">
        <f t="shared" ca="1" si="155"/>
        <v>0</v>
      </c>
      <c r="S63" s="970">
        <f t="shared" ref="S63:AJ63" ca="1" si="168">SUM(S57:S62)</f>
        <v>0</v>
      </c>
      <c r="T63" s="970">
        <f t="shared" ca="1" si="168"/>
        <v>5.6133081000000011</v>
      </c>
      <c r="U63" s="970">
        <f t="shared" ca="1" si="168"/>
        <v>0</v>
      </c>
      <c r="V63" s="970">
        <f t="shared" ca="1" si="168"/>
        <v>0</v>
      </c>
      <c r="W63" s="970">
        <f t="shared" ca="1" si="168"/>
        <v>0</v>
      </c>
      <c r="X63" s="970">
        <f t="shared" ca="1" si="168"/>
        <v>0</v>
      </c>
      <c r="Y63" s="970">
        <f t="shared" ca="1" si="168"/>
        <v>0</v>
      </c>
      <c r="Z63" s="970">
        <f t="shared" ca="1" si="168"/>
        <v>0</v>
      </c>
      <c r="AA63" s="970">
        <f t="shared" ca="1" si="168"/>
        <v>0</v>
      </c>
      <c r="AB63" s="970">
        <f t="shared" ca="1" si="168"/>
        <v>0</v>
      </c>
      <c r="AC63" s="970">
        <f t="shared" ca="1" si="168"/>
        <v>0</v>
      </c>
      <c r="AD63" s="970">
        <f t="shared" ca="1" si="168"/>
        <v>0</v>
      </c>
      <c r="AE63" s="970">
        <f ca="1">SUM(AE57:AE62)</f>
        <v>0</v>
      </c>
      <c r="AF63" s="970">
        <f t="shared" ca="1" si="168"/>
        <v>0</v>
      </c>
      <c r="AG63" s="970">
        <f t="shared" ca="1" si="168"/>
        <v>0</v>
      </c>
      <c r="AH63" s="970">
        <f ca="1">SUM(AH57:AH62)</f>
        <v>0</v>
      </c>
      <c r="AI63" s="970">
        <f t="shared" ca="1" si="168"/>
        <v>0</v>
      </c>
      <c r="AJ63" s="970">
        <f t="shared" ca="1" si="168"/>
        <v>0</v>
      </c>
      <c r="AK63" s="970">
        <f t="shared" ca="1" si="158"/>
        <v>5.6133081000000011</v>
      </c>
      <c r="AM63" s="976">
        <f t="shared" ref="AM63:BE63" ca="1" si="169">SUM(AM57:AM62)</f>
        <v>0</v>
      </c>
      <c r="AN63" s="976">
        <f t="shared" ca="1" si="169"/>
        <v>0</v>
      </c>
      <c r="AO63" s="976">
        <f t="shared" ca="1" si="169"/>
        <v>0</v>
      </c>
      <c r="AP63" s="976">
        <f t="shared" ca="1" si="169"/>
        <v>0</v>
      </c>
      <c r="AQ63" s="976">
        <f t="shared" ca="1" si="169"/>
        <v>0</v>
      </c>
      <c r="AR63" s="976">
        <f t="shared" ca="1" si="169"/>
        <v>0</v>
      </c>
      <c r="AS63" s="976">
        <f t="shared" ca="1" si="169"/>
        <v>0</v>
      </c>
      <c r="AT63" s="976">
        <f t="shared" ca="1" si="169"/>
        <v>0</v>
      </c>
      <c r="AU63" s="976">
        <f t="shared" ca="1" si="169"/>
        <v>0</v>
      </c>
      <c r="AV63" s="976">
        <f t="shared" ca="1" si="169"/>
        <v>0</v>
      </c>
      <c r="AW63" s="976">
        <f t="shared" ca="1" si="169"/>
        <v>0</v>
      </c>
      <c r="AX63" s="976">
        <f t="shared" ca="1" si="169"/>
        <v>-0.28358010000000045</v>
      </c>
      <c r="AY63" s="976">
        <f t="shared" ca="1" si="169"/>
        <v>0</v>
      </c>
      <c r="AZ63" s="976">
        <f t="shared" ca="1" si="169"/>
        <v>0</v>
      </c>
      <c r="BA63" s="976">
        <f t="shared" ca="1" si="169"/>
        <v>0</v>
      </c>
      <c r="BB63" s="976">
        <f t="shared" ca="1" si="169"/>
        <v>-5.3297280000000011</v>
      </c>
      <c r="BC63" s="976">
        <f t="shared" ca="1" si="169"/>
        <v>0</v>
      </c>
      <c r="BD63" s="976">
        <f t="shared" ca="1" si="169"/>
        <v>0</v>
      </c>
      <c r="BE63" s="976">
        <f t="shared" ca="1" si="169"/>
        <v>0</v>
      </c>
      <c r="BF63" s="976">
        <f t="shared" ca="1" si="160"/>
        <v>-5.6133081000000011</v>
      </c>
      <c r="BH63" s="990">
        <f ca="1">SUM(BH57:BH62)</f>
        <v>0</v>
      </c>
      <c r="BI63" s="990">
        <f ca="1">SUM(BI57:BI62)</f>
        <v>0</v>
      </c>
      <c r="BJ63" s="990">
        <f t="shared" ca="1" si="162"/>
        <v>0</v>
      </c>
      <c r="BL63" s="515">
        <f t="shared" ca="1" si="153"/>
        <v>0</v>
      </c>
      <c r="BM63" s="515"/>
      <c r="BN63" s="840"/>
      <c r="BO63" s="1482">
        <f t="shared" ref="BO63:DF63" ca="1" si="170">SUM(BO57:BO62)</f>
        <v>0</v>
      </c>
      <c r="BP63" s="1482">
        <f t="shared" ca="1" si="170"/>
        <v>0</v>
      </c>
      <c r="BQ63" s="1482">
        <f t="shared" ca="1" si="170"/>
        <v>0</v>
      </c>
      <c r="BR63" s="1482">
        <f t="shared" ca="1" si="170"/>
        <v>0</v>
      </c>
      <c r="BS63" s="1482">
        <f t="shared" ca="1" si="170"/>
        <v>0</v>
      </c>
      <c r="BT63" s="1482">
        <f t="shared" ca="1" si="170"/>
        <v>0</v>
      </c>
      <c r="BU63" s="1482">
        <f t="shared" ca="1" si="170"/>
        <v>0</v>
      </c>
      <c r="BV63" s="1482">
        <f t="shared" ca="1" si="170"/>
        <v>0</v>
      </c>
      <c r="BW63" s="1482">
        <f t="shared" ca="1" si="170"/>
        <v>0</v>
      </c>
      <c r="BX63" s="1482">
        <f t="shared" ca="1" si="170"/>
        <v>0</v>
      </c>
      <c r="BY63" s="1482">
        <f t="shared" ca="1" si="170"/>
        <v>0</v>
      </c>
      <c r="BZ63" s="1482">
        <f t="shared" ca="1" si="170"/>
        <v>0</v>
      </c>
      <c r="CA63" s="1482">
        <f t="shared" ca="1" si="170"/>
        <v>0</v>
      </c>
      <c r="CB63" s="1482">
        <f t="shared" ca="1" si="170"/>
        <v>0</v>
      </c>
      <c r="CC63" s="1482">
        <f t="shared" ca="1" si="170"/>
        <v>0</v>
      </c>
      <c r="CD63" s="1482">
        <f t="shared" ca="1" si="170"/>
        <v>0</v>
      </c>
      <c r="CE63" s="1482">
        <f t="shared" ca="1" si="170"/>
        <v>0</v>
      </c>
      <c r="CF63" s="1482">
        <f t="shared" ca="1" si="170"/>
        <v>0</v>
      </c>
      <c r="CG63" s="1482">
        <f t="shared" ca="1" si="170"/>
        <v>0</v>
      </c>
      <c r="CH63" s="1482">
        <f t="shared" ca="1" si="170"/>
        <v>0</v>
      </c>
      <c r="CI63" s="1482">
        <f t="shared" ca="1" si="170"/>
        <v>0</v>
      </c>
      <c r="CJ63" s="1482">
        <f t="shared" ca="1" si="170"/>
        <v>0</v>
      </c>
      <c r="CK63" s="1482">
        <f t="shared" ca="1" si="170"/>
        <v>0</v>
      </c>
      <c r="CL63" s="1482">
        <f t="shared" ca="1" si="170"/>
        <v>0</v>
      </c>
      <c r="CM63" s="1482">
        <f t="shared" ca="1" si="170"/>
        <v>0</v>
      </c>
      <c r="CN63" s="1482">
        <f t="shared" ca="1" si="170"/>
        <v>0</v>
      </c>
      <c r="CO63" s="1482">
        <f t="shared" ca="1" si="170"/>
        <v>0</v>
      </c>
      <c r="CP63" s="1482">
        <f t="shared" ca="1" si="170"/>
        <v>0</v>
      </c>
      <c r="CQ63" s="1482">
        <f t="shared" ca="1" si="170"/>
        <v>0</v>
      </c>
      <c r="CR63" s="1482">
        <f t="shared" ca="1" si="170"/>
        <v>0</v>
      </c>
      <c r="CS63" s="1482">
        <f t="shared" ca="1" si="170"/>
        <v>0</v>
      </c>
      <c r="CT63" s="1482">
        <f t="shared" ca="1" si="170"/>
        <v>0</v>
      </c>
      <c r="CU63" s="1482">
        <f t="shared" ca="1" si="170"/>
        <v>0</v>
      </c>
      <c r="CV63" s="1482">
        <f t="shared" ca="1" si="170"/>
        <v>0</v>
      </c>
      <c r="CW63" s="1482">
        <f t="shared" ca="1" si="170"/>
        <v>0</v>
      </c>
      <c r="CX63" s="1482">
        <f t="shared" ca="1" si="170"/>
        <v>0</v>
      </c>
      <c r="CY63" s="1482">
        <f t="shared" ca="1" si="170"/>
        <v>0</v>
      </c>
      <c r="CZ63" s="1482">
        <f t="shared" ca="1" si="170"/>
        <v>0</v>
      </c>
      <c r="DA63" s="1482">
        <f t="shared" ca="1" si="170"/>
        <v>0</v>
      </c>
      <c r="DB63" s="1482">
        <f t="shared" ca="1" si="170"/>
        <v>0</v>
      </c>
      <c r="DC63" s="1482">
        <f t="shared" ca="1" si="170"/>
        <v>0</v>
      </c>
      <c r="DD63" s="1482">
        <f t="shared" ca="1" si="170"/>
        <v>0</v>
      </c>
      <c r="DE63" s="1482">
        <f t="shared" ca="1" si="170"/>
        <v>0</v>
      </c>
      <c r="DF63" s="1482">
        <f t="shared" ca="1" si="170"/>
        <v>0</v>
      </c>
      <c r="DH63" s="838">
        <f t="shared" ca="1" si="124"/>
        <v>0</v>
      </c>
    </row>
    <row r="64" spans="1:112" s="743" customFormat="1" ht="12.75" hidden="1" customHeight="1" outlineLevel="1">
      <c r="A64" s="22"/>
      <c r="B64" s="22"/>
      <c r="C64" s="751"/>
      <c r="D64" s="512"/>
      <c r="E64" s="512"/>
      <c r="G64" s="958"/>
      <c r="H64" s="958"/>
      <c r="I64" s="958"/>
      <c r="J64" s="958"/>
      <c r="K64" s="960"/>
      <c r="L64" s="958"/>
      <c r="M64" s="958"/>
      <c r="N64" s="958"/>
      <c r="O64" s="958"/>
      <c r="P64" s="958"/>
      <c r="Q64" s="958"/>
      <c r="S64" s="970"/>
      <c r="T64" s="970"/>
      <c r="U64" s="970"/>
      <c r="V64" s="970"/>
      <c r="W64" s="970"/>
      <c r="X64" s="970"/>
      <c r="Y64" s="970"/>
      <c r="Z64" s="970"/>
      <c r="AA64" s="970"/>
      <c r="AB64" s="970"/>
      <c r="AC64" s="970"/>
      <c r="AD64" s="970"/>
      <c r="AE64" s="970"/>
      <c r="AF64" s="970"/>
      <c r="AG64" s="970"/>
      <c r="AH64" s="970"/>
      <c r="AI64" s="970"/>
      <c r="AJ64" s="970"/>
      <c r="AK64" s="970"/>
      <c r="AM64" s="976"/>
      <c r="AN64" s="976"/>
      <c r="AO64" s="976"/>
      <c r="AP64" s="976"/>
      <c r="AQ64" s="976"/>
      <c r="AR64" s="976"/>
      <c r="AS64" s="976"/>
      <c r="AT64" s="976"/>
      <c r="AU64" s="976"/>
      <c r="AV64" s="976"/>
      <c r="AW64" s="976"/>
      <c r="AX64" s="976"/>
      <c r="AY64" s="976"/>
      <c r="AZ64" s="976"/>
      <c r="BA64" s="976"/>
      <c r="BB64" s="976"/>
      <c r="BC64" s="976"/>
      <c r="BD64" s="976"/>
      <c r="BE64" s="976"/>
      <c r="BF64" s="976"/>
      <c r="BH64" s="990"/>
      <c r="BI64" s="990"/>
      <c r="BJ64" s="990"/>
      <c r="BL64" s="515"/>
      <c r="BM64" s="515"/>
      <c r="BN64" s="22"/>
      <c r="BO64" s="1482"/>
      <c r="BP64" s="1482"/>
      <c r="BQ64" s="1482"/>
      <c r="BR64" s="1482"/>
      <c r="BS64" s="1482"/>
      <c r="BT64" s="1482"/>
      <c r="BU64" s="1482"/>
      <c r="BV64" s="1482"/>
      <c r="BW64" s="1482"/>
      <c r="BX64" s="1482"/>
      <c r="BY64" s="1482"/>
      <c r="BZ64" s="1482"/>
      <c r="CA64" s="1482"/>
      <c r="CB64" s="1482"/>
      <c r="CC64" s="1482"/>
      <c r="CD64" s="1482"/>
      <c r="CE64" s="1482"/>
      <c r="CF64" s="1482"/>
      <c r="CG64" s="1482"/>
      <c r="CH64" s="1482"/>
      <c r="CI64" s="1482"/>
      <c r="CJ64" s="1482"/>
      <c r="CK64" s="1482"/>
      <c r="CL64" s="1482"/>
      <c r="CM64" s="1482"/>
      <c r="CN64" s="1482"/>
      <c r="CO64" s="1482"/>
      <c r="CP64" s="1482"/>
      <c r="CQ64" s="1482"/>
      <c r="CR64" s="1482"/>
      <c r="CS64" s="1482"/>
      <c r="CT64" s="1482"/>
      <c r="CU64" s="1482"/>
      <c r="CV64" s="1482"/>
      <c r="CW64" s="1482"/>
      <c r="CX64" s="1482"/>
      <c r="CY64" s="1482"/>
      <c r="CZ64" s="1482"/>
      <c r="DA64" s="1482"/>
      <c r="DB64" s="1482"/>
      <c r="DC64" s="1482"/>
      <c r="DD64" s="1482"/>
      <c r="DE64" s="1482"/>
      <c r="DF64" s="1482"/>
      <c r="DH64" s="838">
        <f t="shared" si="124"/>
        <v>0</v>
      </c>
    </row>
    <row r="65" spans="1:112" s="1484" customFormat="1" ht="12.75" hidden="1" customHeight="1" outlineLevel="1">
      <c r="C65" s="746" t="s">
        <v>976</v>
      </c>
      <c r="D65" s="521" t="str">
        <f>INDEX(Modules[Module], MATCH($C65, Modules[Code], 0))</f>
        <v>Distributed solar PV</v>
      </c>
      <c r="E65" s="521"/>
      <c r="G65" s="1604">
        <f t="shared" ref="G65:P67" ca="1" si="171">IFERROR(INDEX(INDIRECT($C65&amp;".Outputs["&amp;this.Year&amp;"]"), MATCH(G$5, INDIRECT($C65&amp;".Outputs[Vector]"), 0)), 0)</f>
        <v>0</v>
      </c>
      <c r="H65" s="1604">
        <f t="shared" ca="1" si="171"/>
        <v>0</v>
      </c>
      <c r="I65" s="1604">
        <f t="shared" ca="1" si="171"/>
        <v>0</v>
      </c>
      <c r="J65" s="1604">
        <f t="shared" ca="1" si="171"/>
        <v>0</v>
      </c>
      <c r="K65" s="1605">
        <f t="shared" ca="1" si="171"/>
        <v>0</v>
      </c>
      <c r="L65" s="1604">
        <f t="shared" ca="1" si="171"/>
        <v>0</v>
      </c>
      <c r="M65" s="1604">
        <f t="shared" ca="1" si="171"/>
        <v>0</v>
      </c>
      <c r="N65" s="1604">
        <f t="shared" ca="1" si="171"/>
        <v>0</v>
      </c>
      <c r="O65" s="1604">
        <f t="shared" ca="1" si="171"/>
        <v>0</v>
      </c>
      <c r="P65" s="1604">
        <f t="shared" ca="1" si="171"/>
        <v>0</v>
      </c>
      <c r="Q65" s="963">
        <f ca="1">SUM(G65:P65)</f>
        <v>0</v>
      </c>
      <c r="S65" s="1606">
        <f t="shared" ref="S65:BE67" ca="1" si="172">IFERROR(INDEX(INDIRECT($C65&amp;".Outputs["&amp;this.Year&amp;"]"), MATCH(S$5, INDIRECT($C65&amp;".Outputs[Vector]"), 0)), 0)</f>
        <v>0</v>
      </c>
      <c r="T65" s="1606">
        <f t="shared" ca="1" si="172"/>
        <v>0</v>
      </c>
      <c r="U65" s="1606">
        <f t="shared" ca="1" si="172"/>
        <v>0</v>
      </c>
      <c r="V65" s="1606">
        <f t="shared" ca="1" si="172"/>
        <v>0</v>
      </c>
      <c r="W65" s="1606">
        <f t="shared" ca="1" si="172"/>
        <v>0</v>
      </c>
      <c r="X65" s="1606">
        <f t="shared" ref="X65:Z67" ca="1" si="173">IFERROR(INDEX(INDIRECT($C65&amp;".Outputs["&amp;this.Year&amp;"]"), MATCH(X$5, INDIRECT($C65&amp;".Outputs[Vector]"), 0)), 0)</f>
        <v>0</v>
      </c>
      <c r="Y65" s="1606">
        <f t="shared" ca="1" si="173"/>
        <v>0</v>
      </c>
      <c r="Z65" s="1606">
        <f t="shared" ca="1" si="173"/>
        <v>0</v>
      </c>
      <c r="AA65" s="1606">
        <f t="shared" ca="1" si="172"/>
        <v>0</v>
      </c>
      <c r="AB65" s="1606">
        <f t="shared" ca="1" si="172"/>
        <v>0</v>
      </c>
      <c r="AC65" s="1606">
        <f t="shared" ca="1" si="172"/>
        <v>0</v>
      </c>
      <c r="AD65" s="1606">
        <f t="shared" ca="1" si="172"/>
        <v>0</v>
      </c>
      <c r="AE65" s="1606">
        <f t="shared" ca="1" si="172"/>
        <v>0</v>
      </c>
      <c r="AF65" s="1606">
        <f t="shared" ca="1" si="172"/>
        <v>0</v>
      </c>
      <c r="AG65" s="1606">
        <f t="shared" ca="1" si="172"/>
        <v>0</v>
      </c>
      <c r="AH65" s="1606">
        <f t="shared" ca="1" si="172"/>
        <v>0</v>
      </c>
      <c r="AI65" s="1606">
        <f t="shared" ca="1" si="172"/>
        <v>0</v>
      </c>
      <c r="AJ65" s="1606">
        <f t="shared" ca="1" si="172"/>
        <v>0</v>
      </c>
      <c r="AK65" s="972">
        <f ca="1">SUM(S65:AJ65)</f>
        <v>0</v>
      </c>
      <c r="AM65" s="1607">
        <f t="shared" ref="AM65:AU67" ca="1" si="174">IFERROR(INDEX(INDIRECT($C65&amp;".Outputs["&amp;this.Year&amp;"]"), MATCH(AM$5, INDIRECT($C65&amp;".Outputs[Vector]"), 0)), 0)</f>
        <v>0</v>
      </c>
      <c r="AN65" s="1607">
        <f t="shared" ca="1" si="174"/>
        <v>0</v>
      </c>
      <c r="AO65" s="1607">
        <f t="shared" ca="1" si="174"/>
        <v>0</v>
      </c>
      <c r="AP65" s="1607">
        <f t="shared" ca="1" si="174"/>
        <v>0</v>
      </c>
      <c r="AQ65" s="1607">
        <f t="shared" ca="1" si="174"/>
        <v>0</v>
      </c>
      <c r="AR65" s="1607">
        <f t="shared" ca="1" si="174"/>
        <v>0</v>
      </c>
      <c r="AS65" s="1607">
        <f t="shared" ca="1" si="174"/>
        <v>0</v>
      </c>
      <c r="AT65" s="1607">
        <f t="shared" ca="1" si="174"/>
        <v>0</v>
      </c>
      <c r="AU65" s="1607">
        <f t="shared" ca="1" si="174"/>
        <v>0</v>
      </c>
      <c r="AV65" s="1607">
        <f t="shared" ca="1" si="172"/>
        <v>0</v>
      </c>
      <c r="AW65" s="1607">
        <f t="shared" ca="1" si="172"/>
        <v>0</v>
      </c>
      <c r="AX65" s="1607">
        <f t="shared" ca="1" si="172"/>
        <v>0</v>
      </c>
      <c r="AY65" s="1607">
        <f t="shared" ca="1" si="172"/>
        <v>0</v>
      </c>
      <c r="AZ65" s="1607">
        <f t="shared" ca="1" si="172"/>
        <v>0</v>
      </c>
      <c r="BA65" s="1607">
        <f t="shared" ca="1" si="172"/>
        <v>0</v>
      </c>
      <c r="BB65" s="1607">
        <f t="shared" ca="1" si="172"/>
        <v>0</v>
      </c>
      <c r="BC65" s="1607">
        <f t="shared" ca="1" si="172"/>
        <v>0</v>
      </c>
      <c r="BD65" s="1607">
        <f t="shared" ca="1" si="172"/>
        <v>0</v>
      </c>
      <c r="BE65" s="1607">
        <f t="shared" ca="1" si="172"/>
        <v>0</v>
      </c>
      <c r="BF65" s="979">
        <f ca="1">SUM(AM65:BE65)</f>
        <v>0</v>
      </c>
      <c r="BH65" s="1608">
        <f t="shared" ref="BH65:BI67" ca="1" si="175">IFERROR(INDEX(INDIRECT($C65&amp;".Outputs["&amp;this.Year&amp;"]"), MATCH(BH$5, INDIRECT($C65&amp;".Outputs[Vector]"), 0)), 0)</f>
        <v>0</v>
      </c>
      <c r="BI65" s="1608">
        <f t="shared" ca="1" si="175"/>
        <v>0</v>
      </c>
      <c r="BJ65" s="992">
        <f ca="1">SUM(BH65:BI65)</f>
        <v>0</v>
      </c>
      <c r="BL65" s="814">
        <f t="shared" ref="BL65:BL70" ca="1" si="176">Q65+AK65+BF65+BJ65</f>
        <v>0</v>
      </c>
      <c r="BM65" s="814"/>
      <c r="BO65" s="1602">
        <f t="shared" ref="BO65:DF67" ca="1" si="177">IFERROR(SUMIFS(INDIRECT($C65&amp;".Emissions["&amp;this.Year&amp;"]"), INDIRECT($C65&amp;".Emissions[GHG]"), BO$6, INDIRECT($C65&amp;".Emissions[IPCC Sector]"), BO$5),0)</f>
        <v>0</v>
      </c>
      <c r="BP65" s="1602">
        <f t="shared" ca="1" si="177"/>
        <v>0</v>
      </c>
      <c r="BQ65" s="1602">
        <f t="shared" ca="1" si="177"/>
        <v>0</v>
      </c>
      <c r="BR65" s="1602">
        <f t="shared" ca="1" si="177"/>
        <v>0</v>
      </c>
      <c r="BS65" s="1602">
        <f t="shared" ca="1" si="177"/>
        <v>0</v>
      </c>
      <c r="BT65" s="1602">
        <f t="shared" ca="1" si="177"/>
        <v>0</v>
      </c>
      <c r="BU65" s="1602">
        <f t="shared" ca="1" si="177"/>
        <v>0</v>
      </c>
      <c r="BV65" s="1602">
        <f t="shared" ca="1" si="177"/>
        <v>0</v>
      </c>
      <c r="BW65" s="1602">
        <f t="shared" ca="1" si="177"/>
        <v>0</v>
      </c>
      <c r="BX65" s="1602">
        <f t="shared" ca="1" si="177"/>
        <v>0</v>
      </c>
      <c r="BY65" s="1602">
        <f t="shared" ca="1" si="177"/>
        <v>0</v>
      </c>
      <c r="BZ65" s="1602">
        <f t="shared" ca="1" si="177"/>
        <v>0</v>
      </c>
      <c r="CA65" s="1602">
        <f t="shared" ca="1" si="177"/>
        <v>0</v>
      </c>
      <c r="CB65" s="1602">
        <f t="shared" ca="1" si="177"/>
        <v>0</v>
      </c>
      <c r="CC65" s="1602">
        <f t="shared" ca="1" si="177"/>
        <v>0</v>
      </c>
      <c r="CD65" s="1602">
        <f t="shared" ca="1" si="177"/>
        <v>0</v>
      </c>
      <c r="CE65" s="1602">
        <f t="shared" ca="1" si="177"/>
        <v>0</v>
      </c>
      <c r="CF65" s="1602">
        <f t="shared" ca="1" si="177"/>
        <v>0</v>
      </c>
      <c r="CG65" s="1602">
        <f t="shared" ca="1" si="177"/>
        <v>0</v>
      </c>
      <c r="CH65" s="1602">
        <f t="shared" ca="1" si="177"/>
        <v>0</v>
      </c>
      <c r="CI65" s="1602">
        <f t="shared" ca="1" si="177"/>
        <v>0</v>
      </c>
      <c r="CJ65" s="1602">
        <f t="shared" ca="1" si="177"/>
        <v>0</v>
      </c>
      <c r="CK65" s="1602">
        <f t="shared" ca="1" si="177"/>
        <v>0</v>
      </c>
      <c r="CL65" s="1602">
        <f t="shared" ca="1" si="177"/>
        <v>0</v>
      </c>
      <c r="CM65" s="1602">
        <f t="shared" ca="1" si="177"/>
        <v>0</v>
      </c>
      <c r="CN65" s="1602">
        <f t="shared" ca="1" si="177"/>
        <v>0</v>
      </c>
      <c r="CO65" s="1602">
        <f t="shared" ca="1" si="177"/>
        <v>0</v>
      </c>
      <c r="CP65" s="1602">
        <f t="shared" ca="1" si="177"/>
        <v>0</v>
      </c>
      <c r="CQ65" s="1602">
        <f t="shared" ca="1" si="177"/>
        <v>0</v>
      </c>
      <c r="CR65" s="1602">
        <f t="shared" ca="1" si="177"/>
        <v>0</v>
      </c>
      <c r="CS65" s="1602">
        <f t="shared" ca="1" si="177"/>
        <v>0</v>
      </c>
      <c r="CT65" s="1602">
        <f t="shared" ca="1" si="177"/>
        <v>0</v>
      </c>
      <c r="CU65" s="1602">
        <f t="shared" ca="1" si="177"/>
        <v>0</v>
      </c>
      <c r="CV65" s="1602">
        <f t="shared" ca="1" si="177"/>
        <v>0</v>
      </c>
      <c r="CW65" s="1602">
        <f t="shared" ca="1" si="177"/>
        <v>0</v>
      </c>
      <c r="CX65" s="1602">
        <f t="shared" ca="1" si="177"/>
        <v>0</v>
      </c>
      <c r="CY65" s="1602">
        <f t="shared" ca="1" si="177"/>
        <v>0</v>
      </c>
      <c r="CZ65" s="1602">
        <f t="shared" ca="1" si="177"/>
        <v>0</v>
      </c>
      <c r="DA65" s="1602">
        <f t="shared" ca="1" si="177"/>
        <v>0</v>
      </c>
      <c r="DB65" s="1602">
        <f t="shared" ca="1" si="177"/>
        <v>0</v>
      </c>
      <c r="DC65" s="1602">
        <f t="shared" ca="1" si="177"/>
        <v>0</v>
      </c>
      <c r="DD65" s="1602">
        <f t="shared" ca="1" si="177"/>
        <v>0</v>
      </c>
      <c r="DE65" s="1602">
        <f t="shared" ca="1" si="177"/>
        <v>0</v>
      </c>
      <c r="DF65" s="1602">
        <f t="shared" ca="1" si="177"/>
        <v>0</v>
      </c>
      <c r="DH65" s="1603">
        <f t="shared" ca="1" si="124"/>
        <v>0</v>
      </c>
    </row>
    <row r="66" spans="1:112" s="1484" customFormat="1" ht="12.75" hidden="1" customHeight="1" outlineLevel="1">
      <c r="C66" s="746" t="s">
        <v>1329</v>
      </c>
      <c r="D66" s="521" t="str">
        <f>INDEX(Modules[Module], MATCH($C66, Modules[Code], 0))</f>
        <v>Distributed solar thermal</v>
      </c>
      <c r="E66" s="521"/>
      <c r="G66" s="1604">
        <f t="shared" ca="1" si="171"/>
        <v>0</v>
      </c>
      <c r="H66" s="1604">
        <f t="shared" ca="1" si="171"/>
        <v>0</v>
      </c>
      <c r="I66" s="1604">
        <f t="shared" ca="1" si="171"/>
        <v>0</v>
      </c>
      <c r="J66" s="1604">
        <f t="shared" ca="1" si="171"/>
        <v>0</v>
      </c>
      <c r="K66" s="1605">
        <f t="shared" ca="1" si="171"/>
        <v>0</v>
      </c>
      <c r="L66" s="1604">
        <f t="shared" ca="1" si="171"/>
        <v>0</v>
      </c>
      <c r="M66" s="1604">
        <f t="shared" ca="1" si="171"/>
        <v>0</v>
      </c>
      <c r="N66" s="1604">
        <f t="shared" ca="1" si="171"/>
        <v>0</v>
      </c>
      <c r="O66" s="1604">
        <f t="shared" ca="1" si="171"/>
        <v>0</v>
      </c>
      <c r="P66" s="1604">
        <f t="shared" ca="1" si="171"/>
        <v>0</v>
      </c>
      <c r="Q66" s="963">
        <f ca="1">SUM(G66:P66)</f>
        <v>0</v>
      </c>
      <c r="S66" s="1606">
        <f t="shared" ca="1" si="172"/>
        <v>0</v>
      </c>
      <c r="T66" s="1606">
        <f t="shared" ca="1" si="172"/>
        <v>0</v>
      </c>
      <c r="U66" s="1606">
        <f t="shared" ca="1" si="172"/>
        <v>0</v>
      </c>
      <c r="V66" s="1606">
        <f t="shared" ca="1" si="172"/>
        <v>0</v>
      </c>
      <c r="W66" s="1606">
        <f t="shared" ca="1" si="172"/>
        <v>0</v>
      </c>
      <c r="X66" s="1606">
        <f t="shared" ca="1" si="173"/>
        <v>0</v>
      </c>
      <c r="Y66" s="1606">
        <f t="shared" ca="1" si="173"/>
        <v>0</v>
      </c>
      <c r="Z66" s="1606">
        <f t="shared" ca="1" si="173"/>
        <v>0</v>
      </c>
      <c r="AA66" s="1606">
        <f t="shared" ca="1" si="172"/>
        <v>0</v>
      </c>
      <c r="AB66" s="1606">
        <f t="shared" ca="1" si="172"/>
        <v>0</v>
      </c>
      <c r="AC66" s="1606">
        <f t="shared" ca="1" si="172"/>
        <v>0</v>
      </c>
      <c r="AD66" s="1606">
        <f t="shared" ca="1" si="172"/>
        <v>0</v>
      </c>
      <c r="AE66" s="1606">
        <f t="shared" ca="1" si="172"/>
        <v>0</v>
      </c>
      <c r="AF66" s="1606">
        <f t="shared" ca="1" si="172"/>
        <v>0</v>
      </c>
      <c r="AG66" s="1606">
        <f t="shared" ca="1" si="172"/>
        <v>0</v>
      </c>
      <c r="AH66" s="1606">
        <f t="shared" ca="1" si="172"/>
        <v>0</v>
      </c>
      <c r="AI66" s="1606">
        <f t="shared" ca="1" si="172"/>
        <v>0</v>
      </c>
      <c r="AJ66" s="1606">
        <f t="shared" ca="1" si="172"/>
        <v>0</v>
      </c>
      <c r="AK66" s="972">
        <f ca="1">SUM(S66:AJ66)</f>
        <v>0</v>
      </c>
      <c r="AM66" s="1607">
        <f t="shared" ca="1" si="174"/>
        <v>0</v>
      </c>
      <c r="AN66" s="1607">
        <f t="shared" ca="1" si="174"/>
        <v>0</v>
      </c>
      <c r="AO66" s="1607">
        <f t="shared" ca="1" si="174"/>
        <v>0</v>
      </c>
      <c r="AP66" s="1607">
        <f t="shared" ca="1" si="174"/>
        <v>0</v>
      </c>
      <c r="AQ66" s="1607">
        <f t="shared" ca="1" si="174"/>
        <v>0</v>
      </c>
      <c r="AR66" s="1607">
        <f t="shared" ca="1" si="174"/>
        <v>0</v>
      </c>
      <c r="AS66" s="1607">
        <f t="shared" ca="1" si="174"/>
        <v>0</v>
      </c>
      <c r="AT66" s="1607">
        <f t="shared" ca="1" si="174"/>
        <v>0</v>
      </c>
      <c r="AU66" s="1607">
        <f t="shared" ca="1" si="174"/>
        <v>0</v>
      </c>
      <c r="AV66" s="1607">
        <f t="shared" ca="1" si="172"/>
        <v>0</v>
      </c>
      <c r="AW66" s="1607">
        <f t="shared" ca="1" si="172"/>
        <v>0</v>
      </c>
      <c r="AX66" s="1607">
        <f t="shared" ca="1" si="172"/>
        <v>0</v>
      </c>
      <c r="AY66" s="1607">
        <f t="shared" ca="1" si="172"/>
        <v>0</v>
      </c>
      <c r="AZ66" s="1607">
        <f t="shared" ca="1" si="172"/>
        <v>0</v>
      </c>
      <c r="BA66" s="1607">
        <f t="shared" ca="1" si="172"/>
        <v>0</v>
      </c>
      <c r="BB66" s="1607">
        <f t="shared" ca="1" si="172"/>
        <v>0</v>
      </c>
      <c r="BC66" s="1607">
        <f t="shared" ca="1" si="172"/>
        <v>0</v>
      </c>
      <c r="BD66" s="1607">
        <f t="shared" ca="1" si="172"/>
        <v>0</v>
      </c>
      <c r="BE66" s="1607">
        <f t="shared" ca="1" si="172"/>
        <v>0</v>
      </c>
      <c r="BF66" s="979">
        <f ca="1">SUM(AM66:BE66)</f>
        <v>0</v>
      </c>
      <c r="BH66" s="1608">
        <f t="shared" ca="1" si="175"/>
        <v>0</v>
      </c>
      <c r="BI66" s="1608">
        <f t="shared" ca="1" si="175"/>
        <v>0</v>
      </c>
      <c r="BJ66" s="992">
        <f ca="1">SUM(BH66:BI66)</f>
        <v>0</v>
      </c>
      <c r="BL66" s="814">
        <f t="shared" ca="1" si="176"/>
        <v>0</v>
      </c>
      <c r="BM66" s="814"/>
      <c r="BO66" s="1602">
        <f t="shared" ca="1" si="177"/>
        <v>0</v>
      </c>
      <c r="BP66" s="1602">
        <f t="shared" ca="1" si="177"/>
        <v>0</v>
      </c>
      <c r="BQ66" s="1602">
        <f t="shared" ca="1" si="177"/>
        <v>0</v>
      </c>
      <c r="BR66" s="1602">
        <f t="shared" ca="1" si="177"/>
        <v>0</v>
      </c>
      <c r="BS66" s="1602">
        <f t="shared" ca="1" si="177"/>
        <v>0</v>
      </c>
      <c r="BT66" s="1602">
        <f t="shared" ca="1" si="177"/>
        <v>0</v>
      </c>
      <c r="BU66" s="1602">
        <f t="shared" ca="1" si="177"/>
        <v>0</v>
      </c>
      <c r="BV66" s="1602">
        <f t="shared" ca="1" si="177"/>
        <v>0</v>
      </c>
      <c r="BW66" s="1602">
        <f t="shared" ca="1" si="177"/>
        <v>0</v>
      </c>
      <c r="BX66" s="1602">
        <f t="shared" ca="1" si="177"/>
        <v>0</v>
      </c>
      <c r="BY66" s="1602">
        <f t="shared" ca="1" si="177"/>
        <v>0</v>
      </c>
      <c r="BZ66" s="1602">
        <f t="shared" ca="1" si="177"/>
        <v>0</v>
      </c>
      <c r="CA66" s="1602">
        <f t="shared" ca="1" si="177"/>
        <v>0</v>
      </c>
      <c r="CB66" s="1602">
        <f t="shared" ca="1" si="177"/>
        <v>0</v>
      </c>
      <c r="CC66" s="1602">
        <f t="shared" ca="1" si="177"/>
        <v>0</v>
      </c>
      <c r="CD66" s="1602">
        <f t="shared" ca="1" si="177"/>
        <v>0</v>
      </c>
      <c r="CE66" s="1602">
        <f t="shared" ca="1" si="177"/>
        <v>0</v>
      </c>
      <c r="CF66" s="1602">
        <f t="shared" ca="1" si="177"/>
        <v>0</v>
      </c>
      <c r="CG66" s="1602">
        <f t="shared" ca="1" si="177"/>
        <v>0</v>
      </c>
      <c r="CH66" s="1602">
        <f t="shared" ca="1" si="177"/>
        <v>0</v>
      </c>
      <c r="CI66" s="1602">
        <f t="shared" ca="1" si="177"/>
        <v>0</v>
      </c>
      <c r="CJ66" s="1602">
        <f t="shared" ca="1" si="177"/>
        <v>0</v>
      </c>
      <c r="CK66" s="1602">
        <f t="shared" ca="1" si="177"/>
        <v>0</v>
      </c>
      <c r="CL66" s="1602">
        <f t="shared" ca="1" si="177"/>
        <v>0</v>
      </c>
      <c r="CM66" s="1602">
        <f t="shared" ca="1" si="177"/>
        <v>0</v>
      </c>
      <c r="CN66" s="1602">
        <f t="shared" ca="1" si="177"/>
        <v>0</v>
      </c>
      <c r="CO66" s="1602">
        <f t="shared" ca="1" si="177"/>
        <v>0</v>
      </c>
      <c r="CP66" s="1602">
        <f t="shared" ca="1" si="177"/>
        <v>0</v>
      </c>
      <c r="CQ66" s="1602">
        <f t="shared" ca="1" si="177"/>
        <v>0</v>
      </c>
      <c r="CR66" s="1602">
        <f t="shared" ca="1" si="177"/>
        <v>0</v>
      </c>
      <c r="CS66" s="1602">
        <f t="shared" ca="1" si="177"/>
        <v>0</v>
      </c>
      <c r="CT66" s="1602">
        <f t="shared" ca="1" si="177"/>
        <v>0</v>
      </c>
      <c r="CU66" s="1602">
        <f t="shared" ca="1" si="177"/>
        <v>0</v>
      </c>
      <c r="CV66" s="1602">
        <f t="shared" ca="1" si="177"/>
        <v>0</v>
      </c>
      <c r="CW66" s="1602">
        <f t="shared" ca="1" si="177"/>
        <v>0</v>
      </c>
      <c r="CX66" s="1602">
        <f t="shared" ca="1" si="177"/>
        <v>0</v>
      </c>
      <c r="CY66" s="1602">
        <f t="shared" ca="1" si="177"/>
        <v>0</v>
      </c>
      <c r="CZ66" s="1602">
        <f t="shared" ca="1" si="177"/>
        <v>0</v>
      </c>
      <c r="DA66" s="1602">
        <f t="shared" ca="1" si="177"/>
        <v>0</v>
      </c>
      <c r="DB66" s="1602">
        <f t="shared" ca="1" si="177"/>
        <v>0</v>
      </c>
      <c r="DC66" s="1602">
        <f t="shared" ca="1" si="177"/>
        <v>0</v>
      </c>
      <c r="DD66" s="1602">
        <f t="shared" ca="1" si="177"/>
        <v>0</v>
      </c>
      <c r="DE66" s="1602">
        <f t="shared" ca="1" si="177"/>
        <v>0</v>
      </c>
      <c r="DF66" s="1602">
        <f t="shared" ca="1" si="177"/>
        <v>0</v>
      </c>
      <c r="DH66" s="1603">
        <f t="shared" ca="1" si="124"/>
        <v>0</v>
      </c>
    </row>
    <row r="67" spans="1:112" s="1484" customFormat="1" ht="12.75" hidden="1" customHeight="1" outlineLevel="1">
      <c r="C67" s="746" t="s">
        <v>1597</v>
      </c>
      <c r="D67" s="1010" t="str">
        <f>INDEX(Modules[Module], MATCH($C67, Modules[Code], 0))</f>
        <v>Micro wind</v>
      </c>
      <c r="E67" s="1010"/>
      <c r="F67" s="743"/>
      <c r="G67" s="1022">
        <f t="shared" ca="1" si="171"/>
        <v>0</v>
      </c>
      <c r="H67" s="1022">
        <f t="shared" ca="1" si="171"/>
        <v>0</v>
      </c>
      <c r="I67" s="1022">
        <f t="shared" ca="1" si="171"/>
        <v>0</v>
      </c>
      <c r="J67" s="1022">
        <f t="shared" ca="1" si="171"/>
        <v>0</v>
      </c>
      <c r="K67" s="1022">
        <f t="shared" ca="1" si="171"/>
        <v>0</v>
      </c>
      <c r="L67" s="1022">
        <f t="shared" ca="1" si="171"/>
        <v>0</v>
      </c>
      <c r="M67" s="1022">
        <f t="shared" ca="1" si="171"/>
        <v>0</v>
      </c>
      <c r="N67" s="1022">
        <f t="shared" ca="1" si="171"/>
        <v>0</v>
      </c>
      <c r="O67" s="1022">
        <f t="shared" ca="1" si="171"/>
        <v>0</v>
      </c>
      <c r="P67" s="1022">
        <f t="shared" ca="1" si="171"/>
        <v>0</v>
      </c>
      <c r="Q67" s="1020">
        <f ca="1">SUM(G67:P67)</f>
        <v>0</v>
      </c>
      <c r="R67" s="743"/>
      <c r="S67" s="1031">
        <f t="shared" ca="1" si="172"/>
        <v>0</v>
      </c>
      <c r="T67" s="1031">
        <f t="shared" ca="1" si="172"/>
        <v>0</v>
      </c>
      <c r="U67" s="1031">
        <f t="shared" ca="1" si="172"/>
        <v>0</v>
      </c>
      <c r="V67" s="1031">
        <f t="shared" ca="1" si="172"/>
        <v>0</v>
      </c>
      <c r="W67" s="1031">
        <f t="shared" ca="1" si="172"/>
        <v>0</v>
      </c>
      <c r="X67" s="1031">
        <f t="shared" ca="1" si="173"/>
        <v>0</v>
      </c>
      <c r="Y67" s="1031">
        <f t="shared" ca="1" si="173"/>
        <v>0</v>
      </c>
      <c r="Z67" s="1031">
        <f t="shared" ca="1" si="173"/>
        <v>0</v>
      </c>
      <c r="AA67" s="1031">
        <f t="shared" ca="1" si="172"/>
        <v>0</v>
      </c>
      <c r="AB67" s="1031">
        <f t="shared" ca="1" si="172"/>
        <v>0</v>
      </c>
      <c r="AC67" s="1031">
        <f t="shared" ca="1" si="172"/>
        <v>0</v>
      </c>
      <c r="AD67" s="1031">
        <f t="shared" ca="1" si="172"/>
        <v>0</v>
      </c>
      <c r="AE67" s="1031">
        <f t="shared" ca="1" si="172"/>
        <v>0</v>
      </c>
      <c r="AF67" s="1031">
        <f t="shared" ca="1" si="172"/>
        <v>0</v>
      </c>
      <c r="AG67" s="1031">
        <f t="shared" ca="1" si="172"/>
        <v>0</v>
      </c>
      <c r="AH67" s="1031">
        <f t="shared" ca="1" si="172"/>
        <v>0</v>
      </c>
      <c r="AI67" s="1031">
        <f t="shared" ca="1" si="172"/>
        <v>0</v>
      </c>
      <c r="AJ67" s="1031">
        <f t="shared" ca="1" si="172"/>
        <v>0</v>
      </c>
      <c r="AK67" s="1030">
        <f ca="1">SUM(S67:AJ67)</f>
        <v>0</v>
      </c>
      <c r="AL67" s="743"/>
      <c r="AM67" s="1042">
        <f t="shared" ca="1" si="174"/>
        <v>0</v>
      </c>
      <c r="AN67" s="1042">
        <f t="shared" ca="1" si="174"/>
        <v>0</v>
      </c>
      <c r="AO67" s="1042">
        <f t="shared" ca="1" si="174"/>
        <v>0</v>
      </c>
      <c r="AP67" s="1042">
        <f t="shared" ca="1" si="174"/>
        <v>0</v>
      </c>
      <c r="AQ67" s="1042">
        <f t="shared" ca="1" si="174"/>
        <v>0</v>
      </c>
      <c r="AR67" s="1042">
        <f t="shared" ca="1" si="174"/>
        <v>0</v>
      </c>
      <c r="AS67" s="1042">
        <f t="shared" ca="1" si="174"/>
        <v>0</v>
      </c>
      <c r="AT67" s="1042">
        <f t="shared" ca="1" si="174"/>
        <v>0</v>
      </c>
      <c r="AU67" s="1042">
        <f t="shared" ca="1" si="174"/>
        <v>0</v>
      </c>
      <c r="AV67" s="1042">
        <f t="shared" ca="1" si="172"/>
        <v>0</v>
      </c>
      <c r="AW67" s="1042">
        <f t="shared" ca="1" si="172"/>
        <v>0</v>
      </c>
      <c r="AX67" s="1042">
        <f t="shared" ca="1" si="172"/>
        <v>0</v>
      </c>
      <c r="AY67" s="1042">
        <f t="shared" ca="1" si="172"/>
        <v>0</v>
      </c>
      <c r="AZ67" s="1042">
        <f t="shared" ca="1" si="172"/>
        <v>0</v>
      </c>
      <c r="BA67" s="1042">
        <f t="shared" ca="1" si="172"/>
        <v>0</v>
      </c>
      <c r="BB67" s="1042">
        <f t="shared" ca="1" si="172"/>
        <v>0</v>
      </c>
      <c r="BC67" s="1042">
        <f t="shared" ca="1" si="172"/>
        <v>0</v>
      </c>
      <c r="BD67" s="1042">
        <f t="shared" ca="1" si="172"/>
        <v>0</v>
      </c>
      <c r="BE67" s="1042">
        <f t="shared" ca="1" si="172"/>
        <v>0</v>
      </c>
      <c r="BF67" s="1012">
        <f ca="1">SUM(AM67:BE67)</f>
        <v>0</v>
      </c>
      <c r="BG67" s="743"/>
      <c r="BH67" s="1036">
        <f t="shared" ca="1" si="175"/>
        <v>0</v>
      </c>
      <c r="BI67" s="1036">
        <f t="shared" ca="1" si="175"/>
        <v>0</v>
      </c>
      <c r="BJ67" s="1035">
        <f ca="1">SUM(BH67:BI67)</f>
        <v>0</v>
      </c>
      <c r="BK67" s="743"/>
      <c r="BL67" s="814">
        <f t="shared" ca="1" si="176"/>
        <v>0</v>
      </c>
      <c r="BM67" s="814"/>
      <c r="BN67" s="840"/>
      <c r="BO67" s="1485">
        <f t="shared" ca="1" si="177"/>
        <v>0</v>
      </c>
      <c r="BP67" s="1486">
        <f t="shared" ca="1" si="177"/>
        <v>0</v>
      </c>
      <c r="BQ67" s="1486">
        <f t="shared" ca="1" si="177"/>
        <v>0</v>
      </c>
      <c r="BR67" s="1486">
        <f t="shared" ca="1" si="177"/>
        <v>0</v>
      </c>
      <c r="BS67" s="1486">
        <f t="shared" ca="1" si="177"/>
        <v>0</v>
      </c>
      <c r="BT67" s="1486">
        <f t="shared" ca="1" si="177"/>
        <v>0</v>
      </c>
      <c r="BU67" s="1486">
        <f t="shared" ca="1" si="177"/>
        <v>0</v>
      </c>
      <c r="BV67" s="1486">
        <f t="shared" ca="1" si="177"/>
        <v>0</v>
      </c>
      <c r="BW67" s="1486">
        <f t="shared" ca="1" si="177"/>
        <v>0</v>
      </c>
      <c r="BX67" s="1486">
        <f t="shared" ca="1" si="177"/>
        <v>0</v>
      </c>
      <c r="BY67" s="1486">
        <f t="shared" ca="1" si="177"/>
        <v>0</v>
      </c>
      <c r="BZ67" s="1486">
        <f t="shared" ca="1" si="177"/>
        <v>0</v>
      </c>
      <c r="CA67" s="1486">
        <f t="shared" ca="1" si="177"/>
        <v>0</v>
      </c>
      <c r="CB67" s="1486">
        <f t="shared" ca="1" si="177"/>
        <v>0</v>
      </c>
      <c r="CC67" s="1486">
        <f t="shared" ca="1" si="177"/>
        <v>0</v>
      </c>
      <c r="CD67" s="1486">
        <f t="shared" ca="1" si="177"/>
        <v>0</v>
      </c>
      <c r="CE67" s="1486">
        <f t="shared" ca="1" si="177"/>
        <v>0</v>
      </c>
      <c r="CF67" s="1486">
        <f t="shared" ca="1" si="177"/>
        <v>0</v>
      </c>
      <c r="CG67" s="1486">
        <f t="shared" ca="1" si="177"/>
        <v>0</v>
      </c>
      <c r="CH67" s="1486">
        <f t="shared" ca="1" si="177"/>
        <v>0</v>
      </c>
      <c r="CI67" s="1486">
        <f t="shared" ca="1" si="177"/>
        <v>0</v>
      </c>
      <c r="CJ67" s="1486">
        <f t="shared" ca="1" si="177"/>
        <v>0</v>
      </c>
      <c r="CK67" s="1486">
        <f t="shared" ca="1" si="177"/>
        <v>0</v>
      </c>
      <c r="CL67" s="1486">
        <f t="shared" ca="1" si="177"/>
        <v>0</v>
      </c>
      <c r="CM67" s="1486">
        <f t="shared" ca="1" si="177"/>
        <v>0</v>
      </c>
      <c r="CN67" s="1486">
        <f t="shared" ca="1" si="177"/>
        <v>0</v>
      </c>
      <c r="CO67" s="1486">
        <f t="shared" ca="1" si="177"/>
        <v>0</v>
      </c>
      <c r="CP67" s="1486">
        <f t="shared" ca="1" si="177"/>
        <v>0</v>
      </c>
      <c r="CQ67" s="1486">
        <f t="shared" ca="1" si="177"/>
        <v>0</v>
      </c>
      <c r="CR67" s="1486">
        <f t="shared" ca="1" si="177"/>
        <v>0</v>
      </c>
      <c r="CS67" s="1486">
        <f t="shared" ca="1" si="177"/>
        <v>0</v>
      </c>
      <c r="CT67" s="1486">
        <f t="shared" ca="1" si="177"/>
        <v>0</v>
      </c>
      <c r="CU67" s="1486">
        <f t="shared" ca="1" si="177"/>
        <v>0</v>
      </c>
      <c r="CV67" s="1486">
        <f t="shared" ca="1" si="177"/>
        <v>0</v>
      </c>
      <c r="CW67" s="1486">
        <f t="shared" ca="1" si="177"/>
        <v>0</v>
      </c>
      <c r="CX67" s="1486">
        <f t="shared" ca="1" si="177"/>
        <v>0</v>
      </c>
      <c r="CY67" s="1486">
        <f t="shared" ca="1" si="177"/>
        <v>0</v>
      </c>
      <c r="CZ67" s="1486">
        <f t="shared" ca="1" si="177"/>
        <v>0</v>
      </c>
      <c r="DA67" s="1486">
        <f t="shared" ca="1" si="177"/>
        <v>0</v>
      </c>
      <c r="DB67" s="1486">
        <f t="shared" ca="1" si="177"/>
        <v>0</v>
      </c>
      <c r="DC67" s="1486">
        <f t="shared" ca="1" si="177"/>
        <v>0</v>
      </c>
      <c r="DD67" s="1486">
        <f t="shared" ca="1" si="177"/>
        <v>0</v>
      </c>
      <c r="DE67" s="1486">
        <f t="shared" ca="1" si="177"/>
        <v>0</v>
      </c>
      <c r="DF67" s="1486">
        <f t="shared" ca="1" si="177"/>
        <v>0</v>
      </c>
      <c r="DH67" s="838">
        <f t="shared" ca="1" si="124"/>
        <v>0</v>
      </c>
    </row>
    <row r="68" spans="1:112" s="743" customFormat="1" ht="15.75" collapsed="1">
      <c r="A68" s="22"/>
      <c r="B68" s="753"/>
      <c r="C68" s="744" t="s">
        <v>77</v>
      </c>
      <c r="D68" s="517" t="str">
        <f>INDEX(Workstreams[Workstream], MATCH($C68, Workstreams[Code], 0))</f>
        <v>Distributed renewable power generation</v>
      </c>
      <c r="E68" s="512"/>
      <c r="G68" s="1021">
        <f ca="1">SUM(G65:G67)</f>
        <v>0</v>
      </c>
      <c r="H68" s="1021">
        <f t="shared" ref="H68:P68" ca="1" si="178">SUM(H65:H67)</f>
        <v>0</v>
      </c>
      <c r="I68" s="1021">
        <f t="shared" ca="1" si="178"/>
        <v>0</v>
      </c>
      <c r="J68" s="1021">
        <f t="shared" ca="1" si="178"/>
        <v>0</v>
      </c>
      <c r="K68" s="1021">
        <f t="shared" ca="1" si="178"/>
        <v>0</v>
      </c>
      <c r="L68" s="1021">
        <f t="shared" ca="1" si="178"/>
        <v>0</v>
      </c>
      <c r="M68" s="1021">
        <f t="shared" ca="1" si="178"/>
        <v>0</v>
      </c>
      <c r="N68" s="1021">
        <f t="shared" ca="1" si="178"/>
        <v>0</v>
      </c>
      <c r="O68" s="1021">
        <f t="shared" ca="1" si="178"/>
        <v>0</v>
      </c>
      <c r="P68" s="1021">
        <f t="shared" ca="1" si="178"/>
        <v>0</v>
      </c>
      <c r="Q68" s="1021">
        <f ca="1">SUM(G68:P68)</f>
        <v>0</v>
      </c>
      <c r="S68" s="970">
        <f t="shared" ref="S68:AJ68" ca="1" si="179">SUM(S65:S67)</f>
        <v>0</v>
      </c>
      <c r="T68" s="970">
        <f t="shared" ca="1" si="179"/>
        <v>0</v>
      </c>
      <c r="U68" s="970">
        <f t="shared" ca="1" si="179"/>
        <v>0</v>
      </c>
      <c r="V68" s="970">
        <f t="shared" ca="1" si="179"/>
        <v>0</v>
      </c>
      <c r="W68" s="970">
        <f t="shared" ca="1" si="179"/>
        <v>0</v>
      </c>
      <c r="X68" s="970">
        <f t="shared" ca="1" si="179"/>
        <v>0</v>
      </c>
      <c r="Y68" s="970">
        <f t="shared" ca="1" si="179"/>
        <v>0</v>
      </c>
      <c r="Z68" s="970">
        <f t="shared" ca="1" si="179"/>
        <v>0</v>
      </c>
      <c r="AA68" s="970">
        <f t="shared" ca="1" si="179"/>
        <v>0</v>
      </c>
      <c r="AB68" s="970">
        <f t="shared" ca="1" si="179"/>
        <v>0</v>
      </c>
      <c r="AC68" s="970">
        <f t="shared" ca="1" si="179"/>
        <v>0</v>
      </c>
      <c r="AD68" s="970">
        <f t="shared" ca="1" si="179"/>
        <v>0</v>
      </c>
      <c r="AE68" s="970">
        <f ca="1">SUM(AE65:AE67)</f>
        <v>0</v>
      </c>
      <c r="AF68" s="970">
        <f t="shared" ca="1" si="179"/>
        <v>0</v>
      </c>
      <c r="AG68" s="970">
        <f t="shared" ca="1" si="179"/>
        <v>0</v>
      </c>
      <c r="AH68" s="970">
        <f ca="1">SUM(AH65:AH67)</f>
        <v>0</v>
      </c>
      <c r="AI68" s="970">
        <f t="shared" ca="1" si="179"/>
        <v>0</v>
      </c>
      <c r="AJ68" s="970">
        <f t="shared" ca="1" si="179"/>
        <v>0</v>
      </c>
      <c r="AK68" s="970">
        <f ca="1">SUM(S68:AJ68)</f>
        <v>0</v>
      </c>
      <c r="AM68" s="976">
        <f t="shared" ref="AM68:BE68" ca="1" si="180">SUM(AM65:AM67)</f>
        <v>0</v>
      </c>
      <c r="AN68" s="976">
        <f t="shared" ca="1" si="180"/>
        <v>0</v>
      </c>
      <c r="AO68" s="976">
        <f t="shared" ca="1" si="180"/>
        <v>0</v>
      </c>
      <c r="AP68" s="976">
        <f t="shared" ca="1" si="180"/>
        <v>0</v>
      </c>
      <c r="AQ68" s="976">
        <f t="shared" ca="1" si="180"/>
        <v>0</v>
      </c>
      <c r="AR68" s="976">
        <f t="shared" ca="1" si="180"/>
        <v>0</v>
      </c>
      <c r="AS68" s="976">
        <f t="shared" ca="1" si="180"/>
        <v>0</v>
      </c>
      <c r="AT68" s="976">
        <f t="shared" ca="1" si="180"/>
        <v>0</v>
      </c>
      <c r="AU68" s="976">
        <f t="shared" ca="1" si="180"/>
        <v>0</v>
      </c>
      <c r="AV68" s="976">
        <f t="shared" ca="1" si="180"/>
        <v>0</v>
      </c>
      <c r="AW68" s="976">
        <f t="shared" ca="1" si="180"/>
        <v>0</v>
      </c>
      <c r="AX68" s="976">
        <f t="shared" ca="1" si="180"/>
        <v>0</v>
      </c>
      <c r="AY68" s="976">
        <f t="shared" ca="1" si="180"/>
        <v>0</v>
      </c>
      <c r="AZ68" s="976">
        <f t="shared" ca="1" si="180"/>
        <v>0</v>
      </c>
      <c r="BA68" s="976">
        <f t="shared" ca="1" si="180"/>
        <v>0</v>
      </c>
      <c r="BB68" s="976">
        <f t="shared" ca="1" si="180"/>
        <v>0</v>
      </c>
      <c r="BC68" s="976">
        <f t="shared" ca="1" si="180"/>
        <v>0</v>
      </c>
      <c r="BD68" s="976">
        <f t="shared" ca="1" si="180"/>
        <v>0</v>
      </c>
      <c r="BE68" s="976">
        <f t="shared" ca="1" si="180"/>
        <v>0</v>
      </c>
      <c r="BF68" s="976">
        <f ca="1">SUM(AM68:BE68)</f>
        <v>0</v>
      </c>
      <c r="BH68" s="990">
        <f ca="1">SUM(BH65:BH67)</f>
        <v>0</v>
      </c>
      <c r="BI68" s="990">
        <f ca="1">SUM(BI65:BI67)</f>
        <v>0</v>
      </c>
      <c r="BJ68" s="990">
        <f ca="1">SUM(BH68:BI68)</f>
        <v>0</v>
      </c>
      <c r="BL68" s="515">
        <f t="shared" ca="1" si="176"/>
        <v>0</v>
      </c>
      <c r="BM68" s="515"/>
      <c r="BN68" s="840"/>
      <c r="BO68" s="1482">
        <f ca="1">SUM(BO65:BO67)</f>
        <v>0</v>
      </c>
      <c r="BP68" s="1482">
        <f t="shared" ref="BP68:DF68" ca="1" si="181">SUM(BP65:BP67)</f>
        <v>0</v>
      </c>
      <c r="BQ68" s="1482">
        <f t="shared" ca="1" si="181"/>
        <v>0</v>
      </c>
      <c r="BR68" s="1482">
        <f t="shared" ca="1" si="181"/>
        <v>0</v>
      </c>
      <c r="BS68" s="1482">
        <f t="shared" ca="1" si="181"/>
        <v>0</v>
      </c>
      <c r="BT68" s="1482">
        <f t="shared" ca="1" si="181"/>
        <v>0</v>
      </c>
      <c r="BU68" s="1482">
        <f t="shared" ca="1" si="181"/>
        <v>0</v>
      </c>
      <c r="BV68" s="1482">
        <f t="shared" ca="1" si="181"/>
        <v>0</v>
      </c>
      <c r="BW68" s="1482">
        <f t="shared" ca="1" si="181"/>
        <v>0</v>
      </c>
      <c r="BX68" s="1482">
        <f t="shared" ca="1" si="181"/>
        <v>0</v>
      </c>
      <c r="BY68" s="1482">
        <f t="shared" ca="1" si="181"/>
        <v>0</v>
      </c>
      <c r="BZ68" s="1482">
        <f t="shared" ca="1" si="181"/>
        <v>0</v>
      </c>
      <c r="CA68" s="1482">
        <f t="shared" ca="1" si="181"/>
        <v>0</v>
      </c>
      <c r="CB68" s="1482">
        <f t="shared" ca="1" si="181"/>
        <v>0</v>
      </c>
      <c r="CC68" s="1482">
        <f t="shared" ca="1" si="181"/>
        <v>0</v>
      </c>
      <c r="CD68" s="1482">
        <f t="shared" ca="1" si="181"/>
        <v>0</v>
      </c>
      <c r="CE68" s="1482">
        <f t="shared" ca="1" si="181"/>
        <v>0</v>
      </c>
      <c r="CF68" s="1482">
        <f t="shared" ca="1" si="181"/>
        <v>0</v>
      </c>
      <c r="CG68" s="1482">
        <f t="shared" ca="1" si="181"/>
        <v>0</v>
      </c>
      <c r="CH68" s="1482">
        <f t="shared" ca="1" si="181"/>
        <v>0</v>
      </c>
      <c r="CI68" s="1482">
        <f t="shared" ca="1" si="181"/>
        <v>0</v>
      </c>
      <c r="CJ68" s="1482">
        <f t="shared" ca="1" si="181"/>
        <v>0</v>
      </c>
      <c r="CK68" s="1482">
        <f t="shared" ca="1" si="181"/>
        <v>0</v>
      </c>
      <c r="CL68" s="1482">
        <f t="shared" ca="1" si="181"/>
        <v>0</v>
      </c>
      <c r="CM68" s="1482">
        <f t="shared" ca="1" si="181"/>
        <v>0</v>
      </c>
      <c r="CN68" s="1482">
        <f t="shared" ca="1" si="181"/>
        <v>0</v>
      </c>
      <c r="CO68" s="1482">
        <f t="shared" ca="1" si="181"/>
        <v>0</v>
      </c>
      <c r="CP68" s="1482">
        <f t="shared" ca="1" si="181"/>
        <v>0</v>
      </c>
      <c r="CQ68" s="1482">
        <f t="shared" ca="1" si="181"/>
        <v>0</v>
      </c>
      <c r="CR68" s="1482">
        <f t="shared" ca="1" si="181"/>
        <v>0</v>
      </c>
      <c r="CS68" s="1482">
        <f t="shared" ca="1" si="181"/>
        <v>0</v>
      </c>
      <c r="CT68" s="1482">
        <f t="shared" ca="1" si="181"/>
        <v>0</v>
      </c>
      <c r="CU68" s="1482">
        <f t="shared" ca="1" si="181"/>
        <v>0</v>
      </c>
      <c r="CV68" s="1482">
        <f t="shared" ca="1" si="181"/>
        <v>0</v>
      </c>
      <c r="CW68" s="1482">
        <f t="shared" ca="1" si="181"/>
        <v>0</v>
      </c>
      <c r="CX68" s="1482">
        <f t="shared" ca="1" si="181"/>
        <v>0</v>
      </c>
      <c r="CY68" s="1482">
        <f t="shared" ca="1" si="181"/>
        <v>0</v>
      </c>
      <c r="CZ68" s="1482">
        <f t="shared" ca="1" si="181"/>
        <v>0</v>
      </c>
      <c r="DA68" s="1482">
        <f t="shared" ca="1" si="181"/>
        <v>0</v>
      </c>
      <c r="DB68" s="1482">
        <f t="shared" ca="1" si="181"/>
        <v>0</v>
      </c>
      <c r="DC68" s="1482">
        <f t="shared" ca="1" si="181"/>
        <v>0</v>
      </c>
      <c r="DD68" s="1482">
        <f t="shared" ca="1" si="181"/>
        <v>0</v>
      </c>
      <c r="DE68" s="1482">
        <f t="shared" ca="1" si="181"/>
        <v>0</v>
      </c>
      <c r="DF68" s="1482">
        <f t="shared" ca="1" si="181"/>
        <v>0</v>
      </c>
      <c r="DH68" s="838">
        <f t="shared" ca="1" si="124"/>
        <v>0</v>
      </c>
    </row>
    <row r="69" spans="1:112" s="743" customFormat="1" ht="12.75" hidden="1" customHeight="1" outlineLevel="1">
      <c r="A69" s="22"/>
      <c r="B69" s="22"/>
      <c r="C69" s="751"/>
      <c r="D69" s="512"/>
      <c r="E69" s="512"/>
      <c r="G69" s="958"/>
      <c r="H69" s="958"/>
      <c r="I69" s="958"/>
      <c r="J69" s="958"/>
      <c r="K69" s="960"/>
      <c r="L69" s="958"/>
      <c r="M69" s="958"/>
      <c r="N69" s="958"/>
      <c r="O69" s="958"/>
      <c r="P69" s="958"/>
      <c r="Q69" s="958"/>
      <c r="S69" s="970"/>
      <c r="T69" s="970"/>
      <c r="U69" s="970"/>
      <c r="V69" s="970"/>
      <c r="W69" s="970"/>
      <c r="X69" s="970"/>
      <c r="Y69" s="970"/>
      <c r="Z69" s="970"/>
      <c r="AA69" s="970"/>
      <c r="AB69" s="970"/>
      <c r="AC69" s="970"/>
      <c r="AD69" s="970"/>
      <c r="AE69" s="970"/>
      <c r="AF69" s="970"/>
      <c r="AG69" s="970"/>
      <c r="AH69" s="970"/>
      <c r="AI69" s="970"/>
      <c r="AJ69" s="970"/>
      <c r="AK69" s="970"/>
      <c r="AM69" s="976"/>
      <c r="AN69" s="976"/>
      <c r="AO69" s="976"/>
      <c r="AP69" s="976"/>
      <c r="AQ69" s="976"/>
      <c r="AR69" s="976"/>
      <c r="AS69" s="976"/>
      <c r="AT69" s="976"/>
      <c r="AU69" s="976"/>
      <c r="AV69" s="976"/>
      <c r="AW69" s="976"/>
      <c r="AX69" s="976"/>
      <c r="AY69" s="976"/>
      <c r="AZ69" s="976"/>
      <c r="BA69" s="976"/>
      <c r="BB69" s="976"/>
      <c r="BC69" s="976"/>
      <c r="BD69" s="976"/>
      <c r="BE69" s="976"/>
      <c r="BF69" s="976"/>
      <c r="BH69" s="990"/>
      <c r="BI69" s="990"/>
      <c r="BJ69" s="990"/>
      <c r="BL69" s="515">
        <f t="shared" si="176"/>
        <v>0</v>
      </c>
      <c r="BM69" s="515"/>
      <c r="BN69" s="22"/>
      <c r="BO69" s="1482"/>
      <c r="BP69" s="1482"/>
      <c r="BQ69" s="1482"/>
      <c r="BR69" s="1482"/>
      <c r="BS69" s="1482"/>
      <c r="BT69" s="1482"/>
      <c r="BU69" s="1482"/>
      <c r="BV69" s="1482"/>
      <c r="BW69" s="1482"/>
      <c r="BX69" s="1482"/>
      <c r="BY69" s="1482"/>
      <c r="BZ69" s="1482"/>
      <c r="CA69" s="1482"/>
      <c r="CB69" s="1482"/>
      <c r="CC69" s="1482"/>
      <c r="CD69" s="1482"/>
      <c r="CE69" s="1482"/>
      <c r="CF69" s="1482"/>
      <c r="CG69" s="1482"/>
      <c r="CH69" s="1482"/>
      <c r="CI69" s="1482"/>
      <c r="CJ69" s="1482"/>
      <c r="CK69" s="1482"/>
      <c r="CL69" s="1482"/>
      <c r="CM69" s="1482"/>
      <c r="CN69" s="1482"/>
      <c r="CO69" s="1482"/>
      <c r="CP69" s="1482"/>
      <c r="CQ69" s="1482"/>
      <c r="CR69" s="1482"/>
      <c r="CS69" s="1482"/>
      <c r="CT69" s="1482"/>
      <c r="CU69" s="1482"/>
      <c r="CV69" s="1482"/>
      <c r="CW69" s="1482"/>
      <c r="CX69" s="1482"/>
      <c r="CY69" s="1482"/>
      <c r="CZ69" s="1482"/>
      <c r="DA69" s="1482"/>
      <c r="DB69" s="1482"/>
      <c r="DC69" s="1482"/>
      <c r="DD69" s="1482"/>
      <c r="DE69" s="1482"/>
      <c r="DF69" s="1482"/>
      <c r="DH69" s="838">
        <f t="shared" si="124"/>
        <v>0</v>
      </c>
    </row>
    <row r="70" spans="1:112" s="1491" customFormat="1" ht="12.75" hidden="1" customHeight="1" outlineLevel="1">
      <c r="C70" s="1534" t="s">
        <v>1718</v>
      </c>
      <c r="D70" s="1535" t="s">
        <v>1340</v>
      </c>
      <c r="E70" s="1535"/>
      <c r="F70" s="1957"/>
      <c r="G70" s="1070"/>
      <c r="H70" s="1070"/>
      <c r="I70" s="1070"/>
      <c r="J70" s="1070"/>
      <c r="K70" s="1071"/>
      <c r="L70" s="1070"/>
      <c r="M70" s="1070"/>
      <c r="N70" s="1070"/>
      <c r="O70" s="1070"/>
      <c r="P70" s="1070"/>
      <c r="Q70" s="1070"/>
      <c r="R70" s="1957"/>
      <c r="S70" s="1072"/>
      <c r="T70" s="1072"/>
      <c r="U70" s="1072"/>
      <c r="V70" s="1072"/>
      <c r="W70" s="1072"/>
      <c r="X70" s="1072"/>
      <c r="Y70" s="1072"/>
      <c r="Z70" s="1072"/>
      <c r="AA70" s="1072"/>
      <c r="AB70" s="1072">
        <f ca="1">AB$40+AB$46+AB$51+AB$99+AB$55+AB$63+AB$68</f>
        <v>-9.6778037020124756</v>
      </c>
      <c r="AC70" s="1072"/>
      <c r="AD70" s="1072"/>
      <c r="AE70" s="1072"/>
      <c r="AF70" s="1072"/>
      <c r="AG70" s="1072"/>
      <c r="AH70" s="1072"/>
      <c r="AI70" s="1072"/>
      <c r="AJ70" s="1072"/>
      <c r="AK70" s="1072"/>
      <c r="AL70" s="1957"/>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957"/>
      <c r="BH70" s="1074"/>
      <c r="BI70" s="1074"/>
      <c r="BJ70" s="1074">
        <f>SUM(BH70:BI70)</f>
        <v>0</v>
      </c>
      <c r="BK70" s="1957"/>
      <c r="BL70" s="1536">
        <f t="shared" si="176"/>
        <v>0</v>
      </c>
      <c r="BM70" s="1536"/>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1963"/>
      <c r="CO70" s="1963"/>
      <c r="CP70" s="1963"/>
      <c r="CQ70" s="1963"/>
      <c r="CR70" s="1963"/>
      <c r="CS70" s="1963"/>
      <c r="CT70" s="1963"/>
      <c r="CU70" s="1963"/>
      <c r="CV70" s="1963"/>
      <c r="CW70" s="1963"/>
      <c r="CX70" s="1963"/>
      <c r="CY70" s="1963"/>
      <c r="CZ70" s="1963"/>
      <c r="DA70" s="1963"/>
      <c r="DB70" s="1963"/>
      <c r="DC70" s="1963"/>
      <c r="DD70" s="1963"/>
      <c r="DE70" s="1963"/>
      <c r="DF70" s="1963"/>
      <c r="DH70" s="1962">
        <f t="shared" si="124"/>
        <v>0</v>
      </c>
    </row>
    <row r="71" spans="1:112" s="1484" customFormat="1" ht="12.75" hidden="1" customHeight="1" outlineLevel="1">
      <c r="C71" s="746" t="s">
        <v>1338</v>
      </c>
      <c r="D71" s="1010" t="str">
        <f>INDEX(Modules[Module], MATCH($C71, Modules[Code], 0))</f>
        <v>District heating effective demand</v>
      </c>
      <c r="E71" s="1010"/>
      <c r="F71" s="743"/>
      <c r="G71" s="1022">
        <f t="shared" ref="G71:P71" ca="1" si="182">IFERROR(INDEX(INDIRECT($C71&amp;".Outputs["&amp;this.Year&amp;"]"), MATCH(G$5, INDIRECT($C71&amp;".Outputs[Vector]"), 0)), 0)</f>
        <v>0</v>
      </c>
      <c r="H71" s="1022">
        <f t="shared" ca="1" si="182"/>
        <v>0</v>
      </c>
      <c r="I71" s="1022">
        <f t="shared" ca="1" si="182"/>
        <v>0</v>
      </c>
      <c r="J71" s="1022">
        <f t="shared" ca="1" si="182"/>
        <v>0</v>
      </c>
      <c r="K71" s="1022">
        <f t="shared" ca="1" si="182"/>
        <v>0</v>
      </c>
      <c r="L71" s="1022">
        <f t="shared" ca="1" si="182"/>
        <v>0</v>
      </c>
      <c r="M71" s="1022">
        <f t="shared" ca="1" si="182"/>
        <v>0</v>
      </c>
      <c r="N71" s="1022">
        <f t="shared" ca="1" si="182"/>
        <v>0</v>
      </c>
      <c r="O71" s="1022">
        <f t="shared" ca="1" si="182"/>
        <v>0</v>
      </c>
      <c r="P71" s="1022">
        <f t="shared" ca="1" si="182"/>
        <v>0</v>
      </c>
      <c r="Q71" s="1020">
        <f ca="1">SUM(G71:P71)</f>
        <v>0</v>
      </c>
      <c r="R71" s="743"/>
      <c r="S71" s="1031">
        <f t="shared" ref="S71:BE71" ca="1" si="183">IFERROR(INDEX(INDIRECT($C71&amp;".Outputs["&amp;this.Year&amp;"]"), MATCH(S$5, INDIRECT($C71&amp;".Outputs[Vector]"), 0)), 0)</f>
        <v>0</v>
      </c>
      <c r="T71" s="1031">
        <f t="shared" ca="1" si="183"/>
        <v>-1.3825433860017822</v>
      </c>
      <c r="U71" s="1031">
        <f t="shared" ca="1" si="183"/>
        <v>0</v>
      </c>
      <c r="V71" s="1031">
        <f t="shared" ca="1" si="183"/>
        <v>0</v>
      </c>
      <c r="W71" s="1031">
        <f t="shared" ca="1" si="183"/>
        <v>0</v>
      </c>
      <c r="X71" s="1031">
        <f ca="1">IFERROR(INDEX(INDIRECT($C71&amp;".Outputs["&amp;this.Year&amp;"]"), MATCH(X$5, INDIRECT($C71&amp;".Outputs[Vector]"), 0)), 0)</f>
        <v>0</v>
      </c>
      <c r="Y71" s="1031">
        <f ca="1">IFERROR(INDEX(INDIRECT($C71&amp;".Outputs["&amp;this.Year&amp;"]"), MATCH(Y$5, INDIRECT($C71&amp;".Outputs[Vector]"), 0)), 0)</f>
        <v>0</v>
      </c>
      <c r="Z71" s="1031">
        <f ca="1">IFERROR(INDEX(INDIRECT($C71&amp;".Outputs["&amp;this.Year&amp;"]"), MATCH(Z$5, INDIRECT($C71&amp;".Outputs[Vector]"), 0)), 0)</f>
        <v>0</v>
      </c>
      <c r="AA71" s="1031">
        <f t="shared" ca="1" si="183"/>
        <v>0</v>
      </c>
      <c r="AB71" s="1031">
        <f t="shared" ca="1" si="183"/>
        <v>9.6778037020124756</v>
      </c>
      <c r="AC71" s="1031">
        <f t="shared" ca="1" si="183"/>
        <v>0</v>
      </c>
      <c r="AD71" s="1031">
        <f t="shared" ca="1" si="183"/>
        <v>0</v>
      </c>
      <c r="AE71" s="1031">
        <f t="shared" ca="1" si="183"/>
        <v>0</v>
      </c>
      <c r="AF71" s="1031">
        <f t="shared" ca="1" si="183"/>
        <v>0</v>
      </c>
      <c r="AG71" s="1031">
        <f t="shared" ca="1" si="183"/>
        <v>0</v>
      </c>
      <c r="AH71" s="1031">
        <f t="shared" ca="1" si="183"/>
        <v>0</v>
      </c>
      <c r="AI71" s="1031">
        <f t="shared" ca="1" si="183"/>
        <v>0</v>
      </c>
      <c r="AJ71" s="1031">
        <f t="shared" ca="1" si="183"/>
        <v>0</v>
      </c>
      <c r="AK71" s="1030">
        <f ca="1">SUM(S71:AJ71)</f>
        <v>8.2952603160106939</v>
      </c>
      <c r="AL71" s="743"/>
      <c r="AM71" s="1042">
        <f t="shared" ref="AM71:AU71" ca="1" si="184">IFERROR(INDEX(INDIRECT($C71&amp;".Outputs["&amp;this.Year&amp;"]"), MATCH(AM$5, INDIRECT($C71&amp;".Outputs[Vector]"), 0)), 0)</f>
        <v>0</v>
      </c>
      <c r="AN71" s="1042">
        <f t="shared" ca="1" si="184"/>
        <v>0</v>
      </c>
      <c r="AO71" s="1042">
        <f t="shared" ca="1" si="184"/>
        <v>0</v>
      </c>
      <c r="AP71" s="1042">
        <f t="shared" ca="1" si="184"/>
        <v>0</v>
      </c>
      <c r="AQ71" s="1042">
        <f t="shared" ca="1" si="184"/>
        <v>0</v>
      </c>
      <c r="AR71" s="1042">
        <f t="shared" ca="1" si="184"/>
        <v>0</v>
      </c>
      <c r="AS71" s="1042">
        <f t="shared" ca="1" si="184"/>
        <v>0</v>
      </c>
      <c r="AT71" s="1042">
        <f t="shared" ca="1" si="184"/>
        <v>0</v>
      </c>
      <c r="AU71" s="1042">
        <f t="shared" ca="1" si="184"/>
        <v>0</v>
      </c>
      <c r="AV71" s="1042">
        <f t="shared" ca="1" si="183"/>
        <v>0</v>
      </c>
      <c r="AW71" s="1042">
        <f t="shared" ca="1" si="183"/>
        <v>0</v>
      </c>
      <c r="AX71" s="1042">
        <f t="shared" ca="1" si="183"/>
        <v>0</v>
      </c>
      <c r="AY71" s="1042">
        <f t="shared" ca="1" si="183"/>
        <v>0</v>
      </c>
      <c r="AZ71" s="1042">
        <f t="shared" ca="1" si="183"/>
        <v>0</v>
      </c>
      <c r="BA71" s="1042">
        <f t="shared" ca="1" si="183"/>
        <v>0</v>
      </c>
      <c r="BB71" s="1042">
        <f t="shared" ca="1" si="183"/>
        <v>0</v>
      </c>
      <c r="BC71" s="1042">
        <f t="shared" ca="1" si="183"/>
        <v>0</v>
      </c>
      <c r="BD71" s="1042">
        <f t="shared" ca="1" si="183"/>
        <v>0</v>
      </c>
      <c r="BE71" s="1042">
        <f t="shared" ca="1" si="183"/>
        <v>0</v>
      </c>
      <c r="BF71" s="1012">
        <f ca="1">SUM(AM71:BE71)</f>
        <v>0</v>
      </c>
      <c r="BG71" s="743"/>
      <c r="BH71" s="1036">
        <f ca="1">IFERROR(INDEX(INDIRECT($C71&amp;".Outputs["&amp;this.Year&amp;"]"), MATCH(BH$5, INDIRECT($C71&amp;".Outputs[Vector]"), 0)), 0)</f>
        <v>-8.2952603160106939</v>
      </c>
      <c r="BI71" s="1036">
        <f ca="1">IFERROR(INDEX(INDIRECT($C71&amp;".Outputs["&amp;this.Year&amp;"]"), MATCH(BI$5, INDIRECT($C71&amp;".Outputs[Vector]"), 0)), 0)</f>
        <v>0</v>
      </c>
      <c r="BJ71" s="1035">
        <f ca="1">SUM(BH71:BI71)</f>
        <v>-8.2952603160106939</v>
      </c>
      <c r="BK71" s="743"/>
      <c r="BL71" s="814">
        <f ca="1">Q71+AK71+BF71+BJ71</f>
        <v>0</v>
      </c>
      <c r="BM71" s="814"/>
      <c r="BN71" s="840"/>
      <c r="BO71" s="1485">
        <f t="shared" ref="BO71:DF71" ca="1" si="185">IFERROR(SUMIFS(INDIRECT($C71&amp;".Emissions["&amp;this.Year&amp;"]"), INDIRECT($C71&amp;".Emissions[GHG]"), BO$6, INDIRECT($C71&amp;".Emissions[IPCC Sector]"), BO$5),0)</f>
        <v>0</v>
      </c>
      <c r="BP71" s="1486">
        <f t="shared" ca="1" si="185"/>
        <v>0</v>
      </c>
      <c r="BQ71" s="1486">
        <f t="shared" ca="1" si="185"/>
        <v>0</v>
      </c>
      <c r="BR71" s="1486">
        <f t="shared" ca="1" si="185"/>
        <v>0</v>
      </c>
      <c r="BS71" s="1486">
        <f t="shared" ca="1" si="185"/>
        <v>0</v>
      </c>
      <c r="BT71" s="1486">
        <f t="shared" ca="1" si="185"/>
        <v>0</v>
      </c>
      <c r="BU71" s="1486">
        <f t="shared" ca="1" si="185"/>
        <v>0</v>
      </c>
      <c r="BV71" s="1486">
        <f t="shared" ca="1" si="185"/>
        <v>0</v>
      </c>
      <c r="BW71" s="1486">
        <f t="shared" ca="1" si="185"/>
        <v>0</v>
      </c>
      <c r="BX71" s="1486">
        <f t="shared" ca="1" si="185"/>
        <v>0</v>
      </c>
      <c r="BY71" s="1486">
        <f t="shared" ca="1" si="185"/>
        <v>0</v>
      </c>
      <c r="BZ71" s="1486">
        <f t="shared" ca="1" si="185"/>
        <v>0</v>
      </c>
      <c r="CA71" s="1486">
        <f t="shared" ca="1" si="185"/>
        <v>0</v>
      </c>
      <c r="CB71" s="1486">
        <f t="shared" ca="1" si="185"/>
        <v>0</v>
      </c>
      <c r="CC71" s="1486">
        <f t="shared" ca="1" si="185"/>
        <v>0</v>
      </c>
      <c r="CD71" s="1486">
        <f t="shared" ca="1" si="185"/>
        <v>0</v>
      </c>
      <c r="CE71" s="1486">
        <f t="shared" ca="1" si="185"/>
        <v>0</v>
      </c>
      <c r="CF71" s="1486">
        <f t="shared" ca="1" si="185"/>
        <v>0</v>
      </c>
      <c r="CG71" s="1486">
        <f t="shared" ca="1" si="185"/>
        <v>0</v>
      </c>
      <c r="CH71" s="1486">
        <f t="shared" ca="1" si="185"/>
        <v>0</v>
      </c>
      <c r="CI71" s="1486">
        <f t="shared" ca="1" si="185"/>
        <v>0</v>
      </c>
      <c r="CJ71" s="1486">
        <f t="shared" ca="1" si="185"/>
        <v>0</v>
      </c>
      <c r="CK71" s="1486">
        <f t="shared" ca="1" si="185"/>
        <v>0</v>
      </c>
      <c r="CL71" s="1486">
        <f t="shared" ca="1" si="185"/>
        <v>0</v>
      </c>
      <c r="CM71" s="1486">
        <f t="shared" ca="1" si="185"/>
        <v>0</v>
      </c>
      <c r="CN71" s="1486">
        <f t="shared" ca="1" si="185"/>
        <v>0</v>
      </c>
      <c r="CO71" s="1486">
        <f t="shared" ca="1" si="185"/>
        <v>0</v>
      </c>
      <c r="CP71" s="1486">
        <f t="shared" ca="1" si="185"/>
        <v>0</v>
      </c>
      <c r="CQ71" s="1486">
        <f t="shared" ca="1" si="185"/>
        <v>0</v>
      </c>
      <c r="CR71" s="1486">
        <f t="shared" ca="1" si="185"/>
        <v>0</v>
      </c>
      <c r="CS71" s="1486">
        <f t="shared" ca="1" si="185"/>
        <v>0</v>
      </c>
      <c r="CT71" s="1486">
        <f t="shared" ca="1" si="185"/>
        <v>0</v>
      </c>
      <c r="CU71" s="1486">
        <f t="shared" ca="1" si="185"/>
        <v>0</v>
      </c>
      <c r="CV71" s="1486">
        <f t="shared" ca="1" si="185"/>
        <v>0</v>
      </c>
      <c r="CW71" s="1486">
        <f t="shared" ca="1" si="185"/>
        <v>0</v>
      </c>
      <c r="CX71" s="1486">
        <f t="shared" ca="1" si="185"/>
        <v>0</v>
      </c>
      <c r="CY71" s="1486">
        <f t="shared" ca="1" si="185"/>
        <v>0</v>
      </c>
      <c r="CZ71" s="1486">
        <f t="shared" ca="1" si="185"/>
        <v>0</v>
      </c>
      <c r="DA71" s="1486">
        <f t="shared" ca="1" si="185"/>
        <v>0</v>
      </c>
      <c r="DB71" s="1486">
        <f t="shared" ca="1" si="185"/>
        <v>0</v>
      </c>
      <c r="DC71" s="1486">
        <f t="shared" ca="1" si="185"/>
        <v>0</v>
      </c>
      <c r="DD71" s="1486">
        <f t="shared" ca="1" si="185"/>
        <v>0</v>
      </c>
      <c r="DE71" s="1486">
        <f t="shared" ca="1" si="185"/>
        <v>0</v>
      </c>
      <c r="DF71" s="1486">
        <f t="shared" ca="1" si="185"/>
        <v>0</v>
      </c>
      <c r="DH71" s="838">
        <f t="shared" ca="1" si="124"/>
        <v>0</v>
      </c>
    </row>
    <row r="72" spans="1:112" s="743" customFormat="1" ht="15.75" collapsed="1">
      <c r="A72" s="22"/>
      <c r="B72" s="753"/>
      <c r="C72" s="744" t="s">
        <v>1336</v>
      </c>
      <c r="D72" s="517" t="str">
        <f>INDEX(Workstreams[Workstream], MATCH($C72, Workstreams[Code], 0))</f>
        <v>District heating</v>
      </c>
      <c r="E72" s="512"/>
      <c r="G72" s="1021">
        <f ca="1">G71</f>
        <v>0</v>
      </c>
      <c r="H72" s="1021">
        <f t="shared" ref="H72:P72" ca="1" si="186">H71</f>
        <v>0</v>
      </c>
      <c r="I72" s="1021">
        <f t="shared" ca="1" si="186"/>
        <v>0</v>
      </c>
      <c r="J72" s="1021">
        <f t="shared" ca="1" si="186"/>
        <v>0</v>
      </c>
      <c r="K72" s="1021">
        <f t="shared" ca="1" si="186"/>
        <v>0</v>
      </c>
      <c r="L72" s="1021">
        <f t="shared" ca="1" si="186"/>
        <v>0</v>
      </c>
      <c r="M72" s="1021">
        <f t="shared" ca="1" si="186"/>
        <v>0</v>
      </c>
      <c r="N72" s="1021">
        <f t="shared" ca="1" si="186"/>
        <v>0</v>
      </c>
      <c r="O72" s="1021">
        <f t="shared" ca="1" si="186"/>
        <v>0</v>
      </c>
      <c r="P72" s="1021">
        <f t="shared" ca="1" si="186"/>
        <v>0</v>
      </c>
      <c r="Q72" s="1021">
        <f ca="1">SUM(G72:P72)</f>
        <v>0</v>
      </c>
      <c r="S72" s="970">
        <f t="shared" ref="S72:AJ72" ca="1" si="187">S71</f>
        <v>0</v>
      </c>
      <c r="T72" s="970">
        <f t="shared" ca="1" si="187"/>
        <v>-1.3825433860017822</v>
      </c>
      <c r="U72" s="970">
        <f t="shared" ca="1" si="187"/>
        <v>0</v>
      </c>
      <c r="V72" s="970">
        <f t="shared" ca="1" si="187"/>
        <v>0</v>
      </c>
      <c r="W72" s="970">
        <f t="shared" ca="1" si="187"/>
        <v>0</v>
      </c>
      <c r="X72" s="970">
        <f t="shared" ca="1" si="187"/>
        <v>0</v>
      </c>
      <c r="Y72" s="970">
        <f t="shared" ca="1" si="187"/>
        <v>0</v>
      </c>
      <c r="Z72" s="970">
        <f t="shared" ca="1" si="187"/>
        <v>0</v>
      </c>
      <c r="AA72" s="970">
        <f t="shared" ca="1" si="187"/>
        <v>0</v>
      </c>
      <c r="AB72" s="970">
        <f t="shared" ca="1" si="187"/>
        <v>9.6778037020124756</v>
      </c>
      <c r="AC72" s="970">
        <f t="shared" ca="1" si="187"/>
        <v>0</v>
      </c>
      <c r="AD72" s="970">
        <f ca="1">AD71</f>
        <v>0</v>
      </c>
      <c r="AE72" s="970">
        <f ca="1">AE71</f>
        <v>0</v>
      </c>
      <c r="AF72" s="970">
        <f t="shared" ca="1" si="187"/>
        <v>0</v>
      </c>
      <c r="AG72" s="970">
        <f t="shared" ca="1" si="187"/>
        <v>0</v>
      </c>
      <c r="AH72" s="970">
        <f ca="1">AH71</f>
        <v>0</v>
      </c>
      <c r="AI72" s="970">
        <f ca="1">AI71</f>
        <v>0</v>
      </c>
      <c r="AJ72" s="970">
        <f t="shared" ca="1" si="187"/>
        <v>0</v>
      </c>
      <c r="AK72" s="970">
        <f ca="1">SUM(S72:AJ72)</f>
        <v>8.2952603160106939</v>
      </c>
      <c r="AM72" s="976">
        <f ca="1">AM71</f>
        <v>0</v>
      </c>
      <c r="AN72" s="976">
        <f t="shared" ref="AN72:BE72" ca="1" si="188">AN71</f>
        <v>0</v>
      </c>
      <c r="AO72" s="976">
        <f t="shared" ca="1" si="188"/>
        <v>0</v>
      </c>
      <c r="AP72" s="976">
        <f t="shared" ca="1" si="188"/>
        <v>0</v>
      </c>
      <c r="AQ72" s="976">
        <f t="shared" ca="1" si="188"/>
        <v>0</v>
      </c>
      <c r="AR72" s="976">
        <f t="shared" ca="1" si="188"/>
        <v>0</v>
      </c>
      <c r="AS72" s="976">
        <f t="shared" ca="1" si="188"/>
        <v>0</v>
      </c>
      <c r="AT72" s="976">
        <f t="shared" ca="1" si="188"/>
        <v>0</v>
      </c>
      <c r="AU72" s="976">
        <f t="shared" ca="1" si="188"/>
        <v>0</v>
      </c>
      <c r="AV72" s="976">
        <f t="shared" ca="1" si="188"/>
        <v>0</v>
      </c>
      <c r="AW72" s="976">
        <f t="shared" ca="1" si="188"/>
        <v>0</v>
      </c>
      <c r="AX72" s="976">
        <f t="shared" ca="1" si="188"/>
        <v>0</v>
      </c>
      <c r="AY72" s="976">
        <f t="shared" ca="1" si="188"/>
        <v>0</v>
      </c>
      <c r="AZ72" s="976">
        <f t="shared" ca="1" si="188"/>
        <v>0</v>
      </c>
      <c r="BA72" s="976">
        <f t="shared" ca="1" si="188"/>
        <v>0</v>
      </c>
      <c r="BB72" s="976">
        <f t="shared" ca="1" si="188"/>
        <v>0</v>
      </c>
      <c r="BC72" s="976">
        <f t="shared" ca="1" si="188"/>
        <v>0</v>
      </c>
      <c r="BD72" s="976">
        <f t="shared" ca="1" si="188"/>
        <v>0</v>
      </c>
      <c r="BE72" s="976">
        <f t="shared" ca="1" si="188"/>
        <v>0</v>
      </c>
      <c r="BF72" s="976">
        <f ca="1">SUM(AM72:BE72)</f>
        <v>0</v>
      </c>
      <c r="BH72" s="990">
        <f ca="1">BH71</f>
        <v>-8.2952603160106939</v>
      </c>
      <c r="BI72" s="990">
        <f ca="1">BI71</f>
        <v>0</v>
      </c>
      <c r="BJ72" s="990">
        <f ca="1">SUM(BH72:BI72)</f>
        <v>-8.2952603160106939</v>
      </c>
      <c r="BL72" s="515">
        <f ca="1">Q72+AK72+BF72+BJ72</f>
        <v>0</v>
      </c>
      <c r="BM72" s="515"/>
      <c r="BN72" s="840"/>
      <c r="BO72" s="1482">
        <f t="shared" ref="BO72:DF72" ca="1" si="189">BO71</f>
        <v>0</v>
      </c>
      <c r="BP72" s="1482">
        <f t="shared" ca="1" si="189"/>
        <v>0</v>
      </c>
      <c r="BQ72" s="1482">
        <f t="shared" ca="1" si="189"/>
        <v>0</v>
      </c>
      <c r="BR72" s="1482">
        <f t="shared" ca="1" si="189"/>
        <v>0</v>
      </c>
      <c r="BS72" s="1482">
        <f t="shared" ca="1" si="189"/>
        <v>0</v>
      </c>
      <c r="BT72" s="1482">
        <f t="shared" ca="1" si="189"/>
        <v>0</v>
      </c>
      <c r="BU72" s="1482">
        <f t="shared" ca="1" si="189"/>
        <v>0</v>
      </c>
      <c r="BV72" s="1482">
        <f t="shared" ca="1" si="189"/>
        <v>0</v>
      </c>
      <c r="BW72" s="1482">
        <f t="shared" ca="1" si="189"/>
        <v>0</v>
      </c>
      <c r="BX72" s="1482">
        <f t="shared" ca="1" si="189"/>
        <v>0</v>
      </c>
      <c r="BY72" s="1482">
        <f t="shared" ca="1" si="189"/>
        <v>0</v>
      </c>
      <c r="BZ72" s="1482">
        <f t="shared" ca="1" si="189"/>
        <v>0</v>
      </c>
      <c r="CA72" s="1482">
        <f t="shared" ca="1" si="189"/>
        <v>0</v>
      </c>
      <c r="CB72" s="1482">
        <f t="shared" ca="1" si="189"/>
        <v>0</v>
      </c>
      <c r="CC72" s="1482">
        <f t="shared" ca="1" si="189"/>
        <v>0</v>
      </c>
      <c r="CD72" s="1482">
        <f t="shared" ca="1" si="189"/>
        <v>0</v>
      </c>
      <c r="CE72" s="1482">
        <f t="shared" ca="1" si="189"/>
        <v>0</v>
      </c>
      <c r="CF72" s="1482">
        <f t="shared" ca="1" si="189"/>
        <v>0</v>
      </c>
      <c r="CG72" s="1482">
        <f t="shared" ca="1" si="189"/>
        <v>0</v>
      </c>
      <c r="CH72" s="1482">
        <f t="shared" ca="1" si="189"/>
        <v>0</v>
      </c>
      <c r="CI72" s="1482">
        <f t="shared" ca="1" si="189"/>
        <v>0</v>
      </c>
      <c r="CJ72" s="1482">
        <f t="shared" ca="1" si="189"/>
        <v>0</v>
      </c>
      <c r="CK72" s="1482">
        <f t="shared" ca="1" si="189"/>
        <v>0</v>
      </c>
      <c r="CL72" s="1482">
        <f t="shared" ca="1" si="189"/>
        <v>0</v>
      </c>
      <c r="CM72" s="1482">
        <f t="shared" ca="1" si="189"/>
        <v>0</v>
      </c>
      <c r="CN72" s="1482">
        <f t="shared" ca="1" si="189"/>
        <v>0</v>
      </c>
      <c r="CO72" s="1482">
        <f t="shared" ca="1" si="189"/>
        <v>0</v>
      </c>
      <c r="CP72" s="1482">
        <f t="shared" ca="1" si="189"/>
        <v>0</v>
      </c>
      <c r="CQ72" s="1482">
        <f t="shared" ca="1" si="189"/>
        <v>0</v>
      </c>
      <c r="CR72" s="1482">
        <f t="shared" ca="1" si="189"/>
        <v>0</v>
      </c>
      <c r="CS72" s="1482">
        <f t="shared" ca="1" si="189"/>
        <v>0</v>
      </c>
      <c r="CT72" s="1482">
        <f t="shared" ca="1" si="189"/>
        <v>0</v>
      </c>
      <c r="CU72" s="1482">
        <f t="shared" ca="1" si="189"/>
        <v>0</v>
      </c>
      <c r="CV72" s="1482">
        <f t="shared" ca="1" si="189"/>
        <v>0</v>
      </c>
      <c r="CW72" s="1482">
        <f t="shared" ca="1" si="189"/>
        <v>0</v>
      </c>
      <c r="CX72" s="1482">
        <f t="shared" ca="1" si="189"/>
        <v>0</v>
      </c>
      <c r="CY72" s="1482">
        <f t="shared" ca="1" si="189"/>
        <v>0</v>
      </c>
      <c r="CZ72" s="1482">
        <f t="shared" ca="1" si="189"/>
        <v>0</v>
      </c>
      <c r="DA72" s="1482">
        <f t="shared" ca="1" si="189"/>
        <v>0</v>
      </c>
      <c r="DB72" s="1482">
        <f t="shared" ca="1" si="189"/>
        <v>0</v>
      </c>
      <c r="DC72" s="1482">
        <f t="shared" ca="1" si="189"/>
        <v>0</v>
      </c>
      <c r="DD72" s="1482">
        <f t="shared" ca="1" si="189"/>
        <v>0</v>
      </c>
      <c r="DE72" s="1482">
        <f t="shared" ca="1" si="189"/>
        <v>0</v>
      </c>
      <c r="DF72" s="1482">
        <f t="shared" ca="1" si="189"/>
        <v>0</v>
      </c>
      <c r="DH72" s="838">
        <f t="shared" ca="1" si="124"/>
        <v>0</v>
      </c>
    </row>
    <row r="73" spans="1:112" s="743" customFormat="1" ht="12.75" hidden="1" customHeight="1" outlineLevel="1">
      <c r="A73" s="22"/>
      <c r="B73" s="22"/>
      <c r="C73" s="751"/>
      <c r="D73" s="512"/>
      <c r="E73" s="512"/>
      <c r="G73" s="958"/>
      <c r="H73" s="958"/>
      <c r="I73" s="958"/>
      <c r="J73" s="958"/>
      <c r="K73" s="960"/>
      <c r="L73" s="958"/>
      <c r="M73" s="958"/>
      <c r="N73" s="958"/>
      <c r="O73" s="958"/>
      <c r="P73" s="958"/>
      <c r="Q73" s="958"/>
      <c r="S73" s="970"/>
      <c r="T73" s="970"/>
      <c r="U73" s="970"/>
      <c r="V73" s="970"/>
      <c r="W73" s="970"/>
      <c r="X73" s="970"/>
      <c r="Y73" s="970"/>
      <c r="Z73" s="970"/>
      <c r="AA73" s="970"/>
      <c r="AB73" s="970"/>
      <c r="AC73" s="970"/>
      <c r="AD73" s="970"/>
      <c r="AE73" s="970"/>
      <c r="AF73" s="970"/>
      <c r="AG73" s="970"/>
      <c r="AH73" s="970"/>
      <c r="AI73" s="970"/>
      <c r="AJ73" s="970"/>
      <c r="AK73" s="970"/>
      <c r="AM73" s="976"/>
      <c r="AN73" s="976"/>
      <c r="AO73" s="976"/>
      <c r="AP73" s="976"/>
      <c r="AQ73" s="976"/>
      <c r="AR73" s="976"/>
      <c r="AS73" s="976"/>
      <c r="AT73" s="976"/>
      <c r="AU73" s="976"/>
      <c r="AV73" s="976"/>
      <c r="AW73" s="976"/>
      <c r="AX73" s="976"/>
      <c r="AY73" s="976"/>
      <c r="AZ73" s="976"/>
      <c r="BA73" s="976"/>
      <c r="BB73" s="976"/>
      <c r="BC73" s="976"/>
      <c r="BD73" s="976"/>
      <c r="BE73" s="976"/>
      <c r="BF73" s="976"/>
      <c r="BH73" s="990"/>
      <c r="BI73" s="990"/>
      <c r="BJ73" s="990"/>
      <c r="BL73" s="515"/>
      <c r="BM73" s="515"/>
      <c r="BN73" s="22"/>
      <c r="BO73" s="1482"/>
      <c r="BP73" s="1482"/>
      <c r="BQ73" s="1482"/>
      <c r="BR73" s="1482"/>
      <c r="BS73" s="1482"/>
      <c r="BT73" s="1482"/>
      <c r="BU73" s="1482"/>
      <c r="BV73" s="1482"/>
      <c r="BW73" s="1482"/>
      <c r="BX73" s="1482"/>
      <c r="BY73" s="1482"/>
      <c r="BZ73" s="1482"/>
      <c r="CA73" s="1482"/>
      <c r="CB73" s="1482"/>
      <c r="CC73" s="1482"/>
      <c r="CD73" s="1482"/>
      <c r="CE73" s="1482"/>
      <c r="CF73" s="1482"/>
      <c r="CG73" s="1482"/>
      <c r="CH73" s="1482"/>
      <c r="CI73" s="1482"/>
      <c r="CJ73" s="1482"/>
      <c r="CK73" s="1482"/>
      <c r="CL73" s="1482"/>
      <c r="CM73" s="1482"/>
      <c r="CN73" s="1482"/>
      <c r="CO73" s="1482"/>
      <c r="CP73" s="1482"/>
      <c r="CQ73" s="1482"/>
      <c r="CR73" s="1482"/>
      <c r="CS73" s="1482"/>
      <c r="CT73" s="1482"/>
      <c r="CU73" s="1482"/>
      <c r="CV73" s="1482"/>
      <c r="CW73" s="1482"/>
      <c r="CX73" s="1482"/>
      <c r="CY73" s="1482"/>
      <c r="CZ73" s="1482"/>
      <c r="DA73" s="1482"/>
      <c r="DB73" s="1482"/>
      <c r="DC73" s="1482"/>
      <c r="DD73" s="1482"/>
      <c r="DE73" s="1482"/>
      <c r="DF73" s="1482"/>
      <c r="DH73" s="838">
        <f t="shared" si="124"/>
        <v>0</v>
      </c>
    </row>
    <row r="74" spans="1:112" s="1488" customFormat="1" ht="12.75" hidden="1" customHeight="1" outlineLevel="1">
      <c r="C74" s="1048" t="s">
        <v>1719</v>
      </c>
      <c r="D74" s="1049" t="s">
        <v>1334</v>
      </c>
      <c r="E74" s="1049"/>
      <c r="F74" s="743"/>
      <c r="G74" s="1050"/>
      <c r="H74" s="1050"/>
      <c r="I74" s="1050"/>
      <c r="J74" s="1050"/>
      <c r="K74" s="1051"/>
      <c r="L74" s="1050"/>
      <c r="M74" s="1050"/>
      <c r="N74" s="1050"/>
      <c r="O74" s="1050"/>
      <c r="P74" s="1050"/>
      <c r="Q74" s="1050"/>
      <c r="R74" s="743"/>
      <c r="S74" s="1052">
        <f ca="1">S$40+S$46+S$51+S$99+S$55+S$93+S$63+S$68+S$72</f>
        <v>-450.96633210645444</v>
      </c>
      <c r="T74" s="1052">
        <f ca="1">T$40+T$46+T$51+T$99+T$55+T$93+T$63+T$68+T$72</f>
        <v>-29.582612569535051</v>
      </c>
      <c r="U74" s="1052"/>
      <c r="V74" s="1052"/>
      <c r="W74" s="1052"/>
      <c r="X74" s="1052"/>
      <c r="Y74" s="1052"/>
      <c r="Z74" s="1052"/>
      <c r="AA74" s="1052"/>
      <c r="AB74" s="1052"/>
      <c r="AC74" s="1052"/>
      <c r="AD74" s="1052"/>
      <c r="AE74" s="1052"/>
      <c r="AF74" s="1052"/>
      <c r="AG74" s="1052"/>
      <c r="AH74" s="1052"/>
      <c r="AI74" s="1052"/>
      <c r="AJ74" s="1052"/>
      <c r="AK74" s="1052"/>
      <c r="AL74" s="743"/>
      <c r="AM74" s="1053"/>
      <c r="AN74" s="1053"/>
      <c r="AO74" s="1053"/>
      <c r="AP74" s="1053"/>
      <c r="AQ74" s="1053"/>
      <c r="AR74" s="1053"/>
      <c r="AS74" s="1053"/>
      <c r="AT74" s="1053"/>
      <c r="AU74" s="1053"/>
      <c r="AV74" s="1053"/>
      <c r="AW74" s="1053"/>
      <c r="AX74" s="1053"/>
      <c r="AY74" s="1053"/>
      <c r="AZ74" s="1053"/>
      <c r="BA74" s="1053"/>
      <c r="BB74" s="1053"/>
      <c r="BC74" s="1053"/>
      <c r="BD74" s="1053"/>
      <c r="BE74" s="1053"/>
      <c r="BF74" s="1053"/>
      <c r="BG74" s="743"/>
      <c r="BH74" s="1054"/>
      <c r="BI74" s="1054"/>
      <c r="BJ74" s="1054">
        <f>SUM(BH74:BI74)</f>
        <v>0</v>
      </c>
      <c r="BK74" s="743"/>
      <c r="BL74" s="852">
        <f t="shared" ref="BL74:BL80" si="190">Q74+AK74+BF74+BJ74</f>
        <v>0</v>
      </c>
      <c r="BM74" s="852"/>
      <c r="BO74" s="1490"/>
      <c r="BP74" s="1490"/>
      <c r="BQ74" s="1490"/>
      <c r="BR74" s="1490"/>
      <c r="BS74" s="1490"/>
      <c r="BT74" s="1490"/>
      <c r="BU74" s="1490"/>
      <c r="BV74" s="1490"/>
      <c r="BW74" s="1490"/>
      <c r="BX74" s="1490"/>
      <c r="BY74" s="1490"/>
      <c r="BZ74" s="1490"/>
      <c r="CA74" s="1490"/>
      <c r="CB74" s="1490"/>
      <c r="CC74" s="1490"/>
      <c r="CD74" s="1490"/>
      <c r="CE74" s="1490"/>
      <c r="CF74" s="1490"/>
      <c r="CG74" s="1490"/>
      <c r="CH74" s="1490"/>
      <c r="CI74" s="1490"/>
      <c r="CJ74" s="1490"/>
      <c r="CK74" s="1490"/>
      <c r="CL74" s="1490"/>
      <c r="CM74" s="1490"/>
      <c r="CN74" s="1490"/>
      <c r="CO74" s="1490"/>
      <c r="CP74" s="1490"/>
      <c r="CQ74" s="1490"/>
      <c r="CR74" s="1490"/>
      <c r="CS74" s="1490"/>
      <c r="CT74" s="1490"/>
      <c r="CU74" s="1490"/>
      <c r="CV74" s="1490"/>
      <c r="CW74" s="1490"/>
      <c r="CX74" s="1490"/>
      <c r="CY74" s="1490"/>
      <c r="CZ74" s="1490"/>
      <c r="DA74" s="1490"/>
      <c r="DB74" s="1490"/>
      <c r="DC74" s="1490"/>
      <c r="DD74" s="1490"/>
      <c r="DE74" s="1490"/>
      <c r="DF74" s="1490"/>
      <c r="DH74" s="838">
        <f t="shared" si="124"/>
        <v>0</v>
      </c>
    </row>
    <row r="75" spans="1:112" s="1484" customFormat="1" ht="12.75" hidden="1" customHeight="1" outlineLevel="1">
      <c r="C75" s="746" t="s">
        <v>756</v>
      </c>
      <c r="D75" s="1010" t="str">
        <f>INDEX(Modules[Module], MATCH($C75, Modules[Code], 0))</f>
        <v>Nuclear power</v>
      </c>
      <c r="E75" s="1010"/>
      <c r="F75" s="743"/>
      <c r="G75" s="1022">
        <f t="shared" ref="G75:P75" ca="1" si="191">IFERROR(INDEX(INDIRECT($C75&amp;".Outputs["&amp;this.Year&amp;"]"), MATCH(G$5, INDIRECT($C75&amp;".Outputs[Vector]"), 0)), 0)</f>
        <v>0</v>
      </c>
      <c r="H75" s="1022">
        <f t="shared" ca="1" si="191"/>
        <v>0</v>
      </c>
      <c r="I75" s="1022">
        <f t="shared" ca="1" si="191"/>
        <v>0</v>
      </c>
      <c r="J75" s="1022">
        <f t="shared" ca="1" si="191"/>
        <v>0</v>
      </c>
      <c r="K75" s="1022">
        <f t="shared" ca="1" si="191"/>
        <v>0</v>
      </c>
      <c r="L75" s="1022">
        <f t="shared" ca="1" si="191"/>
        <v>0</v>
      </c>
      <c r="M75" s="1022">
        <f t="shared" ca="1" si="191"/>
        <v>0</v>
      </c>
      <c r="N75" s="1022">
        <f t="shared" ca="1" si="191"/>
        <v>0</v>
      </c>
      <c r="O75" s="1022">
        <f t="shared" ca="1" si="191"/>
        <v>0</v>
      </c>
      <c r="P75" s="1022">
        <f t="shared" ca="1" si="191"/>
        <v>0</v>
      </c>
      <c r="Q75" s="1020">
        <f ca="1">SUM(G75:P75)</f>
        <v>0</v>
      </c>
      <c r="R75" s="743"/>
      <c r="S75" s="1031">
        <f t="shared" ref="S75:BE75" ca="1" si="192">IFERROR(INDEX(INDIRECT($C75&amp;".Outputs["&amp;this.Year&amp;"]"), MATCH(S$5, INDIRECT($C75&amp;".Outputs[Vector]"), 0)), 0)</f>
        <v>0</v>
      </c>
      <c r="T75" s="1031">
        <f t="shared" ca="1" si="192"/>
        <v>0</v>
      </c>
      <c r="U75" s="1031">
        <f t="shared" ca="1" si="192"/>
        <v>0</v>
      </c>
      <c r="V75" s="1031">
        <f t="shared" ca="1" si="192"/>
        <v>0</v>
      </c>
      <c r="W75" s="1031">
        <f t="shared" ca="1" si="192"/>
        <v>0</v>
      </c>
      <c r="X75" s="1031">
        <f ca="1">IFERROR(INDEX(INDIRECT($C75&amp;".Outputs["&amp;this.Year&amp;"]"), MATCH(X$5, INDIRECT($C75&amp;".Outputs[Vector]"), 0)), 0)</f>
        <v>0</v>
      </c>
      <c r="Y75" s="1031">
        <f ca="1">IFERROR(INDEX(INDIRECT($C75&amp;".Outputs["&amp;this.Year&amp;"]"), MATCH(Y$5, INDIRECT($C75&amp;".Outputs[Vector]"), 0)), 0)</f>
        <v>0</v>
      </c>
      <c r="Z75" s="1031">
        <f ca="1">IFERROR(INDEX(INDIRECT($C75&amp;".Outputs["&amp;this.Year&amp;"]"), MATCH(Z$5, INDIRECT($C75&amp;".Outputs[Vector]"), 0)), 0)</f>
        <v>0</v>
      </c>
      <c r="AA75" s="1031">
        <f t="shared" ca="1" si="192"/>
        <v>0</v>
      </c>
      <c r="AB75" s="1031">
        <f t="shared" ca="1" si="192"/>
        <v>0</v>
      </c>
      <c r="AC75" s="1031">
        <f t="shared" ca="1" si="192"/>
        <v>0</v>
      </c>
      <c r="AD75" s="1031">
        <f t="shared" ca="1" si="192"/>
        <v>0</v>
      </c>
      <c r="AE75" s="1031">
        <f t="shared" ca="1" si="192"/>
        <v>0</v>
      </c>
      <c r="AF75" s="1031">
        <f t="shared" ca="1" si="192"/>
        <v>0</v>
      </c>
      <c r="AG75" s="1031">
        <f t="shared" ca="1" si="192"/>
        <v>0</v>
      </c>
      <c r="AH75" s="1031">
        <f t="shared" ca="1" si="192"/>
        <v>0</v>
      </c>
      <c r="AI75" s="1031">
        <f t="shared" ca="1" si="192"/>
        <v>0</v>
      </c>
      <c r="AJ75" s="1031">
        <f t="shared" ca="1" si="192"/>
        <v>0</v>
      </c>
      <c r="AK75" s="1030">
        <f ca="1">SUM(S75:AJ75)</f>
        <v>0</v>
      </c>
      <c r="AL75" s="743"/>
      <c r="AM75" s="1042">
        <f t="shared" ref="AM75:AU75" ca="1" si="193">IFERROR(INDEX(INDIRECT($C75&amp;".Outputs["&amp;this.Year&amp;"]"), MATCH(AM$5, INDIRECT($C75&amp;".Outputs[Vector]"), 0)), 0)</f>
        <v>0</v>
      </c>
      <c r="AN75" s="1042">
        <f t="shared" ca="1" si="193"/>
        <v>0</v>
      </c>
      <c r="AO75" s="1042">
        <f t="shared" ca="1" si="193"/>
        <v>0</v>
      </c>
      <c r="AP75" s="1042">
        <f t="shared" ca="1" si="193"/>
        <v>0</v>
      </c>
      <c r="AQ75" s="1042">
        <f t="shared" ca="1" si="193"/>
        <v>0</v>
      </c>
      <c r="AR75" s="1042">
        <f t="shared" ca="1" si="193"/>
        <v>0</v>
      </c>
      <c r="AS75" s="1042">
        <f t="shared" ca="1" si="193"/>
        <v>0</v>
      </c>
      <c r="AT75" s="1042">
        <f t="shared" ca="1" si="193"/>
        <v>0</v>
      </c>
      <c r="AU75" s="1042">
        <f t="shared" ca="1" si="193"/>
        <v>0</v>
      </c>
      <c r="AV75" s="1042">
        <f t="shared" ca="1" si="192"/>
        <v>0</v>
      </c>
      <c r="AW75" s="1042">
        <f t="shared" ca="1" si="192"/>
        <v>0</v>
      </c>
      <c r="AX75" s="1042">
        <f t="shared" ca="1" si="192"/>
        <v>0</v>
      </c>
      <c r="AY75" s="1042">
        <f t="shared" ca="1" si="192"/>
        <v>0</v>
      </c>
      <c r="AZ75" s="1042">
        <f t="shared" ca="1" si="192"/>
        <v>0</v>
      </c>
      <c r="BA75" s="1042">
        <f t="shared" ca="1" si="192"/>
        <v>0</v>
      </c>
      <c r="BB75" s="1042">
        <f t="shared" ca="1" si="192"/>
        <v>0</v>
      </c>
      <c r="BC75" s="1042">
        <f t="shared" ca="1" si="192"/>
        <v>0</v>
      </c>
      <c r="BD75" s="1042">
        <f t="shared" ca="1" si="192"/>
        <v>0</v>
      </c>
      <c r="BE75" s="1042">
        <f t="shared" ca="1" si="192"/>
        <v>0</v>
      </c>
      <c r="BF75" s="1012">
        <f ca="1">SUM(AM75:BE75)</f>
        <v>0</v>
      </c>
      <c r="BG75" s="743"/>
      <c r="BH75" s="1036">
        <f ca="1">IFERROR(INDEX(INDIRECT($C75&amp;".Outputs["&amp;this.Year&amp;"]"), MATCH(BH$5, INDIRECT($C75&amp;".Outputs[Vector]"), 0)), 0)</f>
        <v>0</v>
      </c>
      <c r="BI75" s="1036">
        <f ca="1">IFERROR(INDEX(INDIRECT($C75&amp;".Outputs["&amp;this.Year&amp;"]"), MATCH(BI$5, INDIRECT($C75&amp;".Outputs[Vector]"), 0)), 0)</f>
        <v>0</v>
      </c>
      <c r="BJ75" s="1035">
        <f ca="1">SUM(BH75:BI75)</f>
        <v>0</v>
      </c>
      <c r="BK75" s="743"/>
      <c r="BL75" s="814">
        <f t="shared" ca="1" si="190"/>
        <v>0</v>
      </c>
      <c r="BM75" s="814"/>
      <c r="BN75" s="840"/>
      <c r="BO75" s="1485">
        <f t="shared" ref="BO75:DF75" ca="1" si="194">IFERROR(SUMIFS(INDIRECT($C75&amp;".Emissions["&amp;this.Year&amp;"]"), INDIRECT($C75&amp;".Emissions[GHG]"), BO$6, INDIRECT($C75&amp;".Emissions[IPCC Sector]"), BO$5),0)</f>
        <v>0</v>
      </c>
      <c r="BP75" s="1486">
        <f t="shared" ca="1" si="194"/>
        <v>0</v>
      </c>
      <c r="BQ75" s="1486">
        <f t="shared" ca="1" si="194"/>
        <v>0</v>
      </c>
      <c r="BR75" s="1486">
        <f t="shared" ca="1" si="194"/>
        <v>0</v>
      </c>
      <c r="BS75" s="1486">
        <f t="shared" ca="1" si="194"/>
        <v>0</v>
      </c>
      <c r="BT75" s="1486">
        <f t="shared" ca="1" si="194"/>
        <v>0</v>
      </c>
      <c r="BU75" s="1486">
        <f t="shared" ca="1" si="194"/>
        <v>0</v>
      </c>
      <c r="BV75" s="1486">
        <f t="shared" ca="1" si="194"/>
        <v>0</v>
      </c>
      <c r="BW75" s="1486">
        <f t="shared" ca="1" si="194"/>
        <v>0</v>
      </c>
      <c r="BX75" s="1486">
        <f t="shared" ca="1" si="194"/>
        <v>0</v>
      </c>
      <c r="BY75" s="1486">
        <f t="shared" ca="1" si="194"/>
        <v>0</v>
      </c>
      <c r="BZ75" s="1486">
        <f t="shared" ca="1" si="194"/>
        <v>0</v>
      </c>
      <c r="CA75" s="1486">
        <f t="shared" ca="1" si="194"/>
        <v>0</v>
      </c>
      <c r="CB75" s="1486">
        <f t="shared" ca="1" si="194"/>
        <v>0</v>
      </c>
      <c r="CC75" s="1486">
        <f t="shared" ca="1" si="194"/>
        <v>0</v>
      </c>
      <c r="CD75" s="1486">
        <f t="shared" ca="1" si="194"/>
        <v>0</v>
      </c>
      <c r="CE75" s="1486">
        <f t="shared" ca="1" si="194"/>
        <v>0</v>
      </c>
      <c r="CF75" s="1486">
        <f t="shared" ca="1" si="194"/>
        <v>0</v>
      </c>
      <c r="CG75" s="1486">
        <f t="shared" ca="1" si="194"/>
        <v>0</v>
      </c>
      <c r="CH75" s="1486">
        <f t="shared" ca="1" si="194"/>
        <v>0</v>
      </c>
      <c r="CI75" s="1486">
        <f t="shared" ca="1" si="194"/>
        <v>0</v>
      </c>
      <c r="CJ75" s="1486">
        <f t="shared" ca="1" si="194"/>
        <v>0</v>
      </c>
      <c r="CK75" s="1486">
        <f t="shared" ca="1" si="194"/>
        <v>0</v>
      </c>
      <c r="CL75" s="1486">
        <f t="shared" ca="1" si="194"/>
        <v>0</v>
      </c>
      <c r="CM75" s="1486">
        <f t="shared" ca="1" si="194"/>
        <v>0</v>
      </c>
      <c r="CN75" s="1486">
        <f t="shared" ca="1" si="194"/>
        <v>0</v>
      </c>
      <c r="CO75" s="1486">
        <f t="shared" ca="1" si="194"/>
        <v>0</v>
      </c>
      <c r="CP75" s="1486">
        <f t="shared" ca="1" si="194"/>
        <v>0</v>
      </c>
      <c r="CQ75" s="1486">
        <f t="shared" ca="1" si="194"/>
        <v>0</v>
      </c>
      <c r="CR75" s="1486">
        <f t="shared" ca="1" si="194"/>
        <v>0</v>
      </c>
      <c r="CS75" s="1486">
        <f t="shared" ca="1" si="194"/>
        <v>0</v>
      </c>
      <c r="CT75" s="1486">
        <f t="shared" ca="1" si="194"/>
        <v>0</v>
      </c>
      <c r="CU75" s="1486">
        <f t="shared" ca="1" si="194"/>
        <v>0</v>
      </c>
      <c r="CV75" s="1486">
        <f t="shared" ca="1" si="194"/>
        <v>0</v>
      </c>
      <c r="CW75" s="1486">
        <f t="shared" ca="1" si="194"/>
        <v>0</v>
      </c>
      <c r="CX75" s="1486">
        <f t="shared" ca="1" si="194"/>
        <v>0</v>
      </c>
      <c r="CY75" s="1486">
        <f t="shared" ca="1" si="194"/>
        <v>0</v>
      </c>
      <c r="CZ75" s="1486">
        <f t="shared" ca="1" si="194"/>
        <v>0</v>
      </c>
      <c r="DA75" s="1486">
        <f t="shared" ca="1" si="194"/>
        <v>0</v>
      </c>
      <c r="DB75" s="1486">
        <f t="shared" ca="1" si="194"/>
        <v>0</v>
      </c>
      <c r="DC75" s="1486">
        <f t="shared" ca="1" si="194"/>
        <v>0</v>
      </c>
      <c r="DD75" s="1486">
        <f t="shared" ca="1" si="194"/>
        <v>0</v>
      </c>
      <c r="DE75" s="1486">
        <f t="shared" ca="1" si="194"/>
        <v>0</v>
      </c>
      <c r="DF75" s="1486">
        <f t="shared" ca="1" si="194"/>
        <v>0</v>
      </c>
      <c r="DH75" s="838">
        <f t="shared" ca="1" si="124"/>
        <v>0</v>
      </c>
    </row>
    <row r="76" spans="1:112" s="743" customFormat="1" ht="15.75" collapsed="1">
      <c r="A76" s="22"/>
      <c r="B76" s="753"/>
      <c r="C76" s="744" t="s">
        <v>75</v>
      </c>
      <c r="D76" s="517" t="str">
        <f>INDEX(Workstreams[Workstream], MATCH($C76, Workstreams[Code], 0))</f>
        <v>Nuclear power generation</v>
      </c>
      <c r="E76" s="512"/>
      <c r="G76" s="1021">
        <f ca="1">G75</f>
        <v>0</v>
      </c>
      <c r="H76" s="1021">
        <f t="shared" ref="H76:P76" ca="1" si="195">H75</f>
        <v>0</v>
      </c>
      <c r="I76" s="1021">
        <f t="shared" ca="1" si="195"/>
        <v>0</v>
      </c>
      <c r="J76" s="1021">
        <f t="shared" ca="1" si="195"/>
        <v>0</v>
      </c>
      <c r="K76" s="1021">
        <f t="shared" ca="1" si="195"/>
        <v>0</v>
      </c>
      <c r="L76" s="1021">
        <f t="shared" ca="1" si="195"/>
        <v>0</v>
      </c>
      <c r="M76" s="1021">
        <f t="shared" ca="1" si="195"/>
        <v>0</v>
      </c>
      <c r="N76" s="1021">
        <f t="shared" ca="1" si="195"/>
        <v>0</v>
      </c>
      <c r="O76" s="1021">
        <f t="shared" ca="1" si="195"/>
        <v>0</v>
      </c>
      <c r="P76" s="1021">
        <f t="shared" ca="1" si="195"/>
        <v>0</v>
      </c>
      <c r="Q76" s="1021">
        <f ca="1">SUM(G76:P76)</f>
        <v>0</v>
      </c>
      <c r="S76" s="970">
        <f t="shared" ref="S76:AJ76" ca="1" si="196">S75</f>
        <v>0</v>
      </c>
      <c r="T76" s="970">
        <f t="shared" ca="1" si="196"/>
        <v>0</v>
      </c>
      <c r="U76" s="970">
        <f t="shared" ca="1" si="196"/>
        <v>0</v>
      </c>
      <c r="V76" s="970">
        <f t="shared" ca="1" si="196"/>
        <v>0</v>
      </c>
      <c r="W76" s="970">
        <f t="shared" ca="1" si="196"/>
        <v>0</v>
      </c>
      <c r="X76" s="970">
        <f t="shared" ca="1" si="196"/>
        <v>0</v>
      </c>
      <c r="Y76" s="970">
        <f t="shared" ca="1" si="196"/>
        <v>0</v>
      </c>
      <c r="Z76" s="970">
        <f t="shared" ca="1" si="196"/>
        <v>0</v>
      </c>
      <c r="AA76" s="970">
        <f t="shared" ca="1" si="196"/>
        <v>0</v>
      </c>
      <c r="AB76" s="970">
        <f t="shared" ca="1" si="196"/>
        <v>0</v>
      </c>
      <c r="AC76" s="970">
        <f t="shared" ca="1" si="196"/>
        <v>0</v>
      </c>
      <c r="AD76" s="970">
        <f ca="1">AD75</f>
        <v>0</v>
      </c>
      <c r="AE76" s="970">
        <f ca="1">AE75</f>
        <v>0</v>
      </c>
      <c r="AF76" s="970">
        <f t="shared" ca="1" si="196"/>
        <v>0</v>
      </c>
      <c r="AG76" s="970">
        <f ca="1">AG75</f>
        <v>0</v>
      </c>
      <c r="AH76" s="970">
        <f ca="1">AH75</f>
        <v>0</v>
      </c>
      <c r="AI76" s="970">
        <f ca="1">AI75</f>
        <v>0</v>
      </c>
      <c r="AJ76" s="970">
        <f t="shared" ca="1" si="196"/>
        <v>0</v>
      </c>
      <c r="AK76" s="970">
        <f ca="1">SUM(S76:AJ76)</f>
        <v>0</v>
      </c>
      <c r="AM76" s="976">
        <f ca="1">AM75</f>
        <v>0</v>
      </c>
      <c r="AN76" s="976">
        <f t="shared" ref="AN76:BE76" ca="1" si="197">AN75</f>
        <v>0</v>
      </c>
      <c r="AO76" s="976">
        <f t="shared" ca="1" si="197"/>
        <v>0</v>
      </c>
      <c r="AP76" s="976">
        <f t="shared" ca="1" si="197"/>
        <v>0</v>
      </c>
      <c r="AQ76" s="976">
        <f t="shared" ca="1" si="197"/>
        <v>0</v>
      </c>
      <c r="AR76" s="976">
        <f t="shared" ca="1" si="197"/>
        <v>0</v>
      </c>
      <c r="AS76" s="976">
        <f t="shared" ca="1" si="197"/>
        <v>0</v>
      </c>
      <c r="AT76" s="976">
        <f t="shared" ca="1" si="197"/>
        <v>0</v>
      </c>
      <c r="AU76" s="976">
        <f t="shared" ca="1" si="197"/>
        <v>0</v>
      </c>
      <c r="AV76" s="976">
        <f t="shared" ca="1" si="197"/>
        <v>0</v>
      </c>
      <c r="AW76" s="976">
        <f t="shared" ca="1" si="197"/>
        <v>0</v>
      </c>
      <c r="AX76" s="976">
        <f t="shared" ca="1" si="197"/>
        <v>0</v>
      </c>
      <c r="AY76" s="976">
        <f t="shared" ca="1" si="197"/>
        <v>0</v>
      </c>
      <c r="AZ76" s="976">
        <f t="shared" ca="1" si="197"/>
        <v>0</v>
      </c>
      <c r="BA76" s="976">
        <f t="shared" ca="1" si="197"/>
        <v>0</v>
      </c>
      <c r="BB76" s="976">
        <f t="shared" ca="1" si="197"/>
        <v>0</v>
      </c>
      <c r="BC76" s="976">
        <f t="shared" ca="1" si="197"/>
        <v>0</v>
      </c>
      <c r="BD76" s="976">
        <f t="shared" ca="1" si="197"/>
        <v>0</v>
      </c>
      <c r="BE76" s="976">
        <f t="shared" ca="1" si="197"/>
        <v>0</v>
      </c>
      <c r="BF76" s="976">
        <f ca="1">SUM(AM76:BE76)</f>
        <v>0</v>
      </c>
      <c r="BH76" s="990">
        <f ca="1">BH75</f>
        <v>0</v>
      </c>
      <c r="BI76" s="990">
        <f ca="1">BI75</f>
        <v>0</v>
      </c>
      <c r="BJ76" s="990">
        <f ca="1">SUM(BH76:BI76)</f>
        <v>0</v>
      </c>
      <c r="BL76" s="515">
        <f t="shared" ca="1" si="190"/>
        <v>0</v>
      </c>
      <c r="BM76" s="515"/>
      <c r="BN76" s="840"/>
      <c r="BO76" s="1482">
        <f t="shared" ref="BO76:DF76" ca="1" si="198">BO75</f>
        <v>0</v>
      </c>
      <c r="BP76" s="1482">
        <f t="shared" ca="1" si="198"/>
        <v>0</v>
      </c>
      <c r="BQ76" s="1482">
        <f t="shared" ca="1" si="198"/>
        <v>0</v>
      </c>
      <c r="BR76" s="1482">
        <f t="shared" ca="1" si="198"/>
        <v>0</v>
      </c>
      <c r="BS76" s="1482">
        <f t="shared" ca="1" si="198"/>
        <v>0</v>
      </c>
      <c r="BT76" s="1482">
        <f t="shared" ca="1" si="198"/>
        <v>0</v>
      </c>
      <c r="BU76" s="1482">
        <f t="shared" ca="1" si="198"/>
        <v>0</v>
      </c>
      <c r="BV76" s="1482">
        <f t="shared" ca="1" si="198"/>
        <v>0</v>
      </c>
      <c r="BW76" s="1482">
        <f t="shared" ca="1" si="198"/>
        <v>0</v>
      </c>
      <c r="BX76" s="1482">
        <f t="shared" ca="1" si="198"/>
        <v>0</v>
      </c>
      <c r="BY76" s="1482">
        <f t="shared" ca="1" si="198"/>
        <v>0</v>
      </c>
      <c r="BZ76" s="1482">
        <f t="shared" ca="1" si="198"/>
        <v>0</v>
      </c>
      <c r="CA76" s="1482">
        <f t="shared" ca="1" si="198"/>
        <v>0</v>
      </c>
      <c r="CB76" s="1482">
        <f t="shared" ca="1" si="198"/>
        <v>0</v>
      </c>
      <c r="CC76" s="1482">
        <f t="shared" ca="1" si="198"/>
        <v>0</v>
      </c>
      <c r="CD76" s="1482">
        <f t="shared" ca="1" si="198"/>
        <v>0</v>
      </c>
      <c r="CE76" s="1482">
        <f t="shared" ca="1" si="198"/>
        <v>0</v>
      </c>
      <c r="CF76" s="1482">
        <f t="shared" ca="1" si="198"/>
        <v>0</v>
      </c>
      <c r="CG76" s="1482">
        <f t="shared" ca="1" si="198"/>
        <v>0</v>
      </c>
      <c r="CH76" s="1482">
        <f t="shared" ca="1" si="198"/>
        <v>0</v>
      </c>
      <c r="CI76" s="1482">
        <f t="shared" ca="1" si="198"/>
        <v>0</v>
      </c>
      <c r="CJ76" s="1482">
        <f t="shared" ca="1" si="198"/>
        <v>0</v>
      </c>
      <c r="CK76" s="1482">
        <f t="shared" ca="1" si="198"/>
        <v>0</v>
      </c>
      <c r="CL76" s="1482">
        <f t="shared" ca="1" si="198"/>
        <v>0</v>
      </c>
      <c r="CM76" s="1482">
        <f t="shared" ca="1" si="198"/>
        <v>0</v>
      </c>
      <c r="CN76" s="1482">
        <f t="shared" ca="1" si="198"/>
        <v>0</v>
      </c>
      <c r="CO76" s="1482">
        <f t="shared" ca="1" si="198"/>
        <v>0</v>
      </c>
      <c r="CP76" s="1482">
        <f t="shared" ca="1" si="198"/>
        <v>0</v>
      </c>
      <c r="CQ76" s="1482">
        <f t="shared" ca="1" si="198"/>
        <v>0</v>
      </c>
      <c r="CR76" s="1482">
        <f t="shared" ca="1" si="198"/>
        <v>0</v>
      </c>
      <c r="CS76" s="1482">
        <f t="shared" ca="1" si="198"/>
        <v>0</v>
      </c>
      <c r="CT76" s="1482">
        <f t="shared" ca="1" si="198"/>
        <v>0</v>
      </c>
      <c r="CU76" s="1482">
        <f t="shared" ca="1" si="198"/>
        <v>0</v>
      </c>
      <c r="CV76" s="1482">
        <f t="shared" ca="1" si="198"/>
        <v>0</v>
      </c>
      <c r="CW76" s="1482">
        <f t="shared" ca="1" si="198"/>
        <v>0</v>
      </c>
      <c r="CX76" s="1482">
        <f t="shared" ca="1" si="198"/>
        <v>0</v>
      </c>
      <c r="CY76" s="1482">
        <f t="shared" ca="1" si="198"/>
        <v>0</v>
      </c>
      <c r="CZ76" s="1482">
        <f t="shared" ca="1" si="198"/>
        <v>0</v>
      </c>
      <c r="DA76" s="1482">
        <f t="shared" ca="1" si="198"/>
        <v>0</v>
      </c>
      <c r="DB76" s="1482">
        <f t="shared" ca="1" si="198"/>
        <v>0</v>
      </c>
      <c r="DC76" s="1482">
        <f t="shared" ca="1" si="198"/>
        <v>0</v>
      </c>
      <c r="DD76" s="1482">
        <f t="shared" ca="1" si="198"/>
        <v>0</v>
      </c>
      <c r="DE76" s="1482">
        <f t="shared" ca="1" si="198"/>
        <v>0</v>
      </c>
      <c r="DF76" s="1482">
        <f t="shared" ca="1" si="198"/>
        <v>0</v>
      </c>
      <c r="DH76" s="838">
        <f t="shared" ca="1" si="124"/>
        <v>0</v>
      </c>
    </row>
    <row r="77" spans="1:112" s="743" customFormat="1" ht="12.75" hidden="1" customHeight="1" outlineLevel="1">
      <c r="A77" s="22"/>
      <c r="B77" s="22"/>
      <c r="C77" s="751"/>
      <c r="D77" s="512"/>
      <c r="E77" s="512"/>
      <c r="G77" s="958"/>
      <c r="H77" s="958"/>
      <c r="I77" s="958"/>
      <c r="J77" s="958"/>
      <c r="K77" s="960"/>
      <c r="L77" s="958"/>
      <c r="M77" s="958"/>
      <c r="N77" s="958"/>
      <c r="O77" s="958"/>
      <c r="P77" s="958"/>
      <c r="Q77" s="958"/>
      <c r="S77" s="970"/>
      <c r="T77" s="970"/>
      <c r="U77" s="970"/>
      <c r="V77" s="970"/>
      <c r="W77" s="970"/>
      <c r="X77" s="970"/>
      <c r="Y77" s="970"/>
      <c r="Z77" s="970"/>
      <c r="AA77" s="970"/>
      <c r="AB77" s="970"/>
      <c r="AC77" s="970"/>
      <c r="AD77" s="970"/>
      <c r="AE77" s="970"/>
      <c r="AF77" s="970"/>
      <c r="AG77" s="970"/>
      <c r="AH77" s="970"/>
      <c r="AI77" s="970"/>
      <c r="AJ77" s="970"/>
      <c r="AK77" s="970"/>
      <c r="AM77" s="976"/>
      <c r="AN77" s="976"/>
      <c r="AO77" s="976"/>
      <c r="AP77" s="976"/>
      <c r="AQ77" s="976"/>
      <c r="AR77" s="976"/>
      <c r="AS77" s="976"/>
      <c r="AT77" s="976"/>
      <c r="AU77" s="976"/>
      <c r="AV77" s="976"/>
      <c r="AW77" s="976"/>
      <c r="AX77" s="976"/>
      <c r="AY77" s="976"/>
      <c r="AZ77" s="976"/>
      <c r="BA77" s="976"/>
      <c r="BB77" s="976"/>
      <c r="BC77" s="976"/>
      <c r="BD77" s="976"/>
      <c r="BE77" s="976"/>
      <c r="BF77" s="976"/>
      <c r="BH77" s="990"/>
      <c r="BI77" s="990"/>
      <c r="BJ77" s="990"/>
      <c r="BL77" s="515">
        <f t="shared" si="190"/>
        <v>0</v>
      </c>
      <c r="BM77" s="515"/>
      <c r="BN77" s="22"/>
      <c r="BO77" s="1482"/>
      <c r="BP77" s="1482"/>
      <c r="BQ77" s="1482"/>
      <c r="BR77" s="1482"/>
      <c r="BS77" s="1482"/>
      <c r="BT77" s="1482"/>
      <c r="BU77" s="1482"/>
      <c r="BV77" s="1482"/>
      <c r="BW77" s="1482"/>
      <c r="BX77" s="1482"/>
      <c r="BY77" s="1482"/>
      <c r="BZ77" s="1482"/>
      <c r="CA77" s="1482"/>
      <c r="CB77" s="1482"/>
      <c r="CC77" s="1482"/>
      <c r="CD77" s="1482"/>
      <c r="CE77" s="1482"/>
      <c r="CF77" s="1482"/>
      <c r="CG77" s="1482"/>
      <c r="CH77" s="1482"/>
      <c r="CI77" s="1482"/>
      <c r="CJ77" s="1482"/>
      <c r="CK77" s="1482"/>
      <c r="CL77" s="1482"/>
      <c r="CM77" s="1482"/>
      <c r="CN77" s="1482"/>
      <c r="CO77" s="1482"/>
      <c r="CP77" s="1482"/>
      <c r="CQ77" s="1482"/>
      <c r="CR77" s="1482"/>
      <c r="CS77" s="1482"/>
      <c r="CT77" s="1482"/>
      <c r="CU77" s="1482"/>
      <c r="CV77" s="1482"/>
      <c r="CW77" s="1482"/>
      <c r="CX77" s="1482"/>
      <c r="CY77" s="1482"/>
      <c r="CZ77" s="1482"/>
      <c r="DA77" s="1482"/>
      <c r="DB77" s="1482"/>
      <c r="DC77" s="1482"/>
      <c r="DD77" s="1482"/>
      <c r="DE77" s="1482"/>
      <c r="DF77" s="1482"/>
      <c r="DH77" s="838">
        <f t="shared" si="124"/>
        <v>0</v>
      </c>
    </row>
    <row r="78" spans="1:112" s="1488" customFormat="1" ht="12.75" hidden="1" customHeight="1" outlineLevel="1">
      <c r="C78" s="1048" t="s">
        <v>1720</v>
      </c>
      <c r="D78" s="1049" t="s">
        <v>1334</v>
      </c>
      <c r="E78" s="1049"/>
      <c r="F78" s="743"/>
      <c r="G78" s="1050"/>
      <c r="H78" s="1050"/>
      <c r="I78" s="1050"/>
      <c r="J78" s="1050"/>
      <c r="K78" s="1051"/>
      <c r="L78" s="1050"/>
      <c r="M78" s="1050"/>
      <c r="N78" s="1050"/>
      <c r="O78" s="1050"/>
      <c r="P78" s="1050"/>
      <c r="Q78" s="1050"/>
      <c r="R78" s="743"/>
      <c r="S78" s="1052">
        <f ca="1">S$74+S$76</f>
        <v>-450.96633210645444</v>
      </c>
      <c r="T78" s="1052">
        <f ca="1">T$74+T$76</f>
        <v>-29.582612569535051</v>
      </c>
      <c r="U78" s="1052"/>
      <c r="V78" s="1052"/>
      <c r="W78" s="1052"/>
      <c r="X78" s="1052"/>
      <c r="Y78" s="1052"/>
      <c r="Z78" s="1052"/>
      <c r="AA78" s="1052"/>
      <c r="AB78" s="1052"/>
      <c r="AC78" s="1052"/>
      <c r="AD78" s="1052"/>
      <c r="AE78" s="1052"/>
      <c r="AF78" s="1052"/>
      <c r="AG78" s="1052"/>
      <c r="AH78" s="1052"/>
      <c r="AI78" s="1052"/>
      <c r="AJ78" s="1052"/>
      <c r="AK78" s="1052"/>
      <c r="AL78" s="743"/>
      <c r="AM78" s="1053"/>
      <c r="AN78" s="1053"/>
      <c r="AO78" s="1053"/>
      <c r="AP78" s="1053"/>
      <c r="AQ78" s="1053"/>
      <c r="AR78" s="1053"/>
      <c r="AS78" s="1053"/>
      <c r="AT78" s="1053"/>
      <c r="AU78" s="1053"/>
      <c r="AV78" s="1053"/>
      <c r="AW78" s="1053"/>
      <c r="AX78" s="1053"/>
      <c r="AY78" s="1053"/>
      <c r="AZ78" s="1053"/>
      <c r="BA78" s="1053"/>
      <c r="BB78" s="1053"/>
      <c r="BC78" s="1053"/>
      <c r="BD78" s="1053"/>
      <c r="BE78" s="1053"/>
      <c r="BF78" s="1053"/>
      <c r="BG78" s="743"/>
      <c r="BH78" s="1054"/>
      <c r="BI78" s="1054"/>
      <c r="BJ78" s="1054"/>
      <c r="BK78" s="743"/>
      <c r="BL78" s="852">
        <f t="shared" si="190"/>
        <v>0</v>
      </c>
      <c r="BM78" s="852"/>
      <c r="BO78" s="1490"/>
      <c r="BP78" s="1490"/>
      <c r="BQ78" s="1490"/>
      <c r="BR78" s="1490"/>
      <c r="BS78" s="1490"/>
      <c r="BT78" s="1490"/>
      <c r="BU78" s="1490"/>
      <c r="BV78" s="1490"/>
      <c r="BW78" s="1490"/>
      <c r="BX78" s="1490"/>
      <c r="BY78" s="1490"/>
      <c r="BZ78" s="1490"/>
      <c r="CA78" s="1490"/>
      <c r="CB78" s="1490"/>
      <c r="CC78" s="1490"/>
      <c r="CD78" s="1490"/>
      <c r="CE78" s="1490"/>
      <c r="CF78" s="1490"/>
      <c r="CG78" s="1490"/>
      <c r="CH78" s="1490"/>
      <c r="CI78" s="1490"/>
      <c r="CJ78" s="1490"/>
      <c r="CK78" s="1490"/>
      <c r="CL78" s="1490"/>
      <c r="CM78" s="1490"/>
      <c r="CN78" s="1490"/>
      <c r="CO78" s="1490"/>
      <c r="CP78" s="1490"/>
      <c r="CQ78" s="1490"/>
      <c r="CR78" s="1490"/>
      <c r="CS78" s="1490"/>
      <c r="CT78" s="1490"/>
      <c r="CU78" s="1490"/>
      <c r="CV78" s="1490"/>
      <c r="CW78" s="1490"/>
      <c r="CX78" s="1490"/>
      <c r="CY78" s="1490"/>
      <c r="CZ78" s="1490"/>
      <c r="DA78" s="1490"/>
      <c r="DB78" s="1490"/>
      <c r="DC78" s="1490"/>
      <c r="DD78" s="1490"/>
      <c r="DE78" s="1490"/>
      <c r="DF78" s="1490"/>
      <c r="DH78" s="838">
        <f t="shared" si="124"/>
        <v>0</v>
      </c>
    </row>
    <row r="79" spans="1:112" s="1484" customFormat="1" ht="12.75" hidden="1" customHeight="1" outlineLevel="1">
      <c r="C79" s="746" t="s">
        <v>878</v>
      </c>
      <c r="D79" s="521" t="str">
        <f>INDEX(Modules[Module], MATCH($C79, Modules[Code], 0))</f>
        <v>Combustion + CCS</v>
      </c>
      <c r="E79" s="521"/>
      <c r="F79" s="743"/>
      <c r="G79" s="2013">
        <f t="shared" ref="G79:P79" ca="1" si="199">IFERROR(INDEX(INDIRECT($C79&amp;".Outputs["&amp;this.Year&amp;"]"), MATCH(G$5, INDIRECT($C79&amp;".Outputs[Vector]"), 0)), 0)</f>
        <v>0</v>
      </c>
      <c r="H79" s="2013">
        <f t="shared" ca="1" si="199"/>
        <v>0</v>
      </c>
      <c r="I79" s="2013">
        <f t="shared" ca="1" si="199"/>
        <v>0</v>
      </c>
      <c r="J79" s="2013">
        <f t="shared" ca="1" si="199"/>
        <v>0</v>
      </c>
      <c r="K79" s="2013">
        <f t="shared" ca="1" si="199"/>
        <v>0</v>
      </c>
      <c r="L79" s="2013">
        <f t="shared" ca="1" si="199"/>
        <v>0</v>
      </c>
      <c r="M79" s="2013">
        <f t="shared" ca="1" si="199"/>
        <v>0</v>
      </c>
      <c r="N79" s="2013">
        <f t="shared" ca="1" si="199"/>
        <v>0</v>
      </c>
      <c r="O79" s="2013">
        <f t="shared" ca="1" si="199"/>
        <v>0</v>
      </c>
      <c r="P79" s="2013">
        <f t="shared" ca="1" si="199"/>
        <v>0</v>
      </c>
      <c r="Q79" s="2014">
        <f ca="1">SUM(G79:P79)</f>
        <v>0</v>
      </c>
      <c r="R79" s="743"/>
      <c r="S79" s="2015">
        <f t="shared" ref="S79:BE79" ca="1" si="200">IFERROR(INDEX(INDIRECT($C79&amp;".Outputs["&amp;this.Year&amp;"]"), MATCH(S$5, INDIRECT($C79&amp;".Outputs[Vector]"), 0)), 0)</f>
        <v>0</v>
      </c>
      <c r="T79" s="2015">
        <f t="shared" ca="1" si="200"/>
        <v>9.8354520000000019</v>
      </c>
      <c r="U79" s="2015">
        <f t="shared" ca="1" si="200"/>
        <v>-27.686001407459539</v>
      </c>
      <c r="V79" s="2015">
        <f t="shared" ca="1" si="200"/>
        <v>0</v>
      </c>
      <c r="W79" s="2015">
        <f t="shared" ca="1" si="200"/>
        <v>0</v>
      </c>
      <c r="X79" s="2015">
        <f ca="1">IFERROR(INDEX(INDIRECT($C79&amp;".Outputs["&amp;this.Year&amp;"]"), MATCH(X$5, INDIRECT($C79&amp;".Outputs[Vector]"), 0)), 0)</f>
        <v>0</v>
      </c>
      <c r="Y79" s="2015">
        <f ca="1">IFERROR(INDEX(INDIRECT($C79&amp;".Outputs["&amp;this.Year&amp;"]"), MATCH(Y$5, INDIRECT($C79&amp;".Outputs[Vector]"), 0)), 0)</f>
        <v>0</v>
      </c>
      <c r="Z79" s="2015">
        <f ca="1">IFERROR(INDEX(INDIRECT($C79&amp;".Outputs["&amp;this.Year&amp;"]"), MATCH(Z$5, INDIRECT($C79&amp;".Outputs[Vector]"), 0)), 0)</f>
        <v>0</v>
      </c>
      <c r="AA79" s="2015">
        <f t="shared" ca="1" si="200"/>
        <v>0</v>
      </c>
      <c r="AB79" s="2015">
        <f t="shared" ca="1" si="200"/>
        <v>0</v>
      </c>
      <c r="AC79" s="2015">
        <f t="shared" ca="1" si="200"/>
        <v>0</v>
      </c>
      <c r="AD79" s="2015">
        <f t="shared" ca="1" si="200"/>
        <v>0</v>
      </c>
      <c r="AE79" s="2015">
        <f t="shared" ca="1" si="200"/>
        <v>0</v>
      </c>
      <c r="AF79" s="2015">
        <f t="shared" ca="1" si="200"/>
        <v>0</v>
      </c>
      <c r="AG79" s="2015">
        <f t="shared" ca="1" si="200"/>
        <v>0</v>
      </c>
      <c r="AH79" s="2015">
        <f t="shared" ca="1" si="200"/>
        <v>0</v>
      </c>
      <c r="AI79" s="2015">
        <f t="shared" ca="1" si="200"/>
        <v>0</v>
      </c>
      <c r="AJ79" s="2015">
        <f t="shared" ca="1" si="200"/>
        <v>0</v>
      </c>
      <c r="AK79" s="2016">
        <f ca="1">SUM(S79:AJ79)</f>
        <v>-17.850549407459539</v>
      </c>
      <c r="AL79" s="743"/>
      <c r="AM79" s="2017">
        <f t="shared" ref="AM79:AU79" ca="1" si="201">IFERROR(INDEX(INDIRECT($C79&amp;".Outputs["&amp;this.Year&amp;"]"), MATCH(AM$5, INDIRECT($C79&amp;".Outputs[Vector]"), 0)), 0)</f>
        <v>0</v>
      </c>
      <c r="AN79" s="2017">
        <f t="shared" ca="1" si="201"/>
        <v>0</v>
      </c>
      <c r="AO79" s="2017">
        <f t="shared" ca="1" si="201"/>
        <v>0</v>
      </c>
      <c r="AP79" s="2017">
        <f t="shared" ca="1" si="201"/>
        <v>0</v>
      </c>
      <c r="AQ79" s="2017">
        <f t="shared" ca="1" si="201"/>
        <v>0</v>
      </c>
      <c r="AR79" s="2017">
        <f t="shared" ca="1" si="201"/>
        <v>0</v>
      </c>
      <c r="AS79" s="2017">
        <f t="shared" ca="1" si="201"/>
        <v>0</v>
      </c>
      <c r="AT79" s="2017">
        <f t="shared" ca="1" si="201"/>
        <v>0</v>
      </c>
      <c r="AU79" s="2017">
        <f t="shared" ca="1" si="201"/>
        <v>0</v>
      </c>
      <c r="AV79" s="2017">
        <f t="shared" ca="1" si="200"/>
        <v>0</v>
      </c>
      <c r="AW79" s="2017">
        <f t="shared" ca="1" si="200"/>
        <v>0</v>
      </c>
      <c r="AX79" s="2017">
        <f t="shared" ca="1" si="200"/>
        <v>0</v>
      </c>
      <c r="AY79" s="2017">
        <f t="shared" ca="1" si="200"/>
        <v>0</v>
      </c>
      <c r="AZ79" s="2017">
        <f t="shared" ca="1" si="200"/>
        <v>0</v>
      </c>
      <c r="BA79" s="2017">
        <f t="shared" ca="1" si="200"/>
        <v>0</v>
      </c>
      <c r="BB79" s="2017">
        <f t="shared" ca="1" si="200"/>
        <v>0</v>
      </c>
      <c r="BC79" s="2017">
        <f t="shared" ca="1" si="200"/>
        <v>0</v>
      </c>
      <c r="BD79" s="2017">
        <f t="shared" ca="1" si="200"/>
        <v>0</v>
      </c>
      <c r="BE79" s="2017">
        <f t="shared" ca="1" si="200"/>
        <v>0</v>
      </c>
      <c r="BF79" s="2018">
        <f ca="1">SUM(AM79:BE79)</f>
        <v>0</v>
      </c>
      <c r="BG79" s="743"/>
      <c r="BH79" s="2019">
        <f ca="1">IFERROR(INDEX(INDIRECT($C79&amp;".Outputs["&amp;this.Year&amp;"]"), MATCH(BH$5, INDIRECT($C79&amp;".Outputs[Vector]"), 0)), 0)</f>
        <v>14.912687121745252</v>
      </c>
      <c r="BI79" s="2019">
        <f ca="1">IFERROR(INDEX(INDIRECT($C79&amp;".Outputs["&amp;this.Year&amp;"]"), MATCH(BI$5, INDIRECT($C79&amp;".Outputs[Vector]"), 0)), 0)</f>
        <v>2.937862285714286</v>
      </c>
      <c r="BJ79" s="2020">
        <f ca="1">SUM(BH79:BI79)</f>
        <v>17.850549407459539</v>
      </c>
      <c r="BK79" s="743"/>
      <c r="BL79" s="814">
        <f t="shared" ca="1" si="190"/>
        <v>0</v>
      </c>
      <c r="BM79" s="814"/>
      <c r="BN79" s="840"/>
      <c r="BO79" s="1481">
        <f t="shared" ref="BO79:DF79" ca="1" si="202">IFERROR(SUMIFS(INDIRECT($C79&amp;".Emissions["&amp;this.Year&amp;"]"), INDIRECT($C79&amp;".Emissions[GHG]"), BO$6, INDIRECT($C79&amp;".Emissions[IPCC Sector]"), BO$5),0)</f>
        <v>8.527288433497537</v>
      </c>
      <c r="BP79" s="1482">
        <f t="shared" ca="1" si="202"/>
        <v>2.5050091858696638E-2</v>
      </c>
      <c r="BQ79" s="1482">
        <f t="shared" ca="1" si="202"/>
        <v>7.5539099167940729E-2</v>
      </c>
      <c r="BR79" s="1482">
        <f t="shared" ca="1" si="202"/>
        <v>0</v>
      </c>
      <c r="BS79" s="1482">
        <f t="shared" ca="1" si="202"/>
        <v>0</v>
      </c>
      <c r="BT79" s="1482">
        <f t="shared" ca="1" si="202"/>
        <v>0</v>
      </c>
      <c r="BU79" s="1482">
        <f t="shared" ca="1" si="202"/>
        <v>0</v>
      </c>
      <c r="BV79" s="1482">
        <f t="shared" ca="1" si="202"/>
        <v>0</v>
      </c>
      <c r="BW79" s="1482">
        <f t="shared" ca="1" si="202"/>
        <v>0</v>
      </c>
      <c r="BX79" s="1482">
        <f t="shared" ca="1" si="202"/>
        <v>0</v>
      </c>
      <c r="BY79" s="1482">
        <f t="shared" ca="1" si="202"/>
        <v>0</v>
      </c>
      <c r="BZ79" s="1482">
        <f t="shared" ca="1" si="202"/>
        <v>0</v>
      </c>
      <c r="CA79" s="1482">
        <f t="shared" ca="1" si="202"/>
        <v>0</v>
      </c>
      <c r="CB79" s="1482">
        <f t="shared" ca="1" si="202"/>
        <v>0</v>
      </c>
      <c r="CC79" s="1482">
        <f t="shared" ca="1" si="202"/>
        <v>0</v>
      </c>
      <c r="CD79" s="1482">
        <f t="shared" ca="1" si="202"/>
        <v>0</v>
      </c>
      <c r="CE79" s="1482">
        <f t="shared" ca="1" si="202"/>
        <v>0</v>
      </c>
      <c r="CF79" s="1482">
        <f t="shared" ca="1" si="202"/>
        <v>0</v>
      </c>
      <c r="CG79" s="1482">
        <f t="shared" ca="1" si="202"/>
        <v>0</v>
      </c>
      <c r="CH79" s="1482">
        <f t="shared" ca="1" si="202"/>
        <v>0</v>
      </c>
      <c r="CI79" s="1482">
        <f t="shared" ca="1" si="202"/>
        <v>0</v>
      </c>
      <c r="CJ79" s="1482">
        <f t="shared" ca="1" si="202"/>
        <v>0</v>
      </c>
      <c r="CK79" s="1482">
        <f t="shared" ca="1" si="202"/>
        <v>0</v>
      </c>
      <c r="CL79" s="1482">
        <f t="shared" ca="1" si="202"/>
        <v>0</v>
      </c>
      <c r="CM79" s="1482">
        <f t="shared" ca="1" si="202"/>
        <v>0</v>
      </c>
      <c r="CN79" s="1482">
        <f t="shared" ca="1" si="202"/>
        <v>0</v>
      </c>
      <c r="CO79" s="1482">
        <f t="shared" ca="1" si="202"/>
        <v>0</v>
      </c>
      <c r="CP79" s="1482">
        <f t="shared" ca="1" si="202"/>
        <v>0</v>
      </c>
      <c r="CQ79" s="1482">
        <f t="shared" ca="1" si="202"/>
        <v>0</v>
      </c>
      <c r="CR79" s="1482">
        <f t="shared" ca="1" si="202"/>
        <v>0</v>
      </c>
      <c r="CS79" s="1482">
        <f t="shared" ca="1" si="202"/>
        <v>0</v>
      </c>
      <c r="CT79" s="1482">
        <f t="shared" ca="1" si="202"/>
        <v>0</v>
      </c>
      <c r="CU79" s="1482">
        <f t="shared" ca="1" si="202"/>
        <v>0</v>
      </c>
      <c r="CV79" s="1482">
        <f t="shared" ca="1" si="202"/>
        <v>0</v>
      </c>
      <c r="CW79" s="1482">
        <f t="shared" ca="1" si="202"/>
        <v>0</v>
      </c>
      <c r="CX79" s="1482">
        <f t="shared" ca="1" si="202"/>
        <v>0</v>
      </c>
      <c r="CY79" s="1482">
        <f t="shared" ca="1" si="202"/>
        <v>0</v>
      </c>
      <c r="CZ79" s="1482">
        <f t="shared" ca="1" si="202"/>
        <v>0</v>
      </c>
      <c r="DA79" s="1482">
        <f t="shared" ca="1" si="202"/>
        <v>0</v>
      </c>
      <c r="DB79" s="1482">
        <f t="shared" ca="1" si="202"/>
        <v>0</v>
      </c>
      <c r="DC79" s="1482">
        <f t="shared" ca="1" si="202"/>
        <v>-7.6745595901477834</v>
      </c>
      <c r="DD79" s="1482">
        <f t="shared" ca="1" si="202"/>
        <v>0</v>
      </c>
      <c r="DE79" s="1482">
        <f t="shared" ca="1" si="202"/>
        <v>0</v>
      </c>
      <c r="DF79" s="1482">
        <f t="shared" ca="1" si="202"/>
        <v>0</v>
      </c>
      <c r="DH79" s="838">
        <f t="shared" ca="1" si="124"/>
        <v>0.95331803437639095</v>
      </c>
    </row>
    <row r="80" spans="1:112" s="1491" customFormat="1" ht="12.75" hidden="1" customHeight="1" outlineLevel="1">
      <c r="C80" s="1534" t="s">
        <v>1721</v>
      </c>
      <c r="D80" s="1049" t="s">
        <v>1334</v>
      </c>
      <c r="E80" s="1535"/>
      <c r="F80" s="1957"/>
      <c r="G80" s="1070"/>
      <c r="H80" s="1070"/>
      <c r="I80" s="1070"/>
      <c r="J80" s="1070"/>
      <c r="K80" s="1071"/>
      <c r="L80" s="1070"/>
      <c r="M80" s="1070"/>
      <c r="N80" s="1070"/>
      <c r="O80" s="1070"/>
      <c r="P80" s="1070"/>
      <c r="Q80" s="1070"/>
      <c r="R80" s="1957"/>
      <c r="S80" s="1072">
        <f ca="1">S78+S79</f>
        <v>-450.96633210645444</v>
      </c>
      <c r="T80" s="1072">
        <f ca="1">T78+T79</f>
        <v>-19.747160569535048</v>
      </c>
      <c r="U80" s="1072"/>
      <c r="V80" s="1072"/>
      <c r="W80" s="1072"/>
      <c r="X80" s="1072"/>
      <c r="Y80" s="1072"/>
      <c r="Z80" s="1072"/>
      <c r="AA80" s="1072"/>
      <c r="AB80" s="1072"/>
      <c r="AC80" s="1072"/>
      <c r="AD80" s="1072"/>
      <c r="AE80" s="1072"/>
      <c r="AF80" s="1072"/>
      <c r="AG80" s="1072"/>
      <c r="AH80" s="1072"/>
      <c r="AI80" s="1072"/>
      <c r="AJ80" s="1072"/>
      <c r="AK80" s="1072"/>
      <c r="AL80" s="1957"/>
      <c r="AM80" s="1073"/>
      <c r="AN80" s="1073"/>
      <c r="AO80" s="1073"/>
      <c r="AP80" s="1073"/>
      <c r="AQ80" s="1073"/>
      <c r="AR80" s="1073"/>
      <c r="AS80" s="1073"/>
      <c r="AT80" s="1073"/>
      <c r="AU80" s="1073"/>
      <c r="AV80" s="1073"/>
      <c r="AW80" s="1073"/>
      <c r="AX80" s="1073"/>
      <c r="AY80" s="1073"/>
      <c r="AZ80" s="1073"/>
      <c r="BA80" s="1073"/>
      <c r="BB80" s="1073"/>
      <c r="BC80" s="1073"/>
      <c r="BD80" s="1073"/>
      <c r="BE80" s="1073"/>
      <c r="BF80" s="1073"/>
      <c r="BG80" s="1957"/>
      <c r="BH80" s="1074"/>
      <c r="BI80" s="1074"/>
      <c r="BJ80" s="1074"/>
      <c r="BK80" s="1957"/>
      <c r="BL80" s="1536">
        <f t="shared" si="190"/>
        <v>0</v>
      </c>
      <c r="BM80" s="1536"/>
      <c r="BO80" s="1963"/>
      <c r="BP80" s="1963"/>
      <c r="BQ80" s="1963"/>
      <c r="BR80" s="1963"/>
      <c r="BS80" s="1963"/>
      <c r="BT80" s="1963"/>
      <c r="BU80" s="1963"/>
      <c r="BV80" s="1963"/>
      <c r="BW80" s="1963"/>
      <c r="BX80" s="1963"/>
      <c r="BY80" s="1963"/>
      <c r="BZ80" s="1963"/>
      <c r="CA80" s="1963"/>
      <c r="CB80" s="1963"/>
      <c r="CC80" s="1963"/>
      <c r="CD80" s="1963"/>
      <c r="CE80" s="1963"/>
      <c r="CF80" s="1963"/>
      <c r="CG80" s="1963"/>
      <c r="CH80" s="1963"/>
      <c r="CI80" s="1963"/>
      <c r="CJ80" s="1963"/>
      <c r="CK80" s="1963"/>
      <c r="CL80" s="1963"/>
      <c r="CM80" s="1963"/>
      <c r="CN80" s="1963"/>
      <c r="CO80" s="1963"/>
      <c r="CP80" s="1963"/>
      <c r="CQ80" s="1963"/>
      <c r="CR80" s="1963"/>
      <c r="CS80" s="1963"/>
      <c r="CT80" s="1963"/>
      <c r="CU80" s="1963"/>
      <c r="CV80" s="1963"/>
      <c r="CW80" s="1963"/>
      <c r="CX80" s="1963"/>
      <c r="CY80" s="1963"/>
      <c r="CZ80" s="1963"/>
      <c r="DA80" s="1963"/>
      <c r="DB80" s="1963"/>
      <c r="DC80" s="1963"/>
      <c r="DD80" s="1963"/>
      <c r="DE80" s="1963"/>
      <c r="DF80" s="1963"/>
      <c r="DH80" s="1962">
        <f t="shared" si="124"/>
        <v>0</v>
      </c>
    </row>
    <row r="81" spans="1:112" s="1484" customFormat="1" ht="12.75" hidden="1" customHeight="1" outlineLevel="1">
      <c r="C81" s="746" t="s">
        <v>742</v>
      </c>
      <c r="D81" s="521" t="str">
        <f>INDEX(Modules[Module], MATCH($C81, Modules[Code], 0))</f>
        <v>Conventional thermal plant</v>
      </c>
      <c r="E81" s="521"/>
      <c r="F81" s="743"/>
      <c r="G81" s="1022">
        <f t="shared" ref="G81:P81" ca="1" si="203">IFERROR(INDEX(INDIRECT($C81&amp;".Outputs["&amp;this.Year&amp;"]"), MATCH(G$5, INDIRECT($C81&amp;".Outputs[Vector]"), 0)), 0)</f>
        <v>0</v>
      </c>
      <c r="H81" s="1022">
        <f t="shared" ca="1" si="203"/>
        <v>0</v>
      </c>
      <c r="I81" s="1022">
        <f t="shared" ca="1" si="203"/>
        <v>0</v>
      </c>
      <c r="J81" s="1022">
        <f t="shared" ca="1" si="203"/>
        <v>0</v>
      </c>
      <c r="K81" s="1022">
        <f t="shared" ca="1" si="203"/>
        <v>0</v>
      </c>
      <c r="L81" s="1022">
        <f t="shared" ca="1" si="203"/>
        <v>0</v>
      </c>
      <c r="M81" s="1022">
        <f t="shared" ca="1" si="203"/>
        <v>0</v>
      </c>
      <c r="N81" s="1022">
        <f t="shared" ca="1" si="203"/>
        <v>0</v>
      </c>
      <c r="O81" s="1022">
        <f t="shared" ca="1" si="203"/>
        <v>0</v>
      </c>
      <c r="P81" s="1022">
        <f t="shared" ca="1" si="203"/>
        <v>0</v>
      </c>
      <c r="Q81" s="1020">
        <f ca="1">SUM(G81:P81)</f>
        <v>0</v>
      </c>
      <c r="R81" s="743"/>
      <c r="S81" s="1031">
        <f t="shared" ref="S81:BE81" ca="1" si="204">IFERROR(INDEX(INDIRECT($C81&amp;".Outputs["&amp;this.Year&amp;"]"), MATCH(S$5, INDIRECT($C81&amp;".Outputs[Vector]"), 0)), 0)</f>
        <v>0</v>
      </c>
      <c r="T81" s="1031">
        <f t="shared" ca="1" si="204"/>
        <v>470.71349267598947</v>
      </c>
      <c r="U81" s="1031">
        <f t="shared" ca="1" si="204"/>
        <v>-20.638670399999999</v>
      </c>
      <c r="V81" s="1031">
        <f t="shared" ca="1" si="204"/>
        <v>0</v>
      </c>
      <c r="W81" s="1031">
        <f t="shared" ca="1" si="204"/>
        <v>-946.22122918701859</v>
      </c>
      <c r="X81" s="1031">
        <f ca="1">IFERROR(INDEX(INDIRECT($C81&amp;".Outputs["&amp;this.Year&amp;"]"), MATCH(X$5, INDIRECT($C81&amp;".Outputs[Vector]"), 0)), 0)</f>
        <v>0</v>
      </c>
      <c r="Y81" s="1031">
        <f ca="1">IFERROR(INDEX(INDIRECT($C81&amp;".Outputs["&amp;this.Year&amp;"]"), MATCH(Y$5, INDIRECT($C81&amp;".Outputs[Vector]"), 0)), 0)</f>
        <v>0</v>
      </c>
      <c r="Z81" s="1031">
        <f ca="1">IFERROR(INDEX(INDIRECT($C81&amp;".Outputs["&amp;this.Year&amp;"]"), MATCH(Z$5, INDIRECT($C81&amp;".Outputs[Vector]"), 0)), 0)</f>
        <v>0</v>
      </c>
      <c r="AA81" s="1031">
        <f t="shared" ca="1" si="204"/>
        <v>0</v>
      </c>
      <c r="AB81" s="1031">
        <f t="shared" ca="1" si="204"/>
        <v>0</v>
      </c>
      <c r="AC81" s="1031">
        <f t="shared" ca="1" si="204"/>
        <v>0</v>
      </c>
      <c r="AD81" s="1031">
        <f t="shared" ca="1" si="204"/>
        <v>0</v>
      </c>
      <c r="AE81" s="1031">
        <f t="shared" ca="1" si="204"/>
        <v>0</v>
      </c>
      <c r="AF81" s="1031">
        <f t="shared" ca="1" si="204"/>
        <v>0</v>
      </c>
      <c r="AG81" s="1031">
        <f t="shared" ca="1" si="204"/>
        <v>0</v>
      </c>
      <c r="AH81" s="1031">
        <f t="shared" ca="1" si="204"/>
        <v>0</v>
      </c>
      <c r="AI81" s="1031">
        <f t="shared" ca="1" si="204"/>
        <v>0</v>
      </c>
      <c r="AJ81" s="1031">
        <f t="shared" ca="1" si="204"/>
        <v>0</v>
      </c>
      <c r="AK81" s="1030">
        <f ca="1">SUM(S81:AJ81)</f>
        <v>-496.14640691102915</v>
      </c>
      <c r="AL81" s="743"/>
      <c r="AM81" s="1042">
        <f t="shared" ref="AM81:AU81" ca="1" si="205">IFERROR(INDEX(INDIRECT($C81&amp;".Outputs["&amp;this.Year&amp;"]"), MATCH(AM$5, INDIRECT($C81&amp;".Outputs[Vector]"), 0)), 0)</f>
        <v>0</v>
      </c>
      <c r="AN81" s="1042">
        <f t="shared" ca="1" si="205"/>
        <v>0</v>
      </c>
      <c r="AO81" s="1042">
        <f t="shared" ca="1" si="205"/>
        <v>0</v>
      </c>
      <c r="AP81" s="1042">
        <f t="shared" ca="1" si="205"/>
        <v>0</v>
      </c>
      <c r="AQ81" s="1042">
        <f t="shared" ca="1" si="205"/>
        <v>0</v>
      </c>
      <c r="AR81" s="1042">
        <f t="shared" ca="1" si="205"/>
        <v>0</v>
      </c>
      <c r="AS81" s="1042">
        <f t="shared" ca="1" si="205"/>
        <v>0</v>
      </c>
      <c r="AT81" s="1042">
        <f t="shared" ca="1" si="205"/>
        <v>0</v>
      </c>
      <c r="AU81" s="1042">
        <f t="shared" ca="1" si="205"/>
        <v>0</v>
      </c>
      <c r="AV81" s="1042">
        <f t="shared" ca="1" si="204"/>
        <v>0</v>
      </c>
      <c r="AW81" s="1042">
        <f t="shared" ca="1" si="204"/>
        <v>0</v>
      </c>
      <c r="AX81" s="1042">
        <f t="shared" ca="1" si="204"/>
        <v>0</v>
      </c>
      <c r="AY81" s="1042">
        <f t="shared" ca="1" si="204"/>
        <v>0</v>
      </c>
      <c r="AZ81" s="1042">
        <f t="shared" ca="1" si="204"/>
        <v>0</v>
      </c>
      <c r="BA81" s="1042">
        <f t="shared" ca="1" si="204"/>
        <v>0</v>
      </c>
      <c r="BB81" s="1042">
        <f t="shared" ca="1" si="204"/>
        <v>0</v>
      </c>
      <c r="BC81" s="1042">
        <f t="shared" ca="1" si="204"/>
        <v>0</v>
      </c>
      <c r="BD81" s="1042">
        <f t="shared" ca="1" si="204"/>
        <v>0</v>
      </c>
      <c r="BE81" s="1042">
        <f t="shared" ca="1" si="204"/>
        <v>0</v>
      </c>
      <c r="BF81" s="1012">
        <f ca="1">SUM(AM81:BE81)</f>
        <v>0</v>
      </c>
      <c r="BG81" s="743"/>
      <c r="BH81" s="1036">
        <f ca="1">IFERROR(INDEX(INDIRECT($C81&amp;".Outputs["&amp;this.Year&amp;"]"), MATCH(BH$5, INDIRECT($C81&amp;".Outputs[Vector]"), 0)), 0)</f>
        <v>486.5257503535093</v>
      </c>
      <c r="BI81" s="1036">
        <f ca="1">IFERROR(INDEX(INDIRECT($C81&amp;".Outputs["&amp;this.Year&amp;"]"), MATCH(BI$5, INDIRECT($C81&amp;".Outputs[Vector]"), 0)), 0)</f>
        <v>9.6206565575197907</v>
      </c>
      <c r="BJ81" s="1035">
        <f ca="1">SUM(BH81:BI81)</f>
        <v>496.14640691102909</v>
      </c>
      <c r="BK81" s="743"/>
      <c r="BL81" s="814">
        <f t="shared" ref="BL81:BL87" ca="1" si="206">Q81+AK81+BF81+BJ81</f>
        <v>0</v>
      </c>
      <c r="BM81" s="814"/>
      <c r="BN81" s="840"/>
      <c r="BO81" s="1485">
        <f t="shared" ref="BO81:DF81" ca="1" si="207">IFERROR(SUMIFS(INDIRECT($C81&amp;".Emissions["&amp;this.Year&amp;"]"), INDIRECT($C81&amp;".Emissions[GHG]"), BO$6, INDIRECT($C81&amp;".Emissions[IPCC Sector]"), BO$5),0)</f>
        <v>180.46141665361139</v>
      </c>
      <c r="BP81" s="1486">
        <f t="shared" ca="1" si="207"/>
        <v>0.36766411350654082</v>
      </c>
      <c r="BQ81" s="1486">
        <f t="shared" ca="1" si="207"/>
        <v>0.43166714204590506</v>
      </c>
      <c r="BR81" s="1486">
        <f t="shared" ca="1" si="207"/>
        <v>0</v>
      </c>
      <c r="BS81" s="1486">
        <f t="shared" ca="1" si="207"/>
        <v>0</v>
      </c>
      <c r="BT81" s="1486">
        <f t="shared" ca="1" si="207"/>
        <v>0</v>
      </c>
      <c r="BU81" s="1486">
        <f t="shared" ca="1" si="207"/>
        <v>0</v>
      </c>
      <c r="BV81" s="1486">
        <f t="shared" ca="1" si="207"/>
        <v>0</v>
      </c>
      <c r="BW81" s="1486">
        <f t="shared" ca="1" si="207"/>
        <v>0</v>
      </c>
      <c r="BX81" s="1486">
        <f t="shared" ca="1" si="207"/>
        <v>0</v>
      </c>
      <c r="BY81" s="1486">
        <f t="shared" ca="1" si="207"/>
        <v>0</v>
      </c>
      <c r="BZ81" s="1486">
        <f t="shared" ca="1" si="207"/>
        <v>0</v>
      </c>
      <c r="CA81" s="1486">
        <f t="shared" ca="1" si="207"/>
        <v>0</v>
      </c>
      <c r="CB81" s="1486">
        <f t="shared" ca="1" si="207"/>
        <v>0</v>
      </c>
      <c r="CC81" s="1486">
        <f t="shared" ca="1" si="207"/>
        <v>0</v>
      </c>
      <c r="CD81" s="1486">
        <f t="shared" ca="1" si="207"/>
        <v>0</v>
      </c>
      <c r="CE81" s="1486">
        <f t="shared" ca="1" si="207"/>
        <v>0</v>
      </c>
      <c r="CF81" s="1486">
        <f t="shared" ca="1" si="207"/>
        <v>0</v>
      </c>
      <c r="CG81" s="1486">
        <f t="shared" ca="1" si="207"/>
        <v>0</v>
      </c>
      <c r="CH81" s="1486">
        <f t="shared" ca="1" si="207"/>
        <v>0</v>
      </c>
      <c r="CI81" s="1486">
        <f t="shared" ca="1" si="207"/>
        <v>0</v>
      </c>
      <c r="CJ81" s="1486">
        <f t="shared" ca="1" si="207"/>
        <v>0</v>
      </c>
      <c r="CK81" s="1486">
        <f t="shared" ca="1" si="207"/>
        <v>0</v>
      </c>
      <c r="CL81" s="1486">
        <f t="shared" ca="1" si="207"/>
        <v>0</v>
      </c>
      <c r="CM81" s="1486">
        <f t="shared" ca="1" si="207"/>
        <v>0</v>
      </c>
      <c r="CN81" s="1486">
        <f t="shared" ca="1" si="207"/>
        <v>0</v>
      </c>
      <c r="CO81" s="1486">
        <f t="shared" ca="1" si="207"/>
        <v>0</v>
      </c>
      <c r="CP81" s="1486">
        <f t="shared" ca="1" si="207"/>
        <v>0</v>
      </c>
      <c r="CQ81" s="1486">
        <f t="shared" ca="1" si="207"/>
        <v>0</v>
      </c>
      <c r="CR81" s="1486">
        <f t="shared" ca="1" si="207"/>
        <v>0</v>
      </c>
      <c r="CS81" s="1486">
        <f t="shared" ca="1" si="207"/>
        <v>0</v>
      </c>
      <c r="CT81" s="1486">
        <f t="shared" ca="1" si="207"/>
        <v>0</v>
      </c>
      <c r="CU81" s="1486">
        <f t="shared" ca="1" si="207"/>
        <v>0</v>
      </c>
      <c r="CV81" s="1486">
        <f t="shared" ca="1" si="207"/>
        <v>0</v>
      </c>
      <c r="CW81" s="1486">
        <f t="shared" ca="1" si="207"/>
        <v>0</v>
      </c>
      <c r="CX81" s="1486">
        <f t="shared" ca="1" si="207"/>
        <v>0</v>
      </c>
      <c r="CY81" s="1486">
        <f t="shared" ca="1" si="207"/>
        <v>0</v>
      </c>
      <c r="CZ81" s="1486">
        <f t="shared" ca="1" si="207"/>
        <v>0</v>
      </c>
      <c r="DA81" s="1486">
        <f t="shared" ca="1" si="207"/>
        <v>0</v>
      </c>
      <c r="DB81" s="1486">
        <f t="shared" ca="1" si="207"/>
        <v>0</v>
      </c>
      <c r="DC81" s="1486">
        <f t="shared" ca="1" si="207"/>
        <v>0</v>
      </c>
      <c r="DD81" s="1486">
        <f t="shared" ca="1" si="207"/>
        <v>0</v>
      </c>
      <c r="DE81" s="1486">
        <f t="shared" ca="1" si="207"/>
        <v>0</v>
      </c>
      <c r="DF81" s="1486">
        <f t="shared" ca="1" si="207"/>
        <v>0</v>
      </c>
      <c r="DH81" s="838">
        <f t="shared" ca="1" si="124"/>
        <v>181.26074790916385</v>
      </c>
    </row>
    <row r="82" spans="1:112" s="743" customFormat="1" ht="15.75" collapsed="1">
      <c r="A82" s="22"/>
      <c r="B82" s="753"/>
      <c r="C82" s="744" t="s">
        <v>74</v>
      </c>
      <c r="D82" s="517" t="str">
        <f>INDEX(Workstreams[Workstream], MATCH($C82, Workstreams[Code], 0))</f>
        <v>Hydrocarbon fuel power generation</v>
      </c>
      <c r="E82" s="512"/>
      <c r="G82" s="1021">
        <f t="shared" ref="G82:P82" ca="1" si="208">G79+G81</f>
        <v>0</v>
      </c>
      <c r="H82" s="1021">
        <f t="shared" ca="1" si="208"/>
        <v>0</v>
      </c>
      <c r="I82" s="1021">
        <f t="shared" ca="1" si="208"/>
        <v>0</v>
      </c>
      <c r="J82" s="1021">
        <f t="shared" ca="1" si="208"/>
        <v>0</v>
      </c>
      <c r="K82" s="1021">
        <f t="shared" ca="1" si="208"/>
        <v>0</v>
      </c>
      <c r="L82" s="1021">
        <f t="shared" ca="1" si="208"/>
        <v>0</v>
      </c>
      <c r="M82" s="1021">
        <f t="shared" ca="1" si="208"/>
        <v>0</v>
      </c>
      <c r="N82" s="1021">
        <f t="shared" ca="1" si="208"/>
        <v>0</v>
      </c>
      <c r="O82" s="1021">
        <f t="shared" ca="1" si="208"/>
        <v>0</v>
      </c>
      <c r="P82" s="1021">
        <f t="shared" ca="1" si="208"/>
        <v>0</v>
      </c>
      <c r="Q82" s="1021">
        <f ca="1">SUM(G82:P82)</f>
        <v>0</v>
      </c>
      <c r="S82" s="970">
        <f t="shared" ref="S82:AJ82" ca="1" si="209">S79+S81</f>
        <v>0</v>
      </c>
      <c r="T82" s="970">
        <f t="shared" ca="1" si="209"/>
        <v>480.54894467598945</v>
      </c>
      <c r="U82" s="970">
        <f t="shared" ca="1" si="209"/>
        <v>-48.324671807459538</v>
      </c>
      <c r="V82" s="970">
        <f t="shared" ca="1" si="209"/>
        <v>0</v>
      </c>
      <c r="W82" s="970">
        <f t="shared" ca="1" si="209"/>
        <v>-946.22122918701859</v>
      </c>
      <c r="X82" s="970">
        <f t="shared" ca="1" si="209"/>
        <v>0</v>
      </c>
      <c r="Y82" s="970">
        <f t="shared" ca="1" si="209"/>
        <v>0</v>
      </c>
      <c r="Z82" s="970">
        <f t="shared" ca="1" si="209"/>
        <v>0</v>
      </c>
      <c r="AA82" s="970">
        <f t="shared" ca="1" si="209"/>
        <v>0</v>
      </c>
      <c r="AB82" s="970">
        <f t="shared" ca="1" si="209"/>
        <v>0</v>
      </c>
      <c r="AC82" s="970">
        <f t="shared" ca="1" si="209"/>
        <v>0</v>
      </c>
      <c r="AD82" s="970">
        <f ca="1">AD79+AD81</f>
        <v>0</v>
      </c>
      <c r="AE82" s="970">
        <f ca="1">AE79+AE81</f>
        <v>0</v>
      </c>
      <c r="AF82" s="970">
        <f t="shared" ca="1" si="209"/>
        <v>0</v>
      </c>
      <c r="AG82" s="970">
        <f t="shared" ca="1" si="209"/>
        <v>0</v>
      </c>
      <c r="AH82" s="970">
        <f ca="1">AH79+AH81</f>
        <v>0</v>
      </c>
      <c r="AI82" s="970">
        <f t="shared" ca="1" si="209"/>
        <v>0</v>
      </c>
      <c r="AJ82" s="970">
        <f t="shared" ca="1" si="209"/>
        <v>0</v>
      </c>
      <c r="AK82" s="970">
        <f ca="1">SUM(S82:AJ82)</f>
        <v>-513.99695631848863</v>
      </c>
      <c r="AM82" s="976">
        <f t="shared" ref="AM82:BE82" ca="1" si="210">AM79+AM81</f>
        <v>0</v>
      </c>
      <c r="AN82" s="976">
        <f t="shared" ca="1" si="210"/>
        <v>0</v>
      </c>
      <c r="AO82" s="976">
        <f t="shared" ca="1" si="210"/>
        <v>0</v>
      </c>
      <c r="AP82" s="976">
        <f t="shared" ca="1" si="210"/>
        <v>0</v>
      </c>
      <c r="AQ82" s="976">
        <f t="shared" ca="1" si="210"/>
        <v>0</v>
      </c>
      <c r="AR82" s="976">
        <f t="shared" ca="1" si="210"/>
        <v>0</v>
      </c>
      <c r="AS82" s="976">
        <f t="shared" ca="1" si="210"/>
        <v>0</v>
      </c>
      <c r="AT82" s="976">
        <f t="shared" ca="1" si="210"/>
        <v>0</v>
      </c>
      <c r="AU82" s="976">
        <f t="shared" ca="1" si="210"/>
        <v>0</v>
      </c>
      <c r="AV82" s="976">
        <f t="shared" ca="1" si="210"/>
        <v>0</v>
      </c>
      <c r="AW82" s="976">
        <f t="shared" ca="1" si="210"/>
        <v>0</v>
      </c>
      <c r="AX82" s="976">
        <f t="shared" ca="1" si="210"/>
        <v>0</v>
      </c>
      <c r="AY82" s="976">
        <f t="shared" ca="1" si="210"/>
        <v>0</v>
      </c>
      <c r="AZ82" s="976">
        <f t="shared" ca="1" si="210"/>
        <v>0</v>
      </c>
      <c r="BA82" s="976">
        <f t="shared" ca="1" si="210"/>
        <v>0</v>
      </c>
      <c r="BB82" s="976">
        <f t="shared" ca="1" si="210"/>
        <v>0</v>
      </c>
      <c r="BC82" s="976">
        <f t="shared" ca="1" si="210"/>
        <v>0</v>
      </c>
      <c r="BD82" s="976">
        <f t="shared" ca="1" si="210"/>
        <v>0</v>
      </c>
      <c r="BE82" s="976">
        <f t="shared" ca="1" si="210"/>
        <v>0</v>
      </c>
      <c r="BF82" s="976">
        <f ca="1">SUM(AM82:BE82)</f>
        <v>0</v>
      </c>
      <c r="BH82" s="990">
        <f ca="1">BH79+BH81</f>
        <v>501.43843747525455</v>
      </c>
      <c r="BI82" s="990">
        <f ca="1">BI79+BI81</f>
        <v>12.558518843234076</v>
      </c>
      <c r="BJ82" s="990">
        <f ca="1">SUM(BH82:BI82)</f>
        <v>513.99695631848863</v>
      </c>
      <c r="BL82" s="515">
        <f t="shared" ca="1" si="206"/>
        <v>0</v>
      </c>
      <c r="BM82" s="515"/>
      <c r="BN82" s="840"/>
      <c r="BO82" s="1482">
        <f t="shared" ref="BO82:DF82" ca="1" si="211">BO79+BO81</f>
        <v>188.98870508710894</v>
      </c>
      <c r="BP82" s="1482">
        <f t="shared" ca="1" si="211"/>
        <v>0.39271420536523749</v>
      </c>
      <c r="BQ82" s="1482">
        <f t="shared" ca="1" si="211"/>
        <v>0.50720624121384583</v>
      </c>
      <c r="BR82" s="1482">
        <f t="shared" ca="1" si="211"/>
        <v>0</v>
      </c>
      <c r="BS82" s="1482">
        <f t="shared" ca="1" si="211"/>
        <v>0</v>
      </c>
      <c r="BT82" s="1482">
        <f t="shared" ca="1" si="211"/>
        <v>0</v>
      </c>
      <c r="BU82" s="1482">
        <f t="shared" ca="1" si="211"/>
        <v>0</v>
      </c>
      <c r="BV82" s="1482">
        <f t="shared" ca="1" si="211"/>
        <v>0</v>
      </c>
      <c r="BW82" s="1482">
        <f t="shared" ca="1" si="211"/>
        <v>0</v>
      </c>
      <c r="BX82" s="1482">
        <f t="shared" ca="1" si="211"/>
        <v>0</v>
      </c>
      <c r="BY82" s="1482">
        <f t="shared" ca="1" si="211"/>
        <v>0</v>
      </c>
      <c r="BZ82" s="1482">
        <f t="shared" ca="1" si="211"/>
        <v>0</v>
      </c>
      <c r="CA82" s="1482">
        <f t="shared" ca="1" si="211"/>
        <v>0</v>
      </c>
      <c r="CB82" s="1482">
        <f t="shared" ca="1" si="211"/>
        <v>0</v>
      </c>
      <c r="CC82" s="1482">
        <f t="shared" ca="1" si="211"/>
        <v>0</v>
      </c>
      <c r="CD82" s="1482">
        <f t="shared" ca="1" si="211"/>
        <v>0</v>
      </c>
      <c r="CE82" s="1482">
        <f t="shared" ca="1" si="211"/>
        <v>0</v>
      </c>
      <c r="CF82" s="1482">
        <f t="shared" ca="1" si="211"/>
        <v>0</v>
      </c>
      <c r="CG82" s="1482">
        <f t="shared" ca="1" si="211"/>
        <v>0</v>
      </c>
      <c r="CH82" s="1482">
        <f t="shared" ca="1" si="211"/>
        <v>0</v>
      </c>
      <c r="CI82" s="1482">
        <f t="shared" ca="1" si="211"/>
        <v>0</v>
      </c>
      <c r="CJ82" s="1482">
        <f t="shared" ca="1" si="211"/>
        <v>0</v>
      </c>
      <c r="CK82" s="1482">
        <f t="shared" ca="1" si="211"/>
        <v>0</v>
      </c>
      <c r="CL82" s="1482">
        <f t="shared" ca="1" si="211"/>
        <v>0</v>
      </c>
      <c r="CM82" s="1482">
        <f t="shared" ca="1" si="211"/>
        <v>0</v>
      </c>
      <c r="CN82" s="1482">
        <f t="shared" ca="1" si="211"/>
        <v>0</v>
      </c>
      <c r="CO82" s="1482">
        <f t="shared" ca="1" si="211"/>
        <v>0</v>
      </c>
      <c r="CP82" s="1482">
        <f t="shared" ca="1" si="211"/>
        <v>0</v>
      </c>
      <c r="CQ82" s="1482">
        <f t="shared" ca="1" si="211"/>
        <v>0</v>
      </c>
      <c r="CR82" s="1482">
        <f t="shared" ca="1" si="211"/>
        <v>0</v>
      </c>
      <c r="CS82" s="1482">
        <f t="shared" ca="1" si="211"/>
        <v>0</v>
      </c>
      <c r="CT82" s="1482">
        <f t="shared" ca="1" si="211"/>
        <v>0</v>
      </c>
      <c r="CU82" s="1482">
        <f t="shared" ca="1" si="211"/>
        <v>0</v>
      </c>
      <c r="CV82" s="1482">
        <f t="shared" ca="1" si="211"/>
        <v>0</v>
      </c>
      <c r="CW82" s="1482">
        <f t="shared" ca="1" si="211"/>
        <v>0</v>
      </c>
      <c r="CX82" s="1482">
        <f t="shared" ca="1" si="211"/>
        <v>0</v>
      </c>
      <c r="CY82" s="1482">
        <f t="shared" ca="1" si="211"/>
        <v>0</v>
      </c>
      <c r="CZ82" s="1482">
        <f t="shared" ca="1" si="211"/>
        <v>0</v>
      </c>
      <c r="DA82" s="1482">
        <f t="shared" ca="1" si="211"/>
        <v>0</v>
      </c>
      <c r="DB82" s="1482">
        <f t="shared" ca="1" si="211"/>
        <v>0</v>
      </c>
      <c r="DC82" s="1482">
        <f t="shared" ca="1" si="211"/>
        <v>-7.6745595901477834</v>
      </c>
      <c r="DD82" s="1482">
        <f t="shared" ca="1" si="211"/>
        <v>0</v>
      </c>
      <c r="DE82" s="1482">
        <f t="shared" ca="1" si="211"/>
        <v>0</v>
      </c>
      <c r="DF82" s="1482">
        <f t="shared" ca="1" si="211"/>
        <v>0</v>
      </c>
      <c r="DH82" s="838">
        <f t="shared" ca="1" si="124"/>
        <v>182.21406594354022</v>
      </c>
    </row>
    <row r="83" spans="1:112" s="743" customFormat="1" ht="6" customHeight="1">
      <c r="C83" s="516"/>
      <c r="D83" s="517"/>
      <c r="E83" s="509"/>
      <c r="G83" s="958"/>
      <c r="H83" s="958"/>
      <c r="I83" s="958"/>
      <c r="J83" s="958"/>
      <c r="K83" s="960"/>
      <c r="L83" s="958"/>
      <c r="M83" s="958"/>
      <c r="N83" s="958"/>
      <c r="O83" s="958"/>
      <c r="P83" s="958"/>
      <c r="Q83" s="958"/>
      <c r="S83" s="970"/>
      <c r="T83" s="970"/>
      <c r="U83" s="970"/>
      <c r="V83" s="970"/>
      <c r="W83" s="970"/>
      <c r="X83" s="970"/>
      <c r="Y83" s="970"/>
      <c r="Z83" s="970"/>
      <c r="AA83" s="970"/>
      <c r="AB83" s="970"/>
      <c r="AC83" s="970"/>
      <c r="AD83" s="970"/>
      <c r="AE83" s="970"/>
      <c r="AF83" s="970"/>
      <c r="AG83" s="970"/>
      <c r="AH83" s="970"/>
      <c r="AI83" s="970"/>
      <c r="AJ83" s="970"/>
      <c r="AK83" s="970"/>
      <c r="AM83" s="976"/>
      <c r="AN83" s="976"/>
      <c r="AO83" s="976"/>
      <c r="AP83" s="976"/>
      <c r="AQ83" s="976"/>
      <c r="AR83" s="976"/>
      <c r="AS83" s="976"/>
      <c r="AT83" s="976"/>
      <c r="AU83" s="976"/>
      <c r="AV83" s="976"/>
      <c r="AW83" s="976"/>
      <c r="AX83" s="976"/>
      <c r="AY83" s="976"/>
      <c r="AZ83" s="976"/>
      <c r="BA83" s="976"/>
      <c r="BB83" s="976"/>
      <c r="BC83" s="976"/>
      <c r="BD83" s="976"/>
      <c r="BE83" s="976"/>
      <c r="BF83" s="976">
        <f>SUM(AM83:BE83)</f>
        <v>0</v>
      </c>
      <c r="BH83" s="990"/>
      <c r="BI83" s="990"/>
      <c r="BJ83" s="990"/>
      <c r="BL83" s="515">
        <f t="shared" si="206"/>
        <v>0</v>
      </c>
      <c r="BM83" s="515"/>
      <c r="BO83" s="1482"/>
      <c r="BP83" s="1482"/>
      <c r="BQ83" s="1482"/>
      <c r="BR83" s="1482"/>
      <c r="BS83" s="1482"/>
      <c r="BT83" s="1482"/>
      <c r="BU83" s="1482"/>
      <c r="BV83" s="1482"/>
      <c r="BW83" s="1482"/>
      <c r="BX83" s="1482"/>
      <c r="BY83" s="1482"/>
      <c r="BZ83" s="1482"/>
      <c r="CA83" s="1482"/>
      <c r="CB83" s="1482"/>
      <c r="CC83" s="1482"/>
      <c r="CD83" s="1482"/>
      <c r="CE83" s="1482"/>
      <c r="CF83" s="1482"/>
      <c r="CG83" s="1482"/>
      <c r="CH83" s="1482"/>
      <c r="CI83" s="1482"/>
      <c r="CJ83" s="1482"/>
      <c r="CK83" s="1482"/>
      <c r="CL83" s="1482"/>
      <c r="CM83" s="1482"/>
      <c r="CN83" s="1482"/>
      <c r="CO83" s="1482"/>
      <c r="CP83" s="1482"/>
      <c r="CQ83" s="1482"/>
      <c r="CR83" s="1482"/>
      <c r="CS83" s="1482"/>
      <c r="CT83" s="1482"/>
      <c r="CU83" s="1482"/>
      <c r="CV83" s="1482"/>
      <c r="CW83" s="1482"/>
      <c r="CX83" s="1482"/>
      <c r="CY83" s="1482"/>
      <c r="CZ83" s="1482"/>
      <c r="DA83" s="1482"/>
      <c r="DB83" s="1482"/>
      <c r="DC83" s="1482"/>
      <c r="DD83" s="1482"/>
      <c r="DE83" s="1482"/>
      <c r="DF83" s="1482"/>
      <c r="DH83" s="838"/>
    </row>
    <row r="84" spans="1:112" s="743" customFormat="1" ht="15.75">
      <c r="B84" s="753"/>
      <c r="C84" s="2051" t="s">
        <v>1816</v>
      </c>
      <c r="D84" s="643" t="s">
        <v>249</v>
      </c>
      <c r="E84" s="644"/>
      <c r="G84" s="1075">
        <f t="shared" ref="G84:P84" ca="1" si="212">G$51+G$55+G$63+G$68+G$72+G$76+G$82+G$46</f>
        <v>0</v>
      </c>
      <c r="H84" s="1075">
        <f t="shared" ca="1" si="212"/>
        <v>0</v>
      </c>
      <c r="I84" s="1075">
        <f t="shared" ca="1" si="212"/>
        <v>21.054272774171508</v>
      </c>
      <c r="J84" s="1075">
        <f t="shared" ca="1" si="212"/>
        <v>0</v>
      </c>
      <c r="K84" s="1076">
        <f t="shared" ca="1" si="212"/>
        <v>0</v>
      </c>
      <c r="L84" s="1075">
        <f t="shared" ca="1" si="212"/>
        <v>0</v>
      </c>
      <c r="M84" s="1075">
        <f t="shared" ca="1" si="212"/>
        <v>0</v>
      </c>
      <c r="N84" s="1075">
        <f t="shared" ca="1" si="212"/>
        <v>0</v>
      </c>
      <c r="O84" s="1075">
        <f t="shared" ca="1" si="212"/>
        <v>0</v>
      </c>
      <c r="P84" s="1075">
        <f t="shared" ca="1" si="212"/>
        <v>0</v>
      </c>
      <c r="Q84" s="1023">
        <f ca="1">SUM(G84:P84)</f>
        <v>21.054272774171508</v>
      </c>
      <c r="S84" s="1014">
        <f t="shared" ref="S84:AJ84" ca="1" si="213">S$51+S$55+S$63+S$68+S$72+S$76+S$82+S$46</f>
        <v>-10.520263421725456</v>
      </c>
      <c r="T84" s="1014">
        <f t="shared" ca="1" si="213"/>
        <v>484.77970938998766</v>
      </c>
      <c r="U84" s="1014">
        <f t="shared" ca="1" si="213"/>
        <v>-49.259800873289862</v>
      </c>
      <c r="V84" s="1014">
        <f t="shared" ca="1" si="213"/>
        <v>-44.727891471459294</v>
      </c>
      <c r="W84" s="1014">
        <f t="shared" ca="1" si="213"/>
        <v>-958.98234526503541</v>
      </c>
      <c r="X84" s="1014">
        <f t="shared" ca="1" si="213"/>
        <v>222.4884752049042</v>
      </c>
      <c r="Y84" s="1014">
        <f t="shared" ca="1" si="213"/>
        <v>132.62526993906516</v>
      </c>
      <c r="Z84" s="1014">
        <f t="shared" ca="1" si="213"/>
        <v>101.5831683077875</v>
      </c>
      <c r="AA84" s="1014">
        <f t="shared" ca="1" si="213"/>
        <v>0</v>
      </c>
      <c r="AB84" s="1014">
        <f t="shared" ca="1" si="213"/>
        <v>9.0896043331145009</v>
      </c>
      <c r="AC84" s="1014">
        <f t="shared" ca="1" si="213"/>
        <v>0</v>
      </c>
      <c r="AD84" s="1014">
        <f t="shared" ca="1" si="213"/>
        <v>84.551105543007012</v>
      </c>
      <c r="AE84" s="1014">
        <f t="shared" ca="1" si="213"/>
        <v>1.7066988158250447</v>
      </c>
      <c r="AF84" s="1014">
        <f t="shared" ca="1" si="213"/>
        <v>76.013557509974802</v>
      </c>
      <c r="AG84" s="1014">
        <f t="shared" ca="1" si="213"/>
        <v>48.901286054879833</v>
      </c>
      <c r="AH84" s="1014">
        <f t="shared" ca="1" si="213"/>
        <v>18.806405883014129</v>
      </c>
      <c r="AI84" s="1014">
        <f t="shared" ca="1" si="213"/>
        <v>0</v>
      </c>
      <c r="AJ84" s="1014">
        <f t="shared" ca="1" si="213"/>
        <v>0</v>
      </c>
      <c r="AK84" s="1014">
        <f ca="1">SUM(S84:AJ84)</f>
        <v>117.05497995004984</v>
      </c>
      <c r="AM84" s="1015">
        <f t="shared" ref="AM84:BE84" ca="1" si="214">AM$51+AM$55+AM$63+AM$68+AM$72+AM$76+AM$82+AM$46</f>
        <v>-124.39544583847987</v>
      </c>
      <c r="AN84" s="1015">
        <f t="shared" ca="1" si="214"/>
        <v>-132.62526993906516</v>
      </c>
      <c r="AO84" s="1015">
        <f t="shared" ca="1" si="214"/>
        <v>-101.5831683077875</v>
      </c>
      <c r="AP84" s="1015">
        <f t="shared" ca="1" si="214"/>
        <v>0</v>
      </c>
      <c r="AQ84" s="1015">
        <f t="shared" ca="1" si="214"/>
        <v>0</v>
      </c>
      <c r="AR84" s="1015">
        <f t="shared" ca="1" si="214"/>
        <v>0</v>
      </c>
      <c r="AS84" s="1015">
        <f t="shared" ca="1" si="214"/>
        <v>0</v>
      </c>
      <c r="AT84" s="1015">
        <f t="shared" ca="1" si="214"/>
        <v>0</v>
      </c>
      <c r="AU84" s="1015">
        <f t="shared" ca="1" si="214"/>
        <v>0</v>
      </c>
      <c r="AV84" s="1015">
        <f t="shared" ca="1" si="214"/>
        <v>0</v>
      </c>
      <c r="AW84" s="1015">
        <f t="shared" ca="1" si="214"/>
        <v>0</v>
      </c>
      <c r="AX84" s="1015">
        <f t="shared" ca="1" si="214"/>
        <v>-0.28358010000000045</v>
      </c>
      <c r="AY84" s="1015">
        <f t="shared" ca="1" si="214"/>
        <v>0</v>
      </c>
      <c r="AZ84" s="1015">
        <f t="shared" ca="1" si="214"/>
        <v>0</v>
      </c>
      <c r="BA84" s="1015">
        <f t="shared" ca="1" si="214"/>
        <v>0</v>
      </c>
      <c r="BB84" s="1015">
        <f t="shared" ca="1" si="214"/>
        <v>-5.3297280000000011</v>
      </c>
      <c r="BC84" s="1015">
        <f t="shared" ca="1" si="214"/>
        <v>0</v>
      </c>
      <c r="BD84" s="1015">
        <f t="shared" ca="1" si="214"/>
        <v>-86.257804358832061</v>
      </c>
      <c r="BE84" s="1015">
        <f t="shared" ca="1" si="214"/>
        <v>-241.81427881429309</v>
      </c>
      <c r="BF84" s="1015">
        <f ca="1">SUM(AM84:BE84)</f>
        <v>-692.28927535845764</v>
      </c>
      <c r="BH84" s="1016">
        <f ca="1">BH$51+BH$55+BH$63+BH$68+BH$72+BH$76+BH$82+BH$46</f>
        <v>493.14317715924386</v>
      </c>
      <c r="BI84" s="1016">
        <f ca="1">BI$51+BI$55+BI$63+BI$68+BI$72+BI$76+BI$82+BI$46</f>
        <v>61.036845474992411</v>
      </c>
      <c r="BJ84" s="1016">
        <f ca="1">SUM(BH84:BI84)</f>
        <v>554.18002263423625</v>
      </c>
      <c r="BL84" s="518">
        <f t="shared" ca="1" si="206"/>
        <v>0</v>
      </c>
      <c r="BM84" s="518"/>
      <c r="BO84" s="1487">
        <f t="shared" ref="BO84:DE84" ca="1" si="215">BO$51+BO$55+BO$63+BO$68+BO$72+BO$76+BO$82+BO$46</f>
        <v>202.77623378390464</v>
      </c>
      <c r="BP84" s="1487">
        <f t="shared" ca="1" si="215"/>
        <v>0.4121144382222221</v>
      </c>
      <c r="BQ84" s="1487">
        <f t="shared" ca="1" si="215"/>
        <v>0.71584843638712325</v>
      </c>
      <c r="BR84" s="1487">
        <f t="shared" ca="1" si="215"/>
        <v>0</v>
      </c>
      <c r="BS84" s="1487">
        <f t="shared" ca="1" si="215"/>
        <v>0.69196821537322806</v>
      </c>
      <c r="BT84" s="1487">
        <f t="shared" ca="1" si="215"/>
        <v>2.6403129612517775</v>
      </c>
      <c r="BU84" s="1487">
        <f t="shared" ca="1" si="215"/>
        <v>0</v>
      </c>
      <c r="BV84" s="1487">
        <f t="shared" ca="1" si="215"/>
        <v>0</v>
      </c>
      <c r="BW84" s="1487">
        <f t="shared" ca="1" si="215"/>
        <v>0</v>
      </c>
      <c r="BX84" s="1487">
        <f t="shared" ca="1" si="215"/>
        <v>0</v>
      </c>
      <c r="BY84" s="1487">
        <f t="shared" ca="1" si="215"/>
        <v>0</v>
      </c>
      <c r="BZ84" s="1487">
        <f t="shared" ca="1" si="215"/>
        <v>0</v>
      </c>
      <c r="CA84" s="1487">
        <f t="shared" ca="1" si="215"/>
        <v>0</v>
      </c>
      <c r="CB84" s="1487">
        <f t="shared" ca="1" si="215"/>
        <v>0</v>
      </c>
      <c r="CC84" s="1487">
        <f t="shared" ca="1" si="215"/>
        <v>0</v>
      </c>
      <c r="CD84" s="1487">
        <f t="shared" ca="1" si="215"/>
        <v>0</v>
      </c>
      <c r="CE84" s="1487">
        <f t="shared" ca="1" si="215"/>
        <v>0</v>
      </c>
      <c r="CF84" s="1487">
        <f t="shared" ca="1" si="215"/>
        <v>17.017505669284798</v>
      </c>
      <c r="CG84" s="1487">
        <f t="shared" ca="1" si="215"/>
        <v>20.989247999999979</v>
      </c>
      <c r="CH84" s="1487">
        <f t="shared" ca="1" si="215"/>
        <v>0</v>
      </c>
      <c r="CI84" s="1487">
        <f t="shared" ca="1" si="215"/>
        <v>6.9520980316789114</v>
      </c>
      <c r="CJ84" s="1487">
        <f t="shared" ca="1" si="215"/>
        <v>0</v>
      </c>
      <c r="CK84" s="1487">
        <f t="shared" ca="1" si="215"/>
        <v>0</v>
      </c>
      <c r="CL84" s="1487">
        <f t="shared" ca="1" si="215"/>
        <v>0</v>
      </c>
      <c r="CM84" s="1487">
        <f t="shared" ca="1" si="215"/>
        <v>0</v>
      </c>
      <c r="CN84" s="1487">
        <f t="shared" ca="1" si="215"/>
        <v>22.487907635672475</v>
      </c>
      <c r="CO84" s="1487">
        <f t="shared" ca="1" si="215"/>
        <v>1.5733701984796546</v>
      </c>
      <c r="CP84" s="1487">
        <f t="shared" ca="1" si="215"/>
        <v>0</v>
      </c>
      <c r="CQ84" s="1487">
        <f t="shared" ca="1" si="215"/>
        <v>0</v>
      </c>
      <c r="CR84" s="1487">
        <f t="shared" ca="1" si="215"/>
        <v>0</v>
      </c>
      <c r="CS84" s="1487">
        <f t="shared" ca="1" si="215"/>
        <v>0</v>
      </c>
      <c r="CT84" s="1487">
        <f t="shared" ca="1" si="215"/>
        <v>0</v>
      </c>
      <c r="CU84" s="1487">
        <f t="shared" ca="1" si="215"/>
        <v>0</v>
      </c>
      <c r="CV84" s="1487">
        <f t="shared" ca="1" si="215"/>
        <v>0</v>
      </c>
      <c r="CW84" s="1487">
        <f t="shared" ca="1" si="215"/>
        <v>0</v>
      </c>
      <c r="CX84" s="1487">
        <f t="shared" ca="1" si="215"/>
        <v>0</v>
      </c>
      <c r="CY84" s="1487">
        <f t="shared" ca="1" si="215"/>
        <v>0</v>
      </c>
      <c r="CZ84" s="1487">
        <f t="shared" ca="1" si="215"/>
        <v>0</v>
      </c>
      <c r="DA84" s="1487">
        <f t="shared" ca="1" si="215"/>
        <v>0</v>
      </c>
      <c r="DB84" s="1487">
        <f t="shared" ca="1" si="215"/>
        <v>0</v>
      </c>
      <c r="DC84" s="1487">
        <f t="shared" ca="1" si="215"/>
        <v>-7.6745595901477834</v>
      </c>
      <c r="DD84" s="1487">
        <f t="shared" ca="1" si="215"/>
        <v>0</v>
      </c>
      <c r="DE84" s="1487">
        <f t="shared" ca="1" si="215"/>
        <v>0</v>
      </c>
      <c r="DF84" s="1487">
        <f ca="1">DF$51+DF$99+DF$55+DF$63+DF$68+DF$76+DF$82+DF$46</f>
        <v>0</v>
      </c>
      <c r="DH84" s="835">
        <f ca="1">SUM(BO84:DF84)</f>
        <v>268.58204778010702</v>
      </c>
    </row>
    <row r="85" spans="1:112" s="743" customFormat="1" ht="6" customHeight="1">
      <c r="C85" s="516"/>
      <c r="D85" s="517"/>
      <c r="E85" s="509"/>
      <c r="G85" s="958"/>
      <c r="H85" s="958"/>
      <c r="I85" s="958"/>
      <c r="J85" s="958"/>
      <c r="K85" s="960"/>
      <c r="L85" s="958"/>
      <c r="M85" s="958"/>
      <c r="N85" s="958"/>
      <c r="O85" s="958"/>
      <c r="P85" s="958"/>
      <c r="Q85" s="958"/>
      <c r="S85" s="970"/>
      <c r="T85" s="970"/>
      <c r="U85" s="970"/>
      <c r="V85" s="970"/>
      <c r="W85" s="970"/>
      <c r="X85" s="970"/>
      <c r="Y85" s="970"/>
      <c r="Z85" s="970"/>
      <c r="AA85" s="970"/>
      <c r="AB85" s="970"/>
      <c r="AC85" s="970"/>
      <c r="AD85" s="970"/>
      <c r="AE85" s="970"/>
      <c r="AF85" s="970"/>
      <c r="AG85" s="970"/>
      <c r="AH85" s="970"/>
      <c r="AI85" s="970"/>
      <c r="AJ85" s="970"/>
      <c r="AK85" s="970"/>
      <c r="AM85" s="976"/>
      <c r="AN85" s="976"/>
      <c r="AO85" s="976"/>
      <c r="AP85" s="976"/>
      <c r="AQ85" s="976"/>
      <c r="AR85" s="976"/>
      <c r="AS85" s="976"/>
      <c r="AT85" s="976"/>
      <c r="AU85" s="976"/>
      <c r="AV85" s="976"/>
      <c r="AW85" s="976"/>
      <c r="AX85" s="976"/>
      <c r="AY85" s="976"/>
      <c r="AZ85" s="976"/>
      <c r="BA85" s="976"/>
      <c r="BB85" s="976"/>
      <c r="BC85" s="976"/>
      <c r="BD85" s="976"/>
      <c r="BE85" s="976"/>
      <c r="BF85" s="976"/>
      <c r="BH85" s="990"/>
      <c r="BI85" s="990"/>
      <c r="BJ85" s="990"/>
      <c r="BL85" s="515">
        <f t="shared" si="206"/>
        <v>0</v>
      </c>
      <c r="BM85" s="515"/>
      <c r="BO85" s="1482"/>
      <c r="BP85" s="1482"/>
      <c r="BQ85" s="1482"/>
      <c r="BR85" s="1482"/>
      <c r="BS85" s="1482"/>
      <c r="BT85" s="1482"/>
      <c r="BU85" s="1482"/>
      <c r="BV85" s="1482"/>
      <c r="BW85" s="1482"/>
      <c r="BX85" s="1482"/>
      <c r="BY85" s="1482"/>
      <c r="BZ85" s="1482"/>
      <c r="CA85" s="1482"/>
      <c r="CB85" s="1482"/>
      <c r="CC85" s="1482"/>
      <c r="CD85" s="1482"/>
      <c r="CE85" s="1482"/>
      <c r="CF85" s="1482"/>
      <c r="CG85" s="1482"/>
      <c r="CH85" s="1482"/>
      <c r="CI85" s="1482"/>
      <c r="CJ85" s="1482"/>
      <c r="CK85" s="1482"/>
      <c r="CL85" s="1482"/>
      <c r="CM85" s="1482"/>
      <c r="CN85" s="1482"/>
      <c r="CO85" s="1482"/>
      <c r="CP85" s="1482"/>
      <c r="CQ85" s="1482"/>
      <c r="CR85" s="1482"/>
      <c r="CS85" s="1482"/>
      <c r="CT85" s="1482"/>
      <c r="CU85" s="1482"/>
      <c r="CV85" s="1482"/>
      <c r="CW85" s="1482"/>
      <c r="CX85" s="1482"/>
      <c r="CY85" s="1482"/>
      <c r="CZ85" s="1482"/>
      <c r="DA85" s="1482"/>
      <c r="DB85" s="1482"/>
      <c r="DC85" s="1482"/>
      <c r="DD85" s="1482"/>
      <c r="DE85" s="1482"/>
      <c r="DF85" s="1482"/>
      <c r="DH85" s="838"/>
    </row>
    <row r="86" spans="1:112" s="743" customFormat="1" ht="24" customHeight="1">
      <c r="C86" s="501" t="s">
        <v>987</v>
      </c>
      <c r="D86" s="501"/>
      <c r="E86" s="639"/>
      <c r="G86" s="957"/>
      <c r="H86" s="957"/>
      <c r="I86" s="957"/>
      <c r="J86" s="957"/>
      <c r="K86" s="957"/>
      <c r="L86" s="957"/>
      <c r="M86" s="957"/>
      <c r="N86" s="957"/>
      <c r="O86" s="957"/>
      <c r="P86" s="957"/>
      <c r="Q86" s="957"/>
      <c r="S86" s="973"/>
      <c r="T86" s="973"/>
      <c r="U86" s="973"/>
      <c r="V86" s="973"/>
      <c r="W86" s="973"/>
      <c r="X86" s="969"/>
      <c r="Y86" s="969"/>
      <c r="Z86" s="969"/>
      <c r="AA86" s="973"/>
      <c r="AB86" s="973"/>
      <c r="AC86" s="973"/>
      <c r="AD86" s="973"/>
      <c r="AE86" s="973"/>
      <c r="AF86" s="973"/>
      <c r="AG86" s="973"/>
      <c r="AH86" s="973"/>
      <c r="AI86" s="973"/>
      <c r="AJ86" s="973"/>
      <c r="AK86" s="973"/>
      <c r="AM86" s="980"/>
      <c r="AN86" s="980"/>
      <c r="AO86" s="980"/>
      <c r="AP86" s="980"/>
      <c r="AQ86" s="980"/>
      <c r="AR86" s="980"/>
      <c r="AS86" s="980"/>
      <c r="AT86" s="980"/>
      <c r="AU86" s="980"/>
      <c r="AV86" s="980"/>
      <c r="AW86" s="975"/>
      <c r="AX86" s="975"/>
      <c r="AY86" s="975"/>
      <c r="AZ86" s="975"/>
      <c r="BA86" s="975"/>
      <c r="BB86" s="975"/>
      <c r="BC86" s="975"/>
      <c r="BD86" s="975"/>
      <c r="BE86" s="975"/>
      <c r="BF86" s="980"/>
      <c r="BH86" s="993"/>
      <c r="BI86" s="993"/>
      <c r="BJ86" s="993"/>
      <c r="BL86" s="514">
        <f t="shared" si="206"/>
        <v>0</v>
      </c>
      <c r="BM86" s="514"/>
      <c r="BO86" s="1482"/>
      <c r="BP86" s="1482"/>
      <c r="BQ86" s="1482"/>
      <c r="BR86" s="1482"/>
      <c r="BS86" s="1482"/>
      <c r="BT86" s="1482"/>
      <c r="BU86" s="1482"/>
      <c r="BV86" s="1482"/>
      <c r="BW86" s="1482"/>
      <c r="BX86" s="1482"/>
      <c r="BY86" s="1482"/>
      <c r="BZ86" s="1482"/>
      <c r="CA86" s="1482"/>
      <c r="CB86" s="1482"/>
      <c r="CC86" s="1482"/>
      <c r="CD86" s="1482"/>
      <c r="CE86" s="1482"/>
      <c r="CF86" s="1482"/>
      <c r="CG86" s="1482"/>
      <c r="CH86" s="1482"/>
      <c r="CI86" s="1482"/>
      <c r="CJ86" s="1482"/>
      <c r="CK86" s="1482"/>
      <c r="CL86" s="1482"/>
      <c r="CM86" s="1482"/>
      <c r="CN86" s="1482"/>
      <c r="CO86" s="1482"/>
      <c r="CP86" s="1482"/>
      <c r="CQ86" s="1482"/>
      <c r="CR86" s="1482"/>
      <c r="CS86" s="1482"/>
      <c r="CT86" s="1482"/>
      <c r="CU86" s="1482"/>
      <c r="CV86" s="1482"/>
      <c r="CW86" s="1482"/>
      <c r="CX86" s="1482"/>
      <c r="CY86" s="1482"/>
      <c r="CZ86" s="1482"/>
      <c r="DA86" s="1482"/>
      <c r="DB86" s="1482"/>
      <c r="DC86" s="1482"/>
      <c r="DD86" s="1482"/>
      <c r="DE86" s="1482"/>
      <c r="DF86" s="1482"/>
      <c r="DH86" s="838"/>
    </row>
    <row r="87" spans="1:112" s="743" customFormat="1" ht="6" customHeight="1">
      <c r="C87" s="520"/>
      <c r="D87" s="38"/>
      <c r="E87" s="509"/>
      <c r="G87" s="958"/>
      <c r="H87" s="958"/>
      <c r="I87" s="958"/>
      <c r="J87" s="958"/>
      <c r="K87" s="960"/>
      <c r="L87" s="958"/>
      <c r="M87" s="958"/>
      <c r="N87" s="958"/>
      <c r="O87" s="958"/>
      <c r="P87" s="958"/>
      <c r="Q87" s="958"/>
      <c r="S87" s="970"/>
      <c r="T87" s="970"/>
      <c r="U87" s="970"/>
      <c r="V87" s="970"/>
      <c r="W87" s="970"/>
      <c r="X87" s="970"/>
      <c r="Y87" s="970"/>
      <c r="Z87" s="970"/>
      <c r="AA87" s="970"/>
      <c r="AB87" s="970"/>
      <c r="AC87" s="970"/>
      <c r="AD87" s="970"/>
      <c r="AE87" s="970"/>
      <c r="AF87" s="970"/>
      <c r="AG87" s="970"/>
      <c r="AH87" s="970"/>
      <c r="AI87" s="970"/>
      <c r="AJ87" s="970"/>
      <c r="AK87" s="970"/>
      <c r="AM87" s="976"/>
      <c r="AN87" s="976"/>
      <c r="AO87" s="976"/>
      <c r="AP87" s="976"/>
      <c r="AQ87" s="976"/>
      <c r="AR87" s="976"/>
      <c r="AS87" s="976"/>
      <c r="AT87" s="976"/>
      <c r="AU87" s="976"/>
      <c r="AV87" s="976"/>
      <c r="AW87" s="976"/>
      <c r="AX87" s="976"/>
      <c r="AY87" s="976"/>
      <c r="AZ87" s="976"/>
      <c r="BA87" s="976"/>
      <c r="BB87" s="976"/>
      <c r="BC87" s="976"/>
      <c r="BD87" s="976"/>
      <c r="BE87" s="976"/>
      <c r="BF87" s="976"/>
      <c r="BH87" s="990"/>
      <c r="BI87" s="990"/>
      <c r="BJ87" s="990"/>
      <c r="BL87" s="515">
        <f t="shared" si="206"/>
        <v>0</v>
      </c>
      <c r="BM87" s="515"/>
      <c r="BO87" s="1482"/>
      <c r="BP87" s="1482"/>
      <c r="BQ87" s="1482"/>
      <c r="BR87" s="1482"/>
      <c r="BS87" s="1482"/>
      <c r="BT87" s="1482"/>
      <c r="BU87" s="1482"/>
      <c r="BV87" s="1482"/>
      <c r="BW87" s="1482"/>
      <c r="BX87" s="1482"/>
      <c r="BY87" s="1482"/>
      <c r="BZ87" s="1482"/>
      <c r="CA87" s="1482"/>
      <c r="CB87" s="1482"/>
      <c r="CC87" s="1482"/>
      <c r="CD87" s="1482"/>
      <c r="CE87" s="1482"/>
      <c r="CF87" s="1482"/>
      <c r="CG87" s="1482"/>
      <c r="CH87" s="1482"/>
      <c r="CI87" s="1482"/>
      <c r="CJ87" s="1482"/>
      <c r="CK87" s="1482"/>
      <c r="CL87" s="1482"/>
      <c r="CM87" s="1482"/>
      <c r="CN87" s="1482"/>
      <c r="CO87" s="1482"/>
      <c r="CP87" s="1482"/>
      <c r="CQ87" s="1482"/>
      <c r="CR87" s="1482"/>
      <c r="CS87" s="1482"/>
      <c r="CT87" s="1482"/>
      <c r="CU87" s="1482"/>
      <c r="CV87" s="1482"/>
      <c r="CW87" s="1482"/>
      <c r="CX87" s="1482"/>
      <c r="CY87" s="1482"/>
      <c r="CZ87" s="1482"/>
      <c r="DA87" s="1482"/>
      <c r="DB87" s="1482"/>
      <c r="DC87" s="1482"/>
      <c r="DD87" s="1482"/>
      <c r="DE87" s="1482"/>
      <c r="DF87" s="1482"/>
      <c r="DH87" s="838"/>
    </row>
    <row r="88" spans="1:112" s="743" customFormat="1" hidden="1" outlineLevel="1">
      <c r="A88" s="1488"/>
      <c r="B88" s="1488"/>
      <c r="C88" s="850"/>
      <c r="D88" s="851"/>
      <c r="E88" s="851"/>
      <c r="G88" s="961"/>
      <c r="H88" s="961"/>
      <c r="I88" s="961"/>
      <c r="J88" s="961"/>
      <c r="K88" s="962"/>
      <c r="L88" s="961"/>
      <c r="M88" s="961"/>
      <c r="N88" s="961"/>
      <c r="O88" s="961"/>
      <c r="P88" s="961"/>
      <c r="Q88" s="961"/>
      <c r="S88" s="971"/>
      <c r="T88" s="971"/>
      <c r="U88" s="971"/>
      <c r="V88" s="971"/>
      <c r="W88" s="971"/>
      <c r="X88" s="971"/>
      <c r="Y88" s="971"/>
      <c r="Z88" s="971"/>
      <c r="AA88" s="971"/>
      <c r="AB88" s="971"/>
      <c r="AC88" s="971"/>
      <c r="AD88" s="971"/>
      <c r="AE88" s="971"/>
      <c r="AF88" s="971"/>
      <c r="AG88" s="971"/>
      <c r="AH88" s="971"/>
      <c r="AI88" s="971"/>
      <c r="AJ88" s="971"/>
      <c r="AK88" s="971"/>
      <c r="AM88" s="978"/>
      <c r="AN88" s="978"/>
      <c r="AO88" s="978"/>
      <c r="AP88" s="978"/>
      <c r="AQ88" s="978"/>
      <c r="AR88" s="978"/>
      <c r="AS88" s="978"/>
      <c r="AT88" s="978"/>
      <c r="AU88" s="978"/>
      <c r="AV88" s="978"/>
      <c r="AW88" s="978"/>
      <c r="AX88" s="978"/>
      <c r="AY88" s="978"/>
      <c r="AZ88" s="978"/>
      <c r="BA88" s="978"/>
      <c r="BB88" s="978"/>
      <c r="BC88" s="978"/>
      <c r="BD88" s="978"/>
      <c r="BE88" s="978"/>
      <c r="BF88" s="978"/>
      <c r="BH88" s="991"/>
      <c r="BI88" s="991"/>
      <c r="BJ88" s="991"/>
      <c r="BL88" s="852"/>
      <c r="BM88" s="852"/>
      <c r="BN88" s="1488"/>
      <c r="BO88" s="1490"/>
      <c r="BP88" s="1482"/>
      <c r="BQ88" s="1482"/>
      <c r="BR88" s="1482"/>
      <c r="BS88" s="1482"/>
      <c r="BT88" s="1482"/>
      <c r="BU88" s="1482"/>
      <c r="BV88" s="1482"/>
      <c r="BW88" s="1482"/>
      <c r="BX88" s="1482"/>
      <c r="BY88" s="1482"/>
      <c r="BZ88" s="1482"/>
      <c r="CA88" s="1482"/>
      <c r="CB88" s="1482"/>
      <c r="CC88" s="1482"/>
      <c r="CD88" s="1482"/>
      <c r="CE88" s="1482"/>
      <c r="CF88" s="1482"/>
      <c r="CG88" s="1482"/>
      <c r="CH88" s="1482"/>
      <c r="CI88" s="1482"/>
      <c r="CJ88" s="1482"/>
      <c r="CK88" s="1482"/>
      <c r="CL88" s="1482"/>
      <c r="CM88" s="1482"/>
      <c r="CN88" s="1482"/>
      <c r="CO88" s="1482"/>
      <c r="CP88" s="1482"/>
      <c r="CQ88" s="1482"/>
      <c r="CR88" s="1482"/>
      <c r="CS88" s="1482"/>
      <c r="CT88" s="1482"/>
      <c r="CU88" s="1482"/>
      <c r="CV88" s="1482"/>
      <c r="CW88" s="1482"/>
      <c r="CX88" s="1482"/>
      <c r="CY88" s="1482"/>
      <c r="CZ88" s="1482"/>
      <c r="DA88" s="1482"/>
      <c r="DB88" s="1482"/>
      <c r="DC88" s="1482"/>
      <c r="DD88" s="1482"/>
      <c r="DE88" s="1482"/>
      <c r="DF88" s="1482"/>
      <c r="DH88" s="838"/>
    </row>
    <row r="89" spans="1:112" s="1484" customFormat="1" hidden="1" outlineLevel="1">
      <c r="C89" s="522" t="s">
        <v>774</v>
      </c>
      <c r="D89" s="521" t="str">
        <f>INDEX(Modules[Module], MATCH($C89, Modules[Code], 0))</f>
        <v>Electricity imports / exports</v>
      </c>
      <c r="E89" s="521"/>
      <c r="F89" s="743"/>
      <c r="G89" s="1017">
        <f t="shared" ref="G89:P89" ca="1" si="216">IFERROR(INDEX(INDIRECT($C89&amp;".Outputs["&amp;this.Year&amp;"]"), MATCH(G$5, INDIRECT($C89&amp;".Outputs[Vector]"), 0)), 0)</f>
        <v>0</v>
      </c>
      <c r="H89" s="1017">
        <f t="shared" ca="1" si="216"/>
        <v>0</v>
      </c>
      <c r="I89" s="1017">
        <f t="shared" ca="1" si="216"/>
        <v>0</v>
      </c>
      <c r="J89" s="1017">
        <f t="shared" ca="1" si="216"/>
        <v>0</v>
      </c>
      <c r="K89" s="1017">
        <f t="shared" ca="1" si="216"/>
        <v>0</v>
      </c>
      <c r="L89" s="1017">
        <f t="shared" ca="1" si="216"/>
        <v>0</v>
      </c>
      <c r="M89" s="1017">
        <f t="shared" ca="1" si="216"/>
        <v>0</v>
      </c>
      <c r="N89" s="1017">
        <f t="shared" ca="1" si="216"/>
        <v>0</v>
      </c>
      <c r="O89" s="1017">
        <f t="shared" ca="1" si="216"/>
        <v>0</v>
      </c>
      <c r="P89" s="1017">
        <f t="shared" ca="1" si="216"/>
        <v>0</v>
      </c>
      <c r="Q89" s="1019">
        <f ca="1">SUM(G89:P89)</f>
        <v>0</v>
      </c>
      <c r="R89" s="743"/>
      <c r="S89" s="1026">
        <f t="shared" ref="S89:AJ89" ca="1" si="217">IFERROR(INDEX(INDIRECT($C89&amp;".Outputs["&amp;this.Year&amp;"]"), MATCH(S$5, INDIRECT($C89&amp;".Outputs[Vector]"), 0)), 0)</f>
        <v>0</v>
      </c>
      <c r="T89" s="1026">
        <f t="shared" ca="1" si="217"/>
        <v>0</v>
      </c>
      <c r="U89" s="1026">
        <f t="shared" ca="1" si="217"/>
        <v>0</v>
      </c>
      <c r="V89" s="1026">
        <f t="shared" ca="1" si="217"/>
        <v>0</v>
      </c>
      <c r="W89" s="1026">
        <f t="shared" ca="1" si="217"/>
        <v>0</v>
      </c>
      <c r="X89" s="1026">
        <f ca="1">IFERROR(INDEX(INDIRECT($C89&amp;".Outputs["&amp;this.Year&amp;"]"), MATCH(X$5, INDIRECT($C89&amp;".Outputs[Vector]"), 0)), 0)</f>
        <v>0</v>
      </c>
      <c r="Y89" s="1026">
        <f ca="1">IFERROR(INDEX(INDIRECT($C89&amp;".Outputs["&amp;this.Year&amp;"]"), MATCH(Y$5, INDIRECT($C89&amp;".Outputs[Vector]"), 0)), 0)</f>
        <v>0</v>
      </c>
      <c r="Z89" s="1026">
        <f ca="1">IFERROR(INDEX(INDIRECT($C89&amp;".Outputs["&amp;this.Year&amp;"]"), MATCH(Z$5, INDIRECT($C89&amp;".Outputs[Vector]"), 0)), 0)</f>
        <v>0</v>
      </c>
      <c r="AA89" s="1026">
        <f t="shared" ca="1" si="217"/>
        <v>0</v>
      </c>
      <c r="AB89" s="1026">
        <f t="shared" ca="1" si="217"/>
        <v>0</v>
      </c>
      <c r="AC89" s="1026">
        <f t="shared" ca="1" si="217"/>
        <v>0</v>
      </c>
      <c r="AD89" s="1026">
        <f t="shared" ca="1" si="217"/>
        <v>0</v>
      </c>
      <c r="AE89" s="1026">
        <f t="shared" ca="1" si="217"/>
        <v>0</v>
      </c>
      <c r="AF89" s="1026">
        <f t="shared" ca="1" si="217"/>
        <v>0</v>
      </c>
      <c r="AG89" s="1026">
        <f t="shared" ca="1" si="217"/>
        <v>0</v>
      </c>
      <c r="AH89" s="1026">
        <f t="shared" ca="1" si="217"/>
        <v>0</v>
      </c>
      <c r="AI89" s="1026">
        <f t="shared" ca="1" si="217"/>
        <v>0</v>
      </c>
      <c r="AJ89" s="1026">
        <f t="shared" ca="1" si="217"/>
        <v>0</v>
      </c>
      <c r="AK89" s="1027">
        <f ca="1">SUM(S89:AJ89)</f>
        <v>0</v>
      </c>
      <c r="AL89" s="743"/>
      <c r="AM89" s="1038">
        <f t="shared" ref="AM89:AU89" ca="1" si="218">IFERROR(INDEX(INDIRECT($C89&amp;".Outputs["&amp;this.Year&amp;"]"), MATCH(AM$5, INDIRECT($C89&amp;".Outputs[Vector]"), 0)), 0)</f>
        <v>0</v>
      </c>
      <c r="AN89" s="1038">
        <f t="shared" ca="1" si="218"/>
        <v>0</v>
      </c>
      <c r="AO89" s="1038">
        <f t="shared" ca="1" si="218"/>
        <v>0</v>
      </c>
      <c r="AP89" s="1038">
        <f t="shared" ca="1" si="218"/>
        <v>0</v>
      </c>
      <c r="AQ89" s="1038">
        <f t="shared" ca="1" si="218"/>
        <v>0</v>
      </c>
      <c r="AR89" s="1038">
        <f t="shared" ca="1" si="218"/>
        <v>0</v>
      </c>
      <c r="AS89" s="1038">
        <f t="shared" ca="1" si="218"/>
        <v>0</v>
      </c>
      <c r="AT89" s="1038">
        <f t="shared" ca="1" si="218"/>
        <v>0</v>
      </c>
      <c r="AU89" s="1038">
        <f t="shared" ca="1" si="218"/>
        <v>0</v>
      </c>
      <c r="AV89" s="1038">
        <f t="shared" ref="AV89:BE89" ca="1" si="219">IFERROR(INDEX(INDIRECT($C89&amp;".Outputs["&amp;this.Year&amp;"]"), MATCH(AV$5, INDIRECT($C89&amp;".Outputs[Vector]"), 0)), 0)</f>
        <v>0</v>
      </c>
      <c r="AW89" s="1038">
        <f t="shared" ca="1" si="219"/>
        <v>0</v>
      </c>
      <c r="AX89" s="1038">
        <f t="shared" ca="1" si="219"/>
        <v>0</v>
      </c>
      <c r="AY89" s="1038">
        <f t="shared" ca="1" si="219"/>
        <v>0</v>
      </c>
      <c r="AZ89" s="1038">
        <f t="shared" ca="1" si="219"/>
        <v>0</v>
      </c>
      <c r="BA89" s="1038">
        <f t="shared" ca="1" si="219"/>
        <v>0</v>
      </c>
      <c r="BB89" s="1038">
        <f t="shared" ca="1" si="219"/>
        <v>0</v>
      </c>
      <c r="BC89" s="1038">
        <f t="shared" ca="1" si="219"/>
        <v>0</v>
      </c>
      <c r="BD89" s="1038">
        <f t="shared" ca="1" si="219"/>
        <v>0</v>
      </c>
      <c r="BE89" s="1038">
        <f t="shared" ca="1" si="219"/>
        <v>0</v>
      </c>
      <c r="BF89" s="979">
        <f ca="1">SUM(AM89:BE89)</f>
        <v>0</v>
      </c>
      <c r="BG89" s="743"/>
      <c r="BH89" s="1032">
        <f ca="1">IFERROR(INDEX(INDIRECT($C89&amp;".Outputs["&amp;this.Year&amp;"]"), MATCH(BH$5, INDIRECT($C89&amp;".Outputs[Vector]"), 0)), 0)</f>
        <v>0</v>
      </c>
      <c r="BI89" s="1032">
        <f ca="1">IFERROR(INDEX(INDIRECT($C89&amp;".Outputs["&amp;this.Year&amp;"]"), MATCH(BI$5, INDIRECT($C89&amp;".Outputs[Vector]"), 0)), 0)</f>
        <v>0</v>
      </c>
      <c r="BJ89" s="1034">
        <f ca="1">SUM(BH89:BI89)</f>
        <v>0</v>
      </c>
      <c r="BK89" s="743"/>
      <c r="BL89" s="814">
        <f t="shared" ref="BL89:BL94" ca="1" si="220">Q89+AK89+BF89+BJ89</f>
        <v>0</v>
      </c>
      <c r="BM89" s="814"/>
      <c r="BO89" s="1481">
        <f t="shared" ref="BO89:DF89" ca="1" si="221">IFERROR(SUMIFS(INDIRECT($C89&amp;".Emissions["&amp;this.Year&amp;"]"), INDIRECT($C89&amp;".Emissions[GHG]"), BO$6, INDIRECT($C89&amp;".Emissions[IPCC Sector]"), BO$5),0)</f>
        <v>0</v>
      </c>
      <c r="BP89" s="1482">
        <f t="shared" ca="1" si="221"/>
        <v>0</v>
      </c>
      <c r="BQ89" s="1482">
        <f t="shared" ca="1" si="221"/>
        <v>0</v>
      </c>
      <c r="BR89" s="1482">
        <f t="shared" ca="1" si="221"/>
        <v>0</v>
      </c>
      <c r="BS89" s="1482">
        <f t="shared" ca="1" si="221"/>
        <v>0</v>
      </c>
      <c r="BT89" s="1482">
        <f t="shared" ca="1" si="221"/>
        <v>0</v>
      </c>
      <c r="BU89" s="1482">
        <f t="shared" ca="1" si="221"/>
        <v>0</v>
      </c>
      <c r="BV89" s="1482">
        <f t="shared" ca="1" si="221"/>
        <v>0</v>
      </c>
      <c r="BW89" s="1482">
        <f t="shared" ca="1" si="221"/>
        <v>0</v>
      </c>
      <c r="BX89" s="1482">
        <f t="shared" ca="1" si="221"/>
        <v>0</v>
      </c>
      <c r="BY89" s="1482">
        <f t="shared" ca="1" si="221"/>
        <v>0</v>
      </c>
      <c r="BZ89" s="1482">
        <f t="shared" ca="1" si="221"/>
        <v>0</v>
      </c>
      <c r="CA89" s="1482">
        <f t="shared" ca="1" si="221"/>
        <v>0</v>
      </c>
      <c r="CB89" s="1482">
        <f t="shared" ca="1" si="221"/>
        <v>0</v>
      </c>
      <c r="CC89" s="1482">
        <f t="shared" ca="1" si="221"/>
        <v>0</v>
      </c>
      <c r="CD89" s="1482">
        <f t="shared" ca="1" si="221"/>
        <v>0</v>
      </c>
      <c r="CE89" s="1482">
        <f t="shared" ca="1" si="221"/>
        <v>0</v>
      </c>
      <c r="CF89" s="1482">
        <f t="shared" ca="1" si="221"/>
        <v>0</v>
      </c>
      <c r="CG89" s="1482">
        <f t="shared" ca="1" si="221"/>
        <v>0</v>
      </c>
      <c r="CH89" s="1482">
        <f t="shared" ca="1" si="221"/>
        <v>0</v>
      </c>
      <c r="CI89" s="1482">
        <f t="shared" ca="1" si="221"/>
        <v>0</v>
      </c>
      <c r="CJ89" s="1482">
        <f t="shared" ca="1" si="221"/>
        <v>0</v>
      </c>
      <c r="CK89" s="1482">
        <f t="shared" ca="1" si="221"/>
        <v>0</v>
      </c>
      <c r="CL89" s="1482">
        <f t="shared" ca="1" si="221"/>
        <v>0</v>
      </c>
      <c r="CM89" s="1482">
        <f t="shared" ca="1" si="221"/>
        <v>0</v>
      </c>
      <c r="CN89" s="1482">
        <f t="shared" ca="1" si="221"/>
        <v>0</v>
      </c>
      <c r="CO89" s="1482">
        <f t="shared" ca="1" si="221"/>
        <v>0</v>
      </c>
      <c r="CP89" s="1482">
        <f t="shared" ca="1" si="221"/>
        <v>0</v>
      </c>
      <c r="CQ89" s="1482">
        <f t="shared" ca="1" si="221"/>
        <v>0</v>
      </c>
      <c r="CR89" s="1482">
        <f t="shared" ca="1" si="221"/>
        <v>0</v>
      </c>
      <c r="CS89" s="1482">
        <f t="shared" ca="1" si="221"/>
        <v>0</v>
      </c>
      <c r="CT89" s="1482">
        <f t="shared" ca="1" si="221"/>
        <v>0</v>
      </c>
      <c r="CU89" s="1482">
        <f t="shared" ca="1" si="221"/>
        <v>0</v>
      </c>
      <c r="CV89" s="1482">
        <f t="shared" ca="1" si="221"/>
        <v>0</v>
      </c>
      <c r="CW89" s="1482">
        <f t="shared" ca="1" si="221"/>
        <v>0</v>
      </c>
      <c r="CX89" s="1482">
        <f t="shared" ca="1" si="221"/>
        <v>0</v>
      </c>
      <c r="CY89" s="1482">
        <f t="shared" ca="1" si="221"/>
        <v>0</v>
      </c>
      <c r="CZ89" s="1482">
        <f t="shared" ca="1" si="221"/>
        <v>0</v>
      </c>
      <c r="DA89" s="1482">
        <f t="shared" ca="1" si="221"/>
        <v>0</v>
      </c>
      <c r="DB89" s="1482">
        <f t="shared" ca="1" si="221"/>
        <v>0</v>
      </c>
      <c r="DC89" s="1482">
        <f t="shared" ca="1" si="221"/>
        <v>0</v>
      </c>
      <c r="DD89" s="1482">
        <f t="shared" ca="1" si="221"/>
        <v>0</v>
      </c>
      <c r="DE89" s="1482">
        <f t="shared" ca="1" si="221"/>
        <v>0</v>
      </c>
      <c r="DF89" s="1482">
        <f t="shared" ca="1" si="221"/>
        <v>0</v>
      </c>
      <c r="DH89" s="838"/>
    </row>
    <row r="90" spans="1:112" s="1488" customFormat="1" ht="12.75" hidden="1" customHeight="1" outlineLevel="1">
      <c r="C90" s="1048" t="s">
        <v>1722</v>
      </c>
      <c r="D90" s="1049" t="s">
        <v>1335</v>
      </c>
      <c r="E90" s="1049"/>
      <c r="F90" s="743"/>
      <c r="G90" s="1070"/>
      <c r="H90" s="1070"/>
      <c r="I90" s="1070"/>
      <c r="J90" s="1070"/>
      <c r="K90" s="1071"/>
      <c r="L90" s="1070"/>
      <c r="M90" s="1070"/>
      <c r="N90" s="1070"/>
      <c r="O90" s="1070"/>
      <c r="P90" s="1070"/>
      <c r="Q90" s="1070"/>
      <c r="R90" s="743"/>
      <c r="S90" s="1072">
        <f ca="1">S$40+$S46+S$51+S$99+S$55+S$89</f>
        <v>-450.96633210645444</v>
      </c>
      <c r="T90" s="1072">
        <f ca="1">T$40+$S46+T$51+T$99+T$55+T$89</f>
        <v>0</v>
      </c>
      <c r="U90" s="1072"/>
      <c r="V90" s="1072"/>
      <c r="W90" s="1072"/>
      <c r="X90" s="1072"/>
      <c r="Y90" s="1072"/>
      <c r="Z90" s="1072"/>
      <c r="AA90" s="1072"/>
      <c r="AB90" s="1072"/>
      <c r="AC90" s="1072"/>
      <c r="AD90" s="1072"/>
      <c r="AE90" s="1072"/>
      <c r="AF90" s="1072"/>
      <c r="AG90" s="1072"/>
      <c r="AH90" s="1072"/>
      <c r="AI90" s="1072"/>
      <c r="AJ90" s="1072"/>
      <c r="AK90" s="1072"/>
      <c r="AL90" s="74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743"/>
      <c r="BH90" s="1074"/>
      <c r="BI90" s="1074"/>
      <c r="BJ90" s="1074"/>
      <c r="BK90" s="743"/>
      <c r="BL90" s="852">
        <f t="shared" si="220"/>
        <v>0</v>
      </c>
      <c r="BM90" s="852"/>
      <c r="BO90" s="1490"/>
      <c r="BP90" s="1490"/>
      <c r="BQ90" s="1490"/>
      <c r="BR90" s="1490"/>
      <c r="BS90" s="1490"/>
      <c r="BT90" s="1490"/>
      <c r="BU90" s="1490"/>
      <c r="BV90" s="1490"/>
      <c r="BW90" s="1490"/>
      <c r="BX90" s="1490"/>
      <c r="BY90" s="1490"/>
      <c r="BZ90" s="1490"/>
      <c r="CA90" s="1490"/>
      <c r="CB90" s="1490"/>
      <c r="CC90" s="1490"/>
      <c r="CD90" s="1490"/>
      <c r="CE90" s="1490"/>
      <c r="CF90" s="1490"/>
      <c r="CG90" s="1490"/>
      <c r="CH90" s="1490"/>
      <c r="CI90" s="1490"/>
      <c r="CJ90" s="1490"/>
      <c r="CK90" s="1490"/>
      <c r="CL90" s="1490"/>
      <c r="CM90" s="1490"/>
      <c r="CN90" s="1490"/>
      <c r="CO90" s="1490"/>
      <c r="CP90" s="1490"/>
      <c r="CQ90" s="1490"/>
      <c r="CR90" s="1490"/>
      <c r="CS90" s="1490"/>
      <c r="CT90" s="1490"/>
      <c r="CU90" s="1490"/>
      <c r="CV90" s="1490"/>
      <c r="CW90" s="1490"/>
      <c r="CX90" s="1490"/>
      <c r="CY90" s="1490"/>
      <c r="CZ90" s="1490"/>
      <c r="DA90" s="1490"/>
      <c r="DB90" s="1490"/>
      <c r="DC90" s="1490"/>
      <c r="DD90" s="1490"/>
      <c r="DE90" s="1490"/>
      <c r="DF90" s="1490"/>
      <c r="DH90" s="838"/>
    </row>
    <row r="91" spans="1:112" s="1484" customFormat="1" hidden="1" outlineLevel="1">
      <c r="C91" s="522" t="s">
        <v>784</v>
      </c>
      <c r="D91" s="521" t="str">
        <f>INDEX(Modules[Module], MATCH($C91, Modules[Code], 0))</f>
        <v>Electricity grid distribution</v>
      </c>
      <c r="E91" s="521"/>
      <c r="F91" s="743"/>
      <c r="G91" s="1017">
        <f t="shared" ref="G91:P92" ca="1" si="222">IFERROR(INDEX(INDIRECT($C91&amp;".Outputs["&amp;this.Year&amp;"]"), MATCH(G$5, INDIRECT($C91&amp;".Outputs[Vector]"), 0)), 0)</f>
        <v>0</v>
      </c>
      <c r="H91" s="1017">
        <f t="shared" ca="1" si="222"/>
        <v>0</v>
      </c>
      <c r="I91" s="1017">
        <f t="shared" ca="1" si="222"/>
        <v>0</v>
      </c>
      <c r="J91" s="1017">
        <f t="shared" ca="1" si="222"/>
        <v>0</v>
      </c>
      <c r="K91" s="1017">
        <f t="shared" ca="1" si="222"/>
        <v>0</v>
      </c>
      <c r="L91" s="1017">
        <f t="shared" ca="1" si="222"/>
        <v>0</v>
      </c>
      <c r="M91" s="1017">
        <f t="shared" ca="1" si="222"/>
        <v>0</v>
      </c>
      <c r="N91" s="1017">
        <f t="shared" ca="1" si="222"/>
        <v>0</v>
      </c>
      <c r="O91" s="1017">
        <f t="shared" ca="1" si="222"/>
        <v>0</v>
      </c>
      <c r="P91" s="1017">
        <f t="shared" ca="1" si="222"/>
        <v>0</v>
      </c>
      <c r="Q91" s="1019">
        <f ca="1">SUM(G91:P91)</f>
        <v>0</v>
      </c>
      <c r="R91" s="743"/>
      <c r="S91" s="1026">
        <f t="shared" ref="S91:AJ92" ca="1" si="223">IFERROR(INDEX(INDIRECT($C91&amp;".Outputs["&amp;this.Year&amp;"]"), MATCH(S$5, INDIRECT($C91&amp;".Outputs[Vector]"), 0)), 0)</f>
        <v>0</v>
      </c>
      <c r="T91" s="1026">
        <f t="shared" ca="1" si="223"/>
        <v>-33.813377283533271</v>
      </c>
      <c r="U91" s="1026">
        <f t="shared" ca="1" si="223"/>
        <v>0</v>
      </c>
      <c r="V91" s="1026">
        <f t="shared" ca="1" si="223"/>
        <v>0</v>
      </c>
      <c r="W91" s="1026">
        <f t="shared" ca="1" si="223"/>
        <v>0</v>
      </c>
      <c r="X91" s="1026">
        <f t="shared" ref="X91:Z92" ca="1" si="224">IFERROR(INDEX(INDIRECT($C91&amp;".Outputs["&amp;this.Year&amp;"]"), MATCH(X$5, INDIRECT($C91&amp;".Outputs[Vector]"), 0)), 0)</f>
        <v>0</v>
      </c>
      <c r="Y91" s="1026">
        <f t="shared" ca="1" si="224"/>
        <v>0</v>
      </c>
      <c r="Z91" s="1026">
        <f t="shared" ca="1" si="224"/>
        <v>0</v>
      </c>
      <c r="AA91" s="1026">
        <f t="shared" ca="1" si="223"/>
        <v>0</v>
      </c>
      <c r="AB91" s="1026">
        <f t="shared" ca="1" si="223"/>
        <v>0</v>
      </c>
      <c r="AC91" s="1026">
        <f t="shared" ca="1" si="223"/>
        <v>0</v>
      </c>
      <c r="AD91" s="1026">
        <f t="shared" ca="1" si="223"/>
        <v>0</v>
      </c>
      <c r="AE91" s="1026">
        <f t="shared" ca="1" si="223"/>
        <v>0</v>
      </c>
      <c r="AF91" s="1026">
        <f t="shared" ca="1" si="223"/>
        <v>0</v>
      </c>
      <c r="AG91" s="1026">
        <f t="shared" ca="1" si="223"/>
        <v>0</v>
      </c>
      <c r="AH91" s="1026">
        <f t="shared" ca="1" si="223"/>
        <v>0</v>
      </c>
      <c r="AI91" s="1026">
        <f t="shared" ca="1" si="223"/>
        <v>0</v>
      </c>
      <c r="AJ91" s="1026">
        <f t="shared" ca="1" si="223"/>
        <v>0</v>
      </c>
      <c r="AK91" s="1027">
        <f ca="1">SUM(S91:AJ91)</f>
        <v>-33.813377283533271</v>
      </c>
      <c r="AL91" s="743"/>
      <c r="AM91" s="1038">
        <f t="shared" ref="AM91:AU92" ca="1" si="225">IFERROR(INDEX(INDIRECT($C91&amp;".Outputs["&amp;this.Year&amp;"]"), MATCH(AM$5, INDIRECT($C91&amp;".Outputs[Vector]"), 0)), 0)</f>
        <v>0</v>
      </c>
      <c r="AN91" s="1038">
        <f t="shared" ca="1" si="225"/>
        <v>0</v>
      </c>
      <c r="AO91" s="1038">
        <f t="shared" ca="1" si="225"/>
        <v>0</v>
      </c>
      <c r="AP91" s="1038">
        <f t="shared" ca="1" si="225"/>
        <v>0</v>
      </c>
      <c r="AQ91" s="1038">
        <f t="shared" ca="1" si="225"/>
        <v>0</v>
      </c>
      <c r="AR91" s="1038">
        <f t="shared" ca="1" si="225"/>
        <v>0</v>
      </c>
      <c r="AS91" s="1038">
        <f t="shared" ca="1" si="225"/>
        <v>0</v>
      </c>
      <c r="AT91" s="1038">
        <f t="shared" ca="1" si="225"/>
        <v>0</v>
      </c>
      <c r="AU91" s="1038">
        <f t="shared" ca="1" si="225"/>
        <v>0</v>
      </c>
      <c r="AV91" s="1038">
        <f t="shared" ref="AV91:BE92" ca="1" si="226">IFERROR(INDEX(INDIRECT($C91&amp;".Outputs["&amp;this.Year&amp;"]"), MATCH(AV$5, INDIRECT($C91&amp;".Outputs[Vector]"), 0)), 0)</f>
        <v>0</v>
      </c>
      <c r="AW91" s="1038">
        <f t="shared" ca="1" si="226"/>
        <v>0</v>
      </c>
      <c r="AX91" s="1038">
        <f t="shared" ca="1" si="226"/>
        <v>0</v>
      </c>
      <c r="AY91" s="1038">
        <f t="shared" ca="1" si="226"/>
        <v>0</v>
      </c>
      <c r="AZ91" s="1038">
        <f t="shared" ca="1" si="226"/>
        <v>0</v>
      </c>
      <c r="BA91" s="1038">
        <f t="shared" ca="1" si="226"/>
        <v>0</v>
      </c>
      <c r="BB91" s="1038">
        <f t="shared" ca="1" si="226"/>
        <v>0</v>
      </c>
      <c r="BC91" s="1038">
        <f t="shared" ca="1" si="226"/>
        <v>0</v>
      </c>
      <c r="BD91" s="1038">
        <f t="shared" ca="1" si="226"/>
        <v>0</v>
      </c>
      <c r="BE91" s="1038">
        <f t="shared" ca="1" si="226"/>
        <v>0</v>
      </c>
      <c r="BF91" s="979">
        <f ca="1">SUM(AM91:BE91)</f>
        <v>0</v>
      </c>
      <c r="BG91" s="743"/>
      <c r="BH91" s="1032">
        <f ca="1">IFERROR(INDEX(INDIRECT($C91&amp;".Outputs["&amp;this.Year&amp;"]"), MATCH(BH$5, INDIRECT($C91&amp;".Outputs[Vector]"), 0)), 0)</f>
        <v>0</v>
      </c>
      <c r="BI91" s="1032">
        <f ca="1">IFERROR(INDEX(INDIRECT($C91&amp;".Outputs["&amp;this.Year&amp;"]"), MATCH(BI$5, INDIRECT($C91&amp;".Outputs[Vector]"), 0)), 0)</f>
        <v>33.813377283533271</v>
      </c>
      <c r="BJ91" s="1034">
        <f ca="1">SUM(BH91:BI91)</f>
        <v>33.813377283533271</v>
      </c>
      <c r="BK91" s="743"/>
      <c r="BL91" s="852">
        <f t="shared" ca="1" si="220"/>
        <v>0</v>
      </c>
      <c r="BM91" s="814"/>
      <c r="BO91" s="1481">
        <f t="shared" ref="BO91:BX92" ca="1" si="227">IFERROR(SUMIFS(INDIRECT($C91&amp;".Emissions["&amp;this.Year&amp;"]"), INDIRECT($C91&amp;".Emissions[GHG]"), BO$6, INDIRECT($C91&amp;".Emissions[IPCC Sector]"), BO$5),0)</f>
        <v>0</v>
      </c>
      <c r="BP91" s="1482">
        <f t="shared" ca="1" si="227"/>
        <v>0</v>
      </c>
      <c r="BQ91" s="1482">
        <f t="shared" ca="1" si="227"/>
        <v>0</v>
      </c>
      <c r="BR91" s="1482">
        <f t="shared" ca="1" si="227"/>
        <v>0</v>
      </c>
      <c r="BS91" s="1482">
        <f t="shared" ca="1" si="227"/>
        <v>0</v>
      </c>
      <c r="BT91" s="1482">
        <f t="shared" ca="1" si="227"/>
        <v>0</v>
      </c>
      <c r="BU91" s="1482">
        <f t="shared" ca="1" si="227"/>
        <v>0</v>
      </c>
      <c r="BV91" s="1482">
        <f t="shared" ca="1" si="227"/>
        <v>0</v>
      </c>
      <c r="BW91" s="1482">
        <f t="shared" ca="1" si="227"/>
        <v>0</v>
      </c>
      <c r="BX91" s="1482">
        <f t="shared" ca="1" si="227"/>
        <v>0</v>
      </c>
      <c r="BY91" s="1482">
        <f t="shared" ref="BY91:CH92" ca="1" si="228">IFERROR(SUMIFS(INDIRECT($C91&amp;".Emissions["&amp;this.Year&amp;"]"), INDIRECT($C91&amp;".Emissions[GHG]"), BY$6, INDIRECT($C91&amp;".Emissions[IPCC Sector]"), BY$5),0)</f>
        <v>0</v>
      </c>
      <c r="BZ91" s="1482">
        <f t="shared" ca="1" si="228"/>
        <v>0</v>
      </c>
      <c r="CA91" s="1482">
        <f t="shared" ca="1" si="228"/>
        <v>0</v>
      </c>
      <c r="CB91" s="1482">
        <f t="shared" ca="1" si="228"/>
        <v>0</v>
      </c>
      <c r="CC91" s="1482">
        <f t="shared" ca="1" si="228"/>
        <v>0</v>
      </c>
      <c r="CD91" s="1482">
        <f t="shared" ca="1" si="228"/>
        <v>0</v>
      </c>
      <c r="CE91" s="1482">
        <f t="shared" ca="1" si="228"/>
        <v>0</v>
      </c>
      <c r="CF91" s="1482">
        <f t="shared" ca="1" si="228"/>
        <v>0</v>
      </c>
      <c r="CG91" s="1482">
        <f t="shared" ca="1" si="228"/>
        <v>0</v>
      </c>
      <c r="CH91" s="1482">
        <f t="shared" ca="1" si="228"/>
        <v>0</v>
      </c>
      <c r="CI91" s="1482">
        <f t="shared" ref="CI91:CR92" ca="1" si="229">IFERROR(SUMIFS(INDIRECT($C91&amp;".Emissions["&amp;this.Year&amp;"]"), INDIRECT($C91&amp;".Emissions[GHG]"), CI$6, INDIRECT($C91&amp;".Emissions[IPCC Sector]"), CI$5),0)</f>
        <v>0</v>
      </c>
      <c r="CJ91" s="1482">
        <f t="shared" ca="1" si="229"/>
        <v>0</v>
      </c>
      <c r="CK91" s="1482">
        <f t="shared" ca="1" si="229"/>
        <v>0</v>
      </c>
      <c r="CL91" s="1482">
        <f t="shared" ca="1" si="229"/>
        <v>0</v>
      </c>
      <c r="CM91" s="1482">
        <f t="shared" ca="1" si="229"/>
        <v>0</v>
      </c>
      <c r="CN91" s="1482">
        <f t="shared" ca="1" si="229"/>
        <v>0</v>
      </c>
      <c r="CO91" s="1482">
        <f t="shared" ca="1" si="229"/>
        <v>0</v>
      </c>
      <c r="CP91" s="1482">
        <f t="shared" ca="1" si="229"/>
        <v>0</v>
      </c>
      <c r="CQ91" s="1482">
        <f t="shared" ca="1" si="229"/>
        <v>0</v>
      </c>
      <c r="CR91" s="1482">
        <f t="shared" ca="1" si="229"/>
        <v>0</v>
      </c>
      <c r="CS91" s="1482">
        <f t="shared" ref="CS91:DF92" ca="1" si="230">IFERROR(SUMIFS(INDIRECT($C91&amp;".Emissions["&amp;this.Year&amp;"]"), INDIRECT($C91&amp;".Emissions[GHG]"), CS$6, INDIRECT($C91&amp;".Emissions[IPCC Sector]"), CS$5),0)</f>
        <v>0</v>
      </c>
      <c r="CT91" s="1482">
        <f t="shared" ca="1" si="230"/>
        <v>0</v>
      </c>
      <c r="CU91" s="1482">
        <f t="shared" ca="1" si="230"/>
        <v>0</v>
      </c>
      <c r="CV91" s="1482">
        <f t="shared" ca="1" si="230"/>
        <v>0</v>
      </c>
      <c r="CW91" s="1482">
        <f t="shared" ca="1" si="230"/>
        <v>0</v>
      </c>
      <c r="CX91" s="1482">
        <f t="shared" ca="1" si="230"/>
        <v>0</v>
      </c>
      <c r="CY91" s="1482">
        <f t="shared" ca="1" si="230"/>
        <v>0</v>
      </c>
      <c r="CZ91" s="1482">
        <f t="shared" ca="1" si="230"/>
        <v>0</v>
      </c>
      <c r="DA91" s="1482">
        <f t="shared" ca="1" si="230"/>
        <v>0</v>
      </c>
      <c r="DB91" s="1482">
        <f t="shared" ca="1" si="230"/>
        <v>0</v>
      </c>
      <c r="DC91" s="1482">
        <f t="shared" ca="1" si="230"/>
        <v>0</v>
      </c>
      <c r="DD91" s="1482">
        <f t="shared" ca="1" si="230"/>
        <v>0</v>
      </c>
      <c r="DE91" s="1482">
        <f t="shared" ca="1" si="230"/>
        <v>0</v>
      </c>
      <c r="DF91" s="1482">
        <f t="shared" ca="1" si="230"/>
        <v>0</v>
      </c>
      <c r="DH91" s="838"/>
    </row>
    <row r="92" spans="1:112" s="1484" customFormat="1" hidden="1" outlineLevel="1">
      <c r="C92" s="522" t="s">
        <v>796</v>
      </c>
      <c r="D92" s="1010" t="str">
        <f>INDEX(Modules[Module], MATCH($C92, Modules[Code], 0))</f>
        <v>Storage, demand shifting, backup</v>
      </c>
      <c r="E92" s="1010"/>
      <c r="F92" s="743"/>
      <c r="G92" s="1022">
        <f t="shared" ca="1" si="222"/>
        <v>0</v>
      </c>
      <c r="H92" s="1022">
        <f t="shared" ca="1" si="222"/>
        <v>0</v>
      </c>
      <c r="I92" s="1022">
        <f t="shared" ca="1" si="222"/>
        <v>0</v>
      </c>
      <c r="J92" s="1022">
        <f t="shared" ca="1" si="222"/>
        <v>0</v>
      </c>
      <c r="K92" s="1022">
        <f t="shared" ca="1" si="222"/>
        <v>0</v>
      </c>
      <c r="L92" s="1022">
        <f t="shared" ca="1" si="222"/>
        <v>0</v>
      </c>
      <c r="M92" s="1022">
        <f t="shared" ca="1" si="222"/>
        <v>0</v>
      </c>
      <c r="N92" s="1022">
        <f t="shared" ca="1" si="222"/>
        <v>0</v>
      </c>
      <c r="O92" s="1022">
        <f t="shared" ca="1" si="222"/>
        <v>0</v>
      </c>
      <c r="P92" s="1022">
        <f t="shared" ca="1" si="222"/>
        <v>0</v>
      </c>
      <c r="Q92" s="1020">
        <f ca="1">SUM(G92:P92)</f>
        <v>0</v>
      </c>
      <c r="R92" s="743"/>
      <c r="S92" s="1031">
        <f t="shared" ca="1" si="223"/>
        <v>0</v>
      </c>
      <c r="T92" s="1031">
        <f t="shared" ca="1" si="223"/>
        <v>0</v>
      </c>
      <c r="U92" s="1031">
        <f t="shared" ca="1" si="223"/>
        <v>0</v>
      </c>
      <c r="V92" s="1031">
        <f t="shared" ca="1" si="223"/>
        <v>0</v>
      </c>
      <c r="W92" s="1031">
        <f t="shared" ca="1" si="223"/>
        <v>0</v>
      </c>
      <c r="X92" s="1031">
        <f t="shared" ca="1" si="224"/>
        <v>0</v>
      </c>
      <c r="Y92" s="1031">
        <f t="shared" ca="1" si="224"/>
        <v>0</v>
      </c>
      <c r="Z92" s="1031">
        <f t="shared" ca="1" si="224"/>
        <v>0</v>
      </c>
      <c r="AA92" s="1031">
        <f t="shared" ca="1" si="223"/>
        <v>0</v>
      </c>
      <c r="AB92" s="1031">
        <f t="shared" ca="1" si="223"/>
        <v>0</v>
      </c>
      <c r="AC92" s="1031">
        <f t="shared" ca="1" si="223"/>
        <v>0</v>
      </c>
      <c r="AD92" s="1031">
        <f t="shared" ca="1" si="223"/>
        <v>0</v>
      </c>
      <c r="AE92" s="1031">
        <f t="shared" ca="1" si="223"/>
        <v>0</v>
      </c>
      <c r="AF92" s="1031">
        <f t="shared" ca="1" si="223"/>
        <v>0</v>
      </c>
      <c r="AG92" s="1031">
        <f t="shared" ca="1" si="223"/>
        <v>0</v>
      </c>
      <c r="AH92" s="1031">
        <f t="shared" ca="1" si="223"/>
        <v>0</v>
      </c>
      <c r="AI92" s="1031">
        <f t="shared" ca="1" si="223"/>
        <v>0</v>
      </c>
      <c r="AJ92" s="1031">
        <f t="shared" ca="1" si="223"/>
        <v>0</v>
      </c>
      <c r="AK92" s="1030">
        <f ca="1">SUM(S92:AJ92)</f>
        <v>0</v>
      </c>
      <c r="AL92" s="743"/>
      <c r="AM92" s="1042">
        <f t="shared" ca="1" si="225"/>
        <v>0</v>
      </c>
      <c r="AN92" s="1042">
        <f t="shared" ca="1" si="225"/>
        <v>0</v>
      </c>
      <c r="AO92" s="1042">
        <f t="shared" ca="1" si="225"/>
        <v>0</v>
      </c>
      <c r="AP92" s="1042">
        <f t="shared" ca="1" si="225"/>
        <v>0</v>
      </c>
      <c r="AQ92" s="1042">
        <f t="shared" ca="1" si="225"/>
        <v>0</v>
      </c>
      <c r="AR92" s="1042">
        <f t="shared" ca="1" si="225"/>
        <v>0</v>
      </c>
      <c r="AS92" s="1042">
        <f t="shared" ca="1" si="225"/>
        <v>0</v>
      </c>
      <c r="AT92" s="1042">
        <f t="shared" ca="1" si="225"/>
        <v>0</v>
      </c>
      <c r="AU92" s="1042">
        <f t="shared" ca="1" si="225"/>
        <v>0</v>
      </c>
      <c r="AV92" s="1042">
        <f t="shared" ca="1" si="226"/>
        <v>0</v>
      </c>
      <c r="AW92" s="1042">
        <f t="shared" ca="1" si="226"/>
        <v>0</v>
      </c>
      <c r="AX92" s="1042">
        <f t="shared" ca="1" si="226"/>
        <v>0</v>
      </c>
      <c r="AY92" s="1042">
        <f t="shared" ca="1" si="226"/>
        <v>0</v>
      </c>
      <c r="AZ92" s="1042">
        <f t="shared" ca="1" si="226"/>
        <v>0</v>
      </c>
      <c r="BA92" s="1042">
        <f t="shared" ca="1" si="226"/>
        <v>0</v>
      </c>
      <c r="BB92" s="1042">
        <f t="shared" ca="1" si="226"/>
        <v>0</v>
      </c>
      <c r="BC92" s="1042">
        <f t="shared" ca="1" si="226"/>
        <v>0</v>
      </c>
      <c r="BD92" s="1042">
        <f t="shared" ca="1" si="226"/>
        <v>0</v>
      </c>
      <c r="BE92" s="1042">
        <f t="shared" ca="1" si="226"/>
        <v>0</v>
      </c>
      <c r="BF92" s="1012">
        <f ca="1">SUM(AM92:BE92)</f>
        <v>0</v>
      </c>
      <c r="BG92" s="743"/>
      <c r="BH92" s="1036">
        <f ca="1">IFERROR(INDEX(INDIRECT($C92&amp;".Outputs["&amp;this.Year&amp;"]"), MATCH(BH$5, INDIRECT($C92&amp;".Outputs[Vector]"), 0)), 0)</f>
        <v>0</v>
      </c>
      <c r="BI92" s="1036">
        <f ca="1">IFERROR(INDEX(INDIRECT($C92&amp;".Outputs["&amp;this.Year&amp;"]"), MATCH(BI$5, INDIRECT($C92&amp;".Outputs[Vector]"), 0)), 0)</f>
        <v>0</v>
      </c>
      <c r="BJ92" s="1035">
        <f ca="1">SUM(BH92:BI92)</f>
        <v>0</v>
      </c>
      <c r="BK92" s="743"/>
      <c r="BL92" s="852">
        <f t="shared" ca="1" si="220"/>
        <v>0</v>
      </c>
      <c r="BM92" s="814"/>
      <c r="BO92" s="1485">
        <f t="shared" ca="1" si="227"/>
        <v>0</v>
      </c>
      <c r="BP92" s="1486">
        <f t="shared" ca="1" si="227"/>
        <v>0</v>
      </c>
      <c r="BQ92" s="1486">
        <f t="shared" ca="1" si="227"/>
        <v>0</v>
      </c>
      <c r="BR92" s="1486">
        <f t="shared" ca="1" si="227"/>
        <v>0</v>
      </c>
      <c r="BS92" s="1486">
        <f t="shared" ca="1" si="227"/>
        <v>0</v>
      </c>
      <c r="BT92" s="1486">
        <f t="shared" ca="1" si="227"/>
        <v>0</v>
      </c>
      <c r="BU92" s="1486">
        <f t="shared" ca="1" si="227"/>
        <v>0</v>
      </c>
      <c r="BV92" s="1486">
        <f t="shared" ca="1" si="227"/>
        <v>0</v>
      </c>
      <c r="BW92" s="1486">
        <f t="shared" ca="1" si="227"/>
        <v>0</v>
      </c>
      <c r="BX92" s="1486">
        <f t="shared" ca="1" si="227"/>
        <v>0</v>
      </c>
      <c r="BY92" s="1486">
        <f t="shared" ca="1" si="228"/>
        <v>0</v>
      </c>
      <c r="BZ92" s="1486">
        <f t="shared" ca="1" si="228"/>
        <v>0</v>
      </c>
      <c r="CA92" s="1486">
        <f t="shared" ca="1" si="228"/>
        <v>0</v>
      </c>
      <c r="CB92" s="1486">
        <f t="shared" ca="1" si="228"/>
        <v>0</v>
      </c>
      <c r="CC92" s="1486">
        <f t="shared" ca="1" si="228"/>
        <v>0</v>
      </c>
      <c r="CD92" s="1486">
        <f t="shared" ca="1" si="228"/>
        <v>0</v>
      </c>
      <c r="CE92" s="1486">
        <f t="shared" ca="1" si="228"/>
        <v>0</v>
      </c>
      <c r="CF92" s="1486">
        <f t="shared" ca="1" si="228"/>
        <v>0</v>
      </c>
      <c r="CG92" s="1486">
        <f t="shared" ca="1" si="228"/>
        <v>0</v>
      </c>
      <c r="CH92" s="1486">
        <f t="shared" ca="1" si="228"/>
        <v>0</v>
      </c>
      <c r="CI92" s="1486">
        <f t="shared" ca="1" si="229"/>
        <v>0</v>
      </c>
      <c r="CJ92" s="1486">
        <f t="shared" ca="1" si="229"/>
        <v>0</v>
      </c>
      <c r="CK92" s="1486">
        <f t="shared" ca="1" si="229"/>
        <v>0</v>
      </c>
      <c r="CL92" s="1486">
        <f t="shared" ca="1" si="229"/>
        <v>0</v>
      </c>
      <c r="CM92" s="1486">
        <f t="shared" ca="1" si="229"/>
        <v>0</v>
      </c>
      <c r="CN92" s="1486">
        <f t="shared" ca="1" si="229"/>
        <v>0</v>
      </c>
      <c r="CO92" s="1486">
        <f t="shared" ca="1" si="229"/>
        <v>0</v>
      </c>
      <c r="CP92" s="1486">
        <f t="shared" ca="1" si="229"/>
        <v>0</v>
      </c>
      <c r="CQ92" s="1486">
        <f t="shared" ca="1" si="229"/>
        <v>0</v>
      </c>
      <c r="CR92" s="1486">
        <f t="shared" ca="1" si="229"/>
        <v>0</v>
      </c>
      <c r="CS92" s="1486">
        <f t="shared" ca="1" si="230"/>
        <v>0</v>
      </c>
      <c r="CT92" s="1486">
        <f t="shared" ca="1" si="230"/>
        <v>0</v>
      </c>
      <c r="CU92" s="1486">
        <f t="shared" ca="1" si="230"/>
        <v>0</v>
      </c>
      <c r="CV92" s="1486">
        <f t="shared" ca="1" si="230"/>
        <v>0</v>
      </c>
      <c r="CW92" s="1486">
        <f t="shared" ca="1" si="230"/>
        <v>0</v>
      </c>
      <c r="CX92" s="1486">
        <f t="shared" ca="1" si="230"/>
        <v>0</v>
      </c>
      <c r="CY92" s="1486">
        <f t="shared" ca="1" si="230"/>
        <v>0</v>
      </c>
      <c r="CZ92" s="1486">
        <f t="shared" ca="1" si="230"/>
        <v>0</v>
      </c>
      <c r="DA92" s="1486">
        <f t="shared" ca="1" si="230"/>
        <v>0</v>
      </c>
      <c r="DB92" s="1486">
        <f t="shared" ca="1" si="230"/>
        <v>0</v>
      </c>
      <c r="DC92" s="1486">
        <f t="shared" ca="1" si="230"/>
        <v>0</v>
      </c>
      <c r="DD92" s="1486">
        <f t="shared" ca="1" si="230"/>
        <v>0</v>
      </c>
      <c r="DE92" s="1486">
        <f t="shared" ca="1" si="230"/>
        <v>0</v>
      </c>
      <c r="DF92" s="1486">
        <f t="shared" ca="1" si="230"/>
        <v>0</v>
      </c>
      <c r="DH92" s="838"/>
    </row>
    <row r="93" spans="1:112" s="22" customFormat="1" ht="12.75" customHeight="1" collapsed="1">
      <c r="B93" s="753"/>
      <c r="C93" s="744" t="s">
        <v>673</v>
      </c>
      <c r="D93" s="517" t="str">
        <f>INDEX(Workstreams[Workstream], MATCH($C93, Workstreams[Code], 0))</f>
        <v>Electricity distribution, storage, and balancing</v>
      </c>
      <c r="E93" s="512"/>
      <c r="F93" s="743"/>
      <c r="G93" s="958">
        <f t="shared" ref="G93:P93" ca="1" si="231">G$89+G$91+G$92</f>
        <v>0</v>
      </c>
      <c r="H93" s="958">
        <f t="shared" ca="1" si="231"/>
        <v>0</v>
      </c>
      <c r="I93" s="958">
        <f t="shared" ca="1" si="231"/>
        <v>0</v>
      </c>
      <c r="J93" s="958">
        <f t="shared" ca="1" si="231"/>
        <v>0</v>
      </c>
      <c r="K93" s="960">
        <f t="shared" ca="1" si="231"/>
        <v>0</v>
      </c>
      <c r="L93" s="958">
        <f t="shared" ca="1" si="231"/>
        <v>0</v>
      </c>
      <c r="M93" s="958">
        <f t="shared" ca="1" si="231"/>
        <v>0</v>
      </c>
      <c r="N93" s="958">
        <f t="shared" ca="1" si="231"/>
        <v>0</v>
      </c>
      <c r="O93" s="958">
        <f t="shared" ca="1" si="231"/>
        <v>0</v>
      </c>
      <c r="P93" s="958">
        <f t="shared" ca="1" si="231"/>
        <v>0</v>
      </c>
      <c r="Q93" s="1021">
        <f ca="1">SUM(G93:P93)</f>
        <v>0</v>
      </c>
      <c r="R93" s="743"/>
      <c r="S93" s="970">
        <f t="shared" ref="S93:AJ93" ca="1" si="232">S$89+S$91+S$92</f>
        <v>0</v>
      </c>
      <c r="T93" s="970">
        <f t="shared" ca="1" si="232"/>
        <v>-33.813377283533271</v>
      </c>
      <c r="U93" s="970">
        <f t="shared" ca="1" si="232"/>
        <v>0</v>
      </c>
      <c r="V93" s="970">
        <f t="shared" ca="1" si="232"/>
        <v>0</v>
      </c>
      <c r="W93" s="970">
        <f t="shared" ca="1" si="232"/>
        <v>0</v>
      </c>
      <c r="X93" s="970">
        <f ca="1">X$89+X$91+X$92</f>
        <v>0</v>
      </c>
      <c r="Y93" s="970">
        <f ca="1">Y$89+Y$91+Y$92</f>
        <v>0</v>
      </c>
      <c r="Z93" s="970">
        <f ca="1">Z$89+Z$91+Z$92</f>
        <v>0</v>
      </c>
      <c r="AA93" s="970">
        <f t="shared" ca="1" si="232"/>
        <v>0</v>
      </c>
      <c r="AB93" s="970">
        <f t="shared" ca="1" si="232"/>
        <v>0</v>
      </c>
      <c r="AC93" s="970">
        <f t="shared" ca="1" si="232"/>
        <v>0</v>
      </c>
      <c r="AD93" s="970">
        <f t="shared" ca="1" si="232"/>
        <v>0</v>
      </c>
      <c r="AE93" s="970">
        <f t="shared" ca="1" si="232"/>
        <v>0</v>
      </c>
      <c r="AF93" s="970">
        <f t="shared" ca="1" si="232"/>
        <v>0</v>
      </c>
      <c r="AG93" s="970">
        <f t="shared" ca="1" si="232"/>
        <v>0</v>
      </c>
      <c r="AH93" s="970">
        <f t="shared" ca="1" si="232"/>
        <v>0</v>
      </c>
      <c r="AI93" s="970">
        <f t="shared" ca="1" si="232"/>
        <v>0</v>
      </c>
      <c r="AJ93" s="970">
        <f t="shared" ca="1" si="232"/>
        <v>0</v>
      </c>
      <c r="AK93" s="970">
        <f ca="1">SUM(S93:AJ93)</f>
        <v>-33.813377283533271</v>
      </c>
      <c r="AL93" s="743"/>
      <c r="AM93" s="976">
        <f t="shared" ref="AM93:BE93" ca="1" si="233">AM$89+AM$91+AM$92</f>
        <v>0</v>
      </c>
      <c r="AN93" s="976">
        <f t="shared" ca="1" si="233"/>
        <v>0</v>
      </c>
      <c r="AO93" s="976">
        <f t="shared" ca="1" si="233"/>
        <v>0</v>
      </c>
      <c r="AP93" s="976">
        <f t="shared" ca="1" si="233"/>
        <v>0</v>
      </c>
      <c r="AQ93" s="976">
        <f t="shared" ca="1" si="233"/>
        <v>0</v>
      </c>
      <c r="AR93" s="976">
        <f t="shared" ca="1" si="233"/>
        <v>0</v>
      </c>
      <c r="AS93" s="976">
        <f t="shared" ca="1" si="233"/>
        <v>0</v>
      </c>
      <c r="AT93" s="976">
        <f t="shared" ca="1" si="233"/>
        <v>0</v>
      </c>
      <c r="AU93" s="976">
        <f t="shared" ca="1" si="233"/>
        <v>0</v>
      </c>
      <c r="AV93" s="976">
        <f t="shared" ca="1" si="233"/>
        <v>0</v>
      </c>
      <c r="AW93" s="976">
        <f t="shared" ca="1" si="233"/>
        <v>0</v>
      </c>
      <c r="AX93" s="976">
        <f t="shared" ca="1" si="233"/>
        <v>0</v>
      </c>
      <c r="AY93" s="976">
        <f t="shared" ca="1" si="233"/>
        <v>0</v>
      </c>
      <c r="AZ93" s="976">
        <f t="shared" ca="1" si="233"/>
        <v>0</v>
      </c>
      <c r="BA93" s="976">
        <f t="shared" ca="1" si="233"/>
        <v>0</v>
      </c>
      <c r="BB93" s="976">
        <f t="shared" ca="1" si="233"/>
        <v>0</v>
      </c>
      <c r="BC93" s="976">
        <f t="shared" ca="1" si="233"/>
        <v>0</v>
      </c>
      <c r="BD93" s="976">
        <f t="shared" ca="1" si="233"/>
        <v>0</v>
      </c>
      <c r="BE93" s="976">
        <f t="shared" ca="1" si="233"/>
        <v>0</v>
      </c>
      <c r="BF93" s="976">
        <f ca="1">SUM(AM93:BE93)</f>
        <v>0</v>
      </c>
      <c r="BG93" s="743"/>
      <c r="BH93" s="990">
        <f ca="1">BH$89+BH$91+BH$92</f>
        <v>0</v>
      </c>
      <c r="BI93" s="990">
        <f ca="1">BI$89+BI$91+BI$92</f>
        <v>33.813377283533271</v>
      </c>
      <c r="BJ93" s="990">
        <f ca="1">SUM(BH93:BI93)</f>
        <v>33.813377283533271</v>
      </c>
      <c r="BK93" s="743"/>
      <c r="BL93" s="515">
        <f t="shared" ca="1" si="220"/>
        <v>0</v>
      </c>
      <c r="BM93" s="515"/>
      <c r="BN93" s="840"/>
      <c r="BO93" s="1482">
        <f t="shared" ref="BO93:DF93" ca="1" si="234">BO$89+BO$91+BO$92</f>
        <v>0</v>
      </c>
      <c r="BP93" s="1482">
        <f t="shared" ca="1" si="234"/>
        <v>0</v>
      </c>
      <c r="BQ93" s="1482">
        <f t="shared" ca="1" si="234"/>
        <v>0</v>
      </c>
      <c r="BR93" s="1482">
        <f t="shared" ca="1" si="234"/>
        <v>0</v>
      </c>
      <c r="BS93" s="1482">
        <f t="shared" ca="1" si="234"/>
        <v>0</v>
      </c>
      <c r="BT93" s="1482">
        <f t="shared" ca="1" si="234"/>
        <v>0</v>
      </c>
      <c r="BU93" s="1482">
        <f t="shared" ca="1" si="234"/>
        <v>0</v>
      </c>
      <c r="BV93" s="1482">
        <f t="shared" ca="1" si="234"/>
        <v>0</v>
      </c>
      <c r="BW93" s="1482">
        <f t="shared" ca="1" si="234"/>
        <v>0</v>
      </c>
      <c r="BX93" s="1482">
        <f t="shared" ca="1" si="234"/>
        <v>0</v>
      </c>
      <c r="BY93" s="1482">
        <f t="shared" ca="1" si="234"/>
        <v>0</v>
      </c>
      <c r="BZ93" s="1482">
        <f t="shared" ca="1" si="234"/>
        <v>0</v>
      </c>
      <c r="CA93" s="1482">
        <f t="shared" ca="1" si="234"/>
        <v>0</v>
      </c>
      <c r="CB93" s="1482">
        <f t="shared" ca="1" si="234"/>
        <v>0</v>
      </c>
      <c r="CC93" s="1482">
        <f t="shared" ca="1" si="234"/>
        <v>0</v>
      </c>
      <c r="CD93" s="1482">
        <f t="shared" ca="1" si="234"/>
        <v>0</v>
      </c>
      <c r="CE93" s="1482">
        <f t="shared" ca="1" si="234"/>
        <v>0</v>
      </c>
      <c r="CF93" s="1482">
        <f t="shared" ca="1" si="234"/>
        <v>0</v>
      </c>
      <c r="CG93" s="1482">
        <f t="shared" ca="1" si="234"/>
        <v>0</v>
      </c>
      <c r="CH93" s="1482">
        <f t="shared" ca="1" si="234"/>
        <v>0</v>
      </c>
      <c r="CI93" s="1482">
        <f t="shared" ca="1" si="234"/>
        <v>0</v>
      </c>
      <c r="CJ93" s="1482">
        <f t="shared" ca="1" si="234"/>
        <v>0</v>
      </c>
      <c r="CK93" s="1482">
        <f t="shared" ca="1" si="234"/>
        <v>0</v>
      </c>
      <c r="CL93" s="1482">
        <f t="shared" ca="1" si="234"/>
        <v>0</v>
      </c>
      <c r="CM93" s="1482">
        <f t="shared" ca="1" si="234"/>
        <v>0</v>
      </c>
      <c r="CN93" s="1482">
        <f t="shared" ca="1" si="234"/>
        <v>0</v>
      </c>
      <c r="CO93" s="1482">
        <f t="shared" ca="1" si="234"/>
        <v>0</v>
      </c>
      <c r="CP93" s="1482">
        <f t="shared" ca="1" si="234"/>
        <v>0</v>
      </c>
      <c r="CQ93" s="1482">
        <f t="shared" ca="1" si="234"/>
        <v>0</v>
      </c>
      <c r="CR93" s="1482">
        <f t="shared" ca="1" si="234"/>
        <v>0</v>
      </c>
      <c r="CS93" s="1482">
        <f t="shared" ca="1" si="234"/>
        <v>0</v>
      </c>
      <c r="CT93" s="1482">
        <f t="shared" ca="1" si="234"/>
        <v>0</v>
      </c>
      <c r="CU93" s="1482">
        <f t="shared" ca="1" si="234"/>
        <v>0</v>
      </c>
      <c r="CV93" s="1482">
        <f t="shared" ca="1" si="234"/>
        <v>0</v>
      </c>
      <c r="CW93" s="1482">
        <f t="shared" ca="1" si="234"/>
        <v>0</v>
      </c>
      <c r="CX93" s="1482">
        <f t="shared" ca="1" si="234"/>
        <v>0</v>
      </c>
      <c r="CY93" s="1482">
        <f t="shared" ca="1" si="234"/>
        <v>0</v>
      </c>
      <c r="CZ93" s="1482">
        <f t="shared" ca="1" si="234"/>
        <v>0</v>
      </c>
      <c r="DA93" s="1482">
        <f t="shared" ca="1" si="234"/>
        <v>0</v>
      </c>
      <c r="DB93" s="1482">
        <f t="shared" ca="1" si="234"/>
        <v>0</v>
      </c>
      <c r="DC93" s="1482">
        <f t="shared" ca="1" si="234"/>
        <v>0</v>
      </c>
      <c r="DD93" s="1482">
        <f t="shared" ca="1" si="234"/>
        <v>0</v>
      </c>
      <c r="DE93" s="1482">
        <f t="shared" ca="1" si="234"/>
        <v>0</v>
      </c>
      <c r="DF93" s="1482">
        <f t="shared" ca="1" si="234"/>
        <v>0</v>
      </c>
      <c r="DH93" s="838">
        <f t="shared" ref="DH93:DH104" ca="1" si="235">SUM(BO93:DF93)</f>
        <v>0</v>
      </c>
    </row>
    <row r="94" spans="1:112" s="743" customFormat="1" ht="12.75" hidden="1" customHeight="1" outlineLevel="1">
      <c r="A94" s="22"/>
      <c r="B94" s="22"/>
      <c r="C94" s="751"/>
      <c r="D94" s="512"/>
      <c r="E94" s="512"/>
      <c r="G94" s="958"/>
      <c r="H94" s="958"/>
      <c r="I94" s="958"/>
      <c r="J94" s="958"/>
      <c r="K94" s="960"/>
      <c r="L94" s="958"/>
      <c r="M94" s="958"/>
      <c r="N94" s="958"/>
      <c r="O94" s="958"/>
      <c r="P94" s="958"/>
      <c r="Q94" s="958"/>
      <c r="S94" s="970"/>
      <c r="T94" s="970"/>
      <c r="U94" s="970"/>
      <c r="V94" s="970"/>
      <c r="W94" s="970"/>
      <c r="X94" s="970"/>
      <c r="Y94" s="970"/>
      <c r="Z94" s="970"/>
      <c r="AA94" s="970"/>
      <c r="AB94" s="970"/>
      <c r="AC94" s="970"/>
      <c r="AD94" s="970"/>
      <c r="AE94" s="970"/>
      <c r="AF94" s="970"/>
      <c r="AG94" s="970"/>
      <c r="AH94" s="970"/>
      <c r="AI94" s="970"/>
      <c r="AJ94" s="970"/>
      <c r="AK94" s="970"/>
      <c r="AM94" s="976"/>
      <c r="AN94" s="976"/>
      <c r="AO94" s="976"/>
      <c r="AP94" s="976"/>
      <c r="AQ94" s="976"/>
      <c r="AR94" s="976"/>
      <c r="AS94" s="976"/>
      <c r="AT94" s="976"/>
      <c r="AU94" s="976"/>
      <c r="AV94" s="976"/>
      <c r="AW94" s="976"/>
      <c r="AX94" s="976"/>
      <c r="AY94" s="976"/>
      <c r="AZ94" s="976"/>
      <c r="BA94" s="976"/>
      <c r="BB94" s="976"/>
      <c r="BC94" s="976"/>
      <c r="BD94" s="976"/>
      <c r="BE94" s="976"/>
      <c r="BF94" s="976"/>
      <c r="BH94" s="990"/>
      <c r="BI94" s="990"/>
      <c r="BJ94" s="990"/>
      <c r="BL94" s="515">
        <f t="shared" si="220"/>
        <v>0</v>
      </c>
      <c r="BM94" s="515"/>
      <c r="BN94" s="840"/>
      <c r="BO94" s="1482"/>
      <c r="BP94" s="1482"/>
      <c r="BQ94" s="1482"/>
      <c r="BR94" s="1482"/>
      <c r="BS94" s="1482"/>
      <c r="BT94" s="1482"/>
      <c r="BU94" s="1482"/>
      <c r="BV94" s="1482"/>
      <c r="BW94" s="1482"/>
      <c r="BX94" s="1482"/>
      <c r="BY94" s="1482"/>
      <c r="BZ94" s="1482"/>
      <c r="CA94" s="1482"/>
      <c r="CB94" s="1482"/>
      <c r="CC94" s="1482"/>
      <c r="CD94" s="1482"/>
      <c r="CE94" s="1482"/>
      <c r="CF94" s="1482"/>
      <c r="CG94" s="1482"/>
      <c r="CH94" s="1482"/>
      <c r="CI94" s="1482"/>
      <c r="CJ94" s="1482"/>
      <c r="CK94" s="1482"/>
      <c r="CL94" s="1482"/>
      <c r="CM94" s="1482"/>
      <c r="CN94" s="1482"/>
      <c r="CO94" s="1482"/>
      <c r="CP94" s="1482"/>
      <c r="CQ94" s="1482"/>
      <c r="CR94" s="1482"/>
      <c r="CS94" s="1482"/>
      <c r="CT94" s="1482"/>
      <c r="CU94" s="1482"/>
      <c r="CV94" s="1482"/>
      <c r="CW94" s="1482"/>
      <c r="CX94" s="1482"/>
      <c r="CY94" s="1482"/>
      <c r="CZ94" s="1482"/>
      <c r="DA94" s="1482"/>
      <c r="DB94" s="1482"/>
      <c r="DC94" s="1482"/>
      <c r="DD94" s="1482"/>
      <c r="DE94" s="1482"/>
      <c r="DF94" s="1482"/>
      <c r="DH94" s="838">
        <f t="shared" si="235"/>
        <v>0</v>
      </c>
    </row>
    <row r="95" spans="1:112" s="1491" customFormat="1" ht="12.75" hidden="1" customHeight="1" outlineLevel="1">
      <c r="C95" s="1534" t="s">
        <v>1723</v>
      </c>
      <c r="D95" s="1535" t="s">
        <v>1665</v>
      </c>
      <c r="E95" s="1535"/>
      <c r="G95" s="1070"/>
      <c r="H95" s="1070"/>
      <c r="I95" s="1070"/>
      <c r="J95" s="1070"/>
      <c r="K95" s="1071"/>
      <c r="L95" s="1070"/>
      <c r="M95" s="1070"/>
      <c r="N95" s="1070"/>
      <c r="O95" s="1070"/>
      <c r="P95" s="1070"/>
      <c r="Q95" s="1070"/>
      <c r="S95" s="1072"/>
      <c r="T95" s="1072"/>
      <c r="U95" s="1072">
        <f ca="1">(U$40+U$84+U$93)</f>
        <v>-113.56994645370648</v>
      </c>
      <c r="V95" s="1072">
        <f ca="1">(V$40+V$84+V$93)</f>
        <v>-840.69209868202199</v>
      </c>
      <c r="W95" s="1072">
        <f ca="1">(W$40+W$84+W$93)</f>
        <v>-1814.9857467028719</v>
      </c>
      <c r="X95" s="1072"/>
      <c r="Y95" s="1072"/>
      <c r="Z95" s="1072"/>
      <c r="AA95" s="1072"/>
      <c r="AB95" s="1072"/>
      <c r="AC95" s="1072">
        <f t="shared" ref="AC95:AH95" ca="1" si="236">(AC$40+AC$84+AC$93)</f>
        <v>0</v>
      </c>
      <c r="AD95" s="1072">
        <f t="shared" ca="1" si="236"/>
        <v>84.551105543007012</v>
      </c>
      <c r="AE95" s="1072">
        <f t="shared" ca="1" si="236"/>
        <v>1.7066988158250447</v>
      </c>
      <c r="AF95" s="1072">
        <f t="shared" ca="1" si="236"/>
        <v>76.013557509974802</v>
      </c>
      <c r="AG95" s="1072">
        <f t="shared" ca="1" si="236"/>
        <v>48.901286054879833</v>
      </c>
      <c r="AH95" s="1072">
        <f t="shared" ca="1" si="236"/>
        <v>18.806405883014129</v>
      </c>
      <c r="AI95" s="1072"/>
      <c r="AJ95" s="1072"/>
      <c r="AK95" s="1072"/>
      <c r="AM95" s="1073"/>
      <c r="AN95" s="1073"/>
      <c r="AO95" s="1073"/>
      <c r="AP95" s="1073"/>
      <c r="AQ95" s="1073"/>
      <c r="AR95" s="1073"/>
      <c r="AS95" s="1073"/>
      <c r="AT95" s="1073"/>
      <c r="AU95" s="1073"/>
      <c r="AV95" s="1073"/>
      <c r="AW95" s="1073"/>
      <c r="AX95" s="1073"/>
      <c r="AY95" s="1073"/>
      <c r="AZ95" s="1073"/>
      <c r="BA95" s="1073"/>
      <c r="BB95" s="1073"/>
      <c r="BC95" s="1073"/>
      <c r="BD95" s="1073"/>
      <c r="BE95" s="1073">
        <f ca="1">BE40+BE46+BE51</f>
        <v>-241.81427881429309</v>
      </c>
      <c r="BF95" s="1073">
        <f ca="1">SUM(AM95:BE95)</f>
        <v>-241.81427881429309</v>
      </c>
      <c r="BH95" s="1074"/>
      <c r="BI95" s="1074"/>
      <c r="BJ95" s="1074"/>
      <c r="BL95" s="1536"/>
      <c r="BM95" s="1536"/>
      <c r="BN95" s="1537"/>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8"/>
      <c r="CP95" s="1538"/>
      <c r="CQ95" s="1538"/>
      <c r="CR95" s="1538"/>
      <c r="CS95" s="1538"/>
      <c r="CT95" s="1538"/>
      <c r="CU95" s="1538"/>
      <c r="CV95" s="1538"/>
      <c r="CW95" s="1538"/>
      <c r="CX95" s="1538"/>
      <c r="CY95" s="1538"/>
      <c r="CZ95" s="1538"/>
      <c r="DA95" s="1538"/>
      <c r="DB95" s="1538"/>
      <c r="DC95" s="1538"/>
      <c r="DD95" s="1538"/>
      <c r="DE95" s="1538"/>
      <c r="DF95" s="1538"/>
      <c r="DH95" s="1537">
        <f t="shared" si="235"/>
        <v>0</v>
      </c>
    </row>
    <row r="96" spans="1:112" s="1957" customFormat="1" ht="12.75" hidden="1" customHeight="1" outlineLevel="1">
      <c r="A96" s="1954"/>
      <c r="B96" s="1954"/>
      <c r="C96" s="1955" t="s">
        <v>963</v>
      </c>
      <c r="D96" s="1956" t="str">
        <f>INDEX(Modules[Module], MATCH($C96, Modules[Code], 0))</f>
        <v>Biomatter to fuel conversion</v>
      </c>
      <c r="E96" s="1956"/>
      <c r="G96" s="1061">
        <f t="shared" ref="G96:P96" ca="1" si="237">IFERROR(INDEX(INDIRECT($C96&amp;".Outputs["&amp;this.Year&amp;"]"), MATCH(G$5, INDIRECT($C96&amp;".Outputs[Vector]"), 0)), 0)</f>
        <v>0</v>
      </c>
      <c r="H96" s="1061">
        <f t="shared" ca="1" si="237"/>
        <v>0</v>
      </c>
      <c r="I96" s="1061">
        <f t="shared" ca="1" si="237"/>
        <v>0</v>
      </c>
      <c r="J96" s="1061">
        <f t="shared" ca="1" si="237"/>
        <v>0</v>
      </c>
      <c r="K96" s="1061">
        <f t="shared" ca="1" si="237"/>
        <v>0</v>
      </c>
      <c r="L96" s="1061">
        <f t="shared" ca="1" si="237"/>
        <v>0</v>
      </c>
      <c r="M96" s="1061">
        <f t="shared" ca="1" si="237"/>
        <v>0</v>
      </c>
      <c r="N96" s="1061">
        <f t="shared" ca="1" si="237"/>
        <v>0</v>
      </c>
      <c r="O96" s="1061">
        <f t="shared" ca="1" si="237"/>
        <v>0</v>
      </c>
      <c r="P96" s="1061">
        <f t="shared" ca="1" si="237"/>
        <v>0</v>
      </c>
      <c r="Q96" s="1062">
        <f ca="1">SUM(G96:P96)</f>
        <v>0</v>
      </c>
      <c r="S96" s="1063">
        <f t="shared" ref="S96:AJ96" ca="1" si="238">IFERROR(INDEX(INDIRECT($C96&amp;".Outputs["&amp;this.Year&amp;"]"), MATCH(S$5, INDIRECT($C96&amp;".Outputs[Vector]"), 0)), 0)</f>
        <v>0</v>
      </c>
      <c r="T96" s="1063">
        <f t="shared" ca="1" si="238"/>
        <v>0</v>
      </c>
      <c r="U96" s="1063">
        <f t="shared" ca="1" si="238"/>
        <v>68.412201758977318</v>
      </c>
      <c r="V96" s="1063">
        <f t="shared" ca="1" si="238"/>
        <v>54.64178418043025</v>
      </c>
      <c r="W96" s="1063">
        <f t="shared" ca="1" si="238"/>
        <v>57.927434726918001</v>
      </c>
      <c r="X96" s="1063">
        <f t="shared" ca="1" si="238"/>
        <v>0</v>
      </c>
      <c r="Y96" s="1063">
        <f t="shared" ca="1" si="238"/>
        <v>0</v>
      </c>
      <c r="Z96" s="1063">
        <f t="shared" ca="1" si="238"/>
        <v>0</v>
      </c>
      <c r="AA96" s="1063">
        <f t="shared" ca="1" si="238"/>
        <v>0</v>
      </c>
      <c r="AB96" s="1063">
        <f t="shared" ca="1" si="238"/>
        <v>0</v>
      </c>
      <c r="AC96" s="1063">
        <f t="shared" ca="1" si="238"/>
        <v>0</v>
      </c>
      <c r="AD96" s="1063">
        <f t="shared" ca="1" si="238"/>
        <v>-84.551105543007012</v>
      </c>
      <c r="AE96" s="1063">
        <f t="shared" ca="1" si="238"/>
        <v>-1.7066988158250447</v>
      </c>
      <c r="AF96" s="1063">
        <f t="shared" ca="1" si="238"/>
        <v>-76.013557509974802</v>
      </c>
      <c r="AG96" s="1063">
        <f t="shared" ca="1" si="238"/>
        <v>-48.901286054879833</v>
      </c>
      <c r="AH96" s="1063">
        <f t="shared" ca="1" si="238"/>
        <v>-18.806405883014129</v>
      </c>
      <c r="AI96" s="1063">
        <f t="shared" ca="1" si="238"/>
        <v>0</v>
      </c>
      <c r="AJ96" s="1063">
        <f t="shared" ca="1" si="238"/>
        <v>0</v>
      </c>
      <c r="AK96" s="1064">
        <f ca="1">SUM(S96:AJ96)</f>
        <v>-48.997633140375264</v>
      </c>
      <c r="AM96" s="1065">
        <f t="shared" ref="AM96:BE96" ca="1" si="239">IFERROR(INDEX(INDIRECT($C96&amp;".Outputs["&amp;this.Year&amp;"]"), MATCH(AM$5, INDIRECT($C96&amp;".Outputs[Vector]"), 0)), 0)</f>
        <v>0</v>
      </c>
      <c r="AN96" s="1065">
        <f t="shared" ca="1" si="239"/>
        <v>0</v>
      </c>
      <c r="AO96" s="1065">
        <f t="shared" ca="1" si="239"/>
        <v>0</v>
      </c>
      <c r="AP96" s="1065">
        <f t="shared" ca="1" si="239"/>
        <v>0</v>
      </c>
      <c r="AQ96" s="1065">
        <f t="shared" ca="1" si="239"/>
        <v>0</v>
      </c>
      <c r="AR96" s="1065">
        <f t="shared" ca="1" si="239"/>
        <v>0</v>
      </c>
      <c r="AS96" s="1065">
        <f t="shared" ca="1" si="239"/>
        <v>0</v>
      </c>
      <c r="AT96" s="1065">
        <f t="shared" ca="1" si="239"/>
        <v>0</v>
      </c>
      <c r="AU96" s="1065">
        <f t="shared" ca="1" si="239"/>
        <v>0</v>
      </c>
      <c r="AV96" s="1065">
        <f t="shared" ca="1" si="239"/>
        <v>0</v>
      </c>
      <c r="AW96" s="1065">
        <f t="shared" ca="1" si="239"/>
        <v>0</v>
      </c>
      <c r="AX96" s="1065">
        <f t="shared" ca="1" si="239"/>
        <v>0</v>
      </c>
      <c r="AY96" s="1065">
        <f t="shared" ca="1" si="239"/>
        <v>0</v>
      </c>
      <c r="AZ96" s="1065">
        <f t="shared" ca="1" si="239"/>
        <v>0</v>
      </c>
      <c r="BA96" s="1065">
        <f t="shared" ca="1" si="239"/>
        <v>0</v>
      </c>
      <c r="BB96" s="1065">
        <f t="shared" ca="1" si="239"/>
        <v>0</v>
      </c>
      <c r="BC96" s="1065">
        <f t="shared" ca="1" si="239"/>
        <v>0</v>
      </c>
      <c r="BD96" s="1065">
        <f t="shared" ca="1" si="239"/>
        <v>0</v>
      </c>
      <c r="BE96" s="1065">
        <f t="shared" ca="1" si="239"/>
        <v>0</v>
      </c>
      <c r="BF96" s="1066">
        <f ca="1">SUM(AM96:BE96)</f>
        <v>0</v>
      </c>
      <c r="BH96" s="1067">
        <f ca="1">IFERROR(INDEX(INDIRECT($C96&amp;".Outputs["&amp;this.Year&amp;"]"), MATCH(BH$5, INDIRECT($C96&amp;".Outputs[Vector]"), 0)), 0)</f>
        <v>48.997633140375257</v>
      </c>
      <c r="BI96" s="1067">
        <f ca="1">IFERROR(INDEX(INDIRECT($C96&amp;".Outputs["&amp;this.Year&amp;"]"), MATCH(BI$5, INDIRECT($C96&amp;".Outputs[Vector]"), 0)), 0)</f>
        <v>0</v>
      </c>
      <c r="BJ96" s="1068">
        <f ca="1">SUM(BH96:BI96)</f>
        <v>48.997633140375257</v>
      </c>
      <c r="BL96" s="1958">
        <f ca="1">Q96+AK96+BF96+BJ96</f>
        <v>0</v>
      </c>
      <c r="BM96" s="1958"/>
      <c r="BN96" s="1959"/>
      <c r="BO96" s="1960">
        <f t="shared" ref="BO96:DF96" ca="1" si="240">IFERROR(SUMIFS(INDIRECT($C96&amp;".Emissions["&amp;this.Year&amp;"]"), INDIRECT($C96&amp;".Emissions[GHG]"), BO$6, INDIRECT($C96&amp;".Emissions[IPCC Sector]"), BO$5),0)</f>
        <v>0</v>
      </c>
      <c r="BP96" s="1961">
        <f t="shared" ca="1" si="240"/>
        <v>0</v>
      </c>
      <c r="BQ96" s="1961">
        <f t="shared" ca="1" si="240"/>
        <v>0</v>
      </c>
      <c r="BR96" s="1961">
        <f t="shared" ca="1" si="240"/>
        <v>0</v>
      </c>
      <c r="BS96" s="1961">
        <f t="shared" ca="1" si="240"/>
        <v>0</v>
      </c>
      <c r="BT96" s="1961">
        <f t="shared" ca="1" si="240"/>
        <v>0</v>
      </c>
      <c r="BU96" s="1961">
        <f t="shared" ca="1" si="240"/>
        <v>0</v>
      </c>
      <c r="BV96" s="1961">
        <f t="shared" ca="1" si="240"/>
        <v>0</v>
      </c>
      <c r="BW96" s="1961">
        <f t="shared" ca="1" si="240"/>
        <v>0</v>
      </c>
      <c r="BX96" s="1961">
        <f t="shared" ca="1" si="240"/>
        <v>0</v>
      </c>
      <c r="BY96" s="1961">
        <f t="shared" ca="1" si="240"/>
        <v>0</v>
      </c>
      <c r="BZ96" s="1961">
        <f t="shared" ca="1" si="240"/>
        <v>0</v>
      </c>
      <c r="CA96" s="1961">
        <f t="shared" ca="1" si="240"/>
        <v>0</v>
      </c>
      <c r="CB96" s="1961">
        <f t="shared" ca="1" si="240"/>
        <v>0</v>
      </c>
      <c r="CC96" s="1961">
        <f t="shared" ca="1" si="240"/>
        <v>0</v>
      </c>
      <c r="CD96" s="1961">
        <f t="shared" ca="1" si="240"/>
        <v>0</v>
      </c>
      <c r="CE96" s="1961">
        <f t="shared" ca="1" si="240"/>
        <v>0</v>
      </c>
      <c r="CF96" s="1961">
        <f t="shared" ca="1" si="240"/>
        <v>0</v>
      </c>
      <c r="CG96" s="1961">
        <f t="shared" ca="1" si="240"/>
        <v>0</v>
      </c>
      <c r="CH96" s="1961">
        <f t="shared" ca="1" si="240"/>
        <v>0</v>
      </c>
      <c r="CI96" s="1961">
        <f t="shared" ca="1" si="240"/>
        <v>0</v>
      </c>
      <c r="CJ96" s="1961">
        <f t="shared" ca="1" si="240"/>
        <v>0</v>
      </c>
      <c r="CK96" s="1961">
        <f t="shared" ca="1" si="240"/>
        <v>0</v>
      </c>
      <c r="CL96" s="1961">
        <f t="shared" ca="1" si="240"/>
        <v>0</v>
      </c>
      <c r="CM96" s="1961">
        <f t="shared" ca="1" si="240"/>
        <v>0</v>
      </c>
      <c r="CN96" s="1961">
        <f t="shared" ca="1" si="240"/>
        <v>0</v>
      </c>
      <c r="CO96" s="1961">
        <f t="shared" ca="1" si="240"/>
        <v>0</v>
      </c>
      <c r="CP96" s="1961">
        <f t="shared" ca="1" si="240"/>
        <v>0</v>
      </c>
      <c r="CQ96" s="1961">
        <f t="shared" ca="1" si="240"/>
        <v>0</v>
      </c>
      <c r="CR96" s="1961">
        <f t="shared" ca="1" si="240"/>
        <v>0</v>
      </c>
      <c r="CS96" s="1961">
        <f t="shared" ca="1" si="240"/>
        <v>0</v>
      </c>
      <c r="CT96" s="1961">
        <f t="shared" ca="1" si="240"/>
        <v>0</v>
      </c>
      <c r="CU96" s="1961">
        <f t="shared" ca="1" si="240"/>
        <v>0</v>
      </c>
      <c r="CV96" s="1961">
        <f t="shared" ca="1" si="240"/>
        <v>0</v>
      </c>
      <c r="CW96" s="1961">
        <f t="shared" ca="1" si="240"/>
        <v>0</v>
      </c>
      <c r="CX96" s="1961">
        <f t="shared" ca="1" si="240"/>
        <v>0</v>
      </c>
      <c r="CY96" s="1961">
        <f t="shared" ca="1" si="240"/>
        <v>-45.390052176625488</v>
      </c>
      <c r="CZ96" s="1961">
        <f t="shared" ca="1" si="240"/>
        <v>0</v>
      </c>
      <c r="DA96" s="1961">
        <f t="shared" ca="1" si="240"/>
        <v>0</v>
      </c>
      <c r="DB96" s="1961">
        <f t="shared" ca="1" si="240"/>
        <v>0</v>
      </c>
      <c r="DC96" s="1961">
        <f t="shared" ca="1" si="240"/>
        <v>0</v>
      </c>
      <c r="DD96" s="1961">
        <f t="shared" ca="1" si="240"/>
        <v>0</v>
      </c>
      <c r="DE96" s="1961">
        <f t="shared" ca="1" si="240"/>
        <v>0</v>
      </c>
      <c r="DF96" s="1961">
        <f t="shared" ca="1" si="240"/>
        <v>0</v>
      </c>
      <c r="DH96" s="1962">
        <f t="shared" ca="1" si="235"/>
        <v>-45.390052176625488</v>
      </c>
    </row>
    <row r="97" spans="1:112" s="1491" customFormat="1" ht="12.75" hidden="1" customHeight="1" outlineLevel="1">
      <c r="C97" s="1534" t="s">
        <v>1724</v>
      </c>
      <c r="D97" s="1535" t="s">
        <v>1665</v>
      </c>
      <c r="E97" s="1535"/>
      <c r="G97" s="1070"/>
      <c r="H97" s="1070"/>
      <c r="I97" s="1070"/>
      <c r="J97" s="1070"/>
      <c r="K97" s="1071"/>
      <c r="L97" s="1070"/>
      <c r="M97" s="1070"/>
      <c r="N97" s="1070"/>
      <c r="O97" s="1070"/>
      <c r="P97" s="1070"/>
      <c r="Q97" s="1070"/>
      <c r="S97" s="1072"/>
      <c r="T97" s="1072"/>
      <c r="U97" s="1072">
        <f ca="1">U$95+U$96</f>
        <v>-45.157744694729161</v>
      </c>
      <c r="V97" s="1072">
        <f ca="1">V$95+V$96</f>
        <v>-786.05031450159174</v>
      </c>
      <c r="W97" s="1072">
        <f ca="1">W$95+W$96</f>
        <v>-1757.058311975954</v>
      </c>
      <c r="X97" s="1072"/>
      <c r="Y97" s="1072"/>
      <c r="Z97" s="1072"/>
      <c r="AA97" s="1072"/>
      <c r="AB97" s="1072"/>
      <c r="AC97" s="1072">
        <f t="shared" ref="AC97:AH97" ca="1" si="241">AC$95+AC$96</f>
        <v>0</v>
      </c>
      <c r="AD97" s="1072">
        <f t="shared" ca="1" si="241"/>
        <v>0</v>
      </c>
      <c r="AE97" s="1072">
        <f t="shared" ca="1" si="241"/>
        <v>0</v>
      </c>
      <c r="AF97" s="1072">
        <f t="shared" ca="1" si="241"/>
        <v>0</v>
      </c>
      <c r="AG97" s="1072">
        <f t="shared" ca="1" si="241"/>
        <v>0</v>
      </c>
      <c r="AH97" s="1072">
        <f t="shared" ca="1" si="241"/>
        <v>0</v>
      </c>
      <c r="AI97" s="1072"/>
      <c r="AJ97" s="1072"/>
      <c r="AK97" s="1072"/>
      <c r="AM97" s="1073"/>
      <c r="AN97" s="1073"/>
      <c r="AO97" s="1073"/>
      <c r="AP97" s="1073"/>
      <c r="AQ97" s="1073"/>
      <c r="AR97" s="1073"/>
      <c r="AS97" s="1073"/>
      <c r="AT97" s="1073"/>
      <c r="AU97" s="1073"/>
      <c r="AV97" s="1073"/>
      <c r="AW97" s="1073"/>
      <c r="AX97" s="1073"/>
      <c r="AY97" s="1073"/>
      <c r="AZ97" s="1073"/>
      <c r="BA97" s="1073"/>
      <c r="BB97" s="1073"/>
      <c r="BC97" s="1073"/>
      <c r="BD97" s="1073"/>
      <c r="BE97" s="1073">
        <f ca="1">BE42+BE49+BE53</f>
        <v>-195.73309458744197</v>
      </c>
      <c r="BF97" s="1073">
        <f ca="1">SUM(AM97:BE97)</f>
        <v>-195.73309458744197</v>
      </c>
      <c r="BH97" s="1074"/>
      <c r="BI97" s="1074"/>
      <c r="BJ97" s="1074"/>
      <c r="BL97" s="1536"/>
      <c r="BM97" s="1536"/>
      <c r="BN97" s="1537"/>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8"/>
      <c r="CP97" s="1538"/>
      <c r="CQ97" s="1538"/>
      <c r="CR97" s="1538"/>
      <c r="CS97" s="1538"/>
      <c r="CT97" s="1538"/>
      <c r="CU97" s="1538"/>
      <c r="CV97" s="1538"/>
      <c r="CW97" s="1538"/>
      <c r="CX97" s="1538"/>
      <c r="CY97" s="1538"/>
      <c r="CZ97" s="1538"/>
      <c r="DA97" s="1538"/>
      <c r="DB97" s="1538"/>
      <c r="DC97" s="1538"/>
      <c r="DD97" s="1538"/>
      <c r="DE97" s="1538"/>
      <c r="DF97" s="1538"/>
      <c r="DH97" s="1537">
        <f>SUM(BO97:DF97)</f>
        <v>0</v>
      </c>
    </row>
    <row r="98" spans="1:112" s="743" customFormat="1" ht="12.75" hidden="1" customHeight="1" outlineLevel="1">
      <c r="A98" s="1484"/>
      <c r="B98" s="1484"/>
      <c r="C98" s="746" t="s">
        <v>1695</v>
      </c>
      <c r="D98" s="1010" t="str">
        <f>INDEX(Modules[Module], MATCH($C98, Modules[Code], 0))</f>
        <v>Bioenergy imports</v>
      </c>
      <c r="E98" s="1010"/>
      <c r="G98" s="1022">
        <f t="shared" ref="G98:P98" ca="1" si="242">IFERROR(INDEX(INDIRECT($C98&amp;".Outputs["&amp;this.Year&amp;"]"), MATCH(G$5, INDIRECT($C98&amp;".Outputs[Vector]"), 0)), 0)</f>
        <v>0</v>
      </c>
      <c r="H98" s="1022">
        <f t="shared" ca="1" si="242"/>
        <v>0</v>
      </c>
      <c r="I98" s="1022">
        <f t="shared" ca="1" si="242"/>
        <v>0</v>
      </c>
      <c r="J98" s="1022">
        <f t="shared" ca="1" si="242"/>
        <v>0</v>
      </c>
      <c r="K98" s="1022">
        <f t="shared" ca="1" si="242"/>
        <v>0</v>
      </c>
      <c r="L98" s="1022">
        <f t="shared" ca="1" si="242"/>
        <v>0</v>
      </c>
      <c r="M98" s="1022">
        <f t="shared" ca="1" si="242"/>
        <v>0</v>
      </c>
      <c r="N98" s="1022">
        <f t="shared" ca="1" si="242"/>
        <v>0</v>
      </c>
      <c r="O98" s="1022">
        <f t="shared" ca="1" si="242"/>
        <v>0</v>
      </c>
      <c r="P98" s="1022">
        <f t="shared" ca="1" si="242"/>
        <v>0</v>
      </c>
      <c r="Q98" s="1020">
        <f ca="1">SUM(G98:P98)</f>
        <v>0</v>
      </c>
      <c r="S98" s="1031">
        <f t="shared" ref="S98:AJ98" ca="1" si="243">IFERROR(INDEX(INDIRECT($C98&amp;".Outputs["&amp;this.Year&amp;"]"), MATCH(S$5, INDIRECT($C98&amp;".Outputs[Vector]"), 0)), 0)</f>
        <v>0</v>
      </c>
      <c r="T98" s="1031">
        <f t="shared" ca="1" si="243"/>
        <v>0</v>
      </c>
      <c r="U98" s="1031">
        <f t="shared" ca="1" si="243"/>
        <v>0</v>
      </c>
      <c r="V98" s="1031">
        <f t="shared" ca="1" si="243"/>
        <v>0</v>
      </c>
      <c r="W98" s="1031">
        <f t="shared" ca="1" si="243"/>
        <v>0</v>
      </c>
      <c r="X98" s="1031">
        <f t="shared" ca="1" si="243"/>
        <v>0</v>
      </c>
      <c r="Y98" s="1031">
        <f t="shared" ca="1" si="243"/>
        <v>0</v>
      </c>
      <c r="Z98" s="1031">
        <f t="shared" ca="1" si="243"/>
        <v>0</v>
      </c>
      <c r="AA98" s="1031">
        <f t="shared" ca="1" si="243"/>
        <v>0</v>
      </c>
      <c r="AB98" s="1031">
        <f t="shared" ca="1" si="243"/>
        <v>0</v>
      </c>
      <c r="AC98" s="1031">
        <f t="shared" ca="1" si="243"/>
        <v>0</v>
      </c>
      <c r="AD98" s="1031">
        <f t="shared" ca="1" si="243"/>
        <v>0</v>
      </c>
      <c r="AE98" s="1031">
        <f t="shared" ca="1" si="243"/>
        <v>0</v>
      </c>
      <c r="AF98" s="1031">
        <f t="shared" ca="1" si="243"/>
        <v>0</v>
      </c>
      <c r="AG98" s="1031">
        <f t="shared" ca="1" si="243"/>
        <v>0</v>
      </c>
      <c r="AH98" s="1031">
        <f t="shared" ca="1" si="243"/>
        <v>0</v>
      </c>
      <c r="AI98" s="1031">
        <f t="shared" ca="1" si="243"/>
        <v>0</v>
      </c>
      <c r="AJ98" s="1031">
        <f t="shared" ca="1" si="243"/>
        <v>0</v>
      </c>
      <c r="AK98" s="1030">
        <f ca="1">SUM(S98:AJ98)</f>
        <v>0</v>
      </c>
      <c r="AM98" s="1042">
        <f t="shared" ref="AM98:BE98" ca="1" si="244">IFERROR(INDEX(INDIRECT($C98&amp;".Outputs["&amp;this.Year&amp;"]"), MATCH(AM$5, INDIRECT($C98&amp;".Outputs[Vector]"), 0)), 0)</f>
        <v>0</v>
      </c>
      <c r="AN98" s="1042">
        <f t="shared" ca="1" si="244"/>
        <v>0</v>
      </c>
      <c r="AO98" s="1042">
        <f t="shared" ca="1" si="244"/>
        <v>0</v>
      </c>
      <c r="AP98" s="1042">
        <f t="shared" ca="1" si="244"/>
        <v>0</v>
      </c>
      <c r="AQ98" s="1042">
        <f t="shared" ca="1" si="244"/>
        <v>0</v>
      </c>
      <c r="AR98" s="1042">
        <f t="shared" ca="1" si="244"/>
        <v>0</v>
      </c>
      <c r="AS98" s="1042">
        <f t="shared" ca="1" si="244"/>
        <v>0</v>
      </c>
      <c r="AT98" s="1042">
        <f t="shared" ca="1" si="244"/>
        <v>0</v>
      </c>
      <c r="AU98" s="1042">
        <f t="shared" ca="1" si="244"/>
        <v>0</v>
      </c>
      <c r="AV98" s="1042">
        <f t="shared" ca="1" si="244"/>
        <v>0</v>
      </c>
      <c r="AW98" s="1042">
        <f t="shared" ca="1" si="244"/>
        <v>0</v>
      </c>
      <c r="AX98" s="1042">
        <f t="shared" ca="1" si="244"/>
        <v>0</v>
      </c>
      <c r="AY98" s="1042">
        <f t="shared" ca="1" si="244"/>
        <v>0</v>
      </c>
      <c r="AZ98" s="1042">
        <f t="shared" ca="1" si="244"/>
        <v>0</v>
      </c>
      <c r="BA98" s="1042">
        <f t="shared" ca="1" si="244"/>
        <v>0</v>
      </c>
      <c r="BB98" s="1042">
        <f t="shared" ca="1" si="244"/>
        <v>0</v>
      </c>
      <c r="BC98" s="1042">
        <f t="shared" ca="1" si="244"/>
        <v>0</v>
      </c>
      <c r="BD98" s="1042">
        <f t="shared" ca="1" si="244"/>
        <v>0</v>
      </c>
      <c r="BE98" s="1042">
        <f t="shared" ca="1" si="244"/>
        <v>0</v>
      </c>
      <c r="BF98" s="1012">
        <f ca="1">SUM(AM98:BE98)</f>
        <v>0</v>
      </c>
      <c r="BH98" s="1036">
        <f ca="1">IFERROR(INDEX(INDIRECT($C98&amp;".Outputs["&amp;this.Year&amp;"]"), MATCH(BH$5, INDIRECT($C98&amp;".Outputs[Vector]"), 0)), 0)</f>
        <v>0</v>
      </c>
      <c r="BI98" s="1036">
        <f ca="1">IFERROR(INDEX(INDIRECT($C98&amp;".Outputs["&amp;this.Year&amp;"]"), MATCH(BI$5, INDIRECT($C98&amp;".Outputs[Vector]"), 0)), 0)</f>
        <v>0</v>
      </c>
      <c r="BJ98" s="1035">
        <f ca="1">SUM(BH98:BI98)</f>
        <v>0</v>
      </c>
      <c r="BL98" s="814">
        <f ca="1">Q98+AK98+BF98+BJ98</f>
        <v>0</v>
      </c>
      <c r="BM98" s="814"/>
      <c r="BN98" s="840"/>
      <c r="BO98" s="1485">
        <f t="shared" ref="BO98:DF98" ca="1" si="245">IFERROR(SUMIFS(INDIRECT($C98&amp;".Emissions["&amp;this.Year&amp;"]"), INDIRECT($C98&amp;".Emissions[GHG]"), BO$6, INDIRECT($C98&amp;".Emissions[IPCC Sector]"), BO$5),0)</f>
        <v>0</v>
      </c>
      <c r="BP98" s="1486">
        <f t="shared" ca="1" si="245"/>
        <v>0</v>
      </c>
      <c r="BQ98" s="1486">
        <f t="shared" ca="1" si="245"/>
        <v>0</v>
      </c>
      <c r="BR98" s="1486">
        <f t="shared" ca="1" si="245"/>
        <v>0</v>
      </c>
      <c r="BS98" s="1486">
        <f t="shared" ca="1" si="245"/>
        <v>0</v>
      </c>
      <c r="BT98" s="1486">
        <f t="shared" ca="1" si="245"/>
        <v>0</v>
      </c>
      <c r="BU98" s="1486">
        <f t="shared" ca="1" si="245"/>
        <v>0</v>
      </c>
      <c r="BV98" s="1486">
        <f t="shared" ca="1" si="245"/>
        <v>0</v>
      </c>
      <c r="BW98" s="1486">
        <f t="shared" ca="1" si="245"/>
        <v>0</v>
      </c>
      <c r="BX98" s="1486">
        <f t="shared" ca="1" si="245"/>
        <v>0</v>
      </c>
      <c r="BY98" s="1486">
        <f t="shared" ca="1" si="245"/>
        <v>0</v>
      </c>
      <c r="BZ98" s="1486">
        <f t="shared" ca="1" si="245"/>
        <v>0</v>
      </c>
      <c r="CA98" s="1486">
        <f t="shared" ca="1" si="245"/>
        <v>0</v>
      </c>
      <c r="CB98" s="1486">
        <f t="shared" ca="1" si="245"/>
        <v>0</v>
      </c>
      <c r="CC98" s="1486">
        <f t="shared" ca="1" si="245"/>
        <v>0</v>
      </c>
      <c r="CD98" s="1486">
        <f t="shared" ca="1" si="245"/>
        <v>0</v>
      </c>
      <c r="CE98" s="1486">
        <f t="shared" ca="1" si="245"/>
        <v>0</v>
      </c>
      <c r="CF98" s="1486">
        <f t="shared" ca="1" si="245"/>
        <v>0</v>
      </c>
      <c r="CG98" s="1486">
        <f t="shared" ca="1" si="245"/>
        <v>0</v>
      </c>
      <c r="CH98" s="1486">
        <f t="shared" ca="1" si="245"/>
        <v>0</v>
      </c>
      <c r="CI98" s="1486">
        <f t="shared" ca="1" si="245"/>
        <v>0</v>
      </c>
      <c r="CJ98" s="1486">
        <f t="shared" ca="1" si="245"/>
        <v>0</v>
      </c>
      <c r="CK98" s="1486">
        <f t="shared" ca="1" si="245"/>
        <v>0</v>
      </c>
      <c r="CL98" s="1486">
        <f t="shared" ca="1" si="245"/>
        <v>0</v>
      </c>
      <c r="CM98" s="1486">
        <f t="shared" ca="1" si="245"/>
        <v>0</v>
      </c>
      <c r="CN98" s="1486">
        <f t="shared" ca="1" si="245"/>
        <v>0</v>
      </c>
      <c r="CO98" s="1486">
        <f t="shared" ca="1" si="245"/>
        <v>0</v>
      </c>
      <c r="CP98" s="1486">
        <f t="shared" ca="1" si="245"/>
        <v>0</v>
      </c>
      <c r="CQ98" s="1486">
        <f t="shared" ca="1" si="245"/>
        <v>0</v>
      </c>
      <c r="CR98" s="1486">
        <f t="shared" ca="1" si="245"/>
        <v>0</v>
      </c>
      <c r="CS98" s="1486">
        <f t="shared" ca="1" si="245"/>
        <v>0</v>
      </c>
      <c r="CT98" s="1486">
        <f t="shared" ca="1" si="245"/>
        <v>0</v>
      </c>
      <c r="CU98" s="1486">
        <f t="shared" ca="1" si="245"/>
        <v>0</v>
      </c>
      <c r="CV98" s="1486">
        <f t="shared" ca="1" si="245"/>
        <v>0</v>
      </c>
      <c r="CW98" s="1486">
        <f t="shared" ca="1" si="245"/>
        <v>0</v>
      </c>
      <c r="CX98" s="1486">
        <f t="shared" ca="1" si="245"/>
        <v>0</v>
      </c>
      <c r="CY98" s="1486">
        <f t="shared" ca="1" si="245"/>
        <v>0</v>
      </c>
      <c r="CZ98" s="1486">
        <f t="shared" ca="1" si="245"/>
        <v>0</v>
      </c>
      <c r="DA98" s="1486">
        <f t="shared" ca="1" si="245"/>
        <v>0</v>
      </c>
      <c r="DB98" s="1486">
        <f t="shared" ca="1" si="245"/>
        <v>0</v>
      </c>
      <c r="DC98" s="1486">
        <f t="shared" ca="1" si="245"/>
        <v>0</v>
      </c>
      <c r="DD98" s="1486">
        <f t="shared" ca="1" si="245"/>
        <v>0</v>
      </c>
      <c r="DE98" s="1486">
        <f t="shared" ca="1" si="245"/>
        <v>0</v>
      </c>
      <c r="DF98" s="1486">
        <f t="shared" ca="1" si="245"/>
        <v>0</v>
      </c>
      <c r="DH98" s="838">
        <f ca="1">SUM(BO98:DF98)</f>
        <v>0</v>
      </c>
    </row>
    <row r="99" spans="1:112" s="743" customFormat="1" ht="15.75" collapsed="1">
      <c r="A99" s="22"/>
      <c r="B99" s="753"/>
      <c r="C99" s="744" t="s">
        <v>671</v>
      </c>
      <c r="D99" s="517" t="str">
        <f>INDEX(Workstreams[Workstream], MATCH($C99, Workstreams[Code], 0))</f>
        <v>Bioenergy</v>
      </c>
      <c r="E99" s="512"/>
      <c r="G99" s="1021">
        <f ca="1">G$96+G98</f>
        <v>0</v>
      </c>
      <c r="H99" s="1021">
        <f t="shared" ref="H99:P99" ca="1" si="246">H$96+H98</f>
        <v>0</v>
      </c>
      <c r="I99" s="1021">
        <f t="shared" ca="1" si="246"/>
        <v>0</v>
      </c>
      <c r="J99" s="1021">
        <f t="shared" ca="1" si="246"/>
        <v>0</v>
      </c>
      <c r="K99" s="1021">
        <f t="shared" ca="1" si="246"/>
        <v>0</v>
      </c>
      <c r="L99" s="1021">
        <f t="shared" ca="1" si="246"/>
        <v>0</v>
      </c>
      <c r="M99" s="1021">
        <f t="shared" ca="1" si="246"/>
        <v>0</v>
      </c>
      <c r="N99" s="1021">
        <f t="shared" ca="1" si="246"/>
        <v>0</v>
      </c>
      <c r="O99" s="1021">
        <f t="shared" ca="1" si="246"/>
        <v>0</v>
      </c>
      <c r="P99" s="1021">
        <f t="shared" ca="1" si="246"/>
        <v>0</v>
      </c>
      <c r="Q99" s="1021">
        <f ca="1">SUM(G99:P99)</f>
        <v>0</v>
      </c>
      <c r="S99" s="970">
        <f t="shared" ref="S99:AJ99" ca="1" si="247">S$96+S98</f>
        <v>0</v>
      </c>
      <c r="T99" s="970">
        <f t="shared" ca="1" si="247"/>
        <v>0</v>
      </c>
      <c r="U99" s="970">
        <f t="shared" ca="1" si="247"/>
        <v>68.412201758977318</v>
      </c>
      <c r="V99" s="970">
        <f t="shared" ca="1" si="247"/>
        <v>54.64178418043025</v>
      </c>
      <c r="W99" s="970">
        <f t="shared" ca="1" si="247"/>
        <v>57.927434726918001</v>
      </c>
      <c r="X99" s="970">
        <f t="shared" ca="1" si="247"/>
        <v>0</v>
      </c>
      <c r="Y99" s="970">
        <f t="shared" ca="1" si="247"/>
        <v>0</v>
      </c>
      <c r="Z99" s="970">
        <f t="shared" ca="1" si="247"/>
        <v>0</v>
      </c>
      <c r="AA99" s="970">
        <f t="shared" ca="1" si="247"/>
        <v>0</v>
      </c>
      <c r="AB99" s="970">
        <f t="shared" ca="1" si="247"/>
        <v>0</v>
      </c>
      <c r="AC99" s="970">
        <f t="shared" ca="1" si="247"/>
        <v>0</v>
      </c>
      <c r="AD99" s="970">
        <f ca="1">AD$96+AD98</f>
        <v>-84.551105543007012</v>
      </c>
      <c r="AE99" s="970">
        <f ca="1">AE$96+AE98</f>
        <v>-1.7066988158250447</v>
      </c>
      <c r="AF99" s="970">
        <f t="shared" ca="1" si="247"/>
        <v>-76.013557509974802</v>
      </c>
      <c r="AG99" s="970">
        <f t="shared" ca="1" si="247"/>
        <v>-48.901286054879833</v>
      </c>
      <c r="AH99" s="970">
        <f ca="1">AH$96+AH98</f>
        <v>-18.806405883014129</v>
      </c>
      <c r="AI99" s="970">
        <f t="shared" ca="1" si="247"/>
        <v>0</v>
      </c>
      <c r="AJ99" s="970">
        <f t="shared" ca="1" si="247"/>
        <v>0</v>
      </c>
      <c r="AK99" s="970">
        <f ca="1">SUM(S99:AJ99)</f>
        <v>-48.997633140375264</v>
      </c>
      <c r="AM99" s="976">
        <f t="shared" ref="AM99:BE99" ca="1" si="248">AM$96+AM98</f>
        <v>0</v>
      </c>
      <c r="AN99" s="976">
        <f t="shared" ca="1" si="248"/>
        <v>0</v>
      </c>
      <c r="AO99" s="976">
        <f t="shared" ca="1" si="248"/>
        <v>0</v>
      </c>
      <c r="AP99" s="976">
        <f t="shared" ca="1" si="248"/>
        <v>0</v>
      </c>
      <c r="AQ99" s="976">
        <f t="shared" ca="1" si="248"/>
        <v>0</v>
      </c>
      <c r="AR99" s="976">
        <f t="shared" ca="1" si="248"/>
        <v>0</v>
      </c>
      <c r="AS99" s="976">
        <f t="shared" ca="1" si="248"/>
        <v>0</v>
      </c>
      <c r="AT99" s="976">
        <f t="shared" ca="1" si="248"/>
        <v>0</v>
      </c>
      <c r="AU99" s="976">
        <f t="shared" ca="1" si="248"/>
        <v>0</v>
      </c>
      <c r="AV99" s="976">
        <f t="shared" ca="1" si="248"/>
        <v>0</v>
      </c>
      <c r="AW99" s="976">
        <f t="shared" ca="1" si="248"/>
        <v>0</v>
      </c>
      <c r="AX99" s="976">
        <f t="shared" ca="1" si="248"/>
        <v>0</v>
      </c>
      <c r="AY99" s="976">
        <f t="shared" ca="1" si="248"/>
        <v>0</v>
      </c>
      <c r="AZ99" s="976">
        <f t="shared" ca="1" si="248"/>
        <v>0</v>
      </c>
      <c r="BA99" s="976">
        <f t="shared" ca="1" si="248"/>
        <v>0</v>
      </c>
      <c r="BB99" s="976">
        <f t="shared" ca="1" si="248"/>
        <v>0</v>
      </c>
      <c r="BC99" s="976">
        <f t="shared" ca="1" si="248"/>
        <v>0</v>
      </c>
      <c r="BD99" s="976">
        <f t="shared" ca="1" si="248"/>
        <v>0</v>
      </c>
      <c r="BE99" s="976">
        <f t="shared" ca="1" si="248"/>
        <v>0</v>
      </c>
      <c r="BF99" s="976">
        <f ca="1">SUM(AM99:BE99)</f>
        <v>0</v>
      </c>
      <c r="BH99" s="990">
        <f ca="1">BH$96+BH98</f>
        <v>48.997633140375257</v>
      </c>
      <c r="BI99" s="990">
        <f ca="1">BI$96+BI98</f>
        <v>0</v>
      </c>
      <c r="BJ99" s="990">
        <f ca="1">SUM(BH99:BI99)</f>
        <v>48.997633140375257</v>
      </c>
      <c r="BL99" s="515">
        <f ca="1">Q99+AK99+BF99+BJ99</f>
        <v>0</v>
      </c>
      <c r="BM99" s="515"/>
      <c r="BN99" s="840"/>
      <c r="BO99" s="1482">
        <f t="shared" ref="BO99:DF99" ca="1" si="249">BO$96+BO98</f>
        <v>0</v>
      </c>
      <c r="BP99" s="1482">
        <f t="shared" ca="1" si="249"/>
        <v>0</v>
      </c>
      <c r="BQ99" s="1482">
        <f t="shared" ca="1" si="249"/>
        <v>0</v>
      </c>
      <c r="BR99" s="1482">
        <f t="shared" ca="1" si="249"/>
        <v>0</v>
      </c>
      <c r="BS99" s="1482">
        <f t="shared" ca="1" si="249"/>
        <v>0</v>
      </c>
      <c r="BT99" s="1482">
        <f t="shared" ca="1" si="249"/>
        <v>0</v>
      </c>
      <c r="BU99" s="1482">
        <f t="shared" ca="1" si="249"/>
        <v>0</v>
      </c>
      <c r="BV99" s="1482">
        <f t="shared" ca="1" si="249"/>
        <v>0</v>
      </c>
      <c r="BW99" s="1482">
        <f t="shared" ca="1" si="249"/>
        <v>0</v>
      </c>
      <c r="BX99" s="1482">
        <f t="shared" ca="1" si="249"/>
        <v>0</v>
      </c>
      <c r="BY99" s="1482">
        <f t="shared" ca="1" si="249"/>
        <v>0</v>
      </c>
      <c r="BZ99" s="1482">
        <f t="shared" ca="1" si="249"/>
        <v>0</v>
      </c>
      <c r="CA99" s="1482">
        <f t="shared" ca="1" si="249"/>
        <v>0</v>
      </c>
      <c r="CB99" s="1482">
        <f t="shared" ca="1" si="249"/>
        <v>0</v>
      </c>
      <c r="CC99" s="1482">
        <f t="shared" ca="1" si="249"/>
        <v>0</v>
      </c>
      <c r="CD99" s="1482">
        <f t="shared" ca="1" si="249"/>
        <v>0</v>
      </c>
      <c r="CE99" s="1482">
        <f t="shared" ca="1" si="249"/>
        <v>0</v>
      </c>
      <c r="CF99" s="1482">
        <f t="shared" ca="1" si="249"/>
        <v>0</v>
      </c>
      <c r="CG99" s="1482">
        <f t="shared" ca="1" si="249"/>
        <v>0</v>
      </c>
      <c r="CH99" s="1482">
        <f t="shared" ca="1" si="249"/>
        <v>0</v>
      </c>
      <c r="CI99" s="1482">
        <f t="shared" ca="1" si="249"/>
        <v>0</v>
      </c>
      <c r="CJ99" s="1482">
        <f t="shared" ca="1" si="249"/>
        <v>0</v>
      </c>
      <c r="CK99" s="1482">
        <f t="shared" ca="1" si="249"/>
        <v>0</v>
      </c>
      <c r="CL99" s="1482">
        <f t="shared" ca="1" si="249"/>
        <v>0</v>
      </c>
      <c r="CM99" s="1482">
        <f t="shared" ca="1" si="249"/>
        <v>0</v>
      </c>
      <c r="CN99" s="1482">
        <f t="shared" ca="1" si="249"/>
        <v>0</v>
      </c>
      <c r="CO99" s="1482">
        <f t="shared" ca="1" si="249"/>
        <v>0</v>
      </c>
      <c r="CP99" s="1482">
        <f t="shared" ca="1" si="249"/>
        <v>0</v>
      </c>
      <c r="CQ99" s="1482">
        <f t="shared" ca="1" si="249"/>
        <v>0</v>
      </c>
      <c r="CR99" s="1482">
        <f t="shared" ca="1" si="249"/>
        <v>0</v>
      </c>
      <c r="CS99" s="1482">
        <f t="shared" ca="1" si="249"/>
        <v>0</v>
      </c>
      <c r="CT99" s="1482">
        <f t="shared" ca="1" si="249"/>
        <v>0</v>
      </c>
      <c r="CU99" s="1482">
        <f t="shared" ca="1" si="249"/>
        <v>0</v>
      </c>
      <c r="CV99" s="1482">
        <f t="shared" ca="1" si="249"/>
        <v>0</v>
      </c>
      <c r="CW99" s="1482">
        <f t="shared" ca="1" si="249"/>
        <v>0</v>
      </c>
      <c r="CX99" s="1482">
        <f t="shared" ca="1" si="249"/>
        <v>0</v>
      </c>
      <c r="CY99" s="1482">
        <f t="shared" ca="1" si="249"/>
        <v>-45.390052176625488</v>
      </c>
      <c r="CZ99" s="1482">
        <f t="shared" ca="1" si="249"/>
        <v>0</v>
      </c>
      <c r="DA99" s="1482">
        <f t="shared" ca="1" si="249"/>
        <v>0</v>
      </c>
      <c r="DB99" s="1482">
        <f t="shared" ca="1" si="249"/>
        <v>0</v>
      </c>
      <c r="DC99" s="1482">
        <f t="shared" ca="1" si="249"/>
        <v>0</v>
      </c>
      <c r="DD99" s="1482">
        <f t="shared" ca="1" si="249"/>
        <v>0</v>
      </c>
      <c r="DE99" s="1482">
        <f t="shared" ca="1" si="249"/>
        <v>0</v>
      </c>
      <c r="DF99" s="1482">
        <f t="shared" ca="1" si="249"/>
        <v>0</v>
      </c>
      <c r="DH99" s="838">
        <f t="shared" ca="1" si="235"/>
        <v>-45.390052176625488</v>
      </c>
    </row>
    <row r="100" spans="1:112" s="22" customFormat="1" ht="12.75" hidden="1" customHeight="1" outlineLevel="1">
      <c r="B100" s="753"/>
      <c r="C100" s="744"/>
      <c r="D100" s="517"/>
      <c r="E100" s="512"/>
      <c r="F100" s="743"/>
      <c r="G100" s="958"/>
      <c r="H100" s="958"/>
      <c r="I100" s="958"/>
      <c r="J100" s="958"/>
      <c r="K100" s="960"/>
      <c r="L100" s="958"/>
      <c r="M100" s="958"/>
      <c r="N100" s="958"/>
      <c r="O100" s="958"/>
      <c r="P100" s="958"/>
      <c r="Q100" s="1021"/>
      <c r="R100" s="743"/>
      <c r="S100" s="970"/>
      <c r="T100" s="970"/>
      <c r="U100" s="970"/>
      <c r="V100" s="970"/>
      <c r="W100" s="970"/>
      <c r="X100" s="970"/>
      <c r="Y100" s="970"/>
      <c r="Z100" s="970"/>
      <c r="AA100" s="970"/>
      <c r="AB100" s="970"/>
      <c r="AC100" s="970"/>
      <c r="AD100" s="970"/>
      <c r="AE100" s="970"/>
      <c r="AF100" s="970"/>
      <c r="AG100" s="970"/>
      <c r="AH100" s="970"/>
      <c r="AI100" s="970"/>
      <c r="AJ100" s="970"/>
      <c r="AK100" s="970"/>
      <c r="AL100" s="743"/>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743"/>
      <c r="BH100" s="990"/>
      <c r="BI100" s="990"/>
      <c r="BJ100" s="990"/>
      <c r="BK100" s="743"/>
      <c r="BL100" s="515"/>
      <c r="BM100" s="515"/>
      <c r="BO100" s="1482"/>
      <c r="BP100" s="1482"/>
      <c r="BQ100" s="1482"/>
      <c r="BR100" s="1482"/>
      <c r="BS100" s="1482"/>
      <c r="BT100" s="1482"/>
      <c r="BU100" s="1482"/>
      <c r="BV100" s="1482"/>
      <c r="BW100" s="1482"/>
      <c r="BX100" s="1482"/>
      <c r="BY100" s="1482"/>
      <c r="BZ100" s="1482"/>
      <c r="CA100" s="1482"/>
      <c r="CB100" s="1482"/>
      <c r="CC100" s="1482"/>
      <c r="CD100" s="1482"/>
      <c r="CE100" s="1482"/>
      <c r="CF100" s="1482"/>
      <c r="CG100" s="1482"/>
      <c r="CH100" s="1482"/>
      <c r="CI100" s="1482"/>
      <c r="CJ100" s="1482"/>
      <c r="CK100" s="1482"/>
      <c r="CL100" s="1482"/>
      <c r="CM100" s="1482"/>
      <c r="CN100" s="1482"/>
      <c r="CO100" s="1482"/>
      <c r="CP100" s="1482"/>
      <c r="CQ100" s="1482"/>
      <c r="CR100" s="1482"/>
      <c r="CS100" s="1482"/>
      <c r="CT100" s="1482"/>
      <c r="CU100" s="1482"/>
      <c r="CV100" s="1482"/>
      <c r="CW100" s="1482"/>
      <c r="CX100" s="1482"/>
      <c r="CY100" s="1482"/>
      <c r="CZ100" s="1482"/>
      <c r="DA100" s="1482"/>
      <c r="DB100" s="1482"/>
      <c r="DC100" s="1482"/>
      <c r="DD100" s="1482"/>
      <c r="DE100" s="1482"/>
      <c r="DF100" s="1482"/>
      <c r="DH100" s="838">
        <f t="shared" si="235"/>
        <v>0</v>
      </c>
    </row>
    <row r="101" spans="1:112" s="1488" customFormat="1" ht="12.75" hidden="1" customHeight="1" outlineLevel="1">
      <c r="C101" s="1048" t="s">
        <v>1725</v>
      </c>
      <c r="D101" s="851" t="s">
        <v>1224</v>
      </c>
      <c r="E101" s="851"/>
      <c r="G101" s="1070"/>
      <c r="H101" s="1070"/>
      <c r="I101" s="1070"/>
      <c r="J101" s="1070"/>
      <c r="K101" s="1071"/>
      <c r="L101" s="1070"/>
      <c r="M101" s="1070"/>
      <c r="N101" s="1070"/>
      <c r="O101" s="1070"/>
      <c r="P101" s="1070"/>
      <c r="Q101" s="1478"/>
      <c r="R101" s="1491"/>
      <c r="S101" s="1072">
        <f ca="1">(S$40+S$84+S$93+S$99)</f>
        <v>-450.96633210645444</v>
      </c>
      <c r="T101" s="1072">
        <f ca="1">(T$40+T$84+T$93+T$99)</f>
        <v>450.96633210645439</v>
      </c>
      <c r="U101" s="1072">
        <f ca="1">(U$40+U$84+U$93+U$99)</f>
        <v>-45.157744694729161</v>
      </c>
      <c r="V101" s="1072">
        <f ca="1">(V$40+V$84+V$93+V$99)</f>
        <v>-786.05031450159174</v>
      </c>
      <c r="W101" s="1072">
        <f ca="1">(W$40+W$84+W$93+W$99)</f>
        <v>-1757.058311975954</v>
      </c>
      <c r="X101" s="1072"/>
      <c r="Y101" s="1072"/>
      <c r="Z101" s="1072"/>
      <c r="AA101" s="1072"/>
      <c r="AB101" s="1072"/>
      <c r="AC101" s="1072"/>
      <c r="AD101" s="1072"/>
      <c r="AE101" s="1072"/>
      <c r="AF101" s="1072"/>
      <c r="AG101" s="1072"/>
      <c r="AH101" s="1072"/>
      <c r="AI101" s="1072"/>
      <c r="AJ101" s="1072"/>
      <c r="AK101" s="1072"/>
      <c r="AL101" s="1491"/>
      <c r="AM101" s="1073"/>
      <c r="AN101" s="1073"/>
      <c r="AO101" s="1073"/>
      <c r="AP101" s="1073"/>
      <c r="AQ101" s="1073"/>
      <c r="AR101" s="1073"/>
      <c r="AS101" s="1073"/>
      <c r="AT101" s="1073"/>
      <c r="AU101" s="1073"/>
      <c r="AV101" s="1073"/>
      <c r="AW101" s="1073"/>
      <c r="AX101" s="1073"/>
      <c r="AY101" s="1073"/>
      <c r="AZ101" s="1073"/>
      <c r="BA101" s="1073"/>
      <c r="BB101" s="1073"/>
      <c r="BC101" s="1073"/>
      <c r="BD101" s="1073"/>
      <c r="BE101" s="1073"/>
      <c r="BF101" s="1073"/>
      <c r="BG101" s="1491"/>
      <c r="BH101" s="1074"/>
      <c r="BI101" s="1074"/>
      <c r="BJ101" s="1074"/>
      <c r="BL101" s="852"/>
      <c r="BM101" s="852"/>
      <c r="BO101" s="1490"/>
      <c r="BP101" s="1490"/>
      <c r="BQ101" s="1490"/>
      <c r="BR101" s="1490"/>
      <c r="BS101" s="1490"/>
      <c r="BT101" s="1490"/>
      <c r="BU101" s="1490"/>
      <c r="BV101" s="1490"/>
      <c r="BW101" s="1490"/>
      <c r="BX101" s="1490"/>
      <c r="BY101" s="1490"/>
      <c r="BZ101" s="1490"/>
      <c r="CA101" s="1490"/>
      <c r="CB101" s="1490"/>
      <c r="CC101" s="1490"/>
      <c r="CD101" s="1490"/>
      <c r="CE101" s="1490"/>
      <c r="CF101" s="1490"/>
      <c r="CG101" s="1490"/>
      <c r="CH101" s="1490"/>
      <c r="CI101" s="1490"/>
      <c r="CJ101" s="1490"/>
      <c r="CK101" s="1490"/>
      <c r="CL101" s="1490"/>
      <c r="CM101" s="1490"/>
      <c r="CN101" s="1490"/>
      <c r="CO101" s="1490"/>
      <c r="CP101" s="1490"/>
      <c r="CQ101" s="1490"/>
      <c r="CR101" s="1490"/>
      <c r="CS101" s="1490"/>
      <c r="CT101" s="1490"/>
      <c r="CU101" s="1490"/>
      <c r="CV101" s="1490"/>
      <c r="CW101" s="1490"/>
      <c r="CX101" s="1490"/>
      <c r="CY101" s="1490"/>
      <c r="CZ101" s="1490"/>
      <c r="DA101" s="1490"/>
      <c r="DB101" s="1490"/>
      <c r="DC101" s="1490"/>
      <c r="DD101" s="1490"/>
      <c r="DE101" s="1490"/>
      <c r="DF101" s="1490"/>
      <c r="DH101" s="838">
        <f t="shared" si="235"/>
        <v>0</v>
      </c>
    </row>
    <row r="102" spans="1:112" s="1484" customFormat="1" ht="12.75" hidden="1" customHeight="1" outlineLevel="1">
      <c r="B102" s="1492"/>
      <c r="C102" s="522" t="s">
        <v>1013</v>
      </c>
      <c r="D102" s="521" t="str">
        <f>INDEX(Modules[Module], MATCH($C102, Modules[Code], 0))</f>
        <v>Fossil fuel transfers</v>
      </c>
      <c r="E102" s="521"/>
      <c r="F102" s="743"/>
      <c r="G102" s="963">
        <f t="shared" ref="G102:P102" ca="1" si="250">IFERROR(INDEX(INDIRECT($C102&amp;".Outputs["&amp;this.Year&amp;"]"), MATCH(G$5, INDIRECT($C102&amp;".Outputs[Vector]"), 0)), 0)</f>
        <v>0</v>
      </c>
      <c r="H102" s="963">
        <f t="shared" ca="1" si="250"/>
        <v>0</v>
      </c>
      <c r="I102" s="963">
        <f t="shared" ca="1" si="250"/>
        <v>0</v>
      </c>
      <c r="J102" s="963">
        <f t="shared" ca="1" si="250"/>
        <v>0</v>
      </c>
      <c r="K102" s="964">
        <f t="shared" ca="1" si="250"/>
        <v>0</v>
      </c>
      <c r="L102" s="963">
        <f t="shared" ca="1" si="250"/>
        <v>0</v>
      </c>
      <c r="M102" s="963">
        <f t="shared" ca="1" si="250"/>
        <v>0</v>
      </c>
      <c r="N102" s="963">
        <f t="shared" ca="1" si="250"/>
        <v>0</v>
      </c>
      <c r="O102" s="963">
        <f t="shared" ca="1" si="250"/>
        <v>0</v>
      </c>
      <c r="P102" s="963">
        <f t="shared" ca="1" si="250"/>
        <v>0</v>
      </c>
      <c r="Q102" s="1096">
        <f ca="1">SUM(G102:P102)</f>
        <v>0</v>
      </c>
      <c r="R102" s="743"/>
      <c r="S102" s="972">
        <f t="shared" ref="S102:AJ102" ca="1" si="251">IFERROR(INDEX(INDIRECT($C102&amp;".Outputs["&amp;this.Year&amp;"]"), MATCH(S$5, INDIRECT($C102&amp;".Outputs[Vector]"), 0)), 0)</f>
        <v>0</v>
      </c>
      <c r="T102" s="972">
        <f t="shared" ca="1" si="251"/>
        <v>0</v>
      </c>
      <c r="U102" s="972">
        <f t="shared" ca="1" si="251"/>
        <v>45.157744694729161</v>
      </c>
      <c r="V102" s="972">
        <f t="shared" ca="1" si="251"/>
        <v>786.05031450159174</v>
      </c>
      <c r="W102" s="972">
        <f t="shared" ca="1" si="251"/>
        <v>1757.058311975954</v>
      </c>
      <c r="X102" s="972">
        <f t="shared" ca="1" si="251"/>
        <v>-45.157744694729161</v>
      </c>
      <c r="Y102" s="972">
        <f t="shared" ca="1" si="251"/>
        <v>-786.05031450159174</v>
      </c>
      <c r="Z102" s="972">
        <f t="shared" ca="1" si="251"/>
        <v>-1777.3090420699018</v>
      </c>
      <c r="AA102" s="972">
        <f t="shared" ca="1" si="251"/>
        <v>0</v>
      </c>
      <c r="AB102" s="972">
        <f t="shared" ca="1" si="251"/>
        <v>0</v>
      </c>
      <c r="AC102" s="972">
        <f t="shared" ca="1" si="251"/>
        <v>0</v>
      </c>
      <c r="AD102" s="972">
        <f t="shared" ca="1" si="251"/>
        <v>0</v>
      </c>
      <c r="AE102" s="972">
        <f t="shared" ca="1" si="251"/>
        <v>0</v>
      </c>
      <c r="AF102" s="972">
        <f t="shared" ca="1" si="251"/>
        <v>0</v>
      </c>
      <c r="AG102" s="972">
        <f t="shared" ca="1" si="251"/>
        <v>0</v>
      </c>
      <c r="AH102" s="972">
        <f t="shared" ca="1" si="251"/>
        <v>0</v>
      </c>
      <c r="AI102" s="972">
        <f t="shared" ca="1" si="251"/>
        <v>0</v>
      </c>
      <c r="AJ102" s="972">
        <f t="shared" ca="1" si="251"/>
        <v>0</v>
      </c>
      <c r="AK102" s="972">
        <f ca="1">SUM(S102:AJ102)</f>
        <v>-20.250730093947823</v>
      </c>
      <c r="AL102" s="743"/>
      <c r="AM102" s="979">
        <f t="shared" ref="AM102:BE102" ca="1" si="252">IFERROR(INDEX(INDIRECT($C102&amp;".Outputs["&amp;this.Year&amp;"]"), MATCH(AM$5, INDIRECT($C102&amp;".Outputs[Vector]"), 0)), 0)</f>
        <v>0</v>
      </c>
      <c r="AN102" s="979">
        <f t="shared" ca="1" si="252"/>
        <v>0</v>
      </c>
      <c r="AO102" s="979">
        <f t="shared" ca="1" si="252"/>
        <v>0</v>
      </c>
      <c r="AP102" s="979">
        <f t="shared" ca="1" si="252"/>
        <v>0</v>
      </c>
      <c r="AQ102" s="979">
        <f t="shared" ca="1" si="252"/>
        <v>0</v>
      </c>
      <c r="AR102" s="979">
        <f t="shared" ca="1" si="252"/>
        <v>0</v>
      </c>
      <c r="AS102" s="979">
        <f t="shared" ca="1" si="252"/>
        <v>0</v>
      </c>
      <c r="AT102" s="979">
        <f t="shared" ca="1" si="252"/>
        <v>0</v>
      </c>
      <c r="AU102" s="979">
        <f t="shared" ca="1" si="252"/>
        <v>0</v>
      </c>
      <c r="AV102" s="979">
        <f t="shared" ca="1" si="252"/>
        <v>0</v>
      </c>
      <c r="AW102" s="979">
        <f t="shared" ca="1" si="252"/>
        <v>0</v>
      </c>
      <c r="AX102" s="979">
        <f t="shared" ca="1" si="252"/>
        <v>0</v>
      </c>
      <c r="AY102" s="979">
        <f t="shared" ca="1" si="252"/>
        <v>0</v>
      </c>
      <c r="AZ102" s="979">
        <f t="shared" ca="1" si="252"/>
        <v>0</v>
      </c>
      <c r="BA102" s="979">
        <f t="shared" ca="1" si="252"/>
        <v>0</v>
      </c>
      <c r="BB102" s="979">
        <f t="shared" ca="1" si="252"/>
        <v>0</v>
      </c>
      <c r="BC102" s="979">
        <f t="shared" ca="1" si="252"/>
        <v>0</v>
      </c>
      <c r="BD102" s="979">
        <f t="shared" ca="1" si="252"/>
        <v>0</v>
      </c>
      <c r="BE102" s="979">
        <f t="shared" ca="1" si="252"/>
        <v>0</v>
      </c>
      <c r="BF102" s="979">
        <f ca="1">SUM(AM102:BE102)</f>
        <v>0</v>
      </c>
      <c r="BG102" s="743"/>
      <c r="BH102" s="992">
        <f ca="1">IFERROR(INDEX(INDIRECT($C102&amp;".Outputs["&amp;this.Year&amp;"]"), MATCH(BH$5, INDIRECT($C102&amp;".Outputs[Vector]"), 0)), 0)</f>
        <v>0</v>
      </c>
      <c r="BI102" s="992">
        <f ca="1">IFERROR(INDEX(INDIRECT($C102&amp;".Outputs["&amp;this.Year&amp;"]"), MATCH(BI$5, INDIRECT($C102&amp;".Outputs[Vector]"), 0)), 0)</f>
        <v>20.250730093947862</v>
      </c>
      <c r="BJ102" s="992">
        <f ca="1">SUM(BH102:BI102)</f>
        <v>20.250730093947862</v>
      </c>
      <c r="BK102" s="743"/>
      <c r="BL102" s="515">
        <f t="shared" ref="BL102:BL109" ca="1" si="253">Q102+AK102+BF102+BJ102</f>
        <v>3.907985046680551E-14</v>
      </c>
      <c r="BM102" s="814"/>
      <c r="BO102" s="1481">
        <f t="shared" ref="BO102:BX103" ca="1" si="254">IFERROR(SUMIFS(INDIRECT($C102&amp;".Emissions["&amp;this.Year&amp;"]"), INDIRECT($C102&amp;".Emissions[GHG]"), BO$6, INDIRECT($C102&amp;".Emissions[IPCC Sector]"), BO$5),0)</f>
        <v>0</v>
      </c>
      <c r="BP102" s="1482">
        <f t="shared" ca="1" si="254"/>
        <v>0</v>
      </c>
      <c r="BQ102" s="1482">
        <f t="shared" ca="1" si="254"/>
        <v>0</v>
      </c>
      <c r="BR102" s="1482">
        <f t="shared" ca="1" si="254"/>
        <v>0</v>
      </c>
      <c r="BS102" s="1482">
        <f t="shared" ca="1" si="254"/>
        <v>0</v>
      </c>
      <c r="BT102" s="1482">
        <f t="shared" ca="1" si="254"/>
        <v>7.704880412843786</v>
      </c>
      <c r="BU102" s="1482">
        <f t="shared" ca="1" si="254"/>
        <v>0</v>
      </c>
      <c r="BV102" s="1482">
        <f t="shared" ca="1" si="254"/>
        <v>0</v>
      </c>
      <c r="BW102" s="1482">
        <f t="shared" ca="1" si="254"/>
        <v>0</v>
      </c>
      <c r="BX102" s="1482">
        <f t="shared" ca="1" si="254"/>
        <v>0</v>
      </c>
      <c r="BY102" s="1482">
        <f t="shared" ref="BY102:CH103" ca="1" si="255">IFERROR(SUMIFS(INDIRECT($C102&amp;".Emissions["&amp;this.Year&amp;"]"), INDIRECT($C102&amp;".Emissions[GHG]"), BY$6, INDIRECT($C102&amp;".Emissions[IPCC Sector]"), BY$5),0)</f>
        <v>0</v>
      </c>
      <c r="BZ102" s="1482">
        <f t="shared" ca="1" si="255"/>
        <v>0</v>
      </c>
      <c r="CA102" s="1482">
        <f t="shared" ca="1" si="255"/>
        <v>0</v>
      </c>
      <c r="CB102" s="1482">
        <f t="shared" ca="1" si="255"/>
        <v>0</v>
      </c>
      <c r="CC102" s="1482">
        <f t="shared" ca="1" si="255"/>
        <v>0</v>
      </c>
      <c r="CD102" s="1482">
        <f t="shared" ca="1" si="255"/>
        <v>0</v>
      </c>
      <c r="CE102" s="1482">
        <f t="shared" ca="1" si="255"/>
        <v>0</v>
      </c>
      <c r="CF102" s="1482">
        <f t="shared" ca="1" si="255"/>
        <v>0</v>
      </c>
      <c r="CG102" s="1482">
        <f t="shared" ca="1" si="255"/>
        <v>0</v>
      </c>
      <c r="CH102" s="1482">
        <f t="shared" ca="1" si="255"/>
        <v>0</v>
      </c>
      <c r="CI102" s="1482">
        <f t="shared" ref="CI102:CR103" ca="1" si="256">IFERROR(SUMIFS(INDIRECT($C102&amp;".Emissions["&amp;this.Year&amp;"]"), INDIRECT($C102&amp;".Emissions[GHG]"), CI$6, INDIRECT($C102&amp;".Emissions[IPCC Sector]"), CI$5),0)</f>
        <v>0</v>
      </c>
      <c r="CJ102" s="1482">
        <f t="shared" ca="1" si="256"/>
        <v>0</v>
      </c>
      <c r="CK102" s="1482">
        <f t="shared" ca="1" si="256"/>
        <v>0</v>
      </c>
      <c r="CL102" s="1482">
        <f t="shared" ca="1" si="256"/>
        <v>0</v>
      </c>
      <c r="CM102" s="1482">
        <f t="shared" ca="1" si="256"/>
        <v>0</v>
      </c>
      <c r="CN102" s="1482">
        <f t="shared" ca="1" si="256"/>
        <v>0</v>
      </c>
      <c r="CO102" s="1482">
        <f t="shared" ca="1" si="256"/>
        <v>0</v>
      </c>
      <c r="CP102" s="1482">
        <f t="shared" ca="1" si="256"/>
        <v>0</v>
      </c>
      <c r="CQ102" s="1482">
        <f t="shared" ca="1" si="256"/>
        <v>0</v>
      </c>
      <c r="CR102" s="1482">
        <f t="shared" ca="1" si="256"/>
        <v>0</v>
      </c>
      <c r="CS102" s="1482">
        <f t="shared" ref="CS102:DF103" ca="1" si="257">IFERROR(SUMIFS(INDIRECT($C102&amp;".Emissions["&amp;this.Year&amp;"]"), INDIRECT($C102&amp;".Emissions[GHG]"), CS$6, INDIRECT($C102&amp;".Emissions[IPCC Sector]"), CS$5),0)</f>
        <v>0</v>
      </c>
      <c r="CT102" s="1482">
        <f t="shared" ca="1" si="257"/>
        <v>0</v>
      </c>
      <c r="CU102" s="1482">
        <f t="shared" ca="1" si="257"/>
        <v>0</v>
      </c>
      <c r="CV102" s="1482">
        <f t="shared" ca="1" si="257"/>
        <v>0</v>
      </c>
      <c r="CW102" s="1482">
        <f t="shared" ca="1" si="257"/>
        <v>0</v>
      </c>
      <c r="CX102" s="1482">
        <f t="shared" ca="1" si="257"/>
        <v>0</v>
      </c>
      <c r="CY102" s="1482">
        <f t="shared" ca="1" si="257"/>
        <v>0</v>
      </c>
      <c r="CZ102" s="1482">
        <f t="shared" ca="1" si="257"/>
        <v>0</v>
      </c>
      <c r="DA102" s="1482">
        <f t="shared" ca="1" si="257"/>
        <v>0</v>
      </c>
      <c r="DB102" s="1482">
        <f t="shared" ca="1" si="257"/>
        <v>0</v>
      </c>
      <c r="DC102" s="1482">
        <f t="shared" ca="1" si="257"/>
        <v>0</v>
      </c>
      <c r="DD102" s="1482">
        <f t="shared" ca="1" si="257"/>
        <v>0</v>
      </c>
      <c r="DE102" s="1482">
        <f t="shared" ca="1" si="257"/>
        <v>0</v>
      </c>
      <c r="DF102" s="1482">
        <f t="shared" ca="1" si="257"/>
        <v>0</v>
      </c>
      <c r="DH102" s="838">
        <f t="shared" ca="1" si="235"/>
        <v>7.704880412843786</v>
      </c>
    </row>
    <row r="103" spans="1:112" s="1484" customFormat="1" ht="12.75" hidden="1" customHeight="1" outlineLevel="1">
      <c r="B103" s="1492" t="s">
        <v>798</v>
      </c>
      <c r="C103" s="522" t="s">
        <v>1014</v>
      </c>
      <c r="D103" s="1010" t="str">
        <f>INDEX(Modules[Module], MATCH($C103, Modules[Code], 0))</f>
        <v>Balancing imports</v>
      </c>
      <c r="E103" s="1010"/>
      <c r="F103" s="743"/>
      <c r="G103" s="1102"/>
      <c r="H103" s="1102"/>
      <c r="I103" s="1102"/>
      <c r="J103" s="1102"/>
      <c r="K103" s="1103"/>
      <c r="L103" s="1102"/>
      <c r="M103" s="1102"/>
      <c r="N103" s="1102"/>
      <c r="O103" s="1102"/>
      <c r="P103" s="1102"/>
      <c r="Q103" s="1104">
        <f>SUM(G103:P103)</f>
        <v>0</v>
      </c>
      <c r="R103" s="743"/>
      <c r="S103" s="1105"/>
      <c r="T103" s="1105">
        <f ca="1">-(T$101+S$101)</f>
        <v>5.6843418860808015E-14</v>
      </c>
      <c r="U103" s="1105"/>
      <c r="V103" s="1105"/>
      <c r="W103" s="1105"/>
      <c r="X103" s="1105">
        <f ca="1">-(X$40+X$84+X$93+X$99+X$102)</f>
        <v>-177.33073051017504</v>
      </c>
      <c r="Y103" s="1105">
        <f ca="1">-(Y$40+Y$84+Y$93+Y$99+Y$102)</f>
        <v>653.42504456252664</v>
      </c>
      <c r="Z103" s="1105">
        <f ca="1">-(Z$40+Z$84+Z$93+Z$99+Z$102)</f>
        <v>1675.7258737621144</v>
      </c>
      <c r="AA103" s="1105"/>
      <c r="AB103" s="1105"/>
      <c r="AC103" s="1105"/>
      <c r="AD103" s="1105"/>
      <c r="AE103" s="1105"/>
      <c r="AF103" s="1105"/>
      <c r="AG103" s="1105"/>
      <c r="AH103" s="1105"/>
      <c r="AI103" s="1105"/>
      <c r="AJ103" s="1105"/>
      <c r="AK103" s="1105">
        <f ca="1">SUM(S103:AJ103)</f>
        <v>2151.820187814466</v>
      </c>
      <c r="AL103" s="743"/>
      <c r="AM103" s="1012"/>
      <c r="AN103" s="1012"/>
      <c r="AO103" s="1012"/>
      <c r="AP103" s="1012"/>
      <c r="AQ103" s="1012">
        <f ca="1">-T103</f>
        <v>-5.6843418860808015E-14</v>
      </c>
      <c r="AR103" s="1012">
        <f>-V103</f>
        <v>0</v>
      </c>
      <c r="AS103" s="1012">
        <f ca="1">-X103</f>
        <v>177.33073051017504</v>
      </c>
      <c r="AT103" s="1012">
        <f ca="1">-Y103</f>
        <v>-653.42504456252664</v>
      </c>
      <c r="AU103" s="1012">
        <f ca="1">-Z103</f>
        <v>-1675.7258737621144</v>
      </c>
      <c r="AV103" s="1012"/>
      <c r="AW103" s="1012"/>
      <c r="AX103" s="1012"/>
      <c r="AY103" s="1012"/>
      <c r="AZ103" s="1012"/>
      <c r="BA103" s="1012"/>
      <c r="BB103" s="1012"/>
      <c r="BC103" s="1012"/>
      <c r="BD103" s="1012"/>
      <c r="BE103" s="1012"/>
      <c r="BF103" s="1012">
        <f ca="1">SUM(AM103:BE103)</f>
        <v>-2151.820187814466</v>
      </c>
      <c r="BG103" s="743"/>
      <c r="BH103" s="1106"/>
      <c r="BI103" s="1106"/>
      <c r="BJ103" s="1106">
        <f>SUM(BH103:BI103)</f>
        <v>0</v>
      </c>
      <c r="BK103" s="743"/>
      <c r="BL103" s="515">
        <f t="shared" ca="1" si="253"/>
        <v>0</v>
      </c>
      <c r="BM103" s="814"/>
      <c r="BO103" s="1485">
        <f t="shared" ca="1" si="254"/>
        <v>0</v>
      </c>
      <c r="BP103" s="1486">
        <f t="shared" ca="1" si="254"/>
        <v>0</v>
      </c>
      <c r="BQ103" s="1486">
        <f t="shared" ca="1" si="254"/>
        <v>0</v>
      </c>
      <c r="BR103" s="1486">
        <f t="shared" ca="1" si="254"/>
        <v>0</v>
      </c>
      <c r="BS103" s="1486">
        <f t="shared" ca="1" si="254"/>
        <v>0</v>
      </c>
      <c r="BT103" s="1486">
        <f t="shared" ca="1" si="254"/>
        <v>0</v>
      </c>
      <c r="BU103" s="1486">
        <f t="shared" ca="1" si="254"/>
        <v>0</v>
      </c>
      <c r="BV103" s="1486">
        <f t="shared" ca="1" si="254"/>
        <v>0</v>
      </c>
      <c r="BW103" s="1486">
        <f t="shared" ca="1" si="254"/>
        <v>0</v>
      </c>
      <c r="BX103" s="1486">
        <f t="shared" ca="1" si="254"/>
        <v>0</v>
      </c>
      <c r="BY103" s="1486">
        <f t="shared" ca="1" si="255"/>
        <v>0</v>
      </c>
      <c r="BZ103" s="1486">
        <f t="shared" ca="1" si="255"/>
        <v>0</v>
      </c>
      <c r="CA103" s="1486">
        <f t="shared" ca="1" si="255"/>
        <v>0</v>
      </c>
      <c r="CB103" s="1486">
        <f t="shared" ca="1" si="255"/>
        <v>0</v>
      </c>
      <c r="CC103" s="1486">
        <f t="shared" ca="1" si="255"/>
        <v>0</v>
      </c>
      <c r="CD103" s="1486">
        <f t="shared" ca="1" si="255"/>
        <v>0</v>
      </c>
      <c r="CE103" s="1486">
        <f t="shared" ca="1" si="255"/>
        <v>0</v>
      </c>
      <c r="CF103" s="1486">
        <f t="shared" ca="1" si="255"/>
        <v>0</v>
      </c>
      <c r="CG103" s="1486">
        <f t="shared" ca="1" si="255"/>
        <v>0</v>
      </c>
      <c r="CH103" s="1486">
        <f t="shared" ca="1" si="255"/>
        <v>0</v>
      </c>
      <c r="CI103" s="1486">
        <f t="shared" ca="1" si="256"/>
        <v>0</v>
      </c>
      <c r="CJ103" s="1486">
        <f t="shared" ca="1" si="256"/>
        <v>0</v>
      </c>
      <c r="CK103" s="1486">
        <f t="shared" ca="1" si="256"/>
        <v>0</v>
      </c>
      <c r="CL103" s="1486">
        <f t="shared" ca="1" si="256"/>
        <v>0</v>
      </c>
      <c r="CM103" s="1486">
        <f t="shared" ca="1" si="256"/>
        <v>0</v>
      </c>
      <c r="CN103" s="1486">
        <f t="shared" ca="1" si="256"/>
        <v>0</v>
      </c>
      <c r="CO103" s="1486">
        <f t="shared" ca="1" si="256"/>
        <v>0</v>
      </c>
      <c r="CP103" s="1486">
        <f t="shared" ca="1" si="256"/>
        <v>0</v>
      </c>
      <c r="CQ103" s="1486">
        <f t="shared" ca="1" si="256"/>
        <v>0</v>
      </c>
      <c r="CR103" s="1486">
        <f t="shared" ca="1" si="256"/>
        <v>0</v>
      </c>
      <c r="CS103" s="1486">
        <f t="shared" ca="1" si="257"/>
        <v>0</v>
      </c>
      <c r="CT103" s="1486">
        <f t="shared" ca="1" si="257"/>
        <v>0</v>
      </c>
      <c r="CU103" s="1486">
        <f t="shared" ca="1" si="257"/>
        <v>0</v>
      </c>
      <c r="CV103" s="1486">
        <f t="shared" ca="1" si="257"/>
        <v>0</v>
      </c>
      <c r="CW103" s="1486">
        <f t="shared" ca="1" si="257"/>
        <v>0</v>
      </c>
      <c r="CX103" s="1486">
        <f t="shared" ca="1" si="257"/>
        <v>0</v>
      </c>
      <c r="CY103" s="1486">
        <f t="shared" ca="1" si="257"/>
        <v>0</v>
      </c>
      <c r="CZ103" s="1486">
        <f t="shared" ca="1" si="257"/>
        <v>0</v>
      </c>
      <c r="DA103" s="1486">
        <f t="shared" ca="1" si="257"/>
        <v>0</v>
      </c>
      <c r="DB103" s="1486">
        <f t="shared" ca="1" si="257"/>
        <v>0</v>
      </c>
      <c r="DC103" s="1486">
        <f t="shared" ca="1" si="257"/>
        <v>0</v>
      </c>
      <c r="DD103" s="1486">
        <f t="shared" ca="1" si="257"/>
        <v>0</v>
      </c>
      <c r="DE103" s="1486">
        <f t="shared" ca="1" si="257"/>
        <v>0</v>
      </c>
      <c r="DF103" s="1486">
        <f t="shared" ca="1" si="257"/>
        <v>0</v>
      </c>
      <c r="DH103" s="838">
        <f t="shared" ca="1" si="235"/>
        <v>0</v>
      </c>
    </row>
    <row r="104" spans="1:112" s="743" customFormat="1" ht="15.75" collapsed="1">
      <c r="B104" s="753" t="s">
        <v>798</v>
      </c>
      <c r="C104" s="516" t="s">
        <v>1012</v>
      </c>
      <c r="D104" s="517" t="str">
        <f>INDEX(Workstreams[Workstream], MATCH($C104, Workstreams[Code], 0))</f>
        <v>Transfers</v>
      </c>
      <c r="E104" s="509"/>
      <c r="G104" s="1021">
        <f ca="1">SUM(G102:G103)</f>
        <v>0</v>
      </c>
      <c r="H104" s="1021">
        <f t="shared" ref="H104:P104" ca="1" si="258">SUM(H102:H103)</f>
        <v>0</v>
      </c>
      <c r="I104" s="1021">
        <f t="shared" ca="1" si="258"/>
        <v>0</v>
      </c>
      <c r="J104" s="1021">
        <f t="shared" ca="1" si="258"/>
        <v>0</v>
      </c>
      <c r="K104" s="1021">
        <f t="shared" ca="1" si="258"/>
        <v>0</v>
      </c>
      <c r="L104" s="1021">
        <f t="shared" ca="1" si="258"/>
        <v>0</v>
      </c>
      <c r="M104" s="1021">
        <f t="shared" ca="1" si="258"/>
        <v>0</v>
      </c>
      <c r="N104" s="1021">
        <f t="shared" ca="1" si="258"/>
        <v>0</v>
      </c>
      <c r="O104" s="1021">
        <f t="shared" ca="1" si="258"/>
        <v>0</v>
      </c>
      <c r="P104" s="1021">
        <f t="shared" ca="1" si="258"/>
        <v>0</v>
      </c>
      <c r="Q104" s="1021">
        <f ca="1">SUM(G104:P104)</f>
        <v>0</v>
      </c>
      <c r="S104" s="970">
        <f t="shared" ref="S104:AJ104" ca="1" si="259">SUM(S102:S103)</f>
        <v>0</v>
      </c>
      <c r="T104" s="970">
        <f t="shared" ca="1" si="259"/>
        <v>5.6843418860808015E-14</v>
      </c>
      <c r="U104" s="970">
        <f t="shared" ca="1" si="259"/>
        <v>45.157744694729161</v>
      </c>
      <c r="V104" s="970">
        <f t="shared" ca="1" si="259"/>
        <v>786.05031450159174</v>
      </c>
      <c r="W104" s="970">
        <f t="shared" ca="1" si="259"/>
        <v>1757.058311975954</v>
      </c>
      <c r="X104" s="970">
        <f t="shared" ca="1" si="259"/>
        <v>-222.4884752049042</v>
      </c>
      <c r="Y104" s="970">
        <f t="shared" ca="1" si="259"/>
        <v>-132.62526993906511</v>
      </c>
      <c r="Z104" s="970">
        <f t="shared" ca="1" si="259"/>
        <v>-101.58316830778745</v>
      </c>
      <c r="AA104" s="970">
        <f t="shared" ca="1" si="259"/>
        <v>0</v>
      </c>
      <c r="AB104" s="970">
        <f t="shared" ca="1" si="259"/>
        <v>0</v>
      </c>
      <c r="AC104" s="970">
        <f t="shared" ca="1" si="259"/>
        <v>0</v>
      </c>
      <c r="AD104" s="970">
        <f ca="1">SUM(AD102:AD103)</f>
        <v>0</v>
      </c>
      <c r="AE104" s="970">
        <f ca="1">SUM(AE102:AE103)</f>
        <v>0</v>
      </c>
      <c r="AF104" s="970">
        <f t="shared" ca="1" si="259"/>
        <v>0</v>
      </c>
      <c r="AG104" s="970">
        <f ca="1">SUM(AG102:AG103)</f>
        <v>0</v>
      </c>
      <c r="AH104" s="970">
        <f ca="1">SUM(AH102:AH103)</f>
        <v>0</v>
      </c>
      <c r="AI104" s="970">
        <f ca="1">SUM(AI102:AI103)</f>
        <v>0</v>
      </c>
      <c r="AJ104" s="970">
        <f t="shared" ca="1" si="259"/>
        <v>0</v>
      </c>
      <c r="AK104" s="970">
        <f ca="1">SUM(S104:AJ104)</f>
        <v>2131.5694577205177</v>
      </c>
      <c r="AM104" s="976">
        <f t="shared" ref="AM104:BE104" ca="1" si="260">SUM(AM102:AM103)</f>
        <v>0</v>
      </c>
      <c r="AN104" s="976">
        <f t="shared" ca="1" si="260"/>
        <v>0</v>
      </c>
      <c r="AO104" s="976">
        <f t="shared" ca="1" si="260"/>
        <v>0</v>
      </c>
      <c r="AP104" s="976">
        <f t="shared" ca="1" si="260"/>
        <v>0</v>
      </c>
      <c r="AQ104" s="976">
        <f t="shared" ca="1" si="260"/>
        <v>-5.6843418860808015E-14</v>
      </c>
      <c r="AR104" s="976">
        <f t="shared" ca="1" si="260"/>
        <v>0</v>
      </c>
      <c r="AS104" s="976">
        <f t="shared" ca="1" si="260"/>
        <v>177.33073051017504</v>
      </c>
      <c r="AT104" s="976">
        <f t="shared" ca="1" si="260"/>
        <v>-653.42504456252664</v>
      </c>
      <c r="AU104" s="976">
        <f t="shared" ca="1" si="260"/>
        <v>-1675.7258737621144</v>
      </c>
      <c r="AV104" s="976">
        <f t="shared" ca="1" si="260"/>
        <v>0</v>
      </c>
      <c r="AW104" s="976">
        <f t="shared" ca="1" si="260"/>
        <v>0</v>
      </c>
      <c r="AX104" s="976">
        <f t="shared" ca="1" si="260"/>
        <v>0</v>
      </c>
      <c r="AY104" s="976">
        <f t="shared" ca="1" si="260"/>
        <v>0</v>
      </c>
      <c r="AZ104" s="976">
        <f t="shared" ca="1" si="260"/>
        <v>0</v>
      </c>
      <c r="BA104" s="976">
        <f t="shared" ca="1" si="260"/>
        <v>0</v>
      </c>
      <c r="BB104" s="976">
        <f t="shared" ca="1" si="260"/>
        <v>0</v>
      </c>
      <c r="BC104" s="976">
        <f t="shared" ca="1" si="260"/>
        <v>0</v>
      </c>
      <c r="BD104" s="976">
        <f t="shared" ca="1" si="260"/>
        <v>0</v>
      </c>
      <c r="BE104" s="976">
        <f t="shared" ca="1" si="260"/>
        <v>0</v>
      </c>
      <c r="BF104" s="976">
        <f ca="1">SUM(AM104:BE104)</f>
        <v>-2151.820187814466</v>
      </c>
      <c r="BH104" s="990">
        <f ca="1">SUM(BH102:BH103)</f>
        <v>0</v>
      </c>
      <c r="BI104" s="990">
        <f ca="1">SUM(BI102:BI103)</f>
        <v>20.250730093947862</v>
      </c>
      <c r="BJ104" s="990">
        <f ca="1">SUM(BH104:BI104)</f>
        <v>20.250730093947862</v>
      </c>
      <c r="BL104" s="515">
        <f t="shared" ca="1" si="253"/>
        <v>-4.1566750041965861E-13</v>
      </c>
      <c r="BM104" s="515"/>
      <c r="BN104" s="840"/>
      <c r="BO104" s="1482">
        <f t="shared" ref="BO104:DF104" ca="1" si="261">SUM(BO102:BO103)</f>
        <v>0</v>
      </c>
      <c r="BP104" s="1482">
        <f t="shared" ca="1" si="261"/>
        <v>0</v>
      </c>
      <c r="BQ104" s="1482">
        <f t="shared" ca="1" si="261"/>
        <v>0</v>
      </c>
      <c r="BR104" s="1482">
        <f t="shared" ca="1" si="261"/>
        <v>0</v>
      </c>
      <c r="BS104" s="1482">
        <f t="shared" ca="1" si="261"/>
        <v>0</v>
      </c>
      <c r="BT104" s="1482">
        <f t="shared" ca="1" si="261"/>
        <v>7.704880412843786</v>
      </c>
      <c r="BU104" s="1482">
        <f t="shared" ca="1" si="261"/>
        <v>0</v>
      </c>
      <c r="BV104" s="1482">
        <f t="shared" ca="1" si="261"/>
        <v>0</v>
      </c>
      <c r="BW104" s="1482">
        <f t="shared" ca="1" si="261"/>
        <v>0</v>
      </c>
      <c r="BX104" s="1482">
        <f t="shared" ca="1" si="261"/>
        <v>0</v>
      </c>
      <c r="BY104" s="1482">
        <f t="shared" ca="1" si="261"/>
        <v>0</v>
      </c>
      <c r="BZ104" s="1482">
        <f t="shared" ca="1" si="261"/>
        <v>0</v>
      </c>
      <c r="CA104" s="1482">
        <f t="shared" ca="1" si="261"/>
        <v>0</v>
      </c>
      <c r="CB104" s="1482">
        <f t="shared" ca="1" si="261"/>
        <v>0</v>
      </c>
      <c r="CC104" s="1482">
        <f t="shared" ca="1" si="261"/>
        <v>0</v>
      </c>
      <c r="CD104" s="1482">
        <f t="shared" ca="1" si="261"/>
        <v>0</v>
      </c>
      <c r="CE104" s="1482">
        <f t="shared" ca="1" si="261"/>
        <v>0</v>
      </c>
      <c r="CF104" s="1482">
        <f t="shared" ca="1" si="261"/>
        <v>0</v>
      </c>
      <c r="CG104" s="1482">
        <f t="shared" ca="1" si="261"/>
        <v>0</v>
      </c>
      <c r="CH104" s="1482">
        <f t="shared" ca="1" si="261"/>
        <v>0</v>
      </c>
      <c r="CI104" s="1482">
        <f t="shared" ca="1" si="261"/>
        <v>0</v>
      </c>
      <c r="CJ104" s="1482">
        <f t="shared" ca="1" si="261"/>
        <v>0</v>
      </c>
      <c r="CK104" s="1482">
        <f t="shared" ca="1" si="261"/>
        <v>0</v>
      </c>
      <c r="CL104" s="1482">
        <f t="shared" ca="1" si="261"/>
        <v>0</v>
      </c>
      <c r="CM104" s="1482">
        <f t="shared" ca="1" si="261"/>
        <v>0</v>
      </c>
      <c r="CN104" s="1482">
        <f t="shared" ca="1" si="261"/>
        <v>0</v>
      </c>
      <c r="CO104" s="1482">
        <f t="shared" ca="1" si="261"/>
        <v>0</v>
      </c>
      <c r="CP104" s="1482">
        <f t="shared" ca="1" si="261"/>
        <v>0</v>
      </c>
      <c r="CQ104" s="1482">
        <f t="shared" ca="1" si="261"/>
        <v>0</v>
      </c>
      <c r="CR104" s="1482">
        <f t="shared" ca="1" si="261"/>
        <v>0</v>
      </c>
      <c r="CS104" s="1482">
        <f t="shared" ca="1" si="261"/>
        <v>0</v>
      </c>
      <c r="CT104" s="1482">
        <f t="shared" ca="1" si="261"/>
        <v>0</v>
      </c>
      <c r="CU104" s="1482">
        <f t="shared" ca="1" si="261"/>
        <v>0</v>
      </c>
      <c r="CV104" s="1482">
        <f t="shared" ca="1" si="261"/>
        <v>0</v>
      </c>
      <c r="CW104" s="1482">
        <f t="shared" ca="1" si="261"/>
        <v>0</v>
      </c>
      <c r="CX104" s="1482">
        <f t="shared" ca="1" si="261"/>
        <v>0</v>
      </c>
      <c r="CY104" s="1482">
        <f t="shared" ca="1" si="261"/>
        <v>0</v>
      </c>
      <c r="CZ104" s="1482">
        <f t="shared" ca="1" si="261"/>
        <v>0</v>
      </c>
      <c r="DA104" s="1482">
        <f t="shared" ca="1" si="261"/>
        <v>0</v>
      </c>
      <c r="DB104" s="1482">
        <f t="shared" ca="1" si="261"/>
        <v>0</v>
      </c>
      <c r="DC104" s="1482">
        <f t="shared" ca="1" si="261"/>
        <v>0</v>
      </c>
      <c r="DD104" s="1482">
        <f t="shared" ca="1" si="261"/>
        <v>0</v>
      </c>
      <c r="DE104" s="1482">
        <f t="shared" ca="1" si="261"/>
        <v>0</v>
      </c>
      <c r="DF104" s="1482">
        <f t="shared" ca="1" si="261"/>
        <v>0</v>
      </c>
      <c r="DH104" s="838">
        <f t="shared" ca="1" si="235"/>
        <v>7.704880412843786</v>
      </c>
    </row>
    <row r="105" spans="1:112" s="743" customFormat="1" ht="6" customHeight="1">
      <c r="C105" s="508"/>
      <c r="D105" s="509"/>
      <c r="E105" s="509"/>
      <c r="G105" s="958"/>
      <c r="H105" s="958"/>
      <c r="I105" s="958"/>
      <c r="J105" s="958"/>
      <c r="K105" s="960"/>
      <c r="L105" s="958"/>
      <c r="M105" s="958"/>
      <c r="N105" s="958"/>
      <c r="O105" s="958"/>
      <c r="P105" s="958"/>
      <c r="Q105" s="958"/>
      <c r="S105" s="970"/>
      <c r="T105" s="970"/>
      <c r="U105" s="970"/>
      <c r="V105" s="970"/>
      <c r="W105" s="970"/>
      <c r="X105" s="970"/>
      <c r="Y105" s="970"/>
      <c r="Z105" s="970"/>
      <c r="AA105" s="970"/>
      <c r="AB105" s="970"/>
      <c r="AC105" s="970"/>
      <c r="AD105" s="970"/>
      <c r="AE105" s="970"/>
      <c r="AF105" s="970"/>
      <c r="AG105" s="970"/>
      <c r="AH105" s="970"/>
      <c r="AI105" s="970"/>
      <c r="AJ105" s="970"/>
      <c r="AK105" s="970"/>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H105" s="990"/>
      <c r="BI105" s="990"/>
      <c r="BJ105" s="990"/>
      <c r="BL105" s="515">
        <f t="shared" si="253"/>
        <v>0</v>
      </c>
      <c r="BM105" s="515"/>
      <c r="BO105" s="1482"/>
      <c r="BP105" s="1482"/>
      <c r="BQ105" s="1482"/>
      <c r="BR105" s="1482"/>
      <c r="BS105" s="1482"/>
      <c r="BT105" s="1482"/>
      <c r="BU105" s="1482"/>
      <c r="BV105" s="1482"/>
      <c r="BW105" s="1482"/>
      <c r="BX105" s="1482"/>
      <c r="BY105" s="1482"/>
      <c r="BZ105" s="1482"/>
      <c r="CA105" s="1482"/>
      <c r="CB105" s="1482"/>
      <c r="CC105" s="1482"/>
      <c r="CD105" s="1482"/>
      <c r="CE105" s="1482"/>
      <c r="CF105" s="1482"/>
      <c r="CG105" s="1482"/>
      <c r="CH105" s="1482"/>
      <c r="CI105" s="1482"/>
      <c r="CJ105" s="1482"/>
      <c r="CK105" s="1482"/>
      <c r="CL105" s="1482"/>
      <c r="CM105" s="1482"/>
      <c r="CN105" s="1482"/>
      <c r="CO105" s="1482"/>
      <c r="CP105" s="1482"/>
      <c r="CQ105" s="1482"/>
      <c r="CR105" s="1482"/>
      <c r="CS105" s="1482"/>
      <c r="CT105" s="1482"/>
      <c r="CU105" s="1482"/>
      <c r="CV105" s="1482"/>
      <c r="CW105" s="1482"/>
      <c r="CX105" s="1482"/>
      <c r="CY105" s="1482"/>
      <c r="CZ105" s="1482"/>
      <c r="DA105" s="1482"/>
      <c r="DB105" s="1482"/>
      <c r="DC105" s="1482"/>
      <c r="DD105" s="1482"/>
      <c r="DE105" s="1482"/>
      <c r="DF105" s="1482"/>
      <c r="DH105" s="838"/>
    </row>
    <row r="106" spans="1:112" s="743" customFormat="1" ht="15.75">
      <c r="B106" s="753"/>
      <c r="C106" s="2051" t="s">
        <v>1817</v>
      </c>
      <c r="D106" s="643" t="s">
        <v>1016</v>
      </c>
      <c r="E106" s="644"/>
      <c r="G106" s="1075">
        <f t="shared" ref="G106:P106" ca="1" si="262">G$93+G$99+G$104</f>
        <v>0</v>
      </c>
      <c r="H106" s="1075">
        <f t="shared" ca="1" si="262"/>
        <v>0</v>
      </c>
      <c r="I106" s="1075">
        <f t="shared" ca="1" si="262"/>
        <v>0</v>
      </c>
      <c r="J106" s="1075">
        <f t="shared" ca="1" si="262"/>
        <v>0</v>
      </c>
      <c r="K106" s="1076">
        <f t="shared" ca="1" si="262"/>
        <v>0</v>
      </c>
      <c r="L106" s="1075">
        <f t="shared" ca="1" si="262"/>
        <v>0</v>
      </c>
      <c r="M106" s="1075">
        <f t="shared" ca="1" si="262"/>
        <v>0</v>
      </c>
      <c r="N106" s="1075">
        <f t="shared" ca="1" si="262"/>
        <v>0</v>
      </c>
      <c r="O106" s="1075">
        <f t="shared" ca="1" si="262"/>
        <v>0</v>
      </c>
      <c r="P106" s="1075">
        <f t="shared" ca="1" si="262"/>
        <v>0</v>
      </c>
      <c r="Q106" s="1023">
        <f ca="1">SUM(G106:P106)</f>
        <v>0</v>
      </c>
      <c r="S106" s="1014">
        <f t="shared" ref="S106:AJ106" ca="1" si="263">S$93+S$99+S$104</f>
        <v>0</v>
      </c>
      <c r="T106" s="1014">
        <f t="shared" ca="1" si="263"/>
        <v>-33.813377283533214</v>
      </c>
      <c r="U106" s="1014">
        <f t="shared" ca="1" si="263"/>
        <v>113.56994645370648</v>
      </c>
      <c r="V106" s="1014">
        <f t="shared" ca="1" si="263"/>
        <v>840.69209868202199</v>
      </c>
      <c r="W106" s="1014">
        <f t="shared" ca="1" si="263"/>
        <v>1814.9857467028719</v>
      </c>
      <c r="X106" s="1014">
        <f t="shared" ca="1" si="263"/>
        <v>-222.4884752049042</v>
      </c>
      <c r="Y106" s="1014">
        <f t="shared" ca="1" si="263"/>
        <v>-132.62526993906511</v>
      </c>
      <c r="Z106" s="1014">
        <f t="shared" ca="1" si="263"/>
        <v>-101.58316830778745</v>
      </c>
      <c r="AA106" s="1014">
        <f t="shared" ca="1" si="263"/>
        <v>0</v>
      </c>
      <c r="AB106" s="1014">
        <f t="shared" ca="1" si="263"/>
        <v>0</v>
      </c>
      <c r="AC106" s="1014">
        <f t="shared" ca="1" si="263"/>
        <v>0</v>
      </c>
      <c r="AD106" s="1014">
        <f t="shared" ca="1" si="263"/>
        <v>-84.551105543007012</v>
      </c>
      <c r="AE106" s="1014">
        <f t="shared" ca="1" si="263"/>
        <v>-1.7066988158250447</v>
      </c>
      <c r="AF106" s="1014">
        <f t="shared" ca="1" si="263"/>
        <v>-76.013557509974802</v>
      </c>
      <c r="AG106" s="1014">
        <f t="shared" ca="1" si="263"/>
        <v>-48.901286054879833</v>
      </c>
      <c r="AH106" s="1014">
        <f t="shared" ca="1" si="263"/>
        <v>-18.806405883014129</v>
      </c>
      <c r="AI106" s="1014">
        <f t="shared" ca="1" si="263"/>
        <v>0</v>
      </c>
      <c r="AJ106" s="1014">
        <f t="shared" ca="1" si="263"/>
        <v>0</v>
      </c>
      <c r="AK106" s="1014">
        <f ca="1">SUM(S106:AJ106)</f>
        <v>2048.7584472966096</v>
      </c>
      <c r="AM106" s="1015">
        <f t="shared" ref="AM106:BE106" ca="1" si="264">AM$93+AM$99+AM$104</f>
        <v>0</v>
      </c>
      <c r="AN106" s="1015">
        <f t="shared" ca="1" si="264"/>
        <v>0</v>
      </c>
      <c r="AO106" s="1015">
        <f t="shared" ca="1" si="264"/>
        <v>0</v>
      </c>
      <c r="AP106" s="1015">
        <f t="shared" ca="1" si="264"/>
        <v>0</v>
      </c>
      <c r="AQ106" s="1015">
        <f t="shared" ca="1" si="264"/>
        <v>-5.6843418860808015E-14</v>
      </c>
      <c r="AR106" s="1015">
        <f t="shared" ca="1" si="264"/>
        <v>0</v>
      </c>
      <c r="AS106" s="1015">
        <f t="shared" ca="1" si="264"/>
        <v>177.33073051017504</v>
      </c>
      <c r="AT106" s="1015">
        <f t="shared" ca="1" si="264"/>
        <v>-653.42504456252664</v>
      </c>
      <c r="AU106" s="1015">
        <f t="shared" ca="1" si="264"/>
        <v>-1675.7258737621144</v>
      </c>
      <c r="AV106" s="1015">
        <f t="shared" ca="1" si="264"/>
        <v>0</v>
      </c>
      <c r="AW106" s="1015">
        <f t="shared" ca="1" si="264"/>
        <v>0</v>
      </c>
      <c r="AX106" s="1015">
        <f t="shared" ca="1" si="264"/>
        <v>0</v>
      </c>
      <c r="AY106" s="1015">
        <f t="shared" ca="1" si="264"/>
        <v>0</v>
      </c>
      <c r="AZ106" s="1015">
        <f t="shared" ca="1" si="264"/>
        <v>0</v>
      </c>
      <c r="BA106" s="1015">
        <f t="shared" ca="1" si="264"/>
        <v>0</v>
      </c>
      <c r="BB106" s="1015">
        <f t="shared" ca="1" si="264"/>
        <v>0</v>
      </c>
      <c r="BC106" s="1015">
        <f t="shared" ca="1" si="264"/>
        <v>0</v>
      </c>
      <c r="BD106" s="1015">
        <f t="shared" ca="1" si="264"/>
        <v>0</v>
      </c>
      <c r="BE106" s="1015">
        <f t="shared" ca="1" si="264"/>
        <v>0</v>
      </c>
      <c r="BF106" s="1015">
        <f ca="1">SUM(AM106:BE106)</f>
        <v>-2151.820187814466</v>
      </c>
      <c r="BH106" s="1016">
        <f ca="1">BH$93+BH$99+BH$104</f>
        <v>48.997633140375257</v>
      </c>
      <c r="BI106" s="1016">
        <f ca="1">BI$93+BI$99+BI$104</f>
        <v>54.064107377481136</v>
      </c>
      <c r="BJ106" s="1016">
        <f ca="1">SUM(BH106:BI106)</f>
        <v>103.06174051785639</v>
      </c>
      <c r="BL106" s="518">
        <f t="shared" ca="1" si="253"/>
        <v>0</v>
      </c>
      <c r="BM106" s="518"/>
      <c r="BO106" s="1487">
        <f t="shared" ref="BO106:DE106" ca="1" si="265">BO$93+BO$99+BO$104</f>
        <v>0</v>
      </c>
      <c r="BP106" s="1487">
        <f t="shared" ca="1" si="265"/>
        <v>0</v>
      </c>
      <c r="BQ106" s="1487">
        <f t="shared" ca="1" si="265"/>
        <v>0</v>
      </c>
      <c r="BR106" s="1487">
        <f t="shared" ca="1" si="265"/>
        <v>0</v>
      </c>
      <c r="BS106" s="1487">
        <f t="shared" ca="1" si="265"/>
        <v>0</v>
      </c>
      <c r="BT106" s="1487">
        <f t="shared" ca="1" si="265"/>
        <v>7.704880412843786</v>
      </c>
      <c r="BU106" s="1487">
        <f t="shared" ca="1" si="265"/>
        <v>0</v>
      </c>
      <c r="BV106" s="1487">
        <f t="shared" ca="1" si="265"/>
        <v>0</v>
      </c>
      <c r="BW106" s="1487">
        <f t="shared" ca="1" si="265"/>
        <v>0</v>
      </c>
      <c r="BX106" s="1487">
        <f t="shared" ca="1" si="265"/>
        <v>0</v>
      </c>
      <c r="BY106" s="1487">
        <f t="shared" ca="1" si="265"/>
        <v>0</v>
      </c>
      <c r="BZ106" s="1487">
        <f t="shared" ca="1" si="265"/>
        <v>0</v>
      </c>
      <c r="CA106" s="1487">
        <f t="shared" ca="1" si="265"/>
        <v>0</v>
      </c>
      <c r="CB106" s="1487">
        <f t="shared" ca="1" si="265"/>
        <v>0</v>
      </c>
      <c r="CC106" s="1487">
        <f t="shared" ca="1" si="265"/>
        <v>0</v>
      </c>
      <c r="CD106" s="1487">
        <f t="shared" ca="1" si="265"/>
        <v>0</v>
      </c>
      <c r="CE106" s="1487">
        <f t="shared" ca="1" si="265"/>
        <v>0</v>
      </c>
      <c r="CF106" s="1487">
        <f t="shared" ca="1" si="265"/>
        <v>0</v>
      </c>
      <c r="CG106" s="1487">
        <f t="shared" ca="1" si="265"/>
        <v>0</v>
      </c>
      <c r="CH106" s="1487">
        <f t="shared" ca="1" si="265"/>
        <v>0</v>
      </c>
      <c r="CI106" s="1487">
        <f t="shared" ca="1" si="265"/>
        <v>0</v>
      </c>
      <c r="CJ106" s="1487">
        <f t="shared" ca="1" si="265"/>
        <v>0</v>
      </c>
      <c r="CK106" s="1487">
        <f t="shared" ca="1" si="265"/>
        <v>0</v>
      </c>
      <c r="CL106" s="1487">
        <f t="shared" ca="1" si="265"/>
        <v>0</v>
      </c>
      <c r="CM106" s="1487">
        <f t="shared" ca="1" si="265"/>
        <v>0</v>
      </c>
      <c r="CN106" s="1487">
        <f t="shared" ca="1" si="265"/>
        <v>0</v>
      </c>
      <c r="CO106" s="1487">
        <f t="shared" ca="1" si="265"/>
        <v>0</v>
      </c>
      <c r="CP106" s="1487">
        <f t="shared" ca="1" si="265"/>
        <v>0</v>
      </c>
      <c r="CQ106" s="1487">
        <f t="shared" ca="1" si="265"/>
        <v>0</v>
      </c>
      <c r="CR106" s="1487">
        <f t="shared" ca="1" si="265"/>
        <v>0</v>
      </c>
      <c r="CS106" s="1487">
        <f t="shared" ca="1" si="265"/>
        <v>0</v>
      </c>
      <c r="CT106" s="1487">
        <f t="shared" ca="1" si="265"/>
        <v>0</v>
      </c>
      <c r="CU106" s="1487">
        <f t="shared" ca="1" si="265"/>
        <v>0</v>
      </c>
      <c r="CV106" s="1487">
        <f t="shared" ca="1" si="265"/>
        <v>0</v>
      </c>
      <c r="CW106" s="1487">
        <f t="shared" ca="1" si="265"/>
        <v>0</v>
      </c>
      <c r="CX106" s="1487">
        <f t="shared" ca="1" si="265"/>
        <v>0</v>
      </c>
      <c r="CY106" s="1487">
        <f t="shared" ca="1" si="265"/>
        <v>-45.390052176625488</v>
      </c>
      <c r="CZ106" s="1487">
        <f t="shared" ca="1" si="265"/>
        <v>0</v>
      </c>
      <c r="DA106" s="1487">
        <f t="shared" ca="1" si="265"/>
        <v>0</v>
      </c>
      <c r="DB106" s="1487">
        <f t="shared" ca="1" si="265"/>
        <v>0</v>
      </c>
      <c r="DC106" s="1487">
        <f t="shared" ca="1" si="265"/>
        <v>0</v>
      </c>
      <c r="DD106" s="1487">
        <f t="shared" ca="1" si="265"/>
        <v>0</v>
      </c>
      <c r="DE106" s="1487">
        <f t="shared" ca="1" si="265"/>
        <v>0</v>
      </c>
      <c r="DF106" s="1487">
        <f ca="1">DF$93+DF$104</f>
        <v>0</v>
      </c>
      <c r="DH106" s="835">
        <f ca="1">SUM(BO106:DF106)</f>
        <v>-37.685171763781703</v>
      </c>
    </row>
    <row r="107" spans="1:112" s="743" customFormat="1">
      <c r="C107" s="508"/>
      <c r="D107" s="509"/>
      <c r="E107" s="509"/>
      <c r="G107" s="958"/>
      <c r="H107" s="958"/>
      <c r="I107" s="958"/>
      <c r="J107" s="958"/>
      <c r="K107" s="960"/>
      <c r="L107" s="958"/>
      <c r="M107" s="958"/>
      <c r="N107" s="958"/>
      <c r="O107" s="958"/>
      <c r="P107" s="958"/>
      <c r="Q107" s="958"/>
      <c r="S107" s="970"/>
      <c r="T107" s="970"/>
      <c r="U107" s="970"/>
      <c r="V107" s="970"/>
      <c r="W107" s="970"/>
      <c r="X107" s="970"/>
      <c r="Y107" s="970"/>
      <c r="Z107" s="970"/>
      <c r="AA107" s="970"/>
      <c r="AB107" s="970"/>
      <c r="AC107" s="970"/>
      <c r="AD107" s="970"/>
      <c r="AE107" s="970"/>
      <c r="AF107" s="970"/>
      <c r="AG107" s="970"/>
      <c r="AH107" s="970"/>
      <c r="AI107" s="970"/>
      <c r="AJ107" s="970"/>
      <c r="AK107" s="970"/>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H107" s="990"/>
      <c r="BI107" s="990"/>
      <c r="BJ107" s="990"/>
      <c r="BL107" s="515">
        <f t="shared" si="253"/>
        <v>0</v>
      </c>
      <c r="BM107" s="515"/>
      <c r="BO107" s="1482"/>
      <c r="BP107" s="1482"/>
      <c r="BQ107" s="1482"/>
      <c r="BR107" s="1482"/>
      <c r="BS107" s="1482"/>
      <c r="BT107" s="1482"/>
      <c r="BU107" s="1482"/>
      <c r="BV107" s="1482"/>
      <c r="BW107" s="1482"/>
      <c r="BX107" s="1482"/>
      <c r="BY107" s="1482"/>
      <c r="BZ107" s="1482"/>
      <c r="CA107" s="1482"/>
      <c r="CB107" s="1482"/>
      <c r="CC107" s="1482"/>
      <c r="CD107" s="1482"/>
      <c r="CE107" s="1482"/>
      <c r="CF107" s="1482"/>
      <c r="CG107" s="1482"/>
      <c r="CH107" s="1482"/>
      <c r="CI107" s="1482"/>
      <c r="CJ107" s="1482"/>
      <c r="CK107" s="1482"/>
      <c r="CL107" s="1482"/>
      <c r="CM107" s="1482"/>
      <c r="CN107" s="1482"/>
      <c r="CO107" s="1482"/>
      <c r="CP107" s="1482"/>
      <c r="CQ107" s="1482"/>
      <c r="CR107" s="1482"/>
      <c r="CS107" s="1482"/>
      <c r="CT107" s="1482"/>
      <c r="CU107" s="1482"/>
      <c r="CV107" s="1482"/>
      <c r="CW107" s="1482"/>
      <c r="CX107" s="1482"/>
      <c r="CY107" s="1482"/>
      <c r="CZ107" s="1482"/>
      <c r="DA107" s="1482"/>
      <c r="DB107" s="1482"/>
      <c r="DC107" s="1482"/>
      <c r="DD107" s="1482"/>
      <c r="DE107" s="1482"/>
      <c r="DF107" s="1482"/>
      <c r="DH107" s="838"/>
    </row>
    <row r="108" spans="1:112" s="743" customFormat="1" ht="13.5" thickBot="1">
      <c r="C108" s="508"/>
      <c r="D108" s="509"/>
      <c r="E108" s="509"/>
      <c r="G108" s="958"/>
      <c r="H108" s="958"/>
      <c r="I108" s="958"/>
      <c r="J108" s="958"/>
      <c r="K108" s="960"/>
      <c r="L108" s="958"/>
      <c r="M108" s="958"/>
      <c r="N108" s="958"/>
      <c r="O108" s="958"/>
      <c r="P108" s="958"/>
      <c r="Q108" s="958"/>
      <c r="S108" s="970"/>
      <c r="T108" s="970"/>
      <c r="U108" s="970"/>
      <c r="V108" s="970"/>
      <c r="W108" s="970"/>
      <c r="X108" s="970"/>
      <c r="Y108" s="970"/>
      <c r="Z108" s="970"/>
      <c r="AA108" s="970"/>
      <c r="AB108" s="970"/>
      <c r="AC108" s="970"/>
      <c r="AD108" s="970"/>
      <c r="AE108" s="970"/>
      <c r="AF108" s="970"/>
      <c r="AG108" s="970"/>
      <c r="AH108" s="970"/>
      <c r="AI108" s="970"/>
      <c r="AJ108" s="970"/>
      <c r="AK108" s="970"/>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H108" s="990"/>
      <c r="BI108" s="990"/>
      <c r="BJ108" s="990"/>
      <c r="BL108" s="515">
        <f t="shared" si="253"/>
        <v>0</v>
      </c>
      <c r="BM108" s="515"/>
      <c r="BO108" s="1482"/>
      <c r="BP108" s="1482"/>
      <c r="BQ108" s="1482"/>
      <c r="BR108" s="1482"/>
      <c r="BS108" s="1482"/>
      <c r="BT108" s="1482"/>
      <c r="BU108" s="1482"/>
      <c r="BV108" s="1482"/>
      <c r="BW108" s="1482"/>
      <c r="BX108" s="1482"/>
      <c r="BY108" s="1482"/>
      <c r="BZ108" s="1482"/>
      <c r="CA108" s="1482"/>
      <c r="CB108" s="1482"/>
      <c r="CC108" s="1482"/>
      <c r="CD108" s="1482"/>
      <c r="CE108" s="1482"/>
      <c r="CF108" s="1482"/>
      <c r="CG108" s="1482"/>
      <c r="CH108" s="1482"/>
      <c r="CI108" s="1482"/>
      <c r="CJ108" s="1482"/>
      <c r="CK108" s="1482"/>
      <c r="CL108" s="1482"/>
      <c r="CM108" s="1482"/>
      <c r="CN108" s="1482"/>
      <c r="CO108" s="1482"/>
      <c r="CP108" s="1482"/>
      <c r="CQ108" s="1482"/>
      <c r="CR108" s="1482"/>
      <c r="CS108" s="1482"/>
      <c r="CT108" s="1482"/>
      <c r="CU108" s="1482"/>
      <c r="CV108" s="1482"/>
      <c r="CW108" s="1482"/>
      <c r="CX108" s="1482"/>
      <c r="CY108" s="1482"/>
      <c r="CZ108" s="1482"/>
      <c r="DA108" s="1482"/>
      <c r="DB108" s="1482"/>
      <c r="DC108" s="1482"/>
      <c r="DD108" s="1482"/>
      <c r="DE108" s="1482"/>
      <c r="DF108" s="1482"/>
      <c r="DH108" s="838"/>
    </row>
    <row r="109" spans="1:112" s="743" customFormat="1" ht="24" customHeight="1" thickBot="1">
      <c r="C109" s="608" t="s">
        <v>593</v>
      </c>
      <c r="D109" s="608"/>
      <c r="E109" s="608"/>
      <c r="G109" s="1098">
        <f t="shared" ref="G109:P109" ca="1" si="266">G$40+G$84+G$106</f>
        <v>767.71687249176193</v>
      </c>
      <c r="H109" s="1098">
        <f t="shared" ca="1" si="266"/>
        <v>212.82687278526893</v>
      </c>
      <c r="I109" s="1098">
        <f t="shared" ca="1" si="266"/>
        <v>484.90681918968028</v>
      </c>
      <c r="J109" s="1098">
        <f t="shared" ca="1" si="266"/>
        <v>335.84846871256741</v>
      </c>
      <c r="K109" s="1098">
        <f t="shared" ca="1" si="266"/>
        <v>14.422595081474668</v>
      </c>
      <c r="L109" s="1098">
        <f t="shared" ca="1" si="266"/>
        <v>14.785449092646568</v>
      </c>
      <c r="M109" s="1098">
        <f t="shared" ca="1" si="266"/>
        <v>22.496144870285519</v>
      </c>
      <c r="N109" s="1098">
        <f t="shared" ca="1" si="266"/>
        <v>206.26698515563612</v>
      </c>
      <c r="O109" s="1098">
        <f t="shared" ca="1" si="266"/>
        <v>127.59749264150933</v>
      </c>
      <c r="P109" s="1098">
        <f t="shared" ca="1" si="266"/>
        <v>0</v>
      </c>
      <c r="Q109" s="1098">
        <f ca="1">SUM(G109:P109)</f>
        <v>2186.8677000208304</v>
      </c>
      <c r="S109" s="1099">
        <f t="shared" ref="S109:AJ109" ca="1" si="267">S$40+S$84+S$106</f>
        <v>-450.96633210645444</v>
      </c>
      <c r="T109" s="1099">
        <f t="shared" ca="1" si="267"/>
        <v>450.96633210645444</v>
      </c>
      <c r="U109" s="1099">
        <f t="shared" ca="1" si="267"/>
        <v>0</v>
      </c>
      <c r="V109" s="1099">
        <f t="shared" ca="1" si="267"/>
        <v>0</v>
      </c>
      <c r="W109" s="1099">
        <f t="shared" ca="1" si="267"/>
        <v>0</v>
      </c>
      <c r="X109" s="1099">
        <f t="shared" ca="1" si="267"/>
        <v>0</v>
      </c>
      <c r="Y109" s="1099">
        <f t="shared" ca="1" si="267"/>
        <v>0</v>
      </c>
      <c r="Z109" s="1099">
        <f t="shared" ca="1" si="267"/>
        <v>0</v>
      </c>
      <c r="AA109" s="1099">
        <f t="shared" ca="1" si="267"/>
        <v>0</v>
      </c>
      <c r="AB109" s="1099">
        <f t="shared" ca="1" si="267"/>
        <v>1.7763568394002505E-15</v>
      </c>
      <c r="AC109" s="1099">
        <f t="shared" ca="1" si="267"/>
        <v>0</v>
      </c>
      <c r="AD109" s="1099">
        <f t="shared" ca="1" si="267"/>
        <v>0</v>
      </c>
      <c r="AE109" s="1099">
        <f t="shared" ca="1" si="267"/>
        <v>0</v>
      </c>
      <c r="AF109" s="1099">
        <f t="shared" ca="1" si="267"/>
        <v>0</v>
      </c>
      <c r="AG109" s="1099">
        <f t="shared" ca="1" si="267"/>
        <v>0</v>
      </c>
      <c r="AH109" s="1099">
        <f t="shared" ca="1" si="267"/>
        <v>0</v>
      </c>
      <c r="AI109" s="1099">
        <f t="shared" ca="1" si="267"/>
        <v>0</v>
      </c>
      <c r="AJ109" s="1099">
        <f t="shared" ca="1" si="267"/>
        <v>0</v>
      </c>
      <c r="AK109" s="1099">
        <f ca="1">SUM(S109:AJ109)</f>
        <v>1.7763568394002505E-15</v>
      </c>
      <c r="AM109" s="1100">
        <f t="shared" ref="AM109:BE109" ca="1" si="268">AM$40+AM$84+AM$106</f>
        <v>-124.39544583847987</v>
      </c>
      <c r="AN109" s="1100">
        <f t="shared" ca="1" si="268"/>
        <v>-132.62526993906516</v>
      </c>
      <c r="AO109" s="1100">
        <f t="shared" ca="1" si="268"/>
        <v>-101.5831683077875</v>
      </c>
      <c r="AP109" s="1100">
        <f t="shared" ca="1" si="268"/>
        <v>0</v>
      </c>
      <c r="AQ109" s="1100">
        <f t="shared" ca="1" si="268"/>
        <v>-5.6843418860808015E-14</v>
      </c>
      <c r="AR109" s="1100">
        <f t="shared" ca="1" si="268"/>
        <v>0</v>
      </c>
      <c r="AS109" s="1100">
        <f t="shared" ca="1" si="268"/>
        <v>177.33073051017504</v>
      </c>
      <c r="AT109" s="1100">
        <f t="shared" ca="1" si="268"/>
        <v>-653.42504456252664</v>
      </c>
      <c r="AU109" s="1100">
        <f t="shared" ca="1" si="268"/>
        <v>-1675.7258737621144</v>
      </c>
      <c r="AV109" s="1100">
        <f t="shared" ca="1" si="268"/>
        <v>0</v>
      </c>
      <c r="AW109" s="1100">
        <f t="shared" ca="1" si="268"/>
        <v>0</v>
      </c>
      <c r="AX109" s="1100">
        <f t="shared" ca="1" si="268"/>
        <v>-0.28358010000000045</v>
      </c>
      <c r="AY109" s="1100">
        <f t="shared" ca="1" si="268"/>
        <v>0</v>
      </c>
      <c r="AZ109" s="1100">
        <f t="shared" ca="1" si="268"/>
        <v>0</v>
      </c>
      <c r="BA109" s="1100">
        <f t="shared" ca="1" si="268"/>
        <v>0</v>
      </c>
      <c r="BB109" s="1100">
        <f t="shared" ca="1" si="268"/>
        <v>-5.3297280000000011</v>
      </c>
      <c r="BC109" s="1100">
        <f t="shared" ca="1" si="268"/>
        <v>0</v>
      </c>
      <c r="BD109" s="1100">
        <f t="shared" ca="1" si="268"/>
        <v>-86.257804358832061</v>
      </c>
      <c r="BE109" s="1100">
        <f t="shared" ca="1" si="268"/>
        <v>-241.81427881429309</v>
      </c>
      <c r="BF109" s="1100">
        <f ca="1">SUM(AM109:BE109)</f>
        <v>-2844.1094631729238</v>
      </c>
      <c r="BH109" s="1101">
        <f ca="1">BH$40+BH$84+BH$106</f>
        <v>542.14081029961915</v>
      </c>
      <c r="BI109" s="1101">
        <f ca="1">BI$40+BI$84+BI$106</f>
        <v>115.10095285247354</v>
      </c>
      <c r="BJ109" s="1101">
        <f ca="1">SUM(BH109:BI109)</f>
        <v>657.24176315209274</v>
      </c>
      <c r="BL109" s="514">
        <f t="shared" ca="1" si="253"/>
        <v>0</v>
      </c>
      <c r="BM109" s="514"/>
      <c r="BO109" s="1493">
        <f t="shared" ref="BO109:DF109" ca="1" si="269">BO$40+BO$84+BO$106</f>
        <v>495.61331684058916</v>
      </c>
      <c r="BP109" s="1493">
        <f t="shared" ca="1" si="269"/>
        <v>0.92984564448763707</v>
      </c>
      <c r="BQ109" s="1493">
        <f t="shared" ca="1" si="269"/>
        <v>3.3094115767131993</v>
      </c>
      <c r="BR109" s="1493">
        <f t="shared" ca="1" si="269"/>
        <v>0</v>
      </c>
      <c r="BS109" s="1493">
        <f t="shared" ca="1" si="269"/>
        <v>0.69196821537322806</v>
      </c>
      <c r="BT109" s="1493">
        <f t="shared" ca="1" si="269"/>
        <v>10.345193374095563</v>
      </c>
      <c r="BU109" s="1493">
        <f t="shared" ca="1" si="269"/>
        <v>0</v>
      </c>
      <c r="BV109" s="1493">
        <f t="shared" ca="1" si="269"/>
        <v>0</v>
      </c>
      <c r="BW109" s="1493">
        <f t="shared" ca="1" si="269"/>
        <v>14.595047605826055</v>
      </c>
      <c r="BX109" s="1493">
        <f t="shared" ca="1" si="269"/>
        <v>0.10964411416456435</v>
      </c>
      <c r="BY109" s="1493">
        <f t="shared" ca="1" si="269"/>
        <v>2.7597231230198167</v>
      </c>
      <c r="BZ109" s="1493">
        <f t="shared" ca="1" si="269"/>
        <v>5.1255093746608766</v>
      </c>
      <c r="CA109" s="1493">
        <f t="shared" ca="1" si="269"/>
        <v>0</v>
      </c>
      <c r="CB109" s="1493">
        <f t="shared" ca="1" si="269"/>
        <v>0</v>
      </c>
      <c r="CC109" s="1493">
        <f t="shared" ca="1" si="269"/>
        <v>0</v>
      </c>
      <c r="CD109" s="1493">
        <f t="shared" ca="1" si="269"/>
        <v>0</v>
      </c>
      <c r="CE109" s="1493">
        <f t="shared" ca="1" si="269"/>
        <v>0</v>
      </c>
      <c r="CF109" s="1493">
        <f t="shared" ca="1" si="269"/>
        <v>17.017505669284798</v>
      </c>
      <c r="CG109" s="1493">
        <f t="shared" ca="1" si="269"/>
        <v>20.989247999999979</v>
      </c>
      <c r="CH109" s="1493">
        <f t="shared" ca="1" si="269"/>
        <v>0</v>
      </c>
      <c r="CI109" s="1493">
        <f t="shared" ca="1" si="269"/>
        <v>6.9520980316789114</v>
      </c>
      <c r="CJ109" s="1493">
        <f t="shared" ca="1" si="269"/>
        <v>0</v>
      </c>
      <c r="CK109" s="1493">
        <f t="shared" ca="1" si="269"/>
        <v>0</v>
      </c>
      <c r="CL109" s="1493">
        <f t="shared" ca="1" si="269"/>
        <v>0</v>
      </c>
      <c r="CM109" s="1493">
        <f t="shared" ca="1" si="269"/>
        <v>0</v>
      </c>
      <c r="CN109" s="1493">
        <f t="shared" ca="1" si="269"/>
        <v>22.487907635672475</v>
      </c>
      <c r="CO109" s="1493">
        <f t="shared" ca="1" si="269"/>
        <v>1.5733701984796546</v>
      </c>
      <c r="CP109" s="1493">
        <f t="shared" ca="1" si="269"/>
        <v>0</v>
      </c>
      <c r="CQ109" s="1493">
        <f t="shared" ca="1" si="269"/>
        <v>0</v>
      </c>
      <c r="CR109" s="1493">
        <f t="shared" ca="1" si="269"/>
        <v>0</v>
      </c>
      <c r="CS109" s="1493">
        <f t="shared" ca="1" si="269"/>
        <v>0</v>
      </c>
      <c r="CT109" s="1493">
        <f t="shared" ca="1" si="269"/>
        <v>0</v>
      </c>
      <c r="CU109" s="1493">
        <f t="shared" ca="1" si="269"/>
        <v>83.466119449286367</v>
      </c>
      <c r="CV109" s="1493">
        <f t="shared" ca="1" si="269"/>
        <v>0.10391498921089107</v>
      </c>
      <c r="CW109" s="1493">
        <f t="shared" ca="1" si="269"/>
        <v>1.5017265185361195</v>
      </c>
      <c r="CX109" s="1493">
        <f t="shared" ca="1" si="269"/>
        <v>0</v>
      </c>
      <c r="CY109" s="1493">
        <f t="shared" ca="1" si="269"/>
        <v>-45.390052176625488</v>
      </c>
      <c r="CZ109" s="1493">
        <f t="shared" ca="1" si="269"/>
        <v>0</v>
      </c>
      <c r="DA109" s="1493">
        <f t="shared" ca="1" si="269"/>
        <v>0</v>
      </c>
      <c r="DB109" s="1493">
        <f t="shared" ca="1" si="269"/>
        <v>0</v>
      </c>
      <c r="DC109" s="1493">
        <f t="shared" ca="1" si="269"/>
        <v>-7.6745595901477834</v>
      </c>
      <c r="DD109" s="1493">
        <f t="shared" ca="1" si="269"/>
        <v>0</v>
      </c>
      <c r="DE109" s="1493">
        <f t="shared" ca="1" si="269"/>
        <v>0</v>
      </c>
      <c r="DF109" s="1493">
        <f t="shared" ca="1" si="269"/>
        <v>0</v>
      </c>
      <c r="DH109" s="835">
        <f ca="1">SUM(BO109:DF109)</f>
        <v>634.50693859430612</v>
      </c>
    </row>
    <row r="110" spans="1:112" s="743" customFormat="1">
      <c r="C110" s="508"/>
      <c r="D110" s="509"/>
      <c r="E110" s="509"/>
      <c r="G110" s="995"/>
      <c r="H110" s="995"/>
      <c r="I110" s="995"/>
      <c r="J110" s="995"/>
      <c r="K110" s="996"/>
      <c r="L110" s="995"/>
      <c r="M110" s="995"/>
      <c r="N110" s="995"/>
      <c r="O110" s="995"/>
      <c r="P110" s="995"/>
      <c r="Q110" s="995"/>
      <c r="S110" s="998"/>
      <c r="T110" s="998"/>
      <c r="U110" s="998"/>
      <c r="V110" s="998"/>
      <c r="W110" s="998"/>
      <c r="X110" s="998"/>
      <c r="Y110" s="998"/>
      <c r="Z110" s="998"/>
      <c r="AA110" s="998"/>
      <c r="AB110" s="998"/>
      <c r="AC110" s="998"/>
      <c r="AD110" s="998"/>
      <c r="AE110" s="998"/>
      <c r="AF110" s="998"/>
      <c r="AG110" s="998"/>
      <c r="AH110" s="998"/>
      <c r="AI110" s="998"/>
      <c r="AJ110" s="998"/>
      <c r="AK110" s="998"/>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H110" s="1002"/>
      <c r="BI110" s="1002"/>
      <c r="BJ110" s="1002"/>
      <c r="BL110" s="515"/>
      <c r="BM110" s="515"/>
      <c r="BO110" s="1494"/>
      <c r="BP110" s="1494"/>
      <c r="BQ110" s="1494"/>
      <c r="BR110" s="1494"/>
      <c r="BS110" s="1494"/>
      <c r="BT110" s="1494"/>
      <c r="BU110" s="1494"/>
      <c r="BV110" s="1494"/>
      <c r="BW110" s="1494"/>
      <c r="BX110" s="1494"/>
      <c r="BY110" s="1494"/>
      <c r="BZ110" s="1494"/>
      <c r="CA110" s="1494"/>
      <c r="CB110" s="1494"/>
      <c r="CC110" s="1494"/>
      <c r="CD110" s="1494"/>
      <c r="CE110" s="1494"/>
      <c r="CF110" s="1494"/>
      <c r="CG110" s="1494"/>
      <c r="CH110" s="1494"/>
      <c r="CI110" s="1494"/>
      <c r="CJ110" s="1494"/>
      <c r="CK110" s="1494"/>
      <c r="CL110" s="1494"/>
      <c r="CM110" s="1494"/>
      <c r="CN110" s="1494"/>
      <c r="CO110" s="1494"/>
      <c r="CP110" s="1494"/>
      <c r="CQ110" s="1494"/>
      <c r="CR110" s="1494"/>
      <c r="CS110" s="1494"/>
      <c r="CT110" s="1494"/>
      <c r="CU110" s="1494"/>
      <c r="CV110" s="1494"/>
      <c r="CW110" s="1494"/>
      <c r="CX110" s="1494"/>
      <c r="CY110" s="1494"/>
      <c r="CZ110" s="1494"/>
      <c r="DA110" s="1494"/>
      <c r="DB110" s="1494"/>
      <c r="DC110" s="1494"/>
      <c r="DD110" s="1494"/>
      <c r="DE110" s="1494"/>
      <c r="DF110" s="1494"/>
    </row>
    <row r="111" spans="1:112">
      <c r="G111" s="515"/>
      <c r="H111" s="515"/>
      <c r="I111" s="515"/>
      <c r="J111" s="515"/>
      <c r="K111" s="519"/>
      <c r="L111" s="515"/>
      <c r="M111" s="515"/>
      <c r="N111" s="515"/>
      <c r="O111" s="515"/>
      <c r="P111" s="515"/>
      <c r="Q111" s="515"/>
      <c r="S111" s="515"/>
      <c r="T111" s="515"/>
      <c r="U111" s="515"/>
      <c r="V111" s="515"/>
      <c r="W111" s="515"/>
      <c r="X111" s="515"/>
      <c r="Y111" s="515"/>
      <c r="Z111" s="515"/>
      <c r="AA111" s="515"/>
      <c r="AB111" s="515"/>
      <c r="AC111" s="515"/>
      <c r="AD111" s="515"/>
      <c r="AE111" s="515"/>
      <c r="AF111" s="515"/>
      <c r="AG111" s="515"/>
      <c r="AH111" s="515"/>
      <c r="AI111" s="515"/>
      <c r="AJ111" s="515"/>
      <c r="AK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H111" s="515"/>
      <c r="BI111" s="515"/>
      <c r="BJ111" s="515"/>
      <c r="BL111" s="515"/>
      <c r="BM111" s="515"/>
    </row>
    <row r="112" spans="1:112">
      <c r="G112" s="515"/>
      <c r="H112" s="515"/>
      <c r="I112" s="515"/>
      <c r="J112" s="515"/>
      <c r="K112" s="519"/>
      <c r="L112" s="515"/>
      <c r="M112" s="515"/>
      <c r="N112" s="515"/>
      <c r="O112" s="515"/>
      <c r="P112" s="515"/>
      <c r="Q112" s="515"/>
      <c r="S112" s="515"/>
      <c r="T112" s="515"/>
      <c r="U112" s="515"/>
      <c r="V112" s="515"/>
      <c r="W112" s="515"/>
      <c r="X112" s="515"/>
      <c r="Y112" s="515"/>
      <c r="Z112" s="515"/>
      <c r="AA112" s="515"/>
      <c r="AB112" s="515"/>
      <c r="AC112" s="515"/>
      <c r="AD112" s="515"/>
      <c r="AE112" s="515"/>
      <c r="AF112" s="515"/>
      <c r="AG112" s="515"/>
      <c r="AH112" s="515"/>
      <c r="AI112" s="515"/>
      <c r="AJ112" s="515"/>
      <c r="AK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H112" s="515"/>
      <c r="BI112" s="515"/>
      <c r="BJ112" s="515"/>
      <c r="BL112" s="515"/>
      <c r="BM112" s="515"/>
      <c r="DF112" s="20" t="s">
        <v>2428</v>
      </c>
      <c r="DH112" s="2293">
        <f ca="1">SUM(DH63,DH68,DH76,DH82)</f>
        <v>182.21406594354022</v>
      </c>
    </row>
    <row r="113" spans="2:112">
      <c r="B113" s="121" t="s">
        <v>798</v>
      </c>
      <c r="C113" s="1095" t="s">
        <v>1017</v>
      </c>
      <c r="G113" s="515"/>
      <c r="H113" s="515"/>
      <c r="I113" s="515"/>
      <c r="J113" s="515"/>
      <c r="K113" s="519"/>
      <c r="L113" s="515"/>
      <c r="M113" s="515"/>
      <c r="N113" s="515"/>
      <c r="O113" s="515"/>
      <c r="P113" s="515"/>
      <c r="Q113" s="515"/>
      <c r="S113" s="515"/>
      <c r="T113" s="515"/>
      <c r="U113" s="515"/>
      <c r="V113" s="515"/>
      <c r="W113" s="515"/>
      <c r="X113" s="515"/>
      <c r="Y113" s="515"/>
      <c r="Z113" s="515"/>
      <c r="AA113" s="515"/>
      <c r="AB113" s="515"/>
      <c r="AC113" s="515"/>
      <c r="AD113" s="515"/>
      <c r="AE113" s="515"/>
      <c r="AF113" s="515"/>
      <c r="AG113" s="515"/>
      <c r="AH113" s="515"/>
      <c r="AI113" s="515"/>
      <c r="AJ113" s="515"/>
      <c r="AK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H113" s="515"/>
      <c r="BI113" s="515"/>
      <c r="BJ113" s="515"/>
      <c r="BL113" s="515"/>
      <c r="BM113" s="515"/>
      <c r="DF113" s="20" t="s">
        <v>2429</v>
      </c>
      <c r="DH113" s="2293">
        <f ca="1">T109-MIN(T103,0)-T72</f>
        <v>452.34887549245622</v>
      </c>
    </row>
    <row r="114" spans="2:112" ht="15.75">
      <c r="B114" s="3"/>
      <c r="G114" s="515"/>
      <c r="H114" s="515"/>
      <c r="I114" s="515"/>
      <c r="J114" s="515"/>
      <c r="K114" s="519"/>
      <c r="L114" s="515"/>
      <c r="M114" s="515"/>
      <c r="N114" s="515"/>
      <c r="O114" s="515"/>
      <c r="P114" s="515"/>
      <c r="Q114" s="515"/>
      <c r="S114" s="515"/>
      <c r="T114" s="515"/>
      <c r="U114" s="515"/>
      <c r="V114" s="515"/>
      <c r="W114" s="515"/>
      <c r="X114" s="515"/>
      <c r="Y114" s="515"/>
      <c r="Z114" s="515"/>
      <c r="AA114" s="515"/>
      <c r="AB114" s="515"/>
      <c r="AC114" s="515"/>
      <c r="AD114" s="515"/>
      <c r="AE114" s="515"/>
      <c r="AF114" s="515"/>
      <c r="AG114" s="515"/>
      <c r="AH114" s="515"/>
      <c r="AI114" s="515"/>
      <c r="AJ114" s="515"/>
      <c r="AK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H114" s="515"/>
      <c r="BI114" s="515"/>
      <c r="BJ114" s="515"/>
      <c r="BL114" s="515"/>
      <c r="BM114" s="515"/>
      <c r="DF114" s="20" t="s">
        <v>2430</v>
      </c>
      <c r="DH114" s="121">
        <f ca="1">DH112/DH113</f>
        <v>0.40281755038115263</v>
      </c>
    </row>
    <row r="115" spans="2:112">
      <c r="G115" s="515"/>
      <c r="H115" s="515"/>
      <c r="I115" s="515"/>
      <c r="J115" s="515"/>
      <c r="K115" s="519"/>
      <c r="L115" s="515"/>
      <c r="M115" s="515"/>
      <c r="N115" s="515"/>
      <c r="O115" s="515"/>
      <c r="P115" s="515"/>
      <c r="Q115" s="515"/>
      <c r="S115" s="515"/>
      <c r="T115" s="515"/>
      <c r="U115" s="515"/>
      <c r="V115" s="515"/>
      <c r="W115" s="515"/>
      <c r="X115" s="515"/>
      <c r="Y115" s="515"/>
      <c r="Z115" s="515"/>
      <c r="AA115" s="515"/>
      <c r="AB115" s="515"/>
      <c r="AC115" s="515"/>
      <c r="AD115" s="515"/>
      <c r="AE115" s="515"/>
      <c r="AF115" s="515"/>
      <c r="AG115" s="515"/>
      <c r="AH115" s="515"/>
      <c r="AI115" s="515"/>
      <c r="AJ115" s="515"/>
      <c r="AK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H115" s="515"/>
      <c r="BI115" s="515"/>
      <c r="BJ115" s="515"/>
      <c r="BL115" s="515"/>
      <c r="BM115" s="515"/>
    </row>
    <row r="116" spans="2:112" ht="15.75">
      <c r="B116" s="3"/>
      <c r="G116" s="515"/>
      <c r="H116" s="515"/>
      <c r="I116" s="515"/>
      <c r="J116" s="515"/>
      <c r="K116" s="519"/>
      <c r="L116" s="515"/>
      <c r="M116" s="515"/>
      <c r="N116" s="515"/>
      <c r="O116" s="515"/>
      <c r="P116" s="515"/>
      <c r="Q116" s="515"/>
      <c r="S116" s="515"/>
      <c r="T116" s="515"/>
      <c r="U116" s="515"/>
      <c r="V116" s="515"/>
      <c r="W116" s="515"/>
      <c r="X116" s="515"/>
      <c r="Y116" s="515"/>
      <c r="Z116" s="515"/>
      <c r="AA116" s="515"/>
      <c r="AB116" s="515"/>
      <c r="AC116" s="515"/>
      <c r="AD116" s="515"/>
      <c r="AE116" s="515"/>
      <c r="AF116" s="515"/>
      <c r="AG116" s="515"/>
      <c r="AH116" s="515"/>
      <c r="AI116" s="515"/>
      <c r="AJ116" s="515"/>
      <c r="AK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H116" s="515"/>
      <c r="BI116" s="515"/>
      <c r="BJ116" s="515"/>
      <c r="BL116" s="515"/>
      <c r="BM116" s="515"/>
    </row>
    <row r="117" spans="2:112" ht="15.75">
      <c r="B117" s="3"/>
      <c r="G117" s="515"/>
      <c r="H117" s="515"/>
      <c r="I117" s="515"/>
      <c r="J117" s="515"/>
      <c r="K117" s="519"/>
      <c r="L117" s="515"/>
      <c r="M117" s="515"/>
      <c r="N117" s="515"/>
      <c r="O117" s="515"/>
      <c r="P117" s="515"/>
      <c r="Q117" s="515"/>
      <c r="S117" s="515"/>
      <c r="T117" s="515"/>
      <c r="U117" s="515"/>
      <c r="V117" s="515"/>
      <c r="W117" s="515"/>
      <c r="X117" s="515"/>
      <c r="Y117" s="515"/>
      <c r="Z117" s="515"/>
      <c r="AA117" s="515"/>
      <c r="AB117" s="515"/>
      <c r="AC117" s="515"/>
      <c r="AD117" s="515"/>
      <c r="AE117" s="515"/>
      <c r="AF117" s="515"/>
      <c r="AG117" s="515"/>
      <c r="AH117" s="515"/>
      <c r="AI117" s="515"/>
      <c r="AJ117" s="515"/>
      <c r="AK117" s="515"/>
      <c r="AM117" s="515"/>
      <c r="AN117" s="515"/>
      <c r="AO117" s="515"/>
      <c r="AP117" s="515"/>
      <c r="AQ117" s="515"/>
      <c r="AR117" s="515"/>
      <c r="AS117" s="515"/>
      <c r="AT117" s="515"/>
      <c r="AU117" s="515"/>
      <c r="AV117" s="515"/>
      <c r="AW117" s="515"/>
      <c r="AX117" s="515"/>
      <c r="AY117" s="515"/>
      <c r="AZ117" s="515"/>
      <c r="BA117" s="515"/>
      <c r="BB117" s="515"/>
      <c r="BC117" s="515"/>
      <c r="BD117" s="515"/>
      <c r="BE117" s="515"/>
      <c r="BF117" s="515"/>
      <c r="BH117" s="515"/>
      <c r="BI117" s="515"/>
      <c r="BJ117" s="515"/>
      <c r="BL117" s="515"/>
      <c r="BM117" s="515"/>
    </row>
    <row r="118" spans="2:112" ht="15.75">
      <c r="B118" s="3"/>
      <c r="G118" s="515"/>
      <c r="H118" s="515"/>
      <c r="I118" s="515"/>
      <c r="J118" s="515"/>
      <c r="K118" s="519"/>
      <c r="L118" s="515"/>
      <c r="M118" s="515"/>
      <c r="N118" s="515"/>
      <c r="O118" s="515"/>
      <c r="P118" s="515"/>
      <c r="Q118" s="515"/>
      <c r="S118" s="515"/>
      <c r="T118" s="515"/>
      <c r="U118" s="515"/>
      <c r="V118" s="515"/>
      <c r="W118" s="515"/>
      <c r="X118" s="515"/>
      <c r="Y118" s="515"/>
      <c r="Z118" s="515"/>
      <c r="AA118" s="515"/>
      <c r="AB118" s="515"/>
      <c r="AC118" s="515"/>
      <c r="AD118" s="515"/>
      <c r="AE118" s="515"/>
      <c r="AF118" s="515"/>
      <c r="AG118" s="515"/>
      <c r="AH118" s="515"/>
      <c r="AI118" s="515"/>
      <c r="AJ118" s="515"/>
      <c r="AK118" s="515"/>
      <c r="AM118" s="515"/>
      <c r="AN118" s="515"/>
      <c r="AO118" s="515"/>
      <c r="AP118" s="515"/>
      <c r="AQ118" s="515"/>
      <c r="AR118" s="515"/>
      <c r="AS118" s="515"/>
      <c r="AT118" s="515"/>
      <c r="AU118" s="515"/>
      <c r="AV118" s="515"/>
      <c r="AW118" s="515"/>
      <c r="AX118" s="515"/>
      <c r="AY118" s="515"/>
      <c r="AZ118" s="515"/>
      <c r="BA118" s="515"/>
      <c r="BB118" s="515"/>
      <c r="BC118" s="515"/>
      <c r="BD118" s="515"/>
      <c r="BE118" s="515"/>
      <c r="BF118" s="515"/>
      <c r="BH118" s="515"/>
      <c r="BI118" s="515"/>
      <c r="BJ118" s="515"/>
      <c r="BL118" s="515"/>
      <c r="BM118" s="515"/>
    </row>
    <row r="119" spans="2:112" ht="15.75">
      <c r="B119" s="3"/>
      <c r="G119" s="515"/>
      <c r="H119" s="515"/>
      <c r="I119" s="515"/>
      <c r="J119" s="515"/>
      <c r="K119" s="519"/>
      <c r="L119" s="515"/>
      <c r="M119" s="515"/>
      <c r="N119" s="515"/>
      <c r="O119" s="515"/>
      <c r="P119" s="515"/>
      <c r="Q119" s="515"/>
      <c r="S119" s="515"/>
      <c r="T119" s="515"/>
      <c r="U119" s="515"/>
      <c r="V119" s="515"/>
      <c r="W119" s="515"/>
      <c r="X119" s="515"/>
      <c r="Y119" s="515"/>
      <c r="Z119" s="515"/>
      <c r="AA119" s="515"/>
      <c r="AB119" s="515"/>
      <c r="AC119" s="515"/>
      <c r="AD119" s="515"/>
      <c r="AE119" s="515"/>
      <c r="AF119" s="515"/>
      <c r="AG119" s="515"/>
      <c r="AH119" s="515"/>
      <c r="AI119" s="515"/>
      <c r="AJ119" s="515"/>
      <c r="AK119" s="515"/>
      <c r="AM119" s="515"/>
      <c r="AN119" s="515"/>
      <c r="AO119" s="515"/>
      <c r="AP119" s="515"/>
      <c r="AQ119" s="515"/>
      <c r="AR119" s="515"/>
      <c r="AS119" s="515"/>
      <c r="AT119" s="515"/>
      <c r="AU119" s="515"/>
      <c r="AV119" s="515"/>
      <c r="AW119" s="515"/>
      <c r="AX119" s="515"/>
      <c r="AY119" s="515"/>
      <c r="AZ119" s="515"/>
      <c r="BA119" s="515"/>
      <c r="BB119" s="515"/>
      <c r="BC119" s="515"/>
      <c r="BD119" s="515"/>
      <c r="BE119" s="515"/>
      <c r="BF119" s="515"/>
      <c r="BH119" s="515"/>
      <c r="BI119" s="515"/>
      <c r="BJ119" s="515"/>
      <c r="BL119" s="515"/>
      <c r="BM119" s="515"/>
    </row>
    <row r="120" spans="2:112" ht="15.75">
      <c r="B120" s="3"/>
      <c r="G120" s="515"/>
      <c r="H120" s="515"/>
      <c r="I120" s="515"/>
      <c r="J120" s="515"/>
      <c r="K120" s="519"/>
      <c r="L120" s="515"/>
      <c r="M120" s="515"/>
      <c r="N120" s="515"/>
      <c r="O120" s="515"/>
      <c r="P120" s="515"/>
      <c r="Q120" s="515"/>
      <c r="S120" s="515"/>
      <c r="T120" s="515"/>
      <c r="U120" s="515"/>
      <c r="V120" s="515"/>
      <c r="W120" s="515"/>
      <c r="X120" s="515"/>
      <c r="Y120" s="515"/>
      <c r="Z120" s="515"/>
      <c r="AA120" s="515"/>
      <c r="AB120" s="515"/>
      <c r="AC120" s="515"/>
      <c r="AD120" s="515"/>
      <c r="AE120" s="515"/>
      <c r="AF120" s="515"/>
      <c r="AG120" s="515"/>
      <c r="AH120" s="515"/>
      <c r="AI120" s="515"/>
      <c r="AJ120" s="515"/>
      <c r="AK120" s="515"/>
      <c r="AM120" s="515"/>
      <c r="AN120" s="515"/>
      <c r="AO120" s="515"/>
      <c r="AP120" s="515"/>
      <c r="AQ120" s="515"/>
      <c r="AR120" s="515"/>
      <c r="AS120" s="515"/>
      <c r="AT120" s="515"/>
      <c r="AU120" s="515"/>
      <c r="AV120" s="515"/>
      <c r="AW120" s="515"/>
      <c r="AX120" s="515"/>
      <c r="AY120" s="515"/>
      <c r="AZ120" s="515"/>
      <c r="BA120" s="515"/>
      <c r="BB120" s="515"/>
      <c r="BC120" s="515"/>
      <c r="BD120" s="515"/>
      <c r="BE120" s="515"/>
      <c r="BF120" s="515"/>
      <c r="BH120" s="515"/>
      <c r="BI120" s="515"/>
      <c r="BJ120" s="515"/>
      <c r="BL120" s="515"/>
      <c r="BM120" s="515"/>
    </row>
    <row r="121" spans="2:112" ht="15.75">
      <c r="B121" s="3"/>
      <c r="G121" s="515"/>
      <c r="H121" s="515"/>
      <c r="I121" s="515"/>
      <c r="J121" s="515"/>
      <c r="K121" s="519"/>
      <c r="L121" s="515"/>
      <c r="M121" s="515"/>
      <c r="N121" s="515"/>
      <c r="O121" s="515"/>
      <c r="P121" s="515"/>
      <c r="Q121" s="515"/>
      <c r="S121" s="515"/>
      <c r="T121" s="515"/>
      <c r="U121" s="515"/>
      <c r="V121" s="515"/>
      <c r="W121" s="515"/>
      <c r="X121" s="515"/>
      <c r="Y121" s="515"/>
      <c r="Z121" s="515"/>
      <c r="AA121" s="515"/>
      <c r="AB121" s="515"/>
      <c r="AC121" s="515"/>
      <c r="AD121" s="515"/>
      <c r="AE121" s="515"/>
      <c r="AF121" s="515"/>
      <c r="AG121" s="515"/>
      <c r="AH121" s="515"/>
      <c r="AI121" s="515"/>
      <c r="AJ121" s="515"/>
      <c r="AK121" s="515"/>
      <c r="AM121" s="515"/>
      <c r="AN121" s="515"/>
      <c r="AO121" s="515"/>
      <c r="AP121" s="515"/>
      <c r="AQ121" s="515"/>
      <c r="AR121" s="515"/>
      <c r="AS121" s="515"/>
      <c r="AT121" s="515"/>
      <c r="AU121" s="515"/>
      <c r="AV121" s="515"/>
      <c r="AW121" s="515"/>
      <c r="AX121" s="515"/>
      <c r="AY121" s="515"/>
      <c r="AZ121" s="515"/>
      <c r="BA121" s="515"/>
      <c r="BB121" s="515"/>
      <c r="BC121" s="515"/>
      <c r="BD121" s="515"/>
      <c r="BE121" s="515"/>
      <c r="BF121" s="515"/>
      <c r="BH121" s="515"/>
      <c r="BI121" s="515"/>
      <c r="BJ121" s="515"/>
      <c r="BL121" s="515"/>
      <c r="BM121" s="515"/>
    </row>
    <row r="122" spans="2:112">
      <c r="G122" s="515"/>
      <c r="H122" s="515"/>
      <c r="I122" s="515"/>
      <c r="J122" s="515"/>
      <c r="K122" s="519"/>
      <c r="L122" s="515"/>
      <c r="M122" s="515"/>
      <c r="N122" s="515"/>
      <c r="O122" s="515"/>
      <c r="P122" s="515"/>
      <c r="Q122" s="515"/>
      <c r="S122" s="515"/>
      <c r="T122" s="515"/>
      <c r="U122" s="515"/>
      <c r="V122" s="515"/>
      <c r="W122" s="515"/>
      <c r="X122" s="515"/>
      <c r="Y122" s="515"/>
      <c r="Z122" s="515"/>
      <c r="AA122" s="515"/>
      <c r="AB122" s="515"/>
      <c r="AC122" s="515"/>
      <c r="AD122" s="515"/>
      <c r="AE122" s="515"/>
      <c r="AF122" s="515"/>
      <c r="AG122" s="515"/>
      <c r="AH122" s="515"/>
      <c r="AI122" s="515"/>
      <c r="AJ122" s="515"/>
      <c r="AK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H122" s="515"/>
      <c r="BI122" s="515"/>
      <c r="BJ122" s="515"/>
      <c r="BL122" s="515"/>
      <c r="BM122" s="515"/>
    </row>
    <row r="123" spans="2:112" ht="24" customHeight="1">
      <c r="G123" s="515"/>
      <c r="H123" s="515"/>
      <c r="I123" s="515"/>
      <c r="J123" s="515"/>
      <c r="K123" s="519"/>
      <c r="L123" s="515"/>
      <c r="M123" s="515"/>
      <c r="N123" s="515"/>
      <c r="O123" s="515"/>
      <c r="P123" s="515"/>
      <c r="Q123" s="515"/>
      <c r="S123" s="515"/>
      <c r="T123" s="515"/>
      <c r="U123" s="515"/>
      <c r="V123" s="515"/>
      <c r="W123" s="515"/>
      <c r="X123" s="515"/>
      <c r="Y123" s="515"/>
      <c r="Z123" s="515"/>
      <c r="AA123" s="515"/>
      <c r="AB123" s="515"/>
      <c r="AC123" s="515"/>
      <c r="AD123" s="515"/>
      <c r="AE123" s="515"/>
      <c r="AF123" s="515"/>
      <c r="AG123" s="515"/>
      <c r="AH123" s="515"/>
      <c r="AI123" s="515"/>
      <c r="AJ123" s="515"/>
      <c r="AK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H123" s="515"/>
      <c r="BI123" s="515"/>
      <c r="BJ123" s="515"/>
      <c r="BL123" s="515"/>
      <c r="BM123" s="515"/>
    </row>
    <row r="124" spans="2:112">
      <c r="G124" s="515"/>
      <c r="H124" s="515"/>
      <c r="I124" s="515"/>
      <c r="J124" s="515"/>
      <c r="K124" s="519"/>
      <c r="L124" s="515"/>
      <c r="M124" s="515"/>
      <c r="N124" s="515"/>
      <c r="O124" s="515"/>
      <c r="P124" s="515"/>
      <c r="Q124" s="515"/>
      <c r="S124" s="515"/>
      <c r="T124" s="515"/>
      <c r="U124" s="515"/>
      <c r="V124" s="515"/>
      <c r="W124" s="515"/>
      <c r="X124" s="515"/>
      <c r="Y124" s="515"/>
      <c r="Z124" s="515"/>
      <c r="AA124" s="515"/>
      <c r="AB124" s="515"/>
      <c r="AC124" s="515"/>
      <c r="AD124" s="515"/>
      <c r="AE124" s="515"/>
      <c r="AF124" s="515"/>
      <c r="AG124" s="515"/>
      <c r="AH124" s="515"/>
      <c r="AI124" s="515"/>
      <c r="AJ124" s="515"/>
      <c r="AK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H124" s="515"/>
      <c r="BI124" s="515"/>
      <c r="BJ124" s="515"/>
      <c r="BL124" s="515"/>
      <c r="BM124" s="515"/>
    </row>
    <row r="125" spans="2:112">
      <c r="C125" s="520"/>
      <c r="D125" s="38"/>
      <c r="G125" s="515"/>
      <c r="H125" s="515"/>
      <c r="I125" s="515"/>
      <c r="J125" s="515"/>
      <c r="K125" s="519"/>
      <c r="L125" s="515"/>
      <c r="M125" s="515"/>
      <c r="N125" s="515"/>
      <c r="O125" s="515"/>
      <c r="P125" s="515"/>
      <c r="Q125" s="515"/>
      <c r="S125" s="515"/>
      <c r="T125" s="515"/>
      <c r="U125" s="515"/>
      <c r="V125" s="515"/>
      <c r="W125" s="515"/>
      <c r="X125" s="515"/>
      <c r="Y125" s="515"/>
      <c r="Z125" s="515"/>
      <c r="AA125" s="515"/>
      <c r="AB125" s="515"/>
      <c r="AC125" s="515"/>
      <c r="AD125" s="515"/>
      <c r="AE125" s="515"/>
      <c r="AF125" s="515"/>
      <c r="AG125" s="515"/>
      <c r="AH125" s="515"/>
      <c r="AI125" s="515"/>
      <c r="AJ125" s="515"/>
      <c r="AK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H125" s="515"/>
      <c r="BI125" s="515"/>
      <c r="BJ125" s="515"/>
      <c r="BL125" s="515"/>
      <c r="BM125" s="515"/>
    </row>
    <row r="126" spans="2:112">
      <c r="G126" s="515"/>
      <c r="H126" s="515"/>
      <c r="I126" s="515"/>
      <c r="J126" s="515"/>
      <c r="K126" s="519"/>
      <c r="L126" s="515"/>
      <c r="M126" s="515"/>
      <c r="N126" s="515"/>
      <c r="O126" s="515"/>
      <c r="P126" s="515"/>
      <c r="Q126" s="515"/>
      <c r="S126" s="515"/>
      <c r="T126" s="515"/>
      <c r="U126" s="515"/>
      <c r="V126" s="515"/>
      <c r="W126" s="515"/>
      <c r="X126" s="515"/>
      <c r="Y126" s="515"/>
      <c r="Z126" s="515"/>
      <c r="AA126" s="515"/>
      <c r="AB126" s="515"/>
      <c r="AC126" s="515"/>
      <c r="AD126" s="515"/>
      <c r="AE126" s="515"/>
      <c r="AF126" s="515"/>
      <c r="AG126" s="515"/>
      <c r="AH126" s="515"/>
      <c r="AI126" s="515"/>
      <c r="AJ126" s="515"/>
      <c r="AK126" s="515"/>
      <c r="AM126" s="515"/>
      <c r="AN126" s="515"/>
      <c r="AO126" s="515"/>
      <c r="AP126" s="515"/>
      <c r="AQ126" s="515"/>
      <c r="AR126" s="515"/>
      <c r="AS126" s="515"/>
      <c r="AT126" s="515"/>
      <c r="AU126" s="515"/>
      <c r="AV126" s="515"/>
      <c r="AW126" s="515"/>
      <c r="AX126" s="515"/>
      <c r="AY126" s="515"/>
      <c r="AZ126" s="515"/>
      <c r="BA126" s="515"/>
      <c r="BB126" s="515"/>
      <c r="BC126" s="515"/>
      <c r="BD126" s="515"/>
      <c r="BE126" s="515"/>
      <c r="BF126" s="515"/>
      <c r="BH126" s="515"/>
      <c r="BI126" s="515"/>
      <c r="BJ126" s="515"/>
      <c r="BL126" s="515"/>
      <c r="BM126" s="515"/>
    </row>
    <row r="127" spans="2:112">
      <c r="G127" s="515"/>
      <c r="H127" s="515"/>
      <c r="I127" s="515"/>
      <c r="J127" s="515"/>
      <c r="K127" s="519"/>
      <c r="L127" s="515"/>
      <c r="M127" s="515"/>
      <c r="N127" s="515"/>
      <c r="O127" s="515"/>
      <c r="P127" s="515"/>
      <c r="Q127" s="515"/>
      <c r="S127" s="515"/>
      <c r="T127" s="515"/>
      <c r="U127" s="515"/>
      <c r="V127" s="515"/>
      <c r="W127" s="515"/>
      <c r="X127" s="515"/>
      <c r="Y127" s="515"/>
      <c r="Z127" s="515"/>
      <c r="AA127" s="515"/>
      <c r="AB127" s="515"/>
      <c r="AC127" s="515"/>
      <c r="AD127" s="515"/>
      <c r="AE127" s="515"/>
      <c r="AF127" s="515"/>
      <c r="AG127" s="515"/>
      <c r="AH127" s="515"/>
      <c r="AI127" s="515"/>
      <c r="AJ127" s="515"/>
      <c r="AK127" s="515"/>
      <c r="AM127" s="515"/>
      <c r="AN127" s="515"/>
      <c r="AO127" s="515"/>
      <c r="AP127" s="515"/>
      <c r="AQ127" s="515"/>
      <c r="AR127" s="515"/>
      <c r="AS127" s="515"/>
      <c r="AT127" s="515"/>
      <c r="AU127" s="515"/>
      <c r="AV127" s="515"/>
      <c r="AW127" s="515"/>
      <c r="AX127" s="515"/>
      <c r="AY127" s="515"/>
      <c r="AZ127" s="515"/>
      <c r="BA127" s="515"/>
      <c r="BB127" s="515"/>
      <c r="BC127" s="515"/>
      <c r="BD127" s="515"/>
      <c r="BE127" s="515"/>
      <c r="BF127" s="515"/>
      <c r="BH127" s="515"/>
      <c r="BI127" s="515"/>
      <c r="BJ127" s="515"/>
      <c r="BL127" s="515"/>
      <c r="BM127" s="515"/>
    </row>
    <row r="128" spans="2:112">
      <c r="G128" s="515"/>
      <c r="H128" s="515"/>
      <c r="I128" s="515"/>
      <c r="J128" s="515"/>
      <c r="K128" s="519"/>
      <c r="L128" s="515"/>
      <c r="M128" s="515"/>
      <c r="N128" s="515"/>
      <c r="O128" s="515"/>
      <c r="P128" s="515"/>
      <c r="Q128" s="515"/>
      <c r="S128" s="515"/>
      <c r="T128" s="515"/>
      <c r="U128" s="515"/>
      <c r="V128" s="515"/>
      <c r="W128" s="515"/>
      <c r="X128" s="515"/>
      <c r="Y128" s="515"/>
      <c r="Z128" s="515"/>
      <c r="AA128" s="515"/>
      <c r="AB128" s="515"/>
      <c r="AC128" s="515"/>
      <c r="AD128" s="515"/>
      <c r="AE128" s="515"/>
      <c r="AF128" s="515"/>
      <c r="AG128" s="515"/>
      <c r="AH128" s="515"/>
      <c r="AI128" s="515"/>
      <c r="AJ128" s="515"/>
      <c r="AK128" s="515"/>
      <c r="AM128" s="515"/>
      <c r="AN128" s="515"/>
      <c r="AO128" s="515"/>
      <c r="AP128" s="515"/>
      <c r="AQ128" s="515"/>
      <c r="AR128" s="515"/>
      <c r="AS128" s="515"/>
      <c r="AT128" s="515"/>
      <c r="AU128" s="515"/>
      <c r="AV128" s="515"/>
      <c r="AW128" s="515"/>
      <c r="AX128" s="515"/>
      <c r="AY128" s="515"/>
      <c r="AZ128" s="515"/>
      <c r="BA128" s="515"/>
      <c r="BB128" s="515"/>
      <c r="BC128" s="515"/>
      <c r="BD128" s="515"/>
      <c r="BE128" s="515"/>
      <c r="BF128" s="515"/>
      <c r="BH128" s="515"/>
      <c r="BI128" s="515"/>
      <c r="BJ128" s="515"/>
      <c r="BL128" s="515"/>
      <c r="BM128" s="515"/>
    </row>
    <row r="129" spans="7:65">
      <c r="G129" s="515"/>
      <c r="H129" s="515"/>
      <c r="I129" s="515"/>
      <c r="J129" s="515"/>
      <c r="K129" s="519"/>
      <c r="L129" s="515"/>
      <c r="M129" s="515"/>
      <c r="N129" s="515"/>
      <c r="O129" s="515"/>
      <c r="P129" s="515"/>
      <c r="Q129" s="515"/>
      <c r="S129" s="515"/>
      <c r="T129" s="515"/>
      <c r="U129" s="515"/>
      <c r="V129" s="515"/>
      <c r="W129" s="515"/>
      <c r="X129" s="515"/>
      <c r="Y129" s="515"/>
      <c r="Z129" s="515"/>
      <c r="AA129" s="515"/>
      <c r="AB129" s="515"/>
      <c r="AC129" s="515"/>
      <c r="AD129" s="515"/>
      <c r="AE129" s="515"/>
      <c r="AF129" s="515"/>
      <c r="AG129" s="515"/>
      <c r="AH129" s="515"/>
      <c r="AI129" s="515"/>
      <c r="AJ129" s="515"/>
      <c r="AK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H129" s="515"/>
      <c r="BI129" s="515"/>
      <c r="BJ129" s="515"/>
      <c r="BL129" s="515"/>
      <c r="BM129" s="515"/>
    </row>
    <row r="130" spans="7:65">
      <c r="G130" s="515"/>
      <c r="H130" s="515"/>
      <c r="I130" s="515"/>
      <c r="J130" s="515"/>
      <c r="K130" s="519"/>
      <c r="L130" s="515"/>
      <c r="M130" s="515"/>
      <c r="N130" s="515"/>
      <c r="O130" s="515"/>
      <c r="P130" s="515"/>
      <c r="Q130" s="515"/>
      <c r="S130" s="515"/>
      <c r="T130" s="515"/>
      <c r="U130" s="515"/>
      <c r="V130" s="515"/>
      <c r="W130" s="515"/>
      <c r="X130" s="515"/>
      <c r="Y130" s="515"/>
      <c r="Z130" s="515"/>
      <c r="AA130" s="515"/>
      <c r="AB130" s="515"/>
      <c r="AC130" s="515"/>
      <c r="AD130" s="515"/>
      <c r="AE130" s="515"/>
      <c r="AF130" s="515"/>
      <c r="AG130" s="515"/>
      <c r="AH130" s="515"/>
      <c r="AI130" s="515"/>
      <c r="AJ130" s="515"/>
      <c r="AK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H130" s="515"/>
      <c r="BI130" s="515"/>
      <c r="BJ130" s="515"/>
      <c r="BL130" s="515"/>
      <c r="BM130" s="515"/>
    </row>
    <row r="131" spans="7:65">
      <c r="G131" s="515"/>
      <c r="H131" s="515"/>
      <c r="I131" s="515"/>
      <c r="J131" s="515"/>
      <c r="K131" s="519"/>
      <c r="L131" s="515"/>
      <c r="M131" s="515"/>
      <c r="N131" s="515"/>
      <c r="O131" s="515"/>
      <c r="P131" s="515"/>
      <c r="Q131" s="515"/>
      <c r="S131" s="515"/>
      <c r="T131" s="515"/>
      <c r="U131" s="515"/>
      <c r="V131" s="515"/>
      <c r="W131" s="515"/>
      <c r="X131" s="515"/>
      <c r="Y131" s="515"/>
      <c r="Z131" s="515"/>
      <c r="AA131" s="515"/>
      <c r="AB131" s="515"/>
      <c r="AC131" s="515"/>
      <c r="AD131" s="515"/>
      <c r="AE131" s="515"/>
      <c r="AF131" s="515"/>
      <c r="AG131" s="515"/>
      <c r="AH131" s="515"/>
      <c r="AI131" s="515"/>
      <c r="AJ131" s="515"/>
      <c r="AK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H131" s="515"/>
      <c r="BI131" s="515"/>
      <c r="BJ131" s="515"/>
      <c r="BL131" s="515"/>
      <c r="BM131" s="515"/>
    </row>
    <row r="132" spans="7:65">
      <c r="G132" s="515"/>
      <c r="H132" s="515"/>
      <c r="I132" s="515"/>
      <c r="J132" s="515"/>
      <c r="K132" s="519"/>
      <c r="L132" s="515"/>
      <c r="M132" s="515"/>
      <c r="N132" s="515"/>
      <c r="O132" s="515"/>
      <c r="P132" s="515"/>
      <c r="Q132" s="515"/>
      <c r="S132" s="515"/>
      <c r="T132" s="515"/>
      <c r="U132" s="515"/>
      <c r="V132" s="515"/>
      <c r="W132" s="515"/>
      <c r="X132" s="515"/>
      <c r="Y132" s="515"/>
      <c r="Z132" s="515"/>
      <c r="AA132" s="515"/>
      <c r="AB132" s="515"/>
      <c r="AC132" s="515"/>
      <c r="AD132" s="515"/>
      <c r="AE132" s="515"/>
      <c r="AF132" s="515"/>
      <c r="AG132" s="515"/>
      <c r="AH132" s="515"/>
      <c r="AI132" s="515"/>
      <c r="AJ132" s="515"/>
      <c r="AK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H132" s="515"/>
      <c r="BI132" s="515"/>
      <c r="BJ132" s="515"/>
      <c r="BL132" s="515"/>
      <c r="BM132" s="515"/>
    </row>
    <row r="133" spans="7:65">
      <c r="G133" s="515"/>
      <c r="H133" s="515"/>
      <c r="I133" s="515"/>
      <c r="J133" s="515"/>
      <c r="K133" s="519"/>
      <c r="L133" s="515"/>
      <c r="M133" s="515"/>
      <c r="N133" s="515"/>
      <c r="O133" s="515"/>
      <c r="P133" s="515"/>
      <c r="Q133" s="515"/>
      <c r="S133" s="515"/>
      <c r="T133" s="515"/>
      <c r="U133" s="515"/>
      <c r="V133" s="515"/>
      <c r="W133" s="515"/>
      <c r="X133" s="515"/>
      <c r="Y133" s="515"/>
      <c r="Z133" s="515"/>
      <c r="AA133" s="515"/>
      <c r="AB133" s="515"/>
      <c r="AC133" s="515"/>
      <c r="AD133" s="515"/>
      <c r="AE133" s="515"/>
      <c r="AF133" s="515"/>
      <c r="AG133" s="515"/>
      <c r="AH133" s="515"/>
      <c r="AI133" s="515"/>
      <c r="AJ133" s="515"/>
      <c r="AK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H133" s="515"/>
      <c r="BI133" s="515"/>
      <c r="BJ133" s="515"/>
      <c r="BL133" s="515"/>
      <c r="BM133" s="515"/>
    </row>
    <row r="134" spans="7:65">
      <c r="G134" s="515"/>
      <c r="H134" s="515"/>
      <c r="I134" s="515"/>
      <c r="J134" s="515"/>
      <c r="K134" s="519"/>
      <c r="L134" s="515"/>
      <c r="M134" s="515"/>
      <c r="N134" s="515"/>
      <c r="O134" s="515"/>
      <c r="P134" s="515"/>
      <c r="Q134" s="515"/>
      <c r="S134" s="515"/>
      <c r="T134" s="515"/>
      <c r="U134" s="515"/>
      <c r="V134" s="515"/>
      <c r="W134" s="515"/>
      <c r="X134" s="515"/>
      <c r="Y134" s="515"/>
      <c r="Z134" s="515"/>
      <c r="AA134" s="515"/>
      <c r="AB134" s="515"/>
      <c r="AC134" s="515"/>
      <c r="AD134" s="515"/>
      <c r="AE134" s="515"/>
      <c r="AF134" s="515"/>
      <c r="AG134" s="515"/>
      <c r="AH134" s="515"/>
      <c r="AI134" s="515"/>
      <c r="AJ134" s="515"/>
      <c r="AK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H134" s="515"/>
      <c r="BI134" s="515"/>
      <c r="BJ134" s="515"/>
      <c r="BL134" s="515"/>
      <c r="BM134" s="515"/>
    </row>
    <row r="135" spans="7:65">
      <c r="G135" s="515"/>
      <c r="H135" s="515"/>
      <c r="I135" s="515"/>
      <c r="J135" s="515"/>
      <c r="K135" s="519"/>
      <c r="L135" s="515"/>
      <c r="M135" s="515"/>
      <c r="N135" s="515"/>
      <c r="O135" s="515"/>
      <c r="P135" s="515"/>
      <c r="Q135" s="515"/>
      <c r="S135" s="515"/>
      <c r="T135" s="515"/>
      <c r="U135" s="515"/>
      <c r="V135" s="515"/>
      <c r="W135" s="515"/>
      <c r="X135" s="515"/>
      <c r="Y135" s="515"/>
      <c r="Z135" s="515"/>
      <c r="AA135" s="515"/>
      <c r="AB135" s="515"/>
      <c r="AC135" s="515"/>
      <c r="AD135" s="515"/>
      <c r="AE135" s="515"/>
      <c r="AF135" s="515"/>
      <c r="AG135" s="515"/>
      <c r="AH135" s="515"/>
      <c r="AI135" s="515"/>
      <c r="AJ135" s="515"/>
      <c r="AK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H135" s="515"/>
      <c r="BI135" s="515"/>
      <c r="BJ135" s="515"/>
      <c r="BL135" s="515"/>
      <c r="BM135" s="515"/>
    </row>
    <row r="136" spans="7:65">
      <c r="G136" s="515"/>
      <c r="H136" s="515"/>
      <c r="I136" s="515"/>
      <c r="J136" s="515"/>
      <c r="K136" s="519"/>
      <c r="L136" s="515"/>
      <c r="M136" s="515"/>
      <c r="N136" s="515"/>
      <c r="O136" s="515"/>
      <c r="P136" s="515"/>
      <c r="Q136" s="515"/>
      <c r="S136" s="515"/>
      <c r="T136" s="515"/>
      <c r="U136" s="515"/>
      <c r="V136" s="515"/>
      <c r="W136" s="515"/>
      <c r="X136" s="515"/>
      <c r="Y136" s="515"/>
      <c r="Z136" s="515"/>
      <c r="AA136" s="515"/>
      <c r="AB136" s="515"/>
      <c r="AC136" s="515"/>
      <c r="AD136" s="515"/>
      <c r="AE136" s="515"/>
      <c r="AF136" s="515"/>
      <c r="AG136" s="515"/>
      <c r="AH136" s="515"/>
      <c r="AI136" s="515"/>
      <c r="AJ136" s="515"/>
      <c r="AK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H136" s="515"/>
      <c r="BI136" s="515"/>
      <c r="BJ136" s="515"/>
      <c r="BL136" s="515"/>
      <c r="BM136" s="515"/>
    </row>
    <row r="137" spans="7:65">
      <c r="G137" s="515"/>
      <c r="H137" s="515"/>
      <c r="I137" s="515"/>
      <c r="J137" s="515"/>
      <c r="K137" s="519"/>
      <c r="L137" s="515"/>
      <c r="M137" s="515"/>
      <c r="N137" s="515"/>
      <c r="O137" s="515"/>
      <c r="P137" s="515"/>
      <c r="Q137" s="515"/>
      <c r="S137" s="515"/>
      <c r="T137" s="515"/>
      <c r="U137" s="515"/>
      <c r="V137" s="515"/>
      <c r="W137" s="515"/>
      <c r="X137" s="515"/>
      <c r="Y137" s="515"/>
      <c r="Z137" s="515"/>
      <c r="AA137" s="515"/>
      <c r="AB137" s="515"/>
      <c r="AC137" s="515"/>
      <c r="AD137" s="515"/>
      <c r="AE137" s="515"/>
      <c r="AF137" s="515"/>
      <c r="AG137" s="515"/>
      <c r="AH137" s="515"/>
      <c r="AI137" s="515"/>
      <c r="AJ137" s="515"/>
      <c r="AK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H137" s="515"/>
      <c r="BI137" s="515"/>
      <c r="BJ137" s="515"/>
      <c r="BL137" s="515"/>
      <c r="BM137" s="515"/>
    </row>
    <row r="138" spans="7:65">
      <c r="G138" s="515"/>
      <c r="H138" s="515"/>
      <c r="I138" s="515"/>
      <c r="J138" s="515"/>
      <c r="K138" s="519"/>
      <c r="L138" s="515"/>
      <c r="M138" s="515"/>
      <c r="N138" s="515"/>
      <c r="O138" s="515"/>
      <c r="P138" s="515"/>
      <c r="Q138" s="515"/>
      <c r="S138" s="515"/>
      <c r="T138" s="515"/>
      <c r="U138" s="515"/>
      <c r="V138" s="515"/>
      <c r="W138" s="515"/>
      <c r="X138" s="515"/>
      <c r="Y138" s="515"/>
      <c r="Z138" s="515"/>
      <c r="AA138" s="515"/>
      <c r="AB138" s="515"/>
      <c r="AC138" s="515"/>
      <c r="AD138" s="515"/>
      <c r="AE138" s="515"/>
      <c r="AF138" s="515"/>
      <c r="AG138" s="515"/>
      <c r="AH138" s="515"/>
      <c r="AI138" s="515"/>
      <c r="AJ138" s="515"/>
      <c r="AK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H138" s="515"/>
      <c r="BI138" s="515"/>
      <c r="BJ138" s="515"/>
      <c r="BL138" s="515"/>
      <c r="BM138" s="515"/>
    </row>
    <row r="139" spans="7:65">
      <c r="G139" s="515"/>
      <c r="H139" s="515"/>
      <c r="I139" s="515"/>
      <c r="J139" s="515"/>
      <c r="K139" s="519"/>
      <c r="L139" s="515"/>
      <c r="M139" s="515"/>
      <c r="N139" s="515"/>
      <c r="O139" s="515"/>
      <c r="P139" s="515"/>
      <c r="Q139" s="515"/>
      <c r="S139" s="515"/>
      <c r="T139" s="515"/>
      <c r="U139" s="515"/>
      <c r="V139" s="515"/>
      <c r="W139" s="515"/>
      <c r="X139" s="515"/>
      <c r="Y139" s="515"/>
      <c r="Z139" s="515"/>
      <c r="AA139" s="515"/>
      <c r="AB139" s="515"/>
      <c r="AC139" s="515"/>
      <c r="AD139" s="515"/>
      <c r="AE139" s="515"/>
      <c r="AF139" s="515"/>
      <c r="AG139" s="515"/>
      <c r="AH139" s="515"/>
      <c r="AI139" s="515"/>
      <c r="AJ139" s="515"/>
      <c r="AK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H139" s="515"/>
      <c r="BI139" s="515"/>
      <c r="BJ139" s="515"/>
      <c r="BL139" s="515"/>
      <c r="BM139" s="515"/>
    </row>
    <row r="140" spans="7:65">
      <c r="G140" s="515"/>
      <c r="H140" s="515"/>
      <c r="I140" s="515"/>
      <c r="J140" s="515"/>
      <c r="K140" s="519"/>
      <c r="L140" s="515"/>
      <c r="M140" s="515"/>
      <c r="N140" s="515"/>
      <c r="O140" s="515"/>
      <c r="P140" s="515"/>
      <c r="Q140" s="515"/>
      <c r="S140" s="515"/>
      <c r="T140" s="515"/>
      <c r="U140" s="515"/>
      <c r="V140" s="515"/>
      <c r="W140" s="515"/>
      <c r="X140" s="515"/>
      <c r="Y140" s="515"/>
      <c r="Z140" s="515"/>
      <c r="AA140" s="515"/>
      <c r="AB140" s="515"/>
      <c r="AC140" s="515"/>
      <c r="AD140" s="515"/>
      <c r="AE140" s="515"/>
      <c r="AF140" s="515"/>
      <c r="AG140" s="515"/>
      <c r="AH140" s="515"/>
      <c r="AI140" s="515"/>
      <c r="AJ140" s="515"/>
      <c r="AK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H140" s="515"/>
      <c r="BI140" s="515"/>
      <c r="BJ140" s="515"/>
      <c r="BL140" s="515"/>
      <c r="BM140" s="515"/>
    </row>
    <row r="141" spans="7:65">
      <c r="G141" s="515"/>
      <c r="H141" s="515"/>
      <c r="I141" s="515"/>
      <c r="J141" s="515"/>
      <c r="K141" s="519"/>
      <c r="L141" s="515"/>
      <c r="M141" s="515"/>
      <c r="N141" s="515"/>
      <c r="O141" s="515"/>
      <c r="P141" s="515"/>
      <c r="Q141" s="515"/>
      <c r="S141" s="515"/>
      <c r="T141" s="515"/>
      <c r="U141" s="515"/>
      <c r="V141" s="515"/>
      <c r="W141" s="515"/>
      <c r="X141" s="515"/>
      <c r="Y141" s="515"/>
      <c r="Z141" s="515"/>
      <c r="AA141" s="515"/>
      <c r="AB141" s="515"/>
      <c r="AC141" s="515"/>
      <c r="AD141" s="515"/>
      <c r="AE141" s="515"/>
      <c r="AF141" s="515"/>
      <c r="AG141" s="515"/>
      <c r="AH141" s="515"/>
      <c r="AI141" s="515"/>
      <c r="AJ141" s="515"/>
      <c r="AK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H141" s="515"/>
      <c r="BI141" s="515"/>
      <c r="BJ141" s="515"/>
      <c r="BL141" s="515"/>
      <c r="BM141" s="515"/>
    </row>
    <row r="142" spans="7:65">
      <c r="G142" s="515"/>
      <c r="H142" s="515"/>
      <c r="I142" s="515"/>
      <c r="J142" s="515"/>
      <c r="K142" s="519"/>
      <c r="L142" s="515"/>
      <c r="M142" s="515"/>
      <c r="N142" s="515"/>
      <c r="O142" s="515"/>
      <c r="P142" s="515"/>
      <c r="Q142" s="515"/>
      <c r="S142" s="515"/>
      <c r="T142" s="515"/>
      <c r="U142" s="515"/>
      <c r="V142" s="515"/>
      <c r="W142" s="515"/>
      <c r="X142" s="515"/>
      <c r="Y142" s="515"/>
      <c r="Z142" s="515"/>
      <c r="AA142" s="515"/>
      <c r="AB142" s="515"/>
      <c r="AC142" s="515"/>
      <c r="AD142" s="515"/>
      <c r="AE142" s="515"/>
      <c r="AF142" s="515"/>
      <c r="AG142" s="515"/>
      <c r="AH142" s="515"/>
      <c r="AI142" s="515"/>
      <c r="AJ142" s="515"/>
      <c r="AK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H142" s="515"/>
      <c r="BI142" s="515"/>
      <c r="BJ142" s="515"/>
      <c r="BL142" s="515"/>
      <c r="BM142" s="515"/>
    </row>
    <row r="143" spans="7:65">
      <c r="G143" s="515"/>
      <c r="H143" s="515"/>
      <c r="I143" s="515"/>
      <c r="J143" s="515"/>
      <c r="K143" s="519"/>
      <c r="L143" s="515"/>
      <c r="M143" s="515"/>
      <c r="N143" s="515"/>
      <c r="O143" s="515"/>
      <c r="P143" s="515"/>
      <c r="Q143" s="515"/>
      <c r="S143" s="515"/>
      <c r="T143" s="515"/>
      <c r="U143" s="515"/>
      <c r="V143" s="515"/>
      <c r="W143" s="515"/>
      <c r="X143" s="515"/>
      <c r="Y143" s="515"/>
      <c r="Z143" s="515"/>
      <c r="AA143" s="515"/>
      <c r="AB143" s="515"/>
      <c r="AC143" s="515"/>
      <c r="AD143" s="515"/>
      <c r="AE143" s="515"/>
      <c r="AF143" s="515"/>
      <c r="AG143" s="515"/>
      <c r="AH143" s="515"/>
      <c r="AI143" s="515"/>
      <c r="AJ143" s="515"/>
      <c r="AK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H143" s="515"/>
      <c r="BI143" s="515"/>
      <c r="BJ143" s="515"/>
      <c r="BL143" s="515"/>
      <c r="BM143" s="515"/>
    </row>
    <row r="144" spans="7:65">
      <c r="G144" s="515"/>
      <c r="H144" s="515"/>
      <c r="I144" s="515"/>
      <c r="J144" s="515"/>
      <c r="K144" s="519"/>
      <c r="L144" s="515"/>
      <c r="M144" s="515"/>
      <c r="N144" s="515"/>
      <c r="O144" s="515"/>
      <c r="P144" s="515"/>
      <c r="Q144" s="515"/>
      <c r="S144" s="515"/>
      <c r="T144" s="515"/>
      <c r="U144" s="515"/>
      <c r="V144" s="515"/>
      <c r="W144" s="515"/>
      <c r="X144" s="515"/>
      <c r="Y144" s="515"/>
      <c r="Z144" s="515"/>
      <c r="AA144" s="515"/>
      <c r="AB144" s="515"/>
      <c r="AC144" s="515"/>
      <c r="AD144" s="515"/>
      <c r="AE144" s="515"/>
      <c r="AF144" s="515"/>
      <c r="AG144" s="515"/>
      <c r="AH144" s="515"/>
      <c r="AI144" s="515"/>
      <c r="AJ144" s="515"/>
      <c r="AK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H144" s="515"/>
      <c r="BI144" s="515"/>
      <c r="BJ144" s="515"/>
      <c r="BL144" s="515"/>
      <c r="BM144" s="515"/>
    </row>
    <row r="145" spans="7:65">
      <c r="G145" s="515"/>
      <c r="H145" s="515"/>
      <c r="I145" s="515"/>
      <c r="J145" s="515"/>
      <c r="K145" s="519"/>
      <c r="L145" s="515"/>
      <c r="M145" s="515"/>
      <c r="N145" s="515"/>
      <c r="O145" s="515"/>
      <c r="P145" s="515"/>
      <c r="Q145" s="515"/>
      <c r="S145" s="515"/>
      <c r="T145" s="515"/>
      <c r="U145" s="515"/>
      <c r="V145" s="515"/>
      <c r="W145" s="515"/>
      <c r="X145" s="515"/>
      <c r="Y145" s="515"/>
      <c r="Z145" s="515"/>
      <c r="AA145" s="515"/>
      <c r="AB145" s="515"/>
      <c r="AC145" s="515"/>
      <c r="AD145" s="515"/>
      <c r="AE145" s="515"/>
      <c r="AF145" s="515"/>
      <c r="AG145" s="515"/>
      <c r="AH145" s="515"/>
      <c r="AI145" s="515"/>
      <c r="AJ145" s="515"/>
      <c r="AK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H145" s="515"/>
      <c r="BI145" s="515"/>
      <c r="BJ145" s="515"/>
      <c r="BL145" s="515"/>
      <c r="BM145" s="515"/>
    </row>
    <row r="146" spans="7:65">
      <c r="G146" s="515"/>
      <c r="H146" s="515"/>
      <c r="I146" s="515"/>
      <c r="J146" s="515"/>
      <c r="K146" s="519"/>
      <c r="L146" s="515"/>
      <c r="M146" s="515"/>
      <c r="N146" s="515"/>
      <c r="O146" s="515"/>
      <c r="P146" s="515"/>
      <c r="Q146" s="515"/>
      <c r="S146" s="515"/>
      <c r="T146" s="515"/>
      <c r="U146" s="515"/>
      <c r="V146" s="515"/>
      <c r="W146" s="515"/>
      <c r="X146" s="515"/>
      <c r="Y146" s="515"/>
      <c r="Z146" s="515"/>
      <c r="AA146" s="515"/>
      <c r="AB146" s="515"/>
      <c r="AC146" s="515"/>
      <c r="AD146" s="515"/>
      <c r="AE146" s="515"/>
      <c r="AF146" s="515"/>
      <c r="AG146" s="515"/>
      <c r="AH146" s="515"/>
      <c r="AI146" s="515"/>
      <c r="AJ146" s="515"/>
      <c r="AK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H146" s="515"/>
      <c r="BI146" s="515"/>
      <c r="BJ146" s="515"/>
      <c r="BL146" s="515"/>
      <c r="BM146" s="515"/>
    </row>
    <row r="147" spans="7:65">
      <c r="G147" s="515"/>
      <c r="H147" s="515"/>
      <c r="I147" s="515"/>
      <c r="J147" s="515"/>
      <c r="K147" s="519"/>
      <c r="L147" s="515"/>
      <c r="M147" s="515"/>
      <c r="N147" s="515"/>
      <c r="O147" s="515"/>
      <c r="P147" s="515"/>
      <c r="Q147" s="515"/>
      <c r="S147" s="515"/>
      <c r="T147" s="515"/>
      <c r="U147" s="515"/>
      <c r="V147" s="515"/>
      <c r="W147" s="515"/>
      <c r="X147" s="515"/>
      <c r="Y147" s="515"/>
      <c r="Z147" s="515"/>
      <c r="AA147" s="515"/>
      <c r="AB147" s="515"/>
      <c r="AC147" s="515"/>
      <c r="AD147" s="515"/>
      <c r="AE147" s="515"/>
      <c r="AF147" s="515"/>
      <c r="AG147" s="515"/>
      <c r="AH147" s="515"/>
      <c r="AI147" s="515"/>
      <c r="AJ147" s="515"/>
      <c r="AK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H147" s="515"/>
      <c r="BI147" s="515"/>
      <c r="BJ147" s="515"/>
      <c r="BL147" s="515"/>
      <c r="BM147" s="515"/>
    </row>
    <row r="148" spans="7:65">
      <c r="G148" s="515"/>
      <c r="H148" s="515"/>
      <c r="I148" s="515"/>
      <c r="J148" s="515"/>
      <c r="K148" s="519"/>
      <c r="L148" s="515"/>
      <c r="M148" s="515"/>
      <c r="N148" s="515"/>
      <c r="O148" s="515"/>
      <c r="P148" s="515"/>
      <c r="Q148" s="515"/>
      <c r="S148" s="515"/>
      <c r="T148" s="515"/>
      <c r="U148" s="515"/>
      <c r="V148" s="515"/>
      <c r="W148" s="515"/>
      <c r="X148" s="515"/>
      <c r="Y148" s="515"/>
      <c r="Z148" s="515"/>
      <c r="AA148" s="515"/>
      <c r="AB148" s="515"/>
      <c r="AC148" s="515"/>
      <c r="AD148" s="515"/>
      <c r="AE148" s="515"/>
      <c r="AF148" s="515"/>
      <c r="AG148" s="515"/>
      <c r="AH148" s="515"/>
      <c r="AI148" s="515"/>
      <c r="AJ148" s="515"/>
      <c r="AK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H148" s="515"/>
      <c r="BI148" s="515"/>
      <c r="BJ148" s="515"/>
      <c r="BL148" s="515"/>
      <c r="BM148" s="515"/>
    </row>
  </sheetData>
  <pageMargins left="0.25" right="0.25" top="0.75" bottom="0.75" header="0.3" footer="0.3"/>
  <pageSetup paperSize="9" scale="90" fitToWidth="0" fitToHeight="0" orientation="portrait" r:id="rId1"/>
  <headerFooter>
    <oddFooter>&amp;L&amp;"+,Regular"Pathways to 2050 -- Energy Flow Model&amp;R&amp;"+,Regular"&amp;F  |  This version printed &amp;D</oddFooter>
  </headerFooter>
</worksheet>
</file>

<file path=xl/worksheets/sheet63.xml><?xml version="1.0" encoding="utf-8"?>
<worksheet xmlns="http://schemas.openxmlformats.org/spreadsheetml/2006/main" xmlns:r="http://schemas.openxmlformats.org/officeDocument/2006/relationships">
  <sheetPr codeName="Sheet23">
    <pageSetUpPr fitToPage="1"/>
  </sheetPr>
  <dimension ref="A1:AI109"/>
  <sheetViews>
    <sheetView zoomScale="80" zoomScaleNormal="80" workbookViewId="0"/>
  </sheetViews>
  <sheetFormatPr defaultRowHeight="12.75"/>
  <cols>
    <col min="1" max="1" width="19.140625" style="52" customWidth="1"/>
    <col min="2" max="2" width="7" style="52" bestFit="1" customWidth="1"/>
    <col min="3" max="3" width="12.7109375" style="52" customWidth="1"/>
    <col min="4" max="4" width="8.28515625" style="52" customWidth="1"/>
    <col min="5" max="5" width="9" style="52" customWidth="1"/>
    <col min="6" max="6" width="6.85546875" style="52" customWidth="1"/>
    <col min="7" max="7" width="9.5703125" style="52" customWidth="1"/>
    <col min="8" max="8" width="8.42578125" style="52" customWidth="1"/>
    <col min="9" max="9" width="8.5703125" style="52" customWidth="1"/>
    <col min="10" max="10" width="5.28515625" style="52" customWidth="1"/>
    <col min="11" max="11" width="7.42578125" style="52" customWidth="1"/>
    <col min="12" max="24" width="9.140625" style="52"/>
    <col min="25" max="33" width="9.28515625" style="52" bestFit="1" customWidth="1"/>
    <col min="34" max="34" width="9.7109375" style="52" bestFit="1" customWidth="1"/>
    <col min="35" max="35" width="9.28515625" style="52" bestFit="1" customWidth="1"/>
    <col min="36" max="256" width="9.140625" style="52"/>
    <col min="257" max="257" width="19.140625" style="52" customWidth="1"/>
    <col min="258" max="258" width="7" style="52" bestFit="1" customWidth="1"/>
    <col min="259" max="259" width="12.7109375" style="52" customWidth="1"/>
    <col min="260" max="260" width="8.28515625" style="52" customWidth="1"/>
    <col min="261" max="261" width="9" style="52" customWidth="1"/>
    <col min="262" max="262" width="6.85546875" style="52" customWidth="1"/>
    <col min="263" max="263" width="9.5703125" style="52" customWidth="1"/>
    <col min="264" max="264" width="8.42578125" style="52" customWidth="1"/>
    <col min="265" max="265" width="8.5703125" style="52" customWidth="1"/>
    <col min="266" max="266" width="5.28515625" style="52" customWidth="1"/>
    <col min="267" max="267" width="7.42578125" style="52" customWidth="1"/>
    <col min="268" max="280" width="9.140625" style="52"/>
    <col min="281" max="289" width="9.28515625" style="52" bestFit="1" customWidth="1"/>
    <col min="290" max="290" width="9.7109375" style="52" bestFit="1" customWidth="1"/>
    <col min="291" max="291" width="9.28515625" style="52" bestFit="1" customWidth="1"/>
    <col min="292" max="512" width="9.140625" style="52"/>
    <col min="513" max="513" width="19.140625" style="52" customWidth="1"/>
    <col min="514" max="514" width="7" style="52" bestFit="1" customWidth="1"/>
    <col min="515" max="515" width="12.7109375" style="52" customWidth="1"/>
    <col min="516" max="516" width="8.28515625" style="52" customWidth="1"/>
    <col min="517" max="517" width="9" style="52" customWidth="1"/>
    <col min="518" max="518" width="6.85546875" style="52" customWidth="1"/>
    <col min="519" max="519" width="9.5703125" style="52" customWidth="1"/>
    <col min="520" max="520" width="8.42578125" style="52" customWidth="1"/>
    <col min="521" max="521" width="8.5703125" style="52" customWidth="1"/>
    <col min="522" max="522" width="5.28515625" style="52" customWidth="1"/>
    <col min="523" max="523" width="7.42578125" style="52" customWidth="1"/>
    <col min="524" max="536" width="9.140625" style="52"/>
    <col min="537" max="545" width="9.28515625" style="52" bestFit="1" customWidth="1"/>
    <col min="546" max="546" width="9.7109375" style="52" bestFit="1" customWidth="1"/>
    <col min="547" max="547" width="9.28515625" style="52" bestFit="1" customWidth="1"/>
    <col min="548" max="768" width="9.140625" style="52"/>
    <col min="769" max="769" width="19.140625" style="52" customWidth="1"/>
    <col min="770" max="770" width="7" style="52" bestFit="1" customWidth="1"/>
    <col min="771" max="771" width="12.7109375" style="52" customWidth="1"/>
    <col min="772" max="772" width="8.28515625" style="52" customWidth="1"/>
    <col min="773" max="773" width="9" style="52" customWidth="1"/>
    <col min="774" max="774" width="6.85546875" style="52" customWidth="1"/>
    <col min="775" max="775" width="9.5703125" style="52" customWidth="1"/>
    <col min="776" max="776" width="8.42578125" style="52" customWidth="1"/>
    <col min="777" max="777" width="8.5703125" style="52" customWidth="1"/>
    <col min="778" max="778" width="5.28515625" style="52" customWidth="1"/>
    <col min="779" max="779" width="7.42578125" style="52" customWidth="1"/>
    <col min="780" max="792" width="9.140625" style="52"/>
    <col min="793" max="801" width="9.28515625" style="52" bestFit="1" customWidth="1"/>
    <col min="802" max="802" width="9.7109375" style="52" bestFit="1" customWidth="1"/>
    <col min="803" max="803" width="9.28515625" style="52" bestFit="1" customWidth="1"/>
    <col min="804" max="1024" width="9.140625" style="52"/>
    <col min="1025" max="1025" width="19.140625" style="52" customWidth="1"/>
    <col min="1026" max="1026" width="7" style="52" bestFit="1" customWidth="1"/>
    <col min="1027" max="1027" width="12.7109375" style="52" customWidth="1"/>
    <col min="1028" max="1028" width="8.28515625" style="52" customWidth="1"/>
    <col min="1029" max="1029" width="9" style="52" customWidth="1"/>
    <col min="1030" max="1030" width="6.85546875" style="52" customWidth="1"/>
    <col min="1031" max="1031" width="9.5703125" style="52" customWidth="1"/>
    <col min="1032" max="1032" width="8.42578125" style="52" customWidth="1"/>
    <col min="1033" max="1033" width="8.5703125" style="52" customWidth="1"/>
    <col min="1034" max="1034" width="5.28515625" style="52" customWidth="1"/>
    <col min="1035" max="1035" width="7.42578125" style="52" customWidth="1"/>
    <col min="1036" max="1048" width="9.140625" style="52"/>
    <col min="1049" max="1057" width="9.28515625" style="52" bestFit="1" customWidth="1"/>
    <col min="1058" max="1058" width="9.7109375" style="52" bestFit="1" customWidth="1"/>
    <col min="1059" max="1059" width="9.28515625" style="52" bestFit="1" customWidth="1"/>
    <col min="1060" max="1280" width="9.140625" style="52"/>
    <col min="1281" max="1281" width="19.140625" style="52" customWidth="1"/>
    <col min="1282" max="1282" width="7" style="52" bestFit="1" customWidth="1"/>
    <col min="1283" max="1283" width="12.7109375" style="52" customWidth="1"/>
    <col min="1284" max="1284" width="8.28515625" style="52" customWidth="1"/>
    <col min="1285" max="1285" width="9" style="52" customWidth="1"/>
    <col min="1286" max="1286" width="6.85546875" style="52" customWidth="1"/>
    <col min="1287" max="1287" width="9.5703125" style="52" customWidth="1"/>
    <col min="1288" max="1288" width="8.42578125" style="52" customWidth="1"/>
    <col min="1289" max="1289" width="8.5703125" style="52" customWidth="1"/>
    <col min="1290" max="1290" width="5.28515625" style="52" customWidth="1"/>
    <col min="1291" max="1291" width="7.42578125" style="52" customWidth="1"/>
    <col min="1292" max="1304" width="9.140625" style="52"/>
    <col min="1305" max="1313" width="9.28515625" style="52" bestFit="1" customWidth="1"/>
    <col min="1314" max="1314" width="9.7109375" style="52" bestFit="1" customWidth="1"/>
    <col min="1315" max="1315" width="9.28515625" style="52" bestFit="1" customWidth="1"/>
    <col min="1316" max="1536" width="9.140625" style="52"/>
    <col min="1537" max="1537" width="19.140625" style="52" customWidth="1"/>
    <col min="1538" max="1538" width="7" style="52" bestFit="1" customWidth="1"/>
    <col min="1539" max="1539" width="12.7109375" style="52" customWidth="1"/>
    <col min="1540" max="1540" width="8.28515625" style="52" customWidth="1"/>
    <col min="1541" max="1541" width="9" style="52" customWidth="1"/>
    <col min="1542" max="1542" width="6.85546875" style="52" customWidth="1"/>
    <col min="1543" max="1543" width="9.5703125" style="52" customWidth="1"/>
    <col min="1544" max="1544" width="8.42578125" style="52" customWidth="1"/>
    <col min="1545" max="1545" width="8.5703125" style="52" customWidth="1"/>
    <col min="1546" max="1546" width="5.28515625" style="52" customWidth="1"/>
    <col min="1547" max="1547" width="7.42578125" style="52" customWidth="1"/>
    <col min="1548" max="1560" width="9.140625" style="52"/>
    <col min="1561" max="1569" width="9.28515625" style="52" bestFit="1" customWidth="1"/>
    <col min="1570" max="1570" width="9.7109375" style="52" bestFit="1" customWidth="1"/>
    <col min="1571" max="1571" width="9.28515625" style="52" bestFit="1" customWidth="1"/>
    <col min="1572" max="1792" width="9.140625" style="52"/>
    <col min="1793" max="1793" width="19.140625" style="52" customWidth="1"/>
    <col min="1794" max="1794" width="7" style="52" bestFit="1" customWidth="1"/>
    <col min="1795" max="1795" width="12.7109375" style="52" customWidth="1"/>
    <col min="1796" max="1796" width="8.28515625" style="52" customWidth="1"/>
    <col min="1797" max="1797" width="9" style="52" customWidth="1"/>
    <col min="1798" max="1798" width="6.85546875" style="52" customWidth="1"/>
    <col min="1799" max="1799" width="9.5703125" style="52" customWidth="1"/>
    <col min="1800" max="1800" width="8.42578125" style="52" customWidth="1"/>
    <col min="1801" max="1801" width="8.5703125" style="52" customWidth="1"/>
    <col min="1802" max="1802" width="5.28515625" style="52" customWidth="1"/>
    <col min="1803" max="1803" width="7.42578125" style="52" customWidth="1"/>
    <col min="1804" max="1816" width="9.140625" style="52"/>
    <col min="1817" max="1825" width="9.28515625" style="52" bestFit="1" customWidth="1"/>
    <col min="1826" max="1826" width="9.7109375" style="52" bestFit="1" customWidth="1"/>
    <col min="1827" max="1827" width="9.28515625" style="52" bestFit="1" customWidth="1"/>
    <col min="1828" max="2048" width="9.140625" style="52"/>
    <col min="2049" max="2049" width="19.140625" style="52" customWidth="1"/>
    <col min="2050" max="2050" width="7" style="52" bestFit="1" customWidth="1"/>
    <col min="2051" max="2051" width="12.7109375" style="52" customWidth="1"/>
    <col min="2052" max="2052" width="8.28515625" style="52" customWidth="1"/>
    <col min="2053" max="2053" width="9" style="52" customWidth="1"/>
    <col min="2054" max="2054" width="6.85546875" style="52" customWidth="1"/>
    <col min="2055" max="2055" width="9.5703125" style="52" customWidth="1"/>
    <col min="2056" max="2056" width="8.42578125" style="52" customWidth="1"/>
    <col min="2057" max="2057" width="8.5703125" style="52" customWidth="1"/>
    <col min="2058" max="2058" width="5.28515625" style="52" customWidth="1"/>
    <col min="2059" max="2059" width="7.42578125" style="52" customWidth="1"/>
    <col min="2060" max="2072" width="9.140625" style="52"/>
    <col min="2073" max="2081" width="9.28515625" style="52" bestFit="1" customWidth="1"/>
    <col min="2082" max="2082" width="9.7109375" style="52" bestFit="1" customWidth="1"/>
    <col min="2083" max="2083" width="9.28515625" style="52" bestFit="1" customWidth="1"/>
    <col min="2084" max="2304" width="9.140625" style="52"/>
    <col min="2305" max="2305" width="19.140625" style="52" customWidth="1"/>
    <col min="2306" max="2306" width="7" style="52" bestFit="1" customWidth="1"/>
    <col min="2307" max="2307" width="12.7109375" style="52" customWidth="1"/>
    <col min="2308" max="2308" width="8.28515625" style="52" customWidth="1"/>
    <col min="2309" max="2309" width="9" style="52" customWidth="1"/>
    <col min="2310" max="2310" width="6.85546875" style="52" customWidth="1"/>
    <col min="2311" max="2311" width="9.5703125" style="52" customWidth="1"/>
    <col min="2312" max="2312" width="8.42578125" style="52" customWidth="1"/>
    <col min="2313" max="2313" width="8.5703125" style="52" customWidth="1"/>
    <col min="2314" max="2314" width="5.28515625" style="52" customWidth="1"/>
    <col min="2315" max="2315" width="7.42578125" style="52" customWidth="1"/>
    <col min="2316" max="2328" width="9.140625" style="52"/>
    <col min="2329" max="2337" width="9.28515625" style="52" bestFit="1" customWidth="1"/>
    <col min="2338" max="2338" width="9.7109375" style="52" bestFit="1" customWidth="1"/>
    <col min="2339" max="2339" width="9.28515625" style="52" bestFit="1" customWidth="1"/>
    <col min="2340" max="2560" width="9.140625" style="52"/>
    <col min="2561" max="2561" width="19.140625" style="52" customWidth="1"/>
    <col min="2562" max="2562" width="7" style="52" bestFit="1" customWidth="1"/>
    <col min="2563" max="2563" width="12.7109375" style="52" customWidth="1"/>
    <col min="2564" max="2564" width="8.28515625" style="52" customWidth="1"/>
    <col min="2565" max="2565" width="9" style="52" customWidth="1"/>
    <col min="2566" max="2566" width="6.85546875" style="52" customWidth="1"/>
    <col min="2567" max="2567" width="9.5703125" style="52" customWidth="1"/>
    <col min="2568" max="2568" width="8.42578125" style="52" customWidth="1"/>
    <col min="2569" max="2569" width="8.5703125" style="52" customWidth="1"/>
    <col min="2570" max="2570" width="5.28515625" style="52" customWidth="1"/>
    <col min="2571" max="2571" width="7.42578125" style="52" customWidth="1"/>
    <col min="2572" max="2584" width="9.140625" style="52"/>
    <col min="2585" max="2593" width="9.28515625" style="52" bestFit="1" customWidth="1"/>
    <col min="2594" max="2594" width="9.7109375" style="52" bestFit="1" customWidth="1"/>
    <col min="2595" max="2595" width="9.28515625" style="52" bestFit="1" customWidth="1"/>
    <col min="2596" max="2816" width="9.140625" style="52"/>
    <col min="2817" max="2817" width="19.140625" style="52" customWidth="1"/>
    <col min="2818" max="2818" width="7" style="52" bestFit="1" customWidth="1"/>
    <col min="2819" max="2819" width="12.7109375" style="52" customWidth="1"/>
    <col min="2820" max="2820" width="8.28515625" style="52" customWidth="1"/>
    <col min="2821" max="2821" width="9" style="52" customWidth="1"/>
    <col min="2822" max="2822" width="6.85546875" style="52" customWidth="1"/>
    <col min="2823" max="2823" width="9.5703125" style="52" customWidth="1"/>
    <col min="2824" max="2824" width="8.42578125" style="52" customWidth="1"/>
    <col min="2825" max="2825" width="8.5703125" style="52" customWidth="1"/>
    <col min="2826" max="2826" width="5.28515625" style="52" customWidth="1"/>
    <col min="2827" max="2827" width="7.42578125" style="52" customWidth="1"/>
    <col min="2828" max="2840" width="9.140625" style="52"/>
    <col min="2841" max="2849" width="9.28515625" style="52" bestFit="1" customWidth="1"/>
    <col min="2850" max="2850" width="9.7109375" style="52" bestFit="1" customWidth="1"/>
    <col min="2851" max="2851" width="9.28515625" style="52" bestFit="1" customWidth="1"/>
    <col min="2852" max="3072" width="9.140625" style="52"/>
    <col min="3073" max="3073" width="19.140625" style="52" customWidth="1"/>
    <col min="3074" max="3074" width="7" style="52" bestFit="1" customWidth="1"/>
    <col min="3075" max="3075" width="12.7109375" style="52" customWidth="1"/>
    <col min="3076" max="3076" width="8.28515625" style="52" customWidth="1"/>
    <col min="3077" max="3077" width="9" style="52" customWidth="1"/>
    <col min="3078" max="3078" width="6.85546875" style="52" customWidth="1"/>
    <col min="3079" max="3079" width="9.5703125" style="52" customWidth="1"/>
    <col min="3080" max="3080" width="8.42578125" style="52" customWidth="1"/>
    <col min="3081" max="3081" width="8.5703125" style="52" customWidth="1"/>
    <col min="3082" max="3082" width="5.28515625" style="52" customWidth="1"/>
    <col min="3083" max="3083" width="7.42578125" style="52" customWidth="1"/>
    <col min="3084" max="3096" width="9.140625" style="52"/>
    <col min="3097" max="3105" width="9.28515625" style="52" bestFit="1" customWidth="1"/>
    <col min="3106" max="3106" width="9.7109375" style="52" bestFit="1" customWidth="1"/>
    <col min="3107" max="3107" width="9.28515625" style="52" bestFit="1" customWidth="1"/>
    <col min="3108" max="3328" width="9.140625" style="52"/>
    <col min="3329" max="3329" width="19.140625" style="52" customWidth="1"/>
    <col min="3330" max="3330" width="7" style="52" bestFit="1" customWidth="1"/>
    <col min="3331" max="3331" width="12.7109375" style="52" customWidth="1"/>
    <col min="3332" max="3332" width="8.28515625" style="52" customWidth="1"/>
    <col min="3333" max="3333" width="9" style="52" customWidth="1"/>
    <col min="3334" max="3334" width="6.85546875" style="52" customWidth="1"/>
    <col min="3335" max="3335" width="9.5703125" style="52" customWidth="1"/>
    <col min="3336" max="3336" width="8.42578125" style="52" customWidth="1"/>
    <col min="3337" max="3337" width="8.5703125" style="52" customWidth="1"/>
    <col min="3338" max="3338" width="5.28515625" style="52" customWidth="1"/>
    <col min="3339" max="3339" width="7.42578125" style="52" customWidth="1"/>
    <col min="3340" max="3352" width="9.140625" style="52"/>
    <col min="3353" max="3361" width="9.28515625" style="52" bestFit="1" customWidth="1"/>
    <col min="3362" max="3362" width="9.7109375" style="52" bestFit="1" customWidth="1"/>
    <col min="3363" max="3363" width="9.28515625" style="52" bestFit="1" customWidth="1"/>
    <col min="3364" max="3584" width="9.140625" style="52"/>
    <col min="3585" max="3585" width="19.140625" style="52" customWidth="1"/>
    <col min="3586" max="3586" width="7" style="52" bestFit="1" customWidth="1"/>
    <col min="3587" max="3587" width="12.7109375" style="52" customWidth="1"/>
    <col min="3588" max="3588" width="8.28515625" style="52" customWidth="1"/>
    <col min="3589" max="3589" width="9" style="52" customWidth="1"/>
    <col min="3590" max="3590" width="6.85546875" style="52" customWidth="1"/>
    <col min="3591" max="3591" width="9.5703125" style="52" customWidth="1"/>
    <col min="3592" max="3592" width="8.42578125" style="52" customWidth="1"/>
    <col min="3593" max="3593" width="8.5703125" style="52" customWidth="1"/>
    <col min="3594" max="3594" width="5.28515625" style="52" customWidth="1"/>
    <col min="3595" max="3595" width="7.42578125" style="52" customWidth="1"/>
    <col min="3596" max="3608" width="9.140625" style="52"/>
    <col min="3609" max="3617" width="9.28515625" style="52" bestFit="1" customWidth="1"/>
    <col min="3618" max="3618" width="9.7109375" style="52" bestFit="1" customWidth="1"/>
    <col min="3619" max="3619" width="9.28515625" style="52" bestFit="1" customWidth="1"/>
    <col min="3620" max="3840" width="9.140625" style="52"/>
    <col min="3841" max="3841" width="19.140625" style="52" customWidth="1"/>
    <col min="3842" max="3842" width="7" style="52" bestFit="1" customWidth="1"/>
    <col min="3843" max="3843" width="12.7109375" style="52" customWidth="1"/>
    <col min="3844" max="3844" width="8.28515625" style="52" customWidth="1"/>
    <col min="3845" max="3845" width="9" style="52" customWidth="1"/>
    <col min="3846" max="3846" width="6.85546875" style="52" customWidth="1"/>
    <col min="3847" max="3847" width="9.5703125" style="52" customWidth="1"/>
    <col min="3848" max="3848" width="8.42578125" style="52" customWidth="1"/>
    <col min="3849" max="3849" width="8.5703125" style="52" customWidth="1"/>
    <col min="3850" max="3850" width="5.28515625" style="52" customWidth="1"/>
    <col min="3851" max="3851" width="7.42578125" style="52" customWidth="1"/>
    <col min="3852" max="3864" width="9.140625" style="52"/>
    <col min="3865" max="3873" width="9.28515625" style="52" bestFit="1" customWidth="1"/>
    <col min="3874" max="3874" width="9.7109375" style="52" bestFit="1" customWidth="1"/>
    <col min="3875" max="3875" width="9.28515625" style="52" bestFit="1" customWidth="1"/>
    <col min="3876" max="4096" width="9.140625" style="52"/>
    <col min="4097" max="4097" width="19.140625" style="52" customWidth="1"/>
    <col min="4098" max="4098" width="7" style="52" bestFit="1" customWidth="1"/>
    <col min="4099" max="4099" width="12.7109375" style="52" customWidth="1"/>
    <col min="4100" max="4100" width="8.28515625" style="52" customWidth="1"/>
    <col min="4101" max="4101" width="9" style="52" customWidth="1"/>
    <col min="4102" max="4102" width="6.85546875" style="52" customWidth="1"/>
    <col min="4103" max="4103" width="9.5703125" style="52" customWidth="1"/>
    <col min="4104" max="4104" width="8.42578125" style="52" customWidth="1"/>
    <col min="4105" max="4105" width="8.5703125" style="52" customWidth="1"/>
    <col min="4106" max="4106" width="5.28515625" style="52" customWidth="1"/>
    <col min="4107" max="4107" width="7.42578125" style="52" customWidth="1"/>
    <col min="4108" max="4120" width="9.140625" style="52"/>
    <col min="4121" max="4129" width="9.28515625" style="52" bestFit="1" customWidth="1"/>
    <col min="4130" max="4130" width="9.7109375" style="52" bestFit="1" customWidth="1"/>
    <col min="4131" max="4131" width="9.28515625" style="52" bestFit="1" customWidth="1"/>
    <col min="4132" max="4352" width="9.140625" style="52"/>
    <col min="4353" max="4353" width="19.140625" style="52" customWidth="1"/>
    <col min="4354" max="4354" width="7" style="52" bestFit="1" customWidth="1"/>
    <col min="4355" max="4355" width="12.7109375" style="52" customWidth="1"/>
    <col min="4356" max="4356" width="8.28515625" style="52" customWidth="1"/>
    <col min="4357" max="4357" width="9" style="52" customWidth="1"/>
    <col min="4358" max="4358" width="6.85546875" style="52" customWidth="1"/>
    <col min="4359" max="4359" width="9.5703125" style="52" customWidth="1"/>
    <col min="4360" max="4360" width="8.42578125" style="52" customWidth="1"/>
    <col min="4361" max="4361" width="8.5703125" style="52" customWidth="1"/>
    <col min="4362" max="4362" width="5.28515625" style="52" customWidth="1"/>
    <col min="4363" max="4363" width="7.42578125" style="52" customWidth="1"/>
    <col min="4364" max="4376" width="9.140625" style="52"/>
    <col min="4377" max="4385" width="9.28515625" style="52" bestFit="1" customWidth="1"/>
    <col min="4386" max="4386" width="9.7109375" style="52" bestFit="1" customWidth="1"/>
    <col min="4387" max="4387" width="9.28515625" style="52" bestFit="1" customWidth="1"/>
    <col min="4388" max="4608" width="9.140625" style="52"/>
    <col min="4609" max="4609" width="19.140625" style="52" customWidth="1"/>
    <col min="4610" max="4610" width="7" style="52" bestFit="1" customWidth="1"/>
    <col min="4611" max="4611" width="12.7109375" style="52" customWidth="1"/>
    <col min="4612" max="4612" width="8.28515625" style="52" customWidth="1"/>
    <col min="4613" max="4613" width="9" style="52" customWidth="1"/>
    <col min="4614" max="4614" width="6.85546875" style="52" customWidth="1"/>
    <col min="4615" max="4615" width="9.5703125" style="52" customWidth="1"/>
    <col min="4616" max="4616" width="8.42578125" style="52" customWidth="1"/>
    <col min="4617" max="4617" width="8.5703125" style="52" customWidth="1"/>
    <col min="4618" max="4618" width="5.28515625" style="52" customWidth="1"/>
    <col min="4619" max="4619" width="7.42578125" style="52" customWidth="1"/>
    <col min="4620" max="4632" width="9.140625" style="52"/>
    <col min="4633" max="4641" width="9.28515625" style="52" bestFit="1" customWidth="1"/>
    <col min="4642" max="4642" width="9.7109375" style="52" bestFit="1" customWidth="1"/>
    <col min="4643" max="4643" width="9.28515625" style="52" bestFit="1" customWidth="1"/>
    <col min="4644" max="4864" width="9.140625" style="52"/>
    <col min="4865" max="4865" width="19.140625" style="52" customWidth="1"/>
    <col min="4866" max="4866" width="7" style="52" bestFit="1" customWidth="1"/>
    <col min="4867" max="4867" width="12.7109375" style="52" customWidth="1"/>
    <col min="4868" max="4868" width="8.28515625" style="52" customWidth="1"/>
    <col min="4869" max="4869" width="9" style="52" customWidth="1"/>
    <col min="4870" max="4870" width="6.85546875" style="52" customWidth="1"/>
    <col min="4871" max="4871" width="9.5703125" style="52" customWidth="1"/>
    <col min="4872" max="4872" width="8.42578125" style="52" customWidth="1"/>
    <col min="4873" max="4873" width="8.5703125" style="52" customWidth="1"/>
    <col min="4874" max="4874" width="5.28515625" style="52" customWidth="1"/>
    <col min="4875" max="4875" width="7.42578125" style="52" customWidth="1"/>
    <col min="4876" max="4888" width="9.140625" style="52"/>
    <col min="4889" max="4897" width="9.28515625" style="52" bestFit="1" customWidth="1"/>
    <col min="4898" max="4898" width="9.7109375" style="52" bestFit="1" customWidth="1"/>
    <col min="4899" max="4899" width="9.28515625" style="52" bestFit="1" customWidth="1"/>
    <col min="4900" max="5120" width="9.140625" style="52"/>
    <col min="5121" max="5121" width="19.140625" style="52" customWidth="1"/>
    <col min="5122" max="5122" width="7" style="52" bestFit="1" customWidth="1"/>
    <col min="5123" max="5123" width="12.7109375" style="52" customWidth="1"/>
    <col min="5124" max="5124" width="8.28515625" style="52" customWidth="1"/>
    <col min="5125" max="5125" width="9" style="52" customWidth="1"/>
    <col min="5126" max="5126" width="6.85546875" style="52" customWidth="1"/>
    <col min="5127" max="5127" width="9.5703125" style="52" customWidth="1"/>
    <col min="5128" max="5128" width="8.42578125" style="52" customWidth="1"/>
    <col min="5129" max="5129" width="8.5703125" style="52" customWidth="1"/>
    <col min="5130" max="5130" width="5.28515625" style="52" customWidth="1"/>
    <col min="5131" max="5131" width="7.42578125" style="52" customWidth="1"/>
    <col min="5132" max="5144" width="9.140625" style="52"/>
    <col min="5145" max="5153" width="9.28515625" style="52" bestFit="1" customWidth="1"/>
    <col min="5154" max="5154" width="9.7109375" style="52" bestFit="1" customWidth="1"/>
    <col min="5155" max="5155" width="9.28515625" style="52" bestFit="1" customWidth="1"/>
    <col min="5156" max="5376" width="9.140625" style="52"/>
    <col min="5377" max="5377" width="19.140625" style="52" customWidth="1"/>
    <col min="5378" max="5378" width="7" style="52" bestFit="1" customWidth="1"/>
    <col min="5379" max="5379" width="12.7109375" style="52" customWidth="1"/>
    <col min="5380" max="5380" width="8.28515625" style="52" customWidth="1"/>
    <col min="5381" max="5381" width="9" style="52" customWidth="1"/>
    <col min="5382" max="5382" width="6.85546875" style="52" customWidth="1"/>
    <col min="5383" max="5383" width="9.5703125" style="52" customWidth="1"/>
    <col min="5384" max="5384" width="8.42578125" style="52" customWidth="1"/>
    <col min="5385" max="5385" width="8.5703125" style="52" customWidth="1"/>
    <col min="5386" max="5386" width="5.28515625" style="52" customWidth="1"/>
    <col min="5387" max="5387" width="7.42578125" style="52" customWidth="1"/>
    <col min="5388" max="5400" width="9.140625" style="52"/>
    <col min="5401" max="5409" width="9.28515625" style="52" bestFit="1" customWidth="1"/>
    <col min="5410" max="5410" width="9.7109375" style="52" bestFit="1" customWidth="1"/>
    <col min="5411" max="5411" width="9.28515625" style="52" bestFit="1" customWidth="1"/>
    <col min="5412" max="5632" width="9.140625" style="52"/>
    <col min="5633" max="5633" width="19.140625" style="52" customWidth="1"/>
    <col min="5634" max="5634" width="7" style="52" bestFit="1" customWidth="1"/>
    <col min="5635" max="5635" width="12.7109375" style="52" customWidth="1"/>
    <col min="5636" max="5636" width="8.28515625" style="52" customWidth="1"/>
    <col min="5637" max="5637" width="9" style="52" customWidth="1"/>
    <col min="5638" max="5638" width="6.85546875" style="52" customWidth="1"/>
    <col min="5639" max="5639" width="9.5703125" style="52" customWidth="1"/>
    <col min="5640" max="5640" width="8.42578125" style="52" customWidth="1"/>
    <col min="5641" max="5641" width="8.5703125" style="52" customWidth="1"/>
    <col min="5642" max="5642" width="5.28515625" style="52" customWidth="1"/>
    <col min="5643" max="5643" width="7.42578125" style="52" customWidth="1"/>
    <col min="5644" max="5656" width="9.140625" style="52"/>
    <col min="5657" max="5665" width="9.28515625" style="52" bestFit="1" customWidth="1"/>
    <col min="5666" max="5666" width="9.7109375" style="52" bestFit="1" customWidth="1"/>
    <col min="5667" max="5667" width="9.28515625" style="52" bestFit="1" customWidth="1"/>
    <col min="5668" max="5888" width="9.140625" style="52"/>
    <col min="5889" max="5889" width="19.140625" style="52" customWidth="1"/>
    <col min="5890" max="5890" width="7" style="52" bestFit="1" customWidth="1"/>
    <col min="5891" max="5891" width="12.7109375" style="52" customWidth="1"/>
    <col min="5892" max="5892" width="8.28515625" style="52" customWidth="1"/>
    <col min="5893" max="5893" width="9" style="52" customWidth="1"/>
    <col min="5894" max="5894" width="6.85546875" style="52" customWidth="1"/>
    <col min="5895" max="5895" width="9.5703125" style="52" customWidth="1"/>
    <col min="5896" max="5896" width="8.42578125" style="52" customWidth="1"/>
    <col min="5897" max="5897" width="8.5703125" style="52" customWidth="1"/>
    <col min="5898" max="5898" width="5.28515625" style="52" customWidth="1"/>
    <col min="5899" max="5899" width="7.42578125" style="52" customWidth="1"/>
    <col min="5900" max="5912" width="9.140625" style="52"/>
    <col min="5913" max="5921" width="9.28515625" style="52" bestFit="1" customWidth="1"/>
    <col min="5922" max="5922" width="9.7109375" style="52" bestFit="1" customWidth="1"/>
    <col min="5923" max="5923" width="9.28515625" style="52" bestFit="1" customWidth="1"/>
    <col min="5924" max="6144" width="9.140625" style="52"/>
    <col min="6145" max="6145" width="19.140625" style="52" customWidth="1"/>
    <col min="6146" max="6146" width="7" style="52" bestFit="1" customWidth="1"/>
    <col min="6147" max="6147" width="12.7109375" style="52" customWidth="1"/>
    <col min="6148" max="6148" width="8.28515625" style="52" customWidth="1"/>
    <col min="6149" max="6149" width="9" style="52" customWidth="1"/>
    <col min="6150" max="6150" width="6.85546875" style="52" customWidth="1"/>
    <col min="6151" max="6151" width="9.5703125" style="52" customWidth="1"/>
    <col min="6152" max="6152" width="8.42578125" style="52" customWidth="1"/>
    <col min="6153" max="6153" width="8.5703125" style="52" customWidth="1"/>
    <col min="6154" max="6154" width="5.28515625" style="52" customWidth="1"/>
    <col min="6155" max="6155" width="7.42578125" style="52" customWidth="1"/>
    <col min="6156" max="6168" width="9.140625" style="52"/>
    <col min="6169" max="6177" width="9.28515625" style="52" bestFit="1" customWidth="1"/>
    <col min="6178" max="6178" width="9.7109375" style="52" bestFit="1" customWidth="1"/>
    <col min="6179" max="6179" width="9.28515625" style="52" bestFit="1" customWidth="1"/>
    <col min="6180" max="6400" width="9.140625" style="52"/>
    <col min="6401" max="6401" width="19.140625" style="52" customWidth="1"/>
    <col min="6402" max="6402" width="7" style="52" bestFit="1" customWidth="1"/>
    <col min="6403" max="6403" width="12.7109375" style="52" customWidth="1"/>
    <col min="6404" max="6404" width="8.28515625" style="52" customWidth="1"/>
    <col min="6405" max="6405" width="9" style="52" customWidth="1"/>
    <col min="6406" max="6406" width="6.85546875" style="52" customWidth="1"/>
    <col min="6407" max="6407" width="9.5703125" style="52" customWidth="1"/>
    <col min="6408" max="6408" width="8.42578125" style="52" customWidth="1"/>
    <col min="6409" max="6409" width="8.5703125" style="52" customWidth="1"/>
    <col min="6410" max="6410" width="5.28515625" style="52" customWidth="1"/>
    <col min="6411" max="6411" width="7.42578125" style="52" customWidth="1"/>
    <col min="6412" max="6424" width="9.140625" style="52"/>
    <col min="6425" max="6433" width="9.28515625" style="52" bestFit="1" customWidth="1"/>
    <col min="6434" max="6434" width="9.7109375" style="52" bestFit="1" customWidth="1"/>
    <col min="6435" max="6435" width="9.28515625" style="52" bestFit="1" customWidth="1"/>
    <col min="6436" max="6656" width="9.140625" style="52"/>
    <col min="6657" max="6657" width="19.140625" style="52" customWidth="1"/>
    <col min="6658" max="6658" width="7" style="52" bestFit="1" customWidth="1"/>
    <col min="6659" max="6659" width="12.7109375" style="52" customWidth="1"/>
    <col min="6660" max="6660" width="8.28515625" style="52" customWidth="1"/>
    <col min="6661" max="6661" width="9" style="52" customWidth="1"/>
    <col min="6662" max="6662" width="6.85546875" style="52" customWidth="1"/>
    <col min="6663" max="6663" width="9.5703125" style="52" customWidth="1"/>
    <col min="6664" max="6664" width="8.42578125" style="52" customWidth="1"/>
    <col min="6665" max="6665" width="8.5703125" style="52" customWidth="1"/>
    <col min="6666" max="6666" width="5.28515625" style="52" customWidth="1"/>
    <col min="6667" max="6667" width="7.42578125" style="52" customWidth="1"/>
    <col min="6668" max="6680" width="9.140625" style="52"/>
    <col min="6681" max="6689" width="9.28515625" style="52" bestFit="1" customWidth="1"/>
    <col min="6690" max="6690" width="9.7109375" style="52" bestFit="1" customWidth="1"/>
    <col min="6691" max="6691" width="9.28515625" style="52" bestFit="1" customWidth="1"/>
    <col min="6692" max="6912" width="9.140625" style="52"/>
    <col min="6913" max="6913" width="19.140625" style="52" customWidth="1"/>
    <col min="6914" max="6914" width="7" style="52" bestFit="1" customWidth="1"/>
    <col min="6915" max="6915" width="12.7109375" style="52" customWidth="1"/>
    <col min="6916" max="6916" width="8.28515625" style="52" customWidth="1"/>
    <col min="6917" max="6917" width="9" style="52" customWidth="1"/>
    <col min="6918" max="6918" width="6.85546875" style="52" customWidth="1"/>
    <col min="6919" max="6919" width="9.5703125" style="52" customWidth="1"/>
    <col min="6920" max="6920" width="8.42578125" style="52" customWidth="1"/>
    <col min="6921" max="6921" width="8.5703125" style="52" customWidth="1"/>
    <col min="6922" max="6922" width="5.28515625" style="52" customWidth="1"/>
    <col min="6923" max="6923" width="7.42578125" style="52" customWidth="1"/>
    <col min="6924" max="6936" width="9.140625" style="52"/>
    <col min="6937" max="6945" width="9.28515625" style="52" bestFit="1" customWidth="1"/>
    <col min="6946" max="6946" width="9.7109375" style="52" bestFit="1" customWidth="1"/>
    <col min="6947" max="6947" width="9.28515625" style="52" bestFit="1" customWidth="1"/>
    <col min="6948" max="7168" width="9.140625" style="52"/>
    <col min="7169" max="7169" width="19.140625" style="52" customWidth="1"/>
    <col min="7170" max="7170" width="7" style="52" bestFit="1" customWidth="1"/>
    <col min="7171" max="7171" width="12.7109375" style="52" customWidth="1"/>
    <col min="7172" max="7172" width="8.28515625" style="52" customWidth="1"/>
    <col min="7173" max="7173" width="9" style="52" customWidth="1"/>
    <col min="7174" max="7174" width="6.85546875" style="52" customWidth="1"/>
    <col min="7175" max="7175" width="9.5703125" style="52" customWidth="1"/>
    <col min="7176" max="7176" width="8.42578125" style="52" customWidth="1"/>
    <col min="7177" max="7177" width="8.5703125" style="52" customWidth="1"/>
    <col min="7178" max="7178" width="5.28515625" style="52" customWidth="1"/>
    <col min="7179" max="7179" width="7.42578125" style="52" customWidth="1"/>
    <col min="7180" max="7192" width="9.140625" style="52"/>
    <col min="7193" max="7201" width="9.28515625" style="52" bestFit="1" customWidth="1"/>
    <col min="7202" max="7202" width="9.7109375" style="52" bestFit="1" customWidth="1"/>
    <col min="7203" max="7203" width="9.28515625" style="52" bestFit="1" customWidth="1"/>
    <col min="7204" max="7424" width="9.140625" style="52"/>
    <col min="7425" max="7425" width="19.140625" style="52" customWidth="1"/>
    <col min="7426" max="7426" width="7" style="52" bestFit="1" customWidth="1"/>
    <col min="7427" max="7427" width="12.7109375" style="52" customWidth="1"/>
    <col min="7428" max="7428" width="8.28515625" style="52" customWidth="1"/>
    <col min="7429" max="7429" width="9" style="52" customWidth="1"/>
    <col min="7430" max="7430" width="6.85546875" style="52" customWidth="1"/>
    <col min="7431" max="7431" width="9.5703125" style="52" customWidth="1"/>
    <col min="7432" max="7432" width="8.42578125" style="52" customWidth="1"/>
    <col min="7433" max="7433" width="8.5703125" style="52" customWidth="1"/>
    <col min="7434" max="7434" width="5.28515625" style="52" customWidth="1"/>
    <col min="7435" max="7435" width="7.42578125" style="52" customWidth="1"/>
    <col min="7436" max="7448" width="9.140625" style="52"/>
    <col min="7449" max="7457" width="9.28515625" style="52" bestFit="1" customWidth="1"/>
    <col min="7458" max="7458" width="9.7109375" style="52" bestFit="1" customWidth="1"/>
    <col min="7459" max="7459" width="9.28515625" style="52" bestFit="1" customWidth="1"/>
    <col min="7460" max="7680" width="9.140625" style="52"/>
    <col min="7681" max="7681" width="19.140625" style="52" customWidth="1"/>
    <col min="7682" max="7682" width="7" style="52" bestFit="1" customWidth="1"/>
    <col min="7683" max="7683" width="12.7109375" style="52" customWidth="1"/>
    <col min="7684" max="7684" width="8.28515625" style="52" customWidth="1"/>
    <col min="7685" max="7685" width="9" style="52" customWidth="1"/>
    <col min="7686" max="7686" width="6.85546875" style="52" customWidth="1"/>
    <col min="7687" max="7687" width="9.5703125" style="52" customWidth="1"/>
    <col min="7688" max="7688" width="8.42578125" style="52" customWidth="1"/>
    <col min="7689" max="7689" width="8.5703125" style="52" customWidth="1"/>
    <col min="7690" max="7690" width="5.28515625" style="52" customWidth="1"/>
    <col min="7691" max="7691" width="7.42578125" style="52" customWidth="1"/>
    <col min="7692" max="7704" width="9.140625" style="52"/>
    <col min="7705" max="7713" width="9.28515625" style="52" bestFit="1" customWidth="1"/>
    <col min="7714" max="7714" width="9.7109375" style="52" bestFit="1" customWidth="1"/>
    <col min="7715" max="7715" width="9.28515625" style="52" bestFit="1" customWidth="1"/>
    <col min="7716" max="7936" width="9.140625" style="52"/>
    <col min="7937" max="7937" width="19.140625" style="52" customWidth="1"/>
    <col min="7938" max="7938" width="7" style="52" bestFit="1" customWidth="1"/>
    <col min="7939" max="7939" width="12.7109375" style="52" customWidth="1"/>
    <col min="7940" max="7940" width="8.28515625" style="52" customWidth="1"/>
    <col min="7941" max="7941" width="9" style="52" customWidth="1"/>
    <col min="7942" max="7942" width="6.85546875" style="52" customWidth="1"/>
    <col min="7943" max="7943" width="9.5703125" style="52" customWidth="1"/>
    <col min="7944" max="7944" width="8.42578125" style="52" customWidth="1"/>
    <col min="7945" max="7945" width="8.5703125" style="52" customWidth="1"/>
    <col min="7946" max="7946" width="5.28515625" style="52" customWidth="1"/>
    <col min="7947" max="7947" width="7.42578125" style="52" customWidth="1"/>
    <col min="7948" max="7960" width="9.140625" style="52"/>
    <col min="7961" max="7969" width="9.28515625" style="52" bestFit="1" customWidth="1"/>
    <col min="7970" max="7970" width="9.7109375" style="52" bestFit="1" customWidth="1"/>
    <col min="7971" max="7971" width="9.28515625" style="52" bestFit="1" customWidth="1"/>
    <col min="7972" max="8192" width="9.140625" style="52"/>
    <col min="8193" max="8193" width="19.140625" style="52" customWidth="1"/>
    <col min="8194" max="8194" width="7" style="52" bestFit="1" customWidth="1"/>
    <col min="8195" max="8195" width="12.7109375" style="52" customWidth="1"/>
    <col min="8196" max="8196" width="8.28515625" style="52" customWidth="1"/>
    <col min="8197" max="8197" width="9" style="52" customWidth="1"/>
    <col min="8198" max="8198" width="6.85546875" style="52" customWidth="1"/>
    <col min="8199" max="8199" width="9.5703125" style="52" customWidth="1"/>
    <col min="8200" max="8200" width="8.42578125" style="52" customWidth="1"/>
    <col min="8201" max="8201" width="8.5703125" style="52" customWidth="1"/>
    <col min="8202" max="8202" width="5.28515625" style="52" customWidth="1"/>
    <col min="8203" max="8203" width="7.42578125" style="52" customWidth="1"/>
    <col min="8204" max="8216" width="9.140625" style="52"/>
    <col min="8217" max="8225" width="9.28515625" style="52" bestFit="1" customWidth="1"/>
    <col min="8226" max="8226" width="9.7109375" style="52" bestFit="1" customWidth="1"/>
    <col min="8227" max="8227" width="9.28515625" style="52" bestFit="1" customWidth="1"/>
    <col min="8228" max="8448" width="9.140625" style="52"/>
    <col min="8449" max="8449" width="19.140625" style="52" customWidth="1"/>
    <col min="8450" max="8450" width="7" style="52" bestFit="1" customWidth="1"/>
    <col min="8451" max="8451" width="12.7109375" style="52" customWidth="1"/>
    <col min="8452" max="8452" width="8.28515625" style="52" customWidth="1"/>
    <col min="8453" max="8453" width="9" style="52" customWidth="1"/>
    <col min="8454" max="8454" width="6.85546875" style="52" customWidth="1"/>
    <col min="8455" max="8455" width="9.5703125" style="52" customWidth="1"/>
    <col min="8456" max="8456" width="8.42578125" style="52" customWidth="1"/>
    <col min="8457" max="8457" width="8.5703125" style="52" customWidth="1"/>
    <col min="8458" max="8458" width="5.28515625" style="52" customWidth="1"/>
    <col min="8459" max="8459" width="7.42578125" style="52" customWidth="1"/>
    <col min="8460" max="8472" width="9.140625" style="52"/>
    <col min="8473" max="8481" width="9.28515625" style="52" bestFit="1" customWidth="1"/>
    <col min="8482" max="8482" width="9.7109375" style="52" bestFit="1" customWidth="1"/>
    <col min="8483" max="8483" width="9.28515625" style="52" bestFit="1" customWidth="1"/>
    <col min="8484" max="8704" width="9.140625" style="52"/>
    <col min="8705" max="8705" width="19.140625" style="52" customWidth="1"/>
    <col min="8706" max="8706" width="7" style="52" bestFit="1" customWidth="1"/>
    <col min="8707" max="8707" width="12.7109375" style="52" customWidth="1"/>
    <col min="8708" max="8708" width="8.28515625" style="52" customWidth="1"/>
    <col min="8709" max="8709" width="9" style="52" customWidth="1"/>
    <col min="8710" max="8710" width="6.85546875" style="52" customWidth="1"/>
    <col min="8711" max="8711" width="9.5703125" style="52" customWidth="1"/>
    <col min="8712" max="8712" width="8.42578125" style="52" customWidth="1"/>
    <col min="8713" max="8713" width="8.5703125" style="52" customWidth="1"/>
    <col min="8714" max="8714" width="5.28515625" style="52" customWidth="1"/>
    <col min="8715" max="8715" width="7.42578125" style="52" customWidth="1"/>
    <col min="8716" max="8728" width="9.140625" style="52"/>
    <col min="8729" max="8737" width="9.28515625" style="52" bestFit="1" customWidth="1"/>
    <col min="8738" max="8738" width="9.7109375" style="52" bestFit="1" customWidth="1"/>
    <col min="8739" max="8739" width="9.28515625" style="52" bestFit="1" customWidth="1"/>
    <col min="8740" max="8960" width="9.140625" style="52"/>
    <col min="8961" max="8961" width="19.140625" style="52" customWidth="1"/>
    <col min="8962" max="8962" width="7" style="52" bestFit="1" customWidth="1"/>
    <col min="8963" max="8963" width="12.7109375" style="52" customWidth="1"/>
    <col min="8964" max="8964" width="8.28515625" style="52" customWidth="1"/>
    <col min="8965" max="8965" width="9" style="52" customWidth="1"/>
    <col min="8966" max="8966" width="6.85546875" style="52" customWidth="1"/>
    <col min="8967" max="8967" width="9.5703125" style="52" customWidth="1"/>
    <col min="8968" max="8968" width="8.42578125" style="52" customWidth="1"/>
    <col min="8969" max="8969" width="8.5703125" style="52" customWidth="1"/>
    <col min="8970" max="8970" width="5.28515625" style="52" customWidth="1"/>
    <col min="8971" max="8971" width="7.42578125" style="52" customWidth="1"/>
    <col min="8972" max="8984" width="9.140625" style="52"/>
    <col min="8985" max="8993" width="9.28515625" style="52" bestFit="1" customWidth="1"/>
    <col min="8994" max="8994" width="9.7109375" style="52" bestFit="1" customWidth="1"/>
    <col min="8995" max="8995" width="9.28515625" style="52" bestFit="1" customWidth="1"/>
    <col min="8996" max="9216" width="9.140625" style="52"/>
    <col min="9217" max="9217" width="19.140625" style="52" customWidth="1"/>
    <col min="9218" max="9218" width="7" style="52" bestFit="1" customWidth="1"/>
    <col min="9219" max="9219" width="12.7109375" style="52" customWidth="1"/>
    <col min="9220" max="9220" width="8.28515625" style="52" customWidth="1"/>
    <col min="9221" max="9221" width="9" style="52" customWidth="1"/>
    <col min="9222" max="9222" width="6.85546875" style="52" customWidth="1"/>
    <col min="9223" max="9223" width="9.5703125" style="52" customWidth="1"/>
    <col min="9224" max="9224" width="8.42578125" style="52" customWidth="1"/>
    <col min="9225" max="9225" width="8.5703125" style="52" customWidth="1"/>
    <col min="9226" max="9226" width="5.28515625" style="52" customWidth="1"/>
    <col min="9227" max="9227" width="7.42578125" style="52" customWidth="1"/>
    <col min="9228" max="9240" width="9.140625" style="52"/>
    <col min="9241" max="9249" width="9.28515625" style="52" bestFit="1" customWidth="1"/>
    <col min="9250" max="9250" width="9.7109375" style="52" bestFit="1" customWidth="1"/>
    <col min="9251" max="9251" width="9.28515625" style="52" bestFit="1" customWidth="1"/>
    <col min="9252" max="9472" width="9.140625" style="52"/>
    <col min="9473" max="9473" width="19.140625" style="52" customWidth="1"/>
    <col min="9474" max="9474" width="7" style="52" bestFit="1" customWidth="1"/>
    <col min="9475" max="9475" width="12.7109375" style="52" customWidth="1"/>
    <col min="9476" max="9476" width="8.28515625" style="52" customWidth="1"/>
    <col min="9477" max="9477" width="9" style="52" customWidth="1"/>
    <col min="9478" max="9478" width="6.85546875" style="52" customWidth="1"/>
    <col min="9479" max="9479" width="9.5703125" style="52" customWidth="1"/>
    <col min="9480" max="9480" width="8.42578125" style="52" customWidth="1"/>
    <col min="9481" max="9481" width="8.5703125" style="52" customWidth="1"/>
    <col min="9482" max="9482" width="5.28515625" style="52" customWidth="1"/>
    <col min="9483" max="9483" width="7.42578125" style="52" customWidth="1"/>
    <col min="9484" max="9496" width="9.140625" style="52"/>
    <col min="9497" max="9505" width="9.28515625" style="52" bestFit="1" customWidth="1"/>
    <col min="9506" max="9506" width="9.7109375" style="52" bestFit="1" customWidth="1"/>
    <col min="9507" max="9507" width="9.28515625" style="52" bestFit="1" customWidth="1"/>
    <col min="9508" max="9728" width="9.140625" style="52"/>
    <col min="9729" max="9729" width="19.140625" style="52" customWidth="1"/>
    <col min="9730" max="9730" width="7" style="52" bestFit="1" customWidth="1"/>
    <col min="9731" max="9731" width="12.7109375" style="52" customWidth="1"/>
    <col min="9732" max="9732" width="8.28515625" style="52" customWidth="1"/>
    <col min="9733" max="9733" width="9" style="52" customWidth="1"/>
    <col min="9734" max="9734" width="6.85546875" style="52" customWidth="1"/>
    <col min="9735" max="9735" width="9.5703125" style="52" customWidth="1"/>
    <col min="9736" max="9736" width="8.42578125" style="52" customWidth="1"/>
    <col min="9737" max="9737" width="8.5703125" style="52" customWidth="1"/>
    <col min="9738" max="9738" width="5.28515625" style="52" customWidth="1"/>
    <col min="9739" max="9739" width="7.42578125" style="52" customWidth="1"/>
    <col min="9740" max="9752" width="9.140625" style="52"/>
    <col min="9753" max="9761" width="9.28515625" style="52" bestFit="1" customWidth="1"/>
    <col min="9762" max="9762" width="9.7109375" style="52" bestFit="1" customWidth="1"/>
    <col min="9763" max="9763" width="9.28515625" style="52" bestFit="1" customWidth="1"/>
    <col min="9764" max="9984" width="9.140625" style="52"/>
    <col min="9985" max="9985" width="19.140625" style="52" customWidth="1"/>
    <col min="9986" max="9986" width="7" style="52" bestFit="1" customWidth="1"/>
    <col min="9987" max="9987" width="12.7109375" style="52" customWidth="1"/>
    <col min="9988" max="9988" width="8.28515625" style="52" customWidth="1"/>
    <col min="9989" max="9989" width="9" style="52" customWidth="1"/>
    <col min="9990" max="9990" width="6.85546875" style="52" customWidth="1"/>
    <col min="9991" max="9991" width="9.5703125" style="52" customWidth="1"/>
    <col min="9992" max="9992" width="8.42578125" style="52" customWidth="1"/>
    <col min="9993" max="9993" width="8.5703125" style="52" customWidth="1"/>
    <col min="9994" max="9994" width="5.28515625" style="52" customWidth="1"/>
    <col min="9995" max="9995" width="7.42578125" style="52" customWidth="1"/>
    <col min="9996" max="10008" width="9.140625" style="52"/>
    <col min="10009" max="10017" width="9.28515625" style="52" bestFit="1" customWidth="1"/>
    <col min="10018" max="10018" width="9.7109375" style="52" bestFit="1" customWidth="1"/>
    <col min="10019" max="10019" width="9.28515625" style="52" bestFit="1" customWidth="1"/>
    <col min="10020" max="10240" width="9.140625" style="52"/>
    <col min="10241" max="10241" width="19.140625" style="52" customWidth="1"/>
    <col min="10242" max="10242" width="7" style="52" bestFit="1" customWidth="1"/>
    <col min="10243" max="10243" width="12.7109375" style="52" customWidth="1"/>
    <col min="10244" max="10244" width="8.28515625" style="52" customWidth="1"/>
    <col min="10245" max="10245" width="9" style="52" customWidth="1"/>
    <col min="10246" max="10246" width="6.85546875" style="52" customWidth="1"/>
    <col min="10247" max="10247" width="9.5703125" style="52" customWidth="1"/>
    <col min="10248" max="10248" width="8.42578125" style="52" customWidth="1"/>
    <col min="10249" max="10249" width="8.5703125" style="52" customWidth="1"/>
    <col min="10250" max="10250" width="5.28515625" style="52" customWidth="1"/>
    <col min="10251" max="10251" width="7.42578125" style="52" customWidth="1"/>
    <col min="10252" max="10264" width="9.140625" style="52"/>
    <col min="10265" max="10273" width="9.28515625" style="52" bestFit="1" customWidth="1"/>
    <col min="10274" max="10274" width="9.7109375" style="52" bestFit="1" customWidth="1"/>
    <col min="10275" max="10275" width="9.28515625" style="52" bestFit="1" customWidth="1"/>
    <col min="10276" max="10496" width="9.140625" style="52"/>
    <col min="10497" max="10497" width="19.140625" style="52" customWidth="1"/>
    <col min="10498" max="10498" width="7" style="52" bestFit="1" customWidth="1"/>
    <col min="10499" max="10499" width="12.7109375" style="52" customWidth="1"/>
    <col min="10500" max="10500" width="8.28515625" style="52" customWidth="1"/>
    <col min="10501" max="10501" width="9" style="52" customWidth="1"/>
    <col min="10502" max="10502" width="6.85546875" style="52" customWidth="1"/>
    <col min="10503" max="10503" width="9.5703125" style="52" customWidth="1"/>
    <col min="10504" max="10504" width="8.42578125" style="52" customWidth="1"/>
    <col min="10505" max="10505" width="8.5703125" style="52" customWidth="1"/>
    <col min="10506" max="10506" width="5.28515625" style="52" customWidth="1"/>
    <col min="10507" max="10507" width="7.42578125" style="52" customWidth="1"/>
    <col min="10508" max="10520" width="9.140625" style="52"/>
    <col min="10521" max="10529" width="9.28515625" style="52" bestFit="1" customWidth="1"/>
    <col min="10530" max="10530" width="9.7109375" style="52" bestFit="1" customWidth="1"/>
    <col min="10531" max="10531" width="9.28515625" style="52" bestFit="1" customWidth="1"/>
    <col min="10532" max="10752" width="9.140625" style="52"/>
    <col min="10753" max="10753" width="19.140625" style="52" customWidth="1"/>
    <col min="10754" max="10754" width="7" style="52" bestFit="1" customWidth="1"/>
    <col min="10755" max="10755" width="12.7109375" style="52" customWidth="1"/>
    <col min="10756" max="10756" width="8.28515625" style="52" customWidth="1"/>
    <col min="10757" max="10757" width="9" style="52" customWidth="1"/>
    <col min="10758" max="10758" width="6.85546875" style="52" customWidth="1"/>
    <col min="10759" max="10759" width="9.5703125" style="52" customWidth="1"/>
    <col min="10760" max="10760" width="8.42578125" style="52" customWidth="1"/>
    <col min="10761" max="10761" width="8.5703125" style="52" customWidth="1"/>
    <col min="10762" max="10762" width="5.28515625" style="52" customWidth="1"/>
    <col min="10763" max="10763" width="7.42578125" style="52" customWidth="1"/>
    <col min="10764" max="10776" width="9.140625" style="52"/>
    <col min="10777" max="10785" width="9.28515625" style="52" bestFit="1" customWidth="1"/>
    <col min="10786" max="10786" width="9.7109375" style="52" bestFit="1" customWidth="1"/>
    <col min="10787" max="10787" width="9.28515625" style="52" bestFit="1" customWidth="1"/>
    <col min="10788" max="11008" width="9.140625" style="52"/>
    <col min="11009" max="11009" width="19.140625" style="52" customWidth="1"/>
    <col min="11010" max="11010" width="7" style="52" bestFit="1" customWidth="1"/>
    <col min="11011" max="11011" width="12.7109375" style="52" customWidth="1"/>
    <col min="11012" max="11012" width="8.28515625" style="52" customWidth="1"/>
    <col min="11013" max="11013" width="9" style="52" customWidth="1"/>
    <col min="11014" max="11014" width="6.85546875" style="52" customWidth="1"/>
    <col min="11015" max="11015" width="9.5703125" style="52" customWidth="1"/>
    <col min="11016" max="11016" width="8.42578125" style="52" customWidth="1"/>
    <col min="11017" max="11017" width="8.5703125" style="52" customWidth="1"/>
    <col min="11018" max="11018" width="5.28515625" style="52" customWidth="1"/>
    <col min="11019" max="11019" width="7.42578125" style="52" customWidth="1"/>
    <col min="11020" max="11032" width="9.140625" style="52"/>
    <col min="11033" max="11041" width="9.28515625" style="52" bestFit="1" customWidth="1"/>
    <col min="11042" max="11042" width="9.7109375" style="52" bestFit="1" customWidth="1"/>
    <col min="11043" max="11043" width="9.28515625" style="52" bestFit="1" customWidth="1"/>
    <col min="11044" max="11264" width="9.140625" style="52"/>
    <col min="11265" max="11265" width="19.140625" style="52" customWidth="1"/>
    <col min="11266" max="11266" width="7" style="52" bestFit="1" customWidth="1"/>
    <col min="11267" max="11267" width="12.7109375" style="52" customWidth="1"/>
    <col min="11268" max="11268" width="8.28515625" style="52" customWidth="1"/>
    <col min="11269" max="11269" width="9" style="52" customWidth="1"/>
    <col min="11270" max="11270" width="6.85546875" style="52" customWidth="1"/>
    <col min="11271" max="11271" width="9.5703125" style="52" customWidth="1"/>
    <col min="11272" max="11272" width="8.42578125" style="52" customWidth="1"/>
    <col min="11273" max="11273" width="8.5703125" style="52" customWidth="1"/>
    <col min="11274" max="11274" width="5.28515625" style="52" customWidth="1"/>
    <col min="11275" max="11275" width="7.42578125" style="52" customWidth="1"/>
    <col min="11276" max="11288" width="9.140625" style="52"/>
    <col min="11289" max="11297" width="9.28515625" style="52" bestFit="1" customWidth="1"/>
    <col min="11298" max="11298" width="9.7109375" style="52" bestFit="1" customWidth="1"/>
    <col min="11299" max="11299" width="9.28515625" style="52" bestFit="1" customWidth="1"/>
    <col min="11300" max="11520" width="9.140625" style="52"/>
    <col min="11521" max="11521" width="19.140625" style="52" customWidth="1"/>
    <col min="11522" max="11522" width="7" style="52" bestFit="1" customWidth="1"/>
    <col min="11523" max="11523" width="12.7109375" style="52" customWidth="1"/>
    <col min="11524" max="11524" width="8.28515625" style="52" customWidth="1"/>
    <col min="11525" max="11525" width="9" style="52" customWidth="1"/>
    <col min="11526" max="11526" width="6.85546875" style="52" customWidth="1"/>
    <col min="11527" max="11527" width="9.5703125" style="52" customWidth="1"/>
    <col min="11528" max="11528" width="8.42578125" style="52" customWidth="1"/>
    <col min="11529" max="11529" width="8.5703125" style="52" customWidth="1"/>
    <col min="11530" max="11530" width="5.28515625" style="52" customWidth="1"/>
    <col min="11531" max="11531" width="7.42578125" style="52" customWidth="1"/>
    <col min="11532" max="11544" width="9.140625" style="52"/>
    <col min="11545" max="11553" width="9.28515625" style="52" bestFit="1" customWidth="1"/>
    <col min="11554" max="11554" width="9.7109375" style="52" bestFit="1" customWidth="1"/>
    <col min="11555" max="11555" width="9.28515625" style="52" bestFit="1" customWidth="1"/>
    <col min="11556" max="11776" width="9.140625" style="52"/>
    <col min="11777" max="11777" width="19.140625" style="52" customWidth="1"/>
    <col min="11778" max="11778" width="7" style="52" bestFit="1" customWidth="1"/>
    <col min="11779" max="11779" width="12.7109375" style="52" customWidth="1"/>
    <col min="11780" max="11780" width="8.28515625" style="52" customWidth="1"/>
    <col min="11781" max="11781" width="9" style="52" customWidth="1"/>
    <col min="11782" max="11782" width="6.85546875" style="52" customWidth="1"/>
    <col min="11783" max="11783" width="9.5703125" style="52" customWidth="1"/>
    <col min="11784" max="11784" width="8.42578125" style="52" customWidth="1"/>
    <col min="11785" max="11785" width="8.5703125" style="52" customWidth="1"/>
    <col min="11786" max="11786" width="5.28515625" style="52" customWidth="1"/>
    <col min="11787" max="11787" width="7.42578125" style="52" customWidth="1"/>
    <col min="11788" max="11800" width="9.140625" style="52"/>
    <col min="11801" max="11809" width="9.28515625" style="52" bestFit="1" customWidth="1"/>
    <col min="11810" max="11810" width="9.7109375" style="52" bestFit="1" customWidth="1"/>
    <col min="11811" max="11811" width="9.28515625" style="52" bestFit="1" customWidth="1"/>
    <col min="11812" max="12032" width="9.140625" style="52"/>
    <col min="12033" max="12033" width="19.140625" style="52" customWidth="1"/>
    <col min="12034" max="12034" width="7" style="52" bestFit="1" customWidth="1"/>
    <col min="12035" max="12035" width="12.7109375" style="52" customWidth="1"/>
    <col min="12036" max="12036" width="8.28515625" style="52" customWidth="1"/>
    <col min="12037" max="12037" width="9" style="52" customWidth="1"/>
    <col min="12038" max="12038" width="6.85546875" style="52" customWidth="1"/>
    <col min="12039" max="12039" width="9.5703125" style="52" customWidth="1"/>
    <col min="12040" max="12040" width="8.42578125" style="52" customWidth="1"/>
    <col min="12041" max="12041" width="8.5703125" style="52" customWidth="1"/>
    <col min="12042" max="12042" width="5.28515625" style="52" customWidth="1"/>
    <col min="12043" max="12043" width="7.42578125" style="52" customWidth="1"/>
    <col min="12044" max="12056" width="9.140625" style="52"/>
    <col min="12057" max="12065" width="9.28515625" style="52" bestFit="1" customWidth="1"/>
    <col min="12066" max="12066" width="9.7109375" style="52" bestFit="1" customWidth="1"/>
    <col min="12067" max="12067" width="9.28515625" style="52" bestFit="1" customWidth="1"/>
    <col min="12068" max="12288" width="9.140625" style="52"/>
    <col min="12289" max="12289" width="19.140625" style="52" customWidth="1"/>
    <col min="12290" max="12290" width="7" style="52" bestFit="1" customWidth="1"/>
    <col min="12291" max="12291" width="12.7109375" style="52" customWidth="1"/>
    <col min="12292" max="12292" width="8.28515625" style="52" customWidth="1"/>
    <col min="12293" max="12293" width="9" style="52" customWidth="1"/>
    <col min="12294" max="12294" width="6.85546875" style="52" customWidth="1"/>
    <col min="12295" max="12295" width="9.5703125" style="52" customWidth="1"/>
    <col min="12296" max="12296" width="8.42578125" style="52" customWidth="1"/>
    <col min="12297" max="12297" width="8.5703125" style="52" customWidth="1"/>
    <col min="12298" max="12298" width="5.28515625" style="52" customWidth="1"/>
    <col min="12299" max="12299" width="7.42578125" style="52" customWidth="1"/>
    <col min="12300" max="12312" width="9.140625" style="52"/>
    <col min="12313" max="12321" width="9.28515625" style="52" bestFit="1" customWidth="1"/>
    <col min="12322" max="12322" width="9.7109375" style="52" bestFit="1" customWidth="1"/>
    <col min="12323" max="12323" width="9.28515625" style="52" bestFit="1" customWidth="1"/>
    <col min="12324" max="12544" width="9.140625" style="52"/>
    <col min="12545" max="12545" width="19.140625" style="52" customWidth="1"/>
    <col min="12546" max="12546" width="7" style="52" bestFit="1" customWidth="1"/>
    <col min="12547" max="12547" width="12.7109375" style="52" customWidth="1"/>
    <col min="12548" max="12548" width="8.28515625" style="52" customWidth="1"/>
    <col min="12549" max="12549" width="9" style="52" customWidth="1"/>
    <col min="12550" max="12550" width="6.85546875" style="52" customWidth="1"/>
    <col min="12551" max="12551" width="9.5703125" style="52" customWidth="1"/>
    <col min="12552" max="12552" width="8.42578125" style="52" customWidth="1"/>
    <col min="12553" max="12553" width="8.5703125" style="52" customWidth="1"/>
    <col min="12554" max="12554" width="5.28515625" style="52" customWidth="1"/>
    <col min="12555" max="12555" width="7.42578125" style="52" customWidth="1"/>
    <col min="12556" max="12568" width="9.140625" style="52"/>
    <col min="12569" max="12577" width="9.28515625" style="52" bestFit="1" customWidth="1"/>
    <col min="12578" max="12578" width="9.7109375" style="52" bestFit="1" customWidth="1"/>
    <col min="12579" max="12579" width="9.28515625" style="52" bestFit="1" customWidth="1"/>
    <col min="12580" max="12800" width="9.140625" style="52"/>
    <col min="12801" max="12801" width="19.140625" style="52" customWidth="1"/>
    <col min="12802" max="12802" width="7" style="52" bestFit="1" customWidth="1"/>
    <col min="12803" max="12803" width="12.7109375" style="52" customWidth="1"/>
    <col min="12804" max="12804" width="8.28515625" style="52" customWidth="1"/>
    <col min="12805" max="12805" width="9" style="52" customWidth="1"/>
    <col min="12806" max="12806" width="6.85546875" style="52" customWidth="1"/>
    <col min="12807" max="12807" width="9.5703125" style="52" customWidth="1"/>
    <col min="12808" max="12808" width="8.42578125" style="52" customWidth="1"/>
    <col min="12809" max="12809" width="8.5703125" style="52" customWidth="1"/>
    <col min="12810" max="12810" width="5.28515625" style="52" customWidth="1"/>
    <col min="12811" max="12811" width="7.42578125" style="52" customWidth="1"/>
    <col min="12812" max="12824" width="9.140625" style="52"/>
    <col min="12825" max="12833" width="9.28515625" style="52" bestFit="1" customWidth="1"/>
    <col min="12834" max="12834" width="9.7109375" style="52" bestFit="1" customWidth="1"/>
    <col min="12835" max="12835" width="9.28515625" style="52" bestFit="1" customWidth="1"/>
    <col min="12836" max="13056" width="9.140625" style="52"/>
    <col min="13057" max="13057" width="19.140625" style="52" customWidth="1"/>
    <col min="13058" max="13058" width="7" style="52" bestFit="1" customWidth="1"/>
    <col min="13059" max="13059" width="12.7109375" style="52" customWidth="1"/>
    <col min="13060" max="13060" width="8.28515625" style="52" customWidth="1"/>
    <col min="13061" max="13061" width="9" style="52" customWidth="1"/>
    <col min="13062" max="13062" width="6.85546875" style="52" customWidth="1"/>
    <col min="13063" max="13063" width="9.5703125" style="52" customWidth="1"/>
    <col min="13064" max="13064" width="8.42578125" style="52" customWidth="1"/>
    <col min="13065" max="13065" width="8.5703125" style="52" customWidth="1"/>
    <col min="13066" max="13066" width="5.28515625" style="52" customWidth="1"/>
    <col min="13067" max="13067" width="7.42578125" style="52" customWidth="1"/>
    <col min="13068" max="13080" width="9.140625" style="52"/>
    <col min="13081" max="13089" width="9.28515625" style="52" bestFit="1" customWidth="1"/>
    <col min="13090" max="13090" width="9.7109375" style="52" bestFit="1" customWidth="1"/>
    <col min="13091" max="13091" width="9.28515625" style="52" bestFit="1" customWidth="1"/>
    <col min="13092" max="13312" width="9.140625" style="52"/>
    <col min="13313" max="13313" width="19.140625" style="52" customWidth="1"/>
    <col min="13314" max="13314" width="7" style="52" bestFit="1" customWidth="1"/>
    <col min="13315" max="13315" width="12.7109375" style="52" customWidth="1"/>
    <col min="13316" max="13316" width="8.28515625" style="52" customWidth="1"/>
    <col min="13317" max="13317" width="9" style="52" customWidth="1"/>
    <col min="13318" max="13318" width="6.85546875" style="52" customWidth="1"/>
    <col min="13319" max="13319" width="9.5703125" style="52" customWidth="1"/>
    <col min="13320" max="13320" width="8.42578125" style="52" customWidth="1"/>
    <col min="13321" max="13321" width="8.5703125" style="52" customWidth="1"/>
    <col min="13322" max="13322" width="5.28515625" style="52" customWidth="1"/>
    <col min="13323" max="13323" width="7.42578125" style="52" customWidth="1"/>
    <col min="13324" max="13336" width="9.140625" style="52"/>
    <col min="13337" max="13345" width="9.28515625" style="52" bestFit="1" customWidth="1"/>
    <col min="13346" max="13346" width="9.7109375" style="52" bestFit="1" customWidth="1"/>
    <col min="13347" max="13347" width="9.28515625" style="52" bestFit="1" customWidth="1"/>
    <col min="13348" max="13568" width="9.140625" style="52"/>
    <col min="13569" max="13569" width="19.140625" style="52" customWidth="1"/>
    <col min="13570" max="13570" width="7" style="52" bestFit="1" customWidth="1"/>
    <col min="13571" max="13571" width="12.7109375" style="52" customWidth="1"/>
    <col min="13572" max="13572" width="8.28515625" style="52" customWidth="1"/>
    <col min="13573" max="13573" width="9" style="52" customWidth="1"/>
    <col min="13574" max="13574" width="6.85546875" style="52" customWidth="1"/>
    <col min="13575" max="13575" width="9.5703125" style="52" customWidth="1"/>
    <col min="13576" max="13576" width="8.42578125" style="52" customWidth="1"/>
    <col min="13577" max="13577" width="8.5703125" style="52" customWidth="1"/>
    <col min="13578" max="13578" width="5.28515625" style="52" customWidth="1"/>
    <col min="13579" max="13579" width="7.42578125" style="52" customWidth="1"/>
    <col min="13580" max="13592" width="9.140625" style="52"/>
    <col min="13593" max="13601" width="9.28515625" style="52" bestFit="1" customWidth="1"/>
    <col min="13602" max="13602" width="9.7109375" style="52" bestFit="1" customWidth="1"/>
    <col min="13603" max="13603" width="9.28515625" style="52" bestFit="1" customWidth="1"/>
    <col min="13604" max="13824" width="9.140625" style="52"/>
    <col min="13825" max="13825" width="19.140625" style="52" customWidth="1"/>
    <col min="13826" max="13826" width="7" style="52" bestFit="1" customWidth="1"/>
    <col min="13827" max="13827" width="12.7109375" style="52" customWidth="1"/>
    <col min="13828" max="13828" width="8.28515625" style="52" customWidth="1"/>
    <col min="13829" max="13829" width="9" style="52" customWidth="1"/>
    <col min="13830" max="13830" width="6.85546875" style="52" customWidth="1"/>
    <col min="13831" max="13831" width="9.5703125" style="52" customWidth="1"/>
    <col min="13832" max="13832" width="8.42578125" style="52" customWidth="1"/>
    <col min="13833" max="13833" width="8.5703125" style="52" customWidth="1"/>
    <col min="13834" max="13834" width="5.28515625" style="52" customWidth="1"/>
    <col min="13835" max="13835" width="7.42578125" style="52" customWidth="1"/>
    <col min="13836" max="13848" width="9.140625" style="52"/>
    <col min="13849" max="13857" width="9.28515625" style="52" bestFit="1" customWidth="1"/>
    <col min="13858" max="13858" width="9.7109375" style="52" bestFit="1" customWidth="1"/>
    <col min="13859" max="13859" width="9.28515625" style="52" bestFit="1" customWidth="1"/>
    <col min="13860" max="14080" width="9.140625" style="52"/>
    <col min="14081" max="14081" width="19.140625" style="52" customWidth="1"/>
    <col min="14082" max="14082" width="7" style="52" bestFit="1" customWidth="1"/>
    <col min="14083" max="14083" width="12.7109375" style="52" customWidth="1"/>
    <col min="14084" max="14084" width="8.28515625" style="52" customWidth="1"/>
    <col min="14085" max="14085" width="9" style="52" customWidth="1"/>
    <col min="14086" max="14086" width="6.85546875" style="52" customWidth="1"/>
    <col min="14087" max="14087" width="9.5703125" style="52" customWidth="1"/>
    <col min="14088" max="14088" width="8.42578125" style="52" customWidth="1"/>
    <col min="14089" max="14089" width="8.5703125" style="52" customWidth="1"/>
    <col min="14090" max="14090" width="5.28515625" style="52" customWidth="1"/>
    <col min="14091" max="14091" width="7.42578125" style="52" customWidth="1"/>
    <col min="14092" max="14104" width="9.140625" style="52"/>
    <col min="14105" max="14113" width="9.28515625" style="52" bestFit="1" customWidth="1"/>
    <col min="14114" max="14114" width="9.7109375" style="52" bestFit="1" customWidth="1"/>
    <col min="14115" max="14115" width="9.28515625" style="52" bestFit="1" customWidth="1"/>
    <col min="14116" max="14336" width="9.140625" style="52"/>
    <col min="14337" max="14337" width="19.140625" style="52" customWidth="1"/>
    <col min="14338" max="14338" width="7" style="52" bestFit="1" customWidth="1"/>
    <col min="14339" max="14339" width="12.7109375" style="52" customWidth="1"/>
    <col min="14340" max="14340" width="8.28515625" style="52" customWidth="1"/>
    <col min="14341" max="14341" width="9" style="52" customWidth="1"/>
    <col min="14342" max="14342" width="6.85546875" style="52" customWidth="1"/>
    <col min="14343" max="14343" width="9.5703125" style="52" customWidth="1"/>
    <col min="14344" max="14344" width="8.42578125" style="52" customWidth="1"/>
    <col min="14345" max="14345" width="8.5703125" style="52" customWidth="1"/>
    <col min="14346" max="14346" width="5.28515625" style="52" customWidth="1"/>
    <col min="14347" max="14347" width="7.42578125" style="52" customWidth="1"/>
    <col min="14348" max="14360" width="9.140625" style="52"/>
    <col min="14361" max="14369" width="9.28515625" style="52" bestFit="1" customWidth="1"/>
    <col min="14370" max="14370" width="9.7109375" style="52" bestFit="1" customWidth="1"/>
    <col min="14371" max="14371" width="9.28515625" style="52" bestFit="1" customWidth="1"/>
    <col min="14372" max="14592" width="9.140625" style="52"/>
    <col min="14593" max="14593" width="19.140625" style="52" customWidth="1"/>
    <col min="14594" max="14594" width="7" style="52" bestFit="1" customWidth="1"/>
    <col min="14595" max="14595" width="12.7109375" style="52" customWidth="1"/>
    <col min="14596" max="14596" width="8.28515625" style="52" customWidth="1"/>
    <col min="14597" max="14597" width="9" style="52" customWidth="1"/>
    <col min="14598" max="14598" width="6.85546875" style="52" customWidth="1"/>
    <col min="14599" max="14599" width="9.5703125" style="52" customWidth="1"/>
    <col min="14600" max="14600" width="8.42578125" style="52" customWidth="1"/>
    <col min="14601" max="14601" width="8.5703125" style="52" customWidth="1"/>
    <col min="14602" max="14602" width="5.28515625" style="52" customWidth="1"/>
    <col min="14603" max="14603" width="7.42578125" style="52" customWidth="1"/>
    <col min="14604" max="14616" width="9.140625" style="52"/>
    <col min="14617" max="14625" width="9.28515625" style="52" bestFit="1" customWidth="1"/>
    <col min="14626" max="14626" width="9.7109375" style="52" bestFit="1" customWidth="1"/>
    <col min="14627" max="14627" width="9.28515625" style="52" bestFit="1" customWidth="1"/>
    <col min="14628" max="14848" width="9.140625" style="52"/>
    <col min="14849" max="14849" width="19.140625" style="52" customWidth="1"/>
    <col min="14850" max="14850" width="7" style="52" bestFit="1" customWidth="1"/>
    <col min="14851" max="14851" width="12.7109375" style="52" customWidth="1"/>
    <col min="14852" max="14852" width="8.28515625" style="52" customWidth="1"/>
    <col min="14853" max="14853" width="9" style="52" customWidth="1"/>
    <col min="14854" max="14854" width="6.85546875" style="52" customWidth="1"/>
    <col min="14855" max="14855" width="9.5703125" style="52" customWidth="1"/>
    <col min="14856" max="14856" width="8.42578125" style="52" customWidth="1"/>
    <col min="14857" max="14857" width="8.5703125" style="52" customWidth="1"/>
    <col min="14858" max="14858" width="5.28515625" style="52" customWidth="1"/>
    <col min="14859" max="14859" width="7.42578125" style="52" customWidth="1"/>
    <col min="14860" max="14872" width="9.140625" style="52"/>
    <col min="14873" max="14881" width="9.28515625" style="52" bestFit="1" customWidth="1"/>
    <col min="14882" max="14882" width="9.7109375" style="52" bestFit="1" customWidth="1"/>
    <col min="14883" max="14883" width="9.28515625" style="52" bestFit="1" customWidth="1"/>
    <col min="14884" max="15104" width="9.140625" style="52"/>
    <col min="15105" max="15105" width="19.140625" style="52" customWidth="1"/>
    <col min="15106" max="15106" width="7" style="52" bestFit="1" customWidth="1"/>
    <col min="15107" max="15107" width="12.7109375" style="52" customWidth="1"/>
    <col min="15108" max="15108" width="8.28515625" style="52" customWidth="1"/>
    <col min="15109" max="15109" width="9" style="52" customWidth="1"/>
    <col min="15110" max="15110" width="6.85546875" style="52" customWidth="1"/>
    <col min="15111" max="15111" width="9.5703125" style="52" customWidth="1"/>
    <col min="15112" max="15112" width="8.42578125" style="52" customWidth="1"/>
    <col min="15113" max="15113" width="8.5703125" style="52" customWidth="1"/>
    <col min="15114" max="15114" width="5.28515625" style="52" customWidth="1"/>
    <col min="15115" max="15115" width="7.42578125" style="52" customWidth="1"/>
    <col min="15116" max="15128" width="9.140625" style="52"/>
    <col min="15129" max="15137" width="9.28515625" style="52" bestFit="1" customWidth="1"/>
    <col min="15138" max="15138" width="9.7109375" style="52" bestFit="1" customWidth="1"/>
    <col min="15139" max="15139" width="9.28515625" style="52" bestFit="1" customWidth="1"/>
    <col min="15140" max="15360" width="9.140625" style="52"/>
    <col min="15361" max="15361" width="19.140625" style="52" customWidth="1"/>
    <col min="15362" max="15362" width="7" style="52" bestFit="1" customWidth="1"/>
    <col min="15363" max="15363" width="12.7109375" style="52" customWidth="1"/>
    <col min="15364" max="15364" width="8.28515625" style="52" customWidth="1"/>
    <col min="15365" max="15365" width="9" style="52" customWidth="1"/>
    <col min="15366" max="15366" width="6.85546875" style="52" customWidth="1"/>
    <col min="15367" max="15367" width="9.5703125" style="52" customWidth="1"/>
    <col min="15368" max="15368" width="8.42578125" style="52" customWidth="1"/>
    <col min="15369" max="15369" width="8.5703125" style="52" customWidth="1"/>
    <col min="15370" max="15370" width="5.28515625" style="52" customWidth="1"/>
    <col min="15371" max="15371" width="7.42578125" style="52" customWidth="1"/>
    <col min="15372" max="15384" width="9.140625" style="52"/>
    <col min="15385" max="15393" width="9.28515625" style="52" bestFit="1" customWidth="1"/>
    <col min="15394" max="15394" width="9.7109375" style="52" bestFit="1" customWidth="1"/>
    <col min="15395" max="15395" width="9.28515625" style="52" bestFit="1" customWidth="1"/>
    <col min="15396" max="15616" width="9.140625" style="52"/>
    <col min="15617" max="15617" width="19.140625" style="52" customWidth="1"/>
    <col min="15618" max="15618" width="7" style="52" bestFit="1" customWidth="1"/>
    <col min="15619" max="15619" width="12.7109375" style="52" customWidth="1"/>
    <col min="15620" max="15620" width="8.28515625" style="52" customWidth="1"/>
    <col min="15621" max="15621" width="9" style="52" customWidth="1"/>
    <col min="15622" max="15622" width="6.85546875" style="52" customWidth="1"/>
    <col min="15623" max="15623" width="9.5703125" style="52" customWidth="1"/>
    <col min="15624" max="15624" width="8.42578125" style="52" customWidth="1"/>
    <col min="15625" max="15625" width="8.5703125" style="52" customWidth="1"/>
    <col min="15626" max="15626" width="5.28515625" style="52" customWidth="1"/>
    <col min="15627" max="15627" width="7.42578125" style="52" customWidth="1"/>
    <col min="15628" max="15640" width="9.140625" style="52"/>
    <col min="15641" max="15649" width="9.28515625" style="52" bestFit="1" customWidth="1"/>
    <col min="15650" max="15650" width="9.7109375" style="52" bestFit="1" customWidth="1"/>
    <col min="15651" max="15651" width="9.28515625" style="52" bestFit="1" customWidth="1"/>
    <col min="15652" max="15872" width="9.140625" style="52"/>
    <col min="15873" max="15873" width="19.140625" style="52" customWidth="1"/>
    <col min="15874" max="15874" width="7" style="52" bestFit="1" customWidth="1"/>
    <col min="15875" max="15875" width="12.7109375" style="52" customWidth="1"/>
    <col min="15876" max="15876" width="8.28515625" style="52" customWidth="1"/>
    <col min="15877" max="15877" width="9" style="52" customWidth="1"/>
    <col min="15878" max="15878" width="6.85546875" style="52" customWidth="1"/>
    <col min="15879" max="15879" width="9.5703125" style="52" customWidth="1"/>
    <col min="15880" max="15880" width="8.42578125" style="52" customWidth="1"/>
    <col min="15881" max="15881" width="8.5703125" style="52" customWidth="1"/>
    <col min="15882" max="15882" width="5.28515625" style="52" customWidth="1"/>
    <col min="15883" max="15883" width="7.42578125" style="52" customWidth="1"/>
    <col min="15884" max="15896" width="9.140625" style="52"/>
    <col min="15897" max="15905" width="9.28515625" style="52" bestFit="1" customWidth="1"/>
    <col min="15906" max="15906" width="9.7109375" style="52" bestFit="1" customWidth="1"/>
    <col min="15907" max="15907" width="9.28515625" style="52" bestFit="1" customWidth="1"/>
    <col min="15908" max="16128" width="9.140625" style="52"/>
    <col min="16129" max="16129" width="19.140625" style="52" customWidth="1"/>
    <col min="16130" max="16130" width="7" style="52" bestFit="1" customWidth="1"/>
    <col min="16131" max="16131" width="12.7109375" style="52" customWidth="1"/>
    <col min="16132" max="16132" width="8.28515625" style="52" customWidth="1"/>
    <col min="16133" max="16133" width="9" style="52" customWidth="1"/>
    <col min="16134" max="16134" width="6.85546875" style="52" customWidth="1"/>
    <col min="16135" max="16135" width="9.5703125" style="52" customWidth="1"/>
    <col min="16136" max="16136" width="8.42578125" style="52" customWidth="1"/>
    <col min="16137" max="16137" width="8.5703125" style="52" customWidth="1"/>
    <col min="16138" max="16138" width="5.28515625" style="52" customWidth="1"/>
    <col min="16139" max="16139" width="7.42578125" style="52" customWidth="1"/>
    <col min="16140" max="16152" width="9.140625" style="52"/>
    <col min="16153" max="16161" width="9.28515625" style="52" bestFit="1" customWidth="1"/>
    <col min="16162" max="16162" width="9.7109375" style="52" bestFit="1" customWidth="1"/>
    <col min="16163" max="16163" width="9.28515625" style="52" bestFit="1" customWidth="1"/>
    <col min="16164" max="16384" width="9.140625" style="52"/>
  </cols>
  <sheetData>
    <row r="1" spans="1:35" s="45" customFormat="1" ht="21.75" customHeight="1">
      <c r="A1" s="42" t="s">
        <v>139</v>
      </c>
      <c r="B1" s="43"/>
      <c r="C1" s="43"/>
      <c r="D1" s="43"/>
      <c r="E1" s="43"/>
      <c r="F1" s="43"/>
      <c r="G1" s="43"/>
      <c r="H1" s="44"/>
      <c r="J1" s="46"/>
    </row>
    <row r="2" spans="1:35" ht="15.75" customHeight="1" thickBot="1">
      <c r="A2" s="47"/>
      <c r="B2" s="47"/>
      <c r="C2" s="47"/>
      <c r="D2" s="47"/>
      <c r="E2" s="47"/>
      <c r="F2" s="47"/>
      <c r="G2" s="48"/>
      <c r="H2" s="49"/>
      <c r="I2" s="50"/>
      <c r="J2" s="50"/>
      <c r="K2" s="51" t="s">
        <v>140</v>
      </c>
    </row>
    <row r="3" spans="1:35" s="56" customFormat="1" ht="33.75" customHeight="1" thickTop="1">
      <c r="A3" s="53"/>
      <c r="B3" s="54" t="s">
        <v>141</v>
      </c>
      <c r="C3" s="55" t="s">
        <v>142</v>
      </c>
      <c r="D3" s="54" t="s">
        <v>143</v>
      </c>
      <c r="E3" s="54" t="s">
        <v>144</v>
      </c>
      <c r="F3" s="55" t="s">
        <v>145</v>
      </c>
      <c r="G3" s="55" t="s">
        <v>146</v>
      </c>
      <c r="H3" s="54" t="s">
        <v>147</v>
      </c>
      <c r="I3" s="54" t="s">
        <v>5</v>
      </c>
      <c r="J3" s="54" t="s">
        <v>16</v>
      </c>
      <c r="K3" s="54" t="s">
        <v>148</v>
      </c>
    </row>
    <row r="4" spans="1:35" s="60" customFormat="1" ht="10.5" customHeight="1">
      <c r="A4" s="57" t="s">
        <v>149</v>
      </c>
      <c r="B4" s="58"/>
      <c r="C4" s="59"/>
      <c r="D4" s="59"/>
      <c r="E4" s="59"/>
      <c r="F4" s="59"/>
      <c r="G4" s="59"/>
      <c r="H4" s="59"/>
      <c r="I4" s="59"/>
      <c r="J4" s="59"/>
      <c r="K4" s="59"/>
      <c r="M4" s="59"/>
      <c r="N4" s="59"/>
      <c r="O4" s="59"/>
      <c r="P4" s="59"/>
      <c r="Q4" s="59"/>
      <c r="R4" s="59"/>
      <c r="S4" s="59"/>
      <c r="T4" s="59"/>
      <c r="U4" s="59"/>
      <c r="V4" s="59"/>
      <c r="W4" s="61"/>
      <c r="AB4" s="59"/>
      <c r="AC4" s="59"/>
      <c r="AD4" s="59"/>
      <c r="AE4" s="59"/>
      <c r="AF4" s="59"/>
      <c r="AG4" s="59"/>
      <c r="AH4" s="59"/>
      <c r="AI4" s="61"/>
    </row>
    <row r="5" spans="1:35" s="60" customFormat="1" ht="10.5" customHeight="1">
      <c r="A5" s="47" t="s">
        <v>150</v>
      </c>
      <c r="B5" s="62">
        <v>10696.083047160781</v>
      </c>
      <c r="C5" s="58">
        <v>0</v>
      </c>
      <c r="D5" s="62">
        <v>83911.539840911268</v>
      </c>
      <c r="E5" s="58">
        <v>0</v>
      </c>
      <c r="F5" s="58">
        <v>72124.616785399121</v>
      </c>
      <c r="G5" s="62">
        <v>4356.7008211972789</v>
      </c>
      <c r="H5" s="59">
        <v>14928.085856213287</v>
      </c>
      <c r="I5" s="58">
        <v>0</v>
      </c>
      <c r="J5" s="58">
        <v>0</v>
      </c>
      <c r="K5" s="62">
        <v>186017.02635088173</v>
      </c>
      <c r="L5" s="58"/>
      <c r="M5" s="59"/>
      <c r="N5" s="59"/>
      <c r="O5" s="59"/>
      <c r="P5" s="59"/>
      <c r="Q5" s="59"/>
      <c r="R5" s="59"/>
      <c r="S5" s="59"/>
      <c r="T5" s="59"/>
      <c r="U5" s="59"/>
      <c r="V5" s="59"/>
      <c r="W5" s="61"/>
      <c r="AB5" s="59"/>
      <c r="AC5" s="59"/>
      <c r="AD5" s="59"/>
      <c r="AE5" s="59"/>
      <c r="AF5" s="59"/>
      <c r="AG5" s="59"/>
      <c r="AH5" s="59"/>
      <c r="AI5" s="61"/>
    </row>
    <row r="6" spans="1:35" s="60" customFormat="1" ht="10.5" customHeight="1">
      <c r="A6" s="47" t="s">
        <v>4</v>
      </c>
      <c r="B6" s="62">
        <v>28197.303077449134</v>
      </c>
      <c r="C6" s="62">
        <v>732.70241770266057</v>
      </c>
      <c r="D6" s="62">
        <v>62610.668562862113</v>
      </c>
      <c r="E6" s="62">
        <v>27500.819475971544</v>
      </c>
      <c r="F6" s="58">
        <v>29065.04276575569</v>
      </c>
      <c r="G6" s="58">
        <v>378.1990757892263</v>
      </c>
      <c r="H6" s="58">
        <v>0</v>
      </c>
      <c r="I6" s="58">
        <v>740.57489251934669</v>
      </c>
      <c r="J6" s="58">
        <v>0</v>
      </c>
      <c r="K6" s="62">
        <v>149225.31026804971</v>
      </c>
      <c r="L6" s="58"/>
      <c r="M6" s="59"/>
      <c r="N6" s="59"/>
      <c r="O6" s="59"/>
      <c r="P6" s="59"/>
      <c r="Q6" s="59"/>
      <c r="R6" s="59"/>
      <c r="S6" s="59"/>
      <c r="T6" s="59"/>
      <c r="U6" s="59"/>
      <c r="V6" s="59"/>
      <c r="W6" s="61"/>
      <c r="AB6" s="59"/>
      <c r="AC6" s="59"/>
      <c r="AD6" s="59"/>
      <c r="AE6" s="59"/>
      <c r="AF6" s="59"/>
      <c r="AG6" s="59"/>
      <c r="AH6" s="59"/>
      <c r="AI6" s="61"/>
    </row>
    <row r="7" spans="1:35" s="60" customFormat="1" ht="10.5" customHeight="1">
      <c r="A7" s="47" t="s">
        <v>151</v>
      </c>
      <c r="B7" s="62">
        <v>-418.85810329210875</v>
      </c>
      <c r="C7" s="62">
        <v>-170.41374128212479</v>
      </c>
      <c r="D7" s="58">
        <v>-55753.92076361864</v>
      </c>
      <c r="E7" s="62">
        <v>-32709.85248511305</v>
      </c>
      <c r="F7" s="58">
        <v>-10589.664168786079</v>
      </c>
      <c r="G7" s="62">
        <v>-33.830762525597763</v>
      </c>
      <c r="H7" s="58">
        <v>0</v>
      </c>
      <c r="I7" s="58">
        <v>-292.20651332760116</v>
      </c>
      <c r="J7" s="58">
        <v>0</v>
      </c>
      <c r="K7" s="62">
        <v>-99968.746537945219</v>
      </c>
      <c r="L7" s="58"/>
      <c r="M7" s="59"/>
      <c r="N7" s="59"/>
      <c r="O7" s="59"/>
      <c r="P7" s="59"/>
      <c r="Q7" s="59"/>
      <c r="R7" s="59"/>
      <c r="S7" s="59"/>
      <c r="T7" s="59"/>
      <c r="U7" s="59"/>
      <c r="V7" s="59"/>
      <c r="W7" s="61"/>
      <c r="AB7" s="59"/>
      <c r="AC7" s="59"/>
      <c r="AD7" s="59"/>
      <c r="AE7" s="59"/>
      <c r="AF7" s="59"/>
      <c r="AG7" s="59"/>
      <c r="AH7" s="59"/>
      <c r="AI7" s="61"/>
    </row>
    <row r="8" spans="1:35" s="60" customFormat="1" ht="10.5" customHeight="1">
      <c r="A8" s="47" t="s">
        <v>152</v>
      </c>
      <c r="B8" s="58">
        <v>0</v>
      </c>
      <c r="C8" s="58">
        <v>0</v>
      </c>
      <c r="D8" s="58">
        <v>0</v>
      </c>
      <c r="E8" s="58">
        <v>-2512.6647831668879</v>
      </c>
      <c r="F8" s="58">
        <v>0</v>
      </c>
      <c r="G8" s="58">
        <v>0</v>
      </c>
      <c r="H8" s="58">
        <v>0</v>
      </c>
      <c r="I8" s="58">
        <v>0</v>
      </c>
      <c r="J8" s="58">
        <v>0</v>
      </c>
      <c r="K8" s="58">
        <v>-2512.6647831668879</v>
      </c>
      <c r="L8" s="58"/>
      <c r="M8" s="59"/>
      <c r="N8" s="59"/>
      <c r="O8" s="59"/>
      <c r="P8" s="59"/>
      <c r="Q8" s="59"/>
      <c r="R8" s="59"/>
      <c r="S8" s="59"/>
      <c r="T8" s="59"/>
      <c r="U8" s="59"/>
      <c r="V8" s="59"/>
      <c r="W8" s="61"/>
      <c r="AB8" s="59"/>
      <c r="AC8" s="59"/>
      <c r="AD8" s="59"/>
      <c r="AE8" s="59"/>
      <c r="AF8" s="59"/>
      <c r="AG8" s="59"/>
      <c r="AH8" s="59"/>
      <c r="AI8" s="61"/>
    </row>
    <row r="9" spans="1:35" s="60" customFormat="1" ht="10.5" customHeight="1">
      <c r="A9" s="63" t="s">
        <v>153</v>
      </c>
      <c r="B9" s="62">
        <v>1862.112589495056</v>
      </c>
      <c r="C9" s="58">
        <v>-21.699939703353486</v>
      </c>
      <c r="D9" s="58">
        <v>856.21824163238955</v>
      </c>
      <c r="E9" s="62">
        <v>1090.1022239432027</v>
      </c>
      <c r="F9" s="58">
        <v>471.19518486672553</v>
      </c>
      <c r="G9" s="58">
        <v>0</v>
      </c>
      <c r="H9" s="58">
        <v>0</v>
      </c>
      <c r="I9" s="58">
        <v>0</v>
      </c>
      <c r="J9" s="58">
        <v>0</v>
      </c>
      <c r="K9" s="62">
        <v>4257.9283002340208</v>
      </c>
      <c r="L9" s="58"/>
      <c r="M9" s="59"/>
      <c r="N9" s="59"/>
      <c r="O9" s="59"/>
      <c r="P9" s="59"/>
      <c r="Q9" s="59"/>
      <c r="R9" s="59"/>
      <c r="S9" s="59"/>
      <c r="T9" s="59"/>
      <c r="U9" s="59"/>
      <c r="V9" s="59"/>
      <c r="W9" s="61"/>
      <c r="AB9" s="59"/>
      <c r="AC9" s="59"/>
      <c r="AD9" s="59"/>
      <c r="AE9" s="59"/>
      <c r="AF9" s="59"/>
      <c r="AG9" s="59"/>
      <c r="AH9" s="59"/>
      <c r="AI9" s="61"/>
    </row>
    <row r="10" spans="1:35" s="67" customFormat="1" ht="10.5" customHeight="1">
      <c r="A10" s="64" t="s">
        <v>154</v>
      </c>
      <c r="B10" s="65">
        <v>40336.640610812858</v>
      </c>
      <c r="C10" s="65">
        <v>540.58873671718231</v>
      </c>
      <c r="D10" s="66">
        <v>91624.505881787132</v>
      </c>
      <c r="E10" s="65">
        <v>-6631.59556836519</v>
      </c>
      <c r="F10" s="66">
        <v>91071.190567235448</v>
      </c>
      <c r="G10" s="65">
        <v>4701.0691344609077</v>
      </c>
      <c r="H10" s="66">
        <v>14928.085856213287</v>
      </c>
      <c r="I10" s="66">
        <v>448.36837919174553</v>
      </c>
      <c r="J10" s="66">
        <v>0</v>
      </c>
      <c r="K10" s="65">
        <v>237018.85359805339</v>
      </c>
      <c r="L10" s="58"/>
      <c r="M10" s="59"/>
      <c r="N10" s="59"/>
      <c r="O10" s="59"/>
      <c r="P10" s="59"/>
      <c r="Q10" s="59"/>
      <c r="R10" s="59"/>
      <c r="S10" s="59"/>
      <c r="T10" s="59"/>
      <c r="U10" s="59"/>
      <c r="V10" s="59"/>
      <c r="W10" s="61"/>
      <c r="AB10" s="59"/>
      <c r="AC10" s="59"/>
      <c r="AD10" s="59"/>
      <c r="AE10" s="59"/>
      <c r="AF10" s="59"/>
      <c r="AG10" s="59"/>
      <c r="AH10" s="59"/>
      <c r="AI10" s="61"/>
    </row>
    <row r="11" spans="1:35" s="67" customFormat="1" ht="11.25" customHeight="1">
      <c r="A11" s="64" t="s">
        <v>155</v>
      </c>
      <c r="B11" s="68">
        <v>36.847441528429044</v>
      </c>
      <c r="C11" s="68">
        <v>-13.404097824114501</v>
      </c>
      <c r="D11" s="69">
        <v>-116.55915158498101</v>
      </c>
      <c r="E11" s="68">
        <v>-79.177700019243275</v>
      </c>
      <c r="F11" s="68">
        <v>81.233600401916192</v>
      </c>
      <c r="G11" s="69">
        <v>0</v>
      </c>
      <c r="H11" s="69">
        <v>0</v>
      </c>
      <c r="I11" s="68">
        <v>84.598169826650462</v>
      </c>
      <c r="J11" s="69">
        <v>0</v>
      </c>
      <c r="K11" s="68">
        <v>-6.7460036423353245</v>
      </c>
      <c r="L11" s="58"/>
      <c r="M11" s="59"/>
      <c r="N11" s="59"/>
      <c r="O11" s="59"/>
      <c r="P11" s="59"/>
      <c r="Q11" s="59"/>
      <c r="R11" s="59"/>
      <c r="S11" s="59"/>
      <c r="T11" s="59"/>
      <c r="U11" s="59"/>
      <c r="V11" s="59"/>
      <c r="W11" s="61"/>
      <c r="AB11" s="59"/>
      <c r="AC11" s="59"/>
      <c r="AD11" s="59"/>
      <c r="AE11" s="59"/>
      <c r="AF11" s="59"/>
      <c r="AG11" s="59"/>
      <c r="AH11" s="59"/>
      <c r="AI11" s="61"/>
    </row>
    <row r="12" spans="1:35" s="67" customFormat="1" ht="10.5" customHeight="1">
      <c r="A12" s="64" t="s">
        <v>156</v>
      </c>
      <c r="B12" s="65">
        <v>40299.793169284429</v>
      </c>
      <c r="C12" s="65">
        <v>553.99283454129682</v>
      </c>
      <c r="D12" s="66">
        <v>91741.065033372113</v>
      </c>
      <c r="E12" s="65">
        <v>-6552.4178683459468</v>
      </c>
      <c r="F12" s="65">
        <v>90989.956966833532</v>
      </c>
      <c r="G12" s="65">
        <v>4701.0725849609071</v>
      </c>
      <c r="H12" s="66">
        <v>14928.085856213287</v>
      </c>
      <c r="I12" s="65">
        <v>363.77020936509507</v>
      </c>
      <c r="J12" s="66">
        <v>0</v>
      </c>
      <c r="K12" s="65">
        <v>237025.59960169569</v>
      </c>
      <c r="L12" s="58"/>
      <c r="M12" s="59"/>
      <c r="N12" s="59"/>
      <c r="O12" s="59"/>
      <c r="P12" s="59"/>
      <c r="Q12" s="59"/>
      <c r="R12" s="59"/>
      <c r="S12" s="59"/>
      <c r="T12" s="59"/>
      <c r="U12" s="59"/>
      <c r="V12" s="59"/>
      <c r="W12" s="61"/>
      <c r="AB12" s="59"/>
      <c r="AC12" s="59"/>
      <c r="AD12" s="59"/>
      <c r="AE12" s="59"/>
      <c r="AF12" s="59"/>
      <c r="AG12" s="59"/>
      <c r="AH12" s="59"/>
      <c r="AI12" s="61"/>
    </row>
    <row r="13" spans="1:35" s="60" customFormat="1" ht="4.5" customHeight="1">
      <c r="A13" s="47"/>
      <c r="B13" s="58"/>
      <c r="C13" s="58"/>
      <c r="D13" s="58"/>
      <c r="E13" s="58"/>
      <c r="F13" s="58"/>
      <c r="G13" s="58"/>
      <c r="H13" s="58"/>
      <c r="I13" s="58"/>
      <c r="J13" s="58"/>
      <c r="K13" s="70"/>
      <c r="L13" s="58"/>
      <c r="M13" s="59"/>
      <c r="N13" s="59"/>
      <c r="O13" s="59"/>
      <c r="P13" s="59"/>
      <c r="Q13" s="59"/>
      <c r="R13" s="59"/>
      <c r="S13" s="59"/>
      <c r="T13" s="59"/>
      <c r="U13" s="59"/>
      <c r="V13" s="59"/>
      <c r="W13" s="61"/>
      <c r="AB13" s="59"/>
      <c r="AC13" s="59"/>
      <c r="AD13" s="59"/>
      <c r="AE13" s="59"/>
      <c r="AF13" s="59"/>
      <c r="AG13" s="59"/>
      <c r="AH13" s="59"/>
      <c r="AI13" s="61"/>
    </row>
    <row r="14" spans="1:35" s="60" customFormat="1" ht="10.5" customHeight="1">
      <c r="A14" s="47" t="s">
        <v>157</v>
      </c>
      <c r="B14" s="69">
        <v>0</v>
      </c>
      <c r="C14" s="69">
        <v>-126.41460315085507</v>
      </c>
      <c r="D14" s="69">
        <v>-3211.4964193979745</v>
      </c>
      <c r="E14" s="68">
        <v>3234.5246809327177</v>
      </c>
      <c r="F14" s="69">
        <v>-6.6868108168529661</v>
      </c>
      <c r="G14" s="69">
        <v>0</v>
      </c>
      <c r="H14" s="69">
        <v>-892.19826526225268</v>
      </c>
      <c r="I14" s="69">
        <v>892.19826526225268</v>
      </c>
      <c r="J14" s="69">
        <v>0</v>
      </c>
      <c r="K14" s="69">
        <v>-110.07315243296455</v>
      </c>
      <c r="L14" s="58"/>
      <c r="M14" s="59"/>
      <c r="N14" s="59"/>
      <c r="O14" s="59"/>
      <c r="P14" s="59"/>
      <c r="Q14" s="59"/>
      <c r="R14" s="59"/>
      <c r="S14" s="59"/>
      <c r="T14" s="59"/>
      <c r="U14" s="59"/>
      <c r="V14" s="59"/>
      <c r="W14" s="61"/>
      <c r="AB14" s="59"/>
      <c r="AC14" s="59"/>
      <c r="AD14" s="59"/>
      <c r="AE14" s="59"/>
      <c r="AF14" s="59"/>
      <c r="AG14" s="59"/>
      <c r="AH14" s="59"/>
      <c r="AI14" s="61"/>
    </row>
    <row r="15" spans="1:35" s="60" customFormat="1" ht="10.5" customHeight="1">
      <c r="A15" s="57" t="s">
        <v>158</v>
      </c>
      <c r="B15" s="71">
        <v>-38554.557209522733</v>
      </c>
      <c r="C15" s="72">
        <v>1724.6129556237615</v>
      </c>
      <c r="D15" s="72">
        <v>-88529.568613974145</v>
      </c>
      <c r="E15" s="71">
        <v>87861.506742448197</v>
      </c>
      <c r="F15" s="71">
        <v>-32213.749562274745</v>
      </c>
      <c r="G15" s="71">
        <v>-3480.7278322865568</v>
      </c>
      <c r="H15" s="72">
        <v>-14035.887590951035</v>
      </c>
      <c r="I15" s="71">
        <v>32915.569469839887</v>
      </c>
      <c r="J15" s="71">
        <v>1195.5378034599423</v>
      </c>
      <c r="K15" s="71">
        <v>-53117.544653108438</v>
      </c>
      <c r="L15" s="58"/>
      <c r="M15" s="59"/>
      <c r="N15" s="59"/>
      <c r="O15" s="59"/>
      <c r="P15" s="59"/>
      <c r="Q15" s="59"/>
      <c r="R15" s="59"/>
      <c r="S15" s="59"/>
      <c r="T15" s="59"/>
      <c r="U15" s="59"/>
      <c r="V15" s="59"/>
      <c r="W15" s="61"/>
      <c r="AB15" s="59"/>
      <c r="AC15" s="59"/>
      <c r="AD15" s="59"/>
      <c r="AE15" s="59"/>
      <c r="AF15" s="59"/>
      <c r="AG15" s="59"/>
      <c r="AH15" s="59"/>
      <c r="AI15" s="61"/>
    </row>
    <row r="16" spans="1:35" s="60" customFormat="1" ht="10.5" customHeight="1">
      <c r="A16" s="47" t="s">
        <v>159</v>
      </c>
      <c r="B16" s="62">
        <v>-32873.331920050019</v>
      </c>
      <c r="C16" s="58">
        <v>-937.09389509888206</v>
      </c>
      <c r="D16" s="58">
        <v>0</v>
      </c>
      <c r="E16" s="58">
        <v>-677.15088152328644</v>
      </c>
      <c r="F16" s="62">
        <v>-30329.943797488933</v>
      </c>
      <c r="G16" s="62">
        <v>-3480.7278322865568</v>
      </c>
      <c r="H16" s="58">
        <v>-14035.887590951035</v>
      </c>
      <c r="I16" s="62">
        <v>32915.569469839887</v>
      </c>
      <c r="J16" s="58">
        <v>0</v>
      </c>
      <c r="K16" s="62">
        <v>-49418.566447558842</v>
      </c>
      <c r="L16" s="58"/>
      <c r="M16" s="59"/>
      <c r="N16" s="59"/>
      <c r="O16" s="59"/>
      <c r="P16" s="59"/>
      <c r="Q16" s="59"/>
      <c r="R16" s="59"/>
      <c r="S16" s="59"/>
      <c r="T16" s="59"/>
      <c r="U16" s="59"/>
      <c r="V16" s="59"/>
      <c r="W16" s="61"/>
      <c r="AB16" s="59"/>
      <c r="AC16" s="59"/>
      <c r="AD16" s="59"/>
      <c r="AE16" s="59"/>
      <c r="AF16" s="59"/>
      <c r="AG16" s="59"/>
      <c r="AH16" s="59"/>
      <c r="AI16" s="61"/>
    </row>
    <row r="17" spans="1:35" s="60" customFormat="1" ht="10.5" customHeight="1">
      <c r="A17" s="47" t="s">
        <v>160</v>
      </c>
      <c r="B17" s="62">
        <v>-31974.974477193351</v>
      </c>
      <c r="C17" s="58">
        <v>0</v>
      </c>
      <c r="D17" s="58">
        <v>0</v>
      </c>
      <c r="E17" s="58">
        <v>-210.99978836147974</v>
      </c>
      <c r="F17" s="62">
        <v>-27501.979051143277</v>
      </c>
      <c r="G17" s="62">
        <v>-625.21439095550647</v>
      </c>
      <c r="H17" s="58">
        <v>-14035.887590951035</v>
      </c>
      <c r="I17" s="62">
        <v>30080.684253072908</v>
      </c>
      <c r="J17" s="58">
        <v>0</v>
      </c>
      <c r="K17" s="62">
        <v>-44268.371045531749</v>
      </c>
      <c r="L17" s="58"/>
      <c r="M17" s="59"/>
      <c r="N17" s="59"/>
      <c r="O17" s="59"/>
      <c r="P17" s="59"/>
      <c r="Q17" s="59"/>
      <c r="R17" s="59"/>
      <c r="S17" s="59"/>
      <c r="T17" s="59"/>
      <c r="U17" s="59"/>
      <c r="V17" s="59"/>
      <c r="W17" s="61"/>
      <c r="AB17" s="59"/>
      <c r="AC17" s="59"/>
      <c r="AD17" s="59"/>
      <c r="AE17" s="59"/>
      <c r="AF17" s="59"/>
      <c r="AG17" s="59"/>
      <c r="AH17" s="59"/>
      <c r="AI17" s="61"/>
    </row>
    <row r="18" spans="1:35" s="60" customFormat="1" ht="10.5" customHeight="1">
      <c r="A18" s="47" t="s">
        <v>125</v>
      </c>
      <c r="B18" s="62">
        <v>-898.35744285666703</v>
      </c>
      <c r="C18" s="58">
        <v>-937.09389509888206</v>
      </c>
      <c r="D18" s="58">
        <v>0</v>
      </c>
      <c r="E18" s="58">
        <v>-466.15109316180667</v>
      </c>
      <c r="F18" s="62">
        <v>-2827.9647463456577</v>
      </c>
      <c r="G18" s="62">
        <v>-2855.5134413310502</v>
      </c>
      <c r="H18" s="58">
        <v>0</v>
      </c>
      <c r="I18" s="62">
        <v>2834.8852167669825</v>
      </c>
      <c r="J18" s="58">
        <v>0</v>
      </c>
      <c r="K18" s="62">
        <v>-5150.1954020270805</v>
      </c>
      <c r="L18" s="58"/>
      <c r="M18" s="59"/>
      <c r="N18" s="59"/>
      <c r="O18" s="59"/>
      <c r="P18" s="59"/>
      <c r="Q18" s="59"/>
      <c r="R18" s="59"/>
      <c r="S18" s="59"/>
      <c r="T18" s="59"/>
      <c r="U18" s="59"/>
      <c r="V18" s="59"/>
      <c r="W18" s="61"/>
      <c r="AB18" s="59"/>
      <c r="AC18" s="59"/>
      <c r="AD18" s="59"/>
      <c r="AE18" s="59"/>
      <c r="AF18" s="59"/>
      <c r="AG18" s="59"/>
      <c r="AH18" s="59"/>
      <c r="AI18" s="61"/>
    </row>
    <row r="19" spans="1:35" s="73" customFormat="1" ht="10.5" customHeight="1">
      <c r="A19" s="47" t="s">
        <v>161</v>
      </c>
      <c r="B19" s="58">
        <v>-286.07079043843385</v>
      </c>
      <c r="C19" s="58">
        <v>-51.380051590713663</v>
      </c>
      <c r="D19" s="58">
        <v>0</v>
      </c>
      <c r="E19" s="58">
        <v>-59.952651222606548</v>
      </c>
      <c r="F19" s="62">
        <v>-1883.8057647858118</v>
      </c>
      <c r="G19" s="58">
        <v>0</v>
      </c>
      <c r="H19" s="58">
        <v>0</v>
      </c>
      <c r="I19" s="58"/>
      <c r="J19" s="62">
        <v>1195.5378034599423</v>
      </c>
      <c r="K19" s="62">
        <v>-1085.9522700486116</v>
      </c>
      <c r="L19" s="58"/>
      <c r="M19" s="59"/>
      <c r="N19" s="59"/>
      <c r="O19" s="59"/>
      <c r="P19" s="59"/>
      <c r="Q19" s="59"/>
      <c r="R19" s="59"/>
      <c r="S19" s="59"/>
      <c r="T19" s="59"/>
      <c r="U19" s="59"/>
      <c r="V19" s="59"/>
      <c r="W19" s="61"/>
      <c r="AB19" s="59"/>
      <c r="AC19" s="59"/>
      <c r="AD19" s="59"/>
      <c r="AE19" s="59"/>
      <c r="AF19" s="59"/>
      <c r="AG19" s="59"/>
      <c r="AH19" s="59"/>
      <c r="AI19" s="61"/>
    </row>
    <row r="20" spans="1:35" s="60" customFormat="1" ht="10.5" customHeight="1">
      <c r="A20" s="47" t="s">
        <v>162</v>
      </c>
      <c r="B20" s="69">
        <v>0</v>
      </c>
      <c r="C20" s="69">
        <v>0</v>
      </c>
      <c r="D20" s="58">
        <v>-88529.568613974145</v>
      </c>
      <c r="E20" s="62">
        <v>88808.264036450899</v>
      </c>
      <c r="F20" s="58">
        <v>0</v>
      </c>
      <c r="G20" s="58">
        <v>0</v>
      </c>
      <c r="H20" s="58">
        <v>0</v>
      </c>
      <c r="I20" s="58">
        <v>0</v>
      </c>
      <c r="J20" s="58">
        <v>0</v>
      </c>
      <c r="K20" s="62">
        <v>278.69542247675417</v>
      </c>
      <c r="L20" s="58"/>
      <c r="M20" s="59"/>
      <c r="N20" s="59"/>
      <c r="O20" s="59"/>
      <c r="P20" s="59"/>
      <c r="Q20" s="59"/>
      <c r="R20" s="59"/>
      <c r="S20" s="59"/>
      <c r="T20" s="59"/>
      <c r="U20" s="59"/>
      <c r="V20" s="59"/>
      <c r="W20" s="61"/>
      <c r="AB20" s="59"/>
      <c r="AC20" s="59"/>
      <c r="AD20" s="59"/>
      <c r="AE20" s="59"/>
      <c r="AF20" s="59"/>
      <c r="AG20" s="59"/>
      <c r="AH20" s="59"/>
      <c r="AI20" s="61"/>
    </row>
    <row r="21" spans="1:35" s="60" customFormat="1" ht="10.5" customHeight="1">
      <c r="A21" s="47" t="s">
        <v>163</v>
      </c>
      <c r="B21" s="58">
        <v>-4319.0008832812655</v>
      </c>
      <c r="C21" s="62">
        <v>4169.4215397819735</v>
      </c>
      <c r="D21" s="58">
        <v>0</v>
      </c>
      <c r="E21" s="58">
        <v>0</v>
      </c>
      <c r="F21" s="58">
        <v>0</v>
      </c>
      <c r="G21" s="58">
        <v>0</v>
      </c>
      <c r="H21" s="58">
        <v>0</v>
      </c>
      <c r="I21" s="58">
        <v>0</v>
      </c>
      <c r="J21" s="58">
        <v>0</v>
      </c>
      <c r="K21" s="62">
        <v>-149.57934349929201</v>
      </c>
      <c r="L21" s="58"/>
      <c r="M21" s="59"/>
      <c r="N21" s="59"/>
      <c r="O21" s="59"/>
      <c r="P21" s="59"/>
      <c r="Q21" s="59"/>
      <c r="R21" s="59"/>
      <c r="S21" s="59"/>
      <c r="T21" s="59"/>
      <c r="U21" s="59"/>
      <c r="V21" s="59"/>
      <c r="W21" s="61"/>
      <c r="AB21" s="59"/>
      <c r="AC21" s="59"/>
      <c r="AD21" s="59"/>
      <c r="AE21" s="59"/>
      <c r="AF21" s="59"/>
      <c r="AG21" s="59"/>
      <c r="AH21" s="59"/>
      <c r="AI21" s="61"/>
    </row>
    <row r="22" spans="1:35" s="60" customFormat="1" ht="10.5" customHeight="1">
      <c r="A22" s="47" t="s">
        <v>126</v>
      </c>
      <c r="B22" s="58">
        <v>-904.44038775362071</v>
      </c>
      <c r="C22" s="58">
        <v>-1632.6849250390758</v>
      </c>
      <c r="D22" s="58">
        <v>0</v>
      </c>
      <c r="E22" s="58">
        <v>-209.65376125681584</v>
      </c>
      <c r="F22" s="58">
        <v>0</v>
      </c>
      <c r="G22" s="58">
        <v>0</v>
      </c>
      <c r="H22" s="58">
        <v>0</v>
      </c>
      <c r="I22" s="58">
        <v>0</v>
      </c>
      <c r="J22" s="58">
        <v>0</v>
      </c>
      <c r="K22" s="58">
        <v>-2746.7790740495125</v>
      </c>
      <c r="L22" s="58"/>
      <c r="M22" s="59"/>
      <c r="N22" s="59"/>
      <c r="O22" s="59"/>
      <c r="P22" s="59"/>
      <c r="Q22" s="59"/>
      <c r="R22" s="59"/>
      <c r="S22" s="59"/>
      <c r="T22" s="59"/>
      <c r="U22" s="59"/>
      <c r="V22" s="59"/>
      <c r="W22" s="61"/>
      <c r="AB22" s="59"/>
      <c r="AC22" s="59"/>
      <c r="AD22" s="59"/>
      <c r="AE22" s="59"/>
      <c r="AF22" s="59"/>
      <c r="AG22" s="59"/>
      <c r="AH22" s="59"/>
      <c r="AI22" s="61"/>
    </row>
    <row r="23" spans="1:35" s="60" customFormat="1" ht="10.5" customHeight="1">
      <c r="A23" s="47" t="s">
        <v>164</v>
      </c>
      <c r="B23" s="58">
        <v>-171.71322799939193</v>
      </c>
      <c r="C23" s="58">
        <v>176.35028757045953</v>
      </c>
      <c r="D23" s="58">
        <v>0</v>
      </c>
      <c r="E23" s="58">
        <v>0</v>
      </c>
      <c r="F23" s="58">
        <v>0</v>
      </c>
      <c r="G23" s="58">
        <v>0</v>
      </c>
      <c r="H23" s="58">
        <v>0</v>
      </c>
      <c r="I23" s="58">
        <v>0</v>
      </c>
      <c r="J23" s="58">
        <v>0</v>
      </c>
      <c r="K23" s="58">
        <v>4.6370595710675957</v>
      </c>
      <c r="L23" s="58"/>
      <c r="M23" s="59"/>
      <c r="N23" s="59"/>
      <c r="O23" s="59"/>
      <c r="P23" s="59"/>
      <c r="Q23" s="59"/>
      <c r="R23" s="59"/>
      <c r="S23" s="59"/>
      <c r="T23" s="59"/>
      <c r="U23" s="59"/>
      <c r="V23" s="59"/>
      <c r="W23" s="61"/>
      <c r="AB23" s="59"/>
      <c r="AC23" s="59"/>
      <c r="AD23" s="59"/>
      <c r="AE23" s="59"/>
      <c r="AF23" s="59"/>
      <c r="AG23" s="59"/>
      <c r="AH23" s="59"/>
      <c r="AI23" s="61"/>
    </row>
    <row r="24" spans="1:35" s="60" customFormat="1" ht="10.5" customHeight="1">
      <c r="A24" s="74" t="s">
        <v>123</v>
      </c>
      <c r="B24" s="75">
        <v>0</v>
      </c>
      <c r="C24" s="75">
        <v>0</v>
      </c>
      <c r="D24" s="75">
        <v>0</v>
      </c>
      <c r="E24" s="75">
        <v>0</v>
      </c>
      <c r="F24" s="75">
        <v>0</v>
      </c>
      <c r="G24" s="75">
        <v>0</v>
      </c>
      <c r="H24" s="75">
        <v>0</v>
      </c>
      <c r="I24" s="75">
        <v>0</v>
      </c>
      <c r="J24" s="75">
        <v>0</v>
      </c>
      <c r="K24" s="75">
        <v>0</v>
      </c>
      <c r="L24" s="58"/>
      <c r="M24" s="59"/>
      <c r="N24" s="59"/>
      <c r="O24" s="59"/>
      <c r="P24" s="59"/>
      <c r="Q24" s="59"/>
      <c r="R24" s="59"/>
      <c r="S24" s="59"/>
      <c r="T24" s="59"/>
      <c r="U24" s="59"/>
      <c r="V24" s="59"/>
      <c r="W24" s="61"/>
      <c r="AB24" s="59"/>
      <c r="AC24" s="59"/>
      <c r="AD24" s="59"/>
      <c r="AE24" s="59"/>
      <c r="AF24" s="59"/>
      <c r="AG24" s="59"/>
      <c r="AH24" s="59"/>
      <c r="AI24" s="61"/>
    </row>
    <row r="25" spans="1:35" s="60" customFormat="1" ht="10.5" customHeight="1">
      <c r="A25" s="76" t="s">
        <v>165</v>
      </c>
      <c r="B25" s="72">
        <v>3.8428609674794316</v>
      </c>
      <c r="C25" s="71">
        <v>881.47682251004414</v>
      </c>
      <c r="D25" s="72">
        <v>0</v>
      </c>
      <c r="E25" s="71">
        <v>4718.7701610732329</v>
      </c>
      <c r="F25" s="71">
        <v>6299.2256223459626</v>
      </c>
      <c r="G25" s="72">
        <v>0</v>
      </c>
      <c r="H25" s="72">
        <v>0</v>
      </c>
      <c r="I25" s="71">
        <v>2543.5577240986504</v>
      </c>
      <c r="J25" s="71">
        <v>67.606119023141133</v>
      </c>
      <c r="K25" s="71">
        <v>14514.479310018509</v>
      </c>
      <c r="L25" s="58"/>
      <c r="M25" s="59"/>
      <c r="N25" s="59"/>
      <c r="O25" s="59"/>
      <c r="P25" s="59"/>
      <c r="Q25" s="59"/>
      <c r="R25" s="59"/>
      <c r="S25" s="59"/>
      <c r="T25" s="59"/>
      <c r="U25" s="59"/>
      <c r="V25" s="59"/>
      <c r="W25" s="61"/>
      <c r="AB25" s="59"/>
      <c r="AC25" s="59"/>
      <c r="AD25" s="59"/>
      <c r="AE25" s="59"/>
      <c r="AF25" s="59"/>
      <c r="AG25" s="59"/>
      <c r="AH25" s="59"/>
      <c r="AI25" s="61"/>
    </row>
    <row r="26" spans="1:35" s="60" customFormat="1" ht="10.5" customHeight="1">
      <c r="A26" s="47" t="s">
        <v>159</v>
      </c>
      <c r="B26" s="69">
        <v>0</v>
      </c>
      <c r="C26" s="69">
        <v>0</v>
      </c>
      <c r="D26" s="72">
        <v>0</v>
      </c>
      <c r="E26" s="72">
        <v>0</v>
      </c>
      <c r="F26" s="72">
        <v>0</v>
      </c>
      <c r="G26" s="72">
        <v>0</v>
      </c>
      <c r="H26" s="72">
        <v>0</v>
      </c>
      <c r="I26" s="62">
        <v>1521.8145950184091</v>
      </c>
      <c r="J26" s="58">
        <v>0</v>
      </c>
      <c r="K26" s="62">
        <v>1521.8145950184091</v>
      </c>
      <c r="L26" s="58"/>
      <c r="M26" s="59"/>
      <c r="N26" s="59"/>
      <c r="O26" s="59"/>
      <c r="P26" s="59"/>
      <c r="Q26" s="59"/>
      <c r="R26" s="59"/>
      <c r="S26" s="59"/>
      <c r="T26" s="59"/>
      <c r="U26" s="59"/>
      <c r="V26" s="59"/>
      <c r="W26" s="61"/>
      <c r="AB26" s="59"/>
      <c r="AC26" s="59"/>
      <c r="AD26" s="59"/>
      <c r="AE26" s="59"/>
      <c r="AF26" s="59"/>
      <c r="AG26" s="59"/>
      <c r="AH26" s="59"/>
      <c r="AI26" s="61"/>
    </row>
    <row r="27" spans="1:35" s="60" customFormat="1" ht="10.5" customHeight="1">
      <c r="A27" s="47" t="s">
        <v>166</v>
      </c>
      <c r="B27" s="69">
        <v>0</v>
      </c>
      <c r="C27" s="69">
        <v>0</v>
      </c>
      <c r="D27" s="72">
        <v>0</v>
      </c>
      <c r="E27" s="72">
        <v>0</v>
      </c>
      <c r="F27" s="58">
        <v>5522.7680375910086</v>
      </c>
      <c r="G27" s="72">
        <v>0</v>
      </c>
      <c r="H27" s="72">
        <v>0</v>
      </c>
      <c r="I27" s="58">
        <v>48.18436493896882</v>
      </c>
      <c r="J27" s="58">
        <v>0</v>
      </c>
      <c r="K27" s="58">
        <v>5570.952402529977</v>
      </c>
      <c r="L27" s="58"/>
      <c r="M27" s="59"/>
      <c r="N27" s="59"/>
      <c r="O27" s="59"/>
      <c r="P27" s="59"/>
      <c r="Q27" s="59"/>
      <c r="R27" s="59"/>
      <c r="S27" s="59"/>
      <c r="T27" s="59"/>
      <c r="U27" s="59"/>
      <c r="V27" s="59"/>
      <c r="W27" s="61"/>
      <c r="AB27" s="59"/>
      <c r="AC27" s="59"/>
      <c r="AD27" s="59"/>
      <c r="AE27" s="59"/>
      <c r="AF27" s="59"/>
      <c r="AG27" s="59"/>
      <c r="AH27" s="59"/>
      <c r="AI27" s="61"/>
    </row>
    <row r="28" spans="1:35" s="60" customFormat="1" ht="10.5" customHeight="1">
      <c r="A28" s="47" t="s">
        <v>162</v>
      </c>
      <c r="B28" s="69">
        <v>0</v>
      </c>
      <c r="C28" s="69">
        <v>0</v>
      </c>
      <c r="D28" s="72">
        <v>0</v>
      </c>
      <c r="E28" s="58">
        <v>4718.7375265188602</v>
      </c>
      <c r="F28" s="62">
        <v>209.92072940392129</v>
      </c>
      <c r="G28" s="72">
        <v>0</v>
      </c>
      <c r="H28" s="72">
        <v>0</v>
      </c>
      <c r="I28" s="62">
        <v>575.709506035652</v>
      </c>
      <c r="J28" s="62">
        <v>67.606119023141133</v>
      </c>
      <c r="K28" s="62">
        <v>5571.9738809815753</v>
      </c>
      <c r="L28" s="58"/>
      <c r="M28" s="59"/>
      <c r="N28" s="59"/>
      <c r="O28" s="59"/>
      <c r="P28" s="59"/>
      <c r="Q28" s="59"/>
      <c r="R28" s="59"/>
      <c r="S28" s="59"/>
      <c r="T28" s="59"/>
      <c r="U28" s="59"/>
      <c r="V28" s="59"/>
      <c r="W28" s="61"/>
      <c r="AB28" s="59"/>
      <c r="AC28" s="59"/>
      <c r="AD28" s="59"/>
      <c r="AE28" s="59"/>
      <c r="AF28" s="59"/>
      <c r="AG28" s="59"/>
      <c r="AH28" s="59"/>
      <c r="AI28" s="61"/>
    </row>
    <row r="29" spans="1:35" s="60" customFormat="1" ht="10.5" customHeight="1">
      <c r="A29" s="47" t="s">
        <v>167</v>
      </c>
      <c r="B29" s="58">
        <v>3.8428609674794316</v>
      </c>
      <c r="C29" s="69">
        <v>0</v>
      </c>
      <c r="D29" s="72">
        <v>0</v>
      </c>
      <c r="E29" s="72">
        <v>0</v>
      </c>
      <c r="F29" s="58">
        <v>7.8245915735167664</v>
      </c>
      <c r="G29" s="72">
        <v>0</v>
      </c>
      <c r="H29" s="72">
        <v>0</v>
      </c>
      <c r="I29" s="58">
        <v>84.52519815677114</v>
      </c>
      <c r="J29" s="72">
        <v>0</v>
      </c>
      <c r="K29" s="58">
        <v>96.192650697767334</v>
      </c>
      <c r="L29" s="58"/>
      <c r="M29" s="59"/>
      <c r="N29" s="59"/>
      <c r="O29" s="59"/>
      <c r="P29" s="59"/>
      <c r="Q29" s="59"/>
      <c r="R29" s="59"/>
      <c r="S29" s="59"/>
      <c r="T29" s="59"/>
      <c r="U29" s="59"/>
      <c r="V29" s="59"/>
      <c r="W29" s="61"/>
      <c r="AB29" s="59"/>
      <c r="AC29" s="59"/>
      <c r="AD29" s="59"/>
      <c r="AE29" s="59"/>
      <c r="AF29" s="59"/>
      <c r="AG29" s="59"/>
      <c r="AH29" s="59"/>
      <c r="AI29" s="61"/>
    </row>
    <row r="30" spans="1:35" s="60" customFormat="1" ht="11.25" customHeight="1">
      <c r="A30" s="47" t="s">
        <v>163</v>
      </c>
      <c r="B30" s="69">
        <v>0</v>
      </c>
      <c r="C30" s="58">
        <v>423.9398886304225</v>
      </c>
      <c r="D30" s="72">
        <v>0</v>
      </c>
      <c r="E30" s="72">
        <v>0</v>
      </c>
      <c r="F30" s="72">
        <v>0</v>
      </c>
      <c r="G30" s="72">
        <v>0</v>
      </c>
      <c r="H30" s="72">
        <v>0</v>
      </c>
      <c r="I30" s="58">
        <v>7.7140557991952763</v>
      </c>
      <c r="J30" s="72">
        <v>0</v>
      </c>
      <c r="K30" s="62">
        <v>431.91851614586881</v>
      </c>
      <c r="L30" s="58"/>
      <c r="M30" s="59"/>
      <c r="N30" s="59"/>
      <c r="O30" s="59"/>
      <c r="P30" s="59"/>
      <c r="Q30" s="59"/>
      <c r="R30" s="59"/>
      <c r="S30" s="59"/>
      <c r="T30" s="59"/>
      <c r="U30" s="59"/>
      <c r="V30" s="59"/>
      <c r="W30" s="61"/>
      <c r="AB30" s="59"/>
      <c r="AC30" s="59"/>
      <c r="AD30" s="59"/>
      <c r="AE30" s="59"/>
      <c r="AF30" s="59"/>
      <c r="AG30" s="59"/>
      <c r="AH30" s="59"/>
      <c r="AI30" s="61"/>
    </row>
    <row r="31" spans="1:35" s="60" customFormat="1" ht="10.5" customHeight="1">
      <c r="A31" s="47" t="s">
        <v>126</v>
      </c>
      <c r="B31" s="69">
        <v>0</v>
      </c>
      <c r="C31" s="58">
        <v>457.53693387962164</v>
      </c>
      <c r="D31" s="72">
        <v>0</v>
      </c>
      <c r="E31" s="72">
        <v>0</v>
      </c>
      <c r="F31" s="58">
        <v>61.82336646603612</v>
      </c>
      <c r="G31" s="72">
        <v>0</v>
      </c>
      <c r="H31" s="72">
        <v>0</v>
      </c>
      <c r="I31" s="58">
        <v>41.168132812308137</v>
      </c>
      <c r="J31" s="72">
        <v>0</v>
      </c>
      <c r="K31" s="58">
        <v>560.56106771233885</v>
      </c>
      <c r="L31" s="58"/>
      <c r="M31" s="59"/>
      <c r="N31" s="59"/>
      <c r="O31" s="59"/>
      <c r="P31" s="59"/>
      <c r="Q31" s="59"/>
      <c r="R31" s="59"/>
      <c r="S31" s="59"/>
      <c r="T31" s="59"/>
      <c r="U31" s="59"/>
      <c r="V31" s="59"/>
      <c r="W31" s="61"/>
      <c r="AB31" s="59"/>
      <c r="AC31" s="59"/>
      <c r="AD31" s="59"/>
      <c r="AE31" s="59"/>
      <c r="AF31" s="59"/>
      <c r="AG31" s="59"/>
      <c r="AH31" s="59"/>
      <c r="AI31" s="61"/>
    </row>
    <row r="32" spans="1:35" s="60" customFormat="1" ht="11.25" customHeight="1">
      <c r="A32" s="47" t="s">
        <v>164</v>
      </c>
      <c r="B32" s="69">
        <v>0</v>
      </c>
      <c r="C32" s="58">
        <v>0</v>
      </c>
      <c r="D32" s="72">
        <v>0</v>
      </c>
      <c r="E32" s="72">
        <v>0</v>
      </c>
      <c r="F32" s="72">
        <v>0</v>
      </c>
      <c r="G32" s="72">
        <v>0</v>
      </c>
      <c r="H32" s="72">
        <v>0</v>
      </c>
      <c r="I32" s="72">
        <v>0</v>
      </c>
      <c r="J32" s="72">
        <v>0</v>
      </c>
      <c r="K32" s="58">
        <v>0</v>
      </c>
      <c r="L32" s="58"/>
      <c r="M32" s="59"/>
      <c r="N32" s="59"/>
      <c r="O32" s="59"/>
      <c r="P32" s="59"/>
      <c r="Q32" s="59"/>
      <c r="R32" s="59"/>
      <c r="S32" s="59"/>
      <c r="T32" s="59"/>
      <c r="U32" s="59"/>
      <c r="V32" s="59"/>
      <c r="W32" s="61"/>
      <c r="AB32" s="59"/>
      <c r="AC32" s="59"/>
      <c r="AD32" s="59"/>
      <c r="AE32" s="59"/>
      <c r="AF32" s="59"/>
      <c r="AG32" s="59"/>
      <c r="AH32" s="59"/>
      <c r="AI32" s="61"/>
    </row>
    <row r="33" spans="1:35" s="60" customFormat="1" ht="10.5" customHeight="1">
      <c r="A33" s="47" t="s">
        <v>168</v>
      </c>
      <c r="B33" s="69">
        <v>0</v>
      </c>
      <c r="C33" s="58">
        <v>0</v>
      </c>
      <c r="D33" s="72">
        <v>0</v>
      </c>
      <c r="E33" s="72">
        <v>0</v>
      </c>
      <c r="F33" s="72">
        <v>0</v>
      </c>
      <c r="G33" s="72">
        <v>0</v>
      </c>
      <c r="H33" s="72">
        <v>0</v>
      </c>
      <c r="I33" s="58">
        <v>104.2166654342218</v>
      </c>
      <c r="J33" s="72">
        <v>0</v>
      </c>
      <c r="K33" s="58">
        <v>104.2166654342218</v>
      </c>
      <c r="L33" s="58"/>
      <c r="M33" s="59"/>
      <c r="N33" s="59"/>
      <c r="O33" s="59"/>
      <c r="P33" s="59"/>
      <c r="Q33" s="59"/>
      <c r="R33" s="59"/>
      <c r="S33" s="59"/>
      <c r="T33" s="59"/>
      <c r="U33" s="59"/>
      <c r="V33" s="59"/>
      <c r="W33" s="61"/>
      <c r="AB33" s="59"/>
      <c r="AC33" s="59"/>
      <c r="AD33" s="59"/>
      <c r="AE33" s="59"/>
      <c r="AF33" s="59"/>
      <c r="AG33" s="59"/>
      <c r="AH33" s="59"/>
      <c r="AI33" s="61"/>
    </row>
    <row r="34" spans="1:35" s="60" customFormat="1" ht="10.5" customHeight="1">
      <c r="A34" s="47" t="s">
        <v>123</v>
      </c>
      <c r="B34" s="69">
        <v>0</v>
      </c>
      <c r="C34" s="58">
        <v>0</v>
      </c>
      <c r="D34" s="72">
        <v>0</v>
      </c>
      <c r="E34" s="72">
        <v>0</v>
      </c>
      <c r="F34" s="58">
        <v>496.62432559522813</v>
      </c>
      <c r="G34" s="72">
        <v>0</v>
      </c>
      <c r="H34" s="72">
        <v>0</v>
      </c>
      <c r="I34" s="62">
        <v>160.22520590312376</v>
      </c>
      <c r="J34" s="72">
        <v>0</v>
      </c>
      <c r="K34" s="62">
        <v>656.84953149835189</v>
      </c>
      <c r="L34" s="58"/>
      <c r="M34" s="59"/>
      <c r="N34" s="59"/>
      <c r="O34" s="59"/>
      <c r="P34" s="59"/>
      <c r="Q34" s="59"/>
      <c r="R34" s="59"/>
      <c r="S34" s="59"/>
      <c r="T34" s="59"/>
      <c r="U34" s="59"/>
      <c r="V34" s="59"/>
      <c r="W34" s="61"/>
      <c r="AB34" s="59"/>
      <c r="AC34" s="59"/>
      <c r="AD34" s="59"/>
      <c r="AE34" s="59"/>
      <c r="AF34" s="59"/>
      <c r="AG34" s="59"/>
      <c r="AH34" s="59"/>
      <c r="AI34" s="61"/>
    </row>
    <row r="35" spans="1:35" s="60" customFormat="1" ht="10.5" customHeight="1">
      <c r="A35" s="77" t="s">
        <v>58</v>
      </c>
      <c r="B35" s="72">
        <v>0</v>
      </c>
      <c r="C35" s="72">
        <v>216.34202534995705</v>
      </c>
      <c r="D35" s="72">
        <v>0</v>
      </c>
      <c r="E35" s="72">
        <v>0</v>
      </c>
      <c r="F35" s="72">
        <v>1037.6687767050994</v>
      </c>
      <c r="G35" s="72">
        <v>0</v>
      </c>
      <c r="H35" s="72">
        <v>0</v>
      </c>
      <c r="I35" s="71">
        <v>2275.9493123434181</v>
      </c>
      <c r="J35" s="72">
        <v>0</v>
      </c>
      <c r="K35" s="71">
        <v>3529.9601143984746</v>
      </c>
      <c r="L35" s="58"/>
      <c r="M35" s="59"/>
      <c r="N35" s="59"/>
      <c r="O35" s="59"/>
      <c r="P35" s="59"/>
      <c r="Q35" s="59"/>
      <c r="R35" s="59"/>
      <c r="S35" s="59"/>
      <c r="T35" s="59"/>
      <c r="U35" s="59"/>
      <c r="V35" s="59"/>
      <c r="W35" s="61"/>
      <c r="AB35" s="59"/>
      <c r="AC35" s="59"/>
      <c r="AD35" s="59"/>
      <c r="AE35" s="59"/>
      <c r="AF35" s="59"/>
      <c r="AG35" s="59"/>
      <c r="AH35" s="59"/>
      <c r="AI35" s="61"/>
    </row>
    <row r="36" spans="1:35" s="60" customFormat="1" ht="10.5" customHeight="1">
      <c r="A36" s="78" t="s">
        <v>169</v>
      </c>
      <c r="B36" s="79">
        <v>1741.393098794214</v>
      </c>
      <c r="C36" s="79">
        <v>1054.3723391542021</v>
      </c>
      <c r="D36" s="80">
        <v>0</v>
      </c>
      <c r="E36" s="79">
        <v>79824.843393961739</v>
      </c>
      <c r="F36" s="79">
        <v>51432.626194690871</v>
      </c>
      <c r="G36" s="79">
        <v>1220.3447526743503</v>
      </c>
      <c r="H36" s="80">
        <v>0</v>
      </c>
      <c r="I36" s="79">
        <v>29352.030908025168</v>
      </c>
      <c r="J36" s="79">
        <v>1127.9316844368013</v>
      </c>
      <c r="K36" s="79">
        <v>165753.54237173733</v>
      </c>
      <c r="L36" s="58"/>
      <c r="M36" s="59"/>
      <c r="N36" s="59"/>
      <c r="O36" s="59"/>
      <c r="P36" s="59"/>
      <c r="Q36" s="61"/>
      <c r="R36" s="59"/>
      <c r="V36" s="59"/>
      <c r="W36" s="59"/>
      <c r="AB36" s="59"/>
      <c r="AC36" s="59"/>
      <c r="AD36" s="59"/>
      <c r="AE36" s="59"/>
      <c r="AF36" s="59"/>
      <c r="AG36" s="59"/>
      <c r="AH36" s="59"/>
      <c r="AI36" s="61"/>
    </row>
    <row r="37" spans="1:35" s="60" customFormat="1" ht="10.5" customHeight="1">
      <c r="A37" s="57" t="s">
        <v>43</v>
      </c>
      <c r="B37" s="71">
        <v>1240.4875496309458</v>
      </c>
      <c r="C37" s="72">
        <v>861.34517357351172</v>
      </c>
      <c r="D37" s="72">
        <v>0</v>
      </c>
      <c r="E37" s="72">
        <v>6826.8147628055231</v>
      </c>
      <c r="F37" s="71">
        <v>11630.301010071018</v>
      </c>
      <c r="G37" s="71">
        <v>276.33064723402265</v>
      </c>
      <c r="H37" s="72">
        <v>0</v>
      </c>
      <c r="I37" s="71">
        <v>10060.801902903399</v>
      </c>
      <c r="J37" s="71">
        <v>690.26303439380911</v>
      </c>
      <c r="K37" s="71">
        <v>31586.344080612234</v>
      </c>
      <c r="L37" s="58"/>
      <c r="M37" s="59"/>
      <c r="N37" s="59"/>
      <c r="O37" s="59"/>
      <c r="P37" s="59"/>
      <c r="Q37" s="61"/>
      <c r="R37" s="59"/>
      <c r="V37" s="59"/>
      <c r="W37" s="59"/>
      <c r="AB37" s="59"/>
      <c r="AC37" s="59"/>
      <c r="AD37" s="59"/>
      <c r="AE37" s="59"/>
      <c r="AF37" s="59"/>
      <c r="AG37" s="59"/>
      <c r="AH37" s="59"/>
      <c r="AI37" s="61"/>
    </row>
    <row r="38" spans="1:35" s="60" customFormat="1" ht="10.5" customHeight="1">
      <c r="A38" s="47" t="s">
        <v>170</v>
      </c>
      <c r="B38" s="58">
        <v>0</v>
      </c>
      <c r="C38" s="58">
        <v>237.32264460895635</v>
      </c>
      <c r="D38" s="72">
        <v>0</v>
      </c>
      <c r="E38" s="58">
        <v>2640.2587526636494</v>
      </c>
      <c r="F38" s="58">
        <v>3.4393809114359413</v>
      </c>
      <c r="G38" s="62">
        <v>276.33064723402265</v>
      </c>
      <c r="H38" s="58">
        <v>0</v>
      </c>
      <c r="I38" s="58">
        <v>0</v>
      </c>
      <c r="J38" s="58">
        <v>0</v>
      </c>
      <c r="K38" s="62">
        <v>3157.3514254180641</v>
      </c>
      <c r="L38" s="58"/>
      <c r="M38" s="59"/>
      <c r="N38" s="59"/>
      <c r="O38" s="59"/>
      <c r="P38" s="59"/>
      <c r="Q38" s="61"/>
      <c r="R38" s="59"/>
      <c r="V38" s="59"/>
      <c r="W38" s="59"/>
      <c r="AB38" s="59"/>
      <c r="AC38" s="59"/>
      <c r="AD38" s="59"/>
      <c r="AE38" s="59"/>
      <c r="AF38" s="59"/>
      <c r="AG38" s="59"/>
      <c r="AH38" s="59"/>
      <c r="AI38" s="61"/>
    </row>
    <row r="39" spans="1:35" s="60" customFormat="1" ht="11.25" customHeight="1">
      <c r="A39" s="47" t="s">
        <v>171</v>
      </c>
      <c r="B39" s="58">
        <v>0.72609152574758762</v>
      </c>
      <c r="C39" s="58">
        <v>624.02252896455536</v>
      </c>
      <c r="D39" s="72">
        <v>0</v>
      </c>
      <c r="E39" s="58">
        <v>19.900492553787309</v>
      </c>
      <c r="F39" s="62">
        <v>628.62156585540276</v>
      </c>
      <c r="G39" s="58">
        <v>0</v>
      </c>
      <c r="H39" s="58">
        <v>0</v>
      </c>
      <c r="I39" s="58">
        <v>423.35971716674726</v>
      </c>
      <c r="J39" s="58">
        <v>0</v>
      </c>
      <c r="K39" s="62">
        <v>1696.6303960662403</v>
      </c>
      <c r="L39" s="58"/>
      <c r="M39" s="59"/>
      <c r="N39" s="59"/>
      <c r="O39" s="59"/>
      <c r="P39" s="59"/>
      <c r="Q39" s="61"/>
      <c r="R39" s="59"/>
      <c r="V39" s="59"/>
      <c r="W39" s="59"/>
      <c r="AB39" s="59"/>
      <c r="AC39" s="59"/>
      <c r="AD39" s="59"/>
      <c r="AE39" s="59"/>
      <c r="AF39" s="59"/>
      <c r="AG39" s="59"/>
      <c r="AH39" s="59"/>
      <c r="AI39" s="61"/>
    </row>
    <row r="40" spans="1:35" s="60" customFormat="1" ht="11.25" customHeight="1">
      <c r="A40" s="47" t="s">
        <v>172</v>
      </c>
      <c r="B40" s="58">
        <v>21.884482632167458</v>
      </c>
      <c r="C40" s="58">
        <v>0</v>
      </c>
      <c r="D40" s="72">
        <v>0</v>
      </c>
      <c r="E40" s="58">
        <v>48.364440689883232</v>
      </c>
      <c r="F40" s="58">
        <v>291.62889836699475</v>
      </c>
      <c r="G40" s="58">
        <v>0</v>
      </c>
      <c r="H40" s="58">
        <v>0</v>
      </c>
      <c r="I40" s="62">
        <v>630.31673484735825</v>
      </c>
      <c r="J40" s="58">
        <v>0</v>
      </c>
      <c r="K40" s="62">
        <v>992.19455653640375</v>
      </c>
      <c r="L40" s="58"/>
      <c r="M40" s="59"/>
      <c r="N40" s="59"/>
      <c r="O40" s="59"/>
      <c r="P40" s="59"/>
      <c r="Q40" s="61"/>
      <c r="R40" s="59"/>
      <c r="V40" s="59"/>
      <c r="W40" s="59"/>
      <c r="AB40" s="59"/>
      <c r="AC40" s="59"/>
      <c r="AD40" s="59"/>
      <c r="AE40" s="59"/>
      <c r="AF40" s="59"/>
      <c r="AG40" s="59"/>
      <c r="AH40" s="59"/>
      <c r="AI40" s="61"/>
    </row>
    <row r="41" spans="1:35" s="60" customFormat="1" ht="10.5" customHeight="1">
      <c r="A41" s="47" t="s">
        <v>173</v>
      </c>
      <c r="B41" s="62">
        <v>759.22852775389333</v>
      </c>
      <c r="C41" s="58">
        <v>0</v>
      </c>
      <c r="D41" s="72">
        <v>0</v>
      </c>
      <c r="E41" s="58">
        <v>197.08748361030496</v>
      </c>
      <c r="F41" s="58">
        <v>964.40095726298898</v>
      </c>
      <c r="G41" s="58">
        <v>0</v>
      </c>
      <c r="H41" s="58">
        <v>0</v>
      </c>
      <c r="I41" s="62">
        <v>675.78834137154035</v>
      </c>
      <c r="J41" s="58">
        <v>0</v>
      </c>
      <c r="K41" s="62">
        <v>2596.5053099987276</v>
      </c>
      <c r="L41" s="58"/>
      <c r="M41" s="59"/>
      <c r="N41" s="59"/>
      <c r="O41" s="59"/>
      <c r="P41" s="59"/>
      <c r="Q41" s="61"/>
      <c r="R41" s="59"/>
      <c r="V41" s="59"/>
      <c r="W41" s="59"/>
      <c r="AB41" s="59"/>
      <c r="AC41" s="59"/>
      <c r="AD41" s="59"/>
      <c r="AE41" s="59"/>
      <c r="AF41" s="59"/>
      <c r="AG41" s="59"/>
      <c r="AH41" s="59"/>
      <c r="AI41" s="61"/>
    </row>
    <row r="42" spans="1:35" s="60" customFormat="1" ht="10.5" customHeight="1">
      <c r="A42" s="47" t="s">
        <v>174</v>
      </c>
      <c r="B42" s="58">
        <v>91.415627854253842</v>
      </c>
      <c r="C42" s="58">
        <v>0</v>
      </c>
      <c r="D42" s="72">
        <v>0</v>
      </c>
      <c r="E42" s="58">
        <v>192.48558232174452</v>
      </c>
      <c r="F42" s="62">
        <v>3161.4027801091688</v>
      </c>
      <c r="G42" s="58">
        <v>0</v>
      </c>
      <c r="H42" s="58">
        <v>0</v>
      </c>
      <c r="I42" s="62">
        <v>1908.8138953501298</v>
      </c>
      <c r="J42" s="62">
        <v>276.5900318142734</v>
      </c>
      <c r="K42" s="62">
        <v>5630.7079174495693</v>
      </c>
      <c r="L42" s="58"/>
      <c r="M42" s="59"/>
      <c r="N42" s="59"/>
      <c r="O42" s="59"/>
      <c r="P42" s="59"/>
      <c r="Q42" s="61"/>
      <c r="R42" s="59"/>
      <c r="V42" s="59"/>
      <c r="W42" s="59"/>
      <c r="AB42" s="59"/>
      <c r="AC42" s="59"/>
      <c r="AD42" s="59"/>
      <c r="AE42" s="59"/>
      <c r="AF42" s="59"/>
      <c r="AG42" s="59"/>
      <c r="AH42" s="59"/>
      <c r="AI42" s="61"/>
    </row>
    <row r="43" spans="1:35" s="60" customFormat="1" ht="10.5" customHeight="1">
      <c r="A43" s="47" t="s">
        <v>175</v>
      </c>
      <c r="B43" s="58">
        <v>6.8576236036661511</v>
      </c>
      <c r="C43" s="58">
        <v>0</v>
      </c>
      <c r="D43" s="72">
        <v>0</v>
      </c>
      <c r="E43" s="58">
        <v>107.40562780627575</v>
      </c>
      <c r="F43" s="62">
        <v>672.11810362537369</v>
      </c>
      <c r="G43" s="58">
        <v>0</v>
      </c>
      <c r="H43" s="58">
        <v>0</v>
      </c>
      <c r="I43" s="62">
        <v>732.42177145015921</v>
      </c>
      <c r="J43" s="62">
        <v>0</v>
      </c>
      <c r="K43" s="62">
        <v>1518.8031264854749</v>
      </c>
      <c r="L43" s="58"/>
      <c r="M43" s="59"/>
      <c r="N43" s="59"/>
      <c r="O43" s="59"/>
      <c r="P43" s="59"/>
      <c r="Q43" s="61"/>
      <c r="R43" s="59"/>
      <c r="V43" s="59"/>
      <c r="W43" s="59"/>
      <c r="AB43" s="59"/>
      <c r="AC43" s="59"/>
      <c r="AD43" s="59"/>
      <c r="AE43" s="59"/>
      <c r="AF43" s="59"/>
      <c r="AG43" s="59"/>
      <c r="AH43" s="59"/>
      <c r="AI43" s="61"/>
    </row>
    <row r="44" spans="1:35" s="60" customFormat="1" ht="10.5" customHeight="1">
      <c r="A44" s="47" t="s">
        <v>176</v>
      </c>
      <c r="B44" s="58">
        <v>3.9284638587304435</v>
      </c>
      <c r="C44" s="58">
        <v>0</v>
      </c>
      <c r="D44" s="72">
        <v>0</v>
      </c>
      <c r="E44" s="58">
        <v>35.550087867351941</v>
      </c>
      <c r="F44" s="62">
        <v>338.7842483754726</v>
      </c>
      <c r="G44" s="58">
        <v>0</v>
      </c>
      <c r="H44" s="58">
        <v>0</v>
      </c>
      <c r="I44" s="62">
        <v>626.77839440929563</v>
      </c>
      <c r="J44" s="58">
        <v>0</v>
      </c>
      <c r="K44" s="62">
        <v>1005.0411945108506</v>
      </c>
      <c r="L44" s="58"/>
      <c r="M44" s="59"/>
      <c r="N44" s="59"/>
      <c r="O44" s="59"/>
      <c r="P44" s="59"/>
      <c r="Q44" s="61"/>
      <c r="R44" s="59"/>
      <c r="V44" s="59"/>
      <c r="W44" s="59"/>
      <c r="AB44" s="59"/>
      <c r="AC44" s="59"/>
      <c r="AD44" s="59"/>
      <c r="AE44" s="59"/>
      <c r="AF44" s="59"/>
      <c r="AG44" s="59"/>
      <c r="AH44" s="59"/>
      <c r="AI44" s="61"/>
    </row>
    <row r="45" spans="1:35" s="60" customFormat="1" ht="10.5" customHeight="1">
      <c r="A45" s="47" t="s">
        <v>177</v>
      </c>
      <c r="B45" s="58">
        <v>34.696747610971791</v>
      </c>
      <c r="C45" s="58">
        <v>0</v>
      </c>
      <c r="D45" s="72">
        <v>0</v>
      </c>
      <c r="E45" s="58">
        <v>122.79265925065245</v>
      </c>
      <c r="F45" s="62">
        <v>760.16149156706035</v>
      </c>
      <c r="G45" s="58">
        <v>0</v>
      </c>
      <c r="H45" s="58">
        <v>0</v>
      </c>
      <c r="I45" s="62">
        <v>492.77976343551956</v>
      </c>
      <c r="J45" s="58">
        <v>0</v>
      </c>
      <c r="K45" s="62">
        <v>1410.4306618642042</v>
      </c>
      <c r="L45" s="58"/>
      <c r="M45" s="59"/>
      <c r="N45" s="59"/>
      <c r="O45" s="59"/>
      <c r="P45" s="59"/>
      <c r="Q45" s="61"/>
      <c r="R45" s="59"/>
      <c r="V45" s="59"/>
      <c r="W45" s="59"/>
      <c r="AB45" s="59"/>
      <c r="AC45" s="59"/>
      <c r="AD45" s="59"/>
      <c r="AE45" s="59"/>
      <c r="AF45" s="59"/>
      <c r="AG45" s="59"/>
      <c r="AH45" s="59"/>
      <c r="AI45" s="61"/>
    </row>
    <row r="46" spans="1:35" s="60" customFormat="1" ht="10.5" customHeight="1">
      <c r="A46" s="47" t="s">
        <v>178</v>
      </c>
      <c r="B46" s="62">
        <v>29.449642318359071</v>
      </c>
      <c r="C46" s="58">
        <v>0</v>
      </c>
      <c r="D46" s="72">
        <v>0</v>
      </c>
      <c r="E46" s="58">
        <v>267.62756105858762</v>
      </c>
      <c r="F46" s="62">
        <v>2250.3734032613634</v>
      </c>
      <c r="G46" s="58">
        <v>0</v>
      </c>
      <c r="H46" s="58">
        <v>0</v>
      </c>
      <c r="I46" s="62">
        <v>1056.1831551668772</v>
      </c>
      <c r="J46" s="62">
        <v>1.8537420464316423</v>
      </c>
      <c r="K46" s="62">
        <v>3605.4875038516193</v>
      </c>
      <c r="L46" s="58"/>
      <c r="M46" s="59"/>
      <c r="N46" s="59"/>
      <c r="O46" s="59"/>
      <c r="P46" s="59"/>
      <c r="Q46" s="61"/>
      <c r="R46" s="59"/>
      <c r="V46" s="59"/>
      <c r="W46" s="59"/>
      <c r="AB46" s="59"/>
      <c r="AC46" s="59"/>
      <c r="AD46" s="59"/>
      <c r="AE46" s="59"/>
      <c r="AF46" s="59"/>
      <c r="AG46" s="59"/>
      <c r="AH46" s="59"/>
      <c r="AI46" s="61"/>
    </row>
    <row r="47" spans="1:35" s="60" customFormat="1" ht="10.5" customHeight="1">
      <c r="A47" s="47" t="s">
        <v>179</v>
      </c>
      <c r="B47" s="58">
        <v>52.394962261044078</v>
      </c>
      <c r="C47" s="58">
        <v>0</v>
      </c>
      <c r="D47" s="72">
        <v>0</v>
      </c>
      <c r="E47" s="58">
        <v>119.08852815103786</v>
      </c>
      <c r="F47" s="58">
        <v>548.54967223060169</v>
      </c>
      <c r="G47" s="58">
        <v>0</v>
      </c>
      <c r="H47" s="58">
        <v>0</v>
      </c>
      <c r="I47" s="58">
        <v>287.99730125593561</v>
      </c>
      <c r="J47" s="58">
        <v>0</v>
      </c>
      <c r="K47" s="58">
        <v>1008.0304638986192</v>
      </c>
      <c r="L47" s="58"/>
      <c r="M47" s="59"/>
      <c r="N47" s="59"/>
      <c r="O47" s="59"/>
      <c r="P47" s="59"/>
      <c r="Q47" s="61"/>
      <c r="R47" s="59"/>
      <c r="V47" s="59"/>
      <c r="W47" s="59"/>
      <c r="AB47" s="59"/>
      <c r="AC47" s="59"/>
      <c r="AD47" s="59"/>
      <c r="AE47" s="59"/>
      <c r="AF47" s="59"/>
      <c r="AG47" s="59"/>
      <c r="AH47" s="59"/>
      <c r="AI47" s="61"/>
    </row>
    <row r="48" spans="1:35" s="60" customFormat="1" ht="10.5" customHeight="1">
      <c r="A48" s="47" t="s">
        <v>180</v>
      </c>
      <c r="B48" s="58">
        <v>101.07267246935464</v>
      </c>
      <c r="C48" s="58">
        <v>0</v>
      </c>
      <c r="D48" s="72">
        <v>0</v>
      </c>
      <c r="E48" s="58">
        <v>64.793519163184271</v>
      </c>
      <c r="F48" s="62">
        <v>930.49100984541735</v>
      </c>
      <c r="G48" s="58">
        <v>0</v>
      </c>
      <c r="H48" s="58">
        <v>0</v>
      </c>
      <c r="I48" s="62">
        <v>1148.4158702814241</v>
      </c>
      <c r="J48" s="58">
        <v>1.2411865864144453</v>
      </c>
      <c r="K48" s="62">
        <v>2246.014258345795</v>
      </c>
      <c r="L48" s="58"/>
      <c r="M48" s="59"/>
      <c r="N48" s="59"/>
      <c r="O48" s="59"/>
      <c r="P48" s="59"/>
      <c r="Q48" s="61"/>
      <c r="R48" s="59"/>
      <c r="V48" s="59"/>
      <c r="W48" s="59"/>
      <c r="AB48" s="59"/>
      <c r="AC48" s="59"/>
      <c r="AD48" s="59"/>
      <c r="AE48" s="59"/>
      <c r="AF48" s="59"/>
      <c r="AG48" s="59"/>
      <c r="AH48" s="59"/>
      <c r="AI48" s="61"/>
    </row>
    <row r="49" spans="1:35" s="60" customFormat="1" ht="11.25" customHeight="1">
      <c r="A49" s="47" t="s">
        <v>181</v>
      </c>
      <c r="B49" s="62">
        <v>138.83270774275735</v>
      </c>
      <c r="C49" s="58">
        <v>0</v>
      </c>
      <c r="D49" s="72">
        <v>0</v>
      </c>
      <c r="E49" s="58">
        <v>2842.5744712221363</v>
      </c>
      <c r="F49" s="62">
        <v>849.59817536314358</v>
      </c>
      <c r="G49" s="58">
        <v>0</v>
      </c>
      <c r="H49" s="58">
        <v>0</v>
      </c>
      <c r="I49" s="62">
        <v>1940.4999441703956</v>
      </c>
      <c r="J49" s="58">
        <v>410.57807394668959</v>
      </c>
      <c r="K49" s="62">
        <v>6182.0833724451231</v>
      </c>
      <c r="L49" s="58"/>
      <c r="M49" s="59"/>
      <c r="N49" s="59"/>
      <c r="O49" s="59"/>
      <c r="P49" s="59"/>
      <c r="Q49" s="61"/>
      <c r="R49" s="59"/>
      <c r="V49" s="59"/>
      <c r="W49" s="59"/>
      <c r="AB49" s="59"/>
      <c r="AC49" s="59"/>
      <c r="AD49" s="59"/>
      <c r="AE49" s="59"/>
      <c r="AF49" s="59"/>
      <c r="AG49" s="59"/>
      <c r="AH49" s="59"/>
      <c r="AI49" s="61"/>
    </row>
    <row r="50" spans="1:35" s="60" customFormat="1" ht="11.25" customHeight="1">
      <c r="A50" s="47" t="s">
        <v>182</v>
      </c>
      <c r="B50" s="58">
        <v>0</v>
      </c>
      <c r="C50" s="58">
        <v>0</v>
      </c>
      <c r="D50" s="72">
        <v>0</v>
      </c>
      <c r="E50" s="58">
        <v>168.88555644692795</v>
      </c>
      <c r="F50" s="58">
        <v>230.73132329659407</v>
      </c>
      <c r="G50" s="58">
        <v>0</v>
      </c>
      <c r="H50" s="58">
        <v>0</v>
      </c>
      <c r="I50" s="58">
        <v>137.44701399801724</v>
      </c>
      <c r="J50" s="72">
        <v>0</v>
      </c>
      <c r="K50" s="58">
        <v>537.06389374153923</v>
      </c>
      <c r="L50" s="58"/>
      <c r="M50" s="59"/>
      <c r="N50" s="59"/>
      <c r="O50" s="59"/>
      <c r="P50" s="59"/>
      <c r="Q50" s="61"/>
      <c r="R50" s="59"/>
      <c r="V50" s="59"/>
      <c r="W50" s="59"/>
      <c r="AB50" s="59"/>
      <c r="AC50" s="59"/>
      <c r="AD50" s="59"/>
      <c r="AE50" s="59"/>
      <c r="AF50" s="59"/>
      <c r="AG50" s="59"/>
      <c r="AH50" s="59"/>
      <c r="AI50" s="61"/>
    </row>
    <row r="51" spans="1:35" s="60" customFormat="1" ht="10.5" customHeight="1">
      <c r="A51" s="57" t="s">
        <v>183</v>
      </c>
      <c r="B51" s="72">
        <v>0</v>
      </c>
      <c r="C51" s="72">
        <v>0</v>
      </c>
      <c r="D51" s="72">
        <v>0</v>
      </c>
      <c r="E51" s="71">
        <v>59070.638824150628</v>
      </c>
      <c r="F51" s="72">
        <v>0</v>
      </c>
      <c r="G51" s="71">
        <v>361.69050647440218</v>
      </c>
      <c r="H51" s="72">
        <v>0</v>
      </c>
      <c r="I51" s="71">
        <v>696.49866033915998</v>
      </c>
      <c r="J51" s="72">
        <v>0</v>
      </c>
      <c r="K51" s="71">
        <v>60128.827990964193</v>
      </c>
      <c r="L51" s="58"/>
      <c r="M51" s="59"/>
      <c r="N51" s="59"/>
      <c r="O51" s="59"/>
      <c r="P51" s="59"/>
      <c r="Q51" s="61"/>
      <c r="R51" s="59"/>
      <c r="V51" s="59"/>
      <c r="W51" s="59"/>
      <c r="AB51" s="59"/>
      <c r="AC51" s="59"/>
      <c r="AD51" s="59"/>
      <c r="AE51" s="59"/>
      <c r="AF51" s="59"/>
      <c r="AG51" s="59"/>
      <c r="AH51" s="59"/>
      <c r="AI51" s="61"/>
    </row>
    <row r="52" spans="1:35" s="60" customFormat="1" ht="10.5" customHeight="1">
      <c r="A52" s="47" t="s">
        <v>184</v>
      </c>
      <c r="B52" s="72">
        <v>0</v>
      </c>
      <c r="C52" s="72">
        <v>0</v>
      </c>
      <c r="D52" s="72">
        <v>0</v>
      </c>
      <c r="E52" s="62">
        <v>13905.964685498053</v>
      </c>
      <c r="F52" s="72">
        <v>0</v>
      </c>
      <c r="G52" s="72">
        <v>0</v>
      </c>
      <c r="H52" s="72">
        <v>0</v>
      </c>
      <c r="I52" s="72">
        <v>0</v>
      </c>
      <c r="J52" s="72">
        <v>0</v>
      </c>
      <c r="K52" s="62">
        <v>13905.964685498053</v>
      </c>
      <c r="L52" s="58"/>
      <c r="M52" s="59"/>
      <c r="N52" s="59"/>
      <c r="O52" s="59"/>
      <c r="P52" s="59"/>
      <c r="Q52" s="61"/>
      <c r="R52" s="59"/>
      <c r="V52" s="59"/>
      <c r="W52" s="59"/>
      <c r="AB52" s="59"/>
      <c r="AC52" s="59"/>
      <c r="AD52" s="59"/>
      <c r="AE52" s="59"/>
      <c r="AF52" s="59"/>
      <c r="AG52" s="59"/>
      <c r="AH52" s="59"/>
      <c r="AI52" s="61"/>
    </row>
    <row r="53" spans="1:35" s="60" customFormat="1" ht="10.5" customHeight="1">
      <c r="A53" s="47" t="s">
        <v>25</v>
      </c>
      <c r="B53" s="72">
        <v>0</v>
      </c>
      <c r="C53" s="72">
        <v>0</v>
      </c>
      <c r="D53" s="72">
        <v>0</v>
      </c>
      <c r="E53" s="58">
        <v>700.49172370520387</v>
      </c>
      <c r="F53" s="72">
        <v>0</v>
      </c>
      <c r="G53" s="72">
        <v>0</v>
      </c>
      <c r="H53" s="72">
        <v>0</v>
      </c>
      <c r="I53" s="62">
        <v>696.49866033915998</v>
      </c>
      <c r="J53" s="72">
        <v>0</v>
      </c>
      <c r="K53" s="62">
        <v>1396.990384044364</v>
      </c>
      <c r="L53" s="58"/>
      <c r="M53" s="59"/>
      <c r="N53" s="59"/>
      <c r="O53" s="59"/>
      <c r="P53" s="59"/>
      <c r="Q53" s="61"/>
      <c r="R53" s="59"/>
      <c r="V53" s="59"/>
      <c r="W53" s="59"/>
      <c r="AB53" s="59"/>
      <c r="AC53" s="59"/>
      <c r="AD53" s="59"/>
      <c r="AE53" s="59"/>
      <c r="AF53" s="59"/>
      <c r="AG53" s="59"/>
      <c r="AH53" s="59"/>
      <c r="AI53" s="61"/>
    </row>
    <row r="54" spans="1:35" s="60" customFormat="1" ht="10.5" customHeight="1">
      <c r="A54" s="47" t="s">
        <v>24</v>
      </c>
      <c r="B54" s="72">
        <v>0</v>
      </c>
      <c r="C54" s="72">
        <v>0</v>
      </c>
      <c r="D54" s="72">
        <v>0</v>
      </c>
      <c r="E54" s="62">
        <v>42846.007659541894</v>
      </c>
      <c r="F54" s="72">
        <v>0</v>
      </c>
      <c r="G54" s="62">
        <v>361.69050647440218</v>
      </c>
      <c r="H54" s="72">
        <v>0</v>
      </c>
      <c r="I54" s="72">
        <v>0</v>
      </c>
      <c r="J54" s="72">
        <v>0</v>
      </c>
      <c r="K54" s="62">
        <v>43207.698166016293</v>
      </c>
      <c r="L54" s="58"/>
      <c r="M54" s="59"/>
      <c r="N54" s="59"/>
      <c r="O54" s="59"/>
      <c r="P54" s="59"/>
      <c r="Q54" s="61"/>
      <c r="R54" s="59"/>
      <c r="V54" s="59"/>
      <c r="W54" s="59"/>
      <c r="AB54" s="59"/>
      <c r="AC54" s="59"/>
      <c r="AD54" s="59"/>
      <c r="AE54" s="59"/>
      <c r="AF54" s="59"/>
      <c r="AG54" s="59"/>
      <c r="AH54" s="59"/>
      <c r="AI54" s="61"/>
    </row>
    <row r="55" spans="1:35" s="60" customFormat="1" ht="10.5" customHeight="1">
      <c r="A55" s="47" t="s">
        <v>185</v>
      </c>
      <c r="B55" s="72">
        <v>0</v>
      </c>
      <c r="C55" s="72">
        <v>0</v>
      </c>
      <c r="D55" s="72">
        <v>0</v>
      </c>
      <c r="E55" s="58">
        <v>1618.174755405485</v>
      </c>
      <c r="F55" s="72">
        <v>0</v>
      </c>
      <c r="G55" s="72">
        <v>0</v>
      </c>
      <c r="H55" s="72">
        <v>0</v>
      </c>
      <c r="I55" s="72">
        <v>0</v>
      </c>
      <c r="J55" s="72">
        <v>0</v>
      </c>
      <c r="K55" s="58">
        <v>1618.174755405485</v>
      </c>
      <c r="L55" s="58"/>
      <c r="M55" s="59"/>
      <c r="N55" s="59"/>
      <c r="O55" s="59"/>
      <c r="P55" s="59"/>
      <c r="Q55" s="61"/>
      <c r="R55" s="59"/>
      <c r="V55" s="59"/>
      <c r="W55" s="59"/>
      <c r="AB55" s="59"/>
      <c r="AC55" s="59"/>
      <c r="AD55" s="59"/>
      <c r="AE55" s="59"/>
      <c r="AF55" s="59"/>
      <c r="AG55" s="59"/>
      <c r="AH55" s="59"/>
      <c r="AI55" s="61"/>
    </row>
    <row r="56" spans="1:35" s="60" customFormat="1" ht="10.5" customHeight="1">
      <c r="A56" s="47" t="s">
        <v>186</v>
      </c>
      <c r="B56" s="72">
        <v>0</v>
      </c>
      <c r="C56" s="72">
        <v>0</v>
      </c>
      <c r="D56" s="72">
        <v>0</v>
      </c>
      <c r="E56" s="58">
        <v>0</v>
      </c>
      <c r="F56" s="72">
        <v>0</v>
      </c>
      <c r="G56" s="72">
        <v>0</v>
      </c>
      <c r="H56" s="72">
        <v>0</v>
      </c>
      <c r="I56" s="72">
        <v>0</v>
      </c>
      <c r="J56" s="72">
        <v>0</v>
      </c>
      <c r="K56" s="58">
        <v>0</v>
      </c>
      <c r="L56" s="58"/>
      <c r="M56" s="59"/>
      <c r="N56" s="59"/>
      <c r="O56" s="59"/>
      <c r="P56" s="59"/>
      <c r="Q56" s="61"/>
      <c r="R56" s="59"/>
      <c r="V56" s="59"/>
      <c r="W56" s="59"/>
      <c r="AB56" s="59"/>
      <c r="AC56" s="59"/>
      <c r="AD56" s="59"/>
      <c r="AE56" s="59"/>
      <c r="AF56" s="59"/>
      <c r="AG56" s="59"/>
      <c r="AH56" s="59"/>
      <c r="AI56" s="61"/>
    </row>
    <row r="57" spans="1:35" s="60" customFormat="1" ht="10.5" customHeight="1">
      <c r="A57" s="57" t="s">
        <v>123</v>
      </c>
      <c r="B57" s="72">
        <v>500.90554916326829</v>
      </c>
      <c r="C57" s="71">
        <v>193.02716558069034</v>
      </c>
      <c r="D57" s="72">
        <v>0</v>
      </c>
      <c r="E57" s="72">
        <v>4377.360603702904</v>
      </c>
      <c r="F57" s="71">
        <v>38922.863189778924</v>
      </c>
      <c r="G57" s="71">
        <v>582.3235989659255</v>
      </c>
      <c r="H57" s="72">
        <v>0</v>
      </c>
      <c r="I57" s="71">
        <v>18594.730344782609</v>
      </c>
      <c r="J57" s="71">
        <v>437.66865004299228</v>
      </c>
      <c r="K57" s="71">
        <v>63608.624445095564</v>
      </c>
      <c r="L57" s="58"/>
      <c r="M57" s="59"/>
      <c r="N57" s="59"/>
      <c r="O57" s="59"/>
      <c r="P57" s="59"/>
      <c r="Q57" s="61"/>
      <c r="R57" s="59"/>
      <c r="V57" s="59"/>
      <c r="W57" s="59"/>
      <c r="AB57" s="59"/>
      <c r="AC57" s="59"/>
      <c r="AD57" s="59"/>
      <c r="AE57" s="59"/>
      <c r="AF57" s="59"/>
      <c r="AG57" s="59"/>
      <c r="AH57" s="59"/>
      <c r="AI57" s="61"/>
    </row>
    <row r="58" spans="1:35" s="60" customFormat="1" ht="10.5" customHeight="1">
      <c r="A58" s="47" t="s">
        <v>41</v>
      </c>
      <c r="B58" s="58">
        <v>486.96862452451853</v>
      </c>
      <c r="C58" s="62">
        <v>193.02716558069034</v>
      </c>
      <c r="D58" s="72">
        <v>0</v>
      </c>
      <c r="E58" s="58">
        <v>2876.5544716071427</v>
      </c>
      <c r="F58" s="62">
        <v>30347.596000306152</v>
      </c>
      <c r="G58" s="62">
        <v>399.72912132656188</v>
      </c>
      <c r="H58" s="72">
        <v>0</v>
      </c>
      <c r="I58" s="58">
        <v>9892.5696315601908</v>
      </c>
      <c r="J58" s="58">
        <v>51.934651762682712</v>
      </c>
      <c r="K58" s="62">
        <v>44248.379666667941</v>
      </c>
      <c r="L58" s="58"/>
      <c r="M58" s="59"/>
      <c r="N58" s="59"/>
      <c r="O58" s="59"/>
      <c r="P58" s="59"/>
      <c r="Q58" s="61"/>
      <c r="R58" s="59"/>
      <c r="V58" s="59"/>
      <c r="W58" s="59"/>
      <c r="AB58" s="59"/>
      <c r="AC58" s="59"/>
      <c r="AD58" s="59"/>
      <c r="AE58" s="59"/>
      <c r="AF58" s="59"/>
      <c r="AG58" s="59"/>
      <c r="AH58" s="59"/>
      <c r="AI58" s="61"/>
    </row>
    <row r="59" spans="1:35" s="60" customFormat="1" ht="10.5" customHeight="1">
      <c r="A59" s="47" t="s">
        <v>187</v>
      </c>
      <c r="B59" s="62">
        <v>5.5990507192131513</v>
      </c>
      <c r="C59" s="58">
        <v>0</v>
      </c>
      <c r="D59" s="72">
        <v>0</v>
      </c>
      <c r="E59" s="58">
        <v>487.49356628005404</v>
      </c>
      <c r="F59" s="62">
        <v>3825.0752565601806</v>
      </c>
      <c r="G59" s="62">
        <v>89.031229430691653</v>
      </c>
      <c r="H59" s="72">
        <v>0</v>
      </c>
      <c r="I59" s="62">
        <v>1921.4708964229239</v>
      </c>
      <c r="J59" s="58">
        <v>376.22828976784172</v>
      </c>
      <c r="K59" s="62">
        <v>6704.8982891809046</v>
      </c>
      <c r="L59" s="58"/>
      <c r="M59" s="59"/>
      <c r="N59" s="59"/>
      <c r="O59" s="59"/>
      <c r="P59" s="59"/>
      <c r="Q59" s="61"/>
      <c r="R59" s="59"/>
      <c r="V59" s="59"/>
      <c r="W59" s="59"/>
      <c r="AB59" s="59"/>
      <c r="AC59" s="59"/>
      <c r="AD59" s="59"/>
      <c r="AE59" s="59"/>
      <c r="AF59" s="59"/>
      <c r="AG59" s="59"/>
      <c r="AH59" s="59"/>
      <c r="AI59" s="61"/>
    </row>
    <row r="60" spans="1:35" s="60" customFormat="1" ht="10.5" customHeight="1">
      <c r="A60" s="47" t="s">
        <v>52</v>
      </c>
      <c r="B60" s="58">
        <v>4.1936311113122446</v>
      </c>
      <c r="C60" s="58">
        <v>0</v>
      </c>
      <c r="D60" s="72">
        <v>0</v>
      </c>
      <c r="E60" s="58">
        <v>408.57956181445161</v>
      </c>
      <c r="F60" s="58">
        <v>3090.5764029765669</v>
      </c>
      <c r="G60" s="62">
        <v>19.277650340423136</v>
      </c>
      <c r="H60" s="72">
        <v>0</v>
      </c>
      <c r="I60" s="62">
        <v>6426.0158214275434</v>
      </c>
      <c r="J60" s="58">
        <v>9.2510515907136721</v>
      </c>
      <c r="K60" s="62">
        <v>9957.8941192610109</v>
      </c>
      <c r="L60" s="58"/>
      <c r="M60" s="59"/>
      <c r="N60" s="59"/>
      <c r="O60" s="59"/>
      <c r="P60" s="59"/>
      <c r="Q60" s="61"/>
      <c r="R60" s="59"/>
      <c r="V60" s="59"/>
      <c r="W60" s="59"/>
      <c r="AB60" s="59"/>
      <c r="AC60" s="59"/>
      <c r="AD60" s="59"/>
      <c r="AE60" s="59"/>
      <c r="AF60" s="59"/>
      <c r="AG60" s="59"/>
      <c r="AH60" s="59"/>
      <c r="AI60" s="61"/>
    </row>
    <row r="61" spans="1:35" s="60" customFormat="1" ht="11.25" customHeight="1">
      <c r="A61" s="47" t="s">
        <v>188</v>
      </c>
      <c r="B61" s="58">
        <v>2.6750740422279544</v>
      </c>
      <c r="C61" s="58">
        <v>0</v>
      </c>
      <c r="D61" s="72">
        <v>0</v>
      </c>
      <c r="E61" s="58">
        <v>294.37351313668415</v>
      </c>
      <c r="F61" s="58">
        <v>171.87620514677769</v>
      </c>
      <c r="G61" s="58">
        <v>73.871322138248786</v>
      </c>
      <c r="H61" s="72">
        <v>0</v>
      </c>
      <c r="I61" s="62">
        <v>354.67399537195223</v>
      </c>
      <c r="J61" s="58">
        <v>0</v>
      </c>
      <c r="K61" s="62">
        <v>897.47010983589075</v>
      </c>
      <c r="L61" s="58"/>
      <c r="M61" s="59"/>
      <c r="N61" s="59"/>
      <c r="O61" s="59"/>
      <c r="P61" s="59"/>
      <c r="Q61" s="59"/>
      <c r="R61" s="59"/>
      <c r="S61" s="59"/>
      <c r="T61" s="59"/>
      <c r="U61" s="59"/>
      <c r="V61" s="59"/>
      <c r="W61" s="61"/>
      <c r="AB61" s="59"/>
      <c r="AC61" s="59"/>
      <c r="AD61" s="59"/>
      <c r="AE61" s="59"/>
      <c r="AF61" s="59"/>
      <c r="AG61" s="59"/>
      <c r="AH61" s="59"/>
      <c r="AI61" s="61"/>
    </row>
    <row r="62" spans="1:35" s="60" customFormat="1" ht="10.5" customHeight="1">
      <c r="A62" s="74" t="s">
        <v>189</v>
      </c>
      <c r="B62" s="75">
        <v>1.4691687659963895</v>
      </c>
      <c r="C62" s="58">
        <v>0</v>
      </c>
      <c r="D62" s="58">
        <v>0</v>
      </c>
      <c r="E62" s="58">
        <v>310.35949086457185</v>
      </c>
      <c r="F62" s="62">
        <v>1487.7393247892408</v>
      </c>
      <c r="G62" s="62">
        <v>0</v>
      </c>
      <c r="H62" s="58">
        <v>0</v>
      </c>
      <c r="I62" s="58">
        <v>0</v>
      </c>
      <c r="J62" s="58">
        <v>0</v>
      </c>
      <c r="K62" s="62">
        <v>1799.982260149809</v>
      </c>
      <c r="L62" s="58"/>
      <c r="M62" s="59"/>
      <c r="N62" s="59"/>
      <c r="O62" s="59"/>
      <c r="P62" s="59"/>
      <c r="Q62" s="59"/>
      <c r="R62" s="59"/>
      <c r="S62" s="59"/>
      <c r="T62" s="59"/>
      <c r="U62" s="59"/>
      <c r="V62" s="59"/>
      <c r="W62" s="61"/>
      <c r="AB62" s="59"/>
      <c r="AC62" s="59"/>
      <c r="AD62" s="59"/>
      <c r="AE62" s="59"/>
      <c r="AF62" s="59"/>
      <c r="AG62" s="59"/>
      <c r="AH62" s="59"/>
      <c r="AI62" s="61"/>
    </row>
    <row r="63" spans="1:35" s="67" customFormat="1" ht="10.5" customHeight="1" thickBot="1">
      <c r="A63" s="81" t="s">
        <v>190</v>
      </c>
      <c r="B63" s="82">
        <v>0</v>
      </c>
      <c r="C63" s="82">
        <v>0</v>
      </c>
      <c r="D63" s="82">
        <v>0</v>
      </c>
      <c r="E63" s="83">
        <v>9550.0292033026835</v>
      </c>
      <c r="F63" s="83">
        <v>879.46199484092858</v>
      </c>
      <c r="G63" s="82">
        <v>0</v>
      </c>
      <c r="H63" s="82">
        <v>0</v>
      </c>
      <c r="I63" s="82">
        <v>0</v>
      </c>
      <c r="J63" s="82">
        <v>0</v>
      </c>
      <c r="K63" s="83">
        <v>10429.491198143613</v>
      </c>
      <c r="L63" s="58"/>
      <c r="M63" s="59"/>
      <c r="N63" s="59"/>
      <c r="O63" s="59"/>
      <c r="P63" s="59"/>
      <c r="Q63" s="59"/>
      <c r="R63" s="59"/>
      <c r="S63" s="59"/>
      <c r="T63" s="59"/>
      <c r="U63" s="59"/>
      <c r="V63" s="59"/>
      <c r="W63" s="61"/>
      <c r="AB63" s="59"/>
      <c r="AC63" s="59"/>
      <c r="AD63" s="59"/>
      <c r="AE63" s="59"/>
      <c r="AF63" s="59"/>
      <c r="AG63" s="59"/>
      <c r="AH63" s="59"/>
      <c r="AI63" s="61"/>
    </row>
    <row r="64" spans="1:35" ht="12" customHeight="1" thickTop="1">
      <c r="A64" s="84" t="s">
        <v>191</v>
      </c>
      <c r="B64" s="84"/>
      <c r="C64" s="84"/>
      <c r="D64" s="84"/>
      <c r="E64" s="84"/>
      <c r="F64" s="84"/>
      <c r="G64" s="84"/>
      <c r="H64" s="47"/>
      <c r="I64" s="47"/>
      <c r="J64" s="47"/>
      <c r="K64" s="47"/>
      <c r="P64" s="59"/>
      <c r="R64" s="59"/>
    </row>
    <row r="65" spans="1:18" ht="9.9499999999999993" customHeight="1">
      <c r="A65" s="84" t="s">
        <v>192</v>
      </c>
      <c r="B65" s="84"/>
      <c r="C65" s="84"/>
      <c r="D65" s="84"/>
      <c r="E65" s="84"/>
      <c r="F65" s="84"/>
      <c r="G65" s="84"/>
      <c r="H65" s="47"/>
      <c r="I65" s="47"/>
      <c r="J65" s="47"/>
      <c r="K65" s="47"/>
      <c r="P65" s="59"/>
      <c r="R65" s="59"/>
    </row>
    <row r="66" spans="1:18" ht="9.9499999999999993" customHeight="1">
      <c r="A66" s="84" t="s">
        <v>193</v>
      </c>
      <c r="B66" s="84"/>
      <c r="C66" s="84"/>
      <c r="D66" s="84"/>
      <c r="E66" s="84"/>
      <c r="F66" s="84"/>
      <c r="G66" s="84"/>
      <c r="H66" s="47"/>
      <c r="I66" s="47"/>
      <c r="J66" s="47"/>
      <c r="K66" s="47"/>
      <c r="P66" s="59"/>
      <c r="R66" s="59"/>
    </row>
    <row r="67" spans="1:18" ht="9.9499999999999993" customHeight="1">
      <c r="A67" s="84" t="s">
        <v>194</v>
      </c>
      <c r="B67" s="84"/>
      <c r="C67" s="84"/>
      <c r="D67" s="84"/>
      <c r="E67" s="84"/>
      <c r="F67" s="84"/>
      <c r="G67" s="84"/>
      <c r="H67" s="47"/>
      <c r="I67" s="47"/>
      <c r="J67" s="47"/>
      <c r="K67" s="47"/>
      <c r="P67" s="59"/>
      <c r="R67" s="59"/>
    </row>
    <row r="68" spans="1:18" ht="9.9499999999999993" customHeight="1">
      <c r="A68" s="84" t="s">
        <v>195</v>
      </c>
      <c r="B68" s="84"/>
      <c r="C68" s="84"/>
      <c r="D68" s="84"/>
      <c r="E68" s="84"/>
      <c r="F68" s="84"/>
      <c r="G68" s="84"/>
      <c r="H68" s="47"/>
      <c r="I68" s="47"/>
      <c r="J68" s="47"/>
      <c r="K68" s="47"/>
      <c r="P68" s="59"/>
      <c r="R68" s="59"/>
    </row>
    <row r="69" spans="1:18" ht="9.75" customHeight="1">
      <c r="A69" s="84" t="s">
        <v>196</v>
      </c>
      <c r="B69" s="85"/>
      <c r="C69" s="85"/>
      <c r="D69" s="85"/>
      <c r="E69" s="85"/>
      <c r="F69" s="85"/>
      <c r="G69" s="85"/>
      <c r="H69" s="85"/>
      <c r="I69" s="85"/>
      <c r="J69" s="85"/>
      <c r="K69" s="85"/>
      <c r="P69" s="59"/>
      <c r="R69" s="59"/>
    </row>
    <row r="70" spans="1:18">
      <c r="P70" s="59"/>
      <c r="R70" s="59"/>
    </row>
    <row r="71" spans="1:18">
      <c r="P71" s="59"/>
      <c r="R71" s="59"/>
    </row>
    <row r="72" spans="1:18">
      <c r="B72" s="86"/>
      <c r="C72" s="86"/>
      <c r="D72" s="86"/>
      <c r="E72" s="86"/>
      <c r="F72" s="86"/>
      <c r="G72" s="86"/>
      <c r="H72" s="86"/>
      <c r="I72" s="86"/>
      <c r="J72" s="86"/>
      <c r="K72" s="86"/>
      <c r="P72" s="59"/>
      <c r="R72" s="59"/>
    </row>
    <row r="73" spans="1:18">
      <c r="P73" s="59"/>
      <c r="R73" s="59"/>
    </row>
    <row r="74" spans="1:18">
      <c r="P74" s="59"/>
      <c r="R74" s="59"/>
    </row>
    <row r="75" spans="1:18">
      <c r="P75" s="59"/>
      <c r="R75" s="59"/>
    </row>
    <row r="76" spans="1:18">
      <c r="P76" s="59"/>
      <c r="R76" s="59"/>
    </row>
    <row r="77" spans="1:18">
      <c r="P77" s="59"/>
      <c r="R77" s="59"/>
    </row>
    <row r="78" spans="1:18">
      <c r="P78" s="59"/>
      <c r="R78" s="59"/>
    </row>
    <row r="79" spans="1:18">
      <c r="P79" s="59"/>
      <c r="R79" s="59"/>
    </row>
    <row r="80" spans="1:18">
      <c r="P80" s="59"/>
      <c r="R80" s="59"/>
    </row>
    <row r="81" spans="16:18">
      <c r="P81" s="59"/>
      <c r="R81" s="59"/>
    </row>
    <row r="82" spans="16:18">
      <c r="P82" s="59"/>
      <c r="R82" s="59"/>
    </row>
    <row r="83" spans="16:18">
      <c r="R83" s="59"/>
    </row>
    <row r="84" spans="16:18">
      <c r="R84" s="59"/>
    </row>
    <row r="85" spans="16:18">
      <c r="R85" s="59"/>
    </row>
    <row r="86" spans="16:18">
      <c r="R86" s="59"/>
    </row>
    <row r="87" spans="16:18">
      <c r="R87" s="59"/>
    </row>
    <row r="88" spans="16:18">
      <c r="R88" s="59"/>
    </row>
    <row r="89" spans="16:18">
      <c r="R89" s="59"/>
    </row>
    <row r="90" spans="16:18">
      <c r="R90" s="59"/>
    </row>
    <row r="91" spans="16:18">
      <c r="R91" s="59"/>
    </row>
    <row r="92" spans="16:18">
      <c r="R92" s="59"/>
    </row>
    <row r="93" spans="16:18">
      <c r="R93" s="59"/>
    </row>
    <row r="94" spans="16:18">
      <c r="R94" s="59"/>
    </row>
    <row r="95" spans="16:18">
      <c r="R95" s="59"/>
    </row>
    <row r="96" spans="16:18">
      <c r="R96" s="59"/>
    </row>
    <row r="97" spans="18:18">
      <c r="R97" s="59"/>
    </row>
    <row r="98" spans="18:18">
      <c r="R98" s="59"/>
    </row>
    <row r="99" spans="18:18">
      <c r="R99" s="59"/>
    </row>
    <row r="100" spans="18:18">
      <c r="R100" s="59"/>
    </row>
    <row r="101" spans="18:18">
      <c r="R101" s="59"/>
    </row>
    <row r="102" spans="18:18">
      <c r="R102" s="59"/>
    </row>
    <row r="103" spans="18:18">
      <c r="R103" s="59"/>
    </row>
    <row r="104" spans="18:18">
      <c r="R104" s="59"/>
    </row>
    <row r="105" spans="18:18">
      <c r="R105" s="59"/>
    </row>
    <row r="106" spans="18:18">
      <c r="R106" s="59"/>
    </row>
    <row r="107" spans="18:18">
      <c r="R107" s="59"/>
    </row>
    <row r="108" spans="18:18">
      <c r="R108" s="59"/>
    </row>
    <row r="109" spans="18:18">
      <c r="R109" s="59"/>
    </row>
  </sheetData>
  <pageMargins left="0.51181102362204722" right="0.51181102362204722" top="0.51181102362204722" bottom="0.51181102362204722" header="0.27559055118110237" footer="0.27559055118110237"/>
  <pageSetup paperSize="9" scale="91" firstPageNumber="27" orientation="portrait" useFirstPageNumber="1" r:id="rId1"/>
  <headerFooter alignWithMargins="0">
    <oddFooter>&amp;C28</oddFooter>
  </headerFooter>
  <legacyDrawing r:id="rId2"/>
</worksheet>
</file>

<file path=xl/worksheets/sheet64.xml><?xml version="1.0" encoding="utf-8"?>
<worksheet xmlns="http://schemas.openxmlformats.org/spreadsheetml/2006/main" xmlns:r="http://schemas.openxmlformats.org/officeDocument/2006/relationships">
  <sheetPr codeName="Sheet45"/>
  <dimension ref="A1:IV129"/>
  <sheetViews>
    <sheetView zoomScale="80" zoomScaleNormal="80" workbookViewId="0"/>
  </sheetViews>
  <sheetFormatPr defaultRowHeight="12.75"/>
  <cols>
    <col min="1" max="1" width="44.5703125" style="1327" customWidth="1"/>
    <col min="2" max="2" width="8.5703125" style="1327" hidden="1" customWidth="1"/>
    <col min="3" max="3" width="10.7109375" style="1327" hidden="1" customWidth="1"/>
    <col min="4" max="6" width="9.85546875" style="1327" hidden="1" customWidth="1"/>
    <col min="7" max="9" width="9.85546875" style="1403" hidden="1" customWidth="1"/>
    <col min="10" max="10" width="9.85546875" style="1403" customWidth="1"/>
    <col min="11" max="12" width="9.85546875" style="1327" customWidth="1"/>
    <col min="13" max="256" width="9.140625" style="1327"/>
    <col min="257" max="257" width="44.5703125" style="1327" customWidth="1"/>
    <col min="258" max="265" width="0" style="1327" hidden="1" customWidth="1"/>
    <col min="266" max="268" width="9.85546875" style="1327" customWidth="1"/>
    <col min="269" max="512" width="9.140625" style="1327"/>
    <col min="513" max="513" width="44.5703125" style="1327" customWidth="1"/>
    <col min="514" max="521" width="0" style="1327" hidden="1" customWidth="1"/>
    <col min="522" max="524" width="9.85546875" style="1327" customWidth="1"/>
    <col min="525" max="768" width="9.140625" style="1327"/>
    <col min="769" max="769" width="44.5703125" style="1327" customWidth="1"/>
    <col min="770" max="777" width="0" style="1327" hidden="1" customWidth="1"/>
    <col min="778" max="780" width="9.85546875" style="1327" customWidth="1"/>
    <col min="781" max="1024" width="9.140625" style="1327"/>
    <col min="1025" max="1025" width="44.5703125" style="1327" customWidth="1"/>
    <col min="1026" max="1033" width="0" style="1327" hidden="1" customWidth="1"/>
    <col min="1034" max="1036" width="9.85546875" style="1327" customWidth="1"/>
    <col min="1037" max="1280" width="9.140625" style="1327"/>
    <col min="1281" max="1281" width="44.5703125" style="1327" customWidth="1"/>
    <col min="1282" max="1289" width="0" style="1327" hidden="1" customWidth="1"/>
    <col min="1290" max="1292" width="9.85546875" style="1327" customWidth="1"/>
    <col min="1293" max="1536" width="9.140625" style="1327"/>
    <col min="1537" max="1537" width="44.5703125" style="1327" customWidth="1"/>
    <col min="1538" max="1545" width="0" style="1327" hidden="1" customWidth="1"/>
    <col min="1546" max="1548" width="9.85546875" style="1327" customWidth="1"/>
    <col min="1549" max="1792" width="9.140625" style="1327"/>
    <col min="1793" max="1793" width="44.5703125" style="1327" customWidth="1"/>
    <col min="1794" max="1801" width="0" style="1327" hidden="1" customWidth="1"/>
    <col min="1802" max="1804" width="9.85546875" style="1327" customWidth="1"/>
    <col min="1805" max="2048" width="9.140625" style="1327"/>
    <col min="2049" max="2049" width="44.5703125" style="1327" customWidth="1"/>
    <col min="2050" max="2057" width="0" style="1327" hidden="1" customWidth="1"/>
    <col min="2058" max="2060" width="9.85546875" style="1327" customWidth="1"/>
    <col min="2061" max="2304" width="9.140625" style="1327"/>
    <col min="2305" max="2305" width="44.5703125" style="1327" customWidth="1"/>
    <col min="2306" max="2313" width="0" style="1327" hidden="1" customWidth="1"/>
    <col min="2314" max="2316" width="9.85546875" style="1327" customWidth="1"/>
    <col min="2317" max="2560" width="9.140625" style="1327"/>
    <col min="2561" max="2561" width="44.5703125" style="1327" customWidth="1"/>
    <col min="2562" max="2569" width="0" style="1327" hidden="1" customWidth="1"/>
    <col min="2570" max="2572" width="9.85546875" style="1327" customWidth="1"/>
    <col min="2573" max="2816" width="9.140625" style="1327"/>
    <col min="2817" max="2817" width="44.5703125" style="1327" customWidth="1"/>
    <col min="2818" max="2825" width="0" style="1327" hidden="1" customWidth="1"/>
    <col min="2826" max="2828" width="9.85546875" style="1327" customWidth="1"/>
    <col min="2829" max="3072" width="9.140625" style="1327"/>
    <col min="3073" max="3073" width="44.5703125" style="1327" customWidth="1"/>
    <col min="3074" max="3081" width="0" style="1327" hidden="1" customWidth="1"/>
    <col min="3082" max="3084" width="9.85546875" style="1327" customWidth="1"/>
    <col min="3085" max="3328" width="9.140625" style="1327"/>
    <col min="3329" max="3329" width="44.5703125" style="1327" customWidth="1"/>
    <col min="3330" max="3337" width="0" style="1327" hidden="1" customWidth="1"/>
    <col min="3338" max="3340" width="9.85546875" style="1327" customWidth="1"/>
    <col min="3341" max="3584" width="9.140625" style="1327"/>
    <col min="3585" max="3585" width="44.5703125" style="1327" customWidth="1"/>
    <col min="3586" max="3593" width="0" style="1327" hidden="1" customWidth="1"/>
    <col min="3594" max="3596" width="9.85546875" style="1327" customWidth="1"/>
    <col min="3597" max="3840" width="9.140625" style="1327"/>
    <col min="3841" max="3841" width="44.5703125" style="1327" customWidth="1"/>
    <col min="3842" max="3849" width="0" style="1327" hidden="1" customWidth="1"/>
    <col min="3850" max="3852" width="9.85546875" style="1327" customWidth="1"/>
    <col min="3853" max="4096" width="9.140625" style="1327"/>
    <col min="4097" max="4097" width="44.5703125" style="1327" customWidth="1"/>
    <col min="4098" max="4105" width="0" style="1327" hidden="1" customWidth="1"/>
    <col min="4106" max="4108" width="9.85546875" style="1327" customWidth="1"/>
    <col min="4109" max="4352" width="9.140625" style="1327"/>
    <col min="4353" max="4353" width="44.5703125" style="1327" customWidth="1"/>
    <col min="4354" max="4361" width="0" style="1327" hidden="1" customWidth="1"/>
    <col min="4362" max="4364" width="9.85546875" style="1327" customWidth="1"/>
    <col min="4365" max="4608" width="9.140625" style="1327"/>
    <col min="4609" max="4609" width="44.5703125" style="1327" customWidth="1"/>
    <col min="4610" max="4617" width="0" style="1327" hidden="1" customWidth="1"/>
    <col min="4618" max="4620" width="9.85546875" style="1327" customWidth="1"/>
    <col min="4621" max="4864" width="9.140625" style="1327"/>
    <col min="4865" max="4865" width="44.5703125" style="1327" customWidth="1"/>
    <col min="4866" max="4873" width="0" style="1327" hidden="1" customWidth="1"/>
    <col min="4874" max="4876" width="9.85546875" style="1327" customWidth="1"/>
    <col min="4877" max="5120" width="9.140625" style="1327"/>
    <col min="5121" max="5121" width="44.5703125" style="1327" customWidth="1"/>
    <col min="5122" max="5129" width="0" style="1327" hidden="1" customWidth="1"/>
    <col min="5130" max="5132" width="9.85546875" style="1327" customWidth="1"/>
    <col min="5133" max="5376" width="9.140625" style="1327"/>
    <col min="5377" max="5377" width="44.5703125" style="1327" customWidth="1"/>
    <col min="5378" max="5385" width="0" style="1327" hidden="1" customWidth="1"/>
    <col min="5386" max="5388" width="9.85546875" style="1327" customWidth="1"/>
    <col min="5389" max="5632" width="9.140625" style="1327"/>
    <col min="5633" max="5633" width="44.5703125" style="1327" customWidth="1"/>
    <col min="5634" max="5641" width="0" style="1327" hidden="1" customWidth="1"/>
    <col min="5642" max="5644" width="9.85546875" style="1327" customWidth="1"/>
    <col min="5645" max="5888" width="9.140625" style="1327"/>
    <col min="5889" max="5889" width="44.5703125" style="1327" customWidth="1"/>
    <col min="5890" max="5897" width="0" style="1327" hidden="1" customWidth="1"/>
    <col min="5898" max="5900" width="9.85546875" style="1327" customWidth="1"/>
    <col min="5901" max="6144" width="9.140625" style="1327"/>
    <col min="6145" max="6145" width="44.5703125" style="1327" customWidth="1"/>
    <col min="6146" max="6153" width="0" style="1327" hidden="1" customWidth="1"/>
    <col min="6154" max="6156" width="9.85546875" style="1327" customWidth="1"/>
    <col min="6157" max="6400" width="9.140625" style="1327"/>
    <col min="6401" max="6401" width="44.5703125" style="1327" customWidth="1"/>
    <col min="6402" max="6409" width="0" style="1327" hidden="1" customWidth="1"/>
    <col min="6410" max="6412" width="9.85546875" style="1327" customWidth="1"/>
    <col min="6413" max="6656" width="9.140625" style="1327"/>
    <col min="6657" max="6657" width="44.5703125" style="1327" customWidth="1"/>
    <col min="6658" max="6665" width="0" style="1327" hidden="1" customWidth="1"/>
    <col min="6666" max="6668" width="9.85546875" style="1327" customWidth="1"/>
    <col min="6669" max="6912" width="9.140625" style="1327"/>
    <col min="6913" max="6913" width="44.5703125" style="1327" customWidth="1"/>
    <col min="6914" max="6921" width="0" style="1327" hidden="1" customWidth="1"/>
    <col min="6922" max="6924" width="9.85546875" style="1327" customWidth="1"/>
    <col min="6925" max="7168" width="9.140625" style="1327"/>
    <col min="7169" max="7169" width="44.5703125" style="1327" customWidth="1"/>
    <col min="7170" max="7177" width="0" style="1327" hidden="1" customWidth="1"/>
    <col min="7178" max="7180" width="9.85546875" style="1327" customWidth="1"/>
    <col min="7181" max="7424" width="9.140625" style="1327"/>
    <col min="7425" max="7425" width="44.5703125" style="1327" customWidth="1"/>
    <col min="7426" max="7433" width="0" style="1327" hidden="1" customWidth="1"/>
    <col min="7434" max="7436" width="9.85546875" style="1327" customWidth="1"/>
    <col min="7437" max="7680" width="9.140625" style="1327"/>
    <col min="7681" max="7681" width="44.5703125" style="1327" customWidth="1"/>
    <col min="7682" max="7689" width="0" style="1327" hidden="1" customWidth="1"/>
    <col min="7690" max="7692" width="9.85546875" style="1327" customWidth="1"/>
    <col min="7693" max="7936" width="9.140625" style="1327"/>
    <col min="7937" max="7937" width="44.5703125" style="1327" customWidth="1"/>
    <col min="7938" max="7945" width="0" style="1327" hidden="1" customWidth="1"/>
    <col min="7946" max="7948" width="9.85546875" style="1327" customWidth="1"/>
    <col min="7949" max="8192" width="9.140625" style="1327"/>
    <col min="8193" max="8193" width="44.5703125" style="1327" customWidth="1"/>
    <col min="8194" max="8201" width="0" style="1327" hidden="1" customWidth="1"/>
    <col min="8202" max="8204" width="9.85546875" style="1327" customWidth="1"/>
    <col min="8205" max="8448" width="9.140625" style="1327"/>
    <col min="8449" max="8449" width="44.5703125" style="1327" customWidth="1"/>
    <col min="8450" max="8457" width="0" style="1327" hidden="1" customWidth="1"/>
    <col min="8458" max="8460" width="9.85546875" style="1327" customWidth="1"/>
    <col min="8461" max="8704" width="9.140625" style="1327"/>
    <col min="8705" max="8705" width="44.5703125" style="1327" customWidth="1"/>
    <col min="8706" max="8713" width="0" style="1327" hidden="1" customWidth="1"/>
    <col min="8714" max="8716" width="9.85546875" style="1327" customWidth="1"/>
    <col min="8717" max="8960" width="9.140625" style="1327"/>
    <col min="8961" max="8961" width="44.5703125" style="1327" customWidth="1"/>
    <col min="8962" max="8969" width="0" style="1327" hidden="1" customWidth="1"/>
    <col min="8970" max="8972" width="9.85546875" style="1327" customWidth="1"/>
    <col min="8973" max="9216" width="9.140625" style="1327"/>
    <col min="9217" max="9217" width="44.5703125" style="1327" customWidth="1"/>
    <col min="9218" max="9225" width="0" style="1327" hidden="1" customWidth="1"/>
    <col min="9226" max="9228" width="9.85546875" style="1327" customWidth="1"/>
    <col min="9229" max="9472" width="9.140625" style="1327"/>
    <col min="9473" max="9473" width="44.5703125" style="1327" customWidth="1"/>
    <col min="9474" max="9481" width="0" style="1327" hidden="1" customWidth="1"/>
    <col min="9482" max="9484" width="9.85546875" style="1327" customWidth="1"/>
    <col min="9485" max="9728" width="9.140625" style="1327"/>
    <col min="9729" max="9729" width="44.5703125" style="1327" customWidth="1"/>
    <col min="9730" max="9737" width="0" style="1327" hidden="1" customWidth="1"/>
    <col min="9738" max="9740" width="9.85546875" style="1327" customWidth="1"/>
    <col min="9741" max="9984" width="9.140625" style="1327"/>
    <col min="9985" max="9985" width="44.5703125" style="1327" customWidth="1"/>
    <col min="9986" max="9993" width="0" style="1327" hidden="1" customWidth="1"/>
    <col min="9994" max="9996" width="9.85546875" style="1327" customWidth="1"/>
    <col min="9997" max="10240" width="9.140625" style="1327"/>
    <col min="10241" max="10241" width="44.5703125" style="1327" customWidth="1"/>
    <col min="10242" max="10249" width="0" style="1327" hidden="1" customWidth="1"/>
    <col min="10250" max="10252" width="9.85546875" style="1327" customWidth="1"/>
    <col min="10253" max="10496" width="9.140625" style="1327"/>
    <col min="10497" max="10497" width="44.5703125" style="1327" customWidth="1"/>
    <col min="10498" max="10505" width="0" style="1327" hidden="1" customWidth="1"/>
    <col min="10506" max="10508" width="9.85546875" style="1327" customWidth="1"/>
    <col min="10509" max="10752" width="9.140625" style="1327"/>
    <col min="10753" max="10753" width="44.5703125" style="1327" customWidth="1"/>
    <col min="10754" max="10761" width="0" style="1327" hidden="1" customWidth="1"/>
    <col min="10762" max="10764" width="9.85546875" style="1327" customWidth="1"/>
    <col min="10765" max="11008" width="9.140625" style="1327"/>
    <col min="11009" max="11009" width="44.5703125" style="1327" customWidth="1"/>
    <col min="11010" max="11017" width="0" style="1327" hidden="1" customWidth="1"/>
    <col min="11018" max="11020" width="9.85546875" style="1327" customWidth="1"/>
    <col min="11021" max="11264" width="9.140625" style="1327"/>
    <col min="11265" max="11265" width="44.5703125" style="1327" customWidth="1"/>
    <col min="11266" max="11273" width="0" style="1327" hidden="1" customWidth="1"/>
    <col min="11274" max="11276" width="9.85546875" style="1327" customWidth="1"/>
    <col min="11277" max="11520" width="9.140625" style="1327"/>
    <col min="11521" max="11521" width="44.5703125" style="1327" customWidth="1"/>
    <col min="11522" max="11529" width="0" style="1327" hidden="1" customWidth="1"/>
    <col min="11530" max="11532" width="9.85546875" style="1327" customWidth="1"/>
    <col min="11533" max="11776" width="9.140625" style="1327"/>
    <col min="11777" max="11777" width="44.5703125" style="1327" customWidth="1"/>
    <col min="11778" max="11785" width="0" style="1327" hidden="1" customWidth="1"/>
    <col min="11786" max="11788" width="9.85546875" style="1327" customWidth="1"/>
    <col min="11789" max="12032" width="9.140625" style="1327"/>
    <col min="12033" max="12033" width="44.5703125" style="1327" customWidth="1"/>
    <col min="12034" max="12041" width="0" style="1327" hidden="1" customWidth="1"/>
    <col min="12042" max="12044" width="9.85546875" style="1327" customWidth="1"/>
    <col min="12045" max="12288" width="9.140625" style="1327"/>
    <col min="12289" max="12289" width="44.5703125" style="1327" customWidth="1"/>
    <col min="12290" max="12297" width="0" style="1327" hidden="1" customWidth="1"/>
    <col min="12298" max="12300" width="9.85546875" style="1327" customWidth="1"/>
    <col min="12301" max="12544" width="9.140625" style="1327"/>
    <col min="12545" max="12545" width="44.5703125" style="1327" customWidth="1"/>
    <col min="12546" max="12553" width="0" style="1327" hidden="1" customWidth="1"/>
    <col min="12554" max="12556" width="9.85546875" style="1327" customWidth="1"/>
    <col min="12557" max="12800" width="9.140625" style="1327"/>
    <col min="12801" max="12801" width="44.5703125" style="1327" customWidth="1"/>
    <col min="12802" max="12809" width="0" style="1327" hidden="1" customWidth="1"/>
    <col min="12810" max="12812" width="9.85546875" style="1327" customWidth="1"/>
    <col min="12813" max="13056" width="9.140625" style="1327"/>
    <col min="13057" max="13057" width="44.5703125" style="1327" customWidth="1"/>
    <col min="13058" max="13065" width="0" style="1327" hidden="1" customWidth="1"/>
    <col min="13066" max="13068" width="9.85546875" style="1327" customWidth="1"/>
    <col min="13069" max="13312" width="9.140625" style="1327"/>
    <col min="13313" max="13313" width="44.5703125" style="1327" customWidth="1"/>
    <col min="13314" max="13321" width="0" style="1327" hidden="1" customWidth="1"/>
    <col min="13322" max="13324" width="9.85546875" style="1327" customWidth="1"/>
    <col min="13325" max="13568" width="9.140625" style="1327"/>
    <col min="13569" max="13569" width="44.5703125" style="1327" customWidth="1"/>
    <col min="13570" max="13577" width="0" style="1327" hidden="1" customWidth="1"/>
    <col min="13578" max="13580" width="9.85546875" style="1327" customWidth="1"/>
    <col min="13581" max="13824" width="9.140625" style="1327"/>
    <col min="13825" max="13825" width="44.5703125" style="1327" customWidth="1"/>
    <col min="13826" max="13833" width="0" style="1327" hidden="1" customWidth="1"/>
    <col min="13834" max="13836" width="9.85546875" style="1327" customWidth="1"/>
    <col min="13837" max="14080" width="9.140625" style="1327"/>
    <col min="14081" max="14081" width="44.5703125" style="1327" customWidth="1"/>
    <col min="14082" max="14089" width="0" style="1327" hidden="1" customWidth="1"/>
    <col min="14090" max="14092" width="9.85546875" style="1327" customWidth="1"/>
    <col min="14093" max="14336" width="9.140625" style="1327"/>
    <col min="14337" max="14337" width="44.5703125" style="1327" customWidth="1"/>
    <col min="14338" max="14345" width="0" style="1327" hidden="1" customWidth="1"/>
    <col min="14346" max="14348" width="9.85546875" style="1327" customWidth="1"/>
    <col min="14349" max="14592" width="9.140625" style="1327"/>
    <col min="14593" max="14593" width="44.5703125" style="1327" customWidth="1"/>
    <col min="14594" max="14601" width="0" style="1327" hidden="1" customWidth="1"/>
    <col min="14602" max="14604" width="9.85546875" style="1327" customWidth="1"/>
    <col min="14605" max="14848" width="9.140625" style="1327"/>
    <col min="14849" max="14849" width="44.5703125" style="1327" customWidth="1"/>
    <col min="14850" max="14857" width="0" style="1327" hidden="1" customWidth="1"/>
    <col min="14858" max="14860" width="9.85546875" style="1327" customWidth="1"/>
    <col min="14861" max="15104" width="9.140625" style="1327"/>
    <col min="15105" max="15105" width="44.5703125" style="1327" customWidth="1"/>
    <col min="15106" max="15113" width="0" style="1327" hidden="1" customWidth="1"/>
    <col min="15114" max="15116" width="9.85546875" style="1327" customWidth="1"/>
    <col min="15117" max="15360" width="9.140625" style="1327"/>
    <col min="15361" max="15361" width="44.5703125" style="1327" customWidth="1"/>
    <col min="15362" max="15369" width="0" style="1327" hidden="1" customWidth="1"/>
    <col min="15370" max="15372" width="9.85546875" style="1327" customWidth="1"/>
    <col min="15373" max="15616" width="9.140625" style="1327"/>
    <col min="15617" max="15617" width="44.5703125" style="1327" customWidth="1"/>
    <col min="15618" max="15625" width="0" style="1327" hidden="1" customWidth="1"/>
    <col min="15626" max="15628" width="9.85546875" style="1327" customWidth="1"/>
    <col min="15629" max="15872" width="9.140625" style="1327"/>
    <col min="15873" max="15873" width="44.5703125" style="1327" customWidth="1"/>
    <col min="15874" max="15881" width="0" style="1327" hidden="1" customWidth="1"/>
    <col min="15882" max="15884" width="9.85546875" style="1327" customWidth="1"/>
    <col min="15885" max="16128" width="9.140625" style="1327"/>
    <col min="16129" max="16129" width="44.5703125" style="1327" customWidth="1"/>
    <col min="16130" max="16137" width="0" style="1327" hidden="1" customWidth="1"/>
    <col min="16138" max="16140" width="9.85546875" style="1327" customWidth="1"/>
    <col min="16141" max="16384" width="9.140625" style="1327"/>
  </cols>
  <sheetData>
    <row r="1" spans="1:256" s="1314" customFormat="1" ht="27">
      <c r="A1" s="1313" t="s">
        <v>1093</v>
      </c>
      <c r="G1" s="1315"/>
      <c r="H1" s="1315"/>
      <c r="I1" s="1316"/>
      <c r="J1" s="1317"/>
      <c r="K1" s="1318"/>
      <c r="L1" s="1318"/>
      <c r="M1" s="1318"/>
      <c r="N1" s="1318"/>
      <c r="O1" s="1319"/>
      <c r="P1" s="1319"/>
      <c r="Q1" s="1319"/>
      <c r="R1" s="1319"/>
      <c r="S1" s="1319"/>
      <c r="T1" s="1319"/>
      <c r="U1" s="1319"/>
      <c r="V1" s="1319"/>
      <c r="W1" s="1319"/>
      <c r="X1" s="1319"/>
      <c r="Y1" s="1319"/>
      <c r="Z1" s="1319"/>
      <c r="AA1" s="1319"/>
      <c r="AB1" s="1319"/>
      <c r="AC1" s="1319"/>
      <c r="AD1" s="1319"/>
      <c r="AE1" s="1319"/>
      <c r="AF1" s="1319"/>
      <c r="AG1" s="1319"/>
      <c r="AH1" s="1319"/>
      <c r="AI1" s="1319"/>
      <c r="AJ1" s="1319"/>
      <c r="AK1" s="1319"/>
      <c r="AL1" s="1319"/>
      <c r="AM1" s="1319"/>
      <c r="AN1" s="1319"/>
      <c r="AO1" s="1319"/>
      <c r="AP1" s="1319"/>
      <c r="AQ1" s="1319"/>
      <c r="AR1" s="1319"/>
      <c r="AS1" s="1319"/>
      <c r="AT1" s="1319"/>
      <c r="AU1" s="1319"/>
      <c r="AV1" s="1319"/>
      <c r="AW1" s="1319"/>
      <c r="AX1" s="1319"/>
      <c r="AY1" s="1319"/>
      <c r="AZ1" s="1319"/>
      <c r="BA1" s="1319"/>
      <c r="BB1" s="1319"/>
      <c r="BC1" s="1319"/>
      <c r="BD1" s="1319"/>
      <c r="BE1" s="1319"/>
      <c r="BF1" s="1319"/>
      <c r="BG1" s="1319"/>
      <c r="BH1" s="1319"/>
      <c r="BI1" s="1319"/>
      <c r="BJ1" s="1319"/>
      <c r="BK1" s="1319"/>
      <c r="BL1" s="1319"/>
      <c r="BM1" s="1319"/>
      <c r="BN1" s="1319"/>
      <c r="BO1" s="1319"/>
      <c r="BP1" s="1319"/>
      <c r="BQ1" s="1319"/>
      <c r="BR1" s="1319"/>
      <c r="BS1" s="1319"/>
      <c r="BT1" s="1319"/>
      <c r="BU1" s="1319"/>
      <c r="BV1" s="1319"/>
      <c r="BW1" s="1319"/>
      <c r="BX1" s="1319"/>
      <c r="BY1" s="1319"/>
      <c r="BZ1" s="1319"/>
      <c r="CA1" s="1319"/>
      <c r="CB1" s="1319"/>
      <c r="CC1" s="1319"/>
      <c r="CD1" s="1319"/>
      <c r="CE1" s="1319"/>
      <c r="CF1" s="1319"/>
      <c r="CG1" s="1319"/>
      <c r="CH1" s="1319"/>
      <c r="CI1" s="1319"/>
      <c r="CJ1" s="1319"/>
      <c r="CK1" s="1319"/>
      <c r="CL1" s="1319"/>
      <c r="CM1" s="1319"/>
      <c r="CN1" s="1319"/>
      <c r="CO1" s="1319"/>
      <c r="CP1" s="1319"/>
      <c r="CQ1" s="1319"/>
      <c r="CR1" s="1319"/>
      <c r="CS1" s="1319"/>
      <c r="CT1" s="1319"/>
      <c r="CU1" s="1319"/>
      <c r="CV1" s="1319"/>
      <c r="CW1" s="1319"/>
      <c r="CX1" s="1319"/>
      <c r="CY1" s="1319"/>
      <c r="CZ1" s="1319"/>
      <c r="DA1" s="1319"/>
      <c r="DB1" s="1319"/>
      <c r="DC1" s="1319"/>
      <c r="DD1" s="1319"/>
      <c r="DE1" s="1319"/>
      <c r="DF1" s="1319"/>
      <c r="DG1" s="1319"/>
      <c r="DH1" s="1319"/>
      <c r="DI1" s="1319"/>
      <c r="DJ1" s="1319"/>
      <c r="DK1" s="1319"/>
      <c r="DL1" s="1319"/>
      <c r="DM1" s="1319"/>
      <c r="DN1" s="1319"/>
      <c r="DO1" s="1319"/>
      <c r="DP1" s="1319"/>
      <c r="DQ1" s="1319"/>
      <c r="DR1" s="1319"/>
      <c r="DS1" s="1319"/>
      <c r="DT1" s="1319"/>
      <c r="DU1" s="1319"/>
      <c r="DV1" s="1319"/>
      <c r="DW1" s="1319"/>
      <c r="DX1" s="1319"/>
      <c r="DY1" s="1319"/>
      <c r="DZ1" s="1319"/>
      <c r="EA1" s="1319"/>
      <c r="EB1" s="1319"/>
      <c r="EC1" s="1319"/>
      <c r="ED1" s="1319"/>
      <c r="EE1" s="1319"/>
      <c r="EF1" s="1319"/>
      <c r="EG1" s="1319"/>
      <c r="EH1" s="1319"/>
      <c r="EI1" s="1319"/>
      <c r="EJ1" s="1319"/>
      <c r="EK1" s="1319"/>
      <c r="EL1" s="1319"/>
      <c r="EM1" s="1319"/>
      <c r="EN1" s="1319"/>
      <c r="EO1" s="1319"/>
      <c r="EP1" s="1319"/>
      <c r="EQ1" s="1319"/>
      <c r="ER1" s="1319"/>
      <c r="ES1" s="1319"/>
      <c r="ET1" s="1319"/>
      <c r="EU1" s="1319"/>
      <c r="EV1" s="1319"/>
      <c r="EW1" s="1319"/>
      <c r="EX1" s="1319"/>
      <c r="EY1" s="1319"/>
      <c r="EZ1" s="1319"/>
      <c r="FA1" s="1319"/>
      <c r="FB1" s="1319"/>
      <c r="FC1" s="1319"/>
      <c r="FD1" s="1319"/>
      <c r="FE1" s="1319"/>
      <c r="FF1" s="1319"/>
      <c r="FG1" s="1319"/>
      <c r="FH1" s="1319"/>
      <c r="FI1" s="1319"/>
      <c r="FJ1" s="1319"/>
      <c r="FK1" s="1319"/>
      <c r="FL1" s="1319"/>
      <c r="FM1" s="1319"/>
      <c r="FN1" s="1319"/>
      <c r="FO1" s="1319"/>
      <c r="FP1" s="1319"/>
      <c r="FQ1" s="1319"/>
      <c r="FR1" s="1319"/>
      <c r="FS1" s="1319"/>
      <c r="FT1" s="1319"/>
      <c r="FU1" s="1319"/>
      <c r="FV1" s="1319"/>
      <c r="FW1" s="1319"/>
      <c r="FX1" s="1319"/>
      <c r="FY1" s="1319"/>
      <c r="FZ1" s="1319"/>
      <c r="GA1" s="1319"/>
      <c r="GB1" s="1319"/>
      <c r="GC1" s="1319"/>
      <c r="GD1" s="1319"/>
      <c r="GE1" s="1319"/>
      <c r="GF1" s="1319"/>
      <c r="GG1" s="1319"/>
      <c r="GH1" s="1319"/>
      <c r="GI1" s="1319"/>
      <c r="GJ1" s="1319"/>
      <c r="GK1" s="1319"/>
      <c r="GL1" s="1319"/>
      <c r="GM1" s="1319"/>
      <c r="GN1" s="1319"/>
      <c r="GO1" s="1319"/>
      <c r="GP1" s="1319"/>
      <c r="GQ1" s="1319"/>
      <c r="GR1" s="1319"/>
      <c r="GS1" s="1319"/>
      <c r="GT1" s="1319"/>
      <c r="GU1" s="1319"/>
      <c r="GV1" s="1319"/>
      <c r="GW1" s="1319"/>
      <c r="GX1" s="1319"/>
      <c r="GY1" s="1319"/>
      <c r="GZ1" s="1319"/>
      <c r="HA1" s="1319"/>
      <c r="HB1" s="1319"/>
      <c r="HC1" s="1319"/>
      <c r="HD1" s="1319"/>
      <c r="HE1" s="1319"/>
      <c r="HF1" s="1319"/>
      <c r="HG1" s="1319"/>
      <c r="HH1" s="1319"/>
      <c r="HI1" s="1319"/>
      <c r="HJ1" s="1319"/>
      <c r="HK1" s="1319"/>
      <c r="HL1" s="1319"/>
      <c r="HM1" s="1319"/>
      <c r="HN1" s="1319"/>
      <c r="HO1" s="1319"/>
      <c r="HP1" s="1319"/>
      <c r="HQ1" s="1319"/>
      <c r="HR1" s="1319"/>
      <c r="HS1" s="1319"/>
      <c r="HT1" s="1319"/>
      <c r="HU1" s="1319"/>
      <c r="HV1" s="1319"/>
      <c r="HW1" s="1319"/>
      <c r="HX1" s="1319"/>
      <c r="HY1" s="1319"/>
      <c r="HZ1" s="1319"/>
      <c r="IA1" s="1319"/>
      <c r="IB1" s="1319"/>
      <c r="IC1" s="1319"/>
      <c r="ID1" s="1319"/>
      <c r="IE1" s="1319"/>
      <c r="IF1" s="1319"/>
      <c r="IG1" s="1319"/>
      <c r="IH1" s="1319"/>
      <c r="II1" s="1319"/>
      <c r="IJ1" s="1319"/>
      <c r="IK1" s="1319"/>
      <c r="IL1" s="1319"/>
      <c r="IM1" s="1319"/>
      <c r="IN1" s="1319"/>
      <c r="IO1" s="1319"/>
      <c r="IP1" s="1319"/>
      <c r="IQ1" s="1319"/>
      <c r="IR1" s="1319"/>
      <c r="IS1" s="1319"/>
      <c r="IT1" s="1319"/>
      <c r="IU1" s="1319"/>
      <c r="IV1" s="1319"/>
    </row>
    <row r="2" spans="1:256" s="1320" customFormat="1" ht="27.75">
      <c r="A2" s="1313" t="s">
        <v>1094</v>
      </c>
      <c r="G2" s="1321"/>
      <c r="H2" s="1321"/>
      <c r="I2" s="1321"/>
      <c r="J2" s="1321"/>
      <c r="K2" s="1318"/>
      <c r="L2" s="1318"/>
      <c r="M2" s="1318"/>
      <c r="N2" s="1318"/>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c r="AM2" s="1322"/>
      <c r="AN2" s="1322"/>
      <c r="AO2" s="1322"/>
      <c r="AP2" s="1322"/>
      <c r="AQ2" s="1322"/>
      <c r="AR2" s="1322"/>
      <c r="AS2" s="1322"/>
      <c r="AT2" s="1322"/>
      <c r="AU2" s="1322"/>
      <c r="AV2" s="1322"/>
      <c r="AW2" s="1322"/>
      <c r="AX2" s="1322"/>
      <c r="AY2" s="1322"/>
      <c r="AZ2" s="1322"/>
      <c r="BA2" s="1322"/>
      <c r="BB2" s="1322"/>
      <c r="BC2" s="1322"/>
      <c r="BD2" s="1322"/>
      <c r="BE2" s="1322"/>
      <c r="BF2" s="1322"/>
      <c r="BG2" s="1322"/>
      <c r="BH2" s="1322"/>
      <c r="BI2" s="1322"/>
      <c r="BJ2" s="1322"/>
      <c r="BK2" s="1322"/>
      <c r="BL2" s="1322"/>
      <c r="BM2" s="1322"/>
      <c r="BN2" s="1322"/>
      <c r="BO2" s="1322"/>
      <c r="BP2" s="1322"/>
      <c r="BQ2" s="1322"/>
      <c r="BR2" s="1322"/>
      <c r="BS2" s="1322"/>
      <c r="BT2" s="1322"/>
      <c r="BU2" s="1322"/>
      <c r="BV2" s="1322"/>
      <c r="BW2" s="1322"/>
      <c r="BX2" s="1322"/>
      <c r="BY2" s="1322"/>
      <c r="BZ2" s="1322"/>
      <c r="CA2" s="1322"/>
      <c r="CB2" s="1322"/>
      <c r="CC2" s="1322"/>
      <c r="CD2" s="1322"/>
      <c r="CE2" s="1322"/>
      <c r="CF2" s="1322"/>
      <c r="CG2" s="1322"/>
      <c r="CH2" s="1322"/>
      <c r="CI2" s="1322"/>
      <c r="CJ2" s="1322"/>
      <c r="CK2" s="1322"/>
      <c r="CL2" s="1322"/>
      <c r="CM2" s="1322"/>
      <c r="CN2" s="1322"/>
      <c r="CO2" s="1322"/>
      <c r="CP2" s="1322"/>
      <c r="CQ2" s="1322"/>
      <c r="CR2" s="1322"/>
      <c r="CS2" s="1322"/>
      <c r="CT2" s="1322"/>
      <c r="CU2" s="1322"/>
      <c r="CV2" s="1322"/>
      <c r="CW2" s="1322"/>
      <c r="CX2" s="1322"/>
      <c r="CY2" s="1322"/>
      <c r="CZ2" s="1322"/>
      <c r="DA2" s="1322"/>
      <c r="DB2" s="1322"/>
      <c r="DC2" s="1322"/>
      <c r="DD2" s="1322"/>
      <c r="DE2" s="1322"/>
      <c r="DF2" s="1322"/>
      <c r="DG2" s="1322"/>
      <c r="DH2" s="1322"/>
      <c r="DI2" s="1322"/>
      <c r="DJ2" s="1322"/>
      <c r="DK2" s="1322"/>
      <c r="DL2" s="1322"/>
      <c r="DM2" s="1322"/>
      <c r="DN2" s="1322"/>
      <c r="DO2" s="1322"/>
      <c r="DP2" s="1322"/>
      <c r="DQ2" s="1322"/>
      <c r="DR2" s="1322"/>
      <c r="DS2" s="1322"/>
      <c r="DT2" s="1322"/>
      <c r="DU2" s="1322"/>
      <c r="DV2" s="1322"/>
      <c r="DW2" s="1322"/>
      <c r="DX2" s="1322"/>
      <c r="DY2" s="1322"/>
      <c r="DZ2" s="1322"/>
      <c r="EA2" s="1322"/>
      <c r="EB2" s="1322"/>
      <c r="EC2" s="1322"/>
      <c r="ED2" s="1322"/>
      <c r="EE2" s="1322"/>
      <c r="EF2" s="1322"/>
      <c r="EG2" s="1322"/>
      <c r="EH2" s="1322"/>
      <c r="EI2" s="1322"/>
      <c r="EJ2" s="1322"/>
      <c r="EK2" s="1322"/>
      <c r="EL2" s="1322"/>
      <c r="EM2" s="1322"/>
      <c r="EN2" s="1322"/>
      <c r="EO2" s="1322"/>
      <c r="EP2" s="1322"/>
      <c r="EQ2" s="1322"/>
      <c r="ER2" s="1322"/>
      <c r="ES2" s="1322"/>
      <c r="ET2" s="1322"/>
      <c r="EU2" s="1322"/>
      <c r="EV2" s="1322"/>
      <c r="EW2" s="1322"/>
      <c r="EX2" s="1322"/>
      <c r="EY2" s="1322"/>
      <c r="EZ2" s="1322"/>
      <c r="FA2" s="1322"/>
      <c r="FB2" s="1322"/>
      <c r="FC2" s="1322"/>
      <c r="FD2" s="1322"/>
      <c r="FE2" s="1322"/>
      <c r="FF2" s="1322"/>
      <c r="FG2" s="1322"/>
      <c r="FH2" s="1322"/>
      <c r="FI2" s="1322"/>
      <c r="FJ2" s="1322"/>
      <c r="FK2" s="1322"/>
      <c r="FL2" s="1322"/>
      <c r="FM2" s="1322"/>
      <c r="FN2" s="1322"/>
      <c r="FO2" s="1322"/>
      <c r="FP2" s="1322"/>
      <c r="FQ2" s="1322"/>
      <c r="FR2" s="1322"/>
      <c r="FS2" s="1322"/>
      <c r="FT2" s="1322"/>
      <c r="FU2" s="1322"/>
      <c r="FV2" s="1322"/>
      <c r="FW2" s="1322"/>
      <c r="FX2" s="1322"/>
      <c r="FY2" s="1322"/>
      <c r="FZ2" s="1322"/>
      <c r="GA2" s="1322"/>
      <c r="GB2" s="1322"/>
      <c r="GC2" s="1322"/>
      <c r="GD2" s="1322"/>
      <c r="GE2" s="1322"/>
      <c r="GF2" s="1322"/>
      <c r="GG2" s="1322"/>
      <c r="GH2" s="1322"/>
      <c r="GI2" s="1322"/>
      <c r="GJ2" s="1322"/>
      <c r="GK2" s="1322"/>
      <c r="GL2" s="1322"/>
      <c r="GM2" s="1322"/>
      <c r="GN2" s="1322"/>
      <c r="GO2" s="1322"/>
      <c r="GP2" s="1322"/>
      <c r="GQ2" s="1322"/>
      <c r="GR2" s="1322"/>
      <c r="GS2" s="1322"/>
      <c r="GT2" s="1322"/>
      <c r="GU2" s="1322"/>
      <c r="GV2" s="1322"/>
      <c r="GW2" s="1322"/>
      <c r="GX2" s="1322"/>
      <c r="GY2" s="1322"/>
      <c r="GZ2" s="1322"/>
      <c r="HA2" s="1322"/>
      <c r="HB2" s="1322"/>
      <c r="HC2" s="1322"/>
      <c r="HD2" s="1322"/>
      <c r="HE2" s="1322"/>
      <c r="HF2" s="1322"/>
      <c r="HG2" s="1322"/>
      <c r="HH2" s="1322"/>
      <c r="HI2" s="1322"/>
      <c r="HJ2" s="1322"/>
      <c r="HK2" s="1322"/>
      <c r="HL2" s="1322"/>
      <c r="HM2" s="1322"/>
      <c r="HN2" s="1322"/>
      <c r="HO2" s="1322"/>
      <c r="HP2" s="1322"/>
      <c r="HQ2" s="1322"/>
      <c r="HR2" s="1322"/>
      <c r="HS2" s="1322"/>
      <c r="HT2" s="1322"/>
      <c r="HU2" s="1322"/>
      <c r="HV2" s="1322"/>
      <c r="HW2" s="1322"/>
      <c r="HX2" s="1322"/>
      <c r="HY2" s="1322"/>
      <c r="HZ2" s="1322"/>
      <c r="IA2" s="1322"/>
      <c r="IB2" s="1322"/>
      <c r="IC2" s="1322"/>
      <c r="ID2" s="1322"/>
      <c r="IE2" s="1322"/>
      <c r="IF2" s="1322"/>
      <c r="IG2" s="1322"/>
      <c r="IH2" s="1322"/>
      <c r="II2" s="1322"/>
      <c r="IJ2" s="1322"/>
      <c r="IK2" s="1322"/>
      <c r="IL2" s="1322"/>
      <c r="IM2" s="1322"/>
      <c r="IN2" s="1322"/>
      <c r="IO2" s="1322"/>
      <c r="IP2" s="1322"/>
      <c r="IQ2" s="1322"/>
      <c r="IR2" s="1322"/>
      <c r="IS2" s="1322"/>
      <c r="IT2" s="1322"/>
      <c r="IU2" s="1322"/>
      <c r="IV2" s="1322"/>
    </row>
    <row r="3" spans="1:256" s="1323" customFormat="1">
      <c r="D3" s="1324"/>
      <c r="E3" s="1325"/>
      <c r="F3" s="1326"/>
      <c r="G3" s="1327"/>
      <c r="H3" s="1328"/>
      <c r="I3" s="1328"/>
      <c r="K3" s="1328"/>
      <c r="M3" s="1328"/>
      <c r="N3" s="1328" t="s">
        <v>1095</v>
      </c>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29"/>
      <c r="AM3" s="1329"/>
      <c r="AN3" s="1329"/>
      <c r="AO3" s="1329"/>
      <c r="AP3" s="1329"/>
      <c r="AQ3" s="1329"/>
      <c r="AR3" s="1329"/>
      <c r="AS3" s="1329"/>
      <c r="AT3" s="1329"/>
      <c r="AU3" s="1329"/>
      <c r="AV3" s="1329"/>
      <c r="AW3" s="1329"/>
      <c r="AX3" s="1329"/>
      <c r="AY3" s="1329"/>
      <c r="AZ3" s="1329"/>
      <c r="BA3" s="1329"/>
      <c r="BB3" s="1329"/>
      <c r="BC3" s="1329"/>
      <c r="BD3" s="1329"/>
      <c r="BE3" s="1329"/>
      <c r="BF3" s="1329"/>
      <c r="BG3" s="1329"/>
      <c r="BH3" s="1329"/>
      <c r="BI3" s="1329"/>
      <c r="BJ3" s="1329"/>
      <c r="BK3" s="1329"/>
      <c r="BL3" s="1329"/>
      <c r="BM3" s="1329"/>
      <c r="BN3" s="1329"/>
      <c r="BO3" s="1329"/>
      <c r="BP3" s="1329"/>
      <c r="BQ3" s="1329"/>
      <c r="BR3" s="1329"/>
      <c r="BS3" s="1329"/>
      <c r="BT3" s="1329"/>
      <c r="BU3" s="1329"/>
      <c r="BV3" s="1329"/>
      <c r="BW3" s="1329"/>
      <c r="BX3" s="1329"/>
      <c r="BY3" s="1329"/>
      <c r="BZ3" s="1329"/>
      <c r="CA3" s="1329"/>
      <c r="CB3" s="1329"/>
      <c r="CC3" s="1329"/>
      <c r="CD3" s="1329"/>
      <c r="CE3" s="1329"/>
      <c r="CF3" s="1329"/>
      <c r="CG3" s="1329"/>
      <c r="CH3" s="1329"/>
      <c r="CI3" s="1329"/>
      <c r="CJ3" s="1329"/>
      <c r="CK3" s="1329"/>
      <c r="CL3" s="1329"/>
      <c r="CM3" s="1329"/>
      <c r="CN3" s="1329"/>
      <c r="CO3" s="1329"/>
      <c r="CP3" s="1329"/>
      <c r="CQ3" s="1329"/>
      <c r="CR3" s="1329"/>
      <c r="CS3" s="1329"/>
      <c r="CT3" s="1329"/>
      <c r="CU3" s="1329"/>
      <c r="CV3" s="1329"/>
      <c r="CW3" s="1329"/>
      <c r="CX3" s="1329"/>
      <c r="CY3" s="1329"/>
      <c r="CZ3" s="1329"/>
      <c r="DA3" s="1329"/>
      <c r="DB3" s="1329"/>
      <c r="DC3" s="1329"/>
      <c r="DD3" s="1329"/>
      <c r="DE3" s="1329"/>
      <c r="DF3" s="1329"/>
      <c r="DG3" s="1329"/>
      <c r="DH3" s="1329"/>
      <c r="DI3" s="1329"/>
      <c r="DJ3" s="1329"/>
      <c r="DK3" s="1329"/>
      <c r="DL3" s="1329"/>
      <c r="DM3" s="1329"/>
      <c r="DN3" s="1329"/>
      <c r="DO3" s="1329"/>
      <c r="DP3" s="1329"/>
      <c r="DQ3" s="1329"/>
      <c r="DR3" s="1329"/>
      <c r="DS3" s="1329"/>
      <c r="DT3" s="1329"/>
      <c r="DU3" s="1329"/>
      <c r="DV3" s="1329"/>
      <c r="DW3" s="1329"/>
      <c r="DX3" s="1329"/>
      <c r="DY3" s="1329"/>
      <c r="DZ3" s="1329"/>
      <c r="EA3" s="1329"/>
      <c r="EB3" s="1329"/>
      <c r="EC3" s="1329"/>
      <c r="ED3" s="1329"/>
      <c r="EE3" s="1329"/>
      <c r="EF3" s="1329"/>
      <c r="EG3" s="1329"/>
      <c r="EH3" s="1329"/>
      <c r="EI3" s="1329"/>
      <c r="EJ3" s="1329"/>
      <c r="EK3" s="1329"/>
      <c r="EL3" s="1329"/>
      <c r="EM3" s="1329"/>
      <c r="EN3" s="1329"/>
      <c r="EO3" s="1329"/>
      <c r="EP3" s="1329"/>
      <c r="EQ3" s="1329"/>
      <c r="ER3" s="1329"/>
      <c r="ES3" s="1329"/>
      <c r="ET3" s="1329"/>
      <c r="EU3" s="1329"/>
      <c r="EV3" s="1329"/>
      <c r="EW3" s="1329"/>
      <c r="EX3" s="1329"/>
      <c r="EY3" s="1329"/>
      <c r="EZ3" s="1329"/>
      <c r="FA3" s="1329"/>
      <c r="FB3" s="1329"/>
      <c r="FC3" s="1329"/>
      <c r="FD3" s="1329"/>
      <c r="FE3" s="1329"/>
      <c r="FF3" s="1329"/>
      <c r="FG3" s="1329"/>
      <c r="FH3" s="1329"/>
      <c r="FI3" s="1329"/>
      <c r="FJ3" s="1329"/>
      <c r="FK3" s="1329"/>
      <c r="FL3" s="1329"/>
      <c r="FM3" s="1329"/>
      <c r="FN3" s="1329"/>
      <c r="FO3" s="1329"/>
      <c r="FP3" s="1329"/>
      <c r="FQ3" s="1329"/>
      <c r="FR3" s="1329"/>
      <c r="FS3" s="1329"/>
      <c r="FT3" s="1329"/>
      <c r="FU3" s="1329"/>
      <c r="FV3" s="1329"/>
      <c r="FW3" s="1329"/>
      <c r="FX3" s="1329"/>
      <c r="FY3" s="1329"/>
      <c r="FZ3" s="1329"/>
      <c r="GA3" s="1329"/>
      <c r="GB3" s="1329"/>
      <c r="GC3" s="1329"/>
      <c r="GD3" s="1329"/>
      <c r="GE3" s="1329"/>
      <c r="GF3" s="1329"/>
      <c r="GG3" s="1329"/>
      <c r="GH3" s="1329"/>
      <c r="GI3" s="1329"/>
      <c r="GJ3" s="1329"/>
      <c r="GK3" s="1329"/>
      <c r="GL3" s="1329"/>
      <c r="GM3" s="1329"/>
      <c r="GN3" s="1329"/>
      <c r="GO3" s="1329"/>
      <c r="GP3" s="1329"/>
      <c r="GQ3" s="1329"/>
      <c r="GR3" s="1329"/>
      <c r="GS3" s="1329"/>
      <c r="GT3" s="1329"/>
      <c r="GU3" s="1329"/>
      <c r="GV3" s="1329"/>
      <c r="GW3" s="1329"/>
      <c r="GX3" s="1329"/>
      <c r="GY3" s="1329"/>
      <c r="GZ3" s="1329"/>
      <c r="HA3" s="1329"/>
      <c r="HB3" s="1329"/>
      <c r="HC3" s="1329"/>
      <c r="HD3" s="1329"/>
      <c r="HE3" s="1329"/>
      <c r="HF3" s="1329"/>
      <c r="HG3" s="1329"/>
      <c r="HH3" s="1329"/>
      <c r="HI3" s="1329"/>
      <c r="HJ3" s="1329"/>
      <c r="HK3" s="1329"/>
      <c r="HL3" s="1329"/>
      <c r="HM3" s="1329"/>
      <c r="HN3" s="1329"/>
      <c r="HO3" s="1329"/>
      <c r="HP3" s="1329"/>
      <c r="HQ3" s="1329"/>
      <c r="HR3" s="1329"/>
      <c r="HS3" s="1329"/>
      <c r="HT3" s="1329"/>
      <c r="HU3" s="1329"/>
      <c r="HV3" s="1329"/>
      <c r="HW3" s="1329"/>
      <c r="HX3" s="1329"/>
      <c r="HY3" s="1329"/>
      <c r="HZ3" s="1329"/>
      <c r="IA3" s="1329"/>
      <c r="IB3" s="1329"/>
      <c r="IC3" s="1329"/>
      <c r="ID3" s="1329"/>
      <c r="IE3" s="1329"/>
      <c r="IF3" s="1329"/>
      <c r="IG3" s="1329"/>
      <c r="IH3" s="1329"/>
      <c r="II3" s="1329"/>
      <c r="IJ3" s="1329"/>
      <c r="IK3" s="1329"/>
      <c r="IL3" s="1329"/>
      <c r="IM3" s="1329"/>
      <c r="IN3" s="1329"/>
      <c r="IO3" s="1329"/>
      <c r="IP3" s="1329"/>
      <c r="IQ3" s="1329"/>
      <c r="IR3" s="1329"/>
      <c r="IS3" s="1329"/>
      <c r="IT3" s="1329"/>
      <c r="IU3" s="1329"/>
      <c r="IV3" s="1329"/>
    </row>
    <row r="4" spans="1:256" s="1323" customFormat="1" ht="13.5" thickBot="1">
      <c r="D4" s="1330"/>
      <c r="E4" s="1325"/>
      <c r="F4" s="1326"/>
      <c r="G4" s="1331"/>
      <c r="H4" s="1332"/>
      <c r="I4" s="1332"/>
      <c r="K4" s="1332"/>
      <c r="M4" s="1333"/>
      <c r="N4" s="1333" t="s">
        <v>1096</v>
      </c>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29"/>
      <c r="AT4" s="1329"/>
      <c r="AU4" s="1329"/>
      <c r="AV4" s="1329"/>
      <c r="AW4" s="1329"/>
      <c r="AX4" s="1329"/>
      <c r="AY4" s="1329"/>
      <c r="AZ4" s="1329"/>
      <c r="BA4" s="1329"/>
      <c r="BB4" s="1329"/>
      <c r="BC4" s="1329"/>
      <c r="BD4" s="1329"/>
      <c r="BE4" s="1329"/>
      <c r="BF4" s="1329"/>
      <c r="BG4" s="1329"/>
      <c r="BH4" s="1329"/>
      <c r="BI4" s="1329"/>
      <c r="BJ4" s="1329"/>
      <c r="BK4" s="1329"/>
      <c r="BL4" s="1329"/>
      <c r="BM4" s="1329"/>
      <c r="BN4" s="1329"/>
      <c r="BO4" s="1329"/>
      <c r="BP4" s="1329"/>
      <c r="BQ4" s="1329"/>
      <c r="BR4" s="1329"/>
      <c r="BS4" s="1329"/>
      <c r="BT4" s="1329"/>
      <c r="BU4" s="1329"/>
      <c r="BV4" s="1329"/>
      <c r="BW4" s="1329"/>
      <c r="BX4" s="1329"/>
      <c r="BY4" s="1329"/>
      <c r="BZ4" s="1329"/>
      <c r="CA4" s="1329"/>
      <c r="CB4" s="1329"/>
      <c r="CC4" s="1329"/>
      <c r="CD4" s="1329"/>
      <c r="CE4" s="1329"/>
      <c r="CF4" s="1329"/>
      <c r="CG4" s="1329"/>
      <c r="CH4" s="1329"/>
      <c r="CI4" s="1329"/>
      <c r="CJ4" s="1329"/>
      <c r="CK4" s="1329"/>
      <c r="CL4" s="1329"/>
      <c r="CM4" s="1329"/>
      <c r="CN4" s="1329"/>
      <c r="CO4" s="1329"/>
      <c r="CP4" s="1329"/>
      <c r="CQ4" s="1329"/>
      <c r="CR4" s="1329"/>
      <c r="CS4" s="1329"/>
      <c r="CT4" s="1329"/>
      <c r="CU4" s="1329"/>
      <c r="CV4" s="1329"/>
      <c r="CW4" s="1329"/>
      <c r="CX4" s="1329"/>
      <c r="CY4" s="1329"/>
      <c r="CZ4" s="1329"/>
      <c r="DA4" s="1329"/>
      <c r="DB4" s="1329"/>
      <c r="DC4" s="1329"/>
      <c r="DD4" s="1329"/>
      <c r="DE4" s="1329"/>
      <c r="DF4" s="1329"/>
      <c r="DG4" s="1329"/>
      <c r="DH4" s="1329"/>
      <c r="DI4" s="1329"/>
      <c r="DJ4" s="1329"/>
      <c r="DK4" s="1329"/>
      <c r="DL4" s="1329"/>
      <c r="DM4" s="1329"/>
      <c r="DN4" s="1329"/>
      <c r="DO4" s="1329"/>
      <c r="DP4" s="1329"/>
      <c r="DQ4" s="1329"/>
      <c r="DR4" s="1329"/>
      <c r="DS4" s="1329"/>
      <c r="DT4" s="1329"/>
      <c r="DU4" s="1329"/>
      <c r="DV4" s="1329"/>
      <c r="DW4" s="1329"/>
      <c r="DX4" s="1329"/>
      <c r="DY4" s="1329"/>
      <c r="DZ4" s="1329"/>
      <c r="EA4" s="1329"/>
      <c r="EB4" s="1329"/>
      <c r="EC4" s="1329"/>
      <c r="ED4" s="1329"/>
      <c r="EE4" s="1329"/>
      <c r="EF4" s="1329"/>
      <c r="EG4" s="1329"/>
      <c r="EH4" s="1329"/>
      <c r="EI4" s="1329"/>
      <c r="EJ4" s="1329"/>
      <c r="EK4" s="1329"/>
      <c r="EL4" s="1329"/>
      <c r="EM4" s="1329"/>
      <c r="EN4" s="1329"/>
      <c r="EO4" s="1329"/>
      <c r="EP4" s="1329"/>
      <c r="EQ4" s="1329"/>
      <c r="ER4" s="1329"/>
      <c r="ES4" s="1329"/>
      <c r="ET4" s="1329"/>
      <c r="EU4" s="1329"/>
      <c r="EV4" s="1329"/>
      <c r="EW4" s="1329"/>
      <c r="EX4" s="1329"/>
      <c r="EY4" s="1329"/>
      <c r="EZ4" s="1329"/>
      <c r="FA4" s="1329"/>
      <c r="FB4" s="1329"/>
      <c r="FC4" s="1329"/>
      <c r="FD4" s="1329"/>
      <c r="FE4" s="1329"/>
      <c r="FF4" s="1329"/>
      <c r="FG4" s="1329"/>
      <c r="FH4" s="1329"/>
      <c r="FI4" s="1329"/>
      <c r="FJ4" s="1329"/>
      <c r="FK4" s="1329"/>
      <c r="FL4" s="1329"/>
      <c r="FM4" s="1329"/>
      <c r="FN4" s="1329"/>
      <c r="FO4" s="1329"/>
      <c r="FP4" s="1329"/>
      <c r="FQ4" s="1329"/>
      <c r="FR4" s="1329"/>
      <c r="FS4" s="1329"/>
      <c r="FT4" s="1329"/>
      <c r="FU4" s="1329"/>
      <c r="FV4" s="1329"/>
      <c r="FW4" s="1329"/>
      <c r="FX4" s="1329"/>
      <c r="FY4" s="1329"/>
      <c r="FZ4" s="1329"/>
      <c r="GA4" s="1329"/>
      <c r="GB4" s="1329"/>
      <c r="GC4" s="1329"/>
      <c r="GD4" s="1329"/>
      <c r="GE4" s="1329"/>
      <c r="GF4" s="1329"/>
      <c r="GG4" s="1329"/>
      <c r="GH4" s="1329"/>
      <c r="GI4" s="1329"/>
      <c r="GJ4" s="1329"/>
      <c r="GK4" s="1329"/>
      <c r="GL4" s="1329"/>
      <c r="GM4" s="1329"/>
      <c r="GN4" s="1329"/>
      <c r="GO4" s="1329"/>
      <c r="GP4" s="1329"/>
      <c r="GQ4" s="1329"/>
      <c r="GR4" s="1329"/>
      <c r="GS4" s="1329"/>
      <c r="GT4" s="1329"/>
      <c r="GU4" s="1329"/>
      <c r="GV4" s="1329"/>
      <c r="GW4" s="1329"/>
      <c r="GX4" s="1329"/>
      <c r="GY4" s="1329"/>
      <c r="GZ4" s="1329"/>
      <c r="HA4" s="1329"/>
      <c r="HB4" s="1329"/>
      <c r="HC4" s="1329"/>
      <c r="HD4" s="1329"/>
      <c r="HE4" s="1329"/>
      <c r="HF4" s="1329"/>
      <c r="HG4" s="1329"/>
      <c r="HH4" s="1329"/>
      <c r="HI4" s="1329"/>
      <c r="HJ4" s="1329"/>
      <c r="HK4" s="1329"/>
      <c r="HL4" s="1329"/>
      <c r="HM4" s="1329"/>
      <c r="HN4" s="1329"/>
      <c r="HO4" s="1329"/>
      <c r="HP4" s="1329"/>
      <c r="HQ4" s="1329"/>
      <c r="HR4" s="1329"/>
      <c r="HS4" s="1329"/>
      <c r="HT4" s="1329"/>
      <c r="HU4" s="1329"/>
      <c r="HV4" s="1329"/>
      <c r="HW4" s="1329"/>
      <c r="HX4" s="1329"/>
      <c r="HY4" s="1329"/>
      <c r="HZ4" s="1329"/>
      <c r="IA4" s="1329"/>
      <c r="IB4" s="1329"/>
      <c r="IC4" s="1329"/>
      <c r="ID4" s="1329"/>
      <c r="IE4" s="1329"/>
      <c r="IF4" s="1329"/>
      <c r="IG4" s="1329"/>
      <c r="IH4" s="1329"/>
      <c r="II4" s="1329"/>
      <c r="IJ4" s="1329"/>
      <c r="IK4" s="1329"/>
      <c r="IL4" s="1329"/>
      <c r="IM4" s="1329"/>
      <c r="IN4" s="1329"/>
      <c r="IO4" s="1329"/>
      <c r="IP4" s="1329"/>
      <c r="IQ4" s="1329"/>
      <c r="IR4" s="1329"/>
      <c r="IS4" s="1329"/>
      <c r="IT4" s="1329"/>
      <c r="IU4" s="1329"/>
      <c r="IV4" s="1329"/>
    </row>
    <row r="5" spans="1:256" ht="13.5" customHeight="1" thickTop="1">
      <c r="A5" s="1334"/>
      <c r="B5" s="1335">
        <v>1996</v>
      </c>
      <c r="C5" s="1335">
        <v>1997</v>
      </c>
      <c r="D5" s="1335">
        <v>1998</v>
      </c>
      <c r="E5" s="1335">
        <v>1999</v>
      </c>
      <c r="F5" s="1335">
        <v>2000</v>
      </c>
      <c r="G5" s="1335">
        <v>2001</v>
      </c>
      <c r="H5" s="1335">
        <v>2002</v>
      </c>
      <c r="I5" s="1335">
        <v>2003</v>
      </c>
      <c r="J5" s="1335">
        <v>2004</v>
      </c>
      <c r="K5" s="1335">
        <v>2005</v>
      </c>
      <c r="L5" s="1335">
        <v>2006</v>
      </c>
      <c r="M5" s="1336">
        <v>2007</v>
      </c>
      <c r="N5" s="1336">
        <v>2008</v>
      </c>
      <c r="O5" s="1337"/>
      <c r="P5" s="1337"/>
      <c r="Q5" s="1337"/>
      <c r="R5" s="1337"/>
      <c r="S5" s="1337"/>
      <c r="T5" s="1337"/>
      <c r="U5" s="1337"/>
      <c r="V5" s="1337"/>
      <c r="W5" s="1337"/>
      <c r="X5" s="1337"/>
      <c r="Y5" s="1337"/>
      <c r="Z5" s="1337"/>
      <c r="AA5" s="1337"/>
      <c r="AB5" s="1337"/>
      <c r="AC5" s="1337"/>
      <c r="AD5" s="1337"/>
      <c r="AE5" s="1337"/>
      <c r="AF5" s="1337"/>
      <c r="AG5" s="1337"/>
      <c r="AH5" s="1337"/>
      <c r="AI5" s="1337"/>
      <c r="AJ5" s="1337"/>
      <c r="AK5" s="1337"/>
      <c r="AL5" s="1337"/>
      <c r="AM5" s="1337"/>
      <c r="AN5" s="1337"/>
      <c r="AO5" s="1337"/>
      <c r="AP5" s="1337"/>
      <c r="AQ5" s="1337"/>
      <c r="AR5" s="1337"/>
      <c r="AS5" s="1337"/>
      <c r="AT5" s="1337"/>
      <c r="AU5" s="1337"/>
      <c r="AV5" s="1337"/>
      <c r="AW5" s="1337"/>
      <c r="AX5" s="1337"/>
      <c r="AY5" s="1337"/>
      <c r="AZ5" s="1337"/>
      <c r="BA5" s="1337"/>
      <c r="BB5" s="1337"/>
      <c r="BC5" s="1337"/>
      <c r="BD5" s="1337"/>
      <c r="BE5" s="1337"/>
      <c r="BF5" s="1337"/>
      <c r="BG5" s="1337"/>
      <c r="BH5" s="1337"/>
      <c r="BI5" s="1337"/>
      <c r="BJ5" s="1337"/>
      <c r="BK5" s="1337"/>
      <c r="BL5" s="1337"/>
      <c r="BM5" s="1337"/>
      <c r="BN5" s="1337"/>
      <c r="BO5" s="1337"/>
      <c r="BP5" s="1337"/>
      <c r="BQ5" s="1337"/>
      <c r="BR5" s="1337"/>
      <c r="BS5" s="1337"/>
      <c r="BT5" s="1337"/>
      <c r="BU5" s="1337"/>
      <c r="BV5" s="1337"/>
      <c r="BW5" s="1337"/>
      <c r="BX5" s="1337"/>
      <c r="BY5" s="1337"/>
      <c r="BZ5" s="1337"/>
      <c r="CA5" s="1337"/>
      <c r="CB5" s="1337"/>
      <c r="CC5" s="1337"/>
      <c r="CD5" s="1337"/>
      <c r="CE5" s="1337"/>
      <c r="CF5" s="1337"/>
      <c r="CG5" s="1337"/>
      <c r="CH5" s="1337"/>
      <c r="CI5" s="1337"/>
      <c r="CJ5" s="1337"/>
      <c r="CK5" s="1337"/>
      <c r="CL5" s="1337"/>
      <c r="CM5" s="1337"/>
      <c r="CN5" s="1337"/>
      <c r="CO5" s="1337"/>
      <c r="CP5" s="1337"/>
      <c r="CQ5" s="1337"/>
      <c r="CR5" s="1337"/>
      <c r="CS5" s="1337"/>
      <c r="CT5" s="1337"/>
      <c r="CU5" s="1337"/>
      <c r="CV5" s="1337"/>
      <c r="CW5" s="1337"/>
      <c r="CX5" s="1337"/>
      <c r="CY5" s="1337"/>
      <c r="CZ5" s="1337"/>
      <c r="DA5" s="1337"/>
      <c r="DB5" s="1337"/>
      <c r="DC5" s="1337"/>
      <c r="DD5" s="1337"/>
      <c r="DE5" s="1337"/>
      <c r="DF5" s="1337"/>
      <c r="DG5" s="1337"/>
      <c r="DH5" s="1337"/>
      <c r="DI5" s="1337"/>
      <c r="DJ5" s="1337"/>
      <c r="DK5" s="1337"/>
      <c r="DL5" s="1337"/>
      <c r="DM5" s="1337"/>
      <c r="DN5" s="1337"/>
      <c r="DO5" s="1337"/>
      <c r="DP5" s="1337"/>
      <c r="DQ5" s="1337"/>
      <c r="DR5" s="1337"/>
      <c r="DS5" s="1337"/>
      <c r="DT5" s="1337"/>
      <c r="DU5" s="1337"/>
      <c r="DV5" s="1337"/>
      <c r="DW5" s="1337"/>
      <c r="DX5" s="1337"/>
      <c r="DY5" s="1337"/>
      <c r="DZ5" s="1337"/>
      <c r="EA5" s="1337"/>
      <c r="EB5" s="1337"/>
      <c r="EC5" s="1337"/>
      <c r="ED5" s="1337"/>
      <c r="EE5" s="1337"/>
      <c r="EF5" s="1337"/>
      <c r="EG5" s="1337"/>
      <c r="EH5" s="1337"/>
      <c r="EI5" s="1337"/>
      <c r="EJ5" s="1337"/>
      <c r="EK5" s="1337"/>
      <c r="EL5" s="1337"/>
      <c r="EM5" s="1337"/>
      <c r="EN5" s="1337"/>
      <c r="EO5" s="1337"/>
      <c r="EP5" s="1337"/>
      <c r="EQ5" s="1337"/>
      <c r="ER5" s="1337"/>
      <c r="ES5" s="1337"/>
      <c r="ET5" s="1337"/>
      <c r="EU5" s="1337"/>
      <c r="EV5" s="1337"/>
      <c r="EW5" s="1337"/>
      <c r="EX5" s="1337"/>
      <c r="EY5" s="1337"/>
      <c r="EZ5" s="1337"/>
      <c r="FA5" s="1337"/>
      <c r="FB5" s="1337"/>
      <c r="FC5" s="1337"/>
      <c r="FD5" s="1337"/>
      <c r="FE5" s="1337"/>
      <c r="FF5" s="1337"/>
      <c r="FG5" s="1337"/>
      <c r="FH5" s="1337"/>
      <c r="FI5" s="1337"/>
      <c r="FJ5" s="1337"/>
      <c r="FK5" s="1337"/>
      <c r="FL5" s="1337"/>
      <c r="FM5" s="1337"/>
      <c r="FN5" s="1337"/>
      <c r="FO5" s="1337"/>
      <c r="FP5" s="1337"/>
      <c r="FQ5" s="1337"/>
      <c r="FR5" s="1337"/>
      <c r="FS5" s="1337"/>
      <c r="FT5" s="1337"/>
      <c r="FU5" s="1337"/>
      <c r="FV5" s="1337"/>
      <c r="FW5" s="1337"/>
      <c r="FX5" s="1337"/>
      <c r="FY5" s="1337"/>
      <c r="FZ5" s="1337"/>
      <c r="GA5" s="1337"/>
      <c r="GB5" s="1337"/>
      <c r="GC5" s="1337"/>
      <c r="GD5" s="1337"/>
      <c r="GE5" s="1337"/>
      <c r="GF5" s="1337"/>
      <c r="GG5" s="1337"/>
      <c r="GH5" s="1337"/>
      <c r="GI5" s="1337"/>
      <c r="GJ5" s="1337"/>
      <c r="GK5" s="1337"/>
      <c r="GL5" s="1337"/>
      <c r="GM5" s="1337"/>
      <c r="GN5" s="1337"/>
      <c r="GO5" s="1337"/>
      <c r="GP5" s="1337"/>
      <c r="GQ5" s="1337"/>
      <c r="GR5" s="1337"/>
      <c r="GS5" s="1337"/>
      <c r="GT5" s="1337"/>
      <c r="GU5" s="1337"/>
      <c r="GV5" s="1337"/>
      <c r="GW5" s="1337"/>
      <c r="GX5" s="1337"/>
      <c r="GY5" s="1337"/>
      <c r="GZ5" s="1337"/>
      <c r="HA5" s="1337"/>
      <c r="HB5" s="1337"/>
      <c r="HC5" s="1337"/>
      <c r="HD5" s="1337"/>
      <c r="HE5" s="1337"/>
      <c r="HF5" s="1337"/>
      <c r="HG5" s="1337"/>
      <c r="HH5" s="1337"/>
      <c r="HI5" s="1337"/>
      <c r="HJ5" s="1337"/>
      <c r="HK5" s="1337"/>
      <c r="HL5" s="1337"/>
      <c r="HM5" s="1337"/>
      <c r="HN5" s="1337"/>
      <c r="HO5" s="1337"/>
      <c r="HP5" s="1337"/>
      <c r="HQ5" s="1337"/>
      <c r="HR5" s="1337"/>
      <c r="HS5" s="1337"/>
      <c r="HT5" s="1337"/>
      <c r="HU5" s="1337"/>
      <c r="HV5" s="1337"/>
      <c r="HW5" s="1337"/>
      <c r="HX5" s="1337"/>
      <c r="HY5" s="1337"/>
      <c r="HZ5" s="1337"/>
      <c r="IA5" s="1337"/>
      <c r="IB5" s="1337"/>
      <c r="IC5" s="1337"/>
      <c r="ID5" s="1337"/>
      <c r="IE5" s="1337"/>
      <c r="IF5" s="1337"/>
      <c r="IG5" s="1337"/>
      <c r="IH5" s="1337"/>
      <c r="II5" s="1337"/>
      <c r="IJ5" s="1337"/>
      <c r="IK5" s="1337"/>
      <c r="IL5" s="1337"/>
      <c r="IM5" s="1337"/>
      <c r="IN5" s="1337"/>
      <c r="IO5" s="1337"/>
      <c r="IP5" s="1337"/>
      <c r="IQ5" s="1337"/>
      <c r="IR5" s="1337"/>
      <c r="IS5" s="1337"/>
      <c r="IT5" s="1337"/>
      <c r="IU5" s="1337"/>
      <c r="IV5" s="1337"/>
    </row>
    <row r="6" spans="1:256" s="1345" customFormat="1" ht="12" customHeight="1">
      <c r="A6" s="1338" t="s">
        <v>1097</v>
      </c>
      <c r="B6" s="1323"/>
      <c r="C6" s="1323"/>
      <c r="D6" s="1323"/>
      <c r="E6" s="1323"/>
      <c r="F6" s="1339"/>
      <c r="G6" s="1340"/>
      <c r="H6" s="1341"/>
      <c r="I6" s="1342"/>
      <c r="J6" s="1342"/>
      <c r="K6" s="1342"/>
      <c r="L6" s="1342"/>
      <c r="M6" s="1343"/>
      <c r="N6" s="1343"/>
      <c r="O6" s="1344"/>
      <c r="P6" s="1344"/>
      <c r="Q6" s="1344"/>
      <c r="R6" s="1344"/>
      <c r="S6" s="1344"/>
      <c r="T6" s="1344"/>
      <c r="U6" s="1344"/>
      <c r="V6" s="1344"/>
      <c r="W6" s="1344"/>
      <c r="X6" s="1344"/>
      <c r="Y6" s="1344"/>
      <c r="Z6" s="1344"/>
      <c r="AA6" s="1344"/>
      <c r="AB6" s="1344"/>
      <c r="AC6" s="1344"/>
      <c r="AD6" s="1344"/>
      <c r="AE6" s="1344"/>
      <c r="AF6" s="1344"/>
      <c r="AG6" s="1344"/>
      <c r="AH6" s="1344"/>
      <c r="AI6" s="1344"/>
      <c r="AJ6" s="1344"/>
      <c r="AK6" s="1344"/>
      <c r="AL6" s="1344"/>
      <c r="AM6" s="1344"/>
      <c r="AN6" s="1344"/>
      <c r="AO6" s="1344"/>
      <c r="AP6" s="1344"/>
      <c r="AQ6" s="1344"/>
      <c r="AR6" s="1344"/>
      <c r="AS6" s="1344"/>
      <c r="AT6" s="1344"/>
      <c r="AU6" s="1344"/>
      <c r="AV6" s="1344"/>
      <c r="AW6" s="1344"/>
      <c r="AX6" s="1344"/>
      <c r="AY6" s="1344"/>
      <c r="AZ6" s="1344"/>
      <c r="BA6" s="1344"/>
      <c r="BB6" s="1344"/>
      <c r="BC6" s="1344"/>
      <c r="BD6" s="1344"/>
      <c r="BE6" s="1344"/>
      <c r="BF6" s="1344"/>
      <c r="BG6" s="1344"/>
      <c r="BH6" s="1344"/>
      <c r="BI6" s="1344"/>
      <c r="BJ6" s="1344"/>
      <c r="BK6" s="1344"/>
      <c r="BL6" s="1344"/>
      <c r="BM6" s="1344"/>
      <c r="BN6" s="1344"/>
      <c r="BO6" s="1344"/>
      <c r="BP6" s="1344"/>
      <c r="BQ6" s="1344"/>
      <c r="BR6" s="1344"/>
      <c r="BS6" s="1344"/>
      <c r="BT6" s="1344"/>
      <c r="BU6" s="1344"/>
      <c r="BV6" s="1344"/>
      <c r="BW6" s="1344"/>
      <c r="BX6" s="1344"/>
      <c r="BY6" s="1344"/>
      <c r="BZ6" s="1344"/>
      <c r="CA6" s="1344"/>
      <c r="CB6" s="1344"/>
      <c r="CC6" s="1344"/>
      <c r="CD6" s="1344"/>
      <c r="CE6" s="1344"/>
      <c r="CF6" s="1344"/>
      <c r="CG6" s="1344"/>
      <c r="CH6" s="1344"/>
      <c r="CI6" s="1344"/>
      <c r="CJ6" s="1344"/>
      <c r="CK6" s="1344"/>
      <c r="CL6" s="1344"/>
      <c r="CM6" s="1344"/>
      <c r="CN6" s="1344"/>
      <c r="CO6" s="1344"/>
      <c r="CP6" s="1344"/>
      <c r="CQ6" s="1344"/>
      <c r="CR6" s="1344"/>
      <c r="CS6" s="1344"/>
      <c r="CT6" s="1344"/>
      <c r="CU6" s="1344"/>
      <c r="CV6" s="1344"/>
      <c r="CW6" s="1344"/>
      <c r="CX6" s="1344"/>
      <c r="CY6" s="1344"/>
      <c r="CZ6" s="1344"/>
      <c r="DA6" s="1344"/>
      <c r="DB6" s="1344"/>
      <c r="DC6" s="1344"/>
      <c r="DD6" s="1344"/>
      <c r="DE6" s="1344"/>
      <c r="DF6" s="1344"/>
      <c r="DG6" s="1344"/>
      <c r="DH6" s="1344"/>
      <c r="DI6" s="1344"/>
      <c r="DJ6" s="1344"/>
      <c r="DK6" s="1344"/>
      <c r="DL6" s="1344"/>
      <c r="DM6" s="1344"/>
      <c r="DN6" s="1344"/>
      <c r="DO6" s="1344"/>
      <c r="DP6" s="1344"/>
      <c r="DQ6" s="1344"/>
      <c r="DR6" s="1344"/>
      <c r="DS6" s="1344"/>
      <c r="DT6" s="1344"/>
      <c r="DU6" s="1344"/>
      <c r="DV6" s="1344"/>
      <c r="DW6" s="1344"/>
      <c r="DX6" s="1344"/>
      <c r="DY6" s="1344"/>
      <c r="DZ6" s="1344"/>
      <c r="EA6" s="1344"/>
      <c r="EB6" s="1344"/>
      <c r="EC6" s="1344"/>
      <c r="ED6" s="1344"/>
      <c r="EE6" s="1344"/>
      <c r="EF6" s="1344"/>
      <c r="EG6" s="1344"/>
      <c r="EH6" s="1344"/>
      <c r="EI6" s="1344"/>
      <c r="EJ6" s="1344"/>
      <c r="EK6" s="1344"/>
      <c r="EL6" s="1344"/>
      <c r="EM6" s="1344"/>
      <c r="EN6" s="1344"/>
      <c r="EO6" s="1344"/>
      <c r="EP6" s="1344"/>
      <c r="EQ6" s="1344"/>
      <c r="ER6" s="1344"/>
      <c r="ES6" s="1344"/>
      <c r="ET6" s="1344"/>
      <c r="EU6" s="1344"/>
      <c r="EV6" s="1344"/>
      <c r="EW6" s="1344"/>
      <c r="EX6" s="1344"/>
      <c r="EY6" s="1344"/>
      <c r="EZ6" s="1344"/>
      <c r="FA6" s="1344"/>
      <c r="FB6" s="1344"/>
      <c r="FC6" s="1344"/>
      <c r="FD6" s="1344"/>
      <c r="FE6" s="1344"/>
      <c r="FF6" s="1344"/>
      <c r="FG6" s="1344"/>
      <c r="FH6" s="1344"/>
      <c r="FI6" s="1344"/>
      <c r="FJ6" s="1344"/>
      <c r="FK6" s="1344"/>
      <c r="FL6" s="1344"/>
      <c r="FM6" s="1344"/>
      <c r="FN6" s="1344"/>
      <c r="FO6" s="1344"/>
      <c r="FP6" s="1344"/>
      <c r="FQ6" s="1344"/>
      <c r="FR6" s="1344"/>
      <c r="FS6" s="1344"/>
      <c r="FT6" s="1344"/>
      <c r="FU6" s="1344"/>
      <c r="FV6" s="1344"/>
      <c r="FW6" s="1344"/>
      <c r="FX6" s="1344"/>
      <c r="FY6" s="1344"/>
      <c r="FZ6" s="1344"/>
      <c r="GA6" s="1344"/>
      <c r="GB6" s="1344"/>
      <c r="GC6" s="1344"/>
      <c r="GD6" s="1344"/>
      <c r="GE6" s="1344"/>
      <c r="GF6" s="1344"/>
      <c r="GG6" s="1344"/>
      <c r="GH6" s="1344"/>
      <c r="GI6" s="1344"/>
      <c r="GJ6" s="1344"/>
      <c r="GK6" s="1344"/>
      <c r="GL6" s="1344"/>
      <c r="GM6" s="1344"/>
      <c r="GN6" s="1344"/>
      <c r="GO6" s="1344"/>
      <c r="GP6" s="1344"/>
      <c r="GQ6" s="1344"/>
      <c r="GR6" s="1344"/>
      <c r="GS6" s="1344"/>
      <c r="GT6" s="1344"/>
      <c r="GU6" s="1344"/>
      <c r="GV6" s="1344"/>
      <c r="GW6" s="1344"/>
      <c r="GX6" s="1344"/>
      <c r="GY6" s="1344"/>
      <c r="GZ6" s="1344"/>
      <c r="HA6" s="1344"/>
      <c r="HB6" s="1344"/>
      <c r="HC6" s="1344"/>
      <c r="HD6" s="1344"/>
      <c r="HE6" s="1344"/>
      <c r="HF6" s="1344"/>
      <c r="HG6" s="1344"/>
      <c r="HH6" s="1344"/>
      <c r="HI6" s="1344"/>
      <c r="HJ6" s="1344"/>
      <c r="HK6" s="1344"/>
      <c r="HL6" s="1344"/>
      <c r="HM6" s="1344"/>
      <c r="HN6" s="1344"/>
      <c r="HO6" s="1344"/>
      <c r="HP6" s="1344"/>
      <c r="HQ6" s="1344"/>
      <c r="HR6" s="1344"/>
      <c r="HS6" s="1344"/>
      <c r="HT6" s="1344"/>
      <c r="HU6" s="1344"/>
      <c r="HV6" s="1344"/>
      <c r="HW6" s="1344"/>
      <c r="HX6" s="1344"/>
      <c r="HY6" s="1344"/>
      <c r="HZ6" s="1344"/>
      <c r="IA6" s="1344"/>
      <c r="IB6" s="1344"/>
      <c r="IC6" s="1344"/>
      <c r="ID6" s="1344"/>
      <c r="IE6" s="1344"/>
      <c r="IF6" s="1344"/>
      <c r="IG6" s="1344"/>
      <c r="IH6" s="1344"/>
      <c r="II6" s="1344"/>
      <c r="IJ6" s="1344"/>
      <c r="IK6" s="1344"/>
      <c r="IL6" s="1344"/>
      <c r="IM6" s="1344"/>
      <c r="IN6" s="1344"/>
      <c r="IO6" s="1344"/>
      <c r="IP6" s="1344"/>
      <c r="IQ6" s="1344"/>
      <c r="IR6" s="1344"/>
      <c r="IS6" s="1344"/>
      <c r="IT6" s="1344"/>
      <c r="IU6" s="1344"/>
      <c r="IV6" s="1344"/>
    </row>
    <row r="7" spans="1:256" ht="10.5" customHeight="1">
      <c r="A7" s="1323" t="s">
        <v>510</v>
      </c>
      <c r="B7" s="1346">
        <v>788.3</v>
      </c>
      <c r="C7" s="1346">
        <v>795.9</v>
      </c>
      <c r="D7" s="1347">
        <v>852.1</v>
      </c>
      <c r="E7" s="1347">
        <v>726.2</v>
      </c>
      <c r="F7" s="1347">
        <v>703.2</v>
      </c>
      <c r="G7" s="1348">
        <v>768.8</v>
      </c>
      <c r="H7" s="1348">
        <v>749.8</v>
      </c>
      <c r="I7" s="1348">
        <v>766.3</v>
      </c>
      <c r="J7" s="1348">
        <v>763.7</v>
      </c>
      <c r="K7" s="1348">
        <v>766.9</v>
      </c>
      <c r="L7" s="1349">
        <v>768.4</v>
      </c>
      <c r="M7" s="1349">
        <v>765.8</v>
      </c>
      <c r="N7" s="1348">
        <v>800.7</v>
      </c>
      <c r="O7" s="1337"/>
      <c r="P7" s="1337"/>
      <c r="Q7" s="1337"/>
      <c r="R7" s="1337"/>
      <c r="S7" s="1337"/>
      <c r="T7" s="1337"/>
      <c r="U7" s="1337"/>
      <c r="V7" s="1337"/>
      <c r="W7" s="1337"/>
      <c r="X7" s="1337"/>
      <c r="Y7" s="1337"/>
      <c r="Z7" s="1337"/>
      <c r="AA7" s="1337"/>
      <c r="AB7" s="1337"/>
      <c r="AC7" s="1337"/>
      <c r="AD7" s="1337"/>
      <c r="AE7" s="1337"/>
      <c r="AF7" s="1337"/>
      <c r="AG7" s="1337"/>
      <c r="AH7" s="1337"/>
      <c r="AI7" s="1337"/>
      <c r="AJ7" s="1337"/>
      <c r="AK7" s="1337"/>
      <c r="AL7" s="1337"/>
      <c r="AM7" s="1337"/>
      <c r="AN7" s="1337"/>
      <c r="AO7" s="1337"/>
      <c r="AP7" s="1337"/>
      <c r="AQ7" s="1337"/>
      <c r="AR7" s="1337"/>
      <c r="AS7" s="1337"/>
      <c r="AT7" s="1337"/>
      <c r="AU7" s="1337"/>
      <c r="AV7" s="1337"/>
      <c r="AW7" s="1337"/>
      <c r="AX7" s="1337"/>
      <c r="AY7" s="1337"/>
      <c r="AZ7" s="1337"/>
      <c r="BA7" s="1337"/>
      <c r="BB7" s="1337"/>
      <c r="BC7" s="1337"/>
      <c r="BD7" s="1337"/>
      <c r="BE7" s="1337"/>
      <c r="BF7" s="1337"/>
      <c r="BG7" s="1337"/>
      <c r="BH7" s="1337"/>
      <c r="BI7" s="1337"/>
      <c r="BJ7" s="1337"/>
      <c r="BK7" s="1337"/>
      <c r="BL7" s="1337"/>
      <c r="BM7" s="1337"/>
      <c r="BN7" s="1337"/>
      <c r="BO7" s="1337"/>
      <c r="BP7" s="1337"/>
      <c r="BQ7" s="1337"/>
      <c r="BR7" s="1337"/>
      <c r="BS7" s="1337"/>
      <c r="BT7" s="1337"/>
      <c r="BU7" s="1337"/>
      <c r="BV7" s="1337"/>
      <c r="BW7" s="1337"/>
      <c r="BX7" s="1337"/>
      <c r="BY7" s="1337"/>
      <c r="BZ7" s="1337"/>
      <c r="CA7" s="1337"/>
      <c r="CB7" s="1337"/>
      <c r="CC7" s="1337"/>
      <c r="CD7" s="1337"/>
      <c r="CE7" s="1337"/>
      <c r="CF7" s="1337"/>
      <c r="CG7" s="1337"/>
      <c r="CH7" s="1337"/>
      <c r="CI7" s="1337"/>
      <c r="CJ7" s="1337"/>
      <c r="CK7" s="1337"/>
      <c r="CL7" s="1337"/>
      <c r="CM7" s="1337"/>
      <c r="CN7" s="1337"/>
      <c r="CO7" s="1337"/>
      <c r="CP7" s="1337"/>
      <c r="CQ7" s="1337"/>
      <c r="CR7" s="1337"/>
      <c r="CS7" s="1337"/>
      <c r="CT7" s="1337"/>
      <c r="CU7" s="1337"/>
      <c r="CV7" s="1337"/>
      <c r="CW7" s="1337"/>
      <c r="CX7" s="1337"/>
      <c r="CY7" s="1337"/>
      <c r="CZ7" s="1337"/>
      <c r="DA7" s="1337"/>
      <c r="DB7" s="1337"/>
      <c r="DC7" s="1337"/>
      <c r="DD7" s="1337"/>
      <c r="DE7" s="1337"/>
      <c r="DF7" s="1337"/>
      <c r="DG7" s="1337"/>
      <c r="DH7" s="1337"/>
      <c r="DI7" s="1337"/>
      <c r="DJ7" s="1337"/>
      <c r="DK7" s="1337"/>
      <c r="DL7" s="1337"/>
      <c r="DM7" s="1337"/>
      <c r="DN7" s="1337"/>
      <c r="DO7" s="1337"/>
      <c r="DP7" s="1337"/>
      <c r="DQ7" s="1337"/>
      <c r="DR7" s="1337"/>
      <c r="DS7" s="1337"/>
      <c r="DT7" s="1337"/>
      <c r="DU7" s="1337"/>
      <c r="DV7" s="1337"/>
      <c r="DW7" s="1337"/>
      <c r="DX7" s="1337"/>
      <c r="DY7" s="1337"/>
      <c r="DZ7" s="1337"/>
      <c r="EA7" s="1337"/>
      <c r="EB7" s="1337"/>
      <c r="EC7" s="1337"/>
      <c r="ED7" s="1337"/>
      <c r="EE7" s="1337"/>
      <c r="EF7" s="1337"/>
      <c r="EG7" s="1337"/>
      <c r="EH7" s="1337"/>
      <c r="EI7" s="1337"/>
      <c r="EJ7" s="1337"/>
      <c r="EK7" s="1337"/>
      <c r="EL7" s="1337"/>
      <c r="EM7" s="1337"/>
      <c r="EN7" s="1337"/>
      <c r="EO7" s="1337"/>
      <c r="EP7" s="1337"/>
      <c r="EQ7" s="1337"/>
      <c r="ER7" s="1337"/>
      <c r="ES7" s="1337"/>
      <c r="ET7" s="1337"/>
      <c r="EU7" s="1337"/>
      <c r="EV7" s="1337"/>
      <c r="EW7" s="1337"/>
      <c r="EX7" s="1337"/>
      <c r="EY7" s="1337"/>
      <c r="EZ7" s="1337"/>
      <c r="FA7" s="1337"/>
      <c r="FB7" s="1337"/>
      <c r="FC7" s="1337"/>
      <c r="FD7" s="1337"/>
      <c r="FE7" s="1337"/>
      <c r="FF7" s="1337"/>
      <c r="FG7" s="1337"/>
      <c r="FH7" s="1337"/>
      <c r="FI7" s="1337"/>
      <c r="FJ7" s="1337"/>
      <c r="FK7" s="1337"/>
      <c r="FL7" s="1337"/>
      <c r="FM7" s="1337"/>
      <c r="FN7" s="1337"/>
      <c r="FO7" s="1337"/>
      <c r="FP7" s="1337"/>
      <c r="FQ7" s="1337"/>
      <c r="FR7" s="1337"/>
      <c r="FS7" s="1337"/>
      <c r="FT7" s="1337"/>
      <c r="FU7" s="1337"/>
      <c r="FV7" s="1337"/>
      <c r="FW7" s="1337"/>
      <c r="FX7" s="1337"/>
      <c r="FY7" s="1337"/>
      <c r="FZ7" s="1337"/>
      <c r="GA7" s="1337"/>
      <c r="GB7" s="1337"/>
      <c r="GC7" s="1337"/>
      <c r="GD7" s="1337"/>
      <c r="GE7" s="1337"/>
      <c r="GF7" s="1337"/>
      <c r="GG7" s="1337"/>
      <c r="GH7" s="1337"/>
      <c r="GI7" s="1337"/>
      <c r="GJ7" s="1337"/>
      <c r="GK7" s="1337"/>
      <c r="GL7" s="1337"/>
      <c r="GM7" s="1337"/>
      <c r="GN7" s="1337"/>
      <c r="GO7" s="1337"/>
      <c r="GP7" s="1337"/>
      <c r="GQ7" s="1337"/>
      <c r="GR7" s="1337"/>
      <c r="GS7" s="1337"/>
      <c r="GT7" s="1337"/>
      <c r="GU7" s="1337"/>
      <c r="GV7" s="1337"/>
      <c r="GW7" s="1337"/>
      <c r="GX7" s="1337"/>
      <c r="GY7" s="1337"/>
      <c r="GZ7" s="1337"/>
      <c r="HA7" s="1337"/>
      <c r="HB7" s="1337"/>
      <c r="HC7" s="1337"/>
      <c r="HD7" s="1337"/>
      <c r="HE7" s="1337"/>
      <c r="HF7" s="1337"/>
      <c r="HG7" s="1337"/>
      <c r="HH7" s="1337"/>
      <c r="HI7" s="1337"/>
      <c r="HJ7" s="1337"/>
      <c r="HK7" s="1337"/>
      <c r="HL7" s="1337"/>
      <c r="HM7" s="1337"/>
      <c r="HN7" s="1337"/>
      <c r="HO7" s="1337"/>
      <c r="HP7" s="1337"/>
      <c r="HQ7" s="1337"/>
      <c r="HR7" s="1337"/>
      <c r="HS7" s="1337"/>
      <c r="HT7" s="1337"/>
      <c r="HU7" s="1337"/>
      <c r="HV7" s="1337"/>
      <c r="HW7" s="1337"/>
      <c r="HX7" s="1337"/>
      <c r="HY7" s="1337"/>
      <c r="HZ7" s="1337"/>
      <c r="IA7" s="1337"/>
      <c r="IB7" s="1337"/>
      <c r="IC7" s="1337"/>
      <c r="ID7" s="1337"/>
      <c r="IE7" s="1337"/>
      <c r="IF7" s="1337"/>
      <c r="IG7" s="1337"/>
      <c r="IH7" s="1337"/>
      <c r="II7" s="1337"/>
      <c r="IJ7" s="1337"/>
      <c r="IK7" s="1337"/>
      <c r="IL7" s="1337"/>
      <c r="IM7" s="1337"/>
      <c r="IN7" s="1337"/>
      <c r="IO7" s="1337"/>
      <c r="IP7" s="1337"/>
      <c r="IQ7" s="1337"/>
      <c r="IR7" s="1337"/>
      <c r="IS7" s="1337"/>
      <c r="IT7" s="1337"/>
      <c r="IU7" s="1337"/>
      <c r="IV7" s="1337"/>
    </row>
    <row r="8" spans="1:256" ht="10.5" customHeight="1">
      <c r="A8" s="1323" t="s">
        <v>1098</v>
      </c>
      <c r="B8" s="1346">
        <v>731.9</v>
      </c>
      <c r="C8" s="1346">
        <v>731.9</v>
      </c>
      <c r="D8" s="1347">
        <v>731.9</v>
      </c>
      <c r="E8" s="1347">
        <v>728.7</v>
      </c>
      <c r="F8" s="1347">
        <v>728.2</v>
      </c>
      <c r="G8" s="1348">
        <v>481</v>
      </c>
      <c r="H8" s="1348">
        <v>466.2</v>
      </c>
      <c r="I8" s="1348">
        <v>774.1</v>
      </c>
      <c r="J8" s="1348">
        <v>790.3</v>
      </c>
      <c r="K8" s="1348">
        <v>800.6</v>
      </c>
      <c r="L8" s="1349">
        <v>779.9</v>
      </c>
      <c r="M8" s="1350">
        <v>767.2</v>
      </c>
      <c r="N8" s="1348">
        <v>663.9</v>
      </c>
      <c r="O8" s="1337"/>
      <c r="P8" s="1337"/>
      <c r="Q8" s="1337"/>
      <c r="R8" s="1337"/>
      <c r="S8" s="1337"/>
      <c r="T8" s="1337"/>
      <c r="U8" s="1337"/>
      <c r="V8" s="1337"/>
      <c r="W8" s="1337"/>
      <c r="X8" s="1337"/>
      <c r="Y8" s="1337"/>
      <c r="Z8" s="1337"/>
      <c r="AA8" s="1337"/>
      <c r="AB8" s="1337"/>
      <c r="AC8" s="1337"/>
      <c r="AD8" s="1337"/>
      <c r="AE8" s="1337"/>
      <c r="AF8" s="1337"/>
      <c r="AG8" s="1337"/>
      <c r="AH8" s="1337"/>
      <c r="AI8" s="1337"/>
      <c r="AJ8" s="1337"/>
      <c r="AK8" s="1337"/>
      <c r="AL8" s="1337"/>
      <c r="AM8" s="1337"/>
      <c r="AN8" s="1337"/>
      <c r="AO8" s="1337"/>
      <c r="AP8" s="1337"/>
      <c r="AQ8" s="1337"/>
      <c r="AR8" s="1337"/>
      <c r="AS8" s="1337"/>
      <c r="AT8" s="1337"/>
      <c r="AU8" s="1337"/>
      <c r="AV8" s="1337"/>
      <c r="AW8" s="1337"/>
      <c r="AX8" s="1337"/>
      <c r="AY8" s="1337"/>
      <c r="AZ8" s="1337"/>
      <c r="BA8" s="1337"/>
      <c r="BB8" s="1337"/>
      <c r="BC8" s="1337"/>
      <c r="BD8" s="1337"/>
      <c r="BE8" s="1337"/>
      <c r="BF8" s="1337"/>
      <c r="BG8" s="1337"/>
      <c r="BH8" s="1337"/>
      <c r="BI8" s="1337"/>
      <c r="BJ8" s="1337"/>
      <c r="BK8" s="1337"/>
      <c r="BL8" s="1337"/>
      <c r="BM8" s="1337"/>
      <c r="BN8" s="1337"/>
      <c r="BO8" s="1337"/>
      <c r="BP8" s="1337"/>
      <c r="BQ8" s="1337"/>
      <c r="BR8" s="1337"/>
      <c r="BS8" s="1337"/>
      <c r="BT8" s="1337"/>
      <c r="BU8" s="1337"/>
      <c r="BV8" s="1337"/>
      <c r="BW8" s="1337"/>
      <c r="BX8" s="1337"/>
      <c r="BY8" s="1337"/>
      <c r="BZ8" s="1337"/>
      <c r="CA8" s="1337"/>
      <c r="CB8" s="1337"/>
      <c r="CC8" s="1337"/>
      <c r="CD8" s="1337"/>
      <c r="CE8" s="1337"/>
      <c r="CF8" s="1337"/>
      <c r="CG8" s="1337"/>
      <c r="CH8" s="1337"/>
      <c r="CI8" s="1337"/>
      <c r="CJ8" s="1337"/>
      <c r="CK8" s="1337"/>
      <c r="CL8" s="1337"/>
      <c r="CM8" s="1337"/>
      <c r="CN8" s="1337"/>
      <c r="CO8" s="1337"/>
      <c r="CP8" s="1337"/>
      <c r="CQ8" s="1337"/>
      <c r="CR8" s="1337"/>
      <c r="CS8" s="1337"/>
      <c r="CT8" s="1337"/>
      <c r="CU8" s="1337"/>
      <c r="CV8" s="1337"/>
      <c r="CW8" s="1337"/>
      <c r="CX8" s="1337"/>
      <c r="CY8" s="1337"/>
      <c r="CZ8" s="1337"/>
      <c r="DA8" s="1337"/>
      <c r="DB8" s="1337"/>
      <c r="DC8" s="1337"/>
      <c r="DD8" s="1337"/>
      <c r="DE8" s="1337"/>
      <c r="DF8" s="1337"/>
      <c r="DG8" s="1337"/>
      <c r="DH8" s="1337"/>
      <c r="DI8" s="1337"/>
      <c r="DJ8" s="1337"/>
      <c r="DK8" s="1337"/>
      <c r="DL8" s="1337"/>
      <c r="DM8" s="1337"/>
      <c r="DN8" s="1337"/>
      <c r="DO8" s="1337"/>
      <c r="DP8" s="1337"/>
      <c r="DQ8" s="1337"/>
      <c r="DR8" s="1337"/>
      <c r="DS8" s="1337"/>
      <c r="DT8" s="1337"/>
      <c r="DU8" s="1337"/>
      <c r="DV8" s="1337"/>
      <c r="DW8" s="1337"/>
      <c r="DX8" s="1337"/>
      <c r="DY8" s="1337"/>
      <c r="DZ8" s="1337"/>
      <c r="EA8" s="1337"/>
      <c r="EB8" s="1337"/>
      <c r="EC8" s="1337"/>
      <c r="ED8" s="1337"/>
      <c r="EE8" s="1337"/>
      <c r="EF8" s="1337"/>
      <c r="EG8" s="1337"/>
      <c r="EH8" s="1337"/>
      <c r="EI8" s="1337"/>
      <c r="EJ8" s="1337"/>
      <c r="EK8" s="1337"/>
      <c r="EL8" s="1337"/>
      <c r="EM8" s="1337"/>
      <c r="EN8" s="1337"/>
      <c r="EO8" s="1337"/>
      <c r="EP8" s="1337"/>
      <c r="EQ8" s="1337"/>
      <c r="ER8" s="1337"/>
      <c r="ES8" s="1337"/>
      <c r="ET8" s="1337"/>
      <c r="EU8" s="1337"/>
      <c r="EV8" s="1337"/>
      <c r="EW8" s="1337"/>
      <c r="EX8" s="1337"/>
      <c r="EY8" s="1337"/>
      <c r="EZ8" s="1337"/>
      <c r="FA8" s="1337"/>
      <c r="FB8" s="1337"/>
      <c r="FC8" s="1337"/>
      <c r="FD8" s="1337"/>
      <c r="FE8" s="1337"/>
      <c r="FF8" s="1337"/>
      <c r="FG8" s="1337"/>
      <c r="FH8" s="1337"/>
      <c r="FI8" s="1337"/>
      <c r="FJ8" s="1337"/>
      <c r="FK8" s="1337"/>
      <c r="FL8" s="1337"/>
      <c r="FM8" s="1337"/>
      <c r="FN8" s="1337"/>
      <c r="FO8" s="1337"/>
      <c r="FP8" s="1337"/>
      <c r="FQ8" s="1337"/>
      <c r="FR8" s="1337"/>
      <c r="FS8" s="1337"/>
      <c r="FT8" s="1337"/>
      <c r="FU8" s="1337"/>
      <c r="FV8" s="1337"/>
      <c r="FW8" s="1337"/>
      <c r="FX8" s="1337"/>
      <c r="FY8" s="1337"/>
      <c r="FZ8" s="1337"/>
      <c r="GA8" s="1337"/>
      <c r="GB8" s="1337"/>
      <c r="GC8" s="1337"/>
      <c r="GD8" s="1337"/>
      <c r="GE8" s="1337"/>
      <c r="GF8" s="1337"/>
      <c r="GG8" s="1337"/>
      <c r="GH8" s="1337"/>
      <c r="GI8" s="1337"/>
      <c r="GJ8" s="1337"/>
      <c r="GK8" s="1337"/>
      <c r="GL8" s="1337"/>
      <c r="GM8" s="1337"/>
      <c r="GN8" s="1337"/>
      <c r="GO8" s="1337"/>
      <c r="GP8" s="1337"/>
      <c r="GQ8" s="1337"/>
      <c r="GR8" s="1337"/>
      <c r="GS8" s="1337"/>
      <c r="GT8" s="1337"/>
      <c r="GU8" s="1337"/>
      <c r="GV8" s="1337"/>
      <c r="GW8" s="1337"/>
      <c r="GX8" s="1337"/>
      <c r="GY8" s="1337"/>
      <c r="GZ8" s="1337"/>
      <c r="HA8" s="1337"/>
      <c r="HB8" s="1337"/>
      <c r="HC8" s="1337"/>
      <c r="HD8" s="1337"/>
      <c r="HE8" s="1337"/>
      <c r="HF8" s="1337"/>
      <c r="HG8" s="1337"/>
      <c r="HH8" s="1337"/>
      <c r="HI8" s="1337"/>
      <c r="HJ8" s="1337"/>
      <c r="HK8" s="1337"/>
      <c r="HL8" s="1337"/>
      <c r="HM8" s="1337"/>
      <c r="HN8" s="1337"/>
      <c r="HO8" s="1337"/>
      <c r="HP8" s="1337"/>
      <c r="HQ8" s="1337"/>
      <c r="HR8" s="1337"/>
      <c r="HS8" s="1337"/>
      <c r="HT8" s="1337"/>
      <c r="HU8" s="1337"/>
      <c r="HV8" s="1337"/>
      <c r="HW8" s="1337"/>
      <c r="HX8" s="1337"/>
      <c r="HY8" s="1337"/>
      <c r="HZ8" s="1337"/>
      <c r="IA8" s="1337"/>
      <c r="IB8" s="1337"/>
      <c r="IC8" s="1337"/>
      <c r="ID8" s="1337"/>
      <c r="IE8" s="1337"/>
      <c r="IF8" s="1337"/>
      <c r="IG8" s="1337"/>
      <c r="IH8" s="1337"/>
      <c r="II8" s="1337"/>
      <c r="IJ8" s="1337"/>
      <c r="IK8" s="1337"/>
      <c r="IL8" s="1337"/>
      <c r="IM8" s="1337"/>
      <c r="IN8" s="1337"/>
      <c r="IO8" s="1337"/>
      <c r="IP8" s="1337"/>
      <c r="IQ8" s="1337"/>
      <c r="IR8" s="1337"/>
      <c r="IS8" s="1337"/>
      <c r="IT8" s="1337"/>
      <c r="IU8" s="1337"/>
      <c r="IV8" s="1337"/>
    </row>
    <row r="9" spans="1:256" ht="10.5" customHeight="1">
      <c r="A9" s="1323" t="s">
        <v>1099</v>
      </c>
      <c r="B9" s="1346">
        <v>161.80000000000001</v>
      </c>
      <c r="C9" s="1346">
        <v>161.80000000000001</v>
      </c>
      <c r="D9" s="1347">
        <v>161.80000000000001</v>
      </c>
      <c r="E9" s="1347">
        <v>164.9</v>
      </c>
      <c r="F9" s="1347">
        <v>165.6</v>
      </c>
      <c r="G9" s="1348">
        <v>124.3</v>
      </c>
      <c r="H9" s="1348">
        <v>122.6</v>
      </c>
      <c r="I9" s="1348">
        <v>135.69999999999999</v>
      </c>
      <c r="J9" s="1348">
        <v>107.1</v>
      </c>
      <c r="K9" s="1348">
        <v>161.69999999999999</v>
      </c>
      <c r="L9" s="1349">
        <v>161.19999999999999</v>
      </c>
      <c r="M9" s="1350">
        <v>169.3</v>
      </c>
      <c r="N9" s="1348">
        <v>168.4</v>
      </c>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c r="AM9" s="1337"/>
      <c r="AN9" s="1337"/>
      <c r="AO9" s="1337"/>
      <c r="AP9" s="1337"/>
      <c r="AQ9" s="1337"/>
      <c r="AR9" s="1337"/>
      <c r="AS9" s="1337"/>
      <c r="AT9" s="1337"/>
      <c r="AU9" s="1337"/>
      <c r="AV9" s="1337"/>
      <c r="AW9" s="1337"/>
      <c r="AX9" s="1337"/>
      <c r="AY9" s="1337"/>
      <c r="AZ9" s="1337"/>
      <c r="BA9" s="1337"/>
      <c r="BB9" s="1337"/>
      <c r="BC9" s="1337"/>
      <c r="BD9" s="1337"/>
      <c r="BE9" s="1337"/>
      <c r="BF9" s="1337"/>
      <c r="BG9" s="1337"/>
      <c r="BH9" s="1337"/>
      <c r="BI9" s="1337"/>
      <c r="BJ9" s="1337"/>
      <c r="BK9" s="1337"/>
      <c r="BL9" s="1337"/>
      <c r="BM9" s="1337"/>
      <c r="BN9" s="1337"/>
      <c r="BO9" s="1337"/>
      <c r="BP9" s="1337"/>
      <c r="BQ9" s="1337"/>
      <c r="BR9" s="1337"/>
      <c r="BS9" s="1337"/>
      <c r="BT9" s="1337"/>
      <c r="BU9" s="1337"/>
      <c r="BV9" s="1337"/>
      <c r="BW9" s="1337"/>
      <c r="BX9" s="1337"/>
      <c r="BY9" s="1337"/>
      <c r="BZ9" s="1337"/>
      <c r="CA9" s="1337"/>
      <c r="CB9" s="1337"/>
      <c r="CC9" s="1337"/>
      <c r="CD9" s="1337"/>
      <c r="CE9" s="1337"/>
      <c r="CF9" s="1337"/>
      <c r="CG9" s="1337"/>
      <c r="CH9" s="1337"/>
      <c r="CI9" s="1337"/>
      <c r="CJ9" s="1337"/>
      <c r="CK9" s="1337"/>
      <c r="CL9" s="1337"/>
      <c r="CM9" s="1337"/>
      <c r="CN9" s="1337"/>
      <c r="CO9" s="1337"/>
      <c r="CP9" s="1337"/>
      <c r="CQ9" s="1337"/>
      <c r="CR9" s="1337"/>
      <c r="CS9" s="1337"/>
      <c r="CT9" s="1337"/>
      <c r="CU9" s="1337"/>
      <c r="CV9" s="1337"/>
      <c r="CW9" s="1337"/>
      <c r="CX9" s="1337"/>
      <c r="CY9" s="1337"/>
      <c r="CZ9" s="1337"/>
      <c r="DA9" s="1337"/>
      <c r="DB9" s="1337"/>
      <c r="DC9" s="1337"/>
      <c r="DD9" s="1337"/>
      <c r="DE9" s="1337"/>
      <c r="DF9" s="1337"/>
      <c r="DG9" s="1337"/>
      <c r="DH9" s="1337"/>
      <c r="DI9" s="1337"/>
      <c r="DJ9" s="1337"/>
      <c r="DK9" s="1337"/>
      <c r="DL9" s="1337"/>
      <c r="DM9" s="1337"/>
      <c r="DN9" s="1337"/>
      <c r="DO9" s="1337"/>
      <c r="DP9" s="1337"/>
      <c r="DQ9" s="1337"/>
      <c r="DR9" s="1337"/>
      <c r="DS9" s="1337"/>
      <c r="DT9" s="1337"/>
      <c r="DU9" s="1337"/>
      <c r="DV9" s="1337"/>
      <c r="DW9" s="1337"/>
      <c r="DX9" s="1337"/>
      <c r="DY9" s="1337"/>
      <c r="DZ9" s="1337"/>
      <c r="EA9" s="1337"/>
      <c r="EB9" s="1337"/>
      <c r="EC9" s="1337"/>
      <c r="ED9" s="1337"/>
      <c r="EE9" s="1337"/>
      <c r="EF9" s="1337"/>
      <c r="EG9" s="1337"/>
      <c r="EH9" s="1337"/>
      <c r="EI9" s="1337"/>
      <c r="EJ9" s="1337"/>
      <c r="EK9" s="1337"/>
      <c r="EL9" s="1337"/>
      <c r="EM9" s="1337"/>
      <c r="EN9" s="1337"/>
      <c r="EO9" s="1337"/>
      <c r="EP9" s="1337"/>
      <c r="EQ9" s="1337"/>
      <c r="ER9" s="1337"/>
      <c r="ES9" s="1337"/>
      <c r="ET9" s="1337"/>
      <c r="EU9" s="1337"/>
      <c r="EV9" s="1337"/>
      <c r="EW9" s="1337"/>
      <c r="EX9" s="1337"/>
      <c r="EY9" s="1337"/>
      <c r="EZ9" s="1337"/>
      <c r="FA9" s="1337"/>
      <c r="FB9" s="1337"/>
      <c r="FC9" s="1337"/>
      <c r="FD9" s="1337"/>
      <c r="FE9" s="1337"/>
      <c r="FF9" s="1337"/>
      <c r="FG9" s="1337"/>
      <c r="FH9" s="1337"/>
      <c r="FI9" s="1337"/>
      <c r="FJ9" s="1337"/>
      <c r="FK9" s="1337"/>
      <c r="FL9" s="1337"/>
      <c r="FM9" s="1337"/>
      <c r="FN9" s="1337"/>
      <c r="FO9" s="1337"/>
      <c r="FP9" s="1337"/>
      <c r="FQ9" s="1337"/>
      <c r="FR9" s="1337"/>
      <c r="FS9" s="1337"/>
      <c r="FT9" s="1337"/>
      <c r="FU9" s="1337"/>
      <c r="FV9" s="1337"/>
      <c r="FW9" s="1337"/>
      <c r="FX9" s="1337"/>
      <c r="FY9" s="1337"/>
      <c r="FZ9" s="1337"/>
      <c r="GA9" s="1337"/>
      <c r="GB9" s="1337"/>
      <c r="GC9" s="1337"/>
      <c r="GD9" s="1337"/>
      <c r="GE9" s="1337"/>
      <c r="GF9" s="1337"/>
      <c r="GG9" s="1337"/>
      <c r="GH9" s="1337"/>
      <c r="GI9" s="1337"/>
      <c r="GJ9" s="1337"/>
      <c r="GK9" s="1337"/>
      <c r="GL9" s="1337"/>
      <c r="GM9" s="1337"/>
      <c r="GN9" s="1337"/>
      <c r="GO9" s="1337"/>
      <c r="GP9" s="1337"/>
      <c r="GQ9" s="1337"/>
      <c r="GR9" s="1337"/>
      <c r="GS9" s="1337"/>
      <c r="GT9" s="1337"/>
      <c r="GU9" s="1337"/>
      <c r="GV9" s="1337"/>
      <c r="GW9" s="1337"/>
      <c r="GX9" s="1337"/>
      <c r="GY9" s="1337"/>
      <c r="GZ9" s="1337"/>
      <c r="HA9" s="1337"/>
      <c r="HB9" s="1337"/>
      <c r="HC9" s="1337"/>
      <c r="HD9" s="1337"/>
      <c r="HE9" s="1337"/>
      <c r="HF9" s="1337"/>
      <c r="HG9" s="1337"/>
      <c r="HH9" s="1337"/>
      <c r="HI9" s="1337"/>
      <c r="HJ9" s="1337"/>
      <c r="HK9" s="1337"/>
      <c r="HL9" s="1337"/>
      <c r="HM9" s="1337"/>
      <c r="HN9" s="1337"/>
      <c r="HO9" s="1337"/>
      <c r="HP9" s="1337"/>
      <c r="HQ9" s="1337"/>
      <c r="HR9" s="1337"/>
      <c r="HS9" s="1337"/>
      <c r="HT9" s="1337"/>
      <c r="HU9" s="1337"/>
      <c r="HV9" s="1337"/>
      <c r="HW9" s="1337"/>
      <c r="HX9" s="1337"/>
      <c r="HY9" s="1337"/>
      <c r="HZ9" s="1337"/>
      <c r="IA9" s="1337"/>
      <c r="IB9" s="1337"/>
      <c r="IC9" s="1337"/>
      <c r="ID9" s="1337"/>
      <c r="IE9" s="1337"/>
      <c r="IF9" s="1337"/>
      <c r="IG9" s="1337"/>
      <c r="IH9" s="1337"/>
      <c r="II9" s="1337"/>
      <c r="IJ9" s="1337"/>
      <c r="IK9" s="1337"/>
      <c r="IL9" s="1337"/>
      <c r="IM9" s="1337"/>
      <c r="IN9" s="1337"/>
      <c r="IO9" s="1337"/>
      <c r="IP9" s="1337"/>
      <c r="IQ9" s="1337"/>
      <c r="IR9" s="1337"/>
      <c r="IS9" s="1337"/>
      <c r="IT9" s="1337"/>
      <c r="IU9" s="1337"/>
      <c r="IV9" s="1337"/>
    </row>
    <row r="10" spans="1:256" ht="10.5" customHeight="1">
      <c r="A10" s="1323" t="s">
        <v>1100</v>
      </c>
      <c r="B10" s="1346">
        <v>49.9</v>
      </c>
      <c r="C10" s="1346">
        <v>51.9</v>
      </c>
      <c r="D10" s="1347">
        <v>52.1</v>
      </c>
      <c r="E10" s="1347">
        <v>52.6</v>
      </c>
      <c r="F10" s="1347">
        <v>74.7</v>
      </c>
      <c r="G10" s="1348">
        <v>63</v>
      </c>
      <c r="H10" s="1348">
        <v>57.7</v>
      </c>
      <c r="I10" s="1348">
        <v>57.4</v>
      </c>
      <c r="J10" s="1348">
        <v>60.8</v>
      </c>
      <c r="K10" s="1348">
        <v>44.3</v>
      </c>
      <c r="L10" s="1349">
        <v>39.299999999999997</v>
      </c>
      <c r="M10" s="1350">
        <v>36.9</v>
      </c>
      <c r="N10" s="1348">
        <v>57.9</v>
      </c>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c r="AM10" s="1337"/>
      <c r="AN10" s="1337"/>
      <c r="AO10" s="1337"/>
      <c r="AP10" s="1337"/>
      <c r="AQ10" s="1337"/>
      <c r="AR10" s="1337"/>
      <c r="AS10" s="1337"/>
      <c r="AT10" s="1337"/>
      <c r="AU10" s="1337"/>
      <c r="AV10" s="1337"/>
      <c r="AW10" s="1337"/>
      <c r="AX10" s="1337"/>
      <c r="AY10" s="1337"/>
      <c r="AZ10" s="1337"/>
      <c r="BA10" s="1337"/>
      <c r="BB10" s="1337"/>
      <c r="BC10" s="1337"/>
      <c r="BD10" s="1337"/>
      <c r="BE10" s="1337"/>
      <c r="BF10" s="1337"/>
      <c r="BG10" s="1337"/>
      <c r="BH10" s="1337"/>
      <c r="BI10" s="1337"/>
      <c r="BJ10" s="1337"/>
      <c r="BK10" s="1337"/>
      <c r="BL10" s="1337"/>
      <c r="BM10" s="1337"/>
      <c r="BN10" s="1337"/>
      <c r="BO10" s="1337"/>
      <c r="BP10" s="1337"/>
      <c r="BQ10" s="1337"/>
      <c r="BR10" s="1337"/>
      <c r="BS10" s="1337"/>
      <c r="BT10" s="1337"/>
      <c r="BU10" s="1337"/>
      <c r="BV10" s="1337"/>
      <c r="BW10" s="1337"/>
      <c r="BX10" s="1337"/>
      <c r="BY10" s="1337"/>
      <c r="BZ10" s="1337"/>
      <c r="CA10" s="1337"/>
      <c r="CB10" s="1337"/>
      <c r="CC10" s="1337"/>
      <c r="CD10" s="1337"/>
      <c r="CE10" s="1337"/>
      <c r="CF10" s="1337"/>
      <c r="CG10" s="1337"/>
      <c r="CH10" s="1337"/>
      <c r="CI10" s="1337"/>
      <c r="CJ10" s="1337"/>
      <c r="CK10" s="1337"/>
      <c r="CL10" s="1337"/>
      <c r="CM10" s="1337"/>
      <c r="CN10" s="1337"/>
      <c r="CO10" s="1337"/>
      <c r="CP10" s="1337"/>
      <c r="CQ10" s="1337"/>
      <c r="CR10" s="1337"/>
      <c r="CS10" s="1337"/>
      <c r="CT10" s="1337"/>
      <c r="CU10" s="1337"/>
      <c r="CV10" s="1337"/>
      <c r="CW10" s="1337"/>
      <c r="CX10" s="1337"/>
      <c r="CY10" s="1337"/>
      <c r="CZ10" s="1337"/>
      <c r="DA10" s="1337"/>
      <c r="DB10" s="1337"/>
      <c r="DC10" s="1337"/>
      <c r="DD10" s="1337"/>
      <c r="DE10" s="1337"/>
      <c r="DF10" s="1337"/>
      <c r="DG10" s="1337"/>
      <c r="DH10" s="1337"/>
      <c r="DI10" s="1337"/>
      <c r="DJ10" s="1337"/>
      <c r="DK10" s="1337"/>
      <c r="DL10" s="1337"/>
      <c r="DM10" s="1337"/>
      <c r="DN10" s="1337"/>
      <c r="DO10" s="1337"/>
      <c r="DP10" s="1337"/>
      <c r="DQ10" s="1337"/>
      <c r="DR10" s="1337"/>
      <c r="DS10" s="1337"/>
      <c r="DT10" s="1337"/>
      <c r="DU10" s="1337"/>
      <c r="DV10" s="1337"/>
      <c r="DW10" s="1337"/>
      <c r="DX10" s="1337"/>
      <c r="DY10" s="1337"/>
      <c r="DZ10" s="1337"/>
      <c r="EA10" s="1337"/>
      <c r="EB10" s="1337"/>
      <c r="EC10" s="1337"/>
      <c r="ED10" s="1337"/>
      <c r="EE10" s="1337"/>
      <c r="EF10" s="1337"/>
      <c r="EG10" s="1337"/>
      <c r="EH10" s="1337"/>
      <c r="EI10" s="1337"/>
      <c r="EJ10" s="1337"/>
      <c r="EK10" s="1337"/>
      <c r="EL10" s="1337"/>
      <c r="EM10" s="1337"/>
      <c r="EN10" s="1337"/>
      <c r="EO10" s="1337"/>
      <c r="EP10" s="1337"/>
      <c r="EQ10" s="1337"/>
      <c r="ER10" s="1337"/>
      <c r="ES10" s="1337"/>
      <c r="ET10" s="1337"/>
      <c r="EU10" s="1337"/>
      <c r="EV10" s="1337"/>
      <c r="EW10" s="1337"/>
      <c r="EX10" s="1337"/>
      <c r="EY10" s="1337"/>
      <c r="EZ10" s="1337"/>
      <c r="FA10" s="1337"/>
      <c r="FB10" s="1337"/>
      <c r="FC10" s="1337"/>
      <c r="FD10" s="1337"/>
      <c r="FE10" s="1337"/>
      <c r="FF10" s="1337"/>
      <c r="FG10" s="1337"/>
      <c r="FH10" s="1337"/>
      <c r="FI10" s="1337"/>
      <c r="FJ10" s="1337"/>
      <c r="FK10" s="1337"/>
      <c r="FL10" s="1337"/>
      <c r="FM10" s="1337"/>
      <c r="FN10" s="1337"/>
      <c r="FO10" s="1337"/>
      <c r="FP10" s="1337"/>
      <c r="FQ10" s="1337"/>
      <c r="FR10" s="1337"/>
      <c r="FS10" s="1337"/>
      <c r="FT10" s="1337"/>
      <c r="FU10" s="1337"/>
      <c r="FV10" s="1337"/>
      <c r="FW10" s="1337"/>
      <c r="FX10" s="1337"/>
      <c r="FY10" s="1337"/>
      <c r="FZ10" s="1337"/>
      <c r="GA10" s="1337"/>
      <c r="GB10" s="1337"/>
      <c r="GC10" s="1337"/>
      <c r="GD10" s="1337"/>
      <c r="GE10" s="1337"/>
      <c r="GF10" s="1337"/>
      <c r="GG10" s="1337"/>
      <c r="GH10" s="1337"/>
      <c r="GI10" s="1337"/>
      <c r="GJ10" s="1337"/>
      <c r="GK10" s="1337"/>
      <c r="GL10" s="1337"/>
      <c r="GM10" s="1337"/>
      <c r="GN10" s="1337"/>
      <c r="GO10" s="1337"/>
      <c r="GP10" s="1337"/>
      <c r="GQ10" s="1337"/>
      <c r="GR10" s="1337"/>
      <c r="GS10" s="1337"/>
      <c r="GT10" s="1337"/>
      <c r="GU10" s="1337"/>
      <c r="GV10" s="1337"/>
      <c r="GW10" s="1337"/>
      <c r="GX10" s="1337"/>
      <c r="GY10" s="1337"/>
      <c r="GZ10" s="1337"/>
      <c r="HA10" s="1337"/>
      <c r="HB10" s="1337"/>
      <c r="HC10" s="1337"/>
      <c r="HD10" s="1337"/>
      <c r="HE10" s="1337"/>
      <c r="HF10" s="1337"/>
      <c r="HG10" s="1337"/>
      <c r="HH10" s="1337"/>
      <c r="HI10" s="1337"/>
      <c r="HJ10" s="1337"/>
      <c r="HK10" s="1337"/>
      <c r="HL10" s="1337"/>
      <c r="HM10" s="1337"/>
      <c r="HN10" s="1337"/>
      <c r="HO10" s="1337"/>
      <c r="HP10" s="1337"/>
      <c r="HQ10" s="1337"/>
      <c r="HR10" s="1337"/>
      <c r="HS10" s="1337"/>
      <c r="HT10" s="1337"/>
      <c r="HU10" s="1337"/>
      <c r="HV10" s="1337"/>
      <c r="HW10" s="1337"/>
      <c r="HX10" s="1337"/>
      <c r="HY10" s="1337"/>
      <c r="HZ10" s="1337"/>
      <c r="IA10" s="1337"/>
      <c r="IB10" s="1337"/>
      <c r="IC10" s="1337"/>
      <c r="ID10" s="1337"/>
      <c r="IE10" s="1337"/>
      <c r="IF10" s="1337"/>
      <c r="IG10" s="1337"/>
      <c r="IH10" s="1337"/>
      <c r="II10" s="1337"/>
      <c r="IJ10" s="1337"/>
      <c r="IK10" s="1337"/>
      <c r="IL10" s="1337"/>
      <c r="IM10" s="1337"/>
      <c r="IN10" s="1337"/>
      <c r="IO10" s="1337"/>
      <c r="IP10" s="1337"/>
      <c r="IQ10" s="1337"/>
      <c r="IR10" s="1337"/>
      <c r="IS10" s="1337"/>
      <c r="IT10" s="1337"/>
      <c r="IU10" s="1337"/>
      <c r="IV10" s="1337"/>
    </row>
    <row r="11" spans="1:256" ht="10.5" customHeight="1">
      <c r="A11" s="1323" t="s">
        <v>1101</v>
      </c>
      <c r="B11" s="1346">
        <v>58.7</v>
      </c>
      <c r="C11" s="1346">
        <v>57</v>
      </c>
      <c r="D11" s="1347">
        <v>56.9</v>
      </c>
      <c r="E11" s="1347">
        <v>56.6</v>
      </c>
      <c r="F11" s="1347">
        <v>34.1</v>
      </c>
      <c r="G11" s="1348">
        <v>19.7</v>
      </c>
      <c r="H11" s="1348">
        <v>18.100000000000001</v>
      </c>
      <c r="I11" s="1348">
        <v>14.4</v>
      </c>
      <c r="J11" s="1348">
        <v>31.5</v>
      </c>
      <c r="K11" s="1348">
        <v>18.7</v>
      </c>
      <c r="L11" s="1349">
        <v>19.600000000000001</v>
      </c>
      <c r="M11" s="1350">
        <v>28.2</v>
      </c>
      <c r="N11" s="1348">
        <v>44.3</v>
      </c>
      <c r="O11" s="1337"/>
      <c r="P11" s="1337"/>
      <c r="Q11" s="1337"/>
      <c r="R11" s="1337"/>
      <c r="S11" s="1337"/>
      <c r="T11" s="1337"/>
      <c r="U11" s="1337"/>
      <c r="V11" s="1337"/>
      <c r="W11" s="1337"/>
      <c r="X11" s="1337"/>
      <c r="Y11" s="1337"/>
      <c r="Z11" s="1337"/>
      <c r="AA11" s="1337"/>
      <c r="AB11" s="1337"/>
      <c r="AC11" s="1337"/>
      <c r="AD11" s="1337"/>
      <c r="AE11" s="1337"/>
      <c r="AF11" s="1337"/>
      <c r="AG11" s="1337"/>
      <c r="AH11" s="1337"/>
      <c r="AI11" s="1337"/>
      <c r="AJ11" s="1337"/>
      <c r="AK11" s="1337"/>
      <c r="AL11" s="1337"/>
      <c r="AM11" s="1337"/>
      <c r="AN11" s="1337"/>
      <c r="AO11" s="1337"/>
      <c r="AP11" s="1337"/>
      <c r="AQ11" s="1337"/>
      <c r="AR11" s="1337"/>
      <c r="AS11" s="1337"/>
      <c r="AT11" s="1337"/>
      <c r="AU11" s="1337"/>
      <c r="AV11" s="1337"/>
      <c r="AW11" s="1337"/>
      <c r="AX11" s="1337"/>
      <c r="AY11" s="1337"/>
      <c r="AZ11" s="1337"/>
      <c r="BA11" s="1337"/>
      <c r="BB11" s="1337"/>
      <c r="BC11" s="1337"/>
      <c r="BD11" s="1337"/>
      <c r="BE11" s="1337"/>
      <c r="BF11" s="1337"/>
      <c r="BG11" s="1337"/>
      <c r="BH11" s="1337"/>
      <c r="BI11" s="1337"/>
      <c r="BJ11" s="1337"/>
      <c r="BK11" s="1337"/>
      <c r="BL11" s="1337"/>
      <c r="BM11" s="1337"/>
      <c r="BN11" s="1337"/>
      <c r="BO11" s="1337"/>
      <c r="BP11" s="1337"/>
      <c r="BQ11" s="1337"/>
      <c r="BR11" s="1337"/>
      <c r="BS11" s="1337"/>
      <c r="BT11" s="1337"/>
      <c r="BU11" s="1337"/>
      <c r="BV11" s="1337"/>
      <c r="BW11" s="1337"/>
      <c r="BX11" s="1337"/>
      <c r="BY11" s="1337"/>
      <c r="BZ11" s="1337"/>
      <c r="CA11" s="1337"/>
      <c r="CB11" s="1337"/>
      <c r="CC11" s="1337"/>
      <c r="CD11" s="1337"/>
      <c r="CE11" s="1337"/>
      <c r="CF11" s="1337"/>
      <c r="CG11" s="1337"/>
      <c r="CH11" s="1337"/>
      <c r="CI11" s="1337"/>
      <c r="CJ11" s="1337"/>
      <c r="CK11" s="1337"/>
      <c r="CL11" s="1337"/>
      <c r="CM11" s="1337"/>
      <c r="CN11" s="1337"/>
      <c r="CO11" s="1337"/>
      <c r="CP11" s="1337"/>
      <c r="CQ11" s="1337"/>
      <c r="CR11" s="1337"/>
      <c r="CS11" s="1337"/>
      <c r="CT11" s="1337"/>
      <c r="CU11" s="1337"/>
      <c r="CV11" s="1337"/>
      <c r="CW11" s="1337"/>
      <c r="CX11" s="1337"/>
      <c r="CY11" s="1337"/>
      <c r="CZ11" s="1337"/>
      <c r="DA11" s="1337"/>
      <c r="DB11" s="1337"/>
      <c r="DC11" s="1337"/>
      <c r="DD11" s="1337"/>
      <c r="DE11" s="1337"/>
      <c r="DF11" s="1337"/>
      <c r="DG11" s="1337"/>
      <c r="DH11" s="1337"/>
      <c r="DI11" s="1337"/>
      <c r="DJ11" s="1337"/>
      <c r="DK11" s="1337"/>
      <c r="DL11" s="1337"/>
      <c r="DM11" s="1337"/>
      <c r="DN11" s="1337"/>
      <c r="DO11" s="1337"/>
      <c r="DP11" s="1337"/>
      <c r="DQ11" s="1337"/>
      <c r="DR11" s="1337"/>
      <c r="DS11" s="1337"/>
      <c r="DT11" s="1337"/>
      <c r="DU11" s="1337"/>
      <c r="DV11" s="1337"/>
      <c r="DW11" s="1337"/>
      <c r="DX11" s="1337"/>
      <c r="DY11" s="1337"/>
      <c r="DZ11" s="1337"/>
      <c r="EA11" s="1337"/>
      <c r="EB11" s="1337"/>
      <c r="EC11" s="1337"/>
      <c r="ED11" s="1337"/>
      <c r="EE11" s="1337"/>
      <c r="EF11" s="1337"/>
      <c r="EG11" s="1337"/>
      <c r="EH11" s="1337"/>
      <c r="EI11" s="1337"/>
      <c r="EJ11" s="1337"/>
      <c r="EK11" s="1337"/>
      <c r="EL11" s="1337"/>
      <c r="EM11" s="1337"/>
      <c r="EN11" s="1337"/>
      <c r="EO11" s="1337"/>
      <c r="EP11" s="1337"/>
      <c r="EQ11" s="1337"/>
      <c r="ER11" s="1337"/>
      <c r="ES11" s="1337"/>
      <c r="ET11" s="1337"/>
      <c r="EU11" s="1337"/>
      <c r="EV11" s="1337"/>
      <c r="EW11" s="1337"/>
      <c r="EX11" s="1337"/>
      <c r="EY11" s="1337"/>
      <c r="EZ11" s="1337"/>
      <c r="FA11" s="1337"/>
      <c r="FB11" s="1337"/>
      <c r="FC11" s="1337"/>
      <c r="FD11" s="1337"/>
      <c r="FE11" s="1337"/>
      <c r="FF11" s="1337"/>
      <c r="FG11" s="1337"/>
      <c r="FH11" s="1337"/>
      <c r="FI11" s="1337"/>
      <c r="FJ11" s="1337"/>
      <c r="FK11" s="1337"/>
      <c r="FL11" s="1337"/>
      <c r="FM11" s="1337"/>
      <c r="FN11" s="1337"/>
      <c r="FO11" s="1337"/>
      <c r="FP11" s="1337"/>
      <c r="FQ11" s="1337"/>
      <c r="FR11" s="1337"/>
      <c r="FS11" s="1337"/>
      <c r="FT11" s="1337"/>
      <c r="FU11" s="1337"/>
      <c r="FV11" s="1337"/>
      <c r="FW11" s="1337"/>
      <c r="FX11" s="1337"/>
      <c r="FY11" s="1337"/>
      <c r="FZ11" s="1337"/>
      <c r="GA11" s="1337"/>
      <c r="GB11" s="1337"/>
      <c r="GC11" s="1337"/>
      <c r="GD11" s="1337"/>
      <c r="GE11" s="1337"/>
      <c r="GF11" s="1337"/>
      <c r="GG11" s="1337"/>
      <c r="GH11" s="1337"/>
      <c r="GI11" s="1337"/>
      <c r="GJ11" s="1337"/>
      <c r="GK11" s="1337"/>
      <c r="GL11" s="1337"/>
      <c r="GM11" s="1337"/>
      <c r="GN11" s="1337"/>
      <c r="GO11" s="1337"/>
      <c r="GP11" s="1337"/>
      <c r="GQ11" s="1337"/>
      <c r="GR11" s="1337"/>
      <c r="GS11" s="1337"/>
      <c r="GT11" s="1337"/>
      <c r="GU11" s="1337"/>
      <c r="GV11" s="1337"/>
      <c r="GW11" s="1337"/>
      <c r="GX11" s="1337"/>
      <c r="GY11" s="1337"/>
      <c r="GZ11" s="1337"/>
      <c r="HA11" s="1337"/>
      <c r="HB11" s="1337"/>
      <c r="HC11" s="1337"/>
      <c r="HD11" s="1337"/>
      <c r="HE11" s="1337"/>
      <c r="HF11" s="1337"/>
      <c r="HG11" s="1337"/>
      <c r="HH11" s="1337"/>
      <c r="HI11" s="1337"/>
      <c r="HJ11" s="1337"/>
      <c r="HK11" s="1337"/>
      <c r="HL11" s="1337"/>
      <c r="HM11" s="1337"/>
      <c r="HN11" s="1337"/>
      <c r="HO11" s="1337"/>
      <c r="HP11" s="1337"/>
      <c r="HQ11" s="1337"/>
      <c r="HR11" s="1337"/>
      <c r="HS11" s="1337"/>
      <c r="HT11" s="1337"/>
      <c r="HU11" s="1337"/>
      <c r="HV11" s="1337"/>
      <c r="HW11" s="1337"/>
      <c r="HX11" s="1337"/>
      <c r="HY11" s="1337"/>
      <c r="HZ11" s="1337"/>
      <c r="IA11" s="1337"/>
      <c r="IB11" s="1337"/>
      <c r="IC11" s="1337"/>
      <c r="ID11" s="1337"/>
      <c r="IE11" s="1337"/>
      <c r="IF11" s="1337"/>
      <c r="IG11" s="1337"/>
      <c r="IH11" s="1337"/>
      <c r="II11" s="1337"/>
      <c r="IJ11" s="1337"/>
      <c r="IK11" s="1337"/>
      <c r="IL11" s="1337"/>
      <c r="IM11" s="1337"/>
      <c r="IN11" s="1337"/>
      <c r="IO11" s="1337"/>
      <c r="IP11" s="1337"/>
      <c r="IQ11" s="1337"/>
      <c r="IR11" s="1337"/>
      <c r="IS11" s="1337"/>
      <c r="IT11" s="1337"/>
      <c r="IU11" s="1337"/>
      <c r="IV11" s="1337"/>
    </row>
    <row r="12" spans="1:256" ht="10.5" customHeight="1">
      <c r="A12" s="1323" t="s">
        <v>1102</v>
      </c>
      <c r="B12" s="1346">
        <v>63.2</v>
      </c>
      <c r="C12" s="1346">
        <v>83.2</v>
      </c>
      <c r="D12" s="1347">
        <v>88.2</v>
      </c>
      <c r="E12" s="1347">
        <v>72.2</v>
      </c>
      <c r="F12" s="1347">
        <v>58.2</v>
      </c>
      <c r="G12" s="1348">
        <v>55.1</v>
      </c>
      <c r="H12" s="1348">
        <v>56.5</v>
      </c>
      <c r="I12" s="1348">
        <v>46.9</v>
      </c>
      <c r="J12" s="1348">
        <v>63.6</v>
      </c>
      <c r="K12" s="1351">
        <v>70.400000000000006</v>
      </c>
      <c r="L12" s="1349">
        <v>54.5</v>
      </c>
      <c r="M12" s="1349">
        <v>55.7</v>
      </c>
      <c r="N12" s="1348">
        <v>54.1</v>
      </c>
      <c r="O12" s="1337"/>
      <c r="P12" s="1337"/>
      <c r="Q12" s="1337"/>
      <c r="R12" s="1337"/>
      <c r="S12" s="1337"/>
      <c r="T12" s="1337"/>
      <c r="U12" s="1337"/>
      <c r="V12" s="1337"/>
      <c r="W12" s="1337"/>
      <c r="X12" s="1337"/>
      <c r="Y12" s="1337"/>
      <c r="Z12" s="1337"/>
      <c r="AA12" s="1337"/>
      <c r="AB12" s="1337"/>
      <c r="AC12" s="1337"/>
      <c r="AD12" s="1337"/>
      <c r="AE12" s="1337"/>
      <c r="AF12" s="1337"/>
      <c r="AG12" s="1337"/>
      <c r="AH12" s="1337"/>
      <c r="AI12" s="1337"/>
      <c r="AJ12" s="1337"/>
      <c r="AK12" s="1337"/>
      <c r="AL12" s="1337"/>
      <c r="AM12" s="1337"/>
      <c r="AN12" s="1337"/>
      <c r="AO12" s="1337"/>
      <c r="AP12" s="1337"/>
      <c r="AQ12" s="1337"/>
      <c r="AR12" s="1337"/>
      <c r="AS12" s="1337"/>
      <c r="AT12" s="1337"/>
      <c r="AU12" s="1337"/>
      <c r="AV12" s="1337"/>
      <c r="AW12" s="1337"/>
      <c r="AX12" s="1337"/>
      <c r="AY12" s="1337"/>
      <c r="AZ12" s="1337"/>
      <c r="BA12" s="1337"/>
      <c r="BB12" s="1337"/>
      <c r="BC12" s="1337"/>
      <c r="BD12" s="1337"/>
      <c r="BE12" s="1337"/>
      <c r="BF12" s="1337"/>
      <c r="BG12" s="1337"/>
      <c r="BH12" s="1337"/>
      <c r="BI12" s="1337"/>
      <c r="BJ12" s="1337"/>
      <c r="BK12" s="1337"/>
      <c r="BL12" s="1337"/>
      <c r="BM12" s="1337"/>
      <c r="BN12" s="1337"/>
      <c r="BO12" s="1337"/>
      <c r="BP12" s="1337"/>
      <c r="BQ12" s="1337"/>
      <c r="BR12" s="1337"/>
      <c r="BS12" s="1337"/>
      <c r="BT12" s="1337"/>
      <c r="BU12" s="1337"/>
      <c r="BV12" s="1337"/>
      <c r="BW12" s="1337"/>
      <c r="BX12" s="1337"/>
      <c r="BY12" s="1337"/>
      <c r="BZ12" s="1337"/>
      <c r="CA12" s="1337"/>
      <c r="CB12" s="1337"/>
      <c r="CC12" s="1337"/>
      <c r="CD12" s="1337"/>
      <c r="CE12" s="1337"/>
      <c r="CF12" s="1337"/>
      <c r="CG12" s="1337"/>
      <c r="CH12" s="1337"/>
      <c r="CI12" s="1337"/>
      <c r="CJ12" s="1337"/>
      <c r="CK12" s="1337"/>
      <c r="CL12" s="1337"/>
      <c r="CM12" s="1337"/>
      <c r="CN12" s="1337"/>
      <c r="CO12" s="1337"/>
      <c r="CP12" s="1337"/>
      <c r="CQ12" s="1337"/>
      <c r="CR12" s="1337"/>
      <c r="CS12" s="1337"/>
      <c r="CT12" s="1337"/>
      <c r="CU12" s="1337"/>
      <c r="CV12" s="1337"/>
      <c r="CW12" s="1337"/>
      <c r="CX12" s="1337"/>
      <c r="CY12" s="1337"/>
      <c r="CZ12" s="1337"/>
      <c r="DA12" s="1337"/>
      <c r="DB12" s="1337"/>
      <c r="DC12" s="1337"/>
      <c r="DD12" s="1337"/>
      <c r="DE12" s="1337"/>
      <c r="DF12" s="1337"/>
      <c r="DG12" s="1337"/>
      <c r="DH12" s="1337"/>
      <c r="DI12" s="1337"/>
      <c r="DJ12" s="1337"/>
      <c r="DK12" s="1337"/>
      <c r="DL12" s="1337"/>
      <c r="DM12" s="1337"/>
      <c r="DN12" s="1337"/>
      <c r="DO12" s="1337"/>
      <c r="DP12" s="1337"/>
      <c r="DQ12" s="1337"/>
      <c r="DR12" s="1337"/>
      <c r="DS12" s="1337"/>
      <c r="DT12" s="1337"/>
      <c r="DU12" s="1337"/>
      <c r="DV12" s="1337"/>
      <c r="DW12" s="1337"/>
      <c r="DX12" s="1337"/>
      <c r="DY12" s="1337"/>
      <c r="DZ12" s="1337"/>
      <c r="EA12" s="1337"/>
      <c r="EB12" s="1337"/>
      <c r="EC12" s="1337"/>
      <c r="ED12" s="1337"/>
      <c r="EE12" s="1337"/>
      <c r="EF12" s="1337"/>
      <c r="EG12" s="1337"/>
      <c r="EH12" s="1337"/>
      <c r="EI12" s="1337"/>
      <c r="EJ12" s="1337"/>
      <c r="EK12" s="1337"/>
      <c r="EL12" s="1337"/>
      <c r="EM12" s="1337"/>
      <c r="EN12" s="1337"/>
      <c r="EO12" s="1337"/>
      <c r="EP12" s="1337"/>
      <c r="EQ12" s="1337"/>
      <c r="ER12" s="1337"/>
      <c r="ES12" s="1337"/>
      <c r="ET12" s="1337"/>
      <c r="EU12" s="1337"/>
      <c r="EV12" s="1337"/>
      <c r="EW12" s="1337"/>
      <c r="EX12" s="1337"/>
      <c r="EY12" s="1337"/>
      <c r="EZ12" s="1337"/>
      <c r="FA12" s="1337"/>
      <c r="FB12" s="1337"/>
      <c r="FC12" s="1337"/>
      <c r="FD12" s="1337"/>
      <c r="FE12" s="1337"/>
      <c r="FF12" s="1337"/>
      <c r="FG12" s="1337"/>
      <c r="FH12" s="1337"/>
      <c r="FI12" s="1337"/>
      <c r="FJ12" s="1337"/>
      <c r="FK12" s="1337"/>
      <c r="FL12" s="1337"/>
      <c r="FM12" s="1337"/>
      <c r="FN12" s="1337"/>
      <c r="FO12" s="1337"/>
      <c r="FP12" s="1337"/>
      <c r="FQ12" s="1337"/>
      <c r="FR12" s="1337"/>
      <c r="FS12" s="1337"/>
      <c r="FT12" s="1337"/>
      <c r="FU12" s="1337"/>
      <c r="FV12" s="1337"/>
      <c r="FW12" s="1337"/>
      <c r="FX12" s="1337"/>
      <c r="FY12" s="1337"/>
      <c r="FZ12" s="1337"/>
      <c r="GA12" s="1337"/>
      <c r="GB12" s="1337"/>
      <c r="GC12" s="1337"/>
      <c r="GD12" s="1337"/>
      <c r="GE12" s="1337"/>
      <c r="GF12" s="1337"/>
      <c r="GG12" s="1337"/>
      <c r="GH12" s="1337"/>
      <c r="GI12" s="1337"/>
      <c r="GJ12" s="1337"/>
      <c r="GK12" s="1337"/>
      <c r="GL12" s="1337"/>
      <c r="GM12" s="1337"/>
      <c r="GN12" s="1337"/>
      <c r="GO12" s="1337"/>
      <c r="GP12" s="1337"/>
      <c r="GQ12" s="1337"/>
      <c r="GR12" s="1337"/>
      <c r="GS12" s="1337"/>
      <c r="GT12" s="1337"/>
      <c r="GU12" s="1337"/>
      <c r="GV12" s="1337"/>
      <c r="GW12" s="1337"/>
      <c r="GX12" s="1337"/>
      <c r="GY12" s="1337"/>
      <c r="GZ12" s="1337"/>
      <c r="HA12" s="1337"/>
      <c r="HB12" s="1337"/>
      <c r="HC12" s="1337"/>
      <c r="HD12" s="1337"/>
      <c r="HE12" s="1337"/>
      <c r="HF12" s="1337"/>
      <c r="HG12" s="1337"/>
      <c r="HH12" s="1337"/>
      <c r="HI12" s="1337"/>
      <c r="HJ12" s="1337"/>
      <c r="HK12" s="1337"/>
      <c r="HL12" s="1337"/>
      <c r="HM12" s="1337"/>
      <c r="HN12" s="1337"/>
      <c r="HO12" s="1337"/>
      <c r="HP12" s="1337"/>
      <c r="HQ12" s="1337"/>
      <c r="HR12" s="1337"/>
      <c r="HS12" s="1337"/>
      <c r="HT12" s="1337"/>
      <c r="HU12" s="1337"/>
      <c r="HV12" s="1337"/>
      <c r="HW12" s="1337"/>
      <c r="HX12" s="1337"/>
      <c r="HY12" s="1337"/>
      <c r="HZ12" s="1337"/>
      <c r="IA12" s="1337"/>
      <c r="IB12" s="1337"/>
      <c r="IC12" s="1337"/>
      <c r="ID12" s="1337"/>
      <c r="IE12" s="1337"/>
      <c r="IF12" s="1337"/>
      <c r="IG12" s="1337"/>
      <c r="IH12" s="1337"/>
      <c r="II12" s="1337"/>
      <c r="IJ12" s="1337"/>
      <c r="IK12" s="1337"/>
      <c r="IL12" s="1337"/>
      <c r="IM12" s="1337"/>
      <c r="IN12" s="1337"/>
      <c r="IO12" s="1337"/>
      <c r="IP12" s="1337"/>
      <c r="IQ12" s="1337"/>
      <c r="IR12" s="1337"/>
      <c r="IS12" s="1337"/>
      <c r="IT12" s="1337"/>
      <c r="IU12" s="1337"/>
      <c r="IV12" s="1337"/>
    </row>
    <row r="13" spans="1:256" ht="12.75" customHeight="1" thickBot="1">
      <c r="A13" s="1352" t="s">
        <v>1103</v>
      </c>
      <c r="B13" s="1353">
        <v>1853.7</v>
      </c>
      <c r="C13" s="1353">
        <v>1881.7</v>
      </c>
      <c r="D13" s="1354">
        <v>1943</v>
      </c>
      <c r="E13" s="1354">
        <v>1801.2</v>
      </c>
      <c r="F13" s="1354">
        <v>1764</v>
      </c>
      <c r="G13" s="1354">
        <v>1511.9</v>
      </c>
      <c r="H13" s="1354">
        <v>1471</v>
      </c>
      <c r="I13" s="1354">
        <v>1794.7</v>
      </c>
      <c r="J13" s="1354">
        <v>1817</v>
      </c>
      <c r="K13" s="1354">
        <v>1862.6</v>
      </c>
      <c r="L13" s="1355">
        <v>1822.9</v>
      </c>
      <c r="M13" s="1356">
        <v>1823.1</v>
      </c>
      <c r="N13" s="1354">
        <v>1789.2</v>
      </c>
      <c r="O13" s="1337"/>
      <c r="P13" s="1337"/>
      <c r="Q13" s="1337"/>
      <c r="R13" s="1337"/>
      <c r="S13" s="1337"/>
      <c r="T13" s="1337"/>
      <c r="U13" s="1337"/>
      <c r="V13" s="1337"/>
      <c r="W13" s="1337"/>
      <c r="X13" s="1337"/>
      <c r="Y13" s="1337"/>
      <c r="Z13" s="1337"/>
      <c r="AA13" s="1337"/>
      <c r="AB13" s="1337"/>
      <c r="AC13" s="1337"/>
      <c r="AD13" s="1337"/>
      <c r="AE13" s="1337"/>
      <c r="AF13" s="1337"/>
      <c r="AG13" s="1337"/>
      <c r="AH13" s="1337"/>
      <c r="AI13" s="1337"/>
      <c r="AJ13" s="1337"/>
      <c r="AK13" s="1337"/>
      <c r="AL13" s="1337"/>
      <c r="AM13" s="1337"/>
      <c r="AN13" s="1337"/>
      <c r="AO13" s="1337"/>
      <c r="AP13" s="1337"/>
      <c r="AQ13" s="1337"/>
      <c r="AR13" s="1337"/>
      <c r="AS13" s="1337"/>
      <c r="AT13" s="1337"/>
      <c r="AU13" s="1337"/>
      <c r="AV13" s="1337"/>
      <c r="AW13" s="1337"/>
      <c r="AX13" s="1337"/>
      <c r="AY13" s="1337"/>
      <c r="AZ13" s="1337"/>
      <c r="BA13" s="1337"/>
      <c r="BB13" s="1337"/>
      <c r="BC13" s="1337"/>
      <c r="BD13" s="1337"/>
      <c r="BE13" s="1337"/>
      <c r="BF13" s="1337"/>
      <c r="BG13" s="1337"/>
      <c r="BH13" s="1337"/>
      <c r="BI13" s="1337"/>
      <c r="BJ13" s="1337"/>
      <c r="BK13" s="1337"/>
      <c r="BL13" s="1337"/>
      <c r="BM13" s="1337"/>
      <c r="BN13" s="1337"/>
      <c r="BO13" s="1337"/>
      <c r="BP13" s="1337"/>
      <c r="BQ13" s="1337"/>
      <c r="BR13" s="1337"/>
      <c r="BS13" s="1337"/>
      <c r="BT13" s="1337"/>
      <c r="BU13" s="1337"/>
      <c r="BV13" s="1337"/>
      <c r="BW13" s="1337"/>
      <c r="BX13" s="1337"/>
      <c r="BY13" s="1337"/>
      <c r="BZ13" s="1337"/>
      <c r="CA13" s="1337"/>
      <c r="CB13" s="1337"/>
      <c r="CC13" s="1337"/>
      <c r="CD13" s="1337"/>
      <c r="CE13" s="1337"/>
      <c r="CF13" s="1337"/>
      <c r="CG13" s="1337"/>
      <c r="CH13" s="1337"/>
      <c r="CI13" s="1337"/>
      <c r="CJ13" s="1337"/>
      <c r="CK13" s="1337"/>
      <c r="CL13" s="1337"/>
      <c r="CM13" s="1337"/>
      <c r="CN13" s="1337"/>
      <c r="CO13" s="1337"/>
      <c r="CP13" s="1337"/>
      <c r="CQ13" s="1337"/>
      <c r="CR13" s="1337"/>
      <c r="CS13" s="1337"/>
      <c r="CT13" s="1337"/>
      <c r="CU13" s="1337"/>
      <c r="CV13" s="1337"/>
      <c r="CW13" s="1337"/>
      <c r="CX13" s="1337"/>
      <c r="CY13" s="1337"/>
      <c r="CZ13" s="1337"/>
      <c r="DA13" s="1337"/>
      <c r="DB13" s="1337"/>
      <c r="DC13" s="1337"/>
      <c r="DD13" s="1337"/>
      <c r="DE13" s="1337"/>
      <c r="DF13" s="1337"/>
      <c r="DG13" s="1337"/>
      <c r="DH13" s="1337"/>
      <c r="DI13" s="1337"/>
      <c r="DJ13" s="1337"/>
      <c r="DK13" s="1337"/>
      <c r="DL13" s="1337"/>
      <c r="DM13" s="1337"/>
      <c r="DN13" s="1337"/>
      <c r="DO13" s="1337"/>
      <c r="DP13" s="1337"/>
      <c r="DQ13" s="1337"/>
      <c r="DR13" s="1337"/>
      <c r="DS13" s="1337"/>
      <c r="DT13" s="1337"/>
      <c r="DU13" s="1337"/>
      <c r="DV13" s="1337"/>
      <c r="DW13" s="1337"/>
      <c r="DX13" s="1337"/>
      <c r="DY13" s="1337"/>
      <c r="DZ13" s="1337"/>
      <c r="EA13" s="1337"/>
      <c r="EB13" s="1337"/>
      <c r="EC13" s="1337"/>
      <c r="ED13" s="1337"/>
      <c r="EE13" s="1337"/>
      <c r="EF13" s="1337"/>
      <c r="EG13" s="1337"/>
      <c r="EH13" s="1337"/>
      <c r="EI13" s="1337"/>
      <c r="EJ13" s="1337"/>
      <c r="EK13" s="1337"/>
      <c r="EL13" s="1337"/>
      <c r="EM13" s="1337"/>
      <c r="EN13" s="1337"/>
      <c r="EO13" s="1337"/>
      <c r="EP13" s="1337"/>
      <c r="EQ13" s="1337"/>
      <c r="ER13" s="1337"/>
      <c r="ES13" s="1337"/>
      <c r="ET13" s="1337"/>
      <c r="EU13" s="1337"/>
      <c r="EV13" s="1337"/>
      <c r="EW13" s="1337"/>
      <c r="EX13" s="1337"/>
      <c r="EY13" s="1337"/>
      <c r="EZ13" s="1337"/>
      <c r="FA13" s="1337"/>
      <c r="FB13" s="1337"/>
      <c r="FC13" s="1337"/>
      <c r="FD13" s="1337"/>
      <c r="FE13" s="1337"/>
      <c r="FF13" s="1337"/>
      <c r="FG13" s="1337"/>
      <c r="FH13" s="1337"/>
      <c r="FI13" s="1337"/>
      <c r="FJ13" s="1337"/>
      <c r="FK13" s="1337"/>
      <c r="FL13" s="1337"/>
      <c r="FM13" s="1337"/>
      <c r="FN13" s="1337"/>
      <c r="FO13" s="1337"/>
      <c r="FP13" s="1337"/>
      <c r="FQ13" s="1337"/>
      <c r="FR13" s="1337"/>
      <c r="FS13" s="1337"/>
      <c r="FT13" s="1337"/>
      <c r="FU13" s="1337"/>
      <c r="FV13" s="1337"/>
      <c r="FW13" s="1337"/>
      <c r="FX13" s="1337"/>
      <c r="FY13" s="1337"/>
      <c r="FZ13" s="1337"/>
      <c r="GA13" s="1337"/>
      <c r="GB13" s="1337"/>
      <c r="GC13" s="1337"/>
      <c r="GD13" s="1337"/>
      <c r="GE13" s="1337"/>
      <c r="GF13" s="1337"/>
      <c r="GG13" s="1337"/>
      <c r="GH13" s="1337"/>
      <c r="GI13" s="1337"/>
      <c r="GJ13" s="1337"/>
      <c r="GK13" s="1337"/>
      <c r="GL13" s="1337"/>
      <c r="GM13" s="1337"/>
      <c r="GN13" s="1337"/>
      <c r="GO13" s="1337"/>
      <c r="GP13" s="1337"/>
      <c r="GQ13" s="1337"/>
      <c r="GR13" s="1337"/>
      <c r="GS13" s="1337"/>
      <c r="GT13" s="1337"/>
      <c r="GU13" s="1337"/>
      <c r="GV13" s="1337"/>
      <c r="GW13" s="1337"/>
      <c r="GX13" s="1337"/>
      <c r="GY13" s="1337"/>
      <c r="GZ13" s="1337"/>
      <c r="HA13" s="1337"/>
      <c r="HB13" s="1337"/>
      <c r="HC13" s="1337"/>
      <c r="HD13" s="1337"/>
      <c r="HE13" s="1337"/>
      <c r="HF13" s="1337"/>
      <c r="HG13" s="1337"/>
      <c r="HH13" s="1337"/>
      <c r="HI13" s="1337"/>
      <c r="HJ13" s="1337"/>
      <c r="HK13" s="1337"/>
      <c r="HL13" s="1337"/>
      <c r="HM13" s="1337"/>
      <c r="HN13" s="1337"/>
      <c r="HO13" s="1337"/>
      <c r="HP13" s="1337"/>
      <c r="HQ13" s="1337"/>
      <c r="HR13" s="1337"/>
      <c r="HS13" s="1337"/>
      <c r="HT13" s="1337"/>
      <c r="HU13" s="1337"/>
      <c r="HV13" s="1337"/>
      <c r="HW13" s="1337"/>
      <c r="HX13" s="1337"/>
      <c r="HY13" s="1337"/>
      <c r="HZ13" s="1337"/>
      <c r="IA13" s="1337"/>
      <c r="IB13" s="1337"/>
      <c r="IC13" s="1337"/>
      <c r="ID13" s="1337"/>
      <c r="IE13" s="1337"/>
      <c r="IF13" s="1337"/>
      <c r="IG13" s="1337"/>
      <c r="IH13" s="1337"/>
      <c r="II13" s="1337"/>
      <c r="IJ13" s="1337"/>
      <c r="IK13" s="1337"/>
      <c r="IL13" s="1337"/>
      <c r="IM13" s="1337"/>
      <c r="IN13" s="1337"/>
      <c r="IO13" s="1337"/>
      <c r="IP13" s="1337"/>
      <c r="IQ13" s="1337"/>
      <c r="IR13" s="1337"/>
      <c r="IS13" s="1337"/>
      <c r="IT13" s="1337"/>
      <c r="IU13" s="1337"/>
      <c r="IV13" s="1337"/>
    </row>
    <row r="14" spans="1:256" ht="12" customHeight="1" thickTop="1">
      <c r="A14" s="1338" t="s">
        <v>1104</v>
      </c>
      <c r="B14" s="1357">
        <v>524.79999999999995</v>
      </c>
      <c r="C14" s="1357">
        <v>541.70000000000005</v>
      </c>
      <c r="D14" s="1358">
        <v>535.79999999999995</v>
      </c>
      <c r="E14" s="1358">
        <v>544.9</v>
      </c>
      <c r="F14" s="1358">
        <v>459</v>
      </c>
      <c r="G14" s="1358">
        <v>504.1</v>
      </c>
      <c r="H14" s="1358">
        <v>401.5</v>
      </c>
      <c r="I14" s="1358">
        <v>473.9</v>
      </c>
      <c r="J14" s="1358">
        <v>480.8</v>
      </c>
      <c r="K14" s="1358">
        <v>487.6</v>
      </c>
      <c r="L14" s="1359">
        <v>480.8</v>
      </c>
      <c r="M14" s="1359">
        <v>475.2</v>
      </c>
      <c r="N14" s="1358">
        <v>484</v>
      </c>
      <c r="O14" s="1337"/>
      <c r="P14" s="1337"/>
      <c r="Q14" s="1337"/>
      <c r="R14" s="1337"/>
      <c r="S14" s="1337"/>
      <c r="T14" s="1337"/>
      <c r="U14" s="1337"/>
      <c r="V14" s="1337"/>
      <c r="W14" s="1337"/>
      <c r="X14" s="1337"/>
      <c r="Y14" s="1337"/>
      <c r="Z14" s="1337"/>
      <c r="AA14" s="1337"/>
      <c r="AB14" s="1337"/>
      <c r="AC14" s="1337"/>
      <c r="AD14" s="1337"/>
      <c r="AE14" s="1337"/>
      <c r="AF14" s="1337"/>
      <c r="AG14" s="1337"/>
      <c r="AH14" s="1337"/>
      <c r="AI14" s="1337"/>
      <c r="AJ14" s="1337"/>
      <c r="AK14" s="1337"/>
      <c r="AL14" s="1337"/>
      <c r="AM14" s="1337"/>
      <c r="AN14" s="1337"/>
      <c r="AO14" s="1337"/>
      <c r="AP14" s="1337"/>
      <c r="AQ14" s="1337"/>
      <c r="AR14" s="1337"/>
      <c r="AS14" s="1337"/>
      <c r="AT14" s="1337"/>
      <c r="AU14" s="1337"/>
      <c r="AV14" s="1337"/>
      <c r="AW14" s="1337"/>
      <c r="AX14" s="1337"/>
      <c r="AY14" s="1337"/>
      <c r="AZ14" s="1337"/>
      <c r="BA14" s="1337"/>
      <c r="BB14" s="1337"/>
      <c r="BC14" s="1337"/>
      <c r="BD14" s="1337"/>
      <c r="BE14" s="1337"/>
      <c r="BF14" s="1337"/>
      <c r="BG14" s="1337"/>
      <c r="BH14" s="1337"/>
      <c r="BI14" s="1337"/>
      <c r="BJ14" s="1337"/>
      <c r="BK14" s="1337"/>
      <c r="BL14" s="1337"/>
      <c r="BM14" s="1337"/>
      <c r="BN14" s="1337"/>
      <c r="BO14" s="1337"/>
      <c r="BP14" s="1337"/>
      <c r="BQ14" s="1337"/>
      <c r="BR14" s="1337"/>
      <c r="BS14" s="1337"/>
      <c r="BT14" s="1337"/>
      <c r="BU14" s="1337"/>
      <c r="BV14" s="1337"/>
      <c r="BW14" s="1337"/>
      <c r="BX14" s="1337"/>
      <c r="BY14" s="1337"/>
      <c r="BZ14" s="1337"/>
      <c r="CA14" s="1337"/>
      <c r="CB14" s="1337"/>
      <c r="CC14" s="1337"/>
      <c r="CD14" s="1337"/>
      <c r="CE14" s="1337"/>
      <c r="CF14" s="1337"/>
      <c r="CG14" s="1337"/>
      <c r="CH14" s="1337"/>
      <c r="CI14" s="1337"/>
      <c r="CJ14" s="1337"/>
      <c r="CK14" s="1337"/>
      <c r="CL14" s="1337"/>
      <c r="CM14" s="1337"/>
      <c r="CN14" s="1337"/>
      <c r="CO14" s="1337"/>
      <c r="CP14" s="1337"/>
      <c r="CQ14" s="1337"/>
      <c r="CR14" s="1337"/>
      <c r="CS14" s="1337"/>
      <c r="CT14" s="1337"/>
      <c r="CU14" s="1337"/>
      <c r="CV14" s="1337"/>
      <c r="CW14" s="1337"/>
      <c r="CX14" s="1337"/>
      <c r="CY14" s="1337"/>
      <c r="CZ14" s="1337"/>
      <c r="DA14" s="1337"/>
      <c r="DB14" s="1337"/>
      <c r="DC14" s="1337"/>
      <c r="DD14" s="1337"/>
      <c r="DE14" s="1337"/>
      <c r="DF14" s="1337"/>
      <c r="DG14" s="1337"/>
      <c r="DH14" s="1337"/>
      <c r="DI14" s="1337"/>
      <c r="DJ14" s="1337"/>
      <c r="DK14" s="1337"/>
      <c r="DL14" s="1337"/>
      <c r="DM14" s="1337"/>
      <c r="DN14" s="1337"/>
      <c r="DO14" s="1337"/>
      <c r="DP14" s="1337"/>
      <c r="DQ14" s="1337"/>
      <c r="DR14" s="1337"/>
      <c r="DS14" s="1337"/>
      <c r="DT14" s="1337"/>
      <c r="DU14" s="1337"/>
      <c r="DV14" s="1337"/>
      <c r="DW14" s="1337"/>
      <c r="DX14" s="1337"/>
      <c r="DY14" s="1337"/>
      <c r="DZ14" s="1337"/>
      <c r="EA14" s="1337"/>
      <c r="EB14" s="1337"/>
      <c r="EC14" s="1337"/>
      <c r="ED14" s="1337"/>
      <c r="EE14" s="1337"/>
      <c r="EF14" s="1337"/>
      <c r="EG14" s="1337"/>
      <c r="EH14" s="1337"/>
      <c r="EI14" s="1337"/>
      <c r="EJ14" s="1337"/>
      <c r="EK14" s="1337"/>
      <c r="EL14" s="1337"/>
      <c r="EM14" s="1337"/>
      <c r="EN14" s="1337"/>
      <c r="EO14" s="1337"/>
      <c r="EP14" s="1337"/>
      <c r="EQ14" s="1337"/>
      <c r="ER14" s="1337"/>
      <c r="ES14" s="1337"/>
      <c r="ET14" s="1337"/>
      <c r="EU14" s="1337"/>
      <c r="EV14" s="1337"/>
      <c r="EW14" s="1337"/>
      <c r="EX14" s="1337"/>
      <c r="EY14" s="1337"/>
      <c r="EZ14" s="1337"/>
      <c r="FA14" s="1337"/>
      <c r="FB14" s="1337"/>
      <c r="FC14" s="1337"/>
      <c r="FD14" s="1337"/>
      <c r="FE14" s="1337"/>
      <c r="FF14" s="1337"/>
      <c r="FG14" s="1337"/>
      <c r="FH14" s="1337"/>
      <c r="FI14" s="1337"/>
      <c r="FJ14" s="1337"/>
      <c r="FK14" s="1337"/>
      <c r="FL14" s="1337"/>
      <c r="FM14" s="1337"/>
      <c r="FN14" s="1337"/>
      <c r="FO14" s="1337"/>
      <c r="FP14" s="1337"/>
      <c r="FQ14" s="1337"/>
      <c r="FR14" s="1337"/>
      <c r="FS14" s="1337"/>
      <c r="FT14" s="1337"/>
      <c r="FU14" s="1337"/>
      <c r="FV14" s="1337"/>
      <c r="FW14" s="1337"/>
      <c r="FX14" s="1337"/>
      <c r="FY14" s="1337"/>
      <c r="FZ14" s="1337"/>
      <c r="GA14" s="1337"/>
      <c r="GB14" s="1337"/>
      <c r="GC14" s="1337"/>
      <c r="GD14" s="1337"/>
      <c r="GE14" s="1337"/>
      <c r="GF14" s="1337"/>
      <c r="GG14" s="1337"/>
      <c r="GH14" s="1337"/>
      <c r="GI14" s="1337"/>
      <c r="GJ14" s="1337"/>
      <c r="GK14" s="1337"/>
      <c r="GL14" s="1337"/>
      <c r="GM14" s="1337"/>
      <c r="GN14" s="1337"/>
      <c r="GO14" s="1337"/>
      <c r="GP14" s="1337"/>
      <c r="GQ14" s="1337"/>
      <c r="GR14" s="1337"/>
      <c r="GS14" s="1337"/>
      <c r="GT14" s="1337"/>
      <c r="GU14" s="1337"/>
      <c r="GV14" s="1337"/>
      <c r="GW14" s="1337"/>
      <c r="GX14" s="1337"/>
      <c r="GY14" s="1337"/>
      <c r="GZ14" s="1337"/>
      <c r="HA14" s="1337"/>
      <c r="HB14" s="1337"/>
      <c r="HC14" s="1337"/>
      <c r="HD14" s="1337"/>
      <c r="HE14" s="1337"/>
      <c r="HF14" s="1337"/>
      <c r="HG14" s="1337"/>
      <c r="HH14" s="1337"/>
      <c r="HI14" s="1337"/>
      <c r="HJ14" s="1337"/>
      <c r="HK14" s="1337"/>
      <c r="HL14" s="1337"/>
      <c r="HM14" s="1337"/>
      <c r="HN14" s="1337"/>
      <c r="HO14" s="1337"/>
      <c r="HP14" s="1337"/>
      <c r="HQ14" s="1337"/>
      <c r="HR14" s="1337"/>
      <c r="HS14" s="1337"/>
      <c r="HT14" s="1337"/>
      <c r="HU14" s="1337"/>
      <c r="HV14" s="1337"/>
      <c r="HW14" s="1337"/>
      <c r="HX14" s="1337"/>
      <c r="HY14" s="1337"/>
      <c r="HZ14" s="1337"/>
      <c r="IA14" s="1337"/>
      <c r="IB14" s="1337"/>
      <c r="IC14" s="1337"/>
      <c r="ID14" s="1337"/>
      <c r="IE14" s="1337"/>
      <c r="IF14" s="1337"/>
      <c r="IG14" s="1337"/>
      <c r="IH14" s="1337"/>
      <c r="II14" s="1337"/>
      <c r="IJ14" s="1337"/>
      <c r="IK14" s="1337"/>
      <c r="IL14" s="1337"/>
      <c r="IM14" s="1337"/>
      <c r="IN14" s="1337"/>
      <c r="IO14" s="1337"/>
      <c r="IP14" s="1337"/>
      <c r="IQ14" s="1337"/>
      <c r="IR14" s="1337"/>
      <c r="IS14" s="1337"/>
      <c r="IT14" s="1337"/>
      <c r="IU14" s="1337"/>
      <c r="IV14" s="1337"/>
    </row>
    <row r="15" spans="1:256" ht="12.75" customHeight="1">
      <c r="A15" s="1360" t="s">
        <v>1105</v>
      </c>
      <c r="B15" s="1361">
        <v>6104</v>
      </c>
      <c r="C15" s="1361">
        <v>6300</v>
      </c>
      <c r="D15" s="1362">
        <v>6231</v>
      </c>
      <c r="E15" s="1362">
        <v>6338</v>
      </c>
      <c r="F15" s="1362">
        <v>5338</v>
      </c>
      <c r="G15" s="1362">
        <v>5863</v>
      </c>
      <c r="H15" s="1362">
        <v>4669.3</v>
      </c>
      <c r="I15" s="1362">
        <v>5511.2</v>
      </c>
      <c r="J15" s="1362">
        <v>5591.5</v>
      </c>
      <c r="K15" s="1362">
        <v>5670.4</v>
      </c>
      <c r="L15" s="1363">
        <v>5592.2</v>
      </c>
      <c r="M15" s="1363">
        <v>5527</v>
      </c>
      <c r="N15" s="1362">
        <v>5628.8</v>
      </c>
      <c r="O15" s="1337"/>
      <c r="P15" s="1337"/>
      <c r="Q15" s="1337"/>
      <c r="R15" s="1337"/>
      <c r="S15" s="1337"/>
      <c r="T15" s="1337"/>
      <c r="U15" s="1337"/>
      <c r="V15" s="1337"/>
      <c r="W15" s="1337"/>
      <c r="X15" s="1337"/>
      <c r="Y15" s="1337"/>
      <c r="Z15" s="1337"/>
      <c r="AA15" s="1337"/>
      <c r="AB15" s="1337"/>
      <c r="AC15" s="1337"/>
      <c r="AD15" s="1337"/>
      <c r="AE15" s="1337"/>
      <c r="AF15" s="1337"/>
      <c r="AG15" s="1337"/>
      <c r="AH15" s="1337"/>
      <c r="AI15" s="1337"/>
      <c r="AJ15" s="1337"/>
      <c r="AK15" s="1337"/>
      <c r="AL15" s="1337"/>
      <c r="AM15" s="1337"/>
      <c r="AN15" s="1337"/>
      <c r="AO15" s="1337"/>
      <c r="AP15" s="1337"/>
      <c r="AQ15" s="1337"/>
      <c r="AR15" s="1337"/>
      <c r="AS15" s="1337"/>
      <c r="AT15" s="1337"/>
      <c r="AU15" s="1337"/>
      <c r="AV15" s="1337"/>
      <c r="AW15" s="1337"/>
      <c r="AX15" s="1337"/>
      <c r="AY15" s="1337"/>
      <c r="AZ15" s="1337"/>
      <c r="BA15" s="1337"/>
      <c r="BB15" s="1337"/>
      <c r="BC15" s="1337"/>
      <c r="BD15" s="1337"/>
      <c r="BE15" s="1337"/>
      <c r="BF15" s="1337"/>
      <c r="BG15" s="1337"/>
      <c r="BH15" s="1337"/>
      <c r="BI15" s="1337"/>
      <c r="BJ15" s="1337"/>
      <c r="BK15" s="1337"/>
      <c r="BL15" s="1337"/>
      <c r="BM15" s="1337"/>
      <c r="BN15" s="1337"/>
      <c r="BO15" s="1337"/>
      <c r="BP15" s="1337"/>
      <c r="BQ15" s="1337"/>
      <c r="BR15" s="1337"/>
      <c r="BS15" s="1337"/>
      <c r="BT15" s="1337"/>
      <c r="BU15" s="1337"/>
      <c r="BV15" s="1337"/>
      <c r="BW15" s="1337"/>
      <c r="BX15" s="1337"/>
      <c r="BY15" s="1337"/>
      <c r="BZ15" s="1337"/>
      <c r="CA15" s="1337"/>
      <c r="CB15" s="1337"/>
      <c r="CC15" s="1337"/>
      <c r="CD15" s="1337"/>
      <c r="CE15" s="1337"/>
      <c r="CF15" s="1337"/>
      <c r="CG15" s="1337"/>
      <c r="CH15" s="1337"/>
      <c r="CI15" s="1337"/>
      <c r="CJ15" s="1337"/>
      <c r="CK15" s="1337"/>
      <c r="CL15" s="1337"/>
      <c r="CM15" s="1337"/>
      <c r="CN15" s="1337"/>
      <c r="CO15" s="1337"/>
      <c r="CP15" s="1337"/>
      <c r="CQ15" s="1337"/>
      <c r="CR15" s="1337"/>
      <c r="CS15" s="1337"/>
      <c r="CT15" s="1337"/>
      <c r="CU15" s="1337"/>
      <c r="CV15" s="1337"/>
      <c r="CW15" s="1337"/>
      <c r="CX15" s="1337"/>
      <c r="CY15" s="1337"/>
      <c r="CZ15" s="1337"/>
      <c r="DA15" s="1337"/>
      <c r="DB15" s="1337"/>
      <c r="DC15" s="1337"/>
      <c r="DD15" s="1337"/>
      <c r="DE15" s="1337"/>
      <c r="DF15" s="1337"/>
      <c r="DG15" s="1337"/>
      <c r="DH15" s="1337"/>
      <c r="DI15" s="1337"/>
      <c r="DJ15" s="1337"/>
      <c r="DK15" s="1337"/>
      <c r="DL15" s="1337"/>
      <c r="DM15" s="1337"/>
      <c r="DN15" s="1337"/>
      <c r="DO15" s="1337"/>
      <c r="DP15" s="1337"/>
      <c r="DQ15" s="1337"/>
      <c r="DR15" s="1337"/>
      <c r="DS15" s="1337"/>
      <c r="DT15" s="1337"/>
      <c r="DU15" s="1337"/>
      <c r="DV15" s="1337"/>
      <c r="DW15" s="1337"/>
      <c r="DX15" s="1337"/>
      <c r="DY15" s="1337"/>
      <c r="DZ15" s="1337"/>
      <c r="EA15" s="1337"/>
      <c r="EB15" s="1337"/>
      <c r="EC15" s="1337"/>
      <c r="ED15" s="1337"/>
      <c r="EE15" s="1337"/>
      <c r="EF15" s="1337"/>
      <c r="EG15" s="1337"/>
      <c r="EH15" s="1337"/>
      <c r="EI15" s="1337"/>
      <c r="EJ15" s="1337"/>
      <c r="EK15" s="1337"/>
      <c r="EL15" s="1337"/>
      <c r="EM15" s="1337"/>
      <c r="EN15" s="1337"/>
      <c r="EO15" s="1337"/>
      <c r="EP15" s="1337"/>
      <c r="EQ15" s="1337"/>
      <c r="ER15" s="1337"/>
      <c r="ES15" s="1337"/>
      <c r="ET15" s="1337"/>
      <c r="EU15" s="1337"/>
      <c r="EV15" s="1337"/>
      <c r="EW15" s="1337"/>
      <c r="EX15" s="1337"/>
      <c r="EY15" s="1337"/>
      <c r="EZ15" s="1337"/>
      <c r="FA15" s="1337"/>
      <c r="FB15" s="1337"/>
      <c r="FC15" s="1337"/>
      <c r="FD15" s="1337"/>
      <c r="FE15" s="1337"/>
      <c r="FF15" s="1337"/>
      <c r="FG15" s="1337"/>
      <c r="FH15" s="1337"/>
      <c r="FI15" s="1337"/>
      <c r="FJ15" s="1337"/>
      <c r="FK15" s="1337"/>
      <c r="FL15" s="1337"/>
      <c r="FM15" s="1337"/>
      <c r="FN15" s="1337"/>
      <c r="FO15" s="1337"/>
      <c r="FP15" s="1337"/>
      <c r="FQ15" s="1337"/>
      <c r="FR15" s="1337"/>
      <c r="FS15" s="1337"/>
      <c r="FT15" s="1337"/>
      <c r="FU15" s="1337"/>
      <c r="FV15" s="1337"/>
      <c r="FW15" s="1337"/>
      <c r="FX15" s="1337"/>
      <c r="FY15" s="1337"/>
      <c r="FZ15" s="1337"/>
      <c r="GA15" s="1337"/>
      <c r="GB15" s="1337"/>
      <c r="GC15" s="1337"/>
      <c r="GD15" s="1337"/>
      <c r="GE15" s="1337"/>
      <c r="GF15" s="1337"/>
      <c r="GG15" s="1337"/>
      <c r="GH15" s="1337"/>
      <c r="GI15" s="1337"/>
      <c r="GJ15" s="1337"/>
      <c r="GK15" s="1337"/>
      <c r="GL15" s="1337"/>
      <c r="GM15" s="1337"/>
      <c r="GN15" s="1337"/>
      <c r="GO15" s="1337"/>
      <c r="GP15" s="1337"/>
      <c r="GQ15" s="1337"/>
      <c r="GR15" s="1337"/>
      <c r="GS15" s="1337"/>
      <c r="GT15" s="1337"/>
      <c r="GU15" s="1337"/>
      <c r="GV15" s="1337"/>
      <c r="GW15" s="1337"/>
      <c r="GX15" s="1337"/>
      <c r="GY15" s="1337"/>
      <c r="GZ15" s="1337"/>
      <c r="HA15" s="1337"/>
      <c r="HB15" s="1337"/>
      <c r="HC15" s="1337"/>
      <c r="HD15" s="1337"/>
      <c r="HE15" s="1337"/>
      <c r="HF15" s="1337"/>
      <c r="HG15" s="1337"/>
      <c r="HH15" s="1337"/>
      <c r="HI15" s="1337"/>
      <c r="HJ15" s="1337"/>
      <c r="HK15" s="1337"/>
      <c r="HL15" s="1337"/>
      <c r="HM15" s="1337"/>
      <c r="HN15" s="1337"/>
      <c r="HO15" s="1337"/>
      <c r="HP15" s="1337"/>
      <c r="HQ15" s="1337"/>
      <c r="HR15" s="1337"/>
      <c r="HS15" s="1337"/>
      <c r="HT15" s="1337"/>
      <c r="HU15" s="1337"/>
      <c r="HV15" s="1337"/>
      <c r="HW15" s="1337"/>
      <c r="HX15" s="1337"/>
      <c r="HY15" s="1337"/>
      <c r="HZ15" s="1337"/>
      <c r="IA15" s="1337"/>
      <c r="IB15" s="1337"/>
      <c r="IC15" s="1337"/>
      <c r="ID15" s="1337"/>
      <c r="IE15" s="1337"/>
      <c r="IF15" s="1337"/>
      <c r="IG15" s="1337"/>
      <c r="IH15" s="1337"/>
      <c r="II15" s="1337"/>
      <c r="IJ15" s="1337"/>
      <c r="IK15" s="1337"/>
      <c r="IL15" s="1337"/>
      <c r="IM15" s="1337"/>
      <c r="IN15" s="1337"/>
      <c r="IO15" s="1337"/>
      <c r="IP15" s="1337"/>
      <c r="IQ15" s="1337"/>
      <c r="IR15" s="1337"/>
      <c r="IS15" s="1337"/>
      <c r="IT15" s="1337"/>
      <c r="IU15" s="1337"/>
      <c r="IV15" s="1337"/>
    </row>
    <row r="16" spans="1:256" ht="12" customHeight="1">
      <c r="A16" s="1338" t="s">
        <v>1106</v>
      </c>
      <c r="B16" s="1357">
        <v>359.3</v>
      </c>
      <c r="C16" s="1357">
        <v>371.8</v>
      </c>
      <c r="D16" s="1358">
        <v>387.3</v>
      </c>
      <c r="E16" s="1358">
        <v>400.4</v>
      </c>
      <c r="F16" s="1358">
        <v>377.8</v>
      </c>
      <c r="G16" s="1358">
        <v>412.3</v>
      </c>
      <c r="H16" s="1358">
        <v>315.7</v>
      </c>
      <c r="I16" s="1358">
        <v>381.4</v>
      </c>
      <c r="J16" s="1358">
        <v>417.2</v>
      </c>
      <c r="K16" s="1358">
        <v>427.2</v>
      </c>
      <c r="L16" s="1364">
        <v>404.4</v>
      </c>
      <c r="M16" s="1364">
        <v>407</v>
      </c>
      <c r="N16" s="1358">
        <v>387.1</v>
      </c>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c r="AK16" s="1337"/>
      <c r="AL16" s="1337"/>
      <c r="AM16" s="1337"/>
      <c r="AN16" s="1337"/>
      <c r="AO16" s="1337"/>
      <c r="AP16" s="1337"/>
      <c r="AQ16" s="1337"/>
      <c r="AR16" s="1337"/>
      <c r="AS16" s="1337"/>
      <c r="AT16" s="1337"/>
      <c r="AU16" s="1337"/>
      <c r="AV16" s="1337"/>
      <c r="AW16" s="1337"/>
      <c r="AX16" s="1337"/>
      <c r="AY16" s="1337"/>
      <c r="AZ16" s="1337"/>
      <c r="BA16" s="1337"/>
      <c r="BB16" s="1337"/>
      <c r="BC16" s="1337"/>
      <c r="BD16" s="1337"/>
      <c r="BE16" s="1337"/>
      <c r="BF16" s="1337"/>
      <c r="BG16" s="1337"/>
      <c r="BH16" s="1337"/>
      <c r="BI16" s="1337"/>
      <c r="BJ16" s="1337"/>
      <c r="BK16" s="1337"/>
      <c r="BL16" s="1337"/>
      <c r="BM16" s="1337"/>
      <c r="BN16" s="1337"/>
      <c r="BO16" s="1337"/>
      <c r="BP16" s="1337"/>
      <c r="BQ16" s="1337"/>
      <c r="BR16" s="1337"/>
      <c r="BS16" s="1337"/>
      <c r="BT16" s="1337"/>
      <c r="BU16" s="1337"/>
      <c r="BV16" s="1337"/>
      <c r="BW16" s="1337"/>
      <c r="BX16" s="1337"/>
      <c r="BY16" s="1337"/>
      <c r="BZ16" s="1337"/>
      <c r="CA16" s="1337"/>
      <c r="CB16" s="1337"/>
      <c r="CC16" s="1337"/>
      <c r="CD16" s="1337"/>
      <c r="CE16" s="1337"/>
      <c r="CF16" s="1337"/>
      <c r="CG16" s="1337"/>
      <c r="CH16" s="1337"/>
      <c r="CI16" s="1337"/>
      <c r="CJ16" s="1337"/>
      <c r="CK16" s="1337"/>
      <c r="CL16" s="1337"/>
      <c r="CM16" s="1337"/>
      <c r="CN16" s="1337"/>
      <c r="CO16" s="1337"/>
      <c r="CP16" s="1337"/>
      <c r="CQ16" s="1337"/>
      <c r="CR16" s="1337"/>
      <c r="CS16" s="1337"/>
      <c r="CT16" s="1337"/>
      <c r="CU16" s="1337"/>
      <c r="CV16" s="1337"/>
      <c r="CW16" s="1337"/>
      <c r="CX16" s="1337"/>
      <c r="CY16" s="1337"/>
      <c r="CZ16" s="1337"/>
      <c r="DA16" s="1337"/>
      <c r="DB16" s="1337"/>
      <c r="DC16" s="1337"/>
      <c r="DD16" s="1337"/>
      <c r="DE16" s="1337"/>
      <c r="DF16" s="1337"/>
      <c r="DG16" s="1337"/>
      <c r="DH16" s="1337"/>
      <c r="DI16" s="1337"/>
      <c r="DJ16" s="1337"/>
      <c r="DK16" s="1337"/>
      <c r="DL16" s="1337"/>
      <c r="DM16" s="1337"/>
      <c r="DN16" s="1337"/>
      <c r="DO16" s="1337"/>
      <c r="DP16" s="1337"/>
      <c r="DQ16" s="1337"/>
      <c r="DR16" s="1337"/>
      <c r="DS16" s="1337"/>
      <c r="DT16" s="1337"/>
      <c r="DU16" s="1337"/>
      <c r="DV16" s="1337"/>
      <c r="DW16" s="1337"/>
      <c r="DX16" s="1337"/>
      <c r="DY16" s="1337"/>
      <c r="DZ16" s="1337"/>
      <c r="EA16" s="1337"/>
      <c r="EB16" s="1337"/>
      <c r="EC16" s="1337"/>
      <c r="ED16" s="1337"/>
      <c r="EE16" s="1337"/>
      <c r="EF16" s="1337"/>
      <c r="EG16" s="1337"/>
      <c r="EH16" s="1337"/>
      <c r="EI16" s="1337"/>
      <c r="EJ16" s="1337"/>
      <c r="EK16" s="1337"/>
      <c r="EL16" s="1337"/>
      <c r="EM16" s="1337"/>
      <c r="EN16" s="1337"/>
      <c r="EO16" s="1337"/>
      <c r="EP16" s="1337"/>
      <c r="EQ16" s="1337"/>
      <c r="ER16" s="1337"/>
      <c r="ES16" s="1337"/>
      <c r="ET16" s="1337"/>
      <c r="EU16" s="1337"/>
      <c r="EV16" s="1337"/>
      <c r="EW16" s="1337"/>
      <c r="EX16" s="1337"/>
      <c r="EY16" s="1337"/>
      <c r="EZ16" s="1337"/>
      <c r="FA16" s="1337"/>
      <c r="FB16" s="1337"/>
      <c r="FC16" s="1337"/>
      <c r="FD16" s="1337"/>
      <c r="FE16" s="1337"/>
      <c r="FF16" s="1337"/>
      <c r="FG16" s="1337"/>
      <c r="FH16" s="1337"/>
      <c r="FI16" s="1337"/>
      <c r="FJ16" s="1337"/>
      <c r="FK16" s="1337"/>
      <c r="FL16" s="1337"/>
      <c r="FM16" s="1337"/>
      <c r="FN16" s="1337"/>
      <c r="FO16" s="1337"/>
      <c r="FP16" s="1337"/>
      <c r="FQ16" s="1337"/>
      <c r="FR16" s="1337"/>
      <c r="FS16" s="1337"/>
      <c r="FT16" s="1337"/>
      <c r="FU16" s="1337"/>
      <c r="FV16" s="1337"/>
      <c r="FW16" s="1337"/>
      <c r="FX16" s="1337"/>
      <c r="FY16" s="1337"/>
      <c r="FZ16" s="1337"/>
      <c r="GA16" s="1337"/>
      <c r="GB16" s="1337"/>
      <c r="GC16" s="1337"/>
      <c r="GD16" s="1337"/>
      <c r="GE16" s="1337"/>
      <c r="GF16" s="1337"/>
      <c r="GG16" s="1337"/>
      <c r="GH16" s="1337"/>
      <c r="GI16" s="1337"/>
      <c r="GJ16" s="1337"/>
      <c r="GK16" s="1337"/>
      <c r="GL16" s="1337"/>
      <c r="GM16" s="1337"/>
      <c r="GN16" s="1337"/>
      <c r="GO16" s="1337"/>
      <c r="GP16" s="1337"/>
      <c r="GQ16" s="1337"/>
      <c r="GR16" s="1337"/>
      <c r="GS16" s="1337"/>
      <c r="GT16" s="1337"/>
      <c r="GU16" s="1337"/>
      <c r="GV16" s="1337"/>
      <c r="GW16" s="1337"/>
      <c r="GX16" s="1337"/>
      <c r="GY16" s="1337"/>
      <c r="GZ16" s="1337"/>
      <c r="HA16" s="1337"/>
      <c r="HB16" s="1337"/>
      <c r="HC16" s="1337"/>
      <c r="HD16" s="1337"/>
      <c r="HE16" s="1337"/>
      <c r="HF16" s="1337"/>
      <c r="HG16" s="1337"/>
      <c r="HH16" s="1337"/>
      <c r="HI16" s="1337"/>
      <c r="HJ16" s="1337"/>
      <c r="HK16" s="1337"/>
      <c r="HL16" s="1337"/>
      <c r="HM16" s="1337"/>
      <c r="HN16" s="1337"/>
      <c r="HO16" s="1337"/>
      <c r="HP16" s="1337"/>
      <c r="HQ16" s="1337"/>
      <c r="HR16" s="1337"/>
      <c r="HS16" s="1337"/>
      <c r="HT16" s="1337"/>
      <c r="HU16" s="1337"/>
      <c r="HV16" s="1337"/>
      <c r="HW16" s="1337"/>
      <c r="HX16" s="1337"/>
      <c r="HY16" s="1337"/>
      <c r="HZ16" s="1337"/>
      <c r="IA16" s="1337"/>
      <c r="IB16" s="1337"/>
      <c r="IC16" s="1337"/>
      <c r="ID16" s="1337"/>
      <c r="IE16" s="1337"/>
      <c r="IF16" s="1337"/>
      <c r="IG16" s="1337"/>
      <c r="IH16" s="1337"/>
      <c r="II16" s="1337"/>
      <c r="IJ16" s="1337"/>
      <c r="IK16" s="1337"/>
      <c r="IL16" s="1337"/>
      <c r="IM16" s="1337"/>
      <c r="IN16" s="1337"/>
      <c r="IO16" s="1337"/>
      <c r="IP16" s="1337"/>
      <c r="IQ16" s="1337"/>
      <c r="IR16" s="1337"/>
      <c r="IS16" s="1337"/>
      <c r="IT16" s="1337"/>
      <c r="IU16" s="1337"/>
      <c r="IV16" s="1337"/>
    </row>
    <row r="17" spans="1:256" ht="11.25" customHeight="1" thickBot="1">
      <c r="A17" s="1365" t="s">
        <v>1107</v>
      </c>
      <c r="B17" s="1366">
        <v>4179</v>
      </c>
      <c r="C17" s="1366">
        <v>4324</v>
      </c>
      <c r="D17" s="1367">
        <v>4504</v>
      </c>
      <c r="E17" s="1367">
        <v>4656</v>
      </c>
      <c r="F17" s="1367">
        <v>4395</v>
      </c>
      <c r="G17" s="1367">
        <v>4794.8999999999996</v>
      </c>
      <c r="H17" s="1367">
        <v>3671.4</v>
      </c>
      <c r="I17" s="1367">
        <v>4435.1000000000004</v>
      </c>
      <c r="J17" s="1367">
        <v>4852.3</v>
      </c>
      <c r="K17" s="1367">
        <v>4968.7</v>
      </c>
      <c r="L17" s="1368">
        <v>4703.2</v>
      </c>
      <c r="M17" s="1368">
        <v>4732.8999999999996</v>
      </c>
      <c r="N17" s="1367">
        <v>4502.1000000000004</v>
      </c>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c r="AK17" s="1337"/>
      <c r="AL17" s="1337"/>
      <c r="AM17" s="1337"/>
      <c r="AN17" s="1337"/>
      <c r="AO17" s="1337"/>
      <c r="AP17" s="1337"/>
      <c r="AQ17" s="1337"/>
      <c r="AR17" s="1337"/>
      <c r="AS17" s="1337"/>
      <c r="AT17" s="1337"/>
      <c r="AU17" s="1337"/>
      <c r="AV17" s="1337"/>
      <c r="AW17" s="1337"/>
      <c r="AX17" s="1337"/>
      <c r="AY17" s="1337"/>
      <c r="AZ17" s="1337"/>
      <c r="BA17" s="1337"/>
      <c r="BB17" s="1337"/>
      <c r="BC17" s="1337"/>
      <c r="BD17" s="1337"/>
      <c r="BE17" s="1337"/>
      <c r="BF17" s="1337"/>
      <c r="BG17" s="1337"/>
      <c r="BH17" s="1337"/>
      <c r="BI17" s="1337"/>
      <c r="BJ17" s="1337"/>
      <c r="BK17" s="1337"/>
      <c r="BL17" s="1337"/>
      <c r="BM17" s="1337"/>
      <c r="BN17" s="1337"/>
      <c r="BO17" s="1337"/>
      <c r="BP17" s="1337"/>
      <c r="BQ17" s="1337"/>
      <c r="BR17" s="1337"/>
      <c r="BS17" s="1337"/>
      <c r="BT17" s="1337"/>
      <c r="BU17" s="1337"/>
      <c r="BV17" s="1337"/>
      <c r="BW17" s="1337"/>
      <c r="BX17" s="1337"/>
      <c r="BY17" s="1337"/>
      <c r="BZ17" s="1337"/>
      <c r="CA17" s="1337"/>
      <c r="CB17" s="1337"/>
      <c r="CC17" s="1337"/>
      <c r="CD17" s="1337"/>
      <c r="CE17" s="1337"/>
      <c r="CF17" s="1337"/>
      <c r="CG17" s="1337"/>
      <c r="CH17" s="1337"/>
      <c r="CI17" s="1337"/>
      <c r="CJ17" s="1337"/>
      <c r="CK17" s="1337"/>
      <c r="CL17" s="1337"/>
      <c r="CM17" s="1337"/>
      <c r="CN17" s="1337"/>
      <c r="CO17" s="1337"/>
      <c r="CP17" s="1337"/>
      <c r="CQ17" s="1337"/>
      <c r="CR17" s="1337"/>
      <c r="CS17" s="1337"/>
      <c r="CT17" s="1337"/>
      <c r="CU17" s="1337"/>
      <c r="CV17" s="1337"/>
      <c r="CW17" s="1337"/>
      <c r="CX17" s="1337"/>
      <c r="CY17" s="1337"/>
      <c r="CZ17" s="1337"/>
      <c r="DA17" s="1337"/>
      <c r="DB17" s="1337"/>
      <c r="DC17" s="1337"/>
      <c r="DD17" s="1337"/>
      <c r="DE17" s="1337"/>
      <c r="DF17" s="1337"/>
      <c r="DG17" s="1337"/>
      <c r="DH17" s="1337"/>
      <c r="DI17" s="1337"/>
      <c r="DJ17" s="1337"/>
      <c r="DK17" s="1337"/>
      <c r="DL17" s="1337"/>
      <c r="DM17" s="1337"/>
      <c r="DN17" s="1337"/>
      <c r="DO17" s="1337"/>
      <c r="DP17" s="1337"/>
      <c r="DQ17" s="1337"/>
      <c r="DR17" s="1337"/>
      <c r="DS17" s="1337"/>
      <c r="DT17" s="1337"/>
      <c r="DU17" s="1337"/>
      <c r="DV17" s="1337"/>
      <c r="DW17" s="1337"/>
      <c r="DX17" s="1337"/>
      <c r="DY17" s="1337"/>
      <c r="DZ17" s="1337"/>
      <c r="EA17" s="1337"/>
      <c r="EB17" s="1337"/>
      <c r="EC17" s="1337"/>
      <c r="ED17" s="1337"/>
      <c r="EE17" s="1337"/>
      <c r="EF17" s="1337"/>
      <c r="EG17" s="1337"/>
      <c r="EH17" s="1337"/>
      <c r="EI17" s="1337"/>
      <c r="EJ17" s="1337"/>
      <c r="EK17" s="1337"/>
      <c r="EL17" s="1337"/>
      <c r="EM17" s="1337"/>
      <c r="EN17" s="1337"/>
      <c r="EO17" s="1337"/>
      <c r="EP17" s="1337"/>
      <c r="EQ17" s="1337"/>
      <c r="ER17" s="1337"/>
      <c r="ES17" s="1337"/>
      <c r="ET17" s="1337"/>
      <c r="EU17" s="1337"/>
      <c r="EV17" s="1337"/>
      <c r="EW17" s="1337"/>
      <c r="EX17" s="1337"/>
      <c r="EY17" s="1337"/>
      <c r="EZ17" s="1337"/>
      <c r="FA17" s="1337"/>
      <c r="FB17" s="1337"/>
      <c r="FC17" s="1337"/>
      <c r="FD17" s="1337"/>
      <c r="FE17" s="1337"/>
      <c r="FF17" s="1337"/>
      <c r="FG17" s="1337"/>
      <c r="FH17" s="1337"/>
      <c r="FI17" s="1337"/>
      <c r="FJ17" s="1337"/>
      <c r="FK17" s="1337"/>
      <c r="FL17" s="1337"/>
      <c r="FM17" s="1337"/>
      <c r="FN17" s="1337"/>
      <c r="FO17" s="1337"/>
      <c r="FP17" s="1337"/>
      <c r="FQ17" s="1337"/>
      <c r="FR17" s="1337"/>
      <c r="FS17" s="1337"/>
      <c r="FT17" s="1337"/>
      <c r="FU17" s="1337"/>
      <c r="FV17" s="1337"/>
      <c r="FW17" s="1337"/>
      <c r="FX17" s="1337"/>
      <c r="FY17" s="1337"/>
      <c r="FZ17" s="1337"/>
      <c r="GA17" s="1337"/>
      <c r="GB17" s="1337"/>
      <c r="GC17" s="1337"/>
      <c r="GD17" s="1337"/>
      <c r="GE17" s="1337"/>
      <c r="GF17" s="1337"/>
      <c r="GG17" s="1337"/>
      <c r="GH17" s="1337"/>
      <c r="GI17" s="1337"/>
      <c r="GJ17" s="1337"/>
      <c r="GK17" s="1337"/>
      <c r="GL17" s="1337"/>
      <c r="GM17" s="1337"/>
      <c r="GN17" s="1337"/>
      <c r="GO17" s="1337"/>
      <c r="GP17" s="1337"/>
      <c r="GQ17" s="1337"/>
      <c r="GR17" s="1337"/>
      <c r="GS17" s="1337"/>
      <c r="GT17" s="1337"/>
      <c r="GU17" s="1337"/>
      <c r="GV17" s="1337"/>
      <c r="GW17" s="1337"/>
      <c r="GX17" s="1337"/>
      <c r="GY17" s="1337"/>
      <c r="GZ17" s="1337"/>
      <c r="HA17" s="1337"/>
      <c r="HB17" s="1337"/>
      <c r="HC17" s="1337"/>
      <c r="HD17" s="1337"/>
      <c r="HE17" s="1337"/>
      <c r="HF17" s="1337"/>
      <c r="HG17" s="1337"/>
      <c r="HH17" s="1337"/>
      <c r="HI17" s="1337"/>
      <c r="HJ17" s="1337"/>
      <c r="HK17" s="1337"/>
      <c r="HL17" s="1337"/>
      <c r="HM17" s="1337"/>
      <c r="HN17" s="1337"/>
      <c r="HO17" s="1337"/>
      <c r="HP17" s="1337"/>
      <c r="HQ17" s="1337"/>
      <c r="HR17" s="1337"/>
      <c r="HS17" s="1337"/>
      <c r="HT17" s="1337"/>
      <c r="HU17" s="1337"/>
      <c r="HV17" s="1337"/>
      <c r="HW17" s="1337"/>
      <c r="HX17" s="1337"/>
      <c r="HY17" s="1337"/>
      <c r="HZ17" s="1337"/>
      <c r="IA17" s="1337"/>
      <c r="IB17" s="1337"/>
      <c r="IC17" s="1337"/>
      <c r="ID17" s="1337"/>
      <c r="IE17" s="1337"/>
      <c r="IF17" s="1337"/>
      <c r="IG17" s="1337"/>
      <c r="IH17" s="1337"/>
      <c r="II17" s="1337"/>
      <c r="IJ17" s="1337"/>
      <c r="IK17" s="1337"/>
      <c r="IL17" s="1337"/>
      <c r="IM17" s="1337"/>
      <c r="IN17" s="1337"/>
      <c r="IO17" s="1337"/>
      <c r="IP17" s="1337"/>
      <c r="IQ17" s="1337"/>
      <c r="IR17" s="1337"/>
      <c r="IS17" s="1337"/>
      <c r="IT17" s="1337"/>
      <c r="IU17" s="1337"/>
      <c r="IV17" s="1337"/>
    </row>
    <row r="18" spans="1:256" ht="12" customHeight="1" thickTop="1">
      <c r="A18" s="1338" t="s">
        <v>174</v>
      </c>
      <c r="B18" s="1346"/>
      <c r="C18" s="1346"/>
      <c r="D18" s="1369"/>
      <c r="E18" s="1369"/>
      <c r="F18" s="1369"/>
      <c r="G18" s="1369"/>
      <c r="H18" s="1369"/>
      <c r="I18" s="1369"/>
      <c r="J18" s="1369"/>
      <c r="K18" s="1369"/>
      <c r="L18" s="1369"/>
      <c r="M18" s="1369"/>
      <c r="N18" s="1369"/>
      <c r="O18" s="1337"/>
      <c r="P18" s="1337"/>
      <c r="Q18" s="1337"/>
      <c r="R18" s="1337"/>
      <c r="S18" s="1337"/>
      <c r="T18" s="1337"/>
      <c r="U18" s="1337"/>
      <c r="V18" s="1337"/>
      <c r="W18" s="1337"/>
      <c r="X18" s="1337"/>
      <c r="Y18" s="1337"/>
      <c r="Z18" s="1337"/>
      <c r="AA18" s="1337"/>
      <c r="AB18" s="1337"/>
      <c r="AC18" s="1337"/>
      <c r="AD18" s="1337"/>
      <c r="AE18" s="1337"/>
      <c r="AF18" s="1337"/>
      <c r="AG18" s="1337"/>
      <c r="AH18" s="1337"/>
      <c r="AI18" s="1337"/>
      <c r="AJ18" s="1337"/>
      <c r="AK18" s="1337"/>
      <c r="AL18" s="1337"/>
      <c r="AM18" s="1337"/>
      <c r="AN18" s="1337"/>
      <c r="AO18" s="1337"/>
      <c r="AP18" s="1337"/>
      <c r="AQ18" s="1337"/>
      <c r="AR18" s="1337"/>
      <c r="AS18" s="1337"/>
      <c r="AT18" s="1337"/>
      <c r="AU18" s="1337"/>
      <c r="AV18" s="1337"/>
      <c r="AW18" s="1337"/>
      <c r="AX18" s="1337"/>
      <c r="AY18" s="1337"/>
      <c r="AZ18" s="1337"/>
      <c r="BA18" s="1337"/>
      <c r="BB18" s="1337"/>
      <c r="BC18" s="1337"/>
      <c r="BD18" s="1337"/>
      <c r="BE18" s="1337"/>
      <c r="BF18" s="1337"/>
      <c r="BG18" s="1337"/>
      <c r="BH18" s="1337"/>
      <c r="BI18" s="1337"/>
      <c r="BJ18" s="1337"/>
      <c r="BK18" s="1337"/>
      <c r="BL18" s="1337"/>
      <c r="BM18" s="1337"/>
      <c r="BN18" s="1337"/>
      <c r="BO18" s="1337"/>
      <c r="BP18" s="1337"/>
      <c r="BQ18" s="1337"/>
      <c r="BR18" s="1337"/>
      <c r="BS18" s="1337"/>
      <c r="BT18" s="1337"/>
      <c r="BU18" s="1337"/>
      <c r="BV18" s="1337"/>
      <c r="BW18" s="1337"/>
      <c r="BX18" s="1337"/>
      <c r="BY18" s="1337"/>
      <c r="BZ18" s="1337"/>
      <c r="CA18" s="1337"/>
      <c r="CB18" s="1337"/>
      <c r="CC18" s="1337"/>
      <c r="CD18" s="1337"/>
      <c r="CE18" s="1337"/>
      <c r="CF18" s="1337"/>
      <c r="CG18" s="1337"/>
      <c r="CH18" s="1337"/>
      <c r="CI18" s="1337"/>
      <c r="CJ18" s="1337"/>
      <c r="CK18" s="1337"/>
      <c r="CL18" s="1337"/>
      <c r="CM18" s="1337"/>
      <c r="CN18" s="1337"/>
      <c r="CO18" s="1337"/>
      <c r="CP18" s="1337"/>
      <c r="CQ18" s="1337"/>
      <c r="CR18" s="1337"/>
      <c r="CS18" s="1337"/>
      <c r="CT18" s="1337"/>
      <c r="CU18" s="1337"/>
      <c r="CV18" s="1337"/>
      <c r="CW18" s="1337"/>
      <c r="CX18" s="1337"/>
      <c r="CY18" s="1337"/>
      <c r="CZ18" s="1337"/>
      <c r="DA18" s="1337"/>
      <c r="DB18" s="1337"/>
      <c r="DC18" s="1337"/>
      <c r="DD18" s="1337"/>
      <c r="DE18" s="1337"/>
      <c r="DF18" s="1337"/>
      <c r="DG18" s="1337"/>
      <c r="DH18" s="1337"/>
      <c r="DI18" s="1337"/>
      <c r="DJ18" s="1337"/>
      <c r="DK18" s="1337"/>
      <c r="DL18" s="1337"/>
      <c r="DM18" s="1337"/>
      <c r="DN18" s="1337"/>
      <c r="DO18" s="1337"/>
      <c r="DP18" s="1337"/>
      <c r="DQ18" s="1337"/>
      <c r="DR18" s="1337"/>
      <c r="DS18" s="1337"/>
      <c r="DT18" s="1337"/>
      <c r="DU18" s="1337"/>
      <c r="DV18" s="1337"/>
      <c r="DW18" s="1337"/>
      <c r="DX18" s="1337"/>
      <c r="DY18" s="1337"/>
      <c r="DZ18" s="1337"/>
      <c r="EA18" s="1337"/>
      <c r="EB18" s="1337"/>
      <c r="EC18" s="1337"/>
      <c r="ED18" s="1337"/>
      <c r="EE18" s="1337"/>
      <c r="EF18" s="1337"/>
      <c r="EG18" s="1337"/>
      <c r="EH18" s="1337"/>
      <c r="EI18" s="1337"/>
      <c r="EJ18" s="1337"/>
      <c r="EK18" s="1337"/>
      <c r="EL18" s="1337"/>
      <c r="EM18" s="1337"/>
      <c r="EN18" s="1337"/>
      <c r="EO18" s="1337"/>
      <c r="EP18" s="1337"/>
      <c r="EQ18" s="1337"/>
      <c r="ER18" s="1337"/>
      <c r="ES18" s="1337"/>
      <c r="ET18" s="1337"/>
      <c r="EU18" s="1337"/>
      <c r="EV18" s="1337"/>
      <c r="EW18" s="1337"/>
      <c r="EX18" s="1337"/>
      <c r="EY18" s="1337"/>
      <c r="EZ18" s="1337"/>
      <c r="FA18" s="1337"/>
      <c r="FB18" s="1337"/>
      <c r="FC18" s="1337"/>
      <c r="FD18" s="1337"/>
      <c r="FE18" s="1337"/>
      <c r="FF18" s="1337"/>
      <c r="FG18" s="1337"/>
      <c r="FH18" s="1337"/>
      <c r="FI18" s="1337"/>
      <c r="FJ18" s="1337"/>
      <c r="FK18" s="1337"/>
      <c r="FL18" s="1337"/>
      <c r="FM18" s="1337"/>
      <c r="FN18" s="1337"/>
      <c r="FO18" s="1337"/>
      <c r="FP18" s="1337"/>
      <c r="FQ18" s="1337"/>
      <c r="FR18" s="1337"/>
      <c r="FS18" s="1337"/>
      <c r="FT18" s="1337"/>
      <c r="FU18" s="1337"/>
      <c r="FV18" s="1337"/>
      <c r="FW18" s="1337"/>
      <c r="FX18" s="1337"/>
      <c r="FY18" s="1337"/>
      <c r="FZ18" s="1337"/>
      <c r="GA18" s="1337"/>
      <c r="GB18" s="1337"/>
      <c r="GC18" s="1337"/>
      <c r="GD18" s="1337"/>
      <c r="GE18" s="1337"/>
      <c r="GF18" s="1337"/>
      <c r="GG18" s="1337"/>
      <c r="GH18" s="1337"/>
      <c r="GI18" s="1337"/>
      <c r="GJ18" s="1337"/>
      <c r="GK18" s="1337"/>
      <c r="GL18" s="1337"/>
      <c r="GM18" s="1337"/>
      <c r="GN18" s="1337"/>
      <c r="GO18" s="1337"/>
      <c r="GP18" s="1337"/>
      <c r="GQ18" s="1337"/>
      <c r="GR18" s="1337"/>
      <c r="GS18" s="1337"/>
      <c r="GT18" s="1337"/>
      <c r="GU18" s="1337"/>
      <c r="GV18" s="1337"/>
      <c r="GW18" s="1337"/>
      <c r="GX18" s="1337"/>
      <c r="GY18" s="1337"/>
      <c r="GZ18" s="1337"/>
      <c r="HA18" s="1337"/>
      <c r="HB18" s="1337"/>
      <c r="HC18" s="1337"/>
      <c r="HD18" s="1337"/>
      <c r="HE18" s="1337"/>
      <c r="HF18" s="1337"/>
      <c r="HG18" s="1337"/>
      <c r="HH18" s="1337"/>
      <c r="HI18" s="1337"/>
      <c r="HJ18" s="1337"/>
      <c r="HK18" s="1337"/>
      <c r="HL18" s="1337"/>
      <c r="HM18" s="1337"/>
      <c r="HN18" s="1337"/>
      <c r="HO18" s="1337"/>
      <c r="HP18" s="1337"/>
      <c r="HQ18" s="1337"/>
      <c r="HR18" s="1337"/>
      <c r="HS18" s="1337"/>
      <c r="HT18" s="1337"/>
      <c r="HU18" s="1337"/>
      <c r="HV18" s="1337"/>
      <c r="HW18" s="1337"/>
      <c r="HX18" s="1337"/>
      <c r="HY18" s="1337"/>
      <c r="HZ18" s="1337"/>
      <c r="IA18" s="1337"/>
      <c r="IB18" s="1337"/>
      <c r="IC18" s="1337"/>
      <c r="ID18" s="1337"/>
      <c r="IE18" s="1337"/>
      <c r="IF18" s="1337"/>
      <c r="IG18" s="1337"/>
      <c r="IH18" s="1337"/>
      <c r="II18" s="1337"/>
      <c r="IJ18" s="1337"/>
      <c r="IK18" s="1337"/>
      <c r="IL18" s="1337"/>
      <c r="IM18" s="1337"/>
      <c r="IN18" s="1337"/>
      <c r="IO18" s="1337"/>
      <c r="IP18" s="1337"/>
      <c r="IQ18" s="1337"/>
      <c r="IR18" s="1337"/>
      <c r="IS18" s="1337"/>
      <c r="IT18" s="1337"/>
      <c r="IU18" s="1337"/>
      <c r="IV18" s="1337"/>
    </row>
    <row r="19" spans="1:256" ht="10.5" customHeight="1">
      <c r="A19" s="1323" t="s">
        <v>510</v>
      </c>
      <c r="B19" s="1346">
        <v>311</v>
      </c>
      <c r="C19" s="1346">
        <v>278.7</v>
      </c>
      <c r="D19" s="1347">
        <v>195</v>
      </c>
      <c r="E19" s="1347">
        <v>119.2</v>
      </c>
      <c r="F19" s="1347">
        <v>71.2</v>
      </c>
      <c r="G19" s="1347">
        <v>155.30000000000001</v>
      </c>
      <c r="H19" s="1347">
        <v>145.19999999999999</v>
      </c>
      <c r="I19" s="1347">
        <v>160.19999999999999</v>
      </c>
      <c r="J19" s="1347">
        <v>113</v>
      </c>
      <c r="K19" s="1347">
        <v>109.2</v>
      </c>
      <c r="L19" s="1370">
        <v>110.5</v>
      </c>
      <c r="M19" s="1370">
        <v>111.9</v>
      </c>
      <c r="N19" s="1347">
        <v>112.6</v>
      </c>
      <c r="O19" s="1337"/>
      <c r="P19" s="1337"/>
      <c r="Q19" s="1337"/>
      <c r="R19" s="1337"/>
      <c r="S19" s="1337"/>
      <c r="T19" s="1337"/>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c r="AT19" s="1337"/>
      <c r="AU19" s="1337"/>
      <c r="AV19" s="1337"/>
      <c r="AW19" s="1337"/>
      <c r="AX19" s="1337"/>
      <c r="AY19" s="1337"/>
      <c r="AZ19" s="1337"/>
      <c r="BA19" s="1337"/>
      <c r="BB19" s="1337"/>
      <c r="BC19" s="1337"/>
      <c r="BD19" s="1337"/>
      <c r="BE19" s="1337"/>
      <c r="BF19" s="1337"/>
      <c r="BG19" s="1337"/>
      <c r="BH19" s="1337"/>
      <c r="BI19" s="1337"/>
      <c r="BJ19" s="1337"/>
      <c r="BK19" s="1337"/>
      <c r="BL19" s="1337"/>
      <c r="BM19" s="1337"/>
      <c r="BN19" s="1337"/>
      <c r="BO19" s="1337"/>
      <c r="BP19" s="1337"/>
      <c r="BQ19" s="1337"/>
      <c r="BR19" s="1337"/>
      <c r="BS19" s="1337"/>
      <c r="BT19" s="1337"/>
      <c r="BU19" s="1337"/>
      <c r="BV19" s="1337"/>
      <c r="BW19" s="1337"/>
      <c r="BX19" s="1337"/>
      <c r="BY19" s="1337"/>
      <c r="BZ19" s="1337"/>
      <c r="CA19" s="1337"/>
      <c r="CB19" s="1337"/>
      <c r="CC19" s="1337"/>
      <c r="CD19" s="1337"/>
      <c r="CE19" s="1337"/>
      <c r="CF19" s="1337"/>
      <c r="CG19" s="1337"/>
      <c r="CH19" s="1337"/>
      <c r="CI19" s="1337"/>
      <c r="CJ19" s="1337"/>
      <c r="CK19" s="1337"/>
      <c r="CL19" s="1337"/>
      <c r="CM19" s="1337"/>
      <c r="CN19" s="1337"/>
      <c r="CO19" s="1337"/>
      <c r="CP19" s="1337"/>
      <c r="CQ19" s="1337"/>
      <c r="CR19" s="1337"/>
      <c r="CS19" s="1337"/>
      <c r="CT19" s="1337"/>
      <c r="CU19" s="1337"/>
      <c r="CV19" s="1337"/>
      <c r="CW19" s="1337"/>
      <c r="CX19" s="1337"/>
      <c r="CY19" s="1337"/>
      <c r="CZ19" s="1337"/>
      <c r="DA19" s="1337"/>
      <c r="DB19" s="1337"/>
      <c r="DC19" s="1337"/>
      <c r="DD19" s="1337"/>
      <c r="DE19" s="1337"/>
      <c r="DF19" s="1337"/>
      <c r="DG19" s="1337"/>
      <c r="DH19" s="1337"/>
      <c r="DI19" s="1337"/>
      <c r="DJ19" s="1337"/>
      <c r="DK19" s="1337"/>
      <c r="DL19" s="1337"/>
      <c r="DM19" s="1337"/>
      <c r="DN19" s="1337"/>
      <c r="DO19" s="1337"/>
      <c r="DP19" s="1337"/>
      <c r="DQ19" s="1337"/>
      <c r="DR19" s="1337"/>
      <c r="DS19" s="1337"/>
      <c r="DT19" s="1337"/>
      <c r="DU19" s="1337"/>
      <c r="DV19" s="1337"/>
      <c r="DW19" s="1337"/>
      <c r="DX19" s="1337"/>
      <c r="DY19" s="1337"/>
      <c r="DZ19" s="1337"/>
      <c r="EA19" s="1337"/>
      <c r="EB19" s="1337"/>
      <c r="EC19" s="1337"/>
      <c r="ED19" s="1337"/>
      <c r="EE19" s="1337"/>
      <c r="EF19" s="1337"/>
      <c r="EG19" s="1337"/>
      <c r="EH19" s="1337"/>
      <c r="EI19" s="1337"/>
      <c r="EJ19" s="1337"/>
      <c r="EK19" s="1337"/>
      <c r="EL19" s="1337"/>
      <c r="EM19" s="1337"/>
      <c r="EN19" s="1337"/>
      <c r="EO19" s="1337"/>
      <c r="EP19" s="1337"/>
      <c r="EQ19" s="1337"/>
      <c r="ER19" s="1337"/>
      <c r="ES19" s="1337"/>
      <c r="ET19" s="1337"/>
      <c r="EU19" s="1337"/>
      <c r="EV19" s="1337"/>
      <c r="EW19" s="1337"/>
      <c r="EX19" s="1337"/>
      <c r="EY19" s="1337"/>
      <c r="EZ19" s="1337"/>
      <c r="FA19" s="1337"/>
      <c r="FB19" s="1337"/>
      <c r="FC19" s="1337"/>
      <c r="FD19" s="1337"/>
      <c r="FE19" s="1337"/>
      <c r="FF19" s="1337"/>
      <c r="FG19" s="1337"/>
      <c r="FH19" s="1337"/>
      <c r="FI19" s="1337"/>
      <c r="FJ19" s="1337"/>
      <c r="FK19" s="1337"/>
      <c r="FL19" s="1337"/>
      <c r="FM19" s="1337"/>
      <c r="FN19" s="1337"/>
      <c r="FO19" s="1337"/>
      <c r="FP19" s="1337"/>
      <c r="FQ19" s="1337"/>
      <c r="FR19" s="1337"/>
      <c r="FS19" s="1337"/>
      <c r="FT19" s="1337"/>
      <c r="FU19" s="1337"/>
      <c r="FV19" s="1337"/>
      <c r="FW19" s="1337"/>
      <c r="FX19" s="1337"/>
      <c r="FY19" s="1337"/>
      <c r="FZ19" s="1337"/>
      <c r="GA19" s="1337"/>
      <c r="GB19" s="1337"/>
      <c r="GC19" s="1337"/>
      <c r="GD19" s="1337"/>
      <c r="GE19" s="1337"/>
      <c r="GF19" s="1337"/>
      <c r="GG19" s="1337"/>
      <c r="GH19" s="1337"/>
      <c r="GI19" s="1337"/>
      <c r="GJ19" s="1337"/>
      <c r="GK19" s="1337"/>
      <c r="GL19" s="1337"/>
      <c r="GM19" s="1337"/>
      <c r="GN19" s="1337"/>
      <c r="GO19" s="1337"/>
      <c r="GP19" s="1337"/>
      <c r="GQ19" s="1337"/>
      <c r="GR19" s="1337"/>
      <c r="GS19" s="1337"/>
      <c r="GT19" s="1337"/>
      <c r="GU19" s="1337"/>
      <c r="GV19" s="1337"/>
      <c r="GW19" s="1337"/>
      <c r="GX19" s="1337"/>
      <c r="GY19" s="1337"/>
      <c r="GZ19" s="1337"/>
      <c r="HA19" s="1337"/>
      <c r="HB19" s="1337"/>
      <c r="HC19" s="1337"/>
      <c r="HD19" s="1337"/>
      <c r="HE19" s="1337"/>
      <c r="HF19" s="1337"/>
      <c r="HG19" s="1337"/>
      <c r="HH19" s="1337"/>
      <c r="HI19" s="1337"/>
      <c r="HJ19" s="1337"/>
      <c r="HK19" s="1337"/>
      <c r="HL19" s="1337"/>
      <c r="HM19" s="1337"/>
      <c r="HN19" s="1337"/>
      <c r="HO19" s="1337"/>
      <c r="HP19" s="1337"/>
      <c r="HQ19" s="1337"/>
      <c r="HR19" s="1337"/>
      <c r="HS19" s="1337"/>
      <c r="HT19" s="1337"/>
      <c r="HU19" s="1337"/>
      <c r="HV19" s="1337"/>
      <c r="HW19" s="1337"/>
      <c r="HX19" s="1337"/>
      <c r="HY19" s="1337"/>
      <c r="HZ19" s="1337"/>
      <c r="IA19" s="1337"/>
      <c r="IB19" s="1337"/>
      <c r="IC19" s="1337"/>
      <c r="ID19" s="1337"/>
      <c r="IE19" s="1337"/>
      <c r="IF19" s="1337"/>
      <c r="IG19" s="1337"/>
      <c r="IH19" s="1337"/>
      <c r="II19" s="1337"/>
      <c r="IJ19" s="1337"/>
      <c r="IK19" s="1337"/>
      <c r="IL19" s="1337"/>
      <c r="IM19" s="1337"/>
      <c r="IN19" s="1337"/>
      <c r="IO19" s="1337"/>
      <c r="IP19" s="1337"/>
      <c r="IQ19" s="1337"/>
      <c r="IR19" s="1337"/>
      <c r="IS19" s="1337"/>
      <c r="IT19" s="1337"/>
      <c r="IU19" s="1337"/>
      <c r="IV19" s="1337"/>
    </row>
    <row r="20" spans="1:256" ht="10.5" customHeight="1">
      <c r="A20" s="1323" t="s">
        <v>1100</v>
      </c>
      <c r="B20" s="1346">
        <v>813.8</v>
      </c>
      <c r="C20" s="1346">
        <v>918.2</v>
      </c>
      <c r="D20" s="1347">
        <v>974.4</v>
      </c>
      <c r="E20" s="1347">
        <v>869</v>
      </c>
      <c r="F20" s="1347">
        <v>1079.2</v>
      </c>
      <c r="G20" s="1347">
        <v>867.6</v>
      </c>
      <c r="H20" s="1347">
        <v>968.3</v>
      </c>
      <c r="I20" s="1347">
        <v>937.8</v>
      </c>
      <c r="J20" s="1347">
        <v>883.9</v>
      </c>
      <c r="K20" s="1347">
        <v>899.9</v>
      </c>
      <c r="L20" s="1370">
        <v>717.7</v>
      </c>
      <c r="M20" s="1370">
        <v>723.3</v>
      </c>
      <c r="N20" s="1347">
        <v>759.8</v>
      </c>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c r="AT20" s="1337"/>
      <c r="AU20" s="1337"/>
      <c r="AV20" s="1337"/>
      <c r="AW20" s="1337"/>
      <c r="AX20" s="1337"/>
      <c r="AY20" s="1337"/>
      <c r="AZ20" s="1337"/>
      <c r="BA20" s="1337"/>
      <c r="BB20" s="1337"/>
      <c r="BC20" s="1337"/>
      <c r="BD20" s="1337"/>
      <c r="BE20" s="1337"/>
      <c r="BF20" s="1337"/>
      <c r="BG20" s="1337"/>
      <c r="BH20" s="1337"/>
      <c r="BI20" s="1337"/>
      <c r="BJ20" s="1337"/>
      <c r="BK20" s="1337"/>
      <c r="BL20" s="1337"/>
      <c r="BM20" s="1337"/>
      <c r="BN20" s="1337"/>
      <c r="BO20" s="1337"/>
      <c r="BP20" s="1337"/>
      <c r="BQ20" s="1337"/>
      <c r="BR20" s="1337"/>
      <c r="BS20" s="1337"/>
      <c r="BT20" s="1337"/>
      <c r="BU20" s="1337"/>
      <c r="BV20" s="1337"/>
      <c r="BW20" s="1337"/>
      <c r="BX20" s="1337"/>
      <c r="BY20" s="1337"/>
      <c r="BZ20" s="1337"/>
      <c r="CA20" s="1337"/>
      <c r="CB20" s="1337"/>
      <c r="CC20" s="1337"/>
      <c r="CD20" s="1337"/>
      <c r="CE20" s="1337"/>
      <c r="CF20" s="1337"/>
      <c r="CG20" s="1337"/>
      <c r="CH20" s="1337"/>
      <c r="CI20" s="1337"/>
      <c r="CJ20" s="1337"/>
      <c r="CK20" s="1337"/>
      <c r="CL20" s="1337"/>
      <c r="CM20" s="1337"/>
      <c r="CN20" s="1337"/>
      <c r="CO20" s="1337"/>
      <c r="CP20" s="1337"/>
      <c r="CQ20" s="1337"/>
      <c r="CR20" s="1337"/>
      <c r="CS20" s="1337"/>
      <c r="CT20" s="1337"/>
      <c r="CU20" s="1337"/>
      <c r="CV20" s="1337"/>
      <c r="CW20" s="1337"/>
      <c r="CX20" s="1337"/>
      <c r="CY20" s="1337"/>
      <c r="CZ20" s="1337"/>
      <c r="DA20" s="1337"/>
      <c r="DB20" s="1337"/>
      <c r="DC20" s="1337"/>
      <c r="DD20" s="1337"/>
      <c r="DE20" s="1337"/>
      <c r="DF20" s="1337"/>
      <c r="DG20" s="1337"/>
      <c r="DH20" s="1337"/>
      <c r="DI20" s="1337"/>
      <c r="DJ20" s="1337"/>
      <c r="DK20" s="1337"/>
      <c r="DL20" s="1337"/>
      <c r="DM20" s="1337"/>
      <c r="DN20" s="1337"/>
      <c r="DO20" s="1337"/>
      <c r="DP20" s="1337"/>
      <c r="DQ20" s="1337"/>
      <c r="DR20" s="1337"/>
      <c r="DS20" s="1337"/>
      <c r="DT20" s="1337"/>
      <c r="DU20" s="1337"/>
      <c r="DV20" s="1337"/>
      <c r="DW20" s="1337"/>
      <c r="DX20" s="1337"/>
      <c r="DY20" s="1337"/>
      <c r="DZ20" s="1337"/>
      <c r="EA20" s="1337"/>
      <c r="EB20" s="1337"/>
      <c r="EC20" s="1337"/>
      <c r="ED20" s="1337"/>
      <c r="EE20" s="1337"/>
      <c r="EF20" s="1337"/>
      <c r="EG20" s="1337"/>
      <c r="EH20" s="1337"/>
      <c r="EI20" s="1337"/>
      <c r="EJ20" s="1337"/>
      <c r="EK20" s="1337"/>
      <c r="EL20" s="1337"/>
      <c r="EM20" s="1337"/>
      <c r="EN20" s="1337"/>
      <c r="EO20" s="1337"/>
      <c r="EP20" s="1337"/>
      <c r="EQ20" s="1337"/>
      <c r="ER20" s="1337"/>
      <c r="ES20" s="1337"/>
      <c r="ET20" s="1337"/>
      <c r="EU20" s="1337"/>
      <c r="EV20" s="1337"/>
      <c r="EW20" s="1337"/>
      <c r="EX20" s="1337"/>
      <c r="EY20" s="1337"/>
      <c r="EZ20" s="1337"/>
      <c r="FA20" s="1337"/>
      <c r="FB20" s="1337"/>
      <c r="FC20" s="1337"/>
      <c r="FD20" s="1337"/>
      <c r="FE20" s="1337"/>
      <c r="FF20" s="1337"/>
      <c r="FG20" s="1337"/>
      <c r="FH20" s="1337"/>
      <c r="FI20" s="1337"/>
      <c r="FJ20" s="1337"/>
      <c r="FK20" s="1337"/>
      <c r="FL20" s="1337"/>
      <c r="FM20" s="1337"/>
      <c r="FN20" s="1337"/>
      <c r="FO20" s="1337"/>
      <c r="FP20" s="1337"/>
      <c r="FQ20" s="1337"/>
      <c r="FR20" s="1337"/>
      <c r="FS20" s="1337"/>
      <c r="FT20" s="1337"/>
      <c r="FU20" s="1337"/>
      <c r="FV20" s="1337"/>
      <c r="FW20" s="1337"/>
      <c r="FX20" s="1337"/>
      <c r="FY20" s="1337"/>
      <c r="FZ20" s="1337"/>
      <c r="GA20" s="1337"/>
      <c r="GB20" s="1337"/>
      <c r="GC20" s="1337"/>
      <c r="GD20" s="1337"/>
      <c r="GE20" s="1337"/>
      <c r="GF20" s="1337"/>
      <c r="GG20" s="1337"/>
      <c r="GH20" s="1337"/>
      <c r="GI20" s="1337"/>
      <c r="GJ20" s="1337"/>
      <c r="GK20" s="1337"/>
      <c r="GL20" s="1337"/>
      <c r="GM20" s="1337"/>
      <c r="GN20" s="1337"/>
      <c r="GO20" s="1337"/>
      <c r="GP20" s="1337"/>
      <c r="GQ20" s="1337"/>
      <c r="GR20" s="1337"/>
      <c r="GS20" s="1337"/>
      <c r="GT20" s="1337"/>
      <c r="GU20" s="1337"/>
      <c r="GV20" s="1337"/>
      <c r="GW20" s="1337"/>
      <c r="GX20" s="1337"/>
      <c r="GY20" s="1337"/>
      <c r="GZ20" s="1337"/>
      <c r="HA20" s="1337"/>
      <c r="HB20" s="1337"/>
      <c r="HC20" s="1337"/>
      <c r="HD20" s="1337"/>
      <c r="HE20" s="1337"/>
      <c r="HF20" s="1337"/>
      <c r="HG20" s="1337"/>
      <c r="HH20" s="1337"/>
      <c r="HI20" s="1337"/>
      <c r="HJ20" s="1337"/>
      <c r="HK20" s="1337"/>
      <c r="HL20" s="1337"/>
      <c r="HM20" s="1337"/>
      <c r="HN20" s="1337"/>
      <c r="HO20" s="1337"/>
      <c r="HP20" s="1337"/>
      <c r="HQ20" s="1337"/>
      <c r="HR20" s="1337"/>
      <c r="HS20" s="1337"/>
      <c r="HT20" s="1337"/>
      <c r="HU20" s="1337"/>
      <c r="HV20" s="1337"/>
      <c r="HW20" s="1337"/>
      <c r="HX20" s="1337"/>
      <c r="HY20" s="1337"/>
      <c r="HZ20" s="1337"/>
      <c r="IA20" s="1337"/>
      <c r="IB20" s="1337"/>
      <c r="IC20" s="1337"/>
      <c r="ID20" s="1337"/>
      <c r="IE20" s="1337"/>
      <c r="IF20" s="1337"/>
      <c r="IG20" s="1337"/>
      <c r="IH20" s="1337"/>
      <c r="II20" s="1337"/>
      <c r="IJ20" s="1337"/>
      <c r="IK20" s="1337"/>
      <c r="IL20" s="1337"/>
      <c r="IM20" s="1337"/>
      <c r="IN20" s="1337"/>
      <c r="IO20" s="1337"/>
      <c r="IP20" s="1337"/>
      <c r="IQ20" s="1337"/>
      <c r="IR20" s="1337"/>
      <c r="IS20" s="1337"/>
      <c r="IT20" s="1337"/>
      <c r="IU20" s="1337"/>
      <c r="IV20" s="1337"/>
    </row>
    <row r="21" spans="1:256" ht="10.5" customHeight="1">
      <c r="A21" s="1323" t="s">
        <v>1101</v>
      </c>
      <c r="B21" s="1346">
        <v>134.19999999999999</v>
      </c>
      <c r="C21" s="1346">
        <v>112.8</v>
      </c>
      <c r="D21" s="1347">
        <v>174.4</v>
      </c>
      <c r="E21" s="1347">
        <v>132.30000000000001</v>
      </c>
      <c r="F21" s="1347">
        <v>56</v>
      </c>
      <c r="G21" s="1347">
        <v>53.2</v>
      </c>
      <c r="H21" s="1347">
        <v>29.5</v>
      </c>
      <c r="I21" s="1347">
        <v>7.3</v>
      </c>
      <c r="J21" s="1347">
        <v>14.1</v>
      </c>
      <c r="K21" s="1347">
        <v>19.899999999999999</v>
      </c>
      <c r="L21" s="1371">
        <v>15.2</v>
      </c>
      <c r="M21" s="1370">
        <v>14</v>
      </c>
      <c r="N21" s="1347">
        <v>10.9</v>
      </c>
      <c r="O21" s="1337"/>
      <c r="P21" s="1337"/>
      <c r="Q21" s="1337"/>
      <c r="R21" s="1337"/>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c r="AT21" s="1337"/>
      <c r="AU21" s="1337"/>
      <c r="AV21" s="1337"/>
      <c r="AW21" s="1337"/>
      <c r="AX21" s="1337"/>
      <c r="AY21" s="1337"/>
      <c r="AZ21" s="1337"/>
      <c r="BA21" s="1337"/>
      <c r="BB21" s="1337"/>
      <c r="BC21" s="1337"/>
      <c r="BD21" s="1337"/>
      <c r="BE21" s="1337"/>
      <c r="BF21" s="1337"/>
      <c r="BG21" s="1337"/>
      <c r="BH21" s="1337"/>
      <c r="BI21" s="1337"/>
      <c r="BJ21" s="1337"/>
      <c r="BK21" s="1337"/>
      <c r="BL21" s="1337"/>
      <c r="BM21" s="1337"/>
      <c r="BN21" s="1337"/>
      <c r="BO21" s="1337"/>
      <c r="BP21" s="1337"/>
      <c r="BQ21" s="1337"/>
      <c r="BR21" s="1337"/>
      <c r="BS21" s="1337"/>
      <c r="BT21" s="1337"/>
      <c r="BU21" s="1337"/>
      <c r="BV21" s="1337"/>
      <c r="BW21" s="1337"/>
      <c r="BX21" s="1337"/>
      <c r="BY21" s="1337"/>
      <c r="BZ21" s="1337"/>
      <c r="CA21" s="1337"/>
      <c r="CB21" s="1337"/>
      <c r="CC21" s="1337"/>
      <c r="CD21" s="1337"/>
      <c r="CE21" s="1337"/>
      <c r="CF21" s="1337"/>
      <c r="CG21" s="1337"/>
      <c r="CH21" s="1337"/>
      <c r="CI21" s="1337"/>
      <c r="CJ21" s="1337"/>
      <c r="CK21" s="1337"/>
      <c r="CL21" s="1337"/>
      <c r="CM21" s="1337"/>
      <c r="CN21" s="1337"/>
      <c r="CO21" s="1337"/>
      <c r="CP21" s="1337"/>
      <c r="CQ21" s="1337"/>
      <c r="CR21" s="1337"/>
      <c r="CS21" s="1337"/>
      <c r="CT21" s="1337"/>
      <c r="CU21" s="1337"/>
      <c r="CV21" s="1337"/>
      <c r="CW21" s="1337"/>
      <c r="CX21" s="1337"/>
      <c r="CY21" s="1337"/>
      <c r="CZ21" s="1337"/>
      <c r="DA21" s="1337"/>
      <c r="DB21" s="1337"/>
      <c r="DC21" s="1337"/>
      <c r="DD21" s="1337"/>
      <c r="DE21" s="1337"/>
      <c r="DF21" s="1337"/>
      <c r="DG21" s="1337"/>
      <c r="DH21" s="1337"/>
      <c r="DI21" s="1337"/>
      <c r="DJ21" s="1337"/>
      <c r="DK21" s="1337"/>
      <c r="DL21" s="1337"/>
      <c r="DM21" s="1337"/>
      <c r="DN21" s="1337"/>
      <c r="DO21" s="1337"/>
      <c r="DP21" s="1337"/>
      <c r="DQ21" s="1337"/>
      <c r="DR21" s="1337"/>
      <c r="DS21" s="1337"/>
      <c r="DT21" s="1337"/>
      <c r="DU21" s="1337"/>
      <c r="DV21" s="1337"/>
      <c r="DW21" s="1337"/>
      <c r="DX21" s="1337"/>
      <c r="DY21" s="1337"/>
      <c r="DZ21" s="1337"/>
      <c r="EA21" s="1337"/>
      <c r="EB21" s="1337"/>
      <c r="EC21" s="1337"/>
      <c r="ED21" s="1337"/>
      <c r="EE21" s="1337"/>
      <c r="EF21" s="1337"/>
      <c r="EG21" s="1337"/>
      <c r="EH21" s="1337"/>
      <c r="EI21" s="1337"/>
      <c r="EJ21" s="1337"/>
      <c r="EK21" s="1337"/>
      <c r="EL21" s="1337"/>
      <c r="EM21" s="1337"/>
      <c r="EN21" s="1337"/>
      <c r="EO21" s="1337"/>
      <c r="EP21" s="1337"/>
      <c r="EQ21" s="1337"/>
      <c r="ER21" s="1337"/>
      <c r="ES21" s="1337"/>
      <c r="ET21" s="1337"/>
      <c r="EU21" s="1337"/>
      <c r="EV21" s="1337"/>
      <c r="EW21" s="1337"/>
      <c r="EX21" s="1337"/>
      <c r="EY21" s="1337"/>
      <c r="EZ21" s="1337"/>
      <c r="FA21" s="1337"/>
      <c r="FB21" s="1337"/>
      <c r="FC21" s="1337"/>
      <c r="FD21" s="1337"/>
      <c r="FE21" s="1337"/>
      <c r="FF21" s="1337"/>
      <c r="FG21" s="1337"/>
      <c r="FH21" s="1337"/>
      <c r="FI21" s="1337"/>
      <c r="FJ21" s="1337"/>
      <c r="FK21" s="1337"/>
      <c r="FL21" s="1337"/>
      <c r="FM21" s="1337"/>
      <c r="FN21" s="1337"/>
      <c r="FO21" s="1337"/>
      <c r="FP21" s="1337"/>
      <c r="FQ21" s="1337"/>
      <c r="FR21" s="1337"/>
      <c r="FS21" s="1337"/>
      <c r="FT21" s="1337"/>
      <c r="FU21" s="1337"/>
      <c r="FV21" s="1337"/>
      <c r="FW21" s="1337"/>
      <c r="FX21" s="1337"/>
      <c r="FY21" s="1337"/>
      <c r="FZ21" s="1337"/>
      <c r="GA21" s="1337"/>
      <c r="GB21" s="1337"/>
      <c r="GC21" s="1337"/>
      <c r="GD21" s="1337"/>
      <c r="GE21" s="1337"/>
      <c r="GF21" s="1337"/>
      <c r="GG21" s="1337"/>
      <c r="GH21" s="1337"/>
      <c r="GI21" s="1337"/>
      <c r="GJ21" s="1337"/>
      <c r="GK21" s="1337"/>
      <c r="GL21" s="1337"/>
      <c r="GM21" s="1337"/>
      <c r="GN21" s="1337"/>
      <c r="GO21" s="1337"/>
      <c r="GP21" s="1337"/>
      <c r="GQ21" s="1337"/>
      <c r="GR21" s="1337"/>
      <c r="GS21" s="1337"/>
      <c r="GT21" s="1337"/>
      <c r="GU21" s="1337"/>
      <c r="GV21" s="1337"/>
      <c r="GW21" s="1337"/>
      <c r="GX21" s="1337"/>
      <c r="GY21" s="1337"/>
      <c r="GZ21" s="1337"/>
      <c r="HA21" s="1337"/>
      <c r="HB21" s="1337"/>
      <c r="HC21" s="1337"/>
      <c r="HD21" s="1337"/>
      <c r="HE21" s="1337"/>
      <c r="HF21" s="1337"/>
      <c r="HG21" s="1337"/>
      <c r="HH21" s="1337"/>
      <c r="HI21" s="1337"/>
      <c r="HJ21" s="1337"/>
      <c r="HK21" s="1337"/>
      <c r="HL21" s="1337"/>
      <c r="HM21" s="1337"/>
      <c r="HN21" s="1337"/>
      <c r="HO21" s="1337"/>
      <c r="HP21" s="1337"/>
      <c r="HQ21" s="1337"/>
      <c r="HR21" s="1337"/>
      <c r="HS21" s="1337"/>
      <c r="HT21" s="1337"/>
      <c r="HU21" s="1337"/>
      <c r="HV21" s="1337"/>
      <c r="HW21" s="1337"/>
      <c r="HX21" s="1337"/>
      <c r="HY21" s="1337"/>
      <c r="HZ21" s="1337"/>
      <c r="IA21" s="1337"/>
      <c r="IB21" s="1337"/>
      <c r="IC21" s="1337"/>
      <c r="ID21" s="1337"/>
      <c r="IE21" s="1337"/>
      <c r="IF21" s="1337"/>
      <c r="IG21" s="1337"/>
      <c r="IH21" s="1337"/>
      <c r="II21" s="1337"/>
      <c r="IJ21" s="1337"/>
      <c r="IK21" s="1337"/>
      <c r="IL21" s="1337"/>
      <c r="IM21" s="1337"/>
      <c r="IN21" s="1337"/>
      <c r="IO21" s="1337"/>
      <c r="IP21" s="1337"/>
      <c r="IQ21" s="1337"/>
      <c r="IR21" s="1337"/>
      <c r="IS21" s="1337"/>
      <c r="IT21" s="1337"/>
      <c r="IU21" s="1337"/>
      <c r="IV21" s="1337"/>
    </row>
    <row r="22" spans="1:256" ht="10.5" customHeight="1">
      <c r="A22" s="1372" t="s">
        <v>1102</v>
      </c>
      <c r="B22" s="1361">
        <v>352.4</v>
      </c>
      <c r="C22" s="1361">
        <v>352.3</v>
      </c>
      <c r="D22" s="1362">
        <v>350.5</v>
      </c>
      <c r="E22" s="1362">
        <v>364.2</v>
      </c>
      <c r="F22" s="1362">
        <v>351.7</v>
      </c>
      <c r="G22" s="1362">
        <f>268.5+1.3</f>
        <v>269.8</v>
      </c>
      <c r="H22" s="1362">
        <f>301.8+0.5</f>
        <v>302.3</v>
      </c>
      <c r="I22" s="1362">
        <v>352.5</v>
      </c>
      <c r="J22" s="1362">
        <v>147.4</v>
      </c>
      <c r="K22" s="1362">
        <v>137.9</v>
      </c>
      <c r="L22" s="1373">
        <v>146.69999999999999</v>
      </c>
      <c r="M22" s="1373">
        <v>81.2</v>
      </c>
      <c r="N22" s="1362">
        <v>82.6</v>
      </c>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7"/>
      <c r="AL22" s="1337"/>
      <c r="AM22" s="1337"/>
      <c r="AN22" s="1337"/>
      <c r="AO22" s="1337"/>
      <c r="AP22" s="1337"/>
      <c r="AQ22" s="1337"/>
      <c r="AR22" s="1337"/>
      <c r="AS22" s="1337"/>
      <c r="AT22" s="1337"/>
      <c r="AU22" s="1337"/>
      <c r="AV22" s="1337"/>
      <c r="AW22" s="1337"/>
      <c r="AX22" s="1337"/>
      <c r="AY22" s="1337"/>
      <c r="AZ22" s="1337"/>
      <c r="BA22" s="1337"/>
      <c r="BB22" s="1337"/>
      <c r="BC22" s="1337"/>
      <c r="BD22" s="1337"/>
      <c r="BE22" s="1337"/>
      <c r="BF22" s="1337"/>
      <c r="BG22" s="1337"/>
      <c r="BH22" s="1337"/>
      <c r="BI22" s="1337"/>
      <c r="BJ22" s="1337"/>
      <c r="BK22" s="1337"/>
      <c r="BL22" s="1337"/>
      <c r="BM22" s="1337"/>
      <c r="BN22" s="1337"/>
      <c r="BO22" s="1337"/>
      <c r="BP22" s="1337"/>
      <c r="BQ22" s="1337"/>
      <c r="BR22" s="1337"/>
      <c r="BS22" s="1337"/>
      <c r="BT22" s="1337"/>
      <c r="BU22" s="1337"/>
      <c r="BV22" s="1337"/>
      <c r="BW22" s="1337"/>
      <c r="BX22" s="1337"/>
      <c r="BY22" s="1337"/>
      <c r="BZ22" s="1337"/>
      <c r="CA22" s="1337"/>
      <c r="CB22" s="1337"/>
      <c r="CC22" s="1337"/>
      <c r="CD22" s="1337"/>
      <c r="CE22" s="1337"/>
      <c r="CF22" s="1337"/>
      <c r="CG22" s="1337"/>
      <c r="CH22" s="1337"/>
      <c r="CI22" s="1337"/>
      <c r="CJ22" s="1337"/>
      <c r="CK22" s="1337"/>
      <c r="CL22" s="1337"/>
      <c r="CM22" s="1337"/>
      <c r="CN22" s="1337"/>
      <c r="CO22" s="1337"/>
      <c r="CP22" s="1337"/>
      <c r="CQ22" s="1337"/>
      <c r="CR22" s="1337"/>
      <c r="CS22" s="1337"/>
      <c r="CT22" s="1337"/>
      <c r="CU22" s="1337"/>
      <c r="CV22" s="1337"/>
      <c r="CW22" s="1337"/>
      <c r="CX22" s="1337"/>
      <c r="CY22" s="1337"/>
      <c r="CZ22" s="1337"/>
      <c r="DA22" s="1337"/>
      <c r="DB22" s="1337"/>
      <c r="DC22" s="1337"/>
      <c r="DD22" s="1337"/>
      <c r="DE22" s="1337"/>
      <c r="DF22" s="1337"/>
      <c r="DG22" s="1337"/>
      <c r="DH22" s="1337"/>
      <c r="DI22" s="1337"/>
      <c r="DJ22" s="1337"/>
      <c r="DK22" s="1337"/>
      <c r="DL22" s="1337"/>
      <c r="DM22" s="1337"/>
      <c r="DN22" s="1337"/>
      <c r="DO22" s="1337"/>
      <c r="DP22" s="1337"/>
      <c r="DQ22" s="1337"/>
      <c r="DR22" s="1337"/>
      <c r="DS22" s="1337"/>
      <c r="DT22" s="1337"/>
      <c r="DU22" s="1337"/>
      <c r="DV22" s="1337"/>
      <c r="DW22" s="1337"/>
      <c r="DX22" s="1337"/>
      <c r="DY22" s="1337"/>
      <c r="DZ22" s="1337"/>
      <c r="EA22" s="1337"/>
      <c r="EB22" s="1337"/>
      <c r="EC22" s="1337"/>
      <c r="ED22" s="1337"/>
      <c r="EE22" s="1337"/>
      <c r="EF22" s="1337"/>
      <c r="EG22" s="1337"/>
      <c r="EH22" s="1337"/>
      <c r="EI22" s="1337"/>
      <c r="EJ22" s="1337"/>
      <c r="EK22" s="1337"/>
      <c r="EL22" s="1337"/>
      <c r="EM22" s="1337"/>
      <c r="EN22" s="1337"/>
      <c r="EO22" s="1337"/>
      <c r="EP22" s="1337"/>
      <c r="EQ22" s="1337"/>
      <c r="ER22" s="1337"/>
      <c r="ES22" s="1337"/>
      <c r="ET22" s="1337"/>
      <c r="EU22" s="1337"/>
      <c r="EV22" s="1337"/>
      <c r="EW22" s="1337"/>
      <c r="EX22" s="1337"/>
      <c r="EY22" s="1337"/>
      <c r="EZ22" s="1337"/>
      <c r="FA22" s="1337"/>
      <c r="FB22" s="1337"/>
      <c r="FC22" s="1337"/>
      <c r="FD22" s="1337"/>
      <c r="FE22" s="1337"/>
      <c r="FF22" s="1337"/>
      <c r="FG22" s="1337"/>
      <c r="FH22" s="1337"/>
      <c r="FI22" s="1337"/>
      <c r="FJ22" s="1337"/>
      <c r="FK22" s="1337"/>
      <c r="FL22" s="1337"/>
      <c r="FM22" s="1337"/>
      <c r="FN22" s="1337"/>
      <c r="FO22" s="1337"/>
      <c r="FP22" s="1337"/>
      <c r="FQ22" s="1337"/>
      <c r="FR22" s="1337"/>
      <c r="FS22" s="1337"/>
      <c r="FT22" s="1337"/>
      <c r="FU22" s="1337"/>
      <c r="FV22" s="1337"/>
      <c r="FW22" s="1337"/>
      <c r="FX22" s="1337"/>
      <c r="FY22" s="1337"/>
      <c r="FZ22" s="1337"/>
      <c r="GA22" s="1337"/>
      <c r="GB22" s="1337"/>
      <c r="GC22" s="1337"/>
      <c r="GD22" s="1337"/>
      <c r="GE22" s="1337"/>
      <c r="GF22" s="1337"/>
      <c r="GG22" s="1337"/>
      <c r="GH22" s="1337"/>
      <c r="GI22" s="1337"/>
      <c r="GJ22" s="1337"/>
      <c r="GK22" s="1337"/>
      <c r="GL22" s="1337"/>
      <c r="GM22" s="1337"/>
      <c r="GN22" s="1337"/>
      <c r="GO22" s="1337"/>
      <c r="GP22" s="1337"/>
      <c r="GQ22" s="1337"/>
      <c r="GR22" s="1337"/>
      <c r="GS22" s="1337"/>
      <c r="GT22" s="1337"/>
      <c r="GU22" s="1337"/>
      <c r="GV22" s="1337"/>
      <c r="GW22" s="1337"/>
      <c r="GX22" s="1337"/>
      <c r="GY22" s="1337"/>
      <c r="GZ22" s="1337"/>
      <c r="HA22" s="1337"/>
      <c r="HB22" s="1337"/>
      <c r="HC22" s="1337"/>
      <c r="HD22" s="1337"/>
      <c r="HE22" s="1337"/>
      <c r="HF22" s="1337"/>
      <c r="HG22" s="1337"/>
      <c r="HH22" s="1337"/>
      <c r="HI22" s="1337"/>
      <c r="HJ22" s="1337"/>
      <c r="HK22" s="1337"/>
      <c r="HL22" s="1337"/>
      <c r="HM22" s="1337"/>
      <c r="HN22" s="1337"/>
      <c r="HO22" s="1337"/>
      <c r="HP22" s="1337"/>
      <c r="HQ22" s="1337"/>
      <c r="HR22" s="1337"/>
      <c r="HS22" s="1337"/>
      <c r="HT22" s="1337"/>
      <c r="HU22" s="1337"/>
      <c r="HV22" s="1337"/>
      <c r="HW22" s="1337"/>
      <c r="HX22" s="1337"/>
      <c r="HY22" s="1337"/>
      <c r="HZ22" s="1337"/>
      <c r="IA22" s="1337"/>
      <c r="IB22" s="1337"/>
      <c r="IC22" s="1337"/>
      <c r="ID22" s="1337"/>
      <c r="IE22" s="1337"/>
      <c r="IF22" s="1337"/>
      <c r="IG22" s="1337"/>
      <c r="IH22" s="1337"/>
      <c r="II22" s="1337"/>
      <c r="IJ22" s="1337"/>
      <c r="IK22" s="1337"/>
      <c r="IL22" s="1337"/>
      <c r="IM22" s="1337"/>
      <c r="IN22" s="1337"/>
      <c r="IO22" s="1337"/>
      <c r="IP22" s="1337"/>
      <c r="IQ22" s="1337"/>
      <c r="IR22" s="1337"/>
      <c r="IS22" s="1337"/>
      <c r="IT22" s="1337"/>
      <c r="IU22" s="1337"/>
      <c r="IV22" s="1337"/>
    </row>
    <row r="23" spans="1:256" s="1345" customFormat="1" ht="13.5" customHeight="1" thickBot="1">
      <c r="A23" s="1365" t="s">
        <v>1103</v>
      </c>
      <c r="B23" s="1374">
        <v>1611.4</v>
      </c>
      <c r="C23" s="1374">
        <v>1662</v>
      </c>
      <c r="D23" s="1375">
        <v>1694.2</v>
      </c>
      <c r="E23" s="1375">
        <v>1484.7</v>
      </c>
      <c r="F23" s="1376">
        <v>1558</v>
      </c>
      <c r="G23" s="1376">
        <f>SUM(G19:G22)</f>
        <v>1345.9</v>
      </c>
      <c r="H23" s="1376">
        <v>1445.3</v>
      </c>
      <c r="I23" s="1376">
        <v>1457.9</v>
      </c>
      <c r="J23" s="1376">
        <v>1158.5</v>
      </c>
      <c r="K23" s="1376">
        <v>1166.9000000000001</v>
      </c>
      <c r="L23" s="1377">
        <v>990.2</v>
      </c>
      <c r="M23" s="1378">
        <v>930.4</v>
      </c>
      <c r="N23" s="1376">
        <v>966</v>
      </c>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4"/>
      <c r="AL23" s="1344"/>
      <c r="AM23" s="1344"/>
      <c r="AN23" s="1344"/>
      <c r="AO23" s="1344"/>
      <c r="AP23" s="1344"/>
      <c r="AQ23" s="1344"/>
      <c r="AR23" s="1344"/>
      <c r="AS23" s="1344"/>
      <c r="AT23" s="1344"/>
      <c r="AU23" s="1344"/>
      <c r="AV23" s="1344"/>
      <c r="AW23" s="1344"/>
      <c r="AX23" s="1344"/>
      <c r="AY23" s="1344"/>
      <c r="AZ23" s="1344"/>
      <c r="BA23" s="1344"/>
      <c r="BB23" s="1344"/>
      <c r="BC23" s="1344"/>
      <c r="BD23" s="1344"/>
      <c r="BE23" s="1344"/>
      <c r="BF23" s="1344"/>
      <c r="BG23" s="1344"/>
      <c r="BH23" s="1344"/>
      <c r="BI23" s="1344"/>
      <c r="BJ23" s="1344"/>
      <c r="BK23" s="1344"/>
      <c r="BL23" s="1344"/>
      <c r="BM23" s="1344"/>
      <c r="BN23" s="1344"/>
      <c r="BO23" s="1344"/>
      <c r="BP23" s="1344"/>
      <c r="BQ23" s="1344"/>
      <c r="BR23" s="1344"/>
      <c r="BS23" s="1344"/>
      <c r="BT23" s="1344"/>
      <c r="BU23" s="1344"/>
      <c r="BV23" s="1344"/>
      <c r="BW23" s="1344"/>
      <c r="BX23" s="1344"/>
      <c r="BY23" s="1344"/>
      <c r="BZ23" s="1344"/>
      <c r="CA23" s="1344"/>
      <c r="CB23" s="1344"/>
      <c r="CC23" s="1344"/>
      <c r="CD23" s="1344"/>
      <c r="CE23" s="1344"/>
      <c r="CF23" s="1344"/>
      <c r="CG23" s="1344"/>
      <c r="CH23" s="1344"/>
      <c r="CI23" s="1344"/>
      <c r="CJ23" s="1344"/>
      <c r="CK23" s="1344"/>
      <c r="CL23" s="1344"/>
      <c r="CM23" s="1344"/>
      <c r="CN23" s="1344"/>
      <c r="CO23" s="1344"/>
      <c r="CP23" s="1344"/>
      <c r="CQ23" s="1344"/>
      <c r="CR23" s="1344"/>
      <c r="CS23" s="1344"/>
      <c r="CT23" s="1344"/>
      <c r="CU23" s="1344"/>
      <c r="CV23" s="1344"/>
      <c r="CW23" s="1344"/>
      <c r="CX23" s="1344"/>
      <c r="CY23" s="1344"/>
      <c r="CZ23" s="1344"/>
      <c r="DA23" s="1344"/>
      <c r="DB23" s="1344"/>
      <c r="DC23" s="1344"/>
      <c r="DD23" s="1344"/>
      <c r="DE23" s="1344"/>
      <c r="DF23" s="1344"/>
      <c r="DG23" s="1344"/>
      <c r="DH23" s="1344"/>
      <c r="DI23" s="1344"/>
      <c r="DJ23" s="1344"/>
      <c r="DK23" s="1344"/>
      <c r="DL23" s="1344"/>
      <c r="DM23" s="1344"/>
      <c r="DN23" s="1344"/>
      <c r="DO23" s="1344"/>
      <c r="DP23" s="1344"/>
      <c r="DQ23" s="1344"/>
      <c r="DR23" s="1344"/>
      <c r="DS23" s="1344"/>
      <c r="DT23" s="1344"/>
      <c r="DU23" s="1344"/>
      <c r="DV23" s="1344"/>
      <c r="DW23" s="1344"/>
      <c r="DX23" s="1344"/>
      <c r="DY23" s="1344"/>
      <c r="DZ23" s="1344"/>
      <c r="EA23" s="1344"/>
      <c r="EB23" s="1344"/>
      <c r="EC23" s="1344"/>
      <c r="ED23" s="1344"/>
      <c r="EE23" s="1344"/>
      <c r="EF23" s="1344"/>
      <c r="EG23" s="1344"/>
      <c r="EH23" s="1344"/>
      <c r="EI23" s="1344"/>
      <c r="EJ23" s="1344"/>
      <c r="EK23" s="1344"/>
      <c r="EL23" s="1344"/>
      <c r="EM23" s="1344"/>
      <c r="EN23" s="1344"/>
      <c r="EO23" s="1344"/>
      <c r="EP23" s="1344"/>
      <c r="EQ23" s="1344"/>
      <c r="ER23" s="1344"/>
      <c r="ES23" s="1344"/>
      <c r="ET23" s="1344"/>
      <c r="EU23" s="1344"/>
      <c r="EV23" s="1344"/>
      <c r="EW23" s="1344"/>
      <c r="EX23" s="1344"/>
      <c r="EY23" s="1344"/>
      <c r="EZ23" s="1344"/>
      <c r="FA23" s="1344"/>
      <c r="FB23" s="1344"/>
      <c r="FC23" s="1344"/>
      <c r="FD23" s="1344"/>
      <c r="FE23" s="1344"/>
      <c r="FF23" s="1344"/>
      <c r="FG23" s="1344"/>
      <c r="FH23" s="1344"/>
      <c r="FI23" s="1344"/>
      <c r="FJ23" s="1344"/>
      <c r="FK23" s="1344"/>
      <c r="FL23" s="1344"/>
      <c r="FM23" s="1344"/>
      <c r="FN23" s="1344"/>
      <c r="FO23" s="1344"/>
      <c r="FP23" s="1344"/>
      <c r="FQ23" s="1344"/>
      <c r="FR23" s="1344"/>
      <c r="FS23" s="1344"/>
      <c r="FT23" s="1344"/>
      <c r="FU23" s="1344"/>
      <c r="FV23" s="1344"/>
      <c r="FW23" s="1344"/>
      <c r="FX23" s="1344"/>
      <c r="FY23" s="1344"/>
      <c r="FZ23" s="1344"/>
      <c r="GA23" s="1344"/>
      <c r="GB23" s="1344"/>
      <c r="GC23" s="1344"/>
      <c r="GD23" s="1344"/>
      <c r="GE23" s="1344"/>
      <c r="GF23" s="1344"/>
      <c r="GG23" s="1344"/>
      <c r="GH23" s="1344"/>
      <c r="GI23" s="1344"/>
      <c r="GJ23" s="1344"/>
      <c r="GK23" s="1344"/>
      <c r="GL23" s="1344"/>
      <c r="GM23" s="1344"/>
      <c r="GN23" s="1344"/>
      <c r="GO23" s="1344"/>
      <c r="GP23" s="1344"/>
      <c r="GQ23" s="1344"/>
      <c r="GR23" s="1344"/>
      <c r="GS23" s="1344"/>
      <c r="GT23" s="1344"/>
      <c r="GU23" s="1344"/>
      <c r="GV23" s="1344"/>
      <c r="GW23" s="1344"/>
      <c r="GX23" s="1344"/>
      <c r="GY23" s="1344"/>
      <c r="GZ23" s="1344"/>
      <c r="HA23" s="1344"/>
      <c r="HB23" s="1344"/>
      <c r="HC23" s="1344"/>
      <c r="HD23" s="1344"/>
      <c r="HE23" s="1344"/>
      <c r="HF23" s="1344"/>
      <c r="HG23" s="1344"/>
      <c r="HH23" s="1344"/>
      <c r="HI23" s="1344"/>
      <c r="HJ23" s="1344"/>
      <c r="HK23" s="1344"/>
      <c r="HL23" s="1344"/>
      <c r="HM23" s="1344"/>
      <c r="HN23" s="1344"/>
      <c r="HO23" s="1344"/>
      <c r="HP23" s="1344"/>
      <c r="HQ23" s="1344"/>
      <c r="HR23" s="1344"/>
      <c r="HS23" s="1344"/>
      <c r="HT23" s="1344"/>
      <c r="HU23" s="1344"/>
      <c r="HV23" s="1344"/>
      <c r="HW23" s="1344"/>
      <c r="HX23" s="1344"/>
      <c r="HY23" s="1344"/>
      <c r="HZ23" s="1344"/>
      <c r="IA23" s="1344"/>
      <c r="IB23" s="1344"/>
      <c r="IC23" s="1344"/>
      <c r="ID23" s="1344"/>
      <c r="IE23" s="1344"/>
      <c r="IF23" s="1344"/>
      <c r="IG23" s="1344"/>
      <c r="IH23" s="1344"/>
      <c r="II23" s="1344"/>
      <c r="IJ23" s="1344"/>
      <c r="IK23" s="1344"/>
      <c r="IL23" s="1344"/>
      <c r="IM23" s="1344"/>
      <c r="IN23" s="1344"/>
      <c r="IO23" s="1344"/>
      <c r="IP23" s="1344"/>
      <c r="IQ23" s="1344"/>
      <c r="IR23" s="1344"/>
      <c r="IS23" s="1344"/>
      <c r="IT23" s="1344"/>
      <c r="IU23" s="1344"/>
      <c r="IV23" s="1344"/>
    </row>
    <row r="24" spans="1:256" ht="12" customHeight="1" thickTop="1">
      <c r="A24" s="1379" t="s">
        <v>1108</v>
      </c>
      <c r="B24" s="1357">
        <v>591</v>
      </c>
      <c r="C24" s="1357">
        <v>617.9</v>
      </c>
      <c r="D24" s="1358">
        <v>669.2</v>
      </c>
      <c r="E24" s="1358">
        <v>694.4</v>
      </c>
      <c r="F24" s="1358">
        <v>939.9</v>
      </c>
      <c r="G24" s="1358">
        <v>791.8</v>
      </c>
      <c r="H24" s="1358">
        <v>759.3</v>
      </c>
      <c r="I24" s="1358">
        <v>791.4</v>
      </c>
      <c r="J24" s="1358">
        <v>737.1</v>
      </c>
      <c r="K24" s="1358">
        <v>875</v>
      </c>
      <c r="L24" s="1364">
        <v>865.6</v>
      </c>
      <c r="M24" s="1364">
        <v>799.7</v>
      </c>
      <c r="N24" s="1358">
        <v>811.9</v>
      </c>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7"/>
      <c r="AL24" s="1337"/>
      <c r="AM24" s="1337"/>
      <c r="AN24" s="1337"/>
      <c r="AO24" s="1337"/>
      <c r="AP24" s="1337"/>
      <c r="AQ24" s="1337"/>
      <c r="AR24" s="1337"/>
      <c r="AS24" s="1337"/>
      <c r="AT24" s="1337"/>
      <c r="AU24" s="1337"/>
      <c r="AV24" s="1337"/>
      <c r="AW24" s="1337"/>
      <c r="AX24" s="1337"/>
      <c r="AY24" s="1337"/>
      <c r="AZ24" s="1337"/>
      <c r="BA24" s="1337"/>
      <c r="BB24" s="1337"/>
      <c r="BC24" s="1337"/>
      <c r="BD24" s="1337"/>
      <c r="BE24" s="1337"/>
      <c r="BF24" s="1337"/>
      <c r="BG24" s="1337"/>
      <c r="BH24" s="1337"/>
      <c r="BI24" s="1337"/>
      <c r="BJ24" s="1337"/>
      <c r="BK24" s="1337"/>
      <c r="BL24" s="1337"/>
      <c r="BM24" s="1337"/>
      <c r="BN24" s="1337"/>
      <c r="BO24" s="1337"/>
      <c r="BP24" s="1337"/>
      <c r="BQ24" s="1337"/>
      <c r="BR24" s="1337"/>
      <c r="BS24" s="1337"/>
      <c r="BT24" s="1337"/>
      <c r="BU24" s="1337"/>
      <c r="BV24" s="1337"/>
      <c r="BW24" s="1337"/>
      <c r="BX24" s="1337"/>
      <c r="BY24" s="1337"/>
      <c r="BZ24" s="1337"/>
      <c r="CA24" s="1337"/>
      <c r="CB24" s="1337"/>
      <c r="CC24" s="1337"/>
      <c r="CD24" s="1337"/>
      <c r="CE24" s="1337"/>
      <c r="CF24" s="1337"/>
      <c r="CG24" s="1337"/>
      <c r="CH24" s="1337"/>
      <c r="CI24" s="1337"/>
      <c r="CJ24" s="1337"/>
      <c r="CK24" s="1337"/>
      <c r="CL24" s="1337"/>
      <c r="CM24" s="1337"/>
      <c r="CN24" s="1337"/>
      <c r="CO24" s="1337"/>
      <c r="CP24" s="1337"/>
      <c r="CQ24" s="1337"/>
      <c r="CR24" s="1337"/>
      <c r="CS24" s="1337"/>
      <c r="CT24" s="1337"/>
      <c r="CU24" s="1337"/>
      <c r="CV24" s="1337"/>
      <c r="CW24" s="1337"/>
      <c r="CX24" s="1337"/>
      <c r="CY24" s="1337"/>
      <c r="CZ24" s="1337"/>
      <c r="DA24" s="1337"/>
      <c r="DB24" s="1337"/>
      <c r="DC24" s="1337"/>
      <c r="DD24" s="1337"/>
      <c r="DE24" s="1337"/>
      <c r="DF24" s="1337"/>
      <c r="DG24" s="1337"/>
      <c r="DH24" s="1337"/>
      <c r="DI24" s="1337"/>
      <c r="DJ24" s="1337"/>
      <c r="DK24" s="1337"/>
      <c r="DL24" s="1337"/>
      <c r="DM24" s="1337"/>
      <c r="DN24" s="1337"/>
      <c r="DO24" s="1337"/>
      <c r="DP24" s="1337"/>
      <c r="DQ24" s="1337"/>
      <c r="DR24" s="1337"/>
      <c r="DS24" s="1337"/>
      <c r="DT24" s="1337"/>
      <c r="DU24" s="1337"/>
      <c r="DV24" s="1337"/>
      <c r="DW24" s="1337"/>
      <c r="DX24" s="1337"/>
      <c r="DY24" s="1337"/>
      <c r="DZ24" s="1337"/>
      <c r="EA24" s="1337"/>
      <c r="EB24" s="1337"/>
      <c r="EC24" s="1337"/>
      <c r="ED24" s="1337"/>
      <c r="EE24" s="1337"/>
      <c r="EF24" s="1337"/>
      <c r="EG24" s="1337"/>
      <c r="EH24" s="1337"/>
      <c r="EI24" s="1337"/>
      <c r="EJ24" s="1337"/>
      <c r="EK24" s="1337"/>
      <c r="EL24" s="1337"/>
      <c r="EM24" s="1337"/>
      <c r="EN24" s="1337"/>
      <c r="EO24" s="1337"/>
      <c r="EP24" s="1337"/>
      <c r="EQ24" s="1337"/>
      <c r="ER24" s="1337"/>
      <c r="ES24" s="1337"/>
      <c r="ET24" s="1337"/>
      <c r="EU24" s="1337"/>
      <c r="EV24" s="1337"/>
      <c r="EW24" s="1337"/>
      <c r="EX24" s="1337"/>
      <c r="EY24" s="1337"/>
      <c r="EZ24" s="1337"/>
      <c r="FA24" s="1337"/>
      <c r="FB24" s="1337"/>
      <c r="FC24" s="1337"/>
      <c r="FD24" s="1337"/>
      <c r="FE24" s="1337"/>
      <c r="FF24" s="1337"/>
      <c r="FG24" s="1337"/>
      <c r="FH24" s="1337"/>
      <c r="FI24" s="1337"/>
      <c r="FJ24" s="1337"/>
      <c r="FK24" s="1337"/>
      <c r="FL24" s="1337"/>
      <c r="FM24" s="1337"/>
      <c r="FN24" s="1337"/>
      <c r="FO24" s="1337"/>
      <c r="FP24" s="1337"/>
      <c r="FQ24" s="1337"/>
      <c r="FR24" s="1337"/>
      <c r="FS24" s="1337"/>
      <c r="FT24" s="1337"/>
      <c r="FU24" s="1337"/>
      <c r="FV24" s="1337"/>
      <c r="FW24" s="1337"/>
      <c r="FX24" s="1337"/>
      <c r="FY24" s="1337"/>
      <c r="FZ24" s="1337"/>
      <c r="GA24" s="1337"/>
      <c r="GB24" s="1337"/>
      <c r="GC24" s="1337"/>
      <c r="GD24" s="1337"/>
      <c r="GE24" s="1337"/>
      <c r="GF24" s="1337"/>
      <c r="GG24" s="1337"/>
      <c r="GH24" s="1337"/>
      <c r="GI24" s="1337"/>
      <c r="GJ24" s="1337"/>
      <c r="GK24" s="1337"/>
      <c r="GL24" s="1337"/>
      <c r="GM24" s="1337"/>
      <c r="GN24" s="1337"/>
      <c r="GO24" s="1337"/>
      <c r="GP24" s="1337"/>
      <c r="GQ24" s="1337"/>
      <c r="GR24" s="1337"/>
      <c r="GS24" s="1337"/>
      <c r="GT24" s="1337"/>
      <c r="GU24" s="1337"/>
      <c r="GV24" s="1337"/>
      <c r="GW24" s="1337"/>
      <c r="GX24" s="1337"/>
      <c r="GY24" s="1337"/>
      <c r="GZ24" s="1337"/>
      <c r="HA24" s="1337"/>
      <c r="HB24" s="1337"/>
      <c r="HC24" s="1337"/>
      <c r="HD24" s="1337"/>
      <c r="HE24" s="1337"/>
      <c r="HF24" s="1337"/>
      <c r="HG24" s="1337"/>
      <c r="HH24" s="1337"/>
      <c r="HI24" s="1337"/>
      <c r="HJ24" s="1337"/>
      <c r="HK24" s="1337"/>
      <c r="HL24" s="1337"/>
      <c r="HM24" s="1337"/>
      <c r="HN24" s="1337"/>
      <c r="HO24" s="1337"/>
      <c r="HP24" s="1337"/>
      <c r="HQ24" s="1337"/>
      <c r="HR24" s="1337"/>
      <c r="HS24" s="1337"/>
      <c r="HT24" s="1337"/>
      <c r="HU24" s="1337"/>
      <c r="HV24" s="1337"/>
      <c r="HW24" s="1337"/>
      <c r="HX24" s="1337"/>
      <c r="HY24" s="1337"/>
      <c r="HZ24" s="1337"/>
      <c r="IA24" s="1337"/>
      <c r="IB24" s="1337"/>
      <c r="IC24" s="1337"/>
      <c r="ID24" s="1337"/>
      <c r="IE24" s="1337"/>
      <c r="IF24" s="1337"/>
      <c r="IG24" s="1337"/>
      <c r="IH24" s="1337"/>
      <c r="II24" s="1337"/>
      <c r="IJ24" s="1337"/>
      <c r="IK24" s="1337"/>
      <c r="IL24" s="1337"/>
      <c r="IM24" s="1337"/>
      <c r="IN24" s="1337"/>
      <c r="IO24" s="1337"/>
      <c r="IP24" s="1337"/>
      <c r="IQ24" s="1337"/>
      <c r="IR24" s="1337"/>
      <c r="IS24" s="1337"/>
      <c r="IT24" s="1337"/>
      <c r="IU24" s="1337"/>
      <c r="IV24" s="1337"/>
    </row>
    <row r="25" spans="1:256" ht="12" customHeight="1">
      <c r="A25" s="1380" t="s">
        <v>1109</v>
      </c>
      <c r="B25" s="1361">
        <v>6873</v>
      </c>
      <c r="C25" s="1361">
        <v>7186</v>
      </c>
      <c r="D25" s="1362">
        <v>7783</v>
      </c>
      <c r="E25" s="1362">
        <v>8075</v>
      </c>
      <c r="F25" s="1362">
        <v>10931</v>
      </c>
      <c r="G25" s="1362">
        <v>9207.75</v>
      </c>
      <c r="H25" s="1362">
        <v>8830.1</v>
      </c>
      <c r="I25" s="1362">
        <v>9203.9</v>
      </c>
      <c r="J25" s="1362">
        <v>8572.2999999999993</v>
      </c>
      <c r="K25" s="1362">
        <v>10176.799999999999</v>
      </c>
      <c r="L25" s="1373">
        <v>10066.9</v>
      </c>
      <c r="M25" s="1373">
        <v>9300.2999999999993</v>
      </c>
      <c r="N25" s="1362">
        <v>9442.7999999999993</v>
      </c>
      <c r="O25" s="1337"/>
      <c r="P25" s="1337"/>
      <c r="Q25" s="1337"/>
      <c r="R25" s="1337"/>
      <c r="S25" s="1337"/>
      <c r="T25" s="1337"/>
      <c r="U25" s="1337"/>
      <c r="V25" s="1337"/>
      <c r="W25" s="1337"/>
      <c r="X25" s="1337"/>
      <c r="Y25" s="1337"/>
      <c r="Z25" s="1337"/>
      <c r="AA25" s="1337"/>
      <c r="AB25" s="1337"/>
      <c r="AC25" s="1337"/>
      <c r="AD25" s="1337"/>
      <c r="AE25" s="1337"/>
      <c r="AF25" s="1337"/>
      <c r="AG25" s="1337"/>
      <c r="AH25" s="1337"/>
      <c r="AI25" s="1337"/>
      <c r="AJ25" s="1337"/>
      <c r="AK25" s="1337"/>
      <c r="AL25" s="1337"/>
      <c r="AM25" s="1337"/>
      <c r="AN25" s="1337"/>
      <c r="AO25" s="1337"/>
      <c r="AP25" s="1337"/>
      <c r="AQ25" s="1337"/>
      <c r="AR25" s="1337"/>
      <c r="AS25" s="1337"/>
      <c r="AT25" s="1337"/>
      <c r="AU25" s="1337"/>
      <c r="AV25" s="1337"/>
      <c r="AW25" s="1337"/>
      <c r="AX25" s="1337"/>
      <c r="AY25" s="1337"/>
      <c r="AZ25" s="1337"/>
      <c r="BA25" s="1337"/>
      <c r="BB25" s="1337"/>
      <c r="BC25" s="1337"/>
      <c r="BD25" s="1337"/>
      <c r="BE25" s="1337"/>
      <c r="BF25" s="1337"/>
      <c r="BG25" s="1337"/>
      <c r="BH25" s="1337"/>
      <c r="BI25" s="1337"/>
      <c r="BJ25" s="1337"/>
      <c r="BK25" s="1337"/>
      <c r="BL25" s="1337"/>
      <c r="BM25" s="1337"/>
      <c r="BN25" s="1337"/>
      <c r="BO25" s="1337"/>
      <c r="BP25" s="1337"/>
      <c r="BQ25" s="1337"/>
      <c r="BR25" s="1337"/>
      <c r="BS25" s="1337"/>
      <c r="BT25" s="1337"/>
      <c r="BU25" s="1337"/>
      <c r="BV25" s="1337"/>
      <c r="BW25" s="1337"/>
      <c r="BX25" s="1337"/>
      <c r="BY25" s="1337"/>
      <c r="BZ25" s="1337"/>
      <c r="CA25" s="1337"/>
      <c r="CB25" s="1337"/>
      <c r="CC25" s="1337"/>
      <c r="CD25" s="1337"/>
      <c r="CE25" s="1337"/>
      <c r="CF25" s="1337"/>
      <c r="CG25" s="1337"/>
      <c r="CH25" s="1337"/>
      <c r="CI25" s="1337"/>
      <c r="CJ25" s="1337"/>
      <c r="CK25" s="1337"/>
      <c r="CL25" s="1337"/>
      <c r="CM25" s="1337"/>
      <c r="CN25" s="1337"/>
      <c r="CO25" s="1337"/>
      <c r="CP25" s="1337"/>
      <c r="CQ25" s="1337"/>
      <c r="CR25" s="1337"/>
      <c r="CS25" s="1337"/>
      <c r="CT25" s="1337"/>
      <c r="CU25" s="1337"/>
      <c r="CV25" s="1337"/>
      <c r="CW25" s="1337"/>
      <c r="CX25" s="1337"/>
      <c r="CY25" s="1337"/>
      <c r="CZ25" s="1337"/>
      <c r="DA25" s="1337"/>
      <c r="DB25" s="1337"/>
      <c r="DC25" s="1337"/>
      <c r="DD25" s="1337"/>
      <c r="DE25" s="1337"/>
      <c r="DF25" s="1337"/>
      <c r="DG25" s="1337"/>
      <c r="DH25" s="1337"/>
      <c r="DI25" s="1337"/>
      <c r="DJ25" s="1337"/>
      <c r="DK25" s="1337"/>
      <c r="DL25" s="1337"/>
      <c r="DM25" s="1337"/>
      <c r="DN25" s="1337"/>
      <c r="DO25" s="1337"/>
      <c r="DP25" s="1337"/>
      <c r="DQ25" s="1337"/>
      <c r="DR25" s="1337"/>
      <c r="DS25" s="1337"/>
      <c r="DT25" s="1337"/>
      <c r="DU25" s="1337"/>
      <c r="DV25" s="1337"/>
      <c r="DW25" s="1337"/>
      <c r="DX25" s="1337"/>
      <c r="DY25" s="1337"/>
      <c r="DZ25" s="1337"/>
      <c r="EA25" s="1337"/>
      <c r="EB25" s="1337"/>
      <c r="EC25" s="1337"/>
      <c r="ED25" s="1337"/>
      <c r="EE25" s="1337"/>
      <c r="EF25" s="1337"/>
      <c r="EG25" s="1337"/>
      <c r="EH25" s="1337"/>
      <c r="EI25" s="1337"/>
      <c r="EJ25" s="1337"/>
      <c r="EK25" s="1337"/>
      <c r="EL25" s="1337"/>
      <c r="EM25" s="1337"/>
      <c r="EN25" s="1337"/>
      <c r="EO25" s="1337"/>
      <c r="EP25" s="1337"/>
      <c r="EQ25" s="1337"/>
      <c r="ER25" s="1337"/>
      <c r="ES25" s="1337"/>
      <c r="ET25" s="1337"/>
      <c r="EU25" s="1337"/>
      <c r="EV25" s="1337"/>
      <c r="EW25" s="1337"/>
      <c r="EX25" s="1337"/>
      <c r="EY25" s="1337"/>
      <c r="EZ25" s="1337"/>
      <c r="FA25" s="1337"/>
      <c r="FB25" s="1337"/>
      <c r="FC25" s="1337"/>
      <c r="FD25" s="1337"/>
      <c r="FE25" s="1337"/>
      <c r="FF25" s="1337"/>
      <c r="FG25" s="1337"/>
      <c r="FH25" s="1337"/>
      <c r="FI25" s="1337"/>
      <c r="FJ25" s="1337"/>
      <c r="FK25" s="1337"/>
      <c r="FL25" s="1337"/>
      <c r="FM25" s="1337"/>
      <c r="FN25" s="1337"/>
      <c r="FO25" s="1337"/>
      <c r="FP25" s="1337"/>
      <c r="FQ25" s="1337"/>
      <c r="FR25" s="1337"/>
      <c r="FS25" s="1337"/>
      <c r="FT25" s="1337"/>
      <c r="FU25" s="1337"/>
      <c r="FV25" s="1337"/>
      <c r="FW25" s="1337"/>
      <c r="FX25" s="1337"/>
      <c r="FY25" s="1337"/>
      <c r="FZ25" s="1337"/>
      <c r="GA25" s="1337"/>
      <c r="GB25" s="1337"/>
      <c r="GC25" s="1337"/>
      <c r="GD25" s="1337"/>
      <c r="GE25" s="1337"/>
      <c r="GF25" s="1337"/>
      <c r="GG25" s="1337"/>
      <c r="GH25" s="1337"/>
      <c r="GI25" s="1337"/>
      <c r="GJ25" s="1337"/>
      <c r="GK25" s="1337"/>
      <c r="GL25" s="1337"/>
      <c r="GM25" s="1337"/>
      <c r="GN25" s="1337"/>
      <c r="GO25" s="1337"/>
      <c r="GP25" s="1337"/>
      <c r="GQ25" s="1337"/>
      <c r="GR25" s="1337"/>
      <c r="GS25" s="1337"/>
      <c r="GT25" s="1337"/>
      <c r="GU25" s="1337"/>
      <c r="GV25" s="1337"/>
      <c r="GW25" s="1337"/>
      <c r="GX25" s="1337"/>
      <c r="GY25" s="1337"/>
      <c r="GZ25" s="1337"/>
      <c r="HA25" s="1337"/>
      <c r="HB25" s="1337"/>
      <c r="HC25" s="1337"/>
      <c r="HD25" s="1337"/>
      <c r="HE25" s="1337"/>
      <c r="HF25" s="1337"/>
      <c r="HG25" s="1337"/>
      <c r="HH25" s="1337"/>
      <c r="HI25" s="1337"/>
      <c r="HJ25" s="1337"/>
      <c r="HK25" s="1337"/>
      <c r="HL25" s="1337"/>
      <c r="HM25" s="1337"/>
      <c r="HN25" s="1337"/>
      <c r="HO25" s="1337"/>
      <c r="HP25" s="1337"/>
      <c r="HQ25" s="1337"/>
      <c r="HR25" s="1337"/>
      <c r="HS25" s="1337"/>
      <c r="HT25" s="1337"/>
      <c r="HU25" s="1337"/>
      <c r="HV25" s="1337"/>
      <c r="HW25" s="1337"/>
      <c r="HX25" s="1337"/>
      <c r="HY25" s="1337"/>
      <c r="HZ25" s="1337"/>
      <c r="IA25" s="1337"/>
      <c r="IB25" s="1337"/>
      <c r="IC25" s="1337"/>
      <c r="ID25" s="1337"/>
      <c r="IE25" s="1337"/>
      <c r="IF25" s="1337"/>
      <c r="IG25" s="1337"/>
      <c r="IH25" s="1337"/>
      <c r="II25" s="1337"/>
      <c r="IJ25" s="1337"/>
      <c r="IK25" s="1337"/>
      <c r="IL25" s="1337"/>
      <c r="IM25" s="1337"/>
      <c r="IN25" s="1337"/>
      <c r="IO25" s="1337"/>
      <c r="IP25" s="1337"/>
      <c r="IQ25" s="1337"/>
      <c r="IR25" s="1337"/>
      <c r="IS25" s="1337"/>
      <c r="IT25" s="1337"/>
      <c r="IU25" s="1337"/>
      <c r="IV25" s="1337"/>
    </row>
    <row r="26" spans="1:256" ht="12" customHeight="1">
      <c r="A26" s="1379" t="s">
        <v>1110</v>
      </c>
      <c r="B26" s="1357">
        <v>506.7</v>
      </c>
      <c r="C26" s="1357">
        <v>531.79999999999995</v>
      </c>
      <c r="D26" s="1358">
        <v>550.5</v>
      </c>
      <c r="E26" s="1358">
        <v>585</v>
      </c>
      <c r="F26" s="1358">
        <v>687.3</v>
      </c>
      <c r="G26" s="1358">
        <v>532.1</v>
      </c>
      <c r="H26" s="1358">
        <v>656</v>
      </c>
      <c r="I26" s="1358">
        <v>469.5</v>
      </c>
      <c r="J26" s="1358">
        <v>560.4</v>
      </c>
      <c r="K26" s="1358">
        <v>768.3</v>
      </c>
      <c r="L26" s="1364">
        <v>626.70000000000005</v>
      </c>
      <c r="M26" s="1364">
        <v>592.20000000000005</v>
      </c>
      <c r="N26" s="1358">
        <v>465.1</v>
      </c>
      <c r="O26" s="1337"/>
      <c r="P26" s="1337"/>
      <c r="Q26" s="1337"/>
      <c r="R26" s="1337"/>
      <c r="S26" s="1337"/>
      <c r="T26" s="1337"/>
      <c r="U26" s="1337"/>
      <c r="V26" s="1337"/>
      <c r="W26" s="1337"/>
      <c r="X26" s="1337"/>
      <c r="Y26" s="1337"/>
      <c r="Z26" s="1337"/>
      <c r="AA26" s="1337"/>
      <c r="AB26" s="1337"/>
      <c r="AC26" s="1337"/>
      <c r="AD26" s="1337"/>
      <c r="AE26" s="1337"/>
      <c r="AF26" s="1337"/>
      <c r="AG26" s="1337"/>
      <c r="AH26" s="1337"/>
      <c r="AI26" s="1337"/>
      <c r="AJ26" s="1337"/>
      <c r="AK26" s="1337"/>
      <c r="AL26" s="1337"/>
      <c r="AM26" s="1337"/>
      <c r="AN26" s="1337"/>
      <c r="AO26" s="1337"/>
      <c r="AP26" s="1337"/>
      <c r="AQ26" s="1337"/>
      <c r="AR26" s="1337"/>
      <c r="AS26" s="1337"/>
      <c r="AT26" s="1337"/>
      <c r="AU26" s="1337"/>
      <c r="AV26" s="1337"/>
      <c r="AW26" s="1337"/>
      <c r="AX26" s="1337"/>
      <c r="AY26" s="1337"/>
      <c r="AZ26" s="1337"/>
      <c r="BA26" s="1337"/>
      <c r="BB26" s="1337"/>
      <c r="BC26" s="1337"/>
      <c r="BD26" s="1337"/>
      <c r="BE26" s="1337"/>
      <c r="BF26" s="1337"/>
      <c r="BG26" s="1337"/>
      <c r="BH26" s="1337"/>
      <c r="BI26" s="1337"/>
      <c r="BJ26" s="1337"/>
      <c r="BK26" s="1337"/>
      <c r="BL26" s="1337"/>
      <c r="BM26" s="1337"/>
      <c r="BN26" s="1337"/>
      <c r="BO26" s="1337"/>
      <c r="BP26" s="1337"/>
      <c r="BQ26" s="1337"/>
      <c r="BR26" s="1337"/>
      <c r="BS26" s="1337"/>
      <c r="BT26" s="1337"/>
      <c r="BU26" s="1337"/>
      <c r="BV26" s="1337"/>
      <c r="BW26" s="1337"/>
      <c r="BX26" s="1337"/>
      <c r="BY26" s="1337"/>
      <c r="BZ26" s="1337"/>
      <c r="CA26" s="1337"/>
      <c r="CB26" s="1337"/>
      <c r="CC26" s="1337"/>
      <c r="CD26" s="1337"/>
      <c r="CE26" s="1337"/>
      <c r="CF26" s="1337"/>
      <c r="CG26" s="1337"/>
      <c r="CH26" s="1337"/>
      <c r="CI26" s="1337"/>
      <c r="CJ26" s="1337"/>
      <c r="CK26" s="1337"/>
      <c r="CL26" s="1337"/>
      <c r="CM26" s="1337"/>
      <c r="CN26" s="1337"/>
      <c r="CO26" s="1337"/>
      <c r="CP26" s="1337"/>
      <c r="CQ26" s="1337"/>
      <c r="CR26" s="1337"/>
      <c r="CS26" s="1337"/>
      <c r="CT26" s="1337"/>
      <c r="CU26" s="1337"/>
      <c r="CV26" s="1337"/>
      <c r="CW26" s="1337"/>
      <c r="CX26" s="1337"/>
      <c r="CY26" s="1337"/>
      <c r="CZ26" s="1337"/>
      <c r="DA26" s="1337"/>
      <c r="DB26" s="1337"/>
      <c r="DC26" s="1337"/>
      <c r="DD26" s="1337"/>
      <c r="DE26" s="1337"/>
      <c r="DF26" s="1337"/>
      <c r="DG26" s="1337"/>
      <c r="DH26" s="1337"/>
      <c r="DI26" s="1337"/>
      <c r="DJ26" s="1337"/>
      <c r="DK26" s="1337"/>
      <c r="DL26" s="1337"/>
      <c r="DM26" s="1337"/>
      <c r="DN26" s="1337"/>
      <c r="DO26" s="1337"/>
      <c r="DP26" s="1337"/>
      <c r="DQ26" s="1337"/>
      <c r="DR26" s="1337"/>
      <c r="DS26" s="1337"/>
      <c r="DT26" s="1337"/>
      <c r="DU26" s="1337"/>
      <c r="DV26" s="1337"/>
      <c r="DW26" s="1337"/>
      <c r="DX26" s="1337"/>
      <c r="DY26" s="1337"/>
      <c r="DZ26" s="1337"/>
      <c r="EA26" s="1337"/>
      <c r="EB26" s="1337"/>
      <c r="EC26" s="1337"/>
      <c r="ED26" s="1337"/>
      <c r="EE26" s="1337"/>
      <c r="EF26" s="1337"/>
      <c r="EG26" s="1337"/>
      <c r="EH26" s="1337"/>
      <c r="EI26" s="1337"/>
      <c r="EJ26" s="1337"/>
      <c r="EK26" s="1337"/>
      <c r="EL26" s="1337"/>
      <c r="EM26" s="1337"/>
      <c r="EN26" s="1337"/>
      <c r="EO26" s="1337"/>
      <c r="EP26" s="1337"/>
      <c r="EQ26" s="1337"/>
      <c r="ER26" s="1337"/>
      <c r="ES26" s="1337"/>
      <c r="ET26" s="1337"/>
      <c r="EU26" s="1337"/>
      <c r="EV26" s="1337"/>
      <c r="EW26" s="1337"/>
      <c r="EX26" s="1337"/>
      <c r="EY26" s="1337"/>
      <c r="EZ26" s="1337"/>
      <c r="FA26" s="1337"/>
      <c r="FB26" s="1337"/>
      <c r="FC26" s="1337"/>
      <c r="FD26" s="1337"/>
      <c r="FE26" s="1337"/>
      <c r="FF26" s="1337"/>
      <c r="FG26" s="1337"/>
      <c r="FH26" s="1337"/>
      <c r="FI26" s="1337"/>
      <c r="FJ26" s="1337"/>
      <c r="FK26" s="1337"/>
      <c r="FL26" s="1337"/>
      <c r="FM26" s="1337"/>
      <c r="FN26" s="1337"/>
      <c r="FO26" s="1337"/>
      <c r="FP26" s="1337"/>
      <c r="FQ26" s="1337"/>
      <c r="FR26" s="1337"/>
      <c r="FS26" s="1337"/>
      <c r="FT26" s="1337"/>
      <c r="FU26" s="1337"/>
      <c r="FV26" s="1337"/>
      <c r="FW26" s="1337"/>
      <c r="FX26" s="1337"/>
      <c r="FY26" s="1337"/>
      <c r="FZ26" s="1337"/>
      <c r="GA26" s="1337"/>
      <c r="GB26" s="1337"/>
      <c r="GC26" s="1337"/>
      <c r="GD26" s="1337"/>
      <c r="GE26" s="1337"/>
      <c r="GF26" s="1337"/>
      <c r="GG26" s="1337"/>
      <c r="GH26" s="1337"/>
      <c r="GI26" s="1337"/>
      <c r="GJ26" s="1337"/>
      <c r="GK26" s="1337"/>
      <c r="GL26" s="1337"/>
      <c r="GM26" s="1337"/>
      <c r="GN26" s="1337"/>
      <c r="GO26" s="1337"/>
      <c r="GP26" s="1337"/>
      <c r="GQ26" s="1337"/>
      <c r="GR26" s="1337"/>
      <c r="GS26" s="1337"/>
      <c r="GT26" s="1337"/>
      <c r="GU26" s="1337"/>
      <c r="GV26" s="1337"/>
      <c r="GW26" s="1337"/>
      <c r="GX26" s="1337"/>
      <c r="GY26" s="1337"/>
      <c r="GZ26" s="1337"/>
      <c r="HA26" s="1337"/>
      <c r="HB26" s="1337"/>
      <c r="HC26" s="1337"/>
      <c r="HD26" s="1337"/>
      <c r="HE26" s="1337"/>
      <c r="HF26" s="1337"/>
      <c r="HG26" s="1337"/>
      <c r="HH26" s="1337"/>
      <c r="HI26" s="1337"/>
      <c r="HJ26" s="1337"/>
      <c r="HK26" s="1337"/>
      <c r="HL26" s="1337"/>
      <c r="HM26" s="1337"/>
      <c r="HN26" s="1337"/>
      <c r="HO26" s="1337"/>
      <c r="HP26" s="1337"/>
      <c r="HQ26" s="1337"/>
      <c r="HR26" s="1337"/>
      <c r="HS26" s="1337"/>
      <c r="HT26" s="1337"/>
      <c r="HU26" s="1337"/>
      <c r="HV26" s="1337"/>
      <c r="HW26" s="1337"/>
      <c r="HX26" s="1337"/>
      <c r="HY26" s="1337"/>
      <c r="HZ26" s="1337"/>
      <c r="IA26" s="1337"/>
      <c r="IB26" s="1337"/>
      <c r="IC26" s="1337"/>
      <c r="ID26" s="1337"/>
      <c r="IE26" s="1337"/>
      <c r="IF26" s="1337"/>
      <c r="IG26" s="1337"/>
      <c r="IH26" s="1337"/>
      <c r="II26" s="1337"/>
      <c r="IJ26" s="1337"/>
      <c r="IK26" s="1337"/>
      <c r="IL26" s="1337"/>
      <c r="IM26" s="1337"/>
      <c r="IN26" s="1337"/>
      <c r="IO26" s="1337"/>
      <c r="IP26" s="1337"/>
      <c r="IQ26" s="1337"/>
      <c r="IR26" s="1337"/>
      <c r="IS26" s="1337"/>
      <c r="IT26" s="1337"/>
      <c r="IU26" s="1337"/>
      <c r="IV26" s="1337"/>
    </row>
    <row r="27" spans="1:256" ht="12" customHeight="1" thickBot="1">
      <c r="A27" s="1381" t="s">
        <v>1111</v>
      </c>
      <c r="B27" s="1366">
        <v>5893</v>
      </c>
      <c r="C27" s="1366">
        <v>6185</v>
      </c>
      <c r="D27" s="1367">
        <v>6402</v>
      </c>
      <c r="E27" s="1367">
        <v>6803</v>
      </c>
      <c r="F27" s="1367">
        <v>7993</v>
      </c>
      <c r="G27" s="1367">
        <v>6188.2</v>
      </c>
      <c r="H27" s="1367">
        <v>7629.6</v>
      </c>
      <c r="I27" s="1367">
        <v>5460</v>
      </c>
      <c r="J27" s="1367">
        <v>6517.1</v>
      </c>
      <c r="K27" s="1367">
        <v>8935.2999999999993</v>
      </c>
      <c r="L27" s="1368">
        <v>7288.9</v>
      </c>
      <c r="M27" s="1368">
        <v>6887.6</v>
      </c>
      <c r="N27" s="1367">
        <v>5409</v>
      </c>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7"/>
      <c r="AL27" s="1337"/>
      <c r="AM27" s="1337"/>
      <c r="AN27" s="1337"/>
      <c r="AO27" s="1337"/>
      <c r="AP27" s="1337"/>
      <c r="AQ27" s="1337"/>
      <c r="AR27" s="1337"/>
      <c r="AS27" s="1337"/>
      <c r="AT27" s="1337"/>
      <c r="AU27" s="1337"/>
      <c r="AV27" s="1337"/>
      <c r="AW27" s="1337"/>
      <c r="AX27" s="1337"/>
      <c r="AY27" s="1337"/>
      <c r="AZ27" s="1337"/>
      <c r="BA27" s="1337"/>
      <c r="BB27" s="1337"/>
      <c r="BC27" s="1337"/>
      <c r="BD27" s="1337"/>
      <c r="BE27" s="1337"/>
      <c r="BF27" s="1337"/>
      <c r="BG27" s="1337"/>
      <c r="BH27" s="1337"/>
      <c r="BI27" s="1337"/>
      <c r="BJ27" s="1337"/>
      <c r="BK27" s="1337"/>
      <c r="BL27" s="1337"/>
      <c r="BM27" s="1337"/>
      <c r="BN27" s="1337"/>
      <c r="BO27" s="1337"/>
      <c r="BP27" s="1337"/>
      <c r="BQ27" s="1337"/>
      <c r="BR27" s="1337"/>
      <c r="BS27" s="1337"/>
      <c r="BT27" s="1337"/>
      <c r="BU27" s="1337"/>
      <c r="BV27" s="1337"/>
      <c r="BW27" s="1337"/>
      <c r="BX27" s="1337"/>
      <c r="BY27" s="1337"/>
      <c r="BZ27" s="1337"/>
      <c r="CA27" s="1337"/>
      <c r="CB27" s="1337"/>
      <c r="CC27" s="1337"/>
      <c r="CD27" s="1337"/>
      <c r="CE27" s="1337"/>
      <c r="CF27" s="1337"/>
      <c r="CG27" s="1337"/>
      <c r="CH27" s="1337"/>
      <c r="CI27" s="1337"/>
      <c r="CJ27" s="1337"/>
      <c r="CK27" s="1337"/>
      <c r="CL27" s="1337"/>
      <c r="CM27" s="1337"/>
      <c r="CN27" s="1337"/>
      <c r="CO27" s="1337"/>
      <c r="CP27" s="1337"/>
      <c r="CQ27" s="1337"/>
      <c r="CR27" s="1337"/>
      <c r="CS27" s="1337"/>
      <c r="CT27" s="1337"/>
      <c r="CU27" s="1337"/>
      <c r="CV27" s="1337"/>
      <c r="CW27" s="1337"/>
      <c r="CX27" s="1337"/>
      <c r="CY27" s="1337"/>
      <c r="CZ27" s="1337"/>
      <c r="DA27" s="1337"/>
      <c r="DB27" s="1337"/>
      <c r="DC27" s="1337"/>
      <c r="DD27" s="1337"/>
      <c r="DE27" s="1337"/>
      <c r="DF27" s="1337"/>
      <c r="DG27" s="1337"/>
      <c r="DH27" s="1337"/>
      <c r="DI27" s="1337"/>
      <c r="DJ27" s="1337"/>
      <c r="DK27" s="1337"/>
      <c r="DL27" s="1337"/>
      <c r="DM27" s="1337"/>
      <c r="DN27" s="1337"/>
      <c r="DO27" s="1337"/>
      <c r="DP27" s="1337"/>
      <c r="DQ27" s="1337"/>
      <c r="DR27" s="1337"/>
      <c r="DS27" s="1337"/>
      <c r="DT27" s="1337"/>
      <c r="DU27" s="1337"/>
      <c r="DV27" s="1337"/>
      <c r="DW27" s="1337"/>
      <c r="DX27" s="1337"/>
      <c r="DY27" s="1337"/>
      <c r="DZ27" s="1337"/>
      <c r="EA27" s="1337"/>
      <c r="EB27" s="1337"/>
      <c r="EC27" s="1337"/>
      <c r="ED27" s="1337"/>
      <c r="EE27" s="1337"/>
      <c r="EF27" s="1337"/>
      <c r="EG27" s="1337"/>
      <c r="EH27" s="1337"/>
      <c r="EI27" s="1337"/>
      <c r="EJ27" s="1337"/>
      <c r="EK27" s="1337"/>
      <c r="EL27" s="1337"/>
      <c r="EM27" s="1337"/>
      <c r="EN27" s="1337"/>
      <c r="EO27" s="1337"/>
      <c r="EP27" s="1337"/>
      <c r="EQ27" s="1337"/>
      <c r="ER27" s="1337"/>
      <c r="ES27" s="1337"/>
      <c r="ET27" s="1337"/>
      <c r="EU27" s="1337"/>
      <c r="EV27" s="1337"/>
      <c r="EW27" s="1337"/>
      <c r="EX27" s="1337"/>
      <c r="EY27" s="1337"/>
      <c r="EZ27" s="1337"/>
      <c r="FA27" s="1337"/>
      <c r="FB27" s="1337"/>
      <c r="FC27" s="1337"/>
      <c r="FD27" s="1337"/>
      <c r="FE27" s="1337"/>
      <c r="FF27" s="1337"/>
      <c r="FG27" s="1337"/>
      <c r="FH27" s="1337"/>
      <c r="FI27" s="1337"/>
      <c r="FJ27" s="1337"/>
      <c r="FK27" s="1337"/>
      <c r="FL27" s="1337"/>
      <c r="FM27" s="1337"/>
      <c r="FN27" s="1337"/>
      <c r="FO27" s="1337"/>
      <c r="FP27" s="1337"/>
      <c r="FQ27" s="1337"/>
      <c r="FR27" s="1337"/>
      <c r="FS27" s="1337"/>
      <c r="FT27" s="1337"/>
      <c r="FU27" s="1337"/>
      <c r="FV27" s="1337"/>
      <c r="FW27" s="1337"/>
      <c r="FX27" s="1337"/>
      <c r="FY27" s="1337"/>
      <c r="FZ27" s="1337"/>
      <c r="GA27" s="1337"/>
      <c r="GB27" s="1337"/>
      <c r="GC27" s="1337"/>
      <c r="GD27" s="1337"/>
      <c r="GE27" s="1337"/>
      <c r="GF27" s="1337"/>
      <c r="GG27" s="1337"/>
      <c r="GH27" s="1337"/>
      <c r="GI27" s="1337"/>
      <c r="GJ27" s="1337"/>
      <c r="GK27" s="1337"/>
      <c r="GL27" s="1337"/>
      <c r="GM27" s="1337"/>
      <c r="GN27" s="1337"/>
      <c r="GO27" s="1337"/>
      <c r="GP27" s="1337"/>
      <c r="GQ27" s="1337"/>
      <c r="GR27" s="1337"/>
      <c r="GS27" s="1337"/>
      <c r="GT27" s="1337"/>
      <c r="GU27" s="1337"/>
      <c r="GV27" s="1337"/>
      <c r="GW27" s="1337"/>
      <c r="GX27" s="1337"/>
      <c r="GY27" s="1337"/>
      <c r="GZ27" s="1337"/>
      <c r="HA27" s="1337"/>
      <c r="HB27" s="1337"/>
      <c r="HC27" s="1337"/>
      <c r="HD27" s="1337"/>
      <c r="HE27" s="1337"/>
      <c r="HF27" s="1337"/>
      <c r="HG27" s="1337"/>
      <c r="HH27" s="1337"/>
      <c r="HI27" s="1337"/>
      <c r="HJ27" s="1337"/>
      <c r="HK27" s="1337"/>
      <c r="HL27" s="1337"/>
      <c r="HM27" s="1337"/>
      <c r="HN27" s="1337"/>
      <c r="HO27" s="1337"/>
      <c r="HP27" s="1337"/>
      <c r="HQ27" s="1337"/>
      <c r="HR27" s="1337"/>
      <c r="HS27" s="1337"/>
      <c r="HT27" s="1337"/>
      <c r="HU27" s="1337"/>
      <c r="HV27" s="1337"/>
      <c r="HW27" s="1337"/>
      <c r="HX27" s="1337"/>
      <c r="HY27" s="1337"/>
      <c r="HZ27" s="1337"/>
      <c r="IA27" s="1337"/>
      <c r="IB27" s="1337"/>
      <c r="IC27" s="1337"/>
      <c r="ID27" s="1337"/>
      <c r="IE27" s="1337"/>
      <c r="IF27" s="1337"/>
      <c r="IG27" s="1337"/>
      <c r="IH27" s="1337"/>
      <c r="II27" s="1337"/>
      <c r="IJ27" s="1337"/>
      <c r="IK27" s="1337"/>
      <c r="IL27" s="1337"/>
      <c r="IM27" s="1337"/>
      <c r="IN27" s="1337"/>
      <c r="IO27" s="1337"/>
      <c r="IP27" s="1337"/>
      <c r="IQ27" s="1337"/>
      <c r="IR27" s="1337"/>
      <c r="IS27" s="1337"/>
      <c r="IT27" s="1337"/>
      <c r="IU27" s="1337"/>
      <c r="IV27" s="1337"/>
    </row>
    <row r="28" spans="1:256" ht="12.75" customHeight="1" thickTop="1">
      <c r="A28" s="1379" t="s">
        <v>1112</v>
      </c>
      <c r="B28" s="1382"/>
      <c r="C28" s="1382"/>
      <c r="D28" s="1369"/>
      <c r="E28" s="1369"/>
      <c r="F28" s="1369"/>
      <c r="G28" s="1369"/>
      <c r="H28" s="1369"/>
      <c r="I28" s="1369"/>
      <c r="J28" s="1369"/>
      <c r="K28" s="1369"/>
      <c r="L28" s="1369"/>
      <c r="M28" s="1369"/>
      <c r="N28" s="1369"/>
      <c r="O28" s="1337"/>
      <c r="P28" s="1337"/>
      <c r="Q28" s="1337"/>
      <c r="R28" s="1337"/>
      <c r="S28" s="1337"/>
      <c r="T28" s="1337"/>
      <c r="U28" s="1337"/>
      <c r="V28" s="1337"/>
      <c r="W28" s="1337"/>
      <c r="X28" s="1337"/>
      <c r="Y28" s="1337"/>
      <c r="Z28" s="1337"/>
      <c r="AA28" s="1337"/>
      <c r="AB28" s="1337"/>
      <c r="AC28" s="1337"/>
      <c r="AD28" s="1337"/>
      <c r="AE28" s="1337"/>
      <c r="AF28" s="1337"/>
      <c r="AG28" s="1337"/>
      <c r="AH28" s="1337"/>
      <c r="AI28" s="1337"/>
      <c r="AJ28" s="1337"/>
      <c r="AK28" s="1337"/>
      <c r="AL28" s="1337"/>
      <c r="AM28" s="1337"/>
      <c r="AN28" s="1337"/>
      <c r="AO28" s="1337"/>
      <c r="AP28" s="1337"/>
      <c r="AQ28" s="1337"/>
      <c r="AR28" s="1337"/>
      <c r="AS28" s="1337"/>
      <c r="AT28" s="1337"/>
      <c r="AU28" s="1337"/>
      <c r="AV28" s="1337"/>
      <c r="AW28" s="1337"/>
      <c r="AX28" s="1337"/>
      <c r="AY28" s="1337"/>
      <c r="AZ28" s="1337"/>
      <c r="BA28" s="1337"/>
      <c r="BB28" s="1337"/>
      <c r="BC28" s="1337"/>
      <c r="BD28" s="1337"/>
      <c r="BE28" s="1337"/>
      <c r="BF28" s="1337"/>
      <c r="BG28" s="1337"/>
      <c r="BH28" s="1337"/>
      <c r="BI28" s="1337"/>
      <c r="BJ28" s="1337"/>
      <c r="BK28" s="1337"/>
      <c r="BL28" s="1337"/>
      <c r="BM28" s="1337"/>
      <c r="BN28" s="1337"/>
      <c r="BO28" s="1337"/>
      <c r="BP28" s="1337"/>
      <c r="BQ28" s="1337"/>
      <c r="BR28" s="1337"/>
      <c r="BS28" s="1337"/>
      <c r="BT28" s="1337"/>
      <c r="BU28" s="1337"/>
      <c r="BV28" s="1337"/>
      <c r="BW28" s="1337"/>
      <c r="BX28" s="1337"/>
      <c r="BY28" s="1337"/>
      <c r="BZ28" s="1337"/>
      <c r="CA28" s="1337"/>
      <c r="CB28" s="1337"/>
      <c r="CC28" s="1337"/>
      <c r="CD28" s="1337"/>
      <c r="CE28" s="1337"/>
      <c r="CF28" s="1337"/>
      <c r="CG28" s="1337"/>
      <c r="CH28" s="1337"/>
      <c r="CI28" s="1337"/>
      <c r="CJ28" s="1337"/>
      <c r="CK28" s="1337"/>
      <c r="CL28" s="1337"/>
      <c r="CM28" s="1337"/>
      <c r="CN28" s="1337"/>
      <c r="CO28" s="1337"/>
      <c r="CP28" s="1337"/>
      <c r="CQ28" s="1337"/>
      <c r="CR28" s="1337"/>
      <c r="CS28" s="1337"/>
      <c r="CT28" s="1337"/>
      <c r="CU28" s="1337"/>
      <c r="CV28" s="1337"/>
      <c r="CW28" s="1337"/>
      <c r="CX28" s="1337"/>
      <c r="CY28" s="1337"/>
      <c r="CZ28" s="1337"/>
      <c r="DA28" s="1337"/>
      <c r="DB28" s="1337"/>
      <c r="DC28" s="1337"/>
      <c r="DD28" s="1337"/>
      <c r="DE28" s="1337"/>
      <c r="DF28" s="1337"/>
      <c r="DG28" s="1337"/>
      <c r="DH28" s="1337"/>
      <c r="DI28" s="1337"/>
      <c r="DJ28" s="1337"/>
      <c r="DK28" s="1337"/>
      <c r="DL28" s="1337"/>
      <c r="DM28" s="1337"/>
      <c r="DN28" s="1337"/>
      <c r="DO28" s="1337"/>
      <c r="DP28" s="1337"/>
      <c r="DQ28" s="1337"/>
      <c r="DR28" s="1337"/>
      <c r="DS28" s="1337"/>
      <c r="DT28" s="1337"/>
      <c r="DU28" s="1337"/>
      <c r="DV28" s="1337"/>
      <c r="DW28" s="1337"/>
      <c r="DX28" s="1337"/>
      <c r="DY28" s="1337"/>
      <c r="DZ28" s="1337"/>
      <c r="EA28" s="1337"/>
      <c r="EB28" s="1337"/>
      <c r="EC28" s="1337"/>
      <c r="ED28" s="1337"/>
      <c r="EE28" s="1337"/>
      <c r="EF28" s="1337"/>
      <c r="EG28" s="1337"/>
      <c r="EH28" s="1337"/>
      <c r="EI28" s="1337"/>
      <c r="EJ28" s="1337"/>
      <c r="EK28" s="1337"/>
      <c r="EL28" s="1337"/>
      <c r="EM28" s="1337"/>
      <c r="EN28" s="1337"/>
      <c r="EO28" s="1337"/>
      <c r="EP28" s="1337"/>
      <c r="EQ28" s="1337"/>
      <c r="ER28" s="1337"/>
      <c r="ES28" s="1337"/>
      <c r="ET28" s="1337"/>
      <c r="EU28" s="1337"/>
      <c r="EV28" s="1337"/>
      <c r="EW28" s="1337"/>
      <c r="EX28" s="1337"/>
      <c r="EY28" s="1337"/>
      <c r="EZ28" s="1337"/>
      <c r="FA28" s="1337"/>
      <c r="FB28" s="1337"/>
      <c r="FC28" s="1337"/>
      <c r="FD28" s="1337"/>
      <c r="FE28" s="1337"/>
      <c r="FF28" s="1337"/>
      <c r="FG28" s="1337"/>
      <c r="FH28" s="1337"/>
      <c r="FI28" s="1337"/>
      <c r="FJ28" s="1337"/>
      <c r="FK28" s="1337"/>
      <c r="FL28" s="1337"/>
      <c r="FM28" s="1337"/>
      <c r="FN28" s="1337"/>
      <c r="FO28" s="1337"/>
      <c r="FP28" s="1337"/>
      <c r="FQ28" s="1337"/>
      <c r="FR28" s="1337"/>
      <c r="FS28" s="1337"/>
      <c r="FT28" s="1337"/>
      <c r="FU28" s="1337"/>
      <c r="FV28" s="1337"/>
      <c r="FW28" s="1337"/>
      <c r="FX28" s="1337"/>
      <c r="FY28" s="1337"/>
      <c r="FZ28" s="1337"/>
      <c r="GA28" s="1337"/>
      <c r="GB28" s="1337"/>
      <c r="GC28" s="1337"/>
      <c r="GD28" s="1337"/>
      <c r="GE28" s="1337"/>
      <c r="GF28" s="1337"/>
      <c r="GG28" s="1337"/>
      <c r="GH28" s="1337"/>
      <c r="GI28" s="1337"/>
      <c r="GJ28" s="1337"/>
      <c r="GK28" s="1337"/>
      <c r="GL28" s="1337"/>
      <c r="GM28" s="1337"/>
      <c r="GN28" s="1337"/>
      <c r="GO28" s="1337"/>
      <c r="GP28" s="1337"/>
      <c r="GQ28" s="1337"/>
      <c r="GR28" s="1337"/>
      <c r="GS28" s="1337"/>
      <c r="GT28" s="1337"/>
      <c r="GU28" s="1337"/>
      <c r="GV28" s="1337"/>
      <c r="GW28" s="1337"/>
      <c r="GX28" s="1337"/>
      <c r="GY28" s="1337"/>
      <c r="GZ28" s="1337"/>
      <c r="HA28" s="1337"/>
      <c r="HB28" s="1337"/>
      <c r="HC28" s="1337"/>
      <c r="HD28" s="1337"/>
      <c r="HE28" s="1337"/>
      <c r="HF28" s="1337"/>
      <c r="HG28" s="1337"/>
      <c r="HH28" s="1337"/>
      <c r="HI28" s="1337"/>
      <c r="HJ28" s="1337"/>
      <c r="HK28" s="1337"/>
      <c r="HL28" s="1337"/>
      <c r="HM28" s="1337"/>
      <c r="HN28" s="1337"/>
      <c r="HO28" s="1337"/>
      <c r="HP28" s="1337"/>
      <c r="HQ28" s="1337"/>
      <c r="HR28" s="1337"/>
      <c r="HS28" s="1337"/>
      <c r="HT28" s="1337"/>
      <c r="HU28" s="1337"/>
      <c r="HV28" s="1337"/>
      <c r="HW28" s="1337"/>
      <c r="HX28" s="1337"/>
      <c r="HY28" s="1337"/>
      <c r="HZ28" s="1337"/>
      <c r="IA28" s="1337"/>
      <c r="IB28" s="1337"/>
      <c r="IC28" s="1337"/>
      <c r="ID28" s="1337"/>
      <c r="IE28" s="1337"/>
      <c r="IF28" s="1337"/>
      <c r="IG28" s="1337"/>
      <c r="IH28" s="1337"/>
      <c r="II28" s="1337"/>
      <c r="IJ28" s="1337"/>
      <c r="IK28" s="1337"/>
      <c r="IL28" s="1337"/>
      <c r="IM28" s="1337"/>
      <c r="IN28" s="1337"/>
      <c r="IO28" s="1337"/>
      <c r="IP28" s="1337"/>
      <c r="IQ28" s="1337"/>
      <c r="IR28" s="1337"/>
      <c r="IS28" s="1337"/>
      <c r="IT28" s="1337"/>
      <c r="IU28" s="1337"/>
      <c r="IV28" s="1337"/>
    </row>
    <row r="29" spans="1:256" ht="10.5" customHeight="1">
      <c r="A29" s="1323" t="s">
        <v>510</v>
      </c>
      <c r="B29" s="1346">
        <v>1.9</v>
      </c>
      <c r="C29" s="1346">
        <v>1.6</v>
      </c>
      <c r="D29" s="1347">
        <v>0.2</v>
      </c>
      <c r="E29" s="1347">
        <v>0</v>
      </c>
      <c r="F29" s="1347">
        <v>0</v>
      </c>
      <c r="G29" s="1347">
        <v>0</v>
      </c>
      <c r="H29" s="1347">
        <v>0</v>
      </c>
      <c r="I29" s="1347">
        <v>0</v>
      </c>
      <c r="J29" s="1347">
        <v>0</v>
      </c>
      <c r="K29" s="1347">
        <v>0</v>
      </c>
      <c r="L29" s="1371">
        <v>0</v>
      </c>
      <c r="M29" s="1371">
        <v>0</v>
      </c>
      <c r="N29" s="1371">
        <v>0</v>
      </c>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7"/>
      <c r="AL29" s="1337"/>
      <c r="AM29" s="1337"/>
      <c r="AN29" s="1337"/>
      <c r="AO29" s="1337"/>
      <c r="AP29" s="1337"/>
      <c r="AQ29" s="1337"/>
      <c r="AR29" s="1337"/>
      <c r="AS29" s="1337"/>
      <c r="AT29" s="1337"/>
      <c r="AU29" s="1337"/>
      <c r="AV29" s="1337"/>
      <c r="AW29" s="1337"/>
      <c r="AX29" s="1337"/>
      <c r="AY29" s="1337"/>
      <c r="AZ29" s="1337"/>
      <c r="BA29" s="1337"/>
      <c r="BB29" s="1337"/>
      <c r="BC29" s="1337"/>
      <c r="BD29" s="1337"/>
      <c r="BE29" s="1337"/>
      <c r="BF29" s="1337"/>
      <c r="BG29" s="1337"/>
      <c r="BH29" s="1337"/>
      <c r="BI29" s="1337"/>
      <c r="BJ29" s="1337"/>
      <c r="BK29" s="1337"/>
      <c r="BL29" s="1337"/>
      <c r="BM29" s="1337"/>
      <c r="BN29" s="1337"/>
      <c r="BO29" s="1337"/>
      <c r="BP29" s="1337"/>
      <c r="BQ29" s="1337"/>
      <c r="BR29" s="1337"/>
      <c r="BS29" s="1337"/>
      <c r="BT29" s="1337"/>
      <c r="BU29" s="1337"/>
      <c r="BV29" s="1337"/>
      <c r="BW29" s="1337"/>
      <c r="BX29" s="1337"/>
      <c r="BY29" s="1337"/>
      <c r="BZ29" s="1337"/>
      <c r="CA29" s="1337"/>
      <c r="CB29" s="1337"/>
      <c r="CC29" s="1337"/>
      <c r="CD29" s="1337"/>
      <c r="CE29" s="1337"/>
      <c r="CF29" s="1337"/>
      <c r="CG29" s="1337"/>
      <c r="CH29" s="1337"/>
      <c r="CI29" s="1337"/>
      <c r="CJ29" s="1337"/>
      <c r="CK29" s="1337"/>
      <c r="CL29" s="1337"/>
      <c r="CM29" s="1337"/>
      <c r="CN29" s="1337"/>
      <c r="CO29" s="1337"/>
      <c r="CP29" s="1337"/>
      <c r="CQ29" s="1337"/>
      <c r="CR29" s="1337"/>
      <c r="CS29" s="1337"/>
      <c r="CT29" s="1337"/>
      <c r="CU29" s="1337"/>
      <c r="CV29" s="1337"/>
      <c r="CW29" s="1337"/>
      <c r="CX29" s="1337"/>
      <c r="CY29" s="1337"/>
      <c r="CZ29" s="1337"/>
      <c r="DA29" s="1337"/>
      <c r="DB29" s="1337"/>
      <c r="DC29" s="1337"/>
      <c r="DD29" s="1337"/>
      <c r="DE29" s="1337"/>
      <c r="DF29" s="1337"/>
      <c r="DG29" s="1337"/>
      <c r="DH29" s="1337"/>
      <c r="DI29" s="1337"/>
      <c r="DJ29" s="1337"/>
      <c r="DK29" s="1337"/>
      <c r="DL29" s="1337"/>
      <c r="DM29" s="1337"/>
      <c r="DN29" s="1337"/>
      <c r="DO29" s="1337"/>
      <c r="DP29" s="1337"/>
      <c r="DQ29" s="1337"/>
      <c r="DR29" s="1337"/>
      <c r="DS29" s="1337"/>
      <c r="DT29" s="1337"/>
      <c r="DU29" s="1337"/>
      <c r="DV29" s="1337"/>
      <c r="DW29" s="1337"/>
      <c r="DX29" s="1337"/>
      <c r="DY29" s="1337"/>
      <c r="DZ29" s="1337"/>
      <c r="EA29" s="1337"/>
      <c r="EB29" s="1337"/>
      <c r="EC29" s="1337"/>
      <c r="ED29" s="1337"/>
      <c r="EE29" s="1337"/>
      <c r="EF29" s="1337"/>
      <c r="EG29" s="1337"/>
      <c r="EH29" s="1337"/>
      <c r="EI29" s="1337"/>
      <c r="EJ29" s="1337"/>
      <c r="EK29" s="1337"/>
      <c r="EL29" s="1337"/>
      <c r="EM29" s="1337"/>
      <c r="EN29" s="1337"/>
      <c r="EO29" s="1337"/>
      <c r="EP29" s="1337"/>
      <c r="EQ29" s="1337"/>
      <c r="ER29" s="1337"/>
      <c r="ES29" s="1337"/>
      <c r="ET29" s="1337"/>
      <c r="EU29" s="1337"/>
      <c r="EV29" s="1337"/>
      <c r="EW29" s="1337"/>
      <c r="EX29" s="1337"/>
      <c r="EY29" s="1337"/>
      <c r="EZ29" s="1337"/>
      <c r="FA29" s="1337"/>
      <c r="FB29" s="1337"/>
      <c r="FC29" s="1337"/>
      <c r="FD29" s="1337"/>
      <c r="FE29" s="1337"/>
      <c r="FF29" s="1337"/>
      <c r="FG29" s="1337"/>
      <c r="FH29" s="1337"/>
      <c r="FI29" s="1337"/>
      <c r="FJ29" s="1337"/>
      <c r="FK29" s="1337"/>
      <c r="FL29" s="1337"/>
      <c r="FM29" s="1337"/>
      <c r="FN29" s="1337"/>
      <c r="FO29" s="1337"/>
      <c r="FP29" s="1337"/>
      <c r="FQ29" s="1337"/>
      <c r="FR29" s="1337"/>
      <c r="FS29" s="1337"/>
      <c r="FT29" s="1337"/>
      <c r="FU29" s="1337"/>
      <c r="FV29" s="1337"/>
      <c r="FW29" s="1337"/>
      <c r="FX29" s="1337"/>
      <c r="FY29" s="1337"/>
      <c r="FZ29" s="1337"/>
      <c r="GA29" s="1337"/>
      <c r="GB29" s="1337"/>
      <c r="GC29" s="1337"/>
      <c r="GD29" s="1337"/>
      <c r="GE29" s="1337"/>
      <c r="GF29" s="1337"/>
      <c r="GG29" s="1337"/>
      <c r="GH29" s="1337"/>
      <c r="GI29" s="1337"/>
      <c r="GJ29" s="1337"/>
      <c r="GK29" s="1337"/>
      <c r="GL29" s="1337"/>
      <c r="GM29" s="1337"/>
      <c r="GN29" s="1337"/>
      <c r="GO29" s="1337"/>
      <c r="GP29" s="1337"/>
      <c r="GQ29" s="1337"/>
      <c r="GR29" s="1337"/>
      <c r="GS29" s="1337"/>
      <c r="GT29" s="1337"/>
      <c r="GU29" s="1337"/>
      <c r="GV29" s="1337"/>
      <c r="GW29" s="1337"/>
      <c r="GX29" s="1337"/>
      <c r="GY29" s="1337"/>
      <c r="GZ29" s="1337"/>
      <c r="HA29" s="1337"/>
      <c r="HB29" s="1337"/>
      <c r="HC29" s="1337"/>
      <c r="HD29" s="1337"/>
      <c r="HE29" s="1337"/>
      <c r="HF29" s="1337"/>
      <c r="HG29" s="1337"/>
      <c r="HH29" s="1337"/>
      <c r="HI29" s="1337"/>
      <c r="HJ29" s="1337"/>
      <c r="HK29" s="1337"/>
      <c r="HL29" s="1337"/>
      <c r="HM29" s="1337"/>
      <c r="HN29" s="1337"/>
      <c r="HO29" s="1337"/>
      <c r="HP29" s="1337"/>
      <c r="HQ29" s="1337"/>
      <c r="HR29" s="1337"/>
      <c r="HS29" s="1337"/>
      <c r="HT29" s="1337"/>
      <c r="HU29" s="1337"/>
      <c r="HV29" s="1337"/>
      <c r="HW29" s="1337"/>
      <c r="HX29" s="1337"/>
      <c r="HY29" s="1337"/>
      <c r="HZ29" s="1337"/>
      <c r="IA29" s="1337"/>
      <c r="IB29" s="1337"/>
      <c r="IC29" s="1337"/>
      <c r="ID29" s="1337"/>
      <c r="IE29" s="1337"/>
      <c r="IF29" s="1337"/>
      <c r="IG29" s="1337"/>
      <c r="IH29" s="1337"/>
      <c r="II29" s="1337"/>
      <c r="IJ29" s="1337"/>
      <c r="IK29" s="1337"/>
      <c r="IL29" s="1337"/>
      <c r="IM29" s="1337"/>
      <c r="IN29" s="1337"/>
      <c r="IO29" s="1337"/>
      <c r="IP29" s="1337"/>
      <c r="IQ29" s="1337"/>
      <c r="IR29" s="1337"/>
      <c r="IS29" s="1337"/>
      <c r="IT29" s="1337"/>
      <c r="IU29" s="1337"/>
      <c r="IV29" s="1337"/>
    </row>
    <row r="30" spans="1:256" ht="10.5" customHeight="1">
      <c r="A30" s="1323" t="s">
        <v>1100</v>
      </c>
      <c r="B30" s="1346">
        <v>24.6</v>
      </c>
      <c r="C30" s="1346">
        <v>20.9</v>
      </c>
      <c r="D30" s="1347">
        <v>20.5</v>
      </c>
      <c r="E30" s="1347">
        <v>23.4</v>
      </c>
      <c r="F30" s="1347">
        <v>136.5</v>
      </c>
      <c r="G30" s="1347">
        <v>47.9</v>
      </c>
      <c r="H30" s="1347">
        <v>83.4</v>
      </c>
      <c r="I30" s="1347">
        <v>94</v>
      </c>
      <c r="J30" s="1347">
        <v>69.900000000000006</v>
      </c>
      <c r="K30" s="1347">
        <v>57</v>
      </c>
      <c r="L30" s="1370">
        <v>32.5</v>
      </c>
      <c r="M30" s="1370">
        <v>76.599999999999994</v>
      </c>
      <c r="N30" s="1347">
        <v>79.5</v>
      </c>
      <c r="O30" s="1337"/>
      <c r="P30" s="1337"/>
      <c r="Q30" s="1337"/>
      <c r="R30" s="1337"/>
      <c r="S30" s="1337"/>
      <c r="T30" s="1337"/>
      <c r="U30" s="1337"/>
      <c r="V30" s="1337"/>
      <c r="W30" s="1337"/>
      <c r="X30" s="1337"/>
      <c r="Y30" s="1337"/>
      <c r="Z30" s="1337"/>
      <c r="AA30" s="1337"/>
      <c r="AB30" s="1337"/>
      <c r="AC30" s="1337"/>
      <c r="AD30" s="1337"/>
      <c r="AE30" s="1337"/>
      <c r="AF30" s="1337"/>
      <c r="AG30" s="1337"/>
      <c r="AH30" s="1337"/>
      <c r="AI30" s="1337"/>
      <c r="AJ30" s="1337"/>
      <c r="AK30" s="1337"/>
      <c r="AL30" s="1337"/>
      <c r="AM30" s="1337"/>
      <c r="AN30" s="1337"/>
      <c r="AO30" s="1337"/>
      <c r="AP30" s="1337"/>
      <c r="AQ30" s="1337"/>
      <c r="AR30" s="1337"/>
      <c r="AS30" s="1337"/>
      <c r="AT30" s="1337"/>
      <c r="AU30" s="1337"/>
      <c r="AV30" s="1337"/>
      <c r="AW30" s="1337"/>
      <c r="AX30" s="1337"/>
      <c r="AY30" s="1337"/>
      <c r="AZ30" s="1337"/>
      <c r="BA30" s="1337"/>
      <c r="BB30" s="1337"/>
      <c r="BC30" s="1337"/>
      <c r="BD30" s="1337"/>
      <c r="BE30" s="1337"/>
      <c r="BF30" s="1337"/>
      <c r="BG30" s="1337"/>
      <c r="BH30" s="1337"/>
      <c r="BI30" s="1337"/>
      <c r="BJ30" s="1337"/>
      <c r="BK30" s="1337"/>
      <c r="BL30" s="1337"/>
      <c r="BM30" s="1337"/>
      <c r="BN30" s="1337"/>
      <c r="BO30" s="1337"/>
      <c r="BP30" s="1337"/>
      <c r="BQ30" s="1337"/>
      <c r="BR30" s="1337"/>
      <c r="BS30" s="1337"/>
      <c r="BT30" s="1337"/>
      <c r="BU30" s="1337"/>
      <c r="BV30" s="1337"/>
      <c r="BW30" s="1337"/>
      <c r="BX30" s="1337"/>
      <c r="BY30" s="1337"/>
      <c r="BZ30" s="1337"/>
      <c r="CA30" s="1337"/>
      <c r="CB30" s="1337"/>
      <c r="CC30" s="1337"/>
      <c r="CD30" s="1337"/>
      <c r="CE30" s="1337"/>
      <c r="CF30" s="1337"/>
      <c r="CG30" s="1337"/>
      <c r="CH30" s="1337"/>
      <c r="CI30" s="1337"/>
      <c r="CJ30" s="1337"/>
      <c r="CK30" s="1337"/>
      <c r="CL30" s="1337"/>
      <c r="CM30" s="1337"/>
      <c r="CN30" s="1337"/>
      <c r="CO30" s="1337"/>
      <c r="CP30" s="1337"/>
      <c r="CQ30" s="1337"/>
      <c r="CR30" s="1337"/>
      <c r="CS30" s="1337"/>
      <c r="CT30" s="1337"/>
      <c r="CU30" s="1337"/>
      <c r="CV30" s="1337"/>
      <c r="CW30" s="1337"/>
      <c r="CX30" s="1337"/>
      <c r="CY30" s="1337"/>
      <c r="CZ30" s="1337"/>
      <c r="DA30" s="1337"/>
      <c r="DB30" s="1337"/>
      <c r="DC30" s="1337"/>
      <c r="DD30" s="1337"/>
      <c r="DE30" s="1337"/>
      <c r="DF30" s="1337"/>
      <c r="DG30" s="1337"/>
      <c r="DH30" s="1337"/>
      <c r="DI30" s="1337"/>
      <c r="DJ30" s="1337"/>
      <c r="DK30" s="1337"/>
      <c r="DL30" s="1337"/>
      <c r="DM30" s="1337"/>
      <c r="DN30" s="1337"/>
      <c r="DO30" s="1337"/>
      <c r="DP30" s="1337"/>
      <c r="DQ30" s="1337"/>
      <c r="DR30" s="1337"/>
      <c r="DS30" s="1337"/>
      <c r="DT30" s="1337"/>
      <c r="DU30" s="1337"/>
      <c r="DV30" s="1337"/>
      <c r="DW30" s="1337"/>
      <c r="DX30" s="1337"/>
      <c r="DY30" s="1337"/>
      <c r="DZ30" s="1337"/>
      <c r="EA30" s="1337"/>
      <c r="EB30" s="1337"/>
      <c r="EC30" s="1337"/>
      <c r="ED30" s="1337"/>
      <c r="EE30" s="1337"/>
      <c r="EF30" s="1337"/>
      <c r="EG30" s="1337"/>
      <c r="EH30" s="1337"/>
      <c r="EI30" s="1337"/>
      <c r="EJ30" s="1337"/>
      <c r="EK30" s="1337"/>
      <c r="EL30" s="1337"/>
      <c r="EM30" s="1337"/>
      <c r="EN30" s="1337"/>
      <c r="EO30" s="1337"/>
      <c r="EP30" s="1337"/>
      <c r="EQ30" s="1337"/>
      <c r="ER30" s="1337"/>
      <c r="ES30" s="1337"/>
      <c r="ET30" s="1337"/>
      <c r="EU30" s="1337"/>
      <c r="EV30" s="1337"/>
      <c r="EW30" s="1337"/>
      <c r="EX30" s="1337"/>
      <c r="EY30" s="1337"/>
      <c r="EZ30" s="1337"/>
      <c r="FA30" s="1337"/>
      <c r="FB30" s="1337"/>
      <c r="FC30" s="1337"/>
      <c r="FD30" s="1337"/>
      <c r="FE30" s="1337"/>
      <c r="FF30" s="1337"/>
      <c r="FG30" s="1337"/>
      <c r="FH30" s="1337"/>
      <c r="FI30" s="1337"/>
      <c r="FJ30" s="1337"/>
      <c r="FK30" s="1337"/>
      <c r="FL30" s="1337"/>
      <c r="FM30" s="1337"/>
      <c r="FN30" s="1337"/>
      <c r="FO30" s="1337"/>
      <c r="FP30" s="1337"/>
      <c r="FQ30" s="1337"/>
      <c r="FR30" s="1337"/>
      <c r="FS30" s="1337"/>
      <c r="FT30" s="1337"/>
      <c r="FU30" s="1337"/>
      <c r="FV30" s="1337"/>
      <c r="FW30" s="1337"/>
      <c r="FX30" s="1337"/>
      <c r="FY30" s="1337"/>
      <c r="FZ30" s="1337"/>
      <c r="GA30" s="1337"/>
      <c r="GB30" s="1337"/>
      <c r="GC30" s="1337"/>
      <c r="GD30" s="1337"/>
      <c r="GE30" s="1337"/>
      <c r="GF30" s="1337"/>
      <c r="GG30" s="1337"/>
      <c r="GH30" s="1337"/>
      <c r="GI30" s="1337"/>
      <c r="GJ30" s="1337"/>
      <c r="GK30" s="1337"/>
      <c r="GL30" s="1337"/>
      <c r="GM30" s="1337"/>
      <c r="GN30" s="1337"/>
      <c r="GO30" s="1337"/>
      <c r="GP30" s="1337"/>
      <c r="GQ30" s="1337"/>
      <c r="GR30" s="1337"/>
      <c r="GS30" s="1337"/>
      <c r="GT30" s="1337"/>
      <c r="GU30" s="1337"/>
      <c r="GV30" s="1337"/>
      <c r="GW30" s="1337"/>
      <c r="GX30" s="1337"/>
      <c r="GY30" s="1337"/>
      <c r="GZ30" s="1337"/>
      <c r="HA30" s="1337"/>
      <c r="HB30" s="1337"/>
      <c r="HC30" s="1337"/>
      <c r="HD30" s="1337"/>
      <c r="HE30" s="1337"/>
      <c r="HF30" s="1337"/>
      <c r="HG30" s="1337"/>
      <c r="HH30" s="1337"/>
      <c r="HI30" s="1337"/>
      <c r="HJ30" s="1337"/>
      <c r="HK30" s="1337"/>
      <c r="HL30" s="1337"/>
      <c r="HM30" s="1337"/>
      <c r="HN30" s="1337"/>
      <c r="HO30" s="1337"/>
      <c r="HP30" s="1337"/>
      <c r="HQ30" s="1337"/>
      <c r="HR30" s="1337"/>
      <c r="HS30" s="1337"/>
      <c r="HT30" s="1337"/>
      <c r="HU30" s="1337"/>
      <c r="HV30" s="1337"/>
      <c r="HW30" s="1337"/>
      <c r="HX30" s="1337"/>
      <c r="HY30" s="1337"/>
      <c r="HZ30" s="1337"/>
      <c r="IA30" s="1337"/>
      <c r="IB30" s="1337"/>
      <c r="IC30" s="1337"/>
      <c r="ID30" s="1337"/>
      <c r="IE30" s="1337"/>
      <c r="IF30" s="1337"/>
      <c r="IG30" s="1337"/>
      <c r="IH30" s="1337"/>
      <c r="II30" s="1337"/>
      <c r="IJ30" s="1337"/>
      <c r="IK30" s="1337"/>
      <c r="IL30" s="1337"/>
      <c r="IM30" s="1337"/>
      <c r="IN30" s="1337"/>
      <c r="IO30" s="1337"/>
      <c r="IP30" s="1337"/>
      <c r="IQ30" s="1337"/>
      <c r="IR30" s="1337"/>
      <c r="IS30" s="1337"/>
      <c r="IT30" s="1337"/>
      <c r="IU30" s="1337"/>
      <c r="IV30" s="1337"/>
    </row>
    <row r="31" spans="1:256" ht="10.5" customHeight="1">
      <c r="A31" s="1323" t="s">
        <v>1101</v>
      </c>
      <c r="B31" s="1347">
        <v>3.1</v>
      </c>
      <c r="C31" s="1347">
        <v>5.2</v>
      </c>
      <c r="D31" s="1347">
        <v>8.4</v>
      </c>
      <c r="E31" s="1347">
        <v>10.6</v>
      </c>
      <c r="F31" s="1347">
        <v>10.7</v>
      </c>
      <c r="G31" s="1347">
        <v>6.4</v>
      </c>
      <c r="H31" s="1347">
        <v>5.8</v>
      </c>
      <c r="I31" s="1347">
        <v>5.8</v>
      </c>
      <c r="J31" s="1347">
        <v>5.8</v>
      </c>
      <c r="K31" s="1347">
        <v>5.7</v>
      </c>
      <c r="L31" s="1371">
        <v>5.7</v>
      </c>
      <c r="M31" s="1371">
        <v>5.7</v>
      </c>
      <c r="N31" s="1347">
        <v>5.7</v>
      </c>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7"/>
      <c r="AL31" s="1337"/>
      <c r="AM31" s="1337"/>
      <c r="AN31" s="1337"/>
      <c r="AO31" s="1337"/>
      <c r="AP31" s="1337"/>
      <c r="AQ31" s="1337"/>
      <c r="AR31" s="1337"/>
      <c r="AS31" s="1337"/>
      <c r="AT31" s="1337"/>
      <c r="AU31" s="1337"/>
      <c r="AV31" s="1337"/>
      <c r="AW31" s="1337"/>
      <c r="AX31" s="1337"/>
      <c r="AY31" s="1337"/>
      <c r="AZ31" s="1337"/>
      <c r="BA31" s="1337"/>
      <c r="BB31" s="1337"/>
      <c r="BC31" s="1337"/>
      <c r="BD31" s="1337"/>
      <c r="BE31" s="1337"/>
      <c r="BF31" s="1337"/>
      <c r="BG31" s="1337"/>
      <c r="BH31" s="1337"/>
      <c r="BI31" s="1337"/>
      <c r="BJ31" s="1337"/>
      <c r="BK31" s="1337"/>
      <c r="BL31" s="1337"/>
      <c r="BM31" s="1337"/>
      <c r="BN31" s="1337"/>
      <c r="BO31" s="1337"/>
      <c r="BP31" s="1337"/>
      <c r="BQ31" s="1337"/>
      <c r="BR31" s="1337"/>
      <c r="BS31" s="1337"/>
      <c r="BT31" s="1337"/>
      <c r="BU31" s="1337"/>
      <c r="BV31" s="1337"/>
      <c r="BW31" s="1337"/>
      <c r="BX31" s="1337"/>
      <c r="BY31" s="1337"/>
      <c r="BZ31" s="1337"/>
      <c r="CA31" s="1337"/>
      <c r="CB31" s="1337"/>
      <c r="CC31" s="1337"/>
      <c r="CD31" s="1337"/>
      <c r="CE31" s="1337"/>
      <c r="CF31" s="1337"/>
      <c r="CG31" s="1337"/>
      <c r="CH31" s="1337"/>
      <c r="CI31" s="1337"/>
      <c r="CJ31" s="1337"/>
      <c r="CK31" s="1337"/>
      <c r="CL31" s="1337"/>
      <c r="CM31" s="1337"/>
      <c r="CN31" s="1337"/>
      <c r="CO31" s="1337"/>
      <c r="CP31" s="1337"/>
      <c r="CQ31" s="1337"/>
      <c r="CR31" s="1337"/>
      <c r="CS31" s="1337"/>
      <c r="CT31" s="1337"/>
      <c r="CU31" s="1337"/>
      <c r="CV31" s="1337"/>
      <c r="CW31" s="1337"/>
      <c r="CX31" s="1337"/>
      <c r="CY31" s="1337"/>
      <c r="CZ31" s="1337"/>
      <c r="DA31" s="1337"/>
      <c r="DB31" s="1337"/>
      <c r="DC31" s="1337"/>
      <c r="DD31" s="1337"/>
      <c r="DE31" s="1337"/>
      <c r="DF31" s="1337"/>
      <c r="DG31" s="1337"/>
      <c r="DH31" s="1337"/>
      <c r="DI31" s="1337"/>
      <c r="DJ31" s="1337"/>
      <c r="DK31" s="1337"/>
      <c r="DL31" s="1337"/>
      <c r="DM31" s="1337"/>
      <c r="DN31" s="1337"/>
      <c r="DO31" s="1337"/>
      <c r="DP31" s="1337"/>
      <c r="DQ31" s="1337"/>
      <c r="DR31" s="1337"/>
      <c r="DS31" s="1337"/>
      <c r="DT31" s="1337"/>
      <c r="DU31" s="1337"/>
      <c r="DV31" s="1337"/>
      <c r="DW31" s="1337"/>
      <c r="DX31" s="1337"/>
      <c r="DY31" s="1337"/>
      <c r="DZ31" s="1337"/>
      <c r="EA31" s="1337"/>
      <c r="EB31" s="1337"/>
      <c r="EC31" s="1337"/>
      <c r="ED31" s="1337"/>
      <c r="EE31" s="1337"/>
      <c r="EF31" s="1337"/>
      <c r="EG31" s="1337"/>
      <c r="EH31" s="1337"/>
      <c r="EI31" s="1337"/>
      <c r="EJ31" s="1337"/>
      <c r="EK31" s="1337"/>
      <c r="EL31" s="1337"/>
      <c r="EM31" s="1337"/>
      <c r="EN31" s="1337"/>
      <c r="EO31" s="1337"/>
      <c r="EP31" s="1337"/>
      <c r="EQ31" s="1337"/>
      <c r="ER31" s="1337"/>
      <c r="ES31" s="1337"/>
      <c r="ET31" s="1337"/>
      <c r="EU31" s="1337"/>
      <c r="EV31" s="1337"/>
      <c r="EW31" s="1337"/>
      <c r="EX31" s="1337"/>
      <c r="EY31" s="1337"/>
      <c r="EZ31" s="1337"/>
      <c r="FA31" s="1337"/>
      <c r="FB31" s="1337"/>
      <c r="FC31" s="1337"/>
      <c r="FD31" s="1337"/>
      <c r="FE31" s="1337"/>
      <c r="FF31" s="1337"/>
      <c r="FG31" s="1337"/>
      <c r="FH31" s="1337"/>
      <c r="FI31" s="1337"/>
      <c r="FJ31" s="1337"/>
      <c r="FK31" s="1337"/>
      <c r="FL31" s="1337"/>
      <c r="FM31" s="1337"/>
      <c r="FN31" s="1337"/>
      <c r="FO31" s="1337"/>
      <c r="FP31" s="1337"/>
      <c r="FQ31" s="1337"/>
      <c r="FR31" s="1337"/>
      <c r="FS31" s="1337"/>
      <c r="FT31" s="1337"/>
      <c r="FU31" s="1337"/>
      <c r="FV31" s="1337"/>
      <c r="FW31" s="1337"/>
      <c r="FX31" s="1337"/>
      <c r="FY31" s="1337"/>
      <c r="FZ31" s="1337"/>
      <c r="GA31" s="1337"/>
      <c r="GB31" s="1337"/>
      <c r="GC31" s="1337"/>
      <c r="GD31" s="1337"/>
      <c r="GE31" s="1337"/>
      <c r="GF31" s="1337"/>
      <c r="GG31" s="1337"/>
      <c r="GH31" s="1337"/>
      <c r="GI31" s="1337"/>
      <c r="GJ31" s="1337"/>
      <c r="GK31" s="1337"/>
      <c r="GL31" s="1337"/>
      <c r="GM31" s="1337"/>
      <c r="GN31" s="1337"/>
      <c r="GO31" s="1337"/>
      <c r="GP31" s="1337"/>
      <c r="GQ31" s="1337"/>
      <c r="GR31" s="1337"/>
      <c r="GS31" s="1337"/>
      <c r="GT31" s="1337"/>
      <c r="GU31" s="1337"/>
      <c r="GV31" s="1337"/>
      <c r="GW31" s="1337"/>
      <c r="GX31" s="1337"/>
      <c r="GY31" s="1337"/>
      <c r="GZ31" s="1337"/>
      <c r="HA31" s="1337"/>
      <c r="HB31" s="1337"/>
      <c r="HC31" s="1337"/>
      <c r="HD31" s="1337"/>
      <c r="HE31" s="1337"/>
      <c r="HF31" s="1337"/>
      <c r="HG31" s="1337"/>
      <c r="HH31" s="1337"/>
      <c r="HI31" s="1337"/>
      <c r="HJ31" s="1337"/>
      <c r="HK31" s="1337"/>
      <c r="HL31" s="1337"/>
      <c r="HM31" s="1337"/>
      <c r="HN31" s="1337"/>
      <c r="HO31" s="1337"/>
      <c r="HP31" s="1337"/>
      <c r="HQ31" s="1337"/>
      <c r="HR31" s="1337"/>
      <c r="HS31" s="1337"/>
      <c r="HT31" s="1337"/>
      <c r="HU31" s="1337"/>
      <c r="HV31" s="1337"/>
      <c r="HW31" s="1337"/>
      <c r="HX31" s="1337"/>
      <c r="HY31" s="1337"/>
      <c r="HZ31" s="1337"/>
      <c r="IA31" s="1337"/>
      <c r="IB31" s="1337"/>
      <c r="IC31" s="1337"/>
      <c r="ID31" s="1337"/>
      <c r="IE31" s="1337"/>
      <c r="IF31" s="1337"/>
      <c r="IG31" s="1337"/>
      <c r="IH31" s="1337"/>
      <c r="II31" s="1337"/>
      <c r="IJ31" s="1337"/>
      <c r="IK31" s="1337"/>
      <c r="IL31" s="1337"/>
      <c r="IM31" s="1337"/>
      <c r="IN31" s="1337"/>
      <c r="IO31" s="1337"/>
      <c r="IP31" s="1337"/>
      <c r="IQ31" s="1337"/>
      <c r="IR31" s="1337"/>
      <c r="IS31" s="1337"/>
      <c r="IT31" s="1337"/>
      <c r="IU31" s="1337"/>
      <c r="IV31" s="1337"/>
    </row>
    <row r="32" spans="1:256" ht="10.5" customHeight="1">
      <c r="A32" s="1372" t="s">
        <v>1113</v>
      </c>
      <c r="B32" s="1362">
        <v>0</v>
      </c>
      <c r="C32" s="1362">
        <v>0</v>
      </c>
      <c r="D32" s="1362">
        <v>0</v>
      </c>
      <c r="E32" s="1362">
        <v>0</v>
      </c>
      <c r="F32" s="1362">
        <v>0</v>
      </c>
      <c r="G32" s="1362">
        <v>0</v>
      </c>
      <c r="H32" s="1362">
        <v>0</v>
      </c>
      <c r="I32" s="1362">
        <v>0</v>
      </c>
      <c r="J32" s="1362">
        <v>0</v>
      </c>
      <c r="K32" s="1362">
        <v>0</v>
      </c>
      <c r="L32" s="1363">
        <v>0</v>
      </c>
      <c r="M32" s="1363">
        <v>0</v>
      </c>
      <c r="N32" s="1363">
        <v>0</v>
      </c>
      <c r="O32" s="1337"/>
      <c r="P32" s="1337"/>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7"/>
      <c r="AL32" s="1337"/>
      <c r="AM32" s="1337"/>
      <c r="AN32" s="1337"/>
      <c r="AO32" s="1337"/>
      <c r="AP32" s="1337"/>
      <c r="AQ32" s="1337"/>
      <c r="AR32" s="1337"/>
      <c r="AS32" s="1337"/>
      <c r="AT32" s="1337"/>
      <c r="AU32" s="1337"/>
      <c r="AV32" s="1337"/>
      <c r="AW32" s="1337"/>
      <c r="AX32" s="1337"/>
      <c r="AY32" s="1337"/>
      <c r="AZ32" s="1337"/>
      <c r="BA32" s="1337"/>
      <c r="BB32" s="1337"/>
      <c r="BC32" s="1337"/>
      <c r="BD32" s="1337"/>
      <c r="BE32" s="1337"/>
      <c r="BF32" s="1337"/>
      <c r="BG32" s="1337"/>
      <c r="BH32" s="1337"/>
      <c r="BI32" s="1337"/>
      <c r="BJ32" s="1337"/>
      <c r="BK32" s="1337"/>
      <c r="BL32" s="1337"/>
      <c r="BM32" s="1337"/>
      <c r="BN32" s="1337"/>
      <c r="BO32" s="1337"/>
      <c r="BP32" s="1337"/>
      <c r="BQ32" s="1337"/>
      <c r="BR32" s="1337"/>
      <c r="BS32" s="1337"/>
      <c r="BT32" s="1337"/>
      <c r="BU32" s="1337"/>
      <c r="BV32" s="1337"/>
      <c r="BW32" s="1337"/>
      <c r="BX32" s="1337"/>
      <c r="BY32" s="1337"/>
      <c r="BZ32" s="1337"/>
      <c r="CA32" s="1337"/>
      <c r="CB32" s="1337"/>
      <c r="CC32" s="1337"/>
      <c r="CD32" s="1337"/>
      <c r="CE32" s="1337"/>
      <c r="CF32" s="1337"/>
      <c r="CG32" s="1337"/>
      <c r="CH32" s="1337"/>
      <c r="CI32" s="1337"/>
      <c r="CJ32" s="1337"/>
      <c r="CK32" s="1337"/>
      <c r="CL32" s="1337"/>
      <c r="CM32" s="1337"/>
      <c r="CN32" s="1337"/>
      <c r="CO32" s="1337"/>
      <c r="CP32" s="1337"/>
      <c r="CQ32" s="1337"/>
      <c r="CR32" s="1337"/>
      <c r="CS32" s="1337"/>
      <c r="CT32" s="1337"/>
      <c r="CU32" s="1337"/>
      <c r="CV32" s="1337"/>
      <c r="CW32" s="1337"/>
      <c r="CX32" s="1337"/>
      <c r="CY32" s="1337"/>
      <c r="CZ32" s="1337"/>
      <c r="DA32" s="1337"/>
      <c r="DB32" s="1337"/>
      <c r="DC32" s="1337"/>
      <c r="DD32" s="1337"/>
      <c r="DE32" s="1337"/>
      <c r="DF32" s="1337"/>
      <c r="DG32" s="1337"/>
      <c r="DH32" s="1337"/>
      <c r="DI32" s="1337"/>
      <c r="DJ32" s="1337"/>
      <c r="DK32" s="1337"/>
      <c r="DL32" s="1337"/>
      <c r="DM32" s="1337"/>
      <c r="DN32" s="1337"/>
      <c r="DO32" s="1337"/>
      <c r="DP32" s="1337"/>
      <c r="DQ32" s="1337"/>
      <c r="DR32" s="1337"/>
      <c r="DS32" s="1337"/>
      <c r="DT32" s="1337"/>
      <c r="DU32" s="1337"/>
      <c r="DV32" s="1337"/>
      <c r="DW32" s="1337"/>
      <c r="DX32" s="1337"/>
      <c r="DY32" s="1337"/>
      <c r="DZ32" s="1337"/>
      <c r="EA32" s="1337"/>
      <c r="EB32" s="1337"/>
      <c r="EC32" s="1337"/>
      <c r="ED32" s="1337"/>
      <c r="EE32" s="1337"/>
      <c r="EF32" s="1337"/>
      <c r="EG32" s="1337"/>
      <c r="EH32" s="1337"/>
      <c r="EI32" s="1337"/>
      <c r="EJ32" s="1337"/>
      <c r="EK32" s="1337"/>
      <c r="EL32" s="1337"/>
      <c r="EM32" s="1337"/>
      <c r="EN32" s="1337"/>
      <c r="EO32" s="1337"/>
      <c r="EP32" s="1337"/>
      <c r="EQ32" s="1337"/>
      <c r="ER32" s="1337"/>
      <c r="ES32" s="1337"/>
      <c r="ET32" s="1337"/>
      <c r="EU32" s="1337"/>
      <c r="EV32" s="1337"/>
      <c r="EW32" s="1337"/>
      <c r="EX32" s="1337"/>
      <c r="EY32" s="1337"/>
      <c r="EZ32" s="1337"/>
      <c r="FA32" s="1337"/>
      <c r="FB32" s="1337"/>
      <c r="FC32" s="1337"/>
      <c r="FD32" s="1337"/>
      <c r="FE32" s="1337"/>
      <c r="FF32" s="1337"/>
      <c r="FG32" s="1337"/>
      <c r="FH32" s="1337"/>
      <c r="FI32" s="1337"/>
      <c r="FJ32" s="1337"/>
      <c r="FK32" s="1337"/>
      <c r="FL32" s="1337"/>
      <c r="FM32" s="1337"/>
      <c r="FN32" s="1337"/>
      <c r="FO32" s="1337"/>
      <c r="FP32" s="1337"/>
      <c r="FQ32" s="1337"/>
      <c r="FR32" s="1337"/>
      <c r="FS32" s="1337"/>
      <c r="FT32" s="1337"/>
      <c r="FU32" s="1337"/>
      <c r="FV32" s="1337"/>
      <c r="FW32" s="1337"/>
      <c r="FX32" s="1337"/>
      <c r="FY32" s="1337"/>
      <c r="FZ32" s="1337"/>
      <c r="GA32" s="1337"/>
      <c r="GB32" s="1337"/>
      <c r="GC32" s="1337"/>
      <c r="GD32" s="1337"/>
      <c r="GE32" s="1337"/>
      <c r="GF32" s="1337"/>
      <c r="GG32" s="1337"/>
      <c r="GH32" s="1337"/>
      <c r="GI32" s="1337"/>
      <c r="GJ32" s="1337"/>
      <c r="GK32" s="1337"/>
      <c r="GL32" s="1337"/>
      <c r="GM32" s="1337"/>
      <c r="GN32" s="1337"/>
      <c r="GO32" s="1337"/>
      <c r="GP32" s="1337"/>
      <c r="GQ32" s="1337"/>
      <c r="GR32" s="1337"/>
      <c r="GS32" s="1337"/>
      <c r="GT32" s="1337"/>
      <c r="GU32" s="1337"/>
      <c r="GV32" s="1337"/>
      <c r="GW32" s="1337"/>
      <c r="GX32" s="1337"/>
      <c r="GY32" s="1337"/>
      <c r="GZ32" s="1337"/>
      <c r="HA32" s="1337"/>
      <c r="HB32" s="1337"/>
      <c r="HC32" s="1337"/>
      <c r="HD32" s="1337"/>
      <c r="HE32" s="1337"/>
      <c r="HF32" s="1337"/>
      <c r="HG32" s="1337"/>
      <c r="HH32" s="1337"/>
      <c r="HI32" s="1337"/>
      <c r="HJ32" s="1337"/>
      <c r="HK32" s="1337"/>
      <c r="HL32" s="1337"/>
      <c r="HM32" s="1337"/>
      <c r="HN32" s="1337"/>
      <c r="HO32" s="1337"/>
      <c r="HP32" s="1337"/>
      <c r="HQ32" s="1337"/>
      <c r="HR32" s="1337"/>
      <c r="HS32" s="1337"/>
      <c r="HT32" s="1337"/>
      <c r="HU32" s="1337"/>
      <c r="HV32" s="1337"/>
      <c r="HW32" s="1337"/>
      <c r="HX32" s="1337"/>
      <c r="HY32" s="1337"/>
      <c r="HZ32" s="1337"/>
      <c r="IA32" s="1337"/>
      <c r="IB32" s="1337"/>
      <c r="IC32" s="1337"/>
      <c r="ID32" s="1337"/>
      <c r="IE32" s="1337"/>
      <c r="IF32" s="1337"/>
      <c r="IG32" s="1337"/>
      <c r="IH32" s="1337"/>
      <c r="II32" s="1337"/>
      <c r="IJ32" s="1337"/>
      <c r="IK32" s="1337"/>
      <c r="IL32" s="1337"/>
      <c r="IM32" s="1337"/>
      <c r="IN32" s="1337"/>
      <c r="IO32" s="1337"/>
      <c r="IP32" s="1337"/>
      <c r="IQ32" s="1337"/>
      <c r="IR32" s="1337"/>
      <c r="IS32" s="1337"/>
      <c r="IT32" s="1337"/>
      <c r="IU32" s="1337"/>
      <c r="IV32" s="1337"/>
    </row>
    <row r="33" spans="1:256" s="1345" customFormat="1" ht="12.75" customHeight="1" thickBot="1">
      <c r="A33" s="1365" t="s">
        <v>1114</v>
      </c>
      <c r="B33" s="1374">
        <v>29.6</v>
      </c>
      <c r="C33" s="1374">
        <v>27.7</v>
      </c>
      <c r="D33" s="1375">
        <v>29</v>
      </c>
      <c r="E33" s="1375">
        <v>34.200000000000003</v>
      </c>
      <c r="F33" s="1376">
        <v>147.4</v>
      </c>
      <c r="G33" s="1376">
        <v>54.49</v>
      </c>
      <c r="H33" s="1376">
        <v>89.2</v>
      </c>
      <c r="I33" s="1376">
        <v>99.8</v>
      </c>
      <c r="J33" s="1376">
        <v>75.7</v>
      </c>
      <c r="K33" s="1376">
        <v>62.8</v>
      </c>
      <c r="L33" s="1377">
        <v>38.200000000000003</v>
      </c>
      <c r="M33" s="1377">
        <v>82.3</v>
      </c>
      <c r="N33" s="1376">
        <v>85.2</v>
      </c>
      <c r="O33" s="1344"/>
      <c r="P33" s="1344"/>
      <c r="Q33" s="1344"/>
      <c r="R33" s="1344"/>
      <c r="S33" s="1344"/>
      <c r="T33" s="1344"/>
      <c r="U33" s="1344"/>
      <c r="V33" s="1344"/>
      <c r="W33" s="1344"/>
      <c r="X33" s="1344"/>
      <c r="Y33" s="1344"/>
      <c r="Z33" s="1344"/>
      <c r="AA33" s="1344"/>
      <c r="AB33" s="1344"/>
      <c r="AC33" s="1344"/>
      <c r="AD33" s="1344"/>
      <c r="AE33" s="1344"/>
      <c r="AF33" s="1344"/>
      <c r="AG33" s="1344"/>
      <c r="AH33" s="1344"/>
      <c r="AI33" s="1344"/>
      <c r="AJ33" s="1344"/>
      <c r="AK33" s="1344"/>
      <c r="AL33" s="1344"/>
      <c r="AM33" s="1344"/>
      <c r="AN33" s="1344"/>
      <c r="AO33" s="1344"/>
      <c r="AP33" s="1344"/>
      <c r="AQ33" s="1344"/>
      <c r="AR33" s="1344"/>
      <c r="AS33" s="1344"/>
      <c r="AT33" s="1344"/>
      <c r="AU33" s="1344"/>
      <c r="AV33" s="1344"/>
      <c r="AW33" s="1344"/>
      <c r="AX33" s="1344"/>
      <c r="AY33" s="1344"/>
      <c r="AZ33" s="1344"/>
      <c r="BA33" s="1344"/>
      <c r="BB33" s="1344"/>
      <c r="BC33" s="1344"/>
      <c r="BD33" s="1344"/>
      <c r="BE33" s="1344"/>
      <c r="BF33" s="1344"/>
      <c r="BG33" s="1344"/>
      <c r="BH33" s="1344"/>
      <c r="BI33" s="1344"/>
      <c r="BJ33" s="1344"/>
      <c r="BK33" s="1344"/>
      <c r="BL33" s="1344"/>
      <c r="BM33" s="1344"/>
      <c r="BN33" s="1344"/>
      <c r="BO33" s="1344"/>
      <c r="BP33" s="1344"/>
      <c r="BQ33" s="1344"/>
      <c r="BR33" s="1344"/>
      <c r="BS33" s="1344"/>
      <c r="BT33" s="1344"/>
      <c r="BU33" s="1344"/>
      <c r="BV33" s="1344"/>
      <c r="BW33" s="1344"/>
      <c r="BX33" s="1344"/>
      <c r="BY33" s="1344"/>
      <c r="BZ33" s="1344"/>
      <c r="CA33" s="1344"/>
      <c r="CB33" s="1344"/>
      <c r="CC33" s="1344"/>
      <c r="CD33" s="1344"/>
      <c r="CE33" s="1344"/>
      <c r="CF33" s="1344"/>
      <c r="CG33" s="1344"/>
      <c r="CH33" s="1344"/>
      <c r="CI33" s="1344"/>
      <c r="CJ33" s="1344"/>
      <c r="CK33" s="1344"/>
      <c r="CL33" s="1344"/>
      <c r="CM33" s="1344"/>
      <c r="CN33" s="1344"/>
      <c r="CO33" s="1344"/>
      <c r="CP33" s="1344"/>
      <c r="CQ33" s="1344"/>
      <c r="CR33" s="1344"/>
      <c r="CS33" s="1344"/>
      <c r="CT33" s="1344"/>
      <c r="CU33" s="1344"/>
      <c r="CV33" s="1344"/>
      <c r="CW33" s="1344"/>
      <c r="CX33" s="1344"/>
      <c r="CY33" s="1344"/>
      <c r="CZ33" s="1344"/>
      <c r="DA33" s="1344"/>
      <c r="DB33" s="1344"/>
      <c r="DC33" s="1344"/>
      <c r="DD33" s="1344"/>
      <c r="DE33" s="1344"/>
      <c r="DF33" s="1344"/>
      <c r="DG33" s="1344"/>
      <c r="DH33" s="1344"/>
      <c r="DI33" s="1344"/>
      <c r="DJ33" s="1344"/>
      <c r="DK33" s="1344"/>
      <c r="DL33" s="1344"/>
      <c r="DM33" s="1344"/>
      <c r="DN33" s="1344"/>
      <c r="DO33" s="1344"/>
      <c r="DP33" s="1344"/>
      <c r="DQ33" s="1344"/>
      <c r="DR33" s="1344"/>
      <c r="DS33" s="1344"/>
      <c r="DT33" s="1344"/>
      <c r="DU33" s="1344"/>
      <c r="DV33" s="1344"/>
      <c r="DW33" s="1344"/>
      <c r="DX33" s="1344"/>
      <c r="DY33" s="1344"/>
      <c r="DZ33" s="1344"/>
      <c r="EA33" s="1344"/>
      <c r="EB33" s="1344"/>
      <c r="EC33" s="1344"/>
      <c r="ED33" s="1344"/>
      <c r="EE33" s="1344"/>
      <c r="EF33" s="1344"/>
      <c r="EG33" s="1344"/>
      <c r="EH33" s="1344"/>
      <c r="EI33" s="1344"/>
      <c r="EJ33" s="1344"/>
      <c r="EK33" s="1344"/>
      <c r="EL33" s="1344"/>
      <c r="EM33" s="1344"/>
      <c r="EN33" s="1344"/>
      <c r="EO33" s="1344"/>
      <c r="EP33" s="1344"/>
      <c r="EQ33" s="1344"/>
      <c r="ER33" s="1344"/>
      <c r="ES33" s="1344"/>
      <c r="ET33" s="1344"/>
      <c r="EU33" s="1344"/>
      <c r="EV33" s="1344"/>
      <c r="EW33" s="1344"/>
      <c r="EX33" s="1344"/>
      <c r="EY33" s="1344"/>
      <c r="EZ33" s="1344"/>
      <c r="FA33" s="1344"/>
      <c r="FB33" s="1344"/>
      <c r="FC33" s="1344"/>
      <c r="FD33" s="1344"/>
      <c r="FE33" s="1344"/>
      <c r="FF33" s="1344"/>
      <c r="FG33" s="1344"/>
      <c r="FH33" s="1344"/>
      <c r="FI33" s="1344"/>
      <c r="FJ33" s="1344"/>
      <c r="FK33" s="1344"/>
      <c r="FL33" s="1344"/>
      <c r="FM33" s="1344"/>
      <c r="FN33" s="1344"/>
      <c r="FO33" s="1344"/>
      <c r="FP33" s="1344"/>
      <c r="FQ33" s="1344"/>
      <c r="FR33" s="1344"/>
      <c r="FS33" s="1344"/>
      <c r="FT33" s="1344"/>
      <c r="FU33" s="1344"/>
      <c r="FV33" s="1344"/>
      <c r="FW33" s="1344"/>
      <c r="FX33" s="1344"/>
      <c r="FY33" s="1344"/>
      <c r="FZ33" s="1344"/>
      <c r="GA33" s="1344"/>
      <c r="GB33" s="1344"/>
      <c r="GC33" s="1344"/>
      <c r="GD33" s="1344"/>
      <c r="GE33" s="1344"/>
      <c r="GF33" s="1344"/>
      <c r="GG33" s="1344"/>
      <c r="GH33" s="1344"/>
      <c r="GI33" s="1344"/>
      <c r="GJ33" s="1344"/>
      <c r="GK33" s="1344"/>
      <c r="GL33" s="1344"/>
      <c r="GM33" s="1344"/>
      <c r="GN33" s="1344"/>
      <c r="GO33" s="1344"/>
      <c r="GP33" s="1344"/>
      <c r="GQ33" s="1344"/>
      <c r="GR33" s="1344"/>
      <c r="GS33" s="1344"/>
      <c r="GT33" s="1344"/>
      <c r="GU33" s="1344"/>
      <c r="GV33" s="1344"/>
      <c r="GW33" s="1344"/>
      <c r="GX33" s="1344"/>
      <c r="GY33" s="1344"/>
      <c r="GZ33" s="1344"/>
      <c r="HA33" s="1344"/>
      <c r="HB33" s="1344"/>
      <c r="HC33" s="1344"/>
      <c r="HD33" s="1344"/>
      <c r="HE33" s="1344"/>
      <c r="HF33" s="1344"/>
      <c r="HG33" s="1344"/>
      <c r="HH33" s="1344"/>
      <c r="HI33" s="1344"/>
      <c r="HJ33" s="1344"/>
      <c r="HK33" s="1344"/>
      <c r="HL33" s="1344"/>
      <c r="HM33" s="1344"/>
      <c r="HN33" s="1344"/>
      <c r="HO33" s="1344"/>
      <c r="HP33" s="1344"/>
      <c r="HQ33" s="1344"/>
      <c r="HR33" s="1344"/>
      <c r="HS33" s="1344"/>
      <c r="HT33" s="1344"/>
      <c r="HU33" s="1344"/>
      <c r="HV33" s="1344"/>
      <c r="HW33" s="1344"/>
      <c r="HX33" s="1344"/>
      <c r="HY33" s="1344"/>
      <c r="HZ33" s="1344"/>
      <c r="IA33" s="1344"/>
      <c r="IB33" s="1344"/>
      <c r="IC33" s="1344"/>
      <c r="ID33" s="1344"/>
      <c r="IE33" s="1344"/>
      <c r="IF33" s="1344"/>
      <c r="IG33" s="1344"/>
      <c r="IH33" s="1344"/>
      <c r="II33" s="1344"/>
      <c r="IJ33" s="1344"/>
      <c r="IK33" s="1344"/>
      <c r="IL33" s="1344"/>
      <c r="IM33" s="1344"/>
      <c r="IN33" s="1344"/>
      <c r="IO33" s="1344"/>
      <c r="IP33" s="1344"/>
      <c r="IQ33" s="1344"/>
      <c r="IR33" s="1344"/>
      <c r="IS33" s="1344"/>
      <c r="IT33" s="1344"/>
      <c r="IU33" s="1344"/>
      <c r="IV33" s="1344"/>
    </row>
    <row r="34" spans="1:256" s="1345" customFormat="1" ht="12" customHeight="1" thickTop="1">
      <c r="A34" s="1338" t="s">
        <v>1115</v>
      </c>
      <c r="B34" s="1357">
        <v>13.8</v>
      </c>
      <c r="C34" s="1357">
        <v>12.1</v>
      </c>
      <c r="D34" s="1358">
        <v>12.9</v>
      </c>
      <c r="E34" s="1358">
        <v>15.2</v>
      </c>
      <c r="F34" s="1383">
        <v>65.8</v>
      </c>
      <c r="G34" s="1383">
        <v>23.6</v>
      </c>
      <c r="H34" s="1383">
        <v>38.4</v>
      </c>
      <c r="I34" s="1383">
        <v>43.4</v>
      </c>
      <c r="J34" s="1383">
        <v>31.3</v>
      </c>
      <c r="K34" s="1383">
        <v>18.3</v>
      </c>
      <c r="L34" s="1384">
        <v>16.3</v>
      </c>
      <c r="M34" s="1384">
        <v>36.200000000000003</v>
      </c>
      <c r="N34" s="1383">
        <v>39.5</v>
      </c>
      <c r="O34" s="1344"/>
      <c r="P34" s="1344"/>
      <c r="Q34" s="1344"/>
      <c r="R34" s="1344"/>
      <c r="S34" s="1344"/>
      <c r="T34" s="1344"/>
      <c r="U34" s="1344"/>
      <c r="V34" s="1344"/>
      <c r="W34" s="1344"/>
      <c r="X34" s="1344"/>
      <c r="Y34" s="1344"/>
      <c r="Z34" s="1344"/>
      <c r="AA34" s="1344"/>
      <c r="AB34" s="1344"/>
      <c r="AC34" s="1344"/>
      <c r="AD34" s="1344"/>
      <c r="AE34" s="1344"/>
      <c r="AF34" s="1344"/>
      <c r="AG34" s="1344"/>
      <c r="AH34" s="1344"/>
      <c r="AI34" s="1344"/>
      <c r="AJ34" s="1344"/>
      <c r="AK34" s="1344"/>
      <c r="AL34" s="1344"/>
      <c r="AM34" s="1344"/>
      <c r="AN34" s="1344"/>
      <c r="AO34" s="1344"/>
      <c r="AP34" s="1344"/>
      <c r="AQ34" s="1344"/>
      <c r="AR34" s="1344"/>
      <c r="AS34" s="1344"/>
      <c r="AT34" s="1344"/>
      <c r="AU34" s="1344"/>
      <c r="AV34" s="1344"/>
      <c r="AW34" s="1344"/>
      <c r="AX34" s="1344"/>
      <c r="AY34" s="1344"/>
      <c r="AZ34" s="1344"/>
      <c r="BA34" s="1344"/>
      <c r="BB34" s="1344"/>
      <c r="BC34" s="1344"/>
      <c r="BD34" s="1344"/>
      <c r="BE34" s="1344"/>
      <c r="BF34" s="1344"/>
      <c r="BG34" s="1344"/>
      <c r="BH34" s="1344"/>
      <c r="BI34" s="1344"/>
      <c r="BJ34" s="1344"/>
      <c r="BK34" s="1344"/>
      <c r="BL34" s="1344"/>
      <c r="BM34" s="1344"/>
      <c r="BN34" s="1344"/>
      <c r="BO34" s="1344"/>
      <c r="BP34" s="1344"/>
      <c r="BQ34" s="1344"/>
      <c r="BR34" s="1344"/>
      <c r="BS34" s="1344"/>
      <c r="BT34" s="1344"/>
      <c r="BU34" s="1344"/>
      <c r="BV34" s="1344"/>
      <c r="BW34" s="1344"/>
      <c r="BX34" s="1344"/>
      <c r="BY34" s="1344"/>
      <c r="BZ34" s="1344"/>
      <c r="CA34" s="1344"/>
      <c r="CB34" s="1344"/>
      <c r="CC34" s="1344"/>
      <c r="CD34" s="1344"/>
      <c r="CE34" s="1344"/>
      <c r="CF34" s="1344"/>
      <c r="CG34" s="1344"/>
      <c r="CH34" s="1344"/>
      <c r="CI34" s="1344"/>
      <c r="CJ34" s="1344"/>
      <c r="CK34" s="1344"/>
      <c r="CL34" s="1344"/>
      <c r="CM34" s="1344"/>
      <c r="CN34" s="1344"/>
      <c r="CO34" s="1344"/>
      <c r="CP34" s="1344"/>
      <c r="CQ34" s="1344"/>
      <c r="CR34" s="1344"/>
      <c r="CS34" s="1344"/>
      <c r="CT34" s="1344"/>
      <c r="CU34" s="1344"/>
      <c r="CV34" s="1344"/>
      <c r="CW34" s="1344"/>
      <c r="CX34" s="1344"/>
      <c r="CY34" s="1344"/>
      <c r="CZ34" s="1344"/>
      <c r="DA34" s="1344"/>
      <c r="DB34" s="1344"/>
      <c r="DC34" s="1344"/>
      <c r="DD34" s="1344"/>
      <c r="DE34" s="1344"/>
      <c r="DF34" s="1344"/>
      <c r="DG34" s="1344"/>
      <c r="DH34" s="1344"/>
      <c r="DI34" s="1344"/>
      <c r="DJ34" s="1344"/>
      <c r="DK34" s="1344"/>
      <c r="DL34" s="1344"/>
      <c r="DM34" s="1344"/>
      <c r="DN34" s="1344"/>
      <c r="DO34" s="1344"/>
      <c r="DP34" s="1344"/>
      <c r="DQ34" s="1344"/>
      <c r="DR34" s="1344"/>
      <c r="DS34" s="1344"/>
      <c r="DT34" s="1344"/>
      <c r="DU34" s="1344"/>
      <c r="DV34" s="1344"/>
      <c r="DW34" s="1344"/>
      <c r="DX34" s="1344"/>
      <c r="DY34" s="1344"/>
      <c r="DZ34" s="1344"/>
      <c r="EA34" s="1344"/>
      <c r="EB34" s="1344"/>
      <c r="EC34" s="1344"/>
      <c r="ED34" s="1344"/>
      <c r="EE34" s="1344"/>
      <c r="EF34" s="1344"/>
      <c r="EG34" s="1344"/>
      <c r="EH34" s="1344"/>
      <c r="EI34" s="1344"/>
      <c r="EJ34" s="1344"/>
      <c r="EK34" s="1344"/>
      <c r="EL34" s="1344"/>
      <c r="EM34" s="1344"/>
      <c r="EN34" s="1344"/>
      <c r="EO34" s="1344"/>
      <c r="EP34" s="1344"/>
      <c r="EQ34" s="1344"/>
      <c r="ER34" s="1344"/>
      <c r="ES34" s="1344"/>
      <c r="ET34" s="1344"/>
      <c r="EU34" s="1344"/>
      <c r="EV34" s="1344"/>
      <c r="EW34" s="1344"/>
      <c r="EX34" s="1344"/>
      <c r="EY34" s="1344"/>
      <c r="EZ34" s="1344"/>
      <c r="FA34" s="1344"/>
      <c r="FB34" s="1344"/>
      <c r="FC34" s="1344"/>
      <c r="FD34" s="1344"/>
      <c r="FE34" s="1344"/>
      <c r="FF34" s="1344"/>
      <c r="FG34" s="1344"/>
      <c r="FH34" s="1344"/>
      <c r="FI34" s="1344"/>
      <c r="FJ34" s="1344"/>
      <c r="FK34" s="1344"/>
      <c r="FL34" s="1344"/>
      <c r="FM34" s="1344"/>
      <c r="FN34" s="1344"/>
      <c r="FO34" s="1344"/>
      <c r="FP34" s="1344"/>
      <c r="FQ34" s="1344"/>
      <c r="FR34" s="1344"/>
      <c r="FS34" s="1344"/>
      <c r="FT34" s="1344"/>
      <c r="FU34" s="1344"/>
      <c r="FV34" s="1344"/>
      <c r="FW34" s="1344"/>
      <c r="FX34" s="1344"/>
      <c r="FY34" s="1344"/>
      <c r="FZ34" s="1344"/>
      <c r="GA34" s="1344"/>
      <c r="GB34" s="1344"/>
      <c r="GC34" s="1344"/>
      <c r="GD34" s="1344"/>
      <c r="GE34" s="1344"/>
      <c r="GF34" s="1344"/>
      <c r="GG34" s="1344"/>
      <c r="GH34" s="1344"/>
      <c r="GI34" s="1344"/>
      <c r="GJ34" s="1344"/>
      <c r="GK34" s="1344"/>
      <c r="GL34" s="1344"/>
      <c r="GM34" s="1344"/>
      <c r="GN34" s="1344"/>
      <c r="GO34" s="1344"/>
      <c r="GP34" s="1344"/>
      <c r="GQ34" s="1344"/>
      <c r="GR34" s="1344"/>
      <c r="GS34" s="1344"/>
      <c r="GT34" s="1344"/>
      <c r="GU34" s="1344"/>
      <c r="GV34" s="1344"/>
      <c r="GW34" s="1344"/>
      <c r="GX34" s="1344"/>
      <c r="GY34" s="1344"/>
      <c r="GZ34" s="1344"/>
      <c r="HA34" s="1344"/>
      <c r="HB34" s="1344"/>
      <c r="HC34" s="1344"/>
      <c r="HD34" s="1344"/>
      <c r="HE34" s="1344"/>
      <c r="HF34" s="1344"/>
      <c r="HG34" s="1344"/>
      <c r="HH34" s="1344"/>
      <c r="HI34" s="1344"/>
      <c r="HJ34" s="1344"/>
      <c r="HK34" s="1344"/>
      <c r="HL34" s="1344"/>
      <c r="HM34" s="1344"/>
      <c r="HN34" s="1344"/>
      <c r="HO34" s="1344"/>
      <c r="HP34" s="1344"/>
      <c r="HQ34" s="1344"/>
      <c r="HR34" s="1344"/>
      <c r="HS34" s="1344"/>
      <c r="HT34" s="1344"/>
      <c r="HU34" s="1344"/>
      <c r="HV34" s="1344"/>
      <c r="HW34" s="1344"/>
      <c r="HX34" s="1344"/>
      <c r="HY34" s="1344"/>
      <c r="HZ34" s="1344"/>
      <c r="IA34" s="1344"/>
      <c r="IB34" s="1344"/>
      <c r="IC34" s="1344"/>
      <c r="ID34" s="1344"/>
      <c r="IE34" s="1344"/>
      <c r="IF34" s="1344"/>
      <c r="IG34" s="1344"/>
      <c r="IH34" s="1344"/>
      <c r="II34" s="1344"/>
      <c r="IJ34" s="1344"/>
      <c r="IK34" s="1344"/>
      <c r="IL34" s="1344"/>
      <c r="IM34" s="1344"/>
      <c r="IN34" s="1344"/>
      <c r="IO34" s="1344"/>
      <c r="IP34" s="1344"/>
      <c r="IQ34" s="1344"/>
      <c r="IR34" s="1344"/>
      <c r="IS34" s="1344"/>
      <c r="IT34" s="1344"/>
      <c r="IU34" s="1344"/>
      <c r="IV34" s="1344"/>
    </row>
    <row r="35" spans="1:256" s="1345" customFormat="1" ht="12" customHeight="1">
      <c r="A35" s="1360" t="s">
        <v>1116</v>
      </c>
      <c r="B35" s="1361">
        <v>160</v>
      </c>
      <c r="C35" s="1361">
        <v>141</v>
      </c>
      <c r="D35" s="1362">
        <v>150</v>
      </c>
      <c r="E35" s="1362">
        <v>177</v>
      </c>
      <c r="F35" s="1385">
        <v>765</v>
      </c>
      <c r="G35" s="1385">
        <v>274.2</v>
      </c>
      <c r="H35" s="1385">
        <v>447.3</v>
      </c>
      <c r="I35" s="1385">
        <v>504.7</v>
      </c>
      <c r="J35" s="1385">
        <v>364.3</v>
      </c>
      <c r="K35" s="1385">
        <v>212.5</v>
      </c>
      <c r="L35" s="1386">
        <v>189.4</v>
      </c>
      <c r="M35" s="1386">
        <v>421.1</v>
      </c>
      <c r="N35" s="1385">
        <v>459.9</v>
      </c>
      <c r="O35" s="1344"/>
      <c r="P35" s="1344"/>
      <c r="Q35" s="1344"/>
      <c r="R35" s="1344"/>
      <c r="S35" s="1344"/>
      <c r="T35" s="1344"/>
      <c r="U35" s="1344"/>
      <c r="V35" s="1344"/>
      <c r="W35" s="1344"/>
      <c r="X35" s="1344"/>
      <c r="Y35" s="1344"/>
      <c r="Z35" s="1344"/>
      <c r="AA35" s="1344"/>
      <c r="AB35" s="1344"/>
      <c r="AC35" s="1344"/>
      <c r="AD35" s="1344"/>
      <c r="AE35" s="1344"/>
      <c r="AF35" s="1344"/>
      <c r="AG35" s="1344"/>
      <c r="AH35" s="1344"/>
      <c r="AI35" s="1344"/>
      <c r="AJ35" s="1344"/>
      <c r="AK35" s="1344"/>
      <c r="AL35" s="1344"/>
      <c r="AM35" s="1344"/>
      <c r="AN35" s="1344"/>
      <c r="AO35" s="1344"/>
      <c r="AP35" s="1344"/>
      <c r="AQ35" s="1344"/>
      <c r="AR35" s="1344"/>
      <c r="AS35" s="1344"/>
      <c r="AT35" s="1344"/>
      <c r="AU35" s="1344"/>
      <c r="AV35" s="1344"/>
      <c r="AW35" s="1344"/>
      <c r="AX35" s="1344"/>
      <c r="AY35" s="1344"/>
      <c r="AZ35" s="1344"/>
      <c r="BA35" s="1344"/>
      <c r="BB35" s="1344"/>
      <c r="BC35" s="1344"/>
      <c r="BD35" s="1344"/>
      <c r="BE35" s="1344"/>
      <c r="BF35" s="1344"/>
      <c r="BG35" s="1344"/>
      <c r="BH35" s="1344"/>
      <c r="BI35" s="1344"/>
      <c r="BJ35" s="1344"/>
      <c r="BK35" s="1344"/>
      <c r="BL35" s="1344"/>
      <c r="BM35" s="1344"/>
      <c r="BN35" s="1344"/>
      <c r="BO35" s="1344"/>
      <c r="BP35" s="1344"/>
      <c r="BQ35" s="1344"/>
      <c r="BR35" s="1344"/>
      <c r="BS35" s="1344"/>
      <c r="BT35" s="1344"/>
      <c r="BU35" s="1344"/>
      <c r="BV35" s="1344"/>
      <c r="BW35" s="1344"/>
      <c r="BX35" s="1344"/>
      <c r="BY35" s="1344"/>
      <c r="BZ35" s="1344"/>
      <c r="CA35" s="1344"/>
      <c r="CB35" s="1344"/>
      <c r="CC35" s="1344"/>
      <c r="CD35" s="1344"/>
      <c r="CE35" s="1344"/>
      <c r="CF35" s="1344"/>
      <c r="CG35" s="1344"/>
      <c r="CH35" s="1344"/>
      <c r="CI35" s="1344"/>
      <c r="CJ35" s="1344"/>
      <c r="CK35" s="1344"/>
      <c r="CL35" s="1344"/>
      <c r="CM35" s="1344"/>
      <c r="CN35" s="1344"/>
      <c r="CO35" s="1344"/>
      <c r="CP35" s="1344"/>
      <c r="CQ35" s="1344"/>
      <c r="CR35" s="1344"/>
      <c r="CS35" s="1344"/>
      <c r="CT35" s="1344"/>
      <c r="CU35" s="1344"/>
      <c r="CV35" s="1344"/>
      <c r="CW35" s="1344"/>
      <c r="CX35" s="1344"/>
      <c r="CY35" s="1344"/>
      <c r="CZ35" s="1344"/>
      <c r="DA35" s="1344"/>
      <c r="DB35" s="1344"/>
      <c r="DC35" s="1344"/>
      <c r="DD35" s="1344"/>
      <c r="DE35" s="1344"/>
      <c r="DF35" s="1344"/>
      <c r="DG35" s="1344"/>
      <c r="DH35" s="1344"/>
      <c r="DI35" s="1344"/>
      <c r="DJ35" s="1344"/>
      <c r="DK35" s="1344"/>
      <c r="DL35" s="1344"/>
      <c r="DM35" s="1344"/>
      <c r="DN35" s="1344"/>
      <c r="DO35" s="1344"/>
      <c r="DP35" s="1344"/>
      <c r="DQ35" s="1344"/>
      <c r="DR35" s="1344"/>
      <c r="DS35" s="1344"/>
      <c r="DT35" s="1344"/>
      <c r="DU35" s="1344"/>
      <c r="DV35" s="1344"/>
      <c r="DW35" s="1344"/>
      <c r="DX35" s="1344"/>
      <c r="DY35" s="1344"/>
      <c r="DZ35" s="1344"/>
      <c r="EA35" s="1344"/>
      <c r="EB35" s="1344"/>
      <c r="EC35" s="1344"/>
      <c r="ED35" s="1344"/>
      <c r="EE35" s="1344"/>
      <c r="EF35" s="1344"/>
      <c r="EG35" s="1344"/>
      <c r="EH35" s="1344"/>
      <c r="EI35" s="1344"/>
      <c r="EJ35" s="1344"/>
      <c r="EK35" s="1344"/>
      <c r="EL35" s="1344"/>
      <c r="EM35" s="1344"/>
      <c r="EN35" s="1344"/>
      <c r="EO35" s="1344"/>
      <c r="EP35" s="1344"/>
      <c r="EQ35" s="1344"/>
      <c r="ER35" s="1344"/>
      <c r="ES35" s="1344"/>
      <c r="ET35" s="1344"/>
      <c r="EU35" s="1344"/>
      <c r="EV35" s="1344"/>
      <c r="EW35" s="1344"/>
      <c r="EX35" s="1344"/>
      <c r="EY35" s="1344"/>
      <c r="EZ35" s="1344"/>
      <c r="FA35" s="1344"/>
      <c r="FB35" s="1344"/>
      <c r="FC35" s="1344"/>
      <c r="FD35" s="1344"/>
      <c r="FE35" s="1344"/>
      <c r="FF35" s="1344"/>
      <c r="FG35" s="1344"/>
      <c r="FH35" s="1344"/>
      <c r="FI35" s="1344"/>
      <c r="FJ35" s="1344"/>
      <c r="FK35" s="1344"/>
      <c r="FL35" s="1344"/>
      <c r="FM35" s="1344"/>
      <c r="FN35" s="1344"/>
      <c r="FO35" s="1344"/>
      <c r="FP35" s="1344"/>
      <c r="FQ35" s="1344"/>
      <c r="FR35" s="1344"/>
      <c r="FS35" s="1344"/>
      <c r="FT35" s="1344"/>
      <c r="FU35" s="1344"/>
      <c r="FV35" s="1344"/>
      <c r="FW35" s="1344"/>
      <c r="FX35" s="1344"/>
      <c r="FY35" s="1344"/>
      <c r="FZ35" s="1344"/>
      <c r="GA35" s="1344"/>
      <c r="GB35" s="1344"/>
      <c r="GC35" s="1344"/>
      <c r="GD35" s="1344"/>
      <c r="GE35" s="1344"/>
      <c r="GF35" s="1344"/>
      <c r="GG35" s="1344"/>
      <c r="GH35" s="1344"/>
      <c r="GI35" s="1344"/>
      <c r="GJ35" s="1344"/>
      <c r="GK35" s="1344"/>
      <c r="GL35" s="1344"/>
      <c r="GM35" s="1344"/>
      <c r="GN35" s="1344"/>
      <c r="GO35" s="1344"/>
      <c r="GP35" s="1344"/>
      <c r="GQ35" s="1344"/>
      <c r="GR35" s="1344"/>
      <c r="GS35" s="1344"/>
      <c r="GT35" s="1344"/>
      <c r="GU35" s="1344"/>
      <c r="GV35" s="1344"/>
      <c r="GW35" s="1344"/>
      <c r="GX35" s="1344"/>
      <c r="GY35" s="1344"/>
      <c r="GZ35" s="1344"/>
      <c r="HA35" s="1344"/>
      <c r="HB35" s="1344"/>
      <c r="HC35" s="1344"/>
      <c r="HD35" s="1344"/>
      <c r="HE35" s="1344"/>
      <c r="HF35" s="1344"/>
      <c r="HG35" s="1344"/>
      <c r="HH35" s="1344"/>
      <c r="HI35" s="1344"/>
      <c r="HJ35" s="1344"/>
      <c r="HK35" s="1344"/>
      <c r="HL35" s="1344"/>
      <c r="HM35" s="1344"/>
      <c r="HN35" s="1344"/>
      <c r="HO35" s="1344"/>
      <c r="HP35" s="1344"/>
      <c r="HQ35" s="1344"/>
      <c r="HR35" s="1344"/>
      <c r="HS35" s="1344"/>
      <c r="HT35" s="1344"/>
      <c r="HU35" s="1344"/>
      <c r="HV35" s="1344"/>
      <c r="HW35" s="1344"/>
      <c r="HX35" s="1344"/>
      <c r="HY35" s="1344"/>
      <c r="HZ35" s="1344"/>
      <c r="IA35" s="1344"/>
      <c r="IB35" s="1344"/>
      <c r="IC35" s="1344"/>
      <c r="ID35" s="1344"/>
      <c r="IE35" s="1344"/>
      <c r="IF35" s="1344"/>
      <c r="IG35" s="1344"/>
      <c r="IH35" s="1344"/>
      <c r="II35" s="1344"/>
      <c r="IJ35" s="1344"/>
      <c r="IK35" s="1344"/>
      <c r="IL35" s="1344"/>
      <c r="IM35" s="1344"/>
      <c r="IN35" s="1344"/>
      <c r="IO35" s="1344"/>
      <c r="IP35" s="1344"/>
      <c r="IQ35" s="1344"/>
      <c r="IR35" s="1344"/>
      <c r="IS35" s="1344"/>
      <c r="IT35" s="1344"/>
      <c r="IU35" s="1344"/>
      <c r="IV35" s="1344"/>
    </row>
    <row r="36" spans="1:256" s="1345" customFormat="1" ht="12" customHeight="1">
      <c r="A36" s="1338" t="s">
        <v>1117</v>
      </c>
      <c r="B36" s="1357">
        <v>13.1</v>
      </c>
      <c r="C36" s="1357">
        <v>11.6</v>
      </c>
      <c r="D36" s="1358">
        <v>12.3</v>
      </c>
      <c r="E36" s="1358">
        <v>14.5</v>
      </c>
      <c r="F36" s="1383">
        <v>54.7</v>
      </c>
      <c r="G36" s="1383">
        <v>22.2</v>
      </c>
      <c r="H36" s="1383">
        <v>36.299999999999997</v>
      </c>
      <c r="I36" s="1383">
        <v>40.9</v>
      </c>
      <c r="J36" s="1383">
        <v>30.1</v>
      </c>
      <c r="K36" s="1383">
        <v>17.600000000000001</v>
      </c>
      <c r="L36" s="1384">
        <v>15.7</v>
      </c>
      <c r="M36" s="1384">
        <v>34.6</v>
      </c>
      <c r="N36" s="1383">
        <v>38</v>
      </c>
      <c r="O36" s="1344"/>
      <c r="P36" s="1344"/>
      <c r="Q36" s="1344"/>
      <c r="R36" s="1344"/>
      <c r="S36" s="1344"/>
      <c r="T36" s="1344"/>
      <c r="U36" s="1344"/>
      <c r="V36" s="1344"/>
      <c r="W36" s="1344"/>
      <c r="X36" s="1344"/>
      <c r="Y36" s="1344"/>
      <c r="Z36" s="1344"/>
      <c r="AA36" s="1344"/>
      <c r="AB36" s="1344"/>
      <c r="AC36" s="1344"/>
      <c r="AD36" s="1344"/>
      <c r="AE36" s="1344"/>
      <c r="AF36" s="1344"/>
      <c r="AG36" s="1344"/>
      <c r="AH36" s="1344"/>
      <c r="AI36" s="1344"/>
      <c r="AJ36" s="1344"/>
      <c r="AK36" s="1344"/>
      <c r="AL36" s="1344"/>
      <c r="AM36" s="1344"/>
      <c r="AN36" s="1344"/>
      <c r="AO36" s="1344"/>
      <c r="AP36" s="1344"/>
      <c r="AQ36" s="1344"/>
      <c r="AR36" s="1344"/>
      <c r="AS36" s="1344"/>
      <c r="AT36" s="1344"/>
      <c r="AU36" s="1344"/>
      <c r="AV36" s="1344"/>
      <c r="AW36" s="1344"/>
      <c r="AX36" s="1344"/>
      <c r="AY36" s="1344"/>
      <c r="AZ36" s="1344"/>
      <c r="BA36" s="1344"/>
      <c r="BB36" s="1344"/>
      <c r="BC36" s="1344"/>
      <c r="BD36" s="1344"/>
      <c r="BE36" s="1344"/>
      <c r="BF36" s="1344"/>
      <c r="BG36" s="1344"/>
      <c r="BH36" s="1344"/>
      <c r="BI36" s="1344"/>
      <c r="BJ36" s="1344"/>
      <c r="BK36" s="1344"/>
      <c r="BL36" s="1344"/>
      <c r="BM36" s="1344"/>
      <c r="BN36" s="1344"/>
      <c r="BO36" s="1344"/>
      <c r="BP36" s="1344"/>
      <c r="BQ36" s="1344"/>
      <c r="BR36" s="1344"/>
      <c r="BS36" s="1344"/>
      <c r="BT36" s="1344"/>
      <c r="BU36" s="1344"/>
      <c r="BV36" s="1344"/>
      <c r="BW36" s="1344"/>
      <c r="BX36" s="1344"/>
      <c r="BY36" s="1344"/>
      <c r="BZ36" s="1344"/>
      <c r="CA36" s="1344"/>
      <c r="CB36" s="1344"/>
      <c r="CC36" s="1344"/>
      <c r="CD36" s="1344"/>
      <c r="CE36" s="1344"/>
      <c r="CF36" s="1344"/>
      <c r="CG36" s="1344"/>
      <c r="CH36" s="1344"/>
      <c r="CI36" s="1344"/>
      <c r="CJ36" s="1344"/>
      <c r="CK36" s="1344"/>
      <c r="CL36" s="1344"/>
      <c r="CM36" s="1344"/>
      <c r="CN36" s="1344"/>
      <c r="CO36" s="1344"/>
      <c r="CP36" s="1344"/>
      <c r="CQ36" s="1344"/>
      <c r="CR36" s="1344"/>
      <c r="CS36" s="1344"/>
      <c r="CT36" s="1344"/>
      <c r="CU36" s="1344"/>
      <c r="CV36" s="1344"/>
      <c r="CW36" s="1344"/>
      <c r="CX36" s="1344"/>
      <c r="CY36" s="1344"/>
      <c r="CZ36" s="1344"/>
      <c r="DA36" s="1344"/>
      <c r="DB36" s="1344"/>
      <c r="DC36" s="1344"/>
      <c r="DD36" s="1344"/>
      <c r="DE36" s="1344"/>
      <c r="DF36" s="1344"/>
      <c r="DG36" s="1344"/>
      <c r="DH36" s="1344"/>
      <c r="DI36" s="1344"/>
      <c r="DJ36" s="1344"/>
      <c r="DK36" s="1344"/>
      <c r="DL36" s="1344"/>
      <c r="DM36" s="1344"/>
      <c r="DN36" s="1344"/>
      <c r="DO36" s="1344"/>
      <c r="DP36" s="1344"/>
      <c r="DQ36" s="1344"/>
      <c r="DR36" s="1344"/>
      <c r="DS36" s="1344"/>
      <c r="DT36" s="1344"/>
      <c r="DU36" s="1344"/>
      <c r="DV36" s="1344"/>
      <c r="DW36" s="1344"/>
      <c r="DX36" s="1344"/>
      <c r="DY36" s="1344"/>
      <c r="DZ36" s="1344"/>
      <c r="EA36" s="1344"/>
      <c r="EB36" s="1344"/>
      <c r="EC36" s="1344"/>
      <c r="ED36" s="1344"/>
      <c r="EE36" s="1344"/>
      <c r="EF36" s="1344"/>
      <c r="EG36" s="1344"/>
      <c r="EH36" s="1344"/>
      <c r="EI36" s="1344"/>
      <c r="EJ36" s="1344"/>
      <c r="EK36" s="1344"/>
      <c r="EL36" s="1344"/>
      <c r="EM36" s="1344"/>
      <c r="EN36" s="1344"/>
      <c r="EO36" s="1344"/>
      <c r="EP36" s="1344"/>
      <c r="EQ36" s="1344"/>
      <c r="ER36" s="1344"/>
      <c r="ES36" s="1344"/>
      <c r="ET36" s="1344"/>
      <c r="EU36" s="1344"/>
      <c r="EV36" s="1344"/>
      <c r="EW36" s="1344"/>
      <c r="EX36" s="1344"/>
      <c r="EY36" s="1344"/>
      <c r="EZ36" s="1344"/>
      <c r="FA36" s="1344"/>
      <c r="FB36" s="1344"/>
      <c r="FC36" s="1344"/>
      <c r="FD36" s="1344"/>
      <c r="FE36" s="1344"/>
      <c r="FF36" s="1344"/>
      <c r="FG36" s="1344"/>
      <c r="FH36" s="1344"/>
      <c r="FI36" s="1344"/>
      <c r="FJ36" s="1344"/>
      <c r="FK36" s="1344"/>
      <c r="FL36" s="1344"/>
      <c r="FM36" s="1344"/>
      <c r="FN36" s="1344"/>
      <c r="FO36" s="1344"/>
      <c r="FP36" s="1344"/>
      <c r="FQ36" s="1344"/>
      <c r="FR36" s="1344"/>
      <c r="FS36" s="1344"/>
      <c r="FT36" s="1344"/>
      <c r="FU36" s="1344"/>
      <c r="FV36" s="1344"/>
      <c r="FW36" s="1344"/>
      <c r="FX36" s="1344"/>
      <c r="FY36" s="1344"/>
      <c r="FZ36" s="1344"/>
      <c r="GA36" s="1344"/>
      <c r="GB36" s="1344"/>
      <c r="GC36" s="1344"/>
      <c r="GD36" s="1344"/>
      <c r="GE36" s="1344"/>
      <c r="GF36" s="1344"/>
      <c r="GG36" s="1344"/>
      <c r="GH36" s="1344"/>
      <c r="GI36" s="1344"/>
      <c r="GJ36" s="1344"/>
      <c r="GK36" s="1344"/>
      <c r="GL36" s="1344"/>
      <c r="GM36" s="1344"/>
      <c r="GN36" s="1344"/>
      <c r="GO36" s="1344"/>
      <c r="GP36" s="1344"/>
      <c r="GQ36" s="1344"/>
      <c r="GR36" s="1344"/>
      <c r="GS36" s="1344"/>
      <c r="GT36" s="1344"/>
      <c r="GU36" s="1344"/>
      <c r="GV36" s="1344"/>
      <c r="GW36" s="1344"/>
      <c r="GX36" s="1344"/>
      <c r="GY36" s="1344"/>
      <c r="GZ36" s="1344"/>
      <c r="HA36" s="1344"/>
      <c r="HB36" s="1344"/>
      <c r="HC36" s="1344"/>
      <c r="HD36" s="1344"/>
      <c r="HE36" s="1344"/>
      <c r="HF36" s="1344"/>
      <c r="HG36" s="1344"/>
      <c r="HH36" s="1344"/>
      <c r="HI36" s="1344"/>
      <c r="HJ36" s="1344"/>
      <c r="HK36" s="1344"/>
      <c r="HL36" s="1344"/>
      <c r="HM36" s="1344"/>
      <c r="HN36" s="1344"/>
      <c r="HO36" s="1344"/>
      <c r="HP36" s="1344"/>
      <c r="HQ36" s="1344"/>
      <c r="HR36" s="1344"/>
      <c r="HS36" s="1344"/>
      <c r="HT36" s="1344"/>
      <c r="HU36" s="1344"/>
      <c r="HV36" s="1344"/>
      <c r="HW36" s="1344"/>
      <c r="HX36" s="1344"/>
      <c r="HY36" s="1344"/>
      <c r="HZ36" s="1344"/>
      <c r="IA36" s="1344"/>
      <c r="IB36" s="1344"/>
      <c r="IC36" s="1344"/>
      <c r="ID36" s="1344"/>
      <c r="IE36" s="1344"/>
      <c r="IF36" s="1344"/>
      <c r="IG36" s="1344"/>
      <c r="IH36" s="1344"/>
      <c r="II36" s="1344"/>
      <c r="IJ36" s="1344"/>
      <c r="IK36" s="1344"/>
      <c r="IL36" s="1344"/>
      <c r="IM36" s="1344"/>
      <c r="IN36" s="1344"/>
      <c r="IO36" s="1344"/>
      <c r="IP36" s="1344"/>
      <c r="IQ36" s="1344"/>
      <c r="IR36" s="1344"/>
      <c r="IS36" s="1344"/>
      <c r="IT36" s="1344"/>
      <c r="IU36" s="1344"/>
      <c r="IV36" s="1344"/>
    </row>
    <row r="37" spans="1:256" s="1345" customFormat="1" ht="12" customHeight="1" thickBot="1">
      <c r="A37" s="1365" t="s">
        <v>1118</v>
      </c>
      <c r="B37" s="1366">
        <v>153</v>
      </c>
      <c r="C37" s="1366">
        <v>135</v>
      </c>
      <c r="D37" s="1367">
        <v>143</v>
      </c>
      <c r="E37" s="1367">
        <v>169</v>
      </c>
      <c r="F37" s="1387">
        <v>636</v>
      </c>
      <c r="G37" s="1387">
        <v>258.5</v>
      </c>
      <c r="H37" s="1387">
        <v>421.8</v>
      </c>
      <c r="I37" s="1387">
        <v>475.5</v>
      </c>
      <c r="J37" s="1387">
        <v>350.5</v>
      </c>
      <c r="K37" s="1387">
        <v>204.6</v>
      </c>
      <c r="L37" s="1388">
        <v>182.3</v>
      </c>
      <c r="M37" s="1388">
        <v>401.8</v>
      </c>
      <c r="N37" s="1387">
        <v>442.4</v>
      </c>
      <c r="O37" s="1344"/>
      <c r="P37" s="1344"/>
      <c r="Q37" s="1344"/>
      <c r="R37" s="1344"/>
      <c r="S37" s="1344"/>
      <c r="T37" s="1344"/>
      <c r="U37" s="1344"/>
      <c r="V37" s="1344"/>
      <c r="W37" s="1344"/>
      <c r="X37" s="1344"/>
      <c r="Y37" s="1344"/>
      <c r="Z37" s="1344"/>
      <c r="AA37" s="1344"/>
      <c r="AB37" s="1344"/>
      <c r="AC37" s="1344"/>
      <c r="AD37" s="1344"/>
      <c r="AE37" s="1344"/>
      <c r="AF37" s="1344"/>
      <c r="AG37" s="1344"/>
      <c r="AH37" s="1344"/>
      <c r="AI37" s="1344"/>
      <c r="AJ37" s="1344"/>
      <c r="AK37" s="1344"/>
      <c r="AL37" s="1344"/>
      <c r="AM37" s="1344"/>
      <c r="AN37" s="1344"/>
      <c r="AO37" s="1344"/>
      <c r="AP37" s="1344"/>
      <c r="AQ37" s="1344"/>
      <c r="AR37" s="1344"/>
      <c r="AS37" s="1344"/>
      <c r="AT37" s="1344"/>
      <c r="AU37" s="1344"/>
      <c r="AV37" s="1344"/>
      <c r="AW37" s="1344"/>
      <c r="AX37" s="1344"/>
      <c r="AY37" s="1344"/>
      <c r="AZ37" s="1344"/>
      <c r="BA37" s="1344"/>
      <c r="BB37" s="1344"/>
      <c r="BC37" s="1344"/>
      <c r="BD37" s="1344"/>
      <c r="BE37" s="1344"/>
      <c r="BF37" s="1344"/>
      <c r="BG37" s="1344"/>
      <c r="BH37" s="1344"/>
      <c r="BI37" s="1344"/>
      <c r="BJ37" s="1344"/>
      <c r="BK37" s="1344"/>
      <c r="BL37" s="1344"/>
      <c r="BM37" s="1344"/>
      <c r="BN37" s="1344"/>
      <c r="BO37" s="1344"/>
      <c r="BP37" s="1344"/>
      <c r="BQ37" s="1344"/>
      <c r="BR37" s="1344"/>
      <c r="BS37" s="1344"/>
      <c r="BT37" s="1344"/>
      <c r="BU37" s="1344"/>
      <c r="BV37" s="1344"/>
      <c r="BW37" s="1344"/>
      <c r="BX37" s="1344"/>
      <c r="BY37" s="1344"/>
      <c r="BZ37" s="1344"/>
      <c r="CA37" s="1344"/>
      <c r="CB37" s="1344"/>
      <c r="CC37" s="1344"/>
      <c r="CD37" s="1344"/>
      <c r="CE37" s="1344"/>
      <c r="CF37" s="1344"/>
      <c r="CG37" s="1344"/>
      <c r="CH37" s="1344"/>
      <c r="CI37" s="1344"/>
      <c r="CJ37" s="1344"/>
      <c r="CK37" s="1344"/>
      <c r="CL37" s="1344"/>
      <c r="CM37" s="1344"/>
      <c r="CN37" s="1344"/>
      <c r="CO37" s="1344"/>
      <c r="CP37" s="1344"/>
      <c r="CQ37" s="1344"/>
      <c r="CR37" s="1344"/>
      <c r="CS37" s="1344"/>
      <c r="CT37" s="1344"/>
      <c r="CU37" s="1344"/>
      <c r="CV37" s="1344"/>
      <c r="CW37" s="1344"/>
      <c r="CX37" s="1344"/>
      <c r="CY37" s="1344"/>
      <c r="CZ37" s="1344"/>
      <c r="DA37" s="1344"/>
      <c r="DB37" s="1344"/>
      <c r="DC37" s="1344"/>
      <c r="DD37" s="1344"/>
      <c r="DE37" s="1344"/>
      <c r="DF37" s="1344"/>
      <c r="DG37" s="1344"/>
      <c r="DH37" s="1344"/>
      <c r="DI37" s="1344"/>
      <c r="DJ37" s="1344"/>
      <c r="DK37" s="1344"/>
      <c r="DL37" s="1344"/>
      <c r="DM37" s="1344"/>
      <c r="DN37" s="1344"/>
      <c r="DO37" s="1344"/>
      <c r="DP37" s="1344"/>
      <c r="DQ37" s="1344"/>
      <c r="DR37" s="1344"/>
      <c r="DS37" s="1344"/>
      <c r="DT37" s="1344"/>
      <c r="DU37" s="1344"/>
      <c r="DV37" s="1344"/>
      <c r="DW37" s="1344"/>
      <c r="DX37" s="1344"/>
      <c r="DY37" s="1344"/>
      <c r="DZ37" s="1344"/>
      <c r="EA37" s="1344"/>
      <c r="EB37" s="1344"/>
      <c r="EC37" s="1344"/>
      <c r="ED37" s="1344"/>
      <c r="EE37" s="1344"/>
      <c r="EF37" s="1344"/>
      <c r="EG37" s="1344"/>
      <c r="EH37" s="1344"/>
      <c r="EI37" s="1344"/>
      <c r="EJ37" s="1344"/>
      <c r="EK37" s="1344"/>
      <c r="EL37" s="1344"/>
      <c r="EM37" s="1344"/>
      <c r="EN37" s="1344"/>
      <c r="EO37" s="1344"/>
      <c r="EP37" s="1344"/>
      <c r="EQ37" s="1344"/>
      <c r="ER37" s="1344"/>
      <c r="ES37" s="1344"/>
      <c r="ET37" s="1344"/>
      <c r="EU37" s="1344"/>
      <c r="EV37" s="1344"/>
      <c r="EW37" s="1344"/>
      <c r="EX37" s="1344"/>
      <c r="EY37" s="1344"/>
      <c r="EZ37" s="1344"/>
      <c r="FA37" s="1344"/>
      <c r="FB37" s="1344"/>
      <c r="FC37" s="1344"/>
      <c r="FD37" s="1344"/>
      <c r="FE37" s="1344"/>
      <c r="FF37" s="1344"/>
      <c r="FG37" s="1344"/>
      <c r="FH37" s="1344"/>
      <c r="FI37" s="1344"/>
      <c r="FJ37" s="1344"/>
      <c r="FK37" s="1344"/>
      <c r="FL37" s="1344"/>
      <c r="FM37" s="1344"/>
      <c r="FN37" s="1344"/>
      <c r="FO37" s="1344"/>
      <c r="FP37" s="1344"/>
      <c r="FQ37" s="1344"/>
      <c r="FR37" s="1344"/>
      <c r="FS37" s="1344"/>
      <c r="FT37" s="1344"/>
      <c r="FU37" s="1344"/>
      <c r="FV37" s="1344"/>
      <c r="FW37" s="1344"/>
      <c r="FX37" s="1344"/>
      <c r="FY37" s="1344"/>
      <c r="FZ37" s="1344"/>
      <c r="GA37" s="1344"/>
      <c r="GB37" s="1344"/>
      <c r="GC37" s="1344"/>
      <c r="GD37" s="1344"/>
      <c r="GE37" s="1344"/>
      <c r="GF37" s="1344"/>
      <c r="GG37" s="1344"/>
      <c r="GH37" s="1344"/>
      <c r="GI37" s="1344"/>
      <c r="GJ37" s="1344"/>
      <c r="GK37" s="1344"/>
      <c r="GL37" s="1344"/>
      <c r="GM37" s="1344"/>
      <c r="GN37" s="1344"/>
      <c r="GO37" s="1344"/>
      <c r="GP37" s="1344"/>
      <c r="GQ37" s="1344"/>
      <c r="GR37" s="1344"/>
      <c r="GS37" s="1344"/>
      <c r="GT37" s="1344"/>
      <c r="GU37" s="1344"/>
      <c r="GV37" s="1344"/>
      <c r="GW37" s="1344"/>
      <c r="GX37" s="1344"/>
      <c r="GY37" s="1344"/>
      <c r="GZ37" s="1344"/>
      <c r="HA37" s="1344"/>
      <c r="HB37" s="1344"/>
      <c r="HC37" s="1344"/>
      <c r="HD37" s="1344"/>
      <c r="HE37" s="1344"/>
      <c r="HF37" s="1344"/>
      <c r="HG37" s="1344"/>
      <c r="HH37" s="1344"/>
      <c r="HI37" s="1344"/>
      <c r="HJ37" s="1344"/>
      <c r="HK37" s="1344"/>
      <c r="HL37" s="1344"/>
      <c r="HM37" s="1344"/>
      <c r="HN37" s="1344"/>
      <c r="HO37" s="1344"/>
      <c r="HP37" s="1344"/>
      <c r="HQ37" s="1344"/>
      <c r="HR37" s="1344"/>
      <c r="HS37" s="1344"/>
      <c r="HT37" s="1344"/>
      <c r="HU37" s="1344"/>
      <c r="HV37" s="1344"/>
      <c r="HW37" s="1344"/>
      <c r="HX37" s="1344"/>
      <c r="HY37" s="1344"/>
      <c r="HZ37" s="1344"/>
      <c r="IA37" s="1344"/>
      <c r="IB37" s="1344"/>
      <c r="IC37" s="1344"/>
      <c r="ID37" s="1344"/>
      <c r="IE37" s="1344"/>
      <c r="IF37" s="1344"/>
      <c r="IG37" s="1344"/>
      <c r="IH37" s="1344"/>
      <c r="II37" s="1344"/>
      <c r="IJ37" s="1344"/>
      <c r="IK37" s="1344"/>
      <c r="IL37" s="1344"/>
      <c r="IM37" s="1344"/>
      <c r="IN37" s="1344"/>
      <c r="IO37" s="1344"/>
      <c r="IP37" s="1344"/>
      <c r="IQ37" s="1344"/>
      <c r="IR37" s="1344"/>
      <c r="IS37" s="1344"/>
      <c r="IT37" s="1344"/>
      <c r="IU37" s="1344"/>
      <c r="IV37" s="1344"/>
    </row>
    <row r="38" spans="1:256" s="1345" customFormat="1" ht="12.75" customHeight="1" thickTop="1">
      <c r="A38" s="1338" t="s">
        <v>1119</v>
      </c>
      <c r="B38" s="1382"/>
      <c r="C38" s="1382"/>
      <c r="D38" s="1369"/>
      <c r="E38" s="1369"/>
      <c r="F38" s="1389"/>
      <c r="G38" s="1389"/>
      <c r="H38" s="1389"/>
      <c r="I38" s="1389"/>
      <c r="J38" s="1389"/>
      <c r="K38" s="1389"/>
      <c r="L38" s="1389"/>
      <c r="M38" s="1389"/>
      <c r="N38" s="1389"/>
      <c r="O38" s="1344"/>
      <c r="P38" s="1344"/>
      <c r="Q38" s="1344"/>
      <c r="R38" s="1344"/>
      <c r="S38" s="1344"/>
      <c r="T38" s="1344"/>
      <c r="U38" s="1344"/>
      <c r="V38" s="1344"/>
      <c r="W38" s="1344"/>
      <c r="X38" s="1344"/>
      <c r="Y38" s="1344"/>
      <c r="Z38" s="1344"/>
      <c r="AA38" s="1344"/>
      <c r="AB38" s="1344"/>
      <c r="AC38" s="1344"/>
      <c r="AD38" s="1344"/>
      <c r="AE38" s="1344"/>
      <c r="AF38" s="1344"/>
      <c r="AG38" s="1344"/>
      <c r="AH38" s="1344"/>
      <c r="AI38" s="1344"/>
      <c r="AJ38" s="1344"/>
      <c r="AK38" s="1344"/>
      <c r="AL38" s="1344"/>
      <c r="AM38" s="1344"/>
      <c r="AN38" s="1344"/>
      <c r="AO38" s="1344"/>
      <c r="AP38" s="1344"/>
      <c r="AQ38" s="1344"/>
      <c r="AR38" s="1344"/>
      <c r="AS38" s="1344"/>
      <c r="AT38" s="1344"/>
      <c r="AU38" s="1344"/>
      <c r="AV38" s="1344"/>
      <c r="AW38" s="1344"/>
      <c r="AX38" s="1344"/>
      <c r="AY38" s="1344"/>
      <c r="AZ38" s="1344"/>
      <c r="BA38" s="1344"/>
      <c r="BB38" s="1344"/>
      <c r="BC38" s="1344"/>
      <c r="BD38" s="1344"/>
      <c r="BE38" s="1344"/>
      <c r="BF38" s="1344"/>
      <c r="BG38" s="1344"/>
      <c r="BH38" s="1344"/>
      <c r="BI38" s="1344"/>
      <c r="BJ38" s="1344"/>
      <c r="BK38" s="1344"/>
      <c r="BL38" s="1344"/>
      <c r="BM38" s="1344"/>
      <c r="BN38" s="1344"/>
      <c r="BO38" s="1344"/>
      <c r="BP38" s="1344"/>
      <c r="BQ38" s="1344"/>
      <c r="BR38" s="1344"/>
      <c r="BS38" s="1344"/>
      <c r="BT38" s="1344"/>
      <c r="BU38" s="1344"/>
      <c r="BV38" s="1344"/>
      <c r="BW38" s="1344"/>
      <c r="BX38" s="1344"/>
      <c r="BY38" s="1344"/>
      <c r="BZ38" s="1344"/>
      <c r="CA38" s="1344"/>
      <c r="CB38" s="1344"/>
      <c r="CC38" s="1344"/>
      <c r="CD38" s="1344"/>
      <c r="CE38" s="1344"/>
      <c r="CF38" s="1344"/>
      <c r="CG38" s="1344"/>
      <c r="CH38" s="1344"/>
      <c r="CI38" s="1344"/>
      <c r="CJ38" s="1344"/>
      <c r="CK38" s="1344"/>
      <c r="CL38" s="1344"/>
      <c r="CM38" s="1344"/>
      <c r="CN38" s="1344"/>
      <c r="CO38" s="1344"/>
      <c r="CP38" s="1344"/>
      <c r="CQ38" s="1344"/>
      <c r="CR38" s="1344"/>
      <c r="CS38" s="1344"/>
      <c r="CT38" s="1344"/>
      <c r="CU38" s="1344"/>
      <c r="CV38" s="1344"/>
      <c r="CW38" s="1344"/>
      <c r="CX38" s="1344"/>
      <c r="CY38" s="1344"/>
      <c r="CZ38" s="1344"/>
      <c r="DA38" s="1344"/>
      <c r="DB38" s="1344"/>
      <c r="DC38" s="1344"/>
      <c r="DD38" s="1344"/>
      <c r="DE38" s="1344"/>
      <c r="DF38" s="1344"/>
      <c r="DG38" s="1344"/>
      <c r="DH38" s="1344"/>
      <c r="DI38" s="1344"/>
      <c r="DJ38" s="1344"/>
      <c r="DK38" s="1344"/>
      <c r="DL38" s="1344"/>
      <c r="DM38" s="1344"/>
      <c r="DN38" s="1344"/>
      <c r="DO38" s="1344"/>
      <c r="DP38" s="1344"/>
      <c r="DQ38" s="1344"/>
      <c r="DR38" s="1344"/>
      <c r="DS38" s="1344"/>
      <c r="DT38" s="1344"/>
      <c r="DU38" s="1344"/>
      <c r="DV38" s="1344"/>
      <c r="DW38" s="1344"/>
      <c r="DX38" s="1344"/>
      <c r="DY38" s="1344"/>
      <c r="DZ38" s="1344"/>
      <c r="EA38" s="1344"/>
      <c r="EB38" s="1344"/>
      <c r="EC38" s="1344"/>
      <c r="ED38" s="1344"/>
      <c r="EE38" s="1344"/>
      <c r="EF38" s="1344"/>
      <c r="EG38" s="1344"/>
      <c r="EH38" s="1344"/>
      <c r="EI38" s="1344"/>
      <c r="EJ38" s="1344"/>
      <c r="EK38" s="1344"/>
      <c r="EL38" s="1344"/>
      <c r="EM38" s="1344"/>
      <c r="EN38" s="1344"/>
      <c r="EO38" s="1344"/>
      <c r="EP38" s="1344"/>
      <c r="EQ38" s="1344"/>
      <c r="ER38" s="1344"/>
      <c r="ES38" s="1344"/>
      <c r="ET38" s="1344"/>
      <c r="EU38" s="1344"/>
      <c r="EV38" s="1344"/>
      <c r="EW38" s="1344"/>
      <c r="EX38" s="1344"/>
      <c r="EY38" s="1344"/>
      <c r="EZ38" s="1344"/>
      <c r="FA38" s="1344"/>
      <c r="FB38" s="1344"/>
      <c r="FC38" s="1344"/>
      <c r="FD38" s="1344"/>
      <c r="FE38" s="1344"/>
      <c r="FF38" s="1344"/>
      <c r="FG38" s="1344"/>
      <c r="FH38" s="1344"/>
      <c r="FI38" s="1344"/>
      <c r="FJ38" s="1344"/>
      <c r="FK38" s="1344"/>
      <c r="FL38" s="1344"/>
      <c r="FM38" s="1344"/>
      <c r="FN38" s="1344"/>
      <c r="FO38" s="1344"/>
      <c r="FP38" s="1344"/>
      <c r="FQ38" s="1344"/>
      <c r="FR38" s="1344"/>
      <c r="FS38" s="1344"/>
      <c r="FT38" s="1344"/>
      <c r="FU38" s="1344"/>
      <c r="FV38" s="1344"/>
      <c r="FW38" s="1344"/>
      <c r="FX38" s="1344"/>
      <c r="FY38" s="1344"/>
      <c r="FZ38" s="1344"/>
      <c r="GA38" s="1344"/>
      <c r="GB38" s="1344"/>
      <c r="GC38" s="1344"/>
      <c r="GD38" s="1344"/>
      <c r="GE38" s="1344"/>
      <c r="GF38" s="1344"/>
      <c r="GG38" s="1344"/>
      <c r="GH38" s="1344"/>
      <c r="GI38" s="1344"/>
      <c r="GJ38" s="1344"/>
      <c r="GK38" s="1344"/>
      <c r="GL38" s="1344"/>
      <c r="GM38" s="1344"/>
      <c r="GN38" s="1344"/>
      <c r="GO38" s="1344"/>
      <c r="GP38" s="1344"/>
      <c r="GQ38" s="1344"/>
      <c r="GR38" s="1344"/>
      <c r="GS38" s="1344"/>
      <c r="GT38" s="1344"/>
      <c r="GU38" s="1344"/>
      <c r="GV38" s="1344"/>
      <c r="GW38" s="1344"/>
      <c r="GX38" s="1344"/>
      <c r="GY38" s="1344"/>
      <c r="GZ38" s="1344"/>
      <c r="HA38" s="1344"/>
      <c r="HB38" s="1344"/>
      <c r="HC38" s="1344"/>
      <c r="HD38" s="1344"/>
      <c r="HE38" s="1344"/>
      <c r="HF38" s="1344"/>
      <c r="HG38" s="1344"/>
      <c r="HH38" s="1344"/>
      <c r="HI38" s="1344"/>
      <c r="HJ38" s="1344"/>
      <c r="HK38" s="1344"/>
      <c r="HL38" s="1344"/>
      <c r="HM38" s="1344"/>
      <c r="HN38" s="1344"/>
      <c r="HO38" s="1344"/>
      <c r="HP38" s="1344"/>
      <c r="HQ38" s="1344"/>
      <c r="HR38" s="1344"/>
      <c r="HS38" s="1344"/>
      <c r="HT38" s="1344"/>
      <c r="HU38" s="1344"/>
      <c r="HV38" s="1344"/>
      <c r="HW38" s="1344"/>
      <c r="HX38" s="1344"/>
      <c r="HY38" s="1344"/>
      <c r="HZ38" s="1344"/>
      <c r="IA38" s="1344"/>
      <c r="IB38" s="1344"/>
      <c r="IC38" s="1344"/>
      <c r="ID38" s="1344"/>
      <c r="IE38" s="1344"/>
      <c r="IF38" s="1344"/>
      <c r="IG38" s="1344"/>
      <c r="IH38" s="1344"/>
      <c r="II38" s="1344"/>
      <c r="IJ38" s="1344"/>
      <c r="IK38" s="1344"/>
      <c r="IL38" s="1344"/>
      <c r="IM38" s="1344"/>
      <c r="IN38" s="1344"/>
      <c r="IO38" s="1344"/>
      <c r="IP38" s="1344"/>
      <c r="IQ38" s="1344"/>
      <c r="IR38" s="1344"/>
      <c r="IS38" s="1344"/>
      <c r="IT38" s="1344"/>
      <c r="IU38" s="1344"/>
      <c r="IV38" s="1344"/>
    </row>
    <row r="39" spans="1:256" ht="10.5" customHeight="1">
      <c r="A39" s="1323" t="s">
        <v>510</v>
      </c>
      <c r="B39" s="1346">
        <v>30.3</v>
      </c>
      <c r="C39" s="1346">
        <v>32.5</v>
      </c>
      <c r="D39" s="1347">
        <v>33.1</v>
      </c>
      <c r="E39" s="1347">
        <v>30.9</v>
      </c>
      <c r="F39" s="1347">
        <v>27.2</v>
      </c>
      <c r="G39" s="1347">
        <v>20.2</v>
      </c>
      <c r="H39" s="1347">
        <v>20.3</v>
      </c>
      <c r="I39" s="1347">
        <v>18.3</v>
      </c>
      <c r="J39" s="1347">
        <v>11.7</v>
      </c>
      <c r="K39" s="1347">
        <v>10.5</v>
      </c>
      <c r="L39" s="1371">
        <v>7.1</v>
      </c>
      <c r="M39" s="1371">
        <v>4.5999999999999996</v>
      </c>
      <c r="N39" s="1347">
        <v>3</v>
      </c>
      <c r="O39" s="1337"/>
      <c r="P39" s="1337"/>
      <c r="Q39" s="1337"/>
      <c r="R39" s="1337"/>
      <c r="S39" s="1337"/>
      <c r="T39" s="1337"/>
      <c r="U39" s="1337"/>
      <c r="V39" s="1337"/>
      <c r="W39" s="1337"/>
      <c r="X39" s="1337"/>
      <c r="Y39" s="1337"/>
      <c r="Z39" s="1337"/>
      <c r="AA39" s="1337"/>
      <c r="AB39" s="1337"/>
      <c r="AC39" s="1337"/>
      <c r="AD39" s="1337"/>
      <c r="AE39" s="1337"/>
      <c r="AF39" s="1337"/>
      <c r="AG39" s="1337"/>
      <c r="AH39" s="1337"/>
      <c r="AI39" s="1337"/>
      <c r="AJ39" s="1337"/>
      <c r="AK39" s="1337"/>
      <c r="AL39" s="1337"/>
      <c r="AM39" s="1337"/>
      <c r="AN39" s="1337"/>
      <c r="AO39" s="1337"/>
      <c r="AP39" s="1337"/>
      <c r="AQ39" s="1337"/>
      <c r="AR39" s="1337"/>
      <c r="AS39" s="1337"/>
      <c r="AT39" s="1337"/>
      <c r="AU39" s="1337"/>
      <c r="AV39" s="1337"/>
      <c r="AW39" s="1337"/>
      <c r="AX39" s="1337"/>
      <c r="AY39" s="1337"/>
      <c r="AZ39" s="1337"/>
      <c r="BA39" s="1337"/>
      <c r="BB39" s="1337"/>
      <c r="BC39" s="1337"/>
      <c r="BD39" s="1337"/>
      <c r="BE39" s="1337"/>
      <c r="BF39" s="1337"/>
      <c r="BG39" s="1337"/>
      <c r="BH39" s="1337"/>
      <c r="BI39" s="1337"/>
      <c r="BJ39" s="1337"/>
      <c r="BK39" s="1337"/>
      <c r="BL39" s="1337"/>
      <c r="BM39" s="1337"/>
      <c r="BN39" s="1337"/>
      <c r="BO39" s="1337"/>
      <c r="BP39" s="1337"/>
      <c r="BQ39" s="1337"/>
      <c r="BR39" s="1337"/>
      <c r="BS39" s="1337"/>
      <c r="BT39" s="1337"/>
      <c r="BU39" s="1337"/>
      <c r="BV39" s="1337"/>
      <c r="BW39" s="1337"/>
      <c r="BX39" s="1337"/>
      <c r="BY39" s="1337"/>
      <c r="BZ39" s="1337"/>
      <c r="CA39" s="1337"/>
      <c r="CB39" s="1337"/>
      <c r="CC39" s="1337"/>
      <c r="CD39" s="1337"/>
      <c r="CE39" s="1337"/>
      <c r="CF39" s="1337"/>
      <c r="CG39" s="1337"/>
      <c r="CH39" s="1337"/>
      <c r="CI39" s="1337"/>
      <c r="CJ39" s="1337"/>
      <c r="CK39" s="1337"/>
      <c r="CL39" s="1337"/>
      <c r="CM39" s="1337"/>
      <c r="CN39" s="1337"/>
      <c r="CO39" s="1337"/>
      <c r="CP39" s="1337"/>
      <c r="CQ39" s="1337"/>
      <c r="CR39" s="1337"/>
      <c r="CS39" s="1337"/>
      <c r="CT39" s="1337"/>
      <c r="CU39" s="1337"/>
      <c r="CV39" s="1337"/>
      <c r="CW39" s="1337"/>
      <c r="CX39" s="1337"/>
      <c r="CY39" s="1337"/>
      <c r="CZ39" s="1337"/>
      <c r="DA39" s="1337"/>
      <c r="DB39" s="1337"/>
      <c r="DC39" s="1337"/>
      <c r="DD39" s="1337"/>
      <c r="DE39" s="1337"/>
      <c r="DF39" s="1337"/>
      <c r="DG39" s="1337"/>
      <c r="DH39" s="1337"/>
      <c r="DI39" s="1337"/>
      <c r="DJ39" s="1337"/>
      <c r="DK39" s="1337"/>
      <c r="DL39" s="1337"/>
      <c r="DM39" s="1337"/>
      <c r="DN39" s="1337"/>
      <c r="DO39" s="1337"/>
      <c r="DP39" s="1337"/>
      <c r="DQ39" s="1337"/>
      <c r="DR39" s="1337"/>
      <c r="DS39" s="1337"/>
      <c r="DT39" s="1337"/>
      <c r="DU39" s="1337"/>
      <c r="DV39" s="1337"/>
      <c r="DW39" s="1337"/>
      <c r="DX39" s="1337"/>
      <c r="DY39" s="1337"/>
      <c r="DZ39" s="1337"/>
      <c r="EA39" s="1337"/>
      <c r="EB39" s="1337"/>
      <c r="EC39" s="1337"/>
      <c r="ED39" s="1337"/>
      <c r="EE39" s="1337"/>
      <c r="EF39" s="1337"/>
      <c r="EG39" s="1337"/>
      <c r="EH39" s="1337"/>
      <c r="EI39" s="1337"/>
      <c r="EJ39" s="1337"/>
      <c r="EK39" s="1337"/>
      <c r="EL39" s="1337"/>
      <c r="EM39" s="1337"/>
      <c r="EN39" s="1337"/>
      <c r="EO39" s="1337"/>
      <c r="EP39" s="1337"/>
      <c r="EQ39" s="1337"/>
      <c r="ER39" s="1337"/>
      <c r="ES39" s="1337"/>
      <c r="ET39" s="1337"/>
      <c r="EU39" s="1337"/>
      <c r="EV39" s="1337"/>
      <c r="EW39" s="1337"/>
      <c r="EX39" s="1337"/>
      <c r="EY39" s="1337"/>
      <c r="EZ39" s="1337"/>
      <c r="FA39" s="1337"/>
      <c r="FB39" s="1337"/>
      <c r="FC39" s="1337"/>
      <c r="FD39" s="1337"/>
      <c r="FE39" s="1337"/>
      <c r="FF39" s="1337"/>
      <c r="FG39" s="1337"/>
      <c r="FH39" s="1337"/>
      <c r="FI39" s="1337"/>
      <c r="FJ39" s="1337"/>
      <c r="FK39" s="1337"/>
      <c r="FL39" s="1337"/>
      <c r="FM39" s="1337"/>
      <c r="FN39" s="1337"/>
      <c r="FO39" s="1337"/>
      <c r="FP39" s="1337"/>
      <c r="FQ39" s="1337"/>
      <c r="FR39" s="1337"/>
      <c r="FS39" s="1337"/>
      <c r="FT39" s="1337"/>
      <c r="FU39" s="1337"/>
      <c r="FV39" s="1337"/>
      <c r="FW39" s="1337"/>
      <c r="FX39" s="1337"/>
      <c r="FY39" s="1337"/>
      <c r="FZ39" s="1337"/>
      <c r="GA39" s="1337"/>
      <c r="GB39" s="1337"/>
      <c r="GC39" s="1337"/>
      <c r="GD39" s="1337"/>
      <c r="GE39" s="1337"/>
      <c r="GF39" s="1337"/>
      <c r="GG39" s="1337"/>
      <c r="GH39" s="1337"/>
      <c r="GI39" s="1337"/>
      <c r="GJ39" s="1337"/>
      <c r="GK39" s="1337"/>
      <c r="GL39" s="1337"/>
      <c r="GM39" s="1337"/>
      <c r="GN39" s="1337"/>
      <c r="GO39" s="1337"/>
      <c r="GP39" s="1337"/>
      <c r="GQ39" s="1337"/>
      <c r="GR39" s="1337"/>
      <c r="GS39" s="1337"/>
      <c r="GT39" s="1337"/>
      <c r="GU39" s="1337"/>
      <c r="GV39" s="1337"/>
      <c r="GW39" s="1337"/>
      <c r="GX39" s="1337"/>
      <c r="GY39" s="1337"/>
      <c r="GZ39" s="1337"/>
      <c r="HA39" s="1337"/>
      <c r="HB39" s="1337"/>
      <c r="HC39" s="1337"/>
      <c r="HD39" s="1337"/>
      <c r="HE39" s="1337"/>
      <c r="HF39" s="1337"/>
      <c r="HG39" s="1337"/>
      <c r="HH39" s="1337"/>
      <c r="HI39" s="1337"/>
      <c r="HJ39" s="1337"/>
      <c r="HK39" s="1337"/>
      <c r="HL39" s="1337"/>
      <c r="HM39" s="1337"/>
      <c r="HN39" s="1337"/>
      <c r="HO39" s="1337"/>
      <c r="HP39" s="1337"/>
      <c r="HQ39" s="1337"/>
      <c r="HR39" s="1337"/>
      <c r="HS39" s="1337"/>
      <c r="HT39" s="1337"/>
      <c r="HU39" s="1337"/>
      <c r="HV39" s="1337"/>
      <c r="HW39" s="1337"/>
      <c r="HX39" s="1337"/>
      <c r="HY39" s="1337"/>
      <c r="HZ39" s="1337"/>
      <c r="IA39" s="1337"/>
      <c r="IB39" s="1337"/>
      <c r="IC39" s="1337"/>
      <c r="ID39" s="1337"/>
      <c r="IE39" s="1337"/>
      <c r="IF39" s="1337"/>
      <c r="IG39" s="1337"/>
      <c r="IH39" s="1337"/>
      <c r="II39" s="1337"/>
      <c r="IJ39" s="1337"/>
      <c r="IK39" s="1337"/>
      <c r="IL39" s="1337"/>
      <c r="IM39" s="1337"/>
      <c r="IN39" s="1337"/>
      <c r="IO39" s="1337"/>
      <c r="IP39" s="1337"/>
      <c r="IQ39" s="1337"/>
      <c r="IR39" s="1337"/>
      <c r="IS39" s="1337"/>
      <c r="IT39" s="1337"/>
      <c r="IU39" s="1337"/>
      <c r="IV39" s="1337"/>
    </row>
    <row r="40" spans="1:256" ht="10.5" customHeight="1">
      <c r="A40" s="1323" t="s">
        <v>1100</v>
      </c>
      <c r="B40" s="1346">
        <v>149.19999999999999</v>
      </c>
      <c r="C40" s="1346">
        <v>172.3</v>
      </c>
      <c r="D40" s="1347">
        <v>236.5</v>
      </c>
      <c r="E40" s="1347">
        <v>367.9</v>
      </c>
      <c r="F40" s="1347">
        <v>344.8</v>
      </c>
      <c r="G40" s="1347">
        <v>268.89999999999998</v>
      </c>
      <c r="H40" s="1347">
        <v>322.2</v>
      </c>
      <c r="I40" s="1347">
        <v>325.60000000000002</v>
      </c>
      <c r="J40" s="1347">
        <v>276.8</v>
      </c>
      <c r="K40" s="1347">
        <v>351.2</v>
      </c>
      <c r="L40" s="1370">
        <v>335.3</v>
      </c>
      <c r="M40" s="1370">
        <v>372.3</v>
      </c>
      <c r="N40" s="1347">
        <v>369.1</v>
      </c>
      <c r="O40" s="1337"/>
      <c r="P40" s="1337"/>
      <c r="Q40" s="1337"/>
      <c r="R40" s="1337"/>
      <c r="S40" s="1337"/>
      <c r="T40" s="1337"/>
      <c r="U40" s="1337"/>
      <c r="V40" s="1337"/>
      <c r="W40" s="1337"/>
      <c r="X40" s="1337"/>
      <c r="Y40" s="1337"/>
      <c r="Z40" s="1337"/>
      <c r="AA40" s="1337"/>
      <c r="AB40" s="1337"/>
      <c r="AC40" s="1337"/>
      <c r="AD40" s="1337"/>
      <c r="AE40" s="1337"/>
      <c r="AF40" s="1337"/>
      <c r="AG40" s="1337"/>
      <c r="AH40" s="1337"/>
      <c r="AI40" s="1337"/>
      <c r="AJ40" s="1337"/>
      <c r="AK40" s="1337"/>
      <c r="AL40" s="1337"/>
      <c r="AM40" s="1337"/>
      <c r="AN40" s="1337"/>
      <c r="AO40" s="1337"/>
      <c r="AP40" s="1337"/>
      <c r="AQ40" s="1337"/>
      <c r="AR40" s="1337"/>
      <c r="AS40" s="1337"/>
      <c r="AT40" s="1337"/>
      <c r="AU40" s="1337"/>
      <c r="AV40" s="1337"/>
      <c r="AW40" s="1337"/>
      <c r="AX40" s="1337"/>
      <c r="AY40" s="1337"/>
      <c r="AZ40" s="1337"/>
      <c r="BA40" s="1337"/>
      <c r="BB40" s="1337"/>
      <c r="BC40" s="1337"/>
      <c r="BD40" s="1337"/>
      <c r="BE40" s="1337"/>
      <c r="BF40" s="1337"/>
      <c r="BG40" s="1337"/>
      <c r="BH40" s="1337"/>
      <c r="BI40" s="1337"/>
      <c r="BJ40" s="1337"/>
      <c r="BK40" s="1337"/>
      <c r="BL40" s="1337"/>
      <c r="BM40" s="1337"/>
      <c r="BN40" s="1337"/>
      <c r="BO40" s="1337"/>
      <c r="BP40" s="1337"/>
      <c r="BQ40" s="1337"/>
      <c r="BR40" s="1337"/>
      <c r="BS40" s="1337"/>
      <c r="BT40" s="1337"/>
      <c r="BU40" s="1337"/>
      <c r="BV40" s="1337"/>
      <c r="BW40" s="1337"/>
      <c r="BX40" s="1337"/>
      <c r="BY40" s="1337"/>
      <c r="BZ40" s="1337"/>
      <c r="CA40" s="1337"/>
      <c r="CB40" s="1337"/>
      <c r="CC40" s="1337"/>
      <c r="CD40" s="1337"/>
      <c r="CE40" s="1337"/>
      <c r="CF40" s="1337"/>
      <c r="CG40" s="1337"/>
      <c r="CH40" s="1337"/>
      <c r="CI40" s="1337"/>
      <c r="CJ40" s="1337"/>
      <c r="CK40" s="1337"/>
      <c r="CL40" s="1337"/>
      <c r="CM40" s="1337"/>
      <c r="CN40" s="1337"/>
      <c r="CO40" s="1337"/>
      <c r="CP40" s="1337"/>
      <c r="CQ40" s="1337"/>
      <c r="CR40" s="1337"/>
      <c r="CS40" s="1337"/>
      <c r="CT40" s="1337"/>
      <c r="CU40" s="1337"/>
      <c r="CV40" s="1337"/>
      <c r="CW40" s="1337"/>
      <c r="CX40" s="1337"/>
      <c r="CY40" s="1337"/>
      <c r="CZ40" s="1337"/>
      <c r="DA40" s="1337"/>
      <c r="DB40" s="1337"/>
      <c r="DC40" s="1337"/>
      <c r="DD40" s="1337"/>
      <c r="DE40" s="1337"/>
      <c r="DF40" s="1337"/>
      <c r="DG40" s="1337"/>
      <c r="DH40" s="1337"/>
      <c r="DI40" s="1337"/>
      <c r="DJ40" s="1337"/>
      <c r="DK40" s="1337"/>
      <c r="DL40" s="1337"/>
      <c r="DM40" s="1337"/>
      <c r="DN40" s="1337"/>
      <c r="DO40" s="1337"/>
      <c r="DP40" s="1337"/>
      <c r="DQ40" s="1337"/>
      <c r="DR40" s="1337"/>
      <c r="DS40" s="1337"/>
      <c r="DT40" s="1337"/>
      <c r="DU40" s="1337"/>
      <c r="DV40" s="1337"/>
      <c r="DW40" s="1337"/>
      <c r="DX40" s="1337"/>
      <c r="DY40" s="1337"/>
      <c r="DZ40" s="1337"/>
      <c r="EA40" s="1337"/>
      <c r="EB40" s="1337"/>
      <c r="EC40" s="1337"/>
      <c r="ED40" s="1337"/>
      <c r="EE40" s="1337"/>
      <c r="EF40" s="1337"/>
      <c r="EG40" s="1337"/>
      <c r="EH40" s="1337"/>
      <c r="EI40" s="1337"/>
      <c r="EJ40" s="1337"/>
      <c r="EK40" s="1337"/>
      <c r="EL40" s="1337"/>
      <c r="EM40" s="1337"/>
      <c r="EN40" s="1337"/>
      <c r="EO40" s="1337"/>
      <c r="EP40" s="1337"/>
      <c r="EQ40" s="1337"/>
      <c r="ER40" s="1337"/>
      <c r="ES40" s="1337"/>
      <c r="ET40" s="1337"/>
      <c r="EU40" s="1337"/>
      <c r="EV40" s="1337"/>
      <c r="EW40" s="1337"/>
      <c r="EX40" s="1337"/>
      <c r="EY40" s="1337"/>
      <c r="EZ40" s="1337"/>
      <c r="FA40" s="1337"/>
      <c r="FB40" s="1337"/>
      <c r="FC40" s="1337"/>
      <c r="FD40" s="1337"/>
      <c r="FE40" s="1337"/>
      <c r="FF40" s="1337"/>
      <c r="FG40" s="1337"/>
      <c r="FH40" s="1337"/>
      <c r="FI40" s="1337"/>
      <c r="FJ40" s="1337"/>
      <c r="FK40" s="1337"/>
      <c r="FL40" s="1337"/>
      <c r="FM40" s="1337"/>
      <c r="FN40" s="1337"/>
      <c r="FO40" s="1337"/>
      <c r="FP40" s="1337"/>
      <c r="FQ40" s="1337"/>
      <c r="FR40" s="1337"/>
      <c r="FS40" s="1337"/>
      <c r="FT40" s="1337"/>
      <c r="FU40" s="1337"/>
      <c r="FV40" s="1337"/>
      <c r="FW40" s="1337"/>
      <c r="FX40" s="1337"/>
      <c r="FY40" s="1337"/>
      <c r="FZ40" s="1337"/>
      <c r="GA40" s="1337"/>
      <c r="GB40" s="1337"/>
      <c r="GC40" s="1337"/>
      <c r="GD40" s="1337"/>
      <c r="GE40" s="1337"/>
      <c r="GF40" s="1337"/>
      <c r="GG40" s="1337"/>
      <c r="GH40" s="1337"/>
      <c r="GI40" s="1337"/>
      <c r="GJ40" s="1337"/>
      <c r="GK40" s="1337"/>
      <c r="GL40" s="1337"/>
      <c r="GM40" s="1337"/>
      <c r="GN40" s="1337"/>
      <c r="GO40" s="1337"/>
      <c r="GP40" s="1337"/>
      <c r="GQ40" s="1337"/>
      <c r="GR40" s="1337"/>
      <c r="GS40" s="1337"/>
      <c r="GT40" s="1337"/>
      <c r="GU40" s="1337"/>
      <c r="GV40" s="1337"/>
      <c r="GW40" s="1337"/>
      <c r="GX40" s="1337"/>
      <c r="GY40" s="1337"/>
      <c r="GZ40" s="1337"/>
      <c r="HA40" s="1337"/>
      <c r="HB40" s="1337"/>
      <c r="HC40" s="1337"/>
      <c r="HD40" s="1337"/>
      <c r="HE40" s="1337"/>
      <c r="HF40" s="1337"/>
      <c r="HG40" s="1337"/>
      <c r="HH40" s="1337"/>
      <c r="HI40" s="1337"/>
      <c r="HJ40" s="1337"/>
      <c r="HK40" s="1337"/>
      <c r="HL40" s="1337"/>
      <c r="HM40" s="1337"/>
      <c r="HN40" s="1337"/>
      <c r="HO40" s="1337"/>
      <c r="HP40" s="1337"/>
      <c r="HQ40" s="1337"/>
      <c r="HR40" s="1337"/>
      <c r="HS40" s="1337"/>
      <c r="HT40" s="1337"/>
      <c r="HU40" s="1337"/>
      <c r="HV40" s="1337"/>
      <c r="HW40" s="1337"/>
      <c r="HX40" s="1337"/>
      <c r="HY40" s="1337"/>
      <c r="HZ40" s="1337"/>
      <c r="IA40" s="1337"/>
      <c r="IB40" s="1337"/>
      <c r="IC40" s="1337"/>
      <c r="ID40" s="1337"/>
      <c r="IE40" s="1337"/>
      <c r="IF40" s="1337"/>
      <c r="IG40" s="1337"/>
      <c r="IH40" s="1337"/>
      <c r="II40" s="1337"/>
      <c r="IJ40" s="1337"/>
      <c r="IK40" s="1337"/>
      <c r="IL40" s="1337"/>
      <c r="IM40" s="1337"/>
      <c r="IN40" s="1337"/>
      <c r="IO40" s="1337"/>
      <c r="IP40" s="1337"/>
      <c r="IQ40" s="1337"/>
      <c r="IR40" s="1337"/>
      <c r="IS40" s="1337"/>
      <c r="IT40" s="1337"/>
      <c r="IU40" s="1337"/>
      <c r="IV40" s="1337"/>
    </row>
    <row r="41" spans="1:256" ht="10.5" customHeight="1">
      <c r="A41" s="1323" t="s">
        <v>1101</v>
      </c>
      <c r="B41" s="1346">
        <v>26.4</v>
      </c>
      <c r="C41" s="1346">
        <v>19.399999999999999</v>
      </c>
      <c r="D41" s="1347">
        <v>11.6</v>
      </c>
      <c r="E41" s="1347">
        <v>9.6999999999999993</v>
      </c>
      <c r="F41" s="1347">
        <v>5.4</v>
      </c>
      <c r="G41" s="1347">
        <v>5.4</v>
      </c>
      <c r="H41" s="1347">
        <v>4.2</v>
      </c>
      <c r="I41" s="1347">
        <v>4.8</v>
      </c>
      <c r="J41" s="1347">
        <v>46.9</v>
      </c>
      <c r="K41" s="1347">
        <v>9.1</v>
      </c>
      <c r="L41" s="1371">
        <v>8.1</v>
      </c>
      <c r="M41" s="1370">
        <v>4.5999999999999996</v>
      </c>
      <c r="N41" s="1347">
        <v>3.4</v>
      </c>
      <c r="O41" s="1337"/>
      <c r="P41" s="1337"/>
      <c r="Q41" s="1337"/>
      <c r="R41" s="1337"/>
      <c r="S41" s="1337"/>
      <c r="T41" s="1337"/>
      <c r="U41" s="1337"/>
      <c r="V41" s="1337"/>
      <c r="W41" s="1337"/>
      <c r="X41" s="1337"/>
      <c r="Y41" s="1337"/>
      <c r="Z41" s="1337"/>
      <c r="AA41" s="1337"/>
      <c r="AB41" s="1337"/>
      <c r="AC41" s="1337"/>
      <c r="AD41" s="1337"/>
      <c r="AE41" s="1337"/>
      <c r="AF41" s="1337"/>
      <c r="AG41" s="1337"/>
      <c r="AH41" s="1337"/>
      <c r="AI41" s="1337"/>
      <c r="AJ41" s="1337"/>
      <c r="AK41" s="1337"/>
      <c r="AL41" s="1337"/>
      <c r="AM41" s="1337"/>
      <c r="AN41" s="1337"/>
      <c r="AO41" s="1337"/>
      <c r="AP41" s="1337"/>
      <c r="AQ41" s="1337"/>
      <c r="AR41" s="1337"/>
      <c r="AS41" s="1337"/>
      <c r="AT41" s="1337"/>
      <c r="AU41" s="1337"/>
      <c r="AV41" s="1337"/>
      <c r="AW41" s="1337"/>
      <c r="AX41" s="1337"/>
      <c r="AY41" s="1337"/>
      <c r="AZ41" s="1337"/>
      <c r="BA41" s="1337"/>
      <c r="BB41" s="1337"/>
      <c r="BC41" s="1337"/>
      <c r="BD41" s="1337"/>
      <c r="BE41" s="1337"/>
      <c r="BF41" s="1337"/>
      <c r="BG41" s="1337"/>
      <c r="BH41" s="1337"/>
      <c r="BI41" s="1337"/>
      <c r="BJ41" s="1337"/>
      <c r="BK41" s="1337"/>
      <c r="BL41" s="1337"/>
      <c r="BM41" s="1337"/>
      <c r="BN41" s="1337"/>
      <c r="BO41" s="1337"/>
      <c r="BP41" s="1337"/>
      <c r="BQ41" s="1337"/>
      <c r="BR41" s="1337"/>
      <c r="BS41" s="1337"/>
      <c r="BT41" s="1337"/>
      <c r="BU41" s="1337"/>
      <c r="BV41" s="1337"/>
      <c r="BW41" s="1337"/>
      <c r="BX41" s="1337"/>
      <c r="BY41" s="1337"/>
      <c r="BZ41" s="1337"/>
      <c r="CA41" s="1337"/>
      <c r="CB41" s="1337"/>
      <c r="CC41" s="1337"/>
      <c r="CD41" s="1337"/>
      <c r="CE41" s="1337"/>
      <c r="CF41" s="1337"/>
      <c r="CG41" s="1337"/>
      <c r="CH41" s="1337"/>
      <c r="CI41" s="1337"/>
      <c r="CJ41" s="1337"/>
      <c r="CK41" s="1337"/>
      <c r="CL41" s="1337"/>
      <c r="CM41" s="1337"/>
      <c r="CN41" s="1337"/>
      <c r="CO41" s="1337"/>
      <c r="CP41" s="1337"/>
      <c r="CQ41" s="1337"/>
      <c r="CR41" s="1337"/>
      <c r="CS41" s="1337"/>
      <c r="CT41" s="1337"/>
      <c r="CU41" s="1337"/>
      <c r="CV41" s="1337"/>
      <c r="CW41" s="1337"/>
      <c r="CX41" s="1337"/>
      <c r="CY41" s="1337"/>
      <c r="CZ41" s="1337"/>
      <c r="DA41" s="1337"/>
      <c r="DB41" s="1337"/>
      <c r="DC41" s="1337"/>
      <c r="DD41" s="1337"/>
      <c r="DE41" s="1337"/>
      <c r="DF41" s="1337"/>
      <c r="DG41" s="1337"/>
      <c r="DH41" s="1337"/>
      <c r="DI41" s="1337"/>
      <c r="DJ41" s="1337"/>
      <c r="DK41" s="1337"/>
      <c r="DL41" s="1337"/>
      <c r="DM41" s="1337"/>
      <c r="DN41" s="1337"/>
      <c r="DO41" s="1337"/>
      <c r="DP41" s="1337"/>
      <c r="DQ41" s="1337"/>
      <c r="DR41" s="1337"/>
      <c r="DS41" s="1337"/>
      <c r="DT41" s="1337"/>
      <c r="DU41" s="1337"/>
      <c r="DV41" s="1337"/>
      <c r="DW41" s="1337"/>
      <c r="DX41" s="1337"/>
      <c r="DY41" s="1337"/>
      <c r="DZ41" s="1337"/>
      <c r="EA41" s="1337"/>
      <c r="EB41" s="1337"/>
      <c r="EC41" s="1337"/>
      <c r="ED41" s="1337"/>
      <c r="EE41" s="1337"/>
      <c r="EF41" s="1337"/>
      <c r="EG41" s="1337"/>
      <c r="EH41" s="1337"/>
      <c r="EI41" s="1337"/>
      <c r="EJ41" s="1337"/>
      <c r="EK41" s="1337"/>
      <c r="EL41" s="1337"/>
      <c r="EM41" s="1337"/>
      <c r="EN41" s="1337"/>
      <c r="EO41" s="1337"/>
      <c r="EP41" s="1337"/>
      <c r="EQ41" s="1337"/>
      <c r="ER41" s="1337"/>
      <c r="ES41" s="1337"/>
      <c r="ET41" s="1337"/>
      <c r="EU41" s="1337"/>
      <c r="EV41" s="1337"/>
      <c r="EW41" s="1337"/>
      <c r="EX41" s="1337"/>
      <c r="EY41" s="1337"/>
      <c r="EZ41" s="1337"/>
      <c r="FA41" s="1337"/>
      <c r="FB41" s="1337"/>
      <c r="FC41" s="1337"/>
      <c r="FD41" s="1337"/>
      <c r="FE41" s="1337"/>
      <c r="FF41" s="1337"/>
      <c r="FG41" s="1337"/>
      <c r="FH41" s="1337"/>
      <c r="FI41" s="1337"/>
      <c r="FJ41" s="1337"/>
      <c r="FK41" s="1337"/>
      <c r="FL41" s="1337"/>
      <c r="FM41" s="1337"/>
      <c r="FN41" s="1337"/>
      <c r="FO41" s="1337"/>
      <c r="FP41" s="1337"/>
      <c r="FQ41" s="1337"/>
      <c r="FR41" s="1337"/>
      <c r="FS41" s="1337"/>
      <c r="FT41" s="1337"/>
      <c r="FU41" s="1337"/>
      <c r="FV41" s="1337"/>
      <c r="FW41" s="1337"/>
      <c r="FX41" s="1337"/>
      <c r="FY41" s="1337"/>
      <c r="FZ41" s="1337"/>
      <c r="GA41" s="1337"/>
      <c r="GB41" s="1337"/>
      <c r="GC41" s="1337"/>
      <c r="GD41" s="1337"/>
      <c r="GE41" s="1337"/>
      <c r="GF41" s="1337"/>
      <c r="GG41" s="1337"/>
      <c r="GH41" s="1337"/>
      <c r="GI41" s="1337"/>
      <c r="GJ41" s="1337"/>
      <c r="GK41" s="1337"/>
      <c r="GL41" s="1337"/>
      <c r="GM41" s="1337"/>
      <c r="GN41" s="1337"/>
      <c r="GO41" s="1337"/>
      <c r="GP41" s="1337"/>
      <c r="GQ41" s="1337"/>
      <c r="GR41" s="1337"/>
      <c r="GS41" s="1337"/>
      <c r="GT41" s="1337"/>
      <c r="GU41" s="1337"/>
      <c r="GV41" s="1337"/>
      <c r="GW41" s="1337"/>
      <c r="GX41" s="1337"/>
      <c r="GY41" s="1337"/>
      <c r="GZ41" s="1337"/>
      <c r="HA41" s="1337"/>
      <c r="HB41" s="1337"/>
      <c r="HC41" s="1337"/>
      <c r="HD41" s="1337"/>
      <c r="HE41" s="1337"/>
      <c r="HF41" s="1337"/>
      <c r="HG41" s="1337"/>
      <c r="HH41" s="1337"/>
      <c r="HI41" s="1337"/>
      <c r="HJ41" s="1337"/>
      <c r="HK41" s="1337"/>
      <c r="HL41" s="1337"/>
      <c r="HM41" s="1337"/>
      <c r="HN41" s="1337"/>
      <c r="HO41" s="1337"/>
      <c r="HP41" s="1337"/>
      <c r="HQ41" s="1337"/>
      <c r="HR41" s="1337"/>
      <c r="HS41" s="1337"/>
      <c r="HT41" s="1337"/>
      <c r="HU41" s="1337"/>
      <c r="HV41" s="1337"/>
      <c r="HW41" s="1337"/>
      <c r="HX41" s="1337"/>
      <c r="HY41" s="1337"/>
      <c r="HZ41" s="1337"/>
      <c r="IA41" s="1337"/>
      <c r="IB41" s="1337"/>
      <c r="IC41" s="1337"/>
      <c r="ID41" s="1337"/>
      <c r="IE41" s="1337"/>
      <c r="IF41" s="1337"/>
      <c r="IG41" s="1337"/>
      <c r="IH41" s="1337"/>
      <c r="II41" s="1337"/>
      <c r="IJ41" s="1337"/>
      <c r="IK41" s="1337"/>
      <c r="IL41" s="1337"/>
      <c r="IM41" s="1337"/>
      <c r="IN41" s="1337"/>
      <c r="IO41" s="1337"/>
      <c r="IP41" s="1337"/>
      <c r="IQ41" s="1337"/>
      <c r="IR41" s="1337"/>
      <c r="IS41" s="1337"/>
      <c r="IT41" s="1337"/>
      <c r="IU41" s="1337"/>
      <c r="IV41" s="1337"/>
    </row>
    <row r="42" spans="1:256" ht="10.5" customHeight="1">
      <c r="A42" s="1372" t="s">
        <v>1113</v>
      </c>
      <c r="B42" s="1362">
        <v>0</v>
      </c>
      <c r="C42" s="1363">
        <v>0.1</v>
      </c>
      <c r="D42" s="1362">
        <v>0</v>
      </c>
      <c r="E42" s="1362">
        <v>0</v>
      </c>
      <c r="F42" s="1362">
        <v>0</v>
      </c>
      <c r="G42" s="1362">
        <v>0</v>
      </c>
      <c r="H42" s="1362">
        <v>0</v>
      </c>
      <c r="I42" s="1362">
        <f>0.3-0.3</f>
        <v>0</v>
      </c>
      <c r="J42" s="1362">
        <v>0</v>
      </c>
      <c r="K42" s="1362">
        <v>0</v>
      </c>
      <c r="L42" s="1363">
        <v>0</v>
      </c>
      <c r="M42" s="1363">
        <v>0</v>
      </c>
      <c r="N42" s="1363">
        <v>0</v>
      </c>
      <c r="O42" s="1337"/>
      <c r="P42" s="1337"/>
      <c r="Q42" s="1337"/>
      <c r="R42" s="1337"/>
      <c r="S42" s="1337"/>
      <c r="T42" s="1337"/>
      <c r="U42" s="1337"/>
      <c r="V42" s="1337"/>
      <c r="W42" s="1337"/>
      <c r="X42" s="1337"/>
      <c r="Y42" s="1337"/>
      <c r="Z42" s="1337"/>
      <c r="AA42" s="1337"/>
      <c r="AB42" s="1337"/>
      <c r="AC42" s="1337"/>
      <c r="AD42" s="1337"/>
      <c r="AE42" s="1337"/>
      <c r="AF42" s="1337"/>
      <c r="AG42" s="1337"/>
      <c r="AH42" s="1337"/>
      <c r="AI42" s="1337"/>
      <c r="AJ42" s="1337"/>
      <c r="AK42" s="1337"/>
      <c r="AL42" s="1337"/>
      <c r="AM42" s="1337"/>
      <c r="AN42" s="1337"/>
      <c r="AO42" s="1337"/>
      <c r="AP42" s="1337"/>
      <c r="AQ42" s="1337"/>
      <c r="AR42" s="1337"/>
      <c r="AS42" s="1337"/>
      <c r="AT42" s="1337"/>
      <c r="AU42" s="1337"/>
      <c r="AV42" s="1337"/>
      <c r="AW42" s="1337"/>
      <c r="AX42" s="1337"/>
      <c r="AY42" s="1337"/>
      <c r="AZ42" s="1337"/>
      <c r="BA42" s="1337"/>
      <c r="BB42" s="1337"/>
      <c r="BC42" s="1337"/>
      <c r="BD42" s="1337"/>
      <c r="BE42" s="1337"/>
      <c r="BF42" s="1337"/>
      <c r="BG42" s="1337"/>
      <c r="BH42" s="1337"/>
      <c r="BI42" s="1337"/>
      <c r="BJ42" s="1337"/>
      <c r="BK42" s="1337"/>
      <c r="BL42" s="1337"/>
      <c r="BM42" s="1337"/>
      <c r="BN42" s="1337"/>
      <c r="BO42" s="1337"/>
      <c r="BP42" s="1337"/>
      <c r="BQ42" s="1337"/>
      <c r="BR42" s="1337"/>
      <c r="BS42" s="1337"/>
      <c r="BT42" s="1337"/>
      <c r="BU42" s="1337"/>
      <c r="BV42" s="1337"/>
      <c r="BW42" s="1337"/>
      <c r="BX42" s="1337"/>
      <c r="BY42" s="1337"/>
      <c r="BZ42" s="1337"/>
      <c r="CA42" s="1337"/>
      <c r="CB42" s="1337"/>
      <c r="CC42" s="1337"/>
      <c r="CD42" s="1337"/>
      <c r="CE42" s="1337"/>
      <c r="CF42" s="1337"/>
      <c r="CG42" s="1337"/>
      <c r="CH42" s="1337"/>
      <c r="CI42" s="1337"/>
      <c r="CJ42" s="1337"/>
      <c r="CK42" s="1337"/>
      <c r="CL42" s="1337"/>
      <c r="CM42" s="1337"/>
      <c r="CN42" s="1337"/>
      <c r="CO42" s="1337"/>
      <c r="CP42" s="1337"/>
      <c r="CQ42" s="1337"/>
      <c r="CR42" s="1337"/>
      <c r="CS42" s="1337"/>
      <c r="CT42" s="1337"/>
      <c r="CU42" s="1337"/>
      <c r="CV42" s="1337"/>
      <c r="CW42" s="1337"/>
      <c r="CX42" s="1337"/>
      <c r="CY42" s="1337"/>
      <c r="CZ42" s="1337"/>
      <c r="DA42" s="1337"/>
      <c r="DB42" s="1337"/>
      <c r="DC42" s="1337"/>
      <c r="DD42" s="1337"/>
      <c r="DE42" s="1337"/>
      <c r="DF42" s="1337"/>
      <c r="DG42" s="1337"/>
      <c r="DH42" s="1337"/>
      <c r="DI42" s="1337"/>
      <c r="DJ42" s="1337"/>
      <c r="DK42" s="1337"/>
      <c r="DL42" s="1337"/>
      <c r="DM42" s="1337"/>
      <c r="DN42" s="1337"/>
      <c r="DO42" s="1337"/>
      <c r="DP42" s="1337"/>
      <c r="DQ42" s="1337"/>
      <c r="DR42" s="1337"/>
      <c r="DS42" s="1337"/>
      <c r="DT42" s="1337"/>
      <c r="DU42" s="1337"/>
      <c r="DV42" s="1337"/>
      <c r="DW42" s="1337"/>
      <c r="DX42" s="1337"/>
      <c r="DY42" s="1337"/>
      <c r="DZ42" s="1337"/>
      <c r="EA42" s="1337"/>
      <c r="EB42" s="1337"/>
      <c r="EC42" s="1337"/>
      <c r="ED42" s="1337"/>
      <c r="EE42" s="1337"/>
      <c r="EF42" s="1337"/>
      <c r="EG42" s="1337"/>
      <c r="EH42" s="1337"/>
      <c r="EI42" s="1337"/>
      <c r="EJ42" s="1337"/>
      <c r="EK42" s="1337"/>
      <c r="EL42" s="1337"/>
      <c r="EM42" s="1337"/>
      <c r="EN42" s="1337"/>
      <c r="EO42" s="1337"/>
      <c r="EP42" s="1337"/>
      <c r="EQ42" s="1337"/>
      <c r="ER42" s="1337"/>
      <c r="ES42" s="1337"/>
      <c r="ET42" s="1337"/>
      <c r="EU42" s="1337"/>
      <c r="EV42" s="1337"/>
      <c r="EW42" s="1337"/>
      <c r="EX42" s="1337"/>
      <c r="EY42" s="1337"/>
      <c r="EZ42" s="1337"/>
      <c r="FA42" s="1337"/>
      <c r="FB42" s="1337"/>
      <c r="FC42" s="1337"/>
      <c r="FD42" s="1337"/>
      <c r="FE42" s="1337"/>
      <c r="FF42" s="1337"/>
      <c r="FG42" s="1337"/>
      <c r="FH42" s="1337"/>
      <c r="FI42" s="1337"/>
      <c r="FJ42" s="1337"/>
      <c r="FK42" s="1337"/>
      <c r="FL42" s="1337"/>
      <c r="FM42" s="1337"/>
      <c r="FN42" s="1337"/>
      <c r="FO42" s="1337"/>
      <c r="FP42" s="1337"/>
      <c r="FQ42" s="1337"/>
      <c r="FR42" s="1337"/>
      <c r="FS42" s="1337"/>
      <c r="FT42" s="1337"/>
      <c r="FU42" s="1337"/>
      <c r="FV42" s="1337"/>
      <c r="FW42" s="1337"/>
      <c r="FX42" s="1337"/>
      <c r="FY42" s="1337"/>
      <c r="FZ42" s="1337"/>
      <c r="GA42" s="1337"/>
      <c r="GB42" s="1337"/>
      <c r="GC42" s="1337"/>
      <c r="GD42" s="1337"/>
      <c r="GE42" s="1337"/>
      <c r="GF42" s="1337"/>
      <c r="GG42" s="1337"/>
      <c r="GH42" s="1337"/>
      <c r="GI42" s="1337"/>
      <c r="GJ42" s="1337"/>
      <c r="GK42" s="1337"/>
      <c r="GL42" s="1337"/>
      <c r="GM42" s="1337"/>
      <c r="GN42" s="1337"/>
      <c r="GO42" s="1337"/>
      <c r="GP42" s="1337"/>
      <c r="GQ42" s="1337"/>
      <c r="GR42" s="1337"/>
      <c r="GS42" s="1337"/>
      <c r="GT42" s="1337"/>
      <c r="GU42" s="1337"/>
      <c r="GV42" s="1337"/>
      <c r="GW42" s="1337"/>
      <c r="GX42" s="1337"/>
      <c r="GY42" s="1337"/>
      <c r="GZ42" s="1337"/>
      <c r="HA42" s="1337"/>
      <c r="HB42" s="1337"/>
      <c r="HC42" s="1337"/>
      <c r="HD42" s="1337"/>
      <c r="HE42" s="1337"/>
      <c r="HF42" s="1337"/>
      <c r="HG42" s="1337"/>
      <c r="HH42" s="1337"/>
      <c r="HI42" s="1337"/>
      <c r="HJ42" s="1337"/>
      <c r="HK42" s="1337"/>
      <c r="HL42" s="1337"/>
      <c r="HM42" s="1337"/>
      <c r="HN42" s="1337"/>
      <c r="HO42" s="1337"/>
      <c r="HP42" s="1337"/>
      <c r="HQ42" s="1337"/>
      <c r="HR42" s="1337"/>
      <c r="HS42" s="1337"/>
      <c r="HT42" s="1337"/>
      <c r="HU42" s="1337"/>
      <c r="HV42" s="1337"/>
      <c r="HW42" s="1337"/>
      <c r="HX42" s="1337"/>
      <c r="HY42" s="1337"/>
      <c r="HZ42" s="1337"/>
      <c r="IA42" s="1337"/>
      <c r="IB42" s="1337"/>
      <c r="IC42" s="1337"/>
      <c r="ID42" s="1337"/>
      <c r="IE42" s="1337"/>
      <c r="IF42" s="1337"/>
      <c r="IG42" s="1337"/>
      <c r="IH42" s="1337"/>
      <c r="II42" s="1337"/>
      <c r="IJ42" s="1337"/>
      <c r="IK42" s="1337"/>
      <c r="IL42" s="1337"/>
      <c r="IM42" s="1337"/>
      <c r="IN42" s="1337"/>
      <c r="IO42" s="1337"/>
      <c r="IP42" s="1337"/>
      <c r="IQ42" s="1337"/>
      <c r="IR42" s="1337"/>
      <c r="IS42" s="1337"/>
      <c r="IT42" s="1337"/>
      <c r="IU42" s="1337"/>
      <c r="IV42" s="1337"/>
    </row>
    <row r="43" spans="1:256" s="1345" customFormat="1" ht="12.75" customHeight="1" thickBot="1">
      <c r="A43" s="1365" t="s">
        <v>1103</v>
      </c>
      <c r="B43" s="1374">
        <v>205.9</v>
      </c>
      <c r="C43" s="1374">
        <v>224.3</v>
      </c>
      <c r="D43" s="1375">
        <v>281.3</v>
      </c>
      <c r="E43" s="1375">
        <v>408.5</v>
      </c>
      <c r="F43" s="1376">
        <v>377.4</v>
      </c>
      <c r="G43" s="1376">
        <v>294.5</v>
      </c>
      <c r="H43" s="1376">
        <v>346.7</v>
      </c>
      <c r="I43" s="1376">
        <v>348.7</v>
      </c>
      <c r="J43" s="1376">
        <v>335.4</v>
      </c>
      <c r="K43" s="1376">
        <v>370.8</v>
      </c>
      <c r="L43" s="1377">
        <v>350.5</v>
      </c>
      <c r="M43" s="1377">
        <v>381.4</v>
      </c>
      <c r="N43" s="1376">
        <v>375.5</v>
      </c>
      <c r="O43" s="1344"/>
      <c r="P43" s="1344"/>
      <c r="Q43" s="1344"/>
      <c r="R43" s="1344"/>
      <c r="S43" s="1344"/>
      <c r="T43" s="1344"/>
      <c r="U43" s="1344"/>
      <c r="V43" s="1344"/>
      <c r="W43" s="1344"/>
      <c r="X43" s="1344"/>
      <c r="Y43" s="1344"/>
      <c r="Z43" s="1344"/>
      <c r="AA43" s="1344"/>
      <c r="AB43" s="1344"/>
      <c r="AC43" s="1344"/>
      <c r="AD43" s="1344"/>
      <c r="AE43" s="1344"/>
      <c r="AF43" s="1344"/>
      <c r="AG43" s="1344"/>
      <c r="AH43" s="1344"/>
      <c r="AI43" s="1344"/>
      <c r="AJ43" s="1344"/>
      <c r="AK43" s="1344"/>
      <c r="AL43" s="1344"/>
      <c r="AM43" s="1344"/>
      <c r="AN43" s="1344"/>
      <c r="AO43" s="1344"/>
      <c r="AP43" s="1344"/>
      <c r="AQ43" s="1344"/>
      <c r="AR43" s="1344"/>
      <c r="AS43" s="1344"/>
      <c r="AT43" s="1344"/>
      <c r="AU43" s="1344"/>
      <c r="AV43" s="1344"/>
      <c r="AW43" s="1344"/>
      <c r="AX43" s="1344"/>
      <c r="AY43" s="1344"/>
      <c r="AZ43" s="1344"/>
      <c r="BA43" s="1344"/>
      <c r="BB43" s="1344"/>
      <c r="BC43" s="1344"/>
      <c r="BD43" s="1344"/>
      <c r="BE43" s="1344"/>
      <c r="BF43" s="1344"/>
      <c r="BG43" s="1344"/>
      <c r="BH43" s="1344"/>
      <c r="BI43" s="1344"/>
      <c r="BJ43" s="1344"/>
      <c r="BK43" s="1344"/>
      <c r="BL43" s="1344"/>
      <c r="BM43" s="1344"/>
      <c r="BN43" s="1344"/>
      <c r="BO43" s="1344"/>
      <c r="BP43" s="1344"/>
      <c r="BQ43" s="1344"/>
      <c r="BR43" s="1344"/>
      <c r="BS43" s="1344"/>
      <c r="BT43" s="1344"/>
      <c r="BU43" s="1344"/>
      <c r="BV43" s="1344"/>
      <c r="BW43" s="1344"/>
      <c r="BX43" s="1344"/>
      <c r="BY43" s="1344"/>
      <c r="BZ43" s="1344"/>
      <c r="CA43" s="1344"/>
      <c r="CB43" s="1344"/>
      <c r="CC43" s="1344"/>
      <c r="CD43" s="1344"/>
      <c r="CE43" s="1344"/>
      <c r="CF43" s="1344"/>
      <c r="CG43" s="1344"/>
      <c r="CH43" s="1344"/>
      <c r="CI43" s="1344"/>
      <c r="CJ43" s="1344"/>
      <c r="CK43" s="1344"/>
      <c r="CL43" s="1344"/>
      <c r="CM43" s="1344"/>
      <c r="CN43" s="1344"/>
      <c r="CO43" s="1344"/>
      <c r="CP43" s="1344"/>
      <c r="CQ43" s="1344"/>
      <c r="CR43" s="1344"/>
      <c r="CS43" s="1344"/>
      <c r="CT43" s="1344"/>
      <c r="CU43" s="1344"/>
      <c r="CV43" s="1344"/>
      <c r="CW43" s="1344"/>
      <c r="CX43" s="1344"/>
      <c r="CY43" s="1344"/>
      <c r="CZ43" s="1344"/>
      <c r="DA43" s="1344"/>
      <c r="DB43" s="1344"/>
      <c r="DC43" s="1344"/>
      <c r="DD43" s="1344"/>
      <c r="DE43" s="1344"/>
      <c r="DF43" s="1344"/>
      <c r="DG43" s="1344"/>
      <c r="DH43" s="1344"/>
      <c r="DI43" s="1344"/>
      <c r="DJ43" s="1344"/>
      <c r="DK43" s="1344"/>
      <c r="DL43" s="1344"/>
      <c r="DM43" s="1344"/>
      <c r="DN43" s="1344"/>
      <c r="DO43" s="1344"/>
      <c r="DP43" s="1344"/>
      <c r="DQ43" s="1344"/>
      <c r="DR43" s="1344"/>
      <c r="DS43" s="1344"/>
      <c r="DT43" s="1344"/>
      <c r="DU43" s="1344"/>
      <c r="DV43" s="1344"/>
      <c r="DW43" s="1344"/>
      <c r="DX43" s="1344"/>
      <c r="DY43" s="1344"/>
      <c r="DZ43" s="1344"/>
      <c r="EA43" s="1344"/>
      <c r="EB43" s="1344"/>
      <c r="EC43" s="1344"/>
      <c r="ED43" s="1344"/>
      <c r="EE43" s="1344"/>
      <c r="EF43" s="1344"/>
      <c r="EG43" s="1344"/>
      <c r="EH43" s="1344"/>
      <c r="EI43" s="1344"/>
      <c r="EJ43" s="1344"/>
      <c r="EK43" s="1344"/>
      <c r="EL43" s="1344"/>
      <c r="EM43" s="1344"/>
      <c r="EN43" s="1344"/>
      <c r="EO43" s="1344"/>
      <c r="EP43" s="1344"/>
      <c r="EQ43" s="1344"/>
      <c r="ER43" s="1344"/>
      <c r="ES43" s="1344"/>
      <c r="ET43" s="1344"/>
      <c r="EU43" s="1344"/>
      <c r="EV43" s="1344"/>
      <c r="EW43" s="1344"/>
      <c r="EX43" s="1344"/>
      <c r="EY43" s="1344"/>
      <c r="EZ43" s="1344"/>
      <c r="FA43" s="1344"/>
      <c r="FB43" s="1344"/>
      <c r="FC43" s="1344"/>
      <c r="FD43" s="1344"/>
      <c r="FE43" s="1344"/>
      <c r="FF43" s="1344"/>
      <c r="FG43" s="1344"/>
      <c r="FH43" s="1344"/>
      <c r="FI43" s="1344"/>
      <c r="FJ43" s="1344"/>
      <c r="FK43" s="1344"/>
      <c r="FL43" s="1344"/>
      <c r="FM43" s="1344"/>
      <c r="FN43" s="1344"/>
      <c r="FO43" s="1344"/>
      <c r="FP43" s="1344"/>
      <c r="FQ43" s="1344"/>
      <c r="FR43" s="1344"/>
      <c r="FS43" s="1344"/>
      <c r="FT43" s="1344"/>
      <c r="FU43" s="1344"/>
      <c r="FV43" s="1344"/>
      <c r="FW43" s="1344"/>
      <c r="FX43" s="1344"/>
      <c r="FY43" s="1344"/>
      <c r="FZ43" s="1344"/>
      <c r="GA43" s="1344"/>
      <c r="GB43" s="1344"/>
      <c r="GC43" s="1344"/>
      <c r="GD43" s="1344"/>
      <c r="GE43" s="1344"/>
      <c r="GF43" s="1344"/>
      <c r="GG43" s="1344"/>
      <c r="GH43" s="1344"/>
      <c r="GI43" s="1344"/>
      <c r="GJ43" s="1344"/>
      <c r="GK43" s="1344"/>
      <c r="GL43" s="1344"/>
      <c r="GM43" s="1344"/>
      <c r="GN43" s="1344"/>
      <c r="GO43" s="1344"/>
      <c r="GP43" s="1344"/>
      <c r="GQ43" s="1344"/>
      <c r="GR43" s="1344"/>
      <c r="GS43" s="1344"/>
      <c r="GT43" s="1344"/>
      <c r="GU43" s="1344"/>
      <c r="GV43" s="1344"/>
      <c r="GW43" s="1344"/>
      <c r="GX43" s="1344"/>
      <c r="GY43" s="1344"/>
      <c r="GZ43" s="1344"/>
      <c r="HA43" s="1344"/>
      <c r="HB43" s="1344"/>
      <c r="HC43" s="1344"/>
      <c r="HD43" s="1344"/>
      <c r="HE43" s="1344"/>
      <c r="HF43" s="1344"/>
      <c r="HG43" s="1344"/>
      <c r="HH43" s="1344"/>
      <c r="HI43" s="1344"/>
      <c r="HJ43" s="1344"/>
      <c r="HK43" s="1344"/>
      <c r="HL43" s="1344"/>
      <c r="HM43" s="1344"/>
      <c r="HN43" s="1344"/>
      <c r="HO43" s="1344"/>
      <c r="HP43" s="1344"/>
      <c r="HQ43" s="1344"/>
      <c r="HR43" s="1344"/>
      <c r="HS43" s="1344"/>
      <c r="HT43" s="1344"/>
      <c r="HU43" s="1344"/>
      <c r="HV43" s="1344"/>
      <c r="HW43" s="1344"/>
      <c r="HX43" s="1344"/>
      <c r="HY43" s="1344"/>
      <c r="HZ43" s="1344"/>
      <c r="IA43" s="1344"/>
      <c r="IB43" s="1344"/>
      <c r="IC43" s="1344"/>
      <c r="ID43" s="1344"/>
      <c r="IE43" s="1344"/>
      <c r="IF43" s="1344"/>
      <c r="IG43" s="1344"/>
      <c r="IH43" s="1344"/>
      <c r="II43" s="1344"/>
      <c r="IJ43" s="1344"/>
      <c r="IK43" s="1344"/>
      <c r="IL43" s="1344"/>
      <c r="IM43" s="1344"/>
      <c r="IN43" s="1344"/>
      <c r="IO43" s="1344"/>
      <c r="IP43" s="1344"/>
      <c r="IQ43" s="1344"/>
      <c r="IR43" s="1344"/>
      <c r="IS43" s="1344"/>
      <c r="IT43" s="1344"/>
      <c r="IU43" s="1344"/>
      <c r="IV43" s="1344"/>
    </row>
    <row r="44" spans="1:256" ht="12" customHeight="1" thickTop="1">
      <c r="A44" s="1379" t="s">
        <v>1120</v>
      </c>
      <c r="B44" s="1357">
        <v>86.8</v>
      </c>
      <c r="C44" s="1357">
        <v>94.7</v>
      </c>
      <c r="D44" s="1358">
        <v>120.1</v>
      </c>
      <c r="E44" s="1358">
        <v>190.9</v>
      </c>
      <c r="F44" s="1358">
        <v>182.5</v>
      </c>
      <c r="G44" s="1358">
        <v>144.4</v>
      </c>
      <c r="H44" s="1358">
        <v>168.9</v>
      </c>
      <c r="I44" s="1358">
        <v>170.1</v>
      </c>
      <c r="J44" s="1358">
        <v>163.69999999999999</v>
      </c>
      <c r="K44" s="1358">
        <v>181.9</v>
      </c>
      <c r="L44" s="1364">
        <v>170.4</v>
      </c>
      <c r="M44" s="1364">
        <v>184.4</v>
      </c>
      <c r="N44" s="1358">
        <v>182.8</v>
      </c>
      <c r="O44" s="1337"/>
      <c r="P44" s="1337"/>
      <c r="Q44" s="1337"/>
      <c r="R44" s="1337"/>
      <c r="S44" s="1337"/>
      <c r="T44" s="1337"/>
      <c r="U44" s="1337"/>
      <c r="V44" s="1337"/>
      <c r="W44" s="1337"/>
      <c r="X44" s="1337"/>
      <c r="Y44" s="1337"/>
      <c r="Z44" s="1337"/>
      <c r="AA44" s="1337"/>
      <c r="AB44" s="1337"/>
      <c r="AC44" s="1337"/>
      <c r="AD44" s="1337"/>
      <c r="AE44" s="1337"/>
      <c r="AF44" s="1337"/>
      <c r="AG44" s="1337"/>
      <c r="AH44" s="1337"/>
      <c r="AI44" s="1337"/>
      <c r="AJ44" s="1337"/>
      <c r="AK44" s="1337"/>
      <c r="AL44" s="1337"/>
      <c r="AM44" s="1337"/>
      <c r="AN44" s="1337"/>
      <c r="AO44" s="1337"/>
      <c r="AP44" s="1337"/>
      <c r="AQ44" s="1337"/>
      <c r="AR44" s="1337"/>
      <c r="AS44" s="1337"/>
      <c r="AT44" s="1337"/>
      <c r="AU44" s="1337"/>
      <c r="AV44" s="1337"/>
      <c r="AW44" s="1337"/>
      <c r="AX44" s="1337"/>
      <c r="AY44" s="1337"/>
      <c r="AZ44" s="1337"/>
      <c r="BA44" s="1337"/>
      <c r="BB44" s="1337"/>
      <c r="BC44" s="1337"/>
      <c r="BD44" s="1337"/>
      <c r="BE44" s="1337"/>
      <c r="BF44" s="1337"/>
      <c r="BG44" s="1337"/>
      <c r="BH44" s="1337"/>
      <c r="BI44" s="1337"/>
      <c r="BJ44" s="1337"/>
      <c r="BK44" s="1337"/>
      <c r="BL44" s="1337"/>
      <c r="BM44" s="1337"/>
      <c r="BN44" s="1337"/>
      <c r="BO44" s="1337"/>
      <c r="BP44" s="1337"/>
      <c r="BQ44" s="1337"/>
      <c r="BR44" s="1337"/>
      <c r="BS44" s="1337"/>
      <c r="BT44" s="1337"/>
      <c r="BU44" s="1337"/>
      <c r="BV44" s="1337"/>
      <c r="BW44" s="1337"/>
      <c r="BX44" s="1337"/>
      <c r="BY44" s="1337"/>
      <c r="BZ44" s="1337"/>
      <c r="CA44" s="1337"/>
      <c r="CB44" s="1337"/>
      <c r="CC44" s="1337"/>
      <c r="CD44" s="1337"/>
      <c r="CE44" s="1337"/>
      <c r="CF44" s="1337"/>
      <c r="CG44" s="1337"/>
      <c r="CH44" s="1337"/>
      <c r="CI44" s="1337"/>
      <c r="CJ44" s="1337"/>
      <c r="CK44" s="1337"/>
      <c r="CL44" s="1337"/>
      <c r="CM44" s="1337"/>
      <c r="CN44" s="1337"/>
      <c r="CO44" s="1337"/>
      <c r="CP44" s="1337"/>
      <c r="CQ44" s="1337"/>
      <c r="CR44" s="1337"/>
      <c r="CS44" s="1337"/>
      <c r="CT44" s="1337"/>
      <c r="CU44" s="1337"/>
      <c r="CV44" s="1337"/>
      <c r="CW44" s="1337"/>
      <c r="CX44" s="1337"/>
      <c r="CY44" s="1337"/>
      <c r="CZ44" s="1337"/>
      <c r="DA44" s="1337"/>
      <c r="DB44" s="1337"/>
      <c r="DC44" s="1337"/>
      <c r="DD44" s="1337"/>
      <c r="DE44" s="1337"/>
      <c r="DF44" s="1337"/>
      <c r="DG44" s="1337"/>
      <c r="DH44" s="1337"/>
      <c r="DI44" s="1337"/>
      <c r="DJ44" s="1337"/>
      <c r="DK44" s="1337"/>
      <c r="DL44" s="1337"/>
      <c r="DM44" s="1337"/>
      <c r="DN44" s="1337"/>
      <c r="DO44" s="1337"/>
      <c r="DP44" s="1337"/>
      <c r="DQ44" s="1337"/>
      <c r="DR44" s="1337"/>
      <c r="DS44" s="1337"/>
      <c r="DT44" s="1337"/>
      <c r="DU44" s="1337"/>
      <c r="DV44" s="1337"/>
      <c r="DW44" s="1337"/>
      <c r="DX44" s="1337"/>
      <c r="DY44" s="1337"/>
      <c r="DZ44" s="1337"/>
      <c r="EA44" s="1337"/>
      <c r="EB44" s="1337"/>
      <c r="EC44" s="1337"/>
      <c r="ED44" s="1337"/>
      <c r="EE44" s="1337"/>
      <c r="EF44" s="1337"/>
      <c r="EG44" s="1337"/>
      <c r="EH44" s="1337"/>
      <c r="EI44" s="1337"/>
      <c r="EJ44" s="1337"/>
      <c r="EK44" s="1337"/>
      <c r="EL44" s="1337"/>
      <c r="EM44" s="1337"/>
      <c r="EN44" s="1337"/>
      <c r="EO44" s="1337"/>
      <c r="EP44" s="1337"/>
      <c r="EQ44" s="1337"/>
      <c r="ER44" s="1337"/>
      <c r="ES44" s="1337"/>
      <c r="ET44" s="1337"/>
      <c r="EU44" s="1337"/>
      <c r="EV44" s="1337"/>
      <c r="EW44" s="1337"/>
      <c r="EX44" s="1337"/>
      <c r="EY44" s="1337"/>
      <c r="EZ44" s="1337"/>
      <c r="FA44" s="1337"/>
      <c r="FB44" s="1337"/>
      <c r="FC44" s="1337"/>
      <c r="FD44" s="1337"/>
      <c r="FE44" s="1337"/>
      <c r="FF44" s="1337"/>
      <c r="FG44" s="1337"/>
      <c r="FH44" s="1337"/>
      <c r="FI44" s="1337"/>
      <c r="FJ44" s="1337"/>
      <c r="FK44" s="1337"/>
      <c r="FL44" s="1337"/>
      <c r="FM44" s="1337"/>
      <c r="FN44" s="1337"/>
      <c r="FO44" s="1337"/>
      <c r="FP44" s="1337"/>
      <c r="FQ44" s="1337"/>
      <c r="FR44" s="1337"/>
      <c r="FS44" s="1337"/>
      <c r="FT44" s="1337"/>
      <c r="FU44" s="1337"/>
      <c r="FV44" s="1337"/>
      <c r="FW44" s="1337"/>
      <c r="FX44" s="1337"/>
      <c r="FY44" s="1337"/>
      <c r="FZ44" s="1337"/>
      <c r="GA44" s="1337"/>
      <c r="GB44" s="1337"/>
      <c r="GC44" s="1337"/>
      <c r="GD44" s="1337"/>
      <c r="GE44" s="1337"/>
      <c r="GF44" s="1337"/>
      <c r="GG44" s="1337"/>
      <c r="GH44" s="1337"/>
      <c r="GI44" s="1337"/>
      <c r="GJ44" s="1337"/>
      <c r="GK44" s="1337"/>
      <c r="GL44" s="1337"/>
      <c r="GM44" s="1337"/>
      <c r="GN44" s="1337"/>
      <c r="GO44" s="1337"/>
      <c r="GP44" s="1337"/>
      <c r="GQ44" s="1337"/>
      <c r="GR44" s="1337"/>
      <c r="GS44" s="1337"/>
      <c r="GT44" s="1337"/>
      <c r="GU44" s="1337"/>
      <c r="GV44" s="1337"/>
      <c r="GW44" s="1337"/>
      <c r="GX44" s="1337"/>
      <c r="GY44" s="1337"/>
      <c r="GZ44" s="1337"/>
      <c r="HA44" s="1337"/>
      <c r="HB44" s="1337"/>
      <c r="HC44" s="1337"/>
      <c r="HD44" s="1337"/>
      <c r="HE44" s="1337"/>
      <c r="HF44" s="1337"/>
      <c r="HG44" s="1337"/>
      <c r="HH44" s="1337"/>
      <c r="HI44" s="1337"/>
      <c r="HJ44" s="1337"/>
      <c r="HK44" s="1337"/>
      <c r="HL44" s="1337"/>
      <c r="HM44" s="1337"/>
      <c r="HN44" s="1337"/>
      <c r="HO44" s="1337"/>
      <c r="HP44" s="1337"/>
      <c r="HQ44" s="1337"/>
      <c r="HR44" s="1337"/>
      <c r="HS44" s="1337"/>
      <c r="HT44" s="1337"/>
      <c r="HU44" s="1337"/>
      <c r="HV44" s="1337"/>
      <c r="HW44" s="1337"/>
      <c r="HX44" s="1337"/>
      <c r="HY44" s="1337"/>
      <c r="HZ44" s="1337"/>
      <c r="IA44" s="1337"/>
      <c r="IB44" s="1337"/>
      <c r="IC44" s="1337"/>
      <c r="ID44" s="1337"/>
      <c r="IE44" s="1337"/>
      <c r="IF44" s="1337"/>
      <c r="IG44" s="1337"/>
      <c r="IH44" s="1337"/>
      <c r="II44" s="1337"/>
      <c r="IJ44" s="1337"/>
      <c r="IK44" s="1337"/>
      <c r="IL44" s="1337"/>
      <c r="IM44" s="1337"/>
      <c r="IN44" s="1337"/>
      <c r="IO44" s="1337"/>
      <c r="IP44" s="1337"/>
      <c r="IQ44" s="1337"/>
      <c r="IR44" s="1337"/>
      <c r="IS44" s="1337"/>
      <c r="IT44" s="1337"/>
      <c r="IU44" s="1337"/>
      <c r="IV44" s="1337"/>
    </row>
    <row r="45" spans="1:256" ht="12.75" customHeight="1">
      <c r="A45" s="1380" t="s">
        <v>1109</v>
      </c>
      <c r="B45" s="1361">
        <v>1010</v>
      </c>
      <c r="C45" s="1361">
        <v>1102</v>
      </c>
      <c r="D45" s="1362">
        <v>1397</v>
      </c>
      <c r="E45" s="1362">
        <v>2220</v>
      </c>
      <c r="F45" s="1362">
        <v>2122</v>
      </c>
      <c r="G45" s="1362">
        <v>1679.3</v>
      </c>
      <c r="H45" s="1362">
        <v>1964.9</v>
      </c>
      <c r="I45" s="1362">
        <v>1977.8</v>
      </c>
      <c r="J45" s="1362">
        <v>1904.1</v>
      </c>
      <c r="K45" s="1362">
        <v>2115.3000000000002</v>
      </c>
      <c r="L45" s="1373">
        <v>1981.9</v>
      </c>
      <c r="M45" s="1373">
        <v>2144.4</v>
      </c>
      <c r="N45" s="1362">
        <v>2126.4</v>
      </c>
      <c r="O45" s="1337"/>
      <c r="P45" s="1337"/>
      <c r="Q45" s="1337"/>
      <c r="R45" s="1337"/>
      <c r="S45" s="1337"/>
      <c r="T45" s="1337"/>
      <c r="U45" s="1337"/>
      <c r="V45" s="1337"/>
      <c r="W45" s="1337"/>
      <c r="X45" s="1337"/>
      <c r="Y45" s="1337"/>
      <c r="Z45" s="1337"/>
      <c r="AA45" s="1337"/>
      <c r="AB45" s="1337"/>
      <c r="AC45" s="1337"/>
      <c r="AD45" s="1337"/>
      <c r="AE45" s="1337"/>
      <c r="AF45" s="1337"/>
      <c r="AG45" s="1337"/>
      <c r="AH45" s="1337"/>
      <c r="AI45" s="1337"/>
      <c r="AJ45" s="1337"/>
      <c r="AK45" s="1337"/>
      <c r="AL45" s="1337"/>
      <c r="AM45" s="1337"/>
      <c r="AN45" s="1337"/>
      <c r="AO45" s="1337"/>
      <c r="AP45" s="1337"/>
      <c r="AQ45" s="1337"/>
      <c r="AR45" s="1337"/>
      <c r="AS45" s="1337"/>
      <c r="AT45" s="1337"/>
      <c r="AU45" s="1337"/>
      <c r="AV45" s="1337"/>
      <c r="AW45" s="1337"/>
      <c r="AX45" s="1337"/>
      <c r="AY45" s="1337"/>
      <c r="AZ45" s="1337"/>
      <c r="BA45" s="1337"/>
      <c r="BB45" s="1337"/>
      <c r="BC45" s="1337"/>
      <c r="BD45" s="1337"/>
      <c r="BE45" s="1337"/>
      <c r="BF45" s="1337"/>
      <c r="BG45" s="1337"/>
      <c r="BH45" s="1337"/>
      <c r="BI45" s="1337"/>
      <c r="BJ45" s="1337"/>
      <c r="BK45" s="1337"/>
      <c r="BL45" s="1337"/>
      <c r="BM45" s="1337"/>
      <c r="BN45" s="1337"/>
      <c r="BO45" s="1337"/>
      <c r="BP45" s="1337"/>
      <c r="BQ45" s="1337"/>
      <c r="BR45" s="1337"/>
      <c r="BS45" s="1337"/>
      <c r="BT45" s="1337"/>
      <c r="BU45" s="1337"/>
      <c r="BV45" s="1337"/>
      <c r="BW45" s="1337"/>
      <c r="BX45" s="1337"/>
      <c r="BY45" s="1337"/>
      <c r="BZ45" s="1337"/>
      <c r="CA45" s="1337"/>
      <c r="CB45" s="1337"/>
      <c r="CC45" s="1337"/>
      <c r="CD45" s="1337"/>
      <c r="CE45" s="1337"/>
      <c r="CF45" s="1337"/>
      <c r="CG45" s="1337"/>
      <c r="CH45" s="1337"/>
      <c r="CI45" s="1337"/>
      <c r="CJ45" s="1337"/>
      <c r="CK45" s="1337"/>
      <c r="CL45" s="1337"/>
      <c r="CM45" s="1337"/>
      <c r="CN45" s="1337"/>
      <c r="CO45" s="1337"/>
      <c r="CP45" s="1337"/>
      <c r="CQ45" s="1337"/>
      <c r="CR45" s="1337"/>
      <c r="CS45" s="1337"/>
      <c r="CT45" s="1337"/>
      <c r="CU45" s="1337"/>
      <c r="CV45" s="1337"/>
      <c r="CW45" s="1337"/>
      <c r="CX45" s="1337"/>
      <c r="CY45" s="1337"/>
      <c r="CZ45" s="1337"/>
      <c r="DA45" s="1337"/>
      <c r="DB45" s="1337"/>
      <c r="DC45" s="1337"/>
      <c r="DD45" s="1337"/>
      <c r="DE45" s="1337"/>
      <c r="DF45" s="1337"/>
      <c r="DG45" s="1337"/>
      <c r="DH45" s="1337"/>
      <c r="DI45" s="1337"/>
      <c r="DJ45" s="1337"/>
      <c r="DK45" s="1337"/>
      <c r="DL45" s="1337"/>
      <c r="DM45" s="1337"/>
      <c r="DN45" s="1337"/>
      <c r="DO45" s="1337"/>
      <c r="DP45" s="1337"/>
      <c r="DQ45" s="1337"/>
      <c r="DR45" s="1337"/>
      <c r="DS45" s="1337"/>
      <c r="DT45" s="1337"/>
      <c r="DU45" s="1337"/>
      <c r="DV45" s="1337"/>
      <c r="DW45" s="1337"/>
      <c r="DX45" s="1337"/>
      <c r="DY45" s="1337"/>
      <c r="DZ45" s="1337"/>
      <c r="EA45" s="1337"/>
      <c r="EB45" s="1337"/>
      <c r="EC45" s="1337"/>
      <c r="ED45" s="1337"/>
      <c r="EE45" s="1337"/>
      <c r="EF45" s="1337"/>
      <c r="EG45" s="1337"/>
      <c r="EH45" s="1337"/>
      <c r="EI45" s="1337"/>
      <c r="EJ45" s="1337"/>
      <c r="EK45" s="1337"/>
      <c r="EL45" s="1337"/>
      <c r="EM45" s="1337"/>
      <c r="EN45" s="1337"/>
      <c r="EO45" s="1337"/>
      <c r="EP45" s="1337"/>
      <c r="EQ45" s="1337"/>
      <c r="ER45" s="1337"/>
      <c r="ES45" s="1337"/>
      <c r="ET45" s="1337"/>
      <c r="EU45" s="1337"/>
      <c r="EV45" s="1337"/>
      <c r="EW45" s="1337"/>
      <c r="EX45" s="1337"/>
      <c r="EY45" s="1337"/>
      <c r="EZ45" s="1337"/>
      <c r="FA45" s="1337"/>
      <c r="FB45" s="1337"/>
      <c r="FC45" s="1337"/>
      <c r="FD45" s="1337"/>
      <c r="FE45" s="1337"/>
      <c r="FF45" s="1337"/>
      <c r="FG45" s="1337"/>
      <c r="FH45" s="1337"/>
      <c r="FI45" s="1337"/>
      <c r="FJ45" s="1337"/>
      <c r="FK45" s="1337"/>
      <c r="FL45" s="1337"/>
      <c r="FM45" s="1337"/>
      <c r="FN45" s="1337"/>
      <c r="FO45" s="1337"/>
      <c r="FP45" s="1337"/>
      <c r="FQ45" s="1337"/>
      <c r="FR45" s="1337"/>
      <c r="FS45" s="1337"/>
      <c r="FT45" s="1337"/>
      <c r="FU45" s="1337"/>
      <c r="FV45" s="1337"/>
      <c r="FW45" s="1337"/>
      <c r="FX45" s="1337"/>
      <c r="FY45" s="1337"/>
      <c r="FZ45" s="1337"/>
      <c r="GA45" s="1337"/>
      <c r="GB45" s="1337"/>
      <c r="GC45" s="1337"/>
      <c r="GD45" s="1337"/>
      <c r="GE45" s="1337"/>
      <c r="GF45" s="1337"/>
      <c r="GG45" s="1337"/>
      <c r="GH45" s="1337"/>
      <c r="GI45" s="1337"/>
      <c r="GJ45" s="1337"/>
      <c r="GK45" s="1337"/>
      <c r="GL45" s="1337"/>
      <c r="GM45" s="1337"/>
      <c r="GN45" s="1337"/>
      <c r="GO45" s="1337"/>
      <c r="GP45" s="1337"/>
      <c r="GQ45" s="1337"/>
      <c r="GR45" s="1337"/>
      <c r="GS45" s="1337"/>
      <c r="GT45" s="1337"/>
      <c r="GU45" s="1337"/>
      <c r="GV45" s="1337"/>
      <c r="GW45" s="1337"/>
      <c r="GX45" s="1337"/>
      <c r="GY45" s="1337"/>
      <c r="GZ45" s="1337"/>
      <c r="HA45" s="1337"/>
      <c r="HB45" s="1337"/>
      <c r="HC45" s="1337"/>
      <c r="HD45" s="1337"/>
      <c r="HE45" s="1337"/>
      <c r="HF45" s="1337"/>
      <c r="HG45" s="1337"/>
      <c r="HH45" s="1337"/>
      <c r="HI45" s="1337"/>
      <c r="HJ45" s="1337"/>
      <c r="HK45" s="1337"/>
      <c r="HL45" s="1337"/>
      <c r="HM45" s="1337"/>
      <c r="HN45" s="1337"/>
      <c r="HO45" s="1337"/>
      <c r="HP45" s="1337"/>
      <c r="HQ45" s="1337"/>
      <c r="HR45" s="1337"/>
      <c r="HS45" s="1337"/>
      <c r="HT45" s="1337"/>
      <c r="HU45" s="1337"/>
      <c r="HV45" s="1337"/>
      <c r="HW45" s="1337"/>
      <c r="HX45" s="1337"/>
      <c r="HY45" s="1337"/>
      <c r="HZ45" s="1337"/>
      <c r="IA45" s="1337"/>
      <c r="IB45" s="1337"/>
      <c r="IC45" s="1337"/>
      <c r="ID45" s="1337"/>
      <c r="IE45" s="1337"/>
      <c r="IF45" s="1337"/>
      <c r="IG45" s="1337"/>
      <c r="IH45" s="1337"/>
      <c r="II45" s="1337"/>
      <c r="IJ45" s="1337"/>
      <c r="IK45" s="1337"/>
      <c r="IL45" s="1337"/>
      <c r="IM45" s="1337"/>
      <c r="IN45" s="1337"/>
      <c r="IO45" s="1337"/>
      <c r="IP45" s="1337"/>
      <c r="IQ45" s="1337"/>
      <c r="IR45" s="1337"/>
      <c r="IS45" s="1337"/>
      <c r="IT45" s="1337"/>
      <c r="IU45" s="1337"/>
      <c r="IV45" s="1337"/>
    </row>
    <row r="46" spans="1:256" s="1345" customFormat="1" ht="12" customHeight="1">
      <c r="A46" s="1338" t="s">
        <v>1121</v>
      </c>
      <c r="B46" s="1357">
        <v>73.599999999999994</v>
      </c>
      <c r="C46" s="1357">
        <v>81</v>
      </c>
      <c r="D46" s="1358">
        <v>103.2</v>
      </c>
      <c r="E46" s="1358">
        <v>172.4</v>
      </c>
      <c r="F46" s="1383">
        <v>86.4</v>
      </c>
      <c r="G46" s="1383">
        <v>83.1</v>
      </c>
      <c r="H46" s="1383">
        <v>123.7</v>
      </c>
      <c r="I46" s="1383">
        <v>95.6</v>
      </c>
      <c r="J46" s="1383">
        <v>144.6</v>
      </c>
      <c r="K46" s="1383">
        <v>162.19999999999999</v>
      </c>
      <c r="L46" s="1390">
        <v>128.69999999999999</v>
      </c>
      <c r="M46" s="1384">
        <v>22.8</v>
      </c>
      <c r="N46" s="1383">
        <v>130</v>
      </c>
      <c r="O46" s="1344"/>
      <c r="P46" s="1344"/>
      <c r="Q46" s="1344"/>
      <c r="R46" s="1344"/>
      <c r="S46" s="1344"/>
      <c r="T46" s="1344"/>
      <c r="U46" s="1344"/>
      <c r="V46" s="1344"/>
      <c r="W46" s="1344"/>
      <c r="X46" s="1344"/>
      <c r="Y46" s="1344"/>
      <c r="Z46" s="1344"/>
      <c r="AA46" s="1344"/>
      <c r="AB46" s="1344"/>
      <c r="AC46" s="1344"/>
      <c r="AD46" s="1344"/>
      <c r="AE46" s="1344"/>
      <c r="AF46" s="1344"/>
      <c r="AG46" s="1344"/>
      <c r="AH46" s="1344"/>
      <c r="AI46" s="1344"/>
      <c r="AJ46" s="1344"/>
      <c r="AK46" s="1344"/>
      <c r="AL46" s="1344"/>
      <c r="AM46" s="1344"/>
      <c r="AN46" s="1344"/>
      <c r="AO46" s="1344"/>
      <c r="AP46" s="1344"/>
      <c r="AQ46" s="1344"/>
      <c r="AR46" s="1344"/>
      <c r="AS46" s="1344"/>
      <c r="AT46" s="1344"/>
      <c r="AU46" s="1344"/>
      <c r="AV46" s="1344"/>
      <c r="AW46" s="1344"/>
      <c r="AX46" s="1344"/>
      <c r="AY46" s="1344"/>
      <c r="AZ46" s="1344"/>
      <c r="BA46" s="1344"/>
      <c r="BB46" s="1344"/>
      <c r="BC46" s="1344"/>
      <c r="BD46" s="1344"/>
      <c r="BE46" s="1344"/>
      <c r="BF46" s="1344"/>
      <c r="BG46" s="1344"/>
      <c r="BH46" s="1344"/>
      <c r="BI46" s="1344"/>
      <c r="BJ46" s="1344"/>
      <c r="BK46" s="1344"/>
      <c r="BL46" s="1344"/>
      <c r="BM46" s="1344"/>
      <c r="BN46" s="1344"/>
      <c r="BO46" s="1344"/>
      <c r="BP46" s="1344"/>
      <c r="BQ46" s="1344"/>
      <c r="BR46" s="1344"/>
      <c r="BS46" s="1344"/>
      <c r="BT46" s="1344"/>
      <c r="BU46" s="1344"/>
      <c r="BV46" s="1344"/>
      <c r="BW46" s="1344"/>
      <c r="BX46" s="1344"/>
      <c r="BY46" s="1344"/>
      <c r="BZ46" s="1344"/>
      <c r="CA46" s="1344"/>
      <c r="CB46" s="1344"/>
      <c r="CC46" s="1344"/>
      <c r="CD46" s="1344"/>
      <c r="CE46" s="1344"/>
      <c r="CF46" s="1344"/>
      <c r="CG46" s="1344"/>
      <c r="CH46" s="1344"/>
      <c r="CI46" s="1344"/>
      <c r="CJ46" s="1344"/>
      <c r="CK46" s="1344"/>
      <c r="CL46" s="1344"/>
      <c r="CM46" s="1344"/>
      <c r="CN46" s="1344"/>
      <c r="CO46" s="1344"/>
      <c r="CP46" s="1344"/>
      <c r="CQ46" s="1344"/>
      <c r="CR46" s="1344"/>
      <c r="CS46" s="1344"/>
      <c r="CT46" s="1344"/>
      <c r="CU46" s="1344"/>
      <c r="CV46" s="1344"/>
      <c r="CW46" s="1344"/>
      <c r="CX46" s="1344"/>
      <c r="CY46" s="1344"/>
      <c r="CZ46" s="1344"/>
      <c r="DA46" s="1344"/>
      <c r="DB46" s="1344"/>
      <c r="DC46" s="1344"/>
      <c r="DD46" s="1344"/>
      <c r="DE46" s="1344"/>
      <c r="DF46" s="1344"/>
      <c r="DG46" s="1344"/>
      <c r="DH46" s="1344"/>
      <c r="DI46" s="1344"/>
      <c r="DJ46" s="1344"/>
      <c r="DK46" s="1344"/>
      <c r="DL46" s="1344"/>
      <c r="DM46" s="1344"/>
      <c r="DN46" s="1344"/>
      <c r="DO46" s="1344"/>
      <c r="DP46" s="1344"/>
      <c r="DQ46" s="1344"/>
      <c r="DR46" s="1344"/>
      <c r="DS46" s="1344"/>
      <c r="DT46" s="1344"/>
      <c r="DU46" s="1344"/>
      <c r="DV46" s="1344"/>
      <c r="DW46" s="1344"/>
      <c r="DX46" s="1344"/>
      <c r="DY46" s="1344"/>
      <c r="DZ46" s="1344"/>
      <c r="EA46" s="1344"/>
      <c r="EB46" s="1344"/>
      <c r="EC46" s="1344"/>
      <c r="ED46" s="1344"/>
      <c r="EE46" s="1344"/>
      <c r="EF46" s="1344"/>
      <c r="EG46" s="1344"/>
      <c r="EH46" s="1344"/>
      <c r="EI46" s="1344"/>
      <c r="EJ46" s="1344"/>
      <c r="EK46" s="1344"/>
      <c r="EL46" s="1344"/>
      <c r="EM46" s="1344"/>
      <c r="EN46" s="1344"/>
      <c r="EO46" s="1344"/>
      <c r="EP46" s="1344"/>
      <c r="EQ46" s="1344"/>
      <c r="ER46" s="1344"/>
      <c r="ES46" s="1344"/>
      <c r="ET46" s="1344"/>
      <c r="EU46" s="1344"/>
      <c r="EV46" s="1344"/>
      <c r="EW46" s="1344"/>
      <c r="EX46" s="1344"/>
      <c r="EY46" s="1344"/>
      <c r="EZ46" s="1344"/>
      <c r="FA46" s="1344"/>
      <c r="FB46" s="1344"/>
      <c r="FC46" s="1344"/>
      <c r="FD46" s="1344"/>
      <c r="FE46" s="1344"/>
      <c r="FF46" s="1344"/>
      <c r="FG46" s="1344"/>
      <c r="FH46" s="1344"/>
      <c r="FI46" s="1344"/>
      <c r="FJ46" s="1344"/>
      <c r="FK46" s="1344"/>
      <c r="FL46" s="1344"/>
      <c r="FM46" s="1344"/>
      <c r="FN46" s="1344"/>
      <c r="FO46" s="1344"/>
      <c r="FP46" s="1344"/>
      <c r="FQ46" s="1344"/>
      <c r="FR46" s="1344"/>
      <c r="FS46" s="1344"/>
      <c r="FT46" s="1344"/>
      <c r="FU46" s="1344"/>
      <c r="FV46" s="1344"/>
      <c r="FW46" s="1344"/>
      <c r="FX46" s="1344"/>
      <c r="FY46" s="1344"/>
      <c r="FZ46" s="1344"/>
      <c r="GA46" s="1344"/>
      <c r="GB46" s="1344"/>
      <c r="GC46" s="1344"/>
      <c r="GD46" s="1344"/>
      <c r="GE46" s="1344"/>
      <c r="GF46" s="1344"/>
      <c r="GG46" s="1344"/>
      <c r="GH46" s="1344"/>
      <c r="GI46" s="1344"/>
      <c r="GJ46" s="1344"/>
      <c r="GK46" s="1344"/>
      <c r="GL46" s="1344"/>
      <c r="GM46" s="1344"/>
      <c r="GN46" s="1344"/>
      <c r="GO46" s="1344"/>
      <c r="GP46" s="1344"/>
      <c r="GQ46" s="1344"/>
      <c r="GR46" s="1344"/>
      <c r="GS46" s="1344"/>
      <c r="GT46" s="1344"/>
      <c r="GU46" s="1344"/>
      <c r="GV46" s="1344"/>
      <c r="GW46" s="1344"/>
      <c r="GX46" s="1344"/>
      <c r="GY46" s="1344"/>
      <c r="GZ46" s="1344"/>
      <c r="HA46" s="1344"/>
      <c r="HB46" s="1344"/>
      <c r="HC46" s="1344"/>
      <c r="HD46" s="1344"/>
      <c r="HE46" s="1344"/>
      <c r="HF46" s="1344"/>
      <c r="HG46" s="1344"/>
      <c r="HH46" s="1344"/>
      <c r="HI46" s="1344"/>
      <c r="HJ46" s="1344"/>
      <c r="HK46" s="1344"/>
      <c r="HL46" s="1344"/>
      <c r="HM46" s="1344"/>
      <c r="HN46" s="1344"/>
      <c r="HO46" s="1344"/>
      <c r="HP46" s="1344"/>
      <c r="HQ46" s="1344"/>
      <c r="HR46" s="1344"/>
      <c r="HS46" s="1344"/>
      <c r="HT46" s="1344"/>
      <c r="HU46" s="1344"/>
      <c r="HV46" s="1344"/>
      <c r="HW46" s="1344"/>
      <c r="HX46" s="1344"/>
      <c r="HY46" s="1344"/>
      <c r="HZ46" s="1344"/>
      <c r="IA46" s="1344"/>
      <c r="IB46" s="1344"/>
      <c r="IC46" s="1344"/>
      <c r="ID46" s="1344"/>
      <c r="IE46" s="1344"/>
      <c r="IF46" s="1344"/>
      <c r="IG46" s="1344"/>
      <c r="IH46" s="1344"/>
      <c r="II46" s="1344"/>
      <c r="IJ46" s="1344"/>
      <c r="IK46" s="1344"/>
      <c r="IL46" s="1344"/>
      <c r="IM46" s="1344"/>
      <c r="IN46" s="1344"/>
      <c r="IO46" s="1344"/>
      <c r="IP46" s="1344"/>
      <c r="IQ46" s="1344"/>
      <c r="IR46" s="1344"/>
      <c r="IS46" s="1344"/>
      <c r="IT46" s="1344"/>
      <c r="IU46" s="1344"/>
      <c r="IV46" s="1344"/>
    </row>
    <row r="47" spans="1:256" s="1345" customFormat="1" ht="12" customHeight="1" thickBot="1">
      <c r="A47" s="1365" t="s">
        <v>1122</v>
      </c>
      <c r="B47" s="1366">
        <v>856</v>
      </c>
      <c r="C47" s="1366">
        <v>943</v>
      </c>
      <c r="D47" s="1367">
        <v>1200</v>
      </c>
      <c r="E47" s="1367">
        <v>2005</v>
      </c>
      <c r="F47" s="1387">
        <v>1005</v>
      </c>
      <c r="G47" s="1387">
        <v>966.2</v>
      </c>
      <c r="H47" s="1387">
        <v>1438.3</v>
      </c>
      <c r="I47" s="1387">
        <v>1112.4000000000001</v>
      </c>
      <c r="J47" s="1387">
        <v>1681.5</v>
      </c>
      <c r="K47" s="1387">
        <v>1886</v>
      </c>
      <c r="L47" s="1388">
        <v>1496.9</v>
      </c>
      <c r="M47" s="1388">
        <v>265.5</v>
      </c>
      <c r="N47" s="1387">
        <v>1512.2</v>
      </c>
      <c r="O47" s="1344"/>
      <c r="P47" s="1344"/>
      <c r="Q47" s="1344"/>
      <c r="R47" s="1344"/>
      <c r="S47" s="1344"/>
      <c r="T47" s="1344"/>
      <c r="U47" s="1344"/>
      <c r="V47" s="1344"/>
      <c r="W47" s="1344"/>
      <c r="X47" s="1344"/>
      <c r="Y47" s="1344"/>
      <c r="Z47" s="1344"/>
      <c r="AA47" s="1344"/>
      <c r="AB47" s="1344"/>
      <c r="AC47" s="1344"/>
      <c r="AD47" s="1344"/>
      <c r="AE47" s="1344"/>
      <c r="AF47" s="1344"/>
      <c r="AG47" s="1344"/>
      <c r="AH47" s="1344"/>
      <c r="AI47" s="1344"/>
      <c r="AJ47" s="1344"/>
      <c r="AK47" s="1344"/>
      <c r="AL47" s="1344"/>
      <c r="AM47" s="1344"/>
      <c r="AN47" s="1344"/>
      <c r="AO47" s="1344"/>
      <c r="AP47" s="1344"/>
      <c r="AQ47" s="1344"/>
      <c r="AR47" s="1344"/>
      <c r="AS47" s="1344"/>
      <c r="AT47" s="1344"/>
      <c r="AU47" s="1344"/>
      <c r="AV47" s="1344"/>
      <c r="AW47" s="1344"/>
      <c r="AX47" s="1344"/>
      <c r="AY47" s="1344"/>
      <c r="AZ47" s="1344"/>
      <c r="BA47" s="1344"/>
      <c r="BB47" s="1344"/>
      <c r="BC47" s="1344"/>
      <c r="BD47" s="1344"/>
      <c r="BE47" s="1344"/>
      <c r="BF47" s="1344"/>
      <c r="BG47" s="1344"/>
      <c r="BH47" s="1344"/>
      <c r="BI47" s="1344"/>
      <c r="BJ47" s="1344"/>
      <c r="BK47" s="1344"/>
      <c r="BL47" s="1344"/>
      <c r="BM47" s="1344"/>
      <c r="BN47" s="1344"/>
      <c r="BO47" s="1344"/>
      <c r="BP47" s="1344"/>
      <c r="BQ47" s="1344"/>
      <c r="BR47" s="1344"/>
      <c r="BS47" s="1344"/>
      <c r="BT47" s="1344"/>
      <c r="BU47" s="1344"/>
      <c r="BV47" s="1344"/>
      <c r="BW47" s="1344"/>
      <c r="BX47" s="1344"/>
      <c r="BY47" s="1344"/>
      <c r="BZ47" s="1344"/>
      <c r="CA47" s="1344"/>
      <c r="CB47" s="1344"/>
      <c r="CC47" s="1344"/>
      <c r="CD47" s="1344"/>
      <c r="CE47" s="1344"/>
      <c r="CF47" s="1344"/>
      <c r="CG47" s="1344"/>
      <c r="CH47" s="1344"/>
      <c r="CI47" s="1344"/>
      <c r="CJ47" s="1344"/>
      <c r="CK47" s="1344"/>
      <c r="CL47" s="1344"/>
      <c r="CM47" s="1344"/>
      <c r="CN47" s="1344"/>
      <c r="CO47" s="1344"/>
      <c r="CP47" s="1344"/>
      <c r="CQ47" s="1344"/>
      <c r="CR47" s="1344"/>
      <c r="CS47" s="1344"/>
      <c r="CT47" s="1344"/>
      <c r="CU47" s="1344"/>
      <c r="CV47" s="1344"/>
      <c r="CW47" s="1344"/>
      <c r="CX47" s="1344"/>
      <c r="CY47" s="1344"/>
      <c r="CZ47" s="1344"/>
      <c r="DA47" s="1344"/>
      <c r="DB47" s="1344"/>
      <c r="DC47" s="1344"/>
      <c r="DD47" s="1344"/>
      <c r="DE47" s="1344"/>
      <c r="DF47" s="1344"/>
      <c r="DG47" s="1344"/>
      <c r="DH47" s="1344"/>
      <c r="DI47" s="1344"/>
      <c r="DJ47" s="1344"/>
      <c r="DK47" s="1344"/>
      <c r="DL47" s="1344"/>
      <c r="DM47" s="1344"/>
      <c r="DN47" s="1344"/>
      <c r="DO47" s="1344"/>
      <c r="DP47" s="1344"/>
      <c r="DQ47" s="1344"/>
      <c r="DR47" s="1344"/>
      <c r="DS47" s="1344"/>
      <c r="DT47" s="1344"/>
      <c r="DU47" s="1344"/>
      <c r="DV47" s="1344"/>
      <c r="DW47" s="1344"/>
      <c r="DX47" s="1344"/>
      <c r="DY47" s="1344"/>
      <c r="DZ47" s="1344"/>
      <c r="EA47" s="1344"/>
      <c r="EB47" s="1344"/>
      <c r="EC47" s="1344"/>
      <c r="ED47" s="1344"/>
      <c r="EE47" s="1344"/>
      <c r="EF47" s="1344"/>
      <c r="EG47" s="1344"/>
      <c r="EH47" s="1344"/>
      <c r="EI47" s="1344"/>
      <c r="EJ47" s="1344"/>
      <c r="EK47" s="1344"/>
      <c r="EL47" s="1344"/>
      <c r="EM47" s="1344"/>
      <c r="EN47" s="1344"/>
      <c r="EO47" s="1344"/>
      <c r="EP47" s="1344"/>
      <c r="EQ47" s="1344"/>
      <c r="ER47" s="1344"/>
      <c r="ES47" s="1344"/>
      <c r="ET47" s="1344"/>
      <c r="EU47" s="1344"/>
      <c r="EV47" s="1344"/>
      <c r="EW47" s="1344"/>
      <c r="EX47" s="1344"/>
      <c r="EY47" s="1344"/>
      <c r="EZ47" s="1344"/>
      <c r="FA47" s="1344"/>
      <c r="FB47" s="1344"/>
      <c r="FC47" s="1344"/>
      <c r="FD47" s="1344"/>
      <c r="FE47" s="1344"/>
      <c r="FF47" s="1344"/>
      <c r="FG47" s="1344"/>
      <c r="FH47" s="1344"/>
      <c r="FI47" s="1344"/>
      <c r="FJ47" s="1344"/>
      <c r="FK47" s="1344"/>
      <c r="FL47" s="1344"/>
      <c r="FM47" s="1344"/>
      <c r="FN47" s="1344"/>
      <c r="FO47" s="1344"/>
      <c r="FP47" s="1344"/>
      <c r="FQ47" s="1344"/>
      <c r="FR47" s="1344"/>
      <c r="FS47" s="1344"/>
      <c r="FT47" s="1344"/>
      <c r="FU47" s="1344"/>
      <c r="FV47" s="1344"/>
      <c r="FW47" s="1344"/>
      <c r="FX47" s="1344"/>
      <c r="FY47" s="1344"/>
      <c r="FZ47" s="1344"/>
      <c r="GA47" s="1344"/>
      <c r="GB47" s="1344"/>
      <c r="GC47" s="1344"/>
      <c r="GD47" s="1344"/>
      <c r="GE47" s="1344"/>
      <c r="GF47" s="1344"/>
      <c r="GG47" s="1344"/>
      <c r="GH47" s="1344"/>
      <c r="GI47" s="1344"/>
      <c r="GJ47" s="1344"/>
      <c r="GK47" s="1344"/>
      <c r="GL47" s="1344"/>
      <c r="GM47" s="1344"/>
      <c r="GN47" s="1344"/>
      <c r="GO47" s="1344"/>
      <c r="GP47" s="1344"/>
      <c r="GQ47" s="1344"/>
      <c r="GR47" s="1344"/>
      <c r="GS47" s="1344"/>
      <c r="GT47" s="1344"/>
      <c r="GU47" s="1344"/>
      <c r="GV47" s="1344"/>
      <c r="GW47" s="1344"/>
      <c r="GX47" s="1344"/>
      <c r="GY47" s="1344"/>
      <c r="GZ47" s="1344"/>
      <c r="HA47" s="1344"/>
      <c r="HB47" s="1344"/>
      <c r="HC47" s="1344"/>
      <c r="HD47" s="1344"/>
      <c r="HE47" s="1344"/>
      <c r="HF47" s="1344"/>
      <c r="HG47" s="1344"/>
      <c r="HH47" s="1344"/>
      <c r="HI47" s="1344"/>
      <c r="HJ47" s="1344"/>
      <c r="HK47" s="1344"/>
      <c r="HL47" s="1344"/>
      <c r="HM47" s="1344"/>
      <c r="HN47" s="1344"/>
      <c r="HO47" s="1344"/>
      <c r="HP47" s="1344"/>
      <c r="HQ47" s="1344"/>
      <c r="HR47" s="1344"/>
      <c r="HS47" s="1344"/>
      <c r="HT47" s="1344"/>
      <c r="HU47" s="1344"/>
      <c r="HV47" s="1344"/>
      <c r="HW47" s="1344"/>
      <c r="HX47" s="1344"/>
      <c r="HY47" s="1344"/>
      <c r="HZ47" s="1344"/>
      <c r="IA47" s="1344"/>
      <c r="IB47" s="1344"/>
      <c r="IC47" s="1344"/>
      <c r="ID47" s="1344"/>
      <c r="IE47" s="1344"/>
      <c r="IF47" s="1344"/>
      <c r="IG47" s="1344"/>
      <c r="IH47" s="1344"/>
      <c r="II47" s="1344"/>
      <c r="IJ47" s="1344"/>
      <c r="IK47" s="1344"/>
      <c r="IL47" s="1344"/>
      <c r="IM47" s="1344"/>
      <c r="IN47" s="1344"/>
      <c r="IO47" s="1344"/>
      <c r="IP47" s="1344"/>
      <c r="IQ47" s="1344"/>
      <c r="IR47" s="1344"/>
      <c r="IS47" s="1344"/>
      <c r="IT47" s="1344"/>
      <c r="IU47" s="1344"/>
      <c r="IV47" s="1344"/>
    </row>
    <row r="48" spans="1:256" ht="12" customHeight="1" thickTop="1">
      <c r="A48" s="1323"/>
      <c r="B48" s="1391"/>
      <c r="C48" s="1392"/>
      <c r="D48" s="1392"/>
      <c r="E48" s="1392"/>
      <c r="F48" s="1392"/>
      <c r="G48" s="1393"/>
      <c r="H48" s="1394"/>
      <c r="I48" s="1395"/>
      <c r="J48" s="1395"/>
      <c r="K48" s="1396"/>
      <c r="L48" s="1396"/>
      <c r="M48" s="1396"/>
      <c r="N48" s="1396"/>
      <c r="O48" s="1337"/>
      <c r="P48" s="1337"/>
      <c r="Q48" s="1337"/>
      <c r="R48" s="1337"/>
      <c r="S48" s="1337"/>
      <c r="T48" s="1337"/>
      <c r="U48" s="1337"/>
      <c r="V48" s="1337"/>
      <c r="W48" s="1337"/>
      <c r="X48" s="1337"/>
      <c r="Y48" s="1337"/>
      <c r="Z48" s="1337"/>
      <c r="AA48" s="1337"/>
      <c r="AB48" s="1337"/>
      <c r="AC48" s="1337"/>
      <c r="AD48" s="1337"/>
      <c r="AE48" s="1337"/>
      <c r="AF48" s="1337"/>
      <c r="AG48" s="1337"/>
      <c r="AH48" s="1337"/>
      <c r="AI48" s="1337"/>
      <c r="AJ48" s="1337"/>
      <c r="AK48" s="1337"/>
      <c r="AL48" s="1337"/>
      <c r="AM48" s="1337"/>
      <c r="AN48" s="1337"/>
      <c r="AO48" s="1337"/>
      <c r="AP48" s="1337"/>
      <c r="AQ48" s="1337"/>
      <c r="AR48" s="1337"/>
      <c r="AS48" s="1337"/>
      <c r="AT48" s="1337"/>
      <c r="AU48" s="1337"/>
      <c r="AV48" s="1337"/>
      <c r="AW48" s="1337"/>
      <c r="AX48" s="1337"/>
      <c r="AY48" s="1337"/>
      <c r="AZ48" s="1337"/>
      <c r="BA48" s="1337"/>
      <c r="BB48" s="1337"/>
      <c r="BC48" s="1337"/>
      <c r="BD48" s="1337"/>
      <c r="BE48" s="1337"/>
      <c r="BF48" s="1337"/>
      <c r="BG48" s="1337"/>
      <c r="BH48" s="1337"/>
      <c r="BI48" s="1337"/>
      <c r="BJ48" s="1337"/>
      <c r="BK48" s="1337"/>
      <c r="BL48" s="1337"/>
      <c r="BM48" s="1337"/>
      <c r="BN48" s="1337"/>
      <c r="BO48" s="1337"/>
      <c r="BP48" s="1337"/>
      <c r="BQ48" s="1337"/>
      <c r="BR48" s="1337"/>
      <c r="BS48" s="1337"/>
      <c r="BT48" s="1337"/>
      <c r="BU48" s="1337"/>
      <c r="BV48" s="1337"/>
      <c r="BW48" s="1337"/>
      <c r="BX48" s="1337"/>
      <c r="BY48" s="1337"/>
      <c r="BZ48" s="1337"/>
      <c r="CA48" s="1337"/>
      <c r="CB48" s="1337"/>
      <c r="CC48" s="1337"/>
      <c r="CD48" s="1337"/>
      <c r="CE48" s="1337"/>
      <c r="CF48" s="1337"/>
      <c r="CG48" s="1337"/>
      <c r="CH48" s="1337"/>
      <c r="CI48" s="1337"/>
      <c r="CJ48" s="1337"/>
      <c r="CK48" s="1337"/>
      <c r="CL48" s="1337"/>
      <c r="CM48" s="1337"/>
      <c r="CN48" s="1337"/>
      <c r="CO48" s="1337"/>
      <c r="CP48" s="1337"/>
      <c r="CQ48" s="1337"/>
      <c r="CR48" s="1337"/>
      <c r="CS48" s="1337"/>
      <c r="CT48" s="1337"/>
      <c r="CU48" s="1337"/>
      <c r="CV48" s="1337"/>
      <c r="CW48" s="1337"/>
      <c r="CX48" s="1337"/>
      <c r="CY48" s="1337"/>
      <c r="CZ48" s="1337"/>
      <c r="DA48" s="1337"/>
      <c r="DB48" s="1337"/>
      <c r="DC48" s="1337"/>
      <c r="DD48" s="1337"/>
      <c r="DE48" s="1337"/>
      <c r="DF48" s="1337"/>
      <c r="DG48" s="1337"/>
      <c r="DH48" s="1337"/>
      <c r="DI48" s="1337"/>
      <c r="DJ48" s="1337"/>
      <c r="DK48" s="1337"/>
      <c r="DL48" s="1337"/>
      <c r="DM48" s="1337"/>
      <c r="DN48" s="1337"/>
      <c r="DO48" s="1337"/>
      <c r="DP48" s="1337"/>
      <c r="DQ48" s="1337"/>
      <c r="DR48" s="1337"/>
      <c r="DS48" s="1337"/>
      <c r="DT48" s="1337"/>
      <c r="DU48" s="1337"/>
      <c r="DV48" s="1337"/>
      <c r="DW48" s="1337"/>
      <c r="DX48" s="1337"/>
      <c r="DY48" s="1337"/>
      <c r="DZ48" s="1337"/>
      <c r="EA48" s="1337"/>
      <c r="EB48" s="1337"/>
      <c r="EC48" s="1337"/>
      <c r="ED48" s="1337"/>
      <c r="EE48" s="1337"/>
      <c r="EF48" s="1337"/>
      <c r="EG48" s="1337"/>
      <c r="EH48" s="1337"/>
      <c r="EI48" s="1337"/>
      <c r="EJ48" s="1337"/>
      <c r="EK48" s="1337"/>
      <c r="EL48" s="1337"/>
      <c r="EM48" s="1337"/>
      <c r="EN48" s="1337"/>
      <c r="EO48" s="1337"/>
      <c r="EP48" s="1337"/>
      <c r="EQ48" s="1337"/>
      <c r="ER48" s="1337"/>
      <c r="ES48" s="1337"/>
      <c r="ET48" s="1337"/>
      <c r="EU48" s="1337"/>
      <c r="EV48" s="1337"/>
      <c r="EW48" s="1337"/>
      <c r="EX48" s="1337"/>
      <c r="EY48" s="1337"/>
      <c r="EZ48" s="1337"/>
      <c r="FA48" s="1337"/>
      <c r="FB48" s="1337"/>
      <c r="FC48" s="1337"/>
      <c r="FD48" s="1337"/>
      <c r="FE48" s="1337"/>
      <c r="FF48" s="1337"/>
      <c r="FG48" s="1337"/>
      <c r="FH48" s="1337"/>
      <c r="FI48" s="1337"/>
      <c r="FJ48" s="1337"/>
      <c r="FK48" s="1337"/>
      <c r="FL48" s="1337"/>
      <c r="FM48" s="1337"/>
      <c r="FN48" s="1337"/>
      <c r="FO48" s="1337"/>
      <c r="FP48" s="1337"/>
      <c r="FQ48" s="1337"/>
      <c r="FR48" s="1337"/>
      <c r="FS48" s="1337"/>
      <c r="FT48" s="1337"/>
      <c r="FU48" s="1337"/>
      <c r="FV48" s="1337"/>
      <c r="FW48" s="1337"/>
      <c r="FX48" s="1337"/>
      <c r="FY48" s="1337"/>
      <c r="FZ48" s="1337"/>
      <c r="GA48" s="1337"/>
      <c r="GB48" s="1337"/>
      <c r="GC48" s="1337"/>
      <c r="GD48" s="1337"/>
      <c r="GE48" s="1337"/>
      <c r="GF48" s="1337"/>
      <c r="GG48" s="1337"/>
      <c r="GH48" s="1337"/>
      <c r="GI48" s="1337"/>
      <c r="GJ48" s="1337"/>
      <c r="GK48" s="1337"/>
      <c r="GL48" s="1337"/>
      <c r="GM48" s="1337"/>
      <c r="GN48" s="1337"/>
      <c r="GO48" s="1337"/>
      <c r="GP48" s="1337"/>
      <c r="GQ48" s="1337"/>
      <c r="GR48" s="1337"/>
      <c r="GS48" s="1337"/>
      <c r="GT48" s="1337"/>
      <c r="GU48" s="1337"/>
      <c r="GV48" s="1337"/>
      <c r="GW48" s="1337"/>
      <c r="GX48" s="1337"/>
      <c r="GY48" s="1337"/>
      <c r="GZ48" s="1337"/>
      <c r="HA48" s="1337"/>
      <c r="HB48" s="1337"/>
      <c r="HC48" s="1337"/>
      <c r="HD48" s="1337"/>
      <c r="HE48" s="1337"/>
      <c r="HF48" s="1337"/>
      <c r="HG48" s="1337"/>
      <c r="HH48" s="1337"/>
      <c r="HI48" s="1337"/>
      <c r="HJ48" s="1337"/>
      <c r="HK48" s="1337"/>
      <c r="HL48" s="1337"/>
      <c r="HM48" s="1337"/>
      <c r="HN48" s="1337"/>
      <c r="HO48" s="1337"/>
      <c r="HP48" s="1337"/>
      <c r="HQ48" s="1337"/>
      <c r="HR48" s="1337"/>
      <c r="HS48" s="1337"/>
      <c r="HT48" s="1337"/>
      <c r="HU48" s="1337"/>
      <c r="HV48" s="1337"/>
      <c r="HW48" s="1337"/>
      <c r="HX48" s="1337"/>
      <c r="HY48" s="1337"/>
      <c r="HZ48" s="1337"/>
      <c r="IA48" s="1337"/>
      <c r="IB48" s="1337"/>
      <c r="IC48" s="1337"/>
      <c r="ID48" s="1337"/>
      <c r="IE48" s="1337"/>
      <c r="IF48" s="1337"/>
      <c r="IG48" s="1337"/>
      <c r="IH48" s="1337"/>
      <c r="II48" s="1337"/>
      <c r="IJ48" s="1337"/>
      <c r="IK48" s="1337"/>
      <c r="IL48" s="1337"/>
      <c r="IM48" s="1337"/>
      <c r="IN48" s="1337"/>
      <c r="IO48" s="1337"/>
      <c r="IP48" s="1337"/>
      <c r="IQ48" s="1337"/>
      <c r="IR48" s="1337"/>
      <c r="IS48" s="1337"/>
      <c r="IT48" s="1337"/>
      <c r="IU48" s="1337"/>
      <c r="IV48" s="1337"/>
    </row>
    <row r="49" spans="1:256" s="1400" customFormat="1" ht="10.5" customHeight="1">
      <c r="A49" s="1397" t="s">
        <v>1123</v>
      </c>
      <c r="B49" s="1398"/>
      <c r="C49" s="1398"/>
      <c r="D49" s="1398"/>
      <c r="E49" s="1398"/>
      <c r="F49" s="1398"/>
      <c r="G49" s="1393"/>
      <c r="H49" s="1393"/>
      <c r="I49" s="1393"/>
      <c r="J49" s="1393"/>
      <c r="K49" s="1396"/>
      <c r="L49" s="1396"/>
      <c r="M49" s="1396"/>
      <c r="N49" s="1396"/>
      <c r="O49" s="1399"/>
      <c r="P49" s="1399"/>
      <c r="Q49" s="1399"/>
      <c r="R49" s="1399"/>
      <c r="S49" s="1399"/>
      <c r="T49" s="1399"/>
      <c r="U49" s="1399"/>
      <c r="V49" s="1399"/>
      <c r="W49" s="1399"/>
      <c r="X49" s="1399"/>
      <c r="Y49" s="1399"/>
      <c r="Z49" s="1399"/>
      <c r="AA49" s="1399"/>
      <c r="AB49" s="1399"/>
      <c r="AC49" s="1399"/>
      <c r="AD49" s="1399"/>
      <c r="AE49" s="1399"/>
      <c r="AF49" s="1399"/>
      <c r="AG49" s="1399"/>
      <c r="AH49" s="1399"/>
      <c r="AI49" s="1399"/>
      <c r="AJ49" s="1399"/>
      <c r="AK49" s="1399"/>
      <c r="AL49" s="1399"/>
      <c r="AM49" s="1399"/>
      <c r="AN49" s="1399"/>
      <c r="AO49" s="1399"/>
      <c r="AP49" s="1399"/>
      <c r="AQ49" s="1399"/>
      <c r="AR49" s="1399"/>
      <c r="AS49" s="1399"/>
      <c r="AT49" s="1399"/>
      <c r="AU49" s="1399"/>
      <c r="AV49" s="1399"/>
      <c r="AW49" s="1399"/>
      <c r="AX49" s="1399"/>
      <c r="AY49" s="1399"/>
      <c r="AZ49" s="1399"/>
      <c r="BA49" s="1399"/>
      <c r="BB49" s="1399"/>
      <c r="BC49" s="1399"/>
      <c r="BD49" s="1399"/>
      <c r="BE49" s="1399"/>
      <c r="BF49" s="1399"/>
      <c r="BG49" s="1399"/>
      <c r="BH49" s="1399"/>
      <c r="BI49" s="1399"/>
      <c r="BJ49" s="1399"/>
      <c r="BK49" s="1399"/>
      <c r="BL49" s="1399"/>
      <c r="BM49" s="1399"/>
      <c r="BN49" s="1399"/>
      <c r="BO49" s="1399"/>
      <c r="BP49" s="1399"/>
      <c r="BQ49" s="1399"/>
      <c r="BR49" s="1399"/>
      <c r="BS49" s="1399"/>
      <c r="BT49" s="1399"/>
      <c r="BU49" s="1399"/>
      <c r="BV49" s="1399"/>
      <c r="BW49" s="1399"/>
      <c r="BX49" s="1399"/>
      <c r="BY49" s="1399"/>
      <c r="BZ49" s="1399"/>
      <c r="CA49" s="1399"/>
      <c r="CB49" s="1399"/>
      <c r="CC49" s="1399"/>
      <c r="CD49" s="1399"/>
      <c r="CE49" s="1399"/>
      <c r="CF49" s="1399"/>
      <c r="CG49" s="1399"/>
      <c r="CH49" s="1399"/>
      <c r="CI49" s="1399"/>
      <c r="CJ49" s="1399"/>
      <c r="CK49" s="1399"/>
      <c r="CL49" s="1399"/>
      <c r="CM49" s="1399"/>
      <c r="CN49" s="1399"/>
      <c r="CO49" s="1399"/>
      <c r="CP49" s="1399"/>
      <c r="CQ49" s="1399"/>
      <c r="CR49" s="1399"/>
      <c r="CS49" s="1399"/>
      <c r="CT49" s="1399"/>
      <c r="CU49" s="1399"/>
      <c r="CV49" s="1399"/>
      <c r="CW49" s="1399"/>
      <c r="CX49" s="1399"/>
      <c r="CY49" s="1399"/>
      <c r="CZ49" s="1399"/>
      <c r="DA49" s="1399"/>
      <c r="DB49" s="1399"/>
      <c r="DC49" s="1399"/>
      <c r="DD49" s="1399"/>
      <c r="DE49" s="1399"/>
      <c r="DF49" s="1399"/>
      <c r="DG49" s="1399"/>
      <c r="DH49" s="1399"/>
      <c r="DI49" s="1399"/>
      <c r="DJ49" s="1399"/>
      <c r="DK49" s="1399"/>
      <c r="DL49" s="1399"/>
      <c r="DM49" s="1399"/>
      <c r="DN49" s="1399"/>
      <c r="DO49" s="1399"/>
      <c r="DP49" s="1399"/>
      <c r="DQ49" s="1399"/>
      <c r="DR49" s="1399"/>
      <c r="DS49" s="1399"/>
      <c r="DT49" s="1399"/>
      <c r="DU49" s="1399"/>
      <c r="DV49" s="1399"/>
      <c r="DW49" s="1399"/>
      <c r="DX49" s="1399"/>
      <c r="DY49" s="1399"/>
      <c r="DZ49" s="1399"/>
      <c r="EA49" s="1399"/>
      <c r="EB49" s="1399"/>
      <c r="EC49" s="1399"/>
      <c r="ED49" s="1399"/>
      <c r="EE49" s="1399"/>
      <c r="EF49" s="1399"/>
      <c r="EG49" s="1399"/>
      <c r="EH49" s="1399"/>
      <c r="EI49" s="1399"/>
      <c r="EJ49" s="1399"/>
      <c r="EK49" s="1399"/>
      <c r="EL49" s="1399"/>
      <c r="EM49" s="1399"/>
      <c r="EN49" s="1399"/>
      <c r="EO49" s="1399"/>
      <c r="EP49" s="1399"/>
      <c r="EQ49" s="1399"/>
      <c r="ER49" s="1399"/>
      <c r="ES49" s="1399"/>
      <c r="ET49" s="1399"/>
      <c r="EU49" s="1399"/>
      <c r="EV49" s="1399"/>
      <c r="EW49" s="1399"/>
      <c r="EX49" s="1399"/>
      <c r="EY49" s="1399"/>
      <c r="EZ49" s="1399"/>
      <c r="FA49" s="1399"/>
      <c r="FB49" s="1399"/>
      <c r="FC49" s="1399"/>
      <c r="FD49" s="1399"/>
      <c r="FE49" s="1399"/>
      <c r="FF49" s="1399"/>
      <c r="FG49" s="1399"/>
      <c r="FH49" s="1399"/>
      <c r="FI49" s="1399"/>
      <c r="FJ49" s="1399"/>
      <c r="FK49" s="1399"/>
      <c r="FL49" s="1399"/>
      <c r="FM49" s="1399"/>
      <c r="FN49" s="1399"/>
      <c r="FO49" s="1399"/>
      <c r="FP49" s="1399"/>
      <c r="FQ49" s="1399"/>
      <c r="FR49" s="1399"/>
      <c r="FS49" s="1399"/>
      <c r="FT49" s="1399"/>
      <c r="FU49" s="1399"/>
      <c r="FV49" s="1399"/>
      <c r="FW49" s="1399"/>
      <c r="FX49" s="1399"/>
      <c r="FY49" s="1399"/>
      <c r="FZ49" s="1399"/>
      <c r="GA49" s="1399"/>
      <c r="GB49" s="1399"/>
      <c r="GC49" s="1399"/>
      <c r="GD49" s="1399"/>
      <c r="GE49" s="1399"/>
      <c r="GF49" s="1399"/>
      <c r="GG49" s="1399"/>
      <c r="GH49" s="1399"/>
      <c r="GI49" s="1399"/>
      <c r="GJ49" s="1399"/>
      <c r="GK49" s="1399"/>
      <c r="GL49" s="1399"/>
      <c r="GM49" s="1399"/>
      <c r="GN49" s="1399"/>
      <c r="GO49" s="1399"/>
      <c r="GP49" s="1399"/>
      <c r="GQ49" s="1399"/>
      <c r="GR49" s="1399"/>
      <c r="GS49" s="1399"/>
      <c r="GT49" s="1399"/>
      <c r="GU49" s="1399"/>
      <c r="GV49" s="1399"/>
      <c r="GW49" s="1399"/>
      <c r="GX49" s="1399"/>
      <c r="GY49" s="1399"/>
      <c r="GZ49" s="1399"/>
      <c r="HA49" s="1399"/>
      <c r="HB49" s="1399"/>
      <c r="HC49" s="1399"/>
      <c r="HD49" s="1399"/>
      <c r="HE49" s="1399"/>
      <c r="HF49" s="1399"/>
      <c r="HG49" s="1399"/>
      <c r="HH49" s="1399"/>
      <c r="HI49" s="1399"/>
      <c r="HJ49" s="1399"/>
      <c r="HK49" s="1399"/>
      <c r="HL49" s="1399"/>
      <c r="HM49" s="1399"/>
      <c r="HN49" s="1399"/>
      <c r="HO49" s="1399"/>
      <c r="HP49" s="1399"/>
      <c r="HQ49" s="1399"/>
      <c r="HR49" s="1399"/>
      <c r="HS49" s="1399"/>
      <c r="HT49" s="1399"/>
      <c r="HU49" s="1399"/>
      <c r="HV49" s="1399"/>
      <c r="HW49" s="1399"/>
      <c r="HX49" s="1399"/>
      <c r="HY49" s="1399"/>
      <c r="HZ49" s="1399"/>
      <c r="IA49" s="1399"/>
      <c r="IB49" s="1399"/>
      <c r="IC49" s="1399"/>
      <c r="ID49" s="1399"/>
      <c r="IE49" s="1399"/>
      <c r="IF49" s="1399"/>
      <c r="IG49" s="1399"/>
      <c r="IH49" s="1399"/>
      <c r="II49" s="1399"/>
      <c r="IJ49" s="1399"/>
      <c r="IK49" s="1399"/>
      <c r="IL49" s="1399"/>
      <c r="IM49" s="1399"/>
      <c r="IN49" s="1399"/>
      <c r="IO49" s="1399"/>
      <c r="IP49" s="1399"/>
      <c r="IQ49" s="1399"/>
      <c r="IR49" s="1399"/>
      <c r="IS49" s="1399"/>
      <c r="IT49" s="1399"/>
      <c r="IU49" s="1399"/>
      <c r="IV49" s="1399"/>
    </row>
    <row r="50" spans="1:256" s="1400" customFormat="1" ht="10.5" customHeight="1">
      <c r="A50" s="1397" t="s">
        <v>1124</v>
      </c>
      <c r="B50" s="1398"/>
      <c r="C50" s="1398"/>
      <c r="D50" s="1398"/>
      <c r="E50" s="1398"/>
      <c r="F50" s="1398"/>
      <c r="G50" s="1393"/>
      <c r="H50" s="1393"/>
      <c r="I50" s="1393"/>
      <c r="J50" s="1393"/>
      <c r="K50" s="1396"/>
      <c r="L50" s="1396"/>
      <c r="M50" s="1396"/>
      <c r="N50" s="1396"/>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399"/>
      <c r="AL50" s="1399"/>
      <c r="AM50" s="1399"/>
      <c r="AN50" s="1399"/>
      <c r="AO50" s="1399"/>
      <c r="AP50" s="1399"/>
      <c r="AQ50" s="1399"/>
      <c r="AR50" s="1399"/>
      <c r="AS50" s="1399"/>
      <c r="AT50" s="1399"/>
      <c r="AU50" s="1399"/>
      <c r="AV50" s="1399"/>
      <c r="AW50" s="1399"/>
      <c r="AX50" s="1399"/>
      <c r="AY50" s="1399"/>
      <c r="AZ50" s="1399"/>
      <c r="BA50" s="1399"/>
      <c r="BB50" s="1399"/>
      <c r="BC50" s="1399"/>
      <c r="BD50" s="1399"/>
      <c r="BE50" s="1399"/>
      <c r="BF50" s="1399"/>
      <c r="BG50" s="1399"/>
      <c r="BH50" s="1399"/>
      <c r="BI50" s="1399"/>
      <c r="BJ50" s="1399"/>
      <c r="BK50" s="1399"/>
      <c r="BL50" s="1399"/>
      <c r="BM50" s="1399"/>
      <c r="BN50" s="1399"/>
      <c r="BO50" s="1399"/>
      <c r="BP50" s="1399"/>
      <c r="BQ50" s="1399"/>
      <c r="BR50" s="1399"/>
      <c r="BS50" s="1399"/>
      <c r="BT50" s="1399"/>
      <c r="BU50" s="1399"/>
      <c r="BV50" s="1399"/>
      <c r="BW50" s="1399"/>
      <c r="BX50" s="1399"/>
      <c r="BY50" s="1399"/>
      <c r="BZ50" s="1399"/>
      <c r="CA50" s="1399"/>
      <c r="CB50" s="1399"/>
      <c r="CC50" s="1399"/>
      <c r="CD50" s="1399"/>
      <c r="CE50" s="1399"/>
      <c r="CF50" s="1399"/>
      <c r="CG50" s="1399"/>
      <c r="CH50" s="1399"/>
      <c r="CI50" s="1399"/>
      <c r="CJ50" s="1399"/>
      <c r="CK50" s="1399"/>
      <c r="CL50" s="1399"/>
      <c r="CM50" s="1399"/>
      <c r="CN50" s="1399"/>
      <c r="CO50" s="1399"/>
      <c r="CP50" s="1399"/>
      <c r="CQ50" s="1399"/>
      <c r="CR50" s="1399"/>
      <c r="CS50" s="1399"/>
      <c r="CT50" s="1399"/>
      <c r="CU50" s="1399"/>
      <c r="CV50" s="1399"/>
      <c r="CW50" s="1399"/>
      <c r="CX50" s="1399"/>
      <c r="CY50" s="1399"/>
      <c r="CZ50" s="1399"/>
      <c r="DA50" s="1399"/>
      <c r="DB50" s="1399"/>
      <c r="DC50" s="1399"/>
      <c r="DD50" s="1399"/>
      <c r="DE50" s="1399"/>
      <c r="DF50" s="1399"/>
      <c r="DG50" s="1399"/>
      <c r="DH50" s="1399"/>
      <c r="DI50" s="1399"/>
      <c r="DJ50" s="1399"/>
      <c r="DK50" s="1399"/>
      <c r="DL50" s="1399"/>
      <c r="DM50" s="1399"/>
      <c r="DN50" s="1399"/>
      <c r="DO50" s="1399"/>
      <c r="DP50" s="1399"/>
      <c r="DQ50" s="1399"/>
      <c r="DR50" s="1399"/>
      <c r="DS50" s="1399"/>
      <c r="DT50" s="1399"/>
      <c r="DU50" s="1399"/>
      <c r="DV50" s="1399"/>
      <c r="DW50" s="1399"/>
      <c r="DX50" s="1399"/>
      <c r="DY50" s="1399"/>
      <c r="DZ50" s="1399"/>
      <c r="EA50" s="1399"/>
      <c r="EB50" s="1399"/>
      <c r="EC50" s="1399"/>
      <c r="ED50" s="1399"/>
      <c r="EE50" s="1399"/>
      <c r="EF50" s="1399"/>
      <c r="EG50" s="1399"/>
      <c r="EH50" s="1399"/>
      <c r="EI50" s="1399"/>
      <c r="EJ50" s="1399"/>
      <c r="EK50" s="1399"/>
      <c r="EL50" s="1399"/>
      <c r="EM50" s="1399"/>
      <c r="EN50" s="1399"/>
      <c r="EO50" s="1399"/>
      <c r="EP50" s="1399"/>
      <c r="EQ50" s="1399"/>
      <c r="ER50" s="1399"/>
      <c r="ES50" s="1399"/>
      <c r="ET50" s="1399"/>
      <c r="EU50" s="1399"/>
      <c r="EV50" s="1399"/>
      <c r="EW50" s="1399"/>
      <c r="EX50" s="1399"/>
      <c r="EY50" s="1399"/>
      <c r="EZ50" s="1399"/>
      <c r="FA50" s="1399"/>
      <c r="FB50" s="1399"/>
      <c r="FC50" s="1399"/>
      <c r="FD50" s="1399"/>
      <c r="FE50" s="1399"/>
      <c r="FF50" s="1399"/>
      <c r="FG50" s="1399"/>
      <c r="FH50" s="1399"/>
      <c r="FI50" s="1399"/>
      <c r="FJ50" s="1399"/>
      <c r="FK50" s="1399"/>
      <c r="FL50" s="1399"/>
      <c r="FM50" s="1399"/>
      <c r="FN50" s="1399"/>
      <c r="FO50" s="1399"/>
      <c r="FP50" s="1399"/>
      <c r="FQ50" s="1399"/>
      <c r="FR50" s="1399"/>
      <c r="FS50" s="1399"/>
      <c r="FT50" s="1399"/>
      <c r="FU50" s="1399"/>
      <c r="FV50" s="1399"/>
      <c r="FW50" s="1399"/>
      <c r="FX50" s="1399"/>
      <c r="FY50" s="1399"/>
      <c r="FZ50" s="1399"/>
      <c r="GA50" s="1399"/>
      <c r="GB50" s="1399"/>
      <c r="GC50" s="1399"/>
      <c r="GD50" s="1399"/>
      <c r="GE50" s="1399"/>
      <c r="GF50" s="1399"/>
      <c r="GG50" s="1399"/>
      <c r="GH50" s="1399"/>
      <c r="GI50" s="1399"/>
      <c r="GJ50" s="1399"/>
      <c r="GK50" s="1399"/>
      <c r="GL50" s="1399"/>
      <c r="GM50" s="1399"/>
      <c r="GN50" s="1399"/>
      <c r="GO50" s="1399"/>
      <c r="GP50" s="1399"/>
      <c r="GQ50" s="1399"/>
      <c r="GR50" s="1399"/>
      <c r="GS50" s="1399"/>
      <c r="GT50" s="1399"/>
      <c r="GU50" s="1399"/>
      <c r="GV50" s="1399"/>
      <c r="GW50" s="1399"/>
      <c r="GX50" s="1399"/>
      <c r="GY50" s="1399"/>
      <c r="GZ50" s="1399"/>
      <c r="HA50" s="1399"/>
      <c r="HB50" s="1399"/>
      <c r="HC50" s="1399"/>
      <c r="HD50" s="1399"/>
      <c r="HE50" s="1399"/>
      <c r="HF50" s="1399"/>
      <c r="HG50" s="1399"/>
      <c r="HH50" s="1399"/>
      <c r="HI50" s="1399"/>
      <c r="HJ50" s="1399"/>
      <c r="HK50" s="1399"/>
      <c r="HL50" s="1399"/>
      <c r="HM50" s="1399"/>
      <c r="HN50" s="1399"/>
      <c r="HO50" s="1399"/>
      <c r="HP50" s="1399"/>
      <c r="HQ50" s="1399"/>
      <c r="HR50" s="1399"/>
      <c r="HS50" s="1399"/>
      <c r="HT50" s="1399"/>
      <c r="HU50" s="1399"/>
      <c r="HV50" s="1399"/>
      <c r="HW50" s="1399"/>
      <c r="HX50" s="1399"/>
      <c r="HY50" s="1399"/>
      <c r="HZ50" s="1399"/>
      <c r="IA50" s="1399"/>
      <c r="IB50" s="1399"/>
      <c r="IC50" s="1399"/>
      <c r="ID50" s="1399"/>
      <c r="IE50" s="1399"/>
      <c r="IF50" s="1399"/>
      <c r="IG50" s="1399"/>
      <c r="IH50" s="1399"/>
      <c r="II50" s="1399"/>
      <c r="IJ50" s="1399"/>
      <c r="IK50" s="1399"/>
      <c r="IL50" s="1399"/>
      <c r="IM50" s="1399"/>
      <c r="IN50" s="1399"/>
      <c r="IO50" s="1399"/>
      <c r="IP50" s="1399"/>
      <c r="IQ50" s="1399"/>
      <c r="IR50" s="1399"/>
      <c r="IS50" s="1399"/>
      <c r="IT50" s="1399"/>
      <c r="IU50" s="1399"/>
      <c r="IV50" s="1399"/>
    </row>
    <row r="51" spans="1:256" s="1400" customFormat="1" ht="10.5" customHeight="1">
      <c r="A51" s="1397" t="s">
        <v>1125</v>
      </c>
      <c r="B51" s="1323"/>
      <c r="C51" s="1398"/>
      <c r="D51" s="1398"/>
      <c r="E51" s="1398"/>
      <c r="F51" s="1398"/>
      <c r="G51" s="1393"/>
      <c r="H51" s="1393"/>
      <c r="I51" s="1393"/>
      <c r="J51" s="1393"/>
      <c r="K51" s="1396"/>
      <c r="L51" s="1396"/>
      <c r="M51" s="1396"/>
      <c r="N51" s="1396"/>
      <c r="O51" s="1399"/>
      <c r="P51" s="1399"/>
      <c r="Q51" s="1399"/>
      <c r="R51" s="1399"/>
      <c r="S51" s="1399"/>
      <c r="T51" s="1399"/>
      <c r="U51" s="1399"/>
      <c r="V51" s="1399"/>
      <c r="W51" s="1399"/>
      <c r="X51" s="1399"/>
      <c r="Y51" s="1399"/>
      <c r="Z51" s="1399"/>
      <c r="AA51" s="1399"/>
      <c r="AB51" s="1399"/>
      <c r="AC51" s="1399"/>
      <c r="AD51" s="1399"/>
      <c r="AE51" s="1399"/>
      <c r="AF51" s="1399"/>
      <c r="AG51" s="1399"/>
      <c r="AH51" s="1399"/>
      <c r="AI51" s="1399"/>
      <c r="AJ51" s="1399"/>
      <c r="AK51" s="1399"/>
      <c r="AL51" s="1399"/>
      <c r="AM51" s="1399"/>
      <c r="AN51" s="1399"/>
      <c r="AO51" s="1399"/>
      <c r="AP51" s="1399"/>
      <c r="AQ51" s="1399"/>
      <c r="AR51" s="1399"/>
      <c r="AS51" s="1399"/>
      <c r="AT51" s="1399"/>
      <c r="AU51" s="1399"/>
      <c r="AV51" s="1399"/>
      <c r="AW51" s="1399"/>
      <c r="AX51" s="1399"/>
      <c r="AY51" s="1399"/>
      <c r="AZ51" s="1399"/>
      <c r="BA51" s="1399"/>
      <c r="BB51" s="1399"/>
      <c r="BC51" s="1399"/>
      <c r="BD51" s="1399"/>
      <c r="BE51" s="1399"/>
      <c r="BF51" s="1399"/>
      <c r="BG51" s="1399"/>
      <c r="BH51" s="1399"/>
      <c r="BI51" s="1399"/>
      <c r="BJ51" s="1399"/>
      <c r="BK51" s="1399"/>
      <c r="BL51" s="1399"/>
      <c r="BM51" s="1399"/>
      <c r="BN51" s="1399"/>
      <c r="BO51" s="1399"/>
      <c r="BP51" s="1399"/>
      <c r="BQ51" s="1399"/>
      <c r="BR51" s="1399"/>
      <c r="BS51" s="1399"/>
      <c r="BT51" s="1399"/>
      <c r="BU51" s="1399"/>
      <c r="BV51" s="1399"/>
      <c r="BW51" s="1399"/>
      <c r="BX51" s="1399"/>
      <c r="BY51" s="1399"/>
      <c r="BZ51" s="1399"/>
      <c r="CA51" s="1399"/>
      <c r="CB51" s="1399"/>
      <c r="CC51" s="1399"/>
      <c r="CD51" s="1399"/>
      <c r="CE51" s="1399"/>
      <c r="CF51" s="1399"/>
      <c r="CG51" s="1399"/>
      <c r="CH51" s="1399"/>
      <c r="CI51" s="1399"/>
      <c r="CJ51" s="1399"/>
      <c r="CK51" s="1399"/>
      <c r="CL51" s="1399"/>
      <c r="CM51" s="1399"/>
      <c r="CN51" s="1399"/>
      <c r="CO51" s="1399"/>
      <c r="CP51" s="1399"/>
      <c r="CQ51" s="1399"/>
      <c r="CR51" s="1399"/>
      <c r="CS51" s="1399"/>
      <c r="CT51" s="1399"/>
      <c r="CU51" s="1399"/>
      <c r="CV51" s="1399"/>
      <c r="CW51" s="1399"/>
      <c r="CX51" s="1399"/>
      <c r="CY51" s="1399"/>
      <c r="CZ51" s="1399"/>
      <c r="DA51" s="1399"/>
      <c r="DB51" s="1399"/>
      <c r="DC51" s="1399"/>
      <c r="DD51" s="1399"/>
      <c r="DE51" s="1399"/>
      <c r="DF51" s="1399"/>
      <c r="DG51" s="1399"/>
      <c r="DH51" s="1399"/>
      <c r="DI51" s="1399"/>
      <c r="DJ51" s="1399"/>
      <c r="DK51" s="1399"/>
      <c r="DL51" s="1399"/>
      <c r="DM51" s="1399"/>
      <c r="DN51" s="1399"/>
      <c r="DO51" s="1399"/>
      <c r="DP51" s="1399"/>
      <c r="DQ51" s="1399"/>
      <c r="DR51" s="1399"/>
      <c r="DS51" s="1399"/>
      <c r="DT51" s="1399"/>
      <c r="DU51" s="1399"/>
      <c r="DV51" s="1399"/>
      <c r="DW51" s="1399"/>
      <c r="DX51" s="1399"/>
      <c r="DY51" s="1399"/>
      <c r="DZ51" s="1399"/>
      <c r="EA51" s="1399"/>
      <c r="EB51" s="1399"/>
      <c r="EC51" s="1399"/>
      <c r="ED51" s="1399"/>
      <c r="EE51" s="1399"/>
      <c r="EF51" s="1399"/>
      <c r="EG51" s="1399"/>
      <c r="EH51" s="1399"/>
      <c r="EI51" s="1399"/>
      <c r="EJ51" s="1399"/>
      <c r="EK51" s="1399"/>
      <c r="EL51" s="1399"/>
      <c r="EM51" s="1399"/>
      <c r="EN51" s="1399"/>
      <c r="EO51" s="1399"/>
      <c r="EP51" s="1399"/>
      <c r="EQ51" s="1399"/>
      <c r="ER51" s="1399"/>
      <c r="ES51" s="1399"/>
      <c r="ET51" s="1399"/>
      <c r="EU51" s="1399"/>
      <c r="EV51" s="1399"/>
      <c r="EW51" s="1399"/>
      <c r="EX51" s="1399"/>
      <c r="EY51" s="1399"/>
      <c r="EZ51" s="1399"/>
      <c r="FA51" s="1399"/>
      <c r="FB51" s="1399"/>
      <c r="FC51" s="1399"/>
      <c r="FD51" s="1399"/>
      <c r="FE51" s="1399"/>
      <c r="FF51" s="1399"/>
      <c r="FG51" s="1399"/>
      <c r="FH51" s="1399"/>
      <c r="FI51" s="1399"/>
      <c r="FJ51" s="1399"/>
      <c r="FK51" s="1399"/>
      <c r="FL51" s="1399"/>
      <c r="FM51" s="1399"/>
      <c r="FN51" s="1399"/>
      <c r="FO51" s="1399"/>
      <c r="FP51" s="1399"/>
      <c r="FQ51" s="1399"/>
      <c r="FR51" s="1399"/>
      <c r="FS51" s="1399"/>
      <c r="FT51" s="1399"/>
      <c r="FU51" s="1399"/>
      <c r="FV51" s="1399"/>
      <c r="FW51" s="1399"/>
      <c r="FX51" s="1399"/>
      <c r="FY51" s="1399"/>
      <c r="FZ51" s="1399"/>
      <c r="GA51" s="1399"/>
      <c r="GB51" s="1399"/>
      <c r="GC51" s="1399"/>
      <c r="GD51" s="1399"/>
      <c r="GE51" s="1399"/>
      <c r="GF51" s="1399"/>
      <c r="GG51" s="1399"/>
      <c r="GH51" s="1399"/>
      <c r="GI51" s="1399"/>
      <c r="GJ51" s="1399"/>
      <c r="GK51" s="1399"/>
      <c r="GL51" s="1399"/>
      <c r="GM51" s="1399"/>
      <c r="GN51" s="1399"/>
      <c r="GO51" s="1399"/>
      <c r="GP51" s="1399"/>
      <c r="GQ51" s="1399"/>
      <c r="GR51" s="1399"/>
      <c r="GS51" s="1399"/>
      <c r="GT51" s="1399"/>
      <c r="GU51" s="1399"/>
      <c r="GV51" s="1399"/>
      <c r="GW51" s="1399"/>
      <c r="GX51" s="1399"/>
      <c r="GY51" s="1399"/>
      <c r="GZ51" s="1399"/>
      <c r="HA51" s="1399"/>
      <c r="HB51" s="1399"/>
      <c r="HC51" s="1399"/>
      <c r="HD51" s="1399"/>
      <c r="HE51" s="1399"/>
      <c r="HF51" s="1399"/>
      <c r="HG51" s="1399"/>
      <c r="HH51" s="1399"/>
      <c r="HI51" s="1399"/>
      <c r="HJ51" s="1399"/>
      <c r="HK51" s="1399"/>
      <c r="HL51" s="1399"/>
      <c r="HM51" s="1399"/>
      <c r="HN51" s="1399"/>
      <c r="HO51" s="1399"/>
      <c r="HP51" s="1399"/>
      <c r="HQ51" s="1399"/>
      <c r="HR51" s="1399"/>
      <c r="HS51" s="1399"/>
      <c r="HT51" s="1399"/>
      <c r="HU51" s="1399"/>
      <c r="HV51" s="1399"/>
      <c r="HW51" s="1399"/>
      <c r="HX51" s="1399"/>
      <c r="HY51" s="1399"/>
      <c r="HZ51" s="1399"/>
      <c r="IA51" s="1399"/>
      <c r="IB51" s="1399"/>
      <c r="IC51" s="1399"/>
      <c r="ID51" s="1399"/>
      <c r="IE51" s="1399"/>
      <c r="IF51" s="1399"/>
      <c r="IG51" s="1399"/>
      <c r="IH51" s="1399"/>
      <c r="II51" s="1399"/>
      <c r="IJ51" s="1399"/>
      <c r="IK51" s="1399"/>
      <c r="IL51" s="1399"/>
      <c r="IM51" s="1399"/>
      <c r="IN51" s="1399"/>
      <c r="IO51" s="1399"/>
      <c r="IP51" s="1399"/>
      <c r="IQ51" s="1399"/>
      <c r="IR51" s="1399"/>
      <c r="IS51" s="1399"/>
      <c r="IT51" s="1399"/>
      <c r="IU51" s="1399"/>
      <c r="IV51" s="1399"/>
    </row>
    <row r="52" spans="1:256" ht="10.5" customHeight="1">
      <c r="A52" s="1397"/>
      <c r="B52" s="1323"/>
      <c r="C52" s="1398"/>
      <c r="D52" s="1398"/>
      <c r="E52" s="1398"/>
      <c r="F52" s="1398"/>
      <c r="G52" s="1393"/>
      <c r="H52" s="1394"/>
      <c r="I52" s="1395"/>
      <c r="J52" s="1395"/>
      <c r="K52" s="1396"/>
      <c r="L52" s="1396"/>
      <c r="M52" s="1396"/>
      <c r="N52" s="1396"/>
      <c r="O52" s="1337"/>
      <c r="P52" s="1337"/>
      <c r="Q52" s="1337"/>
      <c r="R52" s="1337"/>
      <c r="S52" s="1337"/>
      <c r="T52" s="1337"/>
      <c r="U52" s="1337"/>
      <c r="V52" s="1337"/>
      <c r="W52" s="1337"/>
      <c r="X52" s="1337"/>
      <c r="Y52" s="1337"/>
      <c r="Z52" s="1337"/>
      <c r="AA52" s="1337"/>
      <c r="AB52" s="1337"/>
      <c r="AC52" s="1337"/>
      <c r="AD52" s="1337"/>
      <c r="AE52" s="1337"/>
      <c r="AF52" s="1337"/>
      <c r="AG52" s="1337"/>
      <c r="AH52" s="1337"/>
      <c r="AI52" s="1337"/>
      <c r="AJ52" s="1337"/>
      <c r="AK52" s="1337"/>
      <c r="AL52" s="1337"/>
      <c r="AM52" s="1337"/>
      <c r="AN52" s="1337"/>
      <c r="AO52" s="1337"/>
      <c r="AP52" s="1337"/>
      <c r="AQ52" s="1337"/>
      <c r="AR52" s="1337"/>
      <c r="AS52" s="1337"/>
      <c r="AT52" s="1337"/>
      <c r="AU52" s="1337"/>
      <c r="AV52" s="1337"/>
      <c r="AW52" s="1337"/>
      <c r="AX52" s="1337"/>
      <c r="AY52" s="1337"/>
      <c r="AZ52" s="1337"/>
      <c r="BA52" s="1337"/>
      <c r="BB52" s="1337"/>
      <c r="BC52" s="1337"/>
      <c r="BD52" s="1337"/>
      <c r="BE52" s="1337"/>
      <c r="BF52" s="1337"/>
      <c r="BG52" s="1337"/>
      <c r="BH52" s="1337"/>
      <c r="BI52" s="1337"/>
      <c r="BJ52" s="1337"/>
      <c r="BK52" s="1337"/>
      <c r="BL52" s="1337"/>
      <c r="BM52" s="1337"/>
      <c r="BN52" s="1337"/>
      <c r="BO52" s="1337"/>
      <c r="BP52" s="1337"/>
      <c r="BQ52" s="1337"/>
      <c r="BR52" s="1337"/>
      <c r="BS52" s="1337"/>
      <c r="BT52" s="1337"/>
      <c r="BU52" s="1337"/>
      <c r="BV52" s="1337"/>
      <c r="BW52" s="1337"/>
      <c r="BX52" s="1337"/>
      <c r="BY52" s="1337"/>
      <c r="BZ52" s="1337"/>
      <c r="CA52" s="1337"/>
      <c r="CB52" s="1337"/>
      <c r="CC52" s="1337"/>
      <c r="CD52" s="1337"/>
      <c r="CE52" s="1337"/>
      <c r="CF52" s="1337"/>
      <c r="CG52" s="1337"/>
      <c r="CH52" s="1337"/>
      <c r="CI52" s="1337"/>
      <c r="CJ52" s="1337"/>
      <c r="CK52" s="1337"/>
      <c r="CL52" s="1337"/>
      <c r="CM52" s="1337"/>
      <c r="CN52" s="1337"/>
      <c r="CO52" s="1337"/>
      <c r="CP52" s="1337"/>
      <c r="CQ52" s="1337"/>
      <c r="CR52" s="1337"/>
      <c r="CS52" s="1337"/>
      <c r="CT52" s="1337"/>
      <c r="CU52" s="1337"/>
      <c r="CV52" s="1337"/>
      <c r="CW52" s="1337"/>
      <c r="CX52" s="1337"/>
      <c r="CY52" s="1337"/>
      <c r="CZ52" s="1337"/>
      <c r="DA52" s="1337"/>
      <c r="DB52" s="1337"/>
      <c r="DC52" s="1337"/>
      <c r="DD52" s="1337"/>
      <c r="DE52" s="1337"/>
      <c r="DF52" s="1337"/>
      <c r="DG52" s="1337"/>
      <c r="DH52" s="1337"/>
      <c r="DI52" s="1337"/>
      <c r="DJ52" s="1337"/>
      <c r="DK52" s="1337"/>
      <c r="DL52" s="1337"/>
      <c r="DM52" s="1337"/>
      <c r="DN52" s="1337"/>
      <c r="DO52" s="1337"/>
      <c r="DP52" s="1337"/>
      <c r="DQ52" s="1337"/>
      <c r="DR52" s="1337"/>
      <c r="DS52" s="1337"/>
      <c r="DT52" s="1337"/>
      <c r="DU52" s="1337"/>
      <c r="DV52" s="1337"/>
      <c r="DW52" s="1337"/>
      <c r="DX52" s="1337"/>
      <c r="DY52" s="1337"/>
      <c r="DZ52" s="1337"/>
      <c r="EA52" s="1337"/>
      <c r="EB52" s="1337"/>
      <c r="EC52" s="1337"/>
      <c r="ED52" s="1337"/>
      <c r="EE52" s="1337"/>
      <c r="EF52" s="1337"/>
      <c r="EG52" s="1337"/>
      <c r="EH52" s="1337"/>
      <c r="EI52" s="1337"/>
      <c r="EJ52" s="1337"/>
      <c r="EK52" s="1337"/>
      <c r="EL52" s="1337"/>
      <c r="EM52" s="1337"/>
      <c r="EN52" s="1337"/>
      <c r="EO52" s="1337"/>
      <c r="EP52" s="1337"/>
      <c r="EQ52" s="1337"/>
      <c r="ER52" s="1337"/>
      <c r="ES52" s="1337"/>
      <c r="ET52" s="1337"/>
      <c r="EU52" s="1337"/>
      <c r="EV52" s="1337"/>
      <c r="EW52" s="1337"/>
      <c r="EX52" s="1337"/>
      <c r="EY52" s="1337"/>
      <c r="EZ52" s="1337"/>
      <c r="FA52" s="1337"/>
      <c r="FB52" s="1337"/>
      <c r="FC52" s="1337"/>
      <c r="FD52" s="1337"/>
      <c r="FE52" s="1337"/>
      <c r="FF52" s="1337"/>
      <c r="FG52" s="1337"/>
      <c r="FH52" s="1337"/>
      <c r="FI52" s="1337"/>
      <c r="FJ52" s="1337"/>
      <c r="FK52" s="1337"/>
      <c r="FL52" s="1337"/>
      <c r="FM52" s="1337"/>
      <c r="FN52" s="1337"/>
      <c r="FO52" s="1337"/>
      <c r="FP52" s="1337"/>
      <c r="FQ52" s="1337"/>
      <c r="FR52" s="1337"/>
      <c r="FS52" s="1337"/>
      <c r="FT52" s="1337"/>
      <c r="FU52" s="1337"/>
      <c r="FV52" s="1337"/>
      <c r="FW52" s="1337"/>
      <c r="FX52" s="1337"/>
      <c r="FY52" s="1337"/>
      <c r="FZ52" s="1337"/>
      <c r="GA52" s="1337"/>
      <c r="GB52" s="1337"/>
      <c r="GC52" s="1337"/>
      <c r="GD52" s="1337"/>
      <c r="GE52" s="1337"/>
      <c r="GF52" s="1337"/>
      <c r="GG52" s="1337"/>
      <c r="GH52" s="1337"/>
      <c r="GI52" s="1337"/>
      <c r="GJ52" s="1337"/>
      <c r="GK52" s="1337"/>
      <c r="GL52" s="1337"/>
      <c r="GM52" s="1337"/>
      <c r="GN52" s="1337"/>
      <c r="GO52" s="1337"/>
      <c r="GP52" s="1337"/>
      <c r="GQ52" s="1337"/>
      <c r="GR52" s="1337"/>
      <c r="GS52" s="1337"/>
      <c r="GT52" s="1337"/>
      <c r="GU52" s="1337"/>
      <c r="GV52" s="1337"/>
      <c r="GW52" s="1337"/>
      <c r="GX52" s="1337"/>
      <c r="GY52" s="1337"/>
      <c r="GZ52" s="1337"/>
      <c r="HA52" s="1337"/>
      <c r="HB52" s="1337"/>
      <c r="HC52" s="1337"/>
      <c r="HD52" s="1337"/>
      <c r="HE52" s="1337"/>
      <c r="HF52" s="1337"/>
      <c r="HG52" s="1337"/>
      <c r="HH52" s="1337"/>
      <c r="HI52" s="1337"/>
      <c r="HJ52" s="1337"/>
      <c r="HK52" s="1337"/>
      <c r="HL52" s="1337"/>
      <c r="HM52" s="1337"/>
      <c r="HN52" s="1337"/>
      <c r="HO52" s="1337"/>
      <c r="HP52" s="1337"/>
      <c r="HQ52" s="1337"/>
      <c r="HR52" s="1337"/>
      <c r="HS52" s="1337"/>
      <c r="HT52" s="1337"/>
      <c r="HU52" s="1337"/>
      <c r="HV52" s="1337"/>
      <c r="HW52" s="1337"/>
      <c r="HX52" s="1337"/>
      <c r="HY52" s="1337"/>
      <c r="HZ52" s="1337"/>
      <c r="IA52" s="1337"/>
      <c r="IB52" s="1337"/>
      <c r="IC52" s="1337"/>
      <c r="ID52" s="1337"/>
      <c r="IE52" s="1337"/>
      <c r="IF52" s="1337"/>
      <c r="IG52" s="1337"/>
      <c r="IH52" s="1337"/>
      <c r="II52" s="1337"/>
      <c r="IJ52" s="1337"/>
      <c r="IK52" s="1337"/>
      <c r="IL52" s="1337"/>
      <c r="IM52" s="1337"/>
      <c r="IN52" s="1337"/>
      <c r="IO52" s="1337"/>
      <c r="IP52" s="1337"/>
      <c r="IQ52" s="1337"/>
      <c r="IR52" s="1337"/>
      <c r="IS52" s="1337"/>
      <c r="IT52" s="1337"/>
      <c r="IU52" s="1337"/>
      <c r="IV52" s="1337"/>
    </row>
    <row r="53" spans="1:256" ht="10.5" customHeight="1">
      <c r="A53" s="1397"/>
      <c r="B53" s="1323"/>
      <c r="C53" s="1398"/>
      <c r="D53" s="1398"/>
      <c r="E53" s="1398"/>
      <c r="F53" s="1398"/>
      <c r="G53" s="1393"/>
      <c r="H53" s="1394"/>
      <c r="I53" s="1395"/>
      <c r="J53" s="1395"/>
      <c r="K53" s="1396"/>
      <c r="L53" s="1396"/>
      <c r="M53" s="1396"/>
      <c r="N53" s="1396"/>
      <c r="O53" s="1337"/>
      <c r="P53" s="1337"/>
      <c r="Q53" s="1337"/>
      <c r="R53" s="1337"/>
      <c r="S53" s="1337"/>
      <c r="T53" s="1337"/>
      <c r="U53" s="1337"/>
      <c r="V53" s="1337"/>
      <c r="W53" s="1337"/>
      <c r="X53" s="1337"/>
      <c r="Y53" s="1337"/>
      <c r="Z53" s="1337"/>
      <c r="AA53" s="1337"/>
      <c r="AB53" s="1337"/>
      <c r="AC53" s="1337"/>
      <c r="AD53" s="1337"/>
      <c r="AE53" s="1337"/>
      <c r="AF53" s="1337"/>
      <c r="AG53" s="1337"/>
      <c r="AH53" s="1337"/>
      <c r="AI53" s="1337"/>
      <c r="AJ53" s="1337"/>
      <c r="AK53" s="1337"/>
      <c r="AL53" s="1337"/>
      <c r="AM53" s="1337"/>
      <c r="AN53" s="1337"/>
      <c r="AO53" s="1337"/>
      <c r="AP53" s="1337"/>
      <c r="AQ53" s="1337"/>
      <c r="AR53" s="1337"/>
      <c r="AS53" s="1337"/>
      <c r="AT53" s="1337"/>
      <c r="AU53" s="1337"/>
      <c r="AV53" s="1337"/>
      <c r="AW53" s="1337"/>
      <c r="AX53" s="1337"/>
      <c r="AY53" s="1337"/>
      <c r="AZ53" s="1337"/>
      <c r="BA53" s="1337"/>
      <c r="BB53" s="1337"/>
      <c r="BC53" s="1337"/>
      <c r="BD53" s="1337"/>
      <c r="BE53" s="1337"/>
      <c r="BF53" s="1337"/>
      <c r="BG53" s="1337"/>
      <c r="BH53" s="1337"/>
      <c r="BI53" s="1337"/>
      <c r="BJ53" s="1337"/>
      <c r="BK53" s="1337"/>
      <c r="BL53" s="1337"/>
      <c r="BM53" s="1337"/>
      <c r="BN53" s="1337"/>
      <c r="BO53" s="1337"/>
      <c r="BP53" s="1337"/>
      <c r="BQ53" s="1337"/>
      <c r="BR53" s="1337"/>
      <c r="BS53" s="1337"/>
      <c r="BT53" s="1337"/>
      <c r="BU53" s="1337"/>
      <c r="BV53" s="1337"/>
      <c r="BW53" s="1337"/>
      <c r="BX53" s="1337"/>
      <c r="BY53" s="1337"/>
      <c r="BZ53" s="1337"/>
      <c r="CA53" s="1337"/>
      <c r="CB53" s="1337"/>
      <c r="CC53" s="1337"/>
      <c r="CD53" s="1337"/>
      <c r="CE53" s="1337"/>
      <c r="CF53" s="1337"/>
      <c r="CG53" s="1337"/>
      <c r="CH53" s="1337"/>
      <c r="CI53" s="1337"/>
      <c r="CJ53" s="1337"/>
      <c r="CK53" s="1337"/>
      <c r="CL53" s="1337"/>
      <c r="CM53" s="1337"/>
      <c r="CN53" s="1337"/>
      <c r="CO53" s="1337"/>
      <c r="CP53" s="1337"/>
      <c r="CQ53" s="1337"/>
      <c r="CR53" s="1337"/>
      <c r="CS53" s="1337"/>
      <c r="CT53" s="1337"/>
      <c r="CU53" s="1337"/>
      <c r="CV53" s="1337"/>
      <c r="CW53" s="1337"/>
      <c r="CX53" s="1337"/>
      <c r="CY53" s="1337"/>
      <c r="CZ53" s="1337"/>
      <c r="DA53" s="1337"/>
      <c r="DB53" s="1337"/>
      <c r="DC53" s="1337"/>
      <c r="DD53" s="1337"/>
      <c r="DE53" s="1337"/>
      <c r="DF53" s="1337"/>
      <c r="DG53" s="1337"/>
      <c r="DH53" s="1337"/>
      <c r="DI53" s="1337"/>
      <c r="DJ53" s="1337"/>
      <c r="DK53" s="1337"/>
      <c r="DL53" s="1337"/>
      <c r="DM53" s="1337"/>
      <c r="DN53" s="1337"/>
      <c r="DO53" s="1337"/>
      <c r="DP53" s="1337"/>
      <c r="DQ53" s="1337"/>
      <c r="DR53" s="1337"/>
      <c r="DS53" s="1337"/>
      <c r="DT53" s="1337"/>
      <c r="DU53" s="1337"/>
      <c r="DV53" s="1337"/>
      <c r="DW53" s="1337"/>
      <c r="DX53" s="1337"/>
      <c r="DY53" s="1337"/>
      <c r="DZ53" s="1337"/>
      <c r="EA53" s="1337"/>
      <c r="EB53" s="1337"/>
      <c r="EC53" s="1337"/>
      <c r="ED53" s="1337"/>
      <c r="EE53" s="1337"/>
      <c r="EF53" s="1337"/>
      <c r="EG53" s="1337"/>
      <c r="EH53" s="1337"/>
      <c r="EI53" s="1337"/>
      <c r="EJ53" s="1337"/>
      <c r="EK53" s="1337"/>
      <c r="EL53" s="1337"/>
      <c r="EM53" s="1337"/>
      <c r="EN53" s="1337"/>
      <c r="EO53" s="1337"/>
      <c r="EP53" s="1337"/>
      <c r="EQ53" s="1337"/>
      <c r="ER53" s="1337"/>
      <c r="ES53" s="1337"/>
      <c r="ET53" s="1337"/>
      <c r="EU53" s="1337"/>
      <c r="EV53" s="1337"/>
      <c r="EW53" s="1337"/>
      <c r="EX53" s="1337"/>
      <c r="EY53" s="1337"/>
      <c r="EZ53" s="1337"/>
      <c r="FA53" s="1337"/>
      <c r="FB53" s="1337"/>
      <c r="FC53" s="1337"/>
      <c r="FD53" s="1337"/>
      <c r="FE53" s="1337"/>
      <c r="FF53" s="1337"/>
      <c r="FG53" s="1337"/>
      <c r="FH53" s="1337"/>
      <c r="FI53" s="1337"/>
      <c r="FJ53" s="1337"/>
      <c r="FK53" s="1337"/>
      <c r="FL53" s="1337"/>
      <c r="FM53" s="1337"/>
      <c r="FN53" s="1337"/>
      <c r="FO53" s="1337"/>
      <c r="FP53" s="1337"/>
      <c r="FQ53" s="1337"/>
      <c r="FR53" s="1337"/>
      <c r="FS53" s="1337"/>
      <c r="FT53" s="1337"/>
      <c r="FU53" s="1337"/>
      <c r="FV53" s="1337"/>
      <c r="FW53" s="1337"/>
      <c r="FX53" s="1337"/>
      <c r="FY53" s="1337"/>
      <c r="FZ53" s="1337"/>
      <c r="GA53" s="1337"/>
      <c r="GB53" s="1337"/>
      <c r="GC53" s="1337"/>
      <c r="GD53" s="1337"/>
      <c r="GE53" s="1337"/>
      <c r="GF53" s="1337"/>
      <c r="GG53" s="1337"/>
      <c r="GH53" s="1337"/>
      <c r="GI53" s="1337"/>
      <c r="GJ53" s="1337"/>
      <c r="GK53" s="1337"/>
      <c r="GL53" s="1337"/>
      <c r="GM53" s="1337"/>
      <c r="GN53" s="1337"/>
      <c r="GO53" s="1337"/>
      <c r="GP53" s="1337"/>
      <c r="GQ53" s="1337"/>
      <c r="GR53" s="1337"/>
      <c r="GS53" s="1337"/>
      <c r="GT53" s="1337"/>
      <c r="GU53" s="1337"/>
      <c r="GV53" s="1337"/>
      <c r="GW53" s="1337"/>
      <c r="GX53" s="1337"/>
      <c r="GY53" s="1337"/>
      <c r="GZ53" s="1337"/>
      <c r="HA53" s="1337"/>
      <c r="HB53" s="1337"/>
      <c r="HC53" s="1337"/>
      <c r="HD53" s="1337"/>
      <c r="HE53" s="1337"/>
      <c r="HF53" s="1337"/>
      <c r="HG53" s="1337"/>
      <c r="HH53" s="1337"/>
      <c r="HI53" s="1337"/>
      <c r="HJ53" s="1337"/>
      <c r="HK53" s="1337"/>
      <c r="HL53" s="1337"/>
      <c r="HM53" s="1337"/>
      <c r="HN53" s="1337"/>
      <c r="HO53" s="1337"/>
      <c r="HP53" s="1337"/>
      <c r="HQ53" s="1337"/>
      <c r="HR53" s="1337"/>
      <c r="HS53" s="1337"/>
      <c r="HT53" s="1337"/>
      <c r="HU53" s="1337"/>
      <c r="HV53" s="1337"/>
      <c r="HW53" s="1337"/>
      <c r="HX53" s="1337"/>
      <c r="HY53" s="1337"/>
      <c r="HZ53" s="1337"/>
      <c r="IA53" s="1337"/>
      <c r="IB53" s="1337"/>
      <c r="IC53" s="1337"/>
      <c r="ID53" s="1337"/>
      <c r="IE53" s="1337"/>
      <c r="IF53" s="1337"/>
      <c r="IG53" s="1337"/>
      <c r="IH53" s="1337"/>
      <c r="II53" s="1337"/>
      <c r="IJ53" s="1337"/>
      <c r="IK53" s="1337"/>
      <c r="IL53" s="1337"/>
      <c r="IM53" s="1337"/>
      <c r="IN53" s="1337"/>
      <c r="IO53" s="1337"/>
      <c r="IP53" s="1337"/>
      <c r="IQ53" s="1337"/>
      <c r="IR53" s="1337"/>
      <c r="IS53" s="1337"/>
      <c r="IT53" s="1337"/>
      <c r="IU53" s="1337"/>
      <c r="IV53" s="1337"/>
    </row>
    <row r="54" spans="1:256" ht="10.5" customHeight="1">
      <c r="A54" s="1397"/>
      <c r="B54" s="1323"/>
      <c r="C54" s="1398"/>
      <c r="D54" s="1398"/>
      <c r="E54" s="1398"/>
      <c r="F54" s="1398"/>
      <c r="G54" s="1393"/>
      <c r="H54" s="1394"/>
      <c r="I54" s="1395"/>
      <c r="J54" s="1395"/>
      <c r="K54" s="1396"/>
      <c r="L54" s="1396"/>
      <c r="M54" s="1396"/>
      <c r="N54" s="1396"/>
      <c r="O54" s="1337"/>
      <c r="P54" s="1337"/>
      <c r="Q54" s="1337"/>
      <c r="R54" s="1337"/>
      <c r="S54" s="1337"/>
      <c r="T54" s="1337"/>
      <c r="U54" s="1337"/>
      <c r="V54" s="1337"/>
      <c r="W54" s="1337"/>
      <c r="X54" s="1337"/>
      <c r="Y54" s="1337"/>
      <c r="Z54" s="1337"/>
      <c r="AA54" s="1337"/>
      <c r="AB54" s="1337"/>
      <c r="AC54" s="1337"/>
      <c r="AD54" s="1337"/>
      <c r="AE54" s="1337"/>
      <c r="AF54" s="1337"/>
      <c r="AG54" s="1337"/>
      <c r="AH54" s="1337"/>
      <c r="AI54" s="1337"/>
      <c r="AJ54" s="1337"/>
      <c r="AK54" s="1337"/>
      <c r="AL54" s="1337"/>
      <c r="AM54" s="1337"/>
      <c r="AN54" s="1337"/>
      <c r="AO54" s="1337"/>
      <c r="AP54" s="1337"/>
      <c r="AQ54" s="1337"/>
      <c r="AR54" s="1337"/>
      <c r="AS54" s="1337"/>
      <c r="AT54" s="1337"/>
      <c r="AU54" s="1337"/>
      <c r="AV54" s="1337"/>
      <c r="AW54" s="1337"/>
      <c r="AX54" s="1337"/>
      <c r="AY54" s="1337"/>
      <c r="AZ54" s="1337"/>
      <c r="BA54" s="1337"/>
      <c r="BB54" s="1337"/>
      <c r="BC54" s="1337"/>
      <c r="BD54" s="1337"/>
      <c r="BE54" s="1337"/>
      <c r="BF54" s="1337"/>
      <c r="BG54" s="1337"/>
      <c r="BH54" s="1337"/>
      <c r="BI54" s="1337"/>
      <c r="BJ54" s="1337"/>
      <c r="BK54" s="1337"/>
      <c r="BL54" s="1337"/>
      <c r="BM54" s="1337"/>
      <c r="BN54" s="1337"/>
      <c r="BO54" s="1337"/>
      <c r="BP54" s="1337"/>
      <c r="BQ54" s="1337"/>
      <c r="BR54" s="1337"/>
      <c r="BS54" s="1337"/>
      <c r="BT54" s="1337"/>
      <c r="BU54" s="1337"/>
      <c r="BV54" s="1337"/>
      <c r="BW54" s="1337"/>
      <c r="BX54" s="1337"/>
      <c r="BY54" s="1337"/>
      <c r="BZ54" s="1337"/>
      <c r="CA54" s="1337"/>
      <c r="CB54" s="1337"/>
      <c r="CC54" s="1337"/>
      <c r="CD54" s="1337"/>
      <c r="CE54" s="1337"/>
      <c r="CF54" s="1337"/>
      <c r="CG54" s="1337"/>
      <c r="CH54" s="1337"/>
      <c r="CI54" s="1337"/>
      <c r="CJ54" s="1337"/>
      <c r="CK54" s="1337"/>
      <c r="CL54" s="1337"/>
      <c r="CM54" s="1337"/>
      <c r="CN54" s="1337"/>
      <c r="CO54" s="1337"/>
      <c r="CP54" s="1337"/>
      <c r="CQ54" s="1337"/>
      <c r="CR54" s="1337"/>
      <c r="CS54" s="1337"/>
      <c r="CT54" s="1337"/>
      <c r="CU54" s="1337"/>
      <c r="CV54" s="1337"/>
      <c r="CW54" s="1337"/>
      <c r="CX54" s="1337"/>
      <c r="CY54" s="1337"/>
      <c r="CZ54" s="1337"/>
      <c r="DA54" s="1337"/>
      <c r="DB54" s="1337"/>
      <c r="DC54" s="1337"/>
      <c r="DD54" s="1337"/>
      <c r="DE54" s="1337"/>
      <c r="DF54" s="1337"/>
      <c r="DG54" s="1337"/>
      <c r="DH54" s="1337"/>
      <c r="DI54" s="1337"/>
      <c r="DJ54" s="1337"/>
      <c r="DK54" s="1337"/>
      <c r="DL54" s="1337"/>
      <c r="DM54" s="1337"/>
      <c r="DN54" s="1337"/>
      <c r="DO54" s="1337"/>
      <c r="DP54" s="1337"/>
      <c r="DQ54" s="1337"/>
      <c r="DR54" s="1337"/>
      <c r="DS54" s="1337"/>
      <c r="DT54" s="1337"/>
      <c r="DU54" s="1337"/>
      <c r="DV54" s="1337"/>
      <c r="DW54" s="1337"/>
      <c r="DX54" s="1337"/>
      <c r="DY54" s="1337"/>
      <c r="DZ54" s="1337"/>
      <c r="EA54" s="1337"/>
      <c r="EB54" s="1337"/>
      <c r="EC54" s="1337"/>
      <c r="ED54" s="1337"/>
      <c r="EE54" s="1337"/>
      <c r="EF54" s="1337"/>
      <c r="EG54" s="1337"/>
      <c r="EH54" s="1337"/>
      <c r="EI54" s="1337"/>
      <c r="EJ54" s="1337"/>
      <c r="EK54" s="1337"/>
      <c r="EL54" s="1337"/>
      <c r="EM54" s="1337"/>
      <c r="EN54" s="1337"/>
      <c r="EO54" s="1337"/>
      <c r="EP54" s="1337"/>
      <c r="EQ54" s="1337"/>
      <c r="ER54" s="1337"/>
      <c r="ES54" s="1337"/>
      <c r="ET54" s="1337"/>
      <c r="EU54" s="1337"/>
      <c r="EV54" s="1337"/>
      <c r="EW54" s="1337"/>
      <c r="EX54" s="1337"/>
      <c r="EY54" s="1337"/>
      <c r="EZ54" s="1337"/>
      <c r="FA54" s="1337"/>
      <c r="FB54" s="1337"/>
      <c r="FC54" s="1337"/>
      <c r="FD54" s="1337"/>
      <c r="FE54" s="1337"/>
      <c r="FF54" s="1337"/>
      <c r="FG54" s="1337"/>
      <c r="FH54" s="1337"/>
      <c r="FI54" s="1337"/>
      <c r="FJ54" s="1337"/>
      <c r="FK54" s="1337"/>
      <c r="FL54" s="1337"/>
      <c r="FM54" s="1337"/>
      <c r="FN54" s="1337"/>
      <c r="FO54" s="1337"/>
      <c r="FP54" s="1337"/>
      <c r="FQ54" s="1337"/>
      <c r="FR54" s="1337"/>
      <c r="FS54" s="1337"/>
      <c r="FT54" s="1337"/>
      <c r="FU54" s="1337"/>
      <c r="FV54" s="1337"/>
      <c r="FW54" s="1337"/>
      <c r="FX54" s="1337"/>
      <c r="FY54" s="1337"/>
      <c r="FZ54" s="1337"/>
      <c r="GA54" s="1337"/>
      <c r="GB54" s="1337"/>
      <c r="GC54" s="1337"/>
      <c r="GD54" s="1337"/>
      <c r="GE54" s="1337"/>
      <c r="GF54" s="1337"/>
      <c r="GG54" s="1337"/>
      <c r="GH54" s="1337"/>
      <c r="GI54" s="1337"/>
      <c r="GJ54" s="1337"/>
      <c r="GK54" s="1337"/>
      <c r="GL54" s="1337"/>
      <c r="GM54" s="1337"/>
      <c r="GN54" s="1337"/>
      <c r="GO54" s="1337"/>
      <c r="GP54" s="1337"/>
      <c r="GQ54" s="1337"/>
      <c r="GR54" s="1337"/>
      <c r="GS54" s="1337"/>
      <c r="GT54" s="1337"/>
      <c r="GU54" s="1337"/>
      <c r="GV54" s="1337"/>
      <c r="GW54" s="1337"/>
      <c r="GX54" s="1337"/>
      <c r="GY54" s="1337"/>
      <c r="GZ54" s="1337"/>
      <c r="HA54" s="1337"/>
      <c r="HB54" s="1337"/>
      <c r="HC54" s="1337"/>
      <c r="HD54" s="1337"/>
      <c r="HE54" s="1337"/>
      <c r="HF54" s="1337"/>
      <c r="HG54" s="1337"/>
      <c r="HH54" s="1337"/>
      <c r="HI54" s="1337"/>
      <c r="HJ54" s="1337"/>
      <c r="HK54" s="1337"/>
      <c r="HL54" s="1337"/>
      <c r="HM54" s="1337"/>
      <c r="HN54" s="1337"/>
      <c r="HO54" s="1337"/>
      <c r="HP54" s="1337"/>
      <c r="HQ54" s="1337"/>
      <c r="HR54" s="1337"/>
      <c r="HS54" s="1337"/>
      <c r="HT54" s="1337"/>
      <c r="HU54" s="1337"/>
      <c r="HV54" s="1337"/>
      <c r="HW54" s="1337"/>
      <c r="HX54" s="1337"/>
      <c r="HY54" s="1337"/>
      <c r="HZ54" s="1337"/>
      <c r="IA54" s="1337"/>
      <c r="IB54" s="1337"/>
      <c r="IC54" s="1337"/>
      <c r="ID54" s="1337"/>
      <c r="IE54" s="1337"/>
      <c r="IF54" s="1337"/>
      <c r="IG54" s="1337"/>
      <c r="IH54" s="1337"/>
      <c r="II54" s="1337"/>
      <c r="IJ54" s="1337"/>
      <c r="IK54" s="1337"/>
      <c r="IL54" s="1337"/>
      <c r="IM54" s="1337"/>
      <c r="IN54" s="1337"/>
      <c r="IO54" s="1337"/>
      <c r="IP54" s="1337"/>
      <c r="IQ54" s="1337"/>
      <c r="IR54" s="1337"/>
      <c r="IS54" s="1337"/>
      <c r="IT54" s="1337"/>
      <c r="IU54" s="1337"/>
      <c r="IV54" s="1337"/>
    </row>
    <row r="55" spans="1:256" ht="10.5" customHeight="1">
      <c r="A55" s="1397"/>
      <c r="B55" s="1323"/>
      <c r="C55" s="1398"/>
      <c r="D55" s="1398"/>
      <c r="E55" s="1398"/>
      <c r="F55" s="1398"/>
      <c r="G55" s="1393"/>
      <c r="H55" s="1394"/>
      <c r="I55" s="1395"/>
      <c r="J55" s="1395"/>
      <c r="K55" s="1396"/>
      <c r="L55" s="1396"/>
      <c r="M55" s="1396"/>
      <c r="N55" s="1396"/>
      <c r="O55" s="1337"/>
      <c r="P55" s="1337"/>
      <c r="Q55" s="1337"/>
      <c r="R55" s="1337"/>
      <c r="S55" s="1337"/>
      <c r="T55" s="1337"/>
      <c r="U55" s="1337"/>
      <c r="V55" s="1337"/>
      <c r="W55" s="1337"/>
      <c r="X55" s="1337"/>
      <c r="Y55" s="1337"/>
      <c r="Z55" s="1337"/>
      <c r="AA55" s="1337"/>
      <c r="AB55" s="1337"/>
      <c r="AC55" s="1337"/>
      <c r="AD55" s="1337"/>
      <c r="AE55" s="1337"/>
      <c r="AF55" s="1337"/>
      <c r="AG55" s="1337"/>
      <c r="AH55" s="1337"/>
      <c r="AI55" s="1337"/>
      <c r="AJ55" s="1337"/>
      <c r="AK55" s="1337"/>
      <c r="AL55" s="1337"/>
      <c r="AM55" s="1337"/>
      <c r="AN55" s="1337"/>
      <c r="AO55" s="1337"/>
      <c r="AP55" s="1337"/>
      <c r="AQ55" s="1337"/>
      <c r="AR55" s="1337"/>
      <c r="AS55" s="1337"/>
      <c r="AT55" s="1337"/>
      <c r="AU55" s="1337"/>
      <c r="AV55" s="1337"/>
      <c r="AW55" s="1337"/>
      <c r="AX55" s="1337"/>
      <c r="AY55" s="1337"/>
      <c r="AZ55" s="1337"/>
      <c r="BA55" s="1337"/>
      <c r="BB55" s="1337"/>
      <c r="BC55" s="1337"/>
      <c r="BD55" s="1337"/>
      <c r="BE55" s="1337"/>
      <c r="BF55" s="1337"/>
      <c r="BG55" s="1337"/>
      <c r="BH55" s="1337"/>
      <c r="BI55" s="1337"/>
      <c r="BJ55" s="1337"/>
      <c r="BK55" s="1337"/>
      <c r="BL55" s="1337"/>
      <c r="BM55" s="1337"/>
      <c r="BN55" s="1337"/>
      <c r="BO55" s="1337"/>
      <c r="BP55" s="1337"/>
      <c r="BQ55" s="1337"/>
      <c r="BR55" s="1337"/>
      <c r="BS55" s="1337"/>
      <c r="BT55" s="1337"/>
      <c r="BU55" s="1337"/>
      <c r="BV55" s="1337"/>
      <c r="BW55" s="1337"/>
      <c r="BX55" s="1337"/>
      <c r="BY55" s="1337"/>
      <c r="BZ55" s="1337"/>
      <c r="CA55" s="1337"/>
      <c r="CB55" s="1337"/>
      <c r="CC55" s="1337"/>
      <c r="CD55" s="1337"/>
      <c r="CE55" s="1337"/>
      <c r="CF55" s="1337"/>
      <c r="CG55" s="1337"/>
      <c r="CH55" s="1337"/>
      <c r="CI55" s="1337"/>
      <c r="CJ55" s="1337"/>
      <c r="CK55" s="1337"/>
      <c r="CL55" s="1337"/>
      <c r="CM55" s="1337"/>
      <c r="CN55" s="1337"/>
      <c r="CO55" s="1337"/>
      <c r="CP55" s="1337"/>
      <c r="CQ55" s="1337"/>
      <c r="CR55" s="1337"/>
      <c r="CS55" s="1337"/>
      <c r="CT55" s="1337"/>
      <c r="CU55" s="1337"/>
      <c r="CV55" s="1337"/>
      <c r="CW55" s="1337"/>
      <c r="CX55" s="1337"/>
      <c r="CY55" s="1337"/>
      <c r="CZ55" s="1337"/>
      <c r="DA55" s="1337"/>
      <c r="DB55" s="1337"/>
      <c r="DC55" s="1337"/>
      <c r="DD55" s="1337"/>
      <c r="DE55" s="1337"/>
      <c r="DF55" s="1337"/>
      <c r="DG55" s="1337"/>
      <c r="DH55" s="1337"/>
      <c r="DI55" s="1337"/>
      <c r="DJ55" s="1337"/>
      <c r="DK55" s="1337"/>
      <c r="DL55" s="1337"/>
      <c r="DM55" s="1337"/>
      <c r="DN55" s="1337"/>
      <c r="DO55" s="1337"/>
      <c r="DP55" s="1337"/>
      <c r="DQ55" s="1337"/>
      <c r="DR55" s="1337"/>
      <c r="DS55" s="1337"/>
      <c r="DT55" s="1337"/>
      <c r="DU55" s="1337"/>
      <c r="DV55" s="1337"/>
      <c r="DW55" s="1337"/>
      <c r="DX55" s="1337"/>
      <c r="DY55" s="1337"/>
      <c r="DZ55" s="1337"/>
      <c r="EA55" s="1337"/>
      <c r="EB55" s="1337"/>
      <c r="EC55" s="1337"/>
      <c r="ED55" s="1337"/>
      <c r="EE55" s="1337"/>
      <c r="EF55" s="1337"/>
      <c r="EG55" s="1337"/>
      <c r="EH55" s="1337"/>
      <c r="EI55" s="1337"/>
      <c r="EJ55" s="1337"/>
      <c r="EK55" s="1337"/>
      <c r="EL55" s="1337"/>
      <c r="EM55" s="1337"/>
      <c r="EN55" s="1337"/>
      <c r="EO55" s="1337"/>
      <c r="EP55" s="1337"/>
      <c r="EQ55" s="1337"/>
      <c r="ER55" s="1337"/>
      <c r="ES55" s="1337"/>
      <c r="ET55" s="1337"/>
      <c r="EU55" s="1337"/>
      <c r="EV55" s="1337"/>
      <c r="EW55" s="1337"/>
      <c r="EX55" s="1337"/>
      <c r="EY55" s="1337"/>
      <c r="EZ55" s="1337"/>
      <c r="FA55" s="1337"/>
      <c r="FB55" s="1337"/>
      <c r="FC55" s="1337"/>
      <c r="FD55" s="1337"/>
      <c r="FE55" s="1337"/>
      <c r="FF55" s="1337"/>
      <c r="FG55" s="1337"/>
      <c r="FH55" s="1337"/>
      <c r="FI55" s="1337"/>
      <c r="FJ55" s="1337"/>
      <c r="FK55" s="1337"/>
      <c r="FL55" s="1337"/>
      <c r="FM55" s="1337"/>
      <c r="FN55" s="1337"/>
      <c r="FO55" s="1337"/>
      <c r="FP55" s="1337"/>
      <c r="FQ55" s="1337"/>
      <c r="FR55" s="1337"/>
      <c r="FS55" s="1337"/>
      <c r="FT55" s="1337"/>
      <c r="FU55" s="1337"/>
      <c r="FV55" s="1337"/>
      <c r="FW55" s="1337"/>
      <c r="FX55" s="1337"/>
      <c r="FY55" s="1337"/>
      <c r="FZ55" s="1337"/>
      <c r="GA55" s="1337"/>
      <c r="GB55" s="1337"/>
      <c r="GC55" s="1337"/>
      <c r="GD55" s="1337"/>
      <c r="GE55" s="1337"/>
      <c r="GF55" s="1337"/>
      <c r="GG55" s="1337"/>
      <c r="GH55" s="1337"/>
      <c r="GI55" s="1337"/>
      <c r="GJ55" s="1337"/>
      <c r="GK55" s="1337"/>
      <c r="GL55" s="1337"/>
      <c r="GM55" s="1337"/>
      <c r="GN55" s="1337"/>
      <c r="GO55" s="1337"/>
      <c r="GP55" s="1337"/>
      <c r="GQ55" s="1337"/>
      <c r="GR55" s="1337"/>
      <c r="GS55" s="1337"/>
      <c r="GT55" s="1337"/>
      <c r="GU55" s="1337"/>
      <c r="GV55" s="1337"/>
      <c r="GW55" s="1337"/>
      <c r="GX55" s="1337"/>
      <c r="GY55" s="1337"/>
      <c r="GZ55" s="1337"/>
      <c r="HA55" s="1337"/>
      <c r="HB55" s="1337"/>
      <c r="HC55" s="1337"/>
      <c r="HD55" s="1337"/>
      <c r="HE55" s="1337"/>
      <c r="HF55" s="1337"/>
      <c r="HG55" s="1337"/>
      <c r="HH55" s="1337"/>
      <c r="HI55" s="1337"/>
      <c r="HJ55" s="1337"/>
      <c r="HK55" s="1337"/>
      <c r="HL55" s="1337"/>
      <c r="HM55" s="1337"/>
      <c r="HN55" s="1337"/>
      <c r="HO55" s="1337"/>
      <c r="HP55" s="1337"/>
      <c r="HQ55" s="1337"/>
      <c r="HR55" s="1337"/>
      <c r="HS55" s="1337"/>
      <c r="HT55" s="1337"/>
      <c r="HU55" s="1337"/>
      <c r="HV55" s="1337"/>
      <c r="HW55" s="1337"/>
      <c r="HX55" s="1337"/>
      <c r="HY55" s="1337"/>
      <c r="HZ55" s="1337"/>
      <c r="IA55" s="1337"/>
      <c r="IB55" s="1337"/>
      <c r="IC55" s="1337"/>
      <c r="ID55" s="1337"/>
      <c r="IE55" s="1337"/>
      <c r="IF55" s="1337"/>
      <c r="IG55" s="1337"/>
      <c r="IH55" s="1337"/>
      <c r="II55" s="1337"/>
      <c r="IJ55" s="1337"/>
      <c r="IK55" s="1337"/>
      <c r="IL55" s="1337"/>
      <c r="IM55" s="1337"/>
      <c r="IN55" s="1337"/>
      <c r="IO55" s="1337"/>
      <c r="IP55" s="1337"/>
      <c r="IQ55" s="1337"/>
      <c r="IR55" s="1337"/>
      <c r="IS55" s="1337"/>
      <c r="IT55" s="1337"/>
      <c r="IU55" s="1337"/>
      <c r="IV55" s="1337"/>
    </row>
    <row r="56" spans="1:256" ht="10.5" customHeight="1">
      <c r="A56" s="1397"/>
      <c r="B56" s="1323"/>
      <c r="C56" s="1398"/>
      <c r="D56" s="1398"/>
      <c r="E56" s="1398"/>
      <c r="F56" s="1398"/>
      <c r="G56" s="1393"/>
      <c r="H56" s="1394"/>
      <c r="I56" s="1395"/>
      <c r="J56" s="1395"/>
      <c r="K56" s="1396"/>
      <c r="L56" s="1396"/>
      <c r="M56" s="1396"/>
      <c r="N56" s="1396"/>
      <c r="O56" s="1337"/>
      <c r="P56" s="1337"/>
      <c r="Q56" s="1337"/>
      <c r="R56" s="1337"/>
      <c r="S56" s="1337"/>
      <c r="T56" s="1337"/>
      <c r="U56" s="1337"/>
      <c r="V56" s="1337"/>
      <c r="W56" s="1337"/>
      <c r="X56" s="1337"/>
      <c r="Y56" s="1337"/>
      <c r="Z56" s="1337"/>
      <c r="AA56" s="1337"/>
      <c r="AB56" s="1337"/>
      <c r="AC56" s="1337"/>
      <c r="AD56" s="1337"/>
      <c r="AE56" s="1337"/>
      <c r="AF56" s="1337"/>
      <c r="AG56" s="1337"/>
      <c r="AH56" s="1337"/>
      <c r="AI56" s="1337"/>
      <c r="AJ56" s="1337"/>
      <c r="AK56" s="1337"/>
      <c r="AL56" s="1337"/>
      <c r="AM56" s="1337"/>
      <c r="AN56" s="1337"/>
      <c r="AO56" s="1337"/>
      <c r="AP56" s="1337"/>
      <c r="AQ56" s="1337"/>
      <c r="AR56" s="1337"/>
      <c r="AS56" s="1337"/>
      <c r="AT56" s="1337"/>
      <c r="AU56" s="1337"/>
      <c r="AV56" s="1337"/>
      <c r="AW56" s="1337"/>
      <c r="AX56" s="1337"/>
      <c r="AY56" s="1337"/>
      <c r="AZ56" s="1337"/>
      <c r="BA56" s="1337"/>
      <c r="BB56" s="1337"/>
      <c r="BC56" s="1337"/>
      <c r="BD56" s="1337"/>
      <c r="BE56" s="1337"/>
      <c r="BF56" s="1337"/>
      <c r="BG56" s="1337"/>
      <c r="BH56" s="1337"/>
      <c r="BI56" s="1337"/>
      <c r="BJ56" s="1337"/>
      <c r="BK56" s="1337"/>
      <c r="BL56" s="1337"/>
      <c r="BM56" s="1337"/>
      <c r="BN56" s="1337"/>
      <c r="BO56" s="1337"/>
      <c r="BP56" s="1337"/>
      <c r="BQ56" s="1337"/>
      <c r="BR56" s="1337"/>
      <c r="BS56" s="1337"/>
      <c r="BT56" s="1337"/>
      <c r="BU56" s="1337"/>
      <c r="BV56" s="1337"/>
      <c r="BW56" s="1337"/>
      <c r="BX56" s="1337"/>
      <c r="BY56" s="1337"/>
      <c r="BZ56" s="1337"/>
      <c r="CA56" s="1337"/>
      <c r="CB56" s="1337"/>
      <c r="CC56" s="1337"/>
      <c r="CD56" s="1337"/>
      <c r="CE56" s="1337"/>
      <c r="CF56" s="1337"/>
      <c r="CG56" s="1337"/>
      <c r="CH56" s="1337"/>
      <c r="CI56" s="1337"/>
      <c r="CJ56" s="1337"/>
      <c r="CK56" s="1337"/>
      <c r="CL56" s="1337"/>
      <c r="CM56" s="1337"/>
      <c r="CN56" s="1337"/>
      <c r="CO56" s="1337"/>
      <c r="CP56" s="1337"/>
      <c r="CQ56" s="1337"/>
      <c r="CR56" s="1337"/>
      <c r="CS56" s="1337"/>
      <c r="CT56" s="1337"/>
      <c r="CU56" s="1337"/>
      <c r="CV56" s="1337"/>
      <c r="CW56" s="1337"/>
      <c r="CX56" s="1337"/>
      <c r="CY56" s="1337"/>
      <c r="CZ56" s="1337"/>
      <c r="DA56" s="1337"/>
      <c r="DB56" s="1337"/>
      <c r="DC56" s="1337"/>
      <c r="DD56" s="1337"/>
      <c r="DE56" s="1337"/>
      <c r="DF56" s="1337"/>
      <c r="DG56" s="1337"/>
      <c r="DH56" s="1337"/>
      <c r="DI56" s="1337"/>
      <c r="DJ56" s="1337"/>
      <c r="DK56" s="1337"/>
      <c r="DL56" s="1337"/>
      <c r="DM56" s="1337"/>
      <c r="DN56" s="1337"/>
      <c r="DO56" s="1337"/>
      <c r="DP56" s="1337"/>
      <c r="DQ56" s="1337"/>
      <c r="DR56" s="1337"/>
      <c r="DS56" s="1337"/>
      <c r="DT56" s="1337"/>
      <c r="DU56" s="1337"/>
      <c r="DV56" s="1337"/>
      <c r="DW56" s="1337"/>
      <c r="DX56" s="1337"/>
      <c r="DY56" s="1337"/>
      <c r="DZ56" s="1337"/>
      <c r="EA56" s="1337"/>
      <c r="EB56" s="1337"/>
      <c r="EC56" s="1337"/>
      <c r="ED56" s="1337"/>
      <c r="EE56" s="1337"/>
      <c r="EF56" s="1337"/>
      <c r="EG56" s="1337"/>
      <c r="EH56" s="1337"/>
      <c r="EI56" s="1337"/>
      <c r="EJ56" s="1337"/>
      <c r="EK56" s="1337"/>
      <c r="EL56" s="1337"/>
      <c r="EM56" s="1337"/>
      <c r="EN56" s="1337"/>
      <c r="EO56" s="1337"/>
      <c r="EP56" s="1337"/>
      <c r="EQ56" s="1337"/>
      <c r="ER56" s="1337"/>
      <c r="ES56" s="1337"/>
      <c r="ET56" s="1337"/>
      <c r="EU56" s="1337"/>
      <c r="EV56" s="1337"/>
      <c r="EW56" s="1337"/>
      <c r="EX56" s="1337"/>
      <c r="EY56" s="1337"/>
      <c r="EZ56" s="1337"/>
      <c r="FA56" s="1337"/>
      <c r="FB56" s="1337"/>
      <c r="FC56" s="1337"/>
      <c r="FD56" s="1337"/>
      <c r="FE56" s="1337"/>
      <c r="FF56" s="1337"/>
      <c r="FG56" s="1337"/>
      <c r="FH56" s="1337"/>
      <c r="FI56" s="1337"/>
      <c r="FJ56" s="1337"/>
      <c r="FK56" s="1337"/>
      <c r="FL56" s="1337"/>
      <c r="FM56" s="1337"/>
      <c r="FN56" s="1337"/>
      <c r="FO56" s="1337"/>
      <c r="FP56" s="1337"/>
      <c r="FQ56" s="1337"/>
      <c r="FR56" s="1337"/>
      <c r="FS56" s="1337"/>
      <c r="FT56" s="1337"/>
      <c r="FU56" s="1337"/>
      <c r="FV56" s="1337"/>
      <c r="FW56" s="1337"/>
      <c r="FX56" s="1337"/>
      <c r="FY56" s="1337"/>
      <c r="FZ56" s="1337"/>
      <c r="GA56" s="1337"/>
      <c r="GB56" s="1337"/>
      <c r="GC56" s="1337"/>
      <c r="GD56" s="1337"/>
      <c r="GE56" s="1337"/>
      <c r="GF56" s="1337"/>
      <c r="GG56" s="1337"/>
      <c r="GH56" s="1337"/>
      <c r="GI56" s="1337"/>
      <c r="GJ56" s="1337"/>
      <c r="GK56" s="1337"/>
      <c r="GL56" s="1337"/>
      <c r="GM56" s="1337"/>
      <c r="GN56" s="1337"/>
      <c r="GO56" s="1337"/>
      <c r="GP56" s="1337"/>
      <c r="GQ56" s="1337"/>
      <c r="GR56" s="1337"/>
      <c r="GS56" s="1337"/>
      <c r="GT56" s="1337"/>
      <c r="GU56" s="1337"/>
      <c r="GV56" s="1337"/>
      <c r="GW56" s="1337"/>
      <c r="GX56" s="1337"/>
      <c r="GY56" s="1337"/>
      <c r="GZ56" s="1337"/>
      <c r="HA56" s="1337"/>
      <c r="HB56" s="1337"/>
      <c r="HC56" s="1337"/>
      <c r="HD56" s="1337"/>
      <c r="HE56" s="1337"/>
      <c r="HF56" s="1337"/>
      <c r="HG56" s="1337"/>
      <c r="HH56" s="1337"/>
      <c r="HI56" s="1337"/>
      <c r="HJ56" s="1337"/>
      <c r="HK56" s="1337"/>
      <c r="HL56" s="1337"/>
      <c r="HM56" s="1337"/>
      <c r="HN56" s="1337"/>
      <c r="HO56" s="1337"/>
      <c r="HP56" s="1337"/>
      <c r="HQ56" s="1337"/>
      <c r="HR56" s="1337"/>
      <c r="HS56" s="1337"/>
      <c r="HT56" s="1337"/>
      <c r="HU56" s="1337"/>
      <c r="HV56" s="1337"/>
      <c r="HW56" s="1337"/>
      <c r="HX56" s="1337"/>
      <c r="HY56" s="1337"/>
      <c r="HZ56" s="1337"/>
      <c r="IA56" s="1337"/>
      <c r="IB56" s="1337"/>
      <c r="IC56" s="1337"/>
      <c r="ID56" s="1337"/>
      <c r="IE56" s="1337"/>
      <c r="IF56" s="1337"/>
      <c r="IG56" s="1337"/>
      <c r="IH56" s="1337"/>
      <c r="II56" s="1337"/>
      <c r="IJ56" s="1337"/>
      <c r="IK56" s="1337"/>
      <c r="IL56" s="1337"/>
      <c r="IM56" s="1337"/>
      <c r="IN56" s="1337"/>
      <c r="IO56" s="1337"/>
      <c r="IP56" s="1337"/>
      <c r="IQ56" s="1337"/>
      <c r="IR56" s="1337"/>
      <c r="IS56" s="1337"/>
      <c r="IT56" s="1337"/>
      <c r="IU56" s="1337"/>
      <c r="IV56" s="1337"/>
    </row>
    <row r="57" spans="1:256" ht="10.5" customHeight="1">
      <c r="A57" s="1397"/>
      <c r="B57" s="1323"/>
      <c r="C57" s="1398"/>
      <c r="D57" s="1398"/>
      <c r="E57" s="1398"/>
      <c r="F57" s="1398"/>
      <c r="G57" s="1393"/>
      <c r="H57" s="1394"/>
      <c r="I57" s="1395"/>
      <c r="J57" s="1395"/>
      <c r="K57" s="1396"/>
      <c r="L57" s="1396"/>
      <c r="M57" s="1396"/>
      <c r="N57" s="1396"/>
      <c r="O57" s="1337"/>
      <c r="P57" s="1337"/>
      <c r="Q57" s="1337"/>
      <c r="R57" s="1337"/>
      <c r="S57" s="1337"/>
      <c r="T57" s="1337"/>
      <c r="U57" s="1337"/>
      <c r="V57" s="1337"/>
      <c r="W57" s="1337"/>
      <c r="X57" s="1337"/>
      <c r="Y57" s="1337"/>
      <c r="Z57" s="1337"/>
      <c r="AA57" s="1337"/>
      <c r="AB57" s="1337"/>
      <c r="AC57" s="1337"/>
      <c r="AD57" s="1337"/>
      <c r="AE57" s="1337"/>
      <c r="AF57" s="1337"/>
      <c r="AG57" s="1337"/>
      <c r="AH57" s="1337"/>
      <c r="AI57" s="1337"/>
      <c r="AJ57" s="1337"/>
      <c r="AK57" s="1337"/>
      <c r="AL57" s="1337"/>
      <c r="AM57" s="1337"/>
      <c r="AN57" s="1337"/>
      <c r="AO57" s="1337"/>
      <c r="AP57" s="1337"/>
      <c r="AQ57" s="1337"/>
      <c r="AR57" s="1337"/>
      <c r="AS57" s="1337"/>
      <c r="AT57" s="1337"/>
      <c r="AU57" s="1337"/>
      <c r="AV57" s="1337"/>
      <c r="AW57" s="1337"/>
      <c r="AX57" s="1337"/>
      <c r="AY57" s="1337"/>
      <c r="AZ57" s="1337"/>
      <c r="BA57" s="1337"/>
      <c r="BB57" s="1337"/>
      <c r="BC57" s="1337"/>
      <c r="BD57" s="1337"/>
      <c r="BE57" s="1337"/>
      <c r="BF57" s="1337"/>
      <c r="BG57" s="1337"/>
      <c r="BH57" s="1337"/>
      <c r="BI57" s="1337"/>
      <c r="BJ57" s="1337"/>
      <c r="BK57" s="1337"/>
      <c r="BL57" s="1337"/>
      <c r="BM57" s="1337"/>
      <c r="BN57" s="1337"/>
      <c r="BO57" s="1337"/>
      <c r="BP57" s="1337"/>
      <c r="BQ57" s="1337"/>
      <c r="BR57" s="1337"/>
      <c r="BS57" s="1337"/>
      <c r="BT57" s="1337"/>
      <c r="BU57" s="1337"/>
      <c r="BV57" s="1337"/>
      <c r="BW57" s="1337"/>
      <c r="BX57" s="1337"/>
      <c r="BY57" s="1337"/>
      <c r="BZ57" s="1337"/>
      <c r="CA57" s="1337"/>
      <c r="CB57" s="1337"/>
      <c r="CC57" s="1337"/>
      <c r="CD57" s="1337"/>
      <c r="CE57" s="1337"/>
      <c r="CF57" s="1337"/>
      <c r="CG57" s="1337"/>
      <c r="CH57" s="1337"/>
      <c r="CI57" s="1337"/>
      <c r="CJ57" s="1337"/>
      <c r="CK57" s="1337"/>
      <c r="CL57" s="1337"/>
      <c r="CM57" s="1337"/>
      <c r="CN57" s="1337"/>
      <c r="CO57" s="1337"/>
      <c r="CP57" s="1337"/>
      <c r="CQ57" s="1337"/>
      <c r="CR57" s="1337"/>
      <c r="CS57" s="1337"/>
      <c r="CT57" s="1337"/>
      <c r="CU57" s="1337"/>
      <c r="CV57" s="1337"/>
      <c r="CW57" s="1337"/>
      <c r="CX57" s="1337"/>
      <c r="CY57" s="1337"/>
      <c r="CZ57" s="1337"/>
      <c r="DA57" s="1337"/>
      <c r="DB57" s="1337"/>
      <c r="DC57" s="1337"/>
      <c r="DD57" s="1337"/>
      <c r="DE57" s="1337"/>
      <c r="DF57" s="1337"/>
      <c r="DG57" s="1337"/>
      <c r="DH57" s="1337"/>
      <c r="DI57" s="1337"/>
      <c r="DJ57" s="1337"/>
      <c r="DK57" s="1337"/>
      <c r="DL57" s="1337"/>
      <c r="DM57" s="1337"/>
      <c r="DN57" s="1337"/>
      <c r="DO57" s="1337"/>
      <c r="DP57" s="1337"/>
      <c r="DQ57" s="1337"/>
      <c r="DR57" s="1337"/>
      <c r="DS57" s="1337"/>
      <c r="DT57" s="1337"/>
      <c r="DU57" s="1337"/>
      <c r="DV57" s="1337"/>
      <c r="DW57" s="1337"/>
      <c r="DX57" s="1337"/>
      <c r="DY57" s="1337"/>
      <c r="DZ57" s="1337"/>
      <c r="EA57" s="1337"/>
      <c r="EB57" s="1337"/>
      <c r="EC57" s="1337"/>
      <c r="ED57" s="1337"/>
      <c r="EE57" s="1337"/>
      <c r="EF57" s="1337"/>
      <c r="EG57" s="1337"/>
      <c r="EH57" s="1337"/>
      <c r="EI57" s="1337"/>
      <c r="EJ57" s="1337"/>
      <c r="EK57" s="1337"/>
      <c r="EL57" s="1337"/>
      <c r="EM57" s="1337"/>
      <c r="EN57" s="1337"/>
      <c r="EO57" s="1337"/>
      <c r="EP57" s="1337"/>
      <c r="EQ57" s="1337"/>
      <c r="ER57" s="1337"/>
      <c r="ES57" s="1337"/>
      <c r="ET57" s="1337"/>
      <c r="EU57" s="1337"/>
      <c r="EV57" s="1337"/>
      <c r="EW57" s="1337"/>
      <c r="EX57" s="1337"/>
      <c r="EY57" s="1337"/>
      <c r="EZ57" s="1337"/>
      <c r="FA57" s="1337"/>
      <c r="FB57" s="1337"/>
      <c r="FC57" s="1337"/>
      <c r="FD57" s="1337"/>
      <c r="FE57" s="1337"/>
      <c r="FF57" s="1337"/>
      <c r="FG57" s="1337"/>
      <c r="FH57" s="1337"/>
      <c r="FI57" s="1337"/>
      <c r="FJ57" s="1337"/>
      <c r="FK57" s="1337"/>
      <c r="FL57" s="1337"/>
      <c r="FM57" s="1337"/>
      <c r="FN57" s="1337"/>
      <c r="FO57" s="1337"/>
      <c r="FP57" s="1337"/>
      <c r="FQ57" s="1337"/>
      <c r="FR57" s="1337"/>
      <c r="FS57" s="1337"/>
      <c r="FT57" s="1337"/>
      <c r="FU57" s="1337"/>
      <c r="FV57" s="1337"/>
      <c r="FW57" s="1337"/>
      <c r="FX57" s="1337"/>
      <c r="FY57" s="1337"/>
      <c r="FZ57" s="1337"/>
      <c r="GA57" s="1337"/>
      <c r="GB57" s="1337"/>
      <c r="GC57" s="1337"/>
      <c r="GD57" s="1337"/>
      <c r="GE57" s="1337"/>
      <c r="GF57" s="1337"/>
      <c r="GG57" s="1337"/>
      <c r="GH57" s="1337"/>
      <c r="GI57" s="1337"/>
      <c r="GJ57" s="1337"/>
      <c r="GK57" s="1337"/>
      <c r="GL57" s="1337"/>
      <c r="GM57" s="1337"/>
      <c r="GN57" s="1337"/>
      <c r="GO57" s="1337"/>
      <c r="GP57" s="1337"/>
      <c r="GQ57" s="1337"/>
      <c r="GR57" s="1337"/>
      <c r="GS57" s="1337"/>
      <c r="GT57" s="1337"/>
      <c r="GU57" s="1337"/>
      <c r="GV57" s="1337"/>
      <c r="GW57" s="1337"/>
      <c r="GX57" s="1337"/>
      <c r="GY57" s="1337"/>
      <c r="GZ57" s="1337"/>
      <c r="HA57" s="1337"/>
      <c r="HB57" s="1337"/>
      <c r="HC57" s="1337"/>
      <c r="HD57" s="1337"/>
      <c r="HE57" s="1337"/>
      <c r="HF57" s="1337"/>
      <c r="HG57" s="1337"/>
      <c r="HH57" s="1337"/>
      <c r="HI57" s="1337"/>
      <c r="HJ57" s="1337"/>
      <c r="HK57" s="1337"/>
      <c r="HL57" s="1337"/>
      <c r="HM57" s="1337"/>
      <c r="HN57" s="1337"/>
      <c r="HO57" s="1337"/>
      <c r="HP57" s="1337"/>
      <c r="HQ57" s="1337"/>
      <c r="HR57" s="1337"/>
      <c r="HS57" s="1337"/>
      <c r="HT57" s="1337"/>
      <c r="HU57" s="1337"/>
      <c r="HV57" s="1337"/>
      <c r="HW57" s="1337"/>
      <c r="HX57" s="1337"/>
      <c r="HY57" s="1337"/>
      <c r="HZ57" s="1337"/>
      <c r="IA57" s="1337"/>
      <c r="IB57" s="1337"/>
      <c r="IC57" s="1337"/>
      <c r="ID57" s="1337"/>
      <c r="IE57" s="1337"/>
      <c r="IF57" s="1337"/>
      <c r="IG57" s="1337"/>
      <c r="IH57" s="1337"/>
      <c r="II57" s="1337"/>
      <c r="IJ57" s="1337"/>
      <c r="IK57" s="1337"/>
      <c r="IL57" s="1337"/>
      <c r="IM57" s="1337"/>
      <c r="IN57" s="1337"/>
      <c r="IO57" s="1337"/>
      <c r="IP57" s="1337"/>
      <c r="IQ57" s="1337"/>
      <c r="IR57" s="1337"/>
      <c r="IS57" s="1337"/>
      <c r="IT57" s="1337"/>
      <c r="IU57" s="1337"/>
      <c r="IV57" s="1337"/>
    </row>
    <row r="58" spans="1:256" ht="10.5" customHeight="1">
      <c r="A58" s="1397"/>
      <c r="B58" s="1323"/>
      <c r="C58" s="1398"/>
      <c r="D58" s="1398"/>
      <c r="E58" s="1398"/>
      <c r="F58" s="1398"/>
      <c r="G58" s="1393"/>
      <c r="H58" s="1394"/>
      <c r="I58" s="1395"/>
      <c r="J58" s="1395"/>
      <c r="K58" s="1396"/>
      <c r="L58" s="1396"/>
      <c r="M58" s="1396"/>
      <c r="N58" s="1396"/>
      <c r="O58" s="1337"/>
      <c r="P58" s="1337"/>
      <c r="Q58" s="1337"/>
      <c r="R58" s="1337"/>
      <c r="S58" s="1337"/>
      <c r="T58" s="1337"/>
      <c r="U58" s="1337"/>
      <c r="V58" s="1337"/>
      <c r="W58" s="1337"/>
      <c r="X58" s="1337"/>
      <c r="Y58" s="1337"/>
      <c r="Z58" s="1337"/>
      <c r="AA58" s="1337"/>
      <c r="AB58" s="1337"/>
      <c r="AC58" s="1337"/>
      <c r="AD58" s="1337"/>
      <c r="AE58" s="1337"/>
      <c r="AF58" s="1337"/>
      <c r="AG58" s="1337"/>
      <c r="AH58" s="1337"/>
      <c r="AI58" s="1337"/>
      <c r="AJ58" s="1337"/>
      <c r="AK58" s="1337"/>
      <c r="AL58" s="1337"/>
      <c r="AM58" s="1337"/>
      <c r="AN58" s="1337"/>
      <c r="AO58" s="1337"/>
      <c r="AP58" s="1337"/>
      <c r="AQ58" s="1337"/>
      <c r="AR58" s="1337"/>
      <c r="AS58" s="1337"/>
      <c r="AT58" s="1337"/>
      <c r="AU58" s="1337"/>
      <c r="AV58" s="1337"/>
      <c r="AW58" s="1337"/>
      <c r="AX58" s="1337"/>
      <c r="AY58" s="1337"/>
      <c r="AZ58" s="1337"/>
      <c r="BA58" s="1337"/>
      <c r="BB58" s="1337"/>
      <c r="BC58" s="1337"/>
      <c r="BD58" s="1337"/>
      <c r="BE58" s="1337"/>
      <c r="BF58" s="1337"/>
      <c r="BG58" s="1337"/>
      <c r="BH58" s="1337"/>
      <c r="BI58" s="1337"/>
      <c r="BJ58" s="1337"/>
      <c r="BK58" s="1337"/>
      <c r="BL58" s="1337"/>
      <c r="BM58" s="1337"/>
      <c r="BN58" s="1337"/>
      <c r="BO58" s="1337"/>
      <c r="BP58" s="1337"/>
      <c r="BQ58" s="1337"/>
      <c r="BR58" s="1337"/>
      <c r="BS58" s="1337"/>
      <c r="BT58" s="1337"/>
      <c r="BU58" s="1337"/>
      <c r="BV58" s="1337"/>
      <c r="BW58" s="1337"/>
      <c r="BX58" s="1337"/>
      <c r="BY58" s="1337"/>
      <c r="BZ58" s="1337"/>
      <c r="CA58" s="1337"/>
      <c r="CB58" s="1337"/>
      <c r="CC58" s="1337"/>
      <c r="CD58" s="1337"/>
      <c r="CE58" s="1337"/>
      <c r="CF58" s="1337"/>
      <c r="CG58" s="1337"/>
      <c r="CH58" s="1337"/>
      <c r="CI58" s="1337"/>
      <c r="CJ58" s="1337"/>
      <c r="CK58" s="1337"/>
      <c r="CL58" s="1337"/>
      <c r="CM58" s="1337"/>
      <c r="CN58" s="1337"/>
      <c r="CO58" s="1337"/>
      <c r="CP58" s="1337"/>
      <c r="CQ58" s="1337"/>
      <c r="CR58" s="1337"/>
      <c r="CS58" s="1337"/>
      <c r="CT58" s="1337"/>
      <c r="CU58" s="1337"/>
      <c r="CV58" s="1337"/>
      <c r="CW58" s="1337"/>
      <c r="CX58" s="1337"/>
      <c r="CY58" s="1337"/>
      <c r="CZ58" s="1337"/>
      <c r="DA58" s="1337"/>
      <c r="DB58" s="1337"/>
      <c r="DC58" s="1337"/>
      <c r="DD58" s="1337"/>
      <c r="DE58" s="1337"/>
      <c r="DF58" s="1337"/>
      <c r="DG58" s="1337"/>
      <c r="DH58" s="1337"/>
      <c r="DI58" s="1337"/>
      <c r="DJ58" s="1337"/>
      <c r="DK58" s="1337"/>
      <c r="DL58" s="1337"/>
      <c r="DM58" s="1337"/>
      <c r="DN58" s="1337"/>
      <c r="DO58" s="1337"/>
      <c r="DP58" s="1337"/>
      <c r="DQ58" s="1337"/>
      <c r="DR58" s="1337"/>
      <c r="DS58" s="1337"/>
      <c r="DT58" s="1337"/>
      <c r="DU58" s="1337"/>
      <c r="DV58" s="1337"/>
      <c r="DW58" s="1337"/>
      <c r="DX58" s="1337"/>
      <c r="DY58" s="1337"/>
      <c r="DZ58" s="1337"/>
      <c r="EA58" s="1337"/>
      <c r="EB58" s="1337"/>
      <c r="EC58" s="1337"/>
      <c r="ED58" s="1337"/>
      <c r="EE58" s="1337"/>
      <c r="EF58" s="1337"/>
      <c r="EG58" s="1337"/>
      <c r="EH58" s="1337"/>
      <c r="EI58" s="1337"/>
      <c r="EJ58" s="1337"/>
      <c r="EK58" s="1337"/>
      <c r="EL58" s="1337"/>
      <c r="EM58" s="1337"/>
      <c r="EN58" s="1337"/>
      <c r="EO58" s="1337"/>
      <c r="EP58" s="1337"/>
      <c r="EQ58" s="1337"/>
      <c r="ER58" s="1337"/>
      <c r="ES58" s="1337"/>
      <c r="ET58" s="1337"/>
      <c r="EU58" s="1337"/>
      <c r="EV58" s="1337"/>
      <c r="EW58" s="1337"/>
      <c r="EX58" s="1337"/>
      <c r="EY58" s="1337"/>
      <c r="EZ58" s="1337"/>
      <c r="FA58" s="1337"/>
      <c r="FB58" s="1337"/>
      <c r="FC58" s="1337"/>
      <c r="FD58" s="1337"/>
      <c r="FE58" s="1337"/>
      <c r="FF58" s="1337"/>
      <c r="FG58" s="1337"/>
      <c r="FH58" s="1337"/>
      <c r="FI58" s="1337"/>
      <c r="FJ58" s="1337"/>
      <c r="FK58" s="1337"/>
      <c r="FL58" s="1337"/>
      <c r="FM58" s="1337"/>
      <c r="FN58" s="1337"/>
      <c r="FO58" s="1337"/>
      <c r="FP58" s="1337"/>
      <c r="FQ58" s="1337"/>
      <c r="FR58" s="1337"/>
      <c r="FS58" s="1337"/>
      <c r="FT58" s="1337"/>
      <c r="FU58" s="1337"/>
      <c r="FV58" s="1337"/>
      <c r="FW58" s="1337"/>
      <c r="FX58" s="1337"/>
      <c r="FY58" s="1337"/>
      <c r="FZ58" s="1337"/>
      <c r="GA58" s="1337"/>
      <c r="GB58" s="1337"/>
      <c r="GC58" s="1337"/>
      <c r="GD58" s="1337"/>
      <c r="GE58" s="1337"/>
      <c r="GF58" s="1337"/>
      <c r="GG58" s="1337"/>
      <c r="GH58" s="1337"/>
      <c r="GI58" s="1337"/>
      <c r="GJ58" s="1337"/>
      <c r="GK58" s="1337"/>
      <c r="GL58" s="1337"/>
      <c r="GM58" s="1337"/>
      <c r="GN58" s="1337"/>
      <c r="GO58" s="1337"/>
      <c r="GP58" s="1337"/>
      <c r="GQ58" s="1337"/>
      <c r="GR58" s="1337"/>
      <c r="GS58" s="1337"/>
      <c r="GT58" s="1337"/>
      <c r="GU58" s="1337"/>
      <c r="GV58" s="1337"/>
      <c r="GW58" s="1337"/>
      <c r="GX58" s="1337"/>
      <c r="GY58" s="1337"/>
      <c r="GZ58" s="1337"/>
      <c r="HA58" s="1337"/>
      <c r="HB58" s="1337"/>
      <c r="HC58" s="1337"/>
      <c r="HD58" s="1337"/>
      <c r="HE58" s="1337"/>
      <c r="HF58" s="1337"/>
      <c r="HG58" s="1337"/>
      <c r="HH58" s="1337"/>
      <c r="HI58" s="1337"/>
      <c r="HJ58" s="1337"/>
      <c r="HK58" s="1337"/>
      <c r="HL58" s="1337"/>
      <c r="HM58" s="1337"/>
      <c r="HN58" s="1337"/>
      <c r="HO58" s="1337"/>
      <c r="HP58" s="1337"/>
      <c r="HQ58" s="1337"/>
      <c r="HR58" s="1337"/>
      <c r="HS58" s="1337"/>
      <c r="HT58" s="1337"/>
      <c r="HU58" s="1337"/>
      <c r="HV58" s="1337"/>
      <c r="HW58" s="1337"/>
      <c r="HX58" s="1337"/>
      <c r="HY58" s="1337"/>
      <c r="HZ58" s="1337"/>
      <c r="IA58" s="1337"/>
      <c r="IB58" s="1337"/>
      <c r="IC58" s="1337"/>
      <c r="ID58" s="1337"/>
      <c r="IE58" s="1337"/>
      <c r="IF58" s="1337"/>
      <c r="IG58" s="1337"/>
      <c r="IH58" s="1337"/>
      <c r="II58" s="1337"/>
      <c r="IJ58" s="1337"/>
      <c r="IK58" s="1337"/>
      <c r="IL58" s="1337"/>
      <c r="IM58" s="1337"/>
      <c r="IN58" s="1337"/>
      <c r="IO58" s="1337"/>
      <c r="IP58" s="1337"/>
      <c r="IQ58" s="1337"/>
      <c r="IR58" s="1337"/>
      <c r="IS58" s="1337"/>
      <c r="IT58" s="1337"/>
      <c r="IU58" s="1337"/>
      <c r="IV58" s="1337"/>
    </row>
    <row r="59" spans="1:256" ht="10.5" customHeight="1">
      <c r="A59" s="1397"/>
      <c r="B59" s="1323"/>
      <c r="C59" s="1398"/>
      <c r="D59" s="1398"/>
      <c r="E59" s="1398"/>
      <c r="F59" s="1398"/>
      <c r="G59" s="1393"/>
      <c r="H59" s="1394"/>
      <c r="I59" s="1395"/>
      <c r="J59" s="1395"/>
      <c r="K59" s="1396"/>
      <c r="L59" s="1396"/>
      <c r="M59" s="1396"/>
      <c r="N59" s="1396"/>
      <c r="O59" s="1337"/>
      <c r="P59" s="1337"/>
      <c r="Q59" s="1337"/>
      <c r="R59" s="1337"/>
      <c r="S59" s="1337"/>
      <c r="T59" s="1337"/>
      <c r="U59" s="1337"/>
      <c r="V59" s="1337"/>
      <c r="W59" s="1337"/>
      <c r="X59" s="1337"/>
      <c r="Y59" s="1337"/>
      <c r="Z59" s="1337"/>
      <c r="AA59" s="1337"/>
      <c r="AB59" s="1337"/>
      <c r="AC59" s="1337"/>
      <c r="AD59" s="1337"/>
      <c r="AE59" s="1337"/>
      <c r="AF59" s="1337"/>
      <c r="AG59" s="1337"/>
      <c r="AH59" s="1337"/>
      <c r="AI59" s="1337"/>
      <c r="AJ59" s="1337"/>
      <c r="AK59" s="1337"/>
      <c r="AL59" s="1337"/>
      <c r="AM59" s="1337"/>
      <c r="AN59" s="1337"/>
      <c r="AO59" s="1337"/>
      <c r="AP59" s="1337"/>
      <c r="AQ59" s="1337"/>
      <c r="AR59" s="1337"/>
      <c r="AS59" s="1337"/>
      <c r="AT59" s="1337"/>
      <c r="AU59" s="1337"/>
      <c r="AV59" s="1337"/>
      <c r="AW59" s="1337"/>
      <c r="AX59" s="1337"/>
      <c r="AY59" s="1337"/>
      <c r="AZ59" s="1337"/>
      <c r="BA59" s="1337"/>
      <c r="BB59" s="1337"/>
      <c r="BC59" s="1337"/>
      <c r="BD59" s="1337"/>
      <c r="BE59" s="1337"/>
      <c r="BF59" s="1337"/>
      <c r="BG59" s="1337"/>
      <c r="BH59" s="1337"/>
      <c r="BI59" s="1337"/>
      <c r="BJ59" s="1337"/>
      <c r="BK59" s="1337"/>
      <c r="BL59" s="1337"/>
      <c r="BM59" s="1337"/>
      <c r="BN59" s="1337"/>
      <c r="BO59" s="1337"/>
      <c r="BP59" s="1337"/>
      <c r="BQ59" s="1337"/>
      <c r="BR59" s="1337"/>
      <c r="BS59" s="1337"/>
      <c r="BT59" s="1337"/>
      <c r="BU59" s="1337"/>
      <c r="BV59" s="1337"/>
      <c r="BW59" s="1337"/>
      <c r="BX59" s="1337"/>
      <c r="BY59" s="1337"/>
      <c r="BZ59" s="1337"/>
      <c r="CA59" s="1337"/>
      <c r="CB59" s="1337"/>
      <c r="CC59" s="1337"/>
      <c r="CD59" s="1337"/>
      <c r="CE59" s="1337"/>
      <c r="CF59" s="1337"/>
      <c r="CG59" s="1337"/>
      <c r="CH59" s="1337"/>
      <c r="CI59" s="1337"/>
      <c r="CJ59" s="1337"/>
      <c r="CK59" s="1337"/>
      <c r="CL59" s="1337"/>
      <c r="CM59" s="1337"/>
      <c r="CN59" s="1337"/>
      <c r="CO59" s="1337"/>
      <c r="CP59" s="1337"/>
      <c r="CQ59" s="1337"/>
      <c r="CR59" s="1337"/>
      <c r="CS59" s="1337"/>
      <c r="CT59" s="1337"/>
      <c r="CU59" s="1337"/>
      <c r="CV59" s="1337"/>
      <c r="CW59" s="1337"/>
      <c r="CX59" s="1337"/>
      <c r="CY59" s="1337"/>
      <c r="CZ59" s="1337"/>
      <c r="DA59" s="1337"/>
      <c r="DB59" s="1337"/>
      <c r="DC59" s="1337"/>
      <c r="DD59" s="1337"/>
      <c r="DE59" s="1337"/>
      <c r="DF59" s="1337"/>
      <c r="DG59" s="1337"/>
      <c r="DH59" s="1337"/>
      <c r="DI59" s="1337"/>
      <c r="DJ59" s="1337"/>
      <c r="DK59" s="1337"/>
      <c r="DL59" s="1337"/>
      <c r="DM59" s="1337"/>
      <c r="DN59" s="1337"/>
      <c r="DO59" s="1337"/>
      <c r="DP59" s="1337"/>
      <c r="DQ59" s="1337"/>
      <c r="DR59" s="1337"/>
      <c r="DS59" s="1337"/>
      <c r="DT59" s="1337"/>
      <c r="DU59" s="1337"/>
      <c r="DV59" s="1337"/>
      <c r="DW59" s="1337"/>
      <c r="DX59" s="1337"/>
      <c r="DY59" s="1337"/>
      <c r="DZ59" s="1337"/>
      <c r="EA59" s="1337"/>
      <c r="EB59" s="1337"/>
      <c r="EC59" s="1337"/>
      <c r="ED59" s="1337"/>
      <c r="EE59" s="1337"/>
      <c r="EF59" s="1337"/>
      <c r="EG59" s="1337"/>
      <c r="EH59" s="1337"/>
      <c r="EI59" s="1337"/>
      <c r="EJ59" s="1337"/>
      <c r="EK59" s="1337"/>
      <c r="EL59" s="1337"/>
      <c r="EM59" s="1337"/>
      <c r="EN59" s="1337"/>
      <c r="EO59" s="1337"/>
      <c r="EP59" s="1337"/>
      <c r="EQ59" s="1337"/>
      <c r="ER59" s="1337"/>
      <c r="ES59" s="1337"/>
      <c r="ET59" s="1337"/>
      <c r="EU59" s="1337"/>
      <c r="EV59" s="1337"/>
      <c r="EW59" s="1337"/>
      <c r="EX59" s="1337"/>
      <c r="EY59" s="1337"/>
      <c r="EZ59" s="1337"/>
      <c r="FA59" s="1337"/>
      <c r="FB59" s="1337"/>
      <c r="FC59" s="1337"/>
      <c r="FD59" s="1337"/>
      <c r="FE59" s="1337"/>
      <c r="FF59" s="1337"/>
      <c r="FG59" s="1337"/>
      <c r="FH59" s="1337"/>
      <c r="FI59" s="1337"/>
      <c r="FJ59" s="1337"/>
      <c r="FK59" s="1337"/>
      <c r="FL59" s="1337"/>
      <c r="FM59" s="1337"/>
      <c r="FN59" s="1337"/>
      <c r="FO59" s="1337"/>
      <c r="FP59" s="1337"/>
      <c r="FQ59" s="1337"/>
      <c r="FR59" s="1337"/>
      <c r="FS59" s="1337"/>
      <c r="FT59" s="1337"/>
      <c r="FU59" s="1337"/>
      <c r="FV59" s="1337"/>
      <c r="FW59" s="1337"/>
      <c r="FX59" s="1337"/>
      <c r="FY59" s="1337"/>
      <c r="FZ59" s="1337"/>
      <c r="GA59" s="1337"/>
      <c r="GB59" s="1337"/>
      <c r="GC59" s="1337"/>
      <c r="GD59" s="1337"/>
      <c r="GE59" s="1337"/>
      <c r="GF59" s="1337"/>
      <c r="GG59" s="1337"/>
      <c r="GH59" s="1337"/>
      <c r="GI59" s="1337"/>
      <c r="GJ59" s="1337"/>
      <c r="GK59" s="1337"/>
      <c r="GL59" s="1337"/>
      <c r="GM59" s="1337"/>
      <c r="GN59" s="1337"/>
      <c r="GO59" s="1337"/>
      <c r="GP59" s="1337"/>
      <c r="GQ59" s="1337"/>
      <c r="GR59" s="1337"/>
      <c r="GS59" s="1337"/>
      <c r="GT59" s="1337"/>
      <c r="GU59" s="1337"/>
      <c r="GV59" s="1337"/>
      <c r="GW59" s="1337"/>
      <c r="GX59" s="1337"/>
      <c r="GY59" s="1337"/>
      <c r="GZ59" s="1337"/>
      <c r="HA59" s="1337"/>
      <c r="HB59" s="1337"/>
      <c r="HC59" s="1337"/>
      <c r="HD59" s="1337"/>
      <c r="HE59" s="1337"/>
      <c r="HF59" s="1337"/>
      <c r="HG59" s="1337"/>
      <c r="HH59" s="1337"/>
      <c r="HI59" s="1337"/>
      <c r="HJ59" s="1337"/>
      <c r="HK59" s="1337"/>
      <c r="HL59" s="1337"/>
      <c r="HM59" s="1337"/>
      <c r="HN59" s="1337"/>
      <c r="HO59" s="1337"/>
      <c r="HP59" s="1337"/>
      <c r="HQ59" s="1337"/>
      <c r="HR59" s="1337"/>
      <c r="HS59" s="1337"/>
      <c r="HT59" s="1337"/>
      <c r="HU59" s="1337"/>
      <c r="HV59" s="1337"/>
      <c r="HW59" s="1337"/>
      <c r="HX59" s="1337"/>
      <c r="HY59" s="1337"/>
      <c r="HZ59" s="1337"/>
      <c r="IA59" s="1337"/>
      <c r="IB59" s="1337"/>
      <c r="IC59" s="1337"/>
      <c r="ID59" s="1337"/>
      <c r="IE59" s="1337"/>
      <c r="IF59" s="1337"/>
      <c r="IG59" s="1337"/>
      <c r="IH59" s="1337"/>
      <c r="II59" s="1337"/>
      <c r="IJ59" s="1337"/>
      <c r="IK59" s="1337"/>
      <c r="IL59" s="1337"/>
      <c r="IM59" s="1337"/>
      <c r="IN59" s="1337"/>
      <c r="IO59" s="1337"/>
      <c r="IP59" s="1337"/>
      <c r="IQ59" s="1337"/>
      <c r="IR59" s="1337"/>
      <c r="IS59" s="1337"/>
      <c r="IT59" s="1337"/>
      <c r="IU59" s="1337"/>
      <c r="IV59" s="1337"/>
    </row>
    <row r="60" spans="1:256" ht="10.5" customHeight="1">
      <c r="A60" s="1397"/>
      <c r="B60" s="1323"/>
      <c r="C60" s="1398"/>
      <c r="D60" s="1398"/>
      <c r="E60" s="1398"/>
      <c r="F60" s="1398"/>
      <c r="G60" s="1393"/>
      <c r="H60" s="1394"/>
      <c r="I60" s="1395"/>
      <c r="J60" s="1395"/>
      <c r="K60" s="1396"/>
      <c r="L60" s="1396"/>
      <c r="M60" s="1396"/>
      <c r="N60" s="1396"/>
      <c r="O60" s="1337"/>
      <c r="P60" s="1337"/>
      <c r="Q60" s="1337"/>
      <c r="R60" s="1337"/>
      <c r="S60" s="1337"/>
      <c r="T60" s="1337"/>
      <c r="U60" s="1337"/>
      <c r="V60" s="1337"/>
      <c r="W60" s="1337"/>
      <c r="X60" s="1337"/>
      <c r="Y60" s="1337"/>
      <c r="Z60" s="1337"/>
      <c r="AA60" s="1337"/>
      <c r="AB60" s="1337"/>
      <c r="AC60" s="1337"/>
      <c r="AD60" s="1337"/>
      <c r="AE60" s="1337"/>
      <c r="AF60" s="1337"/>
      <c r="AG60" s="1337"/>
      <c r="AH60" s="1337"/>
      <c r="AI60" s="1337"/>
      <c r="AJ60" s="1337"/>
      <c r="AK60" s="1337"/>
      <c r="AL60" s="1337"/>
      <c r="AM60" s="1337"/>
      <c r="AN60" s="1337"/>
      <c r="AO60" s="1337"/>
      <c r="AP60" s="1337"/>
      <c r="AQ60" s="1337"/>
      <c r="AR60" s="1337"/>
      <c r="AS60" s="1337"/>
      <c r="AT60" s="1337"/>
      <c r="AU60" s="1337"/>
      <c r="AV60" s="1337"/>
      <c r="AW60" s="1337"/>
      <c r="AX60" s="1337"/>
      <c r="AY60" s="1337"/>
      <c r="AZ60" s="1337"/>
      <c r="BA60" s="1337"/>
      <c r="BB60" s="1337"/>
      <c r="BC60" s="1337"/>
      <c r="BD60" s="1337"/>
      <c r="BE60" s="1337"/>
      <c r="BF60" s="1337"/>
      <c r="BG60" s="1337"/>
      <c r="BH60" s="1337"/>
      <c r="BI60" s="1337"/>
      <c r="BJ60" s="1337"/>
      <c r="BK60" s="1337"/>
      <c r="BL60" s="1337"/>
      <c r="BM60" s="1337"/>
      <c r="BN60" s="1337"/>
      <c r="BO60" s="1337"/>
      <c r="BP60" s="1337"/>
      <c r="BQ60" s="1337"/>
      <c r="BR60" s="1337"/>
      <c r="BS60" s="1337"/>
      <c r="BT60" s="1337"/>
      <c r="BU60" s="1337"/>
      <c r="BV60" s="1337"/>
      <c r="BW60" s="1337"/>
      <c r="BX60" s="1337"/>
      <c r="BY60" s="1337"/>
      <c r="BZ60" s="1337"/>
      <c r="CA60" s="1337"/>
      <c r="CB60" s="1337"/>
      <c r="CC60" s="1337"/>
      <c r="CD60" s="1337"/>
      <c r="CE60" s="1337"/>
      <c r="CF60" s="1337"/>
      <c r="CG60" s="1337"/>
      <c r="CH60" s="1337"/>
      <c r="CI60" s="1337"/>
      <c r="CJ60" s="1337"/>
      <c r="CK60" s="1337"/>
      <c r="CL60" s="1337"/>
      <c r="CM60" s="1337"/>
      <c r="CN60" s="1337"/>
      <c r="CO60" s="1337"/>
      <c r="CP60" s="1337"/>
      <c r="CQ60" s="1337"/>
      <c r="CR60" s="1337"/>
      <c r="CS60" s="1337"/>
      <c r="CT60" s="1337"/>
      <c r="CU60" s="1337"/>
      <c r="CV60" s="1337"/>
      <c r="CW60" s="1337"/>
      <c r="CX60" s="1337"/>
      <c r="CY60" s="1337"/>
      <c r="CZ60" s="1337"/>
      <c r="DA60" s="1337"/>
      <c r="DB60" s="1337"/>
      <c r="DC60" s="1337"/>
      <c r="DD60" s="1337"/>
      <c r="DE60" s="1337"/>
      <c r="DF60" s="1337"/>
      <c r="DG60" s="1337"/>
      <c r="DH60" s="1337"/>
      <c r="DI60" s="1337"/>
      <c r="DJ60" s="1337"/>
      <c r="DK60" s="1337"/>
      <c r="DL60" s="1337"/>
      <c r="DM60" s="1337"/>
      <c r="DN60" s="1337"/>
      <c r="DO60" s="1337"/>
      <c r="DP60" s="1337"/>
      <c r="DQ60" s="1337"/>
      <c r="DR60" s="1337"/>
      <c r="DS60" s="1337"/>
      <c r="DT60" s="1337"/>
      <c r="DU60" s="1337"/>
      <c r="DV60" s="1337"/>
      <c r="DW60" s="1337"/>
      <c r="DX60" s="1337"/>
      <c r="DY60" s="1337"/>
      <c r="DZ60" s="1337"/>
      <c r="EA60" s="1337"/>
      <c r="EB60" s="1337"/>
      <c r="EC60" s="1337"/>
      <c r="ED60" s="1337"/>
      <c r="EE60" s="1337"/>
      <c r="EF60" s="1337"/>
      <c r="EG60" s="1337"/>
      <c r="EH60" s="1337"/>
      <c r="EI60" s="1337"/>
      <c r="EJ60" s="1337"/>
      <c r="EK60" s="1337"/>
      <c r="EL60" s="1337"/>
      <c r="EM60" s="1337"/>
      <c r="EN60" s="1337"/>
      <c r="EO60" s="1337"/>
      <c r="EP60" s="1337"/>
      <c r="EQ60" s="1337"/>
      <c r="ER60" s="1337"/>
      <c r="ES60" s="1337"/>
      <c r="ET60" s="1337"/>
      <c r="EU60" s="1337"/>
      <c r="EV60" s="1337"/>
      <c r="EW60" s="1337"/>
      <c r="EX60" s="1337"/>
      <c r="EY60" s="1337"/>
      <c r="EZ60" s="1337"/>
      <c r="FA60" s="1337"/>
      <c r="FB60" s="1337"/>
      <c r="FC60" s="1337"/>
      <c r="FD60" s="1337"/>
      <c r="FE60" s="1337"/>
      <c r="FF60" s="1337"/>
      <c r="FG60" s="1337"/>
      <c r="FH60" s="1337"/>
      <c r="FI60" s="1337"/>
      <c r="FJ60" s="1337"/>
      <c r="FK60" s="1337"/>
      <c r="FL60" s="1337"/>
      <c r="FM60" s="1337"/>
      <c r="FN60" s="1337"/>
      <c r="FO60" s="1337"/>
      <c r="FP60" s="1337"/>
      <c r="FQ60" s="1337"/>
      <c r="FR60" s="1337"/>
      <c r="FS60" s="1337"/>
      <c r="FT60" s="1337"/>
      <c r="FU60" s="1337"/>
      <c r="FV60" s="1337"/>
      <c r="FW60" s="1337"/>
      <c r="FX60" s="1337"/>
      <c r="FY60" s="1337"/>
      <c r="FZ60" s="1337"/>
      <c r="GA60" s="1337"/>
      <c r="GB60" s="1337"/>
      <c r="GC60" s="1337"/>
      <c r="GD60" s="1337"/>
      <c r="GE60" s="1337"/>
      <c r="GF60" s="1337"/>
      <c r="GG60" s="1337"/>
      <c r="GH60" s="1337"/>
      <c r="GI60" s="1337"/>
      <c r="GJ60" s="1337"/>
      <c r="GK60" s="1337"/>
      <c r="GL60" s="1337"/>
      <c r="GM60" s="1337"/>
      <c r="GN60" s="1337"/>
      <c r="GO60" s="1337"/>
      <c r="GP60" s="1337"/>
      <c r="GQ60" s="1337"/>
      <c r="GR60" s="1337"/>
      <c r="GS60" s="1337"/>
      <c r="GT60" s="1337"/>
      <c r="GU60" s="1337"/>
      <c r="GV60" s="1337"/>
      <c r="GW60" s="1337"/>
      <c r="GX60" s="1337"/>
      <c r="GY60" s="1337"/>
      <c r="GZ60" s="1337"/>
      <c r="HA60" s="1337"/>
      <c r="HB60" s="1337"/>
      <c r="HC60" s="1337"/>
      <c r="HD60" s="1337"/>
      <c r="HE60" s="1337"/>
      <c r="HF60" s="1337"/>
      <c r="HG60" s="1337"/>
      <c r="HH60" s="1337"/>
      <c r="HI60" s="1337"/>
      <c r="HJ60" s="1337"/>
      <c r="HK60" s="1337"/>
      <c r="HL60" s="1337"/>
      <c r="HM60" s="1337"/>
      <c r="HN60" s="1337"/>
      <c r="HO60" s="1337"/>
      <c r="HP60" s="1337"/>
      <c r="HQ60" s="1337"/>
      <c r="HR60" s="1337"/>
      <c r="HS60" s="1337"/>
      <c r="HT60" s="1337"/>
      <c r="HU60" s="1337"/>
      <c r="HV60" s="1337"/>
      <c r="HW60" s="1337"/>
      <c r="HX60" s="1337"/>
      <c r="HY60" s="1337"/>
      <c r="HZ60" s="1337"/>
      <c r="IA60" s="1337"/>
      <c r="IB60" s="1337"/>
      <c r="IC60" s="1337"/>
      <c r="ID60" s="1337"/>
      <c r="IE60" s="1337"/>
      <c r="IF60" s="1337"/>
      <c r="IG60" s="1337"/>
      <c r="IH60" s="1337"/>
      <c r="II60" s="1337"/>
      <c r="IJ60" s="1337"/>
      <c r="IK60" s="1337"/>
      <c r="IL60" s="1337"/>
      <c r="IM60" s="1337"/>
      <c r="IN60" s="1337"/>
      <c r="IO60" s="1337"/>
      <c r="IP60" s="1337"/>
      <c r="IQ60" s="1337"/>
      <c r="IR60" s="1337"/>
      <c r="IS60" s="1337"/>
      <c r="IT60" s="1337"/>
      <c r="IU60" s="1337"/>
      <c r="IV60" s="1337"/>
    </row>
    <row r="61" spans="1:256" ht="10.5" customHeight="1">
      <c r="A61" s="1397"/>
      <c r="B61" s="1323"/>
      <c r="C61" s="1398"/>
      <c r="D61" s="1398"/>
      <c r="E61" s="1398"/>
      <c r="F61" s="1398"/>
      <c r="G61" s="1393"/>
      <c r="H61" s="1394"/>
      <c r="I61" s="1395"/>
      <c r="J61" s="1395"/>
      <c r="K61" s="1396"/>
      <c r="L61" s="1396"/>
      <c r="M61" s="1396"/>
      <c r="N61" s="1396"/>
      <c r="O61" s="1337"/>
      <c r="P61" s="1337"/>
      <c r="Q61" s="1337"/>
      <c r="R61" s="1337"/>
      <c r="S61" s="1337"/>
      <c r="T61" s="1337"/>
      <c r="U61" s="1337"/>
      <c r="V61" s="1337"/>
      <c r="W61" s="1337"/>
      <c r="X61" s="1337"/>
      <c r="Y61" s="1337"/>
      <c r="Z61" s="1337"/>
      <c r="AA61" s="1337"/>
      <c r="AB61" s="1337"/>
      <c r="AC61" s="1337"/>
      <c r="AD61" s="1337"/>
      <c r="AE61" s="1337"/>
      <c r="AF61" s="1337"/>
      <c r="AG61" s="1337"/>
      <c r="AH61" s="1337"/>
      <c r="AI61" s="1337"/>
      <c r="AJ61" s="1337"/>
      <c r="AK61" s="1337"/>
      <c r="AL61" s="1337"/>
      <c r="AM61" s="1337"/>
      <c r="AN61" s="1337"/>
      <c r="AO61" s="1337"/>
      <c r="AP61" s="1337"/>
      <c r="AQ61" s="1337"/>
      <c r="AR61" s="1337"/>
      <c r="AS61" s="1337"/>
      <c r="AT61" s="1337"/>
      <c r="AU61" s="1337"/>
      <c r="AV61" s="1337"/>
      <c r="AW61" s="1337"/>
      <c r="AX61" s="1337"/>
      <c r="AY61" s="1337"/>
      <c r="AZ61" s="1337"/>
      <c r="BA61" s="1337"/>
      <c r="BB61" s="1337"/>
      <c r="BC61" s="1337"/>
      <c r="BD61" s="1337"/>
      <c r="BE61" s="1337"/>
      <c r="BF61" s="1337"/>
      <c r="BG61" s="1337"/>
      <c r="BH61" s="1337"/>
      <c r="BI61" s="1337"/>
      <c r="BJ61" s="1337"/>
      <c r="BK61" s="1337"/>
      <c r="BL61" s="1337"/>
      <c r="BM61" s="1337"/>
      <c r="BN61" s="1337"/>
      <c r="BO61" s="1337"/>
      <c r="BP61" s="1337"/>
      <c r="BQ61" s="1337"/>
      <c r="BR61" s="1337"/>
      <c r="BS61" s="1337"/>
      <c r="BT61" s="1337"/>
      <c r="BU61" s="1337"/>
      <c r="BV61" s="1337"/>
      <c r="BW61" s="1337"/>
      <c r="BX61" s="1337"/>
      <c r="BY61" s="1337"/>
      <c r="BZ61" s="1337"/>
      <c r="CA61" s="1337"/>
      <c r="CB61" s="1337"/>
      <c r="CC61" s="1337"/>
      <c r="CD61" s="1337"/>
      <c r="CE61" s="1337"/>
      <c r="CF61" s="1337"/>
      <c r="CG61" s="1337"/>
      <c r="CH61" s="1337"/>
      <c r="CI61" s="1337"/>
      <c r="CJ61" s="1337"/>
      <c r="CK61" s="1337"/>
      <c r="CL61" s="1337"/>
      <c r="CM61" s="1337"/>
      <c r="CN61" s="1337"/>
      <c r="CO61" s="1337"/>
      <c r="CP61" s="1337"/>
      <c r="CQ61" s="1337"/>
      <c r="CR61" s="1337"/>
      <c r="CS61" s="1337"/>
      <c r="CT61" s="1337"/>
      <c r="CU61" s="1337"/>
      <c r="CV61" s="1337"/>
      <c r="CW61" s="1337"/>
      <c r="CX61" s="1337"/>
      <c r="CY61" s="1337"/>
      <c r="CZ61" s="1337"/>
      <c r="DA61" s="1337"/>
      <c r="DB61" s="1337"/>
      <c r="DC61" s="1337"/>
      <c r="DD61" s="1337"/>
      <c r="DE61" s="1337"/>
      <c r="DF61" s="1337"/>
      <c r="DG61" s="1337"/>
      <c r="DH61" s="1337"/>
      <c r="DI61" s="1337"/>
      <c r="DJ61" s="1337"/>
      <c r="DK61" s="1337"/>
      <c r="DL61" s="1337"/>
      <c r="DM61" s="1337"/>
      <c r="DN61" s="1337"/>
      <c r="DO61" s="1337"/>
      <c r="DP61" s="1337"/>
      <c r="DQ61" s="1337"/>
      <c r="DR61" s="1337"/>
      <c r="DS61" s="1337"/>
      <c r="DT61" s="1337"/>
      <c r="DU61" s="1337"/>
      <c r="DV61" s="1337"/>
      <c r="DW61" s="1337"/>
      <c r="DX61" s="1337"/>
      <c r="DY61" s="1337"/>
      <c r="DZ61" s="1337"/>
      <c r="EA61" s="1337"/>
      <c r="EB61" s="1337"/>
      <c r="EC61" s="1337"/>
      <c r="ED61" s="1337"/>
      <c r="EE61" s="1337"/>
      <c r="EF61" s="1337"/>
      <c r="EG61" s="1337"/>
      <c r="EH61" s="1337"/>
      <c r="EI61" s="1337"/>
      <c r="EJ61" s="1337"/>
      <c r="EK61" s="1337"/>
      <c r="EL61" s="1337"/>
      <c r="EM61" s="1337"/>
      <c r="EN61" s="1337"/>
      <c r="EO61" s="1337"/>
      <c r="EP61" s="1337"/>
      <c r="EQ61" s="1337"/>
      <c r="ER61" s="1337"/>
      <c r="ES61" s="1337"/>
      <c r="ET61" s="1337"/>
      <c r="EU61" s="1337"/>
      <c r="EV61" s="1337"/>
      <c r="EW61" s="1337"/>
      <c r="EX61" s="1337"/>
      <c r="EY61" s="1337"/>
      <c r="EZ61" s="1337"/>
      <c r="FA61" s="1337"/>
      <c r="FB61" s="1337"/>
      <c r="FC61" s="1337"/>
      <c r="FD61" s="1337"/>
      <c r="FE61" s="1337"/>
      <c r="FF61" s="1337"/>
      <c r="FG61" s="1337"/>
      <c r="FH61" s="1337"/>
      <c r="FI61" s="1337"/>
      <c r="FJ61" s="1337"/>
      <c r="FK61" s="1337"/>
      <c r="FL61" s="1337"/>
      <c r="FM61" s="1337"/>
      <c r="FN61" s="1337"/>
      <c r="FO61" s="1337"/>
      <c r="FP61" s="1337"/>
      <c r="FQ61" s="1337"/>
      <c r="FR61" s="1337"/>
      <c r="FS61" s="1337"/>
      <c r="FT61" s="1337"/>
      <c r="FU61" s="1337"/>
      <c r="FV61" s="1337"/>
      <c r="FW61" s="1337"/>
      <c r="FX61" s="1337"/>
      <c r="FY61" s="1337"/>
      <c r="FZ61" s="1337"/>
      <c r="GA61" s="1337"/>
      <c r="GB61" s="1337"/>
      <c r="GC61" s="1337"/>
      <c r="GD61" s="1337"/>
      <c r="GE61" s="1337"/>
      <c r="GF61" s="1337"/>
      <c r="GG61" s="1337"/>
      <c r="GH61" s="1337"/>
      <c r="GI61" s="1337"/>
      <c r="GJ61" s="1337"/>
      <c r="GK61" s="1337"/>
      <c r="GL61" s="1337"/>
      <c r="GM61" s="1337"/>
      <c r="GN61" s="1337"/>
      <c r="GO61" s="1337"/>
      <c r="GP61" s="1337"/>
      <c r="GQ61" s="1337"/>
      <c r="GR61" s="1337"/>
      <c r="GS61" s="1337"/>
      <c r="GT61" s="1337"/>
      <c r="GU61" s="1337"/>
      <c r="GV61" s="1337"/>
      <c r="GW61" s="1337"/>
      <c r="GX61" s="1337"/>
      <c r="GY61" s="1337"/>
      <c r="GZ61" s="1337"/>
      <c r="HA61" s="1337"/>
      <c r="HB61" s="1337"/>
      <c r="HC61" s="1337"/>
      <c r="HD61" s="1337"/>
      <c r="HE61" s="1337"/>
      <c r="HF61" s="1337"/>
      <c r="HG61" s="1337"/>
      <c r="HH61" s="1337"/>
      <c r="HI61" s="1337"/>
      <c r="HJ61" s="1337"/>
      <c r="HK61" s="1337"/>
      <c r="HL61" s="1337"/>
      <c r="HM61" s="1337"/>
      <c r="HN61" s="1337"/>
      <c r="HO61" s="1337"/>
      <c r="HP61" s="1337"/>
      <c r="HQ61" s="1337"/>
      <c r="HR61" s="1337"/>
      <c r="HS61" s="1337"/>
      <c r="HT61" s="1337"/>
      <c r="HU61" s="1337"/>
      <c r="HV61" s="1337"/>
      <c r="HW61" s="1337"/>
      <c r="HX61" s="1337"/>
      <c r="HY61" s="1337"/>
      <c r="HZ61" s="1337"/>
      <c r="IA61" s="1337"/>
      <c r="IB61" s="1337"/>
      <c r="IC61" s="1337"/>
      <c r="ID61" s="1337"/>
      <c r="IE61" s="1337"/>
      <c r="IF61" s="1337"/>
      <c r="IG61" s="1337"/>
      <c r="IH61" s="1337"/>
      <c r="II61" s="1337"/>
      <c r="IJ61" s="1337"/>
      <c r="IK61" s="1337"/>
      <c r="IL61" s="1337"/>
      <c r="IM61" s="1337"/>
      <c r="IN61" s="1337"/>
      <c r="IO61" s="1337"/>
      <c r="IP61" s="1337"/>
      <c r="IQ61" s="1337"/>
      <c r="IR61" s="1337"/>
      <c r="IS61" s="1337"/>
      <c r="IT61" s="1337"/>
      <c r="IU61" s="1337"/>
      <c r="IV61" s="1337"/>
    </row>
    <row r="62" spans="1:256" ht="12" customHeight="1">
      <c r="A62" s="1397"/>
      <c r="B62" s="1323"/>
      <c r="C62" s="1398"/>
      <c r="D62" s="1398"/>
      <c r="E62" s="1398"/>
      <c r="F62" s="1398"/>
      <c r="G62" s="1393"/>
      <c r="H62" s="1394"/>
      <c r="I62" s="1395"/>
      <c r="J62" s="1395"/>
      <c r="K62" s="1396"/>
      <c r="L62" s="1396"/>
      <c r="M62" s="1396"/>
      <c r="N62" s="1396"/>
      <c r="O62" s="1337"/>
      <c r="P62" s="1337"/>
      <c r="Q62" s="1337"/>
      <c r="R62" s="1337"/>
      <c r="S62" s="1337"/>
      <c r="T62" s="1337"/>
      <c r="U62" s="1337"/>
      <c r="V62" s="1337"/>
      <c r="W62" s="1337"/>
      <c r="X62" s="1337"/>
      <c r="Y62" s="1337"/>
      <c r="Z62" s="1337"/>
      <c r="AA62" s="1337"/>
      <c r="AB62" s="1337"/>
      <c r="AC62" s="1337"/>
      <c r="AD62" s="1337"/>
      <c r="AE62" s="1337"/>
      <c r="AF62" s="1337"/>
      <c r="AG62" s="1337"/>
      <c r="AH62" s="1337"/>
      <c r="AI62" s="1337"/>
      <c r="AJ62" s="1337"/>
      <c r="AK62" s="1337"/>
      <c r="AL62" s="1337"/>
      <c r="AM62" s="1337"/>
      <c r="AN62" s="1337"/>
      <c r="AO62" s="1337"/>
      <c r="AP62" s="1337"/>
      <c r="AQ62" s="1337"/>
      <c r="AR62" s="1337"/>
      <c r="AS62" s="1337"/>
      <c r="AT62" s="1337"/>
      <c r="AU62" s="1337"/>
      <c r="AV62" s="1337"/>
      <c r="AW62" s="1337"/>
      <c r="AX62" s="1337"/>
      <c r="AY62" s="1337"/>
      <c r="AZ62" s="1337"/>
      <c r="BA62" s="1337"/>
      <c r="BB62" s="1337"/>
      <c r="BC62" s="1337"/>
      <c r="BD62" s="1337"/>
      <c r="BE62" s="1337"/>
      <c r="BF62" s="1337"/>
      <c r="BG62" s="1337"/>
      <c r="BH62" s="1337"/>
      <c r="BI62" s="1337"/>
      <c r="BJ62" s="1337"/>
      <c r="BK62" s="1337"/>
      <c r="BL62" s="1337"/>
      <c r="BM62" s="1337"/>
      <c r="BN62" s="1337"/>
      <c r="BO62" s="1337"/>
      <c r="BP62" s="1337"/>
      <c r="BQ62" s="1337"/>
      <c r="BR62" s="1337"/>
      <c r="BS62" s="1337"/>
      <c r="BT62" s="1337"/>
      <c r="BU62" s="1337"/>
      <c r="BV62" s="1337"/>
      <c r="BW62" s="1337"/>
      <c r="BX62" s="1337"/>
      <c r="BY62" s="1337"/>
      <c r="BZ62" s="1337"/>
      <c r="CA62" s="1337"/>
      <c r="CB62" s="1337"/>
      <c r="CC62" s="1337"/>
      <c r="CD62" s="1337"/>
      <c r="CE62" s="1337"/>
      <c r="CF62" s="1337"/>
      <c r="CG62" s="1337"/>
      <c r="CH62" s="1337"/>
      <c r="CI62" s="1337"/>
      <c r="CJ62" s="1337"/>
      <c r="CK62" s="1337"/>
      <c r="CL62" s="1337"/>
      <c r="CM62" s="1337"/>
      <c r="CN62" s="1337"/>
      <c r="CO62" s="1337"/>
      <c r="CP62" s="1337"/>
      <c r="CQ62" s="1337"/>
      <c r="CR62" s="1337"/>
      <c r="CS62" s="1337"/>
      <c r="CT62" s="1337"/>
      <c r="CU62" s="1337"/>
      <c r="CV62" s="1337"/>
      <c r="CW62" s="1337"/>
      <c r="CX62" s="1337"/>
      <c r="CY62" s="1337"/>
      <c r="CZ62" s="1337"/>
      <c r="DA62" s="1337"/>
      <c r="DB62" s="1337"/>
      <c r="DC62" s="1337"/>
      <c r="DD62" s="1337"/>
      <c r="DE62" s="1337"/>
      <c r="DF62" s="1337"/>
      <c r="DG62" s="1337"/>
      <c r="DH62" s="1337"/>
      <c r="DI62" s="1337"/>
      <c r="DJ62" s="1337"/>
      <c r="DK62" s="1337"/>
      <c r="DL62" s="1337"/>
      <c r="DM62" s="1337"/>
      <c r="DN62" s="1337"/>
      <c r="DO62" s="1337"/>
      <c r="DP62" s="1337"/>
      <c r="DQ62" s="1337"/>
      <c r="DR62" s="1337"/>
      <c r="DS62" s="1337"/>
      <c r="DT62" s="1337"/>
      <c r="DU62" s="1337"/>
      <c r="DV62" s="1337"/>
      <c r="DW62" s="1337"/>
      <c r="DX62" s="1337"/>
      <c r="DY62" s="1337"/>
      <c r="DZ62" s="1337"/>
      <c r="EA62" s="1337"/>
      <c r="EB62" s="1337"/>
      <c r="EC62" s="1337"/>
      <c r="ED62" s="1337"/>
      <c r="EE62" s="1337"/>
      <c r="EF62" s="1337"/>
      <c r="EG62" s="1337"/>
      <c r="EH62" s="1337"/>
      <c r="EI62" s="1337"/>
      <c r="EJ62" s="1337"/>
      <c r="EK62" s="1337"/>
      <c r="EL62" s="1337"/>
      <c r="EM62" s="1337"/>
      <c r="EN62" s="1337"/>
      <c r="EO62" s="1337"/>
      <c r="EP62" s="1337"/>
      <c r="EQ62" s="1337"/>
      <c r="ER62" s="1337"/>
      <c r="ES62" s="1337"/>
      <c r="ET62" s="1337"/>
      <c r="EU62" s="1337"/>
      <c r="EV62" s="1337"/>
      <c r="EW62" s="1337"/>
      <c r="EX62" s="1337"/>
      <c r="EY62" s="1337"/>
      <c r="EZ62" s="1337"/>
      <c r="FA62" s="1337"/>
      <c r="FB62" s="1337"/>
      <c r="FC62" s="1337"/>
      <c r="FD62" s="1337"/>
      <c r="FE62" s="1337"/>
      <c r="FF62" s="1337"/>
      <c r="FG62" s="1337"/>
      <c r="FH62" s="1337"/>
      <c r="FI62" s="1337"/>
      <c r="FJ62" s="1337"/>
      <c r="FK62" s="1337"/>
      <c r="FL62" s="1337"/>
      <c r="FM62" s="1337"/>
      <c r="FN62" s="1337"/>
      <c r="FO62" s="1337"/>
      <c r="FP62" s="1337"/>
      <c r="FQ62" s="1337"/>
      <c r="FR62" s="1337"/>
      <c r="FS62" s="1337"/>
      <c r="FT62" s="1337"/>
      <c r="FU62" s="1337"/>
      <c r="FV62" s="1337"/>
      <c r="FW62" s="1337"/>
      <c r="FX62" s="1337"/>
      <c r="FY62" s="1337"/>
      <c r="FZ62" s="1337"/>
      <c r="GA62" s="1337"/>
      <c r="GB62" s="1337"/>
      <c r="GC62" s="1337"/>
      <c r="GD62" s="1337"/>
      <c r="GE62" s="1337"/>
      <c r="GF62" s="1337"/>
      <c r="GG62" s="1337"/>
      <c r="GH62" s="1337"/>
      <c r="GI62" s="1337"/>
      <c r="GJ62" s="1337"/>
      <c r="GK62" s="1337"/>
      <c r="GL62" s="1337"/>
      <c r="GM62" s="1337"/>
      <c r="GN62" s="1337"/>
      <c r="GO62" s="1337"/>
      <c r="GP62" s="1337"/>
      <c r="GQ62" s="1337"/>
      <c r="GR62" s="1337"/>
      <c r="GS62" s="1337"/>
      <c r="GT62" s="1337"/>
      <c r="GU62" s="1337"/>
      <c r="GV62" s="1337"/>
      <c r="GW62" s="1337"/>
      <c r="GX62" s="1337"/>
      <c r="GY62" s="1337"/>
      <c r="GZ62" s="1337"/>
      <c r="HA62" s="1337"/>
      <c r="HB62" s="1337"/>
      <c r="HC62" s="1337"/>
      <c r="HD62" s="1337"/>
      <c r="HE62" s="1337"/>
      <c r="HF62" s="1337"/>
      <c r="HG62" s="1337"/>
      <c r="HH62" s="1337"/>
      <c r="HI62" s="1337"/>
      <c r="HJ62" s="1337"/>
      <c r="HK62" s="1337"/>
      <c r="HL62" s="1337"/>
      <c r="HM62" s="1337"/>
      <c r="HN62" s="1337"/>
      <c r="HO62" s="1337"/>
      <c r="HP62" s="1337"/>
      <c r="HQ62" s="1337"/>
      <c r="HR62" s="1337"/>
      <c r="HS62" s="1337"/>
      <c r="HT62" s="1337"/>
      <c r="HU62" s="1337"/>
      <c r="HV62" s="1337"/>
      <c r="HW62" s="1337"/>
      <c r="HX62" s="1337"/>
      <c r="HY62" s="1337"/>
      <c r="HZ62" s="1337"/>
      <c r="IA62" s="1337"/>
      <c r="IB62" s="1337"/>
      <c r="IC62" s="1337"/>
      <c r="ID62" s="1337"/>
      <c r="IE62" s="1337"/>
      <c r="IF62" s="1337"/>
      <c r="IG62" s="1337"/>
      <c r="IH62" s="1337"/>
      <c r="II62" s="1337"/>
      <c r="IJ62" s="1337"/>
      <c r="IK62" s="1337"/>
      <c r="IL62" s="1337"/>
      <c r="IM62" s="1337"/>
      <c r="IN62" s="1337"/>
      <c r="IO62" s="1337"/>
      <c r="IP62" s="1337"/>
      <c r="IQ62" s="1337"/>
      <c r="IR62" s="1337"/>
      <c r="IS62" s="1337"/>
      <c r="IT62" s="1337"/>
      <c r="IU62" s="1337"/>
      <c r="IV62" s="1337"/>
    </row>
    <row r="63" spans="1:256" ht="9.75" customHeight="1">
      <c r="C63" s="1401"/>
      <c r="D63" s="1401"/>
      <c r="E63" s="1401"/>
      <c r="F63" s="1401"/>
      <c r="G63" s="1393"/>
      <c r="H63" s="1394"/>
      <c r="I63" s="1395"/>
      <c r="J63" s="1395"/>
      <c r="K63" s="1396"/>
      <c r="L63" s="1396"/>
      <c r="M63" s="1396"/>
      <c r="N63" s="1396"/>
      <c r="O63" s="1337"/>
      <c r="P63" s="1337"/>
      <c r="Q63" s="1337"/>
      <c r="R63" s="1337"/>
      <c r="S63" s="1337"/>
      <c r="T63" s="1337"/>
      <c r="U63" s="1337"/>
      <c r="V63" s="1337"/>
      <c r="W63" s="1337"/>
      <c r="X63" s="1337"/>
      <c r="Y63" s="1337"/>
      <c r="Z63" s="1337"/>
      <c r="AA63" s="1337"/>
      <c r="AB63" s="1337"/>
      <c r="AC63" s="1337"/>
      <c r="AD63" s="1337"/>
      <c r="AE63" s="1337"/>
      <c r="AF63" s="1337"/>
      <c r="AG63" s="1337"/>
      <c r="AH63" s="1337"/>
      <c r="AI63" s="1337"/>
      <c r="AJ63" s="1337"/>
      <c r="AK63" s="1337"/>
      <c r="AL63" s="1337"/>
      <c r="AM63" s="1337"/>
      <c r="AN63" s="1337"/>
      <c r="AO63" s="1337"/>
      <c r="AP63" s="1337"/>
      <c r="AQ63" s="1337"/>
      <c r="AR63" s="1337"/>
      <c r="AS63" s="1337"/>
      <c r="AT63" s="1337"/>
      <c r="AU63" s="1337"/>
      <c r="AV63" s="1337"/>
      <c r="AW63" s="1337"/>
      <c r="AX63" s="1337"/>
      <c r="AY63" s="1337"/>
      <c r="AZ63" s="1337"/>
      <c r="BA63" s="1337"/>
      <c r="BB63" s="1337"/>
      <c r="BC63" s="1337"/>
      <c r="BD63" s="1337"/>
      <c r="BE63" s="1337"/>
      <c r="BF63" s="1337"/>
      <c r="BG63" s="1337"/>
      <c r="BH63" s="1337"/>
      <c r="BI63" s="1337"/>
      <c r="BJ63" s="1337"/>
      <c r="BK63" s="1337"/>
      <c r="BL63" s="1337"/>
      <c r="BM63" s="1337"/>
      <c r="BN63" s="1337"/>
      <c r="BO63" s="1337"/>
      <c r="BP63" s="1337"/>
      <c r="BQ63" s="1337"/>
      <c r="BR63" s="1337"/>
      <c r="BS63" s="1337"/>
      <c r="BT63" s="1337"/>
      <c r="BU63" s="1337"/>
      <c r="BV63" s="1337"/>
      <c r="BW63" s="1337"/>
      <c r="BX63" s="1337"/>
      <c r="BY63" s="1337"/>
      <c r="BZ63" s="1337"/>
      <c r="CA63" s="1337"/>
      <c r="CB63" s="1337"/>
      <c r="CC63" s="1337"/>
      <c r="CD63" s="1337"/>
      <c r="CE63" s="1337"/>
      <c r="CF63" s="1337"/>
      <c r="CG63" s="1337"/>
      <c r="CH63" s="1337"/>
      <c r="CI63" s="1337"/>
      <c r="CJ63" s="1337"/>
      <c r="CK63" s="1337"/>
      <c r="CL63" s="1337"/>
      <c r="CM63" s="1337"/>
      <c r="CN63" s="1337"/>
      <c r="CO63" s="1337"/>
      <c r="CP63" s="1337"/>
      <c r="CQ63" s="1337"/>
      <c r="CR63" s="1337"/>
      <c r="CS63" s="1337"/>
      <c r="CT63" s="1337"/>
      <c r="CU63" s="1337"/>
      <c r="CV63" s="1337"/>
      <c r="CW63" s="1337"/>
      <c r="CX63" s="1337"/>
      <c r="CY63" s="1337"/>
      <c r="CZ63" s="1337"/>
      <c r="DA63" s="1337"/>
      <c r="DB63" s="1337"/>
      <c r="DC63" s="1337"/>
      <c r="DD63" s="1337"/>
      <c r="DE63" s="1337"/>
      <c r="DF63" s="1337"/>
      <c r="DG63" s="1337"/>
      <c r="DH63" s="1337"/>
      <c r="DI63" s="1337"/>
      <c r="DJ63" s="1337"/>
      <c r="DK63" s="1337"/>
      <c r="DL63" s="1337"/>
      <c r="DM63" s="1337"/>
      <c r="DN63" s="1337"/>
      <c r="DO63" s="1337"/>
      <c r="DP63" s="1337"/>
      <c r="DQ63" s="1337"/>
      <c r="DR63" s="1337"/>
      <c r="DS63" s="1337"/>
      <c r="DT63" s="1337"/>
      <c r="DU63" s="1337"/>
      <c r="DV63" s="1337"/>
      <c r="DW63" s="1337"/>
      <c r="DX63" s="1337"/>
      <c r="DY63" s="1337"/>
      <c r="DZ63" s="1337"/>
      <c r="EA63" s="1337"/>
      <c r="EB63" s="1337"/>
      <c r="EC63" s="1337"/>
      <c r="ED63" s="1337"/>
      <c r="EE63" s="1337"/>
      <c r="EF63" s="1337"/>
      <c r="EG63" s="1337"/>
      <c r="EH63" s="1337"/>
      <c r="EI63" s="1337"/>
      <c r="EJ63" s="1337"/>
      <c r="EK63" s="1337"/>
      <c r="EL63" s="1337"/>
      <c r="EM63" s="1337"/>
      <c r="EN63" s="1337"/>
      <c r="EO63" s="1337"/>
      <c r="EP63" s="1337"/>
      <c r="EQ63" s="1337"/>
      <c r="ER63" s="1337"/>
      <c r="ES63" s="1337"/>
      <c r="ET63" s="1337"/>
      <c r="EU63" s="1337"/>
      <c r="EV63" s="1337"/>
      <c r="EW63" s="1337"/>
      <c r="EX63" s="1337"/>
      <c r="EY63" s="1337"/>
      <c r="EZ63" s="1337"/>
      <c r="FA63" s="1337"/>
      <c r="FB63" s="1337"/>
      <c r="FC63" s="1337"/>
      <c r="FD63" s="1337"/>
      <c r="FE63" s="1337"/>
      <c r="FF63" s="1337"/>
      <c r="FG63" s="1337"/>
      <c r="FH63" s="1337"/>
      <c r="FI63" s="1337"/>
      <c r="FJ63" s="1337"/>
      <c r="FK63" s="1337"/>
      <c r="FL63" s="1337"/>
      <c r="FM63" s="1337"/>
      <c r="FN63" s="1337"/>
      <c r="FO63" s="1337"/>
      <c r="FP63" s="1337"/>
      <c r="FQ63" s="1337"/>
      <c r="FR63" s="1337"/>
      <c r="FS63" s="1337"/>
      <c r="FT63" s="1337"/>
      <c r="FU63" s="1337"/>
      <c r="FV63" s="1337"/>
      <c r="FW63" s="1337"/>
      <c r="FX63" s="1337"/>
      <c r="FY63" s="1337"/>
      <c r="FZ63" s="1337"/>
      <c r="GA63" s="1337"/>
      <c r="GB63" s="1337"/>
      <c r="GC63" s="1337"/>
      <c r="GD63" s="1337"/>
      <c r="GE63" s="1337"/>
      <c r="GF63" s="1337"/>
      <c r="GG63" s="1337"/>
      <c r="GH63" s="1337"/>
      <c r="GI63" s="1337"/>
      <c r="GJ63" s="1337"/>
      <c r="GK63" s="1337"/>
      <c r="GL63" s="1337"/>
      <c r="GM63" s="1337"/>
      <c r="GN63" s="1337"/>
      <c r="GO63" s="1337"/>
      <c r="GP63" s="1337"/>
      <c r="GQ63" s="1337"/>
      <c r="GR63" s="1337"/>
      <c r="GS63" s="1337"/>
      <c r="GT63" s="1337"/>
      <c r="GU63" s="1337"/>
      <c r="GV63" s="1337"/>
      <c r="GW63" s="1337"/>
      <c r="GX63" s="1337"/>
      <c r="GY63" s="1337"/>
      <c r="GZ63" s="1337"/>
      <c r="HA63" s="1337"/>
      <c r="HB63" s="1337"/>
      <c r="HC63" s="1337"/>
      <c r="HD63" s="1337"/>
      <c r="HE63" s="1337"/>
      <c r="HF63" s="1337"/>
      <c r="HG63" s="1337"/>
      <c r="HH63" s="1337"/>
      <c r="HI63" s="1337"/>
      <c r="HJ63" s="1337"/>
      <c r="HK63" s="1337"/>
      <c r="HL63" s="1337"/>
      <c r="HM63" s="1337"/>
      <c r="HN63" s="1337"/>
      <c r="HO63" s="1337"/>
      <c r="HP63" s="1337"/>
      <c r="HQ63" s="1337"/>
      <c r="HR63" s="1337"/>
      <c r="HS63" s="1337"/>
      <c r="HT63" s="1337"/>
      <c r="HU63" s="1337"/>
      <c r="HV63" s="1337"/>
      <c r="HW63" s="1337"/>
      <c r="HX63" s="1337"/>
      <c r="HY63" s="1337"/>
      <c r="HZ63" s="1337"/>
      <c r="IA63" s="1337"/>
      <c r="IB63" s="1337"/>
      <c r="IC63" s="1337"/>
      <c r="ID63" s="1337"/>
      <c r="IE63" s="1337"/>
      <c r="IF63" s="1337"/>
      <c r="IG63" s="1337"/>
      <c r="IH63" s="1337"/>
      <c r="II63" s="1337"/>
      <c r="IJ63" s="1337"/>
      <c r="IK63" s="1337"/>
      <c r="IL63" s="1337"/>
      <c r="IM63" s="1337"/>
      <c r="IN63" s="1337"/>
      <c r="IO63" s="1337"/>
      <c r="IP63" s="1337"/>
      <c r="IQ63" s="1337"/>
      <c r="IR63" s="1337"/>
      <c r="IS63" s="1337"/>
      <c r="IT63" s="1337"/>
      <c r="IU63" s="1337"/>
      <c r="IV63" s="1337"/>
    </row>
    <row r="64" spans="1:256" ht="6" customHeight="1">
      <c r="C64" s="1401"/>
      <c r="D64" s="1401"/>
      <c r="E64" s="1401"/>
      <c r="F64" s="1401"/>
      <c r="G64" s="1393"/>
      <c r="H64" s="1394"/>
      <c r="I64" s="1395"/>
      <c r="J64" s="1395"/>
      <c r="K64" s="1402"/>
      <c r="L64" s="1402"/>
      <c r="M64" s="1402"/>
      <c r="N64" s="1402"/>
      <c r="O64" s="1337"/>
      <c r="P64" s="1337"/>
      <c r="Q64" s="1337"/>
      <c r="R64" s="1337"/>
      <c r="S64" s="1337"/>
      <c r="T64" s="1337"/>
      <c r="U64" s="1337"/>
      <c r="V64" s="1337"/>
      <c r="W64" s="1337"/>
      <c r="X64" s="1337"/>
      <c r="Y64" s="1337"/>
      <c r="Z64" s="1337"/>
      <c r="AA64" s="1337"/>
      <c r="AB64" s="1337"/>
      <c r="AC64" s="1337"/>
      <c r="AD64" s="1337"/>
      <c r="AE64" s="1337"/>
      <c r="AF64" s="1337"/>
      <c r="AG64" s="1337"/>
      <c r="AH64" s="1337"/>
      <c r="AI64" s="1337"/>
      <c r="AJ64" s="1337"/>
      <c r="AK64" s="1337"/>
      <c r="AL64" s="1337"/>
      <c r="AM64" s="1337"/>
      <c r="AN64" s="1337"/>
      <c r="AO64" s="1337"/>
      <c r="AP64" s="1337"/>
      <c r="AQ64" s="1337"/>
      <c r="AR64" s="1337"/>
      <c r="AS64" s="1337"/>
      <c r="AT64" s="1337"/>
      <c r="AU64" s="1337"/>
      <c r="AV64" s="1337"/>
      <c r="AW64" s="1337"/>
      <c r="AX64" s="1337"/>
      <c r="AY64" s="1337"/>
      <c r="AZ64" s="1337"/>
      <c r="BA64" s="1337"/>
      <c r="BB64" s="1337"/>
      <c r="BC64" s="1337"/>
      <c r="BD64" s="1337"/>
      <c r="BE64" s="1337"/>
      <c r="BF64" s="1337"/>
      <c r="BG64" s="1337"/>
      <c r="BH64" s="1337"/>
      <c r="BI64" s="1337"/>
      <c r="BJ64" s="1337"/>
      <c r="BK64" s="1337"/>
      <c r="BL64" s="1337"/>
      <c r="BM64" s="1337"/>
      <c r="BN64" s="1337"/>
      <c r="BO64" s="1337"/>
      <c r="BP64" s="1337"/>
      <c r="BQ64" s="1337"/>
      <c r="BR64" s="1337"/>
      <c r="BS64" s="1337"/>
      <c r="BT64" s="1337"/>
      <c r="BU64" s="1337"/>
      <c r="BV64" s="1337"/>
      <c r="BW64" s="1337"/>
      <c r="BX64" s="1337"/>
      <c r="BY64" s="1337"/>
      <c r="BZ64" s="1337"/>
      <c r="CA64" s="1337"/>
      <c r="CB64" s="1337"/>
      <c r="CC64" s="1337"/>
      <c r="CD64" s="1337"/>
      <c r="CE64" s="1337"/>
      <c r="CF64" s="1337"/>
      <c r="CG64" s="1337"/>
      <c r="CH64" s="1337"/>
      <c r="CI64" s="1337"/>
      <c r="CJ64" s="1337"/>
      <c r="CK64" s="1337"/>
      <c r="CL64" s="1337"/>
      <c r="CM64" s="1337"/>
      <c r="CN64" s="1337"/>
      <c r="CO64" s="1337"/>
      <c r="CP64" s="1337"/>
      <c r="CQ64" s="1337"/>
      <c r="CR64" s="1337"/>
      <c r="CS64" s="1337"/>
      <c r="CT64" s="1337"/>
      <c r="CU64" s="1337"/>
      <c r="CV64" s="1337"/>
      <c r="CW64" s="1337"/>
      <c r="CX64" s="1337"/>
      <c r="CY64" s="1337"/>
      <c r="CZ64" s="1337"/>
      <c r="DA64" s="1337"/>
      <c r="DB64" s="1337"/>
      <c r="DC64" s="1337"/>
      <c r="DD64" s="1337"/>
      <c r="DE64" s="1337"/>
      <c r="DF64" s="1337"/>
      <c r="DG64" s="1337"/>
      <c r="DH64" s="1337"/>
      <c r="DI64" s="1337"/>
      <c r="DJ64" s="1337"/>
      <c r="DK64" s="1337"/>
      <c r="DL64" s="1337"/>
      <c r="DM64" s="1337"/>
      <c r="DN64" s="1337"/>
      <c r="DO64" s="1337"/>
      <c r="DP64" s="1337"/>
      <c r="DQ64" s="1337"/>
      <c r="DR64" s="1337"/>
      <c r="DS64" s="1337"/>
      <c r="DT64" s="1337"/>
      <c r="DU64" s="1337"/>
      <c r="DV64" s="1337"/>
      <c r="DW64" s="1337"/>
      <c r="DX64" s="1337"/>
      <c r="DY64" s="1337"/>
      <c r="DZ64" s="1337"/>
      <c r="EA64" s="1337"/>
      <c r="EB64" s="1337"/>
      <c r="EC64" s="1337"/>
      <c r="ED64" s="1337"/>
      <c r="EE64" s="1337"/>
      <c r="EF64" s="1337"/>
      <c r="EG64" s="1337"/>
      <c r="EH64" s="1337"/>
      <c r="EI64" s="1337"/>
      <c r="EJ64" s="1337"/>
      <c r="EK64" s="1337"/>
      <c r="EL64" s="1337"/>
      <c r="EM64" s="1337"/>
      <c r="EN64" s="1337"/>
      <c r="EO64" s="1337"/>
      <c r="EP64" s="1337"/>
      <c r="EQ64" s="1337"/>
      <c r="ER64" s="1337"/>
      <c r="ES64" s="1337"/>
      <c r="ET64" s="1337"/>
      <c r="EU64" s="1337"/>
      <c r="EV64" s="1337"/>
      <c r="EW64" s="1337"/>
      <c r="EX64" s="1337"/>
      <c r="EY64" s="1337"/>
      <c r="EZ64" s="1337"/>
      <c r="FA64" s="1337"/>
      <c r="FB64" s="1337"/>
      <c r="FC64" s="1337"/>
      <c r="FD64" s="1337"/>
      <c r="FE64" s="1337"/>
      <c r="FF64" s="1337"/>
      <c r="FG64" s="1337"/>
      <c r="FH64" s="1337"/>
      <c r="FI64" s="1337"/>
      <c r="FJ64" s="1337"/>
      <c r="FK64" s="1337"/>
      <c r="FL64" s="1337"/>
      <c r="FM64" s="1337"/>
      <c r="FN64" s="1337"/>
      <c r="FO64" s="1337"/>
      <c r="FP64" s="1337"/>
      <c r="FQ64" s="1337"/>
      <c r="FR64" s="1337"/>
      <c r="FS64" s="1337"/>
      <c r="FT64" s="1337"/>
      <c r="FU64" s="1337"/>
      <c r="FV64" s="1337"/>
      <c r="FW64" s="1337"/>
      <c r="FX64" s="1337"/>
      <c r="FY64" s="1337"/>
      <c r="FZ64" s="1337"/>
      <c r="GA64" s="1337"/>
      <c r="GB64" s="1337"/>
      <c r="GC64" s="1337"/>
      <c r="GD64" s="1337"/>
      <c r="GE64" s="1337"/>
      <c r="GF64" s="1337"/>
      <c r="GG64" s="1337"/>
      <c r="GH64" s="1337"/>
      <c r="GI64" s="1337"/>
      <c r="GJ64" s="1337"/>
      <c r="GK64" s="1337"/>
      <c r="GL64" s="1337"/>
      <c r="GM64" s="1337"/>
      <c r="GN64" s="1337"/>
      <c r="GO64" s="1337"/>
      <c r="GP64" s="1337"/>
      <c r="GQ64" s="1337"/>
      <c r="GR64" s="1337"/>
      <c r="GS64" s="1337"/>
      <c r="GT64" s="1337"/>
      <c r="GU64" s="1337"/>
      <c r="GV64" s="1337"/>
      <c r="GW64" s="1337"/>
      <c r="GX64" s="1337"/>
      <c r="GY64" s="1337"/>
      <c r="GZ64" s="1337"/>
      <c r="HA64" s="1337"/>
      <c r="HB64" s="1337"/>
      <c r="HC64" s="1337"/>
      <c r="HD64" s="1337"/>
      <c r="HE64" s="1337"/>
      <c r="HF64" s="1337"/>
      <c r="HG64" s="1337"/>
      <c r="HH64" s="1337"/>
      <c r="HI64" s="1337"/>
      <c r="HJ64" s="1337"/>
      <c r="HK64" s="1337"/>
      <c r="HL64" s="1337"/>
      <c r="HM64" s="1337"/>
      <c r="HN64" s="1337"/>
      <c r="HO64" s="1337"/>
      <c r="HP64" s="1337"/>
      <c r="HQ64" s="1337"/>
      <c r="HR64" s="1337"/>
      <c r="HS64" s="1337"/>
      <c r="HT64" s="1337"/>
      <c r="HU64" s="1337"/>
      <c r="HV64" s="1337"/>
      <c r="HW64" s="1337"/>
      <c r="HX64" s="1337"/>
      <c r="HY64" s="1337"/>
      <c r="HZ64" s="1337"/>
      <c r="IA64" s="1337"/>
      <c r="IB64" s="1337"/>
      <c r="IC64" s="1337"/>
      <c r="ID64" s="1337"/>
      <c r="IE64" s="1337"/>
      <c r="IF64" s="1337"/>
      <c r="IG64" s="1337"/>
      <c r="IH64" s="1337"/>
      <c r="II64" s="1337"/>
      <c r="IJ64" s="1337"/>
      <c r="IK64" s="1337"/>
      <c r="IL64" s="1337"/>
      <c r="IM64" s="1337"/>
      <c r="IN64" s="1337"/>
      <c r="IO64" s="1337"/>
      <c r="IP64" s="1337"/>
      <c r="IQ64" s="1337"/>
      <c r="IR64" s="1337"/>
      <c r="IS64" s="1337"/>
      <c r="IT64" s="1337"/>
      <c r="IU64" s="1337"/>
      <c r="IV64" s="1337"/>
    </row>
    <row r="65" spans="1:256" ht="27" customHeight="1">
      <c r="A65" s="1313" t="s">
        <v>1093</v>
      </c>
      <c r="B65" s="1314"/>
      <c r="C65" s="1314"/>
      <c r="D65" s="1314"/>
      <c r="E65" s="1314"/>
      <c r="F65" s="1314"/>
      <c r="G65" s="1395"/>
      <c r="H65" s="1395"/>
      <c r="I65" s="1395"/>
      <c r="J65" s="1395"/>
      <c r="K65" s="1402"/>
      <c r="L65" s="1402"/>
      <c r="M65" s="1402"/>
      <c r="N65" s="1402"/>
      <c r="O65" s="1337"/>
      <c r="P65" s="1337"/>
      <c r="Q65" s="1337"/>
      <c r="R65" s="1337"/>
      <c r="S65" s="1337"/>
      <c r="T65" s="1337"/>
      <c r="U65" s="1337"/>
      <c r="V65" s="1337"/>
      <c r="W65" s="1337"/>
      <c r="X65" s="1337"/>
      <c r="Y65" s="1337"/>
      <c r="Z65" s="1337"/>
      <c r="AA65" s="1337"/>
      <c r="AB65" s="1337"/>
      <c r="AC65" s="1337"/>
      <c r="AD65" s="1337"/>
      <c r="AE65" s="1337"/>
      <c r="AF65" s="1337"/>
      <c r="AG65" s="1337"/>
      <c r="AH65" s="1337"/>
      <c r="AI65" s="1337"/>
      <c r="AJ65" s="1337"/>
      <c r="AK65" s="1337"/>
      <c r="AL65" s="1337"/>
      <c r="AM65" s="1337"/>
      <c r="AN65" s="1337"/>
      <c r="AO65" s="1337"/>
      <c r="AP65" s="1337"/>
      <c r="AQ65" s="1337"/>
      <c r="AR65" s="1337"/>
      <c r="AS65" s="1337"/>
      <c r="AT65" s="1337"/>
      <c r="AU65" s="1337"/>
      <c r="AV65" s="1337"/>
      <c r="AW65" s="1337"/>
      <c r="AX65" s="1337"/>
      <c r="AY65" s="1337"/>
      <c r="AZ65" s="1337"/>
      <c r="BA65" s="1337"/>
      <c r="BB65" s="1337"/>
      <c r="BC65" s="1337"/>
      <c r="BD65" s="1337"/>
      <c r="BE65" s="1337"/>
      <c r="BF65" s="1337"/>
      <c r="BG65" s="1337"/>
      <c r="BH65" s="1337"/>
      <c r="BI65" s="1337"/>
      <c r="BJ65" s="1337"/>
      <c r="BK65" s="1337"/>
      <c r="BL65" s="1337"/>
      <c r="BM65" s="1337"/>
      <c r="BN65" s="1337"/>
      <c r="BO65" s="1337"/>
      <c r="BP65" s="1337"/>
      <c r="BQ65" s="1337"/>
      <c r="BR65" s="1337"/>
      <c r="BS65" s="1337"/>
      <c r="BT65" s="1337"/>
      <c r="BU65" s="1337"/>
      <c r="BV65" s="1337"/>
      <c r="BW65" s="1337"/>
      <c r="BX65" s="1337"/>
      <c r="BY65" s="1337"/>
      <c r="BZ65" s="1337"/>
      <c r="CA65" s="1337"/>
      <c r="CB65" s="1337"/>
      <c r="CC65" s="1337"/>
      <c r="CD65" s="1337"/>
      <c r="CE65" s="1337"/>
      <c r="CF65" s="1337"/>
      <c r="CG65" s="1337"/>
      <c r="CH65" s="1337"/>
      <c r="CI65" s="1337"/>
      <c r="CJ65" s="1337"/>
      <c r="CK65" s="1337"/>
      <c r="CL65" s="1337"/>
      <c r="CM65" s="1337"/>
      <c r="CN65" s="1337"/>
      <c r="CO65" s="1337"/>
      <c r="CP65" s="1337"/>
      <c r="CQ65" s="1337"/>
      <c r="CR65" s="1337"/>
      <c r="CS65" s="1337"/>
      <c r="CT65" s="1337"/>
      <c r="CU65" s="1337"/>
      <c r="CV65" s="1337"/>
      <c r="CW65" s="1337"/>
      <c r="CX65" s="1337"/>
      <c r="CY65" s="1337"/>
      <c r="CZ65" s="1337"/>
      <c r="DA65" s="1337"/>
      <c r="DB65" s="1337"/>
      <c r="DC65" s="1337"/>
      <c r="DD65" s="1337"/>
      <c r="DE65" s="1337"/>
      <c r="DF65" s="1337"/>
      <c r="DG65" s="1337"/>
      <c r="DH65" s="1337"/>
      <c r="DI65" s="1337"/>
      <c r="DJ65" s="1337"/>
      <c r="DK65" s="1337"/>
      <c r="DL65" s="1337"/>
      <c r="DM65" s="1337"/>
      <c r="DN65" s="1337"/>
      <c r="DO65" s="1337"/>
      <c r="DP65" s="1337"/>
      <c r="DQ65" s="1337"/>
      <c r="DR65" s="1337"/>
      <c r="DS65" s="1337"/>
      <c r="DT65" s="1337"/>
      <c r="DU65" s="1337"/>
      <c r="DV65" s="1337"/>
      <c r="DW65" s="1337"/>
      <c r="DX65" s="1337"/>
      <c r="DY65" s="1337"/>
      <c r="DZ65" s="1337"/>
      <c r="EA65" s="1337"/>
      <c r="EB65" s="1337"/>
      <c r="EC65" s="1337"/>
      <c r="ED65" s="1337"/>
      <c r="EE65" s="1337"/>
      <c r="EF65" s="1337"/>
      <c r="EG65" s="1337"/>
      <c r="EH65" s="1337"/>
      <c r="EI65" s="1337"/>
      <c r="EJ65" s="1337"/>
      <c r="EK65" s="1337"/>
      <c r="EL65" s="1337"/>
      <c r="EM65" s="1337"/>
      <c r="EN65" s="1337"/>
      <c r="EO65" s="1337"/>
      <c r="EP65" s="1337"/>
      <c r="EQ65" s="1337"/>
      <c r="ER65" s="1337"/>
      <c r="ES65" s="1337"/>
      <c r="ET65" s="1337"/>
      <c r="EU65" s="1337"/>
      <c r="EV65" s="1337"/>
      <c r="EW65" s="1337"/>
      <c r="EX65" s="1337"/>
      <c r="EY65" s="1337"/>
      <c r="EZ65" s="1337"/>
      <c r="FA65" s="1337"/>
      <c r="FB65" s="1337"/>
      <c r="FC65" s="1337"/>
      <c r="FD65" s="1337"/>
      <c r="FE65" s="1337"/>
      <c r="FF65" s="1337"/>
      <c r="FG65" s="1337"/>
      <c r="FH65" s="1337"/>
      <c r="FI65" s="1337"/>
      <c r="FJ65" s="1337"/>
      <c r="FK65" s="1337"/>
      <c r="FL65" s="1337"/>
      <c r="FM65" s="1337"/>
      <c r="FN65" s="1337"/>
      <c r="FO65" s="1337"/>
      <c r="FP65" s="1337"/>
      <c r="FQ65" s="1337"/>
      <c r="FR65" s="1337"/>
      <c r="FS65" s="1337"/>
      <c r="FT65" s="1337"/>
      <c r="FU65" s="1337"/>
      <c r="FV65" s="1337"/>
      <c r="FW65" s="1337"/>
      <c r="FX65" s="1337"/>
      <c r="FY65" s="1337"/>
      <c r="FZ65" s="1337"/>
      <c r="GA65" s="1337"/>
      <c r="GB65" s="1337"/>
      <c r="GC65" s="1337"/>
      <c r="GD65" s="1337"/>
      <c r="GE65" s="1337"/>
      <c r="GF65" s="1337"/>
      <c r="GG65" s="1337"/>
      <c r="GH65" s="1337"/>
      <c r="GI65" s="1337"/>
      <c r="GJ65" s="1337"/>
      <c r="GK65" s="1337"/>
      <c r="GL65" s="1337"/>
      <c r="GM65" s="1337"/>
      <c r="GN65" s="1337"/>
      <c r="GO65" s="1337"/>
      <c r="GP65" s="1337"/>
      <c r="GQ65" s="1337"/>
      <c r="GR65" s="1337"/>
      <c r="GS65" s="1337"/>
      <c r="GT65" s="1337"/>
      <c r="GU65" s="1337"/>
      <c r="GV65" s="1337"/>
      <c r="GW65" s="1337"/>
      <c r="GX65" s="1337"/>
      <c r="GY65" s="1337"/>
      <c r="GZ65" s="1337"/>
      <c r="HA65" s="1337"/>
      <c r="HB65" s="1337"/>
      <c r="HC65" s="1337"/>
      <c r="HD65" s="1337"/>
      <c r="HE65" s="1337"/>
      <c r="HF65" s="1337"/>
      <c r="HG65" s="1337"/>
      <c r="HH65" s="1337"/>
      <c r="HI65" s="1337"/>
      <c r="HJ65" s="1337"/>
      <c r="HK65" s="1337"/>
      <c r="HL65" s="1337"/>
      <c r="HM65" s="1337"/>
      <c r="HN65" s="1337"/>
      <c r="HO65" s="1337"/>
      <c r="HP65" s="1337"/>
      <c r="HQ65" s="1337"/>
      <c r="HR65" s="1337"/>
      <c r="HS65" s="1337"/>
      <c r="HT65" s="1337"/>
      <c r="HU65" s="1337"/>
      <c r="HV65" s="1337"/>
      <c r="HW65" s="1337"/>
      <c r="HX65" s="1337"/>
      <c r="HY65" s="1337"/>
      <c r="HZ65" s="1337"/>
      <c r="IA65" s="1337"/>
      <c r="IB65" s="1337"/>
      <c r="IC65" s="1337"/>
      <c r="ID65" s="1337"/>
      <c r="IE65" s="1337"/>
      <c r="IF65" s="1337"/>
      <c r="IG65" s="1337"/>
      <c r="IH65" s="1337"/>
      <c r="II65" s="1337"/>
      <c r="IJ65" s="1337"/>
      <c r="IK65" s="1337"/>
      <c r="IL65" s="1337"/>
      <c r="IM65" s="1337"/>
      <c r="IN65" s="1337"/>
      <c r="IO65" s="1337"/>
      <c r="IP65" s="1337"/>
      <c r="IQ65" s="1337"/>
      <c r="IR65" s="1337"/>
      <c r="IS65" s="1337"/>
      <c r="IT65" s="1337"/>
      <c r="IU65" s="1337"/>
      <c r="IV65" s="1337"/>
    </row>
    <row r="66" spans="1:256" ht="22.5" customHeight="1">
      <c r="A66" s="1313" t="s">
        <v>1126</v>
      </c>
      <c r="B66" s="1314"/>
      <c r="C66" s="1314"/>
      <c r="D66" s="1314"/>
      <c r="E66" s="1314"/>
      <c r="F66" s="1320"/>
      <c r="G66" s="1395"/>
      <c r="H66" s="1395"/>
      <c r="I66" s="1395"/>
      <c r="J66" s="1393"/>
      <c r="K66" s="1402"/>
      <c r="L66" s="1402"/>
      <c r="M66" s="1402"/>
      <c r="N66" s="1402"/>
      <c r="O66" s="1337"/>
      <c r="P66" s="1337"/>
      <c r="Q66" s="1337"/>
      <c r="R66" s="1337"/>
      <c r="S66" s="1337"/>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AV66" s="1337"/>
      <c r="AW66" s="1337"/>
      <c r="AX66" s="1337"/>
      <c r="AY66" s="1337"/>
      <c r="AZ66" s="1337"/>
      <c r="BA66" s="1337"/>
      <c r="BB66" s="1337"/>
      <c r="BC66" s="1337"/>
      <c r="BD66" s="1337"/>
      <c r="BE66" s="1337"/>
      <c r="BF66" s="1337"/>
      <c r="BG66" s="1337"/>
      <c r="BH66" s="1337"/>
      <c r="BI66" s="1337"/>
      <c r="BJ66" s="1337"/>
      <c r="BK66" s="1337"/>
      <c r="BL66" s="1337"/>
      <c r="BM66" s="1337"/>
      <c r="BN66" s="1337"/>
      <c r="BO66" s="1337"/>
      <c r="BP66" s="1337"/>
      <c r="BQ66" s="1337"/>
      <c r="BR66" s="1337"/>
      <c r="BS66" s="1337"/>
      <c r="BT66" s="1337"/>
      <c r="BU66" s="1337"/>
      <c r="BV66" s="1337"/>
      <c r="BW66" s="1337"/>
      <c r="BX66" s="1337"/>
      <c r="BY66" s="1337"/>
      <c r="BZ66" s="1337"/>
      <c r="CA66" s="1337"/>
      <c r="CB66" s="1337"/>
      <c r="CC66" s="1337"/>
      <c r="CD66" s="1337"/>
      <c r="CE66" s="1337"/>
      <c r="CF66" s="1337"/>
      <c r="CG66" s="1337"/>
      <c r="CH66" s="1337"/>
      <c r="CI66" s="1337"/>
      <c r="CJ66" s="1337"/>
      <c r="CK66" s="1337"/>
      <c r="CL66" s="1337"/>
      <c r="CM66" s="1337"/>
      <c r="CN66" s="1337"/>
      <c r="CO66" s="1337"/>
      <c r="CP66" s="1337"/>
      <c r="CQ66" s="1337"/>
      <c r="CR66" s="1337"/>
      <c r="CS66" s="1337"/>
      <c r="CT66" s="1337"/>
      <c r="CU66" s="1337"/>
      <c r="CV66" s="1337"/>
      <c r="CW66" s="1337"/>
      <c r="CX66" s="1337"/>
      <c r="CY66" s="1337"/>
      <c r="CZ66" s="1337"/>
      <c r="DA66" s="1337"/>
      <c r="DB66" s="1337"/>
      <c r="DC66" s="1337"/>
      <c r="DD66" s="1337"/>
      <c r="DE66" s="1337"/>
      <c r="DF66" s="1337"/>
      <c r="DG66" s="1337"/>
      <c r="DH66" s="1337"/>
      <c r="DI66" s="1337"/>
      <c r="DJ66" s="1337"/>
      <c r="DK66" s="1337"/>
      <c r="DL66" s="1337"/>
      <c r="DM66" s="1337"/>
      <c r="DN66" s="1337"/>
      <c r="DO66" s="1337"/>
      <c r="DP66" s="1337"/>
      <c r="DQ66" s="1337"/>
      <c r="DR66" s="1337"/>
      <c r="DS66" s="1337"/>
      <c r="DT66" s="1337"/>
      <c r="DU66" s="1337"/>
      <c r="DV66" s="1337"/>
      <c r="DW66" s="1337"/>
      <c r="DX66" s="1337"/>
      <c r="DY66" s="1337"/>
      <c r="DZ66" s="1337"/>
      <c r="EA66" s="1337"/>
      <c r="EB66" s="1337"/>
      <c r="EC66" s="1337"/>
      <c r="ED66" s="1337"/>
      <c r="EE66" s="1337"/>
      <c r="EF66" s="1337"/>
      <c r="EG66" s="1337"/>
      <c r="EH66" s="1337"/>
      <c r="EI66" s="1337"/>
      <c r="EJ66" s="1337"/>
      <c r="EK66" s="1337"/>
      <c r="EL66" s="1337"/>
      <c r="EM66" s="1337"/>
      <c r="EN66" s="1337"/>
      <c r="EO66" s="1337"/>
      <c r="EP66" s="1337"/>
      <c r="EQ66" s="1337"/>
      <c r="ER66" s="1337"/>
      <c r="ES66" s="1337"/>
      <c r="ET66" s="1337"/>
      <c r="EU66" s="1337"/>
      <c r="EV66" s="1337"/>
      <c r="EW66" s="1337"/>
      <c r="EX66" s="1337"/>
      <c r="EY66" s="1337"/>
      <c r="EZ66" s="1337"/>
      <c r="FA66" s="1337"/>
      <c r="FB66" s="1337"/>
      <c r="FC66" s="1337"/>
      <c r="FD66" s="1337"/>
      <c r="FE66" s="1337"/>
      <c r="FF66" s="1337"/>
      <c r="FG66" s="1337"/>
      <c r="FH66" s="1337"/>
      <c r="FI66" s="1337"/>
      <c r="FJ66" s="1337"/>
      <c r="FK66" s="1337"/>
      <c r="FL66" s="1337"/>
      <c r="FM66" s="1337"/>
      <c r="FN66" s="1337"/>
      <c r="FO66" s="1337"/>
      <c r="FP66" s="1337"/>
      <c r="FQ66" s="1337"/>
      <c r="FR66" s="1337"/>
      <c r="FS66" s="1337"/>
      <c r="FT66" s="1337"/>
      <c r="FU66" s="1337"/>
      <c r="FV66" s="1337"/>
      <c r="FW66" s="1337"/>
      <c r="FX66" s="1337"/>
      <c r="FY66" s="1337"/>
      <c r="FZ66" s="1337"/>
      <c r="GA66" s="1337"/>
      <c r="GB66" s="1337"/>
      <c r="GC66" s="1337"/>
      <c r="GD66" s="1337"/>
      <c r="GE66" s="1337"/>
      <c r="GF66" s="1337"/>
      <c r="GG66" s="1337"/>
      <c r="GH66" s="1337"/>
      <c r="GI66" s="1337"/>
      <c r="GJ66" s="1337"/>
      <c r="GK66" s="1337"/>
      <c r="GL66" s="1337"/>
      <c r="GM66" s="1337"/>
      <c r="GN66" s="1337"/>
      <c r="GO66" s="1337"/>
      <c r="GP66" s="1337"/>
      <c r="GQ66" s="1337"/>
      <c r="GR66" s="1337"/>
      <c r="GS66" s="1337"/>
      <c r="GT66" s="1337"/>
      <c r="GU66" s="1337"/>
      <c r="GV66" s="1337"/>
      <c r="GW66" s="1337"/>
      <c r="GX66" s="1337"/>
      <c r="GY66" s="1337"/>
      <c r="GZ66" s="1337"/>
      <c r="HA66" s="1337"/>
      <c r="HB66" s="1337"/>
      <c r="HC66" s="1337"/>
      <c r="HD66" s="1337"/>
      <c r="HE66" s="1337"/>
      <c r="HF66" s="1337"/>
      <c r="HG66" s="1337"/>
      <c r="HH66" s="1337"/>
      <c r="HI66" s="1337"/>
      <c r="HJ66" s="1337"/>
      <c r="HK66" s="1337"/>
      <c r="HL66" s="1337"/>
      <c r="HM66" s="1337"/>
      <c r="HN66" s="1337"/>
      <c r="HO66" s="1337"/>
      <c r="HP66" s="1337"/>
      <c r="HQ66" s="1337"/>
      <c r="HR66" s="1337"/>
      <c r="HS66" s="1337"/>
      <c r="HT66" s="1337"/>
      <c r="HU66" s="1337"/>
      <c r="HV66" s="1337"/>
      <c r="HW66" s="1337"/>
      <c r="HX66" s="1337"/>
      <c r="HY66" s="1337"/>
      <c r="HZ66" s="1337"/>
      <c r="IA66" s="1337"/>
      <c r="IB66" s="1337"/>
      <c r="IC66" s="1337"/>
      <c r="ID66" s="1337"/>
      <c r="IE66" s="1337"/>
      <c r="IF66" s="1337"/>
      <c r="IG66" s="1337"/>
      <c r="IH66" s="1337"/>
      <c r="II66" s="1337"/>
      <c r="IJ66" s="1337"/>
      <c r="IK66" s="1337"/>
      <c r="IL66" s="1337"/>
      <c r="IM66" s="1337"/>
      <c r="IN66" s="1337"/>
      <c r="IO66" s="1337"/>
      <c r="IP66" s="1337"/>
      <c r="IQ66" s="1337"/>
      <c r="IR66" s="1337"/>
      <c r="IS66" s="1337"/>
      <c r="IT66" s="1337"/>
      <c r="IU66" s="1337"/>
      <c r="IV66" s="1337"/>
    </row>
    <row r="67" spans="1:256" ht="22.5" customHeight="1">
      <c r="A67" s="1313" t="s">
        <v>1127</v>
      </c>
      <c r="B67" s="1314"/>
      <c r="C67" s="1314"/>
      <c r="D67" s="1314"/>
      <c r="E67" s="1314"/>
      <c r="F67" s="1320"/>
      <c r="G67" s="1395"/>
      <c r="H67" s="1395"/>
      <c r="I67" s="1395"/>
      <c r="J67" s="1393"/>
      <c r="K67" s="1402"/>
      <c r="L67" s="1402"/>
      <c r="M67" s="1402"/>
      <c r="N67" s="1402"/>
      <c r="O67" s="1337"/>
      <c r="P67" s="1337"/>
      <c r="Q67" s="1337"/>
      <c r="R67" s="1337"/>
      <c r="S67" s="1337"/>
      <c r="T67" s="1337"/>
      <c r="U67" s="1337"/>
      <c r="V67" s="1337"/>
      <c r="W67" s="1337"/>
      <c r="X67" s="1337"/>
      <c r="Y67" s="1337"/>
      <c r="Z67" s="1337"/>
      <c r="AA67" s="1337"/>
      <c r="AB67" s="1337"/>
      <c r="AC67" s="1337"/>
      <c r="AD67" s="1337"/>
      <c r="AE67" s="1337"/>
      <c r="AF67" s="1337"/>
      <c r="AG67" s="1337"/>
      <c r="AH67" s="1337"/>
      <c r="AI67" s="1337"/>
      <c r="AJ67" s="1337"/>
      <c r="AK67" s="1337"/>
      <c r="AL67" s="1337"/>
      <c r="AM67" s="1337"/>
      <c r="AN67" s="1337"/>
      <c r="AO67" s="1337"/>
      <c r="AP67" s="1337"/>
      <c r="AQ67" s="1337"/>
      <c r="AR67" s="1337"/>
      <c r="AS67" s="1337"/>
      <c r="AT67" s="1337"/>
      <c r="AU67" s="1337"/>
      <c r="AV67" s="1337"/>
      <c r="AW67" s="1337"/>
      <c r="AX67" s="1337"/>
      <c r="AY67" s="1337"/>
      <c r="AZ67" s="1337"/>
      <c r="BA67" s="1337"/>
      <c r="BB67" s="1337"/>
      <c r="BC67" s="1337"/>
      <c r="BD67" s="1337"/>
      <c r="BE67" s="1337"/>
      <c r="BF67" s="1337"/>
      <c r="BG67" s="1337"/>
      <c r="BH67" s="1337"/>
      <c r="BI67" s="1337"/>
      <c r="BJ67" s="1337"/>
      <c r="BK67" s="1337"/>
      <c r="BL67" s="1337"/>
      <c r="BM67" s="1337"/>
      <c r="BN67" s="1337"/>
      <c r="BO67" s="1337"/>
      <c r="BP67" s="1337"/>
      <c r="BQ67" s="1337"/>
      <c r="BR67" s="1337"/>
      <c r="BS67" s="1337"/>
      <c r="BT67" s="1337"/>
      <c r="BU67" s="1337"/>
      <c r="BV67" s="1337"/>
      <c r="BW67" s="1337"/>
      <c r="BX67" s="1337"/>
      <c r="BY67" s="1337"/>
      <c r="BZ67" s="1337"/>
      <c r="CA67" s="1337"/>
      <c r="CB67" s="1337"/>
      <c r="CC67" s="1337"/>
      <c r="CD67" s="1337"/>
      <c r="CE67" s="1337"/>
      <c r="CF67" s="1337"/>
      <c r="CG67" s="1337"/>
      <c r="CH67" s="1337"/>
      <c r="CI67" s="1337"/>
      <c r="CJ67" s="1337"/>
      <c r="CK67" s="1337"/>
      <c r="CL67" s="1337"/>
      <c r="CM67" s="1337"/>
      <c r="CN67" s="1337"/>
      <c r="CO67" s="1337"/>
      <c r="CP67" s="1337"/>
      <c r="CQ67" s="1337"/>
      <c r="CR67" s="1337"/>
      <c r="CS67" s="1337"/>
      <c r="CT67" s="1337"/>
      <c r="CU67" s="1337"/>
      <c r="CV67" s="1337"/>
      <c r="CW67" s="1337"/>
      <c r="CX67" s="1337"/>
      <c r="CY67" s="1337"/>
      <c r="CZ67" s="1337"/>
      <c r="DA67" s="1337"/>
      <c r="DB67" s="1337"/>
      <c r="DC67" s="1337"/>
      <c r="DD67" s="1337"/>
      <c r="DE67" s="1337"/>
      <c r="DF67" s="1337"/>
      <c r="DG67" s="1337"/>
      <c r="DH67" s="1337"/>
      <c r="DI67" s="1337"/>
      <c r="DJ67" s="1337"/>
      <c r="DK67" s="1337"/>
      <c r="DL67" s="1337"/>
      <c r="DM67" s="1337"/>
      <c r="DN67" s="1337"/>
      <c r="DO67" s="1337"/>
      <c r="DP67" s="1337"/>
      <c r="DQ67" s="1337"/>
      <c r="DR67" s="1337"/>
      <c r="DS67" s="1337"/>
      <c r="DT67" s="1337"/>
      <c r="DU67" s="1337"/>
      <c r="DV67" s="1337"/>
      <c r="DW67" s="1337"/>
      <c r="DX67" s="1337"/>
      <c r="DY67" s="1337"/>
      <c r="DZ67" s="1337"/>
      <c r="EA67" s="1337"/>
      <c r="EB67" s="1337"/>
      <c r="EC67" s="1337"/>
      <c r="ED67" s="1337"/>
      <c r="EE67" s="1337"/>
      <c r="EF67" s="1337"/>
      <c r="EG67" s="1337"/>
      <c r="EH67" s="1337"/>
      <c r="EI67" s="1337"/>
      <c r="EJ67" s="1337"/>
      <c r="EK67" s="1337"/>
      <c r="EL67" s="1337"/>
      <c r="EM67" s="1337"/>
      <c r="EN67" s="1337"/>
      <c r="EO67" s="1337"/>
      <c r="EP67" s="1337"/>
      <c r="EQ67" s="1337"/>
      <c r="ER67" s="1337"/>
      <c r="ES67" s="1337"/>
      <c r="ET67" s="1337"/>
      <c r="EU67" s="1337"/>
      <c r="EV67" s="1337"/>
      <c r="EW67" s="1337"/>
      <c r="EX67" s="1337"/>
      <c r="EY67" s="1337"/>
      <c r="EZ67" s="1337"/>
      <c r="FA67" s="1337"/>
      <c r="FB67" s="1337"/>
      <c r="FC67" s="1337"/>
      <c r="FD67" s="1337"/>
      <c r="FE67" s="1337"/>
      <c r="FF67" s="1337"/>
      <c r="FG67" s="1337"/>
      <c r="FH67" s="1337"/>
      <c r="FI67" s="1337"/>
      <c r="FJ67" s="1337"/>
      <c r="FK67" s="1337"/>
      <c r="FL67" s="1337"/>
      <c r="FM67" s="1337"/>
      <c r="FN67" s="1337"/>
      <c r="FO67" s="1337"/>
      <c r="FP67" s="1337"/>
      <c r="FQ67" s="1337"/>
      <c r="FR67" s="1337"/>
      <c r="FS67" s="1337"/>
      <c r="FT67" s="1337"/>
      <c r="FU67" s="1337"/>
      <c r="FV67" s="1337"/>
      <c r="FW67" s="1337"/>
      <c r="FX67" s="1337"/>
      <c r="FY67" s="1337"/>
      <c r="FZ67" s="1337"/>
      <c r="GA67" s="1337"/>
      <c r="GB67" s="1337"/>
      <c r="GC67" s="1337"/>
      <c r="GD67" s="1337"/>
      <c r="GE67" s="1337"/>
      <c r="GF67" s="1337"/>
      <c r="GG67" s="1337"/>
      <c r="GH67" s="1337"/>
      <c r="GI67" s="1337"/>
      <c r="GJ67" s="1337"/>
      <c r="GK67" s="1337"/>
      <c r="GL67" s="1337"/>
      <c r="GM67" s="1337"/>
      <c r="GN67" s="1337"/>
      <c r="GO67" s="1337"/>
      <c r="GP67" s="1337"/>
      <c r="GQ67" s="1337"/>
      <c r="GR67" s="1337"/>
      <c r="GS67" s="1337"/>
      <c r="GT67" s="1337"/>
      <c r="GU67" s="1337"/>
      <c r="GV67" s="1337"/>
      <c r="GW67" s="1337"/>
      <c r="GX67" s="1337"/>
      <c r="GY67" s="1337"/>
      <c r="GZ67" s="1337"/>
      <c r="HA67" s="1337"/>
      <c r="HB67" s="1337"/>
      <c r="HC67" s="1337"/>
      <c r="HD67" s="1337"/>
      <c r="HE67" s="1337"/>
      <c r="HF67" s="1337"/>
      <c r="HG67" s="1337"/>
      <c r="HH67" s="1337"/>
      <c r="HI67" s="1337"/>
      <c r="HJ67" s="1337"/>
      <c r="HK67" s="1337"/>
      <c r="HL67" s="1337"/>
      <c r="HM67" s="1337"/>
      <c r="HN67" s="1337"/>
      <c r="HO67" s="1337"/>
      <c r="HP67" s="1337"/>
      <c r="HQ67" s="1337"/>
      <c r="HR67" s="1337"/>
      <c r="HS67" s="1337"/>
      <c r="HT67" s="1337"/>
      <c r="HU67" s="1337"/>
      <c r="HV67" s="1337"/>
      <c r="HW67" s="1337"/>
      <c r="HX67" s="1337"/>
      <c r="HY67" s="1337"/>
      <c r="HZ67" s="1337"/>
      <c r="IA67" s="1337"/>
      <c r="IB67" s="1337"/>
      <c r="IC67" s="1337"/>
      <c r="ID67" s="1337"/>
      <c r="IE67" s="1337"/>
      <c r="IF67" s="1337"/>
      <c r="IG67" s="1337"/>
      <c r="IH67" s="1337"/>
      <c r="II67" s="1337"/>
      <c r="IJ67" s="1337"/>
      <c r="IK67" s="1337"/>
      <c r="IL67" s="1337"/>
      <c r="IM67" s="1337"/>
      <c r="IN67" s="1337"/>
      <c r="IO67" s="1337"/>
      <c r="IP67" s="1337"/>
      <c r="IQ67" s="1337"/>
      <c r="IR67" s="1337"/>
      <c r="IS67" s="1337"/>
      <c r="IT67" s="1337"/>
      <c r="IU67" s="1337"/>
      <c r="IV67" s="1337"/>
    </row>
    <row r="68" spans="1:256" ht="12.75" customHeight="1">
      <c r="A68" s="1323"/>
      <c r="B68" s="1323"/>
      <c r="C68" s="1323"/>
      <c r="D68" s="1330"/>
      <c r="E68" s="1325"/>
      <c r="F68" s="1326"/>
      <c r="G68" s="1400"/>
      <c r="H68" s="1328"/>
      <c r="I68" s="1328"/>
      <c r="K68" s="1328"/>
      <c r="M68" s="1328"/>
      <c r="N68" s="1328" t="s">
        <v>140</v>
      </c>
      <c r="O68" s="1337"/>
      <c r="P68" s="1337"/>
      <c r="Q68" s="1337"/>
      <c r="R68" s="1337"/>
      <c r="S68" s="1337"/>
      <c r="T68" s="1337"/>
      <c r="U68" s="1337"/>
      <c r="V68" s="1337"/>
      <c r="W68" s="1337"/>
      <c r="X68" s="1337"/>
      <c r="Y68" s="1337"/>
      <c r="Z68" s="1337"/>
      <c r="AA68" s="1337"/>
      <c r="AB68" s="1337"/>
      <c r="AC68" s="1337"/>
      <c r="AD68" s="1337"/>
      <c r="AE68" s="1337"/>
      <c r="AF68" s="1337"/>
      <c r="AG68" s="1337"/>
      <c r="AH68" s="1337"/>
      <c r="AI68" s="1337"/>
      <c r="AJ68" s="1337"/>
      <c r="AK68" s="1337"/>
      <c r="AL68" s="1337"/>
      <c r="AM68" s="1337"/>
      <c r="AN68" s="1337"/>
      <c r="AO68" s="1337"/>
      <c r="AP68" s="1337"/>
      <c r="AQ68" s="1337"/>
      <c r="AR68" s="1337"/>
      <c r="AS68" s="1337"/>
      <c r="AT68" s="1337"/>
      <c r="AU68" s="1337"/>
      <c r="AV68" s="1337"/>
      <c r="AW68" s="1337"/>
      <c r="AX68" s="1337"/>
      <c r="AY68" s="1337"/>
      <c r="AZ68" s="1337"/>
      <c r="BA68" s="1337"/>
      <c r="BB68" s="1337"/>
      <c r="BC68" s="1337"/>
      <c r="BD68" s="1337"/>
      <c r="BE68" s="1337"/>
      <c r="BF68" s="1337"/>
      <c r="BG68" s="1337"/>
      <c r="BH68" s="1337"/>
      <c r="BI68" s="1337"/>
      <c r="BJ68" s="1337"/>
      <c r="BK68" s="1337"/>
      <c r="BL68" s="1337"/>
      <c r="BM68" s="1337"/>
      <c r="BN68" s="1337"/>
      <c r="BO68" s="1337"/>
      <c r="BP68" s="1337"/>
      <c r="BQ68" s="1337"/>
      <c r="BR68" s="1337"/>
      <c r="BS68" s="1337"/>
      <c r="BT68" s="1337"/>
      <c r="BU68" s="1337"/>
      <c r="BV68" s="1337"/>
      <c r="BW68" s="1337"/>
      <c r="BX68" s="1337"/>
      <c r="BY68" s="1337"/>
      <c r="BZ68" s="1337"/>
      <c r="CA68" s="1337"/>
      <c r="CB68" s="1337"/>
      <c r="CC68" s="1337"/>
      <c r="CD68" s="1337"/>
      <c r="CE68" s="1337"/>
      <c r="CF68" s="1337"/>
      <c r="CG68" s="1337"/>
      <c r="CH68" s="1337"/>
      <c r="CI68" s="1337"/>
      <c r="CJ68" s="1337"/>
      <c r="CK68" s="1337"/>
      <c r="CL68" s="1337"/>
      <c r="CM68" s="1337"/>
      <c r="CN68" s="1337"/>
      <c r="CO68" s="1337"/>
      <c r="CP68" s="1337"/>
      <c r="CQ68" s="1337"/>
      <c r="CR68" s="1337"/>
      <c r="CS68" s="1337"/>
      <c r="CT68" s="1337"/>
      <c r="CU68" s="1337"/>
      <c r="CV68" s="1337"/>
      <c r="CW68" s="1337"/>
      <c r="CX68" s="1337"/>
      <c r="CY68" s="1337"/>
      <c r="CZ68" s="1337"/>
      <c r="DA68" s="1337"/>
      <c r="DB68" s="1337"/>
      <c r="DC68" s="1337"/>
      <c r="DD68" s="1337"/>
      <c r="DE68" s="1337"/>
      <c r="DF68" s="1337"/>
      <c r="DG68" s="1337"/>
      <c r="DH68" s="1337"/>
      <c r="DI68" s="1337"/>
      <c r="DJ68" s="1337"/>
      <c r="DK68" s="1337"/>
      <c r="DL68" s="1337"/>
      <c r="DM68" s="1337"/>
      <c r="DN68" s="1337"/>
      <c r="DO68" s="1337"/>
      <c r="DP68" s="1337"/>
      <c r="DQ68" s="1337"/>
      <c r="DR68" s="1337"/>
      <c r="DS68" s="1337"/>
      <c r="DT68" s="1337"/>
      <c r="DU68" s="1337"/>
      <c r="DV68" s="1337"/>
      <c r="DW68" s="1337"/>
      <c r="DX68" s="1337"/>
      <c r="DY68" s="1337"/>
      <c r="DZ68" s="1337"/>
      <c r="EA68" s="1337"/>
      <c r="EB68" s="1337"/>
      <c r="EC68" s="1337"/>
      <c r="ED68" s="1337"/>
      <c r="EE68" s="1337"/>
      <c r="EF68" s="1337"/>
      <c r="EG68" s="1337"/>
      <c r="EH68" s="1337"/>
      <c r="EI68" s="1337"/>
      <c r="EJ68" s="1337"/>
      <c r="EK68" s="1337"/>
      <c r="EL68" s="1337"/>
      <c r="EM68" s="1337"/>
      <c r="EN68" s="1337"/>
      <c r="EO68" s="1337"/>
      <c r="EP68" s="1337"/>
      <c r="EQ68" s="1337"/>
      <c r="ER68" s="1337"/>
      <c r="ES68" s="1337"/>
      <c r="ET68" s="1337"/>
      <c r="EU68" s="1337"/>
      <c r="EV68" s="1337"/>
      <c r="EW68" s="1337"/>
      <c r="EX68" s="1337"/>
      <c r="EY68" s="1337"/>
      <c r="EZ68" s="1337"/>
      <c r="FA68" s="1337"/>
      <c r="FB68" s="1337"/>
      <c r="FC68" s="1337"/>
      <c r="FD68" s="1337"/>
      <c r="FE68" s="1337"/>
      <c r="FF68" s="1337"/>
      <c r="FG68" s="1337"/>
      <c r="FH68" s="1337"/>
      <c r="FI68" s="1337"/>
      <c r="FJ68" s="1337"/>
      <c r="FK68" s="1337"/>
      <c r="FL68" s="1337"/>
      <c r="FM68" s="1337"/>
      <c r="FN68" s="1337"/>
      <c r="FO68" s="1337"/>
      <c r="FP68" s="1337"/>
      <c r="FQ68" s="1337"/>
      <c r="FR68" s="1337"/>
      <c r="FS68" s="1337"/>
      <c r="FT68" s="1337"/>
      <c r="FU68" s="1337"/>
      <c r="FV68" s="1337"/>
      <c r="FW68" s="1337"/>
      <c r="FX68" s="1337"/>
      <c r="FY68" s="1337"/>
      <c r="FZ68" s="1337"/>
      <c r="GA68" s="1337"/>
      <c r="GB68" s="1337"/>
      <c r="GC68" s="1337"/>
      <c r="GD68" s="1337"/>
      <c r="GE68" s="1337"/>
      <c r="GF68" s="1337"/>
      <c r="GG68" s="1337"/>
      <c r="GH68" s="1337"/>
      <c r="GI68" s="1337"/>
      <c r="GJ68" s="1337"/>
      <c r="GK68" s="1337"/>
      <c r="GL68" s="1337"/>
      <c r="GM68" s="1337"/>
      <c r="GN68" s="1337"/>
      <c r="GO68" s="1337"/>
      <c r="GP68" s="1337"/>
      <c r="GQ68" s="1337"/>
      <c r="GR68" s="1337"/>
      <c r="GS68" s="1337"/>
      <c r="GT68" s="1337"/>
      <c r="GU68" s="1337"/>
      <c r="GV68" s="1337"/>
      <c r="GW68" s="1337"/>
      <c r="GX68" s="1337"/>
      <c r="GY68" s="1337"/>
      <c r="GZ68" s="1337"/>
      <c r="HA68" s="1337"/>
      <c r="HB68" s="1337"/>
      <c r="HC68" s="1337"/>
      <c r="HD68" s="1337"/>
      <c r="HE68" s="1337"/>
      <c r="HF68" s="1337"/>
      <c r="HG68" s="1337"/>
      <c r="HH68" s="1337"/>
      <c r="HI68" s="1337"/>
      <c r="HJ68" s="1337"/>
      <c r="HK68" s="1337"/>
      <c r="HL68" s="1337"/>
      <c r="HM68" s="1337"/>
      <c r="HN68" s="1337"/>
      <c r="HO68" s="1337"/>
      <c r="HP68" s="1337"/>
      <c r="HQ68" s="1337"/>
      <c r="HR68" s="1337"/>
      <c r="HS68" s="1337"/>
      <c r="HT68" s="1337"/>
      <c r="HU68" s="1337"/>
      <c r="HV68" s="1337"/>
      <c r="HW68" s="1337"/>
      <c r="HX68" s="1337"/>
      <c r="HY68" s="1337"/>
      <c r="HZ68" s="1337"/>
      <c r="IA68" s="1337"/>
      <c r="IB68" s="1337"/>
      <c r="IC68" s="1337"/>
      <c r="ID68" s="1337"/>
      <c r="IE68" s="1337"/>
      <c r="IF68" s="1337"/>
      <c r="IG68" s="1337"/>
      <c r="IH68" s="1337"/>
      <c r="II68" s="1337"/>
      <c r="IJ68" s="1337"/>
      <c r="IK68" s="1337"/>
      <c r="IL68" s="1337"/>
      <c r="IM68" s="1337"/>
      <c r="IN68" s="1337"/>
      <c r="IO68" s="1337"/>
      <c r="IP68" s="1337"/>
      <c r="IQ68" s="1337"/>
      <c r="IR68" s="1337"/>
      <c r="IS68" s="1337"/>
      <c r="IT68" s="1337"/>
      <c r="IU68" s="1337"/>
      <c r="IV68" s="1337"/>
    </row>
    <row r="69" spans="1:256" ht="11.25" customHeight="1" thickBot="1">
      <c r="A69" s="1323"/>
      <c r="B69" s="1323"/>
      <c r="C69" s="1323"/>
      <c r="D69" s="1330"/>
      <c r="E69" s="1325"/>
      <c r="F69" s="1326"/>
      <c r="G69" s="1404"/>
      <c r="H69" s="1332"/>
      <c r="I69" s="1332"/>
      <c r="K69" s="1332"/>
      <c r="M69" s="1333"/>
      <c r="N69" s="1333" t="s">
        <v>1096</v>
      </c>
      <c r="O69" s="1337"/>
      <c r="P69" s="1337"/>
      <c r="Q69" s="1337"/>
      <c r="R69" s="1337"/>
      <c r="S69" s="1337"/>
      <c r="T69" s="1337"/>
      <c r="U69" s="1337"/>
      <c r="V69" s="1337"/>
      <c r="W69" s="1337"/>
      <c r="X69" s="1337"/>
      <c r="Y69" s="1337"/>
      <c r="Z69" s="1337"/>
      <c r="AA69" s="1337"/>
      <c r="AB69" s="1337"/>
      <c r="AC69" s="1337"/>
      <c r="AD69" s="1337"/>
      <c r="AE69" s="1337"/>
      <c r="AF69" s="1337"/>
      <c r="AG69" s="1337"/>
      <c r="AH69" s="1337"/>
      <c r="AI69" s="1337"/>
      <c r="AJ69" s="1337"/>
      <c r="AK69" s="1337"/>
      <c r="AL69" s="1337"/>
      <c r="AM69" s="1337"/>
      <c r="AN69" s="1337"/>
      <c r="AO69" s="1337"/>
      <c r="AP69" s="1337"/>
      <c r="AQ69" s="1337"/>
      <c r="AR69" s="1337"/>
      <c r="AS69" s="1337"/>
      <c r="AT69" s="1337"/>
      <c r="AU69" s="1337"/>
      <c r="AV69" s="1337"/>
      <c r="AW69" s="1337"/>
      <c r="AX69" s="1337"/>
      <c r="AY69" s="1337"/>
      <c r="AZ69" s="1337"/>
      <c r="BA69" s="1337"/>
      <c r="BB69" s="1337"/>
      <c r="BC69" s="1337"/>
      <c r="BD69" s="1337"/>
      <c r="BE69" s="1337"/>
      <c r="BF69" s="1337"/>
      <c r="BG69" s="1337"/>
      <c r="BH69" s="1337"/>
      <c r="BI69" s="1337"/>
      <c r="BJ69" s="1337"/>
      <c r="BK69" s="1337"/>
      <c r="BL69" s="1337"/>
      <c r="BM69" s="1337"/>
      <c r="BN69" s="1337"/>
      <c r="BO69" s="1337"/>
      <c r="BP69" s="1337"/>
      <c r="BQ69" s="1337"/>
      <c r="BR69" s="1337"/>
      <c r="BS69" s="1337"/>
      <c r="BT69" s="1337"/>
      <c r="BU69" s="1337"/>
      <c r="BV69" s="1337"/>
      <c r="BW69" s="1337"/>
      <c r="BX69" s="1337"/>
      <c r="BY69" s="1337"/>
      <c r="BZ69" s="1337"/>
      <c r="CA69" s="1337"/>
      <c r="CB69" s="1337"/>
      <c r="CC69" s="1337"/>
      <c r="CD69" s="1337"/>
      <c r="CE69" s="1337"/>
      <c r="CF69" s="1337"/>
      <c r="CG69" s="1337"/>
      <c r="CH69" s="1337"/>
      <c r="CI69" s="1337"/>
      <c r="CJ69" s="1337"/>
      <c r="CK69" s="1337"/>
      <c r="CL69" s="1337"/>
      <c r="CM69" s="1337"/>
      <c r="CN69" s="1337"/>
      <c r="CO69" s="1337"/>
      <c r="CP69" s="1337"/>
      <c r="CQ69" s="1337"/>
      <c r="CR69" s="1337"/>
      <c r="CS69" s="1337"/>
      <c r="CT69" s="1337"/>
      <c r="CU69" s="1337"/>
      <c r="CV69" s="1337"/>
      <c r="CW69" s="1337"/>
      <c r="CX69" s="1337"/>
      <c r="CY69" s="1337"/>
      <c r="CZ69" s="1337"/>
      <c r="DA69" s="1337"/>
      <c r="DB69" s="1337"/>
      <c r="DC69" s="1337"/>
      <c r="DD69" s="1337"/>
      <c r="DE69" s="1337"/>
      <c r="DF69" s="1337"/>
      <c r="DG69" s="1337"/>
      <c r="DH69" s="1337"/>
      <c r="DI69" s="1337"/>
      <c r="DJ69" s="1337"/>
      <c r="DK69" s="1337"/>
      <c r="DL69" s="1337"/>
      <c r="DM69" s="1337"/>
      <c r="DN69" s="1337"/>
      <c r="DO69" s="1337"/>
      <c r="DP69" s="1337"/>
      <c r="DQ69" s="1337"/>
      <c r="DR69" s="1337"/>
      <c r="DS69" s="1337"/>
      <c r="DT69" s="1337"/>
      <c r="DU69" s="1337"/>
      <c r="DV69" s="1337"/>
      <c r="DW69" s="1337"/>
      <c r="DX69" s="1337"/>
      <c r="DY69" s="1337"/>
      <c r="DZ69" s="1337"/>
      <c r="EA69" s="1337"/>
      <c r="EB69" s="1337"/>
      <c r="EC69" s="1337"/>
      <c r="ED69" s="1337"/>
      <c r="EE69" s="1337"/>
      <c r="EF69" s="1337"/>
      <c r="EG69" s="1337"/>
      <c r="EH69" s="1337"/>
      <c r="EI69" s="1337"/>
      <c r="EJ69" s="1337"/>
      <c r="EK69" s="1337"/>
      <c r="EL69" s="1337"/>
      <c r="EM69" s="1337"/>
      <c r="EN69" s="1337"/>
      <c r="EO69" s="1337"/>
      <c r="EP69" s="1337"/>
      <c r="EQ69" s="1337"/>
      <c r="ER69" s="1337"/>
      <c r="ES69" s="1337"/>
      <c r="ET69" s="1337"/>
      <c r="EU69" s="1337"/>
      <c r="EV69" s="1337"/>
      <c r="EW69" s="1337"/>
      <c r="EX69" s="1337"/>
      <c r="EY69" s="1337"/>
      <c r="EZ69" s="1337"/>
      <c r="FA69" s="1337"/>
      <c r="FB69" s="1337"/>
      <c r="FC69" s="1337"/>
      <c r="FD69" s="1337"/>
      <c r="FE69" s="1337"/>
      <c r="FF69" s="1337"/>
      <c r="FG69" s="1337"/>
      <c r="FH69" s="1337"/>
      <c r="FI69" s="1337"/>
      <c r="FJ69" s="1337"/>
      <c r="FK69" s="1337"/>
      <c r="FL69" s="1337"/>
      <c r="FM69" s="1337"/>
      <c r="FN69" s="1337"/>
      <c r="FO69" s="1337"/>
      <c r="FP69" s="1337"/>
      <c r="FQ69" s="1337"/>
      <c r="FR69" s="1337"/>
      <c r="FS69" s="1337"/>
      <c r="FT69" s="1337"/>
      <c r="FU69" s="1337"/>
      <c r="FV69" s="1337"/>
      <c r="FW69" s="1337"/>
      <c r="FX69" s="1337"/>
      <c r="FY69" s="1337"/>
      <c r="FZ69" s="1337"/>
      <c r="GA69" s="1337"/>
      <c r="GB69" s="1337"/>
      <c r="GC69" s="1337"/>
      <c r="GD69" s="1337"/>
      <c r="GE69" s="1337"/>
      <c r="GF69" s="1337"/>
      <c r="GG69" s="1337"/>
      <c r="GH69" s="1337"/>
      <c r="GI69" s="1337"/>
      <c r="GJ69" s="1337"/>
      <c r="GK69" s="1337"/>
      <c r="GL69" s="1337"/>
      <c r="GM69" s="1337"/>
      <c r="GN69" s="1337"/>
      <c r="GO69" s="1337"/>
      <c r="GP69" s="1337"/>
      <c r="GQ69" s="1337"/>
      <c r="GR69" s="1337"/>
      <c r="GS69" s="1337"/>
      <c r="GT69" s="1337"/>
      <c r="GU69" s="1337"/>
      <c r="GV69" s="1337"/>
      <c r="GW69" s="1337"/>
      <c r="GX69" s="1337"/>
      <c r="GY69" s="1337"/>
      <c r="GZ69" s="1337"/>
      <c r="HA69" s="1337"/>
      <c r="HB69" s="1337"/>
      <c r="HC69" s="1337"/>
      <c r="HD69" s="1337"/>
      <c r="HE69" s="1337"/>
      <c r="HF69" s="1337"/>
      <c r="HG69" s="1337"/>
      <c r="HH69" s="1337"/>
      <c r="HI69" s="1337"/>
      <c r="HJ69" s="1337"/>
      <c r="HK69" s="1337"/>
      <c r="HL69" s="1337"/>
      <c r="HM69" s="1337"/>
      <c r="HN69" s="1337"/>
      <c r="HO69" s="1337"/>
      <c r="HP69" s="1337"/>
      <c r="HQ69" s="1337"/>
      <c r="HR69" s="1337"/>
      <c r="HS69" s="1337"/>
      <c r="HT69" s="1337"/>
      <c r="HU69" s="1337"/>
      <c r="HV69" s="1337"/>
      <c r="HW69" s="1337"/>
      <c r="HX69" s="1337"/>
      <c r="HY69" s="1337"/>
      <c r="HZ69" s="1337"/>
      <c r="IA69" s="1337"/>
      <c r="IB69" s="1337"/>
      <c r="IC69" s="1337"/>
      <c r="ID69" s="1337"/>
      <c r="IE69" s="1337"/>
      <c r="IF69" s="1337"/>
      <c r="IG69" s="1337"/>
      <c r="IH69" s="1337"/>
      <c r="II69" s="1337"/>
      <c r="IJ69" s="1337"/>
      <c r="IK69" s="1337"/>
      <c r="IL69" s="1337"/>
      <c r="IM69" s="1337"/>
      <c r="IN69" s="1337"/>
      <c r="IO69" s="1337"/>
      <c r="IP69" s="1337"/>
      <c r="IQ69" s="1337"/>
      <c r="IR69" s="1337"/>
      <c r="IS69" s="1337"/>
      <c r="IT69" s="1337"/>
      <c r="IU69" s="1337"/>
      <c r="IV69" s="1337"/>
    </row>
    <row r="70" spans="1:256" s="1406" customFormat="1" ht="13.5" customHeight="1" thickTop="1">
      <c r="A70" s="1334"/>
      <c r="B70" s="1335">
        <v>1996</v>
      </c>
      <c r="C70" s="1335">
        <v>1997</v>
      </c>
      <c r="D70" s="1335">
        <v>1998</v>
      </c>
      <c r="E70" s="1335">
        <v>1999</v>
      </c>
      <c r="F70" s="1335">
        <v>2000</v>
      </c>
      <c r="G70" s="1335">
        <v>2001</v>
      </c>
      <c r="H70" s="1335">
        <v>2002</v>
      </c>
      <c r="I70" s="1335">
        <v>2003</v>
      </c>
      <c r="J70" s="1335">
        <v>2004</v>
      </c>
      <c r="K70" s="1335">
        <v>2005</v>
      </c>
      <c r="L70" s="1335">
        <v>2006</v>
      </c>
      <c r="M70" s="1336">
        <v>2007</v>
      </c>
      <c r="N70" s="1336">
        <v>2008</v>
      </c>
      <c r="O70" s="1405"/>
      <c r="P70" s="1405"/>
      <c r="Q70" s="1405"/>
      <c r="R70" s="1405"/>
      <c r="S70" s="1405"/>
      <c r="T70" s="1405"/>
      <c r="U70" s="1405"/>
      <c r="V70" s="1405"/>
      <c r="W70" s="1405"/>
      <c r="X70" s="1405"/>
      <c r="Y70" s="1405"/>
      <c r="Z70" s="1405"/>
      <c r="AA70" s="1405"/>
      <c r="AB70" s="1405"/>
      <c r="AC70" s="1405"/>
      <c r="AD70" s="1405"/>
      <c r="AE70" s="1405"/>
      <c r="AF70" s="1405"/>
      <c r="AG70" s="1405"/>
      <c r="AH70" s="1405"/>
      <c r="AI70" s="1405"/>
      <c r="AJ70" s="1405"/>
      <c r="AK70" s="1405"/>
      <c r="AL70" s="1405"/>
      <c r="AM70" s="1405"/>
      <c r="AN70" s="1405"/>
      <c r="AO70" s="1405"/>
      <c r="AP70" s="1405"/>
      <c r="AQ70" s="1405"/>
      <c r="AR70" s="1405"/>
      <c r="AS70" s="1405"/>
      <c r="AT70" s="1405"/>
      <c r="AU70" s="1405"/>
      <c r="AV70" s="1405"/>
      <c r="AW70" s="1405"/>
      <c r="AX70" s="1405"/>
      <c r="AY70" s="1405"/>
      <c r="AZ70" s="1405"/>
      <c r="BA70" s="1405"/>
      <c r="BB70" s="1405"/>
      <c r="BC70" s="1405"/>
      <c r="BD70" s="1405"/>
      <c r="BE70" s="1405"/>
      <c r="BF70" s="1405"/>
      <c r="BG70" s="1405"/>
      <c r="BH70" s="1405"/>
      <c r="BI70" s="1405"/>
      <c r="BJ70" s="1405"/>
      <c r="BK70" s="1405"/>
      <c r="BL70" s="1405"/>
      <c r="BM70" s="1405"/>
      <c r="BN70" s="1405"/>
      <c r="BO70" s="1405"/>
      <c r="BP70" s="1405"/>
      <c r="BQ70" s="1405"/>
      <c r="BR70" s="1405"/>
      <c r="BS70" s="1405"/>
      <c r="BT70" s="1405"/>
      <c r="BU70" s="1405"/>
      <c r="BV70" s="1405"/>
      <c r="BW70" s="1405"/>
      <c r="BX70" s="1405"/>
      <c r="BY70" s="1405"/>
      <c r="BZ70" s="1405"/>
      <c r="CA70" s="1405"/>
      <c r="CB70" s="1405"/>
      <c r="CC70" s="1405"/>
      <c r="CD70" s="1405"/>
      <c r="CE70" s="1405"/>
      <c r="CF70" s="1405"/>
      <c r="CG70" s="1405"/>
      <c r="CH70" s="1405"/>
      <c r="CI70" s="1405"/>
      <c r="CJ70" s="1405"/>
      <c r="CK70" s="1405"/>
      <c r="CL70" s="1405"/>
      <c r="CM70" s="1405"/>
      <c r="CN70" s="1405"/>
      <c r="CO70" s="1405"/>
      <c r="CP70" s="1405"/>
      <c r="CQ70" s="1405"/>
      <c r="CR70" s="1405"/>
      <c r="CS70" s="1405"/>
      <c r="CT70" s="1405"/>
      <c r="CU70" s="1405"/>
      <c r="CV70" s="1405"/>
      <c r="CW70" s="1405"/>
      <c r="CX70" s="1405"/>
      <c r="CY70" s="1405"/>
      <c r="CZ70" s="1405"/>
      <c r="DA70" s="1405"/>
      <c r="DB70" s="1405"/>
      <c r="DC70" s="1405"/>
      <c r="DD70" s="1405"/>
      <c r="DE70" s="1405"/>
      <c r="DF70" s="1405"/>
      <c r="DG70" s="1405"/>
      <c r="DH70" s="1405"/>
      <c r="DI70" s="1405"/>
      <c r="DJ70" s="1405"/>
      <c r="DK70" s="1405"/>
      <c r="DL70" s="1405"/>
      <c r="DM70" s="1405"/>
      <c r="DN70" s="1405"/>
      <c r="DO70" s="1405"/>
      <c r="DP70" s="1405"/>
      <c r="DQ70" s="1405"/>
      <c r="DR70" s="1405"/>
      <c r="DS70" s="1405"/>
      <c r="DT70" s="1405"/>
      <c r="DU70" s="1405"/>
      <c r="DV70" s="1405"/>
      <c r="DW70" s="1405"/>
      <c r="DX70" s="1405"/>
      <c r="DY70" s="1405"/>
      <c r="DZ70" s="1405"/>
      <c r="EA70" s="1405"/>
      <c r="EB70" s="1405"/>
      <c r="EC70" s="1405"/>
      <c r="ED70" s="1405"/>
      <c r="EE70" s="1405"/>
      <c r="EF70" s="1405"/>
      <c r="EG70" s="1405"/>
      <c r="EH70" s="1405"/>
      <c r="EI70" s="1405"/>
      <c r="EJ70" s="1405"/>
      <c r="EK70" s="1405"/>
      <c r="EL70" s="1405"/>
      <c r="EM70" s="1405"/>
      <c r="EN70" s="1405"/>
      <c r="EO70" s="1405"/>
      <c r="EP70" s="1405"/>
      <c r="EQ70" s="1405"/>
      <c r="ER70" s="1405"/>
      <c r="ES70" s="1405"/>
      <c r="ET70" s="1405"/>
      <c r="EU70" s="1405"/>
      <c r="EV70" s="1405"/>
      <c r="EW70" s="1405"/>
      <c r="EX70" s="1405"/>
      <c r="EY70" s="1405"/>
      <c r="EZ70" s="1405"/>
      <c r="FA70" s="1405"/>
      <c r="FB70" s="1405"/>
      <c r="FC70" s="1405"/>
      <c r="FD70" s="1405"/>
      <c r="FE70" s="1405"/>
      <c r="FF70" s="1405"/>
      <c r="FG70" s="1405"/>
      <c r="FH70" s="1405"/>
      <c r="FI70" s="1405"/>
      <c r="FJ70" s="1405"/>
      <c r="FK70" s="1405"/>
      <c r="FL70" s="1405"/>
      <c r="FM70" s="1405"/>
      <c r="FN70" s="1405"/>
      <c r="FO70" s="1405"/>
      <c r="FP70" s="1405"/>
      <c r="FQ70" s="1405"/>
      <c r="FR70" s="1405"/>
      <c r="FS70" s="1405"/>
      <c r="FT70" s="1405"/>
      <c r="FU70" s="1405"/>
      <c r="FV70" s="1405"/>
      <c r="FW70" s="1405"/>
      <c r="FX70" s="1405"/>
      <c r="FY70" s="1405"/>
      <c r="FZ70" s="1405"/>
      <c r="GA70" s="1405"/>
      <c r="GB70" s="1405"/>
      <c r="GC70" s="1405"/>
      <c r="GD70" s="1405"/>
      <c r="GE70" s="1405"/>
      <c r="GF70" s="1405"/>
      <c r="GG70" s="1405"/>
      <c r="GH70" s="1405"/>
      <c r="GI70" s="1405"/>
      <c r="GJ70" s="1405"/>
      <c r="GK70" s="1405"/>
      <c r="GL70" s="1405"/>
      <c r="GM70" s="1405"/>
      <c r="GN70" s="1405"/>
      <c r="GO70" s="1405"/>
      <c r="GP70" s="1405"/>
      <c r="GQ70" s="1405"/>
      <c r="GR70" s="1405"/>
      <c r="GS70" s="1405"/>
      <c r="GT70" s="1405"/>
      <c r="GU70" s="1405"/>
      <c r="GV70" s="1405"/>
      <c r="GW70" s="1405"/>
      <c r="GX70" s="1405"/>
      <c r="GY70" s="1405"/>
      <c r="GZ70" s="1405"/>
      <c r="HA70" s="1405"/>
      <c r="HB70" s="1405"/>
      <c r="HC70" s="1405"/>
      <c r="HD70" s="1405"/>
      <c r="HE70" s="1405"/>
      <c r="HF70" s="1405"/>
      <c r="HG70" s="1405"/>
      <c r="HH70" s="1405"/>
      <c r="HI70" s="1405"/>
      <c r="HJ70" s="1405"/>
      <c r="HK70" s="1405"/>
      <c r="HL70" s="1405"/>
      <c r="HM70" s="1405"/>
      <c r="HN70" s="1405"/>
      <c r="HO70" s="1405"/>
      <c r="HP70" s="1405"/>
      <c r="HQ70" s="1405"/>
      <c r="HR70" s="1405"/>
      <c r="HS70" s="1405"/>
      <c r="HT70" s="1405"/>
      <c r="HU70" s="1405"/>
      <c r="HV70" s="1405"/>
      <c r="HW70" s="1405"/>
      <c r="HX70" s="1405"/>
      <c r="HY70" s="1405"/>
      <c r="HZ70" s="1405"/>
      <c r="IA70" s="1405"/>
      <c r="IB70" s="1405"/>
      <c r="IC70" s="1405"/>
      <c r="ID70" s="1405"/>
      <c r="IE70" s="1405"/>
      <c r="IF70" s="1405"/>
      <c r="IG70" s="1405"/>
      <c r="IH70" s="1405"/>
      <c r="II70" s="1405"/>
      <c r="IJ70" s="1405"/>
      <c r="IK70" s="1405"/>
      <c r="IL70" s="1405"/>
      <c r="IM70" s="1405"/>
      <c r="IN70" s="1405"/>
      <c r="IO70" s="1405"/>
      <c r="IP70" s="1405"/>
      <c r="IQ70" s="1405"/>
      <c r="IR70" s="1405"/>
      <c r="IS70" s="1405"/>
      <c r="IT70" s="1405"/>
      <c r="IU70" s="1405"/>
      <c r="IV70" s="1405"/>
    </row>
    <row r="71" spans="1:256" s="1345" customFormat="1" ht="11.25" customHeight="1">
      <c r="A71" s="1338" t="s">
        <v>1128</v>
      </c>
      <c r="B71" s="1323"/>
      <c r="C71" s="1323"/>
      <c r="D71" s="1323"/>
      <c r="E71" s="1323"/>
      <c r="F71" s="1407"/>
      <c r="G71" s="1407"/>
      <c r="H71" s="1407"/>
      <c r="I71" s="1407"/>
      <c r="J71" s="1407"/>
      <c r="K71" s="1408"/>
      <c r="L71" s="1408"/>
      <c r="M71" s="1409"/>
      <c r="N71" s="1409"/>
      <c r="O71" s="1344"/>
      <c r="P71" s="1344"/>
      <c r="Q71" s="1344"/>
      <c r="R71" s="1344"/>
      <c r="S71" s="1344"/>
      <c r="T71" s="1344"/>
      <c r="U71" s="1344"/>
      <c r="V71" s="1344"/>
      <c r="W71" s="1344"/>
      <c r="X71" s="1344"/>
      <c r="Y71" s="1344"/>
      <c r="Z71" s="1344"/>
      <c r="AA71" s="1344"/>
      <c r="AB71" s="1344"/>
      <c r="AC71" s="1344"/>
      <c r="AD71" s="1344"/>
      <c r="AE71" s="1344"/>
      <c r="AF71" s="1344"/>
      <c r="AG71" s="1344"/>
      <c r="AH71" s="1344"/>
      <c r="AI71" s="1344"/>
      <c r="AJ71" s="1344"/>
      <c r="AK71" s="1344"/>
      <c r="AL71" s="1344"/>
      <c r="AM71" s="1344"/>
      <c r="AN71" s="1344"/>
      <c r="AO71" s="1344"/>
      <c r="AP71" s="1344"/>
      <c r="AQ71" s="1344"/>
      <c r="AR71" s="1344"/>
      <c r="AS71" s="1344"/>
      <c r="AT71" s="1344"/>
      <c r="AU71" s="1344"/>
      <c r="AV71" s="1344"/>
      <c r="AW71" s="1344"/>
      <c r="AX71" s="1344"/>
      <c r="AY71" s="1344"/>
      <c r="AZ71" s="1344"/>
      <c r="BA71" s="1344"/>
      <c r="BB71" s="1344"/>
      <c r="BC71" s="1344"/>
      <c r="BD71" s="1344"/>
      <c r="BE71" s="1344"/>
      <c r="BF71" s="1344"/>
      <c r="BG71" s="1344"/>
      <c r="BH71" s="1344"/>
      <c r="BI71" s="1344"/>
      <c r="BJ71" s="1344"/>
      <c r="BK71" s="1344"/>
      <c r="BL71" s="1344"/>
      <c r="BM71" s="1344"/>
      <c r="BN71" s="1344"/>
      <c r="BO71" s="1344"/>
      <c r="BP71" s="1344"/>
      <c r="BQ71" s="1344"/>
      <c r="BR71" s="1344"/>
      <c r="BS71" s="1344"/>
      <c r="BT71" s="1344"/>
      <c r="BU71" s="1344"/>
      <c r="BV71" s="1344"/>
      <c r="BW71" s="1344"/>
      <c r="BX71" s="1344"/>
      <c r="BY71" s="1344"/>
      <c r="BZ71" s="1344"/>
      <c r="CA71" s="1344"/>
      <c r="CB71" s="1344"/>
      <c r="CC71" s="1344"/>
      <c r="CD71" s="1344"/>
      <c r="CE71" s="1344"/>
      <c r="CF71" s="1344"/>
      <c r="CG71" s="1344"/>
      <c r="CH71" s="1344"/>
      <c r="CI71" s="1344"/>
      <c r="CJ71" s="1344"/>
      <c r="CK71" s="1344"/>
      <c r="CL71" s="1344"/>
      <c r="CM71" s="1344"/>
      <c r="CN71" s="1344"/>
      <c r="CO71" s="1344"/>
      <c r="CP71" s="1344"/>
      <c r="CQ71" s="1344"/>
      <c r="CR71" s="1344"/>
      <c r="CS71" s="1344"/>
      <c r="CT71" s="1344"/>
      <c r="CU71" s="1344"/>
      <c r="CV71" s="1344"/>
      <c r="CW71" s="1344"/>
      <c r="CX71" s="1344"/>
      <c r="CY71" s="1344"/>
      <c r="CZ71" s="1344"/>
      <c r="DA71" s="1344"/>
      <c r="DB71" s="1344"/>
      <c r="DC71" s="1344"/>
      <c r="DD71" s="1344"/>
      <c r="DE71" s="1344"/>
      <c r="DF71" s="1344"/>
      <c r="DG71" s="1344"/>
      <c r="DH71" s="1344"/>
      <c r="DI71" s="1344"/>
      <c r="DJ71" s="1344"/>
      <c r="DK71" s="1344"/>
      <c r="DL71" s="1344"/>
      <c r="DM71" s="1344"/>
      <c r="DN71" s="1344"/>
      <c r="DO71" s="1344"/>
      <c r="DP71" s="1344"/>
      <c r="DQ71" s="1344"/>
      <c r="DR71" s="1344"/>
      <c r="DS71" s="1344"/>
      <c r="DT71" s="1344"/>
      <c r="DU71" s="1344"/>
      <c r="DV71" s="1344"/>
      <c r="DW71" s="1344"/>
      <c r="DX71" s="1344"/>
      <c r="DY71" s="1344"/>
      <c r="DZ71" s="1344"/>
      <c r="EA71" s="1344"/>
      <c r="EB71" s="1344"/>
      <c r="EC71" s="1344"/>
      <c r="ED71" s="1344"/>
      <c r="EE71" s="1344"/>
      <c r="EF71" s="1344"/>
      <c r="EG71" s="1344"/>
      <c r="EH71" s="1344"/>
      <c r="EI71" s="1344"/>
      <c r="EJ71" s="1344"/>
      <c r="EK71" s="1344"/>
      <c r="EL71" s="1344"/>
      <c r="EM71" s="1344"/>
      <c r="EN71" s="1344"/>
      <c r="EO71" s="1344"/>
      <c r="EP71" s="1344"/>
      <c r="EQ71" s="1344"/>
      <c r="ER71" s="1344"/>
      <c r="ES71" s="1344"/>
      <c r="ET71" s="1344"/>
      <c r="EU71" s="1344"/>
      <c r="EV71" s="1344"/>
      <c r="EW71" s="1344"/>
      <c r="EX71" s="1344"/>
      <c r="EY71" s="1344"/>
      <c r="EZ71" s="1344"/>
      <c r="FA71" s="1344"/>
      <c r="FB71" s="1344"/>
      <c r="FC71" s="1344"/>
      <c r="FD71" s="1344"/>
      <c r="FE71" s="1344"/>
      <c r="FF71" s="1344"/>
      <c r="FG71" s="1344"/>
      <c r="FH71" s="1344"/>
      <c r="FI71" s="1344"/>
      <c r="FJ71" s="1344"/>
      <c r="FK71" s="1344"/>
      <c r="FL71" s="1344"/>
      <c r="FM71" s="1344"/>
      <c r="FN71" s="1344"/>
      <c r="FO71" s="1344"/>
      <c r="FP71" s="1344"/>
      <c r="FQ71" s="1344"/>
      <c r="FR71" s="1344"/>
      <c r="FS71" s="1344"/>
      <c r="FT71" s="1344"/>
      <c r="FU71" s="1344"/>
      <c r="FV71" s="1344"/>
      <c r="FW71" s="1344"/>
      <c r="FX71" s="1344"/>
      <c r="FY71" s="1344"/>
      <c r="FZ71" s="1344"/>
      <c r="GA71" s="1344"/>
      <c r="GB71" s="1344"/>
      <c r="GC71" s="1344"/>
      <c r="GD71" s="1344"/>
      <c r="GE71" s="1344"/>
      <c r="GF71" s="1344"/>
      <c r="GG71" s="1344"/>
      <c r="GH71" s="1344"/>
      <c r="GI71" s="1344"/>
      <c r="GJ71" s="1344"/>
      <c r="GK71" s="1344"/>
      <c r="GL71" s="1344"/>
      <c r="GM71" s="1344"/>
      <c r="GN71" s="1344"/>
      <c r="GO71" s="1344"/>
      <c r="GP71" s="1344"/>
      <c r="GQ71" s="1344"/>
      <c r="GR71" s="1344"/>
      <c r="GS71" s="1344"/>
      <c r="GT71" s="1344"/>
      <c r="GU71" s="1344"/>
      <c r="GV71" s="1344"/>
      <c r="GW71" s="1344"/>
      <c r="GX71" s="1344"/>
      <c r="GY71" s="1344"/>
      <c r="GZ71" s="1344"/>
      <c r="HA71" s="1344"/>
      <c r="HB71" s="1344"/>
      <c r="HC71" s="1344"/>
      <c r="HD71" s="1344"/>
      <c r="HE71" s="1344"/>
      <c r="HF71" s="1344"/>
      <c r="HG71" s="1344"/>
      <c r="HH71" s="1344"/>
      <c r="HI71" s="1344"/>
      <c r="HJ71" s="1344"/>
      <c r="HK71" s="1344"/>
      <c r="HL71" s="1344"/>
      <c r="HM71" s="1344"/>
      <c r="HN71" s="1344"/>
      <c r="HO71" s="1344"/>
      <c r="HP71" s="1344"/>
      <c r="HQ71" s="1344"/>
      <c r="HR71" s="1344"/>
      <c r="HS71" s="1344"/>
      <c r="HT71" s="1344"/>
      <c r="HU71" s="1344"/>
      <c r="HV71" s="1344"/>
      <c r="HW71" s="1344"/>
      <c r="HX71" s="1344"/>
      <c r="HY71" s="1344"/>
      <c r="HZ71" s="1344"/>
      <c r="IA71" s="1344"/>
      <c r="IB71" s="1344"/>
      <c r="IC71" s="1344"/>
      <c r="ID71" s="1344"/>
      <c r="IE71" s="1344"/>
      <c r="IF71" s="1344"/>
      <c r="IG71" s="1344"/>
      <c r="IH71" s="1344"/>
      <c r="II71" s="1344"/>
      <c r="IJ71" s="1344"/>
      <c r="IK71" s="1344"/>
      <c r="IL71" s="1344"/>
      <c r="IM71" s="1344"/>
      <c r="IN71" s="1344"/>
      <c r="IO71" s="1344"/>
      <c r="IP71" s="1344"/>
      <c r="IQ71" s="1344"/>
      <c r="IR71" s="1344"/>
      <c r="IS71" s="1344"/>
      <c r="IT71" s="1344"/>
      <c r="IU71" s="1344"/>
      <c r="IV71" s="1344"/>
    </row>
    <row r="72" spans="1:256" ht="10.5" customHeight="1">
      <c r="A72" s="1323" t="s">
        <v>510</v>
      </c>
      <c r="B72" s="1410">
        <v>94.9</v>
      </c>
      <c r="C72" s="1410">
        <v>83.7</v>
      </c>
      <c r="D72" s="1411">
        <v>82.3</v>
      </c>
      <c r="E72" s="1411">
        <v>73.599999999999994</v>
      </c>
      <c r="F72" s="1411">
        <v>51.6</v>
      </c>
      <c r="G72" s="1411">
        <v>44.9</v>
      </c>
      <c r="H72" s="1411">
        <v>39.700000000000003</v>
      </c>
      <c r="I72" s="1411">
        <v>32</v>
      </c>
      <c r="J72" s="1411">
        <v>25.1</v>
      </c>
      <c r="K72" s="1410">
        <v>24.8</v>
      </c>
      <c r="L72" s="1412">
        <v>53.9</v>
      </c>
      <c r="M72" s="1413">
        <v>40.9</v>
      </c>
      <c r="N72" s="1410">
        <v>27.2</v>
      </c>
      <c r="O72" s="1337"/>
      <c r="P72" s="1337"/>
      <c r="Q72" s="1337"/>
      <c r="R72" s="1337"/>
      <c r="S72" s="1337"/>
      <c r="T72" s="1337"/>
      <c r="U72" s="1337"/>
      <c r="V72" s="1337"/>
      <c r="W72" s="1337"/>
      <c r="X72" s="1337"/>
      <c r="Y72" s="1337"/>
      <c r="Z72" s="1337"/>
      <c r="AA72" s="1337"/>
      <c r="AB72" s="1337"/>
      <c r="AC72" s="1337"/>
      <c r="AD72" s="1337"/>
      <c r="AE72" s="1337"/>
      <c r="AF72" s="1337"/>
      <c r="AG72" s="1337"/>
      <c r="AH72" s="1337"/>
      <c r="AI72" s="1337"/>
      <c r="AJ72" s="1337"/>
      <c r="AK72" s="1337"/>
      <c r="AL72" s="1337"/>
      <c r="AM72" s="1337"/>
      <c r="AN72" s="1337"/>
      <c r="AO72" s="1337"/>
      <c r="AP72" s="1337"/>
      <c r="AQ72" s="1337"/>
      <c r="AR72" s="1337"/>
      <c r="AS72" s="1337"/>
      <c r="AT72" s="1337"/>
      <c r="AU72" s="1337"/>
      <c r="AV72" s="1337"/>
      <c r="AW72" s="1337"/>
      <c r="AX72" s="1337"/>
      <c r="AY72" s="1337"/>
      <c r="AZ72" s="1337"/>
      <c r="BA72" s="1337"/>
      <c r="BB72" s="1337"/>
      <c r="BC72" s="1337"/>
      <c r="BD72" s="1337"/>
      <c r="BE72" s="1337"/>
      <c r="BF72" s="1337"/>
      <c r="BG72" s="1337"/>
      <c r="BH72" s="1337"/>
      <c r="BI72" s="1337"/>
      <c r="BJ72" s="1337"/>
      <c r="BK72" s="1337"/>
      <c r="BL72" s="1337"/>
      <c r="BM72" s="1337"/>
      <c r="BN72" s="1337"/>
      <c r="BO72" s="1337"/>
      <c r="BP72" s="1337"/>
      <c r="BQ72" s="1337"/>
      <c r="BR72" s="1337"/>
      <c r="BS72" s="1337"/>
      <c r="BT72" s="1337"/>
      <c r="BU72" s="1337"/>
      <c r="BV72" s="1337"/>
      <c r="BW72" s="1337"/>
      <c r="BX72" s="1337"/>
      <c r="BY72" s="1337"/>
      <c r="BZ72" s="1337"/>
      <c r="CA72" s="1337"/>
      <c r="CB72" s="1337"/>
      <c r="CC72" s="1337"/>
      <c r="CD72" s="1337"/>
      <c r="CE72" s="1337"/>
      <c r="CF72" s="1337"/>
      <c r="CG72" s="1337"/>
      <c r="CH72" s="1337"/>
      <c r="CI72" s="1337"/>
      <c r="CJ72" s="1337"/>
      <c r="CK72" s="1337"/>
      <c r="CL72" s="1337"/>
      <c r="CM72" s="1337"/>
      <c r="CN72" s="1337"/>
      <c r="CO72" s="1337"/>
      <c r="CP72" s="1337"/>
      <c r="CQ72" s="1337"/>
      <c r="CR72" s="1337"/>
      <c r="CS72" s="1337"/>
      <c r="CT72" s="1337"/>
      <c r="CU72" s="1337"/>
      <c r="CV72" s="1337"/>
      <c r="CW72" s="1337"/>
      <c r="CX72" s="1337"/>
      <c r="CY72" s="1337"/>
      <c r="CZ72" s="1337"/>
      <c r="DA72" s="1337"/>
      <c r="DB72" s="1337"/>
      <c r="DC72" s="1337"/>
      <c r="DD72" s="1337"/>
      <c r="DE72" s="1337"/>
      <c r="DF72" s="1337"/>
      <c r="DG72" s="1337"/>
      <c r="DH72" s="1337"/>
      <c r="DI72" s="1337"/>
      <c r="DJ72" s="1337"/>
      <c r="DK72" s="1337"/>
      <c r="DL72" s="1337"/>
      <c r="DM72" s="1337"/>
      <c r="DN72" s="1337"/>
      <c r="DO72" s="1337"/>
      <c r="DP72" s="1337"/>
      <c r="DQ72" s="1337"/>
      <c r="DR72" s="1337"/>
      <c r="DS72" s="1337"/>
      <c r="DT72" s="1337"/>
      <c r="DU72" s="1337"/>
      <c r="DV72" s="1337"/>
      <c r="DW72" s="1337"/>
      <c r="DX72" s="1337"/>
      <c r="DY72" s="1337"/>
      <c r="DZ72" s="1337"/>
      <c r="EA72" s="1337"/>
      <c r="EB72" s="1337"/>
      <c r="EC72" s="1337"/>
      <c r="ED72" s="1337"/>
      <c r="EE72" s="1337"/>
      <c r="EF72" s="1337"/>
      <c r="EG72" s="1337"/>
      <c r="EH72" s="1337"/>
      <c r="EI72" s="1337"/>
      <c r="EJ72" s="1337"/>
      <c r="EK72" s="1337"/>
      <c r="EL72" s="1337"/>
      <c r="EM72" s="1337"/>
      <c r="EN72" s="1337"/>
      <c r="EO72" s="1337"/>
      <c r="EP72" s="1337"/>
      <c r="EQ72" s="1337"/>
      <c r="ER72" s="1337"/>
      <c r="ES72" s="1337"/>
      <c r="ET72" s="1337"/>
      <c r="EU72" s="1337"/>
      <c r="EV72" s="1337"/>
      <c r="EW72" s="1337"/>
      <c r="EX72" s="1337"/>
      <c r="EY72" s="1337"/>
      <c r="EZ72" s="1337"/>
      <c r="FA72" s="1337"/>
      <c r="FB72" s="1337"/>
      <c r="FC72" s="1337"/>
      <c r="FD72" s="1337"/>
      <c r="FE72" s="1337"/>
      <c r="FF72" s="1337"/>
      <c r="FG72" s="1337"/>
      <c r="FH72" s="1337"/>
      <c r="FI72" s="1337"/>
      <c r="FJ72" s="1337"/>
      <c r="FK72" s="1337"/>
      <c r="FL72" s="1337"/>
      <c r="FM72" s="1337"/>
      <c r="FN72" s="1337"/>
      <c r="FO72" s="1337"/>
      <c r="FP72" s="1337"/>
      <c r="FQ72" s="1337"/>
      <c r="FR72" s="1337"/>
      <c r="FS72" s="1337"/>
      <c r="FT72" s="1337"/>
      <c r="FU72" s="1337"/>
      <c r="FV72" s="1337"/>
      <c r="FW72" s="1337"/>
      <c r="FX72" s="1337"/>
      <c r="FY72" s="1337"/>
      <c r="FZ72" s="1337"/>
      <c r="GA72" s="1337"/>
      <c r="GB72" s="1337"/>
      <c r="GC72" s="1337"/>
      <c r="GD72" s="1337"/>
      <c r="GE72" s="1337"/>
      <c r="GF72" s="1337"/>
      <c r="GG72" s="1337"/>
      <c r="GH72" s="1337"/>
      <c r="GI72" s="1337"/>
      <c r="GJ72" s="1337"/>
      <c r="GK72" s="1337"/>
      <c r="GL72" s="1337"/>
      <c r="GM72" s="1337"/>
      <c r="GN72" s="1337"/>
      <c r="GO72" s="1337"/>
      <c r="GP72" s="1337"/>
      <c r="GQ72" s="1337"/>
      <c r="GR72" s="1337"/>
      <c r="GS72" s="1337"/>
      <c r="GT72" s="1337"/>
      <c r="GU72" s="1337"/>
      <c r="GV72" s="1337"/>
      <c r="GW72" s="1337"/>
      <c r="GX72" s="1337"/>
      <c r="GY72" s="1337"/>
      <c r="GZ72" s="1337"/>
      <c r="HA72" s="1337"/>
      <c r="HB72" s="1337"/>
      <c r="HC72" s="1337"/>
      <c r="HD72" s="1337"/>
      <c r="HE72" s="1337"/>
      <c r="HF72" s="1337"/>
      <c r="HG72" s="1337"/>
      <c r="HH72" s="1337"/>
      <c r="HI72" s="1337"/>
      <c r="HJ72" s="1337"/>
      <c r="HK72" s="1337"/>
      <c r="HL72" s="1337"/>
      <c r="HM72" s="1337"/>
      <c r="HN72" s="1337"/>
      <c r="HO72" s="1337"/>
      <c r="HP72" s="1337"/>
      <c r="HQ72" s="1337"/>
      <c r="HR72" s="1337"/>
      <c r="HS72" s="1337"/>
      <c r="HT72" s="1337"/>
      <c r="HU72" s="1337"/>
      <c r="HV72" s="1337"/>
      <c r="HW72" s="1337"/>
      <c r="HX72" s="1337"/>
      <c r="HY72" s="1337"/>
      <c r="HZ72" s="1337"/>
      <c r="IA72" s="1337"/>
      <c r="IB72" s="1337"/>
      <c r="IC72" s="1337"/>
      <c r="ID72" s="1337"/>
      <c r="IE72" s="1337"/>
      <c r="IF72" s="1337"/>
      <c r="IG72" s="1337"/>
      <c r="IH72" s="1337"/>
      <c r="II72" s="1337"/>
      <c r="IJ72" s="1337"/>
      <c r="IK72" s="1337"/>
      <c r="IL72" s="1337"/>
      <c r="IM72" s="1337"/>
      <c r="IN72" s="1337"/>
      <c r="IO72" s="1337"/>
      <c r="IP72" s="1337"/>
      <c r="IQ72" s="1337"/>
      <c r="IR72" s="1337"/>
      <c r="IS72" s="1337"/>
      <c r="IT72" s="1337"/>
      <c r="IU72" s="1337"/>
      <c r="IV72" s="1337"/>
    </row>
    <row r="73" spans="1:256" ht="10.5" customHeight="1">
      <c r="A73" s="1323" t="s">
        <v>1100</v>
      </c>
      <c r="B73" s="1410">
        <v>313.8</v>
      </c>
      <c r="C73" s="1410">
        <v>422.5</v>
      </c>
      <c r="D73" s="1411">
        <v>429.6</v>
      </c>
      <c r="E73" s="1411">
        <v>497.5</v>
      </c>
      <c r="F73" s="1411">
        <v>629.20000000000005</v>
      </c>
      <c r="G73" s="1411">
        <v>578.29999999999995</v>
      </c>
      <c r="H73" s="1411">
        <v>624.29999999999995</v>
      </c>
      <c r="I73" s="1411">
        <v>841.9</v>
      </c>
      <c r="J73" s="1411">
        <v>887.4</v>
      </c>
      <c r="K73" s="1410">
        <v>826.5</v>
      </c>
      <c r="L73" s="1413">
        <v>781</v>
      </c>
      <c r="M73" s="1413">
        <v>826.9</v>
      </c>
      <c r="N73" s="1410">
        <v>833.9</v>
      </c>
      <c r="O73" s="1337"/>
      <c r="P73" s="1337"/>
      <c r="Q73" s="1337"/>
      <c r="R73" s="1337"/>
      <c r="S73" s="1337"/>
      <c r="T73" s="1337"/>
      <c r="U73" s="1337"/>
      <c r="V73" s="1337"/>
      <c r="W73" s="1337"/>
      <c r="X73" s="1337"/>
      <c r="Y73" s="1337"/>
      <c r="Z73" s="1337"/>
      <c r="AA73" s="1337"/>
      <c r="AB73" s="1337"/>
      <c r="AC73" s="1337"/>
      <c r="AD73" s="1337"/>
      <c r="AE73" s="1337"/>
      <c r="AF73" s="1337"/>
      <c r="AG73" s="1337"/>
      <c r="AH73" s="1337"/>
      <c r="AI73" s="1337"/>
      <c r="AJ73" s="1337"/>
      <c r="AK73" s="1337"/>
      <c r="AL73" s="1337"/>
      <c r="AM73" s="1337"/>
      <c r="AN73" s="1337"/>
      <c r="AO73" s="1337"/>
      <c r="AP73" s="1337"/>
      <c r="AQ73" s="1337"/>
      <c r="AR73" s="1337"/>
      <c r="AS73" s="1337"/>
      <c r="AT73" s="1337"/>
      <c r="AU73" s="1337"/>
      <c r="AV73" s="1337"/>
      <c r="AW73" s="1337"/>
      <c r="AX73" s="1337"/>
      <c r="AY73" s="1337"/>
      <c r="AZ73" s="1337"/>
      <c r="BA73" s="1337"/>
      <c r="BB73" s="1337"/>
      <c r="BC73" s="1337"/>
      <c r="BD73" s="1337"/>
      <c r="BE73" s="1337"/>
      <c r="BF73" s="1337"/>
      <c r="BG73" s="1337"/>
      <c r="BH73" s="1337"/>
      <c r="BI73" s="1337"/>
      <c r="BJ73" s="1337"/>
      <c r="BK73" s="1337"/>
      <c r="BL73" s="1337"/>
      <c r="BM73" s="1337"/>
      <c r="BN73" s="1337"/>
      <c r="BO73" s="1337"/>
      <c r="BP73" s="1337"/>
      <c r="BQ73" s="1337"/>
      <c r="BR73" s="1337"/>
      <c r="BS73" s="1337"/>
      <c r="BT73" s="1337"/>
      <c r="BU73" s="1337"/>
      <c r="BV73" s="1337"/>
      <c r="BW73" s="1337"/>
      <c r="BX73" s="1337"/>
      <c r="BY73" s="1337"/>
      <c r="BZ73" s="1337"/>
      <c r="CA73" s="1337"/>
      <c r="CB73" s="1337"/>
      <c r="CC73" s="1337"/>
      <c r="CD73" s="1337"/>
      <c r="CE73" s="1337"/>
      <c r="CF73" s="1337"/>
      <c r="CG73" s="1337"/>
      <c r="CH73" s="1337"/>
      <c r="CI73" s="1337"/>
      <c r="CJ73" s="1337"/>
      <c r="CK73" s="1337"/>
      <c r="CL73" s="1337"/>
      <c r="CM73" s="1337"/>
      <c r="CN73" s="1337"/>
      <c r="CO73" s="1337"/>
      <c r="CP73" s="1337"/>
      <c r="CQ73" s="1337"/>
      <c r="CR73" s="1337"/>
      <c r="CS73" s="1337"/>
      <c r="CT73" s="1337"/>
      <c r="CU73" s="1337"/>
      <c r="CV73" s="1337"/>
      <c r="CW73" s="1337"/>
      <c r="CX73" s="1337"/>
      <c r="CY73" s="1337"/>
      <c r="CZ73" s="1337"/>
      <c r="DA73" s="1337"/>
      <c r="DB73" s="1337"/>
      <c r="DC73" s="1337"/>
      <c r="DD73" s="1337"/>
      <c r="DE73" s="1337"/>
      <c r="DF73" s="1337"/>
      <c r="DG73" s="1337"/>
      <c r="DH73" s="1337"/>
      <c r="DI73" s="1337"/>
      <c r="DJ73" s="1337"/>
      <c r="DK73" s="1337"/>
      <c r="DL73" s="1337"/>
      <c r="DM73" s="1337"/>
      <c r="DN73" s="1337"/>
      <c r="DO73" s="1337"/>
      <c r="DP73" s="1337"/>
      <c r="DQ73" s="1337"/>
      <c r="DR73" s="1337"/>
      <c r="DS73" s="1337"/>
      <c r="DT73" s="1337"/>
      <c r="DU73" s="1337"/>
      <c r="DV73" s="1337"/>
      <c r="DW73" s="1337"/>
      <c r="DX73" s="1337"/>
      <c r="DY73" s="1337"/>
      <c r="DZ73" s="1337"/>
      <c r="EA73" s="1337"/>
      <c r="EB73" s="1337"/>
      <c r="EC73" s="1337"/>
      <c r="ED73" s="1337"/>
      <c r="EE73" s="1337"/>
      <c r="EF73" s="1337"/>
      <c r="EG73" s="1337"/>
      <c r="EH73" s="1337"/>
      <c r="EI73" s="1337"/>
      <c r="EJ73" s="1337"/>
      <c r="EK73" s="1337"/>
      <c r="EL73" s="1337"/>
      <c r="EM73" s="1337"/>
      <c r="EN73" s="1337"/>
      <c r="EO73" s="1337"/>
      <c r="EP73" s="1337"/>
      <c r="EQ73" s="1337"/>
      <c r="ER73" s="1337"/>
      <c r="ES73" s="1337"/>
      <c r="ET73" s="1337"/>
      <c r="EU73" s="1337"/>
      <c r="EV73" s="1337"/>
      <c r="EW73" s="1337"/>
      <c r="EX73" s="1337"/>
      <c r="EY73" s="1337"/>
      <c r="EZ73" s="1337"/>
      <c r="FA73" s="1337"/>
      <c r="FB73" s="1337"/>
      <c r="FC73" s="1337"/>
      <c r="FD73" s="1337"/>
      <c r="FE73" s="1337"/>
      <c r="FF73" s="1337"/>
      <c r="FG73" s="1337"/>
      <c r="FH73" s="1337"/>
      <c r="FI73" s="1337"/>
      <c r="FJ73" s="1337"/>
      <c r="FK73" s="1337"/>
      <c r="FL73" s="1337"/>
      <c r="FM73" s="1337"/>
      <c r="FN73" s="1337"/>
      <c r="FO73" s="1337"/>
      <c r="FP73" s="1337"/>
      <c r="FQ73" s="1337"/>
      <c r="FR73" s="1337"/>
      <c r="FS73" s="1337"/>
      <c r="FT73" s="1337"/>
      <c r="FU73" s="1337"/>
      <c r="FV73" s="1337"/>
      <c r="FW73" s="1337"/>
      <c r="FX73" s="1337"/>
      <c r="FY73" s="1337"/>
      <c r="FZ73" s="1337"/>
      <c r="GA73" s="1337"/>
      <c r="GB73" s="1337"/>
      <c r="GC73" s="1337"/>
      <c r="GD73" s="1337"/>
      <c r="GE73" s="1337"/>
      <c r="GF73" s="1337"/>
      <c r="GG73" s="1337"/>
      <c r="GH73" s="1337"/>
      <c r="GI73" s="1337"/>
      <c r="GJ73" s="1337"/>
      <c r="GK73" s="1337"/>
      <c r="GL73" s="1337"/>
      <c r="GM73" s="1337"/>
      <c r="GN73" s="1337"/>
      <c r="GO73" s="1337"/>
      <c r="GP73" s="1337"/>
      <c r="GQ73" s="1337"/>
      <c r="GR73" s="1337"/>
      <c r="GS73" s="1337"/>
      <c r="GT73" s="1337"/>
      <c r="GU73" s="1337"/>
      <c r="GV73" s="1337"/>
      <c r="GW73" s="1337"/>
      <c r="GX73" s="1337"/>
      <c r="GY73" s="1337"/>
      <c r="GZ73" s="1337"/>
      <c r="HA73" s="1337"/>
      <c r="HB73" s="1337"/>
      <c r="HC73" s="1337"/>
      <c r="HD73" s="1337"/>
      <c r="HE73" s="1337"/>
      <c r="HF73" s="1337"/>
      <c r="HG73" s="1337"/>
      <c r="HH73" s="1337"/>
      <c r="HI73" s="1337"/>
      <c r="HJ73" s="1337"/>
      <c r="HK73" s="1337"/>
      <c r="HL73" s="1337"/>
      <c r="HM73" s="1337"/>
      <c r="HN73" s="1337"/>
      <c r="HO73" s="1337"/>
      <c r="HP73" s="1337"/>
      <c r="HQ73" s="1337"/>
      <c r="HR73" s="1337"/>
      <c r="HS73" s="1337"/>
      <c r="HT73" s="1337"/>
      <c r="HU73" s="1337"/>
      <c r="HV73" s="1337"/>
      <c r="HW73" s="1337"/>
      <c r="HX73" s="1337"/>
      <c r="HY73" s="1337"/>
      <c r="HZ73" s="1337"/>
      <c r="IA73" s="1337"/>
      <c r="IB73" s="1337"/>
      <c r="IC73" s="1337"/>
      <c r="ID73" s="1337"/>
      <c r="IE73" s="1337"/>
      <c r="IF73" s="1337"/>
      <c r="IG73" s="1337"/>
      <c r="IH73" s="1337"/>
      <c r="II73" s="1337"/>
      <c r="IJ73" s="1337"/>
      <c r="IK73" s="1337"/>
      <c r="IL73" s="1337"/>
      <c r="IM73" s="1337"/>
      <c r="IN73" s="1337"/>
      <c r="IO73" s="1337"/>
      <c r="IP73" s="1337"/>
      <c r="IQ73" s="1337"/>
      <c r="IR73" s="1337"/>
      <c r="IS73" s="1337"/>
      <c r="IT73" s="1337"/>
      <c r="IU73" s="1337"/>
      <c r="IV73" s="1337"/>
    </row>
    <row r="74" spans="1:256" ht="10.5" customHeight="1">
      <c r="A74" s="1323" t="s">
        <v>1101</v>
      </c>
      <c r="B74" s="1410">
        <v>11.3</v>
      </c>
      <c r="C74" s="1410">
        <v>11.5</v>
      </c>
      <c r="D74" s="1411">
        <v>10</v>
      </c>
      <c r="E74" s="1411">
        <v>14.5</v>
      </c>
      <c r="F74" s="1411">
        <v>11.9</v>
      </c>
      <c r="G74" s="1411">
        <v>12.3</v>
      </c>
      <c r="H74" s="1411">
        <v>9.1999999999999993</v>
      </c>
      <c r="I74" s="1411">
        <v>6.96</v>
      </c>
      <c r="J74" s="1411">
        <v>7.2</v>
      </c>
      <c r="K74" s="1410">
        <v>11.2</v>
      </c>
      <c r="L74" s="1412">
        <v>7.1</v>
      </c>
      <c r="M74" s="1414">
        <v>1.5</v>
      </c>
      <c r="N74" s="1410">
        <v>1</v>
      </c>
      <c r="O74" s="1337"/>
      <c r="P74" s="1337"/>
      <c r="Q74" s="1337"/>
      <c r="R74" s="1337"/>
      <c r="S74" s="1337"/>
      <c r="T74" s="1337"/>
      <c r="U74" s="1337"/>
      <c r="V74" s="1337"/>
      <c r="W74" s="1337"/>
      <c r="X74" s="1337"/>
      <c r="Y74" s="1337"/>
      <c r="Z74" s="1337"/>
      <c r="AA74" s="1337"/>
      <c r="AB74" s="1337"/>
      <c r="AC74" s="1337"/>
      <c r="AD74" s="1337"/>
      <c r="AE74" s="1337"/>
      <c r="AF74" s="1337"/>
      <c r="AG74" s="1337"/>
      <c r="AH74" s="1337"/>
      <c r="AI74" s="1337"/>
      <c r="AJ74" s="1337"/>
      <c r="AK74" s="1337"/>
      <c r="AL74" s="1337"/>
      <c r="AM74" s="1337"/>
      <c r="AN74" s="1337"/>
      <c r="AO74" s="1337"/>
      <c r="AP74" s="1337"/>
      <c r="AQ74" s="1337"/>
      <c r="AR74" s="1337"/>
      <c r="AS74" s="1337"/>
      <c r="AT74" s="1337"/>
      <c r="AU74" s="1337"/>
      <c r="AV74" s="1337"/>
      <c r="AW74" s="1337"/>
      <c r="AX74" s="1337"/>
      <c r="AY74" s="1337"/>
      <c r="AZ74" s="1337"/>
      <c r="BA74" s="1337"/>
      <c r="BB74" s="1337"/>
      <c r="BC74" s="1337"/>
      <c r="BD74" s="1337"/>
      <c r="BE74" s="1337"/>
      <c r="BF74" s="1337"/>
      <c r="BG74" s="1337"/>
      <c r="BH74" s="1337"/>
      <c r="BI74" s="1337"/>
      <c r="BJ74" s="1337"/>
      <c r="BK74" s="1337"/>
      <c r="BL74" s="1337"/>
      <c r="BM74" s="1337"/>
      <c r="BN74" s="1337"/>
      <c r="BO74" s="1337"/>
      <c r="BP74" s="1337"/>
      <c r="BQ74" s="1337"/>
      <c r="BR74" s="1337"/>
      <c r="BS74" s="1337"/>
      <c r="BT74" s="1337"/>
      <c r="BU74" s="1337"/>
      <c r="BV74" s="1337"/>
      <c r="BW74" s="1337"/>
      <c r="BX74" s="1337"/>
      <c r="BY74" s="1337"/>
      <c r="BZ74" s="1337"/>
      <c r="CA74" s="1337"/>
      <c r="CB74" s="1337"/>
      <c r="CC74" s="1337"/>
      <c r="CD74" s="1337"/>
      <c r="CE74" s="1337"/>
      <c r="CF74" s="1337"/>
      <c r="CG74" s="1337"/>
      <c r="CH74" s="1337"/>
      <c r="CI74" s="1337"/>
      <c r="CJ74" s="1337"/>
      <c r="CK74" s="1337"/>
      <c r="CL74" s="1337"/>
      <c r="CM74" s="1337"/>
      <c r="CN74" s="1337"/>
      <c r="CO74" s="1337"/>
      <c r="CP74" s="1337"/>
      <c r="CQ74" s="1337"/>
      <c r="CR74" s="1337"/>
      <c r="CS74" s="1337"/>
      <c r="CT74" s="1337"/>
      <c r="CU74" s="1337"/>
      <c r="CV74" s="1337"/>
      <c r="CW74" s="1337"/>
      <c r="CX74" s="1337"/>
      <c r="CY74" s="1337"/>
      <c r="CZ74" s="1337"/>
      <c r="DA74" s="1337"/>
      <c r="DB74" s="1337"/>
      <c r="DC74" s="1337"/>
      <c r="DD74" s="1337"/>
      <c r="DE74" s="1337"/>
      <c r="DF74" s="1337"/>
      <c r="DG74" s="1337"/>
      <c r="DH74" s="1337"/>
      <c r="DI74" s="1337"/>
      <c r="DJ74" s="1337"/>
      <c r="DK74" s="1337"/>
      <c r="DL74" s="1337"/>
      <c r="DM74" s="1337"/>
      <c r="DN74" s="1337"/>
      <c r="DO74" s="1337"/>
      <c r="DP74" s="1337"/>
      <c r="DQ74" s="1337"/>
      <c r="DR74" s="1337"/>
      <c r="DS74" s="1337"/>
      <c r="DT74" s="1337"/>
      <c r="DU74" s="1337"/>
      <c r="DV74" s="1337"/>
      <c r="DW74" s="1337"/>
      <c r="DX74" s="1337"/>
      <c r="DY74" s="1337"/>
      <c r="DZ74" s="1337"/>
      <c r="EA74" s="1337"/>
      <c r="EB74" s="1337"/>
      <c r="EC74" s="1337"/>
      <c r="ED74" s="1337"/>
      <c r="EE74" s="1337"/>
      <c r="EF74" s="1337"/>
      <c r="EG74" s="1337"/>
      <c r="EH74" s="1337"/>
      <c r="EI74" s="1337"/>
      <c r="EJ74" s="1337"/>
      <c r="EK74" s="1337"/>
      <c r="EL74" s="1337"/>
      <c r="EM74" s="1337"/>
      <c r="EN74" s="1337"/>
      <c r="EO74" s="1337"/>
      <c r="EP74" s="1337"/>
      <c r="EQ74" s="1337"/>
      <c r="ER74" s="1337"/>
      <c r="ES74" s="1337"/>
      <c r="ET74" s="1337"/>
      <c r="EU74" s="1337"/>
      <c r="EV74" s="1337"/>
      <c r="EW74" s="1337"/>
      <c r="EX74" s="1337"/>
      <c r="EY74" s="1337"/>
      <c r="EZ74" s="1337"/>
      <c r="FA74" s="1337"/>
      <c r="FB74" s="1337"/>
      <c r="FC74" s="1337"/>
      <c r="FD74" s="1337"/>
      <c r="FE74" s="1337"/>
      <c r="FF74" s="1337"/>
      <c r="FG74" s="1337"/>
      <c r="FH74" s="1337"/>
      <c r="FI74" s="1337"/>
      <c r="FJ74" s="1337"/>
      <c r="FK74" s="1337"/>
      <c r="FL74" s="1337"/>
      <c r="FM74" s="1337"/>
      <c r="FN74" s="1337"/>
      <c r="FO74" s="1337"/>
      <c r="FP74" s="1337"/>
      <c r="FQ74" s="1337"/>
      <c r="FR74" s="1337"/>
      <c r="FS74" s="1337"/>
      <c r="FT74" s="1337"/>
      <c r="FU74" s="1337"/>
      <c r="FV74" s="1337"/>
      <c r="FW74" s="1337"/>
      <c r="FX74" s="1337"/>
      <c r="FY74" s="1337"/>
      <c r="FZ74" s="1337"/>
      <c r="GA74" s="1337"/>
      <c r="GB74" s="1337"/>
      <c r="GC74" s="1337"/>
      <c r="GD74" s="1337"/>
      <c r="GE74" s="1337"/>
      <c r="GF74" s="1337"/>
      <c r="GG74" s="1337"/>
      <c r="GH74" s="1337"/>
      <c r="GI74" s="1337"/>
      <c r="GJ74" s="1337"/>
      <c r="GK74" s="1337"/>
      <c r="GL74" s="1337"/>
      <c r="GM74" s="1337"/>
      <c r="GN74" s="1337"/>
      <c r="GO74" s="1337"/>
      <c r="GP74" s="1337"/>
      <c r="GQ74" s="1337"/>
      <c r="GR74" s="1337"/>
      <c r="GS74" s="1337"/>
      <c r="GT74" s="1337"/>
      <c r="GU74" s="1337"/>
      <c r="GV74" s="1337"/>
      <c r="GW74" s="1337"/>
      <c r="GX74" s="1337"/>
      <c r="GY74" s="1337"/>
      <c r="GZ74" s="1337"/>
      <c r="HA74" s="1337"/>
      <c r="HB74" s="1337"/>
      <c r="HC74" s="1337"/>
      <c r="HD74" s="1337"/>
      <c r="HE74" s="1337"/>
      <c r="HF74" s="1337"/>
      <c r="HG74" s="1337"/>
      <c r="HH74" s="1337"/>
      <c r="HI74" s="1337"/>
      <c r="HJ74" s="1337"/>
      <c r="HK74" s="1337"/>
      <c r="HL74" s="1337"/>
      <c r="HM74" s="1337"/>
      <c r="HN74" s="1337"/>
      <c r="HO74" s="1337"/>
      <c r="HP74" s="1337"/>
      <c r="HQ74" s="1337"/>
      <c r="HR74" s="1337"/>
      <c r="HS74" s="1337"/>
      <c r="HT74" s="1337"/>
      <c r="HU74" s="1337"/>
      <c r="HV74" s="1337"/>
      <c r="HW74" s="1337"/>
      <c r="HX74" s="1337"/>
      <c r="HY74" s="1337"/>
      <c r="HZ74" s="1337"/>
      <c r="IA74" s="1337"/>
      <c r="IB74" s="1337"/>
      <c r="IC74" s="1337"/>
      <c r="ID74" s="1337"/>
      <c r="IE74" s="1337"/>
      <c r="IF74" s="1337"/>
      <c r="IG74" s="1337"/>
      <c r="IH74" s="1337"/>
      <c r="II74" s="1337"/>
      <c r="IJ74" s="1337"/>
      <c r="IK74" s="1337"/>
      <c r="IL74" s="1337"/>
      <c r="IM74" s="1337"/>
      <c r="IN74" s="1337"/>
      <c r="IO74" s="1337"/>
      <c r="IP74" s="1337"/>
      <c r="IQ74" s="1337"/>
      <c r="IR74" s="1337"/>
      <c r="IS74" s="1337"/>
      <c r="IT74" s="1337"/>
      <c r="IU74" s="1337"/>
      <c r="IV74" s="1337"/>
    </row>
    <row r="75" spans="1:256" ht="10.5" customHeight="1">
      <c r="A75" s="1372" t="s">
        <v>1102</v>
      </c>
      <c r="B75" s="1362">
        <v>0</v>
      </c>
      <c r="C75" s="1362">
        <v>0</v>
      </c>
      <c r="D75" s="1415">
        <v>0</v>
      </c>
      <c r="E75" s="1362">
        <v>0</v>
      </c>
      <c r="F75" s="1362">
        <v>8.6</v>
      </c>
      <c r="G75" s="1362">
        <v>0</v>
      </c>
      <c r="H75" s="1362">
        <v>0</v>
      </c>
      <c r="I75" s="1362">
        <v>0</v>
      </c>
      <c r="J75" s="1362">
        <v>5.4</v>
      </c>
      <c r="K75" s="1362">
        <v>6.8</v>
      </c>
      <c r="L75" s="1363">
        <v>8</v>
      </c>
      <c r="M75" s="1363">
        <v>7.2</v>
      </c>
      <c r="N75" s="1362">
        <v>4.7</v>
      </c>
      <c r="O75" s="1337"/>
      <c r="P75" s="1337"/>
      <c r="Q75" s="1337"/>
      <c r="R75" s="1337"/>
      <c r="S75" s="1337"/>
      <c r="T75" s="1337"/>
      <c r="U75" s="1337"/>
      <c r="V75" s="1337"/>
      <c r="W75" s="1337"/>
      <c r="X75" s="1337"/>
      <c r="Y75" s="1337"/>
      <c r="Z75" s="1337"/>
      <c r="AA75" s="1337"/>
      <c r="AB75" s="1337"/>
      <c r="AC75" s="1337"/>
      <c r="AD75" s="1337"/>
      <c r="AE75" s="1337"/>
      <c r="AF75" s="1337"/>
      <c r="AG75" s="1337"/>
      <c r="AH75" s="1337"/>
      <c r="AI75" s="1337"/>
      <c r="AJ75" s="1337"/>
      <c r="AK75" s="1337"/>
      <c r="AL75" s="1337"/>
      <c r="AM75" s="1337"/>
      <c r="AN75" s="1337"/>
      <c r="AO75" s="1337"/>
      <c r="AP75" s="1337"/>
      <c r="AQ75" s="1337"/>
      <c r="AR75" s="1337"/>
      <c r="AS75" s="1337"/>
      <c r="AT75" s="1337"/>
      <c r="AU75" s="1337"/>
      <c r="AV75" s="1337"/>
      <c r="AW75" s="1337"/>
      <c r="AX75" s="1337"/>
      <c r="AY75" s="1337"/>
      <c r="AZ75" s="1337"/>
      <c r="BA75" s="1337"/>
      <c r="BB75" s="1337"/>
      <c r="BC75" s="1337"/>
      <c r="BD75" s="1337"/>
      <c r="BE75" s="1337"/>
      <c r="BF75" s="1337"/>
      <c r="BG75" s="1337"/>
      <c r="BH75" s="1337"/>
      <c r="BI75" s="1337"/>
      <c r="BJ75" s="1337"/>
      <c r="BK75" s="1337"/>
      <c r="BL75" s="1337"/>
      <c r="BM75" s="1337"/>
      <c r="BN75" s="1337"/>
      <c r="BO75" s="1337"/>
      <c r="BP75" s="1337"/>
      <c r="BQ75" s="1337"/>
      <c r="BR75" s="1337"/>
      <c r="BS75" s="1337"/>
      <c r="BT75" s="1337"/>
      <c r="BU75" s="1337"/>
      <c r="BV75" s="1337"/>
      <c r="BW75" s="1337"/>
      <c r="BX75" s="1337"/>
      <c r="BY75" s="1337"/>
      <c r="BZ75" s="1337"/>
      <c r="CA75" s="1337"/>
      <c r="CB75" s="1337"/>
      <c r="CC75" s="1337"/>
      <c r="CD75" s="1337"/>
      <c r="CE75" s="1337"/>
      <c r="CF75" s="1337"/>
      <c r="CG75" s="1337"/>
      <c r="CH75" s="1337"/>
      <c r="CI75" s="1337"/>
      <c r="CJ75" s="1337"/>
      <c r="CK75" s="1337"/>
      <c r="CL75" s="1337"/>
      <c r="CM75" s="1337"/>
      <c r="CN75" s="1337"/>
      <c r="CO75" s="1337"/>
      <c r="CP75" s="1337"/>
      <c r="CQ75" s="1337"/>
      <c r="CR75" s="1337"/>
      <c r="CS75" s="1337"/>
      <c r="CT75" s="1337"/>
      <c r="CU75" s="1337"/>
      <c r="CV75" s="1337"/>
      <c r="CW75" s="1337"/>
      <c r="CX75" s="1337"/>
      <c r="CY75" s="1337"/>
      <c r="CZ75" s="1337"/>
      <c r="DA75" s="1337"/>
      <c r="DB75" s="1337"/>
      <c r="DC75" s="1337"/>
      <c r="DD75" s="1337"/>
      <c r="DE75" s="1337"/>
      <c r="DF75" s="1337"/>
      <c r="DG75" s="1337"/>
      <c r="DH75" s="1337"/>
      <c r="DI75" s="1337"/>
      <c r="DJ75" s="1337"/>
      <c r="DK75" s="1337"/>
      <c r="DL75" s="1337"/>
      <c r="DM75" s="1337"/>
      <c r="DN75" s="1337"/>
      <c r="DO75" s="1337"/>
      <c r="DP75" s="1337"/>
      <c r="DQ75" s="1337"/>
      <c r="DR75" s="1337"/>
      <c r="DS75" s="1337"/>
      <c r="DT75" s="1337"/>
      <c r="DU75" s="1337"/>
      <c r="DV75" s="1337"/>
      <c r="DW75" s="1337"/>
      <c r="DX75" s="1337"/>
      <c r="DY75" s="1337"/>
      <c r="DZ75" s="1337"/>
      <c r="EA75" s="1337"/>
      <c r="EB75" s="1337"/>
      <c r="EC75" s="1337"/>
      <c r="ED75" s="1337"/>
      <c r="EE75" s="1337"/>
      <c r="EF75" s="1337"/>
      <c r="EG75" s="1337"/>
      <c r="EH75" s="1337"/>
      <c r="EI75" s="1337"/>
      <c r="EJ75" s="1337"/>
      <c r="EK75" s="1337"/>
      <c r="EL75" s="1337"/>
      <c r="EM75" s="1337"/>
      <c r="EN75" s="1337"/>
      <c r="EO75" s="1337"/>
      <c r="EP75" s="1337"/>
      <c r="EQ75" s="1337"/>
      <c r="ER75" s="1337"/>
      <c r="ES75" s="1337"/>
      <c r="ET75" s="1337"/>
      <c r="EU75" s="1337"/>
      <c r="EV75" s="1337"/>
      <c r="EW75" s="1337"/>
      <c r="EX75" s="1337"/>
      <c r="EY75" s="1337"/>
      <c r="EZ75" s="1337"/>
      <c r="FA75" s="1337"/>
      <c r="FB75" s="1337"/>
      <c r="FC75" s="1337"/>
      <c r="FD75" s="1337"/>
      <c r="FE75" s="1337"/>
      <c r="FF75" s="1337"/>
      <c r="FG75" s="1337"/>
      <c r="FH75" s="1337"/>
      <c r="FI75" s="1337"/>
      <c r="FJ75" s="1337"/>
      <c r="FK75" s="1337"/>
      <c r="FL75" s="1337"/>
      <c r="FM75" s="1337"/>
      <c r="FN75" s="1337"/>
      <c r="FO75" s="1337"/>
      <c r="FP75" s="1337"/>
      <c r="FQ75" s="1337"/>
      <c r="FR75" s="1337"/>
      <c r="FS75" s="1337"/>
      <c r="FT75" s="1337"/>
      <c r="FU75" s="1337"/>
      <c r="FV75" s="1337"/>
      <c r="FW75" s="1337"/>
      <c r="FX75" s="1337"/>
      <c r="FY75" s="1337"/>
      <c r="FZ75" s="1337"/>
      <c r="GA75" s="1337"/>
      <c r="GB75" s="1337"/>
      <c r="GC75" s="1337"/>
      <c r="GD75" s="1337"/>
      <c r="GE75" s="1337"/>
      <c r="GF75" s="1337"/>
      <c r="GG75" s="1337"/>
      <c r="GH75" s="1337"/>
      <c r="GI75" s="1337"/>
      <c r="GJ75" s="1337"/>
      <c r="GK75" s="1337"/>
      <c r="GL75" s="1337"/>
      <c r="GM75" s="1337"/>
      <c r="GN75" s="1337"/>
      <c r="GO75" s="1337"/>
      <c r="GP75" s="1337"/>
      <c r="GQ75" s="1337"/>
      <c r="GR75" s="1337"/>
      <c r="GS75" s="1337"/>
      <c r="GT75" s="1337"/>
      <c r="GU75" s="1337"/>
      <c r="GV75" s="1337"/>
      <c r="GW75" s="1337"/>
      <c r="GX75" s="1337"/>
      <c r="GY75" s="1337"/>
      <c r="GZ75" s="1337"/>
      <c r="HA75" s="1337"/>
      <c r="HB75" s="1337"/>
      <c r="HC75" s="1337"/>
      <c r="HD75" s="1337"/>
      <c r="HE75" s="1337"/>
      <c r="HF75" s="1337"/>
      <c r="HG75" s="1337"/>
      <c r="HH75" s="1337"/>
      <c r="HI75" s="1337"/>
      <c r="HJ75" s="1337"/>
      <c r="HK75" s="1337"/>
      <c r="HL75" s="1337"/>
      <c r="HM75" s="1337"/>
      <c r="HN75" s="1337"/>
      <c r="HO75" s="1337"/>
      <c r="HP75" s="1337"/>
      <c r="HQ75" s="1337"/>
      <c r="HR75" s="1337"/>
      <c r="HS75" s="1337"/>
      <c r="HT75" s="1337"/>
      <c r="HU75" s="1337"/>
      <c r="HV75" s="1337"/>
      <c r="HW75" s="1337"/>
      <c r="HX75" s="1337"/>
      <c r="HY75" s="1337"/>
      <c r="HZ75" s="1337"/>
      <c r="IA75" s="1337"/>
      <c r="IB75" s="1337"/>
      <c r="IC75" s="1337"/>
      <c r="ID75" s="1337"/>
      <c r="IE75" s="1337"/>
      <c r="IF75" s="1337"/>
      <c r="IG75" s="1337"/>
      <c r="IH75" s="1337"/>
      <c r="II75" s="1337"/>
      <c r="IJ75" s="1337"/>
      <c r="IK75" s="1337"/>
      <c r="IL75" s="1337"/>
      <c r="IM75" s="1337"/>
      <c r="IN75" s="1337"/>
      <c r="IO75" s="1337"/>
      <c r="IP75" s="1337"/>
      <c r="IQ75" s="1337"/>
      <c r="IR75" s="1337"/>
      <c r="IS75" s="1337"/>
      <c r="IT75" s="1337"/>
      <c r="IU75" s="1337"/>
      <c r="IV75" s="1337"/>
    </row>
    <row r="76" spans="1:256" ht="13.5" thickBot="1">
      <c r="A76" s="1416" t="s">
        <v>1103</v>
      </c>
      <c r="B76" s="1417">
        <v>419.9</v>
      </c>
      <c r="C76" s="1417">
        <v>517.70000000000005</v>
      </c>
      <c r="D76" s="1418">
        <v>522</v>
      </c>
      <c r="E76" s="1418">
        <v>585.70000000000005</v>
      </c>
      <c r="F76" s="1418">
        <v>701.3</v>
      </c>
      <c r="G76" s="1418">
        <v>635.5</v>
      </c>
      <c r="H76" s="1418">
        <v>673.2</v>
      </c>
      <c r="I76" s="1418">
        <v>881.4</v>
      </c>
      <c r="J76" s="1418">
        <v>925.1</v>
      </c>
      <c r="K76" s="1418">
        <v>869.3</v>
      </c>
      <c r="L76" s="1419">
        <v>849.9</v>
      </c>
      <c r="M76" s="1419">
        <v>876.5</v>
      </c>
      <c r="N76" s="1418">
        <v>866.8</v>
      </c>
      <c r="O76" s="1337"/>
      <c r="P76" s="1337"/>
      <c r="Q76" s="1337"/>
      <c r="R76" s="1337"/>
      <c r="S76" s="1337"/>
      <c r="T76" s="1337"/>
      <c r="U76" s="1337"/>
      <c r="V76" s="1337"/>
      <c r="W76" s="1337"/>
      <c r="X76" s="1337"/>
      <c r="Y76" s="1337"/>
      <c r="Z76" s="1337"/>
      <c r="AA76" s="1337"/>
      <c r="AB76" s="1337"/>
      <c r="AC76" s="1337"/>
      <c r="AD76" s="1337"/>
      <c r="AE76" s="1337"/>
      <c r="AF76" s="1337"/>
      <c r="AG76" s="1337"/>
      <c r="AH76" s="1337"/>
      <c r="AI76" s="1337"/>
      <c r="AJ76" s="1337"/>
      <c r="AK76" s="1337"/>
      <c r="AL76" s="1337"/>
      <c r="AM76" s="1337"/>
      <c r="AN76" s="1337"/>
      <c r="AO76" s="1337"/>
      <c r="AP76" s="1337"/>
      <c r="AQ76" s="1337"/>
      <c r="AR76" s="1337"/>
      <c r="AS76" s="1337"/>
      <c r="AT76" s="1337"/>
      <c r="AU76" s="1337"/>
      <c r="AV76" s="1337"/>
      <c r="AW76" s="1337"/>
      <c r="AX76" s="1337"/>
      <c r="AY76" s="1337"/>
      <c r="AZ76" s="1337"/>
      <c r="BA76" s="1337"/>
      <c r="BB76" s="1337"/>
      <c r="BC76" s="1337"/>
      <c r="BD76" s="1337"/>
      <c r="BE76" s="1337"/>
      <c r="BF76" s="1337"/>
      <c r="BG76" s="1337"/>
      <c r="BH76" s="1337"/>
      <c r="BI76" s="1337"/>
      <c r="BJ76" s="1337"/>
      <c r="BK76" s="1337"/>
      <c r="BL76" s="1337"/>
      <c r="BM76" s="1337"/>
      <c r="BN76" s="1337"/>
      <c r="BO76" s="1337"/>
      <c r="BP76" s="1337"/>
      <c r="BQ76" s="1337"/>
      <c r="BR76" s="1337"/>
      <c r="BS76" s="1337"/>
      <c r="BT76" s="1337"/>
      <c r="BU76" s="1337"/>
      <c r="BV76" s="1337"/>
      <c r="BW76" s="1337"/>
      <c r="BX76" s="1337"/>
      <c r="BY76" s="1337"/>
      <c r="BZ76" s="1337"/>
      <c r="CA76" s="1337"/>
      <c r="CB76" s="1337"/>
      <c r="CC76" s="1337"/>
      <c r="CD76" s="1337"/>
      <c r="CE76" s="1337"/>
      <c r="CF76" s="1337"/>
      <c r="CG76" s="1337"/>
      <c r="CH76" s="1337"/>
      <c r="CI76" s="1337"/>
      <c r="CJ76" s="1337"/>
      <c r="CK76" s="1337"/>
      <c r="CL76" s="1337"/>
      <c r="CM76" s="1337"/>
      <c r="CN76" s="1337"/>
      <c r="CO76" s="1337"/>
      <c r="CP76" s="1337"/>
      <c r="CQ76" s="1337"/>
      <c r="CR76" s="1337"/>
      <c r="CS76" s="1337"/>
      <c r="CT76" s="1337"/>
      <c r="CU76" s="1337"/>
      <c r="CV76" s="1337"/>
      <c r="CW76" s="1337"/>
      <c r="CX76" s="1337"/>
      <c r="CY76" s="1337"/>
      <c r="CZ76" s="1337"/>
      <c r="DA76" s="1337"/>
      <c r="DB76" s="1337"/>
      <c r="DC76" s="1337"/>
      <c r="DD76" s="1337"/>
      <c r="DE76" s="1337"/>
      <c r="DF76" s="1337"/>
      <c r="DG76" s="1337"/>
      <c r="DH76" s="1337"/>
      <c r="DI76" s="1337"/>
      <c r="DJ76" s="1337"/>
      <c r="DK76" s="1337"/>
      <c r="DL76" s="1337"/>
      <c r="DM76" s="1337"/>
      <c r="DN76" s="1337"/>
      <c r="DO76" s="1337"/>
      <c r="DP76" s="1337"/>
      <c r="DQ76" s="1337"/>
      <c r="DR76" s="1337"/>
      <c r="DS76" s="1337"/>
      <c r="DT76" s="1337"/>
      <c r="DU76" s="1337"/>
      <c r="DV76" s="1337"/>
      <c r="DW76" s="1337"/>
      <c r="DX76" s="1337"/>
      <c r="DY76" s="1337"/>
      <c r="DZ76" s="1337"/>
      <c r="EA76" s="1337"/>
      <c r="EB76" s="1337"/>
      <c r="EC76" s="1337"/>
      <c r="ED76" s="1337"/>
      <c r="EE76" s="1337"/>
      <c r="EF76" s="1337"/>
      <c r="EG76" s="1337"/>
      <c r="EH76" s="1337"/>
      <c r="EI76" s="1337"/>
      <c r="EJ76" s="1337"/>
      <c r="EK76" s="1337"/>
      <c r="EL76" s="1337"/>
      <c r="EM76" s="1337"/>
      <c r="EN76" s="1337"/>
      <c r="EO76" s="1337"/>
      <c r="EP76" s="1337"/>
      <c r="EQ76" s="1337"/>
      <c r="ER76" s="1337"/>
      <c r="ES76" s="1337"/>
      <c r="ET76" s="1337"/>
      <c r="EU76" s="1337"/>
      <c r="EV76" s="1337"/>
      <c r="EW76" s="1337"/>
      <c r="EX76" s="1337"/>
      <c r="EY76" s="1337"/>
      <c r="EZ76" s="1337"/>
      <c r="FA76" s="1337"/>
      <c r="FB76" s="1337"/>
      <c r="FC76" s="1337"/>
      <c r="FD76" s="1337"/>
      <c r="FE76" s="1337"/>
      <c r="FF76" s="1337"/>
      <c r="FG76" s="1337"/>
      <c r="FH76" s="1337"/>
      <c r="FI76" s="1337"/>
      <c r="FJ76" s="1337"/>
      <c r="FK76" s="1337"/>
      <c r="FL76" s="1337"/>
      <c r="FM76" s="1337"/>
      <c r="FN76" s="1337"/>
      <c r="FO76" s="1337"/>
      <c r="FP76" s="1337"/>
      <c r="FQ76" s="1337"/>
      <c r="FR76" s="1337"/>
      <c r="FS76" s="1337"/>
      <c r="FT76" s="1337"/>
      <c r="FU76" s="1337"/>
      <c r="FV76" s="1337"/>
      <c r="FW76" s="1337"/>
      <c r="FX76" s="1337"/>
      <c r="FY76" s="1337"/>
      <c r="FZ76" s="1337"/>
      <c r="GA76" s="1337"/>
      <c r="GB76" s="1337"/>
      <c r="GC76" s="1337"/>
      <c r="GD76" s="1337"/>
      <c r="GE76" s="1337"/>
      <c r="GF76" s="1337"/>
      <c r="GG76" s="1337"/>
      <c r="GH76" s="1337"/>
      <c r="GI76" s="1337"/>
      <c r="GJ76" s="1337"/>
      <c r="GK76" s="1337"/>
      <c r="GL76" s="1337"/>
      <c r="GM76" s="1337"/>
      <c r="GN76" s="1337"/>
      <c r="GO76" s="1337"/>
      <c r="GP76" s="1337"/>
      <c r="GQ76" s="1337"/>
      <c r="GR76" s="1337"/>
      <c r="GS76" s="1337"/>
      <c r="GT76" s="1337"/>
      <c r="GU76" s="1337"/>
      <c r="GV76" s="1337"/>
      <c r="GW76" s="1337"/>
      <c r="GX76" s="1337"/>
      <c r="GY76" s="1337"/>
      <c r="GZ76" s="1337"/>
      <c r="HA76" s="1337"/>
      <c r="HB76" s="1337"/>
      <c r="HC76" s="1337"/>
      <c r="HD76" s="1337"/>
      <c r="HE76" s="1337"/>
      <c r="HF76" s="1337"/>
      <c r="HG76" s="1337"/>
      <c r="HH76" s="1337"/>
      <c r="HI76" s="1337"/>
      <c r="HJ76" s="1337"/>
      <c r="HK76" s="1337"/>
      <c r="HL76" s="1337"/>
      <c r="HM76" s="1337"/>
      <c r="HN76" s="1337"/>
      <c r="HO76" s="1337"/>
      <c r="HP76" s="1337"/>
      <c r="HQ76" s="1337"/>
      <c r="HR76" s="1337"/>
      <c r="HS76" s="1337"/>
      <c r="HT76" s="1337"/>
      <c r="HU76" s="1337"/>
      <c r="HV76" s="1337"/>
      <c r="HW76" s="1337"/>
      <c r="HX76" s="1337"/>
      <c r="HY76" s="1337"/>
      <c r="HZ76" s="1337"/>
      <c r="IA76" s="1337"/>
      <c r="IB76" s="1337"/>
      <c r="IC76" s="1337"/>
      <c r="ID76" s="1337"/>
      <c r="IE76" s="1337"/>
      <c r="IF76" s="1337"/>
      <c r="IG76" s="1337"/>
      <c r="IH76" s="1337"/>
      <c r="II76" s="1337"/>
      <c r="IJ76" s="1337"/>
      <c r="IK76" s="1337"/>
      <c r="IL76" s="1337"/>
      <c r="IM76" s="1337"/>
      <c r="IN76" s="1337"/>
      <c r="IO76" s="1337"/>
      <c r="IP76" s="1337"/>
      <c r="IQ76" s="1337"/>
      <c r="IR76" s="1337"/>
      <c r="IS76" s="1337"/>
      <c r="IT76" s="1337"/>
      <c r="IU76" s="1337"/>
      <c r="IV76" s="1337"/>
    </row>
    <row r="77" spans="1:256" ht="13.5" thickTop="1">
      <c r="A77" s="1420" t="s">
        <v>1129</v>
      </c>
      <c r="B77" s="1421">
        <v>175.6</v>
      </c>
      <c r="C77" s="1421">
        <v>227</v>
      </c>
      <c r="D77" s="1422">
        <v>228.5</v>
      </c>
      <c r="E77" s="1422">
        <v>266.8</v>
      </c>
      <c r="F77" s="1422">
        <v>337</v>
      </c>
      <c r="G77" s="1422">
        <v>296.3</v>
      </c>
      <c r="H77" s="1422">
        <v>318.89999999999998</v>
      </c>
      <c r="I77" s="1422">
        <v>410.5</v>
      </c>
      <c r="J77" s="1422">
        <v>438.5</v>
      </c>
      <c r="K77" s="1422">
        <v>408.3</v>
      </c>
      <c r="L77" s="1423">
        <v>377.9</v>
      </c>
      <c r="M77" s="1424">
        <v>386.3</v>
      </c>
      <c r="N77" s="1422">
        <v>403.7</v>
      </c>
      <c r="O77" s="1337"/>
      <c r="P77" s="1337"/>
      <c r="Q77" s="1337"/>
      <c r="R77" s="1337"/>
      <c r="S77" s="1337"/>
      <c r="T77" s="1337"/>
      <c r="U77" s="1337"/>
      <c r="V77" s="1337"/>
      <c r="W77" s="1337"/>
      <c r="X77" s="1337"/>
      <c r="Y77" s="1337"/>
      <c r="Z77" s="1337"/>
      <c r="AA77" s="1337"/>
      <c r="AB77" s="1337"/>
      <c r="AC77" s="1337"/>
      <c r="AD77" s="1337"/>
      <c r="AE77" s="1337"/>
      <c r="AF77" s="1337"/>
      <c r="AG77" s="1337"/>
      <c r="AH77" s="1337"/>
      <c r="AI77" s="1337"/>
      <c r="AJ77" s="1337"/>
      <c r="AK77" s="1337"/>
      <c r="AL77" s="1337"/>
      <c r="AM77" s="1337"/>
      <c r="AN77" s="1337"/>
      <c r="AO77" s="1337"/>
      <c r="AP77" s="1337"/>
      <c r="AQ77" s="1337"/>
      <c r="AR77" s="1337"/>
      <c r="AS77" s="1337"/>
      <c r="AT77" s="1337"/>
      <c r="AU77" s="1337"/>
      <c r="AV77" s="1337"/>
      <c r="AW77" s="1337"/>
      <c r="AX77" s="1337"/>
      <c r="AY77" s="1337"/>
      <c r="AZ77" s="1337"/>
      <c r="BA77" s="1337"/>
      <c r="BB77" s="1337"/>
      <c r="BC77" s="1337"/>
      <c r="BD77" s="1337"/>
      <c r="BE77" s="1337"/>
      <c r="BF77" s="1337"/>
      <c r="BG77" s="1337"/>
      <c r="BH77" s="1337"/>
      <c r="BI77" s="1337"/>
      <c r="BJ77" s="1337"/>
      <c r="BK77" s="1337"/>
      <c r="BL77" s="1337"/>
      <c r="BM77" s="1337"/>
      <c r="BN77" s="1337"/>
      <c r="BO77" s="1337"/>
      <c r="BP77" s="1337"/>
      <c r="BQ77" s="1337"/>
      <c r="BR77" s="1337"/>
      <c r="BS77" s="1337"/>
      <c r="BT77" s="1337"/>
      <c r="BU77" s="1337"/>
      <c r="BV77" s="1337"/>
      <c r="BW77" s="1337"/>
      <c r="BX77" s="1337"/>
      <c r="BY77" s="1337"/>
      <c r="BZ77" s="1337"/>
      <c r="CA77" s="1337"/>
      <c r="CB77" s="1337"/>
      <c r="CC77" s="1337"/>
      <c r="CD77" s="1337"/>
      <c r="CE77" s="1337"/>
      <c r="CF77" s="1337"/>
      <c r="CG77" s="1337"/>
      <c r="CH77" s="1337"/>
      <c r="CI77" s="1337"/>
      <c r="CJ77" s="1337"/>
      <c r="CK77" s="1337"/>
      <c r="CL77" s="1337"/>
      <c r="CM77" s="1337"/>
      <c r="CN77" s="1337"/>
      <c r="CO77" s="1337"/>
      <c r="CP77" s="1337"/>
      <c r="CQ77" s="1337"/>
      <c r="CR77" s="1337"/>
      <c r="CS77" s="1337"/>
      <c r="CT77" s="1337"/>
      <c r="CU77" s="1337"/>
      <c r="CV77" s="1337"/>
      <c r="CW77" s="1337"/>
      <c r="CX77" s="1337"/>
      <c r="CY77" s="1337"/>
      <c r="CZ77" s="1337"/>
      <c r="DA77" s="1337"/>
      <c r="DB77" s="1337"/>
      <c r="DC77" s="1337"/>
      <c r="DD77" s="1337"/>
      <c r="DE77" s="1337"/>
      <c r="DF77" s="1337"/>
      <c r="DG77" s="1337"/>
      <c r="DH77" s="1337"/>
      <c r="DI77" s="1337"/>
      <c r="DJ77" s="1337"/>
      <c r="DK77" s="1337"/>
      <c r="DL77" s="1337"/>
      <c r="DM77" s="1337"/>
      <c r="DN77" s="1337"/>
      <c r="DO77" s="1337"/>
      <c r="DP77" s="1337"/>
      <c r="DQ77" s="1337"/>
      <c r="DR77" s="1337"/>
      <c r="DS77" s="1337"/>
      <c r="DT77" s="1337"/>
      <c r="DU77" s="1337"/>
      <c r="DV77" s="1337"/>
      <c r="DW77" s="1337"/>
      <c r="DX77" s="1337"/>
      <c r="DY77" s="1337"/>
      <c r="DZ77" s="1337"/>
      <c r="EA77" s="1337"/>
      <c r="EB77" s="1337"/>
      <c r="EC77" s="1337"/>
      <c r="ED77" s="1337"/>
      <c r="EE77" s="1337"/>
      <c r="EF77" s="1337"/>
      <c r="EG77" s="1337"/>
      <c r="EH77" s="1337"/>
      <c r="EI77" s="1337"/>
      <c r="EJ77" s="1337"/>
      <c r="EK77" s="1337"/>
      <c r="EL77" s="1337"/>
      <c r="EM77" s="1337"/>
      <c r="EN77" s="1337"/>
      <c r="EO77" s="1337"/>
      <c r="EP77" s="1337"/>
      <c r="EQ77" s="1337"/>
      <c r="ER77" s="1337"/>
      <c r="ES77" s="1337"/>
      <c r="ET77" s="1337"/>
      <c r="EU77" s="1337"/>
      <c r="EV77" s="1337"/>
      <c r="EW77" s="1337"/>
      <c r="EX77" s="1337"/>
      <c r="EY77" s="1337"/>
      <c r="EZ77" s="1337"/>
      <c r="FA77" s="1337"/>
      <c r="FB77" s="1337"/>
      <c r="FC77" s="1337"/>
      <c r="FD77" s="1337"/>
      <c r="FE77" s="1337"/>
      <c r="FF77" s="1337"/>
      <c r="FG77" s="1337"/>
      <c r="FH77" s="1337"/>
      <c r="FI77" s="1337"/>
      <c r="FJ77" s="1337"/>
      <c r="FK77" s="1337"/>
      <c r="FL77" s="1337"/>
      <c r="FM77" s="1337"/>
      <c r="FN77" s="1337"/>
      <c r="FO77" s="1337"/>
      <c r="FP77" s="1337"/>
      <c r="FQ77" s="1337"/>
      <c r="FR77" s="1337"/>
      <c r="FS77" s="1337"/>
      <c r="FT77" s="1337"/>
      <c r="FU77" s="1337"/>
      <c r="FV77" s="1337"/>
      <c r="FW77" s="1337"/>
      <c r="FX77" s="1337"/>
      <c r="FY77" s="1337"/>
      <c r="FZ77" s="1337"/>
      <c r="GA77" s="1337"/>
      <c r="GB77" s="1337"/>
      <c r="GC77" s="1337"/>
      <c r="GD77" s="1337"/>
      <c r="GE77" s="1337"/>
      <c r="GF77" s="1337"/>
      <c r="GG77" s="1337"/>
      <c r="GH77" s="1337"/>
      <c r="GI77" s="1337"/>
      <c r="GJ77" s="1337"/>
      <c r="GK77" s="1337"/>
      <c r="GL77" s="1337"/>
      <c r="GM77" s="1337"/>
      <c r="GN77" s="1337"/>
      <c r="GO77" s="1337"/>
      <c r="GP77" s="1337"/>
      <c r="GQ77" s="1337"/>
      <c r="GR77" s="1337"/>
      <c r="GS77" s="1337"/>
      <c r="GT77" s="1337"/>
      <c r="GU77" s="1337"/>
      <c r="GV77" s="1337"/>
      <c r="GW77" s="1337"/>
      <c r="GX77" s="1337"/>
      <c r="GY77" s="1337"/>
      <c r="GZ77" s="1337"/>
      <c r="HA77" s="1337"/>
      <c r="HB77" s="1337"/>
      <c r="HC77" s="1337"/>
      <c r="HD77" s="1337"/>
      <c r="HE77" s="1337"/>
      <c r="HF77" s="1337"/>
      <c r="HG77" s="1337"/>
      <c r="HH77" s="1337"/>
      <c r="HI77" s="1337"/>
      <c r="HJ77" s="1337"/>
      <c r="HK77" s="1337"/>
      <c r="HL77" s="1337"/>
      <c r="HM77" s="1337"/>
      <c r="HN77" s="1337"/>
      <c r="HO77" s="1337"/>
      <c r="HP77" s="1337"/>
      <c r="HQ77" s="1337"/>
      <c r="HR77" s="1337"/>
      <c r="HS77" s="1337"/>
      <c r="HT77" s="1337"/>
      <c r="HU77" s="1337"/>
      <c r="HV77" s="1337"/>
      <c r="HW77" s="1337"/>
      <c r="HX77" s="1337"/>
      <c r="HY77" s="1337"/>
      <c r="HZ77" s="1337"/>
      <c r="IA77" s="1337"/>
      <c r="IB77" s="1337"/>
      <c r="IC77" s="1337"/>
      <c r="ID77" s="1337"/>
      <c r="IE77" s="1337"/>
      <c r="IF77" s="1337"/>
      <c r="IG77" s="1337"/>
      <c r="IH77" s="1337"/>
      <c r="II77" s="1337"/>
      <c r="IJ77" s="1337"/>
      <c r="IK77" s="1337"/>
      <c r="IL77" s="1337"/>
      <c r="IM77" s="1337"/>
      <c r="IN77" s="1337"/>
      <c r="IO77" s="1337"/>
      <c r="IP77" s="1337"/>
      <c r="IQ77" s="1337"/>
      <c r="IR77" s="1337"/>
      <c r="IS77" s="1337"/>
      <c r="IT77" s="1337"/>
      <c r="IU77" s="1337"/>
      <c r="IV77" s="1337"/>
    </row>
    <row r="78" spans="1:256">
      <c r="A78" s="1380" t="s">
        <v>1130</v>
      </c>
      <c r="B78" s="1361">
        <v>2042</v>
      </c>
      <c r="C78" s="1361">
        <v>2640</v>
      </c>
      <c r="D78" s="1362">
        <v>2658</v>
      </c>
      <c r="E78" s="1362">
        <v>3103</v>
      </c>
      <c r="F78" s="1362">
        <v>3920</v>
      </c>
      <c r="G78" s="1362">
        <v>3445.7</v>
      </c>
      <c r="H78" s="1362">
        <v>3708.4</v>
      </c>
      <c r="I78" s="1362">
        <v>4773.6000000000004</v>
      </c>
      <c r="J78" s="1362">
        <v>5100.2</v>
      </c>
      <c r="K78" s="1362">
        <v>4749</v>
      </c>
      <c r="L78" s="1363">
        <v>4394.6000000000004</v>
      </c>
      <c r="M78" s="1373">
        <v>4492.3999999999996</v>
      </c>
      <c r="N78" s="1362">
        <v>4695.1000000000004</v>
      </c>
      <c r="O78" s="1337"/>
      <c r="P78" s="1337"/>
      <c r="Q78" s="1337"/>
      <c r="R78" s="1337"/>
      <c r="S78" s="1337"/>
      <c r="T78" s="1337"/>
      <c r="U78" s="1337"/>
      <c r="V78" s="1337"/>
      <c r="W78" s="1337"/>
      <c r="X78" s="1337"/>
      <c r="Y78" s="1337"/>
      <c r="Z78" s="1337"/>
      <c r="AA78" s="1337"/>
      <c r="AB78" s="1337"/>
      <c r="AC78" s="1337"/>
      <c r="AD78" s="1337"/>
      <c r="AE78" s="1337"/>
      <c r="AF78" s="1337"/>
      <c r="AG78" s="1337"/>
      <c r="AH78" s="1337"/>
      <c r="AI78" s="1337"/>
      <c r="AJ78" s="1337"/>
      <c r="AK78" s="1337"/>
      <c r="AL78" s="1337"/>
      <c r="AM78" s="1337"/>
      <c r="AN78" s="1337"/>
      <c r="AO78" s="1337"/>
      <c r="AP78" s="1337"/>
      <c r="AQ78" s="1337"/>
      <c r="AR78" s="1337"/>
      <c r="AS78" s="1337"/>
      <c r="AT78" s="1337"/>
      <c r="AU78" s="1337"/>
      <c r="AV78" s="1337"/>
      <c r="AW78" s="1337"/>
      <c r="AX78" s="1337"/>
      <c r="AY78" s="1337"/>
      <c r="AZ78" s="1337"/>
      <c r="BA78" s="1337"/>
      <c r="BB78" s="1337"/>
      <c r="BC78" s="1337"/>
      <c r="BD78" s="1337"/>
      <c r="BE78" s="1337"/>
      <c r="BF78" s="1337"/>
      <c r="BG78" s="1337"/>
      <c r="BH78" s="1337"/>
      <c r="BI78" s="1337"/>
      <c r="BJ78" s="1337"/>
      <c r="BK78" s="1337"/>
      <c r="BL78" s="1337"/>
      <c r="BM78" s="1337"/>
      <c r="BN78" s="1337"/>
      <c r="BO78" s="1337"/>
      <c r="BP78" s="1337"/>
      <c r="BQ78" s="1337"/>
      <c r="BR78" s="1337"/>
      <c r="BS78" s="1337"/>
      <c r="BT78" s="1337"/>
      <c r="BU78" s="1337"/>
      <c r="BV78" s="1337"/>
      <c r="BW78" s="1337"/>
      <c r="BX78" s="1337"/>
      <c r="BY78" s="1337"/>
      <c r="BZ78" s="1337"/>
      <c r="CA78" s="1337"/>
      <c r="CB78" s="1337"/>
      <c r="CC78" s="1337"/>
      <c r="CD78" s="1337"/>
      <c r="CE78" s="1337"/>
      <c r="CF78" s="1337"/>
      <c r="CG78" s="1337"/>
      <c r="CH78" s="1337"/>
      <c r="CI78" s="1337"/>
      <c r="CJ78" s="1337"/>
      <c r="CK78" s="1337"/>
      <c r="CL78" s="1337"/>
      <c r="CM78" s="1337"/>
      <c r="CN78" s="1337"/>
      <c r="CO78" s="1337"/>
      <c r="CP78" s="1337"/>
      <c r="CQ78" s="1337"/>
      <c r="CR78" s="1337"/>
      <c r="CS78" s="1337"/>
      <c r="CT78" s="1337"/>
      <c r="CU78" s="1337"/>
      <c r="CV78" s="1337"/>
      <c r="CW78" s="1337"/>
      <c r="CX78" s="1337"/>
      <c r="CY78" s="1337"/>
      <c r="CZ78" s="1337"/>
      <c r="DA78" s="1337"/>
      <c r="DB78" s="1337"/>
      <c r="DC78" s="1337"/>
      <c r="DD78" s="1337"/>
      <c r="DE78" s="1337"/>
      <c r="DF78" s="1337"/>
      <c r="DG78" s="1337"/>
      <c r="DH78" s="1337"/>
      <c r="DI78" s="1337"/>
      <c r="DJ78" s="1337"/>
      <c r="DK78" s="1337"/>
      <c r="DL78" s="1337"/>
      <c r="DM78" s="1337"/>
      <c r="DN78" s="1337"/>
      <c r="DO78" s="1337"/>
      <c r="DP78" s="1337"/>
      <c r="DQ78" s="1337"/>
      <c r="DR78" s="1337"/>
      <c r="DS78" s="1337"/>
      <c r="DT78" s="1337"/>
      <c r="DU78" s="1337"/>
      <c r="DV78" s="1337"/>
      <c r="DW78" s="1337"/>
      <c r="DX78" s="1337"/>
      <c r="DY78" s="1337"/>
      <c r="DZ78" s="1337"/>
      <c r="EA78" s="1337"/>
      <c r="EB78" s="1337"/>
      <c r="EC78" s="1337"/>
      <c r="ED78" s="1337"/>
      <c r="EE78" s="1337"/>
      <c r="EF78" s="1337"/>
      <c r="EG78" s="1337"/>
      <c r="EH78" s="1337"/>
      <c r="EI78" s="1337"/>
      <c r="EJ78" s="1337"/>
      <c r="EK78" s="1337"/>
      <c r="EL78" s="1337"/>
      <c r="EM78" s="1337"/>
      <c r="EN78" s="1337"/>
      <c r="EO78" s="1337"/>
      <c r="EP78" s="1337"/>
      <c r="EQ78" s="1337"/>
      <c r="ER78" s="1337"/>
      <c r="ES78" s="1337"/>
      <c r="ET78" s="1337"/>
      <c r="EU78" s="1337"/>
      <c r="EV78" s="1337"/>
      <c r="EW78" s="1337"/>
      <c r="EX78" s="1337"/>
      <c r="EY78" s="1337"/>
      <c r="EZ78" s="1337"/>
      <c r="FA78" s="1337"/>
      <c r="FB78" s="1337"/>
      <c r="FC78" s="1337"/>
      <c r="FD78" s="1337"/>
      <c r="FE78" s="1337"/>
      <c r="FF78" s="1337"/>
      <c r="FG78" s="1337"/>
      <c r="FH78" s="1337"/>
      <c r="FI78" s="1337"/>
      <c r="FJ78" s="1337"/>
      <c r="FK78" s="1337"/>
      <c r="FL78" s="1337"/>
      <c r="FM78" s="1337"/>
      <c r="FN78" s="1337"/>
      <c r="FO78" s="1337"/>
      <c r="FP78" s="1337"/>
      <c r="FQ78" s="1337"/>
      <c r="FR78" s="1337"/>
      <c r="FS78" s="1337"/>
      <c r="FT78" s="1337"/>
      <c r="FU78" s="1337"/>
      <c r="FV78" s="1337"/>
      <c r="FW78" s="1337"/>
      <c r="FX78" s="1337"/>
      <c r="FY78" s="1337"/>
      <c r="FZ78" s="1337"/>
      <c r="GA78" s="1337"/>
      <c r="GB78" s="1337"/>
      <c r="GC78" s="1337"/>
      <c r="GD78" s="1337"/>
      <c r="GE78" s="1337"/>
      <c r="GF78" s="1337"/>
      <c r="GG78" s="1337"/>
      <c r="GH78" s="1337"/>
      <c r="GI78" s="1337"/>
      <c r="GJ78" s="1337"/>
      <c r="GK78" s="1337"/>
      <c r="GL78" s="1337"/>
      <c r="GM78" s="1337"/>
      <c r="GN78" s="1337"/>
      <c r="GO78" s="1337"/>
      <c r="GP78" s="1337"/>
      <c r="GQ78" s="1337"/>
      <c r="GR78" s="1337"/>
      <c r="GS78" s="1337"/>
      <c r="GT78" s="1337"/>
      <c r="GU78" s="1337"/>
      <c r="GV78" s="1337"/>
      <c r="GW78" s="1337"/>
      <c r="GX78" s="1337"/>
      <c r="GY78" s="1337"/>
      <c r="GZ78" s="1337"/>
      <c r="HA78" s="1337"/>
      <c r="HB78" s="1337"/>
      <c r="HC78" s="1337"/>
      <c r="HD78" s="1337"/>
      <c r="HE78" s="1337"/>
      <c r="HF78" s="1337"/>
      <c r="HG78" s="1337"/>
      <c r="HH78" s="1337"/>
      <c r="HI78" s="1337"/>
      <c r="HJ78" s="1337"/>
      <c r="HK78" s="1337"/>
      <c r="HL78" s="1337"/>
      <c r="HM78" s="1337"/>
      <c r="HN78" s="1337"/>
      <c r="HO78" s="1337"/>
      <c r="HP78" s="1337"/>
      <c r="HQ78" s="1337"/>
      <c r="HR78" s="1337"/>
      <c r="HS78" s="1337"/>
      <c r="HT78" s="1337"/>
      <c r="HU78" s="1337"/>
      <c r="HV78" s="1337"/>
      <c r="HW78" s="1337"/>
      <c r="HX78" s="1337"/>
      <c r="HY78" s="1337"/>
      <c r="HZ78" s="1337"/>
      <c r="IA78" s="1337"/>
      <c r="IB78" s="1337"/>
      <c r="IC78" s="1337"/>
      <c r="ID78" s="1337"/>
      <c r="IE78" s="1337"/>
      <c r="IF78" s="1337"/>
      <c r="IG78" s="1337"/>
      <c r="IH78" s="1337"/>
      <c r="II78" s="1337"/>
      <c r="IJ78" s="1337"/>
      <c r="IK78" s="1337"/>
      <c r="IL78" s="1337"/>
      <c r="IM78" s="1337"/>
      <c r="IN78" s="1337"/>
      <c r="IO78" s="1337"/>
      <c r="IP78" s="1337"/>
      <c r="IQ78" s="1337"/>
      <c r="IR78" s="1337"/>
      <c r="IS78" s="1337"/>
      <c r="IT78" s="1337"/>
      <c r="IU78" s="1337"/>
      <c r="IV78" s="1337"/>
    </row>
    <row r="79" spans="1:256">
      <c r="A79" s="1425" t="s">
        <v>1131</v>
      </c>
      <c r="B79" s="1426">
        <v>162.30000000000001</v>
      </c>
      <c r="C79" s="1426">
        <v>211.7</v>
      </c>
      <c r="D79" s="1427">
        <v>211</v>
      </c>
      <c r="E79" s="1427">
        <v>238.5</v>
      </c>
      <c r="F79" s="1427">
        <v>258.2</v>
      </c>
      <c r="G79" s="1427">
        <v>225.3</v>
      </c>
      <c r="H79" s="1427">
        <v>209.6</v>
      </c>
      <c r="I79" s="1427">
        <v>271.60000000000002</v>
      </c>
      <c r="J79" s="1427">
        <v>314</v>
      </c>
      <c r="K79" s="1427">
        <v>300.10000000000002</v>
      </c>
      <c r="L79" s="1428">
        <v>279</v>
      </c>
      <c r="M79" s="1428">
        <v>333.7</v>
      </c>
      <c r="N79" s="1427">
        <v>296.60000000000002</v>
      </c>
      <c r="O79" s="1337"/>
      <c r="P79" s="1337"/>
      <c r="Q79" s="1337"/>
      <c r="R79" s="1337"/>
      <c r="S79" s="1337"/>
      <c r="T79" s="1337"/>
      <c r="U79" s="1337"/>
      <c r="V79" s="1337"/>
      <c r="W79" s="1337"/>
      <c r="X79" s="1337"/>
      <c r="Y79" s="1337"/>
      <c r="Z79" s="1337"/>
      <c r="AA79" s="1337"/>
      <c r="AB79" s="1337"/>
      <c r="AC79" s="1337"/>
      <c r="AD79" s="1337"/>
      <c r="AE79" s="1337"/>
      <c r="AF79" s="1337"/>
      <c r="AG79" s="1337"/>
      <c r="AH79" s="1337"/>
      <c r="AI79" s="1337"/>
      <c r="AJ79" s="1337"/>
      <c r="AK79" s="1337"/>
      <c r="AL79" s="1337"/>
      <c r="AM79" s="1337"/>
      <c r="AN79" s="1337"/>
      <c r="AO79" s="1337"/>
      <c r="AP79" s="1337"/>
      <c r="AQ79" s="1337"/>
      <c r="AR79" s="1337"/>
      <c r="AS79" s="1337"/>
      <c r="AT79" s="1337"/>
      <c r="AU79" s="1337"/>
      <c r="AV79" s="1337"/>
      <c r="AW79" s="1337"/>
      <c r="AX79" s="1337"/>
      <c r="AY79" s="1337"/>
      <c r="AZ79" s="1337"/>
      <c r="BA79" s="1337"/>
      <c r="BB79" s="1337"/>
      <c r="BC79" s="1337"/>
      <c r="BD79" s="1337"/>
      <c r="BE79" s="1337"/>
      <c r="BF79" s="1337"/>
      <c r="BG79" s="1337"/>
      <c r="BH79" s="1337"/>
      <c r="BI79" s="1337"/>
      <c r="BJ79" s="1337"/>
      <c r="BK79" s="1337"/>
      <c r="BL79" s="1337"/>
      <c r="BM79" s="1337"/>
      <c r="BN79" s="1337"/>
      <c r="BO79" s="1337"/>
      <c r="BP79" s="1337"/>
      <c r="BQ79" s="1337"/>
      <c r="BR79" s="1337"/>
      <c r="BS79" s="1337"/>
      <c r="BT79" s="1337"/>
      <c r="BU79" s="1337"/>
      <c r="BV79" s="1337"/>
      <c r="BW79" s="1337"/>
      <c r="BX79" s="1337"/>
      <c r="BY79" s="1337"/>
      <c r="BZ79" s="1337"/>
      <c r="CA79" s="1337"/>
      <c r="CB79" s="1337"/>
      <c r="CC79" s="1337"/>
      <c r="CD79" s="1337"/>
      <c r="CE79" s="1337"/>
      <c r="CF79" s="1337"/>
      <c r="CG79" s="1337"/>
      <c r="CH79" s="1337"/>
      <c r="CI79" s="1337"/>
      <c r="CJ79" s="1337"/>
      <c r="CK79" s="1337"/>
      <c r="CL79" s="1337"/>
      <c r="CM79" s="1337"/>
      <c r="CN79" s="1337"/>
      <c r="CO79" s="1337"/>
      <c r="CP79" s="1337"/>
      <c r="CQ79" s="1337"/>
      <c r="CR79" s="1337"/>
      <c r="CS79" s="1337"/>
      <c r="CT79" s="1337"/>
      <c r="CU79" s="1337"/>
      <c r="CV79" s="1337"/>
      <c r="CW79" s="1337"/>
      <c r="CX79" s="1337"/>
      <c r="CY79" s="1337"/>
      <c r="CZ79" s="1337"/>
      <c r="DA79" s="1337"/>
      <c r="DB79" s="1337"/>
      <c r="DC79" s="1337"/>
      <c r="DD79" s="1337"/>
      <c r="DE79" s="1337"/>
      <c r="DF79" s="1337"/>
      <c r="DG79" s="1337"/>
      <c r="DH79" s="1337"/>
      <c r="DI79" s="1337"/>
      <c r="DJ79" s="1337"/>
      <c r="DK79" s="1337"/>
      <c r="DL79" s="1337"/>
      <c r="DM79" s="1337"/>
      <c r="DN79" s="1337"/>
      <c r="DO79" s="1337"/>
      <c r="DP79" s="1337"/>
      <c r="DQ79" s="1337"/>
      <c r="DR79" s="1337"/>
      <c r="DS79" s="1337"/>
      <c r="DT79" s="1337"/>
      <c r="DU79" s="1337"/>
      <c r="DV79" s="1337"/>
      <c r="DW79" s="1337"/>
      <c r="DX79" s="1337"/>
      <c r="DY79" s="1337"/>
      <c r="DZ79" s="1337"/>
      <c r="EA79" s="1337"/>
      <c r="EB79" s="1337"/>
      <c r="EC79" s="1337"/>
      <c r="ED79" s="1337"/>
      <c r="EE79" s="1337"/>
      <c r="EF79" s="1337"/>
      <c r="EG79" s="1337"/>
      <c r="EH79" s="1337"/>
      <c r="EI79" s="1337"/>
      <c r="EJ79" s="1337"/>
      <c r="EK79" s="1337"/>
      <c r="EL79" s="1337"/>
      <c r="EM79" s="1337"/>
      <c r="EN79" s="1337"/>
      <c r="EO79" s="1337"/>
      <c r="EP79" s="1337"/>
      <c r="EQ79" s="1337"/>
      <c r="ER79" s="1337"/>
      <c r="ES79" s="1337"/>
      <c r="ET79" s="1337"/>
      <c r="EU79" s="1337"/>
      <c r="EV79" s="1337"/>
      <c r="EW79" s="1337"/>
      <c r="EX79" s="1337"/>
      <c r="EY79" s="1337"/>
      <c r="EZ79" s="1337"/>
      <c r="FA79" s="1337"/>
      <c r="FB79" s="1337"/>
      <c r="FC79" s="1337"/>
      <c r="FD79" s="1337"/>
      <c r="FE79" s="1337"/>
      <c r="FF79" s="1337"/>
      <c r="FG79" s="1337"/>
      <c r="FH79" s="1337"/>
      <c r="FI79" s="1337"/>
      <c r="FJ79" s="1337"/>
      <c r="FK79" s="1337"/>
      <c r="FL79" s="1337"/>
      <c r="FM79" s="1337"/>
      <c r="FN79" s="1337"/>
      <c r="FO79" s="1337"/>
      <c r="FP79" s="1337"/>
      <c r="FQ79" s="1337"/>
      <c r="FR79" s="1337"/>
      <c r="FS79" s="1337"/>
      <c r="FT79" s="1337"/>
      <c r="FU79" s="1337"/>
      <c r="FV79" s="1337"/>
      <c r="FW79" s="1337"/>
      <c r="FX79" s="1337"/>
      <c r="FY79" s="1337"/>
      <c r="FZ79" s="1337"/>
      <c r="GA79" s="1337"/>
      <c r="GB79" s="1337"/>
      <c r="GC79" s="1337"/>
      <c r="GD79" s="1337"/>
      <c r="GE79" s="1337"/>
      <c r="GF79" s="1337"/>
      <c r="GG79" s="1337"/>
      <c r="GH79" s="1337"/>
      <c r="GI79" s="1337"/>
      <c r="GJ79" s="1337"/>
      <c r="GK79" s="1337"/>
      <c r="GL79" s="1337"/>
      <c r="GM79" s="1337"/>
      <c r="GN79" s="1337"/>
      <c r="GO79" s="1337"/>
      <c r="GP79" s="1337"/>
      <c r="GQ79" s="1337"/>
      <c r="GR79" s="1337"/>
      <c r="GS79" s="1337"/>
      <c r="GT79" s="1337"/>
      <c r="GU79" s="1337"/>
      <c r="GV79" s="1337"/>
      <c r="GW79" s="1337"/>
      <c r="GX79" s="1337"/>
      <c r="GY79" s="1337"/>
      <c r="GZ79" s="1337"/>
      <c r="HA79" s="1337"/>
      <c r="HB79" s="1337"/>
      <c r="HC79" s="1337"/>
      <c r="HD79" s="1337"/>
      <c r="HE79" s="1337"/>
      <c r="HF79" s="1337"/>
      <c r="HG79" s="1337"/>
      <c r="HH79" s="1337"/>
      <c r="HI79" s="1337"/>
      <c r="HJ79" s="1337"/>
      <c r="HK79" s="1337"/>
      <c r="HL79" s="1337"/>
      <c r="HM79" s="1337"/>
      <c r="HN79" s="1337"/>
      <c r="HO79" s="1337"/>
      <c r="HP79" s="1337"/>
      <c r="HQ79" s="1337"/>
      <c r="HR79" s="1337"/>
      <c r="HS79" s="1337"/>
      <c r="HT79" s="1337"/>
      <c r="HU79" s="1337"/>
      <c r="HV79" s="1337"/>
      <c r="HW79" s="1337"/>
      <c r="HX79" s="1337"/>
      <c r="HY79" s="1337"/>
      <c r="HZ79" s="1337"/>
      <c r="IA79" s="1337"/>
      <c r="IB79" s="1337"/>
      <c r="IC79" s="1337"/>
      <c r="ID79" s="1337"/>
      <c r="IE79" s="1337"/>
      <c r="IF79" s="1337"/>
      <c r="IG79" s="1337"/>
      <c r="IH79" s="1337"/>
      <c r="II79" s="1337"/>
      <c r="IJ79" s="1337"/>
      <c r="IK79" s="1337"/>
      <c r="IL79" s="1337"/>
      <c r="IM79" s="1337"/>
      <c r="IN79" s="1337"/>
      <c r="IO79" s="1337"/>
      <c r="IP79" s="1337"/>
      <c r="IQ79" s="1337"/>
      <c r="IR79" s="1337"/>
      <c r="IS79" s="1337"/>
      <c r="IT79" s="1337"/>
      <c r="IU79" s="1337"/>
      <c r="IV79" s="1337"/>
    </row>
    <row r="80" spans="1:256" ht="13.5" thickBot="1">
      <c r="A80" s="1365" t="s">
        <v>1132</v>
      </c>
      <c r="B80" s="1366">
        <v>1888</v>
      </c>
      <c r="C80" s="1366">
        <v>2462</v>
      </c>
      <c r="D80" s="1367">
        <v>2454</v>
      </c>
      <c r="E80" s="1367">
        <v>2774</v>
      </c>
      <c r="F80" s="1367">
        <v>3002</v>
      </c>
      <c r="G80" s="1367">
        <v>2619.4</v>
      </c>
      <c r="H80" s="1367">
        <v>2437.1999999999998</v>
      </c>
      <c r="I80" s="1367">
        <v>3159.1</v>
      </c>
      <c r="J80" s="1367">
        <v>3652.3</v>
      </c>
      <c r="K80" s="1367">
        <v>3490.1</v>
      </c>
      <c r="L80" s="1368">
        <v>3244.8</v>
      </c>
      <c r="M80" s="1368">
        <v>3880.7</v>
      </c>
      <c r="N80" s="1367">
        <v>3449.6</v>
      </c>
      <c r="O80" s="1337"/>
      <c r="P80" s="1337"/>
      <c r="Q80" s="1337"/>
      <c r="R80" s="1337"/>
      <c r="S80" s="1337"/>
      <c r="T80" s="1337"/>
      <c r="U80" s="1337"/>
      <c r="V80" s="1337"/>
      <c r="W80" s="1337"/>
      <c r="X80" s="1337"/>
      <c r="Y80" s="1337"/>
      <c r="Z80" s="1337"/>
      <c r="AA80" s="1337"/>
      <c r="AB80" s="1337"/>
      <c r="AC80" s="1337"/>
      <c r="AD80" s="1337"/>
      <c r="AE80" s="1337"/>
      <c r="AF80" s="1337"/>
      <c r="AG80" s="1337"/>
      <c r="AH80" s="1337"/>
      <c r="AI80" s="1337"/>
      <c r="AJ80" s="1337"/>
      <c r="AK80" s="1337"/>
      <c r="AL80" s="1337"/>
      <c r="AM80" s="1337"/>
      <c r="AN80" s="1337"/>
      <c r="AO80" s="1337"/>
      <c r="AP80" s="1337"/>
      <c r="AQ80" s="1337"/>
      <c r="AR80" s="1337"/>
      <c r="AS80" s="1337"/>
      <c r="AT80" s="1337"/>
      <c r="AU80" s="1337"/>
      <c r="AV80" s="1337"/>
      <c r="AW80" s="1337"/>
      <c r="AX80" s="1337"/>
      <c r="AY80" s="1337"/>
      <c r="AZ80" s="1337"/>
      <c r="BA80" s="1337"/>
      <c r="BB80" s="1337"/>
      <c r="BC80" s="1337"/>
      <c r="BD80" s="1337"/>
      <c r="BE80" s="1337"/>
      <c r="BF80" s="1337"/>
      <c r="BG80" s="1337"/>
      <c r="BH80" s="1337"/>
      <c r="BI80" s="1337"/>
      <c r="BJ80" s="1337"/>
      <c r="BK80" s="1337"/>
      <c r="BL80" s="1337"/>
      <c r="BM80" s="1337"/>
      <c r="BN80" s="1337"/>
      <c r="BO80" s="1337"/>
      <c r="BP80" s="1337"/>
      <c r="BQ80" s="1337"/>
      <c r="BR80" s="1337"/>
      <c r="BS80" s="1337"/>
      <c r="BT80" s="1337"/>
      <c r="BU80" s="1337"/>
      <c r="BV80" s="1337"/>
      <c r="BW80" s="1337"/>
      <c r="BX80" s="1337"/>
      <c r="BY80" s="1337"/>
      <c r="BZ80" s="1337"/>
      <c r="CA80" s="1337"/>
      <c r="CB80" s="1337"/>
      <c r="CC80" s="1337"/>
      <c r="CD80" s="1337"/>
      <c r="CE80" s="1337"/>
      <c r="CF80" s="1337"/>
      <c r="CG80" s="1337"/>
      <c r="CH80" s="1337"/>
      <c r="CI80" s="1337"/>
      <c r="CJ80" s="1337"/>
      <c r="CK80" s="1337"/>
      <c r="CL80" s="1337"/>
      <c r="CM80" s="1337"/>
      <c r="CN80" s="1337"/>
      <c r="CO80" s="1337"/>
      <c r="CP80" s="1337"/>
      <c r="CQ80" s="1337"/>
      <c r="CR80" s="1337"/>
      <c r="CS80" s="1337"/>
      <c r="CT80" s="1337"/>
      <c r="CU80" s="1337"/>
      <c r="CV80" s="1337"/>
      <c r="CW80" s="1337"/>
      <c r="CX80" s="1337"/>
      <c r="CY80" s="1337"/>
      <c r="CZ80" s="1337"/>
      <c r="DA80" s="1337"/>
      <c r="DB80" s="1337"/>
      <c r="DC80" s="1337"/>
      <c r="DD80" s="1337"/>
      <c r="DE80" s="1337"/>
      <c r="DF80" s="1337"/>
      <c r="DG80" s="1337"/>
      <c r="DH80" s="1337"/>
      <c r="DI80" s="1337"/>
      <c r="DJ80" s="1337"/>
      <c r="DK80" s="1337"/>
      <c r="DL80" s="1337"/>
      <c r="DM80" s="1337"/>
      <c r="DN80" s="1337"/>
      <c r="DO80" s="1337"/>
      <c r="DP80" s="1337"/>
      <c r="DQ80" s="1337"/>
      <c r="DR80" s="1337"/>
      <c r="DS80" s="1337"/>
      <c r="DT80" s="1337"/>
      <c r="DU80" s="1337"/>
      <c r="DV80" s="1337"/>
      <c r="DW80" s="1337"/>
      <c r="DX80" s="1337"/>
      <c r="DY80" s="1337"/>
      <c r="DZ80" s="1337"/>
      <c r="EA80" s="1337"/>
      <c r="EB80" s="1337"/>
      <c r="EC80" s="1337"/>
      <c r="ED80" s="1337"/>
      <c r="EE80" s="1337"/>
      <c r="EF80" s="1337"/>
      <c r="EG80" s="1337"/>
      <c r="EH80" s="1337"/>
      <c r="EI80" s="1337"/>
      <c r="EJ80" s="1337"/>
      <c r="EK80" s="1337"/>
      <c r="EL80" s="1337"/>
      <c r="EM80" s="1337"/>
      <c r="EN80" s="1337"/>
      <c r="EO80" s="1337"/>
      <c r="EP80" s="1337"/>
      <c r="EQ80" s="1337"/>
      <c r="ER80" s="1337"/>
      <c r="ES80" s="1337"/>
      <c r="ET80" s="1337"/>
      <c r="EU80" s="1337"/>
      <c r="EV80" s="1337"/>
      <c r="EW80" s="1337"/>
      <c r="EX80" s="1337"/>
      <c r="EY80" s="1337"/>
      <c r="EZ80" s="1337"/>
      <c r="FA80" s="1337"/>
      <c r="FB80" s="1337"/>
      <c r="FC80" s="1337"/>
      <c r="FD80" s="1337"/>
      <c r="FE80" s="1337"/>
      <c r="FF80" s="1337"/>
      <c r="FG80" s="1337"/>
      <c r="FH80" s="1337"/>
      <c r="FI80" s="1337"/>
      <c r="FJ80" s="1337"/>
      <c r="FK80" s="1337"/>
      <c r="FL80" s="1337"/>
      <c r="FM80" s="1337"/>
      <c r="FN80" s="1337"/>
      <c r="FO80" s="1337"/>
      <c r="FP80" s="1337"/>
      <c r="FQ80" s="1337"/>
      <c r="FR80" s="1337"/>
      <c r="FS80" s="1337"/>
      <c r="FT80" s="1337"/>
      <c r="FU80" s="1337"/>
      <c r="FV80" s="1337"/>
      <c r="FW80" s="1337"/>
      <c r="FX80" s="1337"/>
      <c r="FY80" s="1337"/>
      <c r="FZ80" s="1337"/>
      <c r="GA80" s="1337"/>
      <c r="GB80" s="1337"/>
      <c r="GC80" s="1337"/>
      <c r="GD80" s="1337"/>
      <c r="GE80" s="1337"/>
      <c r="GF80" s="1337"/>
      <c r="GG80" s="1337"/>
      <c r="GH80" s="1337"/>
      <c r="GI80" s="1337"/>
      <c r="GJ80" s="1337"/>
      <c r="GK80" s="1337"/>
      <c r="GL80" s="1337"/>
      <c r="GM80" s="1337"/>
      <c r="GN80" s="1337"/>
      <c r="GO80" s="1337"/>
      <c r="GP80" s="1337"/>
      <c r="GQ80" s="1337"/>
      <c r="GR80" s="1337"/>
      <c r="GS80" s="1337"/>
      <c r="GT80" s="1337"/>
      <c r="GU80" s="1337"/>
      <c r="GV80" s="1337"/>
      <c r="GW80" s="1337"/>
      <c r="GX80" s="1337"/>
      <c r="GY80" s="1337"/>
      <c r="GZ80" s="1337"/>
      <c r="HA80" s="1337"/>
      <c r="HB80" s="1337"/>
      <c r="HC80" s="1337"/>
      <c r="HD80" s="1337"/>
      <c r="HE80" s="1337"/>
      <c r="HF80" s="1337"/>
      <c r="HG80" s="1337"/>
      <c r="HH80" s="1337"/>
      <c r="HI80" s="1337"/>
      <c r="HJ80" s="1337"/>
      <c r="HK80" s="1337"/>
      <c r="HL80" s="1337"/>
      <c r="HM80" s="1337"/>
      <c r="HN80" s="1337"/>
      <c r="HO80" s="1337"/>
      <c r="HP80" s="1337"/>
      <c r="HQ80" s="1337"/>
      <c r="HR80" s="1337"/>
      <c r="HS80" s="1337"/>
      <c r="HT80" s="1337"/>
      <c r="HU80" s="1337"/>
      <c r="HV80" s="1337"/>
      <c r="HW80" s="1337"/>
      <c r="HX80" s="1337"/>
      <c r="HY80" s="1337"/>
      <c r="HZ80" s="1337"/>
      <c r="IA80" s="1337"/>
      <c r="IB80" s="1337"/>
      <c r="IC80" s="1337"/>
      <c r="ID80" s="1337"/>
      <c r="IE80" s="1337"/>
      <c r="IF80" s="1337"/>
      <c r="IG80" s="1337"/>
      <c r="IH80" s="1337"/>
      <c r="II80" s="1337"/>
      <c r="IJ80" s="1337"/>
      <c r="IK80" s="1337"/>
      <c r="IL80" s="1337"/>
      <c r="IM80" s="1337"/>
      <c r="IN80" s="1337"/>
      <c r="IO80" s="1337"/>
      <c r="IP80" s="1337"/>
      <c r="IQ80" s="1337"/>
      <c r="IR80" s="1337"/>
      <c r="IS80" s="1337"/>
      <c r="IT80" s="1337"/>
      <c r="IU80" s="1337"/>
      <c r="IV80" s="1337"/>
    </row>
    <row r="81" spans="1:256" ht="11.25" customHeight="1" thickTop="1">
      <c r="A81" s="1338" t="s">
        <v>181</v>
      </c>
      <c r="B81" s="1410"/>
      <c r="C81" s="1410"/>
      <c r="D81" s="1429"/>
      <c r="E81" s="1429"/>
      <c r="F81" s="1429"/>
      <c r="G81" s="1429"/>
      <c r="H81" s="1429"/>
      <c r="I81" s="1429"/>
      <c r="J81" s="1429"/>
      <c r="K81" s="1429"/>
      <c r="L81" s="1429"/>
      <c r="M81" s="1429"/>
      <c r="N81" s="1429"/>
      <c r="O81" s="1337"/>
      <c r="P81" s="1337"/>
      <c r="Q81" s="1337"/>
      <c r="R81" s="1337"/>
      <c r="S81" s="1337"/>
      <c r="T81" s="1337"/>
      <c r="U81" s="1337"/>
      <c r="V81" s="1337"/>
      <c r="W81" s="1337"/>
      <c r="X81" s="1337"/>
      <c r="Y81" s="1337"/>
      <c r="Z81" s="1337"/>
      <c r="AA81" s="1337"/>
      <c r="AB81" s="1337"/>
      <c r="AC81" s="1337"/>
      <c r="AD81" s="1337"/>
      <c r="AE81" s="1337"/>
      <c r="AF81" s="1337"/>
      <c r="AG81" s="1337"/>
      <c r="AH81" s="1337"/>
      <c r="AI81" s="1337"/>
      <c r="AJ81" s="1337"/>
      <c r="AK81" s="1337"/>
      <c r="AL81" s="1337"/>
      <c r="AM81" s="1337"/>
      <c r="AN81" s="1337"/>
      <c r="AO81" s="1337"/>
      <c r="AP81" s="1337"/>
      <c r="AQ81" s="1337"/>
      <c r="AR81" s="1337"/>
      <c r="AS81" s="1337"/>
      <c r="AT81" s="1337"/>
      <c r="AU81" s="1337"/>
      <c r="AV81" s="1337"/>
      <c r="AW81" s="1337"/>
      <c r="AX81" s="1337"/>
      <c r="AY81" s="1337"/>
      <c r="AZ81" s="1337"/>
      <c r="BA81" s="1337"/>
      <c r="BB81" s="1337"/>
      <c r="BC81" s="1337"/>
      <c r="BD81" s="1337"/>
      <c r="BE81" s="1337"/>
      <c r="BF81" s="1337"/>
      <c r="BG81" s="1337"/>
      <c r="BH81" s="1337"/>
      <c r="BI81" s="1337"/>
      <c r="BJ81" s="1337"/>
      <c r="BK81" s="1337"/>
      <c r="BL81" s="1337"/>
      <c r="BM81" s="1337"/>
      <c r="BN81" s="1337"/>
      <c r="BO81" s="1337"/>
      <c r="BP81" s="1337"/>
      <c r="BQ81" s="1337"/>
      <c r="BR81" s="1337"/>
      <c r="BS81" s="1337"/>
      <c r="BT81" s="1337"/>
      <c r="BU81" s="1337"/>
      <c r="BV81" s="1337"/>
      <c r="BW81" s="1337"/>
      <c r="BX81" s="1337"/>
      <c r="BY81" s="1337"/>
      <c r="BZ81" s="1337"/>
      <c r="CA81" s="1337"/>
      <c r="CB81" s="1337"/>
      <c r="CC81" s="1337"/>
      <c r="CD81" s="1337"/>
      <c r="CE81" s="1337"/>
      <c r="CF81" s="1337"/>
      <c r="CG81" s="1337"/>
      <c r="CH81" s="1337"/>
      <c r="CI81" s="1337"/>
      <c r="CJ81" s="1337"/>
      <c r="CK81" s="1337"/>
      <c r="CL81" s="1337"/>
      <c r="CM81" s="1337"/>
      <c r="CN81" s="1337"/>
      <c r="CO81" s="1337"/>
      <c r="CP81" s="1337"/>
      <c r="CQ81" s="1337"/>
      <c r="CR81" s="1337"/>
      <c r="CS81" s="1337"/>
      <c r="CT81" s="1337"/>
      <c r="CU81" s="1337"/>
      <c r="CV81" s="1337"/>
      <c r="CW81" s="1337"/>
      <c r="CX81" s="1337"/>
      <c r="CY81" s="1337"/>
      <c r="CZ81" s="1337"/>
      <c r="DA81" s="1337"/>
      <c r="DB81" s="1337"/>
      <c r="DC81" s="1337"/>
      <c r="DD81" s="1337"/>
      <c r="DE81" s="1337"/>
      <c r="DF81" s="1337"/>
      <c r="DG81" s="1337"/>
      <c r="DH81" s="1337"/>
      <c r="DI81" s="1337"/>
      <c r="DJ81" s="1337"/>
      <c r="DK81" s="1337"/>
      <c r="DL81" s="1337"/>
      <c r="DM81" s="1337"/>
      <c r="DN81" s="1337"/>
      <c r="DO81" s="1337"/>
      <c r="DP81" s="1337"/>
      <c r="DQ81" s="1337"/>
      <c r="DR81" s="1337"/>
      <c r="DS81" s="1337"/>
      <c r="DT81" s="1337"/>
      <c r="DU81" s="1337"/>
      <c r="DV81" s="1337"/>
      <c r="DW81" s="1337"/>
      <c r="DX81" s="1337"/>
      <c r="DY81" s="1337"/>
      <c r="DZ81" s="1337"/>
      <c r="EA81" s="1337"/>
      <c r="EB81" s="1337"/>
      <c r="EC81" s="1337"/>
      <c r="ED81" s="1337"/>
      <c r="EE81" s="1337"/>
      <c r="EF81" s="1337"/>
      <c r="EG81" s="1337"/>
      <c r="EH81" s="1337"/>
      <c r="EI81" s="1337"/>
      <c r="EJ81" s="1337"/>
      <c r="EK81" s="1337"/>
      <c r="EL81" s="1337"/>
      <c r="EM81" s="1337"/>
      <c r="EN81" s="1337"/>
      <c r="EO81" s="1337"/>
      <c r="EP81" s="1337"/>
      <c r="EQ81" s="1337"/>
      <c r="ER81" s="1337"/>
      <c r="ES81" s="1337"/>
      <c r="ET81" s="1337"/>
      <c r="EU81" s="1337"/>
      <c r="EV81" s="1337"/>
      <c r="EW81" s="1337"/>
      <c r="EX81" s="1337"/>
      <c r="EY81" s="1337"/>
      <c r="EZ81" s="1337"/>
      <c r="FA81" s="1337"/>
      <c r="FB81" s="1337"/>
      <c r="FC81" s="1337"/>
      <c r="FD81" s="1337"/>
      <c r="FE81" s="1337"/>
      <c r="FF81" s="1337"/>
      <c r="FG81" s="1337"/>
      <c r="FH81" s="1337"/>
      <c r="FI81" s="1337"/>
      <c r="FJ81" s="1337"/>
      <c r="FK81" s="1337"/>
      <c r="FL81" s="1337"/>
      <c r="FM81" s="1337"/>
      <c r="FN81" s="1337"/>
      <c r="FO81" s="1337"/>
      <c r="FP81" s="1337"/>
      <c r="FQ81" s="1337"/>
      <c r="FR81" s="1337"/>
      <c r="FS81" s="1337"/>
      <c r="FT81" s="1337"/>
      <c r="FU81" s="1337"/>
      <c r="FV81" s="1337"/>
      <c r="FW81" s="1337"/>
      <c r="FX81" s="1337"/>
      <c r="FY81" s="1337"/>
      <c r="FZ81" s="1337"/>
      <c r="GA81" s="1337"/>
      <c r="GB81" s="1337"/>
      <c r="GC81" s="1337"/>
      <c r="GD81" s="1337"/>
      <c r="GE81" s="1337"/>
      <c r="GF81" s="1337"/>
      <c r="GG81" s="1337"/>
      <c r="GH81" s="1337"/>
      <c r="GI81" s="1337"/>
      <c r="GJ81" s="1337"/>
      <c r="GK81" s="1337"/>
      <c r="GL81" s="1337"/>
      <c r="GM81" s="1337"/>
      <c r="GN81" s="1337"/>
      <c r="GO81" s="1337"/>
      <c r="GP81" s="1337"/>
      <c r="GQ81" s="1337"/>
      <c r="GR81" s="1337"/>
      <c r="GS81" s="1337"/>
      <c r="GT81" s="1337"/>
      <c r="GU81" s="1337"/>
      <c r="GV81" s="1337"/>
      <c r="GW81" s="1337"/>
      <c r="GX81" s="1337"/>
      <c r="GY81" s="1337"/>
      <c r="GZ81" s="1337"/>
      <c r="HA81" s="1337"/>
      <c r="HB81" s="1337"/>
      <c r="HC81" s="1337"/>
      <c r="HD81" s="1337"/>
      <c r="HE81" s="1337"/>
      <c r="HF81" s="1337"/>
      <c r="HG81" s="1337"/>
      <c r="HH81" s="1337"/>
      <c r="HI81" s="1337"/>
      <c r="HJ81" s="1337"/>
      <c r="HK81" s="1337"/>
      <c r="HL81" s="1337"/>
      <c r="HM81" s="1337"/>
      <c r="HN81" s="1337"/>
      <c r="HO81" s="1337"/>
      <c r="HP81" s="1337"/>
      <c r="HQ81" s="1337"/>
      <c r="HR81" s="1337"/>
      <c r="HS81" s="1337"/>
      <c r="HT81" s="1337"/>
      <c r="HU81" s="1337"/>
      <c r="HV81" s="1337"/>
      <c r="HW81" s="1337"/>
      <c r="HX81" s="1337"/>
      <c r="HY81" s="1337"/>
      <c r="HZ81" s="1337"/>
      <c r="IA81" s="1337"/>
      <c r="IB81" s="1337"/>
      <c r="IC81" s="1337"/>
      <c r="ID81" s="1337"/>
      <c r="IE81" s="1337"/>
      <c r="IF81" s="1337"/>
      <c r="IG81" s="1337"/>
      <c r="IH81" s="1337"/>
      <c r="II81" s="1337"/>
      <c r="IJ81" s="1337"/>
      <c r="IK81" s="1337"/>
      <c r="IL81" s="1337"/>
      <c r="IM81" s="1337"/>
      <c r="IN81" s="1337"/>
      <c r="IO81" s="1337"/>
      <c r="IP81" s="1337"/>
      <c r="IQ81" s="1337"/>
      <c r="IR81" s="1337"/>
      <c r="IS81" s="1337"/>
      <c r="IT81" s="1337"/>
      <c r="IU81" s="1337"/>
      <c r="IV81" s="1337"/>
    </row>
    <row r="82" spans="1:256" ht="10.5" customHeight="1">
      <c r="A82" s="1323" t="s">
        <v>510</v>
      </c>
      <c r="B82" s="1347">
        <v>0</v>
      </c>
      <c r="C82" s="1347">
        <v>0</v>
      </c>
      <c r="D82" s="1411">
        <v>22.3</v>
      </c>
      <c r="E82" s="1411">
        <v>21.8</v>
      </c>
      <c r="F82" s="1411">
        <v>23.6</v>
      </c>
      <c r="G82" s="1411">
        <v>19.100000000000001</v>
      </c>
      <c r="H82" s="1411">
        <v>13.6</v>
      </c>
      <c r="I82" s="1411">
        <v>0</v>
      </c>
      <c r="J82" s="1429">
        <v>0</v>
      </c>
      <c r="K82" s="1411">
        <v>0</v>
      </c>
      <c r="L82" s="1412">
        <v>0</v>
      </c>
      <c r="M82" s="1412">
        <v>0</v>
      </c>
      <c r="N82" s="1412">
        <v>0</v>
      </c>
      <c r="O82" s="1337"/>
      <c r="P82" s="1337"/>
      <c r="Q82" s="1337"/>
      <c r="R82" s="1337"/>
      <c r="S82" s="1337"/>
      <c r="T82" s="1337"/>
      <c r="U82" s="1337"/>
      <c r="V82" s="1337"/>
      <c r="W82" s="1337"/>
      <c r="X82" s="1337"/>
      <c r="Y82" s="1337"/>
      <c r="Z82" s="1337"/>
      <c r="AA82" s="1337"/>
      <c r="AB82" s="1337"/>
      <c r="AC82" s="1337"/>
      <c r="AD82" s="1337"/>
      <c r="AE82" s="1337"/>
      <c r="AF82" s="1337"/>
      <c r="AG82" s="1337"/>
      <c r="AH82" s="1337"/>
      <c r="AI82" s="1337"/>
      <c r="AJ82" s="1337"/>
      <c r="AK82" s="1337"/>
      <c r="AL82" s="1337"/>
      <c r="AM82" s="1337"/>
      <c r="AN82" s="1337"/>
      <c r="AO82" s="1337"/>
      <c r="AP82" s="1337"/>
      <c r="AQ82" s="1337"/>
      <c r="AR82" s="1337"/>
      <c r="AS82" s="1337"/>
      <c r="AT82" s="1337"/>
      <c r="AU82" s="1337"/>
      <c r="AV82" s="1337"/>
      <c r="AW82" s="1337"/>
      <c r="AX82" s="1337"/>
      <c r="AY82" s="1337"/>
      <c r="AZ82" s="1337"/>
      <c r="BA82" s="1337"/>
      <c r="BB82" s="1337"/>
      <c r="BC82" s="1337"/>
      <c r="BD82" s="1337"/>
      <c r="BE82" s="1337"/>
      <c r="BF82" s="1337"/>
      <c r="BG82" s="1337"/>
      <c r="BH82" s="1337"/>
      <c r="BI82" s="1337"/>
      <c r="BJ82" s="1337"/>
      <c r="BK82" s="1337"/>
      <c r="BL82" s="1337"/>
      <c r="BM82" s="1337"/>
      <c r="BN82" s="1337"/>
      <c r="BO82" s="1337"/>
      <c r="BP82" s="1337"/>
      <c r="BQ82" s="1337"/>
      <c r="BR82" s="1337"/>
      <c r="BS82" s="1337"/>
      <c r="BT82" s="1337"/>
      <c r="BU82" s="1337"/>
      <c r="BV82" s="1337"/>
      <c r="BW82" s="1337"/>
      <c r="BX82" s="1337"/>
      <c r="BY82" s="1337"/>
      <c r="BZ82" s="1337"/>
      <c r="CA82" s="1337"/>
      <c r="CB82" s="1337"/>
      <c r="CC82" s="1337"/>
      <c r="CD82" s="1337"/>
      <c r="CE82" s="1337"/>
      <c r="CF82" s="1337"/>
      <c r="CG82" s="1337"/>
      <c r="CH82" s="1337"/>
      <c r="CI82" s="1337"/>
      <c r="CJ82" s="1337"/>
      <c r="CK82" s="1337"/>
      <c r="CL82" s="1337"/>
      <c r="CM82" s="1337"/>
      <c r="CN82" s="1337"/>
      <c r="CO82" s="1337"/>
      <c r="CP82" s="1337"/>
      <c r="CQ82" s="1337"/>
      <c r="CR82" s="1337"/>
      <c r="CS82" s="1337"/>
      <c r="CT82" s="1337"/>
      <c r="CU82" s="1337"/>
      <c r="CV82" s="1337"/>
      <c r="CW82" s="1337"/>
      <c r="CX82" s="1337"/>
      <c r="CY82" s="1337"/>
      <c r="CZ82" s="1337"/>
      <c r="DA82" s="1337"/>
      <c r="DB82" s="1337"/>
      <c r="DC82" s="1337"/>
      <c r="DD82" s="1337"/>
      <c r="DE82" s="1337"/>
      <c r="DF82" s="1337"/>
      <c r="DG82" s="1337"/>
      <c r="DH82" s="1337"/>
      <c r="DI82" s="1337"/>
      <c r="DJ82" s="1337"/>
      <c r="DK82" s="1337"/>
      <c r="DL82" s="1337"/>
      <c r="DM82" s="1337"/>
      <c r="DN82" s="1337"/>
      <c r="DO82" s="1337"/>
      <c r="DP82" s="1337"/>
      <c r="DQ82" s="1337"/>
      <c r="DR82" s="1337"/>
      <c r="DS82" s="1337"/>
      <c r="DT82" s="1337"/>
      <c r="DU82" s="1337"/>
      <c r="DV82" s="1337"/>
      <c r="DW82" s="1337"/>
      <c r="DX82" s="1337"/>
      <c r="DY82" s="1337"/>
      <c r="DZ82" s="1337"/>
      <c r="EA82" s="1337"/>
      <c r="EB82" s="1337"/>
      <c r="EC82" s="1337"/>
      <c r="ED82" s="1337"/>
      <c r="EE82" s="1337"/>
      <c r="EF82" s="1337"/>
      <c r="EG82" s="1337"/>
      <c r="EH82" s="1337"/>
      <c r="EI82" s="1337"/>
      <c r="EJ82" s="1337"/>
      <c r="EK82" s="1337"/>
      <c r="EL82" s="1337"/>
      <c r="EM82" s="1337"/>
      <c r="EN82" s="1337"/>
      <c r="EO82" s="1337"/>
      <c r="EP82" s="1337"/>
      <c r="EQ82" s="1337"/>
      <c r="ER82" s="1337"/>
      <c r="ES82" s="1337"/>
      <c r="ET82" s="1337"/>
      <c r="EU82" s="1337"/>
      <c r="EV82" s="1337"/>
      <c r="EW82" s="1337"/>
      <c r="EX82" s="1337"/>
      <c r="EY82" s="1337"/>
      <c r="EZ82" s="1337"/>
      <c r="FA82" s="1337"/>
      <c r="FB82" s="1337"/>
      <c r="FC82" s="1337"/>
      <c r="FD82" s="1337"/>
      <c r="FE82" s="1337"/>
      <c r="FF82" s="1337"/>
      <c r="FG82" s="1337"/>
      <c r="FH82" s="1337"/>
      <c r="FI82" s="1337"/>
      <c r="FJ82" s="1337"/>
      <c r="FK82" s="1337"/>
      <c r="FL82" s="1337"/>
      <c r="FM82" s="1337"/>
      <c r="FN82" s="1337"/>
      <c r="FO82" s="1337"/>
      <c r="FP82" s="1337"/>
      <c r="FQ82" s="1337"/>
      <c r="FR82" s="1337"/>
      <c r="FS82" s="1337"/>
      <c r="FT82" s="1337"/>
      <c r="FU82" s="1337"/>
      <c r="FV82" s="1337"/>
      <c r="FW82" s="1337"/>
      <c r="FX82" s="1337"/>
      <c r="FY82" s="1337"/>
      <c r="FZ82" s="1337"/>
      <c r="GA82" s="1337"/>
      <c r="GB82" s="1337"/>
      <c r="GC82" s="1337"/>
      <c r="GD82" s="1337"/>
      <c r="GE82" s="1337"/>
      <c r="GF82" s="1337"/>
      <c r="GG82" s="1337"/>
      <c r="GH82" s="1337"/>
      <c r="GI82" s="1337"/>
      <c r="GJ82" s="1337"/>
      <c r="GK82" s="1337"/>
      <c r="GL82" s="1337"/>
      <c r="GM82" s="1337"/>
      <c r="GN82" s="1337"/>
      <c r="GO82" s="1337"/>
      <c r="GP82" s="1337"/>
      <c r="GQ82" s="1337"/>
      <c r="GR82" s="1337"/>
      <c r="GS82" s="1337"/>
      <c r="GT82" s="1337"/>
      <c r="GU82" s="1337"/>
      <c r="GV82" s="1337"/>
      <c r="GW82" s="1337"/>
      <c r="GX82" s="1337"/>
      <c r="GY82" s="1337"/>
      <c r="GZ82" s="1337"/>
      <c r="HA82" s="1337"/>
      <c r="HB82" s="1337"/>
      <c r="HC82" s="1337"/>
      <c r="HD82" s="1337"/>
      <c r="HE82" s="1337"/>
      <c r="HF82" s="1337"/>
      <c r="HG82" s="1337"/>
      <c r="HH82" s="1337"/>
      <c r="HI82" s="1337"/>
      <c r="HJ82" s="1337"/>
      <c r="HK82" s="1337"/>
      <c r="HL82" s="1337"/>
      <c r="HM82" s="1337"/>
      <c r="HN82" s="1337"/>
      <c r="HO82" s="1337"/>
      <c r="HP82" s="1337"/>
      <c r="HQ82" s="1337"/>
      <c r="HR82" s="1337"/>
      <c r="HS82" s="1337"/>
      <c r="HT82" s="1337"/>
      <c r="HU82" s="1337"/>
      <c r="HV82" s="1337"/>
      <c r="HW82" s="1337"/>
      <c r="HX82" s="1337"/>
      <c r="HY82" s="1337"/>
      <c r="HZ82" s="1337"/>
      <c r="IA82" s="1337"/>
      <c r="IB82" s="1337"/>
      <c r="IC82" s="1337"/>
      <c r="ID82" s="1337"/>
      <c r="IE82" s="1337"/>
      <c r="IF82" s="1337"/>
      <c r="IG82" s="1337"/>
      <c r="IH82" s="1337"/>
      <c r="II82" s="1337"/>
      <c r="IJ82" s="1337"/>
      <c r="IK82" s="1337"/>
      <c r="IL82" s="1337"/>
      <c r="IM82" s="1337"/>
      <c r="IN82" s="1337"/>
      <c r="IO82" s="1337"/>
      <c r="IP82" s="1337"/>
      <c r="IQ82" s="1337"/>
      <c r="IR82" s="1337"/>
      <c r="IS82" s="1337"/>
      <c r="IT82" s="1337"/>
      <c r="IU82" s="1337"/>
      <c r="IV82" s="1337"/>
    </row>
    <row r="83" spans="1:256" ht="10.5" customHeight="1">
      <c r="A83" s="1323" t="s">
        <v>1099</v>
      </c>
      <c r="B83" s="1410">
        <v>7</v>
      </c>
      <c r="C83" s="1410">
        <v>7</v>
      </c>
      <c r="D83" s="1411">
        <v>7</v>
      </c>
      <c r="E83" s="1411">
        <v>7</v>
      </c>
      <c r="F83" s="1411">
        <v>5.2</v>
      </c>
      <c r="G83" s="1411">
        <v>5.2</v>
      </c>
      <c r="H83" s="1411">
        <v>5.2</v>
      </c>
      <c r="I83" s="1411">
        <v>7</v>
      </c>
      <c r="J83" s="1411">
        <v>24.1</v>
      </c>
      <c r="K83" s="1411">
        <v>28</v>
      </c>
      <c r="L83" s="1412">
        <v>25.8</v>
      </c>
      <c r="M83" s="1412">
        <v>24.4</v>
      </c>
      <c r="N83" s="1411">
        <v>26.1</v>
      </c>
      <c r="O83" s="1337"/>
      <c r="P83" s="1337"/>
      <c r="Q83" s="1337"/>
      <c r="R83" s="1337"/>
      <c r="S83" s="1337"/>
      <c r="T83" s="1337"/>
      <c r="U83" s="1337"/>
      <c r="V83" s="1337"/>
      <c r="W83" s="1337"/>
      <c r="X83" s="1337"/>
      <c r="Y83" s="1337"/>
      <c r="Z83" s="1337"/>
      <c r="AA83" s="1337"/>
      <c r="AB83" s="1337"/>
      <c r="AC83" s="1337"/>
      <c r="AD83" s="1337"/>
      <c r="AE83" s="1337"/>
      <c r="AF83" s="1337"/>
      <c r="AG83" s="1337"/>
      <c r="AH83" s="1337"/>
      <c r="AI83" s="1337"/>
      <c r="AJ83" s="1337"/>
      <c r="AK83" s="1337"/>
      <c r="AL83" s="1337"/>
      <c r="AM83" s="1337"/>
      <c r="AN83" s="1337"/>
      <c r="AO83" s="1337"/>
      <c r="AP83" s="1337"/>
      <c r="AQ83" s="1337"/>
      <c r="AR83" s="1337"/>
      <c r="AS83" s="1337"/>
      <c r="AT83" s="1337"/>
      <c r="AU83" s="1337"/>
      <c r="AV83" s="1337"/>
      <c r="AW83" s="1337"/>
      <c r="AX83" s="1337"/>
      <c r="AY83" s="1337"/>
      <c r="AZ83" s="1337"/>
      <c r="BA83" s="1337"/>
      <c r="BB83" s="1337"/>
      <c r="BC83" s="1337"/>
      <c r="BD83" s="1337"/>
      <c r="BE83" s="1337"/>
      <c r="BF83" s="1337"/>
      <c r="BG83" s="1337"/>
      <c r="BH83" s="1337"/>
      <c r="BI83" s="1337"/>
      <c r="BJ83" s="1337"/>
      <c r="BK83" s="1337"/>
      <c r="BL83" s="1337"/>
      <c r="BM83" s="1337"/>
      <c r="BN83" s="1337"/>
      <c r="BO83" s="1337"/>
      <c r="BP83" s="1337"/>
      <c r="BQ83" s="1337"/>
      <c r="BR83" s="1337"/>
      <c r="BS83" s="1337"/>
      <c r="BT83" s="1337"/>
      <c r="BU83" s="1337"/>
      <c r="BV83" s="1337"/>
      <c r="BW83" s="1337"/>
      <c r="BX83" s="1337"/>
      <c r="BY83" s="1337"/>
      <c r="BZ83" s="1337"/>
      <c r="CA83" s="1337"/>
      <c r="CB83" s="1337"/>
      <c r="CC83" s="1337"/>
      <c r="CD83" s="1337"/>
      <c r="CE83" s="1337"/>
      <c r="CF83" s="1337"/>
      <c r="CG83" s="1337"/>
      <c r="CH83" s="1337"/>
      <c r="CI83" s="1337"/>
      <c r="CJ83" s="1337"/>
      <c r="CK83" s="1337"/>
      <c r="CL83" s="1337"/>
      <c r="CM83" s="1337"/>
      <c r="CN83" s="1337"/>
      <c r="CO83" s="1337"/>
      <c r="CP83" s="1337"/>
      <c r="CQ83" s="1337"/>
      <c r="CR83" s="1337"/>
      <c r="CS83" s="1337"/>
      <c r="CT83" s="1337"/>
      <c r="CU83" s="1337"/>
      <c r="CV83" s="1337"/>
      <c r="CW83" s="1337"/>
      <c r="CX83" s="1337"/>
      <c r="CY83" s="1337"/>
      <c r="CZ83" s="1337"/>
      <c r="DA83" s="1337"/>
      <c r="DB83" s="1337"/>
      <c r="DC83" s="1337"/>
      <c r="DD83" s="1337"/>
      <c r="DE83" s="1337"/>
      <c r="DF83" s="1337"/>
      <c r="DG83" s="1337"/>
      <c r="DH83" s="1337"/>
      <c r="DI83" s="1337"/>
      <c r="DJ83" s="1337"/>
      <c r="DK83" s="1337"/>
      <c r="DL83" s="1337"/>
      <c r="DM83" s="1337"/>
      <c r="DN83" s="1337"/>
      <c r="DO83" s="1337"/>
      <c r="DP83" s="1337"/>
      <c r="DQ83" s="1337"/>
      <c r="DR83" s="1337"/>
      <c r="DS83" s="1337"/>
      <c r="DT83" s="1337"/>
      <c r="DU83" s="1337"/>
      <c r="DV83" s="1337"/>
      <c r="DW83" s="1337"/>
      <c r="DX83" s="1337"/>
      <c r="DY83" s="1337"/>
      <c r="DZ83" s="1337"/>
      <c r="EA83" s="1337"/>
      <c r="EB83" s="1337"/>
      <c r="EC83" s="1337"/>
      <c r="ED83" s="1337"/>
      <c r="EE83" s="1337"/>
      <c r="EF83" s="1337"/>
      <c r="EG83" s="1337"/>
      <c r="EH83" s="1337"/>
      <c r="EI83" s="1337"/>
      <c r="EJ83" s="1337"/>
      <c r="EK83" s="1337"/>
      <c r="EL83" s="1337"/>
      <c r="EM83" s="1337"/>
      <c r="EN83" s="1337"/>
      <c r="EO83" s="1337"/>
      <c r="EP83" s="1337"/>
      <c r="EQ83" s="1337"/>
      <c r="ER83" s="1337"/>
      <c r="ES83" s="1337"/>
      <c r="ET83" s="1337"/>
      <c r="EU83" s="1337"/>
      <c r="EV83" s="1337"/>
      <c r="EW83" s="1337"/>
      <c r="EX83" s="1337"/>
      <c r="EY83" s="1337"/>
      <c r="EZ83" s="1337"/>
      <c r="FA83" s="1337"/>
      <c r="FB83" s="1337"/>
      <c r="FC83" s="1337"/>
      <c r="FD83" s="1337"/>
      <c r="FE83" s="1337"/>
      <c r="FF83" s="1337"/>
      <c r="FG83" s="1337"/>
      <c r="FH83" s="1337"/>
      <c r="FI83" s="1337"/>
      <c r="FJ83" s="1337"/>
      <c r="FK83" s="1337"/>
      <c r="FL83" s="1337"/>
      <c r="FM83" s="1337"/>
      <c r="FN83" s="1337"/>
      <c r="FO83" s="1337"/>
      <c r="FP83" s="1337"/>
      <c r="FQ83" s="1337"/>
      <c r="FR83" s="1337"/>
      <c r="FS83" s="1337"/>
      <c r="FT83" s="1337"/>
      <c r="FU83" s="1337"/>
      <c r="FV83" s="1337"/>
      <c r="FW83" s="1337"/>
      <c r="FX83" s="1337"/>
      <c r="FY83" s="1337"/>
      <c r="FZ83" s="1337"/>
      <c r="GA83" s="1337"/>
      <c r="GB83" s="1337"/>
      <c r="GC83" s="1337"/>
      <c r="GD83" s="1337"/>
      <c r="GE83" s="1337"/>
      <c r="GF83" s="1337"/>
      <c r="GG83" s="1337"/>
      <c r="GH83" s="1337"/>
      <c r="GI83" s="1337"/>
      <c r="GJ83" s="1337"/>
      <c r="GK83" s="1337"/>
      <c r="GL83" s="1337"/>
      <c r="GM83" s="1337"/>
      <c r="GN83" s="1337"/>
      <c r="GO83" s="1337"/>
      <c r="GP83" s="1337"/>
      <c r="GQ83" s="1337"/>
      <c r="GR83" s="1337"/>
      <c r="GS83" s="1337"/>
      <c r="GT83" s="1337"/>
      <c r="GU83" s="1337"/>
      <c r="GV83" s="1337"/>
      <c r="GW83" s="1337"/>
      <c r="GX83" s="1337"/>
      <c r="GY83" s="1337"/>
      <c r="GZ83" s="1337"/>
      <c r="HA83" s="1337"/>
      <c r="HB83" s="1337"/>
      <c r="HC83" s="1337"/>
      <c r="HD83" s="1337"/>
      <c r="HE83" s="1337"/>
      <c r="HF83" s="1337"/>
      <c r="HG83" s="1337"/>
      <c r="HH83" s="1337"/>
      <c r="HI83" s="1337"/>
      <c r="HJ83" s="1337"/>
      <c r="HK83" s="1337"/>
      <c r="HL83" s="1337"/>
      <c r="HM83" s="1337"/>
      <c r="HN83" s="1337"/>
      <c r="HO83" s="1337"/>
      <c r="HP83" s="1337"/>
      <c r="HQ83" s="1337"/>
      <c r="HR83" s="1337"/>
      <c r="HS83" s="1337"/>
      <c r="HT83" s="1337"/>
      <c r="HU83" s="1337"/>
      <c r="HV83" s="1337"/>
      <c r="HW83" s="1337"/>
      <c r="HX83" s="1337"/>
      <c r="HY83" s="1337"/>
      <c r="HZ83" s="1337"/>
      <c r="IA83" s="1337"/>
      <c r="IB83" s="1337"/>
      <c r="IC83" s="1337"/>
      <c r="ID83" s="1337"/>
      <c r="IE83" s="1337"/>
      <c r="IF83" s="1337"/>
      <c r="IG83" s="1337"/>
      <c r="IH83" s="1337"/>
      <c r="II83" s="1337"/>
      <c r="IJ83" s="1337"/>
      <c r="IK83" s="1337"/>
      <c r="IL83" s="1337"/>
      <c r="IM83" s="1337"/>
      <c r="IN83" s="1337"/>
      <c r="IO83" s="1337"/>
      <c r="IP83" s="1337"/>
      <c r="IQ83" s="1337"/>
      <c r="IR83" s="1337"/>
      <c r="IS83" s="1337"/>
      <c r="IT83" s="1337"/>
      <c r="IU83" s="1337"/>
      <c r="IV83" s="1337"/>
    </row>
    <row r="84" spans="1:256" ht="10.5" customHeight="1">
      <c r="A84" s="1323" t="s">
        <v>1100</v>
      </c>
      <c r="B84" s="1410">
        <v>51.7</v>
      </c>
      <c r="C84" s="1410">
        <v>56.8</v>
      </c>
      <c r="D84" s="1411">
        <v>93.9</v>
      </c>
      <c r="E84" s="1411">
        <v>91.3</v>
      </c>
      <c r="F84" s="1411">
        <v>144.19999999999999</v>
      </c>
      <c r="G84" s="1411">
        <v>112.1</v>
      </c>
      <c r="H84" s="1411">
        <v>153.1</v>
      </c>
      <c r="I84" s="1411">
        <v>201.1</v>
      </c>
      <c r="J84" s="1411">
        <v>180.3</v>
      </c>
      <c r="K84" s="1411">
        <v>84.4</v>
      </c>
      <c r="L84" s="1413">
        <v>109.9</v>
      </c>
      <c r="M84" s="1413">
        <v>146.69999999999999</v>
      </c>
      <c r="N84" s="1411">
        <v>156.19999999999999</v>
      </c>
      <c r="O84" s="1337"/>
      <c r="P84" s="1337"/>
      <c r="Q84" s="1337"/>
      <c r="R84" s="1337"/>
      <c r="S84" s="1337"/>
      <c r="T84" s="1337"/>
      <c r="U84" s="1337"/>
      <c r="V84" s="1337"/>
      <c r="W84" s="1337"/>
      <c r="X84" s="1337"/>
      <c r="Y84" s="1337"/>
      <c r="Z84" s="1337"/>
      <c r="AA84" s="1337"/>
      <c r="AB84" s="1337"/>
      <c r="AC84" s="1337"/>
      <c r="AD84" s="1337"/>
      <c r="AE84" s="1337"/>
      <c r="AF84" s="1337"/>
      <c r="AG84" s="1337"/>
      <c r="AH84" s="1337"/>
      <c r="AI84" s="1337"/>
      <c r="AJ84" s="1337"/>
      <c r="AK84" s="1337"/>
      <c r="AL84" s="1337"/>
      <c r="AM84" s="1337"/>
      <c r="AN84" s="1337"/>
      <c r="AO84" s="1337"/>
      <c r="AP84" s="1337"/>
      <c r="AQ84" s="1337"/>
      <c r="AR84" s="1337"/>
      <c r="AS84" s="1337"/>
      <c r="AT84" s="1337"/>
      <c r="AU84" s="1337"/>
      <c r="AV84" s="1337"/>
      <c r="AW84" s="1337"/>
      <c r="AX84" s="1337"/>
      <c r="AY84" s="1337"/>
      <c r="AZ84" s="1337"/>
      <c r="BA84" s="1337"/>
      <c r="BB84" s="1337"/>
      <c r="BC84" s="1337"/>
      <c r="BD84" s="1337"/>
      <c r="BE84" s="1337"/>
      <c r="BF84" s="1337"/>
      <c r="BG84" s="1337"/>
      <c r="BH84" s="1337"/>
      <c r="BI84" s="1337"/>
      <c r="BJ84" s="1337"/>
      <c r="BK84" s="1337"/>
      <c r="BL84" s="1337"/>
      <c r="BM84" s="1337"/>
      <c r="BN84" s="1337"/>
      <c r="BO84" s="1337"/>
      <c r="BP84" s="1337"/>
      <c r="BQ84" s="1337"/>
      <c r="BR84" s="1337"/>
      <c r="BS84" s="1337"/>
      <c r="BT84" s="1337"/>
      <c r="BU84" s="1337"/>
      <c r="BV84" s="1337"/>
      <c r="BW84" s="1337"/>
      <c r="BX84" s="1337"/>
      <c r="BY84" s="1337"/>
      <c r="BZ84" s="1337"/>
      <c r="CA84" s="1337"/>
      <c r="CB84" s="1337"/>
      <c r="CC84" s="1337"/>
      <c r="CD84" s="1337"/>
      <c r="CE84" s="1337"/>
      <c r="CF84" s="1337"/>
      <c r="CG84" s="1337"/>
      <c r="CH84" s="1337"/>
      <c r="CI84" s="1337"/>
      <c r="CJ84" s="1337"/>
      <c r="CK84" s="1337"/>
      <c r="CL84" s="1337"/>
      <c r="CM84" s="1337"/>
      <c r="CN84" s="1337"/>
      <c r="CO84" s="1337"/>
      <c r="CP84" s="1337"/>
      <c r="CQ84" s="1337"/>
      <c r="CR84" s="1337"/>
      <c r="CS84" s="1337"/>
      <c r="CT84" s="1337"/>
      <c r="CU84" s="1337"/>
      <c r="CV84" s="1337"/>
      <c r="CW84" s="1337"/>
      <c r="CX84" s="1337"/>
      <c r="CY84" s="1337"/>
      <c r="CZ84" s="1337"/>
      <c r="DA84" s="1337"/>
      <c r="DB84" s="1337"/>
      <c r="DC84" s="1337"/>
      <c r="DD84" s="1337"/>
      <c r="DE84" s="1337"/>
      <c r="DF84" s="1337"/>
      <c r="DG84" s="1337"/>
      <c r="DH84" s="1337"/>
      <c r="DI84" s="1337"/>
      <c r="DJ84" s="1337"/>
      <c r="DK84" s="1337"/>
      <c r="DL84" s="1337"/>
      <c r="DM84" s="1337"/>
      <c r="DN84" s="1337"/>
      <c r="DO84" s="1337"/>
      <c r="DP84" s="1337"/>
      <c r="DQ84" s="1337"/>
      <c r="DR84" s="1337"/>
      <c r="DS84" s="1337"/>
      <c r="DT84" s="1337"/>
      <c r="DU84" s="1337"/>
      <c r="DV84" s="1337"/>
      <c r="DW84" s="1337"/>
      <c r="DX84" s="1337"/>
      <c r="DY84" s="1337"/>
      <c r="DZ84" s="1337"/>
      <c r="EA84" s="1337"/>
      <c r="EB84" s="1337"/>
      <c r="EC84" s="1337"/>
      <c r="ED84" s="1337"/>
      <c r="EE84" s="1337"/>
      <c r="EF84" s="1337"/>
      <c r="EG84" s="1337"/>
      <c r="EH84" s="1337"/>
      <c r="EI84" s="1337"/>
      <c r="EJ84" s="1337"/>
      <c r="EK84" s="1337"/>
      <c r="EL84" s="1337"/>
      <c r="EM84" s="1337"/>
      <c r="EN84" s="1337"/>
      <c r="EO84" s="1337"/>
      <c r="EP84" s="1337"/>
      <c r="EQ84" s="1337"/>
      <c r="ER84" s="1337"/>
      <c r="ES84" s="1337"/>
      <c r="ET84" s="1337"/>
      <c r="EU84" s="1337"/>
      <c r="EV84" s="1337"/>
      <c r="EW84" s="1337"/>
      <c r="EX84" s="1337"/>
      <c r="EY84" s="1337"/>
      <c r="EZ84" s="1337"/>
      <c r="FA84" s="1337"/>
      <c r="FB84" s="1337"/>
      <c r="FC84" s="1337"/>
      <c r="FD84" s="1337"/>
      <c r="FE84" s="1337"/>
      <c r="FF84" s="1337"/>
      <c r="FG84" s="1337"/>
      <c r="FH84" s="1337"/>
      <c r="FI84" s="1337"/>
      <c r="FJ84" s="1337"/>
      <c r="FK84" s="1337"/>
      <c r="FL84" s="1337"/>
      <c r="FM84" s="1337"/>
      <c r="FN84" s="1337"/>
      <c r="FO84" s="1337"/>
      <c r="FP84" s="1337"/>
      <c r="FQ84" s="1337"/>
      <c r="FR84" s="1337"/>
      <c r="FS84" s="1337"/>
      <c r="FT84" s="1337"/>
      <c r="FU84" s="1337"/>
      <c r="FV84" s="1337"/>
      <c r="FW84" s="1337"/>
      <c r="FX84" s="1337"/>
      <c r="FY84" s="1337"/>
      <c r="FZ84" s="1337"/>
      <c r="GA84" s="1337"/>
      <c r="GB84" s="1337"/>
      <c r="GC84" s="1337"/>
      <c r="GD84" s="1337"/>
      <c r="GE84" s="1337"/>
      <c r="GF84" s="1337"/>
      <c r="GG84" s="1337"/>
      <c r="GH84" s="1337"/>
      <c r="GI84" s="1337"/>
      <c r="GJ84" s="1337"/>
      <c r="GK84" s="1337"/>
      <c r="GL84" s="1337"/>
      <c r="GM84" s="1337"/>
      <c r="GN84" s="1337"/>
      <c r="GO84" s="1337"/>
      <c r="GP84" s="1337"/>
      <c r="GQ84" s="1337"/>
      <c r="GR84" s="1337"/>
      <c r="GS84" s="1337"/>
      <c r="GT84" s="1337"/>
      <c r="GU84" s="1337"/>
      <c r="GV84" s="1337"/>
      <c r="GW84" s="1337"/>
      <c r="GX84" s="1337"/>
      <c r="GY84" s="1337"/>
      <c r="GZ84" s="1337"/>
      <c r="HA84" s="1337"/>
      <c r="HB84" s="1337"/>
      <c r="HC84" s="1337"/>
      <c r="HD84" s="1337"/>
      <c r="HE84" s="1337"/>
      <c r="HF84" s="1337"/>
      <c r="HG84" s="1337"/>
      <c r="HH84" s="1337"/>
      <c r="HI84" s="1337"/>
      <c r="HJ84" s="1337"/>
      <c r="HK84" s="1337"/>
      <c r="HL84" s="1337"/>
      <c r="HM84" s="1337"/>
      <c r="HN84" s="1337"/>
      <c r="HO84" s="1337"/>
      <c r="HP84" s="1337"/>
      <c r="HQ84" s="1337"/>
      <c r="HR84" s="1337"/>
      <c r="HS84" s="1337"/>
      <c r="HT84" s="1337"/>
      <c r="HU84" s="1337"/>
      <c r="HV84" s="1337"/>
      <c r="HW84" s="1337"/>
      <c r="HX84" s="1337"/>
      <c r="HY84" s="1337"/>
      <c r="HZ84" s="1337"/>
      <c r="IA84" s="1337"/>
      <c r="IB84" s="1337"/>
      <c r="IC84" s="1337"/>
      <c r="ID84" s="1337"/>
      <c r="IE84" s="1337"/>
      <c r="IF84" s="1337"/>
      <c r="IG84" s="1337"/>
      <c r="IH84" s="1337"/>
      <c r="II84" s="1337"/>
      <c r="IJ84" s="1337"/>
      <c r="IK84" s="1337"/>
      <c r="IL84" s="1337"/>
      <c r="IM84" s="1337"/>
      <c r="IN84" s="1337"/>
      <c r="IO84" s="1337"/>
      <c r="IP84" s="1337"/>
      <c r="IQ84" s="1337"/>
      <c r="IR84" s="1337"/>
      <c r="IS84" s="1337"/>
      <c r="IT84" s="1337"/>
      <c r="IU84" s="1337"/>
      <c r="IV84" s="1337"/>
    </row>
    <row r="85" spans="1:256" ht="10.5" customHeight="1">
      <c r="A85" s="1323" t="s">
        <v>1101</v>
      </c>
      <c r="B85" s="1410">
        <v>5.9</v>
      </c>
      <c r="C85" s="1410">
        <v>6.2</v>
      </c>
      <c r="D85" s="1411">
        <v>6.4</v>
      </c>
      <c r="E85" s="1411">
        <v>5.7</v>
      </c>
      <c r="F85" s="1411">
        <v>5.2</v>
      </c>
      <c r="G85" s="1411">
        <v>5</v>
      </c>
      <c r="H85" s="1411">
        <v>4.9000000000000004</v>
      </c>
      <c r="I85" s="1411">
        <v>4.3</v>
      </c>
      <c r="J85" s="1411">
        <v>5.8</v>
      </c>
      <c r="K85" s="1411">
        <v>4.9000000000000004</v>
      </c>
      <c r="L85" s="1413">
        <v>3.2</v>
      </c>
      <c r="M85" s="1413">
        <v>4.0999999999999996</v>
      </c>
      <c r="N85" s="1411">
        <v>3.9</v>
      </c>
      <c r="O85" s="1337"/>
      <c r="P85" s="1337"/>
      <c r="Q85" s="1337"/>
      <c r="R85" s="1337"/>
      <c r="S85" s="1337"/>
      <c r="T85" s="1337"/>
      <c r="U85" s="1337"/>
      <c r="V85" s="1337"/>
      <c r="W85" s="1337"/>
      <c r="X85" s="1337"/>
      <c r="Y85" s="1337"/>
      <c r="Z85" s="1337"/>
      <c r="AA85" s="1337"/>
      <c r="AB85" s="1337"/>
      <c r="AC85" s="1337"/>
      <c r="AD85" s="1337"/>
      <c r="AE85" s="1337"/>
      <c r="AF85" s="1337"/>
      <c r="AG85" s="1337"/>
      <c r="AH85" s="1337"/>
      <c r="AI85" s="1337"/>
      <c r="AJ85" s="1337"/>
      <c r="AK85" s="1337"/>
      <c r="AL85" s="1337"/>
      <c r="AM85" s="1337"/>
      <c r="AN85" s="1337"/>
      <c r="AO85" s="1337"/>
      <c r="AP85" s="1337"/>
      <c r="AQ85" s="1337"/>
      <c r="AR85" s="1337"/>
      <c r="AS85" s="1337"/>
      <c r="AT85" s="1337"/>
      <c r="AU85" s="1337"/>
      <c r="AV85" s="1337"/>
      <c r="AW85" s="1337"/>
      <c r="AX85" s="1337"/>
      <c r="AY85" s="1337"/>
      <c r="AZ85" s="1337"/>
      <c r="BA85" s="1337"/>
      <c r="BB85" s="1337"/>
      <c r="BC85" s="1337"/>
      <c r="BD85" s="1337"/>
      <c r="BE85" s="1337"/>
      <c r="BF85" s="1337"/>
      <c r="BG85" s="1337"/>
      <c r="BH85" s="1337"/>
      <c r="BI85" s="1337"/>
      <c r="BJ85" s="1337"/>
      <c r="BK85" s="1337"/>
      <c r="BL85" s="1337"/>
      <c r="BM85" s="1337"/>
      <c r="BN85" s="1337"/>
      <c r="BO85" s="1337"/>
      <c r="BP85" s="1337"/>
      <c r="BQ85" s="1337"/>
      <c r="BR85" s="1337"/>
      <c r="BS85" s="1337"/>
      <c r="BT85" s="1337"/>
      <c r="BU85" s="1337"/>
      <c r="BV85" s="1337"/>
      <c r="BW85" s="1337"/>
      <c r="BX85" s="1337"/>
      <c r="BY85" s="1337"/>
      <c r="BZ85" s="1337"/>
      <c r="CA85" s="1337"/>
      <c r="CB85" s="1337"/>
      <c r="CC85" s="1337"/>
      <c r="CD85" s="1337"/>
      <c r="CE85" s="1337"/>
      <c r="CF85" s="1337"/>
      <c r="CG85" s="1337"/>
      <c r="CH85" s="1337"/>
      <c r="CI85" s="1337"/>
      <c r="CJ85" s="1337"/>
      <c r="CK85" s="1337"/>
      <c r="CL85" s="1337"/>
      <c r="CM85" s="1337"/>
      <c r="CN85" s="1337"/>
      <c r="CO85" s="1337"/>
      <c r="CP85" s="1337"/>
      <c r="CQ85" s="1337"/>
      <c r="CR85" s="1337"/>
      <c r="CS85" s="1337"/>
      <c r="CT85" s="1337"/>
      <c r="CU85" s="1337"/>
      <c r="CV85" s="1337"/>
      <c r="CW85" s="1337"/>
      <c r="CX85" s="1337"/>
      <c r="CY85" s="1337"/>
      <c r="CZ85" s="1337"/>
      <c r="DA85" s="1337"/>
      <c r="DB85" s="1337"/>
      <c r="DC85" s="1337"/>
      <c r="DD85" s="1337"/>
      <c r="DE85" s="1337"/>
      <c r="DF85" s="1337"/>
      <c r="DG85" s="1337"/>
      <c r="DH85" s="1337"/>
      <c r="DI85" s="1337"/>
      <c r="DJ85" s="1337"/>
      <c r="DK85" s="1337"/>
      <c r="DL85" s="1337"/>
      <c r="DM85" s="1337"/>
      <c r="DN85" s="1337"/>
      <c r="DO85" s="1337"/>
      <c r="DP85" s="1337"/>
      <c r="DQ85" s="1337"/>
      <c r="DR85" s="1337"/>
      <c r="DS85" s="1337"/>
      <c r="DT85" s="1337"/>
      <c r="DU85" s="1337"/>
      <c r="DV85" s="1337"/>
      <c r="DW85" s="1337"/>
      <c r="DX85" s="1337"/>
      <c r="DY85" s="1337"/>
      <c r="DZ85" s="1337"/>
      <c r="EA85" s="1337"/>
      <c r="EB85" s="1337"/>
      <c r="EC85" s="1337"/>
      <c r="ED85" s="1337"/>
      <c r="EE85" s="1337"/>
      <c r="EF85" s="1337"/>
      <c r="EG85" s="1337"/>
      <c r="EH85" s="1337"/>
      <c r="EI85" s="1337"/>
      <c r="EJ85" s="1337"/>
      <c r="EK85" s="1337"/>
      <c r="EL85" s="1337"/>
      <c r="EM85" s="1337"/>
      <c r="EN85" s="1337"/>
      <c r="EO85" s="1337"/>
      <c r="EP85" s="1337"/>
      <c r="EQ85" s="1337"/>
      <c r="ER85" s="1337"/>
      <c r="ES85" s="1337"/>
      <c r="ET85" s="1337"/>
      <c r="EU85" s="1337"/>
      <c r="EV85" s="1337"/>
      <c r="EW85" s="1337"/>
      <c r="EX85" s="1337"/>
      <c r="EY85" s="1337"/>
      <c r="EZ85" s="1337"/>
      <c r="FA85" s="1337"/>
      <c r="FB85" s="1337"/>
      <c r="FC85" s="1337"/>
      <c r="FD85" s="1337"/>
      <c r="FE85" s="1337"/>
      <c r="FF85" s="1337"/>
      <c r="FG85" s="1337"/>
      <c r="FH85" s="1337"/>
      <c r="FI85" s="1337"/>
      <c r="FJ85" s="1337"/>
      <c r="FK85" s="1337"/>
      <c r="FL85" s="1337"/>
      <c r="FM85" s="1337"/>
      <c r="FN85" s="1337"/>
      <c r="FO85" s="1337"/>
      <c r="FP85" s="1337"/>
      <c r="FQ85" s="1337"/>
      <c r="FR85" s="1337"/>
      <c r="FS85" s="1337"/>
      <c r="FT85" s="1337"/>
      <c r="FU85" s="1337"/>
      <c r="FV85" s="1337"/>
      <c r="FW85" s="1337"/>
      <c r="FX85" s="1337"/>
      <c r="FY85" s="1337"/>
      <c r="FZ85" s="1337"/>
      <c r="GA85" s="1337"/>
      <c r="GB85" s="1337"/>
      <c r="GC85" s="1337"/>
      <c r="GD85" s="1337"/>
      <c r="GE85" s="1337"/>
      <c r="GF85" s="1337"/>
      <c r="GG85" s="1337"/>
      <c r="GH85" s="1337"/>
      <c r="GI85" s="1337"/>
      <c r="GJ85" s="1337"/>
      <c r="GK85" s="1337"/>
      <c r="GL85" s="1337"/>
      <c r="GM85" s="1337"/>
      <c r="GN85" s="1337"/>
      <c r="GO85" s="1337"/>
      <c r="GP85" s="1337"/>
      <c r="GQ85" s="1337"/>
      <c r="GR85" s="1337"/>
      <c r="GS85" s="1337"/>
      <c r="GT85" s="1337"/>
      <c r="GU85" s="1337"/>
      <c r="GV85" s="1337"/>
      <c r="GW85" s="1337"/>
      <c r="GX85" s="1337"/>
      <c r="GY85" s="1337"/>
      <c r="GZ85" s="1337"/>
      <c r="HA85" s="1337"/>
      <c r="HB85" s="1337"/>
      <c r="HC85" s="1337"/>
      <c r="HD85" s="1337"/>
      <c r="HE85" s="1337"/>
      <c r="HF85" s="1337"/>
      <c r="HG85" s="1337"/>
      <c r="HH85" s="1337"/>
      <c r="HI85" s="1337"/>
      <c r="HJ85" s="1337"/>
      <c r="HK85" s="1337"/>
      <c r="HL85" s="1337"/>
      <c r="HM85" s="1337"/>
      <c r="HN85" s="1337"/>
      <c r="HO85" s="1337"/>
      <c r="HP85" s="1337"/>
      <c r="HQ85" s="1337"/>
      <c r="HR85" s="1337"/>
      <c r="HS85" s="1337"/>
      <c r="HT85" s="1337"/>
      <c r="HU85" s="1337"/>
      <c r="HV85" s="1337"/>
      <c r="HW85" s="1337"/>
      <c r="HX85" s="1337"/>
      <c r="HY85" s="1337"/>
      <c r="HZ85" s="1337"/>
      <c r="IA85" s="1337"/>
      <c r="IB85" s="1337"/>
      <c r="IC85" s="1337"/>
      <c r="ID85" s="1337"/>
      <c r="IE85" s="1337"/>
      <c r="IF85" s="1337"/>
      <c r="IG85" s="1337"/>
      <c r="IH85" s="1337"/>
      <c r="II85" s="1337"/>
      <c r="IJ85" s="1337"/>
      <c r="IK85" s="1337"/>
      <c r="IL85" s="1337"/>
      <c r="IM85" s="1337"/>
      <c r="IN85" s="1337"/>
      <c r="IO85" s="1337"/>
      <c r="IP85" s="1337"/>
      <c r="IQ85" s="1337"/>
      <c r="IR85" s="1337"/>
      <c r="IS85" s="1337"/>
      <c r="IT85" s="1337"/>
      <c r="IU85" s="1337"/>
      <c r="IV85" s="1337"/>
    </row>
    <row r="86" spans="1:256" ht="10.5" customHeight="1">
      <c r="A86" s="1372" t="s">
        <v>1102</v>
      </c>
      <c r="B86" s="1430">
        <v>367</v>
      </c>
      <c r="C86" s="1430">
        <v>435</v>
      </c>
      <c r="D86" s="1431">
        <v>515</v>
      </c>
      <c r="E86" s="1431">
        <v>693</v>
      </c>
      <c r="F86" s="1431">
        <v>838</v>
      </c>
      <c r="G86" s="1431">
        <f>941.2+4.3</f>
        <v>945.5</v>
      </c>
      <c r="H86" s="1431">
        <f>999.1+7.3</f>
        <v>1006.4</v>
      </c>
      <c r="I86" s="1431">
        <v>1187</v>
      </c>
      <c r="J86" s="1431">
        <v>1446.4</v>
      </c>
      <c r="K86" s="1431">
        <v>1555.6</v>
      </c>
      <c r="L86" s="1432">
        <v>1600.5</v>
      </c>
      <c r="M86" s="1432">
        <v>1705.8</v>
      </c>
      <c r="N86" s="1431">
        <v>1745.4</v>
      </c>
      <c r="O86" s="1337"/>
      <c r="P86" s="1337"/>
      <c r="Q86" s="1337"/>
      <c r="R86" s="1337"/>
      <c r="S86" s="1337"/>
      <c r="T86" s="1337"/>
      <c r="U86" s="1337"/>
      <c r="V86" s="1337"/>
      <c r="W86" s="1337"/>
      <c r="X86" s="1337"/>
      <c r="Y86" s="1337"/>
      <c r="Z86" s="1337"/>
      <c r="AA86" s="1337"/>
      <c r="AB86" s="1337"/>
      <c r="AC86" s="1337"/>
      <c r="AD86" s="1337"/>
      <c r="AE86" s="1337"/>
      <c r="AF86" s="1337"/>
      <c r="AG86" s="1337"/>
      <c r="AH86" s="1337"/>
      <c r="AI86" s="1337"/>
      <c r="AJ86" s="1337"/>
      <c r="AK86" s="1337"/>
      <c r="AL86" s="1337"/>
      <c r="AM86" s="1337"/>
      <c r="AN86" s="1337"/>
      <c r="AO86" s="1337"/>
      <c r="AP86" s="1337"/>
      <c r="AQ86" s="1337"/>
      <c r="AR86" s="1337"/>
      <c r="AS86" s="1337"/>
      <c r="AT86" s="1337"/>
      <c r="AU86" s="1337"/>
      <c r="AV86" s="1337"/>
      <c r="AW86" s="1337"/>
      <c r="AX86" s="1337"/>
      <c r="AY86" s="1337"/>
      <c r="AZ86" s="1337"/>
      <c r="BA86" s="1337"/>
      <c r="BB86" s="1337"/>
      <c r="BC86" s="1337"/>
      <c r="BD86" s="1337"/>
      <c r="BE86" s="1337"/>
      <c r="BF86" s="1337"/>
      <c r="BG86" s="1337"/>
      <c r="BH86" s="1337"/>
      <c r="BI86" s="1337"/>
      <c r="BJ86" s="1337"/>
      <c r="BK86" s="1337"/>
      <c r="BL86" s="1337"/>
      <c r="BM86" s="1337"/>
      <c r="BN86" s="1337"/>
      <c r="BO86" s="1337"/>
      <c r="BP86" s="1337"/>
      <c r="BQ86" s="1337"/>
      <c r="BR86" s="1337"/>
      <c r="BS86" s="1337"/>
      <c r="BT86" s="1337"/>
      <c r="BU86" s="1337"/>
      <c r="BV86" s="1337"/>
      <c r="BW86" s="1337"/>
      <c r="BX86" s="1337"/>
      <c r="BY86" s="1337"/>
      <c r="BZ86" s="1337"/>
      <c r="CA86" s="1337"/>
      <c r="CB86" s="1337"/>
      <c r="CC86" s="1337"/>
      <c r="CD86" s="1337"/>
      <c r="CE86" s="1337"/>
      <c r="CF86" s="1337"/>
      <c r="CG86" s="1337"/>
      <c r="CH86" s="1337"/>
      <c r="CI86" s="1337"/>
      <c r="CJ86" s="1337"/>
      <c r="CK86" s="1337"/>
      <c r="CL86" s="1337"/>
      <c r="CM86" s="1337"/>
      <c r="CN86" s="1337"/>
      <c r="CO86" s="1337"/>
      <c r="CP86" s="1337"/>
      <c r="CQ86" s="1337"/>
      <c r="CR86" s="1337"/>
      <c r="CS86" s="1337"/>
      <c r="CT86" s="1337"/>
      <c r="CU86" s="1337"/>
      <c r="CV86" s="1337"/>
      <c r="CW86" s="1337"/>
      <c r="CX86" s="1337"/>
      <c r="CY86" s="1337"/>
      <c r="CZ86" s="1337"/>
      <c r="DA86" s="1337"/>
      <c r="DB86" s="1337"/>
      <c r="DC86" s="1337"/>
      <c r="DD86" s="1337"/>
      <c r="DE86" s="1337"/>
      <c r="DF86" s="1337"/>
      <c r="DG86" s="1337"/>
      <c r="DH86" s="1337"/>
      <c r="DI86" s="1337"/>
      <c r="DJ86" s="1337"/>
      <c r="DK86" s="1337"/>
      <c r="DL86" s="1337"/>
      <c r="DM86" s="1337"/>
      <c r="DN86" s="1337"/>
      <c r="DO86" s="1337"/>
      <c r="DP86" s="1337"/>
      <c r="DQ86" s="1337"/>
      <c r="DR86" s="1337"/>
      <c r="DS86" s="1337"/>
      <c r="DT86" s="1337"/>
      <c r="DU86" s="1337"/>
      <c r="DV86" s="1337"/>
      <c r="DW86" s="1337"/>
      <c r="DX86" s="1337"/>
      <c r="DY86" s="1337"/>
      <c r="DZ86" s="1337"/>
      <c r="EA86" s="1337"/>
      <c r="EB86" s="1337"/>
      <c r="EC86" s="1337"/>
      <c r="ED86" s="1337"/>
      <c r="EE86" s="1337"/>
      <c r="EF86" s="1337"/>
      <c r="EG86" s="1337"/>
      <c r="EH86" s="1337"/>
      <c r="EI86" s="1337"/>
      <c r="EJ86" s="1337"/>
      <c r="EK86" s="1337"/>
      <c r="EL86" s="1337"/>
      <c r="EM86" s="1337"/>
      <c r="EN86" s="1337"/>
      <c r="EO86" s="1337"/>
      <c r="EP86" s="1337"/>
      <c r="EQ86" s="1337"/>
      <c r="ER86" s="1337"/>
      <c r="ES86" s="1337"/>
      <c r="ET86" s="1337"/>
      <c r="EU86" s="1337"/>
      <c r="EV86" s="1337"/>
      <c r="EW86" s="1337"/>
      <c r="EX86" s="1337"/>
      <c r="EY86" s="1337"/>
      <c r="EZ86" s="1337"/>
      <c r="FA86" s="1337"/>
      <c r="FB86" s="1337"/>
      <c r="FC86" s="1337"/>
      <c r="FD86" s="1337"/>
      <c r="FE86" s="1337"/>
      <c r="FF86" s="1337"/>
      <c r="FG86" s="1337"/>
      <c r="FH86" s="1337"/>
      <c r="FI86" s="1337"/>
      <c r="FJ86" s="1337"/>
      <c r="FK86" s="1337"/>
      <c r="FL86" s="1337"/>
      <c r="FM86" s="1337"/>
      <c r="FN86" s="1337"/>
      <c r="FO86" s="1337"/>
      <c r="FP86" s="1337"/>
      <c r="FQ86" s="1337"/>
      <c r="FR86" s="1337"/>
      <c r="FS86" s="1337"/>
      <c r="FT86" s="1337"/>
      <c r="FU86" s="1337"/>
      <c r="FV86" s="1337"/>
      <c r="FW86" s="1337"/>
      <c r="FX86" s="1337"/>
      <c r="FY86" s="1337"/>
      <c r="FZ86" s="1337"/>
      <c r="GA86" s="1337"/>
      <c r="GB86" s="1337"/>
      <c r="GC86" s="1337"/>
      <c r="GD86" s="1337"/>
      <c r="GE86" s="1337"/>
      <c r="GF86" s="1337"/>
      <c r="GG86" s="1337"/>
      <c r="GH86" s="1337"/>
      <c r="GI86" s="1337"/>
      <c r="GJ86" s="1337"/>
      <c r="GK86" s="1337"/>
      <c r="GL86" s="1337"/>
      <c r="GM86" s="1337"/>
      <c r="GN86" s="1337"/>
      <c r="GO86" s="1337"/>
      <c r="GP86" s="1337"/>
      <c r="GQ86" s="1337"/>
      <c r="GR86" s="1337"/>
      <c r="GS86" s="1337"/>
      <c r="GT86" s="1337"/>
      <c r="GU86" s="1337"/>
      <c r="GV86" s="1337"/>
      <c r="GW86" s="1337"/>
      <c r="GX86" s="1337"/>
      <c r="GY86" s="1337"/>
      <c r="GZ86" s="1337"/>
      <c r="HA86" s="1337"/>
      <c r="HB86" s="1337"/>
      <c r="HC86" s="1337"/>
      <c r="HD86" s="1337"/>
      <c r="HE86" s="1337"/>
      <c r="HF86" s="1337"/>
      <c r="HG86" s="1337"/>
      <c r="HH86" s="1337"/>
      <c r="HI86" s="1337"/>
      <c r="HJ86" s="1337"/>
      <c r="HK86" s="1337"/>
      <c r="HL86" s="1337"/>
      <c r="HM86" s="1337"/>
      <c r="HN86" s="1337"/>
      <c r="HO86" s="1337"/>
      <c r="HP86" s="1337"/>
      <c r="HQ86" s="1337"/>
      <c r="HR86" s="1337"/>
      <c r="HS86" s="1337"/>
      <c r="HT86" s="1337"/>
      <c r="HU86" s="1337"/>
      <c r="HV86" s="1337"/>
      <c r="HW86" s="1337"/>
      <c r="HX86" s="1337"/>
      <c r="HY86" s="1337"/>
      <c r="HZ86" s="1337"/>
      <c r="IA86" s="1337"/>
      <c r="IB86" s="1337"/>
      <c r="IC86" s="1337"/>
      <c r="ID86" s="1337"/>
      <c r="IE86" s="1337"/>
      <c r="IF86" s="1337"/>
      <c r="IG86" s="1337"/>
      <c r="IH86" s="1337"/>
      <c r="II86" s="1337"/>
      <c r="IJ86" s="1337"/>
      <c r="IK86" s="1337"/>
      <c r="IL86" s="1337"/>
      <c r="IM86" s="1337"/>
      <c r="IN86" s="1337"/>
      <c r="IO86" s="1337"/>
      <c r="IP86" s="1337"/>
      <c r="IQ86" s="1337"/>
      <c r="IR86" s="1337"/>
      <c r="IS86" s="1337"/>
      <c r="IT86" s="1337"/>
      <c r="IU86" s="1337"/>
      <c r="IV86" s="1337"/>
    </row>
    <row r="87" spans="1:256" ht="13.5" thickBot="1">
      <c r="A87" s="1416" t="s">
        <v>1114</v>
      </c>
      <c r="B87" s="1417">
        <v>431.5</v>
      </c>
      <c r="C87" s="1417">
        <v>505.1</v>
      </c>
      <c r="D87" s="1418">
        <v>644.6</v>
      </c>
      <c r="E87" s="1418">
        <v>818.8</v>
      </c>
      <c r="F87" s="1418">
        <v>1016.2</v>
      </c>
      <c r="G87" s="1418">
        <v>1086.9000000000001</v>
      </c>
      <c r="H87" s="1418">
        <v>1183.2</v>
      </c>
      <c r="I87" s="1418">
        <v>1399.3</v>
      </c>
      <c r="J87" s="1418">
        <v>1656.6</v>
      </c>
      <c r="K87" s="1418">
        <v>1672.9</v>
      </c>
      <c r="L87" s="1419">
        <v>1739.4</v>
      </c>
      <c r="M87" s="1419">
        <v>1881</v>
      </c>
      <c r="N87" s="1418">
        <v>1931.7</v>
      </c>
      <c r="O87" s="1337"/>
      <c r="P87" s="1337"/>
      <c r="Q87" s="1337"/>
      <c r="R87" s="1337"/>
      <c r="S87" s="1337"/>
      <c r="T87" s="1337"/>
      <c r="U87" s="1337"/>
      <c r="V87" s="1337"/>
      <c r="W87" s="1337"/>
      <c r="X87" s="1337"/>
      <c r="Y87" s="1337"/>
      <c r="Z87" s="1337"/>
      <c r="AA87" s="1337"/>
      <c r="AB87" s="1337"/>
      <c r="AC87" s="1337"/>
      <c r="AD87" s="1337"/>
      <c r="AE87" s="1337"/>
      <c r="AF87" s="1337"/>
      <c r="AG87" s="1337"/>
      <c r="AH87" s="1337"/>
      <c r="AI87" s="1337"/>
      <c r="AJ87" s="1337"/>
      <c r="AK87" s="1337"/>
      <c r="AL87" s="1337"/>
      <c r="AM87" s="1337"/>
      <c r="AN87" s="1337"/>
      <c r="AO87" s="1337"/>
      <c r="AP87" s="1337"/>
      <c r="AQ87" s="1337"/>
      <c r="AR87" s="1337"/>
      <c r="AS87" s="1337"/>
      <c r="AT87" s="1337"/>
      <c r="AU87" s="1337"/>
      <c r="AV87" s="1337"/>
      <c r="AW87" s="1337"/>
      <c r="AX87" s="1337"/>
      <c r="AY87" s="1337"/>
      <c r="AZ87" s="1337"/>
      <c r="BA87" s="1337"/>
      <c r="BB87" s="1337"/>
      <c r="BC87" s="1337"/>
      <c r="BD87" s="1337"/>
      <c r="BE87" s="1337"/>
      <c r="BF87" s="1337"/>
      <c r="BG87" s="1337"/>
      <c r="BH87" s="1337"/>
      <c r="BI87" s="1337"/>
      <c r="BJ87" s="1337"/>
      <c r="BK87" s="1337"/>
      <c r="BL87" s="1337"/>
      <c r="BM87" s="1337"/>
      <c r="BN87" s="1337"/>
      <c r="BO87" s="1337"/>
      <c r="BP87" s="1337"/>
      <c r="BQ87" s="1337"/>
      <c r="BR87" s="1337"/>
      <c r="BS87" s="1337"/>
      <c r="BT87" s="1337"/>
      <c r="BU87" s="1337"/>
      <c r="BV87" s="1337"/>
      <c r="BW87" s="1337"/>
      <c r="BX87" s="1337"/>
      <c r="BY87" s="1337"/>
      <c r="BZ87" s="1337"/>
      <c r="CA87" s="1337"/>
      <c r="CB87" s="1337"/>
      <c r="CC87" s="1337"/>
      <c r="CD87" s="1337"/>
      <c r="CE87" s="1337"/>
      <c r="CF87" s="1337"/>
      <c r="CG87" s="1337"/>
      <c r="CH87" s="1337"/>
      <c r="CI87" s="1337"/>
      <c r="CJ87" s="1337"/>
      <c r="CK87" s="1337"/>
      <c r="CL87" s="1337"/>
      <c r="CM87" s="1337"/>
      <c r="CN87" s="1337"/>
      <c r="CO87" s="1337"/>
      <c r="CP87" s="1337"/>
      <c r="CQ87" s="1337"/>
      <c r="CR87" s="1337"/>
      <c r="CS87" s="1337"/>
      <c r="CT87" s="1337"/>
      <c r="CU87" s="1337"/>
      <c r="CV87" s="1337"/>
      <c r="CW87" s="1337"/>
      <c r="CX87" s="1337"/>
      <c r="CY87" s="1337"/>
      <c r="CZ87" s="1337"/>
      <c r="DA87" s="1337"/>
      <c r="DB87" s="1337"/>
      <c r="DC87" s="1337"/>
      <c r="DD87" s="1337"/>
      <c r="DE87" s="1337"/>
      <c r="DF87" s="1337"/>
      <c r="DG87" s="1337"/>
      <c r="DH87" s="1337"/>
      <c r="DI87" s="1337"/>
      <c r="DJ87" s="1337"/>
      <c r="DK87" s="1337"/>
      <c r="DL87" s="1337"/>
      <c r="DM87" s="1337"/>
      <c r="DN87" s="1337"/>
      <c r="DO87" s="1337"/>
      <c r="DP87" s="1337"/>
      <c r="DQ87" s="1337"/>
      <c r="DR87" s="1337"/>
      <c r="DS87" s="1337"/>
      <c r="DT87" s="1337"/>
      <c r="DU87" s="1337"/>
      <c r="DV87" s="1337"/>
      <c r="DW87" s="1337"/>
      <c r="DX87" s="1337"/>
      <c r="DY87" s="1337"/>
      <c r="DZ87" s="1337"/>
      <c r="EA87" s="1337"/>
      <c r="EB87" s="1337"/>
      <c r="EC87" s="1337"/>
      <c r="ED87" s="1337"/>
      <c r="EE87" s="1337"/>
      <c r="EF87" s="1337"/>
      <c r="EG87" s="1337"/>
      <c r="EH87" s="1337"/>
      <c r="EI87" s="1337"/>
      <c r="EJ87" s="1337"/>
      <c r="EK87" s="1337"/>
      <c r="EL87" s="1337"/>
      <c r="EM87" s="1337"/>
      <c r="EN87" s="1337"/>
      <c r="EO87" s="1337"/>
      <c r="EP87" s="1337"/>
      <c r="EQ87" s="1337"/>
      <c r="ER87" s="1337"/>
      <c r="ES87" s="1337"/>
      <c r="ET87" s="1337"/>
      <c r="EU87" s="1337"/>
      <c r="EV87" s="1337"/>
      <c r="EW87" s="1337"/>
      <c r="EX87" s="1337"/>
      <c r="EY87" s="1337"/>
      <c r="EZ87" s="1337"/>
      <c r="FA87" s="1337"/>
      <c r="FB87" s="1337"/>
      <c r="FC87" s="1337"/>
      <c r="FD87" s="1337"/>
      <c r="FE87" s="1337"/>
      <c r="FF87" s="1337"/>
      <c r="FG87" s="1337"/>
      <c r="FH87" s="1337"/>
      <c r="FI87" s="1337"/>
      <c r="FJ87" s="1337"/>
      <c r="FK87" s="1337"/>
      <c r="FL87" s="1337"/>
      <c r="FM87" s="1337"/>
      <c r="FN87" s="1337"/>
      <c r="FO87" s="1337"/>
      <c r="FP87" s="1337"/>
      <c r="FQ87" s="1337"/>
      <c r="FR87" s="1337"/>
      <c r="FS87" s="1337"/>
      <c r="FT87" s="1337"/>
      <c r="FU87" s="1337"/>
      <c r="FV87" s="1337"/>
      <c r="FW87" s="1337"/>
      <c r="FX87" s="1337"/>
      <c r="FY87" s="1337"/>
      <c r="FZ87" s="1337"/>
      <c r="GA87" s="1337"/>
      <c r="GB87" s="1337"/>
      <c r="GC87" s="1337"/>
      <c r="GD87" s="1337"/>
      <c r="GE87" s="1337"/>
      <c r="GF87" s="1337"/>
      <c r="GG87" s="1337"/>
      <c r="GH87" s="1337"/>
      <c r="GI87" s="1337"/>
      <c r="GJ87" s="1337"/>
      <c r="GK87" s="1337"/>
      <c r="GL87" s="1337"/>
      <c r="GM87" s="1337"/>
      <c r="GN87" s="1337"/>
      <c r="GO87" s="1337"/>
      <c r="GP87" s="1337"/>
      <c r="GQ87" s="1337"/>
      <c r="GR87" s="1337"/>
      <c r="GS87" s="1337"/>
      <c r="GT87" s="1337"/>
      <c r="GU87" s="1337"/>
      <c r="GV87" s="1337"/>
      <c r="GW87" s="1337"/>
      <c r="GX87" s="1337"/>
      <c r="GY87" s="1337"/>
      <c r="GZ87" s="1337"/>
      <c r="HA87" s="1337"/>
      <c r="HB87" s="1337"/>
      <c r="HC87" s="1337"/>
      <c r="HD87" s="1337"/>
      <c r="HE87" s="1337"/>
      <c r="HF87" s="1337"/>
      <c r="HG87" s="1337"/>
      <c r="HH87" s="1337"/>
      <c r="HI87" s="1337"/>
      <c r="HJ87" s="1337"/>
      <c r="HK87" s="1337"/>
      <c r="HL87" s="1337"/>
      <c r="HM87" s="1337"/>
      <c r="HN87" s="1337"/>
      <c r="HO87" s="1337"/>
      <c r="HP87" s="1337"/>
      <c r="HQ87" s="1337"/>
      <c r="HR87" s="1337"/>
      <c r="HS87" s="1337"/>
      <c r="HT87" s="1337"/>
      <c r="HU87" s="1337"/>
      <c r="HV87" s="1337"/>
      <c r="HW87" s="1337"/>
      <c r="HX87" s="1337"/>
      <c r="HY87" s="1337"/>
      <c r="HZ87" s="1337"/>
      <c r="IA87" s="1337"/>
      <c r="IB87" s="1337"/>
      <c r="IC87" s="1337"/>
      <c r="ID87" s="1337"/>
      <c r="IE87" s="1337"/>
      <c r="IF87" s="1337"/>
      <c r="IG87" s="1337"/>
      <c r="IH87" s="1337"/>
      <c r="II87" s="1337"/>
      <c r="IJ87" s="1337"/>
      <c r="IK87" s="1337"/>
      <c r="IL87" s="1337"/>
      <c r="IM87" s="1337"/>
      <c r="IN87" s="1337"/>
      <c r="IO87" s="1337"/>
      <c r="IP87" s="1337"/>
      <c r="IQ87" s="1337"/>
      <c r="IR87" s="1337"/>
      <c r="IS87" s="1337"/>
      <c r="IT87" s="1337"/>
      <c r="IU87" s="1337"/>
      <c r="IV87" s="1337"/>
    </row>
    <row r="88" spans="1:256" ht="13.5" thickTop="1">
      <c r="A88" s="1379" t="s">
        <v>1133</v>
      </c>
      <c r="B88" s="1433">
        <v>70</v>
      </c>
      <c r="C88" s="1433">
        <v>83.5</v>
      </c>
      <c r="D88" s="1434">
        <v>100.2</v>
      </c>
      <c r="E88" s="1434">
        <v>102.3</v>
      </c>
      <c r="F88" s="1434">
        <v>131.30000000000001</v>
      </c>
      <c r="G88" s="1434">
        <v>95.9</v>
      </c>
      <c r="H88" s="1434">
        <v>127.6</v>
      </c>
      <c r="I88" s="1434">
        <v>147.4</v>
      </c>
      <c r="J88" s="1434">
        <v>138.80000000000001</v>
      </c>
      <c r="K88" s="1434">
        <v>93.3</v>
      </c>
      <c r="L88" s="1435">
        <v>106.6</v>
      </c>
      <c r="M88" s="1435">
        <v>133.69999999999999</v>
      </c>
      <c r="N88" s="1434">
        <v>122.5</v>
      </c>
      <c r="O88" s="1337"/>
      <c r="P88" s="1337"/>
      <c r="Q88" s="1337"/>
      <c r="R88" s="1337"/>
      <c r="S88" s="1337"/>
      <c r="T88" s="1337"/>
      <c r="U88" s="1337"/>
      <c r="V88" s="1337"/>
      <c r="W88" s="1337"/>
      <c r="X88" s="1337"/>
      <c r="Y88" s="1337"/>
      <c r="Z88" s="1337"/>
      <c r="AA88" s="1337"/>
      <c r="AB88" s="1337"/>
      <c r="AC88" s="1337"/>
      <c r="AD88" s="1337"/>
      <c r="AE88" s="1337"/>
      <c r="AF88" s="1337"/>
      <c r="AG88" s="1337"/>
      <c r="AH88" s="1337"/>
      <c r="AI88" s="1337"/>
      <c r="AJ88" s="1337"/>
      <c r="AK88" s="1337"/>
      <c r="AL88" s="1337"/>
      <c r="AM88" s="1337"/>
      <c r="AN88" s="1337"/>
      <c r="AO88" s="1337"/>
      <c r="AP88" s="1337"/>
      <c r="AQ88" s="1337"/>
      <c r="AR88" s="1337"/>
      <c r="AS88" s="1337"/>
      <c r="AT88" s="1337"/>
      <c r="AU88" s="1337"/>
      <c r="AV88" s="1337"/>
      <c r="AW88" s="1337"/>
      <c r="AX88" s="1337"/>
      <c r="AY88" s="1337"/>
      <c r="AZ88" s="1337"/>
      <c r="BA88" s="1337"/>
      <c r="BB88" s="1337"/>
      <c r="BC88" s="1337"/>
      <c r="BD88" s="1337"/>
      <c r="BE88" s="1337"/>
      <c r="BF88" s="1337"/>
      <c r="BG88" s="1337"/>
      <c r="BH88" s="1337"/>
      <c r="BI88" s="1337"/>
      <c r="BJ88" s="1337"/>
      <c r="BK88" s="1337"/>
      <c r="BL88" s="1337"/>
      <c r="BM88" s="1337"/>
      <c r="BN88" s="1337"/>
      <c r="BO88" s="1337"/>
      <c r="BP88" s="1337"/>
      <c r="BQ88" s="1337"/>
      <c r="BR88" s="1337"/>
      <c r="BS88" s="1337"/>
      <c r="BT88" s="1337"/>
      <c r="BU88" s="1337"/>
      <c r="BV88" s="1337"/>
      <c r="BW88" s="1337"/>
      <c r="BX88" s="1337"/>
      <c r="BY88" s="1337"/>
      <c r="BZ88" s="1337"/>
      <c r="CA88" s="1337"/>
      <c r="CB88" s="1337"/>
      <c r="CC88" s="1337"/>
      <c r="CD88" s="1337"/>
      <c r="CE88" s="1337"/>
      <c r="CF88" s="1337"/>
      <c r="CG88" s="1337"/>
      <c r="CH88" s="1337"/>
      <c r="CI88" s="1337"/>
      <c r="CJ88" s="1337"/>
      <c r="CK88" s="1337"/>
      <c r="CL88" s="1337"/>
      <c r="CM88" s="1337"/>
      <c r="CN88" s="1337"/>
      <c r="CO88" s="1337"/>
      <c r="CP88" s="1337"/>
      <c r="CQ88" s="1337"/>
      <c r="CR88" s="1337"/>
      <c r="CS88" s="1337"/>
      <c r="CT88" s="1337"/>
      <c r="CU88" s="1337"/>
      <c r="CV88" s="1337"/>
      <c r="CW88" s="1337"/>
      <c r="CX88" s="1337"/>
      <c r="CY88" s="1337"/>
      <c r="CZ88" s="1337"/>
      <c r="DA88" s="1337"/>
      <c r="DB88" s="1337"/>
      <c r="DC88" s="1337"/>
      <c r="DD88" s="1337"/>
      <c r="DE88" s="1337"/>
      <c r="DF88" s="1337"/>
      <c r="DG88" s="1337"/>
      <c r="DH88" s="1337"/>
      <c r="DI88" s="1337"/>
      <c r="DJ88" s="1337"/>
      <c r="DK88" s="1337"/>
      <c r="DL88" s="1337"/>
      <c r="DM88" s="1337"/>
      <c r="DN88" s="1337"/>
      <c r="DO88" s="1337"/>
      <c r="DP88" s="1337"/>
      <c r="DQ88" s="1337"/>
      <c r="DR88" s="1337"/>
      <c r="DS88" s="1337"/>
      <c r="DT88" s="1337"/>
      <c r="DU88" s="1337"/>
      <c r="DV88" s="1337"/>
      <c r="DW88" s="1337"/>
      <c r="DX88" s="1337"/>
      <c r="DY88" s="1337"/>
      <c r="DZ88" s="1337"/>
      <c r="EA88" s="1337"/>
      <c r="EB88" s="1337"/>
      <c r="EC88" s="1337"/>
      <c r="ED88" s="1337"/>
      <c r="EE88" s="1337"/>
      <c r="EF88" s="1337"/>
      <c r="EG88" s="1337"/>
      <c r="EH88" s="1337"/>
      <c r="EI88" s="1337"/>
      <c r="EJ88" s="1337"/>
      <c r="EK88" s="1337"/>
      <c r="EL88" s="1337"/>
      <c r="EM88" s="1337"/>
      <c r="EN88" s="1337"/>
      <c r="EO88" s="1337"/>
      <c r="EP88" s="1337"/>
      <c r="EQ88" s="1337"/>
      <c r="ER88" s="1337"/>
      <c r="ES88" s="1337"/>
      <c r="ET88" s="1337"/>
      <c r="EU88" s="1337"/>
      <c r="EV88" s="1337"/>
      <c r="EW88" s="1337"/>
      <c r="EX88" s="1337"/>
      <c r="EY88" s="1337"/>
      <c r="EZ88" s="1337"/>
      <c r="FA88" s="1337"/>
      <c r="FB88" s="1337"/>
      <c r="FC88" s="1337"/>
      <c r="FD88" s="1337"/>
      <c r="FE88" s="1337"/>
      <c r="FF88" s="1337"/>
      <c r="FG88" s="1337"/>
      <c r="FH88" s="1337"/>
      <c r="FI88" s="1337"/>
      <c r="FJ88" s="1337"/>
      <c r="FK88" s="1337"/>
      <c r="FL88" s="1337"/>
      <c r="FM88" s="1337"/>
      <c r="FN88" s="1337"/>
      <c r="FO88" s="1337"/>
      <c r="FP88" s="1337"/>
      <c r="FQ88" s="1337"/>
      <c r="FR88" s="1337"/>
      <c r="FS88" s="1337"/>
      <c r="FT88" s="1337"/>
      <c r="FU88" s="1337"/>
      <c r="FV88" s="1337"/>
      <c r="FW88" s="1337"/>
      <c r="FX88" s="1337"/>
      <c r="FY88" s="1337"/>
      <c r="FZ88" s="1337"/>
      <c r="GA88" s="1337"/>
      <c r="GB88" s="1337"/>
      <c r="GC88" s="1337"/>
      <c r="GD88" s="1337"/>
      <c r="GE88" s="1337"/>
      <c r="GF88" s="1337"/>
      <c r="GG88" s="1337"/>
      <c r="GH88" s="1337"/>
      <c r="GI88" s="1337"/>
      <c r="GJ88" s="1337"/>
      <c r="GK88" s="1337"/>
      <c r="GL88" s="1337"/>
      <c r="GM88" s="1337"/>
      <c r="GN88" s="1337"/>
      <c r="GO88" s="1337"/>
      <c r="GP88" s="1337"/>
      <c r="GQ88" s="1337"/>
      <c r="GR88" s="1337"/>
      <c r="GS88" s="1337"/>
      <c r="GT88" s="1337"/>
      <c r="GU88" s="1337"/>
      <c r="GV88" s="1337"/>
      <c r="GW88" s="1337"/>
      <c r="GX88" s="1337"/>
      <c r="GY88" s="1337"/>
      <c r="GZ88" s="1337"/>
      <c r="HA88" s="1337"/>
      <c r="HB88" s="1337"/>
      <c r="HC88" s="1337"/>
      <c r="HD88" s="1337"/>
      <c r="HE88" s="1337"/>
      <c r="HF88" s="1337"/>
      <c r="HG88" s="1337"/>
      <c r="HH88" s="1337"/>
      <c r="HI88" s="1337"/>
      <c r="HJ88" s="1337"/>
      <c r="HK88" s="1337"/>
      <c r="HL88" s="1337"/>
      <c r="HM88" s="1337"/>
      <c r="HN88" s="1337"/>
      <c r="HO88" s="1337"/>
      <c r="HP88" s="1337"/>
      <c r="HQ88" s="1337"/>
      <c r="HR88" s="1337"/>
      <c r="HS88" s="1337"/>
      <c r="HT88" s="1337"/>
      <c r="HU88" s="1337"/>
      <c r="HV88" s="1337"/>
      <c r="HW88" s="1337"/>
      <c r="HX88" s="1337"/>
      <c r="HY88" s="1337"/>
      <c r="HZ88" s="1337"/>
      <c r="IA88" s="1337"/>
      <c r="IB88" s="1337"/>
      <c r="IC88" s="1337"/>
      <c r="ID88" s="1337"/>
      <c r="IE88" s="1337"/>
      <c r="IF88" s="1337"/>
      <c r="IG88" s="1337"/>
      <c r="IH88" s="1337"/>
      <c r="II88" s="1337"/>
      <c r="IJ88" s="1337"/>
      <c r="IK88" s="1337"/>
      <c r="IL88" s="1337"/>
      <c r="IM88" s="1337"/>
      <c r="IN88" s="1337"/>
      <c r="IO88" s="1337"/>
      <c r="IP88" s="1337"/>
      <c r="IQ88" s="1337"/>
      <c r="IR88" s="1337"/>
      <c r="IS88" s="1337"/>
      <c r="IT88" s="1337"/>
      <c r="IU88" s="1337"/>
      <c r="IV88" s="1337"/>
    </row>
    <row r="89" spans="1:256">
      <c r="A89" s="1380" t="s">
        <v>1134</v>
      </c>
      <c r="B89" s="1361">
        <v>814</v>
      </c>
      <c r="C89" s="1361">
        <v>971</v>
      </c>
      <c r="D89" s="1362">
        <v>1165</v>
      </c>
      <c r="E89" s="1362">
        <v>1189</v>
      </c>
      <c r="F89" s="1362">
        <v>1528</v>
      </c>
      <c r="G89" s="1362">
        <v>1114.9000000000001</v>
      </c>
      <c r="H89" s="1362">
        <v>1484.4</v>
      </c>
      <c r="I89" s="1362">
        <v>1714</v>
      </c>
      <c r="J89" s="1362">
        <v>1614.1</v>
      </c>
      <c r="K89" s="1362">
        <v>1084.9000000000001</v>
      </c>
      <c r="L89" s="1373">
        <v>1239.5999999999999</v>
      </c>
      <c r="M89" s="1373">
        <v>1555.4</v>
      </c>
      <c r="N89" s="1362">
        <v>1424.7</v>
      </c>
      <c r="O89" s="1337"/>
      <c r="P89" s="1337"/>
      <c r="Q89" s="1337"/>
      <c r="R89" s="1337"/>
      <c r="S89" s="1337"/>
      <c r="T89" s="1337"/>
      <c r="U89" s="1337"/>
      <c r="V89" s="1337"/>
      <c r="W89" s="1337"/>
      <c r="X89" s="1337"/>
      <c r="Y89" s="1337"/>
      <c r="Z89" s="1337"/>
      <c r="AA89" s="1337"/>
      <c r="AB89" s="1337"/>
      <c r="AC89" s="1337"/>
      <c r="AD89" s="1337"/>
      <c r="AE89" s="1337"/>
      <c r="AF89" s="1337"/>
      <c r="AG89" s="1337"/>
      <c r="AH89" s="1337"/>
      <c r="AI89" s="1337"/>
      <c r="AJ89" s="1337"/>
      <c r="AK89" s="1337"/>
      <c r="AL89" s="1337"/>
      <c r="AM89" s="1337"/>
      <c r="AN89" s="1337"/>
      <c r="AO89" s="1337"/>
      <c r="AP89" s="1337"/>
      <c r="AQ89" s="1337"/>
      <c r="AR89" s="1337"/>
      <c r="AS89" s="1337"/>
      <c r="AT89" s="1337"/>
      <c r="AU89" s="1337"/>
      <c r="AV89" s="1337"/>
      <c r="AW89" s="1337"/>
      <c r="AX89" s="1337"/>
      <c r="AY89" s="1337"/>
      <c r="AZ89" s="1337"/>
      <c r="BA89" s="1337"/>
      <c r="BB89" s="1337"/>
      <c r="BC89" s="1337"/>
      <c r="BD89" s="1337"/>
      <c r="BE89" s="1337"/>
      <c r="BF89" s="1337"/>
      <c r="BG89" s="1337"/>
      <c r="BH89" s="1337"/>
      <c r="BI89" s="1337"/>
      <c r="BJ89" s="1337"/>
      <c r="BK89" s="1337"/>
      <c r="BL89" s="1337"/>
      <c r="BM89" s="1337"/>
      <c r="BN89" s="1337"/>
      <c r="BO89" s="1337"/>
      <c r="BP89" s="1337"/>
      <c r="BQ89" s="1337"/>
      <c r="BR89" s="1337"/>
      <c r="BS89" s="1337"/>
      <c r="BT89" s="1337"/>
      <c r="BU89" s="1337"/>
      <c r="BV89" s="1337"/>
      <c r="BW89" s="1337"/>
      <c r="BX89" s="1337"/>
      <c r="BY89" s="1337"/>
      <c r="BZ89" s="1337"/>
      <c r="CA89" s="1337"/>
      <c r="CB89" s="1337"/>
      <c r="CC89" s="1337"/>
      <c r="CD89" s="1337"/>
      <c r="CE89" s="1337"/>
      <c r="CF89" s="1337"/>
      <c r="CG89" s="1337"/>
      <c r="CH89" s="1337"/>
      <c r="CI89" s="1337"/>
      <c r="CJ89" s="1337"/>
      <c r="CK89" s="1337"/>
      <c r="CL89" s="1337"/>
      <c r="CM89" s="1337"/>
      <c r="CN89" s="1337"/>
      <c r="CO89" s="1337"/>
      <c r="CP89" s="1337"/>
      <c r="CQ89" s="1337"/>
      <c r="CR89" s="1337"/>
      <c r="CS89" s="1337"/>
      <c r="CT89" s="1337"/>
      <c r="CU89" s="1337"/>
      <c r="CV89" s="1337"/>
      <c r="CW89" s="1337"/>
      <c r="CX89" s="1337"/>
      <c r="CY89" s="1337"/>
      <c r="CZ89" s="1337"/>
      <c r="DA89" s="1337"/>
      <c r="DB89" s="1337"/>
      <c r="DC89" s="1337"/>
      <c r="DD89" s="1337"/>
      <c r="DE89" s="1337"/>
      <c r="DF89" s="1337"/>
      <c r="DG89" s="1337"/>
      <c r="DH89" s="1337"/>
      <c r="DI89" s="1337"/>
      <c r="DJ89" s="1337"/>
      <c r="DK89" s="1337"/>
      <c r="DL89" s="1337"/>
      <c r="DM89" s="1337"/>
      <c r="DN89" s="1337"/>
      <c r="DO89" s="1337"/>
      <c r="DP89" s="1337"/>
      <c r="DQ89" s="1337"/>
      <c r="DR89" s="1337"/>
      <c r="DS89" s="1337"/>
      <c r="DT89" s="1337"/>
      <c r="DU89" s="1337"/>
      <c r="DV89" s="1337"/>
      <c r="DW89" s="1337"/>
      <c r="DX89" s="1337"/>
      <c r="DY89" s="1337"/>
      <c r="DZ89" s="1337"/>
      <c r="EA89" s="1337"/>
      <c r="EB89" s="1337"/>
      <c r="EC89" s="1337"/>
      <c r="ED89" s="1337"/>
      <c r="EE89" s="1337"/>
      <c r="EF89" s="1337"/>
      <c r="EG89" s="1337"/>
      <c r="EH89" s="1337"/>
      <c r="EI89" s="1337"/>
      <c r="EJ89" s="1337"/>
      <c r="EK89" s="1337"/>
      <c r="EL89" s="1337"/>
      <c r="EM89" s="1337"/>
      <c r="EN89" s="1337"/>
      <c r="EO89" s="1337"/>
      <c r="EP89" s="1337"/>
      <c r="EQ89" s="1337"/>
      <c r="ER89" s="1337"/>
      <c r="ES89" s="1337"/>
      <c r="ET89" s="1337"/>
      <c r="EU89" s="1337"/>
      <c r="EV89" s="1337"/>
      <c r="EW89" s="1337"/>
      <c r="EX89" s="1337"/>
      <c r="EY89" s="1337"/>
      <c r="EZ89" s="1337"/>
      <c r="FA89" s="1337"/>
      <c r="FB89" s="1337"/>
      <c r="FC89" s="1337"/>
      <c r="FD89" s="1337"/>
      <c r="FE89" s="1337"/>
      <c r="FF89" s="1337"/>
      <c r="FG89" s="1337"/>
      <c r="FH89" s="1337"/>
      <c r="FI89" s="1337"/>
      <c r="FJ89" s="1337"/>
      <c r="FK89" s="1337"/>
      <c r="FL89" s="1337"/>
      <c r="FM89" s="1337"/>
      <c r="FN89" s="1337"/>
      <c r="FO89" s="1337"/>
      <c r="FP89" s="1337"/>
      <c r="FQ89" s="1337"/>
      <c r="FR89" s="1337"/>
      <c r="FS89" s="1337"/>
      <c r="FT89" s="1337"/>
      <c r="FU89" s="1337"/>
      <c r="FV89" s="1337"/>
      <c r="FW89" s="1337"/>
      <c r="FX89" s="1337"/>
      <c r="FY89" s="1337"/>
      <c r="FZ89" s="1337"/>
      <c r="GA89" s="1337"/>
      <c r="GB89" s="1337"/>
      <c r="GC89" s="1337"/>
      <c r="GD89" s="1337"/>
      <c r="GE89" s="1337"/>
      <c r="GF89" s="1337"/>
      <c r="GG89" s="1337"/>
      <c r="GH89" s="1337"/>
      <c r="GI89" s="1337"/>
      <c r="GJ89" s="1337"/>
      <c r="GK89" s="1337"/>
      <c r="GL89" s="1337"/>
      <c r="GM89" s="1337"/>
      <c r="GN89" s="1337"/>
      <c r="GO89" s="1337"/>
      <c r="GP89" s="1337"/>
      <c r="GQ89" s="1337"/>
      <c r="GR89" s="1337"/>
      <c r="GS89" s="1337"/>
      <c r="GT89" s="1337"/>
      <c r="GU89" s="1337"/>
      <c r="GV89" s="1337"/>
      <c r="GW89" s="1337"/>
      <c r="GX89" s="1337"/>
      <c r="GY89" s="1337"/>
      <c r="GZ89" s="1337"/>
      <c r="HA89" s="1337"/>
      <c r="HB89" s="1337"/>
      <c r="HC89" s="1337"/>
      <c r="HD89" s="1337"/>
      <c r="HE89" s="1337"/>
      <c r="HF89" s="1337"/>
      <c r="HG89" s="1337"/>
      <c r="HH89" s="1337"/>
      <c r="HI89" s="1337"/>
      <c r="HJ89" s="1337"/>
      <c r="HK89" s="1337"/>
      <c r="HL89" s="1337"/>
      <c r="HM89" s="1337"/>
      <c r="HN89" s="1337"/>
      <c r="HO89" s="1337"/>
      <c r="HP89" s="1337"/>
      <c r="HQ89" s="1337"/>
      <c r="HR89" s="1337"/>
      <c r="HS89" s="1337"/>
      <c r="HT89" s="1337"/>
      <c r="HU89" s="1337"/>
      <c r="HV89" s="1337"/>
      <c r="HW89" s="1337"/>
      <c r="HX89" s="1337"/>
      <c r="HY89" s="1337"/>
      <c r="HZ89" s="1337"/>
      <c r="IA89" s="1337"/>
      <c r="IB89" s="1337"/>
      <c r="IC89" s="1337"/>
      <c r="ID89" s="1337"/>
      <c r="IE89" s="1337"/>
      <c r="IF89" s="1337"/>
      <c r="IG89" s="1337"/>
      <c r="IH89" s="1337"/>
      <c r="II89" s="1337"/>
      <c r="IJ89" s="1337"/>
      <c r="IK89" s="1337"/>
      <c r="IL89" s="1337"/>
      <c r="IM89" s="1337"/>
      <c r="IN89" s="1337"/>
      <c r="IO89" s="1337"/>
      <c r="IP89" s="1337"/>
      <c r="IQ89" s="1337"/>
      <c r="IR89" s="1337"/>
      <c r="IS89" s="1337"/>
      <c r="IT89" s="1337"/>
      <c r="IU89" s="1337"/>
      <c r="IV89" s="1337"/>
    </row>
    <row r="90" spans="1:256">
      <c r="A90" s="1425" t="s">
        <v>1135</v>
      </c>
      <c r="B90" s="1436">
        <v>38.299999999999997</v>
      </c>
      <c r="C90" s="1436">
        <v>46.6</v>
      </c>
      <c r="D90" s="1437">
        <v>67</v>
      </c>
      <c r="E90" s="1437">
        <v>66.7</v>
      </c>
      <c r="F90" s="1437">
        <v>93.7</v>
      </c>
      <c r="G90" s="1437">
        <v>52.3</v>
      </c>
      <c r="H90" s="1437">
        <v>79.5</v>
      </c>
      <c r="I90" s="1437">
        <v>93.1</v>
      </c>
      <c r="J90" s="1437">
        <v>82.7</v>
      </c>
      <c r="K90" s="1437">
        <v>73.099999999999994</v>
      </c>
      <c r="L90" s="1438">
        <v>92.4</v>
      </c>
      <c r="M90" s="1438">
        <v>46.9</v>
      </c>
      <c r="N90" s="1437">
        <v>55.8</v>
      </c>
      <c r="O90" s="1337"/>
      <c r="P90" s="1337"/>
      <c r="Q90" s="1337"/>
      <c r="R90" s="1337"/>
      <c r="S90" s="1337"/>
      <c r="T90" s="1337"/>
      <c r="U90" s="1337"/>
      <c r="V90" s="1337"/>
      <c r="W90" s="1337"/>
      <c r="X90" s="1337"/>
      <c r="Y90" s="1337"/>
      <c r="Z90" s="1337"/>
      <c r="AA90" s="1337"/>
      <c r="AB90" s="1337"/>
      <c r="AC90" s="1337"/>
      <c r="AD90" s="1337"/>
      <c r="AE90" s="1337"/>
      <c r="AF90" s="1337"/>
      <c r="AG90" s="1337"/>
      <c r="AH90" s="1337"/>
      <c r="AI90" s="1337"/>
      <c r="AJ90" s="1337"/>
      <c r="AK90" s="1337"/>
      <c r="AL90" s="1337"/>
      <c r="AM90" s="1337"/>
      <c r="AN90" s="1337"/>
      <c r="AO90" s="1337"/>
      <c r="AP90" s="1337"/>
      <c r="AQ90" s="1337"/>
      <c r="AR90" s="1337"/>
      <c r="AS90" s="1337"/>
      <c r="AT90" s="1337"/>
      <c r="AU90" s="1337"/>
      <c r="AV90" s="1337"/>
      <c r="AW90" s="1337"/>
      <c r="AX90" s="1337"/>
      <c r="AY90" s="1337"/>
      <c r="AZ90" s="1337"/>
      <c r="BA90" s="1337"/>
      <c r="BB90" s="1337"/>
      <c r="BC90" s="1337"/>
      <c r="BD90" s="1337"/>
      <c r="BE90" s="1337"/>
      <c r="BF90" s="1337"/>
      <c r="BG90" s="1337"/>
      <c r="BH90" s="1337"/>
      <c r="BI90" s="1337"/>
      <c r="BJ90" s="1337"/>
      <c r="BK90" s="1337"/>
      <c r="BL90" s="1337"/>
      <c r="BM90" s="1337"/>
      <c r="BN90" s="1337"/>
      <c r="BO90" s="1337"/>
      <c r="BP90" s="1337"/>
      <c r="BQ90" s="1337"/>
      <c r="BR90" s="1337"/>
      <c r="BS90" s="1337"/>
      <c r="BT90" s="1337"/>
      <c r="BU90" s="1337"/>
      <c r="BV90" s="1337"/>
      <c r="BW90" s="1337"/>
      <c r="BX90" s="1337"/>
      <c r="BY90" s="1337"/>
      <c r="BZ90" s="1337"/>
      <c r="CA90" s="1337"/>
      <c r="CB90" s="1337"/>
      <c r="CC90" s="1337"/>
      <c r="CD90" s="1337"/>
      <c r="CE90" s="1337"/>
      <c r="CF90" s="1337"/>
      <c r="CG90" s="1337"/>
      <c r="CH90" s="1337"/>
      <c r="CI90" s="1337"/>
      <c r="CJ90" s="1337"/>
      <c r="CK90" s="1337"/>
      <c r="CL90" s="1337"/>
      <c r="CM90" s="1337"/>
      <c r="CN90" s="1337"/>
      <c r="CO90" s="1337"/>
      <c r="CP90" s="1337"/>
      <c r="CQ90" s="1337"/>
      <c r="CR90" s="1337"/>
      <c r="CS90" s="1337"/>
      <c r="CT90" s="1337"/>
      <c r="CU90" s="1337"/>
      <c r="CV90" s="1337"/>
      <c r="CW90" s="1337"/>
      <c r="CX90" s="1337"/>
      <c r="CY90" s="1337"/>
      <c r="CZ90" s="1337"/>
      <c r="DA90" s="1337"/>
      <c r="DB90" s="1337"/>
      <c r="DC90" s="1337"/>
      <c r="DD90" s="1337"/>
      <c r="DE90" s="1337"/>
      <c r="DF90" s="1337"/>
      <c r="DG90" s="1337"/>
      <c r="DH90" s="1337"/>
      <c r="DI90" s="1337"/>
      <c r="DJ90" s="1337"/>
      <c r="DK90" s="1337"/>
      <c r="DL90" s="1337"/>
      <c r="DM90" s="1337"/>
      <c r="DN90" s="1337"/>
      <c r="DO90" s="1337"/>
      <c r="DP90" s="1337"/>
      <c r="DQ90" s="1337"/>
      <c r="DR90" s="1337"/>
      <c r="DS90" s="1337"/>
      <c r="DT90" s="1337"/>
      <c r="DU90" s="1337"/>
      <c r="DV90" s="1337"/>
      <c r="DW90" s="1337"/>
      <c r="DX90" s="1337"/>
      <c r="DY90" s="1337"/>
      <c r="DZ90" s="1337"/>
      <c r="EA90" s="1337"/>
      <c r="EB90" s="1337"/>
      <c r="EC90" s="1337"/>
      <c r="ED90" s="1337"/>
      <c r="EE90" s="1337"/>
      <c r="EF90" s="1337"/>
      <c r="EG90" s="1337"/>
      <c r="EH90" s="1337"/>
      <c r="EI90" s="1337"/>
      <c r="EJ90" s="1337"/>
      <c r="EK90" s="1337"/>
      <c r="EL90" s="1337"/>
      <c r="EM90" s="1337"/>
      <c r="EN90" s="1337"/>
      <c r="EO90" s="1337"/>
      <c r="EP90" s="1337"/>
      <c r="EQ90" s="1337"/>
      <c r="ER90" s="1337"/>
      <c r="ES90" s="1337"/>
      <c r="ET90" s="1337"/>
      <c r="EU90" s="1337"/>
      <c r="EV90" s="1337"/>
      <c r="EW90" s="1337"/>
      <c r="EX90" s="1337"/>
      <c r="EY90" s="1337"/>
      <c r="EZ90" s="1337"/>
      <c r="FA90" s="1337"/>
      <c r="FB90" s="1337"/>
      <c r="FC90" s="1337"/>
      <c r="FD90" s="1337"/>
      <c r="FE90" s="1337"/>
      <c r="FF90" s="1337"/>
      <c r="FG90" s="1337"/>
      <c r="FH90" s="1337"/>
      <c r="FI90" s="1337"/>
      <c r="FJ90" s="1337"/>
      <c r="FK90" s="1337"/>
      <c r="FL90" s="1337"/>
      <c r="FM90" s="1337"/>
      <c r="FN90" s="1337"/>
      <c r="FO90" s="1337"/>
      <c r="FP90" s="1337"/>
      <c r="FQ90" s="1337"/>
      <c r="FR90" s="1337"/>
      <c r="FS90" s="1337"/>
      <c r="FT90" s="1337"/>
      <c r="FU90" s="1337"/>
      <c r="FV90" s="1337"/>
      <c r="FW90" s="1337"/>
      <c r="FX90" s="1337"/>
      <c r="FY90" s="1337"/>
      <c r="FZ90" s="1337"/>
      <c r="GA90" s="1337"/>
      <c r="GB90" s="1337"/>
      <c r="GC90" s="1337"/>
      <c r="GD90" s="1337"/>
      <c r="GE90" s="1337"/>
      <c r="GF90" s="1337"/>
      <c r="GG90" s="1337"/>
      <c r="GH90" s="1337"/>
      <c r="GI90" s="1337"/>
      <c r="GJ90" s="1337"/>
      <c r="GK90" s="1337"/>
      <c r="GL90" s="1337"/>
      <c r="GM90" s="1337"/>
      <c r="GN90" s="1337"/>
      <c r="GO90" s="1337"/>
      <c r="GP90" s="1337"/>
      <c r="GQ90" s="1337"/>
      <c r="GR90" s="1337"/>
      <c r="GS90" s="1337"/>
      <c r="GT90" s="1337"/>
      <c r="GU90" s="1337"/>
      <c r="GV90" s="1337"/>
      <c r="GW90" s="1337"/>
      <c r="GX90" s="1337"/>
      <c r="GY90" s="1337"/>
      <c r="GZ90" s="1337"/>
      <c r="HA90" s="1337"/>
      <c r="HB90" s="1337"/>
      <c r="HC90" s="1337"/>
      <c r="HD90" s="1337"/>
      <c r="HE90" s="1337"/>
      <c r="HF90" s="1337"/>
      <c r="HG90" s="1337"/>
      <c r="HH90" s="1337"/>
      <c r="HI90" s="1337"/>
      <c r="HJ90" s="1337"/>
      <c r="HK90" s="1337"/>
      <c r="HL90" s="1337"/>
      <c r="HM90" s="1337"/>
      <c r="HN90" s="1337"/>
      <c r="HO90" s="1337"/>
      <c r="HP90" s="1337"/>
      <c r="HQ90" s="1337"/>
      <c r="HR90" s="1337"/>
      <c r="HS90" s="1337"/>
      <c r="HT90" s="1337"/>
      <c r="HU90" s="1337"/>
      <c r="HV90" s="1337"/>
      <c r="HW90" s="1337"/>
      <c r="HX90" s="1337"/>
      <c r="HY90" s="1337"/>
      <c r="HZ90" s="1337"/>
      <c r="IA90" s="1337"/>
      <c r="IB90" s="1337"/>
      <c r="IC90" s="1337"/>
      <c r="ID90" s="1337"/>
      <c r="IE90" s="1337"/>
      <c r="IF90" s="1337"/>
      <c r="IG90" s="1337"/>
      <c r="IH90" s="1337"/>
      <c r="II90" s="1337"/>
      <c r="IJ90" s="1337"/>
      <c r="IK90" s="1337"/>
      <c r="IL90" s="1337"/>
      <c r="IM90" s="1337"/>
      <c r="IN90" s="1337"/>
      <c r="IO90" s="1337"/>
      <c r="IP90" s="1337"/>
      <c r="IQ90" s="1337"/>
      <c r="IR90" s="1337"/>
      <c r="IS90" s="1337"/>
      <c r="IT90" s="1337"/>
      <c r="IU90" s="1337"/>
      <c r="IV90" s="1337"/>
    </row>
    <row r="91" spans="1:256" ht="13.5" customHeight="1" thickBot="1">
      <c r="A91" s="1416" t="s">
        <v>1136</v>
      </c>
      <c r="B91" s="1366">
        <v>446</v>
      </c>
      <c r="C91" s="1366">
        <v>542</v>
      </c>
      <c r="D91" s="1367">
        <v>779</v>
      </c>
      <c r="E91" s="1367">
        <v>776</v>
      </c>
      <c r="F91" s="1367">
        <v>1090</v>
      </c>
      <c r="G91" s="1367">
        <v>608.6</v>
      </c>
      <c r="H91" s="1367">
        <v>925.1</v>
      </c>
      <c r="I91" s="1367">
        <v>1083</v>
      </c>
      <c r="J91" s="1367">
        <v>961.5</v>
      </c>
      <c r="K91" s="1367">
        <v>850.5</v>
      </c>
      <c r="L91" s="1368">
        <v>1074.9000000000001</v>
      </c>
      <c r="M91" s="1368">
        <v>545.9</v>
      </c>
      <c r="N91" s="1367">
        <v>649.20000000000005</v>
      </c>
      <c r="O91" s="1337"/>
      <c r="P91" s="1337"/>
      <c r="Q91" s="1337"/>
      <c r="R91" s="1337"/>
      <c r="S91" s="1337"/>
      <c r="T91" s="1337"/>
      <c r="U91" s="1337"/>
      <c r="V91" s="1337"/>
      <c r="W91" s="1337"/>
      <c r="X91" s="1337"/>
      <c r="Y91" s="1337"/>
      <c r="Z91" s="1337"/>
      <c r="AA91" s="1337"/>
      <c r="AB91" s="1337"/>
      <c r="AC91" s="1337"/>
      <c r="AD91" s="1337"/>
      <c r="AE91" s="1337"/>
      <c r="AF91" s="1337"/>
      <c r="AG91" s="1337"/>
      <c r="AH91" s="1337"/>
      <c r="AI91" s="1337"/>
      <c r="AJ91" s="1337"/>
      <c r="AK91" s="1337"/>
      <c r="AL91" s="1337"/>
      <c r="AM91" s="1337"/>
      <c r="AN91" s="1337"/>
      <c r="AO91" s="1337"/>
      <c r="AP91" s="1337"/>
      <c r="AQ91" s="1337"/>
      <c r="AR91" s="1337"/>
      <c r="AS91" s="1337"/>
      <c r="AT91" s="1337"/>
      <c r="AU91" s="1337"/>
      <c r="AV91" s="1337"/>
      <c r="AW91" s="1337"/>
      <c r="AX91" s="1337"/>
      <c r="AY91" s="1337"/>
      <c r="AZ91" s="1337"/>
      <c r="BA91" s="1337"/>
      <c r="BB91" s="1337"/>
      <c r="BC91" s="1337"/>
      <c r="BD91" s="1337"/>
      <c r="BE91" s="1337"/>
      <c r="BF91" s="1337"/>
      <c r="BG91" s="1337"/>
      <c r="BH91" s="1337"/>
      <c r="BI91" s="1337"/>
      <c r="BJ91" s="1337"/>
      <c r="BK91" s="1337"/>
      <c r="BL91" s="1337"/>
      <c r="BM91" s="1337"/>
      <c r="BN91" s="1337"/>
      <c r="BO91" s="1337"/>
      <c r="BP91" s="1337"/>
      <c r="BQ91" s="1337"/>
      <c r="BR91" s="1337"/>
      <c r="BS91" s="1337"/>
      <c r="BT91" s="1337"/>
      <c r="BU91" s="1337"/>
      <c r="BV91" s="1337"/>
      <c r="BW91" s="1337"/>
      <c r="BX91" s="1337"/>
      <c r="BY91" s="1337"/>
      <c r="BZ91" s="1337"/>
      <c r="CA91" s="1337"/>
      <c r="CB91" s="1337"/>
      <c r="CC91" s="1337"/>
      <c r="CD91" s="1337"/>
      <c r="CE91" s="1337"/>
      <c r="CF91" s="1337"/>
      <c r="CG91" s="1337"/>
      <c r="CH91" s="1337"/>
      <c r="CI91" s="1337"/>
      <c r="CJ91" s="1337"/>
      <c r="CK91" s="1337"/>
      <c r="CL91" s="1337"/>
      <c r="CM91" s="1337"/>
      <c r="CN91" s="1337"/>
      <c r="CO91" s="1337"/>
      <c r="CP91" s="1337"/>
      <c r="CQ91" s="1337"/>
      <c r="CR91" s="1337"/>
      <c r="CS91" s="1337"/>
      <c r="CT91" s="1337"/>
      <c r="CU91" s="1337"/>
      <c r="CV91" s="1337"/>
      <c r="CW91" s="1337"/>
      <c r="CX91" s="1337"/>
      <c r="CY91" s="1337"/>
      <c r="CZ91" s="1337"/>
      <c r="DA91" s="1337"/>
      <c r="DB91" s="1337"/>
      <c r="DC91" s="1337"/>
      <c r="DD91" s="1337"/>
      <c r="DE91" s="1337"/>
      <c r="DF91" s="1337"/>
      <c r="DG91" s="1337"/>
      <c r="DH91" s="1337"/>
      <c r="DI91" s="1337"/>
      <c r="DJ91" s="1337"/>
      <c r="DK91" s="1337"/>
      <c r="DL91" s="1337"/>
      <c r="DM91" s="1337"/>
      <c r="DN91" s="1337"/>
      <c r="DO91" s="1337"/>
      <c r="DP91" s="1337"/>
      <c r="DQ91" s="1337"/>
      <c r="DR91" s="1337"/>
      <c r="DS91" s="1337"/>
      <c r="DT91" s="1337"/>
      <c r="DU91" s="1337"/>
      <c r="DV91" s="1337"/>
      <c r="DW91" s="1337"/>
      <c r="DX91" s="1337"/>
      <c r="DY91" s="1337"/>
      <c r="DZ91" s="1337"/>
      <c r="EA91" s="1337"/>
      <c r="EB91" s="1337"/>
      <c r="EC91" s="1337"/>
      <c r="ED91" s="1337"/>
      <c r="EE91" s="1337"/>
      <c r="EF91" s="1337"/>
      <c r="EG91" s="1337"/>
      <c r="EH91" s="1337"/>
      <c r="EI91" s="1337"/>
      <c r="EJ91" s="1337"/>
      <c r="EK91" s="1337"/>
      <c r="EL91" s="1337"/>
      <c r="EM91" s="1337"/>
      <c r="EN91" s="1337"/>
      <c r="EO91" s="1337"/>
      <c r="EP91" s="1337"/>
      <c r="EQ91" s="1337"/>
      <c r="ER91" s="1337"/>
      <c r="ES91" s="1337"/>
      <c r="ET91" s="1337"/>
      <c r="EU91" s="1337"/>
      <c r="EV91" s="1337"/>
      <c r="EW91" s="1337"/>
      <c r="EX91" s="1337"/>
      <c r="EY91" s="1337"/>
      <c r="EZ91" s="1337"/>
      <c r="FA91" s="1337"/>
      <c r="FB91" s="1337"/>
      <c r="FC91" s="1337"/>
      <c r="FD91" s="1337"/>
      <c r="FE91" s="1337"/>
      <c r="FF91" s="1337"/>
      <c r="FG91" s="1337"/>
      <c r="FH91" s="1337"/>
      <c r="FI91" s="1337"/>
      <c r="FJ91" s="1337"/>
      <c r="FK91" s="1337"/>
      <c r="FL91" s="1337"/>
      <c r="FM91" s="1337"/>
      <c r="FN91" s="1337"/>
      <c r="FO91" s="1337"/>
      <c r="FP91" s="1337"/>
      <c r="FQ91" s="1337"/>
      <c r="FR91" s="1337"/>
      <c r="FS91" s="1337"/>
      <c r="FT91" s="1337"/>
      <c r="FU91" s="1337"/>
      <c r="FV91" s="1337"/>
      <c r="FW91" s="1337"/>
      <c r="FX91" s="1337"/>
      <c r="FY91" s="1337"/>
      <c r="FZ91" s="1337"/>
      <c r="GA91" s="1337"/>
      <c r="GB91" s="1337"/>
      <c r="GC91" s="1337"/>
      <c r="GD91" s="1337"/>
      <c r="GE91" s="1337"/>
      <c r="GF91" s="1337"/>
      <c r="GG91" s="1337"/>
      <c r="GH91" s="1337"/>
      <c r="GI91" s="1337"/>
      <c r="GJ91" s="1337"/>
      <c r="GK91" s="1337"/>
      <c r="GL91" s="1337"/>
      <c r="GM91" s="1337"/>
      <c r="GN91" s="1337"/>
      <c r="GO91" s="1337"/>
      <c r="GP91" s="1337"/>
      <c r="GQ91" s="1337"/>
      <c r="GR91" s="1337"/>
      <c r="GS91" s="1337"/>
      <c r="GT91" s="1337"/>
      <c r="GU91" s="1337"/>
      <c r="GV91" s="1337"/>
      <c r="GW91" s="1337"/>
      <c r="GX91" s="1337"/>
      <c r="GY91" s="1337"/>
      <c r="GZ91" s="1337"/>
      <c r="HA91" s="1337"/>
      <c r="HB91" s="1337"/>
      <c r="HC91" s="1337"/>
      <c r="HD91" s="1337"/>
      <c r="HE91" s="1337"/>
      <c r="HF91" s="1337"/>
      <c r="HG91" s="1337"/>
      <c r="HH91" s="1337"/>
      <c r="HI91" s="1337"/>
      <c r="HJ91" s="1337"/>
      <c r="HK91" s="1337"/>
      <c r="HL91" s="1337"/>
      <c r="HM91" s="1337"/>
      <c r="HN91" s="1337"/>
      <c r="HO91" s="1337"/>
      <c r="HP91" s="1337"/>
      <c r="HQ91" s="1337"/>
      <c r="HR91" s="1337"/>
      <c r="HS91" s="1337"/>
      <c r="HT91" s="1337"/>
      <c r="HU91" s="1337"/>
      <c r="HV91" s="1337"/>
      <c r="HW91" s="1337"/>
      <c r="HX91" s="1337"/>
      <c r="HY91" s="1337"/>
      <c r="HZ91" s="1337"/>
      <c r="IA91" s="1337"/>
      <c r="IB91" s="1337"/>
      <c r="IC91" s="1337"/>
      <c r="ID91" s="1337"/>
      <c r="IE91" s="1337"/>
      <c r="IF91" s="1337"/>
      <c r="IG91" s="1337"/>
      <c r="IH91" s="1337"/>
      <c r="II91" s="1337"/>
      <c r="IJ91" s="1337"/>
      <c r="IK91" s="1337"/>
      <c r="IL91" s="1337"/>
      <c r="IM91" s="1337"/>
      <c r="IN91" s="1337"/>
      <c r="IO91" s="1337"/>
      <c r="IP91" s="1337"/>
      <c r="IQ91" s="1337"/>
      <c r="IR91" s="1337"/>
      <c r="IS91" s="1337"/>
      <c r="IT91" s="1337"/>
      <c r="IU91" s="1337"/>
      <c r="IV91" s="1337"/>
    </row>
    <row r="92" spans="1:256" s="1345" customFormat="1" ht="12" customHeight="1" thickTop="1">
      <c r="A92" s="1439" t="s">
        <v>148</v>
      </c>
      <c r="B92" s="1410"/>
      <c r="C92" s="1410"/>
      <c r="D92" s="1429"/>
      <c r="E92" s="1429"/>
      <c r="F92" s="1440"/>
      <c r="G92" s="1440"/>
      <c r="H92" s="1440"/>
      <c r="I92" s="1440"/>
      <c r="J92" s="1440"/>
      <c r="K92" s="1440"/>
      <c r="L92" s="1440"/>
      <c r="M92" s="1440"/>
      <c r="N92" s="1440"/>
      <c r="O92" s="1344"/>
      <c r="P92" s="1344"/>
      <c r="Q92" s="1344"/>
      <c r="R92" s="1344"/>
      <c r="S92" s="1344"/>
      <c r="T92" s="1344"/>
      <c r="U92" s="1344"/>
      <c r="V92" s="1344"/>
      <c r="W92" s="1344"/>
      <c r="X92" s="1344"/>
      <c r="Y92" s="1344"/>
      <c r="Z92" s="1344"/>
      <c r="AA92" s="1344"/>
      <c r="AB92" s="1344"/>
      <c r="AC92" s="1344"/>
      <c r="AD92" s="1344"/>
      <c r="AE92" s="1344"/>
      <c r="AF92" s="1344"/>
      <c r="AG92" s="1344"/>
      <c r="AH92" s="1344"/>
      <c r="AI92" s="1344"/>
      <c r="AJ92" s="1344"/>
      <c r="AK92" s="1344"/>
      <c r="AL92" s="1344"/>
      <c r="AM92" s="1344"/>
      <c r="AN92" s="1344"/>
      <c r="AO92" s="1344"/>
      <c r="AP92" s="1344"/>
      <c r="AQ92" s="1344"/>
      <c r="AR92" s="1344"/>
      <c r="AS92" s="1344"/>
      <c r="AT92" s="1344"/>
      <c r="AU92" s="1344"/>
      <c r="AV92" s="1344"/>
      <c r="AW92" s="1344"/>
      <c r="AX92" s="1344"/>
      <c r="AY92" s="1344"/>
      <c r="AZ92" s="1344"/>
      <c r="BA92" s="1344"/>
      <c r="BB92" s="1344"/>
      <c r="BC92" s="1344"/>
      <c r="BD92" s="1344"/>
      <c r="BE92" s="1344"/>
      <c r="BF92" s="1344"/>
      <c r="BG92" s="1344"/>
      <c r="BH92" s="1344"/>
      <c r="BI92" s="1344"/>
      <c r="BJ92" s="1344"/>
      <c r="BK92" s="1344"/>
      <c r="BL92" s="1344"/>
      <c r="BM92" s="1344"/>
      <c r="BN92" s="1344"/>
      <c r="BO92" s="1344"/>
      <c r="BP92" s="1344"/>
      <c r="BQ92" s="1344"/>
      <c r="BR92" s="1344"/>
      <c r="BS92" s="1344"/>
      <c r="BT92" s="1344"/>
      <c r="BU92" s="1344"/>
      <c r="BV92" s="1344"/>
      <c r="BW92" s="1344"/>
      <c r="BX92" s="1344"/>
      <c r="BY92" s="1344"/>
      <c r="BZ92" s="1344"/>
      <c r="CA92" s="1344"/>
      <c r="CB92" s="1344"/>
      <c r="CC92" s="1344"/>
      <c r="CD92" s="1344"/>
      <c r="CE92" s="1344"/>
      <c r="CF92" s="1344"/>
      <c r="CG92" s="1344"/>
      <c r="CH92" s="1344"/>
      <c r="CI92" s="1344"/>
      <c r="CJ92" s="1344"/>
      <c r="CK92" s="1344"/>
      <c r="CL92" s="1344"/>
      <c r="CM92" s="1344"/>
      <c r="CN92" s="1344"/>
      <c r="CO92" s="1344"/>
      <c r="CP92" s="1344"/>
      <c r="CQ92" s="1344"/>
      <c r="CR92" s="1344"/>
      <c r="CS92" s="1344"/>
      <c r="CT92" s="1344"/>
      <c r="CU92" s="1344"/>
      <c r="CV92" s="1344"/>
      <c r="CW92" s="1344"/>
      <c r="CX92" s="1344"/>
      <c r="CY92" s="1344"/>
      <c r="CZ92" s="1344"/>
      <c r="DA92" s="1344"/>
      <c r="DB92" s="1344"/>
      <c r="DC92" s="1344"/>
      <c r="DD92" s="1344"/>
      <c r="DE92" s="1344"/>
      <c r="DF92" s="1344"/>
      <c r="DG92" s="1344"/>
      <c r="DH92" s="1344"/>
      <c r="DI92" s="1344"/>
      <c r="DJ92" s="1344"/>
      <c r="DK92" s="1344"/>
      <c r="DL92" s="1344"/>
      <c r="DM92" s="1344"/>
      <c r="DN92" s="1344"/>
      <c r="DO92" s="1344"/>
      <c r="DP92" s="1344"/>
      <c r="DQ92" s="1344"/>
      <c r="DR92" s="1344"/>
      <c r="DS92" s="1344"/>
      <c r="DT92" s="1344"/>
      <c r="DU92" s="1344"/>
      <c r="DV92" s="1344"/>
      <c r="DW92" s="1344"/>
      <c r="DX92" s="1344"/>
      <c r="DY92" s="1344"/>
      <c r="DZ92" s="1344"/>
      <c r="EA92" s="1344"/>
      <c r="EB92" s="1344"/>
      <c r="EC92" s="1344"/>
      <c r="ED92" s="1344"/>
      <c r="EE92" s="1344"/>
      <c r="EF92" s="1344"/>
      <c r="EG92" s="1344"/>
      <c r="EH92" s="1344"/>
      <c r="EI92" s="1344"/>
      <c r="EJ92" s="1344"/>
      <c r="EK92" s="1344"/>
      <c r="EL92" s="1344"/>
      <c r="EM92" s="1344"/>
      <c r="EN92" s="1344"/>
      <c r="EO92" s="1344"/>
      <c r="EP92" s="1344"/>
      <c r="EQ92" s="1344"/>
      <c r="ER92" s="1344"/>
      <c r="ES92" s="1344"/>
      <c r="ET92" s="1344"/>
      <c r="EU92" s="1344"/>
      <c r="EV92" s="1344"/>
      <c r="EW92" s="1344"/>
      <c r="EX92" s="1344"/>
      <c r="EY92" s="1344"/>
      <c r="EZ92" s="1344"/>
      <c r="FA92" s="1344"/>
      <c r="FB92" s="1344"/>
      <c r="FC92" s="1344"/>
      <c r="FD92" s="1344"/>
      <c r="FE92" s="1344"/>
      <c r="FF92" s="1344"/>
      <c r="FG92" s="1344"/>
      <c r="FH92" s="1344"/>
      <c r="FI92" s="1344"/>
      <c r="FJ92" s="1344"/>
      <c r="FK92" s="1344"/>
      <c r="FL92" s="1344"/>
      <c r="FM92" s="1344"/>
      <c r="FN92" s="1344"/>
      <c r="FO92" s="1344"/>
      <c r="FP92" s="1344"/>
      <c r="FQ92" s="1344"/>
      <c r="FR92" s="1344"/>
      <c r="FS92" s="1344"/>
      <c r="FT92" s="1344"/>
      <c r="FU92" s="1344"/>
      <c r="FV92" s="1344"/>
      <c r="FW92" s="1344"/>
      <c r="FX92" s="1344"/>
      <c r="FY92" s="1344"/>
      <c r="FZ92" s="1344"/>
      <c r="GA92" s="1344"/>
      <c r="GB92" s="1344"/>
      <c r="GC92" s="1344"/>
      <c r="GD92" s="1344"/>
      <c r="GE92" s="1344"/>
      <c r="GF92" s="1344"/>
      <c r="GG92" s="1344"/>
      <c r="GH92" s="1344"/>
      <c r="GI92" s="1344"/>
      <c r="GJ92" s="1344"/>
      <c r="GK92" s="1344"/>
      <c r="GL92" s="1344"/>
      <c r="GM92" s="1344"/>
      <c r="GN92" s="1344"/>
      <c r="GO92" s="1344"/>
      <c r="GP92" s="1344"/>
      <c r="GQ92" s="1344"/>
      <c r="GR92" s="1344"/>
      <c r="GS92" s="1344"/>
      <c r="GT92" s="1344"/>
      <c r="GU92" s="1344"/>
      <c r="GV92" s="1344"/>
      <c r="GW92" s="1344"/>
      <c r="GX92" s="1344"/>
      <c r="GY92" s="1344"/>
      <c r="GZ92" s="1344"/>
      <c r="HA92" s="1344"/>
      <c r="HB92" s="1344"/>
      <c r="HC92" s="1344"/>
      <c r="HD92" s="1344"/>
      <c r="HE92" s="1344"/>
      <c r="HF92" s="1344"/>
      <c r="HG92" s="1344"/>
      <c r="HH92" s="1344"/>
      <c r="HI92" s="1344"/>
      <c r="HJ92" s="1344"/>
      <c r="HK92" s="1344"/>
      <c r="HL92" s="1344"/>
      <c r="HM92" s="1344"/>
      <c r="HN92" s="1344"/>
      <c r="HO92" s="1344"/>
      <c r="HP92" s="1344"/>
      <c r="HQ92" s="1344"/>
      <c r="HR92" s="1344"/>
      <c r="HS92" s="1344"/>
      <c r="HT92" s="1344"/>
      <c r="HU92" s="1344"/>
      <c r="HV92" s="1344"/>
      <c r="HW92" s="1344"/>
      <c r="HX92" s="1344"/>
      <c r="HY92" s="1344"/>
      <c r="HZ92" s="1344"/>
      <c r="IA92" s="1344"/>
      <c r="IB92" s="1344"/>
      <c r="IC92" s="1344"/>
      <c r="ID92" s="1344"/>
      <c r="IE92" s="1344"/>
      <c r="IF92" s="1344"/>
      <c r="IG92" s="1344"/>
      <c r="IH92" s="1344"/>
      <c r="II92" s="1344"/>
      <c r="IJ92" s="1344"/>
      <c r="IK92" s="1344"/>
      <c r="IL92" s="1344"/>
      <c r="IM92" s="1344"/>
      <c r="IN92" s="1344"/>
      <c r="IO92" s="1344"/>
      <c r="IP92" s="1344"/>
      <c r="IQ92" s="1344"/>
      <c r="IR92" s="1344"/>
      <c r="IS92" s="1344"/>
      <c r="IT92" s="1344"/>
      <c r="IU92" s="1344"/>
      <c r="IV92" s="1344"/>
    </row>
    <row r="93" spans="1:256" ht="10.5" customHeight="1">
      <c r="A93" s="1323" t="s">
        <v>510</v>
      </c>
      <c r="B93" s="1410">
        <v>1226.3</v>
      </c>
      <c r="C93" s="1410">
        <v>1192.5</v>
      </c>
      <c r="D93" s="1411">
        <v>1185</v>
      </c>
      <c r="E93" s="1411">
        <v>971.9</v>
      </c>
      <c r="F93" s="1411">
        <v>877</v>
      </c>
      <c r="G93" s="1411">
        <v>1008.4</v>
      </c>
      <c r="H93" s="1411">
        <v>968.6</v>
      </c>
      <c r="I93" s="1411">
        <v>976.9</v>
      </c>
      <c r="J93" s="1411">
        <v>913.5</v>
      </c>
      <c r="K93" s="1411">
        <v>911.3</v>
      </c>
      <c r="L93" s="1413">
        <v>939.9</v>
      </c>
      <c r="M93" s="1413">
        <v>923.1</v>
      </c>
      <c r="N93" s="1411">
        <v>943.5</v>
      </c>
      <c r="O93" s="1337"/>
      <c r="P93" s="1337"/>
      <c r="Q93" s="1337"/>
      <c r="R93" s="1337"/>
      <c r="S93" s="1337"/>
      <c r="T93" s="1337"/>
      <c r="U93" s="1337"/>
      <c r="V93" s="1337"/>
      <c r="W93" s="1337"/>
      <c r="X93" s="1337"/>
      <c r="Y93" s="1337"/>
      <c r="Z93" s="1337"/>
      <c r="AA93" s="1337"/>
      <c r="AB93" s="1337"/>
      <c r="AC93" s="1337"/>
      <c r="AD93" s="1337"/>
      <c r="AE93" s="1337"/>
      <c r="AF93" s="1337"/>
      <c r="AG93" s="1337"/>
      <c r="AH93" s="1337"/>
      <c r="AI93" s="1337"/>
      <c r="AJ93" s="1337"/>
      <c r="AK93" s="1337"/>
      <c r="AL93" s="1337"/>
      <c r="AM93" s="1337"/>
      <c r="AN93" s="1337"/>
      <c r="AO93" s="1337"/>
      <c r="AP93" s="1337"/>
      <c r="AQ93" s="1337"/>
      <c r="AR93" s="1337"/>
      <c r="AS93" s="1337"/>
      <c r="AT93" s="1337"/>
      <c r="AU93" s="1337"/>
      <c r="AV93" s="1337"/>
      <c r="AW93" s="1337"/>
      <c r="AX93" s="1337"/>
      <c r="AY93" s="1337"/>
      <c r="AZ93" s="1337"/>
      <c r="BA93" s="1337"/>
      <c r="BB93" s="1337"/>
      <c r="BC93" s="1337"/>
      <c r="BD93" s="1337"/>
      <c r="BE93" s="1337"/>
      <c r="BF93" s="1337"/>
      <c r="BG93" s="1337"/>
      <c r="BH93" s="1337"/>
      <c r="BI93" s="1337"/>
      <c r="BJ93" s="1337"/>
      <c r="BK93" s="1337"/>
      <c r="BL93" s="1337"/>
      <c r="BM93" s="1337"/>
      <c r="BN93" s="1337"/>
      <c r="BO93" s="1337"/>
      <c r="BP93" s="1337"/>
      <c r="BQ93" s="1337"/>
      <c r="BR93" s="1337"/>
      <c r="BS93" s="1337"/>
      <c r="BT93" s="1337"/>
      <c r="BU93" s="1337"/>
      <c r="BV93" s="1337"/>
      <c r="BW93" s="1337"/>
      <c r="BX93" s="1337"/>
      <c r="BY93" s="1337"/>
      <c r="BZ93" s="1337"/>
      <c r="CA93" s="1337"/>
      <c r="CB93" s="1337"/>
      <c r="CC93" s="1337"/>
      <c r="CD93" s="1337"/>
      <c r="CE93" s="1337"/>
      <c r="CF93" s="1337"/>
      <c r="CG93" s="1337"/>
      <c r="CH93" s="1337"/>
      <c r="CI93" s="1337"/>
      <c r="CJ93" s="1337"/>
      <c r="CK93" s="1337"/>
      <c r="CL93" s="1337"/>
      <c r="CM93" s="1337"/>
      <c r="CN93" s="1337"/>
      <c r="CO93" s="1337"/>
      <c r="CP93" s="1337"/>
      <c r="CQ93" s="1337"/>
      <c r="CR93" s="1337"/>
      <c r="CS93" s="1337"/>
      <c r="CT93" s="1337"/>
      <c r="CU93" s="1337"/>
      <c r="CV93" s="1337"/>
      <c r="CW93" s="1337"/>
      <c r="CX93" s="1337"/>
      <c r="CY93" s="1337"/>
      <c r="CZ93" s="1337"/>
      <c r="DA93" s="1337"/>
      <c r="DB93" s="1337"/>
      <c r="DC93" s="1337"/>
      <c r="DD93" s="1337"/>
      <c r="DE93" s="1337"/>
      <c r="DF93" s="1337"/>
      <c r="DG93" s="1337"/>
      <c r="DH93" s="1337"/>
      <c r="DI93" s="1337"/>
      <c r="DJ93" s="1337"/>
      <c r="DK93" s="1337"/>
      <c r="DL93" s="1337"/>
      <c r="DM93" s="1337"/>
      <c r="DN93" s="1337"/>
      <c r="DO93" s="1337"/>
      <c r="DP93" s="1337"/>
      <c r="DQ93" s="1337"/>
      <c r="DR93" s="1337"/>
      <c r="DS93" s="1337"/>
      <c r="DT93" s="1337"/>
      <c r="DU93" s="1337"/>
      <c r="DV93" s="1337"/>
      <c r="DW93" s="1337"/>
      <c r="DX93" s="1337"/>
      <c r="DY93" s="1337"/>
      <c r="DZ93" s="1337"/>
      <c r="EA93" s="1337"/>
      <c r="EB93" s="1337"/>
      <c r="EC93" s="1337"/>
      <c r="ED93" s="1337"/>
      <c r="EE93" s="1337"/>
      <c r="EF93" s="1337"/>
      <c r="EG93" s="1337"/>
      <c r="EH93" s="1337"/>
      <c r="EI93" s="1337"/>
      <c r="EJ93" s="1337"/>
      <c r="EK93" s="1337"/>
      <c r="EL93" s="1337"/>
      <c r="EM93" s="1337"/>
      <c r="EN93" s="1337"/>
      <c r="EO93" s="1337"/>
      <c r="EP93" s="1337"/>
      <c r="EQ93" s="1337"/>
      <c r="ER93" s="1337"/>
      <c r="ES93" s="1337"/>
      <c r="ET93" s="1337"/>
      <c r="EU93" s="1337"/>
      <c r="EV93" s="1337"/>
      <c r="EW93" s="1337"/>
      <c r="EX93" s="1337"/>
      <c r="EY93" s="1337"/>
      <c r="EZ93" s="1337"/>
      <c r="FA93" s="1337"/>
      <c r="FB93" s="1337"/>
      <c r="FC93" s="1337"/>
      <c r="FD93" s="1337"/>
      <c r="FE93" s="1337"/>
      <c r="FF93" s="1337"/>
      <c r="FG93" s="1337"/>
      <c r="FH93" s="1337"/>
      <c r="FI93" s="1337"/>
      <c r="FJ93" s="1337"/>
      <c r="FK93" s="1337"/>
      <c r="FL93" s="1337"/>
      <c r="FM93" s="1337"/>
      <c r="FN93" s="1337"/>
      <c r="FO93" s="1337"/>
      <c r="FP93" s="1337"/>
      <c r="FQ93" s="1337"/>
      <c r="FR93" s="1337"/>
      <c r="FS93" s="1337"/>
      <c r="FT93" s="1337"/>
      <c r="FU93" s="1337"/>
      <c r="FV93" s="1337"/>
      <c r="FW93" s="1337"/>
      <c r="FX93" s="1337"/>
      <c r="FY93" s="1337"/>
      <c r="FZ93" s="1337"/>
      <c r="GA93" s="1337"/>
      <c r="GB93" s="1337"/>
      <c r="GC93" s="1337"/>
      <c r="GD93" s="1337"/>
      <c r="GE93" s="1337"/>
      <c r="GF93" s="1337"/>
      <c r="GG93" s="1337"/>
      <c r="GH93" s="1337"/>
      <c r="GI93" s="1337"/>
      <c r="GJ93" s="1337"/>
      <c r="GK93" s="1337"/>
      <c r="GL93" s="1337"/>
      <c r="GM93" s="1337"/>
      <c r="GN93" s="1337"/>
      <c r="GO93" s="1337"/>
      <c r="GP93" s="1337"/>
      <c r="GQ93" s="1337"/>
      <c r="GR93" s="1337"/>
      <c r="GS93" s="1337"/>
      <c r="GT93" s="1337"/>
      <c r="GU93" s="1337"/>
      <c r="GV93" s="1337"/>
      <c r="GW93" s="1337"/>
      <c r="GX93" s="1337"/>
      <c r="GY93" s="1337"/>
      <c r="GZ93" s="1337"/>
      <c r="HA93" s="1337"/>
      <c r="HB93" s="1337"/>
      <c r="HC93" s="1337"/>
      <c r="HD93" s="1337"/>
      <c r="HE93" s="1337"/>
      <c r="HF93" s="1337"/>
      <c r="HG93" s="1337"/>
      <c r="HH93" s="1337"/>
      <c r="HI93" s="1337"/>
      <c r="HJ93" s="1337"/>
      <c r="HK93" s="1337"/>
      <c r="HL93" s="1337"/>
      <c r="HM93" s="1337"/>
      <c r="HN93" s="1337"/>
      <c r="HO93" s="1337"/>
      <c r="HP93" s="1337"/>
      <c r="HQ93" s="1337"/>
      <c r="HR93" s="1337"/>
      <c r="HS93" s="1337"/>
      <c r="HT93" s="1337"/>
      <c r="HU93" s="1337"/>
      <c r="HV93" s="1337"/>
      <c r="HW93" s="1337"/>
      <c r="HX93" s="1337"/>
      <c r="HY93" s="1337"/>
      <c r="HZ93" s="1337"/>
      <c r="IA93" s="1337"/>
      <c r="IB93" s="1337"/>
      <c r="IC93" s="1337"/>
      <c r="ID93" s="1337"/>
      <c r="IE93" s="1337"/>
      <c r="IF93" s="1337"/>
      <c r="IG93" s="1337"/>
      <c r="IH93" s="1337"/>
      <c r="II93" s="1337"/>
      <c r="IJ93" s="1337"/>
      <c r="IK93" s="1337"/>
      <c r="IL93" s="1337"/>
      <c r="IM93" s="1337"/>
      <c r="IN93" s="1337"/>
      <c r="IO93" s="1337"/>
      <c r="IP93" s="1337"/>
      <c r="IQ93" s="1337"/>
      <c r="IR93" s="1337"/>
      <c r="IS93" s="1337"/>
      <c r="IT93" s="1337"/>
      <c r="IU93" s="1337"/>
      <c r="IV93" s="1337"/>
    </row>
    <row r="94" spans="1:256" ht="10.5" customHeight="1">
      <c r="A94" s="1323" t="s">
        <v>1098</v>
      </c>
      <c r="B94" s="1410">
        <v>731.9</v>
      </c>
      <c r="C94" s="1410">
        <v>731.9</v>
      </c>
      <c r="D94" s="1411">
        <v>731.9</v>
      </c>
      <c r="E94" s="1411">
        <v>728.7</v>
      </c>
      <c r="F94" s="1411">
        <v>728.2</v>
      </c>
      <c r="G94" s="1411">
        <v>481</v>
      </c>
      <c r="H94" s="1411">
        <v>466.2</v>
      </c>
      <c r="I94" s="1411">
        <v>774.1</v>
      </c>
      <c r="J94" s="1411">
        <v>790.3</v>
      </c>
      <c r="K94" s="1411">
        <v>800.6</v>
      </c>
      <c r="L94" s="1412">
        <v>779.9</v>
      </c>
      <c r="M94" s="1413">
        <v>767.2</v>
      </c>
      <c r="N94" s="1411">
        <v>663.9</v>
      </c>
      <c r="O94" s="1337"/>
      <c r="P94" s="1337"/>
      <c r="Q94" s="1337"/>
      <c r="R94" s="1337"/>
      <c r="S94" s="1337"/>
      <c r="T94" s="1337"/>
      <c r="U94" s="1337"/>
      <c r="V94" s="1337"/>
      <c r="W94" s="1337"/>
      <c r="X94" s="1337"/>
      <c r="Y94" s="1337"/>
      <c r="Z94" s="1337"/>
      <c r="AA94" s="1337"/>
      <c r="AB94" s="1337"/>
      <c r="AC94" s="1337"/>
      <c r="AD94" s="1337"/>
      <c r="AE94" s="1337"/>
      <c r="AF94" s="1337"/>
      <c r="AG94" s="1337"/>
      <c r="AH94" s="1337"/>
      <c r="AI94" s="1337"/>
      <c r="AJ94" s="1337"/>
      <c r="AK94" s="1337"/>
      <c r="AL94" s="1337"/>
      <c r="AM94" s="1337"/>
      <c r="AN94" s="1337"/>
      <c r="AO94" s="1337"/>
      <c r="AP94" s="1337"/>
      <c r="AQ94" s="1337"/>
      <c r="AR94" s="1337"/>
      <c r="AS94" s="1337"/>
      <c r="AT94" s="1337"/>
      <c r="AU94" s="1337"/>
      <c r="AV94" s="1337"/>
      <c r="AW94" s="1337"/>
      <c r="AX94" s="1337"/>
      <c r="AY94" s="1337"/>
      <c r="AZ94" s="1337"/>
      <c r="BA94" s="1337"/>
      <c r="BB94" s="1337"/>
      <c r="BC94" s="1337"/>
      <c r="BD94" s="1337"/>
      <c r="BE94" s="1337"/>
      <c r="BF94" s="1337"/>
      <c r="BG94" s="1337"/>
      <c r="BH94" s="1337"/>
      <c r="BI94" s="1337"/>
      <c r="BJ94" s="1337"/>
      <c r="BK94" s="1337"/>
      <c r="BL94" s="1337"/>
      <c r="BM94" s="1337"/>
      <c r="BN94" s="1337"/>
      <c r="BO94" s="1337"/>
      <c r="BP94" s="1337"/>
      <c r="BQ94" s="1337"/>
      <c r="BR94" s="1337"/>
      <c r="BS94" s="1337"/>
      <c r="BT94" s="1337"/>
      <c r="BU94" s="1337"/>
      <c r="BV94" s="1337"/>
      <c r="BW94" s="1337"/>
      <c r="BX94" s="1337"/>
      <c r="BY94" s="1337"/>
      <c r="BZ94" s="1337"/>
      <c r="CA94" s="1337"/>
      <c r="CB94" s="1337"/>
      <c r="CC94" s="1337"/>
      <c r="CD94" s="1337"/>
      <c r="CE94" s="1337"/>
      <c r="CF94" s="1337"/>
      <c r="CG94" s="1337"/>
      <c r="CH94" s="1337"/>
      <c r="CI94" s="1337"/>
      <c r="CJ94" s="1337"/>
      <c r="CK94" s="1337"/>
      <c r="CL94" s="1337"/>
      <c r="CM94" s="1337"/>
      <c r="CN94" s="1337"/>
      <c r="CO94" s="1337"/>
      <c r="CP94" s="1337"/>
      <c r="CQ94" s="1337"/>
      <c r="CR94" s="1337"/>
      <c r="CS94" s="1337"/>
      <c r="CT94" s="1337"/>
      <c r="CU94" s="1337"/>
      <c r="CV94" s="1337"/>
      <c r="CW94" s="1337"/>
      <c r="CX94" s="1337"/>
      <c r="CY94" s="1337"/>
      <c r="CZ94" s="1337"/>
      <c r="DA94" s="1337"/>
      <c r="DB94" s="1337"/>
      <c r="DC94" s="1337"/>
      <c r="DD94" s="1337"/>
      <c r="DE94" s="1337"/>
      <c r="DF94" s="1337"/>
      <c r="DG94" s="1337"/>
      <c r="DH94" s="1337"/>
      <c r="DI94" s="1337"/>
      <c r="DJ94" s="1337"/>
      <c r="DK94" s="1337"/>
      <c r="DL94" s="1337"/>
      <c r="DM94" s="1337"/>
      <c r="DN94" s="1337"/>
      <c r="DO94" s="1337"/>
      <c r="DP94" s="1337"/>
      <c r="DQ94" s="1337"/>
      <c r="DR94" s="1337"/>
      <c r="DS94" s="1337"/>
      <c r="DT94" s="1337"/>
      <c r="DU94" s="1337"/>
      <c r="DV94" s="1337"/>
      <c r="DW94" s="1337"/>
      <c r="DX94" s="1337"/>
      <c r="DY94" s="1337"/>
      <c r="DZ94" s="1337"/>
      <c r="EA94" s="1337"/>
      <c r="EB94" s="1337"/>
      <c r="EC94" s="1337"/>
      <c r="ED94" s="1337"/>
      <c r="EE94" s="1337"/>
      <c r="EF94" s="1337"/>
      <c r="EG94" s="1337"/>
      <c r="EH94" s="1337"/>
      <c r="EI94" s="1337"/>
      <c r="EJ94" s="1337"/>
      <c r="EK94" s="1337"/>
      <c r="EL94" s="1337"/>
      <c r="EM94" s="1337"/>
      <c r="EN94" s="1337"/>
      <c r="EO94" s="1337"/>
      <c r="EP94" s="1337"/>
      <c r="EQ94" s="1337"/>
      <c r="ER94" s="1337"/>
      <c r="ES94" s="1337"/>
      <c r="ET94" s="1337"/>
      <c r="EU94" s="1337"/>
      <c r="EV94" s="1337"/>
      <c r="EW94" s="1337"/>
      <c r="EX94" s="1337"/>
      <c r="EY94" s="1337"/>
      <c r="EZ94" s="1337"/>
      <c r="FA94" s="1337"/>
      <c r="FB94" s="1337"/>
      <c r="FC94" s="1337"/>
      <c r="FD94" s="1337"/>
      <c r="FE94" s="1337"/>
      <c r="FF94" s="1337"/>
      <c r="FG94" s="1337"/>
      <c r="FH94" s="1337"/>
      <c r="FI94" s="1337"/>
      <c r="FJ94" s="1337"/>
      <c r="FK94" s="1337"/>
      <c r="FL94" s="1337"/>
      <c r="FM94" s="1337"/>
      <c r="FN94" s="1337"/>
      <c r="FO94" s="1337"/>
      <c r="FP94" s="1337"/>
      <c r="FQ94" s="1337"/>
      <c r="FR94" s="1337"/>
      <c r="FS94" s="1337"/>
      <c r="FT94" s="1337"/>
      <c r="FU94" s="1337"/>
      <c r="FV94" s="1337"/>
      <c r="FW94" s="1337"/>
      <c r="FX94" s="1337"/>
      <c r="FY94" s="1337"/>
      <c r="FZ94" s="1337"/>
      <c r="GA94" s="1337"/>
      <c r="GB94" s="1337"/>
      <c r="GC94" s="1337"/>
      <c r="GD94" s="1337"/>
      <c r="GE94" s="1337"/>
      <c r="GF94" s="1337"/>
      <c r="GG94" s="1337"/>
      <c r="GH94" s="1337"/>
      <c r="GI94" s="1337"/>
      <c r="GJ94" s="1337"/>
      <c r="GK94" s="1337"/>
      <c r="GL94" s="1337"/>
      <c r="GM94" s="1337"/>
      <c r="GN94" s="1337"/>
      <c r="GO94" s="1337"/>
      <c r="GP94" s="1337"/>
      <c r="GQ94" s="1337"/>
      <c r="GR94" s="1337"/>
      <c r="GS94" s="1337"/>
      <c r="GT94" s="1337"/>
      <c r="GU94" s="1337"/>
      <c r="GV94" s="1337"/>
      <c r="GW94" s="1337"/>
      <c r="GX94" s="1337"/>
      <c r="GY94" s="1337"/>
      <c r="GZ94" s="1337"/>
      <c r="HA94" s="1337"/>
      <c r="HB94" s="1337"/>
      <c r="HC94" s="1337"/>
      <c r="HD94" s="1337"/>
      <c r="HE94" s="1337"/>
      <c r="HF94" s="1337"/>
      <c r="HG94" s="1337"/>
      <c r="HH94" s="1337"/>
      <c r="HI94" s="1337"/>
      <c r="HJ94" s="1337"/>
      <c r="HK94" s="1337"/>
      <c r="HL94" s="1337"/>
      <c r="HM94" s="1337"/>
      <c r="HN94" s="1337"/>
      <c r="HO94" s="1337"/>
      <c r="HP94" s="1337"/>
      <c r="HQ94" s="1337"/>
      <c r="HR94" s="1337"/>
      <c r="HS94" s="1337"/>
      <c r="HT94" s="1337"/>
      <c r="HU94" s="1337"/>
      <c r="HV94" s="1337"/>
      <c r="HW94" s="1337"/>
      <c r="HX94" s="1337"/>
      <c r="HY94" s="1337"/>
      <c r="HZ94" s="1337"/>
      <c r="IA94" s="1337"/>
      <c r="IB94" s="1337"/>
      <c r="IC94" s="1337"/>
      <c r="ID94" s="1337"/>
      <c r="IE94" s="1337"/>
      <c r="IF94" s="1337"/>
      <c r="IG94" s="1337"/>
      <c r="IH94" s="1337"/>
      <c r="II94" s="1337"/>
      <c r="IJ94" s="1337"/>
      <c r="IK94" s="1337"/>
      <c r="IL94" s="1337"/>
      <c r="IM94" s="1337"/>
      <c r="IN94" s="1337"/>
      <c r="IO94" s="1337"/>
      <c r="IP94" s="1337"/>
      <c r="IQ94" s="1337"/>
      <c r="IR94" s="1337"/>
      <c r="IS94" s="1337"/>
      <c r="IT94" s="1337"/>
      <c r="IU94" s="1337"/>
      <c r="IV94" s="1337"/>
    </row>
    <row r="95" spans="1:256" ht="10.5" customHeight="1">
      <c r="A95" s="1323" t="s">
        <v>1099</v>
      </c>
      <c r="B95" s="1410">
        <v>168.8</v>
      </c>
      <c r="C95" s="1410">
        <v>168.8</v>
      </c>
      <c r="D95" s="1411">
        <v>168.8</v>
      </c>
      <c r="E95" s="1411">
        <v>171.9</v>
      </c>
      <c r="F95" s="1411">
        <v>170.8</v>
      </c>
      <c r="G95" s="1411">
        <v>129.5</v>
      </c>
      <c r="H95" s="1411">
        <v>127.8</v>
      </c>
      <c r="I95" s="1411">
        <v>142.80000000000001</v>
      </c>
      <c r="J95" s="1411">
        <v>131.19999999999999</v>
      </c>
      <c r="K95" s="1411">
        <v>189.7</v>
      </c>
      <c r="L95" s="1412">
        <v>187</v>
      </c>
      <c r="M95" s="1413">
        <v>193.7</v>
      </c>
      <c r="N95" s="1411">
        <v>194.5</v>
      </c>
      <c r="O95" s="1337"/>
      <c r="P95" s="1337"/>
      <c r="Q95" s="1337"/>
      <c r="R95" s="1337"/>
      <c r="S95" s="1337"/>
      <c r="T95" s="1337"/>
      <c r="U95" s="1337"/>
      <c r="V95" s="1337"/>
      <c r="W95" s="1337"/>
      <c r="X95" s="1337"/>
      <c r="Y95" s="1337"/>
      <c r="Z95" s="1337"/>
      <c r="AA95" s="1337"/>
      <c r="AB95" s="1337"/>
      <c r="AC95" s="1337"/>
      <c r="AD95" s="1337"/>
      <c r="AE95" s="1337"/>
      <c r="AF95" s="1337"/>
      <c r="AG95" s="1337"/>
      <c r="AH95" s="1337"/>
      <c r="AI95" s="1337"/>
      <c r="AJ95" s="1337"/>
      <c r="AK95" s="1337"/>
      <c r="AL95" s="1337"/>
      <c r="AM95" s="1337"/>
      <c r="AN95" s="1337"/>
      <c r="AO95" s="1337"/>
      <c r="AP95" s="1337"/>
      <c r="AQ95" s="1337"/>
      <c r="AR95" s="1337"/>
      <c r="AS95" s="1337"/>
      <c r="AT95" s="1337"/>
      <c r="AU95" s="1337"/>
      <c r="AV95" s="1337"/>
      <c r="AW95" s="1337"/>
      <c r="AX95" s="1337"/>
      <c r="AY95" s="1337"/>
      <c r="AZ95" s="1337"/>
      <c r="BA95" s="1337"/>
      <c r="BB95" s="1337"/>
      <c r="BC95" s="1337"/>
      <c r="BD95" s="1337"/>
      <c r="BE95" s="1337"/>
      <c r="BF95" s="1337"/>
      <c r="BG95" s="1337"/>
      <c r="BH95" s="1337"/>
      <c r="BI95" s="1337"/>
      <c r="BJ95" s="1337"/>
      <c r="BK95" s="1337"/>
      <c r="BL95" s="1337"/>
      <c r="BM95" s="1337"/>
      <c r="BN95" s="1337"/>
      <c r="BO95" s="1337"/>
      <c r="BP95" s="1337"/>
      <c r="BQ95" s="1337"/>
      <c r="BR95" s="1337"/>
      <c r="BS95" s="1337"/>
      <c r="BT95" s="1337"/>
      <c r="BU95" s="1337"/>
      <c r="BV95" s="1337"/>
      <c r="BW95" s="1337"/>
      <c r="BX95" s="1337"/>
      <c r="BY95" s="1337"/>
      <c r="BZ95" s="1337"/>
      <c r="CA95" s="1337"/>
      <c r="CB95" s="1337"/>
      <c r="CC95" s="1337"/>
      <c r="CD95" s="1337"/>
      <c r="CE95" s="1337"/>
      <c r="CF95" s="1337"/>
      <c r="CG95" s="1337"/>
      <c r="CH95" s="1337"/>
      <c r="CI95" s="1337"/>
      <c r="CJ95" s="1337"/>
      <c r="CK95" s="1337"/>
      <c r="CL95" s="1337"/>
      <c r="CM95" s="1337"/>
      <c r="CN95" s="1337"/>
      <c r="CO95" s="1337"/>
      <c r="CP95" s="1337"/>
      <c r="CQ95" s="1337"/>
      <c r="CR95" s="1337"/>
      <c r="CS95" s="1337"/>
      <c r="CT95" s="1337"/>
      <c r="CU95" s="1337"/>
      <c r="CV95" s="1337"/>
      <c r="CW95" s="1337"/>
      <c r="CX95" s="1337"/>
      <c r="CY95" s="1337"/>
      <c r="CZ95" s="1337"/>
      <c r="DA95" s="1337"/>
      <c r="DB95" s="1337"/>
      <c r="DC95" s="1337"/>
      <c r="DD95" s="1337"/>
      <c r="DE95" s="1337"/>
      <c r="DF95" s="1337"/>
      <c r="DG95" s="1337"/>
      <c r="DH95" s="1337"/>
      <c r="DI95" s="1337"/>
      <c r="DJ95" s="1337"/>
      <c r="DK95" s="1337"/>
      <c r="DL95" s="1337"/>
      <c r="DM95" s="1337"/>
      <c r="DN95" s="1337"/>
      <c r="DO95" s="1337"/>
      <c r="DP95" s="1337"/>
      <c r="DQ95" s="1337"/>
      <c r="DR95" s="1337"/>
      <c r="DS95" s="1337"/>
      <c r="DT95" s="1337"/>
      <c r="DU95" s="1337"/>
      <c r="DV95" s="1337"/>
      <c r="DW95" s="1337"/>
      <c r="DX95" s="1337"/>
      <c r="DY95" s="1337"/>
      <c r="DZ95" s="1337"/>
      <c r="EA95" s="1337"/>
      <c r="EB95" s="1337"/>
      <c r="EC95" s="1337"/>
      <c r="ED95" s="1337"/>
      <c r="EE95" s="1337"/>
      <c r="EF95" s="1337"/>
      <c r="EG95" s="1337"/>
      <c r="EH95" s="1337"/>
      <c r="EI95" s="1337"/>
      <c r="EJ95" s="1337"/>
      <c r="EK95" s="1337"/>
      <c r="EL95" s="1337"/>
      <c r="EM95" s="1337"/>
      <c r="EN95" s="1337"/>
      <c r="EO95" s="1337"/>
      <c r="EP95" s="1337"/>
      <c r="EQ95" s="1337"/>
      <c r="ER95" s="1337"/>
      <c r="ES95" s="1337"/>
      <c r="ET95" s="1337"/>
      <c r="EU95" s="1337"/>
      <c r="EV95" s="1337"/>
      <c r="EW95" s="1337"/>
      <c r="EX95" s="1337"/>
      <c r="EY95" s="1337"/>
      <c r="EZ95" s="1337"/>
      <c r="FA95" s="1337"/>
      <c r="FB95" s="1337"/>
      <c r="FC95" s="1337"/>
      <c r="FD95" s="1337"/>
      <c r="FE95" s="1337"/>
      <c r="FF95" s="1337"/>
      <c r="FG95" s="1337"/>
      <c r="FH95" s="1337"/>
      <c r="FI95" s="1337"/>
      <c r="FJ95" s="1337"/>
      <c r="FK95" s="1337"/>
      <c r="FL95" s="1337"/>
      <c r="FM95" s="1337"/>
      <c r="FN95" s="1337"/>
      <c r="FO95" s="1337"/>
      <c r="FP95" s="1337"/>
      <c r="FQ95" s="1337"/>
      <c r="FR95" s="1337"/>
      <c r="FS95" s="1337"/>
      <c r="FT95" s="1337"/>
      <c r="FU95" s="1337"/>
      <c r="FV95" s="1337"/>
      <c r="FW95" s="1337"/>
      <c r="FX95" s="1337"/>
      <c r="FY95" s="1337"/>
      <c r="FZ95" s="1337"/>
      <c r="GA95" s="1337"/>
      <c r="GB95" s="1337"/>
      <c r="GC95" s="1337"/>
      <c r="GD95" s="1337"/>
      <c r="GE95" s="1337"/>
      <c r="GF95" s="1337"/>
      <c r="GG95" s="1337"/>
      <c r="GH95" s="1337"/>
      <c r="GI95" s="1337"/>
      <c r="GJ95" s="1337"/>
      <c r="GK95" s="1337"/>
      <c r="GL95" s="1337"/>
      <c r="GM95" s="1337"/>
      <c r="GN95" s="1337"/>
      <c r="GO95" s="1337"/>
      <c r="GP95" s="1337"/>
      <c r="GQ95" s="1337"/>
      <c r="GR95" s="1337"/>
      <c r="GS95" s="1337"/>
      <c r="GT95" s="1337"/>
      <c r="GU95" s="1337"/>
      <c r="GV95" s="1337"/>
      <c r="GW95" s="1337"/>
      <c r="GX95" s="1337"/>
      <c r="GY95" s="1337"/>
      <c r="GZ95" s="1337"/>
      <c r="HA95" s="1337"/>
      <c r="HB95" s="1337"/>
      <c r="HC95" s="1337"/>
      <c r="HD95" s="1337"/>
      <c r="HE95" s="1337"/>
      <c r="HF95" s="1337"/>
      <c r="HG95" s="1337"/>
      <c r="HH95" s="1337"/>
      <c r="HI95" s="1337"/>
      <c r="HJ95" s="1337"/>
      <c r="HK95" s="1337"/>
      <c r="HL95" s="1337"/>
      <c r="HM95" s="1337"/>
      <c r="HN95" s="1337"/>
      <c r="HO95" s="1337"/>
      <c r="HP95" s="1337"/>
      <c r="HQ95" s="1337"/>
      <c r="HR95" s="1337"/>
      <c r="HS95" s="1337"/>
      <c r="HT95" s="1337"/>
      <c r="HU95" s="1337"/>
      <c r="HV95" s="1337"/>
      <c r="HW95" s="1337"/>
      <c r="HX95" s="1337"/>
      <c r="HY95" s="1337"/>
      <c r="HZ95" s="1337"/>
      <c r="IA95" s="1337"/>
      <c r="IB95" s="1337"/>
      <c r="IC95" s="1337"/>
      <c r="ID95" s="1337"/>
      <c r="IE95" s="1337"/>
      <c r="IF95" s="1337"/>
      <c r="IG95" s="1337"/>
      <c r="IH95" s="1337"/>
      <c r="II95" s="1337"/>
      <c r="IJ95" s="1337"/>
      <c r="IK95" s="1337"/>
      <c r="IL95" s="1337"/>
      <c r="IM95" s="1337"/>
      <c r="IN95" s="1337"/>
      <c r="IO95" s="1337"/>
      <c r="IP95" s="1337"/>
      <c r="IQ95" s="1337"/>
      <c r="IR95" s="1337"/>
      <c r="IS95" s="1337"/>
      <c r="IT95" s="1337"/>
      <c r="IU95" s="1337"/>
      <c r="IV95" s="1337"/>
    </row>
    <row r="96" spans="1:256" ht="10.5" customHeight="1">
      <c r="A96" s="1323" t="s">
        <v>1137</v>
      </c>
      <c r="B96" s="1410">
        <v>1402.9</v>
      </c>
      <c r="C96" s="1410">
        <v>1642.7</v>
      </c>
      <c r="D96" s="1411">
        <v>1807</v>
      </c>
      <c r="E96" s="1411">
        <v>1901.7</v>
      </c>
      <c r="F96" s="1411">
        <v>2408.6</v>
      </c>
      <c r="G96" s="1411">
        <v>1937.8</v>
      </c>
      <c r="H96" s="1411">
        <v>2209.1</v>
      </c>
      <c r="I96" s="1411">
        <v>2457.8000000000002</v>
      </c>
      <c r="J96" s="1411">
        <v>2359.1999999999998</v>
      </c>
      <c r="K96" s="1411">
        <v>2263.4</v>
      </c>
      <c r="L96" s="1413">
        <v>2015.6</v>
      </c>
      <c r="M96" s="1413">
        <v>2182.6</v>
      </c>
      <c r="N96" s="1411">
        <v>2256.5</v>
      </c>
      <c r="O96" s="1337"/>
      <c r="P96" s="1337"/>
      <c r="Q96" s="1337"/>
      <c r="R96" s="1337"/>
      <c r="S96" s="1337"/>
      <c r="T96" s="1337"/>
      <c r="U96" s="1337"/>
      <c r="V96" s="1337"/>
      <c r="W96" s="1337"/>
      <c r="X96" s="1337"/>
      <c r="Y96" s="1337"/>
      <c r="Z96" s="1337"/>
      <c r="AA96" s="1337"/>
      <c r="AB96" s="1337"/>
      <c r="AC96" s="1337"/>
      <c r="AD96" s="1337"/>
      <c r="AE96" s="1337"/>
      <c r="AF96" s="1337"/>
      <c r="AG96" s="1337"/>
      <c r="AH96" s="1337"/>
      <c r="AI96" s="1337"/>
      <c r="AJ96" s="1337"/>
      <c r="AK96" s="1337"/>
      <c r="AL96" s="1337"/>
      <c r="AM96" s="1337"/>
      <c r="AN96" s="1337"/>
      <c r="AO96" s="1337"/>
      <c r="AP96" s="1337"/>
      <c r="AQ96" s="1337"/>
      <c r="AR96" s="1337"/>
      <c r="AS96" s="1337"/>
      <c r="AT96" s="1337"/>
      <c r="AU96" s="1337"/>
      <c r="AV96" s="1337"/>
      <c r="AW96" s="1337"/>
      <c r="AX96" s="1337"/>
      <c r="AY96" s="1337"/>
      <c r="AZ96" s="1337"/>
      <c r="BA96" s="1337"/>
      <c r="BB96" s="1337"/>
      <c r="BC96" s="1337"/>
      <c r="BD96" s="1337"/>
      <c r="BE96" s="1337"/>
      <c r="BF96" s="1337"/>
      <c r="BG96" s="1337"/>
      <c r="BH96" s="1337"/>
      <c r="BI96" s="1337"/>
      <c r="BJ96" s="1337"/>
      <c r="BK96" s="1337"/>
      <c r="BL96" s="1337"/>
      <c r="BM96" s="1337"/>
      <c r="BN96" s="1337"/>
      <c r="BO96" s="1337"/>
      <c r="BP96" s="1337"/>
      <c r="BQ96" s="1337"/>
      <c r="BR96" s="1337"/>
      <c r="BS96" s="1337"/>
      <c r="BT96" s="1337"/>
      <c r="BU96" s="1337"/>
      <c r="BV96" s="1337"/>
      <c r="BW96" s="1337"/>
      <c r="BX96" s="1337"/>
      <c r="BY96" s="1337"/>
      <c r="BZ96" s="1337"/>
      <c r="CA96" s="1337"/>
      <c r="CB96" s="1337"/>
      <c r="CC96" s="1337"/>
      <c r="CD96" s="1337"/>
      <c r="CE96" s="1337"/>
      <c r="CF96" s="1337"/>
      <c r="CG96" s="1337"/>
      <c r="CH96" s="1337"/>
      <c r="CI96" s="1337"/>
      <c r="CJ96" s="1337"/>
      <c r="CK96" s="1337"/>
      <c r="CL96" s="1337"/>
      <c r="CM96" s="1337"/>
      <c r="CN96" s="1337"/>
      <c r="CO96" s="1337"/>
      <c r="CP96" s="1337"/>
      <c r="CQ96" s="1337"/>
      <c r="CR96" s="1337"/>
      <c r="CS96" s="1337"/>
      <c r="CT96" s="1337"/>
      <c r="CU96" s="1337"/>
      <c r="CV96" s="1337"/>
      <c r="CW96" s="1337"/>
      <c r="CX96" s="1337"/>
      <c r="CY96" s="1337"/>
      <c r="CZ96" s="1337"/>
      <c r="DA96" s="1337"/>
      <c r="DB96" s="1337"/>
      <c r="DC96" s="1337"/>
      <c r="DD96" s="1337"/>
      <c r="DE96" s="1337"/>
      <c r="DF96" s="1337"/>
      <c r="DG96" s="1337"/>
      <c r="DH96" s="1337"/>
      <c r="DI96" s="1337"/>
      <c r="DJ96" s="1337"/>
      <c r="DK96" s="1337"/>
      <c r="DL96" s="1337"/>
      <c r="DM96" s="1337"/>
      <c r="DN96" s="1337"/>
      <c r="DO96" s="1337"/>
      <c r="DP96" s="1337"/>
      <c r="DQ96" s="1337"/>
      <c r="DR96" s="1337"/>
      <c r="DS96" s="1337"/>
      <c r="DT96" s="1337"/>
      <c r="DU96" s="1337"/>
      <c r="DV96" s="1337"/>
      <c r="DW96" s="1337"/>
      <c r="DX96" s="1337"/>
      <c r="DY96" s="1337"/>
      <c r="DZ96" s="1337"/>
      <c r="EA96" s="1337"/>
      <c r="EB96" s="1337"/>
      <c r="EC96" s="1337"/>
      <c r="ED96" s="1337"/>
      <c r="EE96" s="1337"/>
      <c r="EF96" s="1337"/>
      <c r="EG96" s="1337"/>
      <c r="EH96" s="1337"/>
      <c r="EI96" s="1337"/>
      <c r="EJ96" s="1337"/>
      <c r="EK96" s="1337"/>
      <c r="EL96" s="1337"/>
      <c r="EM96" s="1337"/>
      <c r="EN96" s="1337"/>
      <c r="EO96" s="1337"/>
      <c r="EP96" s="1337"/>
      <c r="EQ96" s="1337"/>
      <c r="ER96" s="1337"/>
      <c r="ES96" s="1337"/>
      <c r="ET96" s="1337"/>
      <c r="EU96" s="1337"/>
      <c r="EV96" s="1337"/>
      <c r="EW96" s="1337"/>
      <c r="EX96" s="1337"/>
      <c r="EY96" s="1337"/>
      <c r="EZ96" s="1337"/>
      <c r="FA96" s="1337"/>
      <c r="FB96" s="1337"/>
      <c r="FC96" s="1337"/>
      <c r="FD96" s="1337"/>
      <c r="FE96" s="1337"/>
      <c r="FF96" s="1337"/>
      <c r="FG96" s="1337"/>
      <c r="FH96" s="1337"/>
      <c r="FI96" s="1337"/>
      <c r="FJ96" s="1337"/>
      <c r="FK96" s="1337"/>
      <c r="FL96" s="1337"/>
      <c r="FM96" s="1337"/>
      <c r="FN96" s="1337"/>
      <c r="FO96" s="1337"/>
      <c r="FP96" s="1337"/>
      <c r="FQ96" s="1337"/>
      <c r="FR96" s="1337"/>
      <c r="FS96" s="1337"/>
      <c r="FT96" s="1337"/>
      <c r="FU96" s="1337"/>
      <c r="FV96" s="1337"/>
      <c r="FW96" s="1337"/>
      <c r="FX96" s="1337"/>
      <c r="FY96" s="1337"/>
      <c r="FZ96" s="1337"/>
      <c r="GA96" s="1337"/>
      <c r="GB96" s="1337"/>
      <c r="GC96" s="1337"/>
      <c r="GD96" s="1337"/>
      <c r="GE96" s="1337"/>
      <c r="GF96" s="1337"/>
      <c r="GG96" s="1337"/>
      <c r="GH96" s="1337"/>
      <c r="GI96" s="1337"/>
      <c r="GJ96" s="1337"/>
      <c r="GK96" s="1337"/>
      <c r="GL96" s="1337"/>
      <c r="GM96" s="1337"/>
      <c r="GN96" s="1337"/>
      <c r="GO96" s="1337"/>
      <c r="GP96" s="1337"/>
      <c r="GQ96" s="1337"/>
      <c r="GR96" s="1337"/>
      <c r="GS96" s="1337"/>
      <c r="GT96" s="1337"/>
      <c r="GU96" s="1337"/>
      <c r="GV96" s="1337"/>
      <c r="GW96" s="1337"/>
      <c r="GX96" s="1337"/>
      <c r="GY96" s="1337"/>
      <c r="GZ96" s="1337"/>
      <c r="HA96" s="1337"/>
      <c r="HB96" s="1337"/>
      <c r="HC96" s="1337"/>
      <c r="HD96" s="1337"/>
      <c r="HE96" s="1337"/>
      <c r="HF96" s="1337"/>
      <c r="HG96" s="1337"/>
      <c r="HH96" s="1337"/>
      <c r="HI96" s="1337"/>
      <c r="HJ96" s="1337"/>
      <c r="HK96" s="1337"/>
      <c r="HL96" s="1337"/>
      <c r="HM96" s="1337"/>
      <c r="HN96" s="1337"/>
      <c r="HO96" s="1337"/>
      <c r="HP96" s="1337"/>
      <c r="HQ96" s="1337"/>
      <c r="HR96" s="1337"/>
      <c r="HS96" s="1337"/>
      <c r="HT96" s="1337"/>
      <c r="HU96" s="1337"/>
      <c r="HV96" s="1337"/>
      <c r="HW96" s="1337"/>
      <c r="HX96" s="1337"/>
      <c r="HY96" s="1337"/>
      <c r="HZ96" s="1337"/>
      <c r="IA96" s="1337"/>
      <c r="IB96" s="1337"/>
      <c r="IC96" s="1337"/>
      <c r="ID96" s="1337"/>
      <c r="IE96" s="1337"/>
      <c r="IF96" s="1337"/>
      <c r="IG96" s="1337"/>
      <c r="IH96" s="1337"/>
      <c r="II96" s="1337"/>
      <c r="IJ96" s="1337"/>
      <c r="IK96" s="1337"/>
      <c r="IL96" s="1337"/>
      <c r="IM96" s="1337"/>
      <c r="IN96" s="1337"/>
      <c r="IO96" s="1337"/>
      <c r="IP96" s="1337"/>
      <c r="IQ96" s="1337"/>
      <c r="IR96" s="1337"/>
      <c r="IS96" s="1337"/>
      <c r="IT96" s="1337"/>
      <c r="IU96" s="1337"/>
      <c r="IV96" s="1337"/>
    </row>
    <row r="97" spans="1:256" ht="10.5" customHeight="1">
      <c r="A97" s="1323" t="s">
        <v>1101</v>
      </c>
      <c r="B97" s="1410">
        <v>239.6</v>
      </c>
      <c r="C97" s="1410">
        <v>212</v>
      </c>
      <c r="D97" s="1411">
        <v>267.7</v>
      </c>
      <c r="E97" s="1411">
        <v>229.4</v>
      </c>
      <c r="F97" s="1411">
        <v>123.2</v>
      </c>
      <c r="G97" s="1411">
        <v>102</v>
      </c>
      <c r="H97" s="1411">
        <v>71.900000000000006</v>
      </c>
      <c r="I97" s="1411">
        <v>43.5</v>
      </c>
      <c r="J97" s="1411">
        <v>111.3</v>
      </c>
      <c r="K97" s="1411">
        <v>69.400000000000006</v>
      </c>
      <c r="L97" s="1413">
        <v>59</v>
      </c>
      <c r="M97" s="1413">
        <v>58</v>
      </c>
      <c r="N97" s="1411">
        <v>69.2</v>
      </c>
      <c r="O97" s="1337"/>
      <c r="P97" s="1337"/>
      <c r="Q97" s="1337"/>
      <c r="R97" s="1337"/>
      <c r="S97" s="1337"/>
      <c r="T97" s="1337"/>
      <c r="U97" s="1337"/>
      <c r="V97" s="1337"/>
      <c r="W97" s="1337"/>
      <c r="X97" s="1337"/>
      <c r="Y97" s="1337"/>
      <c r="Z97" s="1337"/>
      <c r="AA97" s="1337"/>
      <c r="AB97" s="1337"/>
      <c r="AC97" s="1337"/>
      <c r="AD97" s="1337"/>
      <c r="AE97" s="1337"/>
      <c r="AF97" s="1337"/>
      <c r="AG97" s="1337"/>
      <c r="AH97" s="1337"/>
      <c r="AI97" s="1337"/>
      <c r="AJ97" s="1337"/>
      <c r="AK97" s="1337"/>
      <c r="AL97" s="1337"/>
      <c r="AM97" s="1337"/>
      <c r="AN97" s="1337"/>
      <c r="AO97" s="1337"/>
      <c r="AP97" s="1337"/>
      <c r="AQ97" s="1337"/>
      <c r="AR97" s="1337"/>
      <c r="AS97" s="1337"/>
      <c r="AT97" s="1337"/>
      <c r="AU97" s="1337"/>
      <c r="AV97" s="1337"/>
      <c r="AW97" s="1337"/>
      <c r="AX97" s="1337"/>
      <c r="AY97" s="1337"/>
      <c r="AZ97" s="1337"/>
      <c r="BA97" s="1337"/>
      <c r="BB97" s="1337"/>
      <c r="BC97" s="1337"/>
      <c r="BD97" s="1337"/>
      <c r="BE97" s="1337"/>
      <c r="BF97" s="1337"/>
      <c r="BG97" s="1337"/>
      <c r="BH97" s="1337"/>
      <c r="BI97" s="1337"/>
      <c r="BJ97" s="1337"/>
      <c r="BK97" s="1337"/>
      <c r="BL97" s="1337"/>
      <c r="BM97" s="1337"/>
      <c r="BN97" s="1337"/>
      <c r="BO97" s="1337"/>
      <c r="BP97" s="1337"/>
      <c r="BQ97" s="1337"/>
      <c r="BR97" s="1337"/>
      <c r="BS97" s="1337"/>
      <c r="BT97" s="1337"/>
      <c r="BU97" s="1337"/>
      <c r="BV97" s="1337"/>
      <c r="BW97" s="1337"/>
      <c r="BX97" s="1337"/>
      <c r="BY97" s="1337"/>
      <c r="BZ97" s="1337"/>
      <c r="CA97" s="1337"/>
      <c r="CB97" s="1337"/>
      <c r="CC97" s="1337"/>
      <c r="CD97" s="1337"/>
      <c r="CE97" s="1337"/>
      <c r="CF97" s="1337"/>
      <c r="CG97" s="1337"/>
      <c r="CH97" s="1337"/>
      <c r="CI97" s="1337"/>
      <c r="CJ97" s="1337"/>
      <c r="CK97" s="1337"/>
      <c r="CL97" s="1337"/>
      <c r="CM97" s="1337"/>
      <c r="CN97" s="1337"/>
      <c r="CO97" s="1337"/>
      <c r="CP97" s="1337"/>
      <c r="CQ97" s="1337"/>
      <c r="CR97" s="1337"/>
      <c r="CS97" s="1337"/>
      <c r="CT97" s="1337"/>
      <c r="CU97" s="1337"/>
      <c r="CV97" s="1337"/>
      <c r="CW97" s="1337"/>
      <c r="CX97" s="1337"/>
      <c r="CY97" s="1337"/>
      <c r="CZ97" s="1337"/>
      <c r="DA97" s="1337"/>
      <c r="DB97" s="1337"/>
      <c r="DC97" s="1337"/>
      <c r="DD97" s="1337"/>
      <c r="DE97" s="1337"/>
      <c r="DF97" s="1337"/>
      <c r="DG97" s="1337"/>
      <c r="DH97" s="1337"/>
      <c r="DI97" s="1337"/>
      <c r="DJ97" s="1337"/>
      <c r="DK97" s="1337"/>
      <c r="DL97" s="1337"/>
      <c r="DM97" s="1337"/>
      <c r="DN97" s="1337"/>
      <c r="DO97" s="1337"/>
      <c r="DP97" s="1337"/>
      <c r="DQ97" s="1337"/>
      <c r="DR97" s="1337"/>
      <c r="DS97" s="1337"/>
      <c r="DT97" s="1337"/>
      <c r="DU97" s="1337"/>
      <c r="DV97" s="1337"/>
      <c r="DW97" s="1337"/>
      <c r="DX97" s="1337"/>
      <c r="DY97" s="1337"/>
      <c r="DZ97" s="1337"/>
      <c r="EA97" s="1337"/>
      <c r="EB97" s="1337"/>
      <c r="EC97" s="1337"/>
      <c r="ED97" s="1337"/>
      <c r="EE97" s="1337"/>
      <c r="EF97" s="1337"/>
      <c r="EG97" s="1337"/>
      <c r="EH97" s="1337"/>
      <c r="EI97" s="1337"/>
      <c r="EJ97" s="1337"/>
      <c r="EK97" s="1337"/>
      <c r="EL97" s="1337"/>
      <c r="EM97" s="1337"/>
      <c r="EN97" s="1337"/>
      <c r="EO97" s="1337"/>
      <c r="EP97" s="1337"/>
      <c r="EQ97" s="1337"/>
      <c r="ER97" s="1337"/>
      <c r="ES97" s="1337"/>
      <c r="ET97" s="1337"/>
      <c r="EU97" s="1337"/>
      <c r="EV97" s="1337"/>
      <c r="EW97" s="1337"/>
      <c r="EX97" s="1337"/>
      <c r="EY97" s="1337"/>
      <c r="EZ97" s="1337"/>
      <c r="FA97" s="1337"/>
      <c r="FB97" s="1337"/>
      <c r="FC97" s="1337"/>
      <c r="FD97" s="1337"/>
      <c r="FE97" s="1337"/>
      <c r="FF97" s="1337"/>
      <c r="FG97" s="1337"/>
      <c r="FH97" s="1337"/>
      <c r="FI97" s="1337"/>
      <c r="FJ97" s="1337"/>
      <c r="FK97" s="1337"/>
      <c r="FL97" s="1337"/>
      <c r="FM97" s="1337"/>
      <c r="FN97" s="1337"/>
      <c r="FO97" s="1337"/>
      <c r="FP97" s="1337"/>
      <c r="FQ97" s="1337"/>
      <c r="FR97" s="1337"/>
      <c r="FS97" s="1337"/>
      <c r="FT97" s="1337"/>
      <c r="FU97" s="1337"/>
      <c r="FV97" s="1337"/>
      <c r="FW97" s="1337"/>
      <c r="FX97" s="1337"/>
      <c r="FY97" s="1337"/>
      <c r="FZ97" s="1337"/>
      <c r="GA97" s="1337"/>
      <c r="GB97" s="1337"/>
      <c r="GC97" s="1337"/>
      <c r="GD97" s="1337"/>
      <c r="GE97" s="1337"/>
      <c r="GF97" s="1337"/>
      <c r="GG97" s="1337"/>
      <c r="GH97" s="1337"/>
      <c r="GI97" s="1337"/>
      <c r="GJ97" s="1337"/>
      <c r="GK97" s="1337"/>
      <c r="GL97" s="1337"/>
      <c r="GM97" s="1337"/>
      <c r="GN97" s="1337"/>
      <c r="GO97" s="1337"/>
      <c r="GP97" s="1337"/>
      <c r="GQ97" s="1337"/>
      <c r="GR97" s="1337"/>
      <c r="GS97" s="1337"/>
      <c r="GT97" s="1337"/>
      <c r="GU97" s="1337"/>
      <c r="GV97" s="1337"/>
      <c r="GW97" s="1337"/>
      <c r="GX97" s="1337"/>
      <c r="GY97" s="1337"/>
      <c r="GZ97" s="1337"/>
      <c r="HA97" s="1337"/>
      <c r="HB97" s="1337"/>
      <c r="HC97" s="1337"/>
      <c r="HD97" s="1337"/>
      <c r="HE97" s="1337"/>
      <c r="HF97" s="1337"/>
      <c r="HG97" s="1337"/>
      <c r="HH97" s="1337"/>
      <c r="HI97" s="1337"/>
      <c r="HJ97" s="1337"/>
      <c r="HK97" s="1337"/>
      <c r="HL97" s="1337"/>
      <c r="HM97" s="1337"/>
      <c r="HN97" s="1337"/>
      <c r="HO97" s="1337"/>
      <c r="HP97" s="1337"/>
      <c r="HQ97" s="1337"/>
      <c r="HR97" s="1337"/>
      <c r="HS97" s="1337"/>
      <c r="HT97" s="1337"/>
      <c r="HU97" s="1337"/>
      <c r="HV97" s="1337"/>
      <c r="HW97" s="1337"/>
      <c r="HX97" s="1337"/>
      <c r="HY97" s="1337"/>
      <c r="HZ97" s="1337"/>
      <c r="IA97" s="1337"/>
      <c r="IB97" s="1337"/>
      <c r="IC97" s="1337"/>
      <c r="ID97" s="1337"/>
      <c r="IE97" s="1337"/>
      <c r="IF97" s="1337"/>
      <c r="IG97" s="1337"/>
      <c r="IH97" s="1337"/>
      <c r="II97" s="1337"/>
      <c r="IJ97" s="1337"/>
      <c r="IK97" s="1337"/>
      <c r="IL97" s="1337"/>
      <c r="IM97" s="1337"/>
      <c r="IN97" s="1337"/>
      <c r="IO97" s="1337"/>
      <c r="IP97" s="1337"/>
      <c r="IQ97" s="1337"/>
      <c r="IR97" s="1337"/>
      <c r="IS97" s="1337"/>
      <c r="IT97" s="1337"/>
      <c r="IU97" s="1337"/>
      <c r="IV97" s="1337"/>
    </row>
    <row r="98" spans="1:256" ht="10.5" customHeight="1">
      <c r="A98" s="1372" t="s">
        <v>1113</v>
      </c>
      <c r="B98" s="1430">
        <v>782.6</v>
      </c>
      <c r="C98" s="1430">
        <v>870.6</v>
      </c>
      <c r="D98" s="1431">
        <v>953.8</v>
      </c>
      <c r="E98" s="1431">
        <v>1129.4000000000001</v>
      </c>
      <c r="F98" s="1431">
        <v>1256.5</v>
      </c>
      <c r="G98" s="1431">
        <f>1264.9+1.3+4.3</f>
        <v>1270.5</v>
      </c>
      <c r="H98" s="1431">
        <f>1357.3+7.3+0.5</f>
        <v>1365.1</v>
      </c>
      <c r="I98" s="1431">
        <v>1586.9</v>
      </c>
      <c r="J98" s="1431">
        <f>1631.7+31.1</f>
        <v>1662.8</v>
      </c>
      <c r="K98" s="1431">
        <v>1770.1</v>
      </c>
      <c r="L98" s="1432">
        <v>1809.8</v>
      </c>
      <c r="M98" s="1432">
        <v>1850</v>
      </c>
      <c r="N98" s="1431">
        <v>1886.8</v>
      </c>
      <c r="O98" s="1337"/>
      <c r="P98" s="1337"/>
      <c r="Q98" s="1337"/>
      <c r="R98" s="1337"/>
      <c r="S98" s="1337"/>
      <c r="T98" s="1337"/>
      <c r="U98" s="1337"/>
      <c r="V98" s="1337"/>
      <c r="W98" s="1337"/>
      <c r="X98" s="1337"/>
      <c r="Y98" s="1337"/>
      <c r="Z98" s="1337"/>
      <c r="AA98" s="1337"/>
      <c r="AB98" s="1337"/>
      <c r="AC98" s="1337"/>
      <c r="AD98" s="1337"/>
      <c r="AE98" s="1337"/>
      <c r="AF98" s="1337"/>
      <c r="AG98" s="1337"/>
      <c r="AH98" s="1337"/>
      <c r="AI98" s="1337"/>
      <c r="AJ98" s="1337"/>
      <c r="AK98" s="1337"/>
      <c r="AL98" s="1337"/>
      <c r="AM98" s="1337"/>
      <c r="AN98" s="1337"/>
      <c r="AO98" s="1337"/>
      <c r="AP98" s="1337"/>
      <c r="AQ98" s="1337"/>
      <c r="AR98" s="1337"/>
      <c r="AS98" s="1337"/>
      <c r="AT98" s="1337"/>
      <c r="AU98" s="1337"/>
      <c r="AV98" s="1337"/>
      <c r="AW98" s="1337"/>
      <c r="AX98" s="1337"/>
      <c r="AY98" s="1337"/>
      <c r="AZ98" s="1337"/>
      <c r="BA98" s="1337"/>
      <c r="BB98" s="1337"/>
      <c r="BC98" s="1337"/>
      <c r="BD98" s="1337"/>
      <c r="BE98" s="1337"/>
      <c r="BF98" s="1337"/>
      <c r="BG98" s="1337"/>
      <c r="BH98" s="1337"/>
      <c r="BI98" s="1337"/>
      <c r="BJ98" s="1337"/>
      <c r="BK98" s="1337"/>
      <c r="BL98" s="1337"/>
      <c r="BM98" s="1337"/>
      <c r="BN98" s="1337"/>
      <c r="BO98" s="1337"/>
      <c r="BP98" s="1337"/>
      <c r="BQ98" s="1337"/>
      <c r="BR98" s="1337"/>
      <c r="BS98" s="1337"/>
      <c r="BT98" s="1337"/>
      <c r="BU98" s="1337"/>
      <c r="BV98" s="1337"/>
      <c r="BW98" s="1337"/>
      <c r="BX98" s="1337"/>
      <c r="BY98" s="1337"/>
      <c r="BZ98" s="1337"/>
      <c r="CA98" s="1337"/>
      <c r="CB98" s="1337"/>
      <c r="CC98" s="1337"/>
      <c r="CD98" s="1337"/>
      <c r="CE98" s="1337"/>
      <c r="CF98" s="1337"/>
      <c r="CG98" s="1337"/>
      <c r="CH98" s="1337"/>
      <c r="CI98" s="1337"/>
      <c r="CJ98" s="1337"/>
      <c r="CK98" s="1337"/>
      <c r="CL98" s="1337"/>
      <c r="CM98" s="1337"/>
      <c r="CN98" s="1337"/>
      <c r="CO98" s="1337"/>
      <c r="CP98" s="1337"/>
      <c r="CQ98" s="1337"/>
      <c r="CR98" s="1337"/>
      <c r="CS98" s="1337"/>
      <c r="CT98" s="1337"/>
      <c r="CU98" s="1337"/>
      <c r="CV98" s="1337"/>
      <c r="CW98" s="1337"/>
      <c r="CX98" s="1337"/>
      <c r="CY98" s="1337"/>
      <c r="CZ98" s="1337"/>
      <c r="DA98" s="1337"/>
      <c r="DB98" s="1337"/>
      <c r="DC98" s="1337"/>
      <c r="DD98" s="1337"/>
      <c r="DE98" s="1337"/>
      <c r="DF98" s="1337"/>
      <c r="DG98" s="1337"/>
      <c r="DH98" s="1337"/>
      <c r="DI98" s="1337"/>
      <c r="DJ98" s="1337"/>
      <c r="DK98" s="1337"/>
      <c r="DL98" s="1337"/>
      <c r="DM98" s="1337"/>
      <c r="DN98" s="1337"/>
      <c r="DO98" s="1337"/>
      <c r="DP98" s="1337"/>
      <c r="DQ98" s="1337"/>
      <c r="DR98" s="1337"/>
      <c r="DS98" s="1337"/>
      <c r="DT98" s="1337"/>
      <c r="DU98" s="1337"/>
      <c r="DV98" s="1337"/>
      <c r="DW98" s="1337"/>
      <c r="DX98" s="1337"/>
      <c r="DY98" s="1337"/>
      <c r="DZ98" s="1337"/>
      <c r="EA98" s="1337"/>
      <c r="EB98" s="1337"/>
      <c r="EC98" s="1337"/>
      <c r="ED98" s="1337"/>
      <c r="EE98" s="1337"/>
      <c r="EF98" s="1337"/>
      <c r="EG98" s="1337"/>
      <c r="EH98" s="1337"/>
      <c r="EI98" s="1337"/>
      <c r="EJ98" s="1337"/>
      <c r="EK98" s="1337"/>
      <c r="EL98" s="1337"/>
      <c r="EM98" s="1337"/>
      <c r="EN98" s="1337"/>
      <c r="EO98" s="1337"/>
      <c r="EP98" s="1337"/>
      <c r="EQ98" s="1337"/>
      <c r="ER98" s="1337"/>
      <c r="ES98" s="1337"/>
      <c r="ET98" s="1337"/>
      <c r="EU98" s="1337"/>
      <c r="EV98" s="1337"/>
      <c r="EW98" s="1337"/>
      <c r="EX98" s="1337"/>
      <c r="EY98" s="1337"/>
      <c r="EZ98" s="1337"/>
      <c r="FA98" s="1337"/>
      <c r="FB98" s="1337"/>
      <c r="FC98" s="1337"/>
      <c r="FD98" s="1337"/>
      <c r="FE98" s="1337"/>
      <c r="FF98" s="1337"/>
      <c r="FG98" s="1337"/>
      <c r="FH98" s="1337"/>
      <c r="FI98" s="1337"/>
      <c r="FJ98" s="1337"/>
      <c r="FK98" s="1337"/>
      <c r="FL98" s="1337"/>
      <c r="FM98" s="1337"/>
      <c r="FN98" s="1337"/>
      <c r="FO98" s="1337"/>
      <c r="FP98" s="1337"/>
      <c r="FQ98" s="1337"/>
      <c r="FR98" s="1337"/>
      <c r="FS98" s="1337"/>
      <c r="FT98" s="1337"/>
      <c r="FU98" s="1337"/>
      <c r="FV98" s="1337"/>
      <c r="FW98" s="1337"/>
      <c r="FX98" s="1337"/>
      <c r="FY98" s="1337"/>
      <c r="FZ98" s="1337"/>
      <c r="GA98" s="1337"/>
      <c r="GB98" s="1337"/>
      <c r="GC98" s="1337"/>
      <c r="GD98" s="1337"/>
      <c r="GE98" s="1337"/>
      <c r="GF98" s="1337"/>
      <c r="GG98" s="1337"/>
      <c r="GH98" s="1337"/>
      <c r="GI98" s="1337"/>
      <c r="GJ98" s="1337"/>
      <c r="GK98" s="1337"/>
      <c r="GL98" s="1337"/>
      <c r="GM98" s="1337"/>
      <c r="GN98" s="1337"/>
      <c r="GO98" s="1337"/>
      <c r="GP98" s="1337"/>
      <c r="GQ98" s="1337"/>
      <c r="GR98" s="1337"/>
      <c r="GS98" s="1337"/>
      <c r="GT98" s="1337"/>
      <c r="GU98" s="1337"/>
      <c r="GV98" s="1337"/>
      <c r="GW98" s="1337"/>
      <c r="GX98" s="1337"/>
      <c r="GY98" s="1337"/>
      <c r="GZ98" s="1337"/>
      <c r="HA98" s="1337"/>
      <c r="HB98" s="1337"/>
      <c r="HC98" s="1337"/>
      <c r="HD98" s="1337"/>
      <c r="HE98" s="1337"/>
      <c r="HF98" s="1337"/>
      <c r="HG98" s="1337"/>
      <c r="HH98" s="1337"/>
      <c r="HI98" s="1337"/>
      <c r="HJ98" s="1337"/>
      <c r="HK98" s="1337"/>
      <c r="HL98" s="1337"/>
      <c r="HM98" s="1337"/>
      <c r="HN98" s="1337"/>
      <c r="HO98" s="1337"/>
      <c r="HP98" s="1337"/>
      <c r="HQ98" s="1337"/>
      <c r="HR98" s="1337"/>
      <c r="HS98" s="1337"/>
      <c r="HT98" s="1337"/>
      <c r="HU98" s="1337"/>
      <c r="HV98" s="1337"/>
      <c r="HW98" s="1337"/>
      <c r="HX98" s="1337"/>
      <c r="HY98" s="1337"/>
      <c r="HZ98" s="1337"/>
      <c r="IA98" s="1337"/>
      <c r="IB98" s="1337"/>
      <c r="IC98" s="1337"/>
      <c r="ID98" s="1337"/>
      <c r="IE98" s="1337"/>
      <c r="IF98" s="1337"/>
      <c r="IG98" s="1337"/>
      <c r="IH98" s="1337"/>
      <c r="II98" s="1337"/>
      <c r="IJ98" s="1337"/>
      <c r="IK98" s="1337"/>
      <c r="IL98" s="1337"/>
      <c r="IM98" s="1337"/>
      <c r="IN98" s="1337"/>
      <c r="IO98" s="1337"/>
      <c r="IP98" s="1337"/>
      <c r="IQ98" s="1337"/>
      <c r="IR98" s="1337"/>
      <c r="IS98" s="1337"/>
      <c r="IT98" s="1337"/>
      <c r="IU98" s="1337"/>
      <c r="IV98" s="1337"/>
    </row>
    <row r="99" spans="1:256" ht="13.5" thickBot="1">
      <c r="A99" s="1416" t="s">
        <v>1114</v>
      </c>
      <c r="B99" s="1417">
        <v>4552</v>
      </c>
      <c r="C99" s="1417">
        <v>4818.5</v>
      </c>
      <c r="D99" s="1418">
        <v>5114</v>
      </c>
      <c r="E99" s="1418">
        <v>5133</v>
      </c>
      <c r="F99" s="1418">
        <v>5564.4</v>
      </c>
      <c r="G99" s="1418">
        <v>4929.3</v>
      </c>
      <c r="H99" s="1418">
        <v>5208.6000000000004</v>
      </c>
      <c r="I99" s="1418">
        <v>5981.7</v>
      </c>
      <c r="J99" s="1418">
        <v>5968.2</v>
      </c>
      <c r="K99" s="1418">
        <v>6005.2</v>
      </c>
      <c r="L99" s="1419">
        <v>5791.1</v>
      </c>
      <c r="M99" s="1419">
        <v>5974.7</v>
      </c>
      <c r="N99" s="1418">
        <v>6014.4</v>
      </c>
      <c r="O99" s="1337"/>
      <c r="P99" s="1337"/>
      <c r="Q99" s="1337"/>
      <c r="R99" s="1337"/>
      <c r="S99" s="1337"/>
      <c r="T99" s="1337"/>
      <c r="U99" s="1337"/>
      <c r="V99" s="1337"/>
      <c r="W99" s="1337"/>
      <c r="X99" s="1337"/>
      <c r="Y99" s="1337"/>
      <c r="Z99" s="1337"/>
      <c r="AA99" s="1337"/>
      <c r="AB99" s="1337"/>
      <c r="AC99" s="1337"/>
      <c r="AD99" s="1337"/>
      <c r="AE99" s="1337"/>
      <c r="AF99" s="1337"/>
      <c r="AG99" s="1337"/>
      <c r="AH99" s="1337"/>
      <c r="AI99" s="1337"/>
      <c r="AJ99" s="1337"/>
      <c r="AK99" s="1337"/>
      <c r="AL99" s="1337"/>
      <c r="AM99" s="1337"/>
      <c r="AN99" s="1337"/>
      <c r="AO99" s="1337"/>
      <c r="AP99" s="1337"/>
      <c r="AQ99" s="1337"/>
      <c r="AR99" s="1337"/>
      <c r="AS99" s="1337"/>
      <c r="AT99" s="1337"/>
      <c r="AU99" s="1337"/>
      <c r="AV99" s="1337"/>
      <c r="AW99" s="1337"/>
      <c r="AX99" s="1337"/>
      <c r="AY99" s="1337"/>
      <c r="AZ99" s="1337"/>
      <c r="BA99" s="1337"/>
      <c r="BB99" s="1337"/>
      <c r="BC99" s="1337"/>
      <c r="BD99" s="1337"/>
      <c r="BE99" s="1337"/>
      <c r="BF99" s="1337"/>
      <c r="BG99" s="1337"/>
      <c r="BH99" s="1337"/>
      <c r="BI99" s="1337"/>
      <c r="BJ99" s="1337"/>
      <c r="BK99" s="1337"/>
      <c r="BL99" s="1337"/>
      <c r="BM99" s="1337"/>
      <c r="BN99" s="1337"/>
      <c r="BO99" s="1337"/>
      <c r="BP99" s="1337"/>
      <c r="BQ99" s="1337"/>
      <c r="BR99" s="1337"/>
      <c r="BS99" s="1337"/>
      <c r="BT99" s="1337"/>
      <c r="BU99" s="1337"/>
      <c r="BV99" s="1337"/>
      <c r="BW99" s="1337"/>
      <c r="BX99" s="1337"/>
      <c r="BY99" s="1337"/>
      <c r="BZ99" s="1337"/>
      <c r="CA99" s="1337"/>
      <c r="CB99" s="1337"/>
      <c r="CC99" s="1337"/>
      <c r="CD99" s="1337"/>
      <c r="CE99" s="1337"/>
      <c r="CF99" s="1337"/>
      <c r="CG99" s="1337"/>
      <c r="CH99" s="1337"/>
      <c r="CI99" s="1337"/>
      <c r="CJ99" s="1337"/>
      <c r="CK99" s="1337"/>
      <c r="CL99" s="1337"/>
      <c r="CM99" s="1337"/>
      <c r="CN99" s="1337"/>
      <c r="CO99" s="1337"/>
      <c r="CP99" s="1337"/>
      <c r="CQ99" s="1337"/>
      <c r="CR99" s="1337"/>
      <c r="CS99" s="1337"/>
      <c r="CT99" s="1337"/>
      <c r="CU99" s="1337"/>
      <c r="CV99" s="1337"/>
      <c r="CW99" s="1337"/>
      <c r="CX99" s="1337"/>
      <c r="CY99" s="1337"/>
      <c r="CZ99" s="1337"/>
      <c r="DA99" s="1337"/>
      <c r="DB99" s="1337"/>
      <c r="DC99" s="1337"/>
      <c r="DD99" s="1337"/>
      <c r="DE99" s="1337"/>
      <c r="DF99" s="1337"/>
      <c r="DG99" s="1337"/>
      <c r="DH99" s="1337"/>
      <c r="DI99" s="1337"/>
      <c r="DJ99" s="1337"/>
      <c r="DK99" s="1337"/>
      <c r="DL99" s="1337"/>
      <c r="DM99" s="1337"/>
      <c r="DN99" s="1337"/>
      <c r="DO99" s="1337"/>
      <c r="DP99" s="1337"/>
      <c r="DQ99" s="1337"/>
      <c r="DR99" s="1337"/>
      <c r="DS99" s="1337"/>
      <c r="DT99" s="1337"/>
      <c r="DU99" s="1337"/>
      <c r="DV99" s="1337"/>
      <c r="DW99" s="1337"/>
      <c r="DX99" s="1337"/>
      <c r="DY99" s="1337"/>
      <c r="DZ99" s="1337"/>
      <c r="EA99" s="1337"/>
      <c r="EB99" s="1337"/>
      <c r="EC99" s="1337"/>
      <c r="ED99" s="1337"/>
      <c r="EE99" s="1337"/>
      <c r="EF99" s="1337"/>
      <c r="EG99" s="1337"/>
      <c r="EH99" s="1337"/>
      <c r="EI99" s="1337"/>
      <c r="EJ99" s="1337"/>
      <c r="EK99" s="1337"/>
      <c r="EL99" s="1337"/>
      <c r="EM99" s="1337"/>
      <c r="EN99" s="1337"/>
      <c r="EO99" s="1337"/>
      <c r="EP99" s="1337"/>
      <c r="EQ99" s="1337"/>
      <c r="ER99" s="1337"/>
      <c r="ES99" s="1337"/>
      <c r="ET99" s="1337"/>
      <c r="EU99" s="1337"/>
      <c r="EV99" s="1337"/>
      <c r="EW99" s="1337"/>
      <c r="EX99" s="1337"/>
      <c r="EY99" s="1337"/>
      <c r="EZ99" s="1337"/>
      <c r="FA99" s="1337"/>
      <c r="FB99" s="1337"/>
      <c r="FC99" s="1337"/>
      <c r="FD99" s="1337"/>
      <c r="FE99" s="1337"/>
      <c r="FF99" s="1337"/>
      <c r="FG99" s="1337"/>
      <c r="FH99" s="1337"/>
      <c r="FI99" s="1337"/>
      <c r="FJ99" s="1337"/>
      <c r="FK99" s="1337"/>
      <c r="FL99" s="1337"/>
      <c r="FM99" s="1337"/>
      <c r="FN99" s="1337"/>
      <c r="FO99" s="1337"/>
      <c r="FP99" s="1337"/>
      <c r="FQ99" s="1337"/>
      <c r="FR99" s="1337"/>
      <c r="FS99" s="1337"/>
      <c r="FT99" s="1337"/>
      <c r="FU99" s="1337"/>
      <c r="FV99" s="1337"/>
      <c r="FW99" s="1337"/>
      <c r="FX99" s="1337"/>
      <c r="FY99" s="1337"/>
      <c r="FZ99" s="1337"/>
      <c r="GA99" s="1337"/>
      <c r="GB99" s="1337"/>
      <c r="GC99" s="1337"/>
      <c r="GD99" s="1337"/>
      <c r="GE99" s="1337"/>
      <c r="GF99" s="1337"/>
      <c r="GG99" s="1337"/>
      <c r="GH99" s="1337"/>
      <c r="GI99" s="1337"/>
      <c r="GJ99" s="1337"/>
      <c r="GK99" s="1337"/>
      <c r="GL99" s="1337"/>
      <c r="GM99" s="1337"/>
      <c r="GN99" s="1337"/>
      <c r="GO99" s="1337"/>
      <c r="GP99" s="1337"/>
      <c r="GQ99" s="1337"/>
      <c r="GR99" s="1337"/>
      <c r="GS99" s="1337"/>
      <c r="GT99" s="1337"/>
      <c r="GU99" s="1337"/>
      <c r="GV99" s="1337"/>
      <c r="GW99" s="1337"/>
      <c r="GX99" s="1337"/>
      <c r="GY99" s="1337"/>
      <c r="GZ99" s="1337"/>
      <c r="HA99" s="1337"/>
      <c r="HB99" s="1337"/>
      <c r="HC99" s="1337"/>
      <c r="HD99" s="1337"/>
      <c r="HE99" s="1337"/>
      <c r="HF99" s="1337"/>
      <c r="HG99" s="1337"/>
      <c r="HH99" s="1337"/>
      <c r="HI99" s="1337"/>
      <c r="HJ99" s="1337"/>
      <c r="HK99" s="1337"/>
      <c r="HL99" s="1337"/>
      <c r="HM99" s="1337"/>
      <c r="HN99" s="1337"/>
      <c r="HO99" s="1337"/>
      <c r="HP99" s="1337"/>
      <c r="HQ99" s="1337"/>
      <c r="HR99" s="1337"/>
      <c r="HS99" s="1337"/>
      <c r="HT99" s="1337"/>
      <c r="HU99" s="1337"/>
      <c r="HV99" s="1337"/>
      <c r="HW99" s="1337"/>
      <c r="HX99" s="1337"/>
      <c r="HY99" s="1337"/>
      <c r="HZ99" s="1337"/>
      <c r="IA99" s="1337"/>
      <c r="IB99" s="1337"/>
      <c r="IC99" s="1337"/>
      <c r="ID99" s="1337"/>
      <c r="IE99" s="1337"/>
      <c r="IF99" s="1337"/>
      <c r="IG99" s="1337"/>
      <c r="IH99" s="1337"/>
      <c r="II99" s="1337"/>
      <c r="IJ99" s="1337"/>
      <c r="IK99" s="1337"/>
      <c r="IL99" s="1337"/>
      <c r="IM99" s="1337"/>
      <c r="IN99" s="1337"/>
      <c r="IO99" s="1337"/>
      <c r="IP99" s="1337"/>
      <c r="IQ99" s="1337"/>
      <c r="IR99" s="1337"/>
      <c r="IS99" s="1337"/>
      <c r="IT99" s="1337"/>
      <c r="IU99" s="1337"/>
      <c r="IV99" s="1337"/>
    </row>
    <row r="100" spans="1:256" ht="13.5" thickTop="1">
      <c r="A100" s="1420" t="s">
        <v>1138</v>
      </c>
      <c r="B100" s="1421">
        <v>1461.9</v>
      </c>
      <c r="C100" s="1421">
        <v>1577</v>
      </c>
      <c r="D100" s="1422">
        <v>1666.6</v>
      </c>
      <c r="E100" s="1422">
        <v>1814.4</v>
      </c>
      <c r="F100" s="1422">
        <v>2115.6</v>
      </c>
      <c r="G100" s="1422">
        <v>1856.1</v>
      </c>
      <c r="H100" s="1422">
        <v>1814.6</v>
      </c>
      <c r="I100" s="1422">
        <v>2036.6</v>
      </c>
      <c r="J100" s="1422">
        <v>1990.2</v>
      </c>
      <c r="K100" s="1422">
        <v>2064.4</v>
      </c>
      <c r="L100" s="1424">
        <v>2017.6</v>
      </c>
      <c r="M100" s="1424">
        <v>2015.5</v>
      </c>
      <c r="N100" s="1422">
        <v>2044.5</v>
      </c>
      <c r="O100" s="1337"/>
      <c r="P100" s="1337"/>
      <c r="Q100" s="1337"/>
      <c r="R100" s="1337"/>
      <c r="S100" s="1337"/>
      <c r="T100" s="1337"/>
      <c r="U100" s="1337"/>
      <c r="V100" s="1337"/>
      <c r="W100" s="1337"/>
      <c r="X100" s="1337"/>
      <c r="Y100" s="1337"/>
      <c r="Z100" s="1337"/>
      <c r="AA100" s="1337"/>
      <c r="AB100" s="1337"/>
      <c r="AC100" s="1337"/>
      <c r="AD100" s="1337"/>
      <c r="AE100" s="1337"/>
      <c r="AF100" s="1337"/>
      <c r="AG100" s="1337"/>
      <c r="AH100" s="1337"/>
      <c r="AI100" s="1337"/>
      <c r="AJ100" s="1337"/>
      <c r="AK100" s="1337"/>
      <c r="AL100" s="1337"/>
      <c r="AM100" s="1337"/>
      <c r="AN100" s="1337"/>
      <c r="AO100" s="1337"/>
      <c r="AP100" s="1337"/>
      <c r="AQ100" s="1337"/>
      <c r="AR100" s="1337"/>
      <c r="AS100" s="1337"/>
      <c r="AT100" s="1337"/>
      <c r="AU100" s="1337"/>
      <c r="AV100" s="1337"/>
      <c r="AW100" s="1337"/>
      <c r="AX100" s="1337"/>
      <c r="AY100" s="1337"/>
      <c r="AZ100" s="1337"/>
      <c r="BA100" s="1337"/>
      <c r="BB100" s="1337"/>
      <c r="BC100" s="1337"/>
      <c r="BD100" s="1337"/>
      <c r="BE100" s="1337"/>
      <c r="BF100" s="1337"/>
      <c r="BG100" s="1337"/>
      <c r="BH100" s="1337"/>
      <c r="BI100" s="1337"/>
      <c r="BJ100" s="1337"/>
      <c r="BK100" s="1337"/>
      <c r="BL100" s="1337"/>
      <c r="BM100" s="1337"/>
      <c r="BN100" s="1337"/>
      <c r="BO100" s="1337"/>
      <c r="BP100" s="1337"/>
      <c r="BQ100" s="1337"/>
      <c r="BR100" s="1337"/>
      <c r="BS100" s="1337"/>
      <c r="BT100" s="1337"/>
      <c r="BU100" s="1337"/>
      <c r="BV100" s="1337"/>
      <c r="BW100" s="1337"/>
      <c r="BX100" s="1337"/>
      <c r="BY100" s="1337"/>
      <c r="BZ100" s="1337"/>
      <c r="CA100" s="1337"/>
      <c r="CB100" s="1337"/>
      <c r="CC100" s="1337"/>
      <c r="CD100" s="1337"/>
      <c r="CE100" s="1337"/>
      <c r="CF100" s="1337"/>
      <c r="CG100" s="1337"/>
      <c r="CH100" s="1337"/>
      <c r="CI100" s="1337"/>
      <c r="CJ100" s="1337"/>
      <c r="CK100" s="1337"/>
      <c r="CL100" s="1337"/>
      <c r="CM100" s="1337"/>
      <c r="CN100" s="1337"/>
      <c r="CO100" s="1337"/>
      <c r="CP100" s="1337"/>
      <c r="CQ100" s="1337"/>
      <c r="CR100" s="1337"/>
      <c r="CS100" s="1337"/>
      <c r="CT100" s="1337"/>
      <c r="CU100" s="1337"/>
      <c r="CV100" s="1337"/>
      <c r="CW100" s="1337"/>
      <c r="CX100" s="1337"/>
      <c r="CY100" s="1337"/>
      <c r="CZ100" s="1337"/>
      <c r="DA100" s="1337"/>
      <c r="DB100" s="1337"/>
      <c r="DC100" s="1337"/>
      <c r="DD100" s="1337"/>
      <c r="DE100" s="1337"/>
      <c r="DF100" s="1337"/>
      <c r="DG100" s="1337"/>
      <c r="DH100" s="1337"/>
      <c r="DI100" s="1337"/>
      <c r="DJ100" s="1337"/>
      <c r="DK100" s="1337"/>
      <c r="DL100" s="1337"/>
      <c r="DM100" s="1337"/>
      <c r="DN100" s="1337"/>
      <c r="DO100" s="1337"/>
      <c r="DP100" s="1337"/>
      <c r="DQ100" s="1337"/>
      <c r="DR100" s="1337"/>
      <c r="DS100" s="1337"/>
      <c r="DT100" s="1337"/>
      <c r="DU100" s="1337"/>
      <c r="DV100" s="1337"/>
      <c r="DW100" s="1337"/>
      <c r="DX100" s="1337"/>
      <c r="DY100" s="1337"/>
      <c r="DZ100" s="1337"/>
      <c r="EA100" s="1337"/>
      <c r="EB100" s="1337"/>
      <c r="EC100" s="1337"/>
      <c r="ED100" s="1337"/>
      <c r="EE100" s="1337"/>
      <c r="EF100" s="1337"/>
      <c r="EG100" s="1337"/>
      <c r="EH100" s="1337"/>
      <c r="EI100" s="1337"/>
      <c r="EJ100" s="1337"/>
      <c r="EK100" s="1337"/>
      <c r="EL100" s="1337"/>
      <c r="EM100" s="1337"/>
      <c r="EN100" s="1337"/>
      <c r="EO100" s="1337"/>
      <c r="EP100" s="1337"/>
      <c r="EQ100" s="1337"/>
      <c r="ER100" s="1337"/>
      <c r="ES100" s="1337"/>
      <c r="ET100" s="1337"/>
      <c r="EU100" s="1337"/>
      <c r="EV100" s="1337"/>
      <c r="EW100" s="1337"/>
      <c r="EX100" s="1337"/>
      <c r="EY100" s="1337"/>
      <c r="EZ100" s="1337"/>
      <c r="FA100" s="1337"/>
      <c r="FB100" s="1337"/>
      <c r="FC100" s="1337"/>
      <c r="FD100" s="1337"/>
      <c r="FE100" s="1337"/>
      <c r="FF100" s="1337"/>
      <c r="FG100" s="1337"/>
      <c r="FH100" s="1337"/>
      <c r="FI100" s="1337"/>
      <c r="FJ100" s="1337"/>
      <c r="FK100" s="1337"/>
      <c r="FL100" s="1337"/>
      <c r="FM100" s="1337"/>
      <c r="FN100" s="1337"/>
      <c r="FO100" s="1337"/>
      <c r="FP100" s="1337"/>
      <c r="FQ100" s="1337"/>
      <c r="FR100" s="1337"/>
      <c r="FS100" s="1337"/>
      <c r="FT100" s="1337"/>
      <c r="FU100" s="1337"/>
      <c r="FV100" s="1337"/>
      <c r="FW100" s="1337"/>
      <c r="FX100" s="1337"/>
      <c r="FY100" s="1337"/>
      <c r="FZ100" s="1337"/>
      <c r="GA100" s="1337"/>
      <c r="GB100" s="1337"/>
      <c r="GC100" s="1337"/>
      <c r="GD100" s="1337"/>
      <c r="GE100" s="1337"/>
      <c r="GF100" s="1337"/>
      <c r="GG100" s="1337"/>
      <c r="GH100" s="1337"/>
      <c r="GI100" s="1337"/>
      <c r="GJ100" s="1337"/>
      <c r="GK100" s="1337"/>
      <c r="GL100" s="1337"/>
      <c r="GM100" s="1337"/>
      <c r="GN100" s="1337"/>
      <c r="GO100" s="1337"/>
      <c r="GP100" s="1337"/>
      <c r="GQ100" s="1337"/>
      <c r="GR100" s="1337"/>
      <c r="GS100" s="1337"/>
      <c r="GT100" s="1337"/>
      <c r="GU100" s="1337"/>
      <c r="GV100" s="1337"/>
      <c r="GW100" s="1337"/>
      <c r="GX100" s="1337"/>
      <c r="GY100" s="1337"/>
      <c r="GZ100" s="1337"/>
      <c r="HA100" s="1337"/>
      <c r="HB100" s="1337"/>
      <c r="HC100" s="1337"/>
      <c r="HD100" s="1337"/>
      <c r="HE100" s="1337"/>
      <c r="HF100" s="1337"/>
      <c r="HG100" s="1337"/>
      <c r="HH100" s="1337"/>
      <c r="HI100" s="1337"/>
      <c r="HJ100" s="1337"/>
      <c r="HK100" s="1337"/>
      <c r="HL100" s="1337"/>
      <c r="HM100" s="1337"/>
      <c r="HN100" s="1337"/>
      <c r="HO100" s="1337"/>
      <c r="HP100" s="1337"/>
      <c r="HQ100" s="1337"/>
      <c r="HR100" s="1337"/>
      <c r="HS100" s="1337"/>
      <c r="HT100" s="1337"/>
      <c r="HU100" s="1337"/>
      <c r="HV100" s="1337"/>
      <c r="HW100" s="1337"/>
      <c r="HX100" s="1337"/>
      <c r="HY100" s="1337"/>
      <c r="HZ100" s="1337"/>
      <c r="IA100" s="1337"/>
      <c r="IB100" s="1337"/>
      <c r="IC100" s="1337"/>
      <c r="ID100" s="1337"/>
      <c r="IE100" s="1337"/>
      <c r="IF100" s="1337"/>
      <c r="IG100" s="1337"/>
      <c r="IH100" s="1337"/>
      <c r="II100" s="1337"/>
      <c r="IJ100" s="1337"/>
      <c r="IK100" s="1337"/>
      <c r="IL100" s="1337"/>
      <c r="IM100" s="1337"/>
      <c r="IN100" s="1337"/>
      <c r="IO100" s="1337"/>
      <c r="IP100" s="1337"/>
      <c r="IQ100" s="1337"/>
      <c r="IR100" s="1337"/>
      <c r="IS100" s="1337"/>
      <c r="IT100" s="1337"/>
      <c r="IU100" s="1337"/>
      <c r="IV100" s="1337"/>
    </row>
    <row r="101" spans="1:256">
      <c r="A101" s="1380" t="s">
        <v>1139</v>
      </c>
      <c r="B101" s="1361">
        <v>17002</v>
      </c>
      <c r="C101" s="1361">
        <v>18340</v>
      </c>
      <c r="D101" s="1362">
        <v>19382</v>
      </c>
      <c r="E101" s="1362">
        <v>21102</v>
      </c>
      <c r="F101" s="1362">
        <v>24604</v>
      </c>
      <c r="G101" s="1362">
        <v>21585.9</v>
      </c>
      <c r="H101" s="1362">
        <v>21103.5</v>
      </c>
      <c r="I101" s="1362">
        <v>23685.200000000001</v>
      </c>
      <c r="J101" s="1362">
        <v>23146.5</v>
      </c>
      <c r="K101" s="1362">
        <v>24008.799999999999</v>
      </c>
      <c r="L101" s="1373">
        <v>23464.6</v>
      </c>
      <c r="M101" s="1373">
        <v>23440.7</v>
      </c>
      <c r="N101" s="1362">
        <v>23777.599999999999</v>
      </c>
      <c r="O101" s="1337"/>
      <c r="P101" s="1337"/>
      <c r="Q101" s="1337"/>
      <c r="R101" s="1337"/>
      <c r="S101" s="1337"/>
      <c r="T101" s="1337"/>
      <c r="U101" s="1337"/>
      <c r="V101" s="1337"/>
      <c r="W101" s="1337"/>
      <c r="X101" s="1337"/>
      <c r="Y101" s="1337"/>
      <c r="Z101" s="1337"/>
      <c r="AA101" s="1337"/>
      <c r="AB101" s="1337"/>
      <c r="AC101" s="1337"/>
      <c r="AD101" s="1337"/>
      <c r="AE101" s="1337"/>
      <c r="AF101" s="1337"/>
      <c r="AG101" s="1337"/>
      <c r="AH101" s="1337"/>
      <c r="AI101" s="1337"/>
      <c r="AJ101" s="1337"/>
      <c r="AK101" s="1337"/>
      <c r="AL101" s="1337"/>
      <c r="AM101" s="1337"/>
      <c r="AN101" s="1337"/>
      <c r="AO101" s="1337"/>
      <c r="AP101" s="1337"/>
      <c r="AQ101" s="1337"/>
      <c r="AR101" s="1337"/>
      <c r="AS101" s="1337"/>
      <c r="AT101" s="1337"/>
      <c r="AU101" s="1337"/>
      <c r="AV101" s="1337"/>
      <c r="AW101" s="1337"/>
      <c r="AX101" s="1337"/>
      <c r="AY101" s="1337"/>
      <c r="AZ101" s="1337"/>
      <c r="BA101" s="1337"/>
      <c r="BB101" s="1337"/>
      <c r="BC101" s="1337"/>
      <c r="BD101" s="1337"/>
      <c r="BE101" s="1337"/>
      <c r="BF101" s="1337"/>
      <c r="BG101" s="1337"/>
      <c r="BH101" s="1337"/>
      <c r="BI101" s="1337"/>
      <c r="BJ101" s="1337"/>
      <c r="BK101" s="1337"/>
      <c r="BL101" s="1337"/>
      <c r="BM101" s="1337"/>
      <c r="BN101" s="1337"/>
      <c r="BO101" s="1337"/>
      <c r="BP101" s="1337"/>
      <c r="BQ101" s="1337"/>
      <c r="BR101" s="1337"/>
      <c r="BS101" s="1337"/>
      <c r="BT101" s="1337"/>
      <c r="BU101" s="1337"/>
      <c r="BV101" s="1337"/>
      <c r="BW101" s="1337"/>
      <c r="BX101" s="1337"/>
      <c r="BY101" s="1337"/>
      <c r="BZ101" s="1337"/>
      <c r="CA101" s="1337"/>
      <c r="CB101" s="1337"/>
      <c r="CC101" s="1337"/>
      <c r="CD101" s="1337"/>
      <c r="CE101" s="1337"/>
      <c r="CF101" s="1337"/>
      <c r="CG101" s="1337"/>
      <c r="CH101" s="1337"/>
      <c r="CI101" s="1337"/>
      <c r="CJ101" s="1337"/>
      <c r="CK101" s="1337"/>
      <c r="CL101" s="1337"/>
      <c r="CM101" s="1337"/>
      <c r="CN101" s="1337"/>
      <c r="CO101" s="1337"/>
      <c r="CP101" s="1337"/>
      <c r="CQ101" s="1337"/>
      <c r="CR101" s="1337"/>
      <c r="CS101" s="1337"/>
      <c r="CT101" s="1337"/>
      <c r="CU101" s="1337"/>
      <c r="CV101" s="1337"/>
      <c r="CW101" s="1337"/>
      <c r="CX101" s="1337"/>
      <c r="CY101" s="1337"/>
      <c r="CZ101" s="1337"/>
      <c r="DA101" s="1337"/>
      <c r="DB101" s="1337"/>
      <c r="DC101" s="1337"/>
      <c r="DD101" s="1337"/>
      <c r="DE101" s="1337"/>
      <c r="DF101" s="1337"/>
      <c r="DG101" s="1337"/>
      <c r="DH101" s="1337"/>
      <c r="DI101" s="1337"/>
      <c r="DJ101" s="1337"/>
      <c r="DK101" s="1337"/>
      <c r="DL101" s="1337"/>
      <c r="DM101" s="1337"/>
      <c r="DN101" s="1337"/>
      <c r="DO101" s="1337"/>
      <c r="DP101" s="1337"/>
      <c r="DQ101" s="1337"/>
      <c r="DR101" s="1337"/>
      <c r="DS101" s="1337"/>
      <c r="DT101" s="1337"/>
      <c r="DU101" s="1337"/>
      <c r="DV101" s="1337"/>
      <c r="DW101" s="1337"/>
      <c r="DX101" s="1337"/>
      <c r="DY101" s="1337"/>
      <c r="DZ101" s="1337"/>
      <c r="EA101" s="1337"/>
      <c r="EB101" s="1337"/>
      <c r="EC101" s="1337"/>
      <c r="ED101" s="1337"/>
      <c r="EE101" s="1337"/>
      <c r="EF101" s="1337"/>
      <c r="EG101" s="1337"/>
      <c r="EH101" s="1337"/>
      <c r="EI101" s="1337"/>
      <c r="EJ101" s="1337"/>
      <c r="EK101" s="1337"/>
      <c r="EL101" s="1337"/>
      <c r="EM101" s="1337"/>
      <c r="EN101" s="1337"/>
      <c r="EO101" s="1337"/>
      <c r="EP101" s="1337"/>
      <c r="EQ101" s="1337"/>
      <c r="ER101" s="1337"/>
      <c r="ES101" s="1337"/>
      <c r="ET101" s="1337"/>
      <c r="EU101" s="1337"/>
      <c r="EV101" s="1337"/>
      <c r="EW101" s="1337"/>
      <c r="EX101" s="1337"/>
      <c r="EY101" s="1337"/>
      <c r="EZ101" s="1337"/>
      <c r="FA101" s="1337"/>
      <c r="FB101" s="1337"/>
      <c r="FC101" s="1337"/>
      <c r="FD101" s="1337"/>
      <c r="FE101" s="1337"/>
      <c r="FF101" s="1337"/>
      <c r="FG101" s="1337"/>
      <c r="FH101" s="1337"/>
      <c r="FI101" s="1337"/>
      <c r="FJ101" s="1337"/>
      <c r="FK101" s="1337"/>
      <c r="FL101" s="1337"/>
      <c r="FM101" s="1337"/>
      <c r="FN101" s="1337"/>
      <c r="FO101" s="1337"/>
      <c r="FP101" s="1337"/>
      <c r="FQ101" s="1337"/>
      <c r="FR101" s="1337"/>
      <c r="FS101" s="1337"/>
      <c r="FT101" s="1337"/>
      <c r="FU101" s="1337"/>
      <c r="FV101" s="1337"/>
      <c r="FW101" s="1337"/>
      <c r="FX101" s="1337"/>
      <c r="FY101" s="1337"/>
      <c r="FZ101" s="1337"/>
      <c r="GA101" s="1337"/>
      <c r="GB101" s="1337"/>
      <c r="GC101" s="1337"/>
      <c r="GD101" s="1337"/>
      <c r="GE101" s="1337"/>
      <c r="GF101" s="1337"/>
      <c r="GG101" s="1337"/>
      <c r="GH101" s="1337"/>
      <c r="GI101" s="1337"/>
      <c r="GJ101" s="1337"/>
      <c r="GK101" s="1337"/>
      <c r="GL101" s="1337"/>
      <c r="GM101" s="1337"/>
      <c r="GN101" s="1337"/>
      <c r="GO101" s="1337"/>
      <c r="GP101" s="1337"/>
      <c r="GQ101" s="1337"/>
      <c r="GR101" s="1337"/>
      <c r="GS101" s="1337"/>
      <c r="GT101" s="1337"/>
      <c r="GU101" s="1337"/>
      <c r="GV101" s="1337"/>
      <c r="GW101" s="1337"/>
      <c r="GX101" s="1337"/>
      <c r="GY101" s="1337"/>
      <c r="GZ101" s="1337"/>
      <c r="HA101" s="1337"/>
      <c r="HB101" s="1337"/>
      <c r="HC101" s="1337"/>
      <c r="HD101" s="1337"/>
      <c r="HE101" s="1337"/>
      <c r="HF101" s="1337"/>
      <c r="HG101" s="1337"/>
      <c r="HH101" s="1337"/>
      <c r="HI101" s="1337"/>
      <c r="HJ101" s="1337"/>
      <c r="HK101" s="1337"/>
      <c r="HL101" s="1337"/>
      <c r="HM101" s="1337"/>
      <c r="HN101" s="1337"/>
      <c r="HO101" s="1337"/>
      <c r="HP101" s="1337"/>
      <c r="HQ101" s="1337"/>
      <c r="HR101" s="1337"/>
      <c r="HS101" s="1337"/>
      <c r="HT101" s="1337"/>
      <c r="HU101" s="1337"/>
      <c r="HV101" s="1337"/>
      <c r="HW101" s="1337"/>
      <c r="HX101" s="1337"/>
      <c r="HY101" s="1337"/>
      <c r="HZ101" s="1337"/>
      <c r="IA101" s="1337"/>
      <c r="IB101" s="1337"/>
      <c r="IC101" s="1337"/>
      <c r="ID101" s="1337"/>
      <c r="IE101" s="1337"/>
      <c r="IF101" s="1337"/>
      <c r="IG101" s="1337"/>
      <c r="IH101" s="1337"/>
      <c r="II101" s="1337"/>
      <c r="IJ101" s="1337"/>
      <c r="IK101" s="1337"/>
      <c r="IL101" s="1337"/>
      <c r="IM101" s="1337"/>
      <c r="IN101" s="1337"/>
      <c r="IO101" s="1337"/>
      <c r="IP101" s="1337"/>
      <c r="IQ101" s="1337"/>
      <c r="IR101" s="1337"/>
      <c r="IS101" s="1337"/>
      <c r="IT101" s="1337"/>
      <c r="IU101" s="1337"/>
      <c r="IV101" s="1337"/>
    </row>
    <row r="102" spans="1:256">
      <c r="A102" s="1425" t="s">
        <v>1140</v>
      </c>
      <c r="B102" s="1436">
        <v>1153.4000000000001</v>
      </c>
      <c r="C102" s="1436">
        <v>1254.5</v>
      </c>
      <c r="D102" s="1437">
        <v>1331.3</v>
      </c>
      <c r="E102" s="1437">
        <v>1477.5</v>
      </c>
      <c r="F102" s="1437">
        <v>1558.1</v>
      </c>
      <c r="G102" s="1437">
        <v>1327.3</v>
      </c>
      <c r="H102" s="1437">
        <v>1420.8</v>
      </c>
      <c r="I102" s="1437">
        <v>1352.1</v>
      </c>
      <c r="J102" s="1437">
        <v>1549</v>
      </c>
      <c r="K102" s="1437">
        <v>1748.5</v>
      </c>
      <c r="L102" s="1438">
        <v>1547</v>
      </c>
      <c r="M102" s="1438">
        <v>1437.2</v>
      </c>
      <c r="N102" s="1437">
        <v>1372.7</v>
      </c>
      <c r="O102" s="1337"/>
      <c r="P102" s="1337"/>
      <c r="Q102" s="1337"/>
      <c r="R102" s="1337"/>
      <c r="S102" s="1337"/>
      <c r="T102" s="1337"/>
      <c r="U102" s="1337"/>
      <c r="V102" s="1337"/>
      <c r="W102" s="1337"/>
      <c r="X102" s="1337"/>
      <c r="Y102" s="1337"/>
      <c r="Z102" s="1337"/>
      <c r="AA102" s="1337"/>
      <c r="AB102" s="1337"/>
      <c r="AC102" s="1337"/>
      <c r="AD102" s="1337"/>
      <c r="AE102" s="1337"/>
      <c r="AF102" s="1337"/>
      <c r="AG102" s="1337"/>
      <c r="AH102" s="1337"/>
      <c r="AI102" s="1337"/>
      <c r="AJ102" s="1337"/>
      <c r="AK102" s="1337"/>
      <c r="AL102" s="1337"/>
      <c r="AM102" s="1337"/>
      <c r="AN102" s="1337"/>
      <c r="AO102" s="1337"/>
      <c r="AP102" s="1337"/>
      <c r="AQ102" s="1337"/>
      <c r="AR102" s="1337"/>
      <c r="AS102" s="1337"/>
      <c r="AT102" s="1337"/>
      <c r="AU102" s="1337"/>
      <c r="AV102" s="1337"/>
      <c r="AW102" s="1337"/>
      <c r="AX102" s="1337"/>
      <c r="AY102" s="1337"/>
      <c r="AZ102" s="1337"/>
      <c r="BA102" s="1337"/>
      <c r="BB102" s="1337"/>
      <c r="BC102" s="1337"/>
      <c r="BD102" s="1337"/>
      <c r="BE102" s="1337"/>
      <c r="BF102" s="1337"/>
      <c r="BG102" s="1337"/>
      <c r="BH102" s="1337"/>
      <c r="BI102" s="1337"/>
      <c r="BJ102" s="1337"/>
      <c r="BK102" s="1337"/>
      <c r="BL102" s="1337"/>
      <c r="BM102" s="1337"/>
      <c r="BN102" s="1337"/>
      <c r="BO102" s="1337"/>
      <c r="BP102" s="1337"/>
      <c r="BQ102" s="1337"/>
      <c r="BR102" s="1337"/>
      <c r="BS102" s="1337"/>
      <c r="BT102" s="1337"/>
      <c r="BU102" s="1337"/>
      <c r="BV102" s="1337"/>
      <c r="BW102" s="1337"/>
      <c r="BX102" s="1337"/>
      <c r="BY102" s="1337"/>
      <c r="BZ102" s="1337"/>
      <c r="CA102" s="1337"/>
      <c r="CB102" s="1337"/>
      <c r="CC102" s="1337"/>
      <c r="CD102" s="1337"/>
      <c r="CE102" s="1337"/>
      <c r="CF102" s="1337"/>
      <c r="CG102" s="1337"/>
      <c r="CH102" s="1337"/>
      <c r="CI102" s="1337"/>
      <c r="CJ102" s="1337"/>
      <c r="CK102" s="1337"/>
      <c r="CL102" s="1337"/>
      <c r="CM102" s="1337"/>
      <c r="CN102" s="1337"/>
      <c r="CO102" s="1337"/>
      <c r="CP102" s="1337"/>
      <c r="CQ102" s="1337"/>
      <c r="CR102" s="1337"/>
      <c r="CS102" s="1337"/>
      <c r="CT102" s="1337"/>
      <c r="CU102" s="1337"/>
      <c r="CV102" s="1337"/>
      <c r="CW102" s="1337"/>
      <c r="CX102" s="1337"/>
      <c r="CY102" s="1337"/>
      <c r="CZ102" s="1337"/>
      <c r="DA102" s="1337"/>
      <c r="DB102" s="1337"/>
      <c r="DC102" s="1337"/>
      <c r="DD102" s="1337"/>
      <c r="DE102" s="1337"/>
      <c r="DF102" s="1337"/>
      <c r="DG102" s="1337"/>
      <c r="DH102" s="1337"/>
      <c r="DI102" s="1337"/>
      <c r="DJ102" s="1337"/>
      <c r="DK102" s="1337"/>
      <c r="DL102" s="1337"/>
      <c r="DM102" s="1337"/>
      <c r="DN102" s="1337"/>
      <c r="DO102" s="1337"/>
      <c r="DP102" s="1337"/>
      <c r="DQ102" s="1337"/>
      <c r="DR102" s="1337"/>
      <c r="DS102" s="1337"/>
      <c r="DT102" s="1337"/>
      <c r="DU102" s="1337"/>
      <c r="DV102" s="1337"/>
      <c r="DW102" s="1337"/>
      <c r="DX102" s="1337"/>
      <c r="DY102" s="1337"/>
      <c r="DZ102" s="1337"/>
      <c r="EA102" s="1337"/>
      <c r="EB102" s="1337"/>
      <c r="EC102" s="1337"/>
      <c r="ED102" s="1337"/>
      <c r="EE102" s="1337"/>
      <c r="EF102" s="1337"/>
      <c r="EG102" s="1337"/>
      <c r="EH102" s="1337"/>
      <c r="EI102" s="1337"/>
      <c r="EJ102" s="1337"/>
      <c r="EK102" s="1337"/>
      <c r="EL102" s="1337"/>
      <c r="EM102" s="1337"/>
      <c r="EN102" s="1337"/>
      <c r="EO102" s="1337"/>
      <c r="EP102" s="1337"/>
      <c r="EQ102" s="1337"/>
      <c r="ER102" s="1337"/>
      <c r="ES102" s="1337"/>
      <c r="ET102" s="1337"/>
      <c r="EU102" s="1337"/>
      <c r="EV102" s="1337"/>
      <c r="EW102" s="1337"/>
      <c r="EX102" s="1337"/>
      <c r="EY102" s="1337"/>
      <c r="EZ102" s="1337"/>
      <c r="FA102" s="1337"/>
      <c r="FB102" s="1337"/>
      <c r="FC102" s="1337"/>
      <c r="FD102" s="1337"/>
      <c r="FE102" s="1337"/>
      <c r="FF102" s="1337"/>
      <c r="FG102" s="1337"/>
      <c r="FH102" s="1337"/>
      <c r="FI102" s="1337"/>
      <c r="FJ102" s="1337"/>
      <c r="FK102" s="1337"/>
      <c r="FL102" s="1337"/>
      <c r="FM102" s="1337"/>
      <c r="FN102" s="1337"/>
      <c r="FO102" s="1337"/>
      <c r="FP102" s="1337"/>
      <c r="FQ102" s="1337"/>
      <c r="FR102" s="1337"/>
      <c r="FS102" s="1337"/>
      <c r="FT102" s="1337"/>
      <c r="FU102" s="1337"/>
      <c r="FV102" s="1337"/>
      <c r="FW102" s="1337"/>
      <c r="FX102" s="1337"/>
      <c r="FY102" s="1337"/>
      <c r="FZ102" s="1337"/>
      <c r="GA102" s="1337"/>
      <c r="GB102" s="1337"/>
      <c r="GC102" s="1337"/>
      <c r="GD102" s="1337"/>
      <c r="GE102" s="1337"/>
      <c r="GF102" s="1337"/>
      <c r="GG102" s="1337"/>
      <c r="GH102" s="1337"/>
      <c r="GI102" s="1337"/>
      <c r="GJ102" s="1337"/>
      <c r="GK102" s="1337"/>
      <c r="GL102" s="1337"/>
      <c r="GM102" s="1337"/>
      <c r="GN102" s="1337"/>
      <c r="GO102" s="1337"/>
      <c r="GP102" s="1337"/>
      <c r="GQ102" s="1337"/>
      <c r="GR102" s="1337"/>
      <c r="GS102" s="1337"/>
      <c r="GT102" s="1337"/>
      <c r="GU102" s="1337"/>
      <c r="GV102" s="1337"/>
      <c r="GW102" s="1337"/>
      <c r="GX102" s="1337"/>
      <c r="GY102" s="1337"/>
      <c r="GZ102" s="1337"/>
      <c r="HA102" s="1337"/>
      <c r="HB102" s="1337"/>
      <c r="HC102" s="1337"/>
      <c r="HD102" s="1337"/>
      <c r="HE102" s="1337"/>
      <c r="HF102" s="1337"/>
      <c r="HG102" s="1337"/>
      <c r="HH102" s="1337"/>
      <c r="HI102" s="1337"/>
      <c r="HJ102" s="1337"/>
      <c r="HK102" s="1337"/>
      <c r="HL102" s="1337"/>
      <c r="HM102" s="1337"/>
      <c r="HN102" s="1337"/>
      <c r="HO102" s="1337"/>
      <c r="HP102" s="1337"/>
      <c r="HQ102" s="1337"/>
      <c r="HR102" s="1337"/>
      <c r="HS102" s="1337"/>
      <c r="HT102" s="1337"/>
      <c r="HU102" s="1337"/>
      <c r="HV102" s="1337"/>
      <c r="HW102" s="1337"/>
      <c r="HX102" s="1337"/>
      <c r="HY102" s="1337"/>
      <c r="HZ102" s="1337"/>
      <c r="IA102" s="1337"/>
      <c r="IB102" s="1337"/>
      <c r="IC102" s="1337"/>
      <c r="ID102" s="1337"/>
      <c r="IE102" s="1337"/>
      <c r="IF102" s="1337"/>
      <c r="IG102" s="1337"/>
      <c r="IH102" s="1337"/>
      <c r="II102" s="1337"/>
      <c r="IJ102" s="1337"/>
      <c r="IK102" s="1337"/>
      <c r="IL102" s="1337"/>
      <c r="IM102" s="1337"/>
      <c r="IN102" s="1337"/>
      <c r="IO102" s="1337"/>
      <c r="IP102" s="1337"/>
      <c r="IQ102" s="1337"/>
      <c r="IR102" s="1337"/>
      <c r="IS102" s="1337"/>
      <c r="IT102" s="1337"/>
      <c r="IU102" s="1337"/>
      <c r="IV102" s="1337"/>
    </row>
    <row r="103" spans="1:256" ht="13.5" thickBot="1">
      <c r="A103" s="1441" t="s">
        <v>1109</v>
      </c>
      <c r="B103" s="1366">
        <v>13414</v>
      </c>
      <c r="C103" s="1366">
        <v>14590</v>
      </c>
      <c r="D103" s="1367">
        <v>15483</v>
      </c>
      <c r="E103" s="1367">
        <v>17183</v>
      </c>
      <c r="F103" s="1367">
        <v>18121</v>
      </c>
      <c r="G103" s="1367">
        <v>15435.9</v>
      </c>
      <c r="H103" s="1367">
        <v>16523.5</v>
      </c>
      <c r="I103" s="1367">
        <v>15724.9</v>
      </c>
      <c r="J103" s="1367">
        <v>18015.2</v>
      </c>
      <c r="K103" s="1367">
        <v>20335.3</v>
      </c>
      <c r="L103" s="1368">
        <v>17991.099999999999</v>
      </c>
      <c r="M103" s="1368">
        <v>16714.400000000001</v>
      </c>
      <c r="N103" s="1367">
        <v>15964.6</v>
      </c>
      <c r="O103" s="1337"/>
      <c r="P103" s="1337"/>
      <c r="Q103" s="1337"/>
      <c r="R103" s="1337"/>
      <c r="S103" s="1337"/>
      <c r="T103" s="1337"/>
      <c r="U103" s="1337"/>
      <c r="V103" s="1337"/>
      <c r="W103" s="1337"/>
      <c r="X103" s="1337"/>
      <c r="Y103" s="1337"/>
      <c r="Z103" s="1337"/>
      <c r="AA103" s="1337"/>
      <c r="AB103" s="1337"/>
      <c r="AC103" s="1337"/>
      <c r="AD103" s="1337"/>
      <c r="AE103" s="1337"/>
      <c r="AF103" s="1337"/>
      <c r="AG103" s="1337"/>
      <c r="AH103" s="1337"/>
      <c r="AI103" s="1337"/>
      <c r="AJ103" s="1337"/>
      <c r="AK103" s="1337"/>
      <c r="AL103" s="1337"/>
      <c r="AM103" s="1337"/>
      <c r="AN103" s="1337"/>
      <c r="AO103" s="1337"/>
      <c r="AP103" s="1337"/>
      <c r="AQ103" s="1337"/>
      <c r="AR103" s="1337"/>
      <c r="AS103" s="1337"/>
      <c r="AT103" s="1337"/>
      <c r="AU103" s="1337"/>
      <c r="AV103" s="1337"/>
      <c r="AW103" s="1337"/>
      <c r="AX103" s="1337"/>
      <c r="AY103" s="1337"/>
      <c r="AZ103" s="1337"/>
      <c r="BA103" s="1337"/>
      <c r="BB103" s="1337"/>
      <c r="BC103" s="1337"/>
      <c r="BD103" s="1337"/>
      <c r="BE103" s="1337"/>
      <c r="BF103" s="1337"/>
      <c r="BG103" s="1337"/>
      <c r="BH103" s="1337"/>
      <c r="BI103" s="1337"/>
      <c r="BJ103" s="1337"/>
      <c r="BK103" s="1337"/>
      <c r="BL103" s="1337"/>
      <c r="BM103" s="1337"/>
      <c r="BN103" s="1337"/>
      <c r="BO103" s="1337"/>
      <c r="BP103" s="1337"/>
      <c r="BQ103" s="1337"/>
      <c r="BR103" s="1337"/>
      <c r="BS103" s="1337"/>
      <c r="BT103" s="1337"/>
      <c r="BU103" s="1337"/>
      <c r="BV103" s="1337"/>
      <c r="BW103" s="1337"/>
      <c r="BX103" s="1337"/>
      <c r="BY103" s="1337"/>
      <c r="BZ103" s="1337"/>
      <c r="CA103" s="1337"/>
      <c r="CB103" s="1337"/>
      <c r="CC103" s="1337"/>
      <c r="CD103" s="1337"/>
      <c r="CE103" s="1337"/>
      <c r="CF103" s="1337"/>
      <c r="CG103" s="1337"/>
      <c r="CH103" s="1337"/>
      <c r="CI103" s="1337"/>
      <c r="CJ103" s="1337"/>
      <c r="CK103" s="1337"/>
      <c r="CL103" s="1337"/>
      <c r="CM103" s="1337"/>
      <c r="CN103" s="1337"/>
      <c r="CO103" s="1337"/>
      <c r="CP103" s="1337"/>
      <c r="CQ103" s="1337"/>
      <c r="CR103" s="1337"/>
      <c r="CS103" s="1337"/>
      <c r="CT103" s="1337"/>
      <c r="CU103" s="1337"/>
      <c r="CV103" s="1337"/>
      <c r="CW103" s="1337"/>
      <c r="CX103" s="1337"/>
      <c r="CY103" s="1337"/>
      <c r="CZ103" s="1337"/>
      <c r="DA103" s="1337"/>
      <c r="DB103" s="1337"/>
      <c r="DC103" s="1337"/>
      <c r="DD103" s="1337"/>
      <c r="DE103" s="1337"/>
      <c r="DF103" s="1337"/>
      <c r="DG103" s="1337"/>
      <c r="DH103" s="1337"/>
      <c r="DI103" s="1337"/>
      <c r="DJ103" s="1337"/>
      <c r="DK103" s="1337"/>
      <c r="DL103" s="1337"/>
      <c r="DM103" s="1337"/>
      <c r="DN103" s="1337"/>
      <c r="DO103" s="1337"/>
      <c r="DP103" s="1337"/>
      <c r="DQ103" s="1337"/>
      <c r="DR103" s="1337"/>
      <c r="DS103" s="1337"/>
      <c r="DT103" s="1337"/>
      <c r="DU103" s="1337"/>
      <c r="DV103" s="1337"/>
      <c r="DW103" s="1337"/>
      <c r="DX103" s="1337"/>
      <c r="DY103" s="1337"/>
      <c r="DZ103" s="1337"/>
      <c r="EA103" s="1337"/>
      <c r="EB103" s="1337"/>
      <c r="EC103" s="1337"/>
      <c r="ED103" s="1337"/>
      <c r="EE103" s="1337"/>
      <c r="EF103" s="1337"/>
      <c r="EG103" s="1337"/>
      <c r="EH103" s="1337"/>
      <c r="EI103" s="1337"/>
      <c r="EJ103" s="1337"/>
      <c r="EK103" s="1337"/>
      <c r="EL103" s="1337"/>
      <c r="EM103" s="1337"/>
      <c r="EN103" s="1337"/>
      <c r="EO103" s="1337"/>
      <c r="EP103" s="1337"/>
      <c r="EQ103" s="1337"/>
      <c r="ER103" s="1337"/>
      <c r="ES103" s="1337"/>
      <c r="ET103" s="1337"/>
      <c r="EU103" s="1337"/>
      <c r="EV103" s="1337"/>
      <c r="EW103" s="1337"/>
      <c r="EX103" s="1337"/>
      <c r="EY103" s="1337"/>
      <c r="EZ103" s="1337"/>
      <c r="FA103" s="1337"/>
      <c r="FB103" s="1337"/>
      <c r="FC103" s="1337"/>
      <c r="FD103" s="1337"/>
      <c r="FE103" s="1337"/>
      <c r="FF103" s="1337"/>
      <c r="FG103" s="1337"/>
      <c r="FH103" s="1337"/>
      <c r="FI103" s="1337"/>
      <c r="FJ103" s="1337"/>
      <c r="FK103" s="1337"/>
      <c r="FL103" s="1337"/>
      <c r="FM103" s="1337"/>
      <c r="FN103" s="1337"/>
      <c r="FO103" s="1337"/>
      <c r="FP103" s="1337"/>
      <c r="FQ103" s="1337"/>
      <c r="FR103" s="1337"/>
      <c r="FS103" s="1337"/>
      <c r="FT103" s="1337"/>
      <c r="FU103" s="1337"/>
      <c r="FV103" s="1337"/>
      <c r="FW103" s="1337"/>
      <c r="FX103" s="1337"/>
      <c r="FY103" s="1337"/>
      <c r="FZ103" s="1337"/>
      <c r="GA103" s="1337"/>
      <c r="GB103" s="1337"/>
      <c r="GC103" s="1337"/>
      <c r="GD103" s="1337"/>
      <c r="GE103" s="1337"/>
      <c r="GF103" s="1337"/>
      <c r="GG103" s="1337"/>
      <c r="GH103" s="1337"/>
      <c r="GI103" s="1337"/>
      <c r="GJ103" s="1337"/>
      <c r="GK103" s="1337"/>
      <c r="GL103" s="1337"/>
      <c r="GM103" s="1337"/>
      <c r="GN103" s="1337"/>
      <c r="GO103" s="1337"/>
      <c r="GP103" s="1337"/>
      <c r="GQ103" s="1337"/>
      <c r="GR103" s="1337"/>
      <c r="GS103" s="1337"/>
      <c r="GT103" s="1337"/>
      <c r="GU103" s="1337"/>
      <c r="GV103" s="1337"/>
      <c r="GW103" s="1337"/>
      <c r="GX103" s="1337"/>
      <c r="GY103" s="1337"/>
      <c r="GZ103" s="1337"/>
      <c r="HA103" s="1337"/>
      <c r="HB103" s="1337"/>
      <c r="HC103" s="1337"/>
      <c r="HD103" s="1337"/>
      <c r="HE103" s="1337"/>
      <c r="HF103" s="1337"/>
      <c r="HG103" s="1337"/>
      <c r="HH103" s="1337"/>
      <c r="HI103" s="1337"/>
      <c r="HJ103" s="1337"/>
      <c r="HK103" s="1337"/>
      <c r="HL103" s="1337"/>
      <c r="HM103" s="1337"/>
      <c r="HN103" s="1337"/>
      <c r="HO103" s="1337"/>
      <c r="HP103" s="1337"/>
      <c r="HQ103" s="1337"/>
      <c r="HR103" s="1337"/>
      <c r="HS103" s="1337"/>
      <c r="HT103" s="1337"/>
      <c r="HU103" s="1337"/>
      <c r="HV103" s="1337"/>
      <c r="HW103" s="1337"/>
      <c r="HX103" s="1337"/>
      <c r="HY103" s="1337"/>
      <c r="HZ103" s="1337"/>
      <c r="IA103" s="1337"/>
      <c r="IB103" s="1337"/>
      <c r="IC103" s="1337"/>
      <c r="ID103" s="1337"/>
      <c r="IE103" s="1337"/>
      <c r="IF103" s="1337"/>
      <c r="IG103" s="1337"/>
      <c r="IH103" s="1337"/>
      <c r="II103" s="1337"/>
      <c r="IJ103" s="1337"/>
      <c r="IK103" s="1337"/>
      <c r="IL103" s="1337"/>
      <c r="IM103" s="1337"/>
      <c r="IN103" s="1337"/>
      <c r="IO103" s="1337"/>
      <c r="IP103" s="1337"/>
      <c r="IQ103" s="1337"/>
      <c r="IR103" s="1337"/>
      <c r="IS103" s="1337"/>
      <c r="IT103" s="1337"/>
      <c r="IU103" s="1337"/>
      <c r="IV103" s="1337"/>
    </row>
    <row r="104" spans="1:256" ht="6.75" customHeight="1" thickTop="1">
      <c r="A104" s="1397"/>
      <c r="B104" s="1442"/>
      <c r="C104" s="1442"/>
      <c r="D104" s="1442"/>
      <c r="E104" s="1442"/>
      <c r="F104" s="1442"/>
      <c r="G104" s="1397"/>
      <c r="H104" s="1397"/>
      <c r="I104" s="1443"/>
      <c r="J104" s="1443"/>
      <c r="K104" s="1337"/>
      <c r="L104" s="1337"/>
      <c r="M104" s="1337"/>
      <c r="N104" s="1337"/>
      <c r="O104" s="1337"/>
      <c r="P104" s="1337"/>
      <c r="Q104" s="1337"/>
      <c r="R104" s="1337"/>
      <c r="S104" s="1337"/>
      <c r="T104" s="1337"/>
      <c r="U104" s="1337"/>
      <c r="V104" s="1337"/>
      <c r="W104" s="1337"/>
      <c r="X104" s="1337"/>
      <c r="Y104" s="1337"/>
      <c r="Z104" s="1337"/>
      <c r="AA104" s="1337"/>
      <c r="AB104" s="1337"/>
      <c r="AC104" s="1337"/>
      <c r="AD104" s="1337"/>
      <c r="AE104" s="1337"/>
      <c r="AF104" s="1337"/>
      <c r="AG104" s="1337"/>
      <c r="AH104" s="1337"/>
      <c r="AI104" s="1337"/>
      <c r="AJ104" s="1337"/>
      <c r="AK104" s="1337"/>
      <c r="AL104" s="1337"/>
      <c r="AM104" s="1337"/>
      <c r="AN104" s="1337"/>
      <c r="AO104" s="1337"/>
      <c r="AP104" s="1337"/>
      <c r="AQ104" s="1337"/>
      <c r="AR104" s="1337"/>
      <c r="AS104" s="1337"/>
      <c r="AT104" s="1337"/>
      <c r="AU104" s="1337"/>
      <c r="AV104" s="1337"/>
      <c r="AW104" s="1337"/>
      <c r="AX104" s="1337"/>
      <c r="AY104" s="1337"/>
      <c r="AZ104" s="1337"/>
      <c r="BA104" s="1337"/>
      <c r="BB104" s="1337"/>
      <c r="BC104" s="1337"/>
      <c r="BD104" s="1337"/>
      <c r="BE104" s="1337"/>
      <c r="BF104" s="1337"/>
      <c r="BG104" s="1337"/>
      <c r="BH104" s="1337"/>
      <c r="BI104" s="1337"/>
      <c r="BJ104" s="1337"/>
      <c r="BK104" s="1337"/>
      <c r="BL104" s="1337"/>
      <c r="BM104" s="1337"/>
      <c r="BN104" s="1337"/>
      <c r="BO104" s="1337"/>
      <c r="BP104" s="1337"/>
      <c r="BQ104" s="1337"/>
      <c r="BR104" s="1337"/>
      <c r="BS104" s="1337"/>
      <c r="BT104" s="1337"/>
      <c r="BU104" s="1337"/>
      <c r="BV104" s="1337"/>
      <c r="BW104" s="1337"/>
      <c r="BX104" s="1337"/>
      <c r="BY104" s="1337"/>
      <c r="BZ104" s="1337"/>
      <c r="CA104" s="1337"/>
      <c r="CB104" s="1337"/>
      <c r="CC104" s="1337"/>
      <c r="CD104" s="1337"/>
      <c r="CE104" s="1337"/>
      <c r="CF104" s="1337"/>
      <c r="CG104" s="1337"/>
      <c r="CH104" s="1337"/>
      <c r="CI104" s="1337"/>
      <c r="CJ104" s="1337"/>
      <c r="CK104" s="1337"/>
      <c r="CL104" s="1337"/>
      <c r="CM104" s="1337"/>
      <c r="CN104" s="1337"/>
      <c r="CO104" s="1337"/>
      <c r="CP104" s="1337"/>
      <c r="CQ104" s="1337"/>
      <c r="CR104" s="1337"/>
      <c r="CS104" s="1337"/>
      <c r="CT104" s="1337"/>
      <c r="CU104" s="1337"/>
      <c r="CV104" s="1337"/>
      <c r="CW104" s="1337"/>
      <c r="CX104" s="1337"/>
      <c r="CY104" s="1337"/>
      <c r="CZ104" s="1337"/>
      <c r="DA104" s="1337"/>
      <c r="DB104" s="1337"/>
      <c r="DC104" s="1337"/>
      <c r="DD104" s="1337"/>
      <c r="DE104" s="1337"/>
      <c r="DF104" s="1337"/>
      <c r="DG104" s="1337"/>
      <c r="DH104" s="1337"/>
      <c r="DI104" s="1337"/>
      <c r="DJ104" s="1337"/>
      <c r="DK104" s="1337"/>
      <c r="DL104" s="1337"/>
      <c r="DM104" s="1337"/>
      <c r="DN104" s="1337"/>
      <c r="DO104" s="1337"/>
      <c r="DP104" s="1337"/>
      <c r="DQ104" s="1337"/>
      <c r="DR104" s="1337"/>
      <c r="DS104" s="1337"/>
      <c r="DT104" s="1337"/>
      <c r="DU104" s="1337"/>
      <c r="DV104" s="1337"/>
      <c r="DW104" s="1337"/>
      <c r="DX104" s="1337"/>
      <c r="DY104" s="1337"/>
      <c r="DZ104" s="1337"/>
      <c r="EA104" s="1337"/>
      <c r="EB104" s="1337"/>
      <c r="EC104" s="1337"/>
      <c r="ED104" s="1337"/>
      <c r="EE104" s="1337"/>
      <c r="EF104" s="1337"/>
      <c r="EG104" s="1337"/>
      <c r="EH104" s="1337"/>
      <c r="EI104" s="1337"/>
      <c r="EJ104" s="1337"/>
      <c r="EK104" s="1337"/>
      <c r="EL104" s="1337"/>
      <c r="EM104" s="1337"/>
      <c r="EN104" s="1337"/>
      <c r="EO104" s="1337"/>
      <c r="EP104" s="1337"/>
      <c r="EQ104" s="1337"/>
      <c r="ER104" s="1337"/>
      <c r="ES104" s="1337"/>
      <c r="ET104" s="1337"/>
      <c r="EU104" s="1337"/>
      <c r="EV104" s="1337"/>
      <c r="EW104" s="1337"/>
      <c r="EX104" s="1337"/>
      <c r="EY104" s="1337"/>
      <c r="EZ104" s="1337"/>
      <c r="FA104" s="1337"/>
      <c r="FB104" s="1337"/>
      <c r="FC104" s="1337"/>
      <c r="FD104" s="1337"/>
      <c r="FE104" s="1337"/>
      <c r="FF104" s="1337"/>
      <c r="FG104" s="1337"/>
      <c r="FH104" s="1337"/>
      <c r="FI104" s="1337"/>
      <c r="FJ104" s="1337"/>
      <c r="FK104" s="1337"/>
      <c r="FL104" s="1337"/>
      <c r="FM104" s="1337"/>
      <c r="FN104" s="1337"/>
      <c r="FO104" s="1337"/>
      <c r="FP104" s="1337"/>
      <c r="FQ104" s="1337"/>
      <c r="FR104" s="1337"/>
      <c r="FS104" s="1337"/>
      <c r="FT104" s="1337"/>
      <c r="FU104" s="1337"/>
      <c r="FV104" s="1337"/>
      <c r="FW104" s="1337"/>
      <c r="FX104" s="1337"/>
      <c r="FY104" s="1337"/>
      <c r="FZ104" s="1337"/>
      <c r="GA104" s="1337"/>
      <c r="GB104" s="1337"/>
      <c r="GC104" s="1337"/>
      <c r="GD104" s="1337"/>
      <c r="GE104" s="1337"/>
      <c r="GF104" s="1337"/>
      <c r="GG104" s="1337"/>
      <c r="GH104" s="1337"/>
      <c r="GI104" s="1337"/>
      <c r="GJ104" s="1337"/>
      <c r="GK104" s="1337"/>
      <c r="GL104" s="1337"/>
      <c r="GM104" s="1337"/>
      <c r="GN104" s="1337"/>
      <c r="GO104" s="1337"/>
      <c r="GP104" s="1337"/>
      <c r="GQ104" s="1337"/>
      <c r="GR104" s="1337"/>
      <c r="GS104" s="1337"/>
      <c r="GT104" s="1337"/>
      <c r="GU104" s="1337"/>
      <c r="GV104" s="1337"/>
      <c r="GW104" s="1337"/>
      <c r="GX104" s="1337"/>
      <c r="GY104" s="1337"/>
      <c r="GZ104" s="1337"/>
      <c r="HA104" s="1337"/>
      <c r="HB104" s="1337"/>
      <c r="HC104" s="1337"/>
      <c r="HD104" s="1337"/>
      <c r="HE104" s="1337"/>
      <c r="HF104" s="1337"/>
      <c r="HG104" s="1337"/>
      <c r="HH104" s="1337"/>
      <c r="HI104" s="1337"/>
      <c r="HJ104" s="1337"/>
      <c r="HK104" s="1337"/>
      <c r="HL104" s="1337"/>
      <c r="HM104" s="1337"/>
      <c r="HN104" s="1337"/>
      <c r="HO104" s="1337"/>
      <c r="HP104" s="1337"/>
      <c r="HQ104" s="1337"/>
      <c r="HR104" s="1337"/>
      <c r="HS104" s="1337"/>
      <c r="HT104" s="1337"/>
      <c r="HU104" s="1337"/>
      <c r="HV104" s="1337"/>
      <c r="HW104" s="1337"/>
      <c r="HX104" s="1337"/>
      <c r="HY104" s="1337"/>
      <c r="HZ104" s="1337"/>
      <c r="IA104" s="1337"/>
      <c r="IB104" s="1337"/>
      <c r="IC104" s="1337"/>
      <c r="ID104" s="1337"/>
      <c r="IE104" s="1337"/>
      <c r="IF104" s="1337"/>
      <c r="IG104" s="1337"/>
      <c r="IH104" s="1337"/>
      <c r="II104" s="1337"/>
      <c r="IJ104" s="1337"/>
      <c r="IK104" s="1337"/>
      <c r="IL104" s="1337"/>
      <c r="IM104" s="1337"/>
      <c r="IN104" s="1337"/>
      <c r="IO104" s="1337"/>
      <c r="IP104" s="1337"/>
      <c r="IQ104" s="1337"/>
      <c r="IR104" s="1337"/>
      <c r="IS104" s="1337"/>
      <c r="IT104" s="1337"/>
      <c r="IU104" s="1337"/>
      <c r="IV104" s="1337"/>
    </row>
    <row r="105" spans="1:256" s="1400" customFormat="1" ht="10.5" customHeight="1">
      <c r="A105" s="1397" t="s">
        <v>1141</v>
      </c>
      <c r="B105" s="1323"/>
      <c r="C105" s="1323"/>
      <c r="D105" s="1323"/>
      <c r="E105" s="1323"/>
      <c r="F105" s="1323"/>
      <c r="G105" s="1444"/>
      <c r="H105" s="1444"/>
      <c r="I105" s="1444"/>
      <c r="J105" s="1444"/>
      <c r="K105" s="1399"/>
      <c r="L105" s="1399"/>
      <c r="M105" s="1399"/>
      <c r="N105" s="1399"/>
      <c r="O105" s="1399"/>
      <c r="P105" s="1399"/>
      <c r="Q105" s="1399"/>
      <c r="R105" s="1399"/>
      <c r="S105" s="1399"/>
      <c r="T105" s="1399"/>
      <c r="U105" s="1399"/>
      <c r="V105" s="1399"/>
      <c r="W105" s="1399"/>
      <c r="X105" s="1399"/>
      <c r="Y105" s="1399"/>
      <c r="Z105" s="1399"/>
      <c r="AA105" s="1399"/>
      <c r="AB105" s="1399"/>
      <c r="AC105" s="1399"/>
      <c r="AD105" s="1399"/>
      <c r="AE105" s="1399"/>
      <c r="AF105" s="1399"/>
      <c r="AG105" s="1399"/>
      <c r="AH105" s="1399"/>
      <c r="AI105" s="1399"/>
      <c r="AJ105" s="1399"/>
      <c r="AK105" s="1399"/>
      <c r="AL105" s="1399"/>
      <c r="AM105" s="1399"/>
      <c r="AN105" s="1399"/>
      <c r="AO105" s="1399"/>
      <c r="AP105" s="1399"/>
      <c r="AQ105" s="1399"/>
      <c r="AR105" s="1399"/>
      <c r="AS105" s="1399"/>
      <c r="AT105" s="1399"/>
      <c r="AU105" s="1399"/>
      <c r="AV105" s="1399"/>
      <c r="AW105" s="1399"/>
      <c r="AX105" s="1399"/>
      <c r="AY105" s="1399"/>
      <c r="AZ105" s="1399"/>
      <c r="BA105" s="1399"/>
      <c r="BB105" s="1399"/>
      <c r="BC105" s="1399"/>
      <c r="BD105" s="1399"/>
      <c r="BE105" s="1399"/>
      <c r="BF105" s="1399"/>
      <c r="BG105" s="1399"/>
      <c r="BH105" s="1399"/>
      <c r="BI105" s="1399"/>
      <c r="BJ105" s="1399"/>
      <c r="BK105" s="1399"/>
      <c r="BL105" s="1399"/>
      <c r="BM105" s="1399"/>
      <c r="BN105" s="1399"/>
      <c r="BO105" s="1399"/>
      <c r="BP105" s="1399"/>
      <c r="BQ105" s="1399"/>
      <c r="BR105" s="1399"/>
      <c r="BS105" s="1399"/>
      <c r="BT105" s="1399"/>
      <c r="BU105" s="1399"/>
      <c r="BV105" s="1399"/>
      <c r="BW105" s="1399"/>
      <c r="BX105" s="1399"/>
      <c r="BY105" s="1399"/>
      <c r="BZ105" s="1399"/>
      <c r="CA105" s="1399"/>
      <c r="CB105" s="1399"/>
      <c r="CC105" s="1399"/>
      <c r="CD105" s="1399"/>
      <c r="CE105" s="1399"/>
      <c r="CF105" s="1399"/>
      <c r="CG105" s="1399"/>
      <c r="CH105" s="1399"/>
      <c r="CI105" s="1399"/>
      <c r="CJ105" s="1399"/>
      <c r="CK105" s="1399"/>
      <c r="CL105" s="1399"/>
      <c r="CM105" s="1399"/>
      <c r="CN105" s="1399"/>
      <c r="CO105" s="1399"/>
      <c r="CP105" s="1399"/>
      <c r="CQ105" s="1399"/>
      <c r="CR105" s="1399"/>
      <c r="CS105" s="1399"/>
      <c r="CT105" s="1399"/>
      <c r="CU105" s="1399"/>
      <c r="CV105" s="1399"/>
      <c r="CW105" s="1399"/>
      <c r="CX105" s="1399"/>
      <c r="CY105" s="1399"/>
      <c r="CZ105" s="1399"/>
      <c r="DA105" s="1399"/>
      <c r="DB105" s="1399"/>
      <c r="DC105" s="1399"/>
      <c r="DD105" s="1399"/>
      <c r="DE105" s="1399"/>
      <c r="DF105" s="1399"/>
      <c r="DG105" s="1399"/>
      <c r="DH105" s="1399"/>
      <c r="DI105" s="1399"/>
      <c r="DJ105" s="1399"/>
      <c r="DK105" s="1399"/>
      <c r="DL105" s="1399"/>
      <c r="DM105" s="1399"/>
      <c r="DN105" s="1399"/>
      <c r="DO105" s="1399"/>
      <c r="DP105" s="1399"/>
      <c r="DQ105" s="1399"/>
      <c r="DR105" s="1399"/>
      <c r="DS105" s="1399"/>
      <c r="DT105" s="1399"/>
      <c r="DU105" s="1399"/>
      <c r="DV105" s="1399"/>
      <c r="DW105" s="1399"/>
      <c r="DX105" s="1399"/>
      <c r="DY105" s="1399"/>
      <c r="DZ105" s="1399"/>
      <c r="EA105" s="1399"/>
      <c r="EB105" s="1399"/>
      <c r="EC105" s="1399"/>
      <c r="ED105" s="1399"/>
      <c r="EE105" s="1399"/>
      <c r="EF105" s="1399"/>
      <c r="EG105" s="1399"/>
      <c r="EH105" s="1399"/>
      <c r="EI105" s="1399"/>
      <c r="EJ105" s="1399"/>
      <c r="EK105" s="1399"/>
      <c r="EL105" s="1399"/>
      <c r="EM105" s="1399"/>
      <c r="EN105" s="1399"/>
      <c r="EO105" s="1399"/>
      <c r="EP105" s="1399"/>
      <c r="EQ105" s="1399"/>
      <c r="ER105" s="1399"/>
      <c r="ES105" s="1399"/>
      <c r="ET105" s="1399"/>
      <c r="EU105" s="1399"/>
      <c r="EV105" s="1399"/>
      <c r="EW105" s="1399"/>
      <c r="EX105" s="1399"/>
      <c r="EY105" s="1399"/>
      <c r="EZ105" s="1399"/>
      <c r="FA105" s="1399"/>
      <c r="FB105" s="1399"/>
      <c r="FC105" s="1399"/>
      <c r="FD105" s="1399"/>
      <c r="FE105" s="1399"/>
      <c r="FF105" s="1399"/>
      <c r="FG105" s="1399"/>
      <c r="FH105" s="1399"/>
      <c r="FI105" s="1399"/>
      <c r="FJ105" s="1399"/>
      <c r="FK105" s="1399"/>
      <c r="FL105" s="1399"/>
      <c r="FM105" s="1399"/>
      <c r="FN105" s="1399"/>
      <c r="FO105" s="1399"/>
      <c r="FP105" s="1399"/>
      <c r="FQ105" s="1399"/>
      <c r="FR105" s="1399"/>
      <c r="FS105" s="1399"/>
      <c r="FT105" s="1399"/>
      <c r="FU105" s="1399"/>
      <c r="FV105" s="1399"/>
      <c r="FW105" s="1399"/>
      <c r="FX105" s="1399"/>
      <c r="FY105" s="1399"/>
      <c r="FZ105" s="1399"/>
      <c r="GA105" s="1399"/>
      <c r="GB105" s="1399"/>
      <c r="GC105" s="1399"/>
      <c r="GD105" s="1399"/>
      <c r="GE105" s="1399"/>
      <c r="GF105" s="1399"/>
      <c r="GG105" s="1399"/>
      <c r="GH105" s="1399"/>
      <c r="GI105" s="1399"/>
      <c r="GJ105" s="1399"/>
      <c r="GK105" s="1399"/>
      <c r="GL105" s="1399"/>
      <c r="GM105" s="1399"/>
      <c r="GN105" s="1399"/>
      <c r="GO105" s="1399"/>
      <c r="GP105" s="1399"/>
      <c r="GQ105" s="1399"/>
      <c r="GR105" s="1399"/>
      <c r="GS105" s="1399"/>
      <c r="GT105" s="1399"/>
      <c r="GU105" s="1399"/>
      <c r="GV105" s="1399"/>
      <c r="GW105" s="1399"/>
      <c r="GX105" s="1399"/>
      <c r="GY105" s="1399"/>
      <c r="GZ105" s="1399"/>
      <c r="HA105" s="1399"/>
      <c r="HB105" s="1399"/>
      <c r="HC105" s="1399"/>
      <c r="HD105" s="1399"/>
      <c r="HE105" s="1399"/>
      <c r="HF105" s="1399"/>
      <c r="HG105" s="1399"/>
      <c r="HH105" s="1399"/>
      <c r="HI105" s="1399"/>
      <c r="HJ105" s="1399"/>
      <c r="HK105" s="1399"/>
      <c r="HL105" s="1399"/>
      <c r="HM105" s="1399"/>
      <c r="HN105" s="1399"/>
      <c r="HO105" s="1399"/>
      <c r="HP105" s="1399"/>
      <c r="HQ105" s="1399"/>
      <c r="HR105" s="1399"/>
      <c r="HS105" s="1399"/>
      <c r="HT105" s="1399"/>
      <c r="HU105" s="1399"/>
      <c r="HV105" s="1399"/>
      <c r="HW105" s="1399"/>
      <c r="HX105" s="1399"/>
      <c r="HY105" s="1399"/>
      <c r="HZ105" s="1399"/>
      <c r="IA105" s="1399"/>
      <c r="IB105" s="1399"/>
      <c r="IC105" s="1399"/>
      <c r="ID105" s="1399"/>
      <c r="IE105" s="1399"/>
      <c r="IF105" s="1399"/>
      <c r="IG105" s="1399"/>
      <c r="IH105" s="1399"/>
      <c r="II105" s="1399"/>
      <c r="IJ105" s="1399"/>
      <c r="IK105" s="1399"/>
      <c r="IL105" s="1399"/>
      <c r="IM105" s="1399"/>
      <c r="IN105" s="1399"/>
      <c r="IO105" s="1399"/>
      <c r="IP105" s="1399"/>
      <c r="IQ105" s="1399"/>
      <c r="IR105" s="1399"/>
      <c r="IS105" s="1399"/>
      <c r="IT105" s="1399"/>
      <c r="IU105" s="1399"/>
      <c r="IV105" s="1399"/>
    </row>
    <row r="106" spans="1:256" s="1400" customFormat="1" ht="10.5" customHeight="1">
      <c r="A106" s="1397" t="s">
        <v>1142</v>
      </c>
      <c r="B106" s="1323"/>
      <c r="C106" s="1323"/>
      <c r="D106" s="1323"/>
      <c r="E106" s="1323"/>
      <c r="F106" s="1323"/>
      <c r="G106" s="1444"/>
      <c r="H106" s="1444"/>
      <c r="I106" s="1444"/>
      <c r="J106" s="1444"/>
      <c r="K106" s="1399"/>
      <c r="L106" s="1399"/>
      <c r="M106" s="1399"/>
      <c r="N106" s="1399"/>
      <c r="O106" s="1399"/>
      <c r="P106" s="1399"/>
      <c r="Q106" s="1399"/>
      <c r="R106" s="1399"/>
      <c r="S106" s="1399"/>
      <c r="T106" s="1399"/>
      <c r="U106" s="1399"/>
      <c r="V106" s="1399"/>
      <c r="W106" s="1399"/>
      <c r="X106" s="1399"/>
      <c r="Y106" s="1399"/>
      <c r="Z106" s="1399"/>
      <c r="AA106" s="1399"/>
      <c r="AB106" s="1399"/>
      <c r="AC106" s="1399"/>
      <c r="AD106" s="1399"/>
      <c r="AE106" s="1399"/>
      <c r="AF106" s="1399"/>
      <c r="AG106" s="1399"/>
      <c r="AH106" s="1399"/>
      <c r="AI106" s="1399"/>
      <c r="AJ106" s="1399"/>
      <c r="AK106" s="1399"/>
      <c r="AL106" s="1399"/>
      <c r="AM106" s="1399"/>
      <c r="AN106" s="1399"/>
      <c r="AO106" s="1399"/>
      <c r="AP106" s="1399"/>
      <c r="AQ106" s="1399"/>
      <c r="AR106" s="1399"/>
      <c r="AS106" s="1399"/>
      <c r="AT106" s="1399"/>
      <c r="AU106" s="1399"/>
      <c r="AV106" s="1399"/>
      <c r="AW106" s="1399"/>
      <c r="AX106" s="1399"/>
      <c r="AY106" s="1399"/>
      <c r="AZ106" s="1399"/>
      <c r="BA106" s="1399"/>
      <c r="BB106" s="1399"/>
      <c r="BC106" s="1399"/>
      <c r="BD106" s="1399"/>
      <c r="BE106" s="1399"/>
      <c r="BF106" s="1399"/>
      <c r="BG106" s="1399"/>
      <c r="BH106" s="1399"/>
      <c r="BI106" s="1399"/>
      <c r="BJ106" s="1399"/>
      <c r="BK106" s="1399"/>
      <c r="BL106" s="1399"/>
      <c r="BM106" s="1399"/>
      <c r="BN106" s="1399"/>
      <c r="BO106" s="1399"/>
      <c r="BP106" s="1399"/>
      <c r="BQ106" s="1399"/>
      <c r="BR106" s="1399"/>
      <c r="BS106" s="1399"/>
      <c r="BT106" s="1399"/>
      <c r="BU106" s="1399"/>
      <c r="BV106" s="1399"/>
      <c r="BW106" s="1399"/>
      <c r="BX106" s="1399"/>
      <c r="BY106" s="1399"/>
      <c r="BZ106" s="1399"/>
      <c r="CA106" s="1399"/>
      <c r="CB106" s="1399"/>
      <c r="CC106" s="1399"/>
      <c r="CD106" s="1399"/>
      <c r="CE106" s="1399"/>
      <c r="CF106" s="1399"/>
      <c r="CG106" s="1399"/>
      <c r="CH106" s="1399"/>
      <c r="CI106" s="1399"/>
      <c r="CJ106" s="1399"/>
      <c r="CK106" s="1399"/>
      <c r="CL106" s="1399"/>
      <c r="CM106" s="1399"/>
      <c r="CN106" s="1399"/>
      <c r="CO106" s="1399"/>
      <c r="CP106" s="1399"/>
      <c r="CQ106" s="1399"/>
      <c r="CR106" s="1399"/>
      <c r="CS106" s="1399"/>
      <c r="CT106" s="1399"/>
      <c r="CU106" s="1399"/>
      <c r="CV106" s="1399"/>
      <c r="CW106" s="1399"/>
      <c r="CX106" s="1399"/>
      <c r="CY106" s="1399"/>
      <c r="CZ106" s="1399"/>
      <c r="DA106" s="1399"/>
      <c r="DB106" s="1399"/>
      <c r="DC106" s="1399"/>
      <c r="DD106" s="1399"/>
      <c r="DE106" s="1399"/>
      <c r="DF106" s="1399"/>
      <c r="DG106" s="1399"/>
      <c r="DH106" s="1399"/>
      <c r="DI106" s="1399"/>
      <c r="DJ106" s="1399"/>
      <c r="DK106" s="1399"/>
      <c r="DL106" s="1399"/>
      <c r="DM106" s="1399"/>
      <c r="DN106" s="1399"/>
      <c r="DO106" s="1399"/>
      <c r="DP106" s="1399"/>
      <c r="DQ106" s="1399"/>
      <c r="DR106" s="1399"/>
      <c r="DS106" s="1399"/>
      <c r="DT106" s="1399"/>
      <c r="DU106" s="1399"/>
      <c r="DV106" s="1399"/>
      <c r="DW106" s="1399"/>
      <c r="DX106" s="1399"/>
      <c r="DY106" s="1399"/>
      <c r="DZ106" s="1399"/>
      <c r="EA106" s="1399"/>
      <c r="EB106" s="1399"/>
      <c r="EC106" s="1399"/>
      <c r="ED106" s="1399"/>
      <c r="EE106" s="1399"/>
      <c r="EF106" s="1399"/>
      <c r="EG106" s="1399"/>
      <c r="EH106" s="1399"/>
      <c r="EI106" s="1399"/>
      <c r="EJ106" s="1399"/>
      <c r="EK106" s="1399"/>
      <c r="EL106" s="1399"/>
      <c r="EM106" s="1399"/>
      <c r="EN106" s="1399"/>
      <c r="EO106" s="1399"/>
      <c r="EP106" s="1399"/>
      <c r="EQ106" s="1399"/>
      <c r="ER106" s="1399"/>
      <c r="ES106" s="1399"/>
      <c r="ET106" s="1399"/>
      <c r="EU106" s="1399"/>
      <c r="EV106" s="1399"/>
      <c r="EW106" s="1399"/>
      <c r="EX106" s="1399"/>
      <c r="EY106" s="1399"/>
      <c r="EZ106" s="1399"/>
      <c r="FA106" s="1399"/>
      <c r="FB106" s="1399"/>
      <c r="FC106" s="1399"/>
      <c r="FD106" s="1399"/>
      <c r="FE106" s="1399"/>
      <c r="FF106" s="1399"/>
      <c r="FG106" s="1399"/>
      <c r="FH106" s="1399"/>
      <c r="FI106" s="1399"/>
      <c r="FJ106" s="1399"/>
      <c r="FK106" s="1399"/>
      <c r="FL106" s="1399"/>
      <c r="FM106" s="1399"/>
      <c r="FN106" s="1399"/>
      <c r="FO106" s="1399"/>
      <c r="FP106" s="1399"/>
      <c r="FQ106" s="1399"/>
      <c r="FR106" s="1399"/>
      <c r="FS106" s="1399"/>
      <c r="FT106" s="1399"/>
      <c r="FU106" s="1399"/>
      <c r="FV106" s="1399"/>
      <c r="FW106" s="1399"/>
      <c r="FX106" s="1399"/>
      <c r="FY106" s="1399"/>
      <c r="FZ106" s="1399"/>
      <c r="GA106" s="1399"/>
      <c r="GB106" s="1399"/>
      <c r="GC106" s="1399"/>
      <c r="GD106" s="1399"/>
      <c r="GE106" s="1399"/>
      <c r="GF106" s="1399"/>
      <c r="GG106" s="1399"/>
      <c r="GH106" s="1399"/>
      <c r="GI106" s="1399"/>
      <c r="GJ106" s="1399"/>
      <c r="GK106" s="1399"/>
      <c r="GL106" s="1399"/>
      <c r="GM106" s="1399"/>
      <c r="GN106" s="1399"/>
      <c r="GO106" s="1399"/>
      <c r="GP106" s="1399"/>
      <c r="GQ106" s="1399"/>
      <c r="GR106" s="1399"/>
      <c r="GS106" s="1399"/>
      <c r="GT106" s="1399"/>
      <c r="GU106" s="1399"/>
      <c r="GV106" s="1399"/>
      <c r="GW106" s="1399"/>
      <c r="GX106" s="1399"/>
      <c r="GY106" s="1399"/>
      <c r="GZ106" s="1399"/>
      <c r="HA106" s="1399"/>
      <c r="HB106" s="1399"/>
      <c r="HC106" s="1399"/>
      <c r="HD106" s="1399"/>
      <c r="HE106" s="1399"/>
      <c r="HF106" s="1399"/>
      <c r="HG106" s="1399"/>
      <c r="HH106" s="1399"/>
      <c r="HI106" s="1399"/>
      <c r="HJ106" s="1399"/>
      <c r="HK106" s="1399"/>
      <c r="HL106" s="1399"/>
      <c r="HM106" s="1399"/>
      <c r="HN106" s="1399"/>
      <c r="HO106" s="1399"/>
      <c r="HP106" s="1399"/>
      <c r="HQ106" s="1399"/>
      <c r="HR106" s="1399"/>
      <c r="HS106" s="1399"/>
      <c r="HT106" s="1399"/>
      <c r="HU106" s="1399"/>
      <c r="HV106" s="1399"/>
      <c r="HW106" s="1399"/>
      <c r="HX106" s="1399"/>
      <c r="HY106" s="1399"/>
      <c r="HZ106" s="1399"/>
      <c r="IA106" s="1399"/>
      <c r="IB106" s="1399"/>
      <c r="IC106" s="1399"/>
      <c r="ID106" s="1399"/>
      <c r="IE106" s="1399"/>
      <c r="IF106" s="1399"/>
      <c r="IG106" s="1399"/>
      <c r="IH106" s="1399"/>
      <c r="II106" s="1399"/>
      <c r="IJ106" s="1399"/>
      <c r="IK106" s="1399"/>
      <c r="IL106" s="1399"/>
      <c r="IM106" s="1399"/>
      <c r="IN106" s="1399"/>
      <c r="IO106" s="1399"/>
      <c r="IP106" s="1399"/>
      <c r="IQ106" s="1399"/>
      <c r="IR106" s="1399"/>
      <c r="IS106" s="1399"/>
      <c r="IT106" s="1399"/>
      <c r="IU106" s="1399"/>
      <c r="IV106" s="1399"/>
    </row>
    <row r="107" spans="1:256" s="1400" customFormat="1" ht="10.5" customHeight="1">
      <c r="A107" s="1397" t="s">
        <v>1143</v>
      </c>
      <c r="B107" s="1323"/>
      <c r="C107" s="1323"/>
      <c r="D107" s="1323"/>
      <c r="E107" s="1323"/>
      <c r="F107" s="1323"/>
      <c r="G107" s="1444"/>
      <c r="H107" s="1444"/>
      <c r="I107" s="1444"/>
      <c r="J107" s="1444"/>
      <c r="K107" s="1399"/>
      <c r="L107" s="1399"/>
      <c r="M107" s="1399"/>
      <c r="N107" s="1399"/>
      <c r="O107" s="1399"/>
      <c r="P107" s="1399"/>
      <c r="Q107" s="1399"/>
      <c r="R107" s="1399"/>
      <c r="S107" s="1399"/>
      <c r="T107" s="1399"/>
      <c r="U107" s="1399"/>
      <c r="V107" s="1399"/>
      <c r="W107" s="1399"/>
      <c r="X107" s="1399"/>
      <c r="Y107" s="1399"/>
      <c r="Z107" s="1399"/>
      <c r="AA107" s="1399"/>
      <c r="AB107" s="1399"/>
      <c r="AC107" s="1399"/>
      <c r="AD107" s="1399"/>
      <c r="AE107" s="1399"/>
      <c r="AF107" s="1399"/>
      <c r="AG107" s="1399"/>
      <c r="AH107" s="1399"/>
      <c r="AI107" s="1399"/>
      <c r="AJ107" s="1399"/>
      <c r="AK107" s="1399"/>
      <c r="AL107" s="1399"/>
      <c r="AM107" s="1399"/>
      <c r="AN107" s="1399"/>
      <c r="AO107" s="1399"/>
      <c r="AP107" s="1399"/>
      <c r="AQ107" s="1399"/>
      <c r="AR107" s="1399"/>
      <c r="AS107" s="1399"/>
      <c r="AT107" s="1399"/>
      <c r="AU107" s="1399"/>
      <c r="AV107" s="1399"/>
      <c r="AW107" s="1399"/>
      <c r="AX107" s="1399"/>
      <c r="AY107" s="1399"/>
      <c r="AZ107" s="1399"/>
      <c r="BA107" s="1399"/>
      <c r="BB107" s="1399"/>
      <c r="BC107" s="1399"/>
      <c r="BD107" s="1399"/>
      <c r="BE107" s="1399"/>
      <c r="BF107" s="1399"/>
      <c r="BG107" s="1399"/>
      <c r="BH107" s="1399"/>
      <c r="BI107" s="1399"/>
      <c r="BJ107" s="1399"/>
      <c r="BK107" s="1399"/>
      <c r="BL107" s="1399"/>
      <c r="BM107" s="1399"/>
      <c r="BN107" s="1399"/>
      <c r="BO107" s="1399"/>
      <c r="BP107" s="1399"/>
      <c r="BQ107" s="1399"/>
      <c r="BR107" s="1399"/>
      <c r="BS107" s="1399"/>
      <c r="BT107" s="1399"/>
      <c r="BU107" s="1399"/>
      <c r="BV107" s="1399"/>
      <c r="BW107" s="1399"/>
      <c r="BX107" s="1399"/>
      <c r="BY107" s="1399"/>
      <c r="BZ107" s="1399"/>
      <c r="CA107" s="1399"/>
      <c r="CB107" s="1399"/>
      <c r="CC107" s="1399"/>
      <c r="CD107" s="1399"/>
      <c r="CE107" s="1399"/>
      <c r="CF107" s="1399"/>
      <c r="CG107" s="1399"/>
      <c r="CH107" s="1399"/>
      <c r="CI107" s="1399"/>
      <c r="CJ107" s="1399"/>
      <c r="CK107" s="1399"/>
      <c r="CL107" s="1399"/>
      <c r="CM107" s="1399"/>
      <c r="CN107" s="1399"/>
      <c r="CO107" s="1399"/>
      <c r="CP107" s="1399"/>
      <c r="CQ107" s="1399"/>
      <c r="CR107" s="1399"/>
      <c r="CS107" s="1399"/>
      <c r="CT107" s="1399"/>
      <c r="CU107" s="1399"/>
      <c r="CV107" s="1399"/>
      <c r="CW107" s="1399"/>
      <c r="CX107" s="1399"/>
      <c r="CY107" s="1399"/>
      <c r="CZ107" s="1399"/>
      <c r="DA107" s="1399"/>
      <c r="DB107" s="1399"/>
      <c r="DC107" s="1399"/>
      <c r="DD107" s="1399"/>
      <c r="DE107" s="1399"/>
      <c r="DF107" s="1399"/>
      <c r="DG107" s="1399"/>
      <c r="DH107" s="1399"/>
      <c r="DI107" s="1399"/>
      <c r="DJ107" s="1399"/>
      <c r="DK107" s="1399"/>
      <c r="DL107" s="1399"/>
      <c r="DM107" s="1399"/>
      <c r="DN107" s="1399"/>
      <c r="DO107" s="1399"/>
      <c r="DP107" s="1399"/>
      <c r="DQ107" s="1399"/>
      <c r="DR107" s="1399"/>
      <c r="DS107" s="1399"/>
      <c r="DT107" s="1399"/>
      <c r="DU107" s="1399"/>
      <c r="DV107" s="1399"/>
      <c r="DW107" s="1399"/>
      <c r="DX107" s="1399"/>
      <c r="DY107" s="1399"/>
      <c r="DZ107" s="1399"/>
      <c r="EA107" s="1399"/>
      <c r="EB107" s="1399"/>
      <c r="EC107" s="1399"/>
      <c r="ED107" s="1399"/>
      <c r="EE107" s="1399"/>
      <c r="EF107" s="1399"/>
      <c r="EG107" s="1399"/>
      <c r="EH107" s="1399"/>
      <c r="EI107" s="1399"/>
      <c r="EJ107" s="1399"/>
      <c r="EK107" s="1399"/>
      <c r="EL107" s="1399"/>
      <c r="EM107" s="1399"/>
      <c r="EN107" s="1399"/>
      <c r="EO107" s="1399"/>
      <c r="EP107" s="1399"/>
      <c r="EQ107" s="1399"/>
      <c r="ER107" s="1399"/>
      <c r="ES107" s="1399"/>
      <c r="ET107" s="1399"/>
      <c r="EU107" s="1399"/>
      <c r="EV107" s="1399"/>
      <c r="EW107" s="1399"/>
      <c r="EX107" s="1399"/>
      <c r="EY107" s="1399"/>
      <c r="EZ107" s="1399"/>
      <c r="FA107" s="1399"/>
      <c r="FB107" s="1399"/>
      <c r="FC107" s="1399"/>
      <c r="FD107" s="1399"/>
      <c r="FE107" s="1399"/>
      <c r="FF107" s="1399"/>
      <c r="FG107" s="1399"/>
      <c r="FH107" s="1399"/>
      <c r="FI107" s="1399"/>
      <c r="FJ107" s="1399"/>
      <c r="FK107" s="1399"/>
      <c r="FL107" s="1399"/>
      <c r="FM107" s="1399"/>
      <c r="FN107" s="1399"/>
      <c r="FO107" s="1399"/>
      <c r="FP107" s="1399"/>
      <c r="FQ107" s="1399"/>
      <c r="FR107" s="1399"/>
      <c r="FS107" s="1399"/>
      <c r="FT107" s="1399"/>
      <c r="FU107" s="1399"/>
      <c r="FV107" s="1399"/>
      <c r="FW107" s="1399"/>
      <c r="FX107" s="1399"/>
      <c r="FY107" s="1399"/>
      <c r="FZ107" s="1399"/>
      <c r="GA107" s="1399"/>
      <c r="GB107" s="1399"/>
      <c r="GC107" s="1399"/>
      <c r="GD107" s="1399"/>
      <c r="GE107" s="1399"/>
      <c r="GF107" s="1399"/>
      <c r="GG107" s="1399"/>
      <c r="GH107" s="1399"/>
      <c r="GI107" s="1399"/>
      <c r="GJ107" s="1399"/>
      <c r="GK107" s="1399"/>
      <c r="GL107" s="1399"/>
      <c r="GM107" s="1399"/>
      <c r="GN107" s="1399"/>
      <c r="GO107" s="1399"/>
      <c r="GP107" s="1399"/>
      <c r="GQ107" s="1399"/>
      <c r="GR107" s="1399"/>
      <c r="GS107" s="1399"/>
      <c r="GT107" s="1399"/>
      <c r="GU107" s="1399"/>
      <c r="GV107" s="1399"/>
      <c r="GW107" s="1399"/>
      <c r="GX107" s="1399"/>
      <c r="GY107" s="1399"/>
      <c r="GZ107" s="1399"/>
      <c r="HA107" s="1399"/>
      <c r="HB107" s="1399"/>
      <c r="HC107" s="1399"/>
      <c r="HD107" s="1399"/>
      <c r="HE107" s="1399"/>
      <c r="HF107" s="1399"/>
      <c r="HG107" s="1399"/>
      <c r="HH107" s="1399"/>
      <c r="HI107" s="1399"/>
      <c r="HJ107" s="1399"/>
      <c r="HK107" s="1399"/>
      <c r="HL107" s="1399"/>
      <c r="HM107" s="1399"/>
      <c r="HN107" s="1399"/>
      <c r="HO107" s="1399"/>
      <c r="HP107" s="1399"/>
      <c r="HQ107" s="1399"/>
      <c r="HR107" s="1399"/>
      <c r="HS107" s="1399"/>
      <c r="HT107" s="1399"/>
      <c r="HU107" s="1399"/>
      <c r="HV107" s="1399"/>
      <c r="HW107" s="1399"/>
      <c r="HX107" s="1399"/>
      <c r="HY107" s="1399"/>
      <c r="HZ107" s="1399"/>
      <c r="IA107" s="1399"/>
      <c r="IB107" s="1399"/>
      <c r="IC107" s="1399"/>
      <c r="ID107" s="1399"/>
      <c r="IE107" s="1399"/>
      <c r="IF107" s="1399"/>
      <c r="IG107" s="1399"/>
      <c r="IH107" s="1399"/>
      <c r="II107" s="1399"/>
      <c r="IJ107" s="1399"/>
      <c r="IK107" s="1399"/>
      <c r="IL107" s="1399"/>
      <c r="IM107" s="1399"/>
      <c r="IN107" s="1399"/>
      <c r="IO107" s="1399"/>
      <c r="IP107" s="1399"/>
      <c r="IQ107" s="1399"/>
      <c r="IR107" s="1399"/>
      <c r="IS107" s="1399"/>
      <c r="IT107" s="1399"/>
      <c r="IU107" s="1399"/>
      <c r="IV107" s="1399"/>
    </row>
    <row r="108" spans="1:256" s="1400" customFormat="1" ht="10.5" customHeight="1">
      <c r="A108" s="1397" t="s">
        <v>1144</v>
      </c>
      <c r="B108" s="1323"/>
      <c r="C108" s="1323"/>
      <c r="D108" s="1323"/>
      <c r="E108" s="1323"/>
      <c r="F108" s="1323"/>
      <c r="G108" s="1444"/>
      <c r="H108" s="1444"/>
      <c r="I108" s="1444"/>
      <c r="J108" s="1444"/>
      <c r="K108" s="1399"/>
      <c r="L108" s="1399"/>
      <c r="M108" s="1399"/>
      <c r="N108" s="1399"/>
      <c r="O108" s="1399"/>
      <c r="P108" s="1399"/>
      <c r="Q108" s="1399"/>
      <c r="R108" s="1399"/>
      <c r="S108" s="1399"/>
      <c r="T108" s="1399"/>
      <c r="U108" s="1399"/>
      <c r="V108" s="1399"/>
      <c r="W108" s="1399"/>
      <c r="X108" s="1399"/>
      <c r="Y108" s="1399"/>
      <c r="Z108" s="1399"/>
      <c r="AA108" s="1399"/>
      <c r="AB108" s="1399"/>
      <c r="AC108" s="1399"/>
      <c r="AD108" s="1399"/>
      <c r="AE108" s="1399"/>
      <c r="AF108" s="1399"/>
      <c r="AG108" s="1399"/>
      <c r="AH108" s="1399"/>
      <c r="AI108" s="1399"/>
      <c r="AJ108" s="1399"/>
      <c r="AK108" s="1399"/>
      <c r="AL108" s="1399"/>
      <c r="AM108" s="1399"/>
      <c r="AN108" s="1399"/>
      <c r="AO108" s="1399"/>
      <c r="AP108" s="1399"/>
      <c r="AQ108" s="1399"/>
      <c r="AR108" s="1399"/>
      <c r="AS108" s="1399"/>
      <c r="AT108" s="1399"/>
      <c r="AU108" s="1399"/>
      <c r="AV108" s="1399"/>
      <c r="AW108" s="1399"/>
      <c r="AX108" s="1399"/>
      <c r="AY108" s="1399"/>
      <c r="AZ108" s="1399"/>
      <c r="BA108" s="1399"/>
      <c r="BB108" s="1399"/>
      <c r="BC108" s="1399"/>
      <c r="BD108" s="1399"/>
      <c r="BE108" s="1399"/>
      <c r="BF108" s="1399"/>
      <c r="BG108" s="1399"/>
      <c r="BH108" s="1399"/>
      <c r="BI108" s="1399"/>
      <c r="BJ108" s="1399"/>
      <c r="BK108" s="1399"/>
      <c r="BL108" s="1399"/>
      <c r="BM108" s="1399"/>
      <c r="BN108" s="1399"/>
      <c r="BO108" s="1399"/>
      <c r="BP108" s="1399"/>
      <c r="BQ108" s="1399"/>
      <c r="BR108" s="1399"/>
      <c r="BS108" s="1399"/>
      <c r="BT108" s="1399"/>
      <c r="BU108" s="1399"/>
      <c r="BV108" s="1399"/>
      <c r="BW108" s="1399"/>
      <c r="BX108" s="1399"/>
      <c r="BY108" s="1399"/>
      <c r="BZ108" s="1399"/>
      <c r="CA108" s="1399"/>
      <c r="CB108" s="1399"/>
      <c r="CC108" s="1399"/>
      <c r="CD108" s="1399"/>
      <c r="CE108" s="1399"/>
      <c r="CF108" s="1399"/>
      <c r="CG108" s="1399"/>
      <c r="CH108" s="1399"/>
      <c r="CI108" s="1399"/>
      <c r="CJ108" s="1399"/>
      <c r="CK108" s="1399"/>
      <c r="CL108" s="1399"/>
      <c r="CM108" s="1399"/>
      <c r="CN108" s="1399"/>
      <c r="CO108" s="1399"/>
      <c r="CP108" s="1399"/>
      <c r="CQ108" s="1399"/>
      <c r="CR108" s="1399"/>
      <c r="CS108" s="1399"/>
      <c r="CT108" s="1399"/>
      <c r="CU108" s="1399"/>
      <c r="CV108" s="1399"/>
      <c r="CW108" s="1399"/>
      <c r="CX108" s="1399"/>
      <c r="CY108" s="1399"/>
      <c r="CZ108" s="1399"/>
      <c r="DA108" s="1399"/>
      <c r="DB108" s="1399"/>
      <c r="DC108" s="1399"/>
      <c r="DD108" s="1399"/>
      <c r="DE108" s="1399"/>
      <c r="DF108" s="1399"/>
      <c r="DG108" s="1399"/>
      <c r="DH108" s="1399"/>
      <c r="DI108" s="1399"/>
      <c r="DJ108" s="1399"/>
      <c r="DK108" s="1399"/>
      <c r="DL108" s="1399"/>
      <c r="DM108" s="1399"/>
      <c r="DN108" s="1399"/>
      <c r="DO108" s="1399"/>
      <c r="DP108" s="1399"/>
      <c r="DQ108" s="1399"/>
      <c r="DR108" s="1399"/>
      <c r="DS108" s="1399"/>
      <c r="DT108" s="1399"/>
      <c r="DU108" s="1399"/>
      <c r="DV108" s="1399"/>
      <c r="DW108" s="1399"/>
      <c r="DX108" s="1399"/>
      <c r="DY108" s="1399"/>
      <c r="DZ108" s="1399"/>
      <c r="EA108" s="1399"/>
      <c r="EB108" s="1399"/>
      <c r="EC108" s="1399"/>
      <c r="ED108" s="1399"/>
      <c r="EE108" s="1399"/>
      <c r="EF108" s="1399"/>
      <c r="EG108" s="1399"/>
      <c r="EH108" s="1399"/>
      <c r="EI108" s="1399"/>
      <c r="EJ108" s="1399"/>
      <c r="EK108" s="1399"/>
      <c r="EL108" s="1399"/>
      <c r="EM108" s="1399"/>
      <c r="EN108" s="1399"/>
      <c r="EO108" s="1399"/>
      <c r="EP108" s="1399"/>
      <c r="EQ108" s="1399"/>
      <c r="ER108" s="1399"/>
      <c r="ES108" s="1399"/>
      <c r="ET108" s="1399"/>
      <c r="EU108" s="1399"/>
      <c r="EV108" s="1399"/>
      <c r="EW108" s="1399"/>
      <c r="EX108" s="1399"/>
      <c r="EY108" s="1399"/>
      <c r="EZ108" s="1399"/>
      <c r="FA108" s="1399"/>
      <c r="FB108" s="1399"/>
      <c r="FC108" s="1399"/>
      <c r="FD108" s="1399"/>
      <c r="FE108" s="1399"/>
      <c r="FF108" s="1399"/>
      <c r="FG108" s="1399"/>
      <c r="FH108" s="1399"/>
      <c r="FI108" s="1399"/>
      <c r="FJ108" s="1399"/>
      <c r="FK108" s="1399"/>
      <c r="FL108" s="1399"/>
      <c r="FM108" s="1399"/>
      <c r="FN108" s="1399"/>
      <c r="FO108" s="1399"/>
      <c r="FP108" s="1399"/>
      <c r="FQ108" s="1399"/>
      <c r="FR108" s="1399"/>
      <c r="FS108" s="1399"/>
      <c r="FT108" s="1399"/>
      <c r="FU108" s="1399"/>
      <c r="FV108" s="1399"/>
      <c r="FW108" s="1399"/>
      <c r="FX108" s="1399"/>
      <c r="FY108" s="1399"/>
      <c r="FZ108" s="1399"/>
      <c r="GA108" s="1399"/>
      <c r="GB108" s="1399"/>
      <c r="GC108" s="1399"/>
      <c r="GD108" s="1399"/>
      <c r="GE108" s="1399"/>
      <c r="GF108" s="1399"/>
      <c r="GG108" s="1399"/>
      <c r="GH108" s="1399"/>
      <c r="GI108" s="1399"/>
      <c r="GJ108" s="1399"/>
      <c r="GK108" s="1399"/>
      <c r="GL108" s="1399"/>
      <c r="GM108" s="1399"/>
      <c r="GN108" s="1399"/>
      <c r="GO108" s="1399"/>
      <c r="GP108" s="1399"/>
      <c r="GQ108" s="1399"/>
      <c r="GR108" s="1399"/>
      <c r="GS108" s="1399"/>
      <c r="GT108" s="1399"/>
      <c r="GU108" s="1399"/>
      <c r="GV108" s="1399"/>
      <c r="GW108" s="1399"/>
      <c r="GX108" s="1399"/>
      <c r="GY108" s="1399"/>
      <c r="GZ108" s="1399"/>
      <c r="HA108" s="1399"/>
      <c r="HB108" s="1399"/>
      <c r="HC108" s="1399"/>
      <c r="HD108" s="1399"/>
      <c r="HE108" s="1399"/>
      <c r="HF108" s="1399"/>
      <c r="HG108" s="1399"/>
      <c r="HH108" s="1399"/>
      <c r="HI108" s="1399"/>
      <c r="HJ108" s="1399"/>
      <c r="HK108" s="1399"/>
      <c r="HL108" s="1399"/>
      <c r="HM108" s="1399"/>
      <c r="HN108" s="1399"/>
      <c r="HO108" s="1399"/>
      <c r="HP108" s="1399"/>
      <c r="HQ108" s="1399"/>
      <c r="HR108" s="1399"/>
      <c r="HS108" s="1399"/>
      <c r="HT108" s="1399"/>
      <c r="HU108" s="1399"/>
      <c r="HV108" s="1399"/>
      <c r="HW108" s="1399"/>
      <c r="HX108" s="1399"/>
      <c r="HY108" s="1399"/>
      <c r="HZ108" s="1399"/>
      <c r="IA108" s="1399"/>
      <c r="IB108" s="1399"/>
      <c r="IC108" s="1399"/>
      <c r="ID108" s="1399"/>
      <c r="IE108" s="1399"/>
      <c r="IF108" s="1399"/>
      <c r="IG108" s="1399"/>
      <c r="IH108" s="1399"/>
      <c r="II108" s="1399"/>
      <c r="IJ108" s="1399"/>
      <c r="IK108" s="1399"/>
      <c r="IL108" s="1399"/>
      <c r="IM108" s="1399"/>
      <c r="IN108" s="1399"/>
      <c r="IO108" s="1399"/>
      <c r="IP108" s="1399"/>
      <c r="IQ108" s="1399"/>
      <c r="IR108" s="1399"/>
      <c r="IS108" s="1399"/>
      <c r="IT108" s="1399"/>
      <c r="IU108" s="1399"/>
      <c r="IV108" s="1399"/>
    </row>
    <row r="109" spans="1:256" s="1400" customFormat="1" ht="10.5" customHeight="1">
      <c r="A109" s="1397" t="s">
        <v>1145</v>
      </c>
      <c r="B109" s="1323"/>
      <c r="C109" s="1323"/>
      <c r="D109" s="1323"/>
      <c r="E109" s="1323"/>
      <c r="F109" s="1323"/>
      <c r="G109" s="1444"/>
      <c r="H109" s="1444"/>
      <c r="I109" s="1444"/>
      <c r="J109" s="1444"/>
      <c r="K109" s="1399"/>
      <c r="L109" s="1399"/>
      <c r="M109" s="1399"/>
      <c r="N109" s="1399"/>
      <c r="O109" s="1399"/>
      <c r="P109" s="1399"/>
      <c r="Q109" s="1399"/>
      <c r="R109" s="1399"/>
      <c r="S109" s="1399"/>
      <c r="T109" s="1399"/>
      <c r="U109" s="1399"/>
      <c r="V109" s="1399"/>
      <c r="W109" s="1399"/>
      <c r="X109" s="1399"/>
      <c r="Y109" s="1399"/>
      <c r="Z109" s="1399"/>
      <c r="AA109" s="1399"/>
      <c r="AB109" s="1399"/>
      <c r="AC109" s="1399"/>
      <c r="AD109" s="1399"/>
      <c r="AE109" s="1399"/>
      <c r="AF109" s="1399"/>
      <c r="AG109" s="1399"/>
      <c r="AH109" s="1399"/>
      <c r="AI109" s="1399"/>
      <c r="AJ109" s="1399"/>
      <c r="AK109" s="1399"/>
      <c r="AL109" s="1399"/>
      <c r="AM109" s="1399"/>
      <c r="AN109" s="1399"/>
      <c r="AO109" s="1399"/>
      <c r="AP109" s="1399"/>
      <c r="AQ109" s="1399"/>
      <c r="AR109" s="1399"/>
      <c r="AS109" s="1399"/>
      <c r="AT109" s="1399"/>
      <c r="AU109" s="1399"/>
      <c r="AV109" s="1399"/>
      <c r="AW109" s="1399"/>
      <c r="AX109" s="1399"/>
      <c r="AY109" s="1399"/>
      <c r="AZ109" s="1399"/>
      <c r="BA109" s="1399"/>
      <c r="BB109" s="1399"/>
      <c r="BC109" s="1399"/>
      <c r="BD109" s="1399"/>
      <c r="BE109" s="1399"/>
      <c r="BF109" s="1399"/>
      <c r="BG109" s="1399"/>
      <c r="BH109" s="1399"/>
      <c r="BI109" s="1399"/>
      <c r="BJ109" s="1399"/>
      <c r="BK109" s="1399"/>
      <c r="BL109" s="1399"/>
      <c r="BM109" s="1399"/>
      <c r="BN109" s="1399"/>
      <c r="BO109" s="1399"/>
      <c r="BP109" s="1399"/>
      <c r="BQ109" s="1399"/>
      <c r="BR109" s="1399"/>
      <c r="BS109" s="1399"/>
      <c r="BT109" s="1399"/>
      <c r="BU109" s="1399"/>
      <c r="BV109" s="1399"/>
      <c r="BW109" s="1399"/>
      <c r="BX109" s="1399"/>
      <c r="BY109" s="1399"/>
      <c r="BZ109" s="1399"/>
      <c r="CA109" s="1399"/>
      <c r="CB109" s="1399"/>
      <c r="CC109" s="1399"/>
      <c r="CD109" s="1399"/>
      <c r="CE109" s="1399"/>
      <c r="CF109" s="1399"/>
      <c r="CG109" s="1399"/>
      <c r="CH109" s="1399"/>
      <c r="CI109" s="1399"/>
      <c r="CJ109" s="1399"/>
      <c r="CK109" s="1399"/>
      <c r="CL109" s="1399"/>
      <c r="CM109" s="1399"/>
      <c r="CN109" s="1399"/>
      <c r="CO109" s="1399"/>
      <c r="CP109" s="1399"/>
      <c r="CQ109" s="1399"/>
      <c r="CR109" s="1399"/>
      <c r="CS109" s="1399"/>
      <c r="CT109" s="1399"/>
      <c r="CU109" s="1399"/>
      <c r="CV109" s="1399"/>
      <c r="CW109" s="1399"/>
      <c r="CX109" s="1399"/>
      <c r="CY109" s="1399"/>
      <c r="CZ109" s="1399"/>
      <c r="DA109" s="1399"/>
      <c r="DB109" s="1399"/>
      <c r="DC109" s="1399"/>
      <c r="DD109" s="1399"/>
      <c r="DE109" s="1399"/>
      <c r="DF109" s="1399"/>
      <c r="DG109" s="1399"/>
      <c r="DH109" s="1399"/>
      <c r="DI109" s="1399"/>
      <c r="DJ109" s="1399"/>
      <c r="DK109" s="1399"/>
      <c r="DL109" s="1399"/>
      <c r="DM109" s="1399"/>
      <c r="DN109" s="1399"/>
      <c r="DO109" s="1399"/>
      <c r="DP109" s="1399"/>
      <c r="DQ109" s="1399"/>
      <c r="DR109" s="1399"/>
      <c r="DS109" s="1399"/>
      <c r="DT109" s="1399"/>
      <c r="DU109" s="1399"/>
      <c r="DV109" s="1399"/>
      <c r="DW109" s="1399"/>
      <c r="DX109" s="1399"/>
      <c r="DY109" s="1399"/>
      <c r="DZ109" s="1399"/>
      <c r="EA109" s="1399"/>
      <c r="EB109" s="1399"/>
      <c r="EC109" s="1399"/>
      <c r="ED109" s="1399"/>
      <c r="EE109" s="1399"/>
      <c r="EF109" s="1399"/>
      <c r="EG109" s="1399"/>
      <c r="EH109" s="1399"/>
      <c r="EI109" s="1399"/>
      <c r="EJ109" s="1399"/>
      <c r="EK109" s="1399"/>
      <c r="EL109" s="1399"/>
      <c r="EM109" s="1399"/>
      <c r="EN109" s="1399"/>
      <c r="EO109" s="1399"/>
      <c r="EP109" s="1399"/>
      <c r="EQ109" s="1399"/>
      <c r="ER109" s="1399"/>
      <c r="ES109" s="1399"/>
      <c r="ET109" s="1399"/>
      <c r="EU109" s="1399"/>
      <c r="EV109" s="1399"/>
      <c r="EW109" s="1399"/>
      <c r="EX109" s="1399"/>
      <c r="EY109" s="1399"/>
      <c r="EZ109" s="1399"/>
      <c r="FA109" s="1399"/>
      <c r="FB109" s="1399"/>
      <c r="FC109" s="1399"/>
      <c r="FD109" s="1399"/>
      <c r="FE109" s="1399"/>
      <c r="FF109" s="1399"/>
      <c r="FG109" s="1399"/>
      <c r="FH109" s="1399"/>
      <c r="FI109" s="1399"/>
      <c r="FJ109" s="1399"/>
      <c r="FK109" s="1399"/>
      <c r="FL109" s="1399"/>
      <c r="FM109" s="1399"/>
      <c r="FN109" s="1399"/>
      <c r="FO109" s="1399"/>
      <c r="FP109" s="1399"/>
      <c r="FQ109" s="1399"/>
      <c r="FR109" s="1399"/>
      <c r="FS109" s="1399"/>
      <c r="FT109" s="1399"/>
      <c r="FU109" s="1399"/>
      <c r="FV109" s="1399"/>
      <c r="FW109" s="1399"/>
      <c r="FX109" s="1399"/>
      <c r="FY109" s="1399"/>
      <c r="FZ109" s="1399"/>
      <c r="GA109" s="1399"/>
      <c r="GB109" s="1399"/>
      <c r="GC109" s="1399"/>
      <c r="GD109" s="1399"/>
      <c r="GE109" s="1399"/>
      <c r="GF109" s="1399"/>
      <c r="GG109" s="1399"/>
      <c r="GH109" s="1399"/>
      <c r="GI109" s="1399"/>
      <c r="GJ109" s="1399"/>
      <c r="GK109" s="1399"/>
      <c r="GL109" s="1399"/>
      <c r="GM109" s="1399"/>
      <c r="GN109" s="1399"/>
      <c r="GO109" s="1399"/>
      <c r="GP109" s="1399"/>
      <c r="GQ109" s="1399"/>
      <c r="GR109" s="1399"/>
      <c r="GS109" s="1399"/>
      <c r="GT109" s="1399"/>
      <c r="GU109" s="1399"/>
      <c r="GV109" s="1399"/>
      <c r="GW109" s="1399"/>
      <c r="GX109" s="1399"/>
      <c r="GY109" s="1399"/>
      <c r="GZ109" s="1399"/>
      <c r="HA109" s="1399"/>
      <c r="HB109" s="1399"/>
      <c r="HC109" s="1399"/>
      <c r="HD109" s="1399"/>
      <c r="HE109" s="1399"/>
      <c r="HF109" s="1399"/>
      <c r="HG109" s="1399"/>
      <c r="HH109" s="1399"/>
      <c r="HI109" s="1399"/>
      <c r="HJ109" s="1399"/>
      <c r="HK109" s="1399"/>
      <c r="HL109" s="1399"/>
      <c r="HM109" s="1399"/>
      <c r="HN109" s="1399"/>
      <c r="HO109" s="1399"/>
      <c r="HP109" s="1399"/>
      <c r="HQ109" s="1399"/>
      <c r="HR109" s="1399"/>
      <c r="HS109" s="1399"/>
      <c r="HT109" s="1399"/>
      <c r="HU109" s="1399"/>
      <c r="HV109" s="1399"/>
      <c r="HW109" s="1399"/>
      <c r="HX109" s="1399"/>
      <c r="HY109" s="1399"/>
      <c r="HZ109" s="1399"/>
      <c r="IA109" s="1399"/>
      <c r="IB109" s="1399"/>
      <c r="IC109" s="1399"/>
      <c r="ID109" s="1399"/>
      <c r="IE109" s="1399"/>
      <c r="IF109" s="1399"/>
      <c r="IG109" s="1399"/>
      <c r="IH109" s="1399"/>
      <c r="II109" s="1399"/>
      <c r="IJ109" s="1399"/>
      <c r="IK109" s="1399"/>
      <c r="IL109" s="1399"/>
      <c r="IM109" s="1399"/>
      <c r="IN109" s="1399"/>
      <c r="IO109" s="1399"/>
      <c r="IP109" s="1399"/>
      <c r="IQ109" s="1399"/>
      <c r="IR109" s="1399"/>
      <c r="IS109" s="1399"/>
      <c r="IT109" s="1399"/>
      <c r="IU109" s="1399"/>
      <c r="IV109" s="1399"/>
    </row>
    <row r="110" spans="1:256">
      <c r="A110" s="1397" t="s">
        <v>1146</v>
      </c>
    </row>
    <row r="111" spans="1:256">
      <c r="A111" s="1397" t="s">
        <v>1147</v>
      </c>
    </row>
    <row r="112" spans="1:256" s="1400" customFormat="1" ht="10.5" customHeight="1">
      <c r="A112" s="1397" t="s">
        <v>1148</v>
      </c>
      <c r="B112" s="1323"/>
      <c r="C112" s="1323"/>
      <c r="D112" s="1323"/>
      <c r="E112" s="1323"/>
      <c r="F112" s="1323"/>
      <c r="G112" s="1444"/>
      <c r="H112" s="1444"/>
      <c r="I112" s="1444"/>
      <c r="J112" s="1444"/>
      <c r="K112" s="1399"/>
      <c r="L112" s="1399"/>
      <c r="M112" s="1399"/>
      <c r="N112" s="1399"/>
      <c r="O112" s="1399"/>
      <c r="P112" s="1399"/>
      <c r="Q112" s="1399"/>
      <c r="R112" s="1399"/>
      <c r="S112" s="1399"/>
      <c r="T112" s="1399"/>
      <c r="U112" s="1399"/>
      <c r="V112" s="1399"/>
      <c r="W112" s="1399"/>
      <c r="X112" s="1399"/>
      <c r="Y112" s="1399"/>
      <c r="Z112" s="1399"/>
      <c r="AA112" s="1399"/>
      <c r="AB112" s="1399"/>
      <c r="AC112" s="1399"/>
      <c r="AD112" s="1399"/>
      <c r="AE112" s="1399"/>
      <c r="AF112" s="1399"/>
      <c r="AG112" s="1399"/>
      <c r="AH112" s="1399"/>
      <c r="AI112" s="1399"/>
      <c r="AJ112" s="1399"/>
      <c r="AK112" s="1399"/>
      <c r="AL112" s="1399"/>
      <c r="AM112" s="1399"/>
      <c r="AN112" s="1399"/>
      <c r="AO112" s="1399"/>
      <c r="AP112" s="1399"/>
      <c r="AQ112" s="1399"/>
      <c r="AR112" s="1399"/>
      <c r="AS112" s="1399"/>
      <c r="AT112" s="1399"/>
      <c r="AU112" s="1399"/>
      <c r="AV112" s="1399"/>
      <c r="AW112" s="1399"/>
      <c r="AX112" s="1399"/>
      <c r="AY112" s="1399"/>
      <c r="AZ112" s="1399"/>
      <c r="BA112" s="1399"/>
      <c r="BB112" s="1399"/>
      <c r="BC112" s="1399"/>
      <c r="BD112" s="1399"/>
      <c r="BE112" s="1399"/>
      <c r="BF112" s="1399"/>
      <c r="BG112" s="1399"/>
      <c r="BH112" s="1399"/>
      <c r="BI112" s="1399"/>
      <c r="BJ112" s="1399"/>
      <c r="BK112" s="1399"/>
      <c r="BL112" s="1399"/>
      <c r="BM112" s="1399"/>
      <c r="BN112" s="1399"/>
      <c r="BO112" s="1399"/>
      <c r="BP112" s="1399"/>
      <c r="BQ112" s="1399"/>
      <c r="BR112" s="1399"/>
      <c r="BS112" s="1399"/>
      <c r="BT112" s="1399"/>
      <c r="BU112" s="1399"/>
      <c r="BV112" s="1399"/>
      <c r="BW112" s="1399"/>
      <c r="BX112" s="1399"/>
      <c r="BY112" s="1399"/>
      <c r="BZ112" s="1399"/>
      <c r="CA112" s="1399"/>
      <c r="CB112" s="1399"/>
      <c r="CC112" s="1399"/>
      <c r="CD112" s="1399"/>
      <c r="CE112" s="1399"/>
      <c r="CF112" s="1399"/>
      <c r="CG112" s="1399"/>
      <c r="CH112" s="1399"/>
      <c r="CI112" s="1399"/>
      <c r="CJ112" s="1399"/>
      <c r="CK112" s="1399"/>
      <c r="CL112" s="1399"/>
      <c r="CM112" s="1399"/>
      <c r="CN112" s="1399"/>
      <c r="CO112" s="1399"/>
      <c r="CP112" s="1399"/>
      <c r="CQ112" s="1399"/>
      <c r="CR112" s="1399"/>
      <c r="CS112" s="1399"/>
      <c r="CT112" s="1399"/>
      <c r="CU112" s="1399"/>
      <c r="CV112" s="1399"/>
      <c r="CW112" s="1399"/>
      <c r="CX112" s="1399"/>
      <c r="CY112" s="1399"/>
      <c r="CZ112" s="1399"/>
      <c r="DA112" s="1399"/>
      <c r="DB112" s="1399"/>
      <c r="DC112" s="1399"/>
      <c r="DD112" s="1399"/>
      <c r="DE112" s="1399"/>
      <c r="DF112" s="1399"/>
      <c r="DG112" s="1399"/>
      <c r="DH112" s="1399"/>
      <c r="DI112" s="1399"/>
      <c r="DJ112" s="1399"/>
      <c r="DK112" s="1399"/>
      <c r="DL112" s="1399"/>
      <c r="DM112" s="1399"/>
      <c r="DN112" s="1399"/>
      <c r="DO112" s="1399"/>
      <c r="DP112" s="1399"/>
      <c r="DQ112" s="1399"/>
      <c r="DR112" s="1399"/>
      <c r="DS112" s="1399"/>
      <c r="DT112" s="1399"/>
      <c r="DU112" s="1399"/>
      <c r="DV112" s="1399"/>
      <c r="DW112" s="1399"/>
      <c r="DX112" s="1399"/>
      <c r="DY112" s="1399"/>
      <c r="DZ112" s="1399"/>
      <c r="EA112" s="1399"/>
      <c r="EB112" s="1399"/>
      <c r="EC112" s="1399"/>
      <c r="ED112" s="1399"/>
      <c r="EE112" s="1399"/>
      <c r="EF112" s="1399"/>
      <c r="EG112" s="1399"/>
      <c r="EH112" s="1399"/>
      <c r="EI112" s="1399"/>
      <c r="EJ112" s="1399"/>
      <c r="EK112" s="1399"/>
      <c r="EL112" s="1399"/>
      <c r="EM112" s="1399"/>
      <c r="EN112" s="1399"/>
      <c r="EO112" s="1399"/>
      <c r="EP112" s="1399"/>
      <c r="EQ112" s="1399"/>
      <c r="ER112" s="1399"/>
      <c r="ES112" s="1399"/>
      <c r="ET112" s="1399"/>
      <c r="EU112" s="1399"/>
      <c r="EV112" s="1399"/>
      <c r="EW112" s="1399"/>
      <c r="EX112" s="1399"/>
      <c r="EY112" s="1399"/>
      <c r="EZ112" s="1399"/>
      <c r="FA112" s="1399"/>
      <c r="FB112" s="1399"/>
      <c r="FC112" s="1399"/>
      <c r="FD112" s="1399"/>
      <c r="FE112" s="1399"/>
      <c r="FF112" s="1399"/>
      <c r="FG112" s="1399"/>
      <c r="FH112" s="1399"/>
      <c r="FI112" s="1399"/>
      <c r="FJ112" s="1399"/>
      <c r="FK112" s="1399"/>
      <c r="FL112" s="1399"/>
      <c r="FM112" s="1399"/>
      <c r="FN112" s="1399"/>
      <c r="FO112" s="1399"/>
      <c r="FP112" s="1399"/>
      <c r="FQ112" s="1399"/>
      <c r="FR112" s="1399"/>
      <c r="FS112" s="1399"/>
      <c r="FT112" s="1399"/>
      <c r="FU112" s="1399"/>
      <c r="FV112" s="1399"/>
      <c r="FW112" s="1399"/>
      <c r="FX112" s="1399"/>
      <c r="FY112" s="1399"/>
      <c r="FZ112" s="1399"/>
      <c r="GA112" s="1399"/>
      <c r="GB112" s="1399"/>
      <c r="GC112" s="1399"/>
      <c r="GD112" s="1399"/>
      <c r="GE112" s="1399"/>
      <c r="GF112" s="1399"/>
      <c r="GG112" s="1399"/>
      <c r="GH112" s="1399"/>
      <c r="GI112" s="1399"/>
      <c r="GJ112" s="1399"/>
      <c r="GK112" s="1399"/>
      <c r="GL112" s="1399"/>
      <c r="GM112" s="1399"/>
      <c r="GN112" s="1399"/>
      <c r="GO112" s="1399"/>
      <c r="GP112" s="1399"/>
      <c r="GQ112" s="1399"/>
      <c r="GR112" s="1399"/>
      <c r="GS112" s="1399"/>
      <c r="GT112" s="1399"/>
      <c r="GU112" s="1399"/>
      <c r="GV112" s="1399"/>
      <c r="GW112" s="1399"/>
      <c r="GX112" s="1399"/>
      <c r="GY112" s="1399"/>
      <c r="GZ112" s="1399"/>
      <c r="HA112" s="1399"/>
      <c r="HB112" s="1399"/>
      <c r="HC112" s="1399"/>
      <c r="HD112" s="1399"/>
      <c r="HE112" s="1399"/>
      <c r="HF112" s="1399"/>
      <c r="HG112" s="1399"/>
      <c r="HH112" s="1399"/>
      <c r="HI112" s="1399"/>
      <c r="HJ112" s="1399"/>
      <c r="HK112" s="1399"/>
      <c r="HL112" s="1399"/>
      <c r="HM112" s="1399"/>
      <c r="HN112" s="1399"/>
      <c r="HO112" s="1399"/>
      <c r="HP112" s="1399"/>
      <c r="HQ112" s="1399"/>
      <c r="HR112" s="1399"/>
      <c r="HS112" s="1399"/>
      <c r="HT112" s="1399"/>
      <c r="HU112" s="1399"/>
      <c r="HV112" s="1399"/>
      <c r="HW112" s="1399"/>
      <c r="HX112" s="1399"/>
      <c r="HY112" s="1399"/>
      <c r="HZ112" s="1399"/>
      <c r="IA112" s="1399"/>
      <c r="IB112" s="1399"/>
      <c r="IC112" s="1399"/>
      <c r="ID112" s="1399"/>
      <c r="IE112" s="1399"/>
      <c r="IF112" s="1399"/>
      <c r="IG112" s="1399"/>
      <c r="IH112" s="1399"/>
      <c r="II112" s="1399"/>
      <c r="IJ112" s="1399"/>
      <c r="IK112" s="1399"/>
      <c r="IL112" s="1399"/>
      <c r="IM112" s="1399"/>
      <c r="IN112" s="1399"/>
      <c r="IO112" s="1399"/>
      <c r="IP112" s="1399"/>
      <c r="IQ112" s="1399"/>
      <c r="IR112" s="1399"/>
      <c r="IS112" s="1399"/>
      <c r="IT112" s="1399"/>
      <c r="IU112" s="1399"/>
      <c r="IV112" s="1399"/>
    </row>
    <row r="113" spans="1:256" s="1400" customFormat="1" ht="10.5" customHeight="1">
      <c r="A113" s="1397" t="s">
        <v>1149</v>
      </c>
      <c r="B113" s="1323"/>
      <c r="C113" s="1323"/>
      <c r="D113" s="1323"/>
      <c r="E113" s="1323"/>
      <c r="F113" s="1323"/>
      <c r="G113" s="1444"/>
      <c r="H113" s="1444"/>
      <c r="I113" s="1444"/>
      <c r="J113" s="1444"/>
      <c r="K113" s="1399"/>
      <c r="L113" s="1399"/>
      <c r="M113" s="1399"/>
      <c r="N113" s="1399"/>
      <c r="O113" s="1399"/>
      <c r="P113" s="1399"/>
      <c r="Q113" s="1399"/>
      <c r="R113" s="1399"/>
      <c r="S113" s="1399"/>
      <c r="T113" s="1399"/>
      <c r="U113" s="1399"/>
      <c r="V113" s="1399"/>
      <c r="W113" s="1399"/>
      <c r="X113" s="1399"/>
      <c r="Y113" s="1399"/>
      <c r="Z113" s="1399"/>
      <c r="AA113" s="1399"/>
      <c r="AB113" s="1399"/>
      <c r="AC113" s="1399"/>
      <c r="AD113" s="1399"/>
      <c r="AE113" s="1399"/>
      <c r="AF113" s="1399"/>
      <c r="AG113" s="1399"/>
      <c r="AH113" s="1399"/>
      <c r="AI113" s="1399"/>
      <c r="AJ113" s="1399"/>
      <c r="AK113" s="1399"/>
      <c r="AL113" s="1399"/>
      <c r="AM113" s="1399"/>
      <c r="AN113" s="1399"/>
      <c r="AO113" s="1399"/>
      <c r="AP113" s="1399"/>
      <c r="AQ113" s="1399"/>
      <c r="AR113" s="1399"/>
      <c r="AS113" s="1399"/>
      <c r="AT113" s="1399"/>
      <c r="AU113" s="1399"/>
      <c r="AV113" s="1399"/>
      <c r="AW113" s="1399"/>
      <c r="AX113" s="1399"/>
      <c r="AY113" s="1399"/>
      <c r="AZ113" s="1399"/>
      <c r="BA113" s="1399"/>
      <c r="BB113" s="1399"/>
      <c r="BC113" s="1399"/>
      <c r="BD113" s="1399"/>
      <c r="BE113" s="1399"/>
      <c r="BF113" s="1399"/>
      <c r="BG113" s="1399"/>
      <c r="BH113" s="1399"/>
      <c r="BI113" s="1399"/>
      <c r="BJ113" s="1399"/>
      <c r="BK113" s="1399"/>
      <c r="BL113" s="1399"/>
      <c r="BM113" s="1399"/>
      <c r="BN113" s="1399"/>
      <c r="BO113" s="1399"/>
      <c r="BP113" s="1399"/>
      <c r="BQ113" s="1399"/>
      <c r="BR113" s="1399"/>
      <c r="BS113" s="1399"/>
      <c r="BT113" s="1399"/>
      <c r="BU113" s="1399"/>
      <c r="BV113" s="1399"/>
      <c r="BW113" s="1399"/>
      <c r="BX113" s="1399"/>
      <c r="BY113" s="1399"/>
      <c r="BZ113" s="1399"/>
      <c r="CA113" s="1399"/>
      <c r="CB113" s="1399"/>
      <c r="CC113" s="1399"/>
      <c r="CD113" s="1399"/>
      <c r="CE113" s="1399"/>
      <c r="CF113" s="1399"/>
      <c r="CG113" s="1399"/>
      <c r="CH113" s="1399"/>
      <c r="CI113" s="1399"/>
      <c r="CJ113" s="1399"/>
      <c r="CK113" s="1399"/>
      <c r="CL113" s="1399"/>
      <c r="CM113" s="1399"/>
      <c r="CN113" s="1399"/>
      <c r="CO113" s="1399"/>
      <c r="CP113" s="1399"/>
      <c r="CQ113" s="1399"/>
      <c r="CR113" s="1399"/>
      <c r="CS113" s="1399"/>
      <c r="CT113" s="1399"/>
      <c r="CU113" s="1399"/>
      <c r="CV113" s="1399"/>
      <c r="CW113" s="1399"/>
      <c r="CX113" s="1399"/>
      <c r="CY113" s="1399"/>
      <c r="CZ113" s="1399"/>
      <c r="DA113" s="1399"/>
      <c r="DB113" s="1399"/>
      <c r="DC113" s="1399"/>
      <c r="DD113" s="1399"/>
      <c r="DE113" s="1399"/>
      <c r="DF113" s="1399"/>
      <c r="DG113" s="1399"/>
      <c r="DH113" s="1399"/>
      <c r="DI113" s="1399"/>
      <c r="DJ113" s="1399"/>
      <c r="DK113" s="1399"/>
      <c r="DL113" s="1399"/>
      <c r="DM113" s="1399"/>
      <c r="DN113" s="1399"/>
      <c r="DO113" s="1399"/>
      <c r="DP113" s="1399"/>
      <c r="DQ113" s="1399"/>
      <c r="DR113" s="1399"/>
      <c r="DS113" s="1399"/>
      <c r="DT113" s="1399"/>
      <c r="DU113" s="1399"/>
      <c r="DV113" s="1399"/>
      <c r="DW113" s="1399"/>
      <c r="DX113" s="1399"/>
      <c r="DY113" s="1399"/>
      <c r="DZ113" s="1399"/>
      <c r="EA113" s="1399"/>
      <c r="EB113" s="1399"/>
      <c r="EC113" s="1399"/>
      <c r="ED113" s="1399"/>
      <c r="EE113" s="1399"/>
      <c r="EF113" s="1399"/>
      <c r="EG113" s="1399"/>
      <c r="EH113" s="1399"/>
      <c r="EI113" s="1399"/>
      <c r="EJ113" s="1399"/>
      <c r="EK113" s="1399"/>
      <c r="EL113" s="1399"/>
      <c r="EM113" s="1399"/>
      <c r="EN113" s="1399"/>
      <c r="EO113" s="1399"/>
      <c r="EP113" s="1399"/>
      <c r="EQ113" s="1399"/>
      <c r="ER113" s="1399"/>
      <c r="ES113" s="1399"/>
      <c r="ET113" s="1399"/>
      <c r="EU113" s="1399"/>
      <c r="EV113" s="1399"/>
      <c r="EW113" s="1399"/>
      <c r="EX113" s="1399"/>
      <c r="EY113" s="1399"/>
      <c r="EZ113" s="1399"/>
      <c r="FA113" s="1399"/>
      <c r="FB113" s="1399"/>
      <c r="FC113" s="1399"/>
      <c r="FD113" s="1399"/>
      <c r="FE113" s="1399"/>
      <c r="FF113" s="1399"/>
      <c r="FG113" s="1399"/>
      <c r="FH113" s="1399"/>
      <c r="FI113" s="1399"/>
      <c r="FJ113" s="1399"/>
      <c r="FK113" s="1399"/>
      <c r="FL113" s="1399"/>
      <c r="FM113" s="1399"/>
      <c r="FN113" s="1399"/>
      <c r="FO113" s="1399"/>
      <c r="FP113" s="1399"/>
      <c r="FQ113" s="1399"/>
      <c r="FR113" s="1399"/>
      <c r="FS113" s="1399"/>
      <c r="FT113" s="1399"/>
      <c r="FU113" s="1399"/>
      <c r="FV113" s="1399"/>
      <c r="FW113" s="1399"/>
      <c r="FX113" s="1399"/>
      <c r="FY113" s="1399"/>
      <c r="FZ113" s="1399"/>
      <c r="GA113" s="1399"/>
      <c r="GB113" s="1399"/>
      <c r="GC113" s="1399"/>
      <c r="GD113" s="1399"/>
      <c r="GE113" s="1399"/>
      <c r="GF113" s="1399"/>
      <c r="GG113" s="1399"/>
      <c r="GH113" s="1399"/>
      <c r="GI113" s="1399"/>
      <c r="GJ113" s="1399"/>
      <c r="GK113" s="1399"/>
      <c r="GL113" s="1399"/>
      <c r="GM113" s="1399"/>
      <c r="GN113" s="1399"/>
      <c r="GO113" s="1399"/>
      <c r="GP113" s="1399"/>
      <c r="GQ113" s="1399"/>
      <c r="GR113" s="1399"/>
      <c r="GS113" s="1399"/>
      <c r="GT113" s="1399"/>
      <c r="GU113" s="1399"/>
      <c r="GV113" s="1399"/>
      <c r="GW113" s="1399"/>
      <c r="GX113" s="1399"/>
      <c r="GY113" s="1399"/>
      <c r="GZ113" s="1399"/>
      <c r="HA113" s="1399"/>
      <c r="HB113" s="1399"/>
      <c r="HC113" s="1399"/>
      <c r="HD113" s="1399"/>
      <c r="HE113" s="1399"/>
      <c r="HF113" s="1399"/>
      <c r="HG113" s="1399"/>
      <c r="HH113" s="1399"/>
      <c r="HI113" s="1399"/>
      <c r="HJ113" s="1399"/>
      <c r="HK113" s="1399"/>
      <c r="HL113" s="1399"/>
      <c r="HM113" s="1399"/>
      <c r="HN113" s="1399"/>
      <c r="HO113" s="1399"/>
      <c r="HP113" s="1399"/>
      <c r="HQ113" s="1399"/>
      <c r="HR113" s="1399"/>
      <c r="HS113" s="1399"/>
      <c r="HT113" s="1399"/>
      <c r="HU113" s="1399"/>
      <c r="HV113" s="1399"/>
      <c r="HW113" s="1399"/>
      <c r="HX113" s="1399"/>
      <c r="HY113" s="1399"/>
      <c r="HZ113" s="1399"/>
      <c r="IA113" s="1399"/>
      <c r="IB113" s="1399"/>
      <c r="IC113" s="1399"/>
      <c r="ID113" s="1399"/>
      <c r="IE113" s="1399"/>
      <c r="IF113" s="1399"/>
      <c r="IG113" s="1399"/>
      <c r="IH113" s="1399"/>
      <c r="II113" s="1399"/>
      <c r="IJ113" s="1399"/>
      <c r="IK113" s="1399"/>
      <c r="IL113" s="1399"/>
      <c r="IM113" s="1399"/>
      <c r="IN113" s="1399"/>
      <c r="IO113" s="1399"/>
      <c r="IP113" s="1399"/>
      <c r="IQ113" s="1399"/>
      <c r="IR113" s="1399"/>
      <c r="IS113" s="1399"/>
      <c r="IT113" s="1399"/>
      <c r="IU113" s="1399"/>
      <c r="IV113" s="1399"/>
    </row>
    <row r="114" spans="1:256" s="1400" customFormat="1" ht="10.5" customHeight="1">
      <c r="A114" s="1397" t="s">
        <v>1150</v>
      </c>
      <c r="B114" s="1323"/>
      <c r="C114" s="1323"/>
      <c r="D114" s="1323"/>
      <c r="E114" s="1323"/>
      <c r="F114" s="1323"/>
      <c r="G114" s="1444"/>
      <c r="H114" s="1444"/>
      <c r="I114" s="1444"/>
      <c r="J114" s="1444"/>
      <c r="K114" s="1399"/>
      <c r="L114" s="1399"/>
      <c r="M114" s="1399"/>
      <c r="N114" s="1399"/>
      <c r="O114" s="1399"/>
      <c r="P114" s="1399"/>
      <c r="Q114" s="1399"/>
      <c r="R114" s="1399"/>
      <c r="S114" s="1399"/>
      <c r="T114" s="1399"/>
      <c r="U114" s="1399"/>
      <c r="V114" s="1399"/>
      <c r="W114" s="1399"/>
      <c r="X114" s="1399"/>
      <c r="Y114" s="1399"/>
      <c r="Z114" s="1399"/>
      <c r="AA114" s="1399"/>
      <c r="AB114" s="1399"/>
      <c r="AC114" s="1399"/>
      <c r="AD114" s="1399"/>
      <c r="AE114" s="1399"/>
      <c r="AF114" s="1399"/>
      <c r="AG114" s="1399"/>
      <c r="AH114" s="1399"/>
      <c r="AI114" s="1399"/>
      <c r="AJ114" s="1399"/>
      <c r="AK114" s="1399"/>
      <c r="AL114" s="1399"/>
      <c r="AM114" s="1399"/>
      <c r="AN114" s="1399"/>
      <c r="AO114" s="1399"/>
      <c r="AP114" s="1399"/>
      <c r="AQ114" s="1399"/>
      <c r="AR114" s="1399"/>
      <c r="AS114" s="1399"/>
      <c r="AT114" s="1399"/>
      <c r="AU114" s="1399"/>
      <c r="AV114" s="1399"/>
      <c r="AW114" s="1399"/>
      <c r="AX114" s="1399"/>
      <c r="AY114" s="1399"/>
      <c r="AZ114" s="1399"/>
      <c r="BA114" s="1399"/>
      <c r="BB114" s="1399"/>
      <c r="BC114" s="1399"/>
      <c r="BD114" s="1399"/>
      <c r="BE114" s="1399"/>
      <c r="BF114" s="1399"/>
      <c r="BG114" s="1399"/>
      <c r="BH114" s="1399"/>
      <c r="BI114" s="1399"/>
      <c r="BJ114" s="1399"/>
      <c r="BK114" s="1399"/>
      <c r="BL114" s="1399"/>
      <c r="BM114" s="1399"/>
      <c r="BN114" s="1399"/>
      <c r="BO114" s="1399"/>
      <c r="BP114" s="1399"/>
      <c r="BQ114" s="1399"/>
      <c r="BR114" s="1399"/>
      <c r="BS114" s="1399"/>
      <c r="BT114" s="1399"/>
      <c r="BU114" s="1399"/>
      <c r="BV114" s="1399"/>
      <c r="BW114" s="1399"/>
      <c r="BX114" s="1399"/>
      <c r="BY114" s="1399"/>
      <c r="BZ114" s="1399"/>
      <c r="CA114" s="1399"/>
      <c r="CB114" s="1399"/>
      <c r="CC114" s="1399"/>
      <c r="CD114" s="1399"/>
      <c r="CE114" s="1399"/>
      <c r="CF114" s="1399"/>
      <c r="CG114" s="1399"/>
      <c r="CH114" s="1399"/>
      <c r="CI114" s="1399"/>
      <c r="CJ114" s="1399"/>
      <c r="CK114" s="1399"/>
      <c r="CL114" s="1399"/>
      <c r="CM114" s="1399"/>
      <c r="CN114" s="1399"/>
      <c r="CO114" s="1399"/>
      <c r="CP114" s="1399"/>
      <c r="CQ114" s="1399"/>
      <c r="CR114" s="1399"/>
      <c r="CS114" s="1399"/>
      <c r="CT114" s="1399"/>
      <c r="CU114" s="1399"/>
      <c r="CV114" s="1399"/>
      <c r="CW114" s="1399"/>
      <c r="CX114" s="1399"/>
      <c r="CY114" s="1399"/>
      <c r="CZ114" s="1399"/>
      <c r="DA114" s="1399"/>
      <c r="DB114" s="1399"/>
      <c r="DC114" s="1399"/>
      <c r="DD114" s="1399"/>
      <c r="DE114" s="1399"/>
      <c r="DF114" s="1399"/>
      <c r="DG114" s="1399"/>
      <c r="DH114" s="1399"/>
      <c r="DI114" s="1399"/>
      <c r="DJ114" s="1399"/>
      <c r="DK114" s="1399"/>
      <c r="DL114" s="1399"/>
      <c r="DM114" s="1399"/>
      <c r="DN114" s="1399"/>
      <c r="DO114" s="1399"/>
      <c r="DP114" s="1399"/>
      <c r="DQ114" s="1399"/>
      <c r="DR114" s="1399"/>
      <c r="DS114" s="1399"/>
      <c r="DT114" s="1399"/>
      <c r="DU114" s="1399"/>
      <c r="DV114" s="1399"/>
      <c r="DW114" s="1399"/>
      <c r="DX114" s="1399"/>
      <c r="DY114" s="1399"/>
      <c r="DZ114" s="1399"/>
      <c r="EA114" s="1399"/>
      <c r="EB114" s="1399"/>
      <c r="EC114" s="1399"/>
      <c r="ED114" s="1399"/>
      <c r="EE114" s="1399"/>
      <c r="EF114" s="1399"/>
      <c r="EG114" s="1399"/>
      <c r="EH114" s="1399"/>
      <c r="EI114" s="1399"/>
      <c r="EJ114" s="1399"/>
      <c r="EK114" s="1399"/>
      <c r="EL114" s="1399"/>
      <c r="EM114" s="1399"/>
      <c r="EN114" s="1399"/>
      <c r="EO114" s="1399"/>
      <c r="EP114" s="1399"/>
      <c r="EQ114" s="1399"/>
      <c r="ER114" s="1399"/>
      <c r="ES114" s="1399"/>
      <c r="ET114" s="1399"/>
      <c r="EU114" s="1399"/>
      <c r="EV114" s="1399"/>
      <c r="EW114" s="1399"/>
      <c r="EX114" s="1399"/>
      <c r="EY114" s="1399"/>
      <c r="EZ114" s="1399"/>
      <c r="FA114" s="1399"/>
      <c r="FB114" s="1399"/>
      <c r="FC114" s="1399"/>
      <c r="FD114" s="1399"/>
      <c r="FE114" s="1399"/>
      <c r="FF114" s="1399"/>
      <c r="FG114" s="1399"/>
      <c r="FH114" s="1399"/>
      <c r="FI114" s="1399"/>
      <c r="FJ114" s="1399"/>
      <c r="FK114" s="1399"/>
      <c r="FL114" s="1399"/>
      <c r="FM114" s="1399"/>
      <c r="FN114" s="1399"/>
      <c r="FO114" s="1399"/>
      <c r="FP114" s="1399"/>
      <c r="FQ114" s="1399"/>
      <c r="FR114" s="1399"/>
      <c r="FS114" s="1399"/>
      <c r="FT114" s="1399"/>
      <c r="FU114" s="1399"/>
      <c r="FV114" s="1399"/>
      <c r="FW114" s="1399"/>
      <c r="FX114" s="1399"/>
      <c r="FY114" s="1399"/>
      <c r="FZ114" s="1399"/>
      <c r="GA114" s="1399"/>
      <c r="GB114" s="1399"/>
      <c r="GC114" s="1399"/>
      <c r="GD114" s="1399"/>
      <c r="GE114" s="1399"/>
      <c r="GF114" s="1399"/>
      <c r="GG114" s="1399"/>
      <c r="GH114" s="1399"/>
      <c r="GI114" s="1399"/>
      <c r="GJ114" s="1399"/>
      <c r="GK114" s="1399"/>
      <c r="GL114" s="1399"/>
      <c r="GM114" s="1399"/>
      <c r="GN114" s="1399"/>
      <c r="GO114" s="1399"/>
      <c r="GP114" s="1399"/>
      <c r="GQ114" s="1399"/>
      <c r="GR114" s="1399"/>
      <c r="GS114" s="1399"/>
      <c r="GT114" s="1399"/>
      <c r="GU114" s="1399"/>
      <c r="GV114" s="1399"/>
      <c r="GW114" s="1399"/>
      <c r="GX114" s="1399"/>
      <c r="GY114" s="1399"/>
      <c r="GZ114" s="1399"/>
      <c r="HA114" s="1399"/>
      <c r="HB114" s="1399"/>
      <c r="HC114" s="1399"/>
      <c r="HD114" s="1399"/>
      <c r="HE114" s="1399"/>
      <c r="HF114" s="1399"/>
      <c r="HG114" s="1399"/>
      <c r="HH114" s="1399"/>
      <c r="HI114" s="1399"/>
      <c r="HJ114" s="1399"/>
      <c r="HK114" s="1399"/>
      <c r="HL114" s="1399"/>
      <c r="HM114" s="1399"/>
      <c r="HN114" s="1399"/>
      <c r="HO114" s="1399"/>
      <c r="HP114" s="1399"/>
      <c r="HQ114" s="1399"/>
      <c r="HR114" s="1399"/>
      <c r="HS114" s="1399"/>
      <c r="HT114" s="1399"/>
      <c r="HU114" s="1399"/>
      <c r="HV114" s="1399"/>
      <c r="HW114" s="1399"/>
      <c r="HX114" s="1399"/>
      <c r="HY114" s="1399"/>
      <c r="HZ114" s="1399"/>
      <c r="IA114" s="1399"/>
      <c r="IB114" s="1399"/>
      <c r="IC114" s="1399"/>
      <c r="ID114" s="1399"/>
      <c r="IE114" s="1399"/>
      <c r="IF114" s="1399"/>
      <c r="IG114" s="1399"/>
      <c r="IH114" s="1399"/>
      <c r="II114" s="1399"/>
      <c r="IJ114" s="1399"/>
      <c r="IK114" s="1399"/>
      <c r="IL114" s="1399"/>
      <c r="IM114" s="1399"/>
      <c r="IN114" s="1399"/>
      <c r="IO114" s="1399"/>
      <c r="IP114" s="1399"/>
      <c r="IQ114" s="1399"/>
      <c r="IR114" s="1399"/>
      <c r="IS114" s="1399"/>
      <c r="IT114" s="1399"/>
      <c r="IU114" s="1399"/>
      <c r="IV114" s="1399"/>
    </row>
    <row r="115" spans="1:256" s="1400" customFormat="1" ht="10.5" customHeight="1">
      <c r="A115" s="1397"/>
      <c r="B115" s="1323"/>
      <c r="C115" s="1323"/>
      <c r="D115" s="1323"/>
      <c r="E115" s="1323"/>
      <c r="F115" s="1323"/>
      <c r="G115" s="1444"/>
      <c r="H115" s="1444"/>
      <c r="I115" s="1444"/>
      <c r="J115" s="1444"/>
      <c r="K115" s="1399"/>
      <c r="L115" s="1399"/>
      <c r="M115" s="1399"/>
      <c r="N115" s="1399"/>
      <c r="O115" s="1399"/>
      <c r="P115" s="1399"/>
      <c r="Q115" s="1399"/>
      <c r="R115" s="1399"/>
      <c r="S115" s="1399"/>
      <c r="T115" s="1399"/>
      <c r="U115" s="1399"/>
      <c r="V115" s="1399"/>
      <c r="W115" s="1399"/>
      <c r="X115" s="1399"/>
      <c r="Y115" s="1399"/>
      <c r="Z115" s="1399"/>
      <c r="AA115" s="1399"/>
      <c r="AB115" s="1399"/>
      <c r="AC115" s="1399"/>
      <c r="AD115" s="1399"/>
      <c r="AE115" s="1399"/>
      <c r="AF115" s="1399"/>
      <c r="AG115" s="1399"/>
      <c r="AH115" s="1399"/>
      <c r="AI115" s="1399"/>
      <c r="AJ115" s="1399"/>
      <c r="AK115" s="1399"/>
      <c r="AL115" s="1399"/>
      <c r="AM115" s="1399"/>
      <c r="AN115" s="1399"/>
      <c r="AO115" s="1399"/>
      <c r="AP115" s="1399"/>
      <c r="AQ115" s="1399"/>
      <c r="AR115" s="1399"/>
      <c r="AS115" s="1399"/>
      <c r="AT115" s="1399"/>
      <c r="AU115" s="1399"/>
      <c r="AV115" s="1399"/>
      <c r="AW115" s="1399"/>
      <c r="AX115" s="1399"/>
      <c r="AY115" s="1399"/>
      <c r="AZ115" s="1399"/>
      <c r="BA115" s="1399"/>
      <c r="BB115" s="1399"/>
      <c r="BC115" s="1399"/>
      <c r="BD115" s="1399"/>
      <c r="BE115" s="1399"/>
      <c r="BF115" s="1399"/>
      <c r="BG115" s="1399"/>
      <c r="BH115" s="1399"/>
      <c r="BI115" s="1399"/>
      <c r="BJ115" s="1399"/>
      <c r="BK115" s="1399"/>
      <c r="BL115" s="1399"/>
      <c r="BM115" s="1399"/>
      <c r="BN115" s="1399"/>
      <c r="BO115" s="1399"/>
      <c r="BP115" s="1399"/>
      <c r="BQ115" s="1399"/>
      <c r="BR115" s="1399"/>
      <c r="BS115" s="1399"/>
      <c r="BT115" s="1399"/>
      <c r="BU115" s="1399"/>
      <c r="BV115" s="1399"/>
      <c r="BW115" s="1399"/>
      <c r="BX115" s="1399"/>
      <c r="BY115" s="1399"/>
      <c r="BZ115" s="1399"/>
      <c r="CA115" s="1399"/>
      <c r="CB115" s="1399"/>
      <c r="CC115" s="1399"/>
      <c r="CD115" s="1399"/>
      <c r="CE115" s="1399"/>
      <c r="CF115" s="1399"/>
      <c r="CG115" s="1399"/>
      <c r="CH115" s="1399"/>
      <c r="CI115" s="1399"/>
      <c r="CJ115" s="1399"/>
      <c r="CK115" s="1399"/>
      <c r="CL115" s="1399"/>
      <c r="CM115" s="1399"/>
      <c r="CN115" s="1399"/>
      <c r="CO115" s="1399"/>
      <c r="CP115" s="1399"/>
      <c r="CQ115" s="1399"/>
      <c r="CR115" s="1399"/>
      <c r="CS115" s="1399"/>
      <c r="CT115" s="1399"/>
      <c r="CU115" s="1399"/>
      <c r="CV115" s="1399"/>
      <c r="CW115" s="1399"/>
      <c r="CX115" s="1399"/>
      <c r="CY115" s="1399"/>
      <c r="CZ115" s="1399"/>
      <c r="DA115" s="1399"/>
      <c r="DB115" s="1399"/>
      <c r="DC115" s="1399"/>
      <c r="DD115" s="1399"/>
      <c r="DE115" s="1399"/>
      <c r="DF115" s="1399"/>
      <c r="DG115" s="1399"/>
      <c r="DH115" s="1399"/>
      <c r="DI115" s="1399"/>
      <c r="DJ115" s="1399"/>
      <c r="DK115" s="1399"/>
      <c r="DL115" s="1399"/>
      <c r="DM115" s="1399"/>
      <c r="DN115" s="1399"/>
      <c r="DO115" s="1399"/>
      <c r="DP115" s="1399"/>
      <c r="DQ115" s="1399"/>
      <c r="DR115" s="1399"/>
      <c r="DS115" s="1399"/>
      <c r="DT115" s="1399"/>
      <c r="DU115" s="1399"/>
      <c r="DV115" s="1399"/>
      <c r="DW115" s="1399"/>
      <c r="DX115" s="1399"/>
      <c r="DY115" s="1399"/>
      <c r="DZ115" s="1399"/>
      <c r="EA115" s="1399"/>
      <c r="EB115" s="1399"/>
      <c r="EC115" s="1399"/>
      <c r="ED115" s="1399"/>
      <c r="EE115" s="1399"/>
      <c r="EF115" s="1399"/>
      <c r="EG115" s="1399"/>
      <c r="EH115" s="1399"/>
      <c r="EI115" s="1399"/>
      <c r="EJ115" s="1399"/>
      <c r="EK115" s="1399"/>
      <c r="EL115" s="1399"/>
      <c r="EM115" s="1399"/>
      <c r="EN115" s="1399"/>
      <c r="EO115" s="1399"/>
      <c r="EP115" s="1399"/>
      <c r="EQ115" s="1399"/>
      <c r="ER115" s="1399"/>
      <c r="ES115" s="1399"/>
      <c r="ET115" s="1399"/>
      <c r="EU115" s="1399"/>
      <c r="EV115" s="1399"/>
      <c r="EW115" s="1399"/>
      <c r="EX115" s="1399"/>
      <c r="EY115" s="1399"/>
      <c r="EZ115" s="1399"/>
      <c r="FA115" s="1399"/>
      <c r="FB115" s="1399"/>
      <c r="FC115" s="1399"/>
      <c r="FD115" s="1399"/>
      <c r="FE115" s="1399"/>
      <c r="FF115" s="1399"/>
      <c r="FG115" s="1399"/>
      <c r="FH115" s="1399"/>
      <c r="FI115" s="1399"/>
      <c r="FJ115" s="1399"/>
      <c r="FK115" s="1399"/>
      <c r="FL115" s="1399"/>
      <c r="FM115" s="1399"/>
      <c r="FN115" s="1399"/>
      <c r="FO115" s="1399"/>
      <c r="FP115" s="1399"/>
      <c r="FQ115" s="1399"/>
      <c r="FR115" s="1399"/>
      <c r="FS115" s="1399"/>
      <c r="FT115" s="1399"/>
      <c r="FU115" s="1399"/>
      <c r="FV115" s="1399"/>
      <c r="FW115" s="1399"/>
      <c r="FX115" s="1399"/>
      <c r="FY115" s="1399"/>
      <c r="FZ115" s="1399"/>
      <c r="GA115" s="1399"/>
      <c r="GB115" s="1399"/>
      <c r="GC115" s="1399"/>
      <c r="GD115" s="1399"/>
      <c r="GE115" s="1399"/>
      <c r="GF115" s="1399"/>
      <c r="GG115" s="1399"/>
      <c r="GH115" s="1399"/>
      <c r="GI115" s="1399"/>
      <c r="GJ115" s="1399"/>
      <c r="GK115" s="1399"/>
      <c r="GL115" s="1399"/>
      <c r="GM115" s="1399"/>
      <c r="GN115" s="1399"/>
      <c r="GO115" s="1399"/>
      <c r="GP115" s="1399"/>
      <c r="GQ115" s="1399"/>
      <c r="GR115" s="1399"/>
      <c r="GS115" s="1399"/>
      <c r="GT115" s="1399"/>
      <c r="GU115" s="1399"/>
      <c r="GV115" s="1399"/>
      <c r="GW115" s="1399"/>
      <c r="GX115" s="1399"/>
      <c r="GY115" s="1399"/>
      <c r="GZ115" s="1399"/>
      <c r="HA115" s="1399"/>
      <c r="HB115" s="1399"/>
      <c r="HC115" s="1399"/>
      <c r="HD115" s="1399"/>
      <c r="HE115" s="1399"/>
      <c r="HF115" s="1399"/>
      <c r="HG115" s="1399"/>
      <c r="HH115" s="1399"/>
      <c r="HI115" s="1399"/>
      <c r="HJ115" s="1399"/>
      <c r="HK115" s="1399"/>
      <c r="HL115" s="1399"/>
      <c r="HM115" s="1399"/>
      <c r="HN115" s="1399"/>
      <c r="HO115" s="1399"/>
      <c r="HP115" s="1399"/>
      <c r="HQ115" s="1399"/>
      <c r="HR115" s="1399"/>
      <c r="HS115" s="1399"/>
      <c r="HT115" s="1399"/>
      <c r="HU115" s="1399"/>
      <c r="HV115" s="1399"/>
      <c r="HW115" s="1399"/>
      <c r="HX115" s="1399"/>
      <c r="HY115" s="1399"/>
      <c r="HZ115" s="1399"/>
      <c r="IA115" s="1399"/>
      <c r="IB115" s="1399"/>
      <c r="IC115" s="1399"/>
      <c r="ID115" s="1399"/>
      <c r="IE115" s="1399"/>
      <c r="IF115" s="1399"/>
      <c r="IG115" s="1399"/>
      <c r="IH115" s="1399"/>
      <c r="II115" s="1399"/>
      <c r="IJ115" s="1399"/>
      <c r="IK115" s="1399"/>
      <c r="IL115" s="1399"/>
      <c r="IM115" s="1399"/>
      <c r="IN115" s="1399"/>
      <c r="IO115" s="1399"/>
      <c r="IP115" s="1399"/>
      <c r="IQ115" s="1399"/>
      <c r="IR115" s="1399"/>
      <c r="IS115" s="1399"/>
      <c r="IT115" s="1399"/>
      <c r="IU115" s="1399"/>
      <c r="IV115" s="1399"/>
    </row>
    <row r="116" spans="1:256" ht="6" customHeight="1">
      <c r="A116" s="1323"/>
      <c r="B116" s="1323"/>
      <c r="C116" s="1323"/>
      <c r="D116" s="1323"/>
      <c r="E116" s="1323"/>
      <c r="F116" s="1323"/>
      <c r="G116" s="1444"/>
      <c r="I116" s="1321"/>
      <c r="J116" s="1321"/>
      <c r="K116" s="1337"/>
      <c r="L116" s="1337"/>
      <c r="M116" s="1337"/>
      <c r="N116" s="1337"/>
      <c r="O116" s="1337"/>
      <c r="P116" s="1337"/>
      <c r="Q116" s="1337"/>
      <c r="R116" s="1337"/>
      <c r="S116" s="1337"/>
      <c r="T116" s="1337"/>
      <c r="U116" s="1337"/>
      <c r="V116" s="1337"/>
      <c r="W116" s="1337"/>
      <c r="X116" s="1337"/>
      <c r="Y116" s="1337"/>
      <c r="Z116" s="1337"/>
      <c r="AA116" s="1337"/>
      <c r="AB116" s="1337"/>
      <c r="AC116" s="1337"/>
      <c r="AD116" s="1337"/>
      <c r="AE116" s="1337"/>
      <c r="AF116" s="1337"/>
      <c r="AG116" s="1337"/>
      <c r="AH116" s="1337"/>
      <c r="AI116" s="1337"/>
      <c r="AJ116" s="1337"/>
      <c r="AK116" s="1337"/>
      <c r="AL116" s="1337"/>
      <c r="AM116" s="1337"/>
      <c r="AN116" s="1337"/>
      <c r="AO116" s="1337"/>
      <c r="AP116" s="1337"/>
      <c r="AQ116" s="1337"/>
      <c r="AR116" s="1337"/>
      <c r="AS116" s="1337"/>
      <c r="AT116" s="1337"/>
      <c r="AU116" s="1337"/>
      <c r="AV116" s="1337"/>
      <c r="AW116" s="1337"/>
      <c r="AX116" s="1337"/>
      <c r="AY116" s="1337"/>
      <c r="AZ116" s="1337"/>
      <c r="BA116" s="1337"/>
      <c r="BB116" s="1337"/>
      <c r="BC116" s="1337"/>
      <c r="BD116" s="1337"/>
      <c r="BE116" s="1337"/>
      <c r="BF116" s="1337"/>
      <c r="BG116" s="1337"/>
      <c r="BH116" s="1337"/>
      <c r="BI116" s="1337"/>
      <c r="BJ116" s="1337"/>
      <c r="BK116" s="1337"/>
      <c r="BL116" s="1337"/>
      <c r="BM116" s="1337"/>
      <c r="BN116" s="1337"/>
      <c r="BO116" s="1337"/>
      <c r="BP116" s="1337"/>
      <c r="BQ116" s="1337"/>
      <c r="BR116" s="1337"/>
      <c r="BS116" s="1337"/>
      <c r="BT116" s="1337"/>
      <c r="BU116" s="1337"/>
      <c r="BV116" s="1337"/>
      <c r="BW116" s="1337"/>
      <c r="BX116" s="1337"/>
      <c r="BY116" s="1337"/>
      <c r="BZ116" s="1337"/>
      <c r="CA116" s="1337"/>
      <c r="CB116" s="1337"/>
      <c r="CC116" s="1337"/>
      <c r="CD116" s="1337"/>
      <c r="CE116" s="1337"/>
      <c r="CF116" s="1337"/>
      <c r="CG116" s="1337"/>
      <c r="CH116" s="1337"/>
      <c r="CI116" s="1337"/>
      <c r="CJ116" s="1337"/>
      <c r="CK116" s="1337"/>
      <c r="CL116" s="1337"/>
      <c r="CM116" s="1337"/>
      <c r="CN116" s="1337"/>
      <c r="CO116" s="1337"/>
      <c r="CP116" s="1337"/>
      <c r="CQ116" s="1337"/>
      <c r="CR116" s="1337"/>
      <c r="CS116" s="1337"/>
      <c r="CT116" s="1337"/>
      <c r="CU116" s="1337"/>
      <c r="CV116" s="1337"/>
      <c r="CW116" s="1337"/>
      <c r="CX116" s="1337"/>
      <c r="CY116" s="1337"/>
      <c r="CZ116" s="1337"/>
      <c r="DA116" s="1337"/>
      <c r="DB116" s="1337"/>
      <c r="DC116" s="1337"/>
      <c r="DD116" s="1337"/>
      <c r="DE116" s="1337"/>
      <c r="DF116" s="1337"/>
      <c r="DG116" s="1337"/>
      <c r="DH116" s="1337"/>
      <c r="DI116" s="1337"/>
      <c r="DJ116" s="1337"/>
      <c r="DK116" s="1337"/>
      <c r="DL116" s="1337"/>
      <c r="DM116" s="1337"/>
      <c r="DN116" s="1337"/>
      <c r="DO116" s="1337"/>
      <c r="DP116" s="1337"/>
      <c r="DQ116" s="1337"/>
      <c r="DR116" s="1337"/>
      <c r="DS116" s="1337"/>
      <c r="DT116" s="1337"/>
      <c r="DU116" s="1337"/>
      <c r="DV116" s="1337"/>
      <c r="DW116" s="1337"/>
      <c r="DX116" s="1337"/>
      <c r="DY116" s="1337"/>
      <c r="DZ116" s="1337"/>
      <c r="EA116" s="1337"/>
      <c r="EB116" s="1337"/>
      <c r="EC116" s="1337"/>
      <c r="ED116" s="1337"/>
      <c r="EE116" s="1337"/>
      <c r="EF116" s="1337"/>
      <c r="EG116" s="1337"/>
      <c r="EH116" s="1337"/>
      <c r="EI116" s="1337"/>
      <c r="EJ116" s="1337"/>
      <c r="EK116" s="1337"/>
      <c r="EL116" s="1337"/>
      <c r="EM116" s="1337"/>
      <c r="EN116" s="1337"/>
      <c r="EO116" s="1337"/>
      <c r="EP116" s="1337"/>
      <c r="EQ116" s="1337"/>
      <c r="ER116" s="1337"/>
      <c r="ES116" s="1337"/>
      <c r="ET116" s="1337"/>
      <c r="EU116" s="1337"/>
      <c r="EV116" s="1337"/>
      <c r="EW116" s="1337"/>
      <c r="EX116" s="1337"/>
      <c r="EY116" s="1337"/>
      <c r="EZ116" s="1337"/>
      <c r="FA116" s="1337"/>
      <c r="FB116" s="1337"/>
      <c r="FC116" s="1337"/>
      <c r="FD116" s="1337"/>
      <c r="FE116" s="1337"/>
      <c r="FF116" s="1337"/>
      <c r="FG116" s="1337"/>
      <c r="FH116" s="1337"/>
      <c r="FI116" s="1337"/>
      <c r="FJ116" s="1337"/>
      <c r="FK116" s="1337"/>
      <c r="FL116" s="1337"/>
      <c r="FM116" s="1337"/>
      <c r="FN116" s="1337"/>
      <c r="FO116" s="1337"/>
      <c r="FP116" s="1337"/>
      <c r="FQ116" s="1337"/>
      <c r="FR116" s="1337"/>
      <c r="FS116" s="1337"/>
      <c r="FT116" s="1337"/>
      <c r="FU116" s="1337"/>
      <c r="FV116" s="1337"/>
      <c r="FW116" s="1337"/>
      <c r="FX116" s="1337"/>
      <c r="FY116" s="1337"/>
      <c r="FZ116" s="1337"/>
      <c r="GA116" s="1337"/>
      <c r="GB116" s="1337"/>
      <c r="GC116" s="1337"/>
      <c r="GD116" s="1337"/>
      <c r="GE116" s="1337"/>
      <c r="GF116" s="1337"/>
      <c r="GG116" s="1337"/>
      <c r="GH116" s="1337"/>
      <c r="GI116" s="1337"/>
      <c r="GJ116" s="1337"/>
      <c r="GK116" s="1337"/>
      <c r="GL116" s="1337"/>
      <c r="GM116" s="1337"/>
      <c r="GN116" s="1337"/>
      <c r="GO116" s="1337"/>
      <c r="GP116" s="1337"/>
      <c r="GQ116" s="1337"/>
      <c r="GR116" s="1337"/>
      <c r="GS116" s="1337"/>
      <c r="GT116" s="1337"/>
      <c r="GU116" s="1337"/>
      <c r="GV116" s="1337"/>
      <c r="GW116" s="1337"/>
      <c r="GX116" s="1337"/>
      <c r="GY116" s="1337"/>
      <c r="GZ116" s="1337"/>
      <c r="HA116" s="1337"/>
      <c r="HB116" s="1337"/>
      <c r="HC116" s="1337"/>
      <c r="HD116" s="1337"/>
      <c r="HE116" s="1337"/>
      <c r="HF116" s="1337"/>
      <c r="HG116" s="1337"/>
      <c r="HH116" s="1337"/>
      <c r="HI116" s="1337"/>
      <c r="HJ116" s="1337"/>
      <c r="HK116" s="1337"/>
      <c r="HL116" s="1337"/>
      <c r="HM116" s="1337"/>
      <c r="HN116" s="1337"/>
      <c r="HO116" s="1337"/>
      <c r="HP116" s="1337"/>
      <c r="HQ116" s="1337"/>
      <c r="HR116" s="1337"/>
      <c r="HS116" s="1337"/>
      <c r="HT116" s="1337"/>
      <c r="HU116" s="1337"/>
      <c r="HV116" s="1337"/>
      <c r="HW116" s="1337"/>
      <c r="HX116" s="1337"/>
      <c r="HY116" s="1337"/>
      <c r="HZ116" s="1337"/>
      <c r="IA116" s="1337"/>
      <c r="IB116" s="1337"/>
      <c r="IC116" s="1337"/>
      <c r="ID116" s="1337"/>
      <c r="IE116" s="1337"/>
      <c r="IF116" s="1337"/>
      <c r="IG116" s="1337"/>
      <c r="IH116" s="1337"/>
      <c r="II116" s="1337"/>
      <c r="IJ116" s="1337"/>
      <c r="IK116" s="1337"/>
      <c r="IL116" s="1337"/>
      <c r="IM116" s="1337"/>
      <c r="IN116" s="1337"/>
      <c r="IO116" s="1337"/>
      <c r="IP116" s="1337"/>
      <c r="IQ116" s="1337"/>
      <c r="IR116" s="1337"/>
      <c r="IS116" s="1337"/>
      <c r="IT116" s="1337"/>
      <c r="IU116" s="1337"/>
      <c r="IV116" s="1337"/>
    </row>
    <row r="117" spans="1:256" ht="10.5" customHeight="1">
      <c r="A117" s="1323"/>
      <c r="B117" s="1323"/>
      <c r="C117" s="1323"/>
      <c r="D117" s="1323"/>
      <c r="E117" s="1323"/>
      <c r="F117" s="1323"/>
      <c r="G117" s="1444"/>
      <c r="K117" s="1337"/>
      <c r="L117" s="1445"/>
      <c r="M117" s="1445" t="s">
        <v>140</v>
      </c>
      <c r="N117" s="1445" t="s">
        <v>140</v>
      </c>
      <c r="O117" s="1337"/>
      <c r="P117" s="1337"/>
      <c r="Q117" s="1337"/>
      <c r="R117" s="1337"/>
      <c r="S117" s="1337"/>
      <c r="T117" s="1337"/>
      <c r="U117" s="1337"/>
      <c r="V117" s="1337"/>
      <c r="W117" s="1337"/>
      <c r="X117" s="1337"/>
      <c r="Y117" s="1337"/>
      <c r="Z117" s="1337"/>
      <c r="AA117" s="1337"/>
      <c r="AB117" s="1337"/>
      <c r="AC117" s="1337"/>
      <c r="AD117" s="1337"/>
      <c r="AE117" s="1337"/>
      <c r="AF117" s="1337"/>
      <c r="AG117" s="1337"/>
      <c r="AH117" s="1337"/>
      <c r="AI117" s="1337"/>
      <c r="AJ117" s="1337"/>
      <c r="AK117" s="1337"/>
      <c r="AL117" s="1337"/>
      <c r="AM117" s="1337"/>
      <c r="AN117" s="1337"/>
      <c r="AO117" s="1337"/>
      <c r="AP117" s="1337"/>
      <c r="AQ117" s="1337"/>
      <c r="AR117" s="1337"/>
      <c r="AS117" s="1337"/>
      <c r="AT117" s="1337"/>
      <c r="AU117" s="1337"/>
      <c r="AV117" s="1337"/>
      <c r="AW117" s="1337"/>
      <c r="AX117" s="1337"/>
      <c r="AY117" s="1337"/>
      <c r="AZ117" s="1337"/>
      <c r="BA117" s="1337"/>
      <c r="BB117" s="1337"/>
      <c r="BC117" s="1337"/>
      <c r="BD117" s="1337"/>
      <c r="BE117" s="1337"/>
      <c r="BF117" s="1337"/>
      <c r="BG117" s="1337"/>
      <c r="BH117" s="1337"/>
      <c r="BI117" s="1337"/>
      <c r="BJ117" s="1337"/>
      <c r="BK117" s="1337"/>
      <c r="BL117" s="1337"/>
      <c r="BM117" s="1337"/>
      <c r="BN117" s="1337"/>
      <c r="BO117" s="1337"/>
      <c r="BP117" s="1337"/>
      <c r="BQ117" s="1337"/>
      <c r="BR117" s="1337"/>
      <c r="BS117" s="1337"/>
      <c r="BT117" s="1337"/>
      <c r="BU117" s="1337"/>
      <c r="BV117" s="1337"/>
      <c r="BW117" s="1337"/>
      <c r="BX117" s="1337"/>
      <c r="BY117" s="1337"/>
      <c r="BZ117" s="1337"/>
      <c r="CA117" s="1337"/>
      <c r="CB117" s="1337"/>
      <c r="CC117" s="1337"/>
      <c r="CD117" s="1337"/>
      <c r="CE117" s="1337"/>
      <c r="CF117" s="1337"/>
      <c r="CG117" s="1337"/>
      <c r="CH117" s="1337"/>
      <c r="CI117" s="1337"/>
      <c r="CJ117" s="1337"/>
      <c r="CK117" s="1337"/>
      <c r="CL117" s="1337"/>
      <c r="CM117" s="1337"/>
      <c r="CN117" s="1337"/>
      <c r="CO117" s="1337"/>
      <c r="CP117" s="1337"/>
      <c r="CQ117" s="1337"/>
      <c r="CR117" s="1337"/>
      <c r="CS117" s="1337"/>
      <c r="CT117" s="1337"/>
      <c r="CU117" s="1337"/>
      <c r="CV117" s="1337"/>
      <c r="CW117" s="1337"/>
      <c r="CX117" s="1337"/>
      <c r="CY117" s="1337"/>
      <c r="CZ117" s="1337"/>
      <c r="DA117" s="1337"/>
      <c r="DB117" s="1337"/>
      <c r="DC117" s="1337"/>
      <c r="DD117" s="1337"/>
      <c r="DE117" s="1337"/>
      <c r="DF117" s="1337"/>
      <c r="DG117" s="1337"/>
      <c r="DH117" s="1337"/>
      <c r="DI117" s="1337"/>
      <c r="DJ117" s="1337"/>
      <c r="DK117" s="1337"/>
      <c r="DL117" s="1337"/>
      <c r="DM117" s="1337"/>
      <c r="DN117" s="1337"/>
      <c r="DO117" s="1337"/>
      <c r="DP117" s="1337"/>
      <c r="DQ117" s="1337"/>
      <c r="DR117" s="1337"/>
      <c r="DS117" s="1337"/>
      <c r="DT117" s="1337"/>
      <c r="DU117" s="1337"/>
      <c r="DV117" s="1337"/>
      <c r="DW117" s="1337"/>
      <c r="DX117" s="1337"/>
      <c r="DY117" s="1337"/>
      <c r="DZ117" s="1337"/>
      <c r="EA117" s="1337"/>
      <c r="EB117" s="1337"/>
      <c r="EC117" s="1337"/>
      <c r="ED117" s="1337"/>
      <c r="EE117" s="1337"/>
      <c r="EF117" s="1337"/>
      <c r="EG117" s="1337"/>
      <c r="EH117" s="1337"/>
      <c r="EI117" s="1337"/>
      <c r="EJ117" s="1337"/>
      <c r="EK117" s="1337"/>
      <c r="EL117" s="1337"/>
      <c r="EM117" s="1337"/>
      <c r="EN117" s="1337"/>
      <c r="EO117" s="1337"/>
      <c r="EP117" s="1337"/>
      <c r="EQ117" s="1337"/>
      <c r="ER117" s="1337"/>
      <c r="ES117" s="1337"/>
      <c r="ET117" s="1337"/>
      <c r="EU117" s="1337"/>
      <c r="EV117" s="1337"/>
      <c r="EW117" s="1337"/>
      <c r="EX117" s="1337"/>
      <c r="EY117" s="1337"/>
      <c r="EZ117" s="1337"/>
      <c r="FA117" s="1337"/>
      <c r="FB117" s="1337"/>
      <c r="FC117" s="1337"/>
      <c r="FD117" s="1337"/>
      <c r="FE117" s="1337"/>
      <c r="FF117" s="1337"/>
      <c r="FG117" s="1337"/>
      <c r="FH117" s="1337"/>
      <c r="FI117" s="1337"/>
      <c r="FJ117" s="1337"/>
      <c r="FK117" s="1337"/>
      <c r="FL117" s="1337"/>
      <c r="FM117" s="1337"/>
      <c r="FN117" s="1337"/>
      <c r="FO117" s="1337"/>
      <c r="FP117" s="1337"/>
      <c r="FQ117" s="1337"/>
      <c r="FR117" s="1337"/>
      <c r="FS117" s="1337"/>
      <c r="FT117" s="1337"/>
      <c r="FU117" s="1337"/>
      <c r="FV117" s="1337"/>
      <c r="FW117" s="1337"/>
      <c r="FX117" s="1337"/>
      <c r="FY117" s="1337"/>
      <c r="FZ117" s="1337"/>
      <c r="GA117" s="1337"/>
      <c r="GB117" s="1337"/>
      <c r="GC117" s="1337"/>
      <c r="GD117" s="1337"/>
      <c r="GE117" s="1337"/>
      <c r="GF117" s="1337"/>
      <c r="GG117" s="1337"/>
      <c r="GH117" s="1337"/>
      <c r="GI117" s="1337"/>
      <c r="GJ117" s="1337"/>
      <c r="GK117" s="1337"/>
      <c r="GL117" s="1337"/>
      <c r="GM117" s="1337"/>
      <c r="GN117" s="1337"/>
      <c r="GO117" s="1337"/>
      <c r="GP117" s="1337"/>
      <c r="GQ117" s="1337"/>
      <c r="GR117" s="1337"/>
      <c r="GS117" s="1337"/>
      <c r="GT117" s="1337"/>
      <c r="GU117" s="1337"/>
      <c r="GV117" s="1337"/>
      <c r="GW117" s="1337"/>
      <c r="GX117" s="1337"/>
      <c r="GY117" s="1337"/>
      <c r="GZ117" s="1337"/>
      <c r="HA117" s="1337"/>
      <c r="HB117" s="1337"/>
      <c r="HC117" s="1337"/>
      <c r="HD117" s="1337"/>
      <c r="HE117" s="1337"/>
      <c r="HF117" s="1337"/>
      <c r="HG117" s="1337"/>
      <c r="HH117" s="1337"/>
      <c r="HI117" s="1337"/>
      <c r="HJ117" s="1337"/>
      <c r="HK117" s="1337"/>
      <c r="HL117" s="1337"/>
      <c r="HM117" s="1337"/>
      <c r="HN117" s="1337"/>
      <c r="HO117" s="1337"/>
      <c r="HP117" s="1337"/>
      <c r="HQ117" s="1337"/>
      <c r="HR117" s="1337"/>
      <c r="HS117" s="1337"/>
      <c r="HT117" s="1337"/>
      <c r="HU117" s="1337"/>
      <c r="HV117" s="1337"/>
      <c r="HW117" s="1337"/>
      <c r="HX117" s="1337"/>
      <c r="HY117" s="1337"/>
      <c r="HZ117" s="1337"/>
      <c r="IA117" s="1337"/>
      <c r="IB117" s="1337"/>
      <c r="IC117" s="1337"/>
      <c r="ID117" s="1337"/>
      <c r="IE117" s="1337"/>
      <c r="IF117" s="1337"/>
      <c r="IG117" s="1337"/>
      <c r="IH117" s="1337"/>
      <c r="II117" s="1337"/>
      <c r="IJ117" s="1337"/>
      <c r="IK117" s="1337"/>
      <c r="IL117" s="1337"/>
      <c r="IM117" s="1337"/>
      <c r="IN117" s="1337"/>
      <c r="IO117" s="1337"/>
      <c r="IP117" s="1337"/>
      <c r="IQ117" s="1337"/>
      <c r="IR117" s="1337"/>
      <c r="IS117" s="1337"/>
      <c r="IT117" s="1337"/>
      <c r="IU117" s="1337"/>
      <c r="IV117" s="1337"/>
    </row>
    <row r="118" spans="1:256" ht="10.5" customHeight="1">
      <c r="A118" s="1379" t="s">
        <v>1151</v>
      </c>
      <c r="B118" s="1379">
        <v>1996</v>
      </c>
      <c r="C118" s="1379">
        <v>1997</v>
      </c>
      <c r="D118" s="1379">
        <v>1998</v>
      </c>
      <c r="E118" s="1379">
        <v>1999</v>
      </c>
      <c r="F118" s="1379">
        <v>2000</v>
      </c>
      <c r="G118" s="1425">
        <v>2001</v>
      </c>
      <c r="H118" s="1379">
        <v>2002</v>
      </c>
      <c r="I118" s="1425">
        <v>2003</v>
      </c>
      <c r="J118" s="1425">
        <v>2004</v>
      </c>
      <c r="K118" s="1425">
        <v>2005</v>
      </c>
      <c r="L118" s="1425">
        <v>2006</v>
      </c>
      <c r="M118" s="1425">
        <v>2007</v>
      </c>
      <c r="N118" s="1425">
        <v>2008</v>
      </c>
      <c r="O118" s="1337"/>
      <c r="P118" s="1337"/>
      <c r="Q118" s="1337"/>
      <c r="R118" s="1337"/>
      <c r="S118" s="1337"/>
      <c r="T118" s="1337"/>
      <c r="U118" s="1337"/>
      <c r="V118" s="1337"/>
      <c r="W118" s="1337"/>
      <c r="X118" s="1337"/>
      <c r="Y118" s="1337"/>
      <c r="Z118" s="1337"/>
      <c r="AA118" s="1337"/>
      <c r="AB118" s="1337"/>
      <c r="AC118" s="1337"/>
      <c r="AD118" s="1337"/>
      <c r="AE118" s="1337"/>
      <c r="AF118" s="1337"/>
      <c r="AG118" s="1337"/>
      <c r="AH118" s="1337"/>
      <c r="AI118" s="1337"/>
      <c r="AJ118" s="1337"/>
      <c r="AK118" s="1337"/>
      <c r="AL118" s="1337"/>
      <c r="AM118" s="1337"/>
      <c r="AN118" s="1337"/>
      <c r="AO118" s="1337"/>
      <c r="AP118" s="1337"/>
      <c r="AQ118" s="1337"/>
      <c r="AR118" s="1337"/>
      <c r="AS118" s="1337"/>
      <c r="AT118" s="1337"/>
      <c r="AU118" s="1337"/>
      <c r="AV118" s="1337"/>
      <c r="AW118" s="1337"/>
      <c r="AX118" s="1337"/>
      <c r="AY118" s="1337"/>
      <c r="AZ118" s="1337"/>
      <c r="BA118" s="1337"/>
      <c r="BB118" s="1337"/>
      <c r="BC118" s="1337"/>
      <c r="BD118" s="1337"/>
      <c r="BE118" s="1337"/>
      <c r="BF118" s="1337"/>
      <c r="BG118" s="1337"/>
      <c r="BH118" s="1337"/>
      <c r="BI118" s="1337"/>
      <c r="BJ118" s="1337"/>
      <c r="BK118" s="1337"/>
      <c r="BL118" s="1337"/>
      <c r="BM118" s="1337"/>
      <c r="BN118" s="1337"/>
      <c r="BO118" s="1337"/>
      <c r="BP118" s="1337"/>
      <c r="BQ118" s="1337"/>
      <c r="BR118" s="1337"/>
      <c r="BS118" s="1337"/>
      <c r="BT118" s="1337"/>
      <c r="BU118" s="1337"/>
      <c r="BV118" s="1337"/>
      <c r="BW118" s="1337"/>
      <c r="BX118" s="1337"/>
      <c r="BY118" s="1337"/>
      <c r="BZ118" s="1337"/>
      <c r="CA118" s="1337"/>
      <c r="CB118" s="1337"/>
      <c r="CC118" s="1337"/>
      <c r="CD118" s="1337"/>
      <c r="CE118" s="1337"/>
      <c r="CF118" s="1337"/>
      <c r="CG118" s="1337"/>
      <c r="CH118" s="1337"/>
      <c r="CI118" s="1337"/>
      <c r="CJ118" s="1337"/>
      <c r="CK118" s="1337"/>
      <c r="CL118" s="1337"/>
      <c r="CM118" s="1337"/>
      <c r="CN118" s="1337"/>
      <c r="CO118" s="1337"/>
      <c r="CP118" s="1337"/>
      <c r="CQ118" s="1337"/>
      <c r="CR118" s="1337"/>
      <c r="CS118" s="1337"/>
      <c r="CT118" s="1337"/>
      <c r="CU118" s="1337"/>
      <c r="CV118" s="1337"/>
      <c r="CW118" s="1337"/>
      <c r="CX118" s="1337"/>
      <c r="CY118" s="1337"/>
      <c r="CZ118" s="1337"/>
      <c r="DA118" s="1337"/>
      <c r="DB118" s="1337"/>
      <c r="DC118" s="1337"/>
      <c r="DD118" s="1337"/>
      <c r="DE118" s="1337"/>
      <c r="DF118" s="1337"/>
      <c r="DG118" s="1337"/>
      <c r="DH118" s="1337"/>
      <c r="DI118" s="1337"/>
      <c r="DJ118" s="1337"/>
      <c r="DK118" s="1337"/>
      <c r="DL118" s="1337"/>
      <c r="DM118" s="1337"/>
      <c r="DN118" s="1337"/>
      <c r="DO118" s="1337"/>
      <c r="DP118" s="1337"/>
      <c r="DQ118" s="1337"/>
      <c r="DR118" s="1337"/>
      <c r="DS118" s="1337"/>
      <c r="DT118" s="1337"/>
      <c r="DU118" s="1337"/>
      <c r="DV118" s="1337"/>
      <c r="DW118" s="1337"/>
      <c r="DX118" s="1337"/>
      <c r="DY118" s="1337"/>
      <c r="DZ118" s="1337"/>
      <c r="EA118" s="1337"/>
      <c r="EB118" s="1337"/>
      <c r="EC118" s="1337"/>
      <c r="ED118" s="1337"/>
      <c r="EE118" s="1337"/>
      <c r="EF118" s="1337"/>
      <c r="EG118" s="1337"/>
      <c r="EH118" s="1337"/>
      <c r="EI118" s="1337"/>
      <c r="EJ118" s="1337"/>
      <c r="EK118" s="1337"/>
      <c r="EL118" s="1337"/>
      <c r="EM118" s="1337"/>
      <c r="EN118" s="1337"/>
      <c r="EO118" s="1337"/>
      <c r="EP118" s="1337"/>
      <c r="EQ118" s="1337"/>
      <c r="ER118" s="1337"/>
      <c r="ES118" s="1337"/>
      <c r="ET118" s="1337"/>
      <c r="EU118" s="1337"/>
      <c r="EV118" s="1337"/>
      <c r="EW118" s="1337"/>
      <c r="EX118" s="1337"/>
      <c r="EY118" s="1337"/>
      <c r="EZ118" s="1337"/>
      <c r="FA118" s="1337"/>
      <c r="FB118" s="1337"/>
      <c r="FC118" s="1337"/>
      <c r="FD118" s="1337"/>
      <c r="FE118" s="1337"/>
      <c r="FF118" s="1337"/>
      <c r="FG118" s="1337"/>
      <c r="FH118" s="1337"/>
      <c r="FI118" s="1337"/>
      <c r="FJ118" s="1337"/>
      <c r="FK118" s="1337"/>
      <c r="FL118" s="1337"/>
      <c r="FM118" s="1337"/>
      <c r="FN118" s="1337"/>
      <c r="FO118" s="1337"/>
      <c r="FP118" s="1337"/>
      <c r="FQ118" s="1337"/>
      <c r="FR118" s="1337"/>
      <c r="FS118" s="1337"/>
      <c r="FT118" s="1337"/>
      <c r="FU118" s="1337"/>
      <c r="FV118" s="1337"/>
      <c r="FW118" s="1337"/>
      <c r="FX118" s="1337"/>
      <c r="FY118" s="1337"/>
      <c r="FZ118" s="1337"/>
      <c r="GA118" s="1337"/>
      <c r="GB118" s="1337"/>
      <c r="GC118" s="1337"/>
      <c r="GD118" s="1337"/>
      <c r="GE118" s="1337"/>
      <c r="GF118" s="1337"/>
      <c r="GG118" s="1337"/>
      <c r="GH118" s="1337"/>
      <c r="GI118" s="1337"/>
      <c r="GJ118" s="1337"/>
      <c r="GK118" s="1337"/>
      <c r="GL118" s="1337"/>
      <c r="GM118" s="1337"/>
      <c r="GN118" s="1337"/>
      <c r="GO118" s="1337"/>
      <c r="GP118" s="1337"/>
      <c r="GQ118" s="1337"/>
      <c r="GR118" s="1337"/>
      <c r="GS118" s="1337"/>
      <c r="GT118" s="1337"/>
      <c r="GU118" s="1337"/>
      <c r="GV118" s="1337"/>
      <c r="GW118" s="1337"/>
      <c r="GX118" s="1337"/>
      <c r="GY118" s="1337"/>
      <c r="GZ118" s="1337"/>
      <c r="HA118" s="1337"/>
      <c r="HB118" s="1337"/>
      <c r="HC118" s="1337"/>
      <c r="HD118" s="1337"/>
      <c r="HE118" s="1337"/>
      <c r="HF118" s="1337"/>
      <c r="HG118" s="1337"/>
      <c r="HH118" s="1337"/>
      <c r="HI118" s="1337"/>
      <c r="HJ118" s="1337"/>
      <c r="HK118" s="1337"/>
      <c r="HL118" s="1337"/>
      <c r="HM118" s="1337"/>
      <c r="HN118" s="1337"/>
      <c r="HO118" s="1337"/>
      <c r="HP118" s="1337"/>
      <c r="HQ118" s="1337"/>
      <c r="HR118" s="1337"/>
      <c r="HS118" s="1337"/>
      <c r="HT118" s="1337"/>
      <c r="HU118" s="1337"/>
      <c r="HV118" s="1337"/>
      <c r="HW118" s="1337"/>
      <c r="HX118" s="1337"/>
      <c r="HY118" s="1337"/>
      <c r="HZ118" s="1337"/>
      <c r="IA118" s="1337"/>
      <c r="IB118" s="1337"/>
      <c r="IC118" s="1337"/>
      <c r="ID118" s="1337"/>
      <c r="IE118" s="1337"/>
      <c r="IF118" s="1337"/>
      <c r="IG118" s="1337"/>
      <c r="IH118" s="1337"/>
      <c r="II118" s="1337"/>
      <c r="IJ118" s="1337"/>
      <c r="IK118" s="1337"/>
      <c r="IL118" s="1337"/>
      <c r="IM118" s="1337"/>
      <c r="IN118" s="1337"/>
      <c r="IO118" s="1337"/>
      <c r="IP118" s="1337"/>
      <c r="IQ118" s="1337"/>
      <c r="IR118" s="1337"/>
      <c r="IS118" s="1337"/>
      <c r="IT118" s="1337"/>
      <c r="IU118" s="1337"/>
      <c r="IV118" s="1337"/>
    </row>
    <row r="119" spans="1:256" ht="10.5" customHeight="1">
      <c r="A119" s="1323" t="s">
        <v>1152</v>
      </c>
      <c r="B119" s="1446">
        <v>4552</v>
      </c>
      <c r="C119" s="1446">
        <v>4818.5</v>
      </c>
      <c r="D119" s="1411">
        <v>5114</v>
      </c>
      <c r="E119" s="1411">
        <v>5133</v>
      </c>
      <c r="F119" s="1411">
        <v>5564.4</v>
      </c>
      <c r="G119" s="1411">
        <v>4929.3</v>
      </c>
      <c r="H119" s="1411">
        <v>5208.6000000000004</v>
      </c>
      <c r="I119" s="1411">
        <v>5981.7</v>
      </c>
      <c r="J119" s="1411">
        <v>5968.2</v>
      </c>
      <c r="K119" s="1411">
        <v>6005.2</v>
      </c>
      <c r="L119" s="1413">
        <v>5791.1</v>
      </c>
      <c r="M119" s="1413">
        <v>5974.7</v>
      </c>
      <c r="N119" s="1411">
        <v>6014.4</v>
      </c>
      <c r="O119" s="1337"/>
      <c r="P119" s="1337"/>
      <c r="Q119" s="1337"/>
      <c r="R119" s="1337"/>
      <c r="S119" s="1337"/>
      <c r="T119" s="1337"/>
      <c r="U119" s="1337"/>
      <c r="V119" s="1337"/>
      <c r="W119" s="1337"/>
      <c r="X119" s="1337"/>
      <c r="Y119" s="1337"/>
      <c r="Z119" s="1337"/>
      <c r="AA119" s="1337"/>
      <c r="AB119" s="1337"/>
      <c r="AC119" s="1337"/>
      <c r="AD119" s="1337"/>
      <c r="AE119" s="1337"/>
      <c r="AF119" s="1337"/>
      <c r="AG119" s="1337"/>
      <c r="AH119" s="1337"/>
      <c r="AI119" s="1337"/>
      <c r="AJ119" s="1337"/>
      <c r="AK119" s="1337"/>
      <c r="AL119" s="1337"/>
      <c r="AM119" s="1337"/>
      <c r="AN119" s="1337"/>
      <c r="AO119" s="1337"/>
      <c r="AP119" s="1337"/>
      <c r="AQ119" s="1337"/>
      <c r="AR119" s="1337"/>
      <c r="AS119" s="1337"/>
      <c r="AT119" s="1337"/>
      <c r="AU119" s="1337"/>
      <c r="AV119" s="1337"/>
      <c r="AW119" s="1337"/>
      <c r="AX119" s="1337"/>
      <c r="AY119" s="1337"/>
      <c r="AZ119" s="1337"/>
      <c r="BA119" s="1337"/>
      <c r="BB119" s="1337"/>
      <c r="BC119" s="1337"/>
      <c r="BD119" s="1337"/>
      <c r="BE119" s="1337"/>
      <c r="BF119" s="1337"/>
      <c r="BG119" s="1337"/>
      <c r="BH119" s="1337"/>
      <c r="BI119" s="1337"/>
      <c r="BJ119" s="1337"/>
      <c r="BK119" s="1337"/>
      <c r="BL119" s="1337"/>
      <c r="BM119" s="1337"/>
      <c r="BN119" s="1337"/>
      <c r="BO119" s="1337"/>
      <c r="BP119" s="1337"/>
      <c r="BQ119" s="1337"/>
      <c r="BR119" s="1337"/>
      <c r="BS119" s="1337"/>
      <c r="BT119" s="1337"/>
      <c r="BU119" s="1337"/>
      <c r="BV119" s="1337"/>
      <c r="BW119" s="1337"/>
      <c r="BX119" s="1337"/>
      <c r="BY119" s="1337"/>
      <c r="BZ119" s="1337"/>
      <c r="CA119" s="1337"/>
      <c r="CB119" s="1337"/>
      <c r="CC119" s="1337"/>
      <c r="CD119" s="1337"/>
      <c r="CE119" s="1337"/>
      <c r="CF119" s="1337"/>
      <c r="CG119" s="1337"/>
      <c r="CH119" s="1337"/>
      <c r="CI119" s="1337"/>
      <c r="CJ119" s="1337"/>
      <c r="CK119" s="1337"/>
      <c r="CL119" s="1337"/>
      <c r="CM119" s="1337"/>
      <c r="CN119" s="1337"/>
      <c r="CO119" s="1337"/>
      <c r="CP119" s="1337"/>
      <c r="CQ119" s="1337"/>
      <c r="CR119" s="1337"/>
      <c r="CS119" s="1337"/>
      <c r="CT119" s="1337"/>
      <c r="CU119" s="1337"/>
      <c r="CV119" s="1337"/>
      <c r="CW119" s="1337"/>
      <c r="CX119" s="1337"/>
      <c r="CY119" s="1337"/>
      <c r="CZ119" s="1337"/>
      <c r="DA119" s="1337"/>
      <c r="DB119" s="1337"/>
      <c r="DC119" s="1337"/>
      <c r="DD119" s="1337"/>
      <c r="DE119" s="1337"/>
      <c r="DF119" s="1337"/>
      <c r="DG119" s="1337"/>
      <c r="DH119" s="1337"/>
      <c r="DI119" s="1337"/>
      <c r="DJ119" s="1337"/>
      <c r="DK119" s="1337"/>
      <c r="DL119" s="1337"/>
      <c r="DM119" s="1337"/>
      <c r="DN119" s="1337"/>
      <c r="DO119" s="1337"/>
      <c r="DP119" s="1337"/>
      <c r="DQ119" s="1337"/>
      <c r="DR119" s="1337"/>
      <c r="DS119" s="1337"/>
      <c r="DT119" s="1337"/>
      <c r="DU119" s="1337"/>
      <c r="DV119" s="1337"/>
      <c r="DW119" s="1337"/>
      <c r="DX119" s="1337"/>
      <c r="DY119" s="1337"/>
      <c r="DZ119" s="1337"/>
      <c r="EA119" s="1337"/>
      <c r="EB119" s="1337"/>
      <c r="EC119" s="1337"/>
      <c r="ED119" s="1337"/>
      <c r="EE119" s="1337"/>
      <c r="EF119" s="1337"/>
      <c r="EG119" s="1337"/>
      <c r="EH119" s="1337"/>
      <c r="EI119" s="1337"/>
      <c r="EJ119" s="1337"/>
      <c r="EK119" s="1337"/>
      <c r="EL119" s="1337"/>
      <c r="EM119" s="1337"/>
      <c r="EN119" s="1337"/>
      <c r="EO119" s="1337"/>
      <c r="EP119" s="1337"/>
      <c r="EQ119" s="1337"/>
      <c r="ER119" s="1337"/>
      <c r="ES119" s="1337"/>
      <c r="ET119" s="1337"/>
      <c r="EU119" s="1337"/>
      <c r="EV119" s="1337"/>
      <c r="EW119" s="1337"/>
      <c r="EX119" s="1337"/>
      <c r="EY119" s="1337"/>
      <c r="EZ119" s="1337"/>
      <c r="FA119" s="1337"/>
      <c r="FB119" s="1337"/>
      <c r="FC119" s="1337"/>
      <c r="FD119" s="1337"/>
      <c r="FE119" s="1337"/>
      <c r="FF119" s="1337"/>
      <c r="FG119" s="1337"/>
      <c r="FH119" s="1337"/>
      <c r="FI119" s="1337"/>
      <c r="FJ119" s="1337"/>
      <c r="FK119" s="1337"/>
      <c r="FL119" s="1337"/>
      <c r="FM119" s="1337"/>
      <c r="FN119" s="1337"/>
      <c r="FO119" s="1337"/>
      <c r="FP119" s="1337"/>
      <c r="FQ119" s="1337"/>
      <c r="FR119" s="1337"/>
      <c r="FS119" s="1337"/>
      <c r="FT119" s="1337"/>
      <c r="FU119" s="1337"/>
      <c r="FV119" s="1337"/>
      <c r="FW119" s="1337"/>
      <c r="FX119" s="1337"/>
      <c r="FY119" s="1337"/>
      <c r="FZ119" s="1337"/>
      <c r="GA119" s="1337"/>
      <c r="GB119" s="1337"/>
      <c r="GC119" s="1337"/>
      <c r="GD119" s="1337"/>
      <c r="GE119" s="1337"/>
      <c r="GF119" s="1337"/>
      <c r="GG119" s="1337"/>
      <c r="GH119" s="1337"/>
      <c r="GI119" s="1337"/>
      <c r="GJ119" s="1337"/>
      <c r="GK119" s="1337"/>
      <c r="GL119" s="1337"/>
      <c r="GM119" s="1337"/>
      <c r="GN119" s="1337"/>
      <c r="GO119" s="1337"/>
      <c r="GP119" s="1337"/>
      <c r="GQ119" s="1337"/>
      <c r="GR119" s="1337"/>
      <c r="GS119" s="1337"/>
      <c r="GT119" s="1337"/>
      <c r="GU119" s="1337"/>
      <c r="GV119" s="1337"/>
      <c r="GW119" s="1337"/>
      <c r="GX119" s="1337"/>
      <c r="GY119" s="1337"/>
      <c r="GZ119" s="1337"/>
      <c r="HA119" s="1337"/>
      <c r="HB119" s="1337"/>
      <c r="HC119" s="1337"/>
      <c r="HD119" s="1337"/>
      <c r="HE119" s="1337"/>
      <c r="HF119" s="1337"/>
      <c r="HG119" s="1337"/>
      <c r="HH119" s="1337"/>
      <c r="HI119" s="1337"/>
      <c r="HJ119" s="1337"/>
      <c r="HK119" s="1337"/>
      <c r="HL119" s="1337"/>
      <c r="HM119" s="1337"/>
      <c r="HN119" s="1337"/>
      <c r="HO119" s="1337"/>
      <c r="HP119" s="1337"/>
      <c r="HQ119" s="1337"/>
      <c r="HR119" s="1337"/>
      <c r="HS119" s="1337"/>
      <c r="HT119" s="1337"/>
      <c r="HU119" s="1337"/>
      <c r="HV119" s="1337"/>
      <c r="HW119" s="1337"/>
      <c r="HX119" s="1337"/>
      <c r="HY119" s="1337"/>
      <c r="HZ119" s="1337"/>
      <c r="IA119" s="1337"/>
      <c r="IB119" s="1337"/>
      <c r="IC119" s="1337"/>
      <c r="ID119" s="1337"/>
      <c r="IE119" s="1337"/>
      <c r="IF119" s="1337"/>
      <c r="IG119" s="1337"/>
      <c r="IH119" s="1337"/>
      <c r="II119" s="1337"/>
      <c r="IJ119" s="1337"/>
      <c r="IK119" s="1337"/>
      <c r="IL119" s="1337"/>
      <c r="IM119" s="1337"/>
      <c r="IN119" s="1337"/>
      <c r="IO119" s="1337"/>
      <c r="IP119" s="1337"/>
      <c r="IQ119" s="1337"/>
      <c r="IR119" s="1337"/>
      <c r="IS119" s="1337"/>
      <c r="IT119" s="1337"/>
      <c r="IU119" s="1337"/>
      <c r="IV119" s="1337"/>
    </row>
    <row r="120" spans="1:256" ht="10.5" customHeight="1">
      <c r="A120" s="1323" t="s">
        <v>1153</v>
      </c>
      <c r="B120" s="1446">
        <v>1055</v>
      </c>
      <c r="C120" s="1446">
        <v>1013.9</v>
      </c>
      <c r="D120" s="1411">
        <v>921</v>
      </c>
      <c r="E120" s="1411">
        <v>897</v>
      </c>
      <c r="F120" s="1411">
        <v>1159</v>
      </c>
      <c r="G120" s="1411">
        <v>1352</v>
      </c>
      <c r="H120" s="1411">
        <v>1316</v>
      </c>
      <c r="I120" s="1411">
        <v>1449</v>
      </c>
      <c r="J120" s="1411">
        <v>1203</v>
      </c>
      <c r="K120" s="1411">
        <v>1465</v>
      </c>
      <c r="L120" s="1413">
        <v>1455</v>
      </c>
      <c r="M120" s="1413">
        <v>1361</v>
      </c>
      <c r="N120" s="1411">
        <v>1425</v>
      </c>
      <c r="O120" s="1337"/>
      <c r="P120" s="1337"/>
      <c r="Q120" s="1337"/>
      <c r="R120" s="1337"/>
      <c r="S120" s="1337"/>
      <c r="T120" s="1337"/>
      <c r="U120" s="1337"/>
      <c r="V120" s="1337"/>
      <c r="W120" s="1337"/>
      <c r="X120" s="1337"/>
      <c r="Y120" s="1337"/>
      <c r="Z120" s="1337"/>
      <c r="AA120" s="1337"/>
      <c r="AB120" s="1337"/>
      <c r="AC120" s="1337"/>
      <c r="AD120" s="1337"/>
      <c r="AE120" s="1337"/>
      <c r="AF120" s="1337"/>
      <c r="AG120" s="1337"/>
      <c r="AH120" s="1337"/>
      <c r="AI120" s="1337"/>
      <c r="AJ120" s="1337"/>
      <c r="AK120" s="1337"/>
      <c r="AL120" s="1337"/>
      <c r="AM120" s="1337"/>
      <c r="AN120" s="1337"/>
      <c r="AO120" s="1337"/>
      <c r="AP120" s="1337"/>
      <c r="AQ120" s="1337"/>
      <c r="AR120" s="1337"/>
      <c r="AS120" s="1337"/>
      <c r="AT120" s="1337"/>
      <c r="AU120" s="1337"/>
      <c r="AV120" s="1337"/>
      <c r="AW120" s="1337"/>
      <c r="AX120" s="1337"/>
      <c r="AY120" s="1337"/>
      <c r="AZ120" s="1337"/>
      <c r="BA120" s="1337"/>
      <c r="BB120" s="1337"/>
      <c r="BC120" s="1337"/>
      <c r="BD120" s="1337"/>
      <c r="BE120" s="1337"/>
      <c r="BF120" s="1337"/>
      <c r="BG120" s="1337"/>
      <c r="BH120" s="1337"/>
      <c r="BI120" s="1337"/>
      <c r="BJ120" s="1337"/>
      <c r="BK120" s="1337"/>
      <c r="BL120" s="1337"/>
      <c r="BM120" s="1337"/>
      <c r="BN120" s="1337"/>
      <c r="BO120" s="1337"/>
      <c r="BP120" s="1337"/>
      <c r="BQ120" s="1337"/>
      <c r="BR120" s="1337"/>
      <c r="BS120" s="1337"/>
      <c r="BT120" s="1337"/>
      <c r="BU120" s="1337"/>
      <c r="BV120" s="1337"/>
      <c r="BW120" s="1337"/>
      <c r="BX120" s="1337"/>
      <c r="BY120" s="1337"/>
      <c r="BZ120" s="1337"/>
      <c r="CA120" s="1337"/>
      <c r="CB120" s="1337"/>
      <c r="CC120" s="1337"/>
      <c r="CD120" s="1337"/>
      <c r="CE120" s="1337"/>
      <c r="CF120" s="1337"/>
      <c r="CG120" s="1337"/>
      <c r="CH120" s="1337"/>
      <c r="CI120" s="1337"/>
      <c r="CJ120" s="1337"/>
      <c r="CK120" s="1337"/>
      <c r="CL120" s="1337"/>
      <c r="CM120" s="1337"/>
      <c r="CN120" s="1337"/>
      <c r="CO120" s="1337"/>
      <c r="CP120" s="1337"/>
      <c r="CQ120" s="1337"/>
      <c r="CR120" s="1337"/>
      <c r="CS120" s="1337"/>
      <c r="CT120" s="1337"/>
      <c r="CU120" s="1337"/>
      <c r="CV120" s="1337"/>
      <c r="CW120" s="1337"/>
      <c r="CX120" s="1337"/>
      <c r="CY120" s="1337"/>
      <c r="CZ120" s="1337"/>
      <c r="DA120" s="1337"/>
      <c r="DB120" s="1337"/>
      <c r="DC120" s="1337"/>
      <c r="DD120" s="1337"/>
      <c r="DE120" s="1337"/>
      <c r="DF120" s="1337"/>
      <c r="DG120" s="1337"/>
      <c r="DH120" s="1337"/>
      <c r="DI120" s="1337"/>
      <c r="DJ120" s="1337"/>
      <c r="DK120" s="1337"/>
      <c r="DL120" s="1337"/>
      <c r="DM120" s="1337"/>
      <c r="DN120" s="1337"/>
      <c r="DO120" s="1337"/>
      <c r="DP120" s="1337"/>
      <c r="DQ120" s="1337"/>
      <c r="DR120" s="1337"/>
      <c r="DS120" s="1337"/>
      <c r="DT120" s="1337"/>
      <c r="DU120" s="1337"/>
      <c r="DV120" s="1337"/>
      <c r="DW120" s="1337"/>
      <c r="DX120" s="1337"/>
      <c r="DY120" s="1337"/>
      <c r="DZ120" s="1337"/>
      <c r="EA120" s="1337"/>
      <c r="EB120" s="1337"/>
      <c r="EC120" s="1337"/>
      <c r="ED120" s="1337"/>
      <c r="EE120" s="1337"/>
      <c r="EF120" s="1337"/>
      <c r="EG120" s="1337"/>
      <c r="EH120" s="1337"/>
      <c r="EI120" s="1337"/>
      <c r="EJ120" s="1337"/>
      <c r="EK120" s="1337"/>
      <c r="EL120" s="1337"/>
      <c r="EM120" s="1337"/>
      <c r="EN120" s="1337"/>
      <c r="EO120" s="1337"/>
      <c r="EP120" s="1337"/>
      <c r="EQ120" s="1337"/>
      <c r="ER120" s="1337"/>
      <c r="ES120" s="1337"/>
      <c r="ET120" s="1337"/>
      <c r="EU120" s="1337"/>
      <c r="EV120" s="1337"/>
      <c r="EW120" s="1337"/>
      <c r="EX120" s="1337"/>
      <c r="EY120" s="1337"/>
      <c r="EZ120" s="1337"/>
      <c r="FA120" s="1337"/>
      <c r="FB120" s="1337"/>
      <c r="FC120" s="1337"/>
      <c r="FD120" s="1337"/>
      <c r="FE120" s="1337"/>
      <c r="FF120" s="1337"/>
      <c r="FG120" s="1337"/>
      <c r="FH120" s="1337"/>
      <c r="FI120" s="1337"/>
      <c r="FJ120" s="1337"/>
      <c r="FK120" s="1337"/>
      <c r="FL120" s="1337"/>
      <c r="FM120" s="1337"/>
      <c r="FN120" s="1337"/>
      <c r="FO120" s="1337"/>
      <c r="FP120" s="1337"/>
      <c r="FQ120" s="1337"/>
      <c r="FR120" s="1337"/>
      <c r="FS120" s="1337"/>
      <c r="FT120" s="1337"/>
      <c r="FU120" s="1337"/>
      <c r="FV120" s="1337"/>
      <c r="FW120" s="1337"/>
      <c r="FX120" s="1337"/>
      <c r="FY120" s="1337"/>
      <c r="FZ120" s="1337"/>
      <c r="GA120" s="1337"/>
      <c r="GB120" s="1337"/>
      <c r="GC120" s="1337"/>
      <c r="GD120" s="1337"/>
      <c r="GE120" s="1337"/>
      <c r="GF120" s="1337"/>
      <c r="GG120" s="1337"/>
      <c r="GH120" s="1337"/>
      <c r="GI120" s="1337"/>
      <c r="GJ120" s="1337"/>
      <c r="GK120" s="1337"/>
      <c r="GL120" s="1337"/>
      <c r="GM120" s="1337"/>
      <c r="GN120" s="1337"/>
      <c r="GO120" s="1337"/>
      <c r="GP120" s="1337"/>
      <c r="GQ120" s="1337"/>
      <c r="GR120" s="1337"/>
      <c r="GS120" s="1337"/>
      <c r="GT120" s="1337"/>
      <c r="GU120" s="1337"/>
      <c r="GV120" s="1337"/>
      <c r="GW120" s="1337"/>
      <c r="GX120" s="1337"/>
      <c r="GY120" s="1337"/>
      <c r="GZ120" s="1337"/>
      <c r="HA120" s="1337"/>
      <c r="HB120" s="1337"/>
      <c r="HC120" s="1337"/>
      <c r="HD120" s="1337"/>
      <c r="HE120" s="1337"/>
      <c r="HF120" s="1337"/>
      <c r="HG120" s="1337"/>
      <c r="HH120" s="1337"/>
      <c r="HI120" s="1337"/>
      <c r="HJ120" s="1337"/>
      <c r="HK120" s="1337"/>
      <c r="HL120" s="1337"/>
      <c r="HM120" s="1337"/>
      <c r="HN120" s="1337"/>
      <c r="HO120" s="1337"/>
      <c r="HP120" s="1337"/>
      <c r="HQ120" s="1337"/>
      <c r="HR120" s="1337"/>
      <c r="HS120" s="1337"/>
      <c r="HT120" s="1337"/>
      <c r="HU120" s="1337"/>
      <c r="HV120" s="1337"/>
      <c r="HW120" s="1337"/>
      <c r="HX120" s="1337"/>
      <c r="HY120" s="1337"/>
      <c r="HZ120" s="1337"/>
      <c r="IA120" s="1337"/>
      <c r="IB120" s="1337"/>
      <c r="IC120" s="1337"/>
      <c r="ID120" s="1337"/>
      <c r="IE120" s="1337"/>
      <c r="IF120" s="1337"/>
      <c r="IG120" s="1337"/>
      <c r="IH120" s="1337"/>
      <c r="II120" s="1337"/>
      <c r="IJ120" s="1337"/>
      <c r="IK120" s="1337"/>
      <c r="IL120" s="1337"/>
      <c r="IM120" s="1337"/>
      <c r="IN120" s="1337"/>
      <c r="IO120" s="1337"/>
      <c r="IP120" s="1337"/>
      <c r="IQ120" s="1337"/>
      <c r="IR120" s="1337"/>
      <c r="IS120" s="1337"/>
      <c r="IT120" s="1337"/>
      <c r="IU120" s="1337"/>
      <c r="IV120" s="1337"/>
    </row>
    <row r="121" spans="1:256" ht="11.25" customHeight="1">
      <c r="A121" s="1323" t="s">
        <v>1154</v>
      </c>
      <c r="B121" s="1391">
        <v>434</v>
      </c>
      <c r="C121" s="1391">
        <v>435</v>
      </c>
      <c r="D121" s="1411">
        <v>454.6</v>
      </c>
      <c r="E121" s="1411">
        <v>462.8</v>
      </c>
      <c r="F121" s="1411">
        <v>439.9</v>
      </c>
      <c r="G121" s="1411">
        <v>469.7</v>
      </c>
      <c r="H121" s="1411">
        <v>428</v>
      </c>
      <c r="I121" s="1411">
        <v>250.7</v>
      </c>
      <c r="J121" s="1411">
        <v>303</v>
      </c>
      <c r="K121" s="1411">
        <v>275</v>
      </c>
      <c r="L121" s="1413">
        <v>240</v>
      </c>
      <c r="M121" s="1413">
        <v>246.2</v>
      </c>
      <c r="N121" s="1411">
        <v>242</v>
      </c>
      <c r="O121" s="1337"/>
      <c r="P121" s="1337"/>
      <c r="Q121" s="1337"/>
      <c r="R121" s="1337"/>
      <c r="S121" s="1337"/>
      <c r="T121" s="1337"/>
      <c r="U121" s="1337"/>
      <c r="V121" s="1337"/>
      <c r="W121" s="1337"/>
      <c r="X121" s="1337"/>
      <c r="Y121" s="1337"/>
      <c r="Z121" s="1337"/>
      <c r="AA121" s="1337"/>
      <c r="AB121" s="1337"/>
      <c r="AC121" s="1337"/>
      <c r="AD121" s="1337"/>
      <c r="AE121" s="1337"/>
      <c r="AF121" s="1337"/>
      <c r="AG121" s="1337"/>
      <c r="AH121" s="1337"/>
      <c r="AI121" s="1337"/>
      <c r="AJ121" s="1337"/>
      <c r="AK121" s="1337"/>
      <c r="AL121" s="1337"/>
      <c r="AM121" s="1337"/>
      <c r="AN121" s="1337"/>
      <c r="AO121" s="1337"/>
      <c r="AP121" s="1337"/>
      <c r="AQ121" s="1337"/>
      <c r="AR121" s="1337"/>
      <c r="AS121" s="1337"/>
      <c r="AT121" s="1337"/>
      <c r="AU121" s="1337"/>
      <c r="AV121" s="1337"/>
      <c r="AW121" s="1337"/>
      <c r="AX121" s="1337"/>
      <c r="AY121" s="1337"/>
      <c r="AZ121" s="1337"/>
      <c r="BA121" s="1337"/>
      <c r="BB121" s="1337"/>
      <c r="BC121" s="1337"/>
      <c r="BD121" s="1337"/>
      <c r="BE121" s="1337"/>
      <c r="BF121" s="1337"/>
      <c r="BG121" s="1337"/>
      <c r="BH121" s="1337"/>
      <c r="BI121" s="1337"/>
      <c r="BJ121" s="1337"/>
      <c r="BK121" s="1337"/>
      <c r="BL121" s="1337"/>
      <c r="BM121" s="1337"/>
      <c r="BN121" s="1337"/>
      <c r="BO121" s="1337"/>
      <c r="BP121" s="1337"/>
      <c r="BQ121" s="1337"/>
      <c r="BR121" s="1337"/>
      <c r="BS121" s="1337"/>
      <c r="BT121" s="1337"/>
      <c r="BU121" s="1337"/>
      <c r="BV121" s="1337"/>
      <c r="BW121" s="1337"/>
      <c r="BX121" s="1337"/>
      <c r="BY121" s="1337"/>
      <c r="BZ121" s="1337"/>
      <c r="CA121" s="1337"/>
      <c r="CB121" s="1337"/>
      <c r="CC121" s="1337"/>
      <c r="CD121" s="1337"/>
      <c r="CE121" s="1337"/>
      <c r="CF121" s="1337"/>
      <c r="CG121" s="1337"/>
      <c r="CH121" s="1337"/>
      <c r="CI121" s="1337"/>
      <c r="CJ121" s="1337"/>
      <c r="CK121" s="1337"/>
      <c r="CL121" s="1337"/>
      <c r="CM121" s="1337"/>
      <c r="CN121" s="1337"/>
      <c r="CO121" s="1337"/>
      <c r="CP121" s="1337"/>
      <c r="CQ121" s="1337"/>
      <c r="CR121" s="1337"/>
      <c r="CS121" s="1337"/>
      <c r="CT121" s="1337"/>
      <c r="CU121" s="1337"/>
      <c r="CV121" s="1337"/>
      <c r="CW121" s="1337"/>
      <c r="CX121" s="1337"/>
      <c r="CY121" s="1337"/>
      <c r="CZ121" s="1337"/>
      <c r="DA121" s="1337"/>
      <c r="DB121" s="1337"/>
      <c r="DC121" s="1337"/>
      <c r="DD121" s="1337"/>
      <c r="DE121" s="1337"/>
      <c r="DF121" s="1337"/>
      <c r="DG121" s="1337"/>
      <c r="DH121" s="1337"/>
      <c r="DI121" s="1337"/>
      <c r="DJ121" s="1337"/>
      <c r="DK121" s="1337"/>
      <c r="DL121" s="1337"/>
      <c r="DM121" s="1337"/>
      <c r="DN121" s="1337"/>
      <c r="DO121" s="1337"/>
      <c r="DP121" s="1337"/>
      <c r="DQ121" s="1337"/>
      <c r="DR121" s="1337"/>
      <c r="DS121" s="1337"/>
      <c r="DT121" s="1337"/>
      <c r="DU121" s="1337"/>
      <c r="DV121" s="1337"/>
      <c r="DW121" s="1337"/>
      <c r="DX121" s="1337"/>
      <c r="DY121" s="1337"/>
      <c r="DZ121" s="1337"/>
      <c r="EA121" s="1337"/>
      <c r="EB121" s="1337"/>
      <c r="EC121" s="1337"/>
      <c r="ED121" s="1337"/>
      <c r="EE121" s="1337"/>
      <c r="EF121" s="1337"/>
      <c r="EG121" s="1337"/>
      <c r="EH121" s="1337"/>
      <c r="EI121" s="1337"/>
      <c r="EJ121" s="1337"/>
      <c r="EK121" s="1337"/>
      <c r="EL121" s="1337"/>
      <c r="EM121" s="1337"/>
      <c r="EN121" s="1337"/>
      <c r="EO121" s="1337"/>
      <c r="EP121" s="1337"/>
      <c r="EQ121" s="1337"/>
      <c r="ER121" s="1337"/>
      <c r="ES121" s="1337"/>
      <c r="ET121" s="1337"/>
      <c r="EU121" s="1337"/>
      <c r="EV121" s="1337"/>
      <c r="EW121" s="1337"/>
      <c r="EX121" s="1337"/>
      <c r="EY121" s="1337"/>
      <c r="EZ121" s="1337"/>
      <c r="FA121" s="1337"/>
      <c r="FB121" s="1337"/>
      <c r="FC121" s="1337"/>
      <c r="FD121" s="1337"/>
      <c r="FE121" s="1337"/>
      <c r="FF121" s="1337"/>
      <c r="FG121" s="1337"/>
      <c r="FH121" s="1337"/>
      <c r="FI121" s="1337"/>
      <c r="FJ121" s="1337"/>
      <c r="FK121" s="1337"/>
      <c r="FL121" s="1337"/>
      <c r="FM121" s="1337"/>
      <c r="FN121" s="1337"/>
      <c r="FO121" s="1337"/>
      <c r="FP121" s="1337"/>
      <c r="FQ121" s="1337"/>
      <c r="FR121" s="1337"/>
      <c r="FS121" s="1337"/>
      <c r="FT121" s="1337"/>
      <c r="FU121" s="1337"/>
      <c r="FV121" s="1337"/>
      <c r="FW121" s="1337"/>
      <c r="FX121" s="1337"/>
      <c r="FY121" s="1337"/>
      <c r="FZ121" s="1337"/>
      <c r="GA121" s="1337"/>
      <c r="GB121" s="1337"/>
      <c r="GC121" s="1337"/>
      <c r="GD121" s="1337"/>
      <c r="GE121" s="1337"/>
      <c r="GF121" s="1337"/>
      <c r="GG121" s="1337"/>
      <c r="GH121" s="1337"/>
      <c r="GI121" s="1337"/>
      <c r="GJ121" s="1337"/>
      <c r="GK121" s="1337"/>
      <c r="GL121" s="1337"/>
      <c r="GM121" s="1337"/>
      <c r="GN121" s="1337"/>
      <c r="GO121" s="1337"/>
      <c r="GP121" s="1337"/>
      <c r="GQ121" s="1337"/>
      <c r="GR121" s="1337"/>
      <c r="GS121" s="1337"/>
      <c r="GT121" s="1337"/>
      <c r="GU121" s="1337"/>
      <c r="GV121" s="1337"/>
      <c r="GW121" s="1337"/>
      <c r="GX121" s="1337"/>
      <c r="GY121" s="1337"/>
      <c r="GZ121" s="1337"/>
      <c r="HA121" s="1337"/>
      <c r="HB121" s="1337"/>
      <c r="HC121" s="1337"/>
      <c r="HD121" s="1337"/>
      <c r="HE121" s="1337"/>
      <c r="HF121" s="1337"/>
      <c r="HG121" s="1337"/>
      <c r="HH121" s="1337"/>
      <c r="HI121" s="1337"/>
      <c r="HJ121" s="1337"/>
      <c r="HK121" s="1337"/>
      <c r="HL121" s="1337"/>
      <c r="HM121" s="1337"/>
      <c r="HN121" s="1337"/>
      <c r="HO121" s="1337"/>
      <c r="HP121" s="1337"/>
      <c r="HQ121" s="1337"/>
      <c r="HR121" s="1337"/>
      <c r="HS121" s="1337"/>
      <c r="HT121" s="1337"/>
      <c r="HU121" s="1337"/>
      <c r="HV121" s="1337"/>
      <c r="HW121" s="1337"/>
      <c r="HX121" s="1337"/>
      <c r="HY121" s="1337"/>
      <c r="HZ121" s="1337"/>
      <c r="IA121" s="1337"/>
      <c r="IB121" s="1337"/>
      <c r="IC121" s="1337"/>
      <c r="ID121" s="1337"/>
      <c r="IE121" s="1337"/>
      <c r="IF121" s="1337"/>
      <c r="IG121" s="1337"/>
      <c r="IH121" s="1337"/>
      <c r="II121" s="1337"/>
      <c r="IJ121" s="1337"/>
      <c r="IK121" s="1337"/>
      <c r="IL121" s="1337"/>
      <c r="IM121" s="1337"/>
      <c r="IN121" s="1337"/>
      <c r="IO121" s="1337"/>
      <c r="IP121" s="1337"/>
      <c r="IQ121" s="1337"/>
      <c r="IR121" s="1337"/>
      <c r="IS121" s="1337"/>
      <c r="IT121" s="1337"/>
      <c r="IU121" s="1337"/>
      <c r="IV121" s="1337"/>
    </row>
    <row r="122" spans="1:256" ht="10.5" customHeight="1">
      <c r="A122" s="1323" t="s">
        <v>1155</v>
      </c>
      <c r="B122" s="1447">
        <v>364.4</v>
      </c>
      <c r="C122" s="1447">
        <v>431.2</v>
      </c>
      <c r="D122" s="1411">
        <v>567.9</v>
      </c>
      <c r="E122" s="1411">
        <v>840.8</v>
      </c>
      <c r="F122" s="1411">
        <v>859.3</v>
      </c>
      <c r="G122" s="1411">
        <v>807.8</v>
      </c>
      <c r="H122" s="1411">
        <v>1009.4</v>
      </c>
      <c r="I122" s="1411">
        <v>977.1</v>
      </c>
      <c r="J122" s="1411">
        <v>920</v>
      </c>
      <c r="K122" s="1411">
        <v>1172</v>
      </c>
      <c r="L122" s="1413">
        <v>1253</v>
      </c>
      <c r="M122" s="1413">
        <v>985.4</v>
      </c>
      <c r="N122" s="1411">
        <v>705</v>
      </c>
      <c r="O122" s="1337"/>
      <c r="P122" s="1337"/>
      <c r="Q122" s="1337"/>
      <c r="R122" s="1337"/>
      <c r="S122" s="1337"/>
      <c r="T122" s="1337"/>
      <c r="U122" s="1337"/>
      <c r="V122" s="1337"/>
      <c r="W122" s="1337"/>
      <c r="X122" s="1337"/>
      <c r="Y122" s="1337"/>
      <c r="Z122" s="1337"/>
      <c r="AA122" s="1337"/>
      <c r="AB122" s="1337"/>
      <c r="AC122" s="1337"/>
      <c r="AD122" s="1337"/>
      <c r="AE122" s="1337"/>
      <c r="AF122" s="1337"/>
      <c r="AG122" s="1337"/>
      <c r="AH122" s="1337"/>
      <c r="AI122" s="1337"/>
      <c r="AJ122" s="1337"/>
      <c r="AK122" s="1337"/>
      <c r="AL122" s="1337"/>
      <c r="AM122" s="1337"/>
      <c r="AN122" s="1337"/>
      <c r="AO122" s="1337"/>
      <c r="AP122" s="1337"/>
      <c r="AQ122" s="1337"/>
      <c r="AR122" s="1337"/>
      <c r="AS122" s="1337"/>
      <c r="AT122" s="1337"/>
      <c r="AU122" s="1337"/>
      <c r="AV122" s="1337"/>
      <c r="AW122" s="1337"/>
      <c r="AX122" s="1337"/>
      <c r="AY122" s="1337"/>
      <c r="AZ122" s="1337"/>
      <c r="BA122" s="1337"/>
      <c r="BB122" s="1337"/>
      <c r="BC122" s="1337"/>
      <c r="BD122" s="1337"/>
      <c r="BE122" s="1337"/>
      <c r="BF122" s="1337"/>
      <c r="BG122" s="1337"/>
      <c r="BH122" s="1337"/>
      <c r="BI122" s="1337"/>
      <c r="BJ122" s="1337"/>
      <c r="BK122" s="1337"/>
      <c r="BL122" s="1337"/>
      <c r="BM122" s="1337"/>
      <c r="BN122" s="1337"/>
      <c r="BO122" s="1337"/>
      <c r="BP122" s="1337"/>
      <c r="BQ122" s="1337"/>
      <c r="BR122" s="1337"/>
      <c r="BS122" s="1337"/>
      <c r="BT122" s="1337"/>
      <c r="BU122" s="1337"/>
      <c r="BV122" s="1337"/>
      <c r="BW122" s="1337"/>
      <c r="BX122" s="1337"/>
      <c r="BY122" s="1337"/>
      <c r="BZ122" s="1337"/>
      <c r="CA122" s="1337"/>
      <c r="CB122" s="1337"/>
      <c r="CC122" s="1337"/>
      <c r="CD122" s="1337"/>
      <c r="CE122" s="1337"/>
      <c r="CF122" s="1337"/>
      <c r="CG122" s="1337"/>
      <c r="CH122" s="1337"/>
      <c r="CI122" s="1337"/>
      <c r="CJ122" s="1337"/>
      <c r="CK122" s="1337"/>
      <c r="CL122" s="1337"/>
      <c r="CM122" s="1337"/>
      <c r="CN122" s="1337"/>
      <c r="CO122" s="1337"/>
      <c r="CP122" s="1337"/>
      <c r="CQ122" s="1337"/>
      <c r="CR122" s="1337"/>
      <c r="CS122" s="1337"/>
      <c r="CT122" s="1337"/>
      <c r="CU122" s="1337"/>
      <c r="CV122" s="1337"/>
      <c r="CW122" s="1337"/>
      <c r="CX122" s="1337"/>
      <c r="CY122" s="1337"/>
      <c r="CZ122" s="1337"/>
      <c r="DA122" s="1337"/>
      <c r="DB122" s="1337"/>
      <c r="DC122" s="1337"/>
      <c r="DD122" s="1337"/>
      <c r="DE122" s="1337"/>
      <c r="DF122" s="1337"/>
      <c r="DG122" s="1337"/>
      <c r="DH122" s="1337"/>
      <c r="DI122" s="1337"/>
      <c r="DJ122" s="1337"/>
      <c r="DK122" s="1337"/>
      <c r="DL122" s="1337"/>
      <c r="DM122" s="1337"/>
      <c r="DN122" s="1337"/>
      <c r="DO122" s="1337"/>
      <c r="DP122" s="1337"/>
      <c r="DQ122" s="1337"/>
      <c r="DR122" s="1337"/>
      <c r="DS122" s="1337"/>
      <c r="DT122" s="1337"/>
      <c r="DU122" s="1337"/>
      <c r="DV122" s="1337"/>
      <c r="DW122" s="1337"/>
      <c r="DX122" s="1337"/>
      <c r="DY122" s="1337"/>
      <c r="DZ122" s="1337"/>
      <c r="EA122" s="1337"/>
      <c r="EB122" s="1337"/>
      <c r="EC122" s="1337"/>
      <c r="ED122" s="1337"/>
      <c r="EE122" s="1337"/>
      <c r="EF122" s="1337"/>
      <c r="EG122" s="1337"/>
      <c r="EH122" s="1337"/>
      <c r="EI122" s="1337"/>
      <c r="EJ122" s="1337"/>
      <c r="EK122" s="1337"/>
      <c r="EL122" s="1337"/>
      <c r="EM122" s="1337"/>
      <c r="EN122" s="1337"/>
      <c r="EO122" s="1337"/>
      <c r="EP122" s="1337"/>
      <c r="EQ122" s="1337"/>
      <c r="ER122" s="1337"/>
      <c r="ES122" s="1337"/>
      <c r="ET122" s="1337"/>
      <c r="EU122" s="1337"/>
      <c r="EV122" s="1337"/>
      <c r="EW122" s="1337"/>
      <c r="EX122" s="1337"/>
      <c r="EY122" s="1337"/>
      <c r="EZ122" s="1337"/>
      <c r="FA122" s="1337"/>
      <c r="FB122" s="1337"/>
      <c r="FC122" s="1337"/>
      <c r="FD122" s="1337"/>
      <c r="FE122" s="1337"/>
      <c r="FF122" s="1337"/>
      <c r="FG122" s="1337"/>
      <c r="FH122" s="1337"/>
      <c r="FI122" s="1337"/>
      <c r="FJ122" s="1337"/>
      <c r="FK122" s="1337"/>
      <c r="FL122" s="1337"/>
      <c r="FM122" s="1337"/>
      <c r="FN122" s="1337"/>
      <c r="FO122" s="1337"/>
      <c r="FP122" s="1337"/>
      <c r="FQ122" s="1337"/>
      <c r="FR122" s="1337"/>
      <c r="FS122" s="1337"/>
      <c r="FT122" s="1337"/>
      <c r="FU122" s="1337"/>
      <c r="FV122" s="1337"/>
      <c r="FW122" s="1337"/>
      <c r="FX122" s="1337"/>
      <c r="FY122" s="1337"/>
      <c r="FZ122" s="1337"/>
      <c r="GA122" s="1337"/>
      <c r="GB122" s="1337"/>
      <c r="GC122" s="1337"/>
      <c r="GD122" s="1337"/>
      <c r="GE122" s="1337"/>
      <c r="GF122" s="1337"/>
      <c r="GG122" s="1337"/>
      <c r="GH122" s="1337"/>
      <c r="GI122" s="1337"/>
      <c r="GJ122" s="1337"/>
      <c r="GK122" s="1337"/>
      <c r="GL122" s="1337"/>
      <c r="GM122" s="1337"/>
      <c r="GN122" s="1337"/>
      <c r="GO122" s="1337"/>
      <c r="GP122" s="1337"/>
      <c r="GQ122" s="1337"/>
      <c r="GR122" s="1337"/>
      <c r="GS122" s="1337"/>
      <c r="GT122" s="1337"/>
      <c r="GU122" s="1337"/>
      <c r="GV122" s="1337"/>
      <c r="GW122" s="1337"/>
      <c r="GX122" s="1337"/>
      <c r="GY122" s="1337"/>
      <c r="GZ122" s="1337"/>
      <c r="HA122" s="1337"/>
      <c r="HB122" s="1337"/>
      <c r="HC122" s="1337"/>
      <c r="HD122" s="1337"/>
      <c r="HE122" s="1337"/>
      <c r="HF122" s="1337"/>
      <c r="HG122" s="1337"/>
      <c r="HH122" s="1337"/>
      <c r="HI122" s="1337"/>
      <c r="HJ122" s="1337"/>
      <c r="HK122" s="1337"/>
      <c r="HL122" s="1337"/>
      <c r="HM122" s="1337"/>
      <c r="HN122" s="1337"/>
      <c r="HO122" s="1337"/>
      <c r="HP122" s="1337"/>
      <c r="HQ122" s="1337"/>
      <c r="HR122" s="1337"/>
      <c r="HS122" s="1337"/>
      <c r="HT122" s="1337"/>
      <c r="HU122" s="1337"/>
      <c r="HV122" s="1337"/>
      <c r="HW122" s="1337"/>
      <c r="HX122" s="1337"/>
      <c r="HY122" s="1337"/>
      <c r="HZ122" s="1337"/>
      <c r="IA122" s="1337"/>
      <c r="IB122" s="1337"/>
      <c r="IC122" s="1337"/>
      <c r="ID122" s="1337"/>
      <c r="IE122" s="1337"/>
      <c r="IF122" s="1337"/>
      <c r="IG122" s="1337"/>
      <c r="IH122" s="1337"/>
      <c r="II122" s="1337"/>
      <c r="IJ122" s="1337"/>
      <c r="IK122" s="1337"/>
      <c r="IL122" s="1337"/>
      <c r="IM122" s="1337"/>
      <c r="IN122" s="1337"/>
      <c r="IO122" s="1337"/>
      <c r="IP122" s="1337"/>
      <c r="IQ122" s="1337"/>
      <c r="IR122" s="1337"/>
      <c r="IS122" s="1337"/>
      <c r="IT122" s="1337"/>
      <c r="IU122" s="1337"/>
      <c r="IV122" s="1337"/>
    </row>
    <row r="123" spans="1:256" ht="10.5" customHeight="1">
      <c r="A123" s="1379" t="s">
        <v>1156</v>
      </c>
      <c r="B123" s="1448">
        <v>6405</v>
      </c>
      <c r="C123" s="1448">
        <v>6698.5</v>
      </c>
      <c r="D123" s="1434">
        <v>7058</v>
      </c>
      <c r="E123" s="1434">
        <v>7334</v>
      </c>
      <c r="F123" s="1434">
        <v>8023</v>
      </c>
      <c r="G123" s="1434">
        <v>7559</v>
      </c>
      <c r="H123" s="1434">
        <v>7962</v>
      </c>
      <c r="I123" s="1434">
        <v>8659</v>
      </c>
      <c r="J123" s="1449">
        <v>8394</v>
      </c>
      <c r="K123" s="1434">
        <v>8917</v>
      </c>
      <c r="L123" s="1450">
        <v>8739</v>
      </c>
      <c r="M123" s="1435">
        <v>8567</v>
      </c>
      <c r="N123" s="1434">
        <v>8386</v>
      </c>
      <c r="O123" s="1337"/>
      <c r="P123" s="1337"/>
      <c r="Q123" s="1337"/>
      <c r="R123" s="1337"/>
      <c r="S123" s="1337"/>
      <c r="T123" s="1337"/>
      <c r="U123" s="1337"/>
      <c r="V123" s="1337"/>
      <c r="W123" s="1337"/>
      <c r="X123" s="1337"/>
      <c r="Y123" s="1337"/>
      <c r="Z123" s="1337"/>
      <c r="AA123" s="1337"/>
      <c r="AB123" s="1337"/>
      <c r="AC123" s="1337"/>
      <c r="AD123" s="1337"/>
      <c r="AE123" s="1337"/>
      <c r="AF123" s="1337"/>
      <c r="AG123" s="1337"/>
      <c r="AH123" s="1337"/>
      <c r="AI123" s="1337"/>
      <c r="AJ123" s="1337"/>
      <c r="AK123" s="1337"/>
      <c r="AL123" s="1337"/>
      <c r="AM123" s="1337"/>
      <c r="AN123" s="1337"/>
      <c r="AO123" s="1337"/>
      <c r="AP123" s="1337"/>
      <c r="AQ123" s="1337"/>
      <c r="AR123" s="1337"/>
      <c r="AS123" s="1337"/>
      <c r="AT123" s="1337"/>
      <c r="AU123" s="1337"/>
      <c r="AV123" s="1337"/>
      <c r="AW123" s="1337"/>
      <c r="AX123" s="1337"/>
      <c r="AY123" s="1337"/>
      <c r="AZ123" s="1337"/>
      <c r="BA123" s="1337"/>
      <c r="BB123" s="1337"/>
      <c r="BC123" s="1337"/>
      <c r="BD123" s="1337"/>
      <c r="BE123" s="1337"/>
      <c r="BF123" s="1337"/>
      <c r="BG123" s="1337"/>
      <c r="BH123" s="1337"/>
      <c r="BI123" s="1337"/>
      <c r="BJ123" s="1337"/>
      <c r="BK123" s="1337"/>
      <c r="BL123" s="1337"/>
      <c r="BM123" s="1337"/>
      <c r="BN123" s="1337"/>
      <c r="BO123" s="1337"/>
      <c r="BP123" s="1337"/>
      <c r="BQ123" s="1337"/>
      <c r="BR123" s="1337"/>
      <c r="BS123" s="1337"/>
      <c r="BT123" s="1337"/>
      <c r="BU123" s="1337"/>
      <c r="BV123" s="1337"/>
      <c r="BW123" s="1337"/>
      <c r="BX123" s="1337"/>
      <c r="BY123" s="1337"/>
      <c r="BZ123" s="1337"/>
      <c r="CA123" s="1337"/>
      <c r="CB123" s="1337"/>
      <c r="CC123" s="1337"/>
      <c r="CD123" s="1337"/>
      <c r="CE123" s="1337"/>
      <c r="CF123" s="1337"/>
      <c r="CG123" s="1337"/>
      <c r="CH123" s="1337"/>
      <c r="CI123" s="1337"/>
      <c r="CJ123" s="1337"/>
      <c r="CK123" s="1337"/>
      <c r="CL123" s="1337"/>
      <c r="CM123" s="1337"/>
      <c r="CN123" s="1337"/>
      <c r="CO123" s="1337"/>
      <c r="CP123" s="1337"/>
      <c r="CQ123" s="1337"/>
      <c r="CR123" s="1337"/>
      <c r="CS123" s="1337"/>
      <c r="CT123" s="1337"/>
      <c r="CU123" s="1337"/>
      <c r="CV123" s="1337"/>
      <c r="CW123" s="1337"/>
      <c r="CX123" s="1337"/>
      <c r="CY123" s="1337"/>
      <c r="CZ123" s="1337"/>
      <c r="DA123" s="1337"/>
      <c r="DB123" s="1337"/>
      <c r="DC123" s="1337"/>
      <c r="DD123" s="1337"/>
      <c r="DE123" s="1337"/>
      <c r="DF123" s="1337"/>
      <c r="DG123" s="1337"/>
      <c r="DH123" s="1337"/>
      <c r="DI123" s="1337"/>
      <c r="DJ123" s="1337"/>
      <c r="DK123" s="1337"/>
      <c r="DL123" s="1337"/>
      <c r="DM123" s="1337"/>
      <c r="DN123" s="1337"/>
      <c r="DO123" s="1337"/>
      <c r="DP123" s="1337"/>
      <c r="DQ123" s="1337"/>
      <c r="DR123" s="1337"/>
      <c r="DS123" s="1337"/>
      <c r="DT123" s="1337"/>
      <c r="DU123" s="1337"/>
      <c r="DV123" s="1337"/>
      <c r="DW123" s="1337"/>
      <c r="DX123" s="1337"/>
      <c r="DY123" s="1337"/>
      <c r="DZ123" s="1337"/>
      <c r="EA123" s="1337"/>
      <c r="EB123" s="1337"/>
      <c r="EC123" s="1337"/>
      <c r="ED123" s="1337"/>
      <c r="EE123" s="1337"/>
      <c r="EF123" s="1337"/>
      <c r="EG123" s="1337"/>
      <c r="EH123" s="1337"/>
      <c r="EI123" s="1337"/>
      <c r="EJ123" s="1337"/>
      <c r="EK123" s="1337"/>
      <c r="EL123" s="1337"/>
      <c r="EM123" s="1337"/>
      <c r="EN123" s="1337"/>
      <c r="EO123" s="1337"/>
      <c r="EP123" s="1337"/>
      <c r="EQ123" s="1337"/>
      <c r="ER123" s="1337"/>
      <c r="ES123" s="1337"/>
      <c r="ET123" s="1337"/>
      <c r="EU123" s="1337"/>
      <c r="EV123" s="1337"/>
      <c r="EW123" s="1337"/>
      <c r="EX123" s="1337"/>
      <c r="EY123" s="1337"/>
      <c r="EZ123" s="1337"/>
      <c r="FA123" s="1337"/>
      <c r="FB123" s="1337"/>
      <c r="FC123" s="1337"/>
      <c r="FD123" s="1337"/>
      <c r="FE123" s="1337"/>
      <c r="FF123" s="1337"/>
      <c r="FG123" s="1337"/>
      <c r="FH123" s="1337"/>
      <c r="FI123" s="1337"/>
      <c r="FJ123" s="1337"/>
      <c r="FK123" s="1337"/>
      <c r="FL123" s="1337"/>
      <c r="FM123" s="1337"/>
      <c r="FN123" s="1337"/>
      <c r="FO123" s="1337"/>
      <c r="FP123" s="1337"/>
      <c r="FQ123" s="1337"/>
      <c r="FR123" s="1337"/>
      <c r="FS123" s="1337"/>
      <c r="FT123" s="1337"/>
      <c r="FU123" s="1337"/>
      <c r="FV123" s="1337"/>
      <c r="FW123" s="1337"/>
      <c r="FX123" s="1337"/>
      <c r="FY123" s="1337"/>
      <c r="FZ123" s="1337"/>
      <c r="GA123" s="1337"/>
      <c r="GB123" s="1337"/>
      <c r="GC123" s="1337"/>
      <c r="GD123" s="1337"/>
      <c r="GE123" s="1337"/>
      <c r="GF123" s="1337"/>
      <c r="GG123" s="1337"/>
      <c r="GH123" s="1337"/>
      <c r="GI123" s="1337"/>
      <c r="GJ123" s="1337"/>
      <c r="GK123" s="1337"/>
      <c r="GL123" s="1337"/>
      <c r="GM123" s="1337"/>
      <c r="GN123" s="1337"/>
      <c r="GO123" s="1337"/>
      <c r="GP123" s="1337"/>
      <c r="GQ123" s="1337"/>
      <c r="GR123" s="1337"/>
      <c r="GS123" s="1337"/>
      <c r="GT123" s="1337"/>
      <c r="GU123" s="1337"/>
      <c r="GV123" s="1337"/>
      <c r="GW123" s="1337"/>
      <c r="GX123" s="1337"/>
      <c r="GY123" s="1337"/>
      <c r="GZ123" s="1337"/>
      <c r="HA123" s="1337"/>
      <c r="HB123" s="1337"/>
      <c r="HC123" s="1337"/>
      <c r="HD123" s="1337"/>
      <c r="HE123" s="1337"/>
      <c r="HF123" s="1337"/>
      <c r="HG123" s="1337"/>
      <c r="HH123" s="1337"/>
      <c r="HI123" s="1337"/>
      <c r="HJ123" s="1337"/>
      <c r="HK123" s="1337"/>
      <c r="HL123" s="1337"/>
      <c r="HM123" s="1337"/>
      <c r="HN123" s="1337"/>
      <c r="HO123" s="1337"/>
      <c r="HP123" s="1337"/>
      <c r="HQ123" s="1337"/>
      <c r="HR123" s="1337"/>
      <c r="HS123" s="1337"/>
      <c r="HT123" s="1337"/>
      <c r="HU123" s="1337"/>
      <c r="HV123" s="1337"/>
      <c r="HW123" s="1337"/>
      <c r="HX123" s="1337"/>
      <c r="HY123" s="1337"/>
      <c r="HZ123" s="1337"/>
      <c r="IA123" s="1337"/>
      <c r="IB123" s="1337"/>
      <c r="IC123" s="1337"/>
      <c r="ID123" s="1337"/>
      <c r="IE123" s="1337"/>
      <c r="IF123" s="1337"/>
      <c r="IG123" s="1337"/>
      <c r="IH123" s="1337"/>
      <c r="II123" s="1337"/>
      <c r="IJ123" s="1337"/>
      <c r="IK123" s="1337"/>
      <c r="IL123" s="1337"/>
      <c r="IM123" s="1337"/>
      <c r="IN123" s="1337"/>
      <c r="IO123" s="1337"/>
      <c r="IP123" s="1337"/>
      <c r="IQ123" s="1337"/>
      <c r="IR123" s="1337"/>
      <c r="IS123" s="1337"/>
      <c r="IT123" s="1337"/>
      <c r="IU123" s="1337"/>
      <c r="IV123" s="1337"/>
    </row>
    <row r="124" spans="1:256" ht="10.5" customHeight="1">
      <c r="A124" s="1379" t="s">
        <v>1157</v>
      </c>
      <c r="B124" s="1448">
        <v>2117.9</v>
      </c>
      <c r="C124" s="1448">
        <v>2281.5</v>
      </c>
      <c r="D124" s="1434">
        <v>2488.1999999999998</v>
      </c>
      <c r="E124" s="1434">
        <v>2712.2</v>
      </c>
      <c r="F124" s="1434">
        <v>3034</v>
      </c>
      <c r="G124" s="1434">
        <v>2727.5</v>
      </c>
      <c r="H124" s="1434">
        <v>2859.2</v>
      </c>
      <c r="I124" s="1434">
        <v>3061.8</v>
      </c>
      <c r="J124" s="1434">
        <v>3056.6</v>
      </c>
      <c r="K124" s="1434">
        <v>3104.1</v>
      </c>
      <c r="L124" s="1435">
        <v>3100.6</v>
      </c>
      <c r="M124" s="1435">
        <v>3064</v>
      </c>
      <c r="N124" s="1434">
        <v>2954.9</v>
      </c>
      <c r="O124" s="1337"/>
      <c r="P124" s="1337"/>
      <c r="Q124" s="1337"/>
      <c r="R124" s="1337"/>
      <c r="S124" s="1337"/>
      <c r="T124" s="1337"/>
      <c r="U124" s="1337"/>
      <c r="V124" s="1337"/>
      <c r="W124" s="1337"/>
      <c r="X124" s="1337"/>
      <c r="Y124" s="1337"/>
      <c r="Z124" s="1337"/>
      <c r="AA124" s="1337"/>
      <c r="AB124" s="1337"/>
      <c r="AC124" s="1337"/>
      <c r="AD124" s="1337"/>
      <c r="AE124" s="1337"/>
      <c r="AF124" s="1337"/>
      <c r="AG124" s="1337"/>
      <c r="AH124" s="1337"/>
      <c r="AI124" s="1337"/>
      <c r="AJ124" s="1337"/>
      <c r="AK124" s="1337"/>
      <c r="AL124" s="1337"/>
      <c r="AM124" s="1337"/>
      <c r="AN124" s="1337"/>
      <c r="AO124" s="1337"/>
      <c r="AP124" s="1337"/>
      <c r="AQ124" s="1337"/>
      <c r="AR124" s="1337"/>
      <c r="AS124" s="1337"/>
      <c r="AT124" s="1337"/>
      <c r="AU124" s="1337"/>
      <c r="AV124" s="1337"/>
      <c r="AW124" s="1337"/>
      <c r="AX124" s="1337"/>
      <c r="AY124" s="1337"/>
      <c r="AZ124" s="1337"/>
      <c r="BA124" s="1337"/>
      <c r="BB124" s="1337"/>
      <c r="BC124" s="1337"/>
      <c r="BD124" s="1337"/>
      <c r="BE124" s="1337"/>
      <c r="BF124" s="1337"/>
      <c r="BG124" s="1337"/>
      <c r="BH124" s="1337"/>
      <c r="BI124" s="1337"/>
      <c r="BJ124" s="1337"/>
      <c r="BK124" s="1337"/>
      <c r="BL124" s="1337"/>
      <c r="BM124" s="1337"/>
      <c r="BN124" s="1337"/>
      <c r="BO124" s="1337"/>
      <c r="BP124" s="1337"/>
      <c r="BQ124" s="1337"/>
      <c r="BR124" s="1337"/>
      <c r="BS124" s="1337"/>
      <c r="BT124" s="1337"/>
      <c r="BU124" s="1337"/>
      <c r="BV124" s="1337"/>
      <c r="BW124" s="1337"/>
      <c r="BX124" s="1337"/>
      <c r="BY124" s="1337"/>
      <c r="BZ124" s="1337"/>
      <c r="CA124" s="1337"/>
      <c r="CB124" s="1337"/>
      <c r="CC124" s="1337"/>
      <c r="CD124" s="1337"/>
      <c r="CE124" s="1337"/>
      <c r="CF124" s="1337"/>
      <c r="CG124" s="1337"/>
      <c r="CH124" s="1337"/>
      <c r="CI124" s="1337"/>
      <c r="CJ124" s="1337"/>
      <c r="CK124" s="1337"/>
      <c r="CL124" s="1337"/>
      <c r="CM124" s="1337"/>
      <c r="CN124" s="1337"/>
      <c r="CO124" s="1337"/>
      <c r="CP124" s="1337"/>
      <c r="CQ124" s="1337"/>
      <c r="CR124" s="1337"/>
      <c r="CS124" s="1337"/>
      <c r="CT124" s="1337"/>
      <c r="CU124" s="1337"/>
      <c r="CV124" s="1337"/>
      <c r="CW124" s="1337"/>
      <c r="CX124" s="1337"/>
      <c r="CY124" s="1337"/>
      <c r="CZ124" s="1337"/>
      <c r="DA124" s="1337"/>
      <c r="DB124" s="1337"/>
      <c r="DC124" s="1337"/>
      <c r="DD124" s="1337"/>
      <c r="DE124" s="1337"/>
      <c r="DF124" s="1337"/>
      <c r="DG124" s="1337"/>
      <c r="DH124" s="1337"/>
      <c r="DI124" s="1337"/>
      <c r="DJ124" s="1337"/>
      <c r="DK124" s="1337"/>
      <c r="DL124" s="1337"/>
      <c r="DM124" s="1337"/>
      <c r="DN124" s="1337"/>
      <c r="DO124" s="1337"/>
      <c r="DP124" s="1337"/>
      <c r="DQ124" s="1337"/>
      <c r="DR124" s="1337"/>
      <c r="DS124" s="1337"/>
      <c r="DT124" s="1337"/>
      <c r="DU124" s="1337"/>
      <c r="DV124" s="1337"/>
      <c r="DW124" s="1337"/>
      <c r="DX124" s="1337"/>
      <c r="DY124" s="1337"/>
      <c r="DZ124" s="1337"/>
      <c r="EA124" s="1337"/>
      <c r="EB124" s="1337"/>
      <c r="EC124" s="1337"/>
      <c r="ED124" s="1337"/>
      <c r="EE124" s="1337"/>
      <c r="EF124" s="1337"/>
      <c r="EG124" s="1337"/>
      <c r="EH124" s="1337"/>
      <c r="EI124" s="1337"/>
      <c r="EJ124" s="1337"/>
      <c r="EK124" s="1337"/>
      <c r="EL124" s="1337"/>
      <c r="EM124" s="1337"/>
      <c r="EN124" s="1337"/>
      <c r="EO124" s="1337"/>
      <c r="EP124" s="1337"/>
      <c r="EQ124" s="1337"/>
      <c r="ER124" s="1337"/>
      <c r="ES124" s="1337"/>
      <c r="ET124" s="1337"/>
      <c r="EU124" s="1337"/>
      <c r="EV124" s="1337"/>
      <c r="EW124" s="1337"/>
      <c r="EX124" s="1337"/>
      <c r="EY124" s="1337"/>
      <c r="EZ124" s="1337"/>
      <c r="FA124" s="1337"/>
      <c r="FB124" s="1337"/>
      <c r="FC124" s="1337"/>
      <c r="FD124" s="1337"/>
      <c r="FE124" s="1337"/>
      <c r="FF124" s="1337"/>
      <c r="FG124" s="1337"/>
      <c r="FH124" s="1337"/>
      <c r="FI124" s="1337"/>
      <c r="FJ124" s="1337"/>
      <c r="FK124" s="1337"/>
      <c r="FL124" s="1337"/>
      <c r="FM124" s="1337"/>
      <c r="FN124" s="1337"/>
      <c r="FO124" s="1337"/>
      <c r="FP124" s="1337"/>
      <c r="FQ124" s="1337"/>
      <c r="FR124" s="1337"/>
      <c r="FS124" s="1337"/>
      <c r="FT124" s="1337"/>
      <c r="FU124" s="1337"/>
      <c r="FV124" s="1337"/>
      <c r="FW124" s="1337"/>
      <c r="FX124" s="1337"/>
      <c r="FY124" s="1337"/>
      <c r="FZ124" s="1337"/>
      <c r="GA124" s="1337"/>
      <c r="GB124" s="1337"/>
      <c r="GC124" s="1337"/>
      <c r="GD124" s="1337"/>
      <c r="GE124" s="1337"/>
      <c r="GF124" s="1337"/>
      <c r="GG124" s="1337"/>
      <c r="GH124" s="1337"/>
      <c r="GI124" s="1337"/>
      <c r="GJ124" s="1337"/>
      <c r="GK124" s="1337"/>
      <c r="GL124" s="1337"/>
      <c r="GM124" s="1337"/>
      <c r="GN124" s="1337"/>
      <c r="GO124" s="1337"/>
      <c r="GP124" s="1337"/>
      <c r="GQ124" s="1337"/>
      <c r="GR124" s="1337"/>
      <c r="GS124" s="1337"/>
      <c r="GT124" s="1337"/>
      <c r="GU124" s="1337"/>
      <c r="GV124" s="1337"/>
      <c r="GW124" s="1337"/>
      <c r="GX124" s="1337"/>
      <c r="GY124" s="1337"/>
      <c r="GZ124" s="1337"/>
      <c r="HA124" s="1337"/>
      <c r="HB124" s="1337"/>
      <c r="HC124" s="1337"/>
      <c r="HD124" s="1337"/>
      <c r="HE124" s="1337"/>
      <c r="HF124" s="1337"/>
      <c r="HG124" s="1337"/>
      <c r="HH124" s="1337"/>
      <c r="HI124" s="1337"/>
      <c r="HJ124" s="1337"/>
      <c r="HK124" s="1337"/>
      <c r="HL124" s="1337"/>
      <c r="HM124" s="1337"/>
      <c r="HN124" s="1337"/>
      <c r="HO124" s="1337"/>
      <c r="HP124" s="1337"/>
      <c r="HQ124" s="1337"/>
      <c r="HR124" s="1337"/>
      <c r="HS124" s="1337"/>
      <c r="HT124" s="1337"/>
      <c r="HU124" s="1337"/>
      <c r="HV124" s="1337"/>
      <c r="HW124" s="1337"/>
      <c r="HX124" s="1337"/>
      <c r="HY124" s="1337"/>
      <c r="HZ124" s="1337"/>
      <c r="IA124" s="1337"/>
      <c r="IB124" s="1337"/>
      <c r="IC124" s="1337"/>
      <c r="ID124" s="1337"/>
      <c r="IE124" s="1337"/>
      <c r="IF124" s="1337"/>
      <c r="IG124" s="1337"/>
      <c r="IH124" s="1337"/>
      <c r="II124" s="1337"/>
      <c r="IJ124" s="1337"/>
      <c r="IK124" s="1337"/>
      <c r="IL124" s="1337"/>
      <c r="IM124" s="1337"/>
      <c r="IN124" s="1337"/>
      <c r="IO124" s="1337"/>
      <c r="IP124" s="1337"/>
      <c r="IQ124" s="1337"/>
      <c r="IR124" s="1337"/>
      <c r="IS124" s="1337"/>
      <c r="IT124" s="1337"/>
      <c r="IU124" s="1337"/>
      <c r="IV124" s="1337"/>
    </row>
    <row r="125" spans="1:256" ht="10.5" customHeight="1">
      <c r="A125" s="1379" t="s">
        <v>1158</v>
      </c>
      <c r="B125" s="1448">
        <v>1659.8</v>
      </c>
      <c r="C125" s="1448">
        <v>1755.9</v>
      </c>
      <c r="D125" s="1434">
        <v>1889.1</v>
      </c>
      <c r="E125" s="1434">
        <v>2046.3</v>
      </c>
      <c r="F125" s="1434">
        <v>2211</v>
      </c>
      <c r="G125" s="1434">
        <v>1848.3</v>
      </c>
      <c r="H125" s="1434">
        <v>2091.1</v>
      </c>
      <c r="I125" s="1434">
        <v>1917.8</v>
      </c>
      <c r="J125" s="1434">
        <v>2066.1</v>
      </c>
      <c r="K125" s="1434">
        <v>2232</v>
      </c>
      <c r="L125" s="1435">
        <v>2120.3000000000002</v>
      </c>
      <c r="M125" s="1435">
        <v>2151.9</v>
      </c>
      <c r="N125" s="1434">
        <v>1942.3</v>
      </c>
      <c r="O125" s="1337"/>
      <c r="P125" s="1337"/>
      <c r="Q125" s="1337"/>
      <c r="R125" s="1337"/>
      <c r="S125" s="1337"/>
      <c r="T125" s="1337"/>
      <c r="U125" s="1337"/>
      <c r="V125" s="1337"/>
      <c r="W125" s="1337"/>
      <c r="X125" s="1337"/>
      <c r="Y125" s="1337"/>
      <c r="Z125" s="1337"/>
      <c r="AA125" s="1337"/>
      <c r="AB125" s="1337"/>
      <c r="AC125" s="1337"/>
      <c r="AD125" s="1337"/>
      <c r="AE125" s="1337"/>
      <c r="AF125" s="1337"/>
      <c r="AG125" s="1337"/>
      <c r="AH125" s="1337"/>
      <c r="AI125" s="1337"/>
      <c r="AJ125" s="1337"/>
      <c r="AK125" s="1337"/>
      <c r="AL125" s="1337"/>
      <c r="AM125" s="1337"/>
      <c r="AN125" s="1337"/>
      <c r="AO125" s="1337"/>
      <c r="AP125" s="1337"/>
      <c r="AQ125" s="1337"/>
      <c r="AR125" s="1337"/>
      <c r="AS125" s="1337"/>
      <c r="AT125" s="1337"/>
      <c r="AU125" s="1337"/>
      <c r="AV125" s="1337"/>
      <c r="AW125" s="1337"/>
      <c r="AX125" s="1337"/>
      <c r="AY125" s="1337"/>
      <c r="AZ125" s="1337"/>
      <c r="BA125" s="1337"/>
      <c r="BB125" s="1337"/>
      <c r="BC125" s="1337"/>
      <c r="BD125" s="1337"/>
      <c r="BE125" s="1337"/>
      <c r="BF125" s="1337"/>
      <c r="BG125" s="1337"/>
      <c r="BH125" s="1337"/>
      <c r="BI125" s="1337"/>
      <c r="BJ125" s="1337"/>
      <c r="BK125" s="1337"/>
      <c r="BL125" s="1337"/>
      <c r="BM125" s="1337"/>
      <c r="BN125" s="1337"/>
      <c r="BO125" s="1337"/>
      <c r="BP125" s="1337"/>
      <c r="BQ125" s="1337"/>
      <c r="BR125" s="1337"/>
      <c r="BS125" s="1337"/>
      <c r="BT125" s="1337"/>
      <c r="BU125" s="1337"/>
      <c r="BV125" s="1337"/>
      <c r="BW125" s="1337"/>
      <c r="BX125" s="1337"/>
      <c r="BY125" s="1337"/>
      <c r="BZ125" s="1337"/>
      <c r="CA125" s="1337"/>
      <c r="CB125" s="1337"/>
      <c r="CC125" s="1337"/>
      <c r="CD125" s="1337"/>
      <c r="CE125" s="1337"/>
      <c r="CF125" s="1337"/>
      <c r="CG125" s="1337"/>
      <c r="CH125" s="1337"/>
      <c r="CI125" s="1337"/>
      <c r="CJ125" s="1337"/>
      <c r="CK125" s="1337"/>
      <c r="CL125" s="1337"/>
      <c r="CM125" s="1337"/>
      <c r="CN125" s="1337"/>
      <c r="CO125" s="1337"/>
      <c r="CP125" s="1337"/>
      <c r="CQ125" s="1337"/>
      <c r="CR125" s="1337"/>
      <c r="CS125" s="1337"/>
      <c r="CT125" s="1337"/>
      <c r="CU125" s="1337"/>
      <c r="CV125" s="1337"/>
      <c r="CW125" s="1337"/>
      <c r="CX125" s="1337"/>
      <c r="CY125" s="1337"/>
      <c r="CZ125" s="1337"/>
      <c r="DA125" s="1337"/>
      <c r="DB125" s="1337"/>
      <c r="DC125" s="1337"/>
      <c r="DD125" s="1337"/>
      <c r="DE125" s="1337"/>
      <c r="DF125" s="1337"/>
      <c r="DG125" s="1337"/>
      <c r="DH125" s="1337"/>
      <c r="DI125" s="1337"/>
      <c r="DJ125" s="1337"/>
      <c r="DK125" s="1337"/>
      <c r="DL125" s="1337"/>
      <c r="DM125" s="1337"/>
      <c r="DN125" s="1337"/>
      <c r="DO125" s="1337"/>
      <c r="DP125" s="1337"/>
      <c r="DQ125" s="1337"/>
      <c r="DR125" s="1337"/>
      <c r="DS125" s="1337"/>
      <c r="DT125" s="1337"/>
      <c r="DU125" s="1337"/>
      <c r="DV125" s="1337"/>
      <c r="DW125" s="1337"/>
      <c r="DX125" s="1337"/>
      <c r="DY125" s="1337"/>
      <c r="DZ125" s="1337"/>
      <c r="EA125" s="1337"/>
      <c r="EB125" s="1337"/>
      <c r="EC125" s="1337"/>
      <c r="ED125" s="1337"/>
      <c r="EE125" s="1337"/>
      <c r="EF125" s="1337"/>
      <c r="EG125" s="1337"/>
      <c r="EH125" s="1337"/>
      <c r="EI125" s="1337"/>
      <c r="EJ125" s="1337"/>
      <c r="EK125" s="1337"/>
      <c r="EL125" s="1337"/>
      <c r="EM125" s="1337"/>
      <c r="EN125" s="1337"/>
      <c r="EO125" s="1337"/>
      <c r="EP125" s="1337"/>
      <c r="EQ125" s="1337"/>
      <c r="ER125" s="1337"/>
      <c r="ES125" s="1337"/>
      <c r="ET125" s="1337"/>
      <c r="EU125" s="1337"/>
      <c r="EV125" s="1337"/>
      <c r="EW125" s="1337"/>
      <c r="EX125" s="1337"/>
      <c r="EY125" s="1337"/>
      <c r="EZ125" s="1337"/>
      <c r="FA125" s="1337"/>
      <c r="FB125" s="1337"/>
      <c r="FC125" s="1337"/>
      <c r="FD125" s="1337"/>
      <c r="FE125" s="1337"/>
      <c r="FF125" s="1337"/>
      <c r="FG125" s="1337"/>
      <c r="FH125" s="1337"/>
      <c r="FI125" s="1337"/>
      <c r="FJ125" s="1337"/>
      <c r="FK125" s="1337"/>
      <c r="FL125" s="1337"/>
      <c r="FM125" s="1337"/>
      <c r="FN125" s="1337"/>
      <c r="FO125" s="1337"/>
      <c r="FP125" s="1337"/>
      <c r="FQ125" s="1337"/>
      <c r="FR125" s="1337"/>
      <c r="FS125" s="1337"/>
      <c r="FT125" s="1337"/>
      <c r="FU125" s="1337"/>
      <c r="FV125" s="1337"/>
      <c r="FW125" s="1337"/>
      <c r="FX125" s="1337"/>
      <c r="FY125" s="1337"/>
      <c r="FZ125" s="1337"/>
      <c r="GA125" s="1337"/>
      <c r="GB125" s="1337"/>
      <c r="GC125" s="1337"/>
      <c r="GD125" s="1337"/>
      <c r="GE125" s="1337"/>
      <c r="GF125" s="1337"/>
      <c r="GG125" s="1337"/>
      <c r="GH125" s="1337"/>
      <c r="GI125" s="1337"/>
      <c r="GJ125" s="1337"/>
      <c r="GK125" s="1337"/>
      <c r="GL125" s="1337"/>
      <c r="GM125" s="1337"/>
      <c r="GN125" s="1337"/>
      <c r="GO125" s="1337"/>
      <c r="GP125" s="1337"/>
      <c r="GQ125" s="1337"/>
      <c r="GR125" s="1337"/>
      <c r="GS125" s="1337"/>
      <c r="GT125" s="1337"/>
      <c r="GU125" s="1337"/>
      <c r="GV125" s="1337"/>
      <c r="GW125" s="1337"/>
      <c r="GX125" s="1337"/>
      <c r="GY125" s="1337"/>
      <c r="GZ125" s="1337"/>
      <c r="HA125" s="1337"/>
      <c r="HB125" s="1337"/>
      <c r="HC125" s="1337"/>
      <c r="HD125" s="1337"/>
      <c r="HE125" s="1337"/>
      <c r="HF125" s="1337"/>
      <c r="HG125" s="1337"/>
      <c r="HH125" s="1337"/>
      <c r="HI125" s="1337"/>
      <c r="HJ125" s="1337"/>
      <c r="HK125" s="1337"/>
      <c r="HL125" s="1337"/>
      <c r="HM125" s="1337"/>
      <c r="HN125" s="1337"/>
      <c r="HO125" s="1337"/>
      <c r="HP125" s="1337"/>
      <c r="HQ125" s="1337"/>
      <c r="HR125" s="1337"/>
      <c r="HS125" s="1337"/>
      <c r="HT125" s="1337"/>
      <c r="HU125" s="1337"/>
      <c r="HV125" s="1337"/>
      <c r="HW125" s="1337"/>
      <c r="HX125" s="1337"/>
      <c r="HY125" s="1337"/>
      <c r="HZ125" s="1337"/>
      <c r="IA125" s="1337"/>
      <c r="IB125" s="1337"/>
      <c r="IC125" s="1337"/>
      <c r="ID125" s="1337"/>
      <c r="IE125" s="1337"/>
      <c r="IF125" s="1337"/>
      <c r="IG125" s="1337"/>
      <c r="IH125" s="1337"/>
      <c r="II125" s="1337"/>
      <c r="IJ125" s="1337"/>
      <c r="IK125" s="1337"/>
      <c r="IL125" s="1337"/>
      <c r="IM125" s="1337"/>
      <c r="IN125" s="1337"/>
      <c r="IO125" s="1337"/>
      <c r="IP125" s="1337"/>
      <c r="IQ125" s="1337"/>
      <c r="IR125" s="1337"/>
      <c r="IS125" s="1337"/>
      <c r="IT125" s="1337"/>
      <c r="IU125" s="1337"/>
      <c r="IV125" s="1337"/>
    </row>
    <row r="126" spans="1:256" ht="10.5" customHeight="1">
      <c r="A126" s="1330"/>
      <c r="B126" s="1451"/>
      <c r="C126" s="1451"/>
      <c r="D126" s="1451"/>
      <c r="E126" s="1451"/>
      <c r="F126" s="1452"/>
      <c r="G126" s="1453"/>
      <c r="H126" s="1357"/>
      <c r="I126" s="1357"/>
      <c r="J126" s="1357"/>
      <c r="K126" s="1358"/>
      <c r="L126" s="1364"/>
      <c r="M126" s="1454"/>
      <c r="N126" s="1358" t="s">
        <v>389</v>
      </c>
      <c r="O126" s="1337"/>
      <c r="P126" s="1337"/>
      <c r="Q126" s="1337"/>
      <c r="R126" s="1337"/>
      <c r="S126" s="1337"/>
      <c r="T126" s="1337"/>
      <c r="U126" s="1337"/>
      <c r="V126" s="1337"/>
      <c r="W126" s="1337"/>
      <c r="X126" s="1337"/>
      <c r="Y126" s="1337"/>
      <c r="Z126" s="1337"/>
      <c r="AA126" s="1337"/>
      <c r="AB126" s="1337"/>
      <c r="AC126" s="1337"/>
      <c r="AD126" s="1337"/>
      <c r="AE126" s="1337"/>
      <c r="AF126" s="1337"/>
      <c r="AG126" s="1337"/>
      <c r="AH126" s="1337"/>
      <c r="AI126" s="1337"/>
      <c r="AJ126" s="1337"/>
      <c r="AK126" s="1337"/>
      <c r="AL126" s="1337"/>
      <c r="AM126" s="1337"/>
      <c r="AN126" s="1337"/>
      <c r="AO126" s="1337"/>
      <c r="AP126" s="1337"/>
      <c r="AQ126" s="1337"/>
      <c r="AR126" s="1337"/>
      <c r="AS126" s="1337"/>
      <c r="AT126" s="1337"/>
      <c r="AU126" s="1337"/>
      <c r="AV126" s="1337"/>
      <c r="AW126" s="1337"/>
      <c r="AX126" s="1337"/>
      <c r="AY126" s="1337"/>
      <c r="AZ126" s="1337"/>
      <c r="BA126" s="1337"/>
      <c r="BB126" s="1337"/>
      <c r="BC126" s="1337"/>
      <c r="BD126" s="1337"/>
      <c r="BE126" s="1337"/>
      <c r="BF126" s="1337"/>
      <c r="BG126" s="1337"/>
      <c r="BH126" s="1337"/>
      <c r="BI126" s="1337"/>
      <c r="BJ126" s="1337"/>
      <c r="BK126" s="1337"/>
      <c r="BL126" s="1337"/>
      <c r="BM126" s="1337"/>
      <c r="BN126" s="1337"/>
      <c r="BO126" s="1337"/>
      <c r="BP126" s="1337"/>
      <c r="BQ126" s="1337"/>
      <c r="BR126" s="1337"/>
      <c r="BS126" s="1337"/>
      <c r="BT126" s="1337"/>
      <c r="BU126" s="1337"/>
      <c r="BV126" s="1337"/>
      <c r="BW126" s="1337"/>
      <c r="BX126" s="1337"/>
      <c r="BY126" s="1337"/>
      <c r="BZ126" s="1337"/>
      <c r="CA126" s="1337"/>
      <c r="CB126" s="1337"/>
      <c r="CC126" s="1337"/>
      <c r="CD126" s="1337"/>
      <c r="CE126" s="1337"/>
      <c r="CF126" s="1337"/>
      <c r="CG126" s="1337"/>
      <c r="CH126" s="1337"/>
      <c r="CI126" s="1337"/>
      <c r="CJ126" s="1337"/>
      <c r="CK126" s="1337"/>
      <c r="CL126" s="1337"/>
      <c r="CM126" s="1337"/>
      <c r="CN126" s="1337"/>
      <c r="CO126" s="1337"/>
      <c r="CP126" s="1337"/>
      <c r="CQ126" s="1337"/>
      <c r="CR126" s="1337"/>
      <c r="CS126" s="1337"/>
      <c r="CT126" s="1337"/>
      <c r="CU126" s="1337"/>
      <c r="CV126" s="1337"/>
      <c r="CW126" s="1337"/>
      <c r="CX126" s="1337"/>
      <c r="CY126" s="1337"/>
      <c r="CZ126" s="1337"/>
      <c r="DA126" s="1337"/>
      <c r="DB126" s="1337"/>
      <c r="DC126" s="1337"/>
      <c r="DD126" s="1337"/>
      <c r="DE126" s="1337"/>
      <c r="DF126" s="1337"/>
      <c r="DG126" s="1337"/>
      <c r="DH126" s="1337"/>
      <c r="DI126" s="1337"/>
      <c r="DJ126" s="1337"/>
      <c r="DK126" s="1337"/>
      <c r="DL126" s="1337"/>
      <c r="DM126" s="1337"/>
      <c r="DN126" s="1337"/>
      <c r="DO126" s="1337"/>
      <c r="DP126" s="1337"/>
      <c r="DQ126" s="1337"/>
      <c r="DR126" s="1337"/>
      <c r="DS126" s="1337"/>
      <c r="DT126" s="1337"/>
      <c r="DU126" s="1337"/>
      <c r="DV126" s="1337"/>
      <c r="DW126" s="1337"/>
      <c r="DX126" s="1337"/>
      <c r="DY126" s="1337"/>
      <c r="DZ126" s="1337"/>
      <c r="EA126" s="1337"/>
      <c r="EB126" s="1337"/>
      <c r="EC126" s="1337"/>
      <c r="ED126" s="1337"/>
      <c r="EE126" s="1337"/>
      <c r="EF126" s="1337"/>
      <c r="EG126" s="1337"/>
      <c r="EH126" s="1337"/>
      <c r="EI126" s="1337"/>
      <c r="EJ126" s="1337"/>
      <c r="EK126" s="1337"/>
      <c r="EL126" s="1337"/>
      <c r="EM126" s="1337"/>
      <c r="EN126" s="1337"/>
      <c r="EO126" s="1337"/>
      <c r="EP126" s="1337"/>
      <c r="EQ126" s="1337"/>
      <c r="ER126" s="1337"/>
      <c r="ES126" s="1337"/>
      <c r="ET126" s="1337"/>
      <c r="EU126" s="1337"/>
      <c r="EV126" s="1337"/>
      <c r="EW126" s="1337"/>
      <c r="EX126" s="1337"/>
      <c r="EY126" s="1337"/>
      <c r="EZ126" s="1337"/>
      <c r="FA126" s="1337"/>
      <c r="FB126" s="1337"/>
      <c r="FC126" s="1337"/>
      <c r="FD126" s="1337"/>
      <c r="FE126" s="1337"/>
      <c r="FF126" s="1337"/>
      <c r="FG126" s="1337"/>
      <c r="FH126" s="1337"/>
      <c r="FI126" s="1337"/>
      <c r="FJ126" s="1337"/>
      <c r="FK126" s="1337"/>
      <c r="FL126" s="1337"/>
      <c r="FM126" s="1337"/>
      <c r="FN126" s="1337"/>
      <c r="FO126" s="1337"/>
      <c r="FP126" s="1337"/>
      <c r="FQ126" s="1337"/>
      <c r="FR126" s="1337"/>
      <c r="FS126" s="1337"/>
      <c r="FT126" s="1337"/>
      <c r="FU126" s="1337"/>
      <c r="FV126" s="1337"/>
      <c r="FW126" s="1337"/>
      <c r="FX126" s="1337"/>
      <c r="FY126" s="1337"/>
      <c r="FZ126" s="1337"/>
      <c r="GA126" s="1337"/>
      <c r="GB126" s="1337"/>
      <c r="GC126" s="1337"/>
      <c r="GD126" s="1337"/>
      <c r="GE126" s="1337"/>
      <c r="GF126" s="1337"/>
      <c r="GG126" s="1337"/>
      <c r="GH126" s="1337"/>
      <c r="GI126" s="1337"/>
      <c r="GJ126" s="1337"/>
      <c r="GK126" s="1337"/>
      <c r="GL126" s="1337"/>
      <c r="GM126" s="1337"/>
      <c r="GN126" s="1337"/>
      <c r="GO126" s="1337"/>
      <c r="GP126" s="1337"/>
      <c r="GQ126" s="1337"/>
      <c r="GR126" s="1337"/>
      <c r="GS126" s="1337"/>
      <c r="GT126" s="1337"/>
      <c r="GU126" s="1337"/>
      <c r="GV126" s="1337"/>
      <c r="GW126" s="1337"/>
      <c r="GX126" s="1337"/>
      <c r="GY126" s="1337"/>
      <c r="GZ126" s="1337"/>
      <c r="HA126" s="1337"/>
      <c r="HB126" s="1337"/>
      <c r="HC126" s="1337"/>
      <c r="HD126" s="1337"/>
      <c r="HE126" s="1337"/>
      <c r="HF126" s="1337"/>
      <c r="HG126" s="1337"/>
      <c r="HH126" s="1337"/>
      <c r="HI126" s="1337"/>
      <c r="HJ126" s="1337"/>
      <c r="HK126" s="1337"/>
      <c r="HL126" s="1337"/>
      <c r="HM126" s="1337"/>
      <c r="HN126" s="1337"/>
      <c r="HO126" s="1337"/>
      <c r="HP126" s="1337"/>
      <c r="HQ126" s="1337"/>
      <c r="HR126" s="1337"/>
      <c r="HS126" s="1337"/>
      <c r="HT126" s="1337"/>
      <c r="HU126" s="1337"/>
      <c r="HV126" s="1337"/>
      <c r="HW126" s="1337"/>
      <c r="HX126" s="1337"/>
      <c r="HY126" s="1337"/>
      <c r="HZ126" s="1337"/>
      <c r="IA126" s="1337"/>
      <c r="IB126" s="1337"/>
      <c r="IC126" s="1337"/>
      <c r="ID126" s="1337"/>
      <c r="IE126" s="1337"/>
      <c r="IF126" s="1337"/>
      <c r="IG126" s="1337"/>
      <c r="IH126" s="1337"/>
      <c r="II126" s="1337"/>
      <c r="IJ126" s="1337"/>
      <c r="IK126" s="1337"/>
      <c r="IL126" s="1337"/>
      <c r="IM126" s="1337"/>
      <c r="IN126" s="1337"/>
      <c r="IO126" s="1337"/>
      <c r="IP126" s="1337"/>
      <c r="IQ126" s="1337"/>
      <c r="IR126" s="1337"/>
      <c r="IS126" s="1337"/>
      <c r="IT126" s="1337"/>
      <c r="IU126" s="1337"/>
      <c r="IV126" s="1337"/>
    </row>
    <row r="127" spans="1:256" ht="10.5" customHeight="1">
      <c r="A127" s="1379" t="s">
        <v>1157</v>
      </c>
      <c r="B127" s="1448">
        <v>24631.3</v>
      </c>
      <c r="C127" s="1448">
        <v>26533.7</v>
      </c>
      <c r="D127" s="1434">
        <v>28937.599999999999</v>
      </c>
      <c r="E127" s="1434">
        <v>31544</v>
      </c>
      <c r="F127" s="1434">
        <v>35285.4</v>
      </c>
      <c r="G127" s="1434">
        <v>31720.400000000001</v>
      </c>
      <c r="H127" s="1434">
        <v>33252.5</v>
      </c>
      <c r="I127" s="1434">
        <v>35608.9</v>
      </c>
      <c r="J127" s="1434">
        <v>35548</v>
      </c>
      <c r="K127" s="1434">
        <v>36100.5</v>
      </c>
      <c r="L127" s="1435">
        <v>36060.300000000003</v>
      </c>
      <c r="M127" s="1435">
        <v>35634.300000000003</v>
      </c>
      <c r="N127" s="1434">
        <v>34364.1</v>
      </c>
      <c r="O127" s="1337"/>
      <c r="P127" s="1337"/>
      <c r="Q127" s="1337"/>
      <c r="R127" s="1337"/>
      <c r="S127" s="1337"/>
      <c r="T127" s="1337"/>
      <c r="U127" s="1337"/>
      <c r="V127" s="1337"/>
      <c r="W127" s="1337"/>
      <c r="X127" s="1337"/>
      <c r="Y127" s="1337"/>
      <c r="Z127" s="1337"/>
      <c r="AA127" s="1337"/>
      <c r="AB127" s="1337"/>
      <c r="AC127" s="1337"/>
      <c r="AD127" s="1337"/>
      <c r="AE127" s="1337"/>
      <c r="AF127" s="1337"/>
      <c r="AG127" s="1337"/>
      <c r="AH127" s="1337"/>
      <c r="AI127" s="1337"/>
      <c r="AJ127" s="1337"/>
      <c r="AK127" s="1337"/>
      <c r="AL127" s="1337"/>
      <c r="AM127" s="1337"/>
      <c r="AN127" s="1337"/>
      <c r="AO127" s="1337"/>
      <c r="AP127" s="1337"/>
      <c r="AQ127" s="1337"/>
      <c r="AR127" s="1337"/>
      <c r="AS127" s="1337"/>
      <c r="AT127" s="1337"/>
      <c r="AU127" s="1337"/>
      <c r="AV127" s="1337"/>
      <c r="AW127" s="1337"/>
      <c r="AX127" s="1337"/>
      <c r="AY127" s="1337"/>
      <c r="AZ127" s="1337"/>
      <c r="BA127" s="1337"/>
      <c r="BB127" s="1337"/>
      <c r="BC127" s="1337"/>
      <c r="BD127" s="1337"/>
      <c r="BE127" s="1337"/>
      <c r="BF127" s="1337"/>
      <c r="BG127" s="1337"/>
      <c r="BH127" s="1337"/>
      <c r="BI127" s="1337"/>
      <c r="BJ127" s="1337"/>
      <c r="BK127" s="1337"/>
      <c r="BL127" s="1337"/>
      <c r="BM127" s="1337"/>
      <c r="BN127" s="1337"/>
      <c r="BO127" s="1337"/>
      <c r="BP127" s="1337"/>
      <c r="BQ127" s="1337"/>
      <c r="BR127" s="1337"/>
      <c r="BS127" s="1337"/>
      <c r="BT127" s="1337"/>
      <c r="BU127" s="1337"/>
      <c r="BV127" s="1337"/>
      <c r="BW127" s="1337"/>
      <c r="BX127" s="1337"/>
      <c r="BY127" s="1337"/>
      <c r="BZ127" s="1337"/>
      <c r="CA127" s="1337"/>
      <c r="CB127" s="1337"/>
      <c r="CC127" s="1337"/>
      <c r="CD127" s="1337"/>
      <c r="CE127" s="1337"/>
      <c r="CF127" s="1337"/>
      <c r="CG127" s="1337"/>
      <c r="CH127" s="1337"/>
      <c r="CI127" s="1337"/>
      <c r="CJ127" s="1337"/>
      <c r="CK127" s="1337"/>
      <c r="CL127" s="1337"/>
      <c r="CM127" s="1337"/>
      <c r="CN127" s="1337"/>
      <c r="CO127" s="1337"/>
      <c r="CP127" s="1337"/>
      <c r="CQ127" s="1337"/>
      <c r="CR127" s="1337"/>
      <c r="CS127" s="1337"/>
      <c r="CT127" s="1337"/>
      <c r="CU127" s="1337"/>
      <c r="CV127" s="1337"/>
      <c r="CW127" s="1337"/>
      <c r="CX127" s="1337"/>
      <c r="CY127" s="1337"/>
      <c r="CZ127" s="1337"/>
      <c r="DA127" s="1337"/>
      <c r="DB127" s="1337"/>
      <c r="DC127" s="1337"/>
      <c r="DD127" s="1337"/>
      <c r="DE127" s="1337"/>
      <c r="DF127" s="1337"/>
      <c r="DG127" s="1337"/>
      <c r="DH127" s="1337"/>
      <c r="DI127" s="1337"/>
      <c r="DJ127" s="1337"/>
      <c r="DK127" s="1337"/>
      <c r="DL127" s="1337"/>
      <c r="DM127" s="1337"/>
      <c r="DN127" s="1337"/>
      <c r="DO127" s="1337"/>
      <c r="DP127" s="1337"/>
      <c r="DQ127" s="1337"/>
      <c r="DR127" s="1337"/>
      <c r="DS127" s="1337"/>
      <c r="DT127" s="1337"/>
      <c r="DU127" s="1337"/>
      <c r="DV127" s="1337"/>
      <c r="DW127" s="1337"/>
      <c r="DX127" s="1337"/>
      <c r="DY127" s="1337"/>
      <c r="DZ127" s="1337"/>
      <c r="EA127" s="1337"/>
      <c r="EB127" s="1337"/>
      <c r="EC127" s="1337"/>
      <c r="ED127" s="1337"/>
      <c r="EE127" s="1337"/>
      <c r="EF127" s="1337"/>
      <c r="EG127" s="1337"/>
      <c r="EH127" s="1337"/>
      <c r="EI127" s="1337"/>
      <c r="EJ127" s="1337"/>
      <c r="EK127" s="1337"/>
      <c r="EL127" s="1337"/>
      <c r="EM127" s="1337"/>
      <c r="EN127" s="1337"/>
      <c r="EO127" s="1337"/>
      <c r="EP127" s="1337"/>
      <c r="EQ127" s="1337"/>
      <c r="ER127" s="1337"/>
      <c r="ES127" s="1337"/>
      <c r="ET127" s="1337"/>
      <c r="EU127" s="1337"/>
      <c r="EV127" s="1337"/>
      <c r="EW127" s="1337"/>
      <c r="EX127" s="1337"/>
      <c r="EY127" s="1337"/>
      <c r="EZ127" s="1337"/>
      <c r="FA127" s="1337"/>
      <c r="FB127" s="1337"/>
      <c r="FC127" s="1337"/>
      <c r="FD127" s="1337"/>
      <c r="FE127" s="1337"/>
      <c r="FF127" s="1337"/>
      <c r="FG127" s="1337"/>
      <c r="FH127" s="1337"/>
      <c r="FI127" s="1337"/>
      <c r="FJ127" s="1337"/>
      <c r="FK127" s="1337"/>
      <c r="FL127" s="1337"/>
      <c r="FM127" s="1337"/>
      <c r="FN127" s="1337"/>
      <c r="FO127" s="1337"/>
      <c r="FP127" s="1337"/>
      <c r="FQ127" s="1337"/>
      <c r="FR127" s="1337"/>
      <c r="FS127" s="1337"/>
      <c r="FT127" s="1337"/>
      <c r="FU127" s="1337"/>
      <c r="FV127" s="1337"/>
      <c r="FW127" s="1337"/>
      <c r="FX127" s="1337"/>
      <c r="FY127" s="1337"/>
      <c r="FZ127" s="1337"/>
      <c r="GA127" s="1337"/>
      <c r="GB127" s="1337"/>
      <c r="GC127" s="1337"/>
      <c r="GD127" s="1337"/>
      <c r="GE127" s="1337"/>
      <c r="GF127" s="1337"/>
      <c r="GG127" s="1337"/>
      <c r="GH127" s="1337"/>
      <c r="GI127" s="1337"/>
      <c r="GJ127" s="1337"/>
      <c r="GK127" s="1337"/>
      <c r="GL127" s="1337"/>
      <c r="GM127" s="1337"/>
      <c r="GN127" s="1337"/>
      <c r="GO127" s="1337"/>
      <c r="GP127" s="1337"/>
      <c r="GQ127" s="1337"/>
      <c r="GR127" s="1337"/>
      <c r="GS127" s="1337"/>
      <c r="GT127" s="1337"/>
      <c r="GU127" s="1337"/>
      <c r="GV127" s="1337"/>
      <c r="GW127" s="1337"/>
      <c r="GX127" s="1337"/>
      <c r="GY127" s="1337"/>
      <c r="GZ127" s="1337"/>
      <c r="HA127" s="1337"/>
      <c r="HB127" s="1337"/>
      <c r="HC127" s="1337"/>
      <c r="HD127" s="1337"/>
      <c r="HE127" s="1337"/>
      <c r="HF127" s="1337"/>
      <c r="HG127" s="1337"/>
      <c r="HH127" s="1337"/>
      <c r="HI127" s="1337"/>
      <c r="HJ127" s="1337"/>
      <c r="HK127" s="1337"/>
      <c r="HL127" s="1337"/>
      <c r="HM127" s="1337"/>
      <c r="HN127" s="1337"/>
      <c r="HO127" s="1337"/>
      <c r="HP127" s="1337"/>
      <c r="HQ127" s="1337"/>
      <c r="HR127" s="1337"/>
      <c r="HS127" s="1337"/>
      <c r="HT127" s="1337"/>
      <c r="HU127" s="1337"/>
      <c r="HV127" s="1337"/>
      <c r="HW127" s="1337"/>
      <c r="HX127" s="1337"/>
      <c r="HY127" s="1337"/>
      <c r="HZ127" s="1337"/>
      <c r="IA127" s="1337"/>
      <c r="IB127" s="1337"/>
      <c r="IC127" s="1337"/>
      <c r="ID127" s="1337"/>
      <c r="IE127" s="1337"/>
      <c r="IF127" s="1337"/>
      <c r="IG127" s="1337"/>
      <c r="IH127" s="1337"/>
      <c r="II127" s="1337"/>
      <c r="IJ127" s="1337"/>
      <c r="IK127" s="1337"/>
      <c r="IL127" s="1337"/>
      <c r="IM127" s="1337"/>
      <c r="IN127" s="1337"/>
      <c r="IO127" s="1337"/>
      <c r="IP127" s="1337"/>
      <c r="IQ127" s="1337"/>
      <c r="IR127" s="1337"/>
      <c r="IS127" s="1337"/>
      <c r="IT127" s="1337"/>
      <c r="IU127" s="1337"/>
      <c r="IV127" s="1337"/>
    </row>
    <row r="128" spans="1:256" ht="10.5" customHeight="1">
      <c r="A128" s="1379" t="s">
        <v>1158</v>
      </c>
      <c r="B128" s="1448">
        <v>19303.7</v>
      </c>
      <c r="C128" s="1448">
        <v>20420.900000000001</v>
      </c>
      <c r="D128" s="1434">
        <v>21970.7</v>
      </c>
      <c r="E128" s="1434">
        <v>23978.5</v>
      </c>
      <c r="F128" s="1434">
        <v>25713.5</v>
      </c>
      <c r="G128" s="1434">
        <v>21495.4</v>
      </c>
      <c r="H128" s="1434">
        <v>24319.200000000001</v>
      </c>
      <c r="I128" s="1434">
        <v>23303.4</v>
      </c>
      <c r="J128" s="1434">
        <v>24028.6</v>
      </c>
      <c r="K128" s="1434">
        <v>25957.7</v>
      </c>
      <c r="L128" s="1435">
        <v>24659.4</v>
      </c>
      <c r="M128" s="1435">
        <v>25026.6</v>
      </c>
      <c r="N128" s="1434">
        <v>22588.9</v>
      </c>
      <c r="O128" s="1337"/>
      <c r="P128" s="1337"/>
      <c r="Q128" s="1337"/>
      <c r="R128" s="1337"/>
      <c r="S128" s="1337"/>
      <c r="T128" s="1337"/>
      <c r="U128" s="1337"/>
      <c r="V128" s="1337"/>
      <c r="W128" s="1337"/>
      <c r="X128" s="1337"/>
      <c r="Y128" s="1337"/>
      <c r="Z128" s="1337"/>
      <c r="AA128" s="1337"/>
      <c r="AB128" s="1337"/>
      <c r="AC128" s="1337"/>
      <c r="AD128" s="1337"/>
      <c r="AE128" s="1337"/>
      <c r="AF128" s="1337"/>
      <c r="AG128" s="1337"/>
      <c r="AH128" s="1337"/>
      <c r="AI128" s="1337"/>
      <c r="AJ128" s="1337"/>
      <c r="AK128" s="1337"/>
      <c r="AL128" s="1337"/>
      <c r="AM128" s="1337"/>
      <c r="AN128" s="1337"/>
      <c r="AO128" s="1337"/>
      <c r="AP128" s="1337"/>
      <c r="AQ128" s="1337"/>
      <c r="AR128" s="1337"/>
      <c r="AS128" s="1337"/>
      <c r="AT128" s="1337"/>
      <c r="AU128" s="1337"/>
      <c r="AV128" s="1337"/>
      <c r="AW128" s="1337"/>
      <c r="AX128" s="1337"/>
      <c r="AY128" s="1337"/>
      <c r="AZ128" s="1337"/>
      <c r="BA128" s="1337"/>
      <c r="BB128" s="1337"/>
      <c r="BC128" s="1337"/>
      <c r="BD128" s="1337"/>
      <c r="BE128" s="1337"/>
      <c r="BF128" s="1337"/>
      <c r="BG128" s="1337"/>
      <c r="BH128" s="1337"/>
      <c r="BI128" s="1337"/>
      <c r="BJ128" s="1337"/>
      <c r="BK128" s="1337"/>
      <c r="BL128" s="1337"/>
      <c r="BM128" s="1337"/>
      <c r="BN128" s="1337"/>
      <c r="BO128" s="1337"/>
      <c r="BP128" s="1337"/>
      <c r="BQ128" s="1337"/>
      <c r="BR128" s="1337"/>
      <c r="BS128" s="1337"/>
      <c r="BT128" s="1337"/>
      <c r="BU128" s="1337"/>
      <c r="BV128" s="1337"/>
      <c r="BW128" s="1337"/>
      <c r="BX128" s="1337"/>
      <c r="BY128" s="1337"/>
      <c r="BZ128" s="1337"/>
      <c r="CA128" s="1337"/>
      <c r="CB128" s="1337"/>
      <c r="CC128" s="1337"/>
      <c r="CD128" s="1337"/>
      <c r="CE128" s="1337"/>
      <c r="CF128" s="1337"/>
      <c r="CG128" s="1337"/>
      <c r="CH128" s="1337"/>
      <c r="CI128" s="1337"/>
      <c r="CJ128" s="1337"/>
      <c r="CK128" s="1337"/>
      <c r="CL128" s="1337"/>
      <c r="CM128" s="1337"/>
      <c r="CN128" s="1337"/>
      <c r="CO128" s="1337"/>
      <c r="CP128" s="1337"/>
      <c r="CQ128" s="1337"/>
      <c r="CR128" s="1337"/>
      <c r="CS128" s="1337"/>
      <c r="CT128" s="1337"/>
      <c r="CU128" s="1337"/>
      <c r="CV128" s="1337"/>
      <c r="CW128" s="1337"/>
      <c r="CX128" s="1337"/>
      <c r="CY128" s="1337"/>
      <c r="CZ128" s="1337"/>
      <c r="DA128" s="1337"/>
      <c r="DB128" s="1337"/>
      <c r="DC128" s="1337"/>
      <c r="DD128" s="1337"/>
      <c r="DE128" s="1337"/>
      <c r="DF128" s="1337"/>
      <c r="DG128" s="1337"/>
      <c r="DH128" s="1337"/>
      <c r="DI128" s="1337"/>
      <c r="DJ128" s="1337"/>
      <c r="DK128" s="1337"/>
      <c r="DL128" s="1337"/>
      <c r="DM128" s="1337"/>
      <c r="DN128" s="1337"/>
      <c r="DO128" s="1337"/>
      <c r="DP128" s="1337"/>
      <c r="DQ128" s="1337"/>
      <c r="DR128" s="1337"/>
      <c r="DS128" s="1337"/>
      <c r="DT128" s="1337"/>
      <c r="DU128" s="1337"/>
      <c r="DV128" s="1337"/>
      <c r="DW128" s="1337"/>
      <c r="DX128" s="1337"/>
      <c r="DY128" s="1337"/>
      <c r="DZ128" s="1337"/>
      <c r="EA128" s="1337"/>
      <c r="EB128" s="1337"/>
      <c r="EC128" s="1337"/>
      <c r="ED128" s="1337"/>
      <c r="EE128" s="1337"/>
      <c r="EF128" s="1337"/>
      <c r="EG128" s="1337"/>
      <c r="EH128" s="1337"/>
      <c r="EI128" s="1337"/>
      <c r="EJ128" s="1337"/>
      <c r="EK128" s="1337"/>
      <c r="EL128" s="1337"/>
      <c r="EM128" s="1337"/>
      <c r="EN128" s="1337"/>
      <c r="EO128" s="1337"/>
      <c r="EP128" s="1337"/>
      <c r="EQ128" s="1337"/>
      <c r="ER128" s="1337"/>
      <c r="ES128" s="1337"/>
      <c r="ET128" s="1337"/>
      <c r="EU128" s="1337"/>
      <c r="EV128" s="1337"/>
      <c r="EW128" s="1337"/>
      <c r="EX128" s="1337"/>
      <c r="EY128" s="1337"/>
      <c r="EZ128" s="1337"/>
      <c r="FA128" s="1337"/>
      <c r="FB128" s="1337"/>
      <c r="FC128" s="1337"/>
      <c r="FD128" s="1337"/>
      <c r="FE128" s="1337"/>
      <c r="FF128" s="1337"/>
      <c r="FG128" s="1337"/>
      <c r="FH128" s="1337"/>
      <c r="FI128" s="1337"/>
      <c r="FJ128" s="1337"/>
      <c r="FK128" s="1337"/>
      <c r="FL128" s="1337"/>
      <c r="FM128" s="1337"/>
      <c r="FN128" s="1337"/>
      <c r="FO128" s="1337"/>
      <c r="FP128" s="1337"/>
      <c r="FQ128" s="1337"/>
      <c r="FR128" s="1337"/>
      <c r="FS128" s="1337"/>
      <c r="FT128" s="1337"/>
      <c r="FU128" s="1337"/>
      <c r="FV128" s="1337"/>
      <c r="FW128" s="1337"/>
      <c r="FX128" s="1337"/>
      <c r="FY128" s="1337"/>
      <c r="FZ128" s="1337"/>
      <c r="GA128" s="1337"/>
      <c r="GB128" s="1337"/>
      <c r="GC128" s="1337"/>
      <c r="GD128" s="1337"/>
      <c r="GE128" s="1337"/>
      <c r="GF128" s="1337"/>
      <c r="GG128" s="1337"/>
      <c r="GH128" s="1337"/>
      <c r="GI128" s="1337"/>
      <c r="GJ128" s="1337"/>
      <c r="GK128" s="1337"/>
      <c r="GL128" s="1337"/>
      <c r="GM128" s="1337"/>
      <c r="GN128" s="1337"/>
      <c r="GO128" s="1337"/>
      <c r="GP128" s="1337"/>
      <c r="GQ128" s="1337"/>
      <c r="GR128" s="1337"/>
      <c r="GS128" s="1337"/>
      <c r="GT128" s="1337"/>
      <c r="GU128" s="1337"/>
      <c r="GV128" s="1337"/>
      <c r="GW128" s="1337"/>
      <c r="GX128" s="1337"/>
      <c r="GY128" s="1337"/>
      <c r="GZ128" s="1337"/>
      <c r="HA128" s="1337"/>
      <c r="HB128" s="1337"/>
      <c r="HC128" s="1337"/>
      <c r="HD128" s="1337"/>
      <c r="HE128" s="1337"/>
      <c r="HF128" s="1337"/>
      <c r="HG128" s="1337"/>
      <c r="HH128" s="1337"/>
      <c r="HI128" s="1337"/>
      <c r="HJ128" s="1337"/>
      <c r="HK128" s="1337"/>
      <c r="HL128" s="1337"/>
      <c r="HM128" s="1337"/>
      <c r="HN128" s="1337"/>
      <c r="HO128" s="1337"/>
      <c r="HP128" s="1337"/>
      <c r="HQ128" s="1337"/>
      <c r="HR128" s="1337"/>
      <c r="HS128" s="1337"/>
      <c r="HT128" s="1337"/>
      <c r="HU128" s="1337"/>
      <c r="HV128" s="1337"/>
      <c r="HW128" s="1337"/>
      <c r="HX128" s="1337"/>
      <c r="HY128" s="1337"/>
      <c r="HZ128" s="1337"/>
      <c r="IA128" s="1337"/>
      <c r="IB128" s="1337"/>
      <c r="IC128" s="1337"/>
      <c r="ID128" s="1337"/>
      <c r="IE128" s="1337"/>
      <c r="IF128" s="1337"/>
      <c r="IG128" s="1337"/>
      <c r="IH128" s="1337"/>
      <c r="II128" s="1337"/>
      <c r="IJ128" s="1337"/>
      <c r="IK128" s="1337"/>
      <c r="IL128" s="1337"/>
      <c r="IM128" s="1337"/>
      <c r="IN128" s="1337"/>
      <c r="IO128" s="1337"/>
      <c r="IP128" s="1337"/>
      <c r="IQ128" s="1337"/>
      <c r="IR128" s="1337"/>
      <c r="IS128" s="1337"/>
      <c r="IT128" s="1337"/>
      <c r="IU128" s="1337"/>
      <c r="IV128" s="1337"/>
    </row>
    <row r="129" spans="11:11">
      <c r="K129" s="1455"/>
    </row>
  </sheetData>
  <conditionalFormatting sqref="E15">
    <cfRule type="cellIs" dxfId="0" priority="1" stopIfTrue="1" operator="between">
      <formula>0</formula>
      <formula>0.4</formula>
    </cfRule>
  </conditionalFormatting>
  <pageMargins left="0.51181102362204722" right="0.51181102362204722" top="0.51181102362204722" bottom="0.51181102362204722" header="0.27559055118110237" footer="0.27559055118110237"/>
  <pageSetup paperSize="9" scale="90" firstPageNumber="36" fitToHeight="2" orientation="portrait" useFirstPageNumber="1" r:id="rId1"/>
  <headerFooter alignWithMargins="0">
    <oddHeader>&amp;R&amp;"Arial,Bold"ENERGY</oddHeader>
    <oddFooter>&amp;C&amp;P</oddFooter>
  </headerFooter>
  <rowBreaks count="1" manualBreakCount="1">
    <brk id="63" max="13" man="1"/>
  </rowBreaks>
</worksheet>
</file>

<file path=xl/worksheets/sheet65.xml><?xml version="1.0" encoding="utf-8"?>
<worksheet xmlns="http://schemas.openxmlformats.org/spreadsheetml/2006/main" xmlns:r="http://schemas.openxmlformats.org/officeDocument/2006/relationships">
  <sheetPr codeName="Sheet24"/>
  <dimension ref="A1:CL132"/>
  <sheetViews>
    <sheetView zoomScale="80" zoomScaleNormal="80" workbookViewId="0"/>
  </sheetViews>
  <sheetFormatPr defaultRowHeight="12.75"/>
  <cols>
    <col min="1" max="1" width="23.7109375" style="223" customWidth="1"/>
    <col min="2" max="2" width="9.28515625" style="223" customWidth="1"/>
    <col min="3" max="3" width="6.5703125" style="223" customWidth="1"/>
    <col min="4" max="5" width="8.28515625" style="223" customWidth="1"/>
    <col min="6" max="6" width="2.28515625" style="223" customWidth="1"/>
    <col min="7" max="7" width="9.85546875" style="223" customWidth="1"/>
    <col min="8" max="8" width="9.42578125" style="223" customWidth="1"/>
    <col min="9" max="9" width="10.28515625" style="223" customWidth="1"/>
    <col min="10" max="14" width="9.140625" style="223"/>
    <col min="15" max="15" width="2.5703125" style="223" customWidth="1"/>
    <col min="16" max="256" width="9.140625" style="223"/>
    <col min="257" max="257" width="23.7109375" style="223" customWidth="1"/>
    <col min="258" max="258" width="9.28515625" style="223" customWidth="1"/>
    <col min="259" max="259" width="6.5703125" style="223" customWidth="1"/>
    <col min="260" max="261" width="8.28515625" style="223" customWidth="1"/>
    <col min="262" max="262" width="2.28515625" style="223" customWidth="1"/>
    <col min="263" max="263" width="9.85546875" style="223" customWidth="1"/>
    <col min="264" max="264" width="9.42578125" style="223" customWidth="1"/>
    <col min="265" max="265" width="10.28515625" style="223" customWidth="1"/>
    <col min="266" max="512" width="9.140625" style="223"/>
    <col min="513" max="513" width="23.7109375" style="223" customWidth="1"/>
    <col min="514" max="514" width="9.28515625" style="223" customWidth="1"/>
    <col min="515" max="515" width="6.5703125" style="223" customWidth="1"/>
    <col min="516" max="517" width="8.28515625" style="223" customWidth="1"/>
    <col min="518" max="518" width="2.28515625" style="223" customWidth="1"/>
    <col min="519" max="519" width="9.85546875" style="223" customWidth="1"/>
    <col min="520" max="520" width="9.42578125" style="223" customWidth="1"/>
    <col min="521" max="521" width="10.28515625" style="223" customWidth="1"/>
    <col min="522" max="768" width="9.140625" style="223"/>
    <col min="769" max="769" width="23.7109375" style="223" customWidth="1"/>
    <col min="770" max="770" width="9.28515625" style="223" customWidth="1"/>
    <col min="771" max="771" width="6.5703125" style="223" customWidth="1"/>
    <col min="772" max="773" width="8.28515625" style="223" customWidth="1"/>
    <col min="774" max="774" width="2.28515625" style="223" customWidth="1"/>
    <col min="775" max="775" width="9.85546875" style="223" customWidth="1"/>
    <col min="776" max="776" width="9.42578125" style="223" customWidth="1"/>
    <col min="777" max="777" width="10.28515625" style="223" customWidth="1"/>
    <col min="778" max="1024" width="9.140625" style="223"/>
    <col min="1025" max="1025" width="23.7109375" style="223" customWidth="1"/>
    <col min="1026" max="1026" width="9.28515625" style="223" customWidth="1"/>
    <col min="1027" max="1027" width="6.5703125" style="223" customWidth="1"/>
    <col min="1028" max="1029" width="8.28515625" style="223" customWidth="1"/>
    <col min="1030" max="1030" width="2.28515625" style="223" customWidth="1"/>
    <col min="1031" max="1031" width="9.85546875" style="223" customWidth="1"/>
    <col min="1032" max="1032" width="9.42578125" style="223" customWidth="1"/>
    <col min="1033" max="1033" width="10.28515625" style="223" customWidth="1"/>
    <col min="1034" max="1280" width="9.140625" style="223"/>
    <col min="1281" max="1281" width="23.7109375" style="223" customWidth="1"/>
    <col min="1282" max="1282" width="9.28515625" style="223" customWidth="1"/>
    <col min="1283" max="1283" width="6.5703125" style="223" customWidth="1"/>
    <col min="1284" max="1285" width="8.28515625" style="223" customWidth="1"/>
    <col min="1286" max="1286" width="2.28515625" style="223" customWidth="1"/>
    <col min="1287" max="1287" width="9.85546875" style="223" customWidth="1"/>
    <col min="1288" max="1288" width="9.42578125" style="223" customWidth="1"/>
    <col min="1289" max="1289" width="10.28515625" style="223" customWidth="1"/>
    <col min="1290" max="1536" width="9.140625" style="223"/>
    <col min="1537" max="1537" width="23.7109375" style="223" customWidth="1"/>
    <col min="1538" max="1538" width="9.28515625" style="223" customWidth="1"/>
    <col min="1539" max="1539" width="6.5703125" style="223" customWidth="1"/>
    <col min="1540" max="1541" width="8.28515625" style="223" customWidth="1"/>
    <col min="1542" max="1542" width="2.28515625" style="223" customWidth="1"/>
    <col min="1543" max="1543" width="9.85546875" style="223" customWidth="1"/>
    <col min="1544" max="1544" width="9.42578125" style="223" customWidth="1"/>
    <col min="1545" max="1545" width="10.28515625" style="223" customWidth="1"/>
    <col min="1546" max="1792" width="9.140625" style="223"/>
    <col min="1793" max="1793" width="23.7109375" style="223" customWidth="1"/>
    <col min="1794" max="1794" width="9.28515625" style="223" customWidth="1"/>
    <col min="1795" max="1795" width="6.5703125" style="223" customWidth="1"/>
    <col min="1796" max="1797" width="8.28515625" style="223" customWidth="1"/>
    <col min="1798" max="1798" width="2.28515625" style="223" customWidth="1"/>
    <col min="1799" max="1799" width="9.85546875" style="223" customWidth="1"/>
    <col min="1800" max="1800" width="9.42578125" style="223" customWidth="1"/>
    <col min="1801" max="1801" width="10.28515625" style="223" customWidth="1"/>
    <col min="1802" max="2048" width="9.140625" style="223"/>
    <col min="2049" max="2049" width="23.7109375" style="223" customWidth="1"/>
    <col min="2050" max="2050" width="9.28515625" style="223" customWidth="1"/>
    <col min="2051" max="2051" width="6.5703125" style="223" customWidth="1"/>
    <col min="2052" max="2053" width="8.28515625" style="223" customWidth="1"/>
    <col min="2054" max="2054" width="2.28515625" style="223" customWidth="1"/>
    <col min="2055" max="2055" width="9.85546875" style="223" customWidth="1"/>
    <col min="2056" max="2056" width="9.42578125" style="223" customWidth="1"/>
    <col min="2057" max="2057" width="10.28515625" style="223" customWidth="1"/>
    <col min="2058" max="2304" width="9.140625" style="223"/>
    <col min="2305" max="2305" width="23.7109375" style="223" customWidth="1"/>
    <col min="2306" max="2306" width="9.28515625" style="223" customWidth="1"/>
    <col min="2307" max="2307" width="6.5703125" style="223" customWidth="1"/>
    <col min="2308" max="2309" width="8.28515625" style="223" customWidth="1"/>
    <col min="2310" max="2310" width="2.28515625" style="223" customWidth="1"/>
    <col min="2311" max="2311" width="9.85546875" style="223" customWidth="1"/>
    <col min="2312" max="2312" width="9.42578125" style="223" customWidth="1"/>
    <col min="2313" max="2313" width="10.28515625" style="223" customWidth="1"/>
    <col min="2314" max="2560" width="9.140625" style="223"/>
    <col min="2561" max="2561" width="23.7109375" style="223" customWidth="1"/>
    <col min="2562" max="2562" width="9.28515625" style="223" customWidth="1"/>
    <col min="2563" max="2563" width="6.5703125" style="223" customWidth="1"/>
    <col min="2564" max="2565" width="8.28515625" style="223" customWidth="1"/>
    <col min="2566" max="2566" width="2.28515625" style="223" customWidth="1"/>
    <col min="2567" max="2567" width="9.85546875" style="223" customWidth="1"/>
    <col min="2568" max="2568" width="9.42578125" style="223" customWidth="1"/>
    <col min="2569" max="2569" width="10.28515625" style="223" customWidth="1"/>
    <col min="2570" max="2816" width="9.140625" style="223"/>
    <col min="2817" max="2817" width="23.7109375" style="223" customWidth="1"/>
    <col min="2818" max="2818" width="9.28515625" style="223" customWidth="1"/>
    <col min="2819" max="2819" width="6.5703125" style="223" customWidth="1"/>
    <col min="2820" max="2821" width="8.28515625" style="223" customWidth="1"/>
    <col min="2822" max="2822" width="2.28515625" style="223" customWidth="1"/>
    <col min="2823" max="2823" width="9.85546875" style="223" customWidth="1"/>
    <col min="2824" max="2824" width="9.42578125" style="223" customWidth="1"/>
    <col min="2825" max="2825" width="10.28515625" style="223" customWidth="1"/>
    <col min="2826" max="3072" width="9.140625" style="223"/>
    <col min="3073" max="3073" width="23.7109375" style="223" customWidth="1"/>
    <col min="3074" max="3074" width="9.28515625" style="223" customWidth="1"/>
    <col min="3075" max="3075" width="6.5703125" style="223" customWidth="1"/>
    <col min="3076" max="3077" width="8.28515625" style="223" customWidth="1"/>
    <col min="3078" max="3078" width="2.28515625" style="223" customWidth="1"/>
    <col min="3079" max="3079" width="9.85546875" style="223" customWidth="1"/>
    <col min="3080" max="3080" width="9.42578125" style="223" customWidth="1"/>
    <col min="3081" max="3081" width="10.28515625" style="223" customWidth="1"/>
    <col min="3082" max="3328" width="9.140625" style="223"/>
    <col min="3329" max="3329" width="23.7109375" style="223" customWidth="1"/>
    <col min="3330" max="3330" width="9.28515625" style="223" customWidth="1"/>
    <col min="3331" max="3331" width="6.5703125" style="223" customWidth="1"/>
    <col min="3332" max="3333" width="8.28515625" style="223" customWidth="1"/>
    <col min="3334" max="3334" width="2.28515625" style="223" customWidth="1"/>
    <col min="3335" max="3335" width="9.85546875" style="223" customWidth="1"/>
    <col min="3336" max="3336" width="9.42578125" style="223" customWidth="1"/>
    <col min="3337" max="3337" width="10.28515625" style="223" customWidth="1"/>
    <col min="3338" max="3584" width="9.140625" style="223"/>
    <col min="3585" max="3585" width="23.7109375" style="223" customWidth="1"/>
    <col min="3586" max="3586" width="9.28515625" style="223" customWidth="1"/>
    <col min="3587" max="3587" width="6.5703125" style="223" customWidth="1"/>
    <col min="3588" max="3589" width="8.28515625" style="223" customWidth="1"/>
    <col min="3590" max="3590" width="2.28515625" style="223" customWidth="1"/>
    <col min="3591" max="3591" width="9.85546875" style="223" customWidth="1"/>
    <col min="3592" max="3592" width="9.42578125" style="223" customWidth="1"/>
    <col min="3593" max="3593" width="10.28515625" style="223" customWidth="1"/>
    <col min="3594" max="3840" width="9.140625" style="223"/>
    <col min="3841" max="3841" width="23.7109375" style="223" customWidth="1"/>
    <col min="3842" max="3842" width="9.28515625" style="223" customWidth="1"/>
    <col min="3843" max="3843" width="6.5703125" style="223" customWidth="1"/>
    <col min="3844" max="3845" width="8.28515625" style="223" customWidth="1"/>
    <col min="3846" max="3846" width="2.28515625" style="223" customWidth="1"/>
    <col min="3847" max="3847" width="9.85546875" style="223" customWidth="1"/>
    <col min="3848" max="3848" width="9.42578125" style="223" customWidth="1"/>
    <col min="3849" max="3849" width="10.28515625" style="223" customWidth="1"/>
    <col min="3850" max="4096" width="9.140625" style="223"/>
    <col min="4097" max="4097" width="23.7109375" style="223" customWidth="1"/>
    <col min="4098" max="4098" width="9.28515625" style="223" customWidth="1"/>
    <col min="4099" max="4099" width="6.5703125" style="223" customWidth="1"/>
    <col min="4100" max="4101" width="8.28515625" style="223" customWidth="1"/>
    <col min="4102" max="4102" width="2.28515625" style="223" customWidth="1"/>
    <col min="4103" max="4103" width="9.85546875" style="223" customWidth="1"/>
    <col min="4104" max="4104" width="9.42578125" style="223" customWidth="1"/>
    <col min="4105" max="4105" width="10.28515625" style="223" customWidth="1"/>
    <col min="4106" max="4352" width="9.140625" style="223"/>
    <col min="4353" max="4353" width="23.7109375" style="223" customWidth="1"/>
    <col min="4354" max="4354" width="9.28515625" style="223" customWidth="1"/>
    <col min="4355" max="4355" width="6.5703125" style="223" customWidth="1"/>
    <col min="4356" max="4357" width="8.28515625" style="223" customWidth="1"/>
    <col min="4358" max="4358" width="2.28515625" style="223" customWidth="1"/>
    <col min="4359" max="4359" width="9.85546875" style="223" customWidth="1"/>
    <col min="4360" max="4360" width="9.42578125" style="223" customWidth="1"/>
    <col min="4361" max="4361" width="10.28515625" style="223" customWidth="1"/>
    <col min="4362" max="4608" width="9.140625" style="223"/>
    <col min="4609" max="4609" width="23.7109375" style="223" customWidth="1"/>
    <col min="4610" max="4610" width="9.28515625" style="223" customWidth="1"/>
    <col min="4611" max="4611" width="6.5703125" style="223" customWidth="1"/>
    <col min="4612" max="4613" width="8.28515625" style="223" customWidth="1"/>
    <col min="4614" max="4614" width="2.28515625" style="223" customWidth="1"/>
    <col min="4615" max="4615" width="9.85546875" style="223" customWidth="1"/>
    <col min="4616" max="4616" width="9.42578125" style="223" customWidth="1"/>
    <col min="4617" max="4617" width="10.28515625" style="223" customWidth="1"/>
    <col min="4618" max="4864" width="9.140625" style="223"/>
    <col min="4865" max="4865" width="23.7109375" style="223" customWidth="1"/>
    <col min="4866" max="4866" width="9.28515625" style="223" customWidth="1"/>
    <col min="4867" max="4867" width="6.5703125" style="223" customWidth="1"/>
    <col min="4868" max="4869" width="8.28515625" style="223" customWidth="1"/>
    <col min="4870" max="4870" width="2.28515625" style="223" customWidth="1"/>
    <col min="4871" max="4871" width="9.85546875" style="223" customWidth="1"/>
    <col min="4872" max="4872" width="9.42578125" style="223" customWidth="1"/>
    <col min="4873" max="4873" width="10.28515625" style="223" customWidth="1"/>
    <col min="4874" max="5120" width="9.140625" style="223"/>
    <col min="5121" max="5121" width="23.7109375" style="223" customWidth="1"/>
    <col min="5122" max="5122" width="9.28515625" style="223" customWidth="1"/>
    <col min="5123" max="5123" width="6.5703125" style="223" customWidth="1"/>
    <col min="5124" max="5125" width="8.28515625" style="223" customWidth="1"/>
    <col min="5126" max="5126" width="2.28515625" style="223" customWidth="1"/>
    <col min="5127" max="5127" width="9.85546875" style="223" customWidth="1"/>
    <col min="5128" max="5128" width="9.42578125" style="223" customWidth="1"/>
    <col min="5129" max="5129" width="10.28515625" style="223" customWidth="1"/>
    <col min="5130" max="5376" width="9.140625" style="223"/>
    <col min="5377" max="5377" width="23.7109375" style="223" customWidth="1"/>
    <col min="5378" max="5378" width="9.28515625" style="223" customWidth="1"/>
    <col min="5379" max="5379" width="6.5703125" style="223" customWidth="1"/>
    <col min="5380" max="5381" width="8.28515625" style="223" customWidth="1"/>
    <col min="5382" max="5382" width="2.28515625" style="223" customWidth="1"/>
    <col min="5383" max="5383" width="9.85546875" style="223" customWidth="1"/>
    <col min="5384" max="5384" width="9.42578125" style="223" customWidth="1"/>
    <col min="5385" max="5385" width="10.28515625" style="223" customWidth="1"/>
    <col min="5386" max="5632" width="9.140625" style="223"/>
    <col min="5633" max="5633" width="23.7109375" style="223" customWidth="1"/>
    <col min="5634" max="5634" width="9.28515625" style="223" customWidth="1"/>
    <col min="5635" max="5635" width="6.5703125" style="223" customWidth="1"/>
    <col min="5636" max="5637" width="8.28515625" style="223" customWidth="1"/>
    <col min="5638" max="5638" width="2.28515625" style="223" customWidth="1"/>
    <col min="5639" max="5639" width="9.85546875" style="223" customWidth="1"/>
    <col min="5640" max="5640" width="9.42578125" style="223" customWidth="1"/>
    <col min="5641" max="5641" width="10.28515625" style="223" customWidth="1"/>
    <col min="5642" max="5888" width="9.140625" style="223"/>
    <col min="5889" max="5889" width="23.7109375" style="223" customWidth="1"/>
    <col min="5890" max="5890" width="9.28515625" style="223" customWidth="1"/>
    <col min="5891" max="5891" width="6.5703125" style="223" customWidth="1"/>
    <col min="5892" max="5893" width="8.28515625" style="223" customWidth="1"/>
    <col min="5894" max="5894" width="2.28515625" style="223" customWidth="1"/>
    <col min="5895" max="5895" width="9.85546875" style="223" customWidth="1"/>
    <col min="5896" max="5896" width="9.42578125" style="223" customWidth="1"/>
    <col min="5897" max="5897" width="10.28515625" style="223" customWidth="1"/>
    <col min="5898" max="6144" width="9.140625" style="223"/>
    <col min="6145" max="6145" width="23.7109375" style="223" customWidth="1"/>
    <col min="6146" max="6146" width="9.28515625" style="223" customWidth="1"/>
    <col min="6147" max="6147" width="6.5703125" style="223" customWidth="1"/>
    <col min="6148" max="6149" width="8.28515625" style="223" customWidth="1"/>
    <col min="6150" max="6150" width="2.28515625" style="223" customWidth="1"/>
    <col min="6151" max="6151" width="9.85546875" style="223" customWidth="1"/>
    <col min="6152" max="6152" width="9.42578125" style="223" customWidth="1"/>
    <col min="6153" max="6153" width="10.28515625" style="223" customWidth="1"/>
    <col min="6154" max="6400" width="9.140625" style="223"/>
    <col min="6401" max="6401" width="23.7109375" style="223" customWidth="1"/>
    <col min="6402" max="6402" width="9.28515625" style="223" customWidth="1"/>
    <col min="6403" max="6403" width="6.5703125" style="223" customWidth="1"/>
    <col min="6404" max="6405" width="8.28515625" style="223" customWidth="1"/>
    <col min="6406" max="6406" width="2.28515625" style="223" customWidth="1"/>
    <col min="6407" max="6407" width="9.85546875" style="223" customWidth="1"/>
    <col min="6408" max="6408" width="9.42578125" style="223" customWidth="1"/>
    <col min="6409" max="6409" width="10.28515625" style="223" customWidth="1"/>
    <col min="6410" max="6656" width="9.140625" style="223"/>
    <col min="6657" max="6657" width="23.7109375" style="223" customWidth="1"/>
    <col min="6658" max="6658" width="9.28515625" style="223" customWidth="1"/>
    <col min="6659" max="6659" width="6.5703125" style="223" customWidth="1"/>
    <col min="6660" max="6661" width="8.28515625" style="223" customWidth="1"/>
    <col min="6662" max="6662" width="2.28515625" style="223" customWidth="1"/>
    <col min="6663" max="6663" width="9.85546875" style="223" customWidth="1"/>
    <col min="6664" max="6664" width="9.42578125" style="223" customWidth="1"/>
    <col min="6665" max="6665" width="10.28515625" style="223" customWidth="1"/>
    <col min="6666" max="6912" width="9.140625" style="223"/>
    <col min="6913" max="6913" width="23.7109375" style="223" customWidth="1"/>
    <col min="6914" max="6914" width="9.28515625" style="223" customWidth="1"/>
    <col min="6915" max="6915" width="6.5703125" style="223" customWidth="1"/>
    <col min="6916" max="6917" width="8.28515625" style="223" customWidth="1"/>
    <col min="6918" max="6918" width="2.28515625" style="223" customWidth="1"/>
    <col min="6919" max="6919" width="9.85546875" style="223" customWidth="1"/>
    <col min="6920" max="6920" width="9.42578125" style="223" customWidth="1"/>
    <col min="6921" max="6921" width="10.28515625" style="223" customWidth="1"/>
    <col min="6922" max="7168" width="9.140625" style="223"/>
    <col min="7169" max="7169" width="23.7109375" style="223" customWidth="1"/>
    <col min="7170" max="7170" width="9.28515625" style="223" customWidth="1"/>
    <col min="7171" max="7171" width="6.5703125" style="223" customWidth="1"/>
    <col min="7172" max="7173" width="8.28515625" style="223" customWidth="1"/>
    <col min="7174" max="7174" width="2.28515625" style="223" customWidth="1"/>
    <col min="7175" max="7175" width="9.85546875" style="223" customWidth="1"/>
    <col min="7176" max="7176" width="9.42578125" style="223" customWidth="1"/>
    <col min="7177" max="7177" width="10.28515625" style="223" customWidth="1"/>
    <col min="7178" max="7424" width="9.140625" style="223"/>
    <col min="7425" max="7425" width="23.7109375" style="223" customWidth="1"/>
    <col min="7426" max="7426" width="9.28515625" style="223" customWidth="1"/>
    <col min="7427" max="7427" width="6.5703125" style="223" customWidth="1"/>
    <col min="7428" max="7429" width="8.28515625" style="223" customWidth="1"/>
    <col min="7430" max="7430" width="2.28515625" style="223" customWidth="1"/>
    <col min="7431" max="7431" width="9.85546875" style="223" customWidth="1"/>
    <col min="7432" max="7432" width="9.42578125" style="223" customWidth="1"/>
    <col min="7433" max="7433" width="10.28515625" style="223" customWidth="1"/>
    <col min="7434" max="7680" width="9.140625" style="223"/>
    <col min="7681" max="7681" width="23.7109375" style="223" customWidth="1"/>
    <col min="7682" max="7682" width="9.28515625" style="223" customWidth="1"/>
    <col min="7683" max="7683" width="6.5703125" style="223" customWidth="1"/>
    <col min="7684" max="7685" width="8.28515625" style="223" customWidth="1"/>
    <col min="7686" max="7686" width="2.28515625" style="223" customWidth="1"/>
    <col min="7687" max="7687" width="9.85546875" style="223" customWidth="1"/>
    <col min="7688" max="7688" width="9.42578125" style="223" customWidth="1"/>
    <col min="7689" max="7689" width="10.28515625" style="223" customWidth="1"/>
    <col min="7690" max="7936" width="9.140625" style="223"/>
    <col min="7937" max="7937" width="23.7109375" style="223" customWidth="1"/>
    <col min="7938" max="7938" width="9.28515625" style="223" customWidth="1"/>
    <col min="7939" max="7939" width="6.5703125" style="223" customWidth="1"/>
    <col min="7940" max="7941" width="8.28515625" style="223" customWidth="1"/>
    <col min="7942" max="7942" width="2.28515625" style="223" customWidth="1"/>
    <col min="7943" max="7943" width="9.85546875" style="223" customWidth="1"/>
    <col min="7944" max="7944" width="9.42578125" style="223" customWidth="1"/>
    <col min="7945" max="7945" width="10.28515625" style="223" customWidth="1"/>
    <col min="7946" max="8192" width="9.140625" style="223"/>
    <col min="8193" max="8193" width="23.7109375" style="223" customWidth="1"/>
    <col min="8194" max="8194" width="9.28515625" style="223" customWidth="1"/>
    <col min="8195" max="8195" width="6.5703125" style="223" customWidth="1"/>
    <col min="8196" max="8197" width="8.28515625" style="223" customWidth="1"/>
    <col min="8198" max="8198" width="2.28515625" style="223" customWidth="1"/>
    <col min="8199" max="8199" width="9.85546875" style="223" customWidth="1"/>
    <col min="8200" max="8200" width="9.42578125" style="223" customWidth="1"/>
    <col min="8201" max="8201" width="10.28515625" style="223" customWidth="1"/>
    <col min="8202" max="8448" width="9.140625" style="223"/>
    <col min="8449" max="8449" width="23.7109375" style="223" customWidth="1"/>
    <col min="8450" max="8450" width="9.28515625" style="223" customWidth="1"/>
    <col min="8451" max="8451" width="6.5703125" style="223" customWidth="1"/>
    <col min="8452" max="8453" width="8.28515625" style="223" customWidth="1"/>
    <col min="8454" max="8454" width="2.28515625" style="223" customWidth="1"/>
    <col min="8455" max="8455" width="9.85546875" style="223" customWidth="1"/>
    <col min="8456" max="8456" width="9.42578125" style="223" customWidth="1"/>
    <col min="8457" max="8457" width="10.28515625" style="223" customWidth="1"/>
    <col min="8458" max="8704" width="9.140625" style="223"/>
    <col min="8705" max="8705" width="23.7109375" style="223" customWidth="1"/>
    <col min="8706" max="8706" width="9.28515625" style="223" customWidth="1"/>
    <col min="8707" max="8707" width="6.5703125" style="223" customWidth="1"/>
    <col min="8708" max="8709" width="8.28515625" style="223" customWidth="1"/>
    <col min="8710" max="8710" width="2.28515625" style="223" customWidth="1"/>
    <col min="8711" max="8711" width="9.85546875" style="223" customWidth="1"/>
    <col min="8712" max="8712" width="9.42578125" style="223" customWidth="1"/>
    <col min="8713" max="8713" width="10.28515625" style="223" customWidth="1"/>
    <col min="8714" max="8960" width="9.140625" style="223"/>
    <col min="8961" max="8961" width="23.7109375" style="223" customWidth="1"/>
    <col min="8962" max="8962" width="9.28515625" style="223" customWidth="1"/>
    <col min="8963" max="8963" width="6.5703125" style="223" customWidth="1"/>
    <col min="8964" max="8965" width="8.28515625" style="223" customWidth="1"/>
    <col min="8966" max="8966" width="2.28515625" style="223" customWidth="1"/>
    <col min="8967" max="8967" width="9.85546875" style="223" customWidth="1"/>
    <col min="8968" max="8968" width="9.42578125" style="223" customWidth="1"/>
    <col min="8969" max="8969" width="10.28515625" style="223" customWidth="1"/>
    <col min="8970" max="9216" width="9.140625" style="223"/>
    <col min="9217" max="9217" width="23.7109375" style="223" customWidth="1"/>
    <col min="9218" max="9218" width="9.28515625" style="223" customWidth="1"/>
    <col min="9219" max="9219" width="6.5703125" style="223" customWidth="1"/>
    <col min="9220" max="9221" width="8.28515625" style="223" customWidth="1"/>
    <col min="9222" max="9222" width="2.28515625" style="223" customWidth="1"/>
    <col min="9223" max="9223" width="9.85546875" style="223" customWidth="1"/>
    <col min="9224" max="9224" width="9.42578125" style="223" customWidth="1"/>
    <col min="9225" max="9225" width="10.28515625" style="223" customWidth="1"/>
    <col min="9226" max="9472" width="9.140625" style="223"/>
    <col min="9473" max="9473" width="23.7109375" style="223" customWidth="1"/>
    <col min="9474" max="9474" width="9.28515625" style="223" customWidth="1"/>
    <col min="9475" max="9475" width="6.5703125" style="223" customWidth="1"/>
    <col min="9476" max="9477" width="8.28515625" style="223" customWidth="1"/>
    <col min="9478" max="9478" width="2.28515625" style="223" customWidth="1"/>
    <col min="9479" max="9479" width="9.85546875" style="223" customWidth="1"/>
    <col min="9480" max="9480" width="9.42578125" style="223" customWidth="1"/>
    <col min="9481" max="9481" width="10.28515625" style="223" customWidth="1"/>
    <col min="9482" max="9728" width="9.140625" style="223"/>
    <col min="9729" max="9729" width="23.7109375" style="223" customWidth="1"/>
    <col min="9730" max="9730" width="9.28515625" style="223" customWidth="1"/>
    <col min="9731" max="9731" width="6.5703125" style="223" customWidth="1"/>
    <col min="9732" max="9733" width="8.28515625" style="223" customWidth="1"/>
    <col min="9734" max="9734" width="2.28515625" style="223" customWidth="1"/>
    <col min="9735" max="9735" width="9.85546875" style="223" customWidth="1"/>
    <col min="9736" max="9736" width="9.42578125" style="223" customWidth="1"/>
    <col min="9737" max="9737" width="10.28515625" style="223" customWidth="1"/>
    <col min="9738" max="9984" width="9.140625" style="223"/>
    <col min="9985" max="9985" width="23.7109375" style="223" customWidth="1"/>
    <col min="9986" max="9986" width="9.28515625" style="223" customWidth="1"/>
    <col min="9987" max="9987" width="6.5703125" style="223" customWidth="1"/>
    <col min="9988" max="9989" width="8.28515625" style="223" customWidth="1"/>
    <col min="9990" max="9990" width="2.28515625" style="223" customWidth="1"/>
    <col min="9991" max="9991" width="9.85546875" style="223" customWidth="1"/>
    <col min="9992" max="9992" width="9.42578125" style="223" customWidth="1"/>
    <col min="9993" max="9993" width="10.28515625" style="223" customWidth="1"/>
    <col min="9994" max="10240" width="9.140625" style="223"/>
    <col min="10241" max="10241" width="23.7109375" style="223" customWidth="1"/>
    <col min="10242" max="10242" width="9.28515625" style="223" customWidth="1"/>
    <col min="10243" max="10243" width="6.5703125" style="223" customWidth="1"/>
    <col min="10244" max="10245" width="8.28515625" style="223" customWidth="1"/>
    <col min="10246" max="10246" width="2.28515625" style="223" customWidth="1"/>
    <col min="10247" max="10247" width="9.85546875" style="223" customWidth="1"/>
    <col min="10248" max="10248" width="9.42578125" style="223" customWidth="1"/>
    <col min="10249" max="10249" width="10.28515625" style="223" customWidth="1"/>
    <col min="10250" max="10496" width="9.140625" style="223"/>
    <col min="10497" max="10497" width="23.7109375" style="223" customWidth="1"/>
    <col min="10498" max="10498" width="9.28515625" style="223" customWidth="1"/>
    <col min="10499" max="10499" width="6.5703125" style="223" customWidth="1"/>
    <col min="10500" max="10501" width="8.28515625" style="223" customWidth="1"/>
    <col min="10502" max="10502" width="2.28515625" style="223" customWidth="1"/>
    <col min="10503" max="10503" width="9.85546875" style="223" customWidth="1"/>
    <col min="10504" max="10504" width="9.42578125" style="223" customWidth="1"/>
    <col min="10505" max="10505" width="10.28515625" style="223" customWidth="1"/>
    <col min="10506" max="10752" width="9.140625" style="223"/>
    <col min="10753" max="10753" width="23.7109375" style="223" customWidth="1"/>
    <col min="10754" max="10754" width="9.28515625" style="223" customWidth="1"/>
    <col min="10755" max="10755" width="6.5703125" style="223" customWidth="1"/>
    <col min="10756" max="10757" width="8.28515625" style="223" customWidth="1"/>
    <col min="10758" max="10758" width="2.28515625" style="223" customWidth="1"/>
    <col min="10759" max="10759" width="9.85546875" style="223" customWidth="1"/>
    <col min="10760" max="10760" width="9.42578125" style="223" customWidth="1"/>
    <col min="10761" max="10761" width="10.28515625" style="223" customWidth="1"/>
    <col min="10762" max="11008" width="9.140625" style="223"/>
    <col min="11009" max="11009" width="23.7109375" style="223" customWidth="1"/>
    <col min="11010" max="11010" width="9.28515625" style="223" customWidth="1"/>
    <col min="11011" max="11011" width="6.5703125" style="223" customWidth="1"/>
    <col min="11012" max="11013" width="8.28515625" style="223" customWidth="1"/>
    <col min="11014" max="11014" width="2.28515625" style="223" customWidth="1"/>
    <col min="11015" max="11015" width="9.85546875" style="223" customWidth="1"/>
    <col min="11016" max="11016" width="9.42578125" style="223" customWidth="1"/>
    <col min="11017" max="11017" width="10.28515625" style="223" customWidth="1"/>
    <col min="11018" max="11264" width="9.140625" style="223"/>
    <col min="11265" max="11265" width="23.7109375" style="223" customWidth="1"/>
    <col min="11266" max="11266" width="9.28515625" style="223" customWidth="1"/>
    <col min="11267" max="11267" width="6.5703125" style="223" customWidth="1"/>
    <col min="11268" max="11269" width="8.28515625" style="223" customWidth="1"/>
    <col min="11270" max="11270" width="2.28515625" style="223" customWidth="1"/>
    <col min="11271" max="11271" width="9.85546875" style="223" customWidth="1"/>
    <col min="11272" max="11272" width="9.42578125" style="223" customWidth="1"/>
    <col min="11273" max="11273" width="10.28515625" style="223" customWidth="1"/>
    <col min="11274" max="11520" width="9.140625" style="223"/>
    <col min="11521" max="11521" width="23.7109375" style="223" customWidth="1"/>
    <col min="11522" max="11522" width="9.28515625" style="223" customWidth="1"/>
    <col min="11523" max="11523" width="6.5703125" style="223" customWidth="1"/>
    <col min="11524" max="11525" width="8.28515625" style="223" customWidth="1"/>
    <col min="11526" max="11526" width="2.28515625" style="223" customWidth="1"/>
    <col min="11527" max="11527" width="9.85546875" style="223" customWidth="1"/>
    <col min="11528" max="11528" width="9.42578125" style="223" customWidth="1"/>
    <col min="11529" max="11529" width="10.28515625" style="223" customWidth="1"/>
    <col min="11530" max="11776" width="9.140625" style="223"/>
    <col min="11777" max="11777" width="23.7109375" style="223" customWidth="1"/>
    <col min="11778" max="11778" width="9.28515625" style="223" customWidth="1"/>
    <col min="11779" max="11779" width="6.5703125" style="223" customWidth="1"/>
    <col min="11780" max="11781" width="8.28515625" style="223" customWidth="1"/>
    <col min="11782" max="11782" width="2.28515625" style="223" customWidth="1"/>
    <col min="11783" max="11783" width="9.85546875" style="223" customWidth="1"/>
    <col min="11784" max="11784" width="9.42578125" style="223" customWidth="1"/>
    <col min="11785" max="11785" width="10.28515625" style="223" customWidth="1"/>
    <col min="11786" max="12032" width="9.140625" style="223"/>
    <col min="12033" max="12033" width="23.7109375" style="223" customWidth="1"/>
    <col min="12034" max="12034" width="9.28515625" style="223" customWidth="1"/>
    <col min="12035" max="12035" width="6.5703125" style="223" customWidth="1"/>
    <col min="12036" max="12037" width="8.28515625" style="223" customWidth="1"/>
    <col min="12038" max="12038" width="2.28515625" style="223" customWidth="1"/>
    <col min="12039" max="12039" width="9.85546875" style="223" customWidth="1"/>
    <col min="12040" max="12040" width="9.42578125" style="223" customWidth="1"/>
    <col min="12041" max="12041" width="10.28515625" style="223" customWidth="1"/>
    <col min="12042" max="12288" width="9.140625" style="223"/>
    <col min="12289" max="12289" width="23.7109375" style="223" customWidth="1"/>
    <col min="12290" max="12290" width="9.28515625" style="223" customWidth="1"/>
    <col min="12291" max="12291" width="6.5703125" style="223" customWidth="1"/>
    <col min="12292" max="12293" width="8.28515625" style="223" customWidth="1"/>
    <col min="12294" max="12294" width="2.28515625" style="223" customWidth="1"/>
    <col min="12295" max="12295" width="9.85546875" style="223" customWidth="1"/>
    <col min="12296" max="12296" width="9.42578125" style="223" customWidth="1"/>
    <col min="12297" max="12297" width="10.28515625" style="223" customWidth="1"/>
    <col min="12298" max="12544" width="9.140625" style="223"/>
    <col min="12545" max="12545" width="23.7109375" style="223" customWidth="1"/>
    <col min="12546" max="12546" width="9.28515625" style="223" customWidth="1"/>
    <col min="12547" max="12547" width="6.5703125" style="223" customWidth="1"/>
    <col min="12548" max="12549" width="8.28515625" style="223" customWidth="1"/>
    <col min="12550" max="12550" width="2.28515625" style="223" customWidth="1"/>
    <col min="12551" max="12551" width="9.85546875" style="223" customWidth="1"/>
    <col min="12552" max="12552" width="9.42578125" style="223" customWidth="1"/>
    <col min="12553" max="12553" width="10.28515625" style="223" customWidth="1"/>
    <col min="12554" max="12800" width="9.140625" style="223"/>
    <col min="12801" max="12801" width="23.7109375" style="223" customWidth="1"/>
    <col min="12802" max="12802" width="9.28515625" style="223" customWidth="1"/>
    <col min="12803" max="12803" width="6.5703125" style="223" customWidth="1"/>
    <col min="12804" max="12805" width="8.28515625" style="223" customWidth="1"/>
    <col min="12806" max="12806" width="2.28515625" style="223" customWidth="1"/>
    <col min="12807" max="12807" width="9.85546875" style="223" customWidth="1"/>
    <col min="12808" max="12808" width="9.42578125" style="223" customWidth="1"/>
    <col min="12809" max="12809" width="10.28515625" style="223" customWidth="1"/>
    <col min="12810" max="13056" width="9.140625" style="223"/>
    <col min="13057" max="13057" width="23.7109375" style="223" customWidth="1"/>
    <col min="13058" max="13058" width="9.28515625" style="223" customWidth="1"/>
    <col min="13059" max="13059" width="6.5703125" style="223" customWidth="1"/>
    <col min="13060" max="13061" width="8.28515625" style="223" customWidth="1"/>
    <col min="13062" max="13062" width="2.28515625" style="223" customWidth="1"/>
    <col min="13063" max="13063" width="9.85546875" style="223" customWidth="1"/>
    <col min="13064" max="13064" width="9.42578125" style="223" customWidth="1"/>
    <col min="13065" max="13065" width="10.28515625" style="223" customWidth="1"/>
    <col min="13066" max="13312" width="9.140625" style="223"/>
    <col min="13313" max="13313" width="23.7109375" style="223" customWidth="1"/>
    <col min="13314" max="13314" width="9.28515625" style="223" customWidth="1"/>
    <col min="13315" max="13315" width="6.5703125" style="223" customWidth="1"/>
    <col min="13316" max="13317" width="8.28515625" style="223" customWidth="1"/>
    <col min="13318" max="13318" width="2.28515625" style="223" customWidth="1"/>
    <col min="13319" max="13319" width="9.85546875" style="223" customWidth="1"/>
    <col min="13320" max="13320" width="9.42578125" style="223" customWidth="1"/>
    <col min="13321" max="13321" width="10.28515625" style="223" customWidth="1"/>
    <col min="13322" max="13568" width="9.140625" style="223"/>
    <col min="13569" max="13569" width="23.7109375" style="223" customWidth="1"/>
    <col min="13570" max="13570" width="9.28515625" style="223" customWidth="1"/>
    <col min="13571" max="13571" width="6.5703125" style="223" customWidth="1"/>
    <col min="13572" max="13573" width="8.28515625" style="223" customWidth="1"/>
    <col min="13574" max="13574" width="2.28515625" style="223" customWidth="1"/>
    <col min="13575" max="13575" width="9.85546875" style="223" customWidth="1"/>
    <col min="13576" max="13576" width="9.42578125" style="223" customWidth="1"/>
    <col min="13577" max="13577" width="10.28515625" style="223" customWidth="1"/>
    <col min="13578" max="13824" width="9.140625" style="223"/>
    <col min="13825" max="13825" width="23.7109375" style="223" customWidth="1"/>
    <col min="13826" max="13826" width="9.28515625" style="223" customWidth="1"/>
    <col min="13827" max="13827" width="6.5703125" style="223" customWidth="1"/>
    <col min="13828" max="13829" width="8.28515625" style="223" customWidth="1"/>
    <col min="13830" max="13830" width="2.28515625" style="223" customWidth="1"/>
    <col min="13831" max="13831" width="9.85546875" style="223" customWidth="1"/>
    <col min="13832" max="13832" width="9.42578125" style="223" customWidth="1"/>
    <col min="13833" max="13833" width="10.28515625" style="223" customWidth="1"/>
    <col min="13834" max="14080" width="9.140625" style="223"/>
    <col min="14081" max="14081" width="23.7109375" style="223" customWidth="1"/>
    <col min="14082" max="14082" width="9.28515625" style="223" customWidth="1"/>
    <col min="14083" max="14083" width="6.5703125" style="223" customWidth="1"/>
    <col min="14084" max="14085" width="8.28515625" style="223" customWidth="1"/>
    <col min="14086" max="14086" width="2.28515625" style="223" customWidth="1"/>
    <col min="14087" max="14087" width="9.85546875" style="223" customWidth="1"/>
    <col min="14088" max="14088" width="9.42578125" style="223" customWidth="1"/>
    <col min="14089" max="14089" width="10.28515625" style="223" customWidth="1"/>
    <col min="14090" max="14336" width="9.140625" style="223"/>
    <col min="14337" max="14337" width="23.7109375" style="223" customWidth="1"/>
    <col min="14338" max="14338" width="9.28515625" style="223" customWidth="1"/>
    <col min="14339" max="14339" width="6.5703125" style="223" customWidth="1"/>
    <col min="14340" max="14341" width="8.28515625" style="223" customWidth="1"/>
    <col min="14342" max="14342" width="2.28515625" style="223" customWidth="1"/>
    <col min="14343" max="14343" width="9.85546875" style="223" customWidth="1"/>
    <col min="14344" max="14344" width="9.42578125" style="223" customWidth="1"/>
    <col min="14345" max="14345" width="10.28515625" style="223" customWidth="1"/>
    <col min="14346" max="14592" width="9.140625" style="223"/>
    <col min="14593" max="14593" width="23.7109375" style="223" customWidth="1"/>
    <col min="14594" max="14594" width="9.28515625" style="223" customWidth="1"/>
    <col min="14595" max="14595" width="6.5703125" style="223" customWidth="1"/>
    <col min="14596" max="14597" width="8.28515625" style="223" customWidth="1"/>
    <col min="14598" max="14598" width="2.28515625" style="223" customWidth="1"/>
    <col min="14599" max="14599" width="9.85546875" style="223" customWidth="1"/>
    <col min="14600" max="14600" width="9.42578125" style="223" customWidth="1"/>
    <col min="14601" max="14601" width="10.28515625" style="223" customWidth="1"/>
    <col min="14602" max="14848" width="9.140625" style="223"/>
    <col min="14849" max="14849" width="23.7109375" style="223" customWidth="1"/>
    <col min="14850" max="14850" width="9.28515625" style="223" customWidth="1"/>
    <col min="14851" max="14851" width="6.5703125" style="223" customWidth="1"/>
    <col min="14852" max="14853" width="8.28515625" style="223" customWidth="1"/>
    <col min="14854" max="14854" width="2.28515625" style="223" customWidth="1"/>
    <col min="14855" max="14855" width="9.85546875" style="223" customWidth="1"/>
    <col min="14856" max="14856" width="9.42578125" style="223" customWidth="1"/>
    <col min="14857" max="14857" width="10.28515625" style="223" customWidth="1"/>
    <col min="14858" max="15104" width="9.140625" style="223"/>
    <col min="15105" max="15105" width="23.7109375" style="223" customWidth="1"/>
    <col min="15106" max="15106" width="9.28515625" style="223" customWidth="1"/>
    <col min="15107" max="15107" width="6.5703125" style="223" customWidth="1"/>
    <col min="15108" max="15109" width="8.28515625" style="223" customWidth="1"/>
    <col min="15110" max="15110" width="2.28515625" style="223" customWidth="1"/>
    <col min="15111" max="15111" width="9.85546875" style="223" customWidth="1"/>
    <col min="15112" max="15112" width="9.42578125" style="223" customWidth="1"/>
    <col min="15113" max="15113" width="10.28515625" style="223" customWidth="1"/>
    <col min="15114" max="15360" width="9.140625" style="223"/>
    <col min="15361" max="15361" width="23.7109375" style="223" customWidth="1"/>
    <col min="15362" max="15362" width="9.28515625" style="223" customWidth="1"/>
    <col min="15363" max="15363" width="6.5703125" style="223" customWidth="1"/>
    <col min="15364" max="15365" width="8.28515625" style="223" customWidth="1"/>
    <col min="15366" max="15366" width="2.28515625" style="223" customWidth="1"/>
    <col min="15367" max="15367" width="9.85546875" style="223" customWidth="1"/>
    <col min="15368" max="15368" width="9.42578125" style="223" customWidth="1"/>
    <col min="15369" max="15369" width="10.28515625" style="223" customWidth="1"/>
    <col min="15370" max="15616" width="9.140625" style="223"/>
    <col min="15617" max="15617" width="23.7109375" style="223" customWidth="1"/>
    <col min="15618" max="15618" width="9.28515625" style="223" customWidth="1"/>
    <col min="15619" max="15619" width="6.5703125" style="223" customWidth="1"/>
    <col min="15620" max="15621" width="8.28515625" style="223" customWidth="1"/>
    <col min="15622" max="15622" width="2.28515625" style="223" customWidth="1"/>
    <col min="15623" max="15623" width="9.85546875" style="223" customWidth="1"/>
    <col min="15624" max="15624" width="9.42578125" style="223" customWidth="1"/>
    <col min="15625" max="15625" width="10.28515625" style="223" customWidth="1"/>
    <col min="15626" max="15872" width="9.140625" style="223"/>
    <col min="15873" max="15873" width="23.7109375" style="223" customWidth="1"/>
    <col min="15874" max="15874" width="9.28515625" style="223" customWidth="1"/>
    <col min="15875" max="15875" width="6.5703125" style="223" customWidth="1"/>
    <col min="15876" max="15877" width="8.28515625" style="223" customWidth="1"/>
    <col min="15878" max="15878" width="2.28515625" style="223" customWidth="1"/>
    <col min="15879" max="15879" width="9.85546875" style="223" customWidth="1"/>
    <col min="15880" max="15880" width="9.42578125" style="223" customWidth="1"/>
    <col min="15881" max="15881" width="10.28515625" style="223" customWidth="1"/>
    <col min="15882" max="16128" width="9.140625" style="223"/>
    <col min="16129" max="16129" width="23.7109375" style="223" customWidth="1"/>
    <col min="16130" max="16130" width="9.28515625" style="223" customWidth="1"/>
    <col min="16131" max="16131" width="6.5703125" style="223" customWidth="1"/>
    <col min="16132" max="16133" width="8.28515625" style="223" customWidth="1"/>
    <col min="16134" max="16134" width="2.28515625" style="223" customWidth="1"/>
    <col min="16135" max="16135" width="9.85546875" style="223" customWidth="1"/>
    <col min="16136" max="16136" width="9.42578125" style="223" customWidth="1"/>
    <col min="16137" max="16137" width="10.28515625" style="223" customWidth="1"/>
    <col min="16138" max="16384" width="9.140625" style="223"/>
  </cols>
  <sheetData>
    <row r="1" spans="1:25" s="249" customFormat="1" ht="21" customHeight="1">
      <c r="A1" s="217" t="s">
        <v>386</v>
      </c>
    </row>
    <row r="2" spans="1:25" s="251" customFormat="1" ht="16.5" customHeight="1">
      <c r="A2" s="250" t="s">
        <v>387</v>
      </c>
      <c r="K2"/>
      <c r="L2"/>
      <c r="M2"/>
      <c r="N2"/>
      <c r="O2"/>
      <c r="P2"/>
      <c r="Q2"/>
      <c r="R2"/>
      <c r="S2"/>
      <c r="T2"/>
      <c r="U2"/>
      <c r="V2"/>
      <c r="W2"/>
      <c r="X2"/>
      <c r="Y2"/>
    </row>
    <row r="3" spans="1:25" s="222" customFormat="1" ht="29.25" customHeight="1" thickBot="1">
      <c r="A3" s="2655" t="s">
        <v>388</v>
      </c>
      <c r="B3" s="2655"/>
      <c r="C3" s="2655"/>
      <c r="D3" s="2655"/>
      <c r="E3" s="2655"/>
      <c r="H3" s="252"/>
      <c r="I3" s="253" t="s">
        <v>389</v>
      </c>
      <c r="K3"/>
      <c r="L3"/>
      <c r="M3"/>
      <c r="N3"/>
      <c r="O3"/>
      <c r="P3"/>
      <c r="Q3"/>
      <c r="R3"/>
      <c r="S3"/>
      <c r="T3"/>
      <c r="U3"/>
      <c r="V3"/>
      <c r="W3"/>
      <c r="X3"/>
      <c r="Y3"/>
    </row>
    <row r="4" spans="1:25" s="258" customFormat="1" ht="11.25" customHeight="1" thickTop="1">
      <c r="A4" s="254"/>
      <c r="B4" s="255" t="s">
        <v>378</v>
      </c>
      <c r="C4" s="255" t="s">
        <v>378</v>
      </c>
      <c r="D4" s="255" t="s">
        <v>390</v>
      </c>
      <c r="E4" s="255" t="s">
        <v>391</v>
      </c>
      <c r="F4" s="256"/>
      <c r="G4" s="255" t="s">
        <v>392</v>
      </c>
      <c r="H4" s="257" t="s">
        <v>378</v>
      </c>
      <c r="I4" s="255" t="s">
        <v>393</v>
      </c>
      <c r="K4"/>
      <c r="L4"/>
      <c r="M4"/>
      <c r="N4"/>
      <c r="O4"/>
      <c r="P4"/>
      <c r="Q4"/>
      <c r="R4"/>
      <c r="S4"/>
      <c r="T4"/>
      <c r="U4"/>
      <c r="V4"/>
      <c r="W4"/>
      <c r="X4"/>
      <c r="Y4"/>
    </row>
    <row r="5" spans="1:25" s="258" customFormat="1" ht="11.25" customHeight="1">
      <c r="A5" s="259"/>
      <c r="B5" s="260" t="s">
        <v>394</v>
      </c>
      <c r="C5" s="257" t="s">
        <v>395</v>
      </c>
      <c r="D5" s="257" t="s">
        <v>396</v>
      </c>
      <c r="E5" s="257" t="s">
        <v>397</v>
      </c>
      <c r="F5" s="256"/>
      <c r="G5" s="257" t="s">
        <v>398</v>
      </c>
      <c r="H5" s="260" t="s">
        <v>394</v>
      </c>
      <c r="I5" s="257" t="s">
        <v>399</v>
      </c>
      <c r="K5"/>
      <c r="L5"/>
      <c r="M5"/>
      <c r="N5"/>
      <c r="O5"/>
      <c r="P5"/>
      <c r="Q5"/>
      <c r="R5"/>
      <c r="S5"/>
      <c r="T5"/>
      <c r="U5"/>
      <c r="V5"/>
      <c r="W5"/>
      <c r="X5"/>
      <c r="Y5"/>
    </row>
    <row r="6" spans="1:25" s="258" customFormat="1" ht="11.25" customHeight="1">
      <c r="A6" s="261"/>
      <c r="B6" s="262" t="s">
        <v>400</v>
      </c>
      <c r="C6" s="263"/>
      <c r="D6" s="262" t="s">
        <v>401</v>
      </c>
      <c r="E6" s="262" t="s">
        <v>401</v>
      </c>
      <c r="F6" s="264"/>
      <c r="G6" s="262" t="s">
        <v>402</v>
      </c>
      <c r="H6" s="262" t="s">
        <v>234</v>
      </c>
      <c r="I6" s="262" t="s">
        <v>234</v>
      </c>
      <c r="K6"/>
      <c r="L6"/>
      <c r="M6"/>
      <c r="N6"/>
      <c r="O6"/>
      <c r="P6"/>
      <c r="Q6"/>
      <c r="R6"/>
      <c r="S6"/>
      <c r="T6"/>
      <c r="U6"/>
      <c r="V6"/>
      <c r="W6"/>
      <c r="X6"/>
      <c r="Y6"/>
    </row>
    <row r="7" spans="1:25" s="268" customFormat="1" ht="10.5" customHeight="1">
      <c r="A7" s="265" t="s">
        <v>72</v>
      </c>
      <c r="B7" s="266"/>
      <c r="C7" s="266"/>
      <c r="D7" s="266"/>
      <c r="E7" s="266"/>
      <c r="F7" s="267"/>
      <c r="G7" s="267"/>
      <c r="H7" s="267"/>
      <c r="I7" s="267"/>
      <c r="K7"/>
      <c r="L7"/>
      <c r="M7"/>
      <c r="N7"/>
      <c r="O7"/>
      <c r="P7"/>
      <c r="Q7"/>
      <c r="R7"/>
      <c r="S7"/>
      <c r="T7"/>
      <c r="U7"/>
      <c r="V7"/>
      <c r="W7"/>
      <c r="X7"/>
      <c r="Y7"/>
    </row>
    <row r="8" spans="1:25" s="222" customFormat="1" ht="10.5" customHeight="1">
      <c r="A8" s="221" t="s">
        <v>403</v>
      </c>
      <c r="B8" s="269">
        <v>4451.3389999999999</v>
      </c>
      <c r="C8" s="269">
        <v>25.312999999999999</v>
      </c>
      <c r="D8" s="269">
        <v>226.83118999999999</v>
      </c>
      <c r="E8" s="269">
        <v>4703.4831899999999</v>
      </c>
      <c r="F8" s="270"/>
      <c r="G8" s="271">
        <v>1817.8133728000003</v>
      </c>
      <c r="H8" s="269">
        <v>9650.9856348643498</v>
      </c>
      <c r="I8" s="269">
        <v>16700.745766240001</v>
      </c>
      <c r="K8"/>
      <c r="L8"/>
      <c r="M8"/>
      <c r="N8"/>
      <c r="O8"/>
      <c r="P8"/>
      <c r="Q8"/>
      <c r="R8"/>
      <c r="S8"/>
      <c r="T8"/>
      <c r="U8"/>
      <c r="V8"/>
      <c r="W8"/>
      <c r="X8"/>
      <c r="Y8"/>
    </row>
    <row r="9" spans="1:25" s="222" customFormat="1" ht="10.5" customHeight="1">
      <c r="A9" s="221" t="s">
        <v>246</v>
      </c>
      <c r="B9" s="272">
        <v>0</v>
      </c>
      <c r="C9" s="272">
        <v>0</v>
      </c>
      <c r="D9" s="272">
        <v>0</v>
      </c>
      <c r="E9" s="272">
        <v>0</v>
      </c>
      <c r="F9" s="272"/>
      <c r="G9" s="272">
        <v>0</v>
      </c>
      <c r="H9" s="272">
        <v>0</v>
      </c>
      <c r="I9" s="272">
        <v>0</v>
      </c>
      <c r="K9"/>
      <c r="L9"/>
      <c r="M9"/>
      <c r="N9"/>
      <c r="O9"/>
      <c r="P9"/>
      <c r="Q9"/>
      <c r="R9"/>
      <c r="S9"/>
      <c r="T9"/>
      <c r="U9"/>
      <c r="V9"/>
      <c r="W9"/>
      <c r="X9"/>
      <c r="Y9"/>
    </row>
    <row r="10" spans="1:25" s="222" customFormat="1" ht="10.5" customHeight="1">
      <c r="A10" s="221" t="s">
        <v>4</v>
      </c>
      <c r="B10" s="269">
        <v>744.70399999999995</v>
      </c>
      <c r="C10" s="271">
        <v>324.548</v>
      </c>
      <c r="D10" s="271">
        <v>13.378825000000001</v>
      </c>
      <c r="E10" s="271">
        <v>1082.630825</v>
      </c>
      <c r="F10" s="269"/>
      <c r="G10" s="272">
        <v>0</v>
      </c>
      <c r="H10" s="272">
        <v>0</v>
      </c>
      <c r="I10" s="272">
        <v>0</v>
      </c>
      <c r="K10"/>
      <c r="L10"/>
      <c r="M10"/>
      <c r="N10"/>
      <c r="O10"/>
      <c r="P10"/>
      <c r="Q10"/>
      <c r="R10"/>
      <c r="S10"/>
      <c r="T10"/>
      <c r="U10"/>
      <c r="V10"/>
      <c r="W10"/>
      <c r="X10"/>
      <c r="Y10"/>
    </row>
    <row r="11" spans="1:25" s="222" customFormat="1" ht="11.25" customHeight="1">
      <c r="A11" s="221" t="s">
        <v>151</v>
      </c>
      <c r="B11" s="272">
        <v>-105.3</v>
      </c>
      <c r="C11" s="273">
        <v>-152.06900000000002</v>
      </c>
      <c r="D11" s="274">
        <v>-6.9963199999999999</v>
      </c>
      <c r="E11" s="271">
        <v>-264.36532000000005</v>
      </c>
      <c r="F11" s="269"/>
      <c r="G11" s="272">
        <v>0</v>
      </c>
      <c r="H11" s="272">
        <v>0</v>
      </c>
      <c r="I11" s="272">
        <v>0</v>
      </c>
      <c r="K11"/>
      <c r="L11"/>
      <c r="M11"/>
      <c r="N11"/>
      <c r="O11"/>
      <c r="P11"/>
      <c r="Q11"/>
      <c r="R11"/>
      <c r="S11"/>
      <c r="T11"/>
      <c r="U11"/>
      <c r="V11"/>
      <c r="W11"/>
      <c r="X11"/>
      <c r="Y11"/>
    </row>
    <row r="12" spans="1:25" s="222" customFormat="1" ht="11.25" customHeight="1">
      <c r="A12" s="221" t="s">
        <v>152</v>
      </c>
      <c r="B12" s="272">
        <v>0</v>
      </c>
      <c r="C12" s="272">
        <v>0</v>
      </c>
      <c r="D12" s="272">
        <v>0</v>
      </c>
      <c r="E12" s="272">
        <v>0</v>
      </c>
      <c r="F12" s="269"/>
      <c r="G12" s="272">
        <v>0</v>
      </c>
      <c r="H12" s="272">
        <v>0</v>
      </c>
      <c r="I12" s="272">
        <v>0</v>
      </c>
      <c r="K12"/>
      <c r="L12"/>
      <c r="M12"/>
      <c r="N12"/>
      <c r="O12"/>
      <c r="P12"/>
      <c r="Q12"/>
      <c r="R12"/>
      <c r="S12"/>
      <c r="T12"/>
      <c r="U12"/>
      <c r="V12"/>
      <c r="W12"/>
      <c r="X12"/>
      <c r="Y12"/>
    </row>
    <row r="13" spans="1:25" s="268" customFormat="1" ht="10.5" customHeight="1">
      <c r="A13" s="221" t="s">
        <v>404</v>
      </c>
      <c r="B13" s="273">
        <v>33.902999999999849</v>
      </c>
      <c r="C13" s="273">
        <v>-79.826000000000022</v>
      </c>
      <c r="D13" s="273">
        <v>1.8500399999999892</v>
      </c>
      <c r="E13" s="269">
        <v>-44.07296000000018</v>
      </c>
      <c r="F13" s="269"/>
      <c r="G13" s="272">
        <v>0</v>
      </c>
      <c r="H13" s="272">
        <v>0</v>
      </c>
      <c r="I13" s="272">
        <v>0</v>
      </c>
      <c r="K13"/>
      <c r="L13"/>
      <c r="M13"/>
      <c r="N13"/>
      <c r="O13"/>
      <c r="P13"/>
      <c r="Q13"/>
      <c r="R13"/>
      <c r="S13"/>
      <c r="T13"/>
      <c r="U13"/>
      <c r="V13"/>
      <c r="W13"/>
      <c r="X13"/>
      <c r="Y13"/>
    </row>
    <row r="14" spans="1:25" s="222" customFormat="1" ht="13.5" customHeight="1">
      <c r="A14" s="221" t="s">
        <v>405</v>
      </c>
      <c r="B14" s="269">
        <v>-1114.5379999999998</v>
      </c>
      <c r="C14" s="273">
        <v>1114.5379999999998</v>
      </c>
      <c r="D14" s="272">
        <v>0</v>
      </c>
      <c r="E14" s="272">
        <v>0</v>
      </c>
      <c r="F14" s="269"/>
      <c r="G14" s="272">
        <v>0</v>
      </c>
      <c r="H14" s="273">
        <v>80.780350800000008</v>
      </c>
      <c r="I14" s="273">
        <v>-3.0127409999999997</v>
      </c>
      <c r="K14"/>
      <c r="L14"/>
      <c r="M14"/>
      <c r="N14"/>
      <c r="O14"/>
      <c r="P14"/>
      <c r="Q14"/>
      <c r="R14"/>
      <c r="S14"/>
      <c r="T14"/>
      <c r="U14"/>
      <c r="V14"/>
      <c r="W14"/>
      <c r="X14"/>
      <c r="Y14"/>
    </row>
    <row r="15" spans="1:25" s="279" customFormat="1" ht="10.5" customHeight="1">
      <c r="A15" s="275" t="s">
        <v>249</v>
      </c>
      <c r="B15" s="276">
        <v>4010.1080000000002</v>
      </c>
      <c r="C15" s="277">
        <v>1232.5039999999997</v>
      </c>
      <c r="D15" s="277">
        <v>235.06373499999998</v>
      </c>
      <c r="E15" s="277">
        <v>5477.6757349999998</v>
      </c>
      <c r="F15" s="278"/>
      <c r="G15" s="277">
        <v>1817.8133728000003</v>
      </c>
      <c r="H15" s="276">
        <v>9731.7659856643495</v>
      </c>
      <c r="I15" s="276">
        <v>16697.733025240002</v>
      </c>
      <c r="K15"/>
      <c r="L15"/>
      <c r="M15"/>
      <c r="N15"/>
      <c r="O15"/>
      <c r="P15"/>
      <c r="Q15"/>
      <c r="R15"/>
      <c r="S15"/>
      <c r="T15"/>
      <c r="U15"/>
      <c r="V15"/>
      <c r="W15"/>
      <c r="X15"/>
      <c r="Y15"/>
    </row>
    <row r="16" spans="1:25" s="279" customFormat="1" ht="11.25" customHeight="1">
      <c r="A16" s="275" t="s">
        <v>406</v>
      </c>
      <c r="B16" s="280">
        <v>-13.877000000000407</v>
      </c>
      <c r="C16" s="280">
        <v>3.1179999999997108</v>
      </c>
      <c r="D16" s="280">
        <v>0</v>
      </c>
      <c r="E16" s="281">
        <v>-10.759000000000697</v>
      </c>
      <c r="F16" s="282"/>
      <c r="G16" s="283">
        <v>0</v>
      </c>
      <c r="H16" s="280">
        <v>46.530388799998036</v>
      </c>
      <c r="I16" s="284">
        <v>-113.46896329999799</v>
      </c>
      <c r="K16"/>
      <c r="L16"/>
      <c r="M16"/>
      <c r="N16"/>
      <c r="O16"/>
      <c r="P16"/>
      <c r="Q16"/>
      <c r="R16"/>
      <c r="S16"/>
      <c r="T16"/>
      <c r="U16"/>
      <c r="V16"/>
      <c r="W16"/>
      <c r="X16"/>
      <c r="Y16"/>
    </row>
    <row r="17" spans="1:25" s="279" customFormat="1" ht="10.5" customHeight="1">
      <c r="A17" s="275" t="s">
        <v>252</v>
      </c>
      <c r="B17" s="285">
        <v>4023.9850000000006</v>
      </c>
      <c r="C17" s="286">
        <v>1229.386</v>
      </c>
      <c r="D17" s="286">
        <v>234.60278499999998</v>
      </c>
      <c r="E17" s="285">
        <v>5485.1817850000007</v>
      </c>
      <c r="F17" s="287"/>
      <c r="G17" s="286">
        <v>1817.8133728000003</v>
      </c>
      <c r="H17" s="285">
        <v>9685.2355968643515</v>
      </c>
      <c r="I17" s="285">
        <v>16811.20198854</v>
      </c>
      <c r="K17"/>
      <c r="L17"/>
      <c r="M17"/>
      <c r="N17"/>
      <c r="O17"/>
      <c r="P17"/>
      <c r="Q17"/>
      <c r="R17"/>
      <c r="S17"/>
      <c r="T17"/>
      <c r="U17"/>
      <c r="V17"/>
      <c r="W17"/>
      <c r="X17"/>
      <c r="Y17"/>
    </row>
    <row r="18" spans="1:25" s="268" customFormat="1" ht="10.5" customHeight="1">
      <c r="A18" s="288" t="s">
        <v>158</v>
      </c>
      <c r="B18" s="289">
        <v>3909.8620000000005</v>
      </c>
      <c r="C18" s="289">
        <v>482.50200000000007</v>
      </c>
      <c r="D18" s="272">
        <v>0</v>
      </c>
      <c r="E18" s="289">
        <v>4392.3640000000005</v>
      </c>
      <c r="F18" s="290"/>
      <c r="G18" s="272">
        <v>0</v>
      </c>
      <c r="H18" s="289">
        <v>2525.2819999999997</v>
      </c>
      <c r="I18" s="289">
        <v>8970.67</v>
      </c>
      <c r="K18"/>
      <c r="L18"/>
      <c r="M18"/>
      <c r="N18"/>
      <c r="O18"/>
      <c r="P18"/>
      <c r="Q18"/>
      <c r="R18"/>
      <c r="S18"/>
      <c r="T18"/>
      <c r="U18"/>
      <c r="V18"/>
      <c r="W18"/>
      <c r="X18"/>
      <c r="Y18"/>
    </row>
    <row r="19" spans="1:25" s="222" customFormat="1" ht="10.5" customHeight="1">
      <c r="A19" s="221" t="s">
        <v>159</v>
      </c>
      <c r="B19" s="272">
        <v>0</v>
      </c>
      <c r="C19" s="272">
        <v>0</v>
      </c>
      <c r="D19" s="272">
        <v>0</v>
      </c>
      <c r="E19" s="272">
        <v>0</v>
      </c>
      <c r="F19" s="272"/>
      <c r="G19" s="272">
        <v>0</v>
      </c>
      <c r="H19" s="272">
        <v>2106.9969999999998</v>
      </c>
      <c r="I19" s="272">
        <v>8791.4049999999988</v>
      </c>
      <c r="K19"/>
      <c r="L19"/>
      <c r="M19"/>
      <c r="N19"/>
      <c r="O19"/>
      <c r="P19"/>
      <c r="Q19"/>
      <c r="R19"/>
      <c r="S19"/>
      <c r="T19"/>
      <c r="U19"/>
      <c r="V19"/>
      <c r="W19"/>
      <c r="X19"/>
      <c r="Y19"/>
    </row>
    <row r="20" spans="1:25" s="222" customFormat="1" ht="10.5" customHeight="1">
      <c r="A20" s="221" t="s">
        <v>253</v>
      </c>
      <c r="B20" s="272">
        <v>0</v>
      </c>
      <c r="C20" s="272">
        <v>0</v>
      </c>
      <c r="D20" s="272">
        <v>0</v>
      </c>
      <c r="E20" s="272">
        <v>0</v>
      </c>
      <c r="F20" s="272"/>
      <c r="G20" s="272">
        <v>0</v>
      </c>
      <c r="H20" s="272">
        <v>0</v>
      </c>
      <c r="I20" s="272">
        <v>0</v>
      </c>
      <c r="K20"/>
      <c r="L20"/>
      <c r="M20"/>
      <c r="N20"/>
      <c r="O20"/>
      <c r="P20"/>
      <c r="Q20"/>
      <c r="R20"/>
      <c r="S20"/>
      <c r="T20"/>
      <c r="U20"/>
      <c r="V20"/>
      <c r="W20"/>
      <c r="X20"/>
      <c r="Y20"/>
    </row>
    <row r="21" spans="1:25" s="222" customFormat="1" ht="10.5" customHeight="1">
      <c r="A21" s="221" t="s">
        <v>254</v>
      </c>
      <c r="B21" s="272">
        <v>0</v>
      </c>
      <c r="C21" s="272">
        <v>0</v>
      </c>
      <c r="D21" s="272">
        <v>0</v>
      </c>
      <c r="E21" s="272">
        <v>0</v>
      </c>
      <c r="F21" s="272"/>
      <c r="G21" s="272">
        <v>0</v>
      </c>
      <c r="H21" s="272">
        <v>2106.9969999999998</v>
      </c>
      <c r="I21" s="272">
        <v>8791.4049999999988</v>
      </c>
      <c r="K21"/>
      <c r="L21"/>
      <c r="M21"/>
      <c r="N21"/>
      <c r="O21"/>
      <c r="P21"/>
      <c r="Q21"/>
      <c r="R21"/>
      <c r="S21"/>
      <c r="T21"/>
      <c r="U21"/>
      <c r="V21"/>
      <c r="W21"/>
      <c r="X21"/>
      <c r="Y21"/>
    </row>
    <row r="22" spans="1:25" s="222" customFormat="1" ht="10.5" customHeight="1">
      <c r="A22" s="221" t="s">
        <v>161</v>
      </c>
      <c r="B22" s="272">
        <v>0</v>
      </c>
      <c r="C22" s="272">
        <v>0</v>
      </c>
      <c r="D22" s="272">
        <v>0</v>
      </c>
      <c r="E22" s="272">
        <v>0</v>
      </c>
      <c r="F22" s="272"/>
      <c r="G22" s="272">
        <v>0</v>
      </c>
      <c r="H22" s="272">
        <v>418.28500000000003</v>
      </c>
      <c r="I22" s="272">
        <v>179.26499999999999</v>
      </c>
      <c r="K22"/>
      <c r="L22"/>
      <c r="M22"/>
      <c r="N22"/>
      <c r="O22"/>
      <c r="P22"/>
      <c r="Q22"/>
      <c r="R22"/>
      <c r="S22"/>
      <c r="T22"/>
      <c r="U22"/>
      <c r="V22"/>
      <c r="W22"/>
      <c r="X22"/>
      <c r="Y22"/>
    </row>
    <row r="23" spans="1:25" s="222" customFormat="1" ht="10.5" customHeight="1">
      <c r="A23" s="221" t="s">
        <v>162</v>
      </c>
      <c r="B23" s="272">
        <v>0</v>
      </c>
      <c r="C23" s="272">
        <v>0</v>
      </c>
      <c r="D23" s="272">
        <v>0</v>
      </c>
      <c r="E23" s="272">
        <v>0</v>
      </c>
      <c r="F23" s="272"/>
      <c r="G23" s="272">
        <v>0</v>
      </c>
      <c r="H23" s="272">
        <v>0</v>
      </c>
      <c r="I23" s="272">
        <v>0</v>
      </c>
      <c r="K23"/>
      <c r="L23"/>
      <c r="M23"/>
      <c r="N23"/>
      <c r="O23"/>
      <c r="P23"/>
      <c r="Q23"/>
      <c r="R23"/>
      <c r="S23"/>
      <c r="T23"/>
      <c r="U23"/>
      <c r="V23"/>
      <c r="W23"/>
      <c r="X23"/>
      <c r="Y23"/>
    </row>
    <row r="24" spans="1:25" s="222" customFormat="1" ht="10.5" customHeight="1">
      <c r="A24" s="221" t="s">
        <v>163</v>
      </c>
      <c r="B24" s="272">
        <v>0</v>
      </c>
      <c r="C24" s="272">
        <v>0</v>
      </c>
      <c r="D24" s="272">
        <v>0</v>
      </c>
      <c r="E24" s="272">
        <v>0</v>
      </c>
      <c r="F24" s="272"/>
      <c r="G24" s="272">
        <v>0</v>
      </c>
      <c r="H24" s="272">
        <v>0</v>
      </c>
      <c r="I24" s="272">
        <v>0</v>
      </c>
      <c r="K24"/>
      <c r="L24"/>
      <c r="M24"/>
      <c r="N24"/>
      <c r="O24"/>
      <c r="P24"/>
      <c r="Q24"/>
      <c r="R24"/>
      <c r="S24"/>
      <c r="T24"/>
      <c r="U24"/>
      <c r="V24"/>
      <c r="W24"/>
      <c r="X24"/>
      <c r="Y24"/>
    </row>
    <row r="25" spans="1:25" s="222" customFormat="1" ht="10.5" customHeight="1">
      <c r="A25" s="221" t="s">
        <v>126</v>
      </c>
      <c r="B25" s="272">
        <v>3909.8620000000005</v>
      </c>
      <c r="C25" s="272">
        <v>482.50200000000007</v>
      </c>
      <c r="D25" s="272">
        <v>0</v>
      </c>
      <c r="E25" s="272">
        <v>4392.3640000000005</v>
      </c>
      <c r="F25" s="272"/>
      <c r="G25" s="272">
        <v>0</v>
      </c>
      <c r="H25" s="272">
        <v>0</v>
      </c>
      <c r="I25" s="272">
        <v>0</v>
      </c>
      <c r="K25"/>
      <c r="L25"/>
      <c r="M25"/>
      <c r="N25"/>
      <c r="O25"/>
      <c r="P25"/>
      <c r="Q25"/>
      <c r="R25"/>
      <c r="S25"/>
      <c r="T25"/>
      <c r="U25"/>
      <c r="V25"/>
      <c r="W25"/>
      <c r="X25"/>
      <c r="Y25"/>
    </row>
    <row r="26" spans="1:25" s="222" customFormat="1" ht="10.5" customHeight="1">
      <c r="A26" s="221" t="s">
        <v>164</v>
      </c>
      <c r="B26" s="272">
        <v>0</v>
      </c>
      <c r="C26" s="272">
        <v>0</v>
      </c>
      <c r="D26" s="272">
        <v>0</v>
      </c>
      <c r="E26" s="272">
        <v>0</v>
      </c>
      <c r="F26" s="272"/>
      <c r="G26" s="272">
        <v>0</v>
      </c>
      <c r="H26" s="272">
        <v>0</v>
      </c>
      <c r="I26" s="272">
        <v>0</v>
      </c>
      <c r="K26"/>
      <c r="L26"/>
      <c r="M26"/>
      <c r="N26"/>
      <c r="O26"/>
      <c r="P26"/>
      <c r="Q26"/>
      <c r="R26"/>
      <c r="S26"/>
      <c r="T26"/>
      <c r="U26"/>
      <c r="V26"/>
      <c r="W26"/>
      <c r="X26"/>
      <c r="Y26"/>
    </row>
    <row r="27" spans="1:25" s="222" customFormat="1" ht="10.5" customHeight="1">
      <c r="A27" s="291" t="s">
        <v>407</v>
      </c>
      <c r="B27" s="292">
        <v>0</v>
      </c>
      <c r="C27" s="292">
        <v>0</v>
      </c>
      <c r="D27" s="272">
        <v>0</v>
      </c>
      <c r="E27" s="272">
        <v>0</v>
      </c>
      <c r="F27" s="272"/>
      <c r="G27" s="292">
        <v>0</v>
      </c>
      <c r="H27" s="292">
        <v>0</v>
      </c>
      <c r="I27" s="292">
        <v>0</v>
      </c>
      <c r="K27"/>
      <c r="L27"/>
      <c r="M27"/>
      <c r="N27"/>
      <c r="O27"/>
      <c r="P27"/>
      <c r="Q27"/>
      <c r="R27"/>
      <c r="S27"/>
      <c r="T27"/>
      <c r="U27"/>
      <c r="V27"/>
      <c r="W27"/>
      <c r="X27"/>
      <c r="Y27"/>
    </row>
    <row r="28" spans="1:25" s="279" customFormat="1" ht="10.5" customHeight="1">
      <c r="A28" s="293" t="s">
        <v>165</v>
      </c>
      <c r="B28" s="283">
        <v>0</v>
      </c>
      <c r="C28" s="283">
        <v>0</v>
      </c>
      <c r="D28" s="294">
        <v>0</v>
      </c>
      <c r="E28" s="294">
        <v>0</v>
      </c>
      <c r="F28" s="287"/>
      <c r="G28" s="283">
        <v>0</v>
      </c>
      <c r="H28" s="294">
        <v>5169.6770131518142</v>
      </c>
      <c r="I28" s="294">
        <v>5081.8984326400005</v>
      </c>
      <c r="K28"/>
      <c r="L28"/>
      <c r="M28"/>
      <c r="N28"/>
      <c r="O28"/>
      <c r="P28"/>
      <c r="Q28"/>
      <c r="R28"/>
      <c r="S28"/>
      <c r="T28"/>
      <c r="U28"/>
      <c r="V28"/>
      <c r="W28"/>
      <c r="X28"/>
      <c r="Y28"/>
    </row>
    <row r="29" spans="1:25" s="222" customFormat="1" ht="10.5" customHeight="1">
      <c r="A29" s="221" t="s">
        <v>159</v>
      </c>
      <c r="B29" s="272">
        <v>0</v>
      </c>
      <c r="C29" s="272">
        <v>0</v>
      </c>
      <c r="D29" s="272">
        <v>0</v>
      </c>
      <c r="E29" s="272">
        <v>0</v>
      </c>
      <c r="F29" s="272"/>
      <c r="G29" s="272">
        <v>0</v>
      </c>
      <c r="H29" s="272">
        <v>0</v>
      </c>
      <c r="I29" s="272">
        <v>0</v>
      </c>
      <c r="K29"/>
      <c r="L29"/>
      <c r="M29"/>
      <c r="N29"/>
      <c r="O29"/>
      <c r="P29"/>
      <c r="Q29"/>
      <c r="R29"/>
      <c r="S29"/>
      <c r="T29"/>
      <c r="U29"/>
      <c r="V29"/>
      <c r="W29"/>
      <c r="X29"/>
      <c r="Y29"/>
    </row>
    <row r="30" spans="1:25" s="222" customFormat="1" ht="10.5" customHeight="1">
      <c r="A30" s="221" t="s">
        <v>166</v>
      </c>
      <c r="B30" s="272">
        <v>0</v>
      </c>
      <c r="C30" s="272">
        <v>0</v>
      </c>
      <c r="D30" s="272">
        <v>0</v>
      </c>
      <c r="E30" s="272">
        <v>0</v>
      </c>
      <c r="F30" s="272"/>
      <c r="G30" s="272">
        <v>0</v>
      </c>
      <c r="H30" s="272">
        <v>0</v>
      </c>
      <c r="I30" s="272">
        <v>0</v>
      </c>
      <c r="K30"/>
      <c r="L30"/>
      <c r="M30"/>
      <c r="N30"/>
      <c r="O30"/>
      <c r="P30"/>
      <c r="Q30"/>
      <c r="R30"/>
      <c r="S30"/>
      <c r="T30"/>
      <c r="U30"/>
      <c r="V30"/>
      <c r="W30"/>
      <c r="X30"/>
      <c r="Y30"/>
    </row>
    <row r="31" spans="1:25" s="222" customFormat="1" ht="10.5" customHeight="1">
      <c r="A31" s="221" t="s">
        <v>162</v>
      </c>
      <c r="B31" s="272">
        <v>0</v>
      </c>
      <c r="C31" s="272">
        <v>0</v>
      </c>
      <c r="D31" s="272">
        <v>0</v>
      </c>
      <c r="E31" s="272">
        <v>0</v>
      </c>
      <c r="F31" s="272"/>
      <c r="G31" s="272">
        <v>0</v>
      </c>
      <c r="H31" s="272">
        <v>0</v>
      </c>
      <c r="I31" s="272">
        <v>0</v>
      </c>
      <c r="K31"/>
      <c r="L31"/>
      <c r="M31"/>
      <c r="N31"/>
      <c r="O31"/>
      <c r="P31"/>
      <c r="Q31"/>
      <c r="R31"/>
      <c r="S31"/>
      <c r="T31"/>
      <c r="U31"/>
      <c r="V31"/>
      <c r="W31"/>
      <c r="X31"/>
      <c r="Y31"/>
    </row>
    <row r="32" spans="1:25" s="222" customFormat="1" ht="10.5" customHeight="1">
      <c r="A32" s="221" t="s">
        <v>167</v>
      </c>
      <c r="B32" s="272">
        <v>0</v>
      </c>
      <c r="C32" s="272">
        <v>0</v>
      </c>
      <c r="D32" s="272">
        <v>0</v>
      </c>
      <c r="E32" s="272">
        <v>0</v>
      </c>
      <c r="F32" s="272"/>
      <c r="G32" s="272">
        <v>0</v>
      </c>
      <c r="H32" s="272">
        <v>0</v>
      </c>
      <c r="I32" s="272">
        <v>0</v>
      </c>
      <c r="K32"/>
      <c r="L32"/>
      <c r="M32"/>
      <c r="N32"/>
      <c r="O32"/>
      <c r="P32"/>
      <c r="Q32"/>
      <c r="R32"/>
      <c r="S32"/>
      <c r="T32"/>
      <c r="U32"/>
      <c r="V32"/>
      <c r="W32"/>
      <c r="X32"/>
      <c r="Y32"/>
    </row>
    <row r="33" spans="1:90" s="222" customFormat="1" ht="10.5" customHeight="1">
      <c r="A33" s="221" t="s">
        <v>163</v>
      </c>
      <c r="B33" s="272">
        <v>0</v>
      </c>
      <c r="C33" s="272">
        <v>0</v>
      </c>
      <c r="D33" s="272">
        <v>0</v>
      </c>
      <c r="E33" s="272">
        <v>0</v>
      </c>
      <c r="F33" s="272"/>
      <c r="G33" s="272">
        <v>0</v>
      </c>
      <c r="H33" s="272">
        <v>4227.8516731518139</v>
      </c>
      <c r="I33" s="272">
        <v>702.5692316200001</v>
      </c>
      <c r="K33"/>
      <c r="L33"/>
      <c r="M33"/>
      <c r="N33"/>
      <c r="O33"/>
      <c r="P33"/>
      <c r="Q33"/>
      <c r="R33"/>
      <c r="S33"/>
      <c r="T33"/>
      <c r="U33"/>
      <c r="V33"/>
      <c r="W33"/>
      <c r="X33"/>
      <c r="Y33"/>
    </row>
    <row r="34" spans="1:90" s="222" customFormat="1" ht="10.5" customHeight="1">
      <c r="A34" s="221" t="s">
        <v>126</v>
      </c>
      <c r="B34" s="272">
        <v>0</v>
      </c>
      <c r="C34" s="272">
        <v>0</v>
      </c>
      <c r="D34" s="272">
        <v>0</v>
      </c>
      <c r="E34" s="272">
        <v>0</v>
      </c>
      <c r="F34" s="272"/>
      <c r="G34" s="272">
        <v>0</v>
      </c>
      <c r="H34" s="272">
        <v>941.82533999999998</v>
      </c>
      <c r="I34" s="272">
        <v>4379.3292010200003</v>
      </c>
      <c r="K34"/>
      <c r="L34"/>
      <c r="M34"/>
      <c r="N34"/>
      <c r="O34"/>
      <c r="P34"/>
      <c r="Q34"/>
      <c r="R34"/>
      <c r="S34"/>
      <c r="T34"/>
      <c r="U34"/>
      <c r="V34"/>
      <c r="W34"/>
      <c r="X34"/>
      <c r="Y34"/>
    </row>
    <row r="35" spans="1:90" s="222" customFormat="1" ht="10.5" customHeight="1">
      <c r="A35" s="221" t="s">
        <v>164</v>
      </c>
      <c r="B35" s="272">
        <v>0</v>
      </c>
      <c r="C35" s="272">
        <v>0</v>
      </c>
      <c r="D35" s="272">
        <v>0</v>
      </c>
      <c r="E35" s="272">
        <v>0</v>
      </c>
      <c r="F35" s="272"/>
      <c r="G35" s="272">
        <v>0</v>
      </c>
      <c r="H35" s="272">
        <v>0</v>
      </c>
      <c r="I35" s="272">
        <v>0</v>
      </c>
      <c r="K35"/>
      <c r="L35"/>
      <c r="M35"/>
      <c r="N35"/>
      <c r="O35"/>
      <c r="P35"/>
      <c r="Q35"/>
      <c r="R35"/>
      <c r="S35"/>
      <c r="T35"/>
      <c r="U35"/>
      <c r="V35"/>
      <c r="W35"/>
      <c r="X35"/>
      <c r="Y35"/>
    </row>
    <row r="36" spans="1:90" s="268" customFormat="1" ht="10.5" customHeight="1">
      <c r="A36" s="221" t="s">
        <v>168</v>
      </c>
      <c r="B36" s="272">
        <v>0</v>
      </c>
      <c r="C36" s="272">
        <v>0</v>
      </c>
      <c r="D36" s="272">
        <v>0</v>
      </c>
      <c r="E36" s="272">
        <v>0</v>
      </c>
      <c r="F36" s="272"/>
      <c r="G36" s="272">
        <v>0</v>
      </c>
      <c r="H36" s="272">
        <v>0</v>
      </c>
      <c r="I36" s="272">
        <v>0</v>
      </c>
      <c r="K36"/>
      <c r="L36"/>
      <c r="M36"/>
      <c r="N36"/>
      <c r="O36"/>
      <c r="P36"/>
      <c r="Q36"/>
      <c r="R36"/>
      <c r="S36"/>
      <c r="T36"/>
      <c r="U36"/>
      <c r="V36"/>
      <c r="W36"/>
      <c r="X36"/>
      <c r="Y36"/>
    </row>
    <row r="37" spans="1:90" s="222" customFormat="1" ht="9.75" customHeight="1">
      <c r="A37" s="221" t="s">
        <v>123</v>
      </c>
      <c r="B37" s="272">
        <v>0</v>
      </c>
      <c r="C37" s="272">
        <v>0</v>
      </c>
      <c r="D37" s="272">
        <v>0</v>
      </c>
      <c r="E37" s="272">
        <v>0</v>
      </c>
      <c r="F37" s="272"/>
      <c r="G37" s="272">
        <v>0</v>
      </c>
      <c r="H37" s="272">
        <v>0</v>
      </c>
      <c r="I37" s="272">
        <v>0</v>
      </c>
      <c r="K37"/>
      <c r="L37"/>
      <c r="M37"/>
      <c r="N37"/>
      <c r="O37"/>
      <c r="P37"/>
      <c r="Q37"/>
      <c r="R37"/>
      <c r="S37"/>
      <c r="T37"/>
      <c r="U37"/>
      <c r="V37"/>
      <c r="W37"/>
      <c r="X37"/>
      <c r="Y37"/>
    </row>
    <row r="38" spans="1:90" s="279" customFormat="1" ht="9.75" customHeight="1">
      <c r="A38" s="295" t="s">
        <v>58</v>
      </c>
      <c r="B38" s="283">
        <v>0</v>
      </c>
      <c r="C38" s="283">
        <v>0</v>
      </c>
      <c r="D38" s="283">
        <v>0</v>
      </c>
      <c r="E38" s="283">
        <v>0</v>
      </c>
      <c r="F38" s="296"/>
      <c r="G38" s="283">
        <v>0</v>
      </c>
      <c r="H38" s="296">
        <v>445.46924580000001</v>
      </c>
      <c r="I38" s="296">
        <v>2070.5885090200004</v>
      </c>
      <c r="J38" s="297"/>
      <c r="K38"/>
      <c r="L38"/>
      <c r="M38"/>
      <c r="N38"/>
      <c r="O38"/>
      <c r="P38"/>
      <c r="Q38"/>
      <c r="R38"/>
      <c r="S38"/>
      <c r="T38"/>
      <c r="U38"/>
      <c r="V38"/>
      <c r="W38"/>
      <c r="X38"/>
      <c r="Y38"/>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c r="BH38" s="297"/>
      <c r="BI38" s="297"/>
      <c r="BJ38" s="297"/>
      <c r="BK38" s="297"/>
      <c r="BL38" s="297"/>
      <c r="BM38" s="297"/>
      <c r="BN38" s="297"/>
      <c r="BO38" s="297"/>
      <c r="BP38" s="297"/>
      <c r="BQ38" s="297"/>
      <c r="BR38" s="297"/>
      <c r="BS38" s="297"/>
      <c r="BT38" s="297"/>
      <c r="BU38" s="297"/>
      <c r="BV38" s="297"/>
      <c r="BW38" s="297"/>
      <c r="BX38" s="297"/>
      <c r="BY38" s="297"/>
      <c r="BZ38" s="297"/>
      <c r="CA38" s="297"/>
      <c r="CB38" s="297"/>
      <c r="CC38" s="297"/>
      <c r="CD38" s="297"/>
      <c r="CE38" s="297"/>
      <c r="CF38" s="297"/>
      <c r="CG38" s="297"/>
      <c r="CH38" s="297"/>
      <c r="CI38" s="297"/>
      <c r="CJ38" s="297"/>
      <c r="CK38" s="297"/>
      <c r="CL38" s="297"/>
    </row>
    <row r="39" spans="1:90" s="298" customFormat="1" ht="10.5" customHeight="1">
      <c r="A39" s="275" t="s">
        <v>169</v>
      </c>
      <c r="B39" s="285">
        <v>114.12299999999995</v>
      </c>
      <c r="C39" s="286">
        <v>746.88400000000001</v>
      </c>
      <c r="D39" s="286">
        <v>234.60278499999998</v>
      </c>
      <c r="E39" s="285">
        <v>1092.817785</v>
      </c>
      <c r="F39" s="287"/>
      <c r="G39" s="286">
        <v>1817.8133728000003</v>
      </c>
      <c r="H39" s="285">
        <v>1544.8073379125367</v>
      </c>
      <c r="I39" s="285">
        <v>688.04504688000077</v>
      </c>
      <c r="J39" s="297"/>
      <c r="K39"/>
      <c r="L39"/>
      <c r="M39"/>
      <c r="N39"/>
      <c r="O39"/>
      <c r="P39"/>
      <c r="Q39"/>
      <c r="R39"/>
      <c r="S39"/>
      <c r="T39"/>
      <c r="U39"/>
      <c r="V39"/>
      <c r="W39"/>
      <c r="X39"/>
      <c r="Y39"/>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97"/>
      <c r="BQ39" s="297"/>
      <c r="BR39" s="297"/>
      <c r="BS39" s="297"/>
      <c r="BT39" s="297"/>
      <c r="BU39" s="297"/>
      <c r="BV39" s="297"/>
      <c r="BW39" s="297"/>
      <c r="BX39" s="297"/>
      <c r="BY39" s="297"/>
      <c r="BZ39" s="297"/>
      <c r="CA39" s="297"/>
      <c r="CB39" s="297"/>
      <c r="CC39" s="297"/>
      <c r="CD39" s="297"/>
      <c r="CE39" s="297"/>
      <c r="CF39" s="297"/>
      <c r="CG39" s="297"/>
      <c r="CH39" s="297"/>
      <c r="CI39" s="297"/>
      <c r="CJ39" s="297"/>
      <c r="CK39" s="297"/>
      <c r="CL39" s="297"/>
    </row>
    <row r="40" spans="1:90" s="279" customFormat="1" ht="10.5" customHeight="1">
      <c r="A40" s="295" t="s">
        <v>43</v>
      </c>
      <c r="B40" s="296">
        <v>99.250999994719976</v>
      </c>
      <c r="C40" s="299">
        <v>746.88400000000001</v>
      </c>
      <c r="D40" s="296">
        <v>0</v>
      </c>
      <c r="E40" s="299">
        <v>846.13499999472003</v>
      </c>
      <c r="F40" s="296"/>
      <c r="G40" s="299">
        <v>1817.8133728000003</v>
      </c>
      <c r="H40" s="296">
        <v>1544.8073379125367</v>
      </c>
      <c r="I40" s="296">
        <v>688.04504688000077</v>
      </c>
      <c r="J40" s="297"/>
      <c r="K40"/>
      <c r="L40"/>
      <c r="M40"/>
      <c r="N40"/>
      <c r="O40"/>
      <c r="P40"/>
      <c r="Q40"/>
      <c r="R40"/>
      <c r="S40"/>
      <c r="T40"/>
      <c r="U40"/>
      <c r="V40"/>
      <c r="W40"/>
      <c r="X40"/>
      <c r="Y40"/>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7"/>
      <c r="BG40" s="297"/>
      <c r="BH40" s="297"/>
      <c r="BI40" s="297"/>
      <c r="BJ40" s="297"/>
      <c r="BK40" s="297"/>
      <c r="BL40" s="297"/>
      <c r="BM40" s="297"/>
      <c r="BN40" s="297"/>
      <c r="BO40" s="297"/>
      <c r="BP40" s="297"/>
      <c r="BQ40" s="297"/>
      <c r="BR40" s="297"/>
      <c r="BS40" s="297"/>
      <c r="BT40" s="297"/>
      <c r="BU40" s="297"/>
      <c r="BV40" s="297"/>
      <c r="BW40" s="297"/>
      <c r="BX40" s="297"/>
      <c r="BY40" s="297"/>
      <c r="BZ40" s="297"/>
      <c r="CA40" s="297"/>
      <c r="CB40" s="297"/>
      <c r="CC40" s="297"/>
      <c r="CD40" s="297"/>
      <c r="CE40" s="297"/>
      <c r="CF40" s="297"/>
      <c r="CG40" s="297"/>
      <c r="CH40" s="297"/>
      <c r="CI40" s="297"/>
      <c r="CJ40" s="297"/>
      <c r="CK40" s="297"/>
      <c r="CL40" s="297"/>
    </row>
    <row r="41" spans="1:90" s="222" customFormat="1" ht="10.5" customHeight="1">
      <c r="A41" s="221" t="s">
        <v>170</v>
      </c>
      <c r="B41" s="272">
        <v>76.327999994719974</v>
      </c>
      <c r="C41" s="274">
        <v>12.95</v>
      </c>
      <c r="D41" s="272">
        <v>0</v>
      </c>
      <c r="E41" s="300">
        <v>89.277999994719977</v>
      </c>
      <c r="F41" s="272"/>
      <c r="G41" s="274">
        <v>1817.8133728000003</v>
      </c>
      <c r="H41" s="272">
        <v>221.21165071253574</v>
      </c>
      <c r="I41" s="272">
        <v>0</v>
      </c>
      <c r="J41" s="301"/>
      <c r="K41"/>
      <c r="L41"/>
      <c r="M41"/>
      <c r="N41"/>
      <c r="O41"/>
      <c r="P41"/>
      <c r="Q41"/>
      <c r="R41"/>
      <c r="S41"/>
      <c r="T41"/>
      <c r="U41"/>
      <c r="V41"/>
      <c r="W41"/>
      <c r="X41"/>
      <c r="Y4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c r="BR41" s="301"/>
      <c r="BS41" s="301"/>
      <c r="BT41" s="301"/>
      <c r="BU41" s="301"/>
      <c r="BV41" s="301"/>
      <c r="BW41" s="301"/>
      <c r="BX41" s="301"/>
      <c r="BY41" s="301"/>
      <c r="BZ41" s="301"/>
      <c r="CA41" s="301"/>
      <c r="CB41" s="301"/>
      <c r="CC41" s="301"/>
      <c r="CD41" s="301"/>
      <c r="CE41" s="301"/>
      <c r="CF41" s="301"/>
      <c r="CG41" s="301"/>
      <c r="CH41" s="301"/>
      <c r="CI41" s="301"/>
      <c r="CJ41" s="301"/>
      <c r="CK41" s="301"/>
      <c r="CL41" s="301"/>
    </row>
    <row r="42" spans="1:90" s="222" customFormat="1" ht="10.5" customHeight="1">
      <c r="A42" s="221" t="s">
        <v>171</v>
      </c>
      <c r="B42" s="272">
        <v>22.923000000000002</v>
      </c>
      <c r="C42" s="272">
        <v>733.93399999999997</v>
      </c>
      <c r="D42" s="272">
        <v>0</v>
      </c>
      <c r="E42" s="272">
        <v>756.85699999999997</v>
      </c>
      <c r="F42" s="272"/>
      <c r="G42" s="272">
        <v>0</v>
      </c>
      <c r="H42" s="272">
        <v>1323.5956872000008</v>
      </c>
      <c r="I42" s="272">
        <v>688.04504688000077</v>
      </c>
      <c r="K42"/>
      <c r="L42"/>
      <c r="M42"/>
      <c r="N42"/>
      <c r="O42"/>
      <c r="P42"/>
      <c r="Q42"/>
      <c r="R42"/>
      <c r="S42"/>
      <c r="T42"/>
      <c r="U42"/>
      <c r="V42"/>
      <c r="W42"/>
      <c r="X42"/>
      <c r="Y42"/>
    </row>
    <row r="43" spans="1:90" s="222" customFormat="1" ht="10.5" customHeight="1">
      <c r="A43" s="221" t="s">
        <v>172</v>
      </c>
      <c r="B43" s="272">
        <v>0</v>
      </c>
      <c r="C43" s="272">
        <v>0</v>
      </c>
      <c r="D43" s="272">
        <v>0</v>
      </c>
      <c r="E43" s="272">
        <v>0</v>
      </c>
      <c r="F43" s="272"/>
      <c r="G43" s="272">
        <v>0</v>
      </c>
      <c r="H43" s="272">
        <v>0</v>
      </c>
      <c r="I43" s="272">
        <v>0</v>
      </c>
      <c r="K43"/>
      <c r="L43"/>
      <c r="M43"/>
      <c r="N43"/>
      <c r="O43"/>
      <c r="P43"/>
      <c r="Q43"/>
      <c r="R43"/>
      <c r="S43"/>
      <c r="T43"/>
      <c r="U43"/>
      <c r="V43"/>
      <c r="W43"/>
      <c r="X43"/>
      <c r="Y43"/>
    </row>
    <row r="44" spans="1:90" s="222" customFormat="1" ht="10.5" customHeight="1">
      <c r="A44" s="221" t="s">
        <v>173</v>
      </c>
      <c r="B44" s="272">
        <v>0</v>
      </c>
      <c r="C44" s="272">
        <v>0</v>
      </c>
      <c r="D44" s="272">
        <v>0</v>
      </c>
      <c r="E44" s="272">
        <v>0</v>
      </c>
      <c r="F44" s="272"/>
      <c r="G44" s="272">
        <v>0</v>
      </c>
      <c r="H44" s="272">
        <v>0</v>
      </c>
      <c r="I44" s="272">
        <v>0</v>
      </c>
      <c r="K44"/>
      <c r="L44"/>
      <c r="M44"/>
      <c r="N44"/>
      <c r="O44"/>
      <c r="P44"/>
      <c r="Q44"/>
      <c r="R44"/>
      <c r="S44"/>
      <c r="T44"/>
      <c r="U44"/>
      <c r="V44"/>
      <c r="W44"/>
      <c r="X44"/>
      <c r="Y44"/>
    </row>
    <row r="45" spans="1:90" s="222" customFormat="1" ht="10.5" customHeight="1">
      <c r="A45" s="221" t="s">
        <v>174</v>
      </c>
      <c r="B45" s="272">
        <v>0</v>
      </c>
      <c r="C45" s="272">
        <v>0</v>
      </c>
      <c r="D45" s="272">
        <v>0</v>
      </c>
      <c r="E45" s="272">
        <v>0</v>
      </c>
      <c r="F45" s="272"/>
      <c r="G45" s="272">
        <v>0</v>
      </c>
      <c r="H45" s="272">
        <v>0</v>
      </c>
      <c r="I45" s="272">
        <v>0</v>
      </c>
      <c r="K45"/>
      <c r="L45"/>
      <c r="M45"/>
      <c r="N45"/>
      <c r="O45"/>
      <c r="P45"/>
      <c r="Q45"/>
      <c r="R45"/>
      <c r="S45"/>
      <c r="T45"/>
      <c r="U45"/>
      <c r="V45"/>
      <c r="W45"/>
      <c r="X45"/>
      <c r="Y45"/>
    </row>
    <row r="46" spans="1:90" s="222" customFormat="1" ht="10.5" customHeight="1">
      <c r="A46" s="302" t="s">
        <v>255</v>
      </c>
      <c r="B46" s="272">
        <v>0</v>
      </c>
      <c r="C46" s="272">
        <v>0</v>
      </c>
      <c r="D46" s="272">
        <v>0</v>
      </c>
      <c r="E46" s="272">
        <v>0</v>
      </c>
      <c r="F46" s="272"/>
      <c r="G46" s="272">
        <v>0</v>
      </c>
      <c r="H46" s="272">
        <v>0</v>
      </c>
      <c r="I46" s="272">
        <v>0</v>
      </c>
      <c r="K46"/>
      <c r="L46"/>
      <c r="M46"/>
      <c r="N46"/>
      <c r="O46"/>
      <c r="P46"/>
      <c r="Q46"/>
      <c r="R46"/>
      <c r="S46"/>
      <c r="T46"/>
      <c r="U46"/>
      <c r="V46"/>
      <c r="W46"/>
      <c r="X46"/>
      <c r="Y46"/>
    </row>
    <row r="47" spans="1:90" s="222" customFormat="1" ht="10.5" customHeight="1">
      <c r="A47" s="302" t="s">
        <v>256</v>
      </c>
      <c r="B47" s="272">
        <v>0</v>
      </c>
      <c r="C47" s="272">
        <v>0</v>
      </c>
      <c r="D47" s="272">
        <v>0</v>
      </c>
      <c r="E47" s="272">
        <v>0</v>
      </c>
      <c r="F47" s="272"/>
      <c r="G47" s="272">
        <v>0</v>
      </c>
      <c r="H47" s="272">
        <v>0</v>
      </c>
      <c r="I47" s="272">
        <v>0</v>
      </c>
      <c r="K47"/>
      <c r="L47"/>
      <c r="M47"/>
      <c r="N47"/>
      <c r="O47"/>
      <c r="P47"/>
      <c r="Q47"/>
      <c r="R47"/>
      <c r="S47"/>
      <c r="T47"/>
      <c r="U47"/>
      <c r="V47"/>
      <c r="W47"/>
      <c r="X47"/>
      <c r="Y47"/>
    </row>
    <row r="48" spans="1:90" s="222" customFormat="1" ht="10.5" customHeight="1">
      <c r="A48" s="302" t="s">
        <v>177</v>
      </c>
      <c r="B48" s="272">
        <v>0</v>
      </c>
      <c r="C48" s="272">
        <v>0</v>
      </c>
      <c r="D48" s="272">
        <v>0</v>
      </c>
      <c r="E48" s="272">
        <v>0</v>
      </c>
      <c r="F48" s="272"/>
      <c r="G48" s="272">
        <v>0</v>
      </c>
      <c r="H48" s="272">
        <v>0</v>
      </c>
      <c r="I48" s="272">
        <v>0</v>
      </c>
      <c r="K48"/>
      <c r="L48"/>
      <c r="M48"/>
      <c r="N48"/>
      <c r="O48"/>
      <c r="P48"/>
      <c r="Q48"/>
      <c r="R48"/>
      <c r="S48"/>
      <c r="T48"/>
      <c r="U48"/>
      <c r="V48"/>
      <c r="W48"/>
      <c r="X48"/>
      <c r="Y48"/>
    </row>
    <row r="49" spans="1:25" s="222" customFormat="1" ht="10.5" customHeight="1">
      <c r="A49" s="302" t="s">
        <v>257</v>
      </c>
      <c r="B49" s="272">
        <v>0</v>
      </c>
      <c r="C49" s="272">
        <v>0</v>
      </c>
      <c r="D49" s="272">
        <v>0</v>
      </c>
      <c r="E49" s="272">
        <v>0</v>
      </c>
      <c r="F49" s="272"/>
      <c r="G49" s="272">
        <v>0</v>
      </c>
      <c r="H49" s="272">
        <v>0</v>
      </c>
      <c r="I49" s="272">
        <v>0</v>
      </c>
      <c r="K49"/>
      <c r="L49"/>
      <c r="M49"/>
      <c r="N49"/>
      <c r="O49"/>
      <c r="P49"/>
      <c r="Q49"/>
      <c r="R49"/>
      <c r="S49"/>
      <c r="T49"/>
      <c r="U49"/>
      <c r="V49"/>
      <c r="W49"/>
      <c r="X49"/>
      <c r="Y49"/>
    </row>
    <row r="50" spans="1:25" s="222" customFormat="1" ht="10.5" customHeight="1">
      <c r="A50" s="302" t="s">
        <v>258</v>
      </c>
      <c r="B50" s="272">
        <v>0</v>
      </c>
      <c r="C50" s="272">
        <v>0</v>
      </c>
      <c r="D50" s="272">
        <v>0</v>
      </c>
      <c r="E50" s="272">
        <v>0</v>
      </c>
      <c r="F50" s="272"/>
      <c r="G50" s="272">
        <v>0</v>
      </c>
      <c r="H50" s="272">
        <v>0</v>
      </c>
      <c r="I50" s="272">
        <v>0</v>
      </c>
      <c r="K50"/>
      <c r="L50"/>
      <c r="M50"/>
      <c r="N50"/>
      <c r="O50"/>
      <c r="P50"/>
      <c r="Q50"/>
      <c r="R50"/>
      <c r="S50"/>
      <c r="T50"/>
      <c r="U50"/>
      <c r="V50"/>
      <c r="W50"/>
      <c r="X50"/>
      <c r="Y50"/>
    </row>
    <row r="51" spans="1:25" s="222" customFormat="1" ht="10.5" customHeight="1">
      <c r="A51" s="302" t="s">
        <v>259</v>
      </c>
      <c r="B51" s="272">
        <v>0</v>
      </c>
      <c r="C51" s="272">
        <v>0</v>
      </c>
      <c r="D51" s="272">
        <v>0</v>
      </c>
      <c r="E51" s="272">
        <v>0</v>
      </c>
      <c r="F51" s="272"/>
      <c r="G51" s="272">
        <v>0</v>
      </c>
      <c r="H51" s="272">
        <v>0</v>
      </c>
      <c r="I51" s="272">
        <v>0</v>
      </c>
      <c r="K51"/>
      <c r="L51"/>
      <c r="M51"/>
      <c r="N51"/>
      <c r="O51"/>
      <c r="P51"/>
      <c r="Q51"/>
      <c r="R51"/>
      <c r="S51"/>
      <c r="T51"/>
      <c r="U51"/>
      <c r="V51"/>
      <c r="W51"/>
      <c r="X51"/>
      <c r="Y51"/>
    </row>
    <row r="52" spans="1:25" s="222" customFormat="1" ht="10.5" customHeight="1">
      <c r="A52" s="221" t="s">
        <v>181</v>
      </c>
      <c r="B52" s="272">
        <v>0</v>
      </c>
      <c r="C52" s="272">
        <v>0</v>
      </c>
      <c r="D52" s="272">
        <v>0</v>
      </c>
      <c r="E52" s="272">
        <v>0</v>
      </c>
      <c r="F52" s="272"/>
      <c r="G52" s="272">
        <v>0</v>
      </c>
      <c r="H52" s="272">
        <v>0</v>
      </c>
      <c r="I52" s="272">
        <v>0</v>
      </c>
      <c r="K52"/>
      <c r="L52"/>
      <c r="M52"/>
      <c r="N52"/>
      <c r="O52"/>
      <c r="P52"/>
      <c r="Q52"/>
      <c r="R52"/>
      <c r="S52"/>
      <c r="T52"/>
      <c r="U52"/>
      <c r="V52"/>
      <c r="W52"/>
      <c r="X52"/>
      <c r="Y52"/>
    </row>
    <row r="53" spans="1:25" s="222" customFormat="1" ht="10.5" customHeight="1">
      <c r="A53" s="221" t="s">
        <v>182</v>
      </c>
      <c r="B53" s="272">
        <v>0</v>
      </c>
      <c r="C53" s="272">
        <v>0</v>
      </c>
      <c r="D53" s="272">
        <v>0</v>
      </c>
      <c r="E53" s="272">
        <v>0</v>
      </c>
      <c r="F53" s="272"/>
      <c r="G53" s="272">
        <v>0</v>
      </c>
      <c r="H53" s="272">
        <v>0</v>
      </c>
      <c r="I53" s="272">
        <v>0</v>
      </c>
      <c r="K53"/>
      <c r="L53"/>
      <c r="M53"/>
      <c r="N53"/>
      <c r="O53"/>
      <c r="P53"/>
      <c r="Q53"/>
      <c r="R53"/>
      <c r="S53"/>
      <c r="T53"/>
      <c r="U53"/>
      <c r="V53"/>
      <c r="W53"/>
      <c r="X53"/>
      <c r="Y53"/>
    </row>
    <row r="54" spans="1:25" s="268" customFormat="1" ht="10.5" customHeight="1">
      <c r="A54" s="265" t="s">
        <v>260</v>
      </c>
      <c r="B54" s="272">
        <v>0</v>
      </c>
      <c r="C54" s="272">
        <v>0</v>
      </c>
      <c r="D54" s="272">
        <v>0</v>
      </c>
      <c r="E54" s="272">
        <v>0</v>
      </c>
      <c r="F54" s="272"/>
      <c r="G54" s="272">
        <v>0</v>
      </c>
      <c r="H54" s="272">
        <v>0</v>
      </c>
      <c r="I54" s="272">
        <v>0</v>
      </c>
      <c r="K54"/>
      <c r="L54"/>
      <c r="M54"/>
      <c r="N54"/>
      <c r="O54"/>
      <c r="P54"/>
      <c r="Q54"/>
      <c r="R54"/>
      <c r="S54"/>
      <c r="T54"/>
      <c r="U54"/>
      <c r="V54"/>
      <c r="W54"/>
      <c r="X54"/>
      <c r="Y54"/>
    </row>
    <row r="55" spans="1:25" s="268" customFormat="1" ht="10.5" customHeight="1">
      <c r="A55" s="265" t="s">
        <v>123</v>
      </c>
      <c r="B55" s="266">
        <v>14.872000005279974</v>
      </c>
      <c r="C55" s="272">
        <v>0</v>
      </c>
      <c r="D55" s="303">
        <v>234.60278499999998</v>
      </c>
      <c r="E55" s="303">
        <v>249.47478500527995</v>
      </c>
      <c r="F55" s="266"/>
      <c r="G55" s="272">
        <v>0</v>
      </c>
      <c r="H55" s="272">
        <v>0</v>
      </c>
      <c r="I55" s="272">
        <v>0</v>
      </c>
      <c r="K55"/>
      <c r="L55"/>
      <c r="M55"/>
      <c r="N55"/>
      <c r="O55"/>
      <c r="P55"/>
      <c r="Q55"/>
      <c r="R55"/>
      <c r="S55"/>
      <c r="T55"/>
      <c r="U55"/>
      <c r="V55"/>
      <c r="W55"/>
      <c r="X55"/>
      <c r="Y55"/>
    </row>
    <row r="56" spans="1:25" s="222" customFormat="1" ht="10.5" customHeight="1">
      <c r="A56" s="221" t="s">
        <v>41</v>
      </c>
      <c r="B56" s="272">
        <v>14.872000005279974</v>
      </c>
      <c r="C56" s="272">
        <v>0</v>
      </c>
      <c r="D56" s="274">
        <v>234.60278499999998</v>
      </c>
      <c r="E56" s="274">
        <v>249.47478500527995</v>
      </c>
      <c r="F56" s="272"/>
      <c r="G56" s="272">
        <v>0</v>
      </c>
      <c r="H56" s="272">
        <v>0</v>
      </c>
      <c r="I56" s="272">
        <v>0</v>
      </c>
      <c r="K56"/>
      <c r="L56"/>
      <c r="M56"/>
      <c r="N56"/>
      <c r="O56"/>
      <c r="P56"/>
      <c r="Q56"/>
      <c r="R56"/>
      <c r="S56"/>
      <c r="T56"/>
      <c r="U56"/>
      <c r="V56"/>
      <c r="W56"/>
      <c r="X56"/>
      <c r="Y56"/>
    </row>
    <row r="57" spans="1:25" s="222" customFormat="1" ht="10.5" customHeight="1">
      <c r="A57" s="221" t="s">
        <v>187</v>
      </c>
      <c r="B57" s="272">
        <v>0</v>
      </c>
      <c r="C57" s="272">
        <v>0</v>
      </c>
      <c r="D57" s="272">
        <v>0</v>
      </c>
      <c r="E57" s="272">
        <v>0</v>
      </c>
      <c r="F57" s="272"/>
      <c r="G57" s="272">
        <v>0</v>
      </c>
      <c r="H57" s="272">
        <v>0</v>
      </c>
      <c r="I57" s="272">
        <v>0</v>
      </c>
      <c r="K57"/>
      <c r="L57"/>
      <c r="M57"/>
      <c r="N57"/>
      <c r="O57"/>
      <c r="P57"/>
      <c r="Q57"/>
      <c r="R57"/>
      <c r="S57"/>
      <c r="T57"/>
      <c r="U57"/>
      <c r="V57"/>
      <c r="W57"/>
      <c r="X57"/>
      <c r="Y57"/>
    </row>
    <row r="58" spans="1:25" s="222" customFormat="1" ht="11.25" customHeight="1">
      <c r="A58" s="221" t="s">
        <v>52</v>
      </c>
      <c r="B58" s="272">
        <v>0</v>
      </c>
      <c r="C58" s="272">
        <v>0</v>
      </c>
      <c r="D58" s="272">
        <v>0</v>
      </c>
      <c r="E58" s="272">
        <v>0</v>
      </c>
      <c r="F58" s="272"/>
      <c r="G58" s="272">
        <v>0</v>
      </c>
      <c r="H58" s="272">
        <v>0</v>
      </c>
      <c r="I58" s="272">
        <v>0</v>
      </c>
      <c r="K58"/>
      <c r="L58"/>
      <c r="M58"/>
      <c r="N58"/>
      <c r="O58"/>
      <c r="P58"/>
      <c r="Q58"/>
      <c r="R58"/>
      <c r="S58"/>
      <c r="T58"/>
      <c r="U58"/>
      <c r="V58"/>
      <c r="W58"/>
      <c r="X58"/>
      <c r="Y58"/>
    </row>
    <row r="59" spans="1:25" s="222" customFormat="1" ht="10.5" customHeight="1">
      <c r="A59" s="221" t="s">
        <v>188</v>
      </c>
      <c r="B59" s="272">
        <v>0</v>
      </c>
      <c r="C59" s="272">
        <v>0</v>
      </c>
      <c r="D59" s="272">
        <v>0</v>
      </c>
      <c r="E59" s="272">
        <v>0</v>
      </c>
      <c r="F59" s="272"/>
      <c r="G59" s="272">
        <v>0</v>
      </c>
      <c r="H59" s="272">
        <v>0</v>
      </c>
      <c r="I59" s="272">
        <v>0</v>
      </c>
      <c r="K59"/>
      <c r="L59"/>
      <c r="M59"/>
      <c r="N59"/>
      <c r="O59"/>
      <c r="P59"/>
      <c r="Q59"/>
      <c r="R59"/>
      <c r="S59"/>
      <c r="T59"/>
      <c r="U59"/>
      <c r="V59"/>
      <c r="W59"/>
      <c r="X59"/>
      <c r="Y59"/>
    </row>
    <row r="60" spans="1:25" s="222" customFormat="1" ht="10.5" customHeight="1">
      <c r="A60" s="221" t="s">
        <v>189</v>
      </c>
      <c r="B60" s="272">
        <v>0</v>
      </c>
      <c r="C60" s="272">
        <v>0</v>
      </c>
      <c r="D60" s="272">
        <v>0</v>
      </c>
      <c r="E60" s="272">
        <v>0</v>
      </c>
      <c r="F60" s="272"/>
      <c r="G60" s="272">
        <v>0</v>
      </c>
      <c r="H60" s="272">
        <v>0</v>
      </c>
      <c r="I60" s="272">
        <v>0</v>
      </c>
      <c r="K60"/>
      <c r="L60"/>
      <c r="M60"/>
      <c r="N60"/>
      <c r="O60"/>
      <c r="P60"/>
      <c r="Q60"/>
      <c r="R60"/>
      <c r="S60"/>
      <c r="T60"/>
      <c r="U60"/>
      <c r="V60"/>
      <c r="W60"/>
      <c r="X60"/>
      <c r="Y60"/>
    </row>
    <row r="61" spans="1:25" s="279" customFormat="1" ht="10.5" customHeight="1" thickBot="1">
      <c r="A61" s="304" t="s">
        <v>190</v>
      </c>
      <c r="B61" s="305">
        <v>0</v>
      </c>
      <c r="C61" s="305">
        <v>0</v>
      </c>
      <c r="D61" s="305">
        <v>0</v>
      </c>
      <c r="E61" s="305">
        <v>0</v>
      </c>
      <c r="F61" s="306"/>
      <c r="G61" s="305">
        <v>0</v>
      </c>
      <c r="H61" s="305">
        <v>0</v>
      </c>
      <c r="I61" s="305">
        <v>0</v>
      </c>
      <c r="K61"/>
      <c r="L61"/>
      <c r="M61"/>
      <c r="N61"/>
      <c r="O61"/>
      <c r="P61"/>
      <c r="Q61"/>
      <c r="R61"/>
      <c r="S61"/>
      <c r="T61"/>
      <c r="U61"/>
      <c r="V61"/>
      <c r="W61"/>
      <c r="X61"/>
      <c r="Y61"/>
    </row>
    <row r="62" spans="1:25" s="279" customFormat="1" ht="3" customHeight="1" thickTop="1">
      <c r="A62" s="307"/>
      <c r="B62" s="306"/>
      <c r="C62" s="306"/>
      <c r="D62" s="306"/>
      <c r="E62" s="306"/>
      <c r="F62" s="306"/>
      <c r="G62" s="306"/>
      <c r="H62" s="306"/>
      <c r="I62" s="306"/>
      <c r="K62"/>
      <c r="L62"/>
      <c r="M62"/>
      <c r="N62"/>
      <c r="O62"/>
      <c r="P62"/>
      <c r="Q62"/>
      <c r="R62"/>
      <c r="S62"/>
      <c r="T62"/>
      <c r="U62"/>
      <c r="V62"/>
      <c r="W62"/>
      <c r="X62"/>
      <c r="Y62"/>
    </row>
    <row r="63" spans="1:25" s="238" customFormat="1" ht="10.5" customHeight="1">
      <c r="A63" s="308" t="s">
        <v>408</v>
      </c>
      <c r="B63" s="222"/>
      <c r="C63" s="309"/>
      <c r="D63" s="308" t="s">
        <v>409</v>
      </c>
      <c r="E63" s="222"/>
      <c r="F63" s="222"/>
      <c r="G63" s="222"/>
      <c r="H63" s="222"/>
      <c r="I63" s="222"/>
      <c r="K63"/>
      <c r="L63"/>
      <c r="M63"/>
      <c r="N63"/>
      <c r="O63"/>
      <c r="P63"/>
      <c r="Q63"/>
      <c r="R63"/>
      <c r="S63"/>
      <c r="T63"/>
      <c r="U63"/>
      <c r="V63"/>
      <c r="W63"/>
      <c r="X63"/>
      <c r="Y63"/>
    </row>
    <row r="64" spans="1:25" s="238" customFormat="1" ht="10.5" customHeight="1">
      <c r="A64" s="308" t="s">
        <v>410</v>
      </c>
      <c r="B64" s="222"/>
      <c r="C64" s="222"/>
      <c r="D64" s="308" t="s">
        <v>411</v>
      </c>
      <c r="E64" s="222"/>
      <c r="F64" s="222"/>
      <c r="G64" s="222"/>
      <c r="H64" s="222"/>
      <c r="I64" s="222"/>
      <c r="K64"/>
      <c r="L64"/>
      <c r="M64"/>
      <c r="N64"/>
      <c r="O64"/>
      <c r="P64"/>
      <c r="Q64"/>
      <c r="R64"/>
      <c r="S64"/>
      <c r="T64"/>
      <c r="U64"/>
      <c r="V64"/>
      <c r="W64"/>
      <c r="X64"/>
      <c r="Y64"/>
    </row>
    <row r="65" spans="1:25" s="238" customFormat="1" ht="10.5" customHeight="1">
      <c r="A65" s="308" t="s">
        <v>412</v>
      </c>
      <c r="B65" s="222"/>
      <c r="C65" s="222"/>
      <c r="D65" s="308" t="s">
        <v>413</v>
      </c>
      <c r="E65" s="222"/>
      <c r="F65" s="222"/>
      <c r="G65" s="222"/>
      <c r="H65" s="222"/>
      <c r="I65" s="222"/>
      <c r="K65"/>
      <c r="L65"/>
      <c r="M65"/>
      <c r="N65"/>
      <c r="O65"/>
      <c r="P65"/>
      <c r="Q65"/>
      <c r="R65"/>
      <c r="S65"/>
      <c r="T65"/>
      <c r="U65"/>
      <c r="V65"/>
      <c r="W65"/>
      <c r="X65"/>
      <c r="Y65"/>
    </row>
    <row r="66" spans="1:25" s="238" customFormat="1" ht="10.5" customHeight="1">
      <c r="A66" s="308" t="s">
        <v>414</v>
      </c>
      <c r="B66" s="222"/>
      <c r="C66" s="222"/>
      <c r="D66" s="222"/>
      <c r="E66" s="222"/>
      <c r="F66" s="222"/>
      <c r="G66" s="222"/>
      <c r="H66" s="222"/>
      <c r="I66" s="222"/>
      <c r="K66"/>
      <c r="L66"/>
      <c r="M66"/>
      <c r="N66"/>
      <c r="O66"/>
      <c r="P66"/>
      <c r="Q66"/>
      <c r="R66"/>
      <c r="S66"/>
      <c r="T66"/>
      <c r="U66"/>
      <c r="V66"/>
      <c r="W66"/>
      <c r="X66"/>
      <c r="Y66"/>
    </row>
    <row r="67" spans="1:25" s="222" customFormat="1">
      <c r="K67"/>
      <c r="L67"/>
      <c r="M67"/>
      <c r="N67"/>
      <c r="O67"/>
      <c r="P67"/>
      <c r="Q67"/>
      <c r="R67"/>
      <c r="S67"/>
      <c r="T67"/>
      <c r="U67"/>
      <c r="V67"/>
      <c r="W67"/>
      <c r="X67"/>
      <c r="Y67"/>
    </row>
    <row r="68" spans="1:25" s="222" customFormat="1">
      <c r="K68"/>
      <c r="L68"/>
      <c r="M68"/>
      <c r="N68"/>
      <c r="O68"/>
      <c r="P68"/>
      <c r="Q68"/>
      <c r="R68"/>
      <c r="S68"/>
      <c r="T68"/>
      <c r="U68"/>
      <c r="V68"/>
      <c r="W68"/>
      <c r="X68"/>
      <c r="Y68"/>
    </row>
    <row r="69" spans="1:25" s="222" customFormat="1">
      <c r="K69"/>
      <c r="L69"/>
      <c r="M69"/>
      <c r="N69"/>
      <c r="O69"/>
      <c r="P69"/>
      <c r="Q69"/>
      <c r="R69"/>
      <c r="S69"/>
      <c r="T69"/>
      <c r="U69"/>
      <c r="V69"/>
      <c r="W69"/>
      <c r="X69"/>
      <c r="Y69"/>
    </row>
    <row r="70" spans="1:25" s="222" customFormat="1">
      <c r="K70"/>
      <c r="L70"/>
      <c r="M70"/>
      <c r="N70"/>
      <c r="O70"/>
      <c r="P70"/>
      <c r="Q70"/>
      <c r="R70"/>
      <c r="S70"/>
      <c r="T70"/>
      <c r="U70"/>
      <c r="V70"/>
      <c r="W70"/>
      <c r="X70"/>
      <c r="Y70"/>
    </row>
    <row r="71" spans="1:25" s="222" customFormat="1">
      <c r="K71"/>
      <c r="L71"/>
      <c r="M71"/>
      <c r="N71"/>
      <c r="O71"/>
      <c r="P71"/>
      <c r="Q71"/>
      <c r="R71"/>
      <c r="S71"/>
      <c r="T71"/>
      <c r="U71"/>
      <c r="V71"/>
      <c r="W71"/>
      <c r="X71"/>
      <c r="Y71"/>
    </row>
    <row r="72" spans="1:25" s="222" customFormat="1">
      <c r="K72"/>
      <c r="L72"/>
      <c r="M72"/>
      <c r="N72"/>
      <c r="O72"/>
      <c r="P72"/>
      <c r="Q72"/>
      <c r="R72"/>
      <c r="S72"/>
      <c r="T72"/>
      <c r="U72"/>
      <c r="V72"/>
      <c r="W72"/>
      <c r="X72"/>
      <c r="Y72"/>
    </row>
    <row r="73" spans="1:25" s="222" customFormat="1">
      <c r="K73"/>
      <c r="L73"/>
      <c r="M73"/>
      <c r="N73"/>
      <c r="O73"/>
      <c r="P73"/>
      <c r="Q73"/>
      <c r="R73"/>
      <c r="S73"/>
      <c r="T73"/>
      <c r="U73"/>
      <c r="V73"/>
      <c r="W73"/>
      <c r="X73"/>
      <c r="Y73"/>
    </row>
    <row r="74" spans="1:25" s="222" customFormat="1">
      <c r="K74"/>
      <c r="L74"/>
      <c r="M74"/>
      <c r="N74"/>
      <c r="O74"/>
      <c r="P74"/>
      <c r="Q74"/>
      <c r="R74"/>
      <c r="S74"/>
      <c r="T74"/>
      <c r="U74"/>
      <c r="V74"/>
      <c r="W74"/>
      <c r="X74"/>
      <c r="Y74"/>
    </row>
    <row r="75" spans="1:25" s="222" customFormat="1">
      <c r="K75"/>
      <c r="L75"/>
      <c r="M75"/>
      <c r="N75"/>
      <c r="O75"/>
      <c r="P75"/>
      <c r="Q75"/>
      <c r="R75"/>
      <c r="S75"/>
      <c r="T75"/>
      <c r="U75"/>
      <c r="V75"/>
      <c r="W75"/>
      <c r="X75"/>
      <c r="Y75"/>
    </row>
    <row r="76" spans="1:25" s="222" customFormat="1">
      <c r="K76"/>
      <c r="L76"/>
      <c r="M76"/>
      <c r="N76"/>
      <c r="O76"/>
      <c r="P76"/>
      <c r="Q76"/>
      <c r="R76"/>
      <c r="S76"/>
      <c r="T76"/>
      <c r="U76"/>
      <c r="V76"/>
      <c r="W76"/>
      <c r="X76"/>
      <c r="Y76"/>
    </row>
    <row r="77" spans="1:25" s="222" customFormat="1">
      <c r="K77"/>
      <c r="L77"/>
      <c r="M77"/>
      <c r="N77"/>
      <c r="O77"/>
      <c r="P77"/>
      <c r="Q77"/>
      <c r="R77"/>
      <c r="S77"/>
      <c r="T77"/>
      <c r="U77"/>
      <c r="V77"/>
      <c r="W77"/>
      <c r="X77"/>
      <c r="Y77"/>
    </row>
    <row r="78" spans="1:25" s="222" customFormat="1">
      <c r="K78"/>
      <c r="L78"/>
      <c r="M78"/>
      <c r="N78"/>
      <c r="O78"/>
      <c r="P78"/>
      <c r="Q78"/>
      <c r="R78"/>
      <c r="S78"/>
      <c r="T78"/>
      <c r="U78"/>
      <c r="V78"/>
      <c r="W78"/>
      <c r="X78"/>
      <c r="Y78"/>
    </row>
    <row r="79" spans="1:25" s="222" customFormat="1">
      <c r="K79"/>
      <c r="L79"/>
      <c r="M79"/>
      <c r="N79"/>
      <c r="O79"/>
      <c r="P79"/>
      <c r="Q79"/>
      <c r="R79"/>
      <c r="S79"/>
      <c r="T79"/>
      <c r="U79"/>
      <c r="V79"/>
      <c r="W79"/>
      <c r="X79"/>
      <c r="Y79"/>
    </row>
    <row r="80" spans="1:25" s="222" customFormat="1">
      <c r="K80"/>
      <c r="L80"/>
      <c r="M80"/>
      <c r="N80"/>
      <c r="O80"/>
      <c r="P80"/>
      <c r="Q80"/>
      <c r="R80"/>
      <c r="S80"/>
      <c r="T80"/>
      <c r="U80"/>
      <c r="V80"/>
      <c r="W80"/>
      <c r="X80"/>
      <c r="Y80"/>
    </row>
    <row r="81" spans="11:25" s="222" customFormat="1">
      <c r="K81"/>
      <c r="L81"/>
      <c r="M81"/>
      <c r="N81"/>
      <c r="O81"/>
      <c r="P81"/>
      <c r="Q81"/>
      <c r="R81"/>
      <c r="S81"/>
      <c r="T81"/>
      <c r="U81"/>
      <c r="V81"/>
      <c r="W81"/>
      <c r="X81"/>
      <c r="Y81"/>
    </row>
    <row r="82" spans="11:25" s="222" customFormat="1">
      <c r="K82"/>
      <c r="L82"/>
      <c r="M82"/>
      <c r="N82"/>
      <c r="O82"/>
      <c r="P82"/>
      <c r="Q82"/>
      <c r="R82"/>
      <c r="S82"/>
      <c r="T82"/>
      <c r="U82"/>
      <c r="V82"/>
      <c r="W82"/>
      <c r="X82"/>
      <c r="Y82"/>
    </row>
    <row r="83" spans="11:25" s="222" customFormat="1">
      <c r="K83"/>
      <c r="L83"/>
      <c r="M83"/>
      <c r="N83"/>
      <c r="O83"/>
      <c r="P83"/>
      <c r="Q83"/>
      <c r="R83"/>
      <c r="S83"/>
      <c r="T83"/>
      <c r="U83"/>
      <c r="V83"/>
      <c r="W83"/>
      <c r="X83"/>
      <c r="Y83"/>
    </row>
    <row r="84" spans="11:25" s="222" customFormat="1">
      <c r="K84"/>
      <c r="L84"/>
      <c r="M84"/>
      <c r="N84"/>
      <c r="O84"/>
      <c r="P84"/>
      <c r="Q84"/>
      <c r="R84"/>
      <c r="S84"/>
      <c r="T84"/>
      <c r="U84"/>
      <c r="V84"/>
      <c r="W84"/>
      <c r="X84"/>
      <c r="Y84"/>
    </row>
    <row r="85" spans="11:25" s="222" customFormat="1">
      <c r="K85"/>
      <c r="L85"/>
      <c r="M85"/>
      <c r="N85"/>
      <c r="O85"/>
      <c r="P85"/>
      <c r="Q85"/>
      <c r="R85"/>
      <c r="S85"/>
      <c r="T85"/>
      <c r="U85"/>
      <c r="V85"/>
      <c r="W85"/>
      <c r="X85"/>
      <c r="Y85"/>
    </row>
    <row r="86" spans="11:25" s="222" customFormat="1">
      <c r="K86"/>
      <c r="L86"/>
      <c r="M86"/>
      <c r="N86"/>
      <c r="O86"/>
      <c r="P86"/>
      <c r="Q86"/>
      <c r="R86"/>
      <c r="S86"/>
      <c r="T86"/>
      <c r="U86"/>
      <c r="V86"/>
      <c r="W86"/>
      <c r="X86"/>
      <c r="Y86"/>
    </row>
    <row r="87" spans="11:25" s="222" customFormat="1">
      <c r="K87"/>
      <c r="L87"/>
      <c r="M87"/>
      <c r="N87"/>
      <c r="O87"/>
      <c r="P87"/>
      <c r="Q87"/>
      <c r="R87"/>
      <c r="S87"/>
      <c r="T87"/>
      <c r="U87"/>
      <c r="V87"/>
      <c r="W87"/>
      <c r="X87"/>
      <c r="Y87"/>
    </row>
    <row r="88" spans="11:25" s="222" customFormat="1">
      <c r="K88"/>
      <c r="L88"/>
      <c r="M88"/>
      <c r="N88"/>
      <c r="O88"/>
      <c r="P88"/>
      <c r="Q88"/>
      <c r="R88"/>
      <c r="S88"/>
      <c r="T88"/>
      <c r="U88"/>
      <c r="V88"/>
      <c r="W88"/>
      <c r="X88"/>
      <c r="Y88"/>
    </row>
    <row r="89" spans="11:25" s="222" customFormat="1">
      <c r="K89"/>
      <c r="L89"/>
      <c r="M89"/>
      <c r="N89"/>
      <c r="O89"/>
      <c r="P89"/>
      <c r="Q89"/>
      <c r="R89"/>
      <c r="S89"/>
      <c r="T89"/>
      <c r="U89"/>
      <c r="V89"/>
      <c r="W89"/>
      <c r="X89"/>
      <c r="Y89"/>
    </row>
    <row r="90" spans="11:25" s="222" customFormat="1">
      <c r="K90"/>
      <c r="L90"/>
      <c r="M90"/>
      <c r="N90"/>
      <c r="O90"/>
      <c r="P90"/>
      <c r="Q90"/>
      <c r="R90"/>
      <c r="S90"/>
      <c r="T90"/>
      <c r="U90"/>
      <c r="V90"/>
      <c r="W90"/>
      <c r="X90"/>
      <c r="Y90"/>
    </row>
    <row r="91" spans="11:25" s="222" customFormat="1">
      <c r="K91"/>
      <c r="L91"/>
      <c r="M91"/>
      <c r="N91"/>
      <c r="O91"/>
      <c r="P91"/>
      <c r="Q91"/>
      <c r="R91"/>
      <c r="S91"/>
      <c r="T91"/>
      <c r="U91"/>
      <c r="V91"/>
      <c r="W91"/>
      <c r="X91"/>
      <c r="Y91"/>
    </row>
    <row r="92" spans="11:25" s="222" customFormat="1">
      <c r="K92"/>
      <c r="L92"/>
      <c r="M92"/>
      <c r="N92"/>
      <c r="O92"/>
      <c r="P92"/>
      <c r="Q92"/>
      <c r="R92"/>
      <c r="S92"/>
      <c r="T92"/>
      <c r="U92"/>
      <c r="V92"/>
      <c r="W92"/>
      <c r="X92"/>
      <c r="Y92"/>
    </row>
    <row r="93" spans="11:25" s="222" customFormat="1">
      <c r="K93"/>
      <c r="L93"/>
      <c r="M93"/>
      <c r="N93"/>
      <c r="O93"/>
      <c r="P93"/>
      <c r="Q93"/>
      <c r="R93"/>
      <c r="S93"/>
      <c r="T93"/>
      <c r="U93"/>
      <c r="V93"/>
      <c r="W93"/>
      <c r="X93"/>
      <c r="Y93"/>
    </row>
    <row r="94" spans="11:25" s="222" customFormat="1"/>
    <row r="95" spans="11:25" s="222" customFormat="1"/>
    <row r="96" spans="11:25" s="222" customFormat="1"/>
    <row r="97" s="222" customFormat="1"/>
    <row r="98" s="222" customFormat="1"/>
    <row r="99" s="222" customFormat="1"/>
    <row r="100" s="222" customFormat="1"/>
    <row r="101" s="222" customFormat="1"/>
    <row r="102" s="222" customFormat="1"/>
    <row r="103" s="222" customFormat="1"/>
    <row r="104" s="222" customFormat="1"/>
    <row r="105" s="222" customFormat="1"/>
    <row r="106" s="222" customFormat="1"/>
    <row r="107" s="222" customFormat="1"/>
    <row r="108" s="222" customFormat="1"/>
    <row r="109" s="222" customFormat="1"/>
    <row r="110" s="222" customFormat="1"/>
    <row r="111" s="222" customFormat="1"/>
    <row r="112" s="222" customFormat="1"/>
    <row r="113" s="222" customFormat="1"/>
    <row r="114" s="222" customFormat="1"/>
    <row r="115" s="222" customFormat="1"/>
    <row r="116" s="222" customFormat="1"/>
    <row r="117" s="222" customFormat="1"/>
    <row r="118" s="222" customFormat="1"/>
    <row r="119" s="222" customFormat="1"/>
    <row r="120" s="222" customFormat="1"/>
    <row r="121" s="222" customFormat="1"/>
    <row r="122" s="222" customFormat="1"/>
    <row r="123" s="222" customFormat="1"/>
    <row r="124" s="222" customFormat="1"/>
    <row r="125" s="222" customFormat="1"/>
    <row r="126" s="222" customFormat="1"/>
    <row r="127" s="222" customFormat="1"/>
    <row r="128" s="222" customFormat="1"/>
    <row r="129" s="222" customFormat="1"/>
    <row r="130" s="222" customFormat="1"/>
    <row r="131" s="222" customFormat="1"/>
    <row r="132" s="222" customFormat="1"/>
  </sheetData>
  <mergeCells count="1">
    <mergeCell ref="A3:E3"/>
  </mergeCells>
  <pageMargins left="0.6692913385826772" right="0.6692913385826772" top="0.51181102362204722" bottom="0.51181102362204722" header="0.27559055118110237" footer="0.27559055118110237"/>
  <pageSetup paperSize="9" firstPageNumber="53" orientation="portrait" useFirstPageNumber="1" r:id="rId1"/>
  <headerFooter alignWithMargins="0">
    <oddFooter>&amp;C54</oddFooter>
  </headerFooter>
</worksheet>
</file>

<file path=xl/worksheets/sheet66.xml><?xml version="1.0" encoding="utf-8"?>
<worksheet xmlns="http://schemas.openxmlformats.org/spreadsheetml/2006/main" xmlns:r="http://schemas.openxmlformats.org/officeDocument/2006/relationships">
  <sheetPr codeName="Sheet110">
    <pageSetUpPr fitToPage="1"/>
  </sheetPr>
  <dimension ref="A1:Q119"/>
  <sheetViews>
    <sheetView zoomScale="80" zoomScaleNormal="80" workbookViewId="0"/>
  </sheetViews>
  <sheetFormatPr defaultRowHeight="12.75"/>
  <cols>
    <col min="1" max="1" width="27.140625" style="319" customWidth="1"/>
    <col min="2" max="5" width="10.5703125" style="318" customWidth="1"/>
    <col min="6" max="6" width="10.5703125" style="319" customWidth="1"/>
    <col min="7" max="9" width="10.5703125" style="320" customWidth="1"/>
    <col min="10" max="10" width="10.5703125" style="319" customWidth="1"/>
    <col min="11" max="12" width="12.7109375" style="319" customWidth="1"/>
    <col min="13" max="256" width="9.140625" style="319"/>
    <col min="257" max="266" width="10.5703125" style="319" customWidth="1"/>
    <col min="267" max="268" width="12.7109375" style="319" customWidth="1"/>
    <col min="269" max="512" width="9.140625" style="319"/>
    <col min="513" max="522" width="10.5703125" style="319" customWidth="1"/>
    <col min="523" max="524" width="12.7109375" style="319" customWidth="1"/>
    <col min="525" max="768" width="9.140625" style="319"/>
    <col min="769" max="778" width="10.5703125" style="319" customWidth="1"/>
    <col min="779" max="780" width="12.7109375" style="319" customWidth="1"/>
    <col min="781" max="1024" width="9.140625" style="319"/>
    <col min="1025" max="1034" width="10.5703125" style="319" customWidth="1"/>
    <col min="1035" max="1036" width="12.7109375" style="319" customWidth="1"/>
    <col min="1037" max="1280" width="9.140625" style="319"/>
    <col min="1281" max="1290" width="10.5703125" style="319" customWidth="1"/>
    <col min="1291" max="1292" width="12.7109375" style="319" customWidth="1"/>
    <col min="1293" max="1536" width="9.140625" style="319"/>
    <col min="1537" max="1546" width="10.5703125" style="319" customWidth="1"/>
    <col min="1547" max="1548" width="12.7109375" style="319" customWidth="1"/>
    <col min="1549" max="1792" width="9.140625" style="319"/>
    <col min="1793" max="1802" width="10.5703125" style="319" customWidth="1"/>
    <col min="1803" max="1804" width="12.7109375" style="319" customWidth="1"/>
    <col min="1805" max="2048" width="9.140625" style="319"/>
    <col min="2049" max="2058" width="10.5703125" style="319" customWidth="1"/>
    <col min="2059" max="2060" width="12.7109375" style="319" customWidth="1"/>
    <col min="2061" max="2304" width="9.140625" style="319"/>
    <col min="2305" max="2314" width="10.5703125" style="319" customWidth="1"/>
    <col min="2315" max="2316" width="12.7109375" style="319" customWidth="1"/>
    <col min="2317" max="2560" width="9.140625" style="319"/>
    <col min="2561" max="2570" width="10.5703125" style="319" customWidth="1"/>
    <col min="2571" max="2572" width="12.7109375" style="319" customWidth="1"/>
    <col min="2573" max="2816" width="9.140625" style="319"/>
    <col min="2817" max="2826" width="10.5703125" style="319" customWidth="1"/>
    <col min="2827" max="2828" width="12.7109375" style="319" customWidth="1"/>
    <col min="2829" max="3072" width="9.140625" style="319"/>
    <col min="3073" max="3082" width="10.5703125" style="319" customWidth="1"/>
    <col min="3083" max="3084" width="12.7109375" style="319" customWidth="1"/>
    <col min="3085" max="3328" width="9.140625" style="319"/>
    <col min="3329" max="3338" width="10.5703125" style="319" customWidth="1"/>
    <col min="3339" max="3340" width="12.7109375" style="319" customWidth="1"/>
    <col min="3341" max="3584" width="9.140625" style="319"/>
    <col min="3585" max="3594" width="10.5703125" style="319" customWidth="1"/>
    <col min="3595" max="3596" width="12.7109375" style="319" customWidth="1"/>
    <col min="3597" max="3840" width="9.140625" style="319"/>
    <col min="3841" max="3850" width="10.5703125" style="319" customWidth="1"/>
    <col min="3851" max="3852" width="12.7109375" style="319" customWidth="1"/>
    <col min="3853" max="4096" width="9.140625" style="319"/>
    <col min="4097" max="4106" width="10.5703125" style="319" customWidth="1"/>
    <col min="4107" max="4108" width="12.7109375" style="319" customWidth="1"/>
    <col min="4109" max="4352" width="9.140625" style="319"/>
    <col min="4353" max="4362" width="10.5703125" style="319" customWidth="1"/>
    <col min="4363" max="4364" width="12.7109375" style="319" customWidth="1"/>
    <col min="4365" max="4608" width="9.140625" style="319"/>
    <col min="4609" max="4618" width="10.5703125" style="319" customWidth="1"/>
    <col min="4619" max="4620" width="12.7109375" style="319" customWidth="1"/>
    <col min="4621" max="4864" width="9.140625" style="319"/>
    <col min="4865" max="4874" width="10.5703125" style="319" customWidth="1"/>
    <col min="4875" max="4876" width="12.7109375" style="319" customWidth="1"/>
    <col min="4877" max="5120" width="9.140625" style="319"/>
    <col min="5121" max="5130" width="10.5703125" style="319" customWidth="1"/>
    <col min="5131" max="5132" width="12.7109375" style="319" customWidth="1"/>
    <col min="5133" max="5376" width="9.140625" style="319"/>
    <col min="5377" max="5386" width="10.5703125" style="319" customWidth="1"/>
    <col min="5387" max="5388" width="12.7109375" style="319" customWidth="1"/>
    <col min="5389" max="5632" width="9.140625" style="319"/>
    <col min="5633" max="5642" width="10.5703125" style="319" customWidth="1"/>
    <col min="5643" max="5644" width="12.7109375" style="319" customWidth="1"/>
    <col min="5645" max="5888" width="9.140625" style="319"/>
    <col min="5889" max="5898" width="10.5703125" style="319" customWidth="1"/>
    <col min="5899" max="5900" width="12.7109375" style="319" customWidth="1"/>
    <col min="5901" max="6144" width="9.140625" style="319"/>
    <col min="6145" max="6154" width="10.5703125" style="319" customWidth="1"/>
    <col min="6155" max="6156" width="12.7109375" style="319" customWidth="1"/>
    <col min="6157" max="6400" width="9.140625" style="319"/>
    <col min="6401" max="6410" width="10.5703125" style="319" customWidth="1"/>
    <col min="6411" max="6412" width="12.7109375" style="319" customWidth="1"/>
    <col min="6413" max="6656" width="9.140625" style="319"/>
    <col min="6657" max="6666" width="10.5703125" style="319" customWidth="1"/>
    <col min="6667" max="6668" width="12.7109375" style="319" customWidth="1"/>
    <col min="6669" max="6912" width="9.140625" style="319"/>
    <col min="6913" max="6922" width="10.5703125" style="319" customWidth="1"/>
    <col min="6923" max="6924" width="12.7109375" style="319" customWidth="1"/>
    <col min="6925" max="7168" width="9.140625" style="319"/>
    <col min="7169" max="7178" width="10.5703125" style="319" customWidth="1"/>
    <col min="7179" max="7180" width="12.7109375" style="319" customWidth="1"/>
    <col min="7181" max="7424" width="9.140625" style="319"/>
    <col min="7425" max="7434" width="10.5703125" style="319" customWidth="1"/>
    <col min="7435" max="7436" width="12.7109375" style="319" customWidth="1"/>
    <col min="7437" max="7680" width="9.140625" style="319"/>
    <col min="7681" max="7690" width="10.5703125" style="319" customWidth="1"/>
    <col min="7691" max="7692" width="12.7109375" style="319" customWidth="1"/>
    <col min="7693" max="7936" width="9.140625" style="319"/>
    <col min="7937" max="7946" width="10.5703125" style="319" customWidth="1"/>
    <col min="7947" max="7948" width="12.7109375" style="319" customWidth="1"/>
    <col min="7949" max="8192" width="9.140625" style="319"/>
    <col min="8193" max="8202" width="10.5703125" style="319" customWidth="1"/>
    <col min="8203" max="8204" width="12.7109375" style="319" customWidth="1"/>
    <col min="8205" max="8448" width="9.140625" style="319"/>
    <col min="8449" max="8458" width="10.5703125" style="319" customWidth="1"/>
    <col min="8459" max="8460" width="12.7109375" style="319" customWidth="1"/>
    <col min="8461" max="8704" width="9.140625" style="319"/>
    <col min="8705" max="8714" width="10.5703125" style="319" customWidth="1"/>
    <col min="8715" max="8716" width="12.7109375" style="319" customWidth="1"/>
    <col min="8717" max="8960" width="9.140625" style="319"/>
    <col min="8961" max="8970" width="10.5703125" style="319" customWidth="1"/>
    <col min="8971" max="8972" width="12.7109375" style="319" customWidth="1"/>
    <col min="8973" max="9216" width="9.140625" style="319"/>
    <col min="9217" max="9226" width="10.5703125" style="319" customWidth="1"/>
    <col min="9227" max="9228" width="12.7109375" style="319" customWidth="1"/>
    <col min="9229" max="9472" width="9.140625" style="319"/>
    <col min="9473" max="9482" width="10.5703125" style="319" customWidth="1"/>
    <col min="9483" max="9484" width="12.7109375" style="319" customWidth="1"/>
    <col min="9485" max="9728" width="9.140625" style="319"/>
    <col min="9729" max="9738" width="10.5703125" style="319" customWidth="1"/>
    <col min="9739" max="9740" width="12.7109375" style="319" customWidth="1"/>
    <col min="9741" max="9984" width="9.140625" style="319"/>
    <col min="9985" max="9994" width="10.5703125" style="319" customWidth="1"/>
    <col min="9995" max="9996" width="12.7109375" style="319" customWidth="1"/>
    <col min="9997" max="10240" width="9.140625" style="319"/>
    <col min="10241" max="10250" width="10.5703125" style="319" customWidth="1"/>
    <col min="10251" max="10252" width="12.7109375" style="319" customWidth="1"/>
    <col min="10253" max="10496" width="9.140625" style="319"/>
    <col min="10497" max="10506" width="10.5703125" style="319" customWidth="1"/>
    <col min="10507" max="10508" width="12.7109375" style="319" customWidth="1"/>
    <col min="10509" max="10752" width="9.140625" style="319"/>
    <col min="10753" max="10762" width="10.5703125" style="319" customWidth="1"/>
    <col min="10763" max="10764" width="12.7109375" style="319" customWidth="1"/>
    <col min="10765" max="11008" width="9.140625" style="319"/>
    <col min="11009" max="11018" width="10.5703125" style="319" customWidth="1"/>
    <col min="11019" max="11020" width="12.7109375" style="319" customWidth="1"/>
    <col min="11021" max="11264" width="9.140625" style="319"/>
    <col min="11265" max="11274" width="10.5703125" style="319" customWidth="1"/>
    <col min="11275" max="11276" width="12.7109375" style="319" customWidth="1"/>
    <col min="11277" max="11520" width="9.140625" style="319"/>
    <col min="11521" max="11530" width="10.5703125" style="319" customWidth="1"/>
    <col min="11531" max="11532" width="12.7109375" style="319" customWidth="1"/>
    <col min="11533" max="11776" width="9.140625" style="319"/>
    <col min="11777" max="11786" width="10.5703125" style="319" customWidth="1"/>
    <col min="11787" max="11788" width="12.7109375" style="319" customWidth="1"/>
    <col min="11789" max="12032" width="9.140625" style="319"/>
    <col min="12033" max="12042" width="10.5703125" style="319" customWidth="1"/>
    <col min="12043" max="12044" width="12.7109375" style="319" customWidth="1"/>
    <col min="12045" max="12288" width="9.140625" style="319"/>
    <col min="12289" max="12298" width="10.5703125" style="319" customWidth="1"/>
    <col min="12299" max="12300" width="12.7109375" style="319" customWidth="1"/>
    <col min="12301" max="12544" width="9.140625" style="319"/>
    <col min="12545" max="12554" width="10.5703125" style="319" customWidth="1"/>
    <col min="12555" max="12556" width="12.7109375" style="319" customWidth="1"/>
    <col min="12557" max="12800" width="9.140625" style="319"/>
    <col min="12801" max="12810" width="10.5703125" style="319" customWidth="1"/>
    <col min="12811" max="12812" width="12.7109375" style="319" customWidth="1"/>
    <col min="12813" max="13056" width="9.140625" style="319"/>
    <col min="13057" max="13066" width="10.5703125" style="319" customWidth="1"/>
    <col min="13067" max="13068" width="12.7109375" style="319" customWidth="1"/>
    <col min="13069" max="13312" width="9.140625" style="319"/>
    <col min="13313" max="13322" width="10.5703125" style="319" customWidth="1"/>
    <col min="13323" max="13324" width="12.7109375" style="319" customWidth="1"/>
    <col min="13325" max="13568" width="9.140625" style="319"/>
    <col min="13569" max="13578" width="10.5703125" style="319" customWidth="1"/>
    <col min="13579" max="13580" width="12.7109375" style="319" customWidth="1"/>
    <col min="13581" max="13824" width="9.140625" style="319"/>
    <col min="13825" max="13834" width="10.5703125" style="319" customWidth="1"/>
    <col min="13835" max="13836" width="12.7109375" style="319" customWidth="1"/>
    <col min="13837" max="14080" width="9.140625" style="319"/>
    <col min="14081" max="14090" width="10.5703125" style="319" customWidth="1"/>
    <col min="14091" max="14092" width="12.7109375" style="319" customWidth="1"/>
    <col min="14093" max="14336" width="9.140625" style="319"/>
    <col min="14337" max="14346" width="10.5703125" style="319" customWidth="1"/>
    <col min="14347" max="14348" width="12.7109375" style="319" customWidth="1"/>
    <col min="14349" max="14592" width="9.140625" style="319"/>
    <col min="14593" max="14602" width="10.5703125" style="319" customWidth="1"/>
    <col min="14603" max="14604" width="12.7109375" style="319" customWidth="1"/>
    <col min="14605" max="14848" width="9.140625" style="319"/>
    <col min="14849" max="14858" width="10.5703125" style="319" customWidth="1"/>
    <col min="14859" max="14860" width="12.7109375" style="319" customWidth="1"/>
    <col min="14861" max="15104" width="9.140625" style="319"/>
    <col min="15105" max="15114" width="10.5703125" style="319" customWidth="1"/>
    <col min="15115" max="15116" width="12.7109375" style="319" customWidth="1"/>
    <col min="15117" max="15360" width="9.140625" style="319"/>
    <col min="15361" max="15370" width="10.5703125" style="319" customWidth="1"/>
    <col min="15371" max="15372" width="12.7109375" style="319" customWidth="1"/>
    <col min="15373" max="15616" width="9.140625" style="319"/>
    <col min="15617" max="15626" width="10.5703125" style="319" customWidth="1"/>
    <col min="15627" max="15628" width="12.7109375" style="319" customWidth="1"/>
    <col min="15629" max="15872" width="9.140625" style="319"/>
    <col min="15873" max="15882" width="10.5703125" style="319" customWidth="1"/>
    <col min="15883" max="15884" width="12.7109375" style="319" customWidth="1"/>
    <col min="15885" max="16128" width="9.140625" style="319"/>
    <col min="16129" max="16138" width="10.5703125" style="319" customWidth="1"/>
    <col min="16139" max="16140" width="12.7109375" style="319" customWidth="1"/>
    <col min="16141" max="16384" width="9.140625" style="319"/>
  </cols>
  <sheetData>
    <row r="1" spans="1:17" s="316" customFormat="1" ht="27.75">
      <c r="A1" s="310" t="s">
        <v>487</v>
      </c>
      <c r="B1" s="311"/>
      <c r="C1" s="311"/>
      <c r="D1" s="311"/>
      <c r="E1" s="311"/>
      <c r="F1" s="312"/>
      <c r="G1" s="312"/>
      <c r="H1" s="313"/>
      <c r="I1" s="314"/>
      <c r="J1" s="315"/>
      <c r="K1" s="315"/>
      <c r="L1" s="315"/>
    </row>
    <row r="2" spans="1:17" ht="18" customHeight="1">
      <c r="A2" s="317" t="s">
        <v>5</v>
      </c>
      <c r="H2" s="321"/>
      <c r="I2" s="314"/>
      <c r="J2" s="322"/>
      <c r="K2" s="322"/>
      <c r="L2" s="322"/>
    </row>
    <row r="3" spans="1:17" ht="12.75" customHeight="1" thickBot="1">
      <c r="A3" s="323"/>
      <c r="B3" s="323"/>
      <c r="C3" s="323"/>
      <c r="D3" s="323"/>
      <c r="E3" s="323"/>
      <c r="I3" s="324"/>
      <c r="K3" s="324"/>
      <c r="L3" s="324" t="s">
        <v>389</v>
      </c>
    </row>
    <row r="4" spans="1:17" ht="13.5" thickTop="1">
      <c r="A4" s="325"/>
      <c r="B4" s="326">
        <v>1998</v>
      </c>
      <c r="C4" s="326">
        <v>1999</v>
      </c>
      <c r="D4" s="326">
        <v>2000</v>
      </c>
      <c r="E4" s="326">
        <v>2001</v>
      </c>
      <c r="F4" s="326">
        <v>2002</v>
      </c>
      <c r="G4" s="327">
        <v>2003</v>
      </c>
      <c r="H4" s="327">
        <v>2004</v>
      </c>
      <c r="I4" s="327">
        <v>2005</v>
      </c>
      <c r="J4" s="327">
        <v>2006</v>
      </c>
      <c r="K4" s="328">
        <v>2007</v>
      </c>
      <c r="L4" s="328">
        <v>2008</v>
      </c>
    </row>
    <row r="5" spans="1:17" ht="11.25" customHeight="1">
      <c r="A5" s="329" t="s">
        <v>488</v>
      </c>
      <c r="B5" s="330"/>
      <c r="C5" s="330"/>
      <c r="D5" s="330"/>
      <c r="E5" s="330"/>
      <c r="F5" s="330"/>
      <c r="G5" s="331"/>
      <c r="H5" s="331"/>
      <c r="I5" s="331"/>
      <c r="J5" s="331"/>
      <c r="K5" s="332"/>
      <c r="L5" s="332"/>
    </row>
    <row r="6" spans="1:17" ht="10.5" customHeight="1">
      <c r="A6" s="329" t="s">
        <v>72</v>
      </c>
      <c r="B6" s="330"/>
      <c r="C6" s="330"/>
      <c r="D6" s="330"/>
      <c r="E6" s="330"/>
      <c r="F6" s="330"/>
      <c r="G6" s="331"/>
      <c r="H6" s="331"/>
      <c r="I6" s="331"/>
      <c r="J6" s="331"/>
      <c r="K6" s="333"/>
      <c r="L6" s="333"/>
    </row>
    <row r="7" spans="1:17" ht="10.5" customHeight="1">
      <c r="A7" s="334" t="s">
        <v>245</v>
      </c>
      <c r="B7" s="335">
        <v>361078</v>
      </c>
      <c r="C7" s="335">
        <v>365250</v>
      </c>
      <c r="D7" s="335">
        <v>374374</v>
      </c>
      <c r="E7" s="335">
        <v>382356</v>
      </c>
      <c r="F7" s="335">
        <v>384594</v>
      </c>
      <c r="G7" s="335">
        <v>395475</v>
      </c>
      <c r="H7" s="336">
        <v>391218.6877095456</v>
      </c>
      <c r="I7" s="336">
        <v>395382.84676819755</v>
      </c>
      <c r="J7" s="337">
        <v>393439.74485443806</v>
      </c>
      <c r="K7" s="338">
        <v>393184.3387592379</v>
      </c>
      <c r="L7" s="339">
        <v>385560.22494830529</v>
      </c>
      <c r="N7" s="339"/>
      <c r="O7" s="338"/>
      <c r="P7" s="338"/>
      <c r="Q7" s="339"/>
    </row>
    <row r="8" spans="1:17" ht="10.5" customHeight="1">
      <c r="A8" s="334" t="s">
        <v>489</v>
      </c>
      <c r="B8" s="335">
        <v>1624</v>
      </c>
      <c r="C8" s="335">
        <v>2902</v>
      </c>
      <c r="D8" s="335">
        <v>2694</v>
      </c>
      <c r="E8" s="335">
        <v>2422</v>
      </c>
      <c r="F8" s="335">
        <v>2652</v>
      </c>
      <c r="G8" s="335">
        <v>2734</v>
      </c>
      <c r="H8" s="336">
        <v>2648.5490306581578</v>
      </c>
      <c r="I8" s="336">
        <v>2929.7584574999996</v>
      </c>
      <c r="J8" s="336">
        <v>3852.6022349999998</v>
      </c>
      <c r="K8" s="339">
        <v>3859.226181</v>
      </c>
      <c r="L8" s="339">
        <v>4088.9413800000007</v>
      </c>
      <c r="N8" s="339"/>
      <c r="O8" s="339"/>
      <c r="P8" s="339"/>
      <c r="Q8" s="339"/>
    </row>
    <row r="9" spans="1:17" ht="10.5" customHeight="1">
      <c r="A9" s="334" t="s">
        <v>4</v>
      </c>
      <c r="B9" s="335">
        <v>12599</v>
      </c>
      <c r="C9" s="335">
        <v>14507</v>
      </c>
      <c r="D9" s="335">
        <v>14308</v>
      </c>
      <c r="E9" s="335">
        <v>10663</v>
      </c>
      <c r="F9" s="335">
        <v>9182</v>
      </c>
      <c r="G9" s="335">
        <v>5119</v>
      </c>
      <c r="H9" s="336">
        <v>9783.8487368421065</v>
      </c>
      <c r="I9" s="336">
        <v>11160.064999999999</v>
      </c>
      <c r="J9" s="336">
        <v>10281.69605</v>
      </c>
      <c r="K9" s="339">
        <v>8612.8860000000022</v>
      </c>
      <c r="L9" s="339">
        <v>12293.68098323957</v>
      </c>
      <c r="N9" s="339"/>
      <c r="O9" s="339"/>
      <c r="P9" s="339"/>
      <c r="Q9" s="339"/>
    </row>
    <row r="10" spans="1:17" ht="10.5" customHeight="1">
      <c r="A10" s="334" t="s">
        <v>151</v>
      </c>
      <c r="B10" s="335">
        <v>-131</v>
      </c>
      <c r="C10" s="335">
        <v>-263</v>
      </c>
      <c r="D10" s="335">
        <v>-134</v>
      </c>
      <c r="E10" s="335">
        <v>-264</v>
      </c>
      <c r="F10" s="335">
        <v>-768</v>
      </c>
      <c r="G10" s="335">
        <v>-2959</v>
      </c>
      <c r="H10" s="336">
        <v>-2294</v>
      </c>
      <c r="I10" s="336">
        <v>-2839.2</v>
      </c>
      <c r="J10" s="336">
        <v>-2764.7199000000001</v>
      </c>
      <c r="K10" s="339">
        <v>-3398.3617500000014</v>
      </c>
      <c r="L10" s="339">
        <v>-1271.5793242227455</v>
      </c>
      <c r="N10" s="339"/>
      <c r="O10" s="339"/>
      <c r="P10" s="339"/>
      <c r="Q10" s="339"/>
    </row>
    <row r="11" spans="1:17" ht="10.5" customHeight="1">
      <c r="A11" s="334" t="s">
        <v>152</v>
      </c>
      <c r="B11" s="335">
        <v>0</v>
      </c>
      <c r="C11" s="335">
        <v>0</v>
      </c>
      <c r="D11" s="335" t="s">
        <v>490</v>
      </c>
      <c r="E11" s="335" t="s">
        <v>490</v>
      </c>
      <c r="F11" s="335" t="s">
        <v>490</v>
      </c>
      <c r="G11" s="335">
        <v>0</v>
      </c>
      <c r="H11" s="336">
        <v>0</v>
      </c>
      <c r="I11" s="336">
        <v>0</v>
      </c>
      <c r="J11" s="336">
        <v>0</v>
      </c>
      <c r="K11" s="339">
        <v>0</v>
      </c>
      <c r="L11" s="339">
        <v>0</v>
      </c>
      <c r="N11" s="339"/>
      <c r="O11" s="339"/>
      <c r="P11" s="339"/>
      <c r="Q11" s="339"/>
    </row>
    <row r="12" spans="1:17" ht="10.5" customHeight="1">
      <c r="A12" s="334" t="s">
        <v>491</v>
      </c>
      <c r="B12" s="335">
        <v>0</v>
      </c>
      <c r="C12" s="335">
        <v>0</v>
      </c>
      <c r="D12" s="335" t="s">
        <v>490</v>
      </c>
      <c r="E12" s="335" t="s">
        <v>490</v>
      </c>
      <c r="F12" s="335" t="s">
        <v>490</v>
      </c>
      <c r="G12" s="335">
        <v>0</v>
      </c>
      <c r="H12" s="336">
        <v>0</v>
      </c>
      <c r="I12" s="336">
        <v>0</v>
      </c>
      <c r="J12" s="336">
        <v>0</v>
      </c>
      <c r="K12" s="339">
        <v>0</v>
      </c>
      <c r="L12" s="339">
        <v>0</v>
      </c>
      <c r="N12" s="339"/>
      <c r="O12" s="339"/>
      <c r="P12" s="339"/>
      <c r="Q12" s="339"/>
    </row>
    <row r="13" spans="1:17" ht="10.5" customHeight="1">
      <c r="A13" s="340" t="s">
        <v>157</v>
      </c>
      <c r="B13" s="335">
        <v>0</v>
      </c>
      <c r="C13" s="335">
        <v>0</v>
      </c>
      <c r="D13" s="335" t="s">
        <v>490</v>
      </c>
      <c r="E13" s="335" t="s">
        <v>490</v>
      </c>
      <c r="F13" s="335" t="s">
        <v>490</v>
      </c>
      <c r="G13" s="335">
        <v>0</v>
      </c>
      <c r="H13" s="336">
        <v>0</v>
      </c>
      <c r="I13" s="336">
        <v>0</v>
      </c>
      <c r="J13" s="336">
        <v>0</v>
      </c>
      <c r="K13" s="341">
        <v>0</v>
      </c>
      <c r="L13" s="339">
        <v>0</v>
      </c>
      <c r="N13" s="339"/>
      <c r="O13" s="339"/>
      <c r="P13" s="339"/>
      <c r="Q13" s="339"/>
    </row>
    <row r="14" spans="1:17" s="346" customFormat="1" ht="10.5" customHeight="1">
      <c r="A14" s="342" t="s">
        <v>249</v>
      </c>
      <c r="B14" s="343">
        <v>375170</v>
      </c>
      <c r="C14" s="343">
        <v>382396</v>
      </c>
      <c r="D14" s="343">
        <v>391243</v>
      </c>
      <c r="E14" s="343">
        <v>395177</v>
      </c>
      <c r="F14" s="343">
        <v>395661</v>
      </c>
      <c r="G14" s="343">
        <v>400369</v>
      </c>
      <c r="H14" s="344">
        <v>401356.91205599322</v>
      </c>
      <c r="I14" s="344">
        <v>406633.49122569757</v>
      </c>
      <c r="J14" s="345">
        <v>404809.32323943806</v>
      </c>
      <c r="K14" s="345">
        <v>402258.08919023792</v>
      </c>
      <c r="L14" s="344">
        <v>400671.26798732206</v>
      </c>
      <c r="N14" s="339"/>
      <c r="O14" s="338"/>
      <c r="P14" s="338"/>
      <c r="Q14" s="339"/>
    </row>
    <row r="15" spans="1:17" s="346" customFormat="1" ht="10.5" customHeight="1">
      <c r="A15" s="342" t="s">
        <v>492</v>
      </c>
      <c r="B15" s="347">
        <v>1861</v>
      </c>
      <c r="C15" s="347">
        <v>1564</v>
      </c>
      <c r="D15" s="347">
        <v>1497</v>
      </c>
      <c r="E15" s="347">
        <v>1167</v>
      </c>
      <c r="F15" s="347">
        <v>983</v>
      </c>
      <c r="G15" s="347">
        <v>2208</v>
      </c>
      <c r="H15" s="348">
        <v>2386.7683979548747</v>
      </c>
      <c r="I15" s="348">
        <v>2382.2539049094776</v>
      </c>
      <c r="J15" s="349">
        <v>1045.8537374696461</v>
      </c>
      <c r="K15" s="349">
        <v>983.87671508395579</v>
      </c>
      <c r="L15" s="348">
        <v>1052.5228208390181</v>
      </c>
      <c r="N15" s="339"/>
      <c r="O15" s="338"/>
      <c r="P15" s="338"/>
      <c r="Q15" s="339"/>
    </row>
    <row r="16" spans="1:17" s="346" customFormat="1" ht="10.5" customHeight="1">
      <c r="A16" s="342" t="s">
        <v>252</v>
      </c>
      <c r="B16" s="343">
        <v>373309</v>
      </c>
      <c r="C16" s="343">
        <v>380832</v>
      </c>
      <c r="D16" s="343">
        <v>389746</v>
      </c>
      <c r="E16" s="343">
        <v>394010</v>
      </c>
      <c r="F16" s="343">
        <v>394678</v>
      </c>
      <c r="G16" s="343">
        <v>398161</v>
      </c>
      <c r="H16" s="344">
        <v>398970.14365803835</v>
      </c>
      <c r="I16" s="344">
        <v>404251.23732078809</v>
      </c>
      <c r="J16" s="345">
        <v>403763.46950196841</v>
      </c>
      <c r="K16" s="345">
        <v>401274.21247515397</v>
      </c>
      <c r="L16" s="344">
        <v>399618.74516648304</v>
      </c>
      <c r="N16" s="339"/>
      <c r="O16" s="338"/>
      <c r="P16" s="338"/>
      <c r="Q16" s="339"/>
    </row>
    <row r="17" spans="1:17" ht="10.5" customHeight="1">
      <c r="A17" s="329" t="s">
        <v>158</v>
      </c>
      <c r="B17" s="335">
        <v>0</v>
      </c>
      <c r="C17" s="335">
        <v>0</v>
      </c>
      <c r="D17" s="335"/>
      <c r="E17" s="335"/>
      <c r="F17" s="335"/>
      <c r="G17" s="335">
        <v>0</v>
      </c>
      <c r="H17" s="336">
        <v>0</v>
      </c>
      <c r="I17" s="336">
        <v>0</v>
      </c>
      <c r="J17" s="336">
        <v>0</v>
      </c>
      <c r="K17" s="336">
        <v>0</v>
      </c>
      <c r="L17" s="339">
        <v>0</v>
      </c>
      <c r="N17" s="339"/>
      <c r="O17" s="339"/>
      <c r="P17" s="339"/>
      <c r="Q17" s="339"/>
    </row>
    <row r="18" spans="1:17" ht="10.5" customHeight="1">
      <c r="A18" s="334" t="s">
        <v>159</v>
      </c>
      <c r="B18" s="335">
        <v>0</v>
      </c>
      <c r="C18" s="335">
        <v>0</v>
      </c>
      <c r="D18" s="335" t="s">
        <v>490</v>
      </c>
      <c r="E18" s="335" t="s">
        <v>490</v>
      </c>
      <c r="F18" s="335" t="s">
        <v>490</v>
      </c>
      <c r="G18" s="335">
        <v>0</v>
      </c>
      <c r="H18" s="336">
        <v>0</v>
      </c>
      <c r="I18" s="336">
        <v>0</v>
      </c>
      <c r="J18" s="336">
        <v>0</v>
      </c>
      <c r="K18" s="336">
        <v>0</v>
      </c>
      <c r="L18" s="339">
        <v>0</v>
      </c>
      <c r="N18" s="339"/>
      <c r="O18" s="339"/>
      <c r="P18" s="339"/>
      <c r="Q18" s="339"/>
    </row>
    <row r="19" spans="1:17" ht="10.5" customHeight="1">
      <c r="A19" s="334" t="s">
        <v>253</v>
      </c>
      <c r="B19" s="335">
        <v>0</v>
      </c>
      <c r="C19" s="335">
        <v>0</v>
      </c>
      <c r="D19" s="335" t="s">
        <v>490</v>
      </c>
      <c r="E19" s="335" t="s">
        <v>490</v>
      </c>
      <c r="F19" s="335" t="s">
        <v>490</v>
      </c>
      <c r="G19" s="335">
        <v>0</v>
      </c>
      <c r="H19" s="336">
        <v>0</v>
      </c>
      <c r="I19" s="336">
        <v>0</v>
      </c>
      <c r="J19" s="336">
        <v>0</v>
      </c>
      <c r="K19" s="336">
        <v>0</v>
      </c>
      <c r="L19" s="339">
        <v>0</v>
      </c>
      <c r="N19" s="339"/>
      <c r="O19" s="339"/>
      <c r="P19" s="339"/>
      <c r="Q19" s="339"/>
    </row>
    <row r="20" spans="1:17" ht="10.5" customHeight="1">
      <c r="A20" s="334" t="s">
        <v>493</v>
      </c>
      <c r="B20" s="335">
        <v>0</v>
      </c>
      <c r="C20" s="335">
        <v>0</v>
      </c>
      <c r="D20" s="335" t="s">
        <v>490</v>
      </c>
      <c r="E20" s="335" t="s">
        <v>490</v>
      </c>
      <c r="F20" s="335" t="s">
        <v>490</v>
      </c>
      <c r="G20" s="335">
        <v>0</v>
      </c>
      <c r="H20" s="336">
        <v>0</v>
      </c>
      <c r="I20" s="336">
        <v>0</v>
      </c>
      <c r="J20" s="336">
        <v>0</v>
      </c>
      <c r="K20" s="336">
        <v>0</v>
      </c>
      <c r="L20" s="339">
        <v>0</v>
      </c>
      <c r="N20" s="339"/>
      <c r="O20" s="339"/>
      <c r="P20" s="339"/>
      <c r="Q20" s="339"/>
    </row>
    <row r="21" spans="1:17" ht="10.5" customHeight="1">
      <c r="A21" s="334" t="s">
        <v>161</v>
      </c>
      <c r="B21" s="335">
        <v>0</v>
      </c>
      <c r="C21" s="335">
        <v>0</v>
      </c>
      <c r="D21" s="335" t="s">
        <v>490</v>
      </c>
      <c r="E21" s="335" t="s">
        <v>490</v>
      </c>
      <c r="F21" s="335" t="s">
        <v>490</v>
      </c>
      <c r="G21" s="335">
        <v>0</v>
      </c>
      <c r="H21" s="336">
        <v>0</v>
      </c>
      <c r="I21" s="336">
        <v>0</v>
      </c>
      <c r="J21" s="336">
        <v>0</v>
      </c>
      <c r="K21" s="336">
        <v>0</v>
      </c>
      <c r="L21" s="339">
        <v>0</v>
      </c>
      <c r="N21" s="339"/>
      <c r="O21" s="339"/>
      <c r="P21" s="339"/>
      <c r="Q21" s="339"/>
    </row>
    <row r="22" spans="1:17" ht="10.5" customHeight="1">
      <c r="A22" s="334" t="s">
        <v>162</v>
      </c>
      <c r="B22" s="335">
        <v>0</v>
      </c>
      <c r="C22" s="335">
        <v>0</v>
      </c>
      <c r="D22" s="335" t="s">
        <v>490</v>
      </c>
      <c r="E22" s="335" t="s">
        <v>490</v>
      </c>
      <c r="F22" s="335" t="s">
        <v>490</v>
      </c>
      <c r="G22" s="335">
        <v>0</v>
      </c>
      <c r="H22" s="336">
        <v>0</v>
      </c>
      <c r="I22" s="336">
        <v>0</v>
      </c>
      <c r="J22" s="336">
        <v>0</v>
      </c>
      <c r="K22" s="336">
        <v>0</v>
      </c>
      <c r="L22" s="339">
        <v>0</v>
      </c>
      <c r="N22" s="339"/>
      <c r="O22" s="339"/>
      <c r="P22" s="339"/>
      <c r="Q22" s="339"/>
    </row>
    <row r="23" spans="1:17" ht="10.5" customHeight="1">
      <c r="A23" s="334" t="s">
        <v>163</v>
      </c>
      <c r="B23" s="335">
        <v>0</v>
      </c>
      <c r="C23" s="335">
        <v>0</v>
      </c>
      <c r="D23" s="335" t="s">
        <v>490</v>
      </c>
      <c r="E23" s="335" t="s">
        <v>490</v>
      </c>
      <c r="F23" s="335" t="s">
        <v>490</v>
      </c>
      <c r="G23" s="335">
        <v>0</v>
      </c>
      <c r="H23" s="336">
        <v>0</v>
      </c>
      <c r="I23" s="336">
        <v>0</v>
      </c>
      <c r="J23" s="336">
        <v>0</v>
      </c>
      <c r="K23" s="336">
        <v>0</v>
      </c>
      <c r="L23" s="339">
        <v>0</v>
      </c>
      <c r="N23" s="339"/>
      <c r="O23" s="339"/>
      <c r="P23" s="339"/>
      <c r="Q23" s="339"/>
    </row>
    <row r="24" spans="1:17" ht="10.5" customHeight="1">
      <c r="A24" s="334" t="s">
        <v>126</v>
      </c>
      <c r="B24" s="335">
        <v>0</v>
      </c>
      <c r="C24" s="335">
        <v>0</v>
      </c>
      <c r="D24" s="335" t="s">
        <v>490</v>
      </c>
      <c r="E24" s="335" t="s">
        <v>490</v>
      </c>
      <c r="F24" s="335" t="s">
        <v>490</v>
      </c>
      <c r="G24" s="335">
        <v>0</v>
      </c>
      <c r="H24" s="336">
        <v>0</v>
      </c>
      <c r="I24" s="336">
        <v>0</v>
      </c>
      <c r="J24" s="336">
        <v>0</v>
      </c>
      <c r="K24" s="336">
        <v>0</v>
      </c>
      <c r="L24" s="339">
        <v>0</v>
      </c>
      <c r="N24" s="339"/>
      <c r="O24" s="339"/>
      <c r="P24" s="339"/>
      <c r="Q24" s="339"/>
    </row>
    <row r="25" spans="1:17" ht="10.5" customHeight="1">
      <c r="A25" s="334" t="s">
        <v>164</v>
      </c>
      <c r="B25" s="335">
        <v>0</v>
      </c>
      <c r="C25" s="335">
        <v>0</v>
      </c>
      <c r="D25" s="335" t="s">
        <v>490</v>
      </c>
      <c r="E25" s="335" t="s">
        <v>490</v>
      </c>
      <c r="F25" s="335" t="s">
        <v>490</v>
      </c>
      <c r="G25" s="335">
        <v>0</v>
      </c>
      <c r="H25" s="336">
        <v>0</v>
      </c>
      <c r="I25" s="336">
        <v>0</v>
      </c>
      <c r="J25" s="336">
        <v>0</v>
      </c>
      <c r="K25" s="336">
        <v>0</v>
      </c>
      <c r="L25" s="339">
        <v>0</v>
      </c>
      <c r="N25" s="339"/>
      <c r="O25" s="339"/>
      <c r="P25" s="339"/>
      <c r="Q25" s="339"/>
    </row>
    <row r="26" spans="1:17" ht="10.5" customHeight="1">
      <c r="A26" s="334" t="s">
        <v>123</v>
      </c>
      <c r="B26" s="350">
        <v>0</v>
      </c>
      <c r="C26" s="350">
        <v>0</v>
      </c>
      <c r="D26" s="350" t="s">
        <v>490</v>
      </c>
      <c r="E26" s="350" t="s">
        <v>490</v>
      </c>
      <c r="F26" s="350" t="s">
        <v>490</v>
      </c>
      <c r="G26" s="350">
        <v>0</v>
      </c>
      <c r="H26" s="341">
        <v>0</v>
      </c>
      <c r="I26" s="341">
        <v>0</v>
      </c>
      <c r="J26" s="341">
        <v>0</v>
      </c>
      <c r="K26" s="341">
        <v>0</v>
      </c>
      <c r="L26" s="341">
        <v>0</v>
      </c>
      <c r="N26" s="339"/>
      <c r="O26" s="339"/>
      <c r="P26" s="339"/>
      <c r="Q26" s="339"/>
    </row>
    <row r="27" spans="1:17" ht="10.5" customHeight="1">
      <c r="A27" s="351" t="s">
        <v>165</v>
      </c>
      <c r="B27" s="352">
        <v>29674</v>
      </c>
      <c r="C27" s="353">
        <v>29790</v>
      </c>
      <c r="D27" s="353">
        <v>30680</v>
      </c>
      <c r="E27" s="353">
        <v>30387</v>
      </c>
      <c r="F27" s="353">
        <v>31297</v>
      </c>
      <c r="G27" s="353">
        <v>32081</v>
      </c>
      <c r="H27" s="354">
        <v>29293.615522453129</v>
      </c>
      <c r="I27" s="354">
        <v>30102.476169496709</v>
      </c>
      <c r="J27" s="355">
        <v>32055.399004121558</v>
      </c>
      <c r="K27" s="356">
        <v>33440.802512267299</v>
      </c>
      <c r="L27" s="357">
        <v>30631.914397338212</v>
      </c>
      <c r="N27" s="339"/>
      <c r="O27" s="338"/>
      <c r="P27" s="338"/>
      <c r="Q27" s="339"/>
    </row>
    <row r="28" spans="1:17" ht="10.5" customHeight="1">
      <c r="A28" s="334" t="s">
        <v>159</v>
      </c>
      <c r="B28" s="335">
        <v>17408</v>
      </c>
      <c r="C28" s="335">
        <v>16707</v>
      </c>
      <c r="D28" s="335">
        <v>16304</v>
      </c>
      <c r="E28" s="335">
        <v>17394</v>
      </c>
      <c r="F28" s="335">
        <v>17126</v>
      </c>
      <c r="G28" s="335">
        <v>18136</v>
      </c>
      <c r="H28" s="336">
        <v>17029.87770255061</v>
      </c>
      <c r="I28" s="336">
        <v>17870.819478206584</v>
      </c>
      <c r="J28" s="337">
        <v>18503.65157384261</v>
      </c>
      <c r="K28" s="337">
        <v>17698.703740064098</v>
      </c>
      <c r="L28" s="336">
        <v>16317.073155912076</v>
      </c>
      <c r="N28" s="339"/>
      <c r="O28" s="338"/>
      <c r="P28" s="338"/>
      <c r="Q28" s="339"/>
    </row>
    <row r="29" spans="1:17" ht="10.5" customHeight="1">
      <c r="A29" s="334" t="s">
        <v>166</v>
      </c>
      <c r="B29" s="335">
        <v>537</v>
      </c>
      <c r="C29" s="335">
        <v>408</v>
      </c>
      <c r="D29" s="335">
        <v>527</v>
      </c>
      <c r="E29" s="335">
        <v>675</v>
      </c>
      <c r="F29" s="335">
        <v>540</v>
      </c>
      <c r="G29" s="335">
        <v>551</v>
      </c>
      <c r="H29" s="336">
        <v>557.81400000000008</v>
      </c>
      <c r="I29" s="336">
        <v>505.30099999999999</v>
      </c>
      <c r="J29" s="336">
        <v>545.75172797805396</v>
      </c>
      <c r="K29" s="336">
        <v>560.38416424020738</v>
      </c>
      <c r="L29" s="336">
        <v>598.16165095818883</v>
      </c>
      <c r="N29" s="339"/>
      <c r="O29" s="339"/>
      <c r="P29" s="339"/>
      <c r="Q29" s="339"/>
    </row>
    <row r="30" spans="1:17" ht="10.5" customHeight="1">
      <c r="A30" s="334" t="s">
        <v>162</v>
      </c>
      <c r="B30" s="335">
        <v>5136</v>
      </c>
      <c r="C30" s="335">
        <v>4981</v>
      </c>
      <c r="D30" s="335">
        <v>6362</v>
      </c>
      <c r="E30" s="335">
        <v>5231</v>
      </c>
      <c r="F30" s="335">
        <v>6553</v>
      </c>
      <c r="G30" s="335">
        <v>5769</v>
      </c>
      <c r="H30" s="336">
        <v>4680.7694584707706</v>
      </c>
      <c r="I30" s="336">
        <v>4459.0197418678472</v>
      </c>
      <c r="J30" s="337">
        <v>4660.3413291404404</v>
      </c>
      <c r="K30" s="337">
        <v>6695.5015551946326</v>
      </c>
      <c r="L30" s="336">
        <v>5099.3465471477793</v>
      </c>
      <c r="N30" s="339"/>
      <c r="O30" s="339"/>
      <c r="P30" s="338"/>
      <c r="Q30" s="339"/>
    </row>
    <row r="31" spans="1:17" ht="10.5" customHeight="1">
      <c r="A31" s="334" t="s">
        <v>494</v>
      </c>
      <c r="B31" s="335">
        <v>1334</v>
      </c>
      <c r="C31" s="335">
        <v>1358</v>
      </c>
      <c r="D31" s="335">
        <v>1283</v>
      </c>
      <c r="E31" s="335">
        <v>1223</v>
      </c>
      <c r="F31" s="335">
        <v>1163</v>
      </c>
      <c r="G31" s="335">
        <v>1190</v>
      </c>
      <c r="H31" s="336">
        <v>1118.4720384121426</v>
      </c>
      <c r="I31" s="336">
        <v>1164.5939865789617</v>
      </c>
      <c r="J31" s="339">
        <v>1132.8524079633023</v>
      </c>
      <c r="K31" s="339">
        <v>1072.7425235078895</v>
      </c>
      <c r="L31" s="339">
        <v>1057.9655040797359</v>
      </c>
      <c r="N31" s="339"/>
      <c r="O31" s="339"/>
      <c r="P31" s="339"/>
      <c r="Q31" s="339"/>
    </row>
    <row r="32" spans="1:17" ht="10.5" customHeight="1">
      <c r="A32" s="334" t="s">
        <v>126</v>
      </c>
      <c r="B32" s="335">
        <v>948</v>
      </c>
      <c r="C32" s="335">
        <v>948</v>
      </c>
      <c r="D32" s="335">
        <v>877</v>
      </c>
      <c r="E32" s="335">
        <v>885</v>
      </c>
      <c r="F32" s="335">
        <v>502</v>
      </c>
      <c r="G32" s="335">
        <v>492</v>
      </c>
      <c r="H32" s="336">
        <v>467.53666612231899</v>
      </c>
      <c r="I32" s="336">
        <v>514.53054136496291</v>
      </c>
      <c r="J32" s="339">
        <v>496.61216070798349</v>
      </c>
      <c r="K32" s="339">
        <v>478.78538460714367</v>
      </c>
      <c r="L32" s="339">
        <v>452.04373382916361</v>
      </c>
      <c r="N32" s="339"/>
      <c r="O32" s="339"/>
      <c r="P32" s="339"/>
      <c r="Q32" s="339"/>
    </row>
    <row r="33" spans="1:17" ht="10.5" customHeight="1">
      <c r="A33" s="334" t="s">
        <v>164</v>
      </c>
      <c r="B33" s="335">
        <v>0</v>
      </c>
      <c r="C33" s="335">
        <v>0</v>
      </c>
      <c r="D33" s="335" t="s">
        <v>490</v>
      </c>
      <c r="E33" s="335" t="s">
        <v>490</v>
      </c>
      <c r="F33" s="335" t="s">
        <v>490</v>
      </c>
      <c r="G33" s="335">
        <v>0</v>
      </c>
      <c r="H33" s="336">
        <v>0</v>
      </c>
      <c r="I33" s="336">
        <v>0</v>
      </c>
      <c r="J33" s="339">
        <v>0</v>
      </c>
      <c r="K33" s="339">
        <v>0</v>
      </c>
      <c r="L33" s="339">
        <v>0</v>
      </c>
      <c r="N33" s="339"/>
      <c r="O33" s="339"/>
      <c r="P33" s="339"/>
      <c r="Q33" s="339"/>
    </row>
    <row r="34" spans="1:17" ht="10.5" customHeight="1">
      <c r="A34" s="334" t="s">
        <v>168</v>
      </c>
      <c r="B34" s="335">
        <v>2594</v>
      </c>
      <c r="C34" s="335">
        <v>3774</v>
      </c>
      <c r="D34" s="335">
        <v>3499</v>
      </c>
      <c r="E34" s="335">
        <v>3210</v>
      </c>
      <c r="F34" s="335">
        <v>3463</v>
      </c>
      <c r="G34" s="335">
        <v>3546</v>
      </c>
      <c r="H34" s="336">
        <v>3497.1021796315795</v>
      </c>
      <c r="I34" s="336">
        <v>3706.8240499999997</v>
      </c>
      <c r="J34" s="339">
        <v>4917.84</v>
      </c>
      <c r="K34" s="339">
        <v>5071.2659999999996</v>
      </c>
      <c r="L34" s="339">
        <v>5371.3050000000003</v>
      </c>
      <c r="N34" s="339"/>
      <c r="O34" s="339"/>
      <c r="P34" s="339"/>
      <c r="Q34" s="339"/>
    </row>
    <row r="35" spans="1:17" ht="10.5" customHeight="1">
      <c r="A35" s="334" t="s">
        <v>123</v>
      </c>
      <c r="B35" s="358">
        <v>1717</v>
      </c>
      <c r="C35" s="335">
        <v>1614</v>
      </c>
      <c r="D35" s="335">
        <v>1828</v>
      </c>
      <c r="E35" s="335">
        <v>1769</v>
      </c>
      <c r="F35" s="335">
        <v>1950</v>
      </c>
      <c r="G35" s="335">
        <v>2398</v>
      </c>
      <c r="H35" s="359">
        <v>1942.0434772657059</v>
      </c>
      <c r="I35" s="359">
        <v>1881.387371478356</v>
      </c>
      <c r="J35" s="338">
        <v>1798.3498044891694</v>
      </c>
      <c r="K35" s="338">
        <v>1863.4191446533296</v>
      </c>
      <c r="L35" s="339">
        <v>1736.0188054112691</v>
      </c>
      <c r="N35" s="339"/>
      <c r="O35" s="339"/>
      <c r="P35" s="339"/>
      <c r="Q35" s="339"/>
    </row>
    <row r="36" spans="1:17" s="361" customFormat="1" ht="10.5" customHeight="1">
      <c r="A36" s="329" t="s">
        <v>58</v>
      </c>
      <c r="B36" s="360">
        <v>27957</v>
      </c>
      <c r="C36" s="352">
        <v>28298</v>
      </c>
      <c r="D36" s="352">
        <v>29649</v>
      </c>
      <c r="E36" s="352">
        <v>30902</v>
      </c>
      <c r="F36" s="352">
        <v>29980</v>
      </c>
      <c r="G36" s="352">
        <v>29862</v>
      </c>
      <c r="H36" s="359">
        <v>30727.769540000001</v>
      </c>
      <c r="I36" s="359">
        <v>27674.096887604406</v>
      </c>
      <c r="J36" s="356">
        <v>27410.40361586582</v>
      </c>
      <c r="K36" s="356">
        <v>26469.290502553951</v>
      </c>
      <c r="L36" s="357">
        <v>27425.373767889629</v>
      </c>
      <c r="N36" s="357"/>
      <c r="O36" s="356"/>
      <c r="P36" s="356"/>
      <c r="Q36" s="357"/>
    </row>
    <row r="37" spans="1:17" ht="10.5" customHeight="1">
      <c r="A37" s="362" t="s">
        <v>169</v>
      </c>
      <c r="B37" s="363">
        <v>315678</v>
      </c>
      <c r="C37" s="363">
        <v>322744</v>
      </c>
      <c r="D37" s="363">
        <v>329420</v>
      </c>
      <c r="E37" s="363">
        <v>332721</v>
      </c>
      <c r="F37" s="363">
        <v>333401</v>
      </c>
      <c r="G37" s="363">
        <v>336218</v>
      </c>
      <c r="H37" s="364">
        <v>338948.75859558518</v>
      </c>
      <c r="I37" s="364">
        <v>346474.66426368686</v>
      </c>
      <c r="J37" s="365">
        <v>344297.66688198101</v>
      </c>
      <c r="K37" s="365">
        <v>341364.11946033273</v>
      </c>
      <c r="L37" s="364">
        <v>341561.45700125524</v>
      </c>
      <c r="N37" s="339"/>
      <c r="O37" s="339"/>
      <c r="P37" s="339"/>
      <c r="Q37" s="339"/>
    </row>
    <row r="38" spans="1:17" ht="10.5" customHeight="1">
      <c r="A38" s="329" t="s">
        <v>43</v>
      </c>
      <c r="B38" s="352">
        <v>107177</v>
      </c>
      <c r="C38" s="352">
        <v>110978</v>
      </c>
      <c r="D38" s="352">
        <v>114112</v>
      </c>
      <c r="E38" s="352">
        <v>111337</v>
      </c>
      <c r="F38" s="352">
        <v>112648</v>
      </c>
      <c r="G38" s="352">
        <v>113358</v>
      </c>
      <c r="H38" s="359">
        <v>115841.51833333072</v>
      </c>
      <c r="I38" s="359">
        <v>120524.0726028827</v>
      </c>
      <c r="J38" s="366">
        <v>117918.29797803715</v>
      </c>
      <c r="K38" s="366">
        <v>117007.12613076654</v>
      </c>
      <c r="L38" s="359">
        <v>113557.62327594195</v>
      </c>
      <c r="N38" s="339"/>
      <c r="O38" s="338"/>
      <c r="P38" s="339"/>
      <c r="Q38" s="339"/>
    </row>
    <row r="39" spans="1:17" ht="10.5" customHeight="1">
      <c r="A39" s="334" t="s">
        <v>170</v>
      </c>
      <c r="B39" s="335">
        <v>0</v>
      </c>
      <c r="C39" s="335">
        <v>0</v>
      </c>
      <c r="D39" s="335" t="s">
        <v>490</v>
      </c>
      <c r="E39" s="335" t="s">
        <v>490</v>
      </c>
      <c r="F39" s="335" t="s">
        <v>490</v>
      </c>
      <c r="G39" s="335">
        <v>0</v>
      </c>
      <c r="H39" s="336">
        <v>0</v>
      </c>
      <c r="I39" s="336">
        <v>0</v>
      </c>
      <c r="J39" s="336">
        <v>0</v>
      </c>
      <c r="K39" s="339">
        <v>0</v>
      </c>
      <c r="L39" s="339">
        <v>0</v>
      </c>
      <c r="N39" s="338"/>
      <c r="O39" s="338"/>
      <c r="P39" s="339"/>
      <c r="Q39" s="339"/>
    </row>
    <row r="40" spans="1:17" ht="10.5" customHeight="1">
      <c r="A40" s="334" t="s">
        <v>171</v>
      </c>
      <c r="B40" s="335">
        <v>9571</v>
      </c>
      <c r="C40" s="335">
        <v>9779</v>
      </c>
      <c r="D40" s="335">
        <v>6349</v>
      </c>
      <c r="E40" s="335">
        <v>5303</v>
      </c>
      <c r="F40" s="335">
        <v>5092</v>
      </c>
      <c r="G40" s="335">
        <v>5434</v>
      </c>
      <c r="H40" s="336">
        <v>5412.0479423420047</v>
      </c>
      <c r="I40" s="336">
        <v>5019.622590539966</v>
      </c>
      <c r="J40" s="339">
        <v>5860.2420852934556</v>
      </c>
      <c r="K40" s="339">
        <v>4923.6735106492706</v>
      </c>
      <c r="L40" s="339">
        <v>4868.0210075868335</v>
      </c>
      <c r="N40" s="338"/>
      <c r="O40" s="339"/>
      <c r="P40" s="339"/>
      <c r="Q40" s="339"/>
    </row>
    <row r="41" spans="1:17" ht="10.5" customHeight="1">
      <c r="A41" s="334" t="s">
        <v>172</v>
      </c>
      <c r="B41" s="335">
        <v>5698</v>
      </c>
      <c r="C41" s="335">
        <v>5895</v>
      </c>
      <c r="D41" s="335">
        <v>6152</v>
      </c>
      <c r="E41" s="335">
        <v>7324</v>
      </c>
      <c r="F41" s="335">
        <v>6365</v>
      </c>
      <c r="G41" s="335">
        <v>7284</v>
      </c>
      <c r="H41" s="336">
        <v>7518.0129340335834</v>
      </c>
      <c r="I41" s="336">
        <v>7693.0510171705882</v>
      </c>
      <c r="J41" s="338">
        <v>7523.8348850992461</v>
      </c>
      <c r="K41" s="338">
        <v>7330.5836262747762</v>
      </c>
      <c r="L41" s="339">
        <v>7079.4689879354692</v>
      </c>
      <c r="N41" s="339"/>
      <c r="O41" s="339"/>
      <c r="P41" s="339"/>
      <c r="Q41" s="339"/>
    </row>
    <row r="42" spans="1:17" ht="10.5" customHeight="1">
      <c r="A42" s="334" t="s">
        <v>173</v>
      </c>
      <c r="B42" s="335">
        <v>7142</v>
      </c>
      <c r="C42" s="335">
        <v>7265</v>
      </c>
      <c r="D42" s="335">
        <v>8109</v>
      </c>
      <c r="E42" s="335">
        <v>7247</v>
      </c>
      <c r="F42" s="335">
        <v>7115</v>
      </c>
      <c r="G42" s="335">
        <v>7651</v>
      </c>
      <c r="H42" s="336">
        <v>7834.5353341131186</v>
      </c>
      <c r="I42" s="336">
        <v>7977.6247512643986</v>
      </c>
      <c r="J42" s="338">
        <v>7968.7229003946713</v>
      </c>
      <c r="K42" s="338">
        <v>7859.4184101510145</v>
      </c>
      <c r="L42" s="339">
        <v>7756.3785328030781</v>
      </c>
      <c r="N42" s="339"/>
      <c r="O42" s="339"/>
      <c r="P42" s="339"/>
      <c r="Q42" s="339"/>
    </row>
    <row r="43" spans="1:17" ht="10.5" customHeight="1">
      <c r="A43" s="334" t="s">
        <v>174</v>
      </c>
      <c r="B43" s="335">
        <v>20916</v>
      </c>
      <c r="C43" s="335">
        <v>21677</v>
      </c>
      <c r="D43" s="335">
        <v>23732</v>
      </c>
      <c r="E43" s="335">
        <v>21079</v>
      </c>
      <c r="F43" s="335">
        <v>22861</v>
      </c>
      <c r="G43" s="335">
        <v>20941</v>
      </c>
      <c r="H43" s="336">
        <v>21128.320448373099</v>
      </c>
      <c r="I43" s="336">
        <v>24125.229969791355</v>
      </c>
      <c r="J43" s="338">
        <v>22391.375908980175</v>
      </c>
      <c r="K43" s="338">
        <v>22199.50560292201</v>
      </c>
      <c r="L43" s="339">
        <v>21146.720296964988</v>
      </c>
      <c r="N43" s="339"/>
      <c r="O43" s="339"/>
      <c r="P43" s="339"/>
      <c r="Q43" s="339"/>
    </row>
    <row r="44" spans="1:17" ht="10.5" customHeight="1">
      <c r="A44" s="334" t="s">
        <v>255</v>
      </c>
      <c r="B44" s="335">
        <v>8520</v>
      </c>
      <c r="C44" s="335">
        <v>8824</v>
      </c>
      <c r="D44" s="335">
        <v>9420</v>
      </c>
      <c r="E44" s="335">
        <v>8569</v>
      </c>
      <c r="F44" s="335">
        <v>8794</v>
      </c>
      <c r="G44" s="335">
        <v>8839</v>
      </c>
      <c r="H44" s="336">
        <v>8509.6392729342479</v>
      </c>
      <c r="I44" s="336">
        <v>8632.7489587273994</v>
      </c>
      <c r="J44" s="338">
        <v>8490.4845424391733</v>
      </c>
      <c r="K44" s="338">
        <v>8518.0652019653517</v>
      </c>
      <c r="L44" s="339">
        <v>8283.4328588109656</v>
      </c>
      <c r="N44" s="339"/>
      <c r="O44" s="338"/>
      <c r="P44" s="338"/>
      <c r="Q44" s="339"/>
    </row>
    <row r="45" spans="1:17" ht="10.5" customHeight="1">
      <c r="A45" s="334" t="s">
        <v>256</v>
      </c>
      <c r="B45" s="335">
        <v>5996</v>
      </c>
      <c r="C45" s="335">
        <v>6006</v>
      </c>
      <c r="D45" s="335">
        <v>6196</v>
      </c>
      <c r="E45" s="335">
        <v>5697</v>
      </c>
      <c r="F45" s="335">
        <v>5880</v>
      </c>
      <c r="G45" s="335">
        <v>6019</v>
      </c>
      <c r="H45" s="336">
        <v>6809.3358722046187</v>
      </c>
      <c r="I45" s="336">
        <v>7420.1981289612722</v>
      </c>
      <c r="J45" s="338">
        <v>7341.4828569845504</v>
      </c>
      <c r="K45" s="338">
        <v>7289.4327269801088</v>
      </c>
      <c r="L45" s="339">
        <v>6979.2264927893002</v>
      </c>
      <c r="N45" s="338"/>
      <c r="O45" s="339"/>
      <c r="P45" s="338"/>
      <c r="Q45" s="339"/>
    </row>
    <row r="46" spans="1:17" ht="10.5" customHeight="1">
      <c r="A46" s="334" t="s">
        <v>177</v>
      </c>
      <c r="B46" s="335">
        <v>5586</v>
      </c>
      <c r="C46" s="335">
        <v>5615</v>
      </c>
      <c r="D46" s="335">
        <v>6316</v>
      </c>
      <c r="E46" s="335">
        <v>5824</v>
      </c>
      <c r="F46" s="335">
        <v>5625</v>
      </c>
      <c r="G46" s="335">
        <v>5660</v>
      </c>
      <c r="H46" s="336">
        <v>5682.4651912204517</v>
      </c>
      <c r="I46" s="336">
        <v>5840.5845400835515</v>
      </c>
      <c r="J46" s="338">
        <v>5847.6023531338597</v>
      </c>
      <c r="K46" s="338">
        <v>5731.0286487550929</v>
      </c>
      <c r="L46" s="339">
        <v>5594.5087386077876</v>
      </c>
      <c r="N46" s="339"/>
      <c r="O46" s="338"/>
      <c r="P46" s="338"/>
      <c r="Q46" s="339"/>
    </row>
    <row r="47" spans="1:17" ht="10.5" customHeight="1">
      <c r="A47" s="334" t="s">
        <v>257</v>
      </c>
      <c r="B47" s="335">
        <v>11852</v>
      </c>
      <c r="C47" s="335">
        <v>12524</v>
      </c>
      <c r="D47" s="335">
        <v>11724</v>
      </c>
      <c r="E47" s="335">
        <v>11570</v>
      </c>
      <c r="F47" s="335">
        <v>12166</v>
      </c>
      <c r="G47" s="335">
        <v>11949</v>
      </c>
      <c r="H47" s="336">
        <v>12348.479856497714</v>
      </c>
      <c r="I47" s="336">
        <v>12772.900738176895</v>
      </c>
      <c r="J47" s="338">
        <v>12317.49108804199</v>
      </c>
      <c r="K47" s="338">
        <v>12283.410094590781</v>
      </c>
      <c r="L47" s="339">
        <v>12224.071094329163</v>
      </c>
      <c r="N47" s="338"/>
      <c r="O47" s="339"/>
      <c r="P47" s="338"/>
      <c r="Q47" s="339"/>
    </row>
    <row r="48" spans="1:17" ht="10.5" customHeight="1">
      <c r="A48" s="334" t="s">
        <v>258</v>
      </c>
      <c r="B48" s="335">
        <v>3666</v>
      </c>
      <c r="C48" s="335">
        <v>3751</v>
      </c>
      <c r="D48" s="335">
        <v>3599</v>
      </c>
      <c r="E48" s="335">
        <v>3303</v>
      </c>
      <c r="F48" s="335">
        <v>3463</v>
      </c>
      <c r="G48" s="335">
        <v>3443</v>
      </c>
      <c r="H48" s="336">
        <v>3407.3189197838924</v>
      </c>
      <c r="I48" s="336">
        <v>3392.9221760377268</v>
      </c>
      <c r="J48" s="339">
        <v>3381.9049531484989</v>
      </c>
      <c r="K48" s="339">
        <v>3349.4086136065312</v>
      </c>
      <c r="L48" s="339">
        <v>3183.7444043000105</v>
      </c>
      <c r="N48" s="339"/>
      <c r="O48" s="339"/>
      <c r="P48" s="338"/>
      <c r="Q48" s="339"/>
    </row>
    <row r="49" spans="1:17" ht="10.5" customHeight="1">
      <c r="A49" s="334" t="s">
        <v>259</v>
      </c>
      <c r="B49" s="335">
        <v>10684</v>
      </c>
      <c r="C49" s="335">
        <v>10989</v>
      </c>
      <c r="D49" s="335">
        <v>11416</v>
      </c>
      <c r="E49" s="335">
        <v>11511</v>
      </c>
      <c r="F49" s="335">
        <v>11988</v>
      </c>
      <c r="G49" s="335">
        <v>12750</v>
      </c>
      <c r="H49" s="336">
        <v>13670.960109294876</v>
      </c>
      <c r="I49" s="336">
        <v>13724.905195023706</v>
      </c>
      <c r="J49" s="338">
        <v>13406.161825213951</v>
      </c>
      <c r="K49" s="338">
        <v>13356.076571372963</v>
      </c>
      <c r="L49" s="339">
        <v>13219.536668303863</v>
      </c>
      <c r="N49" s="339"/>
      <c r="O49" s="339"/>
      <c r="P49" s="339"/>
      <c r="Q49" s="339"/>
    </row>
    <row r="50" spans="1:17" ht="10.5" customHeight="1">
      <c r="A50" s="334" t="s">
        <v>181</v>
      </c>
      <c r="B50" s="335">
        <v>16012</v>
      </c>
      <c r="C50" s="335">
        <v>17125</v>
      </c>
      <c r="D50" s="335">
        <v>19514</v>
      </c>
      <c r="E50" s="335">
        <v>22213</v>
      </c>
      <c r="F50" s="335">
        <v>21599</v>
      </c>
      <c r="G50" s="335">
        <v>21686</v>
      </c>
      <c r="H50" s="336">
        <v>21716.023784332941</v>
      </c>
      <c r="I50" s="336">
        <v>21995.290247903973</v>
      </c>
      <c r="J50" s="338">
        <v>21749.292017854783</v>
      </c>
      <c r="K50" s="338">
        <v>22568.014350701702</v>
      </c>
      <c r="L50" s="339">
        <v>21717.34893084181</v>
      </c>
      <c r="N50" s="339"/>
      <c r="O50" s="338"/>
      <c r="P50" s="338"/>
      <c r="Q50" s="339"/>
    </row>
    <row r="51" spans="1:17" ht="10.5" customHeight="1">
      <c r="A51" s="334" t="s">
        <v>182</v>
      </c>
      <c r="B51" s="335">
        <v>1534</v>
      </c>
      <c r="C51" s="335">
        <v>1528</v>
      </c>
      <c r="D51" s="335">
        <v>1586</v>
      </c>
      <c r="E51" s="335">
        <v>1698</v>
      </c>
      <c r="F51" s="335">
        <v>1700</v>
      </c>
      <c r="G51" s="335">
        <v>1701</v>
      </c>
      <c r="H51" s="336">
        <v>1804.3786682001769</v>
      </c>
      <c r="I51" s="336">
        <v>1928.9942892018773</v>
      </c>
      <c r="J51" s="339">
        <v>1639.702561452817</v>
      </c>
      <c r="K51" s="339">
        <v>1598.5087727969405</v>
      </c>
      <c r="L51" s="339">
        <v>1505.1652626686828</v>
      </c>
      <c r="N51" s="338"/>
      <c r="O51" s="338"/>
      <c r="P51" s="338"/>
      <c r="Q51" s="339"/>
    </row>
    <row r="52" spans="1:17" s="361" customFormat="1" ht="10.5" customHeight="1">
      <c r="A52" s="329" t="s">
        <v>260</v>
      </c>
      <c r="B52" s="352">
        <v>8511</v>
      </c>
      <c r="C52" s="352">
        <v>8579</v>
      </c>
      <c r="D52" s="352">
        <v>8623</v>
      </c>
      <c r="E52" s="352">
        <v>8828</v>
      </c>
      <c r="F52" s="352">
        <v>8454</v>
      </c>
      <c r="G52" s="352">
        <v>8212</v>
      </c>
      <c r="H52" s="359">
        <v>8462.8548305909935</v>
      </c>
      <c r="I52" s="359">
        <v>8816.0524606569907</v>
      </c>
      <c r="J52" s="356">
        <v>8232.2698681467773</v>
      </c>
      <c r="K52" s="356">
        <v>8100.2794197444309</v>
      </c>
      <c r="L52" s="357">
        <v>8434.2653645828595</v>
      </c>
      <c r="N52" s="356"/>
      <c r="O52" s="357"/>
      <c r="P52" s="357"/>
      <c r="Q52" s="357"/>
    </row>
    <row r="53" spans="1:17" ht="10.5" customHeight="1">
      <c r="A53" s="334" t="s">
        <v>184</v>
      </c>
      <c r="B53" s="335">
        <v>0</v>
      </c>
      <c r="C53" s="335">
        <v>0</v>
      </c>
      <c r="D53" s="335" t="s">
        <v>490</v>
      </c>
      <c r="E53" s="335" t="s">
        <v>490</v>
      </c>
      <c r="F53" s="335" t="s">
        <v>490</v>
      </c>
      <c r="G53" s="335">
        <v>0</v>
      </c>
      <c r="H53" s="336">
        <v>0</v>
      </c>
      <c r="I53" s="336">
        <v>0</v>
      </c>
      <c r="J53" s="339">
        <v>0</v>
      </c>
      <c r="K53" s="339">
        <v>0</v>
      </c>
      <c r="L53" s="339">
        <v>0</v>
      </c>
      <c r="N53" s="339"/>
      <c r="O53" s="338"/>
      <c r="P53" s="338"/>
      <c r="Q53" s="339"/>
    </row>
    <row r="54" spans="1:17" ht="10.5" customHeight="1">
      <c r="A54" s="334" t="s">
        <v>495</v>
      </c>
      <c r="B54" s="335">
        <v>2700</v>
      </c>
      <c r="C54" s="335">
        <v>2700</v>
      </c>
      <c r="D54" s="358">
        <v>2700</v>
      </c>
      <c r="E54" s="358">
        <v>2700</v>
      </c>
      <c r="F54" s="358">
        <v>2700</v>
      </c>
      <c r="G54" s="358">
        <v>2700</v>
      </c>
      <c r="H54" s="339">
        <v>2750</v>
      </c>
      <c r="I54" s="339">
        <v>2800</v>
      </c>
      <c r="J54" s="339">
        <v>2900</v>
      </c>
      <c r="K54" s="339">
        <v>2900</v>
      </c>
      <c r="L54" s="339">
        <v>2900</v>
      </c>
      <c r="N54" s="338"/>
      <c r="O54" s="339"/>
      <c r="P54" s="339"/>
      <c r="Q54" s="339"/>
    </row>
    <row r="55" spans="1:17" ht="10.5" customHeight="1">
      <c r="A55" s="334" t="s">
        <v>24</v>
      </c>
      <c r="B55" s="335">
        <v>0</v>
      </c>
      <c r="C55" s="335">
        <v>0</v>
      </c>
      <c r="D55" s="335" t="s">
        <v>490</v>
      </c>
      <c r="E55" s="335" t="s">
        <v>490</v>
      </c>
      <c r="F55" s="335" t="s">
        <v>490</v>
      </c>
      <c r="G55" s="335">
        <v>0</v>
      </c>
      <c r="H55" s="336">
        <v>0</v>
      </c>
      <c r="I55" s="336">
        <v>0</v>
      </c>
      <c r="J55" s="336"/>
      <c r="K55" s="336"/>
      <c r="L55" s="336"/>
      <c r="N55" s="339"/>
      <c r="O55" s="339"/>
      <c r="P55" s="339"/>
      <c r="Q55" s="339"/>
    </row>
    <row r="56" spans="1:17" ht="10.5" customHeight="1">
      <c r="A56" s="334" t="s">
        <v>185</v>
      </c>
      <c r="B56" s="335">
        <v>0</v>
      </c>
      <c r="C56" s="335">
        <v>0</v>
      </c>
      <c r="D56" s="335" t="s">
        <v>490</v>
      </c>
      <c r="E56" s="335" t="s">
        <v>490</v>
      </c>
      <c r="F56" s="335" t="s">
        <v>490</v>
      </c>
      <c r="G56" s="335">
        <v>0</v>
      </c>
      <c r="H56" s="336">
        <v>0</v>
      </c>
      <c r="I56" s="336">
        <v>0</v>
      </c>
      <c r="J56" s="336">
        <v>0</v>
      </c>
      <c r="K56" s="336">
        <v>0</v>
      </c>
      <c r="L56" s="336">
        <v>0</v>
      </c>
      <c r="N56" s="339"/>
      <c r="O56" s="339"/>
      <c r="P56" s="339"/>
      <c r="Q56" s="339"/>
    </row>
    <row r="57" spans="1:17" ht="10.5" customHeight="1">
      <c r="A57" s="334" t="s">
        <v>186</v>
      </c>
      <c r="B57" s="335">
        <v>0</v>
      </c>
      <c r="C57" s="335">
        <v>0</v>
      </c>
      <c r="D57" s="335" t="s">
        <v>490</v>
      </c>
      <c r="E57" s="335" t="s">
        <v>490</v>
      </c>
      <c r="F57" s="335" t="s">
        <v>490</v>
      </c>
      <c r="G57" s="335">
        <v>0</v>
      </c>
      <c r="H57" s="336">
        <v>0</v>
      </c>
      <c r="I57" s="336">
        <v>0</v>
      </c>
      <c r="J57" s="336">
        <v>0</v>
      </c>
      <c r="K57" s="336">
        <v>0</v>
      </c>
      <c r="L57" s="336">
        <v>0</v>
      </c>
      <c r="N57" s="339"/>
      <c r="O57" s="339"/>
      <c r="P57" s="339"/>
      <c r="Q57" s="339"/>
    </row>
    <row r="58" spans="1:17" ht="10.5" customHeight="1">
      <c r="A58" s="329" t="s">
        <v>123</v>
      </c>
      <c r="B58" s="352">
        <v>199990</v>
      </c>
      <c r="C58" s="352">
        <v>203187</v>
      </c>
      <c r="D58" s="352">
        <v>206685</v>
      </c>
      <c r="E58" s="352">
        <v>212557</v>
      </c>
      <c r="F58" s="352">
        <v>212299</v>
      </c>
      <c r="G58" s="352">
        <v>214648</v>
      </c>
      <c r="H58" s="359">
        <v>214644.38543166345</v>
      </c>
      <c r="I58" s="359">
        <v>217134.53920014724</v>
      </c>
      <c r="J58" s="366">
        <v>218147.09903579712</v>
      </c>
      <c r="K58" s="356">
        <v>216256.71390982179</v>
      </c>
      <c r="L58" s="357">
        <v>219569.56836073045</v>
      </c>
      <c r="N58" s="339"/>
      <c r="O58" s="339"/>
      <c r="P58" s="339"/>
      <c r="Q58" s="339"/>
    </row>
    <row r="59" spans="1:17" ht="10.5" customHeight="1">
      <c r="A59" s="334" t="s">
        <v>41</v>
      </c>
      <c r="B59" s="335">
        <v>109410</v>
      </c>
      <c r="C59" s="335">
        <v>110308</v>
      </c>
      <c r="D59" s="335">
        <v>111842</v>
      </c>
      <c r="E59" s="335">
        <v>115337</v>
      </c>
      <c r="F59" s="335">
        <v>114534</v>
      </c>
      <c r="G59" s="335">
        <v>115761</v>
      </c>
      <c r="H59" s="336">
        <v>115526.46921370001</v>
      </c>
      <c r="I59" s="336">
        <v>116811.13800000001</v>
      </c>
      <c r="J59" s="339">
        <v>116449.34407919725</v>
      </c>
      <c r="K59" s="338">
        <v>115050.58481504503</v>
      </c>
      <c r="L59" s="339">
        <v>117840.56376318811</v>
      </c>
      <c r="N59" s="339"/>
      <c r="O59" s="338"/>
      <c r="P59" s="339"/>
      <c r="Q59" s="339"/>
    </row>
    <row r="60" spans="1:17" ht="10.5" customHeight="1">
      <c r="A60" s="334" t="s">
        <v>187</v>
      </c>
      <c r="B60" s="335">
        <v>21577</v>
      </c>
      <c r="C60" s="335">
        <v>21951</v>
      </c>
      <c r="D60" s="335">
        <v>20913</v>
      </c>
      <c r="E60" s="335">
        <v>21105</v>
      </c>
      <c r="F60" s="335">
        <v>20657</v>
      </c>
      <c r="G60" s="335">
        <v>20623</v>
      </c>
      <c r="H60" s="336">
        <v>20708.475621763446</v>
      </c>
      <c r="I60" s="336">
        <v>20877.873200147227</v>
      </c>
      <c r="J60" s="338">
        <v>22192.227093003883</v>
      </c>
      <c r="K60" s="338">
        <v>22346.706525398607</v>
      </c>
      <c r="L60" s="339">
        <v>22108.109904346249</v>
      </c>
      <c r="N60" s="338"/>
      <c r="O60" s="339"/>
      <c r="P60" s="338"/>
      <c r="Q60" s="339"/>
    </row>
    <row r="61" spans="1:17" ht="10.5" customHeight="1">
      <c r="A61" s="334" t="s">
        <v>52</v>
      </c>
      <c r="B61" s="335">
        <v>64952</v>
      </c>
      <c r="C61" s="335">
        <v>66748</v>
      </c>
      <c r="D61" s="335">
        <v>69571</v>
      </c>
      <c r="E61" s="335">
        <v>72014</v>
      </c>
      <c r="F61" s="335">
        <v>72963</v>
      </c>
      <c r="G61" s="335">
        <v>74238</v>
      </c>
      <c r="H61" s="336">
        <v>74215.490578199999</v>
      </c>
      <c r="I61" s="336">
        <v>75293.784999999989</v>
      </c>
      <c r="J61" s="339">
        <v>75375.651138594418</v>
      </c>
      <c r="K61" s="338">
        <v>74734.564003202337</v>
      </c>
      <c r="L61" s="339">
        <v>75554.036767056037</v>
      </c>
      <c r="N61" s="339"/>
      <c r="O61" s="338"/>
      <c r="P61" s="339"/>
      <c r="Q61" s="339"/>
    </row>
    <row r="62" spans="1:17" ht="10.5" customHeight="1">
      <c r="A62" s="334" t="s">
        <v>188</v>
      </c>
      <c r="B62" s="335">
        <v>4051</v>
      </c>
      <c r="C62" s="335">
        <v>4180</v>
      </c>
      <c r="D62" s="335">
        <v>4358</v>
      </c>
      <c r="E62" s="335">
        <v>4100</v>
      </c>
      <c r="F62" s="335">
        <v>4145</v>
      </c>
      <c r="G62" s="335">
        <v>4025</v>
      </c>
      <c r="H62" s="336">
        <v>4193.9500180000005</v>
      </c>
      <c r="I62" s="336">
        <v>4151.7429999999995</v>
      </c>
      <c r="J62" s="339">
        <v>4129.8767250015444</v>
      </c>
      <c r="K62" s="338">
        <v>4124.8585661758043</v>
      </c>
      <c r="L62" s="339">
        <v>4066.8579261400328</v>
      </c>
      <c r="N62" s="338"/>
      <c r="O62" s="339"/>
      <c r="P62" s="339"/>
      <c r="Q62" s="339"/>
    </row>
    <row r="63" spans="1:17" ht="10.5" customHeight="1">
      <c r="A63" s="334" t="s">
        <v>189</v>
      </c>
      <c r="B63" s="367">
        <v>0</v>
      </c>
      <c r="C63" s="367">
        <v>0</v>
      </c>
      <c r="D63" s="367" t="s">
        <v>490</v>
      </c>
      <c r="E63" s="367" t="s">
        <v>490</v>
      </c>
      <c r="F63" s="367" t="s">
        <v>490</v>
      </c>
      <c r="G63" s="367">
        <v>0</v>
      </c>
      <c r="H63" s="357">
        <v>0</v>
      </c>
      <c r="I63" s="357">
        <v>0</v>
      </c>
      <c r="J63" s="357">
        <v>0</v>
      </c>
      <c r="K63" s="336">
        <v>0</v>
      </c>
      <c r="L63" s="336">
        <v>0</v>
      </c>
      <c r="N63" s="339"/>
      <c r="O63" s="339"/>
      <c r="P63" s="339"/>
      <c r="Q63" s="339"/>
    </row>
    <row r="64" spans="1:17" ht="10.5" customHeight="1" thickBot="1">
      <c r="A64" s="368" t="s">
        <v>190</v>
      </c>
      <c r="B64" s="369">
        <v>0</v>
      </c>
      <c r="C64" s="369">
        <v>0</v>
      </c>
      <c r="D64" s="369">
        <v>0</v>
      </c>
      <c r="E64" s="369">
        <v>0</v>
      </c>
      <c r="F64" s="369">
        <v>0</v>
      </c>
      <c r="G64" s="369">
        <v>0</v>
      </c>
      <c r="H64" s="370">
        <v>0</v>
      </c>
      <c r="I64" s="370">
        <v>0</v>
      </c>
      <c r="J64" s="370">
        <v>0</v>
      </c>
      <c r="K64" s="370">
        <v>0</v>
      </c>
      <c r="L64" s="370"/>
      <c r="N64" s="339"/>
      <c r="O64" s="339"/>
      <c r="P64" s="339"/>
      <c r="Q64" s="339"/>
    </row>
    <row r="65" spans="1:17" ht="24.75" customHeight="1" thickTop="1">
      <c r="A65" s="371"/>
      <c r="B65" s="372"/>
      <c r="C65" s="367"/>
      <c r="D65" s="367"/>
      <c r="E65" s="320"/>
      <c r="F65" s="320"/>
      <c r="J65" s="320"/>
      <c r="N65" s="339"/>
      <c r="O65" s="339"/>
      <c r="P65" s="339"/>
      <c r="Q65" s="339"/>
    </row>
    <row r="66" spans="1:17" s="316" customFormat="1" ht="27.75" customHeight="1">
      <c r="A66" s="310" t="s">
        <v>496</v>
      </c>
      <c r="B66" s="312"/>
      <c r="C66" s="312"/>
      <c r="D66" s="312"/>
      <c r="E66" s="312"/>
      <c r="F66" s="312"/>
      <c r="G66" s="312"/>
      <c r="H66" s="312"/>
      <c r="I66" s="312"/>
      <c r="J66" s="320"/>
      <c r="N66" s="339"/>
      <c r="O66" s="339"/>
      <c r="P66" s="339"/>
      <c r="Q66" s="339"/>
    </row>
    <row r="67" spans="1:17" ht="18" customHeight="1">
      <c r="A67" s="317" t="s">
        <v>5</v>
      </c>
      <c r="B67" s="373"/>
      <c r="C67" s="320"/>
      <c r="D67" s="320"/>
      <c r="E67" s="320"/>
      <c r="F67" s="320"/>
      <c r="J67" s="320"/>
      <c r="N67" s="339"/>
      <c r="O67" s="339"/>
      <c r="P67" s="339"/>
      <c r="Q67" s="339"/>
    </row>
    <row r="68" spans="1:17" ht="13.5" thickBot="1">
      <c r="A68" s="374"/>
      <c r="B68" s="373"/>
      <c r="C68" s="373"/>
      <c r="D68" s="373"/>
      <c r="E68" s="372"/>
      <c r="F68" s="375"/>
      <c r="G68" s="375"/>
      <c r="I68" s="324"/>
      <c r="K68" s="324"/>
      <c r="L68" s="324" t="s">
        <v>389</v>
      </c>
      <c r="N68" s="339"/>
      <c r="O68" s="339"/>
      <c r="P68" s="339"/>
      <c r="Q68" s="339"/>
    </row>
    <row r="69" spans="1:17" ht="13.5" thickTop="1">
      <c r="A69" s="325"/>
      <c r="B69" s="376">
        <v>1998</v>
      </c>
      <c r="C69" s="376">
        <v>1999</v>
      </c>
      <c r="D69" s="376">
        <v>2000</v>
      </c>
      <c r="E69" s="376">
        <v>2001</v>
      </c>
      <c r="F69" s="376">
        <v>2002</v>
      </c>
      <c r="G69" s="376">
        <v>2003</v>
      </c>
      <c r="H69" s="376">
        <v>2004</v>
      </c>
      <c r="I69" s="376">
        <v>2005</v>
      </c>
      <c r="J69" s="376">
        <v>2006</v>
      </c>
      <c r="K69" s="376">
        <v>2007</v>
      </c>
      <c r="L69" s="376">
        <v>2008</v>
      </c>
      <c r="N69" s="339"/>
      <c r="O69" s="339"/>
      <c r="P69" s="339"/>
      <c r="Q69" s="339"/>
    </row>
    <row r="70" spans="1:17" ht="11.1" customHeight="1">
      <c r="A70" s="329" t="s">
        <v>497</v>
      </c>
      <c r="B70" s="377"/>
      <c r="C70" s="377"/>
      <c r="D70" s="377"/>
      <c r="E70" s="377"/>
      <c r="F70" s="377"/>
      <c r="G70" s="377"/>
      <c r="H70" s="377"/>
      <c r="I70" s="377"/>
      <c r="J70" s="377"/>
      <c r="N70" s="339"/>
      <c r="O70" s="339"/>
      <c r="P70" s="339"/>
      <c r="Q70" s="339"/>
    </row>
    <row r="71" spans="1:17" ht="11.1" customHeight="1">
      <c r="A71" s="378" t="s">
        <v>498</v>
      </c>
      <c r="B71" s="360">
        <v>361078</v>
      </c>
      <c r="C71" s="360">
        <v>365250</v>
      </c>
      <c r="D71" s="360">
        <v>374374</v>
      </c>
      <c r="E71" s="360">
        <v>382356</v>
      </c>
      <c r="F71" s="360">
        <v>384594</v>
      </c>
      <c r="G71" s="360">
        <v>395475.21458089259</v>
      </c>
      <c r="H71" s="379">
        <v>391218.68770954566</v>
      </c>
      <c r="I71" s="379">
        <v>395382.84676819755</v>
      </c>
      <c r="J71" s="380">
        <v>393439.74485443806</v>
      </c>
      <c r="K71" s="380">
        <v>393184.3387592379</v>
      </c>
      <c r="L71" s="379">
        <v>385560.22494830529</v>
      </c>
      <c r="N71" s="339"/>
      <c r="O71" s="339"/>
      <c r="P71" s="339"/>
      <c r="Q71" s="339"/>
    </row>
    <row r="72" spans="1:17" ht="11.1" customHeight="1">
      <c r="A72" s="329" t="s">
        <v>147</v>
      </c>
      <c r="B72" s="335"/>
      <c r="C72" s="335"/>
      <c r="D72" s="335"/>
      <c r="E72" s="335"/>
      <c r="F72" s="335"/>
      <c r="G72" s="335"/>
      <c r="H72" s="336"/>
      <c r="I72" s="336"/>
      <c r="J72" s="336"/>
      <c r="N72" s="339"/>
      <c r="O72" s="339"/>
      <c r="P72" s="339"/>
      <c r="Q72" s="339"/>
    </row>
    <row r="73" spans="1:17" ht="11.1" customHeight="1">
      <c r="A73" s="329" t="s">
        <v>499</v>
      </c>
      <c r="B73" s="352">
        <v>103723</v>
      </c>
      <c r="C73" s="352">
        <v>99564</v>
      </c>
      <c r="D73" s="352">
        <v>89394</v>
      </c>
      <c r="E73" s="352">
        <v>93307</v>
      </c>
      <c r="F73" s="352">
        <v>91776</v>
      </c>
      <c r="G73" s="352">
        <v>91253.964908959999</v>
      </c>
      <c r="H73" s="359">
        <v>83906.905642214726</v>
      </c>
      <c r="I73" s="359">
        <v>85444.00284311999</v>
      </c>
      <c r="J73" s="357">
        <v>79143.956190527242</v>
      </c>
      <c r="K73" s="356">
        <v>70740.758491935005</v>
      </c>
      <c r="L73" s="357">
        <v>62066.923510424007</v>
      </c>
      <c r="N73" s="339"/>
      <c r="O73" s="338"/>
      <c r="P73" s="338"/>
      <c r="Q73" s="339"/>
    </row>
    <row r="74" spans="1:17" ht="11.1" customHeight="1">
      <c r="A74" s="334" t="s">
        <v>500</v>
      </c>
      <c r="B74" s="335">
        <v>99486</v>
      </c>
      <c r="C74" s="335">
        <v>95133</v>
      </c>
      <c r="D74" s="335">
        <v>85063</v>
      </c>
      <c r="E74" s="335">
        <v>90093</v>
      </c>
      <c r="F74" s="335">
        <v>87848</v>
      </c>
      <c r="G74" s="335">
        <v>88686.265908960006</v>
      </c>
      <c r="H74" s="336">
        <v>79999.105642214723</v>
      </c>
      <c r="I74" s="336">
        <v>81618.102843119996</v>
      </c>
      <c r="J74" s="339">
        <v>75450.656932527243</v>
      </c>
      <c r="K74" s="339">
        <v>63028.342696935004</v>
      </c>
      <c r="L74" s="339">
        <v>52485.808334757006</v>
      </c>
      <c r="N74" s="339"/>
      <c r="O74" s="339"/>
      <c r="P74" s="339"/>
      <c r="Q74" s="339"/>
    </row>
    <row r="75" spans="1:17" ht="11.1" customHeight="1">
      <c r="A75" s="334" t="s">
        <v>501</v>
      </c>
      <c r="B75" s="335">
        <v>4237</v>
      </c>
      <c r="C75" s="335">
        <v>4431</v>
      </c>
      <c r="D75" s="335">
        <v>4331</v>
      </c>
      <c r="E75" s="335">
        <v>3215</v>
      </c>
      <c r="F75" s="335">
        <v>3927</v>
      </c>
      <c r="G75" s="335">
        <v>2523.4169999999999</v>
      </c>
      <c r="H75" s="336">
        <v>3772.9229999999998</v>
      </c>
      <c r="I75" s="336">
        <v>3636.5909999999999</v>
      </c>
      <c r="J75" s="339">
        <v>3481.4458</v>
      </c>
      <c r="K75" s="339">
        <v>3906.0243</v>
      </c>
      <c r="L75" s="339">
        <v>3970.6443829999994</v>
      </c>
      <c r="N75" s="339"/>
      <c r="O75" s="339"/>
      <c r="P75" s="338"/>
      <c r="Q75" s="339"/>
    </row>
    <row r="76" spans="1:17" ht="11.1" customHeight="1">
      <c r="A76" s="334" t="s">
        <v>502</v>
      </c>
      <c r="B76" s="335" t="s">
        <v>279</v>
      </c>
      <c r="C76" s="335" t="s">
        <v>279</v>
      </c>
      <c r="D76" s="335" t="s">
        <v>279</v>
      </c>
      <c r="E76" s="335" t="s">
        <v>279</v>
      </c>
      <c r="F76" s="335" t="s">
        <v>503</v>
      </c>
      <c r="G76" s="335">
        <v>44.281999999999996</v>
      </c>
      <c r="H76" s="336">
        <v>134.87700000000001</v>
      </c>
      <c r="I76" s="336">
        <v>189.309</v>
      </c>
      <c r="J76" s="339">
        <v>211.85345800000002</v>
      </c>
      <c r="K76" s="339">
        <v>237.55471</v>
      </c>
      <c r="L76" s="339">
        <v>253.16842419999998</v>
      </c>
      <c r="N76" s="339"/>
      <c r="O76" s="339"/>
      <c r="P76" s="339"/>
      <c r="Q76" s="339"/>
    </row>
    <row r="77" spans="1:17" ht="11.1" customHeight="1">
      <c r="A77" s="334" t="s">
        <v>504</v>
      </c>
      <c r="B77" s="335">
        <v>0</v>
      </c>
      <c r="C77" s="335">
        <v>0</v>
      </c>
      <c r="D77" s="335">
        <v>0</v>
      </c>
      <c r="E77" s="335">
        <v>0</v>
      </c>
      <c r="F77" s="335">
        <v>0</v>
      </c>
      <c r="G77" s="335">
        <v>0</v>
      </c>
      <c r="H77" s="336">
        <v>0</v>
      </c>
      <c r="I77" s="336">
        <v>0</v>
      </c>
      <c r="J77" s="339">
        <v>0</v>
      </c>
      <c r="K77" s="338">
        <v>3568.836785</v>
      </c>
      <c r="L77" s="339">
        <v>5357.3023684669988</v>
      </c>
      <c r="N77" s="339"/>
      <c r="O77" s="339"/>
      <c r="P77" s="339"/>
      <c r="Q77" s="339"/>
    </row>
    <row r="78" spans="1:17" ht="11.1" customHeight="1">
      <c r="A78" s="351" t="s">
        <v>505</v>
      </c>
      <c r="B78" s="353">
        <v>1757</v>
      </c>
      <c r="C78" s="353">
        <v>1756</v>
      </c>
      <c r="D78" s="353">
        <v>1701</v>
      </c>
      <c r="E78" s="353">
        <v>1805</v>
      </c>
      <c r="F78" s="353">
        <v>2119</v>
      </c>
      <c r="G78" s="353">
        <v>1948.26424288</v>
      </c>
      <c r="H78" s="354">
        <v>2875.3148679999999</v>
      </c>
      <c r="I78" s="354">
        <v>4007.6876100000009</v>
      </c>
      <c r="J78" s="354">
        <v>5135.6080887905991</v>
      </c>
      <c r="K78" s="355">
        <v>2663.8500299999996</v>
      </c>
      <c r="L78" s="354">
        <v>2700.9290995199999</v>
      </c>
      <c r="N78" s="339"/>
      <c r="O78" s="339"/>
      <c r="P78" s="339"/>
      <c r="Q78" s="339"/>
    </row>
    <row r="79" spans="1:17" ht="11.1" customHeight="1">
      <c r="A79" s="334" t="s">
        <v>500</v>
      </c>
      <c r="B79" s="335">
        <v>0</v>
      </c>
      <c r="C79" s="335">
        <v>0</v>
      </c>
      <c r="D79" s="335">
        <v>0</v>
      </c>
      <c r="E79" s="335">
        <v>0</v>
      </c>
      <c r="F79" s="335">
        <v>0</v>
      </c>
      <c r="G79" s="335">
        <v>0</v>
      </c>
      <c r="H79" s="336">
        <v>0</v>
      </c>
      <c r="I79" s="336">
        <v>0</v>
      </c>
      <c r="J79" s="336">
        <v>0</v>
      </c>
      <c r="K79" s="336">
        <v>0</v>
      </c>
      <c r="L79" s="336">
        <v>0</v>
      </c>
      <c r="N79" s="339"/>
      <c r="O79" s="339"/>
      <c r="P79" s="339"/>
      <c r="Q79" s="339"/>
    </row>
    <row r="80" spans="1:17" ht="11.1" customHeight="1">
      <c r="A80" s="334" t="s">
        <v>506</v>
      </c>
      <c r="B80" s="335">
        <v>674</v>
      </c>
      <c r="C80" s="335">
        <v>698</v>
      </c>
      <c r="D80" s="335">
        <v>540</v>
      </c>
      <c r="E80" s="335">
        <v>630</v>
      </c>
      <c r="F80" s="335">
        <v>657</v>
      </c>
      <c r="G80" s="335">
        <v>561.26700000000005</v>
      </c>
      <c r="H80" s="336">
        <v>788.37699999999995</v>
      </c>
      <c r="I80" s="336">
        <v>841.1</v>
      </c>
      <c r="J80" s="336">
        <v>634.10599999999999</v>
      </c>
      <c r="K80" s="336">
        <v>647.96900000000005</v>
      </c>
      <c r="L80" s="336">
        <v>629.29</v>
      </c>
      <c r="N80" s="339"/>
      <c r="O80" s="339"/>
      <c r="P80" s="339"/>
      <c r="Q80" s="339"/>
    </row>
    <row r="81" spans="1:17" ht="11.1" customHeight="1">
      <c r="A81" s="334" t="s">
        <v>502</v>
      </c>
      <c r="B81" s="335">
        <v>206</v>
      </c>
      <c r="C81" s="335">
        <v>207</v>
      </c>
      <c r="D81" s="335">
        <v>214</v>
      </c>
      <c r="E81" s="335">
        <v>210</v>
      </c>
      <c r="F81" s="335" t="s">
        <v>507</v>
      </c>
      <c r="G81" s="335">
        <v>98.703000000000003</v>
      </c>
      <c r="H81" s="336">
        <v>147.82300000000001</v>
      </c>
      <c r="I81" s="336">
        <v>254.49100000000001</v>
      </c>
      <c r="J81" s="336">
        <v>265.74948839059988</v>
      </c>
      <c r="K81" s="336">
        <v>296.84633000000002</v>
      </c>
      <c r="L81" s="336">
        <v>314.6890995199999</v>
      </c>
      <c r="N81" s="339"/>
      <c r="O81" s="339"/>
      <c r="P81" s="339"/>
      <c r="Q81" s="339"/>
    </row>
    <row r="82" spans="1:17" ht="11.1" customHeight="1">
      <c r="A82" s="334" t="s">
        <v>508</v>
      </c>
      <c r="B82" s="335">
        <v>877</v>
      </c>
      <c r="C82" s="335">
        <v>851</v>
      </c>
      <c r="D82" s="335">
        <v>947</v>
      </c>
      <c r="E82" s="335">
        <v>965</v>
      </c>
      <c r="F82" s="335">
        <v>1259</v>
      </c>
      <c r="G82" s="335">
        <v>1288.29424288</v>
      </c>
      <c r="H82" s="336">
        <v>1939.1148680000001</v>
      </c>
      <c r="I82" s="336">
        <v>2912.0966100000005</v>
      </c>
      <c r="J82" s="336">
        <v>4235.7526003999992</v>
      </c>
      <c r="K82" s="337">
        <v>1719.0346999999992</v>
      </c>
      <c r="L82" s="336">
        <v>1756.95</v>
      </c>
      <c r="N82" s="339"/>
      <c r="O82" s="339"/>
      <c r="P82" s="339"/>
      <c r="Q82" s="339"/>
    </row>
    <row r="83" spans="1:17" ht="11.1" customHeight="1">
      <c r="A83" s="351" t="s">
        <v>509</v>
      </c>
      <c r="B83" s="353"/>
      <c r="C83" s="353"/>
      <c r="D83" s="353"/>
      <c r="E83" s="353"/>
      <c r="F83" s="353"/>
      <c r="G83" s="353"/>
      <c r="H83" s="354"/>
      <c r="I83" s="354"/>
      <c r="J83" s="354"/>
      <c r="K83" s="381"/>
      <c r="L83" s="381"/>
      <c r="N83" s="339"/>
      <c r="O83" s="339"/>
      <c r="P83" s="339"/>
      <c r="Q83" s="339"/>
    </row>
    <row r="84" spans="1:17" ht="11.1" customHeight="1">
      <c r="A84" s="329" t="s">
        <v>499</v>
      </c>
      <c r="B84" s="352">
        <v>228417</v>
      </c>
      <c r="C84" s="352">
        <v>234142</v>
      </c>
      <c r="D84" s="352">
        <v>249695</v>
      </c>
      <c r="E84" s="352">
        <v>257328</v>
      </c>
      <c r="F84" s="352">
        <v>259566</v>
      </c>
      <c r="G84" s="352">
        <v>268612.48844193254</v>
      </c>
      <c r="H84" s="359">
        <v>271757.74328143988</v>
      </c>
      <c r="I84" s="359">
        <v>273838.37128507759</v>
      </c>
      <c r="J84" s="366">
        <v>278235.50677552022</v>
      </c>
      <c r="K84" s="366">
        <v>286810.01516630291</v>
      </c>
      <c r="L84" s="359">
        <v>289128.37003453728</v>
      </c>
      <c r="N84" s="339"/>
      <c r="O84" s="339"/>
      <c r="P84" s="339"/>
      <c r="Q84" s="339"/>
    </row>
    <row r="85" spans="1:17" ht="11.1" customHeight="1">
      <c r="A85" s="334" t="s">
        <v>510</v>
      </c>
      <c r="B85" s="335">
        <v>118595</v>
      </c>
      <c r="C85" s="335">
        <v>102074</v>
      </c>
      <c r="D85" s="335">
        <v>117025</v>
      </c>
      <c r="E85" s="335">
        <v>127128</v>
      </c>
      <c r="F85" s="335">
        <v>120958</v>
      </c>
      <c r="G85" s="335">
        <v>134023.27733377001</v>
      </c>
      <c r="H85" s="336">
        <v>127826.56739997381</v>
      </c>
      <c r="I85" s="336">
        <v>130894.12502656282</v>
      </c>
      <c r="J85" s="337">
        <v>145311.14019007739</v>
      </c>
      <c r="K85" s="337">
        <v>132675.3202097828</v>
      </c>
      <c r="L85" s="336">
        <v>121251.34408201941</v>
      </c>
      <c r="N85" s="339"/>
      <c r="O85" s="339"/>
      <c r="P85" s="339"/>
      <c r="Q85" s="339"/>
    </row>
    <row r="86" spans="1:17" ht="11.1" customHeight="1">
      <c r="A86" s="334" t="s">
        <v>511</v>
      </c>
      <c r="B86" s="335">
        <v>3442</v>
      </c>
      <c r="C86" s="335">
        <v>2943</v>
      </c>
      <c r="D86" s="335">
        <v>2415</v>
      </c>
      <c r="E86" s="335">
        <v>2472</v>
      </c>
      <c r="F86" s="335">
        <v>2011</v>
      </c>
      <c r="G86" s="335">
        <v>2197.1121243455473</v>
      </c>
      <c r="H86" s="336">
        <v>1882.7795449292664</v>
      </c>
      <c r="I86" s="336">
        <v>2715.9101354587806</v>
      </c>
      <c r="J86" s="337">
        <v>3358.643967753716</v>
      </c>
      <c r="K86" s="337">
        <v>2400.7626921524643</v>
      </c>
      <c r="L86" s="336">
        <v>3666.9736194967227</v>
      </c>
      <c r="N86" s="339"/>
      <c r="O86" s="339"/>
      <c r="P86" s="339"/>
      <c r="Q86" s="339"/>
    </row>
    <row r="87" spans="1:17" ht="11.1" customHeight="1">
      <c r="A87" s="334" t="s">
        <v>512</v>
      </c>
      <c r="B87" s="335">
        <v>105804</v>
      </c>
      <c r="C87" s="335">
        <v>128365</v>
      </c>
      <c r="D87" s="335">
        <v>129558</v>
      </c>
      <c r="E87" s="335">
        <v>126999</v>
      </c>
      <c r="F87" s="335">
        <v>135741</v>
      </c>
      <c r="G87" s="335">
        <v>131237.87312454908</v>
      </c>
      <c r="H87" s="336">
        <v>140576.96700778682</v>
      </c>
      <c r="I87" s="336">
        <v>137482.74212305597</v>
      </c>
      <c r="J87" s="336">
        <v>126637.23964240288</v>
      </c>
      <c r="K87" s="336">
        <v>149345.94597440778</v>
      </c>
      <c r="L87" s="336">
        <v>161578.75647814601</v>
      </c>
      <c r="N87" s="339"/>
      <c r="O87" s="339"/>
      <c r="P87" s="339"/>
      <c r="Q87" s="339"/>
    </row>
    <row r="88" spans="1:17" ht="11.1" customHeight="1">
      <c r="A88" s="334" t="s">
        <v>513</v>
      </c>
      <c r="B88" s="335">
        <v>576</v>
      </c>
      <c r="C88" s="335">
        <v>760</v>
      </c>
      <c r="D88" s="335">
        <v>698</v>
      </c>
      <c r="E88" s="335">
        <v>729</v>
      </c>
      <c r="F88" s="335">
        <v>856</v>
      </c>
      <c r="G88" s="335">
        <v>1154.2258592679364</v>
      </c>
      <c r="H88" s="336">
        <v>1471.4293287500002</v>
      </c>
      <c r="I88" s="336">
        <v>2745.5940000000005</v>
      </c>
      <c r="J88" s="337">
        <v>2928.4829752862515</v>
      </c>
      <c r="K88" s="337">
        <v>2387.9862899598402</v>
      </c>
      <c r="L88" s="336">
        <v>2631.2958548751403</v>
      </c>
      <c r="N88" s="339"/>
      <c r="O88" s="339"/>
      <c r="P88" s="339"/>
      <c r="Q88" s="339"/>
    </row>
    <row r="89" spans="1:17" ht="11.1" customHeight="1">
      <c r="A89" s="334" t="s">
        <v>514</v>
      </c>
      <c r="B89" s="335">
        <v>0</v>
      </c>
      <c r="C89" s="335">
        <v>0</v>
      </c>
      <c r="D89" s="335">
        <v>0</v>
      </c>
      <c r="E89" s="335">
        <v>0</v>
      </c>
      <c r="F89" s="335">
        <v>0</v>
      </c>
      <c r="G89" s="335">
        <v>0</v>
      </c>
      <c r="H89" s="336">
        <v>0</v>
      </c>
      <c r="I89" s="336">
        <v>0</v>
      </c>
      <c r="J89" s="336">
        <v>0</v>
      </c>
      <c r="K89" s="336">
        <v>0</v>
      </c>
      <c r="L89" s="336">
        <v>0</v>
      </c>
      <c r="N89" s="339"/>
      <c r="O89" s="339"/>
      <c r="P89" s="339"/>
      <c r="Q89" s="339"/>
    </row>
    <row r="90" spans="1:17" ht="11.1" customHeight="1">
      <c r="A90" s="351" t="s">
        <v>505</v>
      </c>
      <c r="B90" s="353">
        <v>27181</v>
      </c>
      <c r="C90" s="353">
        <v>29788</v>
      </c>
      <c r="D90" s="353">
        <v>33584</v>
      </c>
      <c r="E90" s="353">
        <v>29915</v>
      </c>
      <c r="F90" s="353">
        <v>31133</v>
      </c>
      <c r="G90" s="353">
        <v>33660.496987120001</v>
      </c>
      <c r="H90" s="354">
        <v>32678.723917891028</v>
      </c>
      <c r="I90" s="354">
        <v>32092.785029999995</v>
      </c>
      <c r="J90" s="355">
        <v>30924.673799600012</v>
      </c>
      <c r="K90" s="355">
        <v>32969.715071000006</v>
      </c>
      <c r="L90" s="354">
        <v>31664.002303824</v>
      </c>
      <c r="N90" s="339"/>
      <c r="O90" s="339"/>
      <c r="P90" s="339"/>
      <c r="Q90" s="339"/>
    </row>
    <row r="91" spans="1:17" ht="11.1" customHeight="1">
      <c r="A91" s="334" t="s">
        <v>510</v>
      </c>
      <c r="B91" s="335">
        <v>4376</v>
      </c>
      <c r="C91" s="335">
        <v>4106</v>
      </c>
      <c r="D91" s="335">
        <v>2925</v>
      </c>
      <c r="E91" s="335">
        <v>4333</v>
      </c>
      <c r="F91" s="335">
        <v>3321</v>
      </c>
      <c r="G91" s="335">
        <v>4281.7669999999998</v>
      </c>
      <c r="H91" s="336">
        <v>3961.076</v>
      </c>
      <c r="I91" s="336">
        <v>3947.0029999999997</v>
      </c>
      <c r="J91" s="337">
        <v>3902.5950000000003</v>
      </c>
      <c r="K91" s="337">
        <v>3869.7619999999997</v>
      </c>
      <c r="L91" s="336">
        <v>4063.2869000000001</v>
      </c>
      <c r="N91" s="339"/>
      <c r="O91" s="339"/>
      <c r="P91" s="339"/>
      <c r="Q91" s="339"/>
    </row>
    <row r="92" spans="1:17" ht="11.1" customHeight="1">
      <c r="A92" s="334" t="s">
        <v>511</v>
      </c>
      <c r="B92" s="335">
        <v>3913</v>
      </c>
      <c r="C92" s="335">
        <v>3606</v>
      </c>
      <c r="D92" s="335">
        <v>4109</v>
      </c>
      <c r="E92" s="335">
        <v>2781</v>
      </c>
      <c r="F92" s="335">
        <v>2788</v>
      </c>
      <c r="G92" s="335">
        <v>2397.319676267377</v>
      </c>
      <c r="H92" s="336">
        <v>2761.3800951661628</v>
      </c>
      <c r="I92" s="336">
        <v>2416.9940900000001</v>
      </c>
      <c r="J92" s="337">
        <v>2450.3803648934645</v>
      </c>
      <c r="K92" s="337">
        <v>2331.1226537924636</v>
      </c>
      <c r="L92" s="336">
        <v>2434.0878562624562</v>
      </c>
      <c r="N92" s="339"/>
      <c r="O92" s="339"/>
      <c r="P92" s="339"/>
      <c r="Q92" s="339"/>
    </row>
    <row r="93" spans="1:17" ht="11.1" customHeight="1">
      <c r="A93" s="334" t="s">
        <v>512</v>
      </c>
      <c r="B93" s="335">
        <v>11994</v>
      </c>
      <c r="C93" s="335">
        <v>14537</v>
      </c>
      <c r="D93" s="335">
        <v>18519</v>
      </c>
      <c r="E93" s="335">
        <v>14906</v>
      </c>
      <c r="F93" s="335">
        <v>16536</v>
      </c>
      <c r="G93" s="335">
        <v>17643.475185891035</v>
      </c>
      <c r="H93" s="336">
        <v>16487.340785891032</v>
      </c>
      <c r="I93" s="336">
        <v>15159.249</v>
      </c>
      <c r="J93" s="337">
        <v>14190.624374695259</v>
      </c>
      <c r="K93" s="337">
        <v>16437.823011263517</v>
      </c>
      <c r="L93" s="336">
        <v>15170.196937211573</v>
      </c>
      <c r="N93" s="339"/>
      <c r="O93" s="339"/>
      <c r="P93" s="339"/>
      <c r="Q93" s="339"/>
    </row>
    <row r="94" spans="1:17" ht="11.1" customHeight="1">
      <c r="A94" s="334" t="s">
        <v>513</v>
      </c>
      <c r="B94" s="335">
        <v>2661</v>
      </c>
      <c r="C94" s="335">
        <v>3227</v>
      </c>
      <c r="D94" s="335">
        <v>3630</v>
      </c>
      <c r="E94" s="335">
        <v>4318</v>
      </c>
      <c r="F94" s="335">
        <v>4769</v>
      </c>
      <c r="G94" s="335">
        <v>5537.4619871200011</v>
      </c>
      <c r="H94" s="336">
        <v>6407.0661319999981</v>
      </c>
      <c r="I94" s="336">
        <v>6893.6605899999959</v>
      </c>
      <c r="J94" s="337">
        <v>7009.668099600005</v>
      </c>
      <c r="K94" s="337">
        <v>7588.9023000000025</v>
      </c>
      <c r="L94" s="336">
        <v>7703.5211838240002</v>
      </c>
      <c r="N94" s="339"/>
      <c r="O94" s="339"/>
      <c r="P94" s="339"/>
      <c r="Q94" s="339"/>
    </row>
    <row r="95" spans="1:17" ht="11.1" customHeight="1" thickBot="1">
      <c r="A95" s="334" t="s">
        <v>514</v>
      </c>
      <c r="B95" s="335">
        <v>4237</v>
      </c>
      <c r="C95" s="335">
        <v>4312</v>
      </c>
      <c r="D95" s="335">
        <v>4401</v>
      </c>
      <c r="E95" s="335">
        <v>3577</v>
      </c>
      <c r="F95" s="335">
        <v>3719</v>
      </c>
      <c r="G95" s="335">
        <v>3800.4731378415877</v>
      </c>
      <c r="H95" s="336">
        <v>3061.8609048338367</v>
      </c>
      <c r="I95" s="336">
        <v>3675.8783499999995</v>
      </c>
      <c r="J95" s="337">
        <v>3371.4059604112795</v>
      </c>
      <c r="K95" s="337">
        <v>2742.1051059440215</v>
      </c>
      <c r="L95" s="336">
        <v>2292.9094265259737</v>
      </c>
      <c r="N95" s="339"/>
      <c r="O95" s="339"/>
      <c r="P95" s="339"/>
      <c r="Q95" s="339"/>
    </row>
    <row r="96" spans="1:17" ht="11.1" customHeight="1" thickTop="1" thickBot="1">
      <c r="A96" s="382"/>
      <c r="B96" s="383"/>
      <c r="C96" s="383"/>
      <c r="D96" s="383"/>
      <c r="E96" s="383"/>
      <c r="F96" s="383"/>
      <c r="G96" s="383"/>
      <c r="H96" s="384"/>
      <c r="I96" s="384"/>
      <c r="J96" s="384"/>
      <c r="K96" s="385"/>
      <c r="L96" s="385"/>
      <c r="N96" s="339"/>
      <c r="O96" s="339"/>
      <c r="P96" s="339"/>
      <c r="Q96" s="339"/>
    </row>
    <row r="97" spans="1:17" s="346" customFormat="1" ht="11.1" customHeight="1" thickTop="1">
      <c r="A97" s="386" t="s">
        <v>515</v>
      </c>
      <c r="B97" s="387"/>
      <c r="C97" s="387"/>
      <c r="D97" s="387"/>
      <c r="E97" s="387"/>
      <c r="F97" s="387"/>
      <c r="G97" s="387"/>
      <c r="H97" s="388"/>
      <c r="I97" s="388"/>
      <c r="J97" s="388"/>
      <c r="N97" s="339"/>
      <c r="O97" s="339"/>
      <c r="P97" s="339"/>
      <c r="Q97" s="339"/>
    </row>
    <row r="98" spans="1:17" ht="11.1" customHeight="1">
      <c r="A98" s="334" t="s">
        <v>0</v>
      </c>
      <c r="B98" s="335">
        <v>99486</v>
      </c>
      <c r="C98" s="335">
        <v>95133</v>
      </c>
      <c r="D98" s="335">
        <v>85063</v>
      </c>
      <c r="E98" s="335">
        <v>90093</v>
      </c>
      <c r="F98" s="335">
        <v>87848</v>
      </c>
      <c r="G98" s="335">
        <v>88686.265908960006</v>
      </c>
      <c r="H98" s="336">
        <v>79999.105642214723</v>
      </c>
      <c r="I98" s="336">
        <v>81618.102843119996</v>
      </c>
      <c r="J98" s="336">
        <v>75450.656932527199</v>
      </c>
      <c r="K98" s="336">
        <v>63028.342696935004</v>
      </c>
      <c r="L98" s="336">
        <v>52485.808334757006</v>
      </c>
      <c r="N98" s="339"/>
      <c r="O98" s="339"/>
      <c r="P98" s="339"/>
      <c r="Q98" s="339"/>
    </row>
    <row r="99" spans="1:17" ht="11.1" customHeight="1">
      <c r="A99" s="334" t="s">
        <v>19</v>
      </c>
      <c r="B99" s="335">
        <v>5117</v>
      </c>
      <c r="C99" s="335">
        <v>5336</v>
      </c>
      <c r="D99" s="335">
        <v>5085</v>
      </c>
      <c r="E99" s="335">
        <v>4055</v>
      </c>
      <c r="F99" s="335">
        <v>4788</v>
      </c>
      <c r="G99" s="335">
        <v>3227.6690000000003</v>
      </c>
      <c r="H99" s="336">
        <v>4844</v>
      </c>
      <c r="I99" s="336">
        <v>4921.491</v>
      </c>
      <c r="J99" s="336">
        <v>4593.1547463905999</v>
      </c>
      <c r="K99" s="336">
        <v>5088.3943400000007</v>
      </c>
      <c r="L99" s="336">
        <v>5167.7919067199991</v>
      </c>
      <c r="N99" s="339"/>
      <c r="O99" s="339"/>
      <c r="P99" s="339"/>
      <c r="Q99" s="339"/>
    </row>
    <row r="100" spans="1:17" ht="11.1" customHeight="1">
      <c r="A100" s="334" t="s">
        <v>516</v>
      </c>
      <c r="B100" s="335">
        <v>877</v>
      </c>
      <c r="C100" s="335">
        <v>851</v>
      </c>
      <c r="D100" s="335">
        <v>947</v>
      </c>
      <c r="E100" s="335">
        <v>965</v>
      </c>
      <c r="F100" s="335">
        <v>1259</v>
      </c>
      <c r="G100" s="335">
        <v>1288.29424288</v>
      </c>
      <c r="H100" s="336">
        <v>1939.1148680000001</v>
      </c>
      <c r="I100" s="336">
        <v>2912.0966100000005</v>
      </c>
      <c r="J100" s="336">
        <v>4235.7526003999992</v>
      </c>
      <c r="K100" s="337">
        <v>5287.8714849999997</v>
      </c>
      <c r="L100" s="336">
        <v>7114.2523684669986</v>
      </c>
      <c r="N100" s="339"/>
      <c r="O100" s="339"/>
      <c r="P100" s="339"/>
      <c r="Q100" s="339"/>
    </row>
    <row r="101" spans="1:17" ht="11.1" customHeight="1">
      <c r="A101" s="334" t="s">
        <v>141</v>
      </c>
      <c r="B101" s="335">
        <v>122971</v>
      </c>
      <c r="C101" s="335">
        <v>106180</v>
      </c>
      <c r="D101" s="335">
        <v>119950</v>
      </c>
      <c r="E101" s="335">
        <v>131461</v>
      </c>
      <c r="F101" s="335">
        <v>124279</v>
      </c>
      <c r="G101" s="335">
        <v>138305.04433377</v>
      </c>
      <c r="H101" s="336">
        <v>131787.64339997381</v>
      </c>
      <c r="I101" s="336">
        <v>134841.12802656283</v>
      </c>
      <c r="J101" s="337">
        <v>149213.73519007739</v>
      </c>
      <c r="K101" s="336">
        <v>136545.08220978279</v>
      </c>
      <c r="L101" s="336">
        <v>125314.63098201941</v>
      </c>
      <c r="N101" s="339"/>
      <c r="O101" s="339"/>
      <c r="P101" s="339"/>
      <c r="Q101" s="339"/>
    </row>
    <row r="102" spans="1:17" ht="11.1" customHeight="1">
      <c r="A102" s="334" t="s">
        <v>202</v>
      </c>
      <c r="B102" s="335">
        <v>7355</v>
      </c>
      <c r="C102" s="335">
        <v>6549</v>
      </c>
      <c r="D102" s="335">
        <v>6524</v>
      </c>
      <c r="E102" s="335">
        <v>5253</v>
      </c>
      <c r="F102" s="335">
        <v>4799</v>
      </c>
      <c r="G102" s="335">
        <v>4594.4318006129242</v>
      </c>
      <c r="H102" s="336">
        <v>4644.1596400954295</v>
      </c>
      <c r="I102" s="336">
        <v>5132.9042254587803</v>
      </c>
      <c r="J102" s="337">
        <v>5809.0243326471809</v>
      </c>
      <c r="K102" s="337">
        <v>4731.8853459449274</v>
      </c>
      <c r="L102" s="336">
        <v>6101.0614757591793</v>
      </c>
      <c r="N102" s="339"/>
      <c r="O102" s="339"/>
      <c r="P102" s="339"/>
      <c r="Q102" s="339"/>
    </row>
    <row r="103" spans="1:17" ht="11.1" customHeight="1">
      <c r="A103" s="334" t="s">
        <v>14</v>
      </c>
      <c r="B103" s="335">
        <v>117798</v>
      </c>
      <c r="C103" s="335">
        <v>142902</v>
      </c>
      <c r="D103" s="335">
        <v>148077</v>
      </c>
      <c r="E103" s="335">
        <v>141905</v>
      </c>
      <c r="F103" s="335">
        <v>152277</v>
      </c>
      <c r="G103" s="335">
        <v>148881.34831044011</v>
      </c>
      <c r="H103" s="336">
        <v>157064.30779367784</v>
      </c>
      <c r="I103" s="336">
        <v>152641.99112305598</v>
      </c>
      <c r="J103" s="337">
        <v>140827.86401709815</v>
      </c>
      <c r="K103" s="337">
        <v>165783.76898567128</v>
      </c>
      <c r="L103" s="336">
        <v>176748.9534153576</v>
      </c>
      <c r="N103" s="339"/>
      <c r="O103" s="339"/>
      <c r="P103" s="339"/>
      <c r="Q103" s="339"/>
    </row>
    <row r="104" spans="1:17" ht="11.1" customHeight="1">
      <c r="A104" s="334" t="s">
        <v>517</v>
      </c>
      <c r="B104" s="335">
        <v>3237</v>
      </c>
      <c r="C104" s="335">
        <v>3987</v>
      </c>
      <c r="D104" s="335">
        <v>4328</v>
      </c>
      <c r="E104" s="335">
        <v>5048</v>
      </c>
      <c r="F104" s="335">
        <v>5625</v>
      </c>
      <c r="G104" s="335">
        <v>6691.6878463879375</v>
      </c>
      <c r="H104" s="336">
        <v>7878.4954607499985</v>
      </c>
      <c r="I104" s="336">
        <v>9639.2545899999968</v>
      </c>
      <c r="J104" s="337">
        <v>9938.1510748862565</v>
      </c>
      <c r="K104" s="337">
        <v>9976.8885899598426</v>
      </c>
      <c r="L104" s="336">
        <v>10334.817038699141</v>
      </c>
      <c r="N104" s="339"/>
      <c r="O104" s="339"/>
      <c r="P104" s="339"/>
      <c r="Q104" s="339"/>
    </row>
    <row r="105" spans="1:17" ht="11.1" customHeight="1">
      <c r="A105" s="334" t="s">
        <v>123</v>
      </c>
      <c r="B105" s="335">
        <v>4237</v>
      </c>
      <c r="C105" s="335">
        <v>4312</v>
      </c>
      <c r="D105" s="335">
        <v>4401</v>
      </c>
      <c r="E105" s="335">
        <v>3577</v>
      </c>
      <c r="F105" s="335">
        <v>3719</v>
      </c>
      <c r="G105" s="335">
        <v>3800.4731378415877</v>
      </c>
      <c r="H105" s="336">
        <v>3061.8609048338367</v>
      </c>
      <c r="I105" s="336">
        <v>3675.8783499999995</v>
      </c>
      <c r="J105" s="337">
        <v>3371.4059604112795</v>
      </c>
      <c r="K105" s="337">
        <v>2742.1051059440215</v>
      </c>
      <c r="L105" s="336">
        <v>2292.9094265259737</v>
      </c>
      <c r="N105" s="339"/>
      <c r="O105" s="339"/>
      <c r="P105" s="339"/>
      <c r="Q105" s="339"/>
    </row>
    <row r="106" spans="1:17" s="346" customFormat="1" ht="11.25" customHeight="1" thickBot="1">
      <c r="A106" s="389" t="s">
        <v>518</v>
      </c>
      <c r="B106" s="390">
        <v>361078</v>
      </c>
      <c r="C106" s="390">
        <v>365250</v>
      </c>
      <c r="D106" s="390">
        <v>374375</v>
      </c>
      <c r="E106" s="390">
        <v>382356</v>
      </c>
      <c r="F106" s="390">
        <v>384594</v>
      </c>
      <c r="G106" s="390">
        <v>395475.21458089253</v>
      </c>
      <c r="H106" s="391">
        <v>391218.68770954566</v>
      </c>
      <c r="I106" s="391">
        <v>395382.8467681976</v>
      </c>
      <c r="J106" s="392">
        <v>393439.74485443818</v>
      </c>
      <c r="K106" s="392">
        <v>393184.33875923784</v>
      </c>
      <c r="L106" s="391">
        <v>385560.22494830535</v>
      </c>
      <c r="N106" s="339"/>
      <c r="O106" s="339"/>
      <c r="P106" s="339"/>
      <c r="Q106" s="339"/>
    </row>
    <row r="107" spans="1:17" ht="6" customHeight="1" thickTop="1">
      <c r="A107" s="393"/>
      <c r="B107" s="340"/>
      <c r="C107" s="340"/>
      <c r="D107" s="340"/>
      <c r="E107" s="340"/>
      <c r="N107" s="339"/>
      <c r="O107" s="339"/>
      <c r="P107" s="339"/>
      <c r="Q107" s="339"/>
    </row>
    <row r="108" spans="1:17" s="312" customFormat="1" ht="10.5" customHeight="1">
      <c r="A108" s="394" t="s">
        <v>519</v>
      </c>
      <c r="B108" s="334"/>
      <c r="C108" s="334"/>
      <c r="E108" s="395"/>
      <c r="G108" s="395"/>
      <c r="N108" s="339"/>
      <c r="O108" s="339"/>
      <c r="P108" s="339"/>
      <c r="Q108" s="339"/>
    </row>
    <row r="109" spans="1:17" s="312" customFormat="1" ht="10.5" customHeight="1">
      <c r="A109" s="394" t="s">
        <v>520</v>
      </c>
      <c r="B109" s="334"/>
      <c r="C109" s="334"/>
      <c r="E109" s="334"/>
      <c r="G109" s="334"/>
    </row>
    <row r="110" spans="1:17" s="316" customFormat="1" ht="10.5" customHeight="1">
      <c r="A110" s="394" t="s">
        <v>521</v>
      </c>
      <c r="B110" s="396"/>
      <c r="C110" s="396"/>
      <c r="E110" s="396"/>
      <c r="G110" s="396"/>
    </row>
    <row r="111" spans="1:17" s="312" customFormat="1" ht="10.5" customHeight="1">
      <c r="A111" s="394" t="s">
        <v>522</v>
      </c>
      <c r="B111" s="334"/>
      <c r="C111" s="334"/>
      <c r="D111" s="334"/>
      <c r="E111" s="334"/>
      <c r="F111" s="334"/>
      <c r="G111" s="334"/>
    </row>
    <row r="112" spans="1:17" s="312" customFormat="1" ht="10.5" customHeight="1">
      <c r="A112" s="394" t="s">
        <v>523</v>
      </c>
      <c r="B112" s="334"/>
      <c r="C112" s="334"/>
      <c r="D112" s="334"/>
      <c r="E112" s="334"/>
      <c r="F112" s="334"/>
      <c r="G112" s="334"/>
    </row>
    <row r="113" spans="1:7" s="312" customFormat="1" ht="10.5" customHeight="1">
      <c r="A113" s="394" t="s">
        <v>524</v>
      </c>
      <c r="B113" s="334"/>
      <c r="C113" s="334"/>
      <c r="D113" s="334"/>
      <c r="E113" s="334"/>
      <c r="F113" s="334"/>
      <c r="G113" s="334"/>
    </row>
    <row r="114" spans="1:7" s="312" customFormat="1" ht="10.5" customHeight="1">
      <c r="A114" s="394" t="s">
        <v>525</v>
      </c>
      <c r="B114" s="334"/>
      <c r="C114" s="334"/>
      <c r="D114" s="334"/>
      <c r="E114" s="334"/>
      <c r="F114" s="334"/>
      <c r="G114" s="334"/>
    </row>
    <row r="115" spans="1:7" s="312" customFormat="1" ht="10.5" customHeight="1">
      <c r="A115" s="394" t="s">
        <v>526</v>
      </c>
      <c r="B115" s="334"/>
      <c r="C115" s="334"/>
      <c r="D115" s="334"/>
      <c r="E115" s="334"/>
      <c r="F115" s="334"/>
      <c r="G115" s="334"/>
    </row>
    <row r="116" spans="1:7" s="316" customFormat="1" ht="10.5" customHeight="1">
      <c r="A116" s="394" t="s">
        <v>527</v>
      </c>
      <c r="B116" s="396"/>
      <c r="C116" s="397"/>
      <c r="D116" s="397"/>
      <c r="E116" s="396"/>
      <c r="F116" s="396"/>
      <c r="G116" s="396"/>
    </row>
    <row r="117" spans="1:7" s="316" customFormat="1" ht="10.5" customHeight="1">
      <c r="A117" s="394" t="s">
        <v>528</v>
      </c>
      <c r="B117" s="396"/>
      <c r="C117" s="396"/>
      <c r="D117" s="396"/>
      <c r="E117" s="396"/>
      <c r="F117" s="396"/>
      <c r="G117" s="396"/>
    </row>
    <row r="118" spans="1:7">
      <c r="A118" s="394" t="s">
        <v>529</v>
      </c>
    </row>
    <row r="119" spans="1:7">
      <c r="A119" s="394" t="s">
        <v>530</v>
      </c>
    </row>
  </sheetData>
  <pageMargins left="0.6692913385826772" right="0.6692913385826772" top="0.51181102362204722" bottom="0.51181102362204722" header="0.27559055118110237" footer="0.27559055118110237"/>
  <pageSetup paperSize="9" scale="61" firstPageNumber="62" fitToHeight="0" orientation="portrait" useFirstPageNumber="1" r:id="rId1"/>
  <headerFooter alignWithMargins="0">
    <oddFooter>&amp;C&amp;P</oddFooter>
  </headerFooter>
  <rowBreaks count="1" manualBreakCount="1">
    <brk id="65" max="11" man="1"/>
  </rowBreaks>
  <colBreaks count="1" manualBreakCount="1">
    <brk id="8" max="119" man="1"/>
  </colBreaks>
</worksheet>
</file>

<file path=xl/worksheets/sheet67.xml><?xml version="1.0" encoding="utf-8"?>
<worksheet xmlns="http://schemas.openxmlformats.org/spreadsheetml/2006/main" xmlns:r="http://schemas.openxmlformats.org/officeDocument/2006/relationships">
  <sheetPr codeName="Sheet111">
    <pageSetUpPr fitToPage="1"/>
  </sheetPr>
  <dimension ref="A1:AK305"/>
  <sheetViews>
    <sheetView zoomScale="80" zoomScaleNormal="80" workbookViewId="0"/>
  </sheetViews>
  <sheetFormatPr defaultRowHeight="12.75"/>
  <cols>
    <col min="1" max="1" width="23.7109375" style="340" customWidth="1"/>
    <col min="2" max="2" width="7.7109375" style="319" customWidth="1"/>
    <col min="3" max="3" width="7" style="319" customWidth="1"/>
    <col min="4" max="4" width="8.42578125" style="319" customWidth="1"/>
    <col min="5" max="7" width="6.85546875" style="319" customWidth="1"/>
    <col min="8" max="8" width="8.140625" style="319" customWidth="1"/>
    <col min="9" max="9" width="1" style="319" customWidth="1"/>
    <col min="10" max="10" width="7.140625" style="319" customWidth="1"/>
    <col min="11" max="12" width="7.28515625" style="319" customWidth="1"/>
    <col min="13" max="13" width="8.7109375" style="319" customWidth="1"/>
    <col min="14" max="14" width="7.28515625" style="319" customWidth="1"/>
    <col min="15" max="15" width="8.7109375" style="319" customWidth="1"/>
    <col min="16" max="17" width="7.140625" style="319" customWidth="1"/>
    <col min="18" max="18" width="7.5703125" style="319" customWidth="1"/>
    <col min="19" max="19" width="7.140625" style="319" customWidth="1"/>
    <col min="20" max="20" width="8.85546875" style="319" customWidth="1"/>
    <col min="21" max="21" width="9.42578125" style="319" customWidth="1"/>
    <col min="22" max="22" width="5.7109375" style="319" customWidth="1"/>
    <col min="23" max="23" width="7.140625" style="319" customWidth="1"/>
    <col min="24" max="24" width="5.7109375" style="319" customWidth="1"/>
    <col min="25" max="25" width="9.5703125" style="319" customWidth="1"/>
    <col min="26" max="26" width="9.7109375" style="319" customWidth="1"/>
    <col min="27" max="256" width="9.140625" style="319"/>
    <col min="257" max="257" width="13" style="319" customWidth="1"/>
    <col min="258" max="258" width="7.7109375" style="319" customWidth="1"/>
    <col min="259" max="259" width="7" style="319" customWidth="1"/>
    <col min="260" max="260" width="8.42578125" style="319" customWidth="1"/>
    <col min="261" max="263" width="6.85546875" style="319" customWidth="1"/>
    <col min="264" max="264" width="8.140625" style="319" customWidth="1"/>
    <col min="265" max="265" width="1" style="319" customWidth="1"/>
    <col min="266" max="266" width="7.140625" style="319" customWidth="1"/>
    <col min="267" max="268" width="7.28515625" style="319" customWidth="1"/>
    <col min="269" max="269" width="8.7109375" style="319" customWidth="1"/>
    <col min="270" max="270" width="7.28515625" style="319" customWidth="1"/>
    <col min="271" max="271" width="8.7109375" style="319" customWidth="1"/>
    <col min="272" max="273" width="7.140625" style="319" customWidth="1"/>
    <col min="274" max="274" width="7.5703125" style="319" customWidth="1"/>
    <col min="275" max="275" width="7.140625" style="319" customWidth="1"/>
    <col min="276" max="276" width="8.85546875" style="319" customWidth="1"/>
    <col min="277" max="277" width="9.42578125" style="319" customWidth="1"/>
    <col min="278" max="278" width="5.7109375" style="319" customWidth="1"/>
    <col min="279" max="279" width="7.140625" style="319" customWidth="1"/>
    <col min="280" max="280" width="5.7109375" style="319" customWidth="1"/>
    <col min="281" max="281" width="9.5703125" style="319" customWidth="1"/>
    <col min="282" max="282" width="9.7109375" style="319" customWidth="1"/>
    <col min="283" max="512" width="9.140625" style="319"/>
    <col min="513" max="513" width="13" style="319" customWidth="1"/>
    <col min="514" max="514" width="7.7109375" style="319" customWidth="1"/>
    <col min="515" max="515" width="7" style="319" customWidth="1"/>
    <col min="516" max="516" width="8.42578125" style="319" customWidth="1"/>
    <col min="517" max="519" width="6.85546875" style="319" customWidth="1"/>
    <col min="520" max="520" width="8.140625" style="319" customWidth="1"/>
    <col min="521" max="521" width="1" style="319" customWidth="1"/>
    <col min="522" max="522" width="7.140625" style="319" customWidth="1"/>
    <col min="523" max="524" width="7.28515625" style="319" customWidth="1"/>
    <col min="525" max="525" width="8.7109375" style="319" customWidth="1"/>
    <col min="526" max="526" width="7.28515625" style="319" customWidth="1"/>
    <col min="527" max="527" width="8.7109375" style="319" customWidth="1"/>
    <col min="528" max="529" width="7.140625" style="319" customWidth="1"/>
    <col min="530" max="530" width="7.5703125" style="319" customWidth="1"/>
    <col min="531" max="531" width="7.140625" style="319" customWidth="1"/>
    <col min="532" max="532" width="8.85546875" style="319" customWidth="1"/>
    <col min="533" max="533" width="9.42578125" style="319" customWidth="1"/>
    <col min="534" max="534" width="5.7109375" style="319" customWidth="1"/>
    <col min="535" max="535" width="7.140625" style="319" customWidth="1"/>
    <col min="536" max="536" width="5.7109375" style="319" customWidth="1"/>
    <col min="537" max="537" width="9.5703125" style="319" customWidth="1"/>
    <col min="538" max="538" width="9.7109375" style="319" customWidth="1"/>
    <col min="539" max="768" width="9.140625" style="319"/>
    <col min="769" max="769" width="13" style="319" customWidth="1"/>
    <col min="770" max="770" width="7.7109375" style="319" customWidth="1"/>
    <col min="771" max="771" width="7" style="319" customWidth="1"/>
    <col min="772" max="772" width="8.42578125" style="319" customWidth="1"/>
    <col min="773" max="775" width="6.85546875" style="319" customWidth="1"/>
    <col min="776" max="776" width="8.140625" style="319" customWidth="1"/>
    <col min="777" max="777" width="1" style="319" customWidth="1"/>
    <col min="778" max="778" width="7.140625" style="319" customWidth="1"/>
    <col min="779" max="780" width="7.28515625" style="319" customWidth="1"/>
    <col min="781" max="781" width="8.7109375" style="319" customWidth="1"/>
    <col min="782" max="782" width="7.28515625" style="319" customWidth="1"/>
    <col min="783" max="783" width="8.7109375" style="319" customWidth="1"/>
    <col min="784" max="785" width="7.140625" style="319" customWidth="1"/>
    <col min="786" max="786" width="7.5703125" style="319" customWidth="1"/>
    <col min="787" max="787" width="7.140625" style="319" customWidth="1"/>
    <col min="788" max="788" width="8.85546875" style="319" customWidth="1"/>
    <col min="789" max="789" width="9.42578125" style="319" customWidth="1"/>
    <col min="790" max="790" width="5.7109375" style="319" customWidth="1"/>
    <col min="791" max="791" width="7.140625" style="319" customWidth="1"/>
    <col min="792" max="792" width="5.7109375" style="319" customWidth="1"/>
    <col min="793" max="793" width="9.5703125" style="319" customWidth="1"/>
    <col min="794" max="794" width="9.7109375" style="319" customWidth="1"/>
    <col min="795" max="1024" width="9.140625" style="319"/>
    <col min="1025" max="1025" width="13" style="319" customWidth="1"/>
    <col min="1026" max="1026" width="7.7109375" style="319" customWidth="1"/>
    <col min="1027" max="1027" width="7" style="319" customWidth="1"/>
    <col min="1028" max="1028" width="8.42578125" style="319" customWidth="1"/>
    <col min="1029" max="1031" width="6.85546875" style="319" customWidth="1"/>
    <col min="1032" max="1032" width="8.140625" style="319" customWidth="1"/>
    <col min="1033" max="1033" width="1" style="319" customWidth="1"/>
    <col min="1034" max="1034" width="7.140625" style="319" customWidth="1"/>
    <col min="1035" max="1036" width="7.28515625" style="319" customWidth="1"/>
    <col min="1037" max="1037" width="8.7109375" style="319" customWidth="1"/>
    <col min="1038" max="1038" width="7.28515625" style="319" customWidth="1"/>
    <col min="1039" max="1039" width="8.7109375" style="319" customWidth="1"/>
    <col min="1040" max="1041" width="7.140625" style="319" customWidth="1"/>
    <col min="1042" max="1042" width="7.5703125" style="319" customWidth="1"/>
    <col min="1043" max="1043" width="7.140625" style="319" customWidth="1"/>
    <col min="1044" max="1044" width="8.85546875" style="319" customWidth="1"/>
    <col min="1045" max="1045" width="9.42578125" style="319" customWidth="1"/>
    <col min="1046" max="1046" width="5.7109375" style="319" customWidth="1"/>
    <col min="1047" max="1047" width="7.140625" style="319" customWidth="1"/>
    <col min="1048" max="1048" width="5.7109375" style="319" customWidth="1"/>
    <col min="1049" max="1049" width="9.5703125" style="319" customWidth="1"/>
    <col min="1050" max="1050" width="9.7109375" style="319" customWidth="1"/>
    <col min="1051" max="1280" width="9.140625" style="319"/>
    <col min="1281" max="1281" width="13" style="319" customWidth="1"/>
    <col min="1282" max="1282" width="7.7109375" style="319" customWidth="1"/>
    <col min="1283" max="1283" width="7" style="319" customWidth="1"/>
    <col min="1284" max="1284" width="8.42578125" style="319" customWidth="1"/>
    <col min="1285" max="1287" width="6.85546875" style="319" customWidth="1"/>
    <col min="1288" max="1288" width="8.140625" style="319" customWidth="1"/>
    <col min="1289" max="1289" width="1" style="319" customWidth="1"/>
    <col min="1290" max="1290" width="7.140625" style="319" customWidth="1"/>
    <col min="1291" max="1292" width="7.28515625" style="319" customWidth="1"/>
    <col min="1293" max="1293" width="8.7109375" style="319" customWidth="1"/>
    <col min="1294" max="1294" width="7.28515625" style="319" customWidth="1"/>
    <col min="1295" max="1295" width="8.7109375" style="319" customWidth="1"/>
    <col min="1296" max="1297" width="7.140625" style="319" customWidth="1"/>
    <col min="1298" max="1298" width="7.5703125" style="319" customWidth="1"/>
    <col min="1299" max="1299" width="7.140625" style="319" customWidth="1"/>
    <col min="1300" max="1300" width="8.85546875" style="319" customWidth="1"/>
    <col min="1301" max="1301" width="9.42578125" style="319" customWidth="1"/>
    <col min="1302" max="1302" width="5.7109375" style="319" customWidth="1"/>
    <col min="1303" max="1303" width="7.140625" style="319" customWidth="1"/>
    <col min="1304" max="1304" width="5.7109375" style="319" customWidth="1"/>
    <col min="1305" max="1305" width="9.5703125" style="319" customWidth="1"/>
    <col min="1306" max="1306" width="9.7109375" style="319" customWidth="1"/>
    <col min="1307" max="1536" width="9.140625" style="319"/>
    <col min="1537" max="1537" width="13" style="319" customWidth="1"/>
    <col min="1538" max="1538" width="7.7109375" style="319" customWidth="1"/>
    <col min="1539" max="1539" width="7" style="319" customWidth="1"/>
    <col min="1540" max="1540" width="8.42578125" style="319" customWidth="1"/>
    <col min="1541" max="1543" width="6.85546875" style="319" customWidth="1"/>
    <col min="1544" max="1544" width="8.140625" style="319" customWidth="1"/>
    <col min="1545" max="1545" width="1" style="319" customWidth="1"/>
    <col min="1546" max="1546" width="7.140625" style="319" customWidth="1"/>
    <col min="1547" max="1548" width="7.28515625" style="319" customWidth="1"/>
    <col min="1549" max="1549" width="8.7109375" style="319" customWidth="1"/>
    <col min="1550" max="1550" width="7.28515625" style="319" customWidth="1"/>
    <col min="1551" max="1551" width="8.7109375" style="319" customWidth="1"/>
    <col min="1552" max="1553" width="7.140625" style="319" customWidth="1"/>
    <col min="1554" max="1554" width="7.5703125" style="319" customWidth="1"/>
    <col min="1555" max="1555" width="7.140625" style="319" customWidth="1"/>
    <col min="1556" max="1556" width="8.85546875" style="319" customWidth="1"/>
    <col min="1557" max="1557" width="9.42578125" style="319" customWidth="1"/>
    <col min="1558" max="1558" width="5.7109375" style="319" customWidth="1"/>
    <col min="1559" max="1559" width="7.140625" style="319" customWidth="1"/>
    <col min="1560" max="1560" width="5.7109375" style="319" customWidth="1"/>
    <col min="1561" max="1561" width="9.5703125" style="319" customWidth="1"/>
    <col min="1562" max="1562" width="9.7109375" style="319" customWidth="1"/>
    <col min="1563" max="1792" width="9.140625" style="319"/>
    <col min="1793" max="1793" width="13" style="319" customWidth="1"/>
    <col min="1794" max="1794" width="7.7109375" style="319" customWidth="1"/>
    <col min="1795" max="1795" width="7" style="319" customWidth="1"/>
    <col min="1796" max="1796" width="8.42578125" style="319" customWidth="1"/>
    <col min="1797" max="1799" width="6.85546875" style="319" customWidth="1"/>
    <col min="1800" max="1800" width="8.140625" style="319" customWidth="1"/>
    <col min="1801" max="1801" width="1" style="319" customWidth="1"/>
    <col min="1802" max="1802" width="7.140625" style="319" customWidth="1"/>
    <col min="1803" max="1804" width="7.28515625" style="319" customWidth="1"/>
    <col min="1805" max="1805" width="8.7109375" style="319" customWidth="1"/>
    <col min="1806" max="1806" width="7.28515625" style="319" customWidth="1"/>
    <col min="1807" max="1807" width="8.7109375" style="319" customWidth="1"/>
    <col min="1808" max="1809" width="7.140625" style="319" customWidth="1"/>
    <col min="1810" max="1810" width="7.5703125" style="319" customWidth="1"/>
    <col min="1811" max="1811" width="7.140625" style="319" customWidth="1"/>
    <col min="1812" max="1812" width="8.85546875" style="319" customWidth="1"/>
    <col min="1813" max="1813" width="9.42578125" style="319" customWidth="1"/>
    <col min="1814" max="1814" width="5.7109375" style="319" customWidth="1"/>
    <col min="1815" max="1815" width="7.140625" style="319" customWidth="1"/>
    <col min="1816" max="1816" width="5.7109375" style="319" customWidth="1"/>
    <col min="1817" max="1817" width="9.5703125" style="319" customWidth="1"/>
    <col min="1818" max="1818" width="9.7109375" style="319" customWidth="1"/>
    <col min="1819" max="2048" width="9.140625" style="319"/>
    <col min="2049" max="2049" width="13" style="319" customWidth="1"/>
    <col min="2050" max="2050" width="7.7109375" style="319" customWidth="1"/>
    <col min="2051" max="2051" width="7" style="319" customWidth="1"/>
    <col min="2052" max="2052" width="8.42578125" style="319" customWidth="1"/>
    <col min="2053" max="2055" width="6.85546875" style="319" customWidth="1"/>
    <col min="2056" max="2056" width="8.140625" style="319" customWidth="1"/>
    <col min="2057" max="2057" width="1" style="319" customWidth="1"/>
    <col min="2058" max="2058" width="7.140625" style="319" customWidth="1"/>
    <col min="2059" max="2060" width="7.28515625" style="319" customWidth="1"/>
    <col min="2061" max="2061" width="8.7109375" style="319" customWidth="1"/>
    <col min="2062" max="2062" width="7.28515625" style="319" customWidth="1"/>
    <col min="2063" max="2063" width="8.7109375" style="319" customWidth="1"/>
    <col min="2064" max="2065" width="7.140625" style="319" customWidth="1"/>
    <col min="2066" max="2066" width="7.5703125" style="319" customWidth="1"/>
    <col min="2067" max="2067" width="7.140625" style="319" customWidth="1"/>
    <col min="2068" max="2068" width="8.85546875" style="319" customWidth="1"/>
    <col min="2069" max="2069" width="9.42578125" style="319" customWidth="1"/>
    <col min="2070" max="2070" width="5.7109375" style="319" customWidth="1"/>
    <col min="2071" max="2071" width="7.140625" style="319" customWidth="1"/>
    <col min="2072" max="2072" width="5.7109375" style="319" customWidth="1"/>
    <col min="2073" max="2073" width="9.5703125" style="319" customWidth="1"/>
    <col min="2074" max="2074" width="9.7109375" style="319" customWidth="1"/>
    <col min="2075" max="2304" width="9.140625" style="319"/>
    <col min="2305" max="2305" width="13" style="319" customWidth="1"/>
    <col min="2306" max="2306" width="7.7109375" style="319" customWidth="1"/>
    <col min="2307" max="2307" width="7" style="319" customWidth="1"/>
    <col min="2308" max="2308" width="8.42578125" style="319" customWidth="1"/>
    <col min="2309" max="2311" width="6.85546875" style="319" customWidth="1"/>
    <col min="2312" max="2312" width="8.140625" style="319" customWidth="1"/>
    <col min="2313" max="2313" width="1" style="319" customWidth="1"/>
    <col min="2314" max="2314" width="7.140625" style="319" customWidth="1"/>
    <col min="2315" max="2316" width="7.28515625" style="319" customWidth="1"/>
    <col min="2317" max="2317" width="8.7109375" style="319" customWidth="1"/>
    <col min="2318" max="2318" width="7.28515625" style="319" customWidth="1"/>
    <col min="2319" max="2319" width="8.7109375" style="319" customWidth="1"/>
    <col min="2320" max="2321" width="7.140625" style="319" customWidth="1"/>
    <col min="2322" max="2322" width="7.5703125" style="319" customWidth="1"/>
    <col min="2323" max="2323" width="7.140625" style="319" customWidth="1"/>
    <col min="2324" max="2324" width="8.85546875" style="319" customWidth="1"/>
    <col min="2325" max="2325" width="9.42578125" style="319" customWidth="1"/>
    <col min="2326" max="2326" width="5.7109375" style="319" customWidth="1"/>
    <col min="2327" max="2327" width="7.140625" style="319" customWidth="1"/>
    <col min="2328" max="2328" width="5.7109375" style="319" customWidth="1"/>
    <col min="2329" max="2329" width="9.5703125" style="319" customWidth="1"/>
    <col min="2330" max="2330" width="9.7109375" style="319" customWidth="1"/>
    <col min="2331" max="2560" width="9.140625" style="319"/>
    <col min="2561" max="2561" width="13" style="319" customWidth="1"/>
    <col min="2562" max="2562" width="7.7109375" style="319" customWidth="1"/>
    <col min="2563" max="2563" width="7" style="319" customWidth="1"/>
    <col min="2564" max="2564" width="8.42578125" style="319" customWidth="1"/>
    <col min="2565" max="2567" width="6.85546875" style="319" customWidth="1"/>
    <col min="2568" max="2568" width="8.140625" style="319" customWidth="1"/>
    <col min="2569" max="2569" width="1" style="319" customWidth="1"/>
    <col min="2570" max="2570" width="7.140625" style="319" customWidth="1"/>
    <col min="2571" max="2572" width="7.28515625" style="319" customWidth="1"/>
    <col min="2573" max="2573" width="8.7109375" style="319" customWidth="1"/>
    <col min="2574" max="2574" width="7.28515625" style="319" customWidth="1"/>
    <col min="2575" max="2575" width="8.7109375" style="319" customWidth="1"/>
    <col min="2576" max="2577" width="7.140625" style="319" customWidth="1"/>
    <col min="2578" max="2578" width="7.5703125" style="319" customWidth="1"/>
    <col min="2579" max="2579" width="7.140625" style="319" customWidth="1"/>
    <col min="2580" max="2580" width="8.85546875" style="319" customWidth="1"/>
    <col min="2581" max="2581" width="9.42578125" style="319" customWidth="1"/>
    <col min="2582" max="2582" width="5.7109375" style="319" customWidth="1"/>
    <col min="2583" max="2583" width="7.140625" style="319" customWidth="1"/>
    <col min="2584" max="2584" width="5.7109375" style="319" customWidth="1"/>
    <col min="2585" max="2585" width="9.5703125" style="319" customWidth="1"/>
    <col min="2586" max="2586" width="9.7109375" style="319" customWidth="1"/>
    <col min="2587" max="2816" width="9.140625" style="319"/>
    <col min="2817" max="2817" width="13" style="319" customWidth="1"/>
    <col min="2818" max="2818" width="7.7109375" style="319" customWidth="1"/>
    <col min="2819" max="2819" width="7" style="319" customWidth="1"/>
    <col min="2820" max="2820" width="8.42578125" style="319" customWidth="1"/>
    <col min="2821" max="2823" width="6.85546875" style="319" customWidth="1"/>
    <col min="2824" max="2824" width="8.140625" style="319" customWidth="1"/>
    <col min="2825" max="2825" width="1" style="319" customWidth="1"/>
    <col min="2826" max="2826" width="7.140625" style="319" customWidth="1"/>
    <col min="2827" max="2828" width="7.28515625" style="319" customWidth="1"/>
    <col min="2829" max="2829" width="8.7109375" style="319" customWidth="1"/>
    <col min="2830" max="2830" width="7.28515625" style="319" customWidth="1"/>
    <col min="2831" max="2831" width="8.7109375" style="319" customWidth="1"/>
    <col min="2832" max="2833" width="7.140625" style="319" customWidth="1"/>
    <col min="2834" max="2834" width="7.5703125" style="319" customWidth="1"/>
    <col min="2835" max="2835" width="7.140625" style="319" customWidth="1"/>
    <col min="2836" max="2836" width="8.85546875" style="319" customWidth="1"/>
    <col min="2837" max="2837" width="9.42578125" style="319" customWidth="1"/>
    <col min="2838" max="2838" width="5.7109375" style="319" customWidth="1"/>
    <col min="2839" max="2839" width="7.140625" style="319" customWidth="1"/>
    <col min="2840" max="2840" width="5.7109375" style="319" customWidth="1"/>
    <col min="2841" max="2841" width="9.5703125" style="319" customWidth="1"/>
    <col min="2842" max="2842" width="9.7109375" style="319" customWidth="1"/>
    <col min="2843" max="3072" width="9.140625" style="319"/>
    <col min="3073" max="3073" width="13" style="319" customWidth="1"/>
    <col min="3074" max="3074" width="7.7109375" style="319" customWidth="1"/>
    <col min="3075" max="3075" width="7" style="319" customWidth="1"/>
    <col min="3076" max="3076" width="8.42578125" style="319" customWidth="1"/>
    <col min="3077" max="3079" width="6.85546875" style="319" customWidth="1"/>
    <col min="3080" max="3080" width="8.140625" style="319" customWidth="1"/>
    <col min="3081" max="3081" width="1" style="319" customWidth="1"/>
    <col min="3082" max="3082" width="7.140625" style="319" customWidth="1"/>
    <col min="3083" max="3084" width="7.28515625" style="319" customWidth="1"/>
    <col min="3085" max="3085" width="8.7109375" style="319" customWidth="1"/>
    <col min="3086" max="3086" width="7.28515625" style="319" customWidth="1"/>
    <col min="3087" max="3087" width="8.7109375" style="319" customWidth="1"/>
    <col min="3088" max="3089" width="7.140625" style="319" customWidth="1"/>
    <col min="3090" max="3090" width="7.5703125" style="319" customWidth="1"/>
    <col min="3091" max="3091" width="7.140625" style="319" customWidth="1"/>
    <col min="3092" max="3092" width="8.85546875" style="319" customWidth="1"/>
    <col min="3093" max="3093" width="9.42578125" style="319" customWidth="1"/>
    <col min="3094" max="3094" width="5.7109375" style="319" customWidth="1"/>
    <col min="3095" max="3095" width="7.140625" style="319" customWidth="1"/>
    <col min="3096" max="3096" width="5.7109375" style="319" customWidth="1"/>
    <col min="3097" max="3097" width="9.5703125" style="319" customWidth="1"/>
    <col min="3098" max="3098" width="9.7109375" style="319" customWidth="1"/>
    <col min="3099" max="3328" width="9.140625" style="319"/>
    <col min="3329" max="3329" width="13" style="319" customWidth="1"/>
    <col min="3330" max="3330" width="7.7109375" style="319" customWidth="1"/>
    <col min="3331" max="3331" width="7" style="319" customWidth="1"/>
    <col min="3332" max="3332" width="8.42578125" style="319" customWidth="1"/>
    <col min="3333" max="3335" width="6.85546875" style="319" customWidth="1"/>
    <col min="3336" max="3336" width="8.140625" style="319" customWidth="1"/>
    <col min="3337" max="3337" width="1" style="319" customWidth="1"/>
    <col min="3338" max="3338" width="7.140625" style="319" customWidth="1"/>
    <col min="3339" max="3340" width="7.28515625" style="319" customWidth="1"/>
    <col min="3341" max="3341" width="8.7109375" style="319" customWidth="1"/>
    <col min="3342" max="3342" width="7.28515625" style="319" customWidth="1"/>
    <col min="3343" max="3343" width="8.7109375" style="319" customWidth="1"/>
    <col min="3344" max="3345" width="7.140625" style="319" customWidth="1"/>
    <col min="3346" max="3346" width="7.5703125" style="319" customWidth="1"/>
    <col min="3347" max="3347" width="7.140625" style="319" customWidth="1"/>
    <col min="3348" max="3348" width="8.85546875" style="319" customWidth="1"/>
    <col min="3349" max="3349" width="9.42578125" style="319" customWidth="1"/>
    <col min="3350" max="3350" width="5.7109375" style="319" customWidth="1"/>
    <col min="3351" max="3351" width="7.140625" style="319" customWidth="1"/>
    <col min="3352" max="3352" width="5.7109375" style="319" customWidth="1"/>
    <col min="3353" max="3353" width="9.5703125" style="319" customWidth="1"/>
    <col min="3354" max="3354" width="9.7109375" style="319" customWidth="1"/>
    <col min="3355" max="3584" width="9.140625" style="319"/>
    <col min="3585" max="3585" width="13" style="319" customWidth="1"/>
    <col min="3586" max="3586" width="7.7109375" style="319" customWidth="1"/>
    <col min="3587" max="3587" width="7" style="319" customWidth="1"/>
    <col min="3588" max="3588" width="8.42578125" style="319" customWidth="1"/>
    <col min="3589" max="3591" width="6.85546875" style="319" customWidth="1"/>
    <col min="3592" max="3592" width="8.140625" style="319" customWidth="1"/>
    <col min="3593" max="3593" width="1" style="319" customWidth="1"/>
    <col min="3594" max="3594" width="7.140625" style="319" customWidth="1"/>
    <col min="3595" max="3596" width="7.28515625" style="319" customWidth="1"/>
    <col min="3597" max="3597" width="8.7109375" style="319" customWidth="1"/>
    <col min="3598" max="3598" width="7.28515625" style="319" customWidth="1"/>
    <col min="3599" max="3599" width="8.7109375" style="319" customWidth="1"/>
    <col min="3600" max="3601" width="7.140625" style="319" customWidth="1"/>
    <col min="3602" max="3602" width="7.5703125" style="319" customWidth="1"/>
    <col min="3603" max="3603" width="7.140625" style="319" customWidth="1"/>
    <col min="3604" max="3604" width="8.85546875" style="319" customWidth="1"/>
    <col min="3605" max="3605" width="9.42578125" style="319" customWidth="1"/>
    <col min="3606" max="3606" width="5.7109375" style="319" customWidth="1"/>
    <col min="3607" max="3607" width="7.140625" style="319" customWidth="1"/>
    <col min="3608" max="3608" width="5.7109375" style="319" customWidth="1"/>
    <col min="3609" max="3609" width="9.5703125" style="319" customWidth="1"/>
    <col min="3610" max="3610" width="9.7109375" style="319" customWidth="1"/>
    <col min="3611" max="3840" width="9.140625" style="319"/>
    <col min="3841" max="3841" width="13" style="319" customWidth="1"/>
    <col min="3842" max="3842" width="7.7109375" style="319" customWidth="1"/>
    <col min="3843" max="3843" width="7" style="319" customWidth="1"/>
    <col min="3844" max="3844" width="8.42578125" style="319" customWidth="1"/>
    <col min="3845" max="3847" width="6.85546875" style="319" customWidth="1"/>
    <col min="3848" max="3848" width="8.140625" style="319" customWidth="1"/>
    <col min="3849" max="3849" width="1" style="319" customWidth="1"/>
    <col min="3850" max="3850" width="7.140625" style="319" customWidth="1"/>
    <col min="3851" max="3852" width="7.28515625" style="319" customWidth="1"/>
    <col min="3853" max="3853" width="8.7109375" style="319" customWidth="1"/>
    <col min="3854" max="3854" width="7.28515625" style="319" customWidth="1"/>
    <col min="3855" max="3855" width="8.7109375" style="319" customWidth="1"/>
    <col min="3856" max="3857" width="7.140625" style="319" customWidth="1"/>
    <col min="3858" max="3858" width="7.5703125" style="319" customWidth="1"/>
    <col min="3859" max="3859" width="7.140625" style="319" customWidth="1"/>
    <col min="3860" max="3860" width="8.85546875" style="319" customWidth="1"/>
    <col min="3861" max="3861" width="9.42578125" style="319" customWidth="1"/>
    <col min="3862" max="3862" width="5.7109375" style="319" customWidth="1"/>
    <col min="3863" max="3863" width="7.140625" style="319" customWidth="1"/>
    <col min="3864" max="3864" width="5.7109375" style="319" customWidth="1"/>
    <col min="3865" max="3865" width="9.5703125" style="319" customWidth="1"/>
    <col min="3866" max="3866" width="9.7109375" style="319" customWidth="1"/>
    <col min="3867" max="4096" width="9.140625" style="319"/>
    <col min="4097" max="4097" width="13" style="319" customWidth="1"/>
    <col min="4098" max="4098" width="7.7109375" style="319" customWidth="1"/>
    <col min="4099" max="4099" width="7" style="319" customWidth="1"/>
    <col min="4100" max="4100" width="8.42578125" style="319" customWidth="1"/>
    <col min="4101" max="4103" width="6.85546875" style="319" customWidth="1"/>
    <col min="4104" max="4104" width="8.140625" style="319" customWidth="1"/>
    <col min="4105" max="4105" width="1" style="319" customWidth="1"/>
    <col min="4106" max="4106" width="7.140625" style="319" customWidth="1"/>
    <col min="4107" max="4108" width="7.28515625" style="319" customWidth="1"/>
    <col min="4109" max="4109" width="8.7109375" style="319" customWidth="1"/>
    <col min="4110" max="4110" width="7.28515625" style="319" customWidth="1"/>
    <col min="4111" max="4111" width="8.7109375" style="319" customWidth="1"/>
    <col min="4112" max="4113" width="7.140625" style="319" customWidth="1"/>
    <col min="4114" max="4114" width="7.5703125" style="319" customWidth="1"/>
    <col min="4115" max="4115" width="7.140625" style="319" customWidth="1"/>
    <col min="4116" max="4116" width="8.85546875" style="319" customWidth="1"/>
    <col min="4117" max="4117" width="9.42578125" style="319" customWidth="1"/>
    <col min="4118" max="4118" width="5.7109375" style="319" customWidth="1"/>
    <col min="4119" max="4119" width="7.140625" style="319" customWidth="1"/>
    <col min="4120" max="4120" width="5.7109375" style="319" customWidth="1"/>
    <col min="4121" max="4121" width="9.5703125" style="319" customWidth="1"/>
    <col min="4122" max="4122" width="9.7109375" style="319" customWidth="1"/>
    <col min="4123" max="4352" width="9.140625" style="319"/>
    <col min="4353" max="4353" width="13" style="319" customWidth="1"/>
    <col min="4354" max="4354" width="7.7109375" style="319" customWidth="1"/>
    <col min="4355" max="4355" width="7" style="319" customWidth="1"/>
    <col min="4356" max="4356" width="8.42578125" style="319" customWidth="1"/>
    <col min="4357" max="4359" width="6.85546875" style="319" customWidth="1"/>
    <col min="4360" max="4360" width="8.140625" style="319" customWidth="1"/>
    <col min="4361" max="4361" width="1" style="319" customWidth="1"/>
    <col min="4362" max="4362" width="7.140625" style="319" customWidth="1"/>
    <col min="4363" max="4364" width="7.28515625" style="319" customWidth="1"/>
    <col min="4365" max="4365" width="8.7109375" style="319" customWidth="1"/>
    <col min="4366" max="4366" width="7.28515625" style="319" customWidth="1"/>
    <col min="4367" max="4367" width="8.7109375" style="319" customWidth="1"/>
    <col min="4368" max="4369" width="7.140625" style="319" customWidth="1"/>
    <col min="4370" max="4370" width="7.5703125" style="319" customWidth="1"/>
    <col min="4371" max="4371" width="7.140625" style="319" customWidth="1"/>
    <col min="4372" max="4372" width="8.85546875" style="319" customWidth="1"/>
    <col min="4373" max="4373" width="9.42578125" style="319" customWidth="1"/>
    <col min="4374" max="4374" width="5.7109375" style="319" customWidth="1"/>
    <col min="4375" max="4375" width="7.140625" style="319" customWidth="1"/>
    <col min="4376" max="4376" width="5.7109375" style="319" customWidth="1"/>
    <col min="4377" max="4377" width="9.5703125" style="319" customWidth="1"/>
    <col min="4378" max="4378" width="9.7109375" style="319" customWidth="1"/>
    <col min="4379" max="4608" width="9.140625" style="319"/>
    <col min="4609" max="4609" width="13" style="319" customWidth="1"/>
    <col min="4610" max="4610" width="7.7109375" style="319" customWidth="1"/>
    <col min="4611" max="4611" width="7" style="319" customWidth="1"/>
    <col min="4612" max="4612" width="8.42578125" style="319" customWidth="1"/>
    <col min="4613" max="4615" width="6.85546875" style="319" customWidth="1"/>
    <col min="4616" max="4616" width="8.140625" style="319" customWidth="1"/>
    <col min="4617" max="4617" width="1" style="319" customWidth="1"/>
    <col min="4618" max="4618" width="7.140625" style="319" customWidth="1"/>
    <col min="4619" max="4620" width="7.28515625" style="319" customWidth="1"/>
    <col min="4621" max="4621" width="8.7109375" style="319" customWidth="1"/>
    <col min="4622" max="4622" width="7.28515625" style="319" customWidth="1"/>
    <col min="4623" max="4623" width="8.7109375" style="319" customWidth="1"/>
    <col min="4624" max="4625" width="7.140625" style="319" customWidth="1"/>
    <col min="4626" max="4626" width="7.5703125" style="319" customWidth="1"/>
    <col min="4627" max="4627" width="7.140625" style="319" customWidth="1"/>
    <col min="4628" max="4628" width="8.85546875" style="319" customWidth="1"/>
    <col min="4629" max="4629" width="9.42578125" style="319" customWidth="1"/>
    <col min="4630" max="4630" width="5.7109375" style="319" customWidth="1"/>
    <col min="4631" max="4631" width="7.140625" style="319" customWidth="1"/>
    <col min="4632" max="4632" width="5.7109375" style="319" customWidth="1"/>
    <col min="4633" max="4633" width="9.5703125" style="319" customWidth="1"/>
    <col min="4634" max="4634" width="9.7109375" style="319" customWidth="1"/>
    <col min="4635" max="4864" width="9.140625" style="319"/>
    <col min="4865" max="4865" width="13" style="319" customWidth="1"/>
    <col min="4866" max="4866" width="7.7109375" style="319" customWidth="1"/>
    <col min="4867" max="4867" width="7" style="319" customWidth="1"/>
    <col min="4868" max="4868" width="8.42578125" style="319" customWidth="1"/>
    <col min="4869" max="4871" width="6.85546875" style="319" customWidth="1"/>
    <col min="4872" max="4872" width="8.140625" style="319" customWidth="1"/>
    <col min="4873" max="4873" width="1" style="319" customWidth="1"/>
    <col min="4874" max="4874" width="7.140625" style="319" customWidth="1"/>
    <col min="4875" max="4876" width="7.28515625" style="319" customWidth="1"/>
    <col min="4877" max="4877" width="8.7109375" style="319" customWidth="1"/>
    <col min="4878" max="4878" width="7.28515625" style="319" customWidth="1"/>
    <col min="4879" max="4879" width="8.7109375" style="319" customWidth="1"/>
    <col min="4880" max="4881" width="7.140625" style="319" customWidth="1"/>
    <col min="4882" max="4882" width="7.5703125" style="319" customWidth="1"/>
    <col min="4883" max="4883" width="7.140625" style="319" customWidth="1"/>
    <col min="4884" max="4884" width="8.85546875" style="319" customWidth="1"/>
    <col min="4885" max="4885" width="9.42578125" style="319" customWidth="1"/>
    <col min="4886" max="4886" width="5.7109375" style="319" customWidth="1"/>
    <col min="4887" max="4887" width="7.140625" style="319" customWidth="1"/>
    <col min="4888" max="4888" width="5.7109375" style="319" customWidth="1"/>
    <col min="4889" max="4889" width="9.5703125" style="319" customWidth="1"/>
    <col min="4890" max="4890" width="9.7109375" style="319" customWidth="1"/>
    <col min="4891" max="5120" width="9.140625" style="319"/>
    <col min="5121" max="5121" width="13" style="319" customWidth="1"/>
    <col min="5122" max="5122" width="7.7109375" style="319" customWidth="1"/>
    <col min="5123" max="5123" width="7" style="319" customWidth="1"/>
    <col min="5124" max="5124" width="8.42578125" style="319" customWidth="1"/>
    <col min="5125" max="5127" width="6.85546875" style="319" customWidth="1"/>
    <col min="5128" max="5128" width="8.140625" style="319" customWidth="1"/>
    <col min="5129" max="5129" width="1" style="319" customWidth="1"/>
    <col min="5130" max="5130" width="7.140625" style="319" customWidth="1"/>
    <col min="5131" max="5132" width="7.28515625" style="319" customWidth="1"/>
    <col min="5133" max="5133" width="8.7109375" style="319" customWidth="1"/>
    <col min="5134" max="5134" width="7.28515625" style="319" customWidth="1"/>
    <col min="5135" max="5135" width="8.7109375" style="319" customWidth="1"/>
    <col min="5136" max="5137" width="7.140625" style="319" customWidth="1"/>
    <col min="5138" max="5138" width="7.5703125" style="319" customWidth="1"/>
    <col min="5139" max="5139" width="7.140625" style="319" customWidth="1"/>
    <col min="5140" max="5140" width="8.85546875" style="319" customWidth="1"/>
    <col min="5141" max="5141" width="9.42578125" style="319" customWidth="1"/>
    <col min="5142" max="5142" width="5.7109375" style="319" customWidth="1"/>
    <col min="5143" max="5143" width="7.140625" style="319" customWidth="1"/>
    <col min="5144" max="5144" width="5.7109375" style="319" customWidth="1"/>
    <col min="5145" max="5145" width="9.5703125" style="319" customWidth="1"/>
    <col min="5146" max="5146" width="9.7109375" style="319" customWidth="1"/>
    <col min="5147" max="5376" width="9.140625" style="319"/>
    <col min="5377" max="5377" width="13" style="319" customWidth="1"/>
    <col min="5378" max="5378" width="7.7109375" style="319" customWidth="1"/>
    <col min="5379" max="5379" width="7" style="319" customWidth="1"/>
    <col min="5380" max="5380" width="8.42578125" style="319" customWidth="1"/>
    <col min="5381" max="5383" width="6.85546875" style="319" customWidth="1"/>
    <col min="5384" max="5384" width="8.140625" style="319" customWidth="1"/>
    <col min="5385" max="5385" width="1" style="319" customWidth="1"/>
    <col min="5386" max="5386" width="7.140625" style="319" customWidth="1"/>
    <col min="5387" max="5388" width="7.28515625" style="319" customWidth="1"/>
    <col min="5389" max="5389" width="8.7109375" style="319" customWidth="1"/>
    <col min="5390" max="5390" width="7.28515625" style="319" customWidth="1"/>
    <col min="5391" max="5391" width="8.7109375" style="319" customWidth="1"/>
    <col min="5392" max="5393" width="7.140625" style="319" customWidth="1"/>
    <col min="5394" max="5394" width="7.5703125" style="319" customWidth="1"/>
    <col min="5395" max="5395" width="7.140625" style="319" customWidth="1"/>
    <col min="5396" max="5396" width="8.85546875" style="319" customWidth="1"/>
    <col min="5397" max="5397" width="9.42578125" style="319" customWidth="1"/>
    <col min="5398" max="5398" width="5.7109375" style="319" customWidth="1"/>
    <col min="5399" max="5399" width="7.140625" style="319" customWidth="1"/>
    <col min="5400" max="5400" width="5.7109375" style="319" customWidth="1"/>
    <col min="5401" max="5401" width="9.5703125" style="319" customWidth="1"/>
    <col min="5402" max="5402" width="9.7109375" style="319" customWidth="1"/>
    <col min="5403" max="5632" width="9.140625" style="319"/>
    <col min="5633" max="5633" width="13" style="319" customWidth="1"/>
    <col min="5634" max="5634" width="7.7109375" style="319" customWidth="1"/>
    <col min="5635" max="5635" width="7" style="319" customWidth="1"/>
    <col min="5636" max="5636" width="8.42578125" style="319" customWidth="1"/>
    <col min="5637" max="5639" width="6.85546875" style="319" customWidth="1"/>
    <col min="5640" max="5640" width="8.140625" style="319" customWidth="1"/>
    <col min="5641" max="5641" width="1" style="319" customWidth="1"/>
    <col min="5642" max="5642" width="7.140625" style="319" customWidth="1"/>
    <col min="5643" max="5644" width="7.28515625" style="319" customWidth="1"/>
    <col min="5645" max="5645" width="8.7109375" style="319" customWidth="1"/>
    <col min="5646" max="5646" width="7.28515625" style="319" customWidth="1"/>
    <col min="5647" max="5647" width="8.7109375" style="319" customWidth="1"/>
    <col min="5648" max="5649" width="7.140625" style="319" customWidth="1"/>
    <col min="5650" max="5650" width="7.5703125" style="319" customWidth="1"/>
    <col min="5651" max="5651" width="7.140625" style="319" customWidth="1"/>
    <col min="5652" max="5652" width="8.85546875" style="319" customWidth="1"/>
    <col min="5653" max="5653" width="9.42578125" style="319" customWidth="1"/>
    <col min="5654" max="5654" width="5.7109375" style="319" customWidth="1"/>
    <col min="5655" max="5655" width="7.140625" style="319" customWidth="1"/>
    <col min="5656" max="5656" width="5.7109375" style="319" customWidth="1"/>
    <col min="5657" max="5657" width="9.5703125" style="319" customWidth="1"/>
    <col min="5658" max="5658" width="9.7109375" style="319" customWidth="1"/>
    <col min="5659" max="5888" width="9.140625" style="319"/>
    <col min="5889" max="5889" width="13" style="319" customWidth="1"/>
    <col min="5890" max="5890" width="7.7109375" style="319" customWidth="1"/>
    <col min="5891" max="5891" width="7" style="319" customWidth="1"/>
    <col min="5892" max="5892" width="8.42578125" style="319" customWidth="1"/>
    <col min="5893" max="5895" width="6.85546875" style="319" customWidth="1"/>
    <col min="5896" max="5896" width="8.140625" style="319" customWidth="1"/>
    <col min="5897" max="5897" width="1" style="319" customWidth="1"/>
    <col min="5898" max="5898" width="7.140625" style="319" customWidth="1"/>
    <col min="5899" max="5900" width="7.28515625" style="319" customWidth="1"/>
    <col min="5901" max="5901" width="8.7109375" style="319" customWidth="1"/>
    <col min="5902" max="5902" width="7.28515625" style="319" customWidth="1"/>
    <col min="5903" max="5903" width="8.7109375" style="319" customWidth="1"/>
    <col min="5904" max="5905" width="7.140625" style="319" customWidth="1"/>
    <col min="5906" max="5906" width="7.5703125" style="319" customWidth="1"/>
    <col min="5907" max="5907" width="7.140625" style="319" customWidth="1"/>
    <col min="5908" max="5908" width="8.85546875" style="319" customWidth="1"/>
    <col min="5909" max="5909" width="9.42578125" style="319" customWidth="1"/>
    <col min="5910" max="5910" width="5.7109375" style="319" customWidth="1"/>
    <col min="5911" max="5911" width="7.140625" style="319" customWidth="1"/>
    <col min="5912" max="5912" width="5.7109375" style="319" customWidth="1"/>
    <col min="5913" max="5913" width="9.5703125" style="319" customWidth="1"/>
    <col min="5914" max="5914" width="9.7109375" style="319" customWidth="1"/>
    <col min="5915" max="6144" width="9.140625" style="319"/>
    <col min="6145" max="6145" width="13" style="319" customWidth="1"/>
    <col min="6146" max="6146" width="7.7109375" style="319" customWidth="1"/>
    <col min="6147" max="6147" width="7" style="319" customWidth="1"/>
    <col min="6148" max="6148" width="8.42578125" style="319" customWidth="1"/>
    <col min="6149" max="6151" width="6.85546875" style="319" customWidth="1"/>
    <col min="6152" max="6152" width="8.140625" style="319" customWidth="1"/>
    <col min="6153" max="6153" width="1" style="319" customWidth="1"/>
    <col min="6154" max="6154" width="7.140625" style="319" customWidth="1"/>
    <col min="6155" max="6156" width="7.28515625" style="319" customWidth="1"/>
    <col min="6157" max="6157" width="8.7109375" style="319" customWidth="1"/>
    <col min="6158" max="6158" width="7.28515625" style="319" customWidth="1"/>
    <col min="6159" max="6159" width="8.7109375" style="319" customWidth="1"/>
    <col min="6160" max="6161" width="7.140625" style="319" customWidth="1"/>
    <col min="6162" max="6162" width="7.5703125" style="319" customWidth="1"/>
    <col min="6163" max="6163" width="7.140625" style="319" customWidth="1"/>
    <col min="6164" max="6164" width="8.85546875" style="319" customWidth="1"/>
    <col min="6165" max="6165" width="9.42578125" style="319" customWidth="1"/>
    <col min="6166" max="6166" width="5.7109375" style="319" customWidth="1"/>
    <col min="6167" max="6167" width="7.140625" style="319" customWidth="1"/>
    <col min="6168" max="6168" width="5.7109375" style="319" customWidth="1"/>
    <col min="6169" max="6169" width="9.5703125" style="319" customWidth="1"/>
    <col min="6170" max="6170" width="9.7109375" style="319" customWidth="1"/>
    <col min="6171" max="6400" width="9.140625" style="319"/>
    <col min="6401" max="6401" width="13" style="319" customWidth="1"/>
    <col min="6402" max="6402" width="7.7109375" style="319" customWidth="1"/>
    <col min="6403" max="6403" width="7" style="319" customWidth="1"/>
    <col min="6404" max="6404" width="8.42578125" style="319" customWidth="1"/>
    <col min="6405" max="6407" width="6.85546875" style="319" customWidth="1"/>
    <col min="6408" max="6408" width="8.140625" style="319" customWidth="1"/>
    <col min="6409" max="6409" width="1" style="319" customWidth="1"/>
    <col min="6410" max="6410" width="7.140625" style="319" customWidth="1"/>
    <col min="6411" max="6412" width="7.28515625" style="319" customWidth="1"/>
    <col min="6413" max="6413" width="8.7109375" style="319" customWidth="1"/>
    <col min="6414" max="6414" width="7.28515625" style="319" customWidth="1"/>
    <col min="6415" max="6415" width="8.7109375" style="319" customWidth="1"/>
    <col min="6416" max="6417" width="7.140625" style="319" customWidth="1"/>
    <col min="6418" max="6418" width="7.5703125" style="319" customWidth="1"/>
    <col min="6419" max="6419" width="7.140625" style="319" customWidth="1"/>
    <col min="6420" max="6420" width="8.85546875" style="319" customWidth="1"/>
    <col min="6421" max="6421" width="9.42578125" style="319" customWidth="1"/>
    <col min="6422" max="6422" width="5.7109375" style="319" customWidth="1"/>
    <col min="6423" max="6423" width="7.140625" style="319" customWidth="1"/>
    <col min="6424" max="6424" width="5.7109375" style="319" customWidth="1"/>
    <col min="6425" max="6425" width="9.5703125" style="319" customWidth="1"/>
    <col min="6426" max="6426" width="9.7109375" style="319" customWidth="1"/>
    <col min="6427" max="6656" width="9.140625" style="319"/>
    <col min="6657" max="6657" width="13" style="319" customWidth="1"/>
    <col min="6658" max="6658" width="7.7109375" style="319" customWidth="1"/>
    <col min="6659" max="6659" width="7" style="319" customWidth="1"/>
    <col min="6660" max="6660" width="8.42578125" style="319" customWidth="1"/>
    <col min="6661" max="6663" width="6.85546875" style="319" customWidth="1"/>
    <col min="6664" max="6664" width="8.140625" style="319" customWidth="1"/>
    <col min="6665" max="6665" width="1" style="319" customWidth="1"/>
    <col min="6666" max="6666" width="7.140625" style="319" customWidth="1"/>
    <col min="6667" max="6668" width="7.28515625" style="319" customWidth="1"/>
    <col min="6669" max="6669" width="8.7109375" style="319" customWidth="1"/>
    <col min="6670" max="6670" width="7.28515625" style="319" customWidth="1"/>
    <col min="6671" max="6671" width="8.7109375" style="319" customWidth="1"/>
    <col min="6672" max="6673" width="7.140625" style="319" customWidth="1"/>
    <col min="6674" max="6674" width="7.5703125" style="319" customWidth="1"/>
    <col min="6675" max="6675" width="7.140625" style="319" customWidth="1"/>
    <col min="6676" max="6676" width="8.85546875" style="319" customWidth="1"/>
    <col min="6677" max="6677" width="9.42578125" style="319" customWidth="1"/>
    <col min="6678" max="6678" width="5.7109375" style="319" customWidth="1"/>
    <col min="6679" max="6679" width="7.140625" style="319" customWidth="1"/>
    <col min="6680" max="6680" width="5.7109375" style="319" customWidth="1"/>
    <col min="6681" max="6681" width="9.5703125" style="319" customWidth="1"/>
    <col min="6682" max="6682" width="9.7109375" style="319" customWidth="1"/>
    <col min="6683" max="6912" width="9.140625" style="319"/>
    <col min="6913" max="6913" width="13" style="319" customWidth="1"/>
    <col min="6914" max="6914" width="7.7109375" style="319" customWidth="1"/>
    <col min="6915" max="6915" width="7" style="319" customWidth="1"/>
    <col min="6916" max="6916" width="8.42578125" style="319" customWidth="1"/>
    <col min="6917" max="6919" width="6.85546875" style="319" customWidth="1"/>
    <col min="6920" max="6920" width="8.140625" style="319" customWidth="1"/>
    <col min="6921" max="6921" width="1" style="319" customWidth="1"/>
    <col min="6922" max="6922" width="7.140625" style="319" customWidth="1"/>
    <col min="6923" max="6924" width="7.28515625" style="319" customWidth="1"/>
    <col min="6925" max="6925" width="8.7109375" style="319" customWidth="1"/>
    <col min="6926" max="6926" width="7.28515625" style="319" customWidth="1"/>
    <col min="6927" max="6927" width="8.7109375" style="319" customWidth="1"/>
    <col min="6928" max="6929" width="7.140625" style="319" customWidth="1"/>
    <col min="6930" max="6930" width="7.5703125" style="319" customWidth="1"/>
    <col min="6931" max="6931" width="7.140625" style="319" customWidth="1"/>
    <col min="6932" max="6932" width="8.85546875" style="319" customWidth="1"/>
    <col min="6933" max="6933" width="9.42578125" style="319" customWidth="1"/>
    <col min="6934" max="6934" width="5.7109375" style="319" customWidth="1"/>
    <col min="6935" max="6935" width="7.140625" style="319" customWidth="1"/>
    <col min="6936" max="6936" width="5.7109375" style="319" customWidth="1"/>
    <col min="6937" max="6937" width="9.5703125" style="319" customWidth="1"/>
    <col min="6938" max="6938" width="9.7109375" style="319" customWidth="1"/>
    <col min="6939" max="7168" width="9.140625" style="319"/>
    <col min="7169" max="7169" width="13" style="319" customWidth="1"/>
    <col min="7170" max="7170" width="7.7109375" style="319" customWidth="1"/>
    <col min="7171" max="7171" width="7" style="319" customWidth="1"/>
    <col min="7172" max="7172" width="8.42578125" style="319" customWidth="1"/>
    <col min="7173" max="7175" width="6.85546875" style="319" customWidth="1"/>
    <col min="7176" max="7176" width="8.140625" style="319" customWidth="1"/>
    <col min="7177" max="7177" width="1" style="319" customWidth="1"/>
    <col min="7178" max="7178" width="7.140625" style="319" customWidth="1"/>
    <col min="7179" max="7180" width="7.28515625" style="319" customWidth="1"/>
    <col min="7181" max="7181" width="8.7109375" style="319" customWidth="1"/>
    <col min="7182" max="7182" width="7.28515625" style="319" customWidth="1"/>
    <col min="7183" max="7183" width="8.7109375" style="319" customWidth="1"/>
    <col min="7184" max="7185" width="7.140625" style="319" customWidth="1"/>
    <col min="7186" max="7186" width="7.5703125" style="319" customWidth="1"/>
    <col min="7187" max="7187" width="7.140625" style="319" customWidth="1"/>
    <col min="7188" max="7188" width="8.85546875" style="319" customWidth="1"/>
    <col min="7189" max="7189" width="9.42578125" style="319" customWidth="1"/>
    <col min="7190" max="7190" width="5.7109375" style="319" customWidth="1"/>
    <col min="7191" max="7191" width="7.140625" style="319" customWidth="1"/>
    <col min="7192" max="7192" width="5.7109375" style="319" customWidth="1"/>
    <col min="7193" max="7193" width="9.5703125" style="319" customWidth="1"/>
    <col min="7194" max="7194" width="9.7109375" style="319" customWidth="1"/>
    <col min="7195" max="7424" width="9.140625" style="319"/>
    <col min="7425" max="7425" width="13" style="319" customWidth="1"/>
    <col min="7426" max="7426" width="7.7109375" style="319" customWidth="1"/>
    <col min="7427" max="7427" width="7" style="319" customWidth="1"/>
    <col min="7428" max="7428" width="8.42578125" style="319" customWidth="1"/>
    <col min="7429" max="7431" width="6.85546875" style="319" customWidth="1"/>
    <col min="7432" max="7432" width="8.140625" style="319" customWidth="1"/>
    <col min="7433" max="7433" width="1" style="319" customWidth="1"/>
    <col min="7434" max="7434" width="7.140625" style="319" customWidth="1"/>
    <col min="7435" max="7436" width="7.28515625" style="319" customWidth="1"/>
    <col min="7437" max="7437" width="8.7109375" style="319" customWidth="1"/>
    <col min="7438" max="7438" width="7.28515625" style="319" customWidth="1"/>
    <col min="7439" max="7439" width="8.7109375" style="319" customWidth="1"/>
    <col min="7440" max="7441" width="7.140625" style="319" customWidth="1"/>
    <col min="7442" max="7442" width="7.5703125" style="319" customWidth="1"/>
    <col min="7443" max="7443" width="7.140625" style="319" customWidth="1"/>
    <col min="7444" max="7444" width="8.85546875" style="319" customWidth="1"/>
    <col min="7445" max="7445" width="9.42578125" style="319" customWidth="1"/>
    <col min="7446" max="7446" width="5.7109375" style="319" customWidth="1"/>
    <col min="7447" max="7447" width="7.140625" style="319" customWidth="1"/>
    <col min="7448" max="7448" width="5.7109375" style="319" customWidth="1"/>
    <col min="7449" max="7449" width="9.5703125" style="319" customWidth="1"/>
    <col min="7450" max="7450" width="9.7109375" style="319" customWidth="1"/>
    <col min="7451" max="7680" width="9.140625" style="319"/>
    <col min="7681" max="7681" width="13" style="319" customWidth="1"/>
    <col min="7682" max="7682" width="7.7109375" style="319" customWidth="1"/>
    <col min="7683" max="7683" width="7" style="319" customWidth="1"/>
    <col min="7684" max="7684" width="8.42578125" style="319" customWidth="1"/>
    <col min="7685" max="7687" width="6.85546875" style="319" customWidth="1"/>
    <col min="7688" max="7688" width="8.140625" style="319" customWidth="1"/>
    <col min="7689" max="7689" width="1" style="319" customWidth="1"/>
    <col min="7690" max="7690" width="7.140625" style="319" customWidth="1"/>
    <col min="7691" max="7692" width="7.28515625" style="319" customWidth="1"/>
    <col min="7693" max="7693" width="8.7109375" style="319" customWidth="1"/>
    <col min="7694" max="7694" width="7.28515625" style="319" customWidth="1"/>
    <col min="7695" max="7695" width="8.7109375" style="319" customWidth="1"/>
    <col min="7696" max="7697" width="7.140625" style="319" customWidth="1"/>
    <col min="7698" max="7698" width="7.5703125" style="319" customWidth="1"/>
    <col min="7699" max="7699" width="7.140625" style="319" customWidth="1"/>
    <col min="7700" max="7700" width="8.85546875" style="319" customWidth="1"/>
    <col min="7701" max="7701" width="9.42578125" style="319" customWidth="1"/>
    <col min="7702" max="7702" width="5.7109375" style="319" customWidth="1"/>
    <col min="7703" max="7703" width="7.140625" style="319" customWidth="1"/>
    <col min="7704" max="7704" width="5.7109375" style="319" customWidth="1"/>
    <col min="7705" max="7705" width="9.5703125" style="319" customWidth="1"/>
    <col min="7706" max="7706" width="9.7109375" style="319" customWidth="1"/>
    <col min="7707" max="7936" width="9.140625" style="319"/>
    <col min="7937" max="7937" width="13" style="319" customWidth="1"/>
    <col min="7938" max="7938" width="7.7109375" style="319" customWidth="1"/>
    <col min="7939" max="7939" width="7" style="319" customWidth="1"/>
    <col min="7940" max="7940" width="8.42578125" style="319" customWidth="1"/>
    <col min="7941" max="7943" width="6.85546875" style="319" customWidth="1"/>
    <col min="7944" max="7944" width="8.140625" style="319" customWidth="1"/>
    <col min="7945" max="7945" width="1" style="319" customWidth="1"/>
    <col min="7946" max="7946" width="7.140625" style="319" customWidth="1"/>
    <col min="7947" max="7948" width="7.28515625" style="319" customWidth="1"/>
    <col min="7949" max="7949" width="8.7109375" style="319" customWidth="1"/>
    <col min="7950" max="7950" width="7.28515625" style="319" customWidth="1"/>
    <col min="7951" max="7951" width="8.7109375" style="319" customWidth="1"/>
    <col min="7952" max="7953" width="7.140625" style="319" customWidth="1"/>
    <col min="7954" max="7954" width="7.5703125" style="319" customWidth="1"/>
    <col min="7955" max="7955" width="7.140625" style="319" customWidth="1"/>
    <col min="7956" max="7956" width="8.85546875" style="319" customWidth="1"/>
    <col min="7957" max="7957" width="9.42578125" style="319" customWidth="1"/>
    <col min="7958" max="7958" width="5.7109375" style="319" customWidth="1"/>
    <col min="7959" max="7959" width="7.140625" style="319" customWidth="1"/>
    <col min="7960" max="7960" width="5.7109375" style="319" customWidth="1"/>
    <col min="7961" max="7961" width="9.5703125" style="319" customWidth="1"/>
    <col min="7962" max="7962" width="9.7109375" style="319" customWidth="1"/>
    <col min="7963" max="8192" width="9.140625" style="319"/>
    <col min="8193" max="8193" width="13" style="319" customWidth="1"/>
    <col min="8194" max="8194" width="7.7109375" style="319" customWidth="1"/>
    <col min="8195" max="8195" width="7" style="319" customWidth="1"/>
    <col min="8196" max="8196" width="8.42578125" style="319" customWidth="1"/>
    <col min="8197" max="8199" width="6.85546875" style="319" customWidth="1"/>
    <col min="8200" max="8200" width="8.140625" style="319" customWidth="1"/>
    <col min="8201" max="8201" width="1" style="319" customWidth="1"/>
    <col min="8202" max="8202" width="7.140625" style="319" customWidth="1"/>
    <col min="8203" max="8204" width="7.28515625" style="319" customWidth="1"/>
    <col min="8205" max="8205" width="8.7109375" style="319" customWidth="1"/>
    <col min="8206" max="8206" width="7.28515625" style="319" customWidth="1"/>
    <col min="8207" max="8207" width="8.7109375" style="319" customWidth="1"/>
    <col min="8208" max="8209" width="7.140625" style="319" customWidth="1"/>
    <col min="8210" max="8210" width="7.5703125" style="319" customWidth="1"/>
    <col min="8211" max="8211" width="7.140625" style="319" customWidth="1"/>
    <col min="8212" max="8212" width="8.85546875" style="319" customWidth="1"/>
    <col min="8213" max="8213" width="9.42578125" style="319" customWidth="1"/>
    <col min="8214" max="8214" width="5.7109375" style="319" customWidth="1"/>
    <col min="8215" max="8215" width="7.140625" style="319" customWidth="1"/>
    <col min="8216" max="8216" width="5.7109375" style="319" customWidth="1"/>
    <col min="8217" max="8217" width="9.5703125" style="319" customWidth="1"/>
    <col min="8218" max="8218" width="9.7109375" style="319" customWidth="1"/>
    <col min="8219" max="8448" width="9.140625" style="319"/>
    <col min="8449" max="8449" width="13" style="319" customWidth="1"/>
    <col min="8450" max="8450" width="7.7109375" style="319" customWidth="1"/>
    <col min="8451" max="8451" width="7" style="319" customWidth="1"/>
    <col min="8452" max="8452" width="8.42578125" style="319" customWidth="1"/>
    <col min="8453" max="8455" width="6.85546875" style="319" customWidth="1"/>
    <col min="8456" max="8456" width="8.140625" style="319" customWidth="1"/>
    <col min="8457" max="8457" width="1" style="319" customWidth="1"/>
    <col min="8458" max="8458" width="7.140625" style="319" customWidth="1"/>
    <col min="8459" max="8460" width="7.28515625" style="319" customWidth="1"/>
    <col min="8461" max="8461" width="8.7109375" style="319" customWidth="1"/>
    <col min="8462" max="8462" width="7.28515625" style="319" customWidth="1"/>
    <col min="8463" max="8463" width="8.7109375" style="319" customWidth="1"/>
    <col min="8464" max="8465" width="7.140625" style="319" customWidth="1"/>
    <col min="8466" max="8466" width="7.5703125" style="319" customWidth="1"/>
    <col min="8467" max="8467" width="7.140625" style="319" customWidth="1"/>
    <col min="8468" max="8468" width="8.85546875" style="319" customWidth="1"/>
    <col min="8469" max="8469" width="9.42578125" style="319" customWidth="1"/>
    <col min="8470" max="8470" width="5.7109375" style="319" customWidth="1"/>
    <col min="8471" max="8471" width="7.140625" style="319" customWidth="1"/>
    <col min="8472" max="8472" width="5.7109375" style="319" customWidth="1"/>
    <col min="8473" max="8473" width="9.5703125" style="319" customWidth="1"/>
    <col min="8474" max="8474" width="9.7109375" style="319" customWidth="1"/>
    <col min="8475" max="8704" width="9.140625" style="319"/>
    <col min="8705" max="8705" width="13" style="319" customWidth="1"/>
    <col min="8706" max="8706" width="7.7109375" style="319" customWidth="1"/>
    <col min="8707" max="8707" width="7" style="319" customWidth="1"/>
    <col min="8708" max="8708" width="8.42578125" style="319" customWidth="1"/>
    <col min="8709" max="8711" width="6.85546875" style="319" customWidth="1"/>
    <col min="8712" max="8712" width="8.140625" style="319" customWidth="1"/>
    <col min="8713" max="8713" width="1" style="319" customWidth="1"/>
    <col min="8714" max="8714" width="7.140625" style="319" customWidth="1"/>
    <col min="8715" max="8716" width="7.28515625" style="319" customWidth="1"/>
    <col min="8717" max="8717" width="8.7109375" style="319" customWidth="1"/>
    <col min="8718" max="8718" width="7.28515625" style="319" customWidth="1"/>
    <col min="8719" max="8719" width="8.7109375" style="319" customWidth="1"/>
    <col min="8720" max="8721" width="7.140625" style="319" customWidth="1"/>
    <col min="8722" max="8722" width="7.5703125" style="319" customWidth="1"/>
    <col min="8723" max="8723" width="7.140625" style="319" customWidth="1"/>
    <col min="8724" max="8724" width="8.85546875" style="319" customWidth="1"/>
    <col min="8725" max="8725" width="9.42578125" style="319" customWidth="1"/>
    <col min="8726" max="8726" width="5.7109375" style="319" customWidth="1"/>
    <col min="8727" max="8727" width="7.140625" style="319" customWidth="1"/>
    <col min="8728" max="8728" width="5.7109375" style="319" customWidth="1"/>
    <col min="8729" max="8729" width="9.5703125" style="319" customWidth="1"/>
    <col min="8730" max="8730" width="9.7109375" style="319" customWidth="1"/>
    <col min="8731" max="8960" width="9.140625" style="319"/>
    <col min="8961" max="8961" width="13" style="319" customWidth="1"/>
    <col min="8962" max="8962" width="7.7109375" style="319" customWidth="1"/>
    <col min="8963" max="8963" width="7" style="319" customWidth="1"/>
    <col min="8964" max="8964" width="8.42578125" style="319" customWidth="1"/>
    <col min="8965" max="8967" width="6.85546875" style="319" customWidth="1"/>
    <col min="8968" max="8968" width="8.140625" style="319" customWidth="1"/>
    <col min="8969" max="8969" width="1" style="319" customWidth="1"/>
    <col min="8970" max="8970" width="7.140625" style="319" customWidth="1"/>
    <col min="8971" max="8972" width="7.28515625" style="319" customWidth="1"/>
    <col min="8973" max="8973" width="8.7109375" style="319" customWidth="1"/>
    <col min="8974" max="8974" width="7.28515625" style="319" customWidth="1"/>
    <col min="8975" max="8975" width="8.7109375" style="319" customWidth="1"/>
    <col min="8976" max="8977" width="7.140625" style="319" customWidth="1"/>
    <col min="8978" max="8978" width="7.5703125" style="319" customWidth="1"/>
    <col min="8979" max="8979" width="7.140625" style="319" customWidth="1"/>
    <col min="8980" max="8980" width="8.85546875" style="319" customWidth="1"/>
    <col min="8981" max="8981" width="9.42578125" style="319" customWidth="1"/>
    <col min="8982" max="8982" width="5.7109375" style="319" customWidth="1"/>
    <col min="8983" max="8983" width="7.140625" style="319" customWidth="1"/>
    <col min="8984" max="8984" width="5.7109375" style="319" customWidth="1"/>
    <col min="8985" max="8985" width="9.5703125" style="319" customWidth="1"/>
    <col min="8986" max="8986" width="9.7109375" style="319" customWidth="1"/>
    <col min="8987" max="9216" width="9.140625" style="319"/>
    <col min="9217" max="9217" width="13" style="319" customWidth="1"/>
    <col min="9218" max="9218" width="7.7109375" style="319" customWidth="1"/>
    <col min="9219" max="9219" width="7" style="319" customWidth="1"/>
    <col min="9220" max="9220" width="8.42578125" style="319" customWidth="1"/>
    <col min="9221" max="9223" width="6.85546875" style="319" customWidth="1"/>
    <col min="9224" max="9224" width="8.140625" style="319" customWidth="1"/>
    <col min="9225" max="9225" width="1" style="319" customWidth="1"/>
    <col min="9226" max="9226" width="7.140625" style="319" customWidth="1"/>
    <col min="9227" max="9228" width="7.28515625" style="319" customWidth="1"/>
    <col min="9229" max="9229" width="8.7109375" style="319" customWidth="1"/>
    <col min="9230" max="9230" width="7.28515625" style="319" customWidth="1"/>
    <col min="9231" max="9231" width="8.7109375" style="319" customWidth="1"/>
    <col min="9232" max="9233" width="7.140625" style="319" customWidth="1"/>
    <col min="9234" max="9234" width="7.5703125" style="319" customWidth="1"/>
    <col min="9235" max="9235" width="7.140625" style="319" customWidth="1"/>
    <col min="9236" max="9236" width="8.85546875" style="319" customWidth="1"/>
    <col min="9237" max="9237" width="9.42578125" style="319" customWidth="1"/>
    <col min="9238" max="9238" width="5.7109375" style="319" customWidth="1"/>
    <col min="9239" max="9239" width="7.140625" style="319" customWidth="1"/>
    <col min="9240" max="9240" width="5.7109375" style="319" customWidth="1"/>
    <col min="9241" max="9241" width="9.5703125" style="319" customWidth="1"/>
    <col min="9242" max="9242" width="9.7109375" style="319" customWidth="1"/>
    <col min="9243" max="9472" width="9.140625" style="319"/>
    <col min="9473" max="9473" width="13" style="319" customWidth="1"/>
    <col min="9474" max="9474" width="7.7109375" style="319" customWidth="1"/>
    <col min="9475" max="9475" width="7" style="319" customWidth="1"/>
    <col min="9476" max="9476" width="8.42578125" style="319" customWidth="1"/>
    <col min="9477" max="9479" width="6.85546875" style="319" customWidth="1"/>
    <col min="9480" max="9480" width="8.140625" style="319" customWidth="1"/>
    <col min="9481" max="9481" width="1" style="319" customWidth="1"/>
    <col min="9482" max="9482" width="7.140625" style="319" customWidth="1"/>
    <col min="9483" max="9484" width="7.28515625" style="319" customWidth="1"/>
    <col min="9485" max="9485" width="8.7109375" style="319" customWidth="1"/>
    <col min="9486" max="9486" width="7.28515625" style="319" customWidth="1"/>
    <col min="9487" max="9487" width="8.7109375" style="319" customWidth="1"/>
    <col min="9488" max="9489" width="7.140625" style="319" customWidth="1"/>
    <col min="9490" max="9490" width="7.5703125" style="319" customWidth="1"/>
    <col min="9491" max="9491" width="7.140625" style="319" customWidth="1"/>
    <col min="9492" max="9492" width="8.85546875" style="319" customWidth="1"/>
    <col min="9493" max="9493" width="9.42578125" style="319" customWidth="1"/>
    <col min="9494" max="9494" width="5.7109375" style="319" customWidth="1"/>
    <col min="9495" max="9495" width="7.140625" style="319" customWidth="1"/>
    <col min="9496" max="9496" width="5.7109375" style="319" customWidth="1"/>
    <col min="9497" max="9497" width="9.5703125" style="319" customWidth="1"/>
    <col min="9498" max="9498" width="9.7109375" style="319" customWidth="1"/>
    <col min="9499" max="9728" width="9.140625" style="319"/>
    <col min="9729" max="9729" width="13" style="319" customWidth="1"/>
    <col min="9730" max="9730" width="7.7109375" style="319" customWidth="1"/>
    <col min="9731" max="9731" width="7" style="319" customWidth="1"/>
    <col min="9732" max="9732" width="8.42578125" style="319" customWidth="1"/>
    <col min="9733" max="9735" width="6.85546875" style="319" customWidth="1"/>
    <col min="9736" max="9736" width="8.140625" style="319" customWidth="1"/>
    <col min="9737" max="9737" width="1" style="319" customWidth="1"/>
    <col min="9738" max="9738" width="7.140625" style="319" customWidth="1"/>
    <col min="9739" max="9740" width="7.28515625" style="319" customWidth="1"/>
    <col min="9741" max="9741" width="8.7109375" style="319" customWidth="1"/>
    <col min="9742" max="9742" width="7.28515625" style="319" customWidth="1"/>
    <col min="9743" max="9743" width="8.7109375" style="319" customWidth="1"/>
    <col min="9744" max="9745" width="7.140625" style="319" customWidth="1"/>
    <col min="9746" max="9746" width="7.5703125" style="319" customWidth="1"/>
    <col min="9747" max="9747" width="7.140625" style="319" customWidth="1"/>
    <col min="9748" max="9748" width="8.85546875" style="319" customWidth="1"/>
    <col min="9749" max="9749" width="9.42578125" style="319" customWidth="1"/>
    <col min="9750" max="9750" width="5.7109375" style="319" customWidth="1"/>
    <col min="9751" max="9751" width="7.140625" style="319" customWidth="1"/>
    <col min="9752" max="9752" width="5.7109375" style="319" customWidth="1"/>
    <col min="9753" max="9753" width="9.5703125" style="319" customWidth="1"/>
    <col min="9754" max="9754" width="9.7109375" style="319" customWidth="1"/>
    <col min="9755" max="9984" width="9.140625" style="319"/>
    <col min="9985" max="9985" width="13" style="319" customWidth="1"/>
    <col min="9986" max="9986" width="7.7109375" style="319" customWidth="1"/>
    <col min="9987" max="9987" width="7" style="319" customWidth="1"/>
    <col min="9988" max="9988" width="8.42578125" style="319" customWidth="1"/>
    <col min="9989" max="9991" width="6.85546875" style="319" customWidth="1"/>
    <col min="9992" max="9992" width="8.140625" style="319" customWidth="1"/>
    <col min="9993" max="9993" width="1" style="319" customWidth="1"/>
    <col min="9994" max="9994" width="7.140625" style="319" customWidth="1"/>
    <col min="9995" max="9996" width="7.28515625" style="319" customWidth="1"/>
    <col min="9997" max="9997" width="8.7109375" style="319" customWidth="1"/>
    <col min="9998" max="9998" width="7.28515625" style="319" customWidth="1"/>
    <col min="9999" max="9999" width="8.7109375" style="319" customWidth="1"/>
    <col min="10000" max="10001" width="7.140625" style="319" customWidth="1"/>
    <col min="10002" max="10002" width="7.5703125" style="319" customWidth="1"/>
    <col min="10003" max="10003" width="7.140625" style="319" customWidth="1"/>
    <col min="10004" max="10004" width="8.85546875" style="319" customWidth="1"/>
    <col min="10005" max="10005" width="9.42578125" style="319" customWidth="1"/>
    <col min="10006" max="10006" width="5.7109375" style="319" customWidth="1"/>
    <col min="10007" max="10007" width="7.140625" style="319" customWidth="1"/>
    <col min="10008" max="10008" width="5.7109375" style="319" customWidth="1"/>
    <col min="10009" max="10009" width="9.5703125" style="319" customWidth="1"/>
    <col min="10010" max="10010" width="9.7109375" style="319" customWidth="1"/>
    <col min="10011" max="10240" width="9.140625" style="319"/>
    <col min="10241" max="10241" width="13" style="319" customWidth="1"/>
    <col min="10242" max="10242" width="7.7109375" style="319" customWidth="1"/>
    <col min="10243" max="10243" width="7" style="319" customWidth="1"/>
    <col min="10244" max="10244" width="8.42578125" style="319" customWidth="1"/>
    <col min="10245" max="10247" width="6.85546875" style="319" customWidth="1"/>
    <col min="10248" max="10248" width="8.140625" style="319" customWidth="1"/>
    <col min="10249" max="10249" width="1" style="319" customWidth="1"/>
    <col min="10250" max="10250" width="7.140625" style="319" customWidth="1"/>
    <col min="10251" max="10252" width="7.28515625" style="319" customWidth="1"/>
    <col min="10253" max="10253" width="8.7109375" style="319" customWidth="1"/>
    <col min="10254" max="10254" width="7.28515625" style="319" customWidth="1"/>
    <col min="10255" max="10255" width="8.7109375" style="319" customWidth="1"/>
    <col min="10256" max="10257" width="7.140625" style="319" customWidth="1"/>
    <col min="10258" max="10258" width="7.5703125" style="319" customWidth="1"/>
    <col min="10259" max="10259" width="7.140625" style="319" customWidth="1"/>
    <col min="10260" max="10260" width="8.85546875" style="319" customWidth="1"/>
    <col min="10261" max="10261" width="9.42578125" style="319" customWidth="1"/>
    <col min="10262" max="10262" width="5.7109375" style="319" customWidth="1"/>
    <col min="10263" max="10263" width="7.140625" style="319" customWidth="1"/>
    <col min="10264" max="10264" width="5.7109375" style="319" customWidth="1"/>
    <col min="10265" max="10265" width="9.5703125" style="319" customWidth="1"/>
    <col min="10266" max="10266" width="9.7109375" style="319" customWidth="1"/>
    <col min="10267" max="10496" width="9.140625" style="319"/>
    <col min="10497" max="10497" width="13" style="319" customWidth="1"/>
    <col min="10498" max="10498" width="7.7109375" style="319" customWidth="1"/>
    <col min="10499" max="10499" width="7" style="319" customWidth="1"/>
    <col min="10500" max="10500" width="8.42578125" style="319" customWidth="1"/>
    <col min="10501" max="10503" width="6.85546875" style="319" customWidth="1"/>
    <col min="10504" max="10504" width="8.140625" style="319" customWidth="1"/>
    <col min="10505" max="10505" width="1" style="319" customWidth="1"/>
    <col min="10506" max="10506" width="7.140625" style="319" customWidth="1"/>
    <col min="10507" max="10508" width="7.28515625" style="319" customWidth="1"/>
    <col min="10509" max="10509" width="8.7109375" style="319" customWidth="1"/>
    <col min="10510" max="10510" width="7.28515625" style="319" customWidth="1"/>
    <col min="10511" max="10511" width="8.7109375" style="319" customWidth="1"/>
    <col min="10512" max="10513" width="7.140625" style="319" customWidth="1"/>
    <col min="10514" max="10514" width="7.5703125" style="319" customWidth="1"/>
    <col min="10515" max="10515" width="7.140625" style="319" customWidth="1"/>
    <col min="10516" max="10516" width="8.85546875" style="319" customWidth="1"/>
    <col min="10517" max="10517" width="9.42578125" style="319" customWidth="1"/>
    <col min="10518" max="10518" width="5.7109375" style="319" customWidth="1"/>
    <col min="10519" max="10519" width="7.140625" style="319" customWidth="1"/>
    <col min="10520" max="10520" width="5.7109375" style="319" customWidth="1"/>
    <col min="10521" max="10521" width="9.5703125" style="319" customWidth="1"/>
    <col min="10522" max="10522" width="9.7109375" style="319" customWidth="1"/>
    <col min="10523" max="10752" width="9.140625" style="319"/>
    <col min="10753" max="10753" width="13" style="319" customWidth="1"/>
    <col min="10754" max="10754" width="7.7109375" style="319" customWidth="1"/>
    <col min="10755" max="10755" width="7" style="319" customWidth="1"/>
    <col min="10756" max="10756" width="8.42578125" style="319" customWidth="1"/>
    <col min="10757" max="10759" width="6.85546875" style="319" customWidth="1"/>
    <col min="10760" max="10760" width="8.140625" style="319" customWidth="1"/>
    <col min="10761" max="10761" width="1" style="319" customWidth="1"/>
    <col min="10762" max="10762" width="7.140625" style="319" customWidth="1"/>
    <col min="10763" max="10764" width="7.28515625" style="319" customWidth="1"/>
    <col min="10765" max="10765" width="8.7109375" style="319" customWidth="1"/>
    <col min="10766" max="10766" width="7.28515625" style="319" customWidth="1"/>
    <col min="10767" max="10767" width="8.7109375" style="319" customWidth="1"/>
    <col min="10768" max="10769" width="7.140625" style="319" customWidth="1"/>
    <col min="10770" max="10770" width="7.5703125" style="319" customWidth="1"/>
    <col min="10771" max="10771" width="7.140625" style="319" customWidth="1"/>
    <col min="10772" max="10772" width="8.85546875" style="319" customWidth="1"/>
    <col min="10773" max="10773" width="9.42578125" style="319" customWidth="1"/>
    <col min="10774" max="10774" width="5.7109375" style="319" customWidth="1"/>
    <col min="10775" max="10775" width="7.140625" style="319" customWidth="1"/>
    <col min="10776" max="10776" width="5.7109375" style="319" customWidth="1"/>
    <col min="10777" max="10777" width="9.5703125" style="319" customWidth="1"/>
    <col min="10778" max="10778" width="9.7109375" style="319" customWidth="1"/>
    <col min="10779" max="11008" width="9.140625" style="319"/>
    <col min="11009" max="11009" width="13" style="319" customWidth="1"/>
    <col min="11010" max="11010" width="7.7109375" style="319" customWidth="1"/>
    <col min="11011" max="11011" width="7" style="319" customWidth="1"/>
    <col min="11012" max="11012" width="8.42578125" style="319" customWidth="1"/>
    <col min="11013" max="11015" width="6.85546875" style="319" customWidth="1"/>
    <col min="11016" max="11016" width="8.140625" style="319" customWidth="1"/>
    <col min="11017" max="11017" width="1" style="319" customWidth="1"/>
    <col min="11018" max="11018" width="7.140625" style="319" customWidth="1"/>
    <col min="11019" max="11020" width="7.28515625" style="319" customWidth="1"/>
    <col min="11021" max="11021" width="8.7109375" style="319" customWidth="1"/>
    <col min="11022" max="11022" width="7.28515625" style="319" customWidth="1"/>
    <col min="11023" max="11023" width="8.7109375" style="319" customWidth="1"/>
    <col min="11024" max="11025" width="7.140625" style="319" customWidth="1"/>
    <col min="11026" max="11026" width="7.5703125" style="319" customWidth="1"/>
    <col min="11027" max="11027" width="7.140625" style="319" customWidth="1"/>
    <col min="11028" max="11028" width="8.85546875" style="319" customWidth="1"/>
    <col min="11029" max="11029" width="9.42578125" style="319" customWidth="1"/>
    <col min="11030" max="11030" width="5.7109375" style="319" customWidth="1"/>
    <col min="11031" max="11031" width="7.140625" style="319" customWidth="1"/>
    <col min="11032" max="11032" width="5.7109375" style="319" customWidth="1"/>
    <col min="11033" max="11033" width="9.5703125" style="319" customWidth="1"/>
    <col min="11034" max="11034" width="9.7109375" style="319" customWidth="1"/>
    <col min="11035" max="11264" width="9.140625" style="319"/>
    <col min="11265" max="11265" width="13" style="319" customWidth="1"/>
    <col min="11266" max="11266" width="7.7109375" style="319" customWidth="1"/>
    <col min="11267" max="11267" width="7" style="319" customWidth="1"/>
    <col min="11268" max="11268" width="8.42578125" style="319" customWidth="1"/>
    <col min="11269" max="11271" width="6.85546875" style="319" customWidth="1"/>
    <col min="11272" max="11272" width="8.140625" style="319" customWidth="1"/>
    <col min="11273" max="11273" width="1" style="319" customWidth="1"/>
    <col min="11274" max="11274" width="7.140625" style="319" customWidth="1"/>
    <col min="11275" max="11276" width="7.28515625" style="319" customWidth="1"/>
    <col min="11277" max="11277" width="8.7109375" style="319" customWidth="1"/>
    <col min="11278" max="11278" width="7.28515625" style="319" customWidth="1"/>
    <col min="11279" max="11279" width="8.7109375" style="319" customWidth="1"/>
    <col min="11280" max="11281" width="7.140625" style="319" customWidth="1"/>
    <col min="11282" max="11282" width="7.5703125" style="319" customWidth="1"/>
    <col min="11283" max="11283" width="7.140625" style="319" customWidth="1"/>
    <col min="11284" max="11284" width="8.85546875" style="319" customWidth="1"/>
    <col min="11285" max="11285" width="9.42578125" style="319" customWidth="1"/>
    <col min="11286" max="11286" width="5.7109375" style="319" customWidth="1"/>
    <col min="11287" max="11287" width="7.140625" style="319" customWidth="1"/>
    <col min="11288" max="11288" width="5.7109375" style="319" customWidth="1"/>
    <col min="11289" max="11289" width="9.5703125" style="319" customWidth="1"/>
    <col min="11290" max="11290" width="9.7109375" style="319" customWidth="1"/>
    <col min="11291" max="11520" width="9.140625" style="319"/>
    <col min="11521" max="11521" width="13" style="319" customWidth="1"/>
    <col min="11522" max="11522" width="7.7109375" style="319" customWidth="1"/>
    <col min="11523" max="11523" width="7" style="319" customWidth="1"/>
    <col min="11524" max="11524" width="8.42578125" style="319" customWidth="1"/>
    <col min="11525" max="11527" width="6.85546875" style="319" customWidth="1"/>
    <col min="11528" max="11528" width="8.140625" style="319" customWidth="1"/>
    <col min="11529" max="11529" width="1" style="319" customWidth="1"/>
    <col min="11530" max="11530" width="7.140625" style="319" customWidth="1"/>
    <col min="11531" max="11532" width="7.28515625" style="319" customWidth="1"/>
    <col min="11533" max="11533" width="8.7109375" style="319" customWidth="1"/>
    <col min="11534" max="11534" width="7.28515625" style="319" customWidth="1"/>
    <col min="11535" max="11535" width="8.7109375" style="319" customWidth="1"/>
    <col min="11536" max="11537" width="7.140625" style="319" customWidth="1"/>
    <col min="11538" max="11538" width="7.5703125" style="319" customWidth="1"/>
    <col min="11539" max="11539" width="7.140625" style="319" customWidth="1"/>
    <col min="11540" max="11540" width="8.85546875" style="319" customWidth="1"/>
    <col min="11541" max="11541" width="9.42578125" style="319" customWidth="1"/>
    <col min="11542" max="11542" width="5.7109375" style="319" customWidth="1"/>
    <col min="11543" max="11543" width="7.140625" style="319" customWidth="1"/>
    <col min="11544" max="11544" width="5.7109375" style="319" customWidth="1"/>
    <col min="11545" max="11545" width="9.5703125" style="319" customWidth="1"/>
    <col min="11546" max="11546" width="9.7109375" style="319" customWidth="1"/>
    <col min="11547" max="11776" width="9.140625" style="319"/>
    <col min="11777" max="11777" width="13" style="319" customWidth="1"/>
    <col min="11778" max="11778" width="7.7109375" style="319" customWidth="1"/>
    <col min="11779" max="11779" width="7" style="319" customWidth="1"/>
    <col min="11780" max="11780" width="8.42578125" style="319" customWidth="1"/>
    <col min="11781" max="11783" width="6.85546875" style="319" customWidth="1"/>
    <col min="11784" max="11784" width="8.140625" style="319" customWidth="1"/>
    <col min="11785" max="11785" width="1" style="319" customWidth="1"/>
    <col min="11786" max="11786" width="7.140625" style="319" customWidth="1"/>
    <col min="11787" max="11788" width="7.28515625" style="319" customWidth="1"/>
    <col min="11789" max="11789" width="8.7109375" style="319" customWidth="1"/>
    <col min="11790" max="11790" width="7.28515625" style="319" customWidth="1"/>
    <col min="11791" max="11791" width="8.7109375" style="319" customWidth="1"/>
    <col min="11792" max="11793" width="7.140625" style="319" customWidth="1"/>
    <col min="11794" max="11794" width="7.5703125" style="319" customWidth="1"/>
    <col min="11795" max="11795" width="7.140625" style="319" customWidth="1"/>
    <col min="11796" max="11796" width="8.85546875" style="319" customWidth="1"/>
    <col min="11797" max="11797" width="9.42578125" style="319" customWidth="1"/>
    <col min="11798" max="11798" width="5.7109375" style="319" customWidth="1"/>
    <col min="11799" max="11799" width="7.140625" style="319" customWidth="1"/>
    <col min="11800" max="11800" width="5.7109375" style="319" customWidth="1"/>
    <col min="11801" max="11801" width="9.5703125" style="319" customWidth="1"/>
    <col min="11802" max="11802" width="9.7109375" style="319" customWidth="1"/>
    <col min="11803" max="12032" width="9.140625" style="319"/>
    <col min="12033" max="12033" width="13" style="319" customWidth="1"/>
    <col min="12034" max="12034" width="7.7109375" style="319" customWidth="1"/>
    <col min="12035" max="12035" width="7" style="319" customWidth="1"/>
    <col min="12036" max="12036" width="8.42578125" style="319" customWidth="1"/>
    <col min="12037" max="12039" width="6.85546875" style="319" customWidth="1"/>
    <col min="12040" max="12040" width="8.140625" style="319" customWidth="1"/>
    <col min="12041" max="12041" width="1" style="319" customWidth="1"/>
    <col min="12042" max="12042" width="7.140625" style="319" customWidth="1"/>
    <col min="12043" max="12044" width="7.28515625" style="319" customWidth="1"/>
    <col min="12045" max="12045" width="8.7109375" style="319" customWidth="1"/>
    <col min="12046" max="12046" width="7.28515625" style="319" customWidth="1"/>
    <col min="12047" max="12047" width="8.7109375" style="319" customWidth="1"/>
    <col min="12048" max="12049" width="7.140625" style="319" customWidth="1"/>
    <col min="12050" max="12050" width="7.5703125" style="319" customWidth="1"/>
    <col min="12051" max="12051" width="7.140625" style="319" customWidth="1"/>
    <col min="12052" max="12052" width="8.85546875" style="319" customWidth="1"/>
    <col min="12053" max="12053" width="9.42578125" style="319" customWidth="1"/>
    <col min="12054" max="12054" width="5.7109375" style="319" customWidth="1"/>
    <col min="12055" max="12055" width="7.140625" style="319" customWidth="1"/>
    <col min="12056" max="12056" width="5.7109375" style="319" customWidth="1"/>
    <col min="12057" max="12057" width="9.5703125" style="319" customWidth="1"/>
    <col min="12058" max="12058" width="9.7109375" style="319" customWidth="1"/>
    <col min="12059" max="12288" width="9.140625" style="319"/>
    <col min="12289" max="12289" width="13" style="319" customWidth="1"/>
    <col min="12290" max="12290" width="7.7109375" style="319" customWidth="1"/>
    <col min="12291" max="12291" width="7" style="319" customWidth="1"/>
    <col min="12292" max="12292" width="8.42578125" style="319" customWidth="1"/>
    <col min="12293" max="12295" width="6.85546875" style="319" customWidth="1"/>
    <col min="12296" max="12296" width="8.140625" style="319" customWidth="1"/>
    <col min="12297" max="12297" width="1" style="319" customWidth="1"/>
    <col min="12298" max="12298" width="7.140625" style="319" customWidth="1"/>
    <col min="12299" max="12300" width="7.28515625" style="319" customWidth="1"/>
    <col min="12301" max="12301" width="8.7109375" style="319" customWidth="1"/>
    <col min="12302" max="12302" width="7.28515625" style="319" customWidth="1"/>
    <col min="12303" max="12303" width="8.7109375" style="319" customWidth="1"/>
    <col min="12304" max="12305" width="7.140625" style="319" customWidth="1"/>
    <col min="12306" max="12306" width="7.5703125" style="319" customWidth="1"/>
    <col min="12307" max="12307" width="7.140625" style="319" customWidth="1"/>
    <col min="12308" max="12308" width="8.85546875" style="319" customWidth="1"/>
    <col min="12309" max="12309" width="9.42578125" style="319" customWidth="1"/>
    <col min="12310" max="12310" width="5.7109375" style="319" customWidth="1"/>
    <col min="12311" max="12311" width="7.140625" style="319" customWidth="1"/>
    <col min="12312" max="12312" width="5.7109375" style="319" customWidth="1"/>
    <col min="12313" max="12313" width="9.5703125" style="319" customWidth="1"/>
    <col min="12314" max="12314" width="9.7109375" style="319" customWidth="1"/>
    <col min="12315" max="12544" width="9.140625" style="319"/>
    <col min="12545" max="12545" width="13" style="319" customWidth="1"/>
    <col min="12546" max="12546" width="7.7109375" style="319" customWidth="1"/>
    <col min="12547" max="12547" width="7" style="319" customWidth="1"/>
    <col min="12548" max="12548" width="8.42578125" style="319" customWidth="1"/>
    <col min="12549" max="12551" width="6.85546875" style="319" customWidth="1"/>
    <col min="12552" max="12552" width="8.140625" style="319" customWidth="1"/>
    <col min="12553" max="12553" width="1" style="319" customWidth="1"/>
    <col min="12554" max="12554" width="7.140625" style="319" customWidth="1"/>
    <col min="12555" max="12556" width="7.28515625" style="319" customWidth="1"/>
    <col min="12557" max="12557" width="8.7109375" style="319" customWidth="1"/>
    <col min="12558" max="12558" width="7.28515625" style="319" customWidth="1"/>
    <col min="12559" max="12559" width="8.7109375" style="319" customWidth="1"/>
    <col min="12560" max="12561" width="7.140625" style="319" customWidth="1"/>
    <col min="12562" max="12562" width="7.5703125" style="319" customWidth="1"/>
    <col min="12563" max="12563" width="7.140625" style="319" customWidth="1"/>
    <col min="12564" max="12564" width="8.85546875" style="319" customWidth="1"/>
    <col min="12565" max="12565" width="9.42578125" style="319" customWidth="1"/>
    <col min="12566" max="12566" width="5.7109375" style="319" customWidth="1"/>
    <col min="12567" max="12567" width="7.140625" style="319" customWidth="1"/>
    <col min="12568" max="12568" width="5.7109375" style="319" customWidth="1"/>
    <col min="12569" max="12569" width="9.5703125" style="319" customWidth="1"/>
    <col min="12570" max="12570" width="9.7109375" style="319" customWidth="1"/>
    <col min="12571" max="12800" width="9.140625" style="319"/>
    <col min="12801" max="12801" width="13" style="319" customWidth="1"/>
    <col min="12802" max="12802" width="7.7109375" style="319" customWidth="1"/>
    <col min="12803" max="12803" width="7" style="319" customWidth="1"/>
    <col min="12804" max="12804" width="8.42578125" style="319" customWidth="1"/>
    <col min="12805" max="12807" width="6.85546875" style="319" customWidth="1"/>
    <col min="12808" max="12808" width="8.140625" style="319" customWidth="1"/>
    <col min="12809" max="12809" width="1" style="319" customWidth="1"/>
    <col min="12810" max="12810" width="7.140625" style="319" customWidth="1"/>
    <col min="12811" max="12812" width="7.28515625" style="319" customWidth="1"/>
    <col min="12813" max="12813" width="8.7109375" style="319" customWidth="1"/>
    <col min="12814" max="12814" width="7.28515625" style="319" customWidth="1"/>
    <col min="12815" max="12815" width="8.7109375" style="319" customWidth="1"/>
    <col min="12816" max="12817" width="7.140625" style="319" customWidth="1"/>
    <col min="12818" max="12818" width="7.5703125" style="319" customWidth="1"/>
    <col min="12819" max="12819" width="7.140625" style="319" customWidth="1"/>
    <col min="12820" max="12820" width="8.85546875" style="319" customWidth="1"/>
    <col min="12821" max="12821" width="9.42578125" style="319" customWidth="1"/>
    <col min="12822" max="12822" width="5.7109375" style="319" customWidth="1"/>
    <col min="12823" max="12823" width="7.140625" style="319" customWidth="1"/>
    <col min="12824" max="12824" width="5.7109375" style="319" customWidth="1"/>
    <col min="12825" max="12825" width="9.5703125" style="319" customWidth="1"/>
    <col min="12826" max="12826" width="9.7109375" style="319" customWidth="1"/>
    <col min="12827" max="13056" width="9.140625" style="319"/>
    <col min="13057" max="13057" width="13" style="319" customWidth="1"/>
    <col min="13058" max="13058" width="7.7109375" style="319" customWidth="1"/>
    <col min="13059" max="13059" width="7" style="319" customWidth="1"/>
    <col min="13060" max="13060" width="8.42578125" style="319" customWidth="1"/>
    <col min="13061" max="13063" width="6.85546875" style="319" customWidth="1"/>
    <col min="13064" max="13064" width="8.140625" style="319" customWidth="1"/>
    <col min="13065" max="13065" width="1" style="319" customWidth="1"/>
    <col min="13066" max="13066" width="7.140625" style="319" customWidth="1"/>
    <col min="13067" max="13068" width="7.28515625" style="319" customWidth="1"/>
    <col min="13069" max="13069" width="8.7109375" style="319" customWidth="1"/>
    <col min="13070" max="13070" width="7.28515625" style="319" customWidth="1"/>
    <col min="13071" max="13071" width="8.7109375" style="319" customWidth="1"/>
    <col min="13072" max="13073" width="7.140625" style="319" customWidth="1"/>
    <col min="13074" max="13074" width="7.5703125" style="319" customWidth="1"/>
    <col min="13075" max="13075" width="7.140625" style="319" customWidth="1"/>
    <col min="13076" max="13076" width="8.85546875" style="319" customWidth="1"/>
    <col min="13077" max="13077" width="9.42578125" style="319" customWidth="1"/>
    <col min="13078" max="13078" width="5.7109375" style="319" customWidth="1"/>
    <col min="13079" max="13079" width="7.140625" style="319" customWidth="1"/>
    <col min="13080" max="13080" width="5.7109375" style="319" customWidth="1"/>
    <col min="13081" max="13081" width="9.5703125" style="319" customWidth="1"/>
    <col min="13082" max="13082" width="9.7109375" style="319" customWidth="1"/>
    <col min="13083" max="13312" width="9.140625" style="319"/>
    <col min="13313" max="13313" width="13" style="319" customWidth="1"/>
    <col min="13314" max="13314" width="7.7109375" style="319" customWidth="1"/>
    <col min="13315" max="13315" width="7" style="319" customWidth="1"/>
    <col min="13316" max="13316" width="8.42578125" style="319" customWidth="1"/>
    <col min="13317" max="13319" width="6.85546875" style="319" customWidth="1"/>
    <col min="13320" max="13320" width="8.140625" style="319" customWidth="1"/>
    <col min="13321" max="13321" width="1" style="319" customWidth="1"/>
    <col min="13322" max="13322" width="7.140625" style="319" customWidth="1"/>
    <col min="13323" max="13324" width="7.28515625" style="319" customWidth="1"/>
    <col min="13325" max="13325" width="8.7109375" style="319" customWidth="1"/>
    <col min="13326" max="13326" width="7.28515625" style="319" customWidth="1"/>
    <col min="13327" max="13327" width="8.7109375" style="319" customWidth="1"/>
    <col min="13328" max="13329" width="7.140625" style="319" customWidth="1"/>
    <col min="13330" max="13330" width="7.5703125" style="319" customWidth="1"/>
    <col min="13331" max="13331" width="7.140625" style="319" customWidth="1"/>
    <col min="13332" max="13332" width="8.85546875" style="319" customWidth="1"/>
    <col min="13333" max="13333" width="9.42578125" style="319" customWidth="1"/>
    <col min="13334" max="13334" width="5.7109375" style="319" customWidth="1"/>
    <col min="13335" max="13335" width="7.140625" style="319" customWidth="1"/>
    <col min="13336" max="13336" width="5.7109375" style="319" customWidth="1"/>
    <col min="13337" max="13337" width="9.5703125" style="319" customWidth="1"/>
    <col min="13338" max="13338" width="9.7109375" style="319" customWidth="1"/>
    <col min="13339" max="13568" width="9.140625" style="319"/>
    <col min="13569" max="13569" width="13" style="319" customWidth="1"/>
    <col min="13570" max="13570" width="7.7109375" style="319" customWidth="1"/>
    <col min="13571" max="13571" width="7" style="319" customWidth="1"/>
    <col min="13572" max="13572" width="8.42578125" style="319" customWidth="1"/>
    <col min="13573" max="13575" width="6.85546875" style="319" customWidth="1"/>
    <col min="13576" max="13576" width="8.140625" style="319" customWidth="1"/>
    <col min="13577" max="13577" width="1" style="319" customWidth="1"/>
    <col min="13578" max="13578" width="7.140625" style="319" customWidth="1"/>
    <col min="13579" max="13580" width="7.28515625" style="319" customWidth="1"/>
    <col min="13581" max="13581" width="8.7109375" style="319" customWidth="1"/>
    <col min="13582" max="13582" width="7.28515625" style="319" customWidth="1"/>
    <col min="13583" max="13583" width="8.7109375" style="319" customWidth="1"/>
    <col min="13584" max="13585" width="7.140625" style="319" customWidth="1"/>
    <col min="13586" max="13586" width="7.5703125" style="319" customWidth="1"/>
    <col min="13587" max="13587" width="7.140625" style="319" customWidth="1"/>
    <col min="13588" max="13588" width="8.85546875" style="319" customWidth="1"/>
    <col min="13589" max="13589" width="9.42578125" style="319" customWidth="1"/>
    <col min="13590" max="13590" width="5.7109375" style="319" customWidth="1"/>
    <col min="13591" max="13591" width="7.140625" style="319" customWidth="1"/>
    <col min="13592" max="13592" width="5.7109375" style="319" customWidth="1"/>
    <col min="13593" max="13593" width="9.5703125" style="319" customWidth="1"/>
    <col min="13594" max="13594" width="9.7109375" style="319" customWidth="1"/>
    <col min="13595" max="13824" width="9.140625" style="319"/>
    <col min="13825" max="13825" width="13" style="319" customWidth="1"/>
    <col min="13826" max="13826" width="7.7109375" style="319" customWidth="1"/>
    <col min="13827" max="13827" width="7" style="319" customWidth="1"/>
    <col min="13828" max="13828" width="8.42578125" style="319" customWidth="1"/>
    <col min="13829" max="13831" width="6.85546875" style="319" customWidth="1"/>
    <col min="13832" max="13832" width="8.140625" style="319" customWidth="1"/>
    <col min="13833" max="13833" width="1" style="319" customWidth="1"/>
    <col min="13834" max="13834" width="7.140625" style="319" customWidth="1"/>
    <col min="13835" max="13836" width="7.28515625" style="319" customWidth="1"/>
    <col min="13837" max="13837" width="8.7109375" style="319" customWidth="1"/>
    <col min="13838" max="13838" width="7.28515625" style="319" customWidth="1"/>
    <col min="13839" max="13839" width="8.7109375" style="319" customWidth="1"/>
    <col min="13840" max="13841" width="7.140625" style="319" customWidth="1"/>
    <col min="13842" max="13842" width="7.5703125" style="319" customWidth="1"/>
    <col min="13843" max="13843" width="7.140625" style="319" customWidth="1"/>
    <col min="13844" max="13844" width="8.85546875" style="319" customWidth="1"/>
    <col min="13845" max="13845" width="9.42578125" style="319" customWidth="1"/>
    <col min="13846" max="13846" width="5.7109375" style="319" customWidth="1"/>
    <col min="13847" max="13847" width="7.140625" style="319" customWidth="1"/>
    <col min="13848" max="13848" width="5.7109375" style="319" customWidth="1"/>
    <col min="13849" max="13849" width="9.5703125" style="319" customWidth="1"/>
    <col min="13850" max="13850" width="9.7109375" style="319" customWidth="1"/>
    <col min="13851" max="14080" width="9.140625" style="319"/>
    <col min="14081" max="14081" width="13" style="319" customWidth="1"/>
    <col min="14082" max="14082" width="7.7109375" style="319" customWidth="1"/>
    <col min="14083" max="14083" width="7" style="319" customWidth="1"/>
    <col min="14084" max="14084" width="8.42578125" style="319" customWidth="1"/>
    <col min="14085" max="14087" width="6.85546875" style="319" customWidth="1"/>
    <col min="14088" max="14088" width="8.140625" style="319" customWidth="1"/>
    <col min="14089" max="14089" width="1" style="319" customWidth="1"/>
    <col min="14090" max="14090" width="7.140625" style="319" customWidth="1"/>
    <col min="14091" max="14092" width="7.28515625" style="319" customWidth="1"/>
    <col min="14093" max="14093" width="8.7109375" style="319" customWidth="1"/>
    <col min="14094" max="14094" width="7.28515625" style="319" customWidth="1"/>
    <col min="14095" max="14095" width="8.7109375" style="319" customWidth="1"/>
    <col min="14096" max="14097" width="7.140625" style="319" customWidth="1"/>
    <col min="14098" max="14098" width="7.5703125" style="319" customWidth="1"/>
    <col min="14099" max="14099" width="7.140625" style="319" customWidth="1"/>
    <col min="14100" max="14100" width="8.85546875" style="319" customWidth="1"/>
    <col min="14101" max="14101" width="9.42578125" style="319" customWidth="1"/>
    <col min="14102" max="14102" width="5.7109375" style="319" customWidth="1"/>
    <col min="14103" max="14103" width="7.140625" style="319" customWidth="1"/>
    <col min="14104" max="14104" width="5.7109375" style="319" customWidth="1"/>
    <col min="14105" max="14105" width="9.5703125" style="319" customWidth="1"/>
    <col min="14106" max="14106" width="9.7109375" style="319" customWidth="1"/>
    <col min="14107" max="14336" width="9.140625" style="319"/>
    <col min="14337" max="14337" width="13" style="319" customWidth="1"/>
    <col min="14338" max="14338" width="7.7109375" style="319" customWidth="1"/>
    <col min="14339" max="14339" width="7" style="319" customWidth="1"/>
    <col min="14340" max="14340" width="8.42578125" style="319" customWidth="1"/>
    <col min="14341" max="14343" width="6.85546875" style="319" customWidth="1"/>
    <col min="14344" max="14344" width="8.140625" style="319" customWidth="1"/>
    <col min="14345" max="14345" width="1" style="319" customWidth="1"/>
    <col min="14346" max="14346" width="7.140625" style="319" customWidth="1"/>
    <col min="14347" max="14348" width="7.28515625" style="319" customWidth="1"/>
    <col min="14349" max="14349" width="8.7109375" style="319" customWidth="1"/>
    <col min="14350" max="14350" width="7.28515625" style="319" customWidth="1"/>
    <col min="14351" max="14351" width="8.7109375" style="319" customWidth="1"/>
    <col min="14352" max="14353" width="7.140625" style="319" customWidth="1"/>
    <col min="14354" max="14354" width="7.5703125" style="319" customWidth="1"/>
    <col min="14355" max="14355" width="7.140625" style="319" customWidth="1"/>
    <col min="14356" max="14356" width="8.85546875" style="319" customWidth="1"/>
    <col min="14357" max="14357" width="9.42578125" style="319" customWidth="1"/>
    <col min="14358" max="14358" width="5.7109375" style="319" customWidth="1"/>
    <col min="14359" max="14359" width="7.140625" style="319" customWidth="1"/>
    <col min="14360" max="14360" width="5.7109375" style="319" customWidth="1"/>
    <col min="14361" max="14361" width="9.5703125" style="319" customWidth="1"/>
    <col min="14362" max="14362" width="9.7109375" style="319" customWidth="1"/>
    <col min="14363" max="14592" width="9.140625" style="319"/>
    <col min="14593" max="14593" width="13" style="319" customWidth="1"/>
    <col min="14594" max="14594" width="7.7109375" style="319" customWidth="1"/>
    <col min="14595" max="14595" width="7" style="319" customWidth="1"/>
    <col min="14596" max="14596" width="8.42578125" style="319" customWidth="1"/>
    <col min="14597" max="14599" width="6.85546875" style="319" customWidth="1"/>
    <col min="14600" max="14600" width="8.140625" style="319" customWidth="1"/>
    <col min="14601" max="14601" width="1" style="319" customWidth="1"/>
    <col min="14602" max="14602" width="7.140625" style="319" customWidth="1"/>
    <col min="14603" max="14604" width="7.28515625" style="319" customWidth="1"/>
    <col min="14605" max="14605" width="8.7109375" style="319" customWidth="1"/>
    <col min="14606" max="14606" width="7.28515625" style="319" customWidth="1"/>
    <col min="14607" max="14607" width="8.7109375" style="319" customWidth="1"/>
    <col min="14608" max="14609" width="7.140625" style="319" customWidth="1"/>
    <col min="14610" max="14610" width="7.5703125" style="319" customWidth="1"/>
    <col min="14611" max="14611" width="7.140625" style="319" customWidth="1"/>
    <col min="14612" max="14612" width="8.85546875" style="319" customWidth="1"/>
    <col min="14613" max="14613" width="9.42578125" style="319" customWidth="1"/>
    <col min="14614" max="14614" width="5.7109375" style="319" customWidth="1"/>
    <col min="14615" max="14615" width="7.140625" style="319" customWidth="1"/>
    <col min="14616" max="14616" width="5.7109375" style="319" customWidth="1"/>
    <col min="14617" max="14617" width="9.5703125" style="319" customWidth="1"/>
    <col min="14618" max="14618" width="9.7109375" style="319" customWidth="1"/>
    <col min="14619" max="14848" width="9.140625" style="319"/>
    <col min="14849" max="14849" width="13" style="319" customWidth="1"/>
    <col min="14850" max="14850" width="7.7109375" style="319" customWidth="1"/>
    <col min="14851" max="14851" width="7" style="319" customWidth="1"/>
    <col min="14852" max="14852" width="8.42578125" style="319" customWidth="1"/>
    <col min="14853" max="14855" width="6.85546875" style="319" customWidth="1"/>
    <col min="14856" max="14856" width="8.140625" style="319" customWidth="1"/>
    <col min="14857" max="14857" width="1" style="319" customWidth="1"/>
    <col min="14858" max="14858" width="7.140625" style="319" customWidth="1"/>
    <col min="14859" max="14860" width="7.28515625" style="319" customWidth="1"/>
    <col min="14861" max="14861" width="8.7109375" style="319" customWidth="1"/>
    <col min="14862" max="14862" width="7.28515625" style="319" customWidth="1"/>
    <col min="14863" max="14863" width="8.7109375" style="319" customWidth="1"/>
    <col min="14864" max="14865" width="7.140625" style="319" customWidth="1"/>
    <col min="14866" max="14866" width="7.5703125" style="319" customWidth="1"/>
    <col min="14867" max="14867" width="7.140625" style="319" customWidth="1"/>
    <col min="14868" max="14868" width="8.85546875" style="319" customWidth="1"/>
    <col min="14869" max="14869" width="9.42578125" style="319" customWidth="1"/>
    <col min="14870" max="14870" width="5.7109375" style="319" customWidth="1"/>
    <col min="14871" max="14871" width="7.140625" style="319" customWidth="1"/>
    <col min="14872" max="14872" width="5.7109375" style="319" customWidth="1"/>
    <col min="14873" max="14873" width="9.5703125" style="319" customWidth="1"/>
    <col min="14874" max="14874" width="9.7109375" style="319" customWidth="1"/>
    <col min="14875" max="15104" width="9.140625" style="319"/>
    <col min="15105" max="15105" width="13" style="319" customWidth="1"/>
    <col min="15106" max="15106" width="7.7109375" style="319" customWidth="1"/>
    <col min="15107" max="15107" width="7" style="319" customWidth="1"/>
    <col min="15108" max="15108" width="8.42578125" style="319" customWidth="1"/>
    <col min="15109" max="15111" width="6.85546875" style="319" customWidth="1"/>
    <col min="15112" max="15112" width="8.140625" style="319" customWidth="1"/>
    <col min="15113" max="15113" width="1" style="319" customWidth="1"/>
    <col min="15114" max="15114" width="7.140625" style="319" customWidth="1"/>
    <col min="15115" max="15116" width="7.28515625" style="319" customWidth="1"/>
    <col min="15117" max="15117" width="8.7109375" style="319" customWidth="1"/>
    <col min="15118" max="15118" width="7.28515625" style="319" customWidth="1"/>
    <col min="15119" max="15119" width="8.7109375" style="319" customWidth="1"/>
    <col min="15120" max="15121" width="7.140625" style="319" customWidth="1"/>
    <col min="15122" max="15122" width="7.5703125" style="319" customWidth="1"/>
    <col min="15123" max="15123" width="7.140625" style="319" customWidth="1"/>
    <col min="15124" max="15124" width="8.85546875" style="319" customWidth="1"/>
    <col min="15125" max="15125" width="9.42578125" style="319" customWidth="1"/>
    <col min="15126" max="15126" width="5.7109375" style="319" customWidth="1"/>
    <col min="15127" max="15127" width="7.140625" style="319" customWidth="1"/>
    <col min="15128" max="15128" width="5.7109375" style="319" customWidth="1"/>
    <col min="15129" max="15129" width="9.5703125" style="319" customWidth="1"/>
    <col min="15130" max="15130" width="9.7109375" style="319" customWidth="1"/>
    <col min="15131" max="15360" width="9.140625" style="319"/>
    <col min="15361" max="15361" width="13" style="319" customWidth="1"/>
    <col min="15362" max="15362" width="7.7109375" style="319" customWidth="1"/>
    <col min="15363" max="15363" width="7" style="319" customWidth="1"/>
    <col min="15364" max="15364" width="8.42578125" style="319" customWidth="1"/>
    <col min="15365" max="15367" width="6.85546875" style="319" customWidth="1"/>
    <col min="15368" max="15368" width="8.140625" style="319" customWidth="1"/>
    <col min="15369" max="15369" width="1" style="319" customWidth="1"/>
    <col min="15370" max="15370" width="7.140625" style="319" customWidth="1"/>
    <col min="15371" max="15372" width="7.28515625" style="319" customWidth="1"/>
    <col min="15373" max="15373" width="8.7109375" style="319" customWidth="1"/>
    <col min="15374" max="15374" width="7.28515625" style="319" customWidth="1"/>
    <col min="15375" max="15375" width="8.7109375" style="319" customWidth="1"/>
    <col min="15376" max="15377" width="7.140625" style="319" customWidth="1"/>
    <col min="15378" max="15378" width="7.5703125" style="319" customWidth="1"/>
    <col min="15379" max="15379" width="7.140625" style="319" customWidth="1"/>
    <col min="15380" max="15380" width="8.85546875" style="319" customWidth="1"/>
    <col min="15381" max="15381" width="9.42578125" style="319" customWidth="1"/>
    <col min="15382" max="15382" width="5.7109375" style="319" customWidth="1"/>
    <col min="15383" max="15383" width="7.140625" style="319" customWidth="1"/>
    <col min="15384" max="15384" width="5.7109375" style="319" customWidth="1"/>
    <col min="15385" max="15385" width="9.5703125" style="319" customWidth="1"/>
    <col min="15386" max="15386" width="9.7109375" style="319" customWidth="1"/>
    <col min="15387" max="15616" width="9.140625" style="319"/>
    <col min="15617" max="15617" width="13" style="319" customWidth="1"/>
    <col min="15618" max="15618" width="7.7109375" style="319" customWidth="1"/>
    <col min="15619" max="15619" width="7" style="319" customWidth="1"/>
    <col min="15620" max="15620" width="8.42578125" style="319" customWidth="1"/>
    <col min="15621" max="15623" width="6.85546875" style="319" customWidth="1"/>
    <col min="15624" max="15624" width="8.140625" style="319" customWidth="1"/>
    <col min="15625" max="15625" width="1" style="319" customWidth="1"/>
    <col min="15626" max="15626" width="7.140625" style="319" customWidth="1"/>
    <col min="15627" max="15628" width="7.28515625" style="319" customWidth="1"/>
    <col min="15629" max="15629" width="8.7109375" style="319" customWidth="1"/>
    <col min="15630" max="15630" width="7.28515625" style="319" customWidth="1"/>
    <col min="15631" max="15631" width="8.7109375" style="319" customWidth="1"/>
    <col min="15632" max="15633" width="7.140625" style="319" customWidth="1"/>
    <col min="15634" max="15634" width="7.5703125" style="319" customWidth="1"/>
    <col min="15635" max="15635" width="7.140625" style="319" customWidth="1"/>
    <col min="15636" max="15636" width="8.85546875" style="319" customWidth="1"/>
    <col min="15637" max="15637" width="9.42578125" style="319" customWidth="1"/>
    <col min="15638" max="15638" width="5.7109375" style="319" customWidth="1"/>
    <col min="15639" max="15639" width="7.140625" style="319" customWidth="1"/>
    <col min="15640" max="15640" width="5.7109375" style="319" customWidth="1"/>
    <col min="15641" max="15641" width="9.5703125" style="319" customWidth="1"/>
    <col min="15642" max="15642" width="9.7109375" style="319" customWidth="1"/>
    <col min="15643" max="15872" width="9.140625" style="319"/>
    <col min="15873" max="15873" width="13" style="319" customWidth="1"/>
    <col min="15874" max="15874" width="7.7109375" style="319" customWidth="1"/>
    <col min="15875" max="15875" width="7" style="319" customWidth="1"/>
    <col min="15876" max="15876" width="8.42578125" style="319" customWidth="1"/>
    <col min="15877" max="15879" width="6.85546875" style="319" customWidth="1"/>
    <col min="15880" max="15880" width="8.140625" style="319" customWidth="1"/>
    <col min="15881" max="15881" width="1" style="319" customWidth="1"/>
    <col min="15882" max="15882" width="7.140625" style="319" customWidth="1"/>
    <col min="15883" max="15884" width="7.28515625" style="319" customWidth="1"/>
    <col min="15885" max="15885" width="8.7109375" style="319" customWidth="1"/>
    <col min="15886" max="15886" width="7.28515625" style="319" customWidth="1"/>
    <col min="15887" max="15887" width="8.7109375" style="319" customWidth="1"/>
    <col min="15888" max="15889" width="7.140625" style="319" customWidth="1"/>
    <col min="15890" max="15890" width="7.5703125" style="319" customWidth="1"/>
    <col min="15891" max="15891" width="7.140625" style="319" customWidth="1"/>
    <col min="15892" max="15892" width="8.85546875" style="319" customWidth="1"/>
    <col min="15893" max="15893" width="9.42578125" style="319" customWidth="1"/>
    <col min="15894" max="15894" width="5.7109375" style="319" customWidth="1"/>
    <col min="15895" max="15895" width="7.140625" style="319" customWidth="1"/>
    <col min="15896" max="15896" width="5.7109375" style="319" customWidth="1"/>
    <col min="15897" max="15897" width="9.5703125" style="319" customWidth="1"/>
    <col min="15898" max="15898" width="9.7109375" style="319" customWidth="1"/>
    <col min="15899" max="16128" width="9.140625" style="319"/>
    <col min="16129" max="16129" width="13" style="319" customWidth="1"/>
    <col min="16130" max="16130" width="7.7109375" style="319" customWidth="1"/>
    <col min="16131" max="16131" width="7" style="319" customWidth="1"/>
    <col min="16132" max="16132" width="8.42578125" style="319" customWidth="1"/>
    <col min="16133" max="16135" width="6.85546875" style="319" customWidth="1"/>
    <col min="16136" max="16136" width="8.140625" style="319" customWidth="1"/>
    <col min="16137" max="16137" width="1" style="319" customWidth="1"/>
    <col min="16138" max="16138" width="7.140625" style="319" customWidth="1"/>
    <col min="16139" max="16140" width="7.28515625" style="319" customWidth="1"/>
    <col min="16141" max="16141" width="8.7109375" style="319" customWidth="1"/>
    <col min="16142" max="16142" width="7.28515625" style="319" customWidth="1"/>
    <col min="16143" max="16143" width="8.7109375" style="319" customWidth="1"/>
    <col min="16144" max="16145" width="7.140625" style="319" customWidth="1"/>
    <col min="16146" max="16146" width="7.5703125" style="319" customWidth="1"/>
    <col min="16147" max="16147" width="7.140625" style="319" customWidth="1"/>
    <col min="16148" max="16148" width="8.85546875" style="319" customWidth="1"/>
    <col min="16149" max="16149" width="9.42578125" style="319" customWidth="1"/>
    <col min="16150" max="16150" width="5.7109375" style="319" customWidth="1"/>
    <col min="16151" max="16151" width="7.140625" style="319" customWidth="1"/>
    <col min="16152" max="16152" width="5.7109375" style="319" customWidth="1"/>
    <col min="16153" max="16153" width="9.5703125" style="319" customWidth="1"/>
    <col min="16154" max="16154" width="9.7109375" style="319" customWidth="1"/>
    <col min="16155" max="16384" width="9.140625" style="319"/>
  </cols>
  <sheetData>
    <row r="1" spans="1:29" s="400" customFormat="1" ht="27">
      <c r="A1" s="310" t="s">
        <v>531</v>
      </c>
      <c r="N1" s="401"/>
      <c r="O1" s="401"/>
      <c r="P1" s="401"/>
      <c r="Q1" s="401"/>
      <c r="R1" s="401"/>
      <c r="S1" s="401"/>
      <c r="T1" s="401"/>
      <c r="U1" s="401"/>
      <c r="V1" s="401"/>
      <c r="W1" s="401"/>
      <c r="X1" s="401"/>
      <c r="Y1" s="401"/>
      <c r="Z1" s="401"/>
    </row>
    <row r="2" spans="1:29" ht="18.75" customHeight="1" thickBot="1">
      <c r="A2" s="402"/>
      <c r="B2" s="323"/>
      <c r="C2" s="323"/>
      <c r="D2" s="323"/>
      <c r="E2" s="323"/>
      <c r="F2" s="323"/>
      <c r="G2" s="323"/>
      <c r="H2" s="323"/>
      <c r="I2" s="323"/>
      <c r="J2" s="323"/>
      <c r="K2" s="323"/>
      <c r="L2" s="323"/>
      <c r="M2" s="323" t="s">
        <v>389</v>
      </c>
      <c r="N2" s="403"/>
      <c r="O2" s="403"/>
      <c r="P2" s="403"/>
      <c r="Q2" s="403"/>
      <c r="R2" s="403"/>
      <c r="S2" s="403"/>
      <c r="T2" s="403"/>
      <c r="U2" s="403"/>
      <c r="V2" s="403"/>
      <c r="W2" s="403"/>
      <c r="X2" s="403"/>
      <c r="Y2" s="403"/>
      <c r="Z2" s="403"/>
    </row>
    <row r="3" spans="1:29" ht="11.1" customHeight="1" thickTop="1">
      <c r="A3" s="404"/>
      <c r="B3" s="2656" t="s">
        <v>532</v>
      </c>
      <c r="C3" s="2656"/>
      <c r="D3" s="2656"/>
      <c r="E3" s="2656"/>
      <c r="F3" s="2656"/>
      <c r="G3" s="2656"/>
      <c r="H3" s="2656"/>
      <c r="I3" s="405"/>
      <c r="J3" s="2656" t="s">
        <v>533</v>
      </c>
      <c r="K3" s="2656"/>
      <c r="L3" s="2656"/>
      <c r="M3" s="2656"/>
      <c r="N3" s="2657"/>
      <c r="O3" s="2657"/>
      <c r="P3" s="2657"/>
      <c r="Q3" s="2657"/>
      <c r="R3" s="2657"/>
      <c r="S3" s="2657"/>
      <c r="T3" s="2657"/>
      <c r="U3" s="2657"/>
      <c r="V3" s="2657"/>
      <c r="W3" s="2657"/>
      <c r="X3" s="2657"/>
      <c r="Y3" s="2657"/>
      <c r="Z3" s="2657"/>
      <c r="AA3" s="340"/>
      <c r="AB3" s="340"/>
      <c r="AC3" s="340"/>
    </row>
    <row r="4" spans="1:29" s="346" customFormat="1" ht="11.25" customHeight="1">
      <c r="A4" s="406"/>
      <c r="B4" s="407" t="s">
        <v>141</v>
      </c>
      <c r="C4" s="407" t="s">
        <v>202</v>
      </c>
      <c r="D4" s="407" t="s">
        <v>14</v>
      </c>
      <c r="E4" s="407" t="s">
        <v>0</v>
      </c>
      <c r="F4" s="407" t="s">
        <v>534</v>
      </c>
      <c r="G4" s="407" t="s">
        <v>390</v>
      </c>
      <c r="H4" s="407" t="s">
        <v>148</v>
      </c>
      <c r="I4" s="407"/>
      <c r="J4" s="407" t="s">
        <v>535</v>
      </c>
      <c r="K4" s="407" t="s">
        <v>535</v>
      </c>
      <c r="L4" s="408" t="s">
        <v>123</v>
      </c>
      <c r="M4" s="409" t="s">
        <v>148</v>
      </c>
      <c r="N4" s="410"/>
      <c r="O4" s="2658"/>
      <c r="P4" s="2658"/>
      <c r="Q4" s="2658"/>
      <c r="R4" s="2658"/>
      <c r="S4" s="2658"/>
      <c r="T4" s="2658"/>
      <c r="U4" s="2658"/>
      <c r="V4" s="410"/>
      <c r="W4" s="2658"/>
      <c r="X4" s="2658"/>
      <c r="Y4" s="2658"/>
      <c r="Z4" s="411"/>
      <c r="AA4" s="406"/>
      <c r="AB4" s="406"/>
      <c r="AC4" s="406"/>
    </row>
    <row r="5" spans="1:29" s="346" customFormat="1" ht="11.25" customHeight="1">
      <c r="A5" s="406"/>
      <c r="B5" s="412"/>
      <c r="C5" s="413"/>
      <c r="D5" s="413"/>
      <c r="E5" s="413"/>
      <c r="F5" s="407" t="s">
        <v>536</v>
      </c>
      <c r="G5" s="414" t="s">
        <v>537</v>
      </c>
      <c r="H5" s="413"/>
      <c r="I5" s="413"/>
      <c r="J5" s="407" t="s">
        <v>538</v>
      </c>
      <c r="K5" s="407" t="s">
        <v>539</v>
      </c>
      <c r="L5" s="415" t="s">
        <v>540</v>
      </c>
      <c r="M5" s="408" t="s">
        <v>541</v>
      </c>
      <c r="N5" s="410"/>
      <c r="O5" s="416"/>
      <c r="P5" s="416"/>
      <c r="Q5" s="416"/>
      <c r="R5" s="416"/>
      <c r="S5" s="416"/>
      <c r="T5" s="416"/>
      <c r="U5" s="416"/>
      <c r="V5" s="416"/>
      <c r="W5" s="416"/>
      <c r="X5" s="416"/>
      <c r="Y5" s="416"/>
      <c r="Z5" s="416"/>
      <c r="AA5" s="406"/>
      <c r="AB5" s="406"/>
      <c r="AC5" s="406"/>
    </row>
    <row r="6" spans="1:29" s="346" customFormat="1" ht="9.75" customHeight="1">
      <c r="A6" s="417"/>
      <c r="B6" s="418"/>
      <c r="C6" s="418"/>
      <c r="D6" s="419"/>
      <c r="E6" s="419"/>
      <c r="F6" s="420" t="s">
        <v>542</v>
      </c>
      <c r="G6" s="419"/>
      <c r="H6" s="419"/>
      <c r="I6" s="419"/>
      <c r="J6" s="421" t="s">
        <v>543</v>
      </c>
      <c r="K6" s="421" t="s">
        <v>544</v>
      </c>
      <c r="L6" s="422"/>
      <c r="M6" s="423" t="s">
        <v>545</v>
      </c>
      <c r="N6" s="410"/>
      <c r="O6" s="416"/>
      <c r="P6" s="416"/>
      <c r="Q6" s="416"/>
      <c r="R6" s="416"/>
      <c r="S6" s="416"/>
      <c r="T6" s="424"/>
      <c r="U6" s="416"/>
      <c r="V6" s="416"/>
      <c r="W6" s="416"/>
      <c r="X6" s="416"/>
      <c r="Y6" s="424"/>
      <c r="Z6" s="416"/>
      <c r="AA6" s="406"/>
      <c r="AB6" s="406"/>
      <c r="AC6" s="406"/>
    </row>
    <row r="7" spans="1:29" ht="14.25" hidden="1" customHeight="1">
      <c r="A7" s="425">
        <v>1996</v>
      </c>
      <c r="B7" s="312"/>
      <c r="C7" s="312"/>
      <c r="D7" s="312"/>
      <c r="E7" s="312"/>
      <c r="F7" s="312"/>
      <c r="G7" s="312"/>
      <c r="H7" s="312"/>
      <c r="I7" s="312"/>
      <c r="J7" s="312"/>
      <c r="K7" s="312"/>
      <c r="L7" s="312"/>
      <c r="M7" s="312"/>
      <c r="N7" s="332"/>
      <c r="O7" s="426"/>
      <c r="P7" s="426"/>
      <c r="Q7" s="426"/>
      <c r="R7" s="426"/>
      <c r="S7" s="427"/>
      <c r="T7" s="426"/>
      <c r="U7" s="426"/>
      <c r="V7" s="426"/>
      <c r="W7" s="426"/>
      <c r="X7" s="426"/>
      <c r="Y7" s="426"/>
      <c r="Z7" s="426"/>
    </row>
    <row r="8" spans="1:29" ht="10.5" hidden="1" customHeight="1">
      <c r="A8" s="329" t="s">
        <v>546</v>
      </c>
      <c r="B8" s="312"/>
      <c r="C8" s="312"/>
      <c r="D8" s="312"/>
      <c r="E8" s="312"/>
      <c r="F8" s="312"/>
      <c r="G8" s="312"/>
      <c r="H8" s="312"/>
      <c r="I8" s="312"/>
      <c r="J8" s="312"/>
      <c r="K8" s="312"/>
      <c r="L8" s="312"/>
      <c r="M8" s="312"/>
      <c r="N8" s="428"/>
      <c r="O8" s="322"/>
      <c r="P8" s="322"/>
      <c r="Q8" s="322"/>
      <c r="R8" s="322"/>
      <c r="S8" s="322"/>
      <c r="T8" s="322"/>
      <c r="U8" s="322"/>
      <c r="V8" s="322"/>
      <c r="W8" s="322"/>
      <c r="X8" s="322"/>
      <c r="Y8" s="322"/>
      <c r="Z8" s="322"/>
    </row>
    <row r="9" spans="1:29" ht="10.5" hidden="1" customHeight="1">
      <c r="A9" s="334" t="s">
        <v>547</v>
      </c>
      <c r="B9" s="336">
        <v>376812</v>
      </c>
      <c r="C9" s="336">
        <v>35099</v>
      </c>
      <c r="D9" s="336">
        <v>176702</v>
      </c>
      <c r="E9" s="336">
        <v>257953</v>
      </c>
      <c r="F9" s="336">
        <v>1524</v>
      </c>
      <c r="G9" s="336">
        <v>0</v>
      </c>
      <c r="H9" s="336">
        <v>848090</v>
      </c>
      <c r="I9" s="336"/>
      <c r="J9" s="336">
        <v>2801</v>
      </c>
      <c r="K9" s="336">
        <v>1556</v>
      </c>
      <c r="L9" s="336">
        <v>0</v>
      </c>
      <c r="M9" s="336">
        <v>852447</v>
      </c>
      <c r="N9" s="371"/>
      <c r="O9" s="322"/>
      <c r="P9" s="322"/>
      <c r="Q9" s="322"/>
      <c r="R9" s="322"/>
      <c r="S9" s="322"/>
      <c r="T9" s="322"/>
      <c r="U9" s="322"/>
      <c r="V9" s="322"/>
      <c r="W9" s="322"/>
      <c r="X9" s="322"/>
      <c r="Y9" s="322"/>
      <c r="Z9" s="322"/>
    </row>
    <row r="10" spans="1:29" ht="10.5" hidden="1" customHeight="1">
      <c r="A10" s="334" t="s">
        <v>548</v>
      </c>
      <c r="B10" s="336">
        <v>140238</v>
      </c>
      <c r="C10" s="336">
        <v>11132</v>
      </c>
      <c r="D10" s="336">
        <v>75301</v>
      </c>
      <c r="E10" s="336">
        <v>94671</v>
      </c>
      <c r="F10" s="336">
        <v>536</v>
      </c>
      <c r="G10" s="336">
        <v>0</v>
      </c>
      <c r="H10" s="336">
        <v>321878</v>
      </c>
      <c r="I10" s="336"/>
      <c r="J10" s="336">
        <v>2801</v>
      </c>
      <c r="K10" s="336">
        <v>1556</v>
      </c>
      <c r="L10" s="336">
        <v>0</v>
      </c>
      <c r="M10" s="336">
        <v>326235</v>
      </c>
      <c r="N10" s="332"/>
      <c r="O10" s="429"/>
      <c r="P10" s="429"/>
      <c r="Q10" s="429"/>
      <c r="R10" s="429"/>
      <c r="S10" s="429"/>
      <c r="T10" s="429"/>
      <c r="U10" s="429"/>
      <c r="V10" s="429"/>
      <c r="W10" s="429"/>
      <c r="X10" s="430"/>
      <c r="Y10" s="429"/>
      <c r="Z10" s="429"/>
    </row>
    <row r="11" spans="1:29" ht="10.5" hidden="1" customHeight="1">
      <c r="A11" s="334" t="s">
        <v>549</v>
      </c>
      <c r="B11" s="336">
        <v>4244</v>
      </c>
      <c r="C11" s="336">
        <v>800</v>
      </c>
      <c r="D11" s="336">
        <v>937</v>
      </c>
      <c r="E11" s="336">
        <v>8851</v>
      </c>
      <c r="F11" s="336">
        <v>48</v>
      </c>
      <c r="G11" s="336">
        <v>0</v>
      </c>
      <c r="H11" s="336">
        <v>14880</v>
      </c>
      <c r="I11" s="336"/>
      <c r="J11" s="336">
        <v>38</v>
      </c>
      <c r="K11" s="336">
        <v>49</v>
      </c>
      <c r="L11" s="336">
        <v>0</v>
      </c>
      <c r="M11" s="336">
        <v>14967</v>
      </c>
      <c r="N11" s="332"/>
      <c r="O11" s="429"/>
      <c r="P11" s="429"/>
      <c r="Q11" s="429"/>
      <c r="R11" s="429"/>
      <c r="S11" s="429"/>
      <c r="T11" s="429"/>
      <c r="U11" s="429"/>
      <c r="V11" s="429"/>
      <c r="W11" s="429"/>
      <c r="X11" s="430"/>
      <c r="Y11" s="429"/>
      <c r="Z11" s="429"/>
    </row>
    <row r="12" spans="1:29" ht="10.5" hidden="1" customHeight="1">
      <c r="A12" s="334" t="s">
        <v>550</v>
      </c>
      <c r="B12" s="336">
        <v>135994</v>
      </c>
      <c r="C12" s="336">
        <v>10332</v>
      </c>
      <c r="D12" s="336">
        <v>74364</v>
      </c>
      <c r="E12" s="336">
        <v>85820</v>
      </c>
      <c r="F12" s="336">
        <v>488</v>
      </c>
      <c r="G12" s="336">
        <v>0</v>
      </c>
      <c r="H12" s="336">
        <v>306998</v>
      </c>
      <c r="I12" s="336"/>
      <c r="J12" s="336">
        <v>2763</v>
      </c>
      <c r="K12" s="336">
        <v>1507</v>
      </c>
      <c r="L12" s="336">
        <v>0</v>
      </c>
      <c r="M12" s="336">
        <v>311268</v>
      </c>
      <c r="N12" s="332"/>
      <c r="O12" s="429"/>
      <c r="P12" s="429"/>
      <c r="Q12" s="429"/>
      <c r="R12" s="429"/>
      <c r="S12" s="429"/>
      <c r="T12" s="429"/>
      <c r="U12" s="429"/>
      <c r="V12" s="429"/>
      <c r="W12" s="429"/>
      <c r="X12" s="429"/>
      <c r="Y12" s="429"/>
      <c r="Z12" s="429"/>
    </row>
    <row r="13" spans="1:29" ht="10.5" hidden="1" customHeight="1">
      <c r="A13" s="334" t="s">
        <v>551</v>
      </c>
      <c r="B13" s="336"/>
      <c r="C13" s="336"/>
      <c r="D13" s="336"/>
      <c r="E13" s="336"/>
      <c r="F13" s="336"/>
      <c r="G13" s="336"/>
      <c r="H13" s="336"/>
      <c r="I13" s="336"/>
      <c r="J13" s="336"/>
      <c r="K13" s="336"/>
      <c r="L13" s="336"/>
      <c r="M13" s="336">
        <v>2430</v>
      </c>
      <c r="N13" s="332"/>
      <c r="O13" s="429"/>
      <c r="P13" s="429"/>
      <c r="Q13" s="430"/>
      <c r="R13" s="430"/>
      <c r="S13" s="429"/>
      <c r="T13" s="429"/>
      <c r="U13" s="429"/>
      <c r="V13" s="429"/>
      <c r="W13" s="429"/>
      <c r="X13" s="430"/>
      <c r="Y13" s="429"/>
      <c r="Z13" s="429"/>
    </row>
    <row r="14" spans="1:29" hidden="1">
      <c r="A14" s="431" t="s">
        <v>552</v>
      </c>
      <c r="B14" s="341"/>
      <c r="C14" s="341"/>
      <c r="D14" s="341"/>
      <c r="E14" s="341"/>
      <c r="F14" s="341"/>
      <c r="G14" s="341"/>
      <c r="H14" s="341"/>
      <c r="I14" s="341"/>
      <c r="J14" s="341"/>
      <c r="K14" s="341"/>
      <c r="L14" s="341"/>
      <c r="M14" s="341">
        <v>308838</v>
      </c>
      <c r="N14" s="332"/>
      <c r="O14" s="429"/>
      <c r="P14" s="429"/>
      <c r="Q14" s="429"/>
      <c r="R14" s="429"/>
      <c r="S14" s="429"/>
      <c r="T14" s="429"/>
      <c r="U14" s="429"/>
      <c r="V14" s="429"/>
      <c r="W14" s="429"/>
      <c r="X14" s="429"/>
      <c r="Y14" s="429"/>
      <c r="Z14" s="430"/>
    </row>
    <row r="15" spans="1:29" ht="10.5" hidden="1" customHeight="1">
      <c r="A15" s="329" t="s">
        <v>553</v>
      </c>
      <c r="B15" s="432"/>
      <c r="C15" s="432"/>
      <c r="D15" s="432"/>
      <c r="E15" s="432"/>
      <c r="F15" s="432"/>
      <c r="G15" s="432"/>
      <c r="H15" s="432"/>
      <c r="I15" s="432"/>
      <c r="J15" s="432"/>
      <c r="K15" s="432"/>
      <c r="L15" s="432"/>
      <c r="M15" s="432"/>
      <c r="N15" s="332"/>
      <c r="O15" s="429"/>
      <c r="P15" s="429"/>
      <c r="Q15" s="429"/>
      <c r="R15" s="429"/>
      <c r="S15" s="429"/>
      <c r="T15" s="429"/>
      <c r="U15" s="429"/>
      <c r="V15" s="429"/>
      <c r="W15" s="429"/>
      <c r="X15" s="429"/>
      <c r="Y15" s="429"/>
      <c r="Z15" s="429"/>
    </row>
    <row r="16" spans="1:29" ht="10.5" hidden="1" customHeight="1">
      <c r="A16" s="334" t="s">
        <v>547</v>
      </c>
      <c r="B16" s="336">
        <v>14126</v>
      </c>
      <c r="C16" s="336">
        <v>10856</v>
      </c>
      <c r="D16" s="336">
        <v>25227</v>
      </c>
      <c r="E16" s="336">
        <v>0</v>
      </c>
      <c r="F16" s="336">
        <v>7140</v>
      </c>
      <c r="G16" s="336">
        <v>16066</v>
      </c>
      <c r="H16" s="336">
        <v>73415</v>
      </c>
      <c r="I16" s="336"/>
      <c r="J16" s="336">
        <v>592</v>
      </c>
      <c r="K16" s="336">
        <v>0</v>
      </c>
      <c r="L16" s="336">
        <v>486</v>
      </c>
      <c r="M16" s="336">
        <v>74492</v>
      </c>
      <c r="N16" s="371"/>
      <c r="O16" s="429"/>
      <c r="P16" s="429"/>
      <c r="Q16" s="429"/>
      <c r="R16" s="429"/>
      <c r="S16" s="429"/>
      <c r="T16" s="429"/>
      <c r="U16" s="429"/>
      <c r="V16" s="429"/>
      <c r="W16" s="429"/>
      <c r="X16" s="429"/>
      <c r="Y16" s="429"/>
      <c r="Z16" s="429"/>
    </row>
    <row r="17" spans="1:26" ht="10.5" hidden="1" customHeight="1">
      <c r="A17" s="334" t="s">
        <v>554</v>
      </c>
      <c r="B17" s="336">
        <v>4978</v>
      </c>
      <c r="C17" s="336">
        <v>3823</v>
      </c>
      <c r="D17" s="336">
        <v>8785</v>
      </c>
      <c r="E17" s="336">
        <v>0</v>
      </c>
      <c r="F17" s="336">
        <v>1685</v>
      </c>
      <c r="G17" s="336">
        <v>4283</v>
      </c>
      <c r="H17" s="336">
        <v>23554</v>
      </c>
      <c r="I17" s="336"/>
      <c r="J17" s="336">
        <v>592</v>
      </c>
      <c r="K17" s="336">
        <v>0</v>
      </c>
      <c r="L17" s="336">
        <v>486</v>
      </c>
      <c r="M17" s="336">
        <v>24632</v>
      </c>
      <c r="N17" s="332"/>
      <c r="O17" s="429"/>
      <c r="P17" s="429"/>
      <c r="Q17" s="429"/>
      <c r="R17" s="429"/>
      <c r="S17" s="429"/>
      <c r="T17" s="429"/>
      <c r="U17" s="429"/>
      <c r="V17" s="429"/>
      <c r="W17" s="429"/>
      <c r="X17" s="429"/>
      <c r="Y17" s="429"/>
      <c r="Z17" s="429"/>
    </row>
    <row r="18" spans="1:26" ht="10.5" hidden="1" customHeight="1">
      <c r="A18" s="334" t="s">
        <v>549</v>
      </c>
      <c r="B18" s="336">
        <v>252</v>
      </c>
      <c r="C18" s="336">
        <v>274</v>
      </c>
      <c r="D18" s="336">
        <v>294</v>
      </c>
      <c r="E18" s="336">
        <v>0</v>
      </c>
      <c r="F18" s="336">
        <v>86</v>
      </c>
      <c r="G18" s="336">
        <v>197</v>
      </c>
      <c r="H18" s="336">
        <v>1103</v>
      </c>
      <c r="I18" s="336"/>
      <c r="J18" s="336">
        <v>8</v>
      </c>
      <c r="K18" s="336">
        <v>0</v>
      </c>
      <c r="L18" s="336">
        <v>0</v>
      </c>
      <c r="M18" s="336">
        <v>1111</v>
      </c>
      <c r="N18" s="332"/>
      <c r="O18" s="429"/>
      <c r="P18" s="429"/>
      <c r="Q18" s="429"/>
      <c r="R18" s="429"/>
      <c r="S18" s="430"/>
      <c r="T18" s="429"/>
      <c r="U18" s="429"/>
      <c r="V18" s="429"/>
      <c r="W18" s="429"/>
      <c r="X18" s="429"/>
      <c r="Y18" s="429"/>
      <c r="Z18" s="429"/>
    </row>
    <row r="19" spans="1:26" ht="10.5" hidden="1" customHeight="1">
      <c r="A19" s="431" t="s">
        <v>555</v>
      </c>
      <c r="B19" s="341">
        <v>4726</v>
      </c>
      <c r="C19" s="341">
        <v>3549</v>
      </c>
      <c r="D19" s="341">
        <v>8491</v>
      </c>
      <c r="E19" s="341">
        <v>0</v>
      </c>
      <c r="F19" s="341">
        <v>1599</v>
      </c>
      <c r="G19" s="341">
        <v>4086</v>
      </c>
      <c r="H19" s="341">
        <v>22451</v>
      </c>
      <c r="I19" s="341"/>
      <c r="J19" s="341">
        <v>584</v>
      </c>
      <c r="K19" s="341">
        <v>0</v>
      </c>
      <c r="L19" s="341">
        <v>486</v>
      </c>
      <c r="M19" s="341">
        <v>23521</v>
      </c>
      <c r="N19" s="332"/>
      <c r="O19" s="429"/>
      <c r="P19" s="429"/>
      <c r="Q19" s="429"/>
      <c r="R19" s="429"/>
      <c r="S19" s="429"/>
      <c r="T19" s="429"/>
      <c r="U19" s="429"/>
      <c r="V19" s="429"/>
      <c r="W19" s="429"/>
      <c r="X19" s="429"/>
      <c r="Y19" s="429"/>
      <c r="Z19" s="429"/>
    </row>
    <row r="20" spans="1:26" ht="10.5" hidden="1" customHeight="1">
      <c r="A20" s="329" t="s">
        <v>556</v>
      </c>
      <c r="B20" s="336"/>
      <c r="C20" s="337"/>
      <c r="D20" s="337"/>
      <c r="E20" s="336"/>
      <c r="F20" s="336"/>
      <c r="G20" s="336"/>
      <c r="H20" s="336"/>
      <c r="I20" s="336"/>
      <c r="J20" s="336"/>
      <c r="K20" s="336"/>
      <c r="L20" s="336"/>
      <c r="M20" s="336"/>
      <c r="N20" s="332"/>
      <c r="O20" s="429"/>
      <c r="P20" s="429"/>
      <c r="Q20" s="429"/>
      <c r="R20" s="429"/>
      <c r="S20" s="429"/>
      <c r="T20" s="429"/>
      <c r="U20" s="429"/>
      <c r="V20" s="429"/>
      <c r="W20" s="429"/>
      <c r="X20" s="429"/>
      <c r="Y20" s="429"/>
      <c r="Z20" s="430"/>
    </row>
    <row r="21" spans="1:26" ht="10.5" hidden="1" customHeight="1">
      <c r="A21" s="334" t="s">
        <v>557</v>
      </c>
      <c r="B21" s="336">
        <v>390938</v>
      </c>
      <c r="C21" s="336">
        <v>45955</v>
      </c>
      <c r="D21" s="336">
        <v>201929</v>
      </c>
      <c r="E21" s="336">
        <v>257953</v>
      </c>
      <c r="F21" s="336">
        <v>8664</v>
      </c>
      <c r="G21" s="336">
        <v>16066</v>
      </c>
      <c r="H21" s="336">
        <v>921505</v>
      </c>
      <c r="I21" s="336"/>
      <c r="J21" s="336">
        <v>3393</v>
      </c>
      <c r="K21" s="336">
        <v>1556</v>
      </c>
      <c r="L21" s="336">
        <v>486</v>
      </c>
      <c r="M21" s="336">
        <v>926939</v>
      </c>
      <c r="N21" s="371"/>
      <c r="O21" s="429"/>
      <c r="P21" s="429"/>
      <c r="Q21" s="429"/>
      <c r="R21" s="429"/>
      <c r="S21" s="429"/>
      <c r="T21" s="429"/>
      <c r="U21" s="429"/>
      <c r="V21" s="429"/>
      <c r="W21" s="429"/>
      <c r="X21" s="429"/>
      <c r="Y21" s="429"/>
      <c r="Z21" s="429"/>
    </row>
    <row r="22" spans="1:26" ht="10.5" hidden="1" customHeight="1">
      <c r="A22" s="334" t="s">
        <v>554</v>
      </c>
      <c r="B22" s="336">
        <v>145216</v>
      </c>
      <c r="C22" s="336">
        <v>14955</v>
      </c>
      <c r="D22" s="336">
        <v>84086</v>
      </c>
      <c r="E22" s="336">
        <v>94671</v>
      </c>
      <c r="F22" s="336">
        <v>2221</v>
      </c>
      <c r="G22" s="336">
        <v>4283</v>
      </c>
      <c r="H22" s="336">
        <v>345432</v>
      </c>
      <c r="I22" s="336"/>
      <c r="J22" s="336">
        <v>3393</v>
      </c>
      <c r="K22" s="336">
        <v>1556</v>
      </c>
      <c r="L22" s="336">
        <v>486</v>
      </c>
      <c r="M22" s="336">
        <v>350867</v>
      </c>
      <c r="N22" s="332"/>
      <c r="O22" s="429"/>
      <c r="P22" s="429"/>
      <c r="Q22" s="429"/>
      <c r="R22" s="429"/>
      <c r="S22" s="429"/>
      <c r="T22" s="429"/>
      <c r="U22" s="429"/>
      <c r="V22" s="429"/>
      <c r="W22" s="429"/>
      <c r="X22" s="430"/>
      <c r="Y22" s="429"/>
      <c r="Z22" s="429"/>
    </row>
    <row r="23" spans="1:26" ht="10.5" hidden="1" customHeight="1">
      <c r="A23" s="334" t="s">
        <v>549</v>
      </c>
      <c r="B23" s="336">
        <v>4496</v>
      </c>
      <c r="C23" s="336">
        <v>1074</v>
      </c>
      <c r="D23" s="336">
        <v>1231</v>
      </c>
      <c r="E23" s="336">
        <v>8851</v>
      </c>
      <c r="F23" s="336">
        <v>134</v>
      </c>
      <c r="G23" s="336">
        <v>197</v>
      </c>
      <c r="H23" s="336">
        <v>15983</v>
      </c>
      <c r="I23" s="336"/>
      <c r="J23" s="336">
        <v>46</v>
      </c>
      <c r="K23" s="336">
        <v>49</v>
      </c>
      <c r="L23" s="336">
        <v>0</v>
      </c>
      <c r="M23" s="336">
        <v>16078</v>
      </c>
      <c r="N23" s="332"/>
      <c r="O23" s="429"/>
      <c r="P23" s="429"/>
      <c r="Q23" s="429"/>
      <c r="R23" s="429"/>
      <c r="S23" s="429"/>
      <c r="T23" s="429"/>
      <c r="U23" s="429"/>
      <c r="V23" s="429"/>
      <c r="W23" s="429"/>
      <c r="X23" s="430"/>
      <c r="Y23" s="429"/>
      <c r="Z23" s="429"/>
    </row>
    <row r="24" spans="1:26" ht="10.5" hidden="1" customHeight="1">
      <c r="A24" s="334" t="s">
        <v>550</v>
      </c>
      <c r="B24" s="339">
        <v>140720</v>
      </c>
      <c r="C24" s="339">
        <v>13881</v>
      </c>
      <c r="D24" s="339">
        <v>82855</v>
      </c>
      <c r="E24" s="339">
        <v>85820</v>
      </c>
      <c r="F24" s="339">
        <v>2087</v>
      </c>
      <c r="G24" s="339">
        <v>4086</v>
      </c>
      <c r="H24" s="339">
        <v>329449</v>
      </c>
      <c r="I24" s="339"/>
      <c r="J24" s="339">
        <v>3347</v>
      </c>
      <c r="K24" s="339">
        <v>1507</v>
      </c>
      <c r="L24" s="339">
        <v>486</v>
      </c>
      <c r="M24" s="339">
        <v>334789</v>
      </c>
      <c r="N24" s="332"/>
      <c r="O24" s="429"/>
      <c r="P24" s="429"/>
      <c r="Q24" s="429"/>
      <c r="R24" s="429"/>
      <c r="S24" s="429"/>
      <c r="T24" s="429"/>
      <c r="U24" s="430"/>
      <c r="V24" s="429"/>
      <c r="W24" s="429"/>
      <c r="X24" s="429"/>
      <c r="Y24" s="429"/>
      <c r="Z24" s="429"/>
    </row>
    <row r="25" spans="1:26" ht="10.5" hidden="1" customHeight="1">
      <c r="A25" s="334" t="s">
        <v>551</v>
      </c>
      <c r="B25" s="336"/>
      <c r="C25" s="336"/>
      <c r="D25" s="336"/>
      <c r="E25" s="336"/>
      <c r="F25" s="336"/>
      <c r="G25" s="336"/>
      <c r="H25" s="336"/>
      <c r="I25" s="336"/>
      <c r="J25" s="336"/>
      <c r="K25" s="336"/>
      <c r="L25" s="336"/>
      <c r="M25" s="336">
        <v>2430</v>
      </c>
      <c r="N25" s="332"/>
      <c r="O25" s="429"/>
      <c r="P25" s="429"/>
      <c r="Q25" s="429"/>
      <c r="R25" s="430"/>
      <c r="S25" s="429"/>
      <c r="T25" s="429"/>
      <c r="U25" s="429"/>
      <c r="V25" s="429"/>
      <c r="W25" s="429"/>
      <c r="X25" s="430"/>
      <c r="Y25" s="429"/>
      <c r="Z25" s="429"/>
    </row>
    <row r="26" spans="1:26" ht="10.5" hidden="1" customHeight="1" thickBot="1">
      <c r="A26" s="433" t="s">
        <v>552</v>
      </c>
      <c r="B26" s="434"/>
      <c r="C26" s="434"/>
      <c r="D26" s="434"/>
      <c r="E26" s="434"/>
      <c r="F26" s="434"/>
      <c r="G26" s="434"/>
      <c r="H26" s="434"/>
      <c r="I26" s="434"/>
      <c r="J26" s="434"/>
      <c r="K26" s="434"/>
      <c r="L26" s="434"/>
      <c r="M26" s="434">
        <v>332359</v>
      </c>
      <c r="N26" s="332"/>
      <c r="O26" s="429"/>
      <c r="P26" s="429"/>
      <c r="Q26" s="429"/>
      <c r="R26" s="429"/>
      <c r="S26" s="429"/>
      <c r="T26" s="429"/>
      <c r="U26" s="429"/>
      <c r="V26" s="429"/>
      <c r="W26" s="429"/>
      <c r="X26" s="429"/>
      <c r="Y26" s="429"/>
      <c r="Z26" s="430"/>
    </row>
    <row r="27" spans="1:26" ht="14.25" hidden="1" customHeight="1" thickTop="1">
      <c r="A27" s="425">
        <v>1997</v>
      </c>
      <c r="B27" s="336"/>
      <c r="C27" s="336"/>
      <c r="D27" s="336"/>
      <c r="E27" s="336"/>
      <c r="F27" s="336"/>
      <c r="G27" s="336"/>
      <c r="H27" s="336"/>
      <c r="I27" s="336"/>
      <c r="J27" s="336"/>
      <c r="K27" s="336"/>
      <c r="L27" s="336"/>
      <c r="M27" s="336"/>
      <c r="N27" s="332"/>
      <c r="O27" s="429"/>
      <c r="P27" s="429"/>
      <c r="Q27" s="429"/>
      <c r="R27" s="429"/>
      <c r="S27" s="429"/>
      <c r="T27" s="429"/>
      <c r="U27" s="429"/>
      <c r="V27" s="429"/>
      <c r="W27" s="429"/>
      <c r="X27" s="429"/>
      <c r="Y27" s="429"/>
      <c r="Z27" s="429"/>
    </row>
    <row r="28" spans="1:26" ht="10.5" hidden="1" customHeight="1">
      <c r="A28" s="329" t="s">
        <v>546</v>
      </c>
      <c r="B28" s="336"/>
      <c r="C28" s="336"/>
      <c r="D28" s="336"/>
      <c r="E28" s="336"/>
      <c r="F28" s="336"/>
      <c r="G28" s="336"/>
      <c r="H28" s="336"/>
      <c r="I28" s="336"/>
      <c r="J28" s="336"/>
      <c r="K28" s="336"/>
      <c r="L28" s="336"/>
      <c r="M28" s="336"/>
      <c r="N28" s="428"/>
      <c r="O28" s="429"/>
      <c r="P28" s="429"/>
      <c r="Q28" s="429"/>
      <c r="R28" s="429"/>
      <c r="S28" s="429"/>
      <c r="T28" s="429"/>
      <c r="U28" s="429"/>
      <c r="V28" s="429"/>
      <c r="W28" s="429"/>
      <c r="X28" s="429"/>
      <c r="Y28" s="429"/>
      <c r="Z28" s="429"/>
    </row>
    <row r="29" spans="1:26" ht="10.5" hidden="1" customHeight="1">
      <c r="A29" s="334" t="s">
        <v>547</v>
      </c>
      <c r="B29" s="336">
        <v>322302</v>
      </c>
      <c r="C29" s="336">
        <v>16015</v>
      </c>
      <c r="D29" s="336">
        <v>223691</v>
      </c>
      <c r="E29" s="336">
        <v>267428</v>
      </c>
      <c r="F29" s="336">
        <v>1617</v>
      </c>
      <c r="G29" s="336">
        <v>0</v>
      </c>
      <c r="H29" s="336">
        <v>831053</v>
      </c>
      <c r="I29" s="336"/>
      <c r="J29" s="336">
        <v>3337</v>
      </c>
      <c r="K29" s="336">
        <v>1486</v>
      </c>
      <c r="L29" s="336">
        <v>0</v>
      </c>
      <c r="M29" s="336">
        <v>835876</v>
      </c>
      <c r="N29" s="371"/>
      <c r="O29" s="429"/>
      <c r="P29" s="429"/>
      <c r="Q29" s="429"/>
      <c r="R29" s="429"/>
      <c r="S29" s="429"/>
      <c r="T29" s="429"/>
      <c r="U29" s="429"/>
      <c r="V29" s="429"/>
      <c r="W29" s="429"/>
      <c r="X29" s="429"/>
      <c r="Y29" s="429"/>
      <c r="Z29" s="429"/>
    </row>
    <row r="30" spans="1:26" ht="10.5" hidden="1" customHeight="1">
      <c r="A30" s="334" t="s">
        <v>548</v>
      </c>
      <c r="B30" s="336">
        <v>114968</v>
      </c>
      <c r="C30" s="336">
        <v>5267</v>
      </c>
      <c r="D30" s="336">
        <v>100330</v>
      </c>
      <c r="E30" s="336">
        <v>98146</v>
      </c>
      <c r="F30" s="336">
        <v>599</v>
      </c>
      <c r="G30" s="336">
        <v>0</v>
      </c>
      <c r="H30" s="336">
        <v>319310</v>
      </c>
      <c r="I30" s="336"/>
      <c r="J30" s="336">
        <v>3337</v>
      </c>
      <c r="K30" s="336">
        <v>1486</v>
      </c>
      <c r="L30" s="336">
        <v>0</v>
      </c>
      <c r="M30" s="336">
        <v>324133</v>
      </c>
      <c r="N30" s="332"/>
      <c r="O30" s="430"/>
      <c r="P30" s="430"/>
      <c r="Q30" s="430"/>
      <c r="R30" s="430"/>
      <c r="S30" s="430"/>
      <c r="T30" s="429"/>
      <c r="U30" s="430"/>
      <c r="V30" s="429"/>
      <c r="W30" s="430"/>
      <c r="X30" s="430"/>
      <c r="Y30" s="429"/>
      <c r="Z30" s="430"/>
    </row>
    <row r="31" spans="1:26" ht="10.5" hidden="1" customHeight="1">
      <c r="A31" s="334" t="s">
        <v>549</v>
      </c>
      <c r="B31" s="336">
        <v>4909</v>
      </c>
      <c r="C31" s="336">
        <v>378</v>
      </c>
      <c r="D31" s="336">
        <v>1177</v>
      </c>
      <c r="E31" s="336">
        <v>8805</v>
      </c>
      <c r="F31" s="336">
        <v>57</v>
      </c>
      <c r="G31" s="336">
        <v>0</v>
      </c>
      <c r="H31" s="336">
        <v>15326</v>
      </c>
      <c r="I31" s="336"/>
      <c r="J31" s="336">
        <v>38</v>
      </c>
      <c r="K31" s="336">
        <v>47</v>
      </c>
      <c r="L31" s="336">
        <v>0</v>
      </c>
      <c r="M31" s="336">
        <v>15411</v>
      </c>
      <c r="N31" s="332"/>
      <c r="O31" s="430"/>
      <c r="P31" s="430"/>
      <c r="Q31" s="430"/>
      <c r="R31" s="430"/>
      <c r="S31" s="429"/>
      <c r="T31" s="429"/>
      <c r="U31" s="430"/>
      <c r="V31" s="429"/>
      <c r="W31" s="430"/>
      <c r="X31" s="430"/>
      <c r="Y31" s="429"/>
      <c r="Z31" s="430"/>
    </row>
    <row r="32" spans="1:26" ht="10.5" hidden="1" customHeight="1">
      <c r="A32" s="334" t="s">
        <v>550</v>
      </c>
      <c r="B32" s="336">
        <v>110059</v>
      </c>
      <c r="C32" s="336">
        <v>4889</v>
      </c>
      <c r="D32" s="336">
        <v>99153</v>
      </c>
      <c r="E32" s="336">
        <v>89341</v>
      </c>
      <c r="F32" s="336">
        <v>542</v>
      </c>
      <c r="G32" s="336">
        <v>0</v>
      </c>
      <c r="H32" s="336">
        <v>303984</v>
      </c>
      <c r="I32" s="336"/>
      <c r="J32" s="336">
        <v>3299</v>
      </c>
      <c r="K32" s="336">
        <v>1439</v>
      </c>
      <c r="L32" s="336">
        <v>0</v>
      </c>
      <c r="M32" s="336">
        <v>308722</v>
      </c>
      <c r="N32" s="332"/>
      <c r="O32" s="430"/>
      <c r="P32" s="429"/>
      <c r="Q32" s="430"/>
      <c r="R32" s="430"/>
      <c r="S32" s="429"/>
      <c r="T32" s="429"/>
      <c r="U32" s="430"/>
      <c r="V32" s="429"/>
      <c r="W32" s="429"/>
      <c r="X32" s="429"/>
      <c r="Y32" s="429"/>
      <c r="Z32" s="430"/>
    </row>
    <row r="33" spans="1:26" ht="10.5" hidden="1" customHeight="1">
      <c r="A33" s="334" t="s">
        <v>551</v>
      </c>
      <c r="B33" s="336"/>
      <c r="C33" s="336"/>
      <c r="D33" s="336"/>
      <c r="E33" s="336"/>
      <c r="F33" s="336"/>
      <c r="G33" s="336"/>
      <c r="H33" s="336"/>
      <c r="I33" s="336"/>
      <c r="J33" s="336"/>
      <c r="K33" s="336"/>
      <c r="L33" s="336"/>
      <c r="M33" s="336">
        <v>2477</v>
      </c>
      <c r="N33" s="332"/>
      <c r="O33" s="430"/>
      <c r="P33" s="430"/>
      <c r="Q33" s="430"/>
      <c r="R33" s="430"/>
      <c r="S33" s="429"/>
      <c r="T33" s="429"/>
      <c r="U33" s="430"/>
      <c r="V33" s="429"/>
      <c r="W33" s="430"/>
      <c r="X33" s="430"/>
      <c r="Y33" s="429"/>
      <c r="Z33" s="430"/>
    </row>
    <row r="34" spans="1:26" ht="10.5" hidden="1" customHeight="1">
      <c r="A34" s="431" t="s">
        <v>552</v>
      </c>
      <c r="B34" s="341"/>
      <c r="C34" s="341"/>
      <c r="D34" s="341"/>
      <c r="E34" s="341"/>
      <c r="F34" s="341"/>
      <c r="G34" s="341"/>
      <c r="H34" s="341"/>
      <c r="I34" s="341"/>
      <c r="J34" s="341"/>
      <c r="K34" s="341"/>
      <c r="L34" s="341"/>
      <c r="M34" s="341">
        <v>306245</v>
      </c>
      <c r="N34" s="332"/>
      <c r="O34" s="429"/>
      <c r="P34" s="429"/>
      <c r="Q34" s="429"/>
      <c r="R34" s="429"/>
      <c r="S34" s="429"/>
      <c r="T34" s="429"/>
      <c r="U34" s="429"/>
      <c r="V34" s="429"/>
      <c r="W34" s="429"/>
      <c r="X34" s="429"/>
      <c r="Y34" s="429"/>
      <c r="Z34" s="430"/>
    </row>
    <row r="35" spans="1:26" s="346" customFormat="1" ht="11.45" hidden="1" customHeight="1">
      <c r="A35" s="386" t="s">
        <v>553</v>
      </c>
      <c r="B35" s="388"/>
      <c r="C35" s="388"/>
      <c r="D35" s="388"/>
      <c r="E35" s="388"/>
      <c r="F35" s="388"/>
      <c r="G35" s="388"/>
      <c r="H35" s="388"/>
      <c r="I35" s="388"/>
      <c r="J35" s="388"/>
      <c r="K35" s="388"/>
      <c r="L35" s="388"/>
      <c r="M35" s="388"/>
      <c r="N35" s="410"/>
      <c r="O35" s="435"/>
      <c r="P35" s="435"/>
      <c r="Q35" s="435"/>
      <c r="R35" s="435"/>
      <c r="S35" s="435"/>
      <c r="T35" s="435"/>
      <c r="U35" s="435"/>
      <c r="V35" s="435"/>
      <c r="W35" s="435"/>
      <c r="X35" s="435"/>
      <c r="Y35" s="435"/>
      <c r="Z35" s="436"/>
    </row>
    <row r="36" spans="1:26" ht="10.5" hidden="1" customHeight="1">
      <c r="A36" s="334" t="s">
        <v>547</v>
      </c>
      <c r="B36" s="336">
        <v>14312</v>
      </c>
      <c r="C36" s="336">
        <v>9238</v>
      </c>
      <c r="D36" s="336">
        <v>28096</v>
      </c>
      <c r="E36" s="336">
        <v>0</v>
      </c>
      <c r="F36" s="336">
        <v>8695</v>
      </c>
      <c r="G36" s="336">
        <v>16066</v>
      </c>
      <c r="H36" s="336">
        <v>76407</v>
      </c>
      <c r="I36" s="336"/>
      <c r="J36" s="336">
        <v>832</v>
      </c>
      <c r="K36" s="336">
        <v>0</v>
      </c>
      <c r="L36" s="336">
        <v>667</v>
      </c>
      <c r="M36" s="336">
        <v>77907</v>
      </c>
      <c r="N36" s="371"/>
      <c r="O36" s="429"/>
      <c r="P36" s="429"/>
      <c r="Q36" s="429"/>
      <c r="R36" s="429"/>
      <c r="S36" s="429"/>
      <c r="T36" s="429"/>
      <c r="U36" s="429"/>
      <c r="V36" s="429"/>
      <c r="W36" s="429"/>
      <c r="X36" s="429"/>
      <c r="Y36" s="429"/>
      <c r="Z36" s="429"/>
    </row>
    <row r="37" spans="1:26" ht="10.5" hidden="1" customHeight="1">
      <c r="A37" s="334" t="s">
        <v>554</v>
      </c>
      <c r="B37" s="336">
        <v>4750</v>
      </c>
      <c r="C37" s="336">
        <v>3419</v>
      </c>
      <c r="D37" s="336">
        <v>10633</v>
      </c>
      <c r="E37" s="336">
        <v>0</v>
      </c>
      <c r="F37" s="336">
        <v>1994</v>
      </c>
      <c r="G37" s="336">
        <v>4239</v>
      </c>
      <c r="H37" s="336">
        <v>25035</v>
      </c>
      <c r="I37" s="336"/>
      <c r="J37" s="336">
        <v>832</v>
      </c>
      <c r="K37" s="336">
        <v>0</v>
      </c>
      <c r="L37" s="336">
        <v>667</v>
      </c>
      <c r="M37" s="336">
        <v>26534</v>
      </c>
      <c r="N37" s="332"/>
      <c r="O37" s="430"/>
      <c r="P37" s="430"/>
      <c r="Q37" s="430"/>
      <c r="R37" s="429"/>
      <c r="S37" s="430"/>
      <c r="T37" s="430"/>
      <c r="U37" s="430"/>
      <c r="V37" s="429"/>
      <c r="W37" s="429"/>
      <c r="X37" s="429"/>
      <c r="Y37" s="429"/>
      <c r="Z37" s="430"/>
    </row>
    <row r="38" spans="1:26" ht="10.5" hidden="1" customHeight="1">
      <c r="A38" s="334" t="s">
        <v>549</v>
      </c>
      <c r="B38" s="336">
        <v>242</v>
      </c>
      <c r="C38" s="336">
        <v>245</v>
      </c>
      <c r="D38" s="336">
        <v>351</v>
      </c>
      <c r="E38" s="336">
        <v>0</v>
      </c>
      <c r="F38" s="336">
        <v>106</v>
      </c>
      <c r="G38" s="336">
        <v>195</v>
      </c>
      <c r="H38" s="336">
        <v>1139</v>
      </c>
      <c r="I38" s="336"/>
      <c r="J38" s="336">
        <v>10</v>
      </c>
      <c r="K38" s="336">
        <v>0</v>
      </c>
      <c r="L38" s="336">
        <v>0</v>
      </c>
      <c r="M38" s="336">
        <v>1149</v>
      </c>
      <c r="N38" s="332"/>
      <c r="O38" s="430"/>
      <c r="P38" s="430"/>
      <c r="Q38" s="430"/>
      <c r="R38" s="429"/>
      <c r="S38" s="430"/>
      <c r="T38" s="430"/>
      <c r="U38" s="430"/>
      <c r="V38" s="429"/>
      <c r="W38" s="429"/>
      <c r="X38" s="429"/>
      <c r="Y38" s="429"/>
      <c r="Z38" s="430"/>
    </row>
    <row r="39" spans="1:26" ht="10.5" hidden="1" customHeight="1">
      <c r="A39" s="431" t="s">
        <v>555</v>
      </c>
      <c r="B39" s="341">
        <v>4508</v>
      </c>
      <c r="C39" s="341">
        <v>3174</v>
      </c>
      <c r="D39" s="341">
        <v>10282</v>
      </c>
      <c r="E39" s="341">
        <v>0</v>
      </c>
      <c r="F39" s="341">
        <v>1888</v>
      </c>
      <c r="G39" s="341">
        <v>4044</v>
      </c>
      <c r="H39" s="341">
        <v>23896</v>
      </c>
      <c r="I39" s="341"/>
      <c r="J39" s="341">
        <v>822</v>
      </c>
      <c r="K39" s="341">
        <v>0</v>
      </c>
      <c r="L39" s="341">
        <v>667</v>
      </c>
      <c r="M39" s="341">
        <v>25385</v>
      </c>
      <c r="N39" s="332"/>
      <c r="O39" s="429"/>
      <c r="P39" s="429"/>
      <c r="Q39" s="429"/>
      <c r="R39" s="429"/>
      <c r="S39" s="429"/>
      <c r="T39" s="429"/>
      <c r="U39" s="430"/>
      <c r="V39" s="429"/>
      <c r="W39" s="429"/>
      <c r="X39" s="429"/>
      <c r="Y39" s="429"/>
      <c r="Z39" s="430"/>
    </row>
    <row r="40" spans="1:26" ht="10.5" hidden="1" customHeight="1">
      <c r="A40" s="329" t="s">
        <v>556</v>
      </c>
      <c r="B40" s="336"/>
      <c r="C40" s="336"/>
      <c r="D40" s="336"/>
      <c r="E40" s="336"/>
      <c r="F40" s="336"/>
      <c r="G40" s="336"/>
      <c r="H40" s="336"/>
      <c r="I40" s="336"/>
      <c r="J40" s="336"/>
      <c r="K40" s="336"/>
      <c r="L40" s="336"/>
      <c r="M40" s="336"/>
      <c r="N40" s="332"/>
      <c r="O40" s="430"/>
      <c r="P40" s="430"/>
      <c r="Q40" s="430"/>
      <c r="R40" s="429"/>
      <c r="S40" s="430"/>
      <c r="T40" s="430"/>
      <c r="U40" s="430"/>
      <c r="V40" s="429"/>
      <c r="W40" s="429"/>
      <c r="X40" s="429"/>
      <c r="Y40" s="429"/>
      <c r="Z40" s="430"/>
    </row>
    <row r="41" spans="1:26" ht="10.5" hidden="1" customHeight="1">
      <c r="A41" s="334" t="s">
        <v>557</v>
      </c>
      <c r="B41" s="336">
        <v>336614</v>
      </c>
      <c r="C41" s="336">
        <v>25253</v>
      </c>
      <c r="D41" s="336">
        <v>251787</v>
      </c>
      <c r="E41" s="336">
        <v>267428</v>
      </c>
      <c r="F41" s="336">
        <v>10312</v>
      </c>
      <c r="G41" s="336">
        <v>16066</v>
      </c>
      <c r="H41" s="336">
        <v>907460</v>
      </c>
      <c r="I41" s="336"/>
      <c r="J41" s="336">
        <v>4169</v>
      </c>
      <c r="K41" s="336">
        <v>1486</v>
      </c>
      <c r="L41" s="336">
        <v>667</v>
      </c>
      <c r="M41" s="336">
        <v>913783</v>
      </c>
      <c r="N41" s="371"/>
      <c r="O41" s="429"/>
      <c r="P41" s="429"/>
      <c r="Q41" s="429"/>
      <c r="R41" s="429"/>
      <c r="S41" s="429"/>
      <c r="T41" s="429"/>
      <c r="U41" s="429"/>
      <c r="V41" s="429"/>
      <c r="W41" s="429"/>
      <c r="X41" s="429"/>
      <c r="Y41" s="429"/>
      <c r="Z41" s="429"/>
    </row>
    <row r="42" spans="1:26" ht="10.5" hidden="1" customHeight="1">
      <c r="A42" s="334" t="s">
        <v>554</v>
      </c>
      <c r="B42" s="336">
        <v>119718</v>
      </c>
      <c r="C42" s="336">
        <v>8686</v>
      </c>
      <c r="D42" s="336">
        <v>110963</v>
      </c>
      <c r="E42" s="336">
        <v>98146</v>
      </c>
      <c r="F42" s="336">
        <v>2593</v>
      </c>
      <c r="G42" s="336">
        <v>4239</v>
      </c>
      <c r="H42" s="336">
        <v>344345</v>
      </c>
      <c r="I42" s="336"/>
      <c r="J42" s="336">
        <v>4169</v>
      </c>
      <c r="K42" s="336">
        <v>1486</v>
      </c>
      <c r="L42" s="336">
        <v>667</v>
      </c>
      <c r="M42" s="336">
        <v>350667</v>
      </c>
      <c r="N42" s="332"/>
      <c r="O42" s="430"/>
      <c r="P42" s="430"/>
      <c r="Q42" s="430"/>
      <c r="R42" s="430"/>
      <c r="S42" s="430"/>
      <c r="T42" s="430"/>
      <c r="U42" s="430"/>
      <c r="V42" s="429"/>
      <c r="W42" s="430"/>
      <c r="X42" s="430"/>
      <c r="Y42" s="429"/>
      <c r="Z42" s="430"/>
    </row>
    <row r="43" spans="1:26" ht="10.5" hidden="1" customHeight="1">
      <c r="A43" s="334" t="s">
        <v>549</v>
      </c>
      <c r="B43" s="336">
        <v>5151</v>
      </c>
      <c r="C43" s="336">
        <v>623</v>
      </c>
      <c r="D43" s="336">
        <v>1528</v>
      </c>
      <c r="E43" s="336">
        <v>8805</v>
      </c>
      <c r="F43" s="336">
        <v>163</v>
      </c>
      <c r="G43" s="336">
        <v>195</v>
      </c>
      <c r="H43" s="336">
        <v>16465</v>
      </c>
      <c r="I43" s="336"/>
      <c r="J43" s="336">
        <v>48</v>
      </c>
      <c r="K43" s="336">
        <v>47</v>
      </c>
      <c r="L43" s="336">
        <v>0</v>
      </c>
      <c r="M43" s="336">
        <v>16560</v>
      </c>
      <c r="N43" s="332"/>
      <c r="O43" s="430"/>
      <c r="P43" s="430"/>
      <c r="Q43" s="430"/>
      <c r="R43" s="430"/>
      <c r="S43" s="430"/>
      <c r="T43" s="430"/>
      <c r="U43" s="430"/>
      <c r="V43" s="429"/>
      <c r="W43" s="430"/>
      <c r="X43" s="430"/>
      <c r="Y43" s="429"/>
      <c r="Z43" s="430"/>
    </row>
    <row r="44" spans="1:26" ht="10.5" hidden="1" customHeight="1">
      <c r="A44" s="334" t="s">
        <v>550</v>
      </c>
      <c r="B44" s="339">
        <v>114567</v>
      </c>
      <c r="C44" s="339">
        <v>8063</v>
      </c>
      <c r="D44" s="339">
        <v>109435</v>
      </c>
      <c r="E44" s="339">
        <v>89341</v>
      </c>
      <c r="F44" s="339">
        <v>2430</v>
      </c>
      <c r="G44" s="339">
        <v>4044</v>
      </c>
      <c r="H44" s="339">
        <v>327880</v>
      </c>
      <c r="I44" s="339"/>
      <c r="J44" s="339">
        <v>4121</v>
      </c>
      <c r="K44" s="339">
        <v>1439</v>
      </c>
      <c r="L44" s="339">
        <v>667</v>
      </c>
      <c r="M44" s="339">
        <v>334107</v>
      </c>
      <c r="N44" s="332"/>
      <c r="O44" s="430"/>
      <c r="P44" s="429"/>
      <c r="Q44" s="430"/>
      <c r="R44" s="430"/>
      <c r="S44" s="429"/>
      <c r="T44" s="429"/>
      <c r="U44" s="430"/>
      <c r="V44" s="429"/>
      <c r="W44" s="429"/>
      <c r="X44" s="429"/>
      <c r="Y44" s="429"/>
      <c r="Z44" s="430"/>
    </row>
    <row r="45" spans="1:26" ht="10.5" hidden="1" customHeight="1">
      <c r="A45" s="334" t="s">
        <v>551</v>
      </c>
      <c r="B45" s="336"/>
      <c r="C45" s="336"/>
      <c r="D45" s="336"/>
      <c r="E45" s="336"/>
      <c r="F45" s="336"/>
      <c r="G45" s="336"/>
      <c r="H45" s="336"/>
      <c r="I45" s="336"/>
      <c r="J45" s="336"/>
      <c r="K45" s="336"/>
      <c r="L45" s="336"/>
      <c r="M45" s="336">
        <v>2477</v>
      </c>
      <c r="N45" s="332"/>
      <c r="O45" s="430"/>
      <c r="P45" s="430"/>
      <c r="Q45" s="430"/>
      <c r="R45" s="430"/>
      <c r="S45" s="430"/>
      <c r="T45" s="430"/>
      <c r="U45" s="430"/>
      <c r="V45" s="429"/>
      <c r="W45" s="430"/>
      <c r="X45" s="430"/>
      <c r="Y45" s="429"/>
      <c r="Z45" s="430"/>
    </row>
    <row r="46" spans="1:26" ht="10.5" hidden="1" customHeight="1" thickBot="1">
      <c r="A46" s="433" t="s">
        <v>552</v>
      </c>
      <c r="B46" s="434"/>
      <c r="C46" s="434"/>
      <c r="D46" s="434"/>
      <c r="E46" s="434"/>
      <c r="F46" s="434"/>
      <c r="G46" s="434"/>
      <c r="H46" s="434"/>
      <c r="I46" s="434"/>
      <c r="J46" s="434"/>
      <c r="K46" s="434"/>
      <c r="L46" s="434"/>
      <c r="M46" s="434">
        <v>331630</v>
      </c>
      <c r="N46" s="332"/>
      <c r="O46" s="429"/>
      <c r="P46" s="429"/>
      <c r="Q46" s="429"/>
      <c r="R46" s="429"/>
      <c r="S46" s="429"/>
      <c r="T46" s="429"/>
      <c r="U46" s="429"/>
      <c r="V46" s="429"/>
      <c r="W46" s="429"/>
      <c r="X46" s="429"/>
      <c r="Y46" s="429"/>
      <c r="Z46" s="430"/>
    </row>
    <row r="47" spans="1:26" ht="14.25" hidden="1" customHeight="1" thickTop="1">
      <c r="A47" s="425">
        <v>1998</v>
      </c>
      <c r="B47" s="336"/>
      <c r="C47" s="336"/>
      <c r="D47" s="336"/>
      <c r="E47" s="336"/>
      <c r="F47" s="336"/>
      <c r="G47" s="336"/>
      <c r="H47" s="336"/>
      <c r="I47" s="336"/>
      <c r="J47" s="336"/>
      <c r="K47" s="336"/>
      <c r="L47" s="336"/>
      <c r="M47" s="336"/>
      <c r="N47" s="332"/>
      <c r="O47" s="429"/>
      <c r="P47" s="429"/>
      <c r="Q47" s="429"/>
      <c r="R47" s="429"/>
      <c r="S47" s="429"/>
      <c r="T47" s="429"/>
      <c r="U47" s="429"/>
      <c r="V47" s="429"/>
      <c r="W47" s="429"/>
      <c r="X47" s="429"/>
      <c r="Y47" s="429"/>
      <c r="Z47" s="430"/>
    </row>
    <row r="48" spans="1:26" ht="10.5" hidden="1" customHeight="1">
      <c r="A48" s="329" t="s">
        <v>546</v>
      </c>
      <c r="B48" s="336"/>
      <c r="C48" s="336"/>
      <c r="D48" s="336"/>
      <c r="E48" s="336"/>
      <c r="F48" s="336"/>
      <c r="G48" s="336"/>
      <c r="H48" s="336"/>
      <c r="I48" s="336"/>
      <c r="J48" s="336"/>
      <c r="K48" s="336"/>
      <c r="L48" s="336"/>
      <c r="M48" s="336"/>
      <c r="N48" s="332"/>
      <c r="O48" s="429"/>
      <c r="P48" s="429"/>
      <c r="Q48" s="429"/>
      <c r="R48" s="429"/>
      <c r="S48" s="429"/>
      <c r="T48" s="429"/>
      <c r="U48" s="429"/>
      <c r="V48" s="429"/>
      <c r="W48" s="429"/>
      <c r="X48" s="429"/>
      <c r="Y48" s="429"/>
      <c r="Z48" s="429"/>
    </row>
    <row r="49" spans="1:26" ht="10.5" hidden="1" customHeight="1">
      <c r="A49" s="334" t="s">
        <v>547</v>
      </c>
      <c r="B49" s="336">
        <v>334037</v>
      </c>
      <c r="C49" s="336">
        <v>9827</v>
      </c>
      <c r="D49" s="336">
        <v>236298</v>
      </c>
      <c r="E49" s="336">
        <v>272642</v>
      </c>
      <c r="F49" s="336">
        <v>2338</v>
      </c>
      <c r="G49" s="336">
        <v>0</v>
      </c>
      <c r="H49" s="336">
        <v>855142</v>
      </c>
      <c r="I49" s="336"/>
      <c r="J49" s="336">
        <v>4237</v>
      </c>
      <c r="K49" s="336">
        <v>1624</v>
      </c>
      <c r="L49" s="336">
        <v>0</v>
      </c>
      <c r="M49" s="336">
        <v>861003</v>
      </c>
      <c r="N49" s="332"/>
      <c r="O49" s="429"/>
      <c r="P49" s="437"/>
      <c r="Q49" s="429"/>
      <c r="R49" s="437"/>
      <c r="S49" s="429"/>
      <c r="T49" s="437"/>
      <c r="U49" s="429"/>
      <c r="V49" s="437"/>
      <c r="W49" s="429"/>
      <c r="X49" s="437"/>
      <c r="Y49" s="437"/>
      <c r="Z49" s="429"/>
    </row>
    <row r="50" spans="1:26" ht="10.5" hidden="1" customHeight="1">
      <c r="A50" s="334" t="s">
        <v>548</v>
      </c>
      <c r="B50" s="336">
        <v>118595</v>
      </c>
      <c r="C50" s="336">
        <v>3442</v>
      </c>
      <c r="D50" s="336">
        <v>105804</v>
      </c>
      <c r="E50" s="336">
        <v>99486</v>
      </c>
      <c r="F50" s="336">
        <v>576</v>
      </c>
      <c r="G50" s="336">
        <v>0</v>
      </c>
      <c r="H50" s="336">
        <v>327903</v>
      </c>
      <c r="I50" s="336"/>
      <c r="J50" s="336">
        <v>4237</v>
      </c>
      <c r="K50" s="336">
        <v>1624</v>
      </c>
      <c r="L50" s="336">
        <v>0</v>
      </c>
      <c r="M50" s="336">
        <v>333764</v>
      </c>
      <c r="N50" s="332"/>
      <c r="O50" s="438"/>
      <c r="P50" s="439"/>
      <c r="Q50" s="438"/>
      <c r="R50" s="439"/>
      <c r="S50" s="438"/>
      <c r="T50" s="439"/>
      <c r="U50" s="438"/>
      <c r="V50" s="439"/>
      <c r="W50" s="438"/>
      <c r="X50" s="439"/>
      <c r="Y50" s="437"/>
      <c r="Z50" s="429"/>
    </row>
    <row r="51" spans="1:26" ht="10.5" hidden="1" customHeight="1">
      <c r="A51" s="334" t="s">
        <v>549</v>
      </c>
      <c r="B51" s="336">
        <v>5701</v>
      </c>
      <c r="C51" s="336">
        <v>231</v>
      </c>
      <c r="D51" s="336">
        <v>1116</v>
      </c>
      <c r="E51" s="336">
        <v>8896</v>
      </c>
      <c r="F51" s="336">
        <v>129</v>
      </c>
      <c r="G51" s="336">
        <v>0</v>
      </c>
      <c r="H51" s="336">
        <v>16072</v>
      </c>
      <c r="I51" s="336"/>
      <c r="J51" s="336">
        <v>12</v>
      </c>
      <c r="K51" s="336">
        <v>55</v>
      </c>
      <c r="L51" s="336">
        <v>0</v>
      </c>
      <c r="M51" s="336">
        <v>16140</v>
      </c>
      <c r="N51" s="332"/>
      <c r="O51" s="438"/>
      <c r="P51" s="437"/>
      <c r="Q51" s="438"/>
      <c r="R51" s="437"/>
      <c r="S51" s="438"/>
      <c r="T51" s="437"/>
      <c r="U51" s="438"/>
      <c r="V51" s="437"/>
      <c r="W51" s="438"/>
      <c r="X51" s="437"/>
      <c r="Y51" s="437"/>
      <c r="Z51" s="429"/>
    </row>
    <row r="52" spans="1:26" ht="10.5" hidden="1" customHeight="1">
      <c r="A52" s="334" t="s">
        <v>550</v>
      </c>
      <c r="B52" s="336">
        <v>112894</v>
      </c>
      <c r="C52" s="336">
        <v>3211</v>
      </c>
      <c r="D52" s="336">
        <v>104688</v>
      </c>
      <c r="E52" s="336">
        <v>90590</v>
      </c>
      <c r="F52" s="336">
        <v>447</v>
      </c>
      <c r="G52" s="336">
        <v>0</v>
      </c>
      <c r="H52" s="336">
        <v>311830</v>
      </c>
      <c r="I52" s="336"/>
      <c r="J52" s="336">
        <v>4225</v>
      </c>
      <c r="K52" s="336">
        <v>1569</v>
      </c>
      <c r="L52" s="336">
        <v>0</v>
      </c>
      <c r="M52" s="336">
        <v>317624</v>
      </c>
      <c r="N52" s="332"/>
      <c r="O52" s="438"/>
      <c r="P52" s="437"/>
      <c r="Q52" s="438"/>
      <c r="R52" s="437"/>
      <c r="S52" s="438"/>
      <c r="T52" s="437"/>
      <c r="U52" s="438"/>
      <c r="V52" s="437"/>
      <c r="W52" s="438"/>
      <c r="X52" s="437"/>
      <c r="Y52" s="437"/>
      <c r="Z52" s="429"/>
    </row>
    <row r="53" spans="1:26" ht="10.5" hidden="1" customHeight="1">
      <c r="A53" s="334" t="s">
        <v>551</v>
      </c>
      <c r="B53" s="336"/>
      <c r="C53" s="336"/>
      <c r="D53" s="336"/>
      <c r="E53" s="336"/>
      <c r="F53" s="336"/>
      <c r="G53" s="336"/>
      <c r="H53" s="336"/>
      <c r="I53" s="336"/>
      <c r="J53" s="336"/>
      <c r="K53" s="336"/>
      <c r="L53" s="336"/>
      <c r="M53" s="336">
        <v>2594</v>
      </c>
      <c r="N53" s="332"/>
      <c r="O53" s="440"/>
      <c r="P53" s="437"/>
      <c r="Q53" s="440"/>
      <c r="R53" s="437"/>
      <c r="S53" s="440"/>
      <c r="T53" s="437"/>
      <c r="U53" s="440"/>
      <c r="V53" s="437"/>
      <c r="W53" s="440"/>
      <c r="X53" s="437"/>
      <c r="Y53" s="437"/>
      <c r="Z53" s="429"/>
    </row>
    <row r="54" spans="1:26" ht="10.5" hidden="1" customHeight="1">
      <c r="A54" s="431" t="s">
        <v>552</v>
      </c>
      <c r="B54" s="341"/>
      <c r="C54" s="341"/>
      <c r="D54" s="341"/>
      <c r="E54" s="341"/>
      <c r="F54" s="341"/>
      <c r="G54" s="341"/>
      <c r="H54" s="341"/>
      <c r="I54" s="341"/>
      <c r="J54" s="341"/>
      <c r="K54" s="341"/>
      <c r="L54" s="341"/>
      <c r="M54" s="341">
        <v>315030</v>
      </c>
      <c r="N54" s="371"/>
      <c r="O54" s="429"/>
      <c r="P54" s="429"/>
      <c r="Q54" s="429"/>
      <c r="R54" s="429"/>
      <c r="S54" s="429"/>
      <c r="T54" s="429"/>
      <c r="U54" s="429"/>
      <c r="V54" s="429"/>
      <c r="W54" s="437"/>
      <c r="X54" s="437"/>
      <c r="Y54" s="437"/>
      <c r="Z54" s="429"/>
    </row>
    <row r="55" spans="1:26" s="346" customFormat="1" ht="11.45" hidden="1" customHeight="1">
      <c r="A55" s="386" t="s">
        <v>553</v>
      </c>
      <c r="B55" s="388"/>
      <c r="C55" s="388"/>
      <c r="D55" s="388"/>
      <c r="E55" s="388"/>
      <c r="F55" s="388"/>
      <c r="G55" s="388"/>
      <c r="H55" s="388"/>
      <c r="I55" s="388"/>
      <c r="J55" s="388"/>
      <c r="K55" s="388"/>
      <c r="L55" s="388"/>
      <c r="M55" s="388"/>
      <c r="N55" s="410"/>
      <c r="O55" s="436"/>
      <c r="P55" s="436"/>
      <c r="Q55" s="436"/>
      <c r="R55" s="436"/>
      <c r="S55" s="436"/>
      <c r="T55" s="436"/>
      <c r="U55" s="436"/>
      <c r="V55" s="436"/>
      <c r="W55" s="441"/>
      <c r="X55" s="441"/>
      <c r="Y55" s="442"/>
      <c r="Z55" s="435"/>
    </row>
    <row r="56" spans="1:26" ht="10.5" hidden="1" customHeight="1">
      <c r="A56" s="334" t="s">
        <v>547</v>
      </c>
      <c r="B56" s="336">
        <v>13659</v>
      </c>
      <c r="C56" s="336">
        <v>7966</v>
      </c>
      <c r="D56" s="336">
        <v>31433</v>
      </c>
      <c r="E56" s="336">
        <v>0</v>
      </c>
      <c r="F56" s="336">
        <v>11221</v>
      </c>
      <c r="G56" s="336">
        <v>16046</v>
      </c>
      <c r="H56" s="336">
        <v>80325</v>
      </c>
      <c r="I56" s="336"/>
      <c r="J56" s="336">
        <v>881</v>
      </c>
      <c r="K56" s="336">
        <v>0</v>
      </c>
      <c r="L56" s="336">
        <v>877</v>
      </c>
      <c r="M56" s="336">
        <v>82083</v>
      </c>
      <c r="N56" s="332"/>
      <c r="O56" s="430"/>
      <c r="P56" s="430"/>
      <c r="Q56" s="430"/>
      <c r="R56" s="430"/>
      <c r="S56" s="430"/>
      <c r="T56" s="430"/>
      <c r="U56" s="430"/>
      <c r="V56" s="430"/>
      <c r="W56" s="443"/>
      <c r="X56" s="443"/>
      <c r="Y56" s="437"/>
      <c r="Z56" s="429"/>
    </row>
    <row r="57" spans="1:26" ht="10.5" hidden="1" customHeight="1">
      <c r="A57" s="334" t="s">
        <v>554</v>
      </c>
      <c r="B57" s="336">
        <v>4376</v>
      </c>
      <c r="C57" s="336">
        <v>3913</v>
      </c>
      <c r="D57" s="336">
        <v>11994</v>
      </c>
      <c r="E57" s="336">
        <v>0</v>
      </c>
      <c r="F57" s="336">
        <v>2661</v>
      </c>
      <c r="G57" s="336">
        <v>4236</v>
      </c>
      <c r="H57" s="336">
        <v>27180</v>
      </c>
      <c r="I57" s="336"/>
      <c r="J57" s="336">
        <v>881</v>
      </c>
      <c r="K57" s="336">
        <v>0</v>
      </c>
      <c r="L57" s="336">
        <v>877</v>
      </c>
      <c r="M57" s="336">
        <v>28938</v>
      </c>
      <c r="N57" s="371"/>
      <c r="O57" s="429"/>
      <c r="P57" s="429"/>
      <c r="Q57" s="429"/>
      <c r="R57" s="429"/>
      <c r="S57" s="429"/>
      <c r="T57" s="429"/>
      <c r="U57" s="429"/>
      <c r="V57" s="429"/>
      <c r="W57" s="437"/>
      <c r="X57" s="437"/>
      <c r="Y57" s="437"/>
      <c r="Z57" s="429"/>
    </row>
    <row r="58" spans="1:26" ht="10.5" hidden="1" customHeight="1">
      <c r="A58" s="334" t="s">
        <v>549</v>
      </c>
      <c r="B58" s="336">
        <v>235</v>
      </c>
      <c r="C58" s="336">
        <v>290</v>
      </c>
      <c r="D58" s="336">
        <v>392</v>
      </c>
      <c r="E58" s="336">
        <v>0</v>
      </c>
      <c r="F58" s="336">
        <v>145</v>
      </c>
      <c r="G58" s="336">
        <v>194</v>
      </c>
      <c r="H58" s="336">
        <v>1256</v>
      </c>
      <c r="I58" s="336"/>
      <c r="J58" s="336">
        <v>12</v>
      </c>
      <c r="K58" s="336">
        <v>0</v>
      </c>
      <c r="L58" s="336">
        <v>0</v>
      </c>
      <c r="M58" s="336">
        <v>1268</v>
      </c>
      <c r="N58" s="332"/>
      <c r="O58" s="430"/>
      <c r="P58" s="430"/>
      <c r="Q58" s="430"/>
      <c r="R58" s="430"/>
      <c r="S58" s="430"/>
      <c r="T58" s="430"/>
      <c r="U58" s="430"/>
      <c r="V58" s="430"/>
      <c r="W58" s="443"/>
      <c r="X58" s="443"/>
      <c r="Y58" s="437"/>
      <c r="Z58" s="429"/>
    </row>
    <row r="59" spans="1:26" ht="10.5" hidden="1" customHeight="1">
      <c r="A59" s="431" t="s">
        <v>555</v>
      </c>
      <c r="B59" s="341">
        <v>4141</v>
      </c>
      <c r="C59" s="341">
        <v>3623</v>
      </c>
      <c r="D59" s="341">
        <v>11602</v>
      </c>
      <c r="E59" s="341">
        <v>0</v>
      </c>
      <c r="F59" s="341">
        <v>2516</v>
      </c>
      <c r="G59" s="341">
        <v>4042</v>
      </c>
      <c r="H59" s="341">
        <v>25924</v>
      </c>
      <c r="I59" s="341"/>
      <c r="J59" s="341">
        <v>869</v>
      </c>
      <c r="K59" s="341">
        <v>0</v>
      </c>
      <c r="L59" s="341">
        <v>877</v>
      </c>
      <c r="M59" s="341">
        <v>27670</v>
      </c>
      <c r="N59" s="332"/>
      <c r="O59" s="430"/>
      <c r="P59" s="430"/>
      <c r="Q59" s="430"/>
      <c r="R59" s="430"/>
      <c r="S59" s="430"/>
      <c r="T59" s="430"/>
      <c r="U59" s="430"/>
      <c r="V59" s="430"/>
      <c r="W59" s="443"/>
      <c r="X59" s="443"/>
      <c r="Y59" s="437"/>
      <c r="Z59" s="429"/>
    </row>
    <row r="60" spans="1:26" ht="10.5" hidden="1" customHeight="1">
      <c r="A60" s="329" t="s">
        <v>556</v>
      </c>
      <c r="B60" s="336"/>
      <c r="C60" s="336"/>
      <c r="D60" s="336"/>
      <c r="E60" s="336"/>
      <c r="F60" s="336"/>
      <c r="G60" s="336"/>
      <c r="H60" s="336"/>
      <c r="I60" s="336"/>
      <c r="J60" s="336"/>
      <c r="K60" s="336"/>
      <c r="L60" s="336"/>
      <c r="M60" s="336"/>
      <c r="N60" s="371"/>
      <c r="O60" s="429"/>
      <c r="P60" s="429"/>
      <c r="Q60" s="429"/>
      <c r="R60" s="429"/>
      <c r="S60" s="429"/>
      <c r="T60" s="429"/>
      <c r="U60" s="429"/>
      <c r="V60" s="429"/>
      <c r="W60" s="437"/>
      <c r="X60" s="437"/>
      <c r="Y60" s="437"/>
      <c r="Z60" s="429"/>
    </row>
    <row r="61" spans="1:26" ht="10.5" hidden="1" customHeight="1">
      <c r="A61" s="334" t="s">
        <v>557</v>
      </c>
      <c r="B61" s="336">
        <v>347696</v>
      </c>
      <c r="C61" s="336">
        <v>17793</v>
      </c>
      <c r="D61" s="336">
        <v>267731</v>
      </c>
      <c r="E61" s="336">
        <v>272642</v>
      </c>
      <c r="F61" s="336">
        <v>13559</v>
      </c>
      <c r="G61" s="336">
        <v>16046</v>
      </c>
      <c r="H61" s="336">
        <v>935467</v>
      </c>
      <c r="I61" s="336"/>
      <c r="J61" s="336">
        <v>5118</v>
      </c>
      <c r="K61" s="336">
        <v>1624</v>
      </c>
      <c r="L61" s="336">
        <v>877</v>
      </c>
      <c r="M61" s="336">
        <v>943086</v>
      </c>
      <c r="N61" s="332"/>
      <c r="O61" s="430"/>
      <c r="P61" s="430"/>
      <c r="Q61" s="430"/>
      <c r="R61" s="430"/>
      <c r="S61" s="430"/>
      <c r="T61" s="430"/>
      <c r="U61" s="430"/>
      <c r="V61" s="430"/>
      <c r="W61" s="443"/>
      <c r="X61" s="443"/>
      <c r="Y61" s="437"/>
      <c r="Z61" s="429"/>
    </row>
    <row r="62" spans="1:26" ht="10.5" hidden="1" customHeight="1">
      <c r="A62" s="334" t="s">
        <v>554</v>
      </c>
      <c r="B62" s="336">
        <v>122971</v>
      </c>
      <c r="C62" s="336">
        <v>7355</v>
      </c>
      <c r="D62" s="336">
        <v>117798</v>
      </c>
      <c r="E62" s="336">
        <v>99486</v>
      </c>
      <c r="F62" s="336">
        <v>3237</v>
      </c>
      <c r="G62" s="336">
        <v>4236</v>
      </c>
      <c r="H62" s="336">
        <v>355083</v>
      </c>
      <c r="I62" s="336"/>
      <c r="J62" s="336">
        <v>5118</v>
      </c>
      <c r="K62" s="336">
        <v>1624</v>
      </c>
      <c r="L62" s="336">
        <v>877</v>
      </c>
      <c r="M62" s="336">
        <v>362702</v>
      </c>
      <c r="N62" s="332"/>
      <c r="O62" s="430"/>
      <c r="P62" s="430"/>
      <c r="Q62" s="430"/>
      <c r="R62" s="430"/>
      <c r="S62" s="430"/>
      <c r="T62" s="430"/>
      <c r="U62" s="430"/>
      <c r="V62" s="430"/>
      <c r="W62" s="443"/>
      <c r="X62" s="443"/>
      <c r="Y62" s="437"/>
      <c r="Z62" s="429"/>
    </row>
    <row r="63" spans="1:26" ht="10.5" hidden="1" customHeight="1">
      <c r="A63" s="334" t="s">
        <v>549</v>
      </c>
      <c r="B63" s="336">
        <v>5936</v>
      </c>
      <c r="C63" s="336">
        <v>521</v>
      </c>
      <c r="D63" s="336">
        <v>1508</v>
      </c>
      <c r="E63" s="336">
        <v>8896</v>
      </c>
      <c r="F63" s="336">
        <v>274</v>
      </c>
      <c r="G63" s="336">
        <v>194</v>
      </c>
      <c r="H63" s="336">
        <v>17329</v>
      </c>
      <c r="I63" s="336"/>
      <c r="J63" s="336">
        <v>24</v>
      </c>
      <c r="K63" s="336">
        <v>55</v>
      </c>
      <c r="L63" s="336">
        <v>0</v>
      </c>
      <c r="M63" s="336">
        <v>17408</v>
      </c>
      <c r="N63" s="444"/>
      <c r="O63" s="429"/>
      <c r="P63" s="429"/>
      <c r="Q63" s="429"/>
      <c r="R63" s="429"/>
      <c r="S63" s="429"/>
      <c r="T63" s="429"/>
      <c r="U63" s="429"/>
      <c r="V63" s="429"/>
      <c r="W63" s="437"/>
      <c r="X63" s="437"/>
      <c r="Y63" s="429"/>
      <c r="Z63" s="429"/>
    </row>
    <row r="64" spans="1:26" ht="10.5" hidden="1" customHeight="1">
      <c r="A64" s="334" t="s">
        <v>550</v>
      </c>
      <c r="B64" s="339">
        <v>117035</v>
      </c>
      <c r="C64" s="339">
        <v>6834</v>
      </c>
      <c r="D64" s="339">
        <v>116290</v>
      </c>
      <c r="E64" s="339">
        <v>90590</v>
      </c>
      <c r="F64" s="339">
        <v>2963</v>
      </c>
      <c r="G64" s="339">
        <v>4042</v>
      </c>
      <c r="H64" s="339">
        <v>337754</v>
      </c>
      <c r="I64" s="339"/>
      <c r="J64" s="339">
        <v>5094</v>
      </c>
      <c r="K64" s="339">
        <v>1569</v>
      </c>
      <c r="L64" s="339">
        <v>877</v>
      </c>
      <c r="M64" s="339">
        <v>345294</v>
      </c>
      <c r="N64" s="444"/>
      <c r="O64" s="437"/>
      <c r="P64" s="437"/>
      <c r="Q64" s="437"/>
      <c r="R64" s="437"/>
      <c r="S64" s="437"/>
      <c r="T64" s="437"/>
      <c r="U64" s="437"/>
      <c r="V64" s="437"/>
      <c r="W64" s="437"/>
      <c r="X64" s="437"/>
      <c r="Y64" s="437"/>
      <c r="Z64" s="429"/>
    </row>
    <row r="65" spans="1:26" ht="10.5" hidden="1" customHeight="1">
      <c r="A65" s="334" t="s">
        <v>551</v>
      </c>
      <c r="B65" s="336"/>
      <c r="C65" s="336"/>
      <c r="D65" s="336"/>
      <c r="E65" s="336"/>
      <c r="F65" s="336"/>
      <c r="G65" s="336"/>
      <c r="H65" s="336"/>
      <c r="I65" s="336"/>
      <c r="J65" s="336"/>
      <c r="K65" s="336"/>
      <c r="L65" s="336"/>
      <c r="M65" s="336">
        <v>2594</v>
      </c>
      <c r="N65" s="444"/>
      <c r="O65" s="437"/>
      <c r="P65" s="437"/>
      <c r="Q65" s="437"/>
      <c r="R65" s="437"/>
      <c r="S65" s="437"/>
      <c r="T65" s="437"/>
      <c r="U65" s="437"/>
      <c r="V65" s="437"/>
      <c r="W65" s="437"/>
      <c r="X65" s="437"/>
      <c r="Y65" s="437"/>
      <c r="Z65" s="429"/>
    </row>
    <row r="66" spans="1:26" ht="10.5" hidden="1" customHeight="1" thickBot="1">
      <c r="A66" s="433" t="s">
        <v>552</v>
      </c>
      <c r="B66" s="434"/>
      <c r="C66" s="434"/>
      <c r="D66" s="434"/>
      <c r="E66" s="434"/>
      <c r="F66" s="434"/>
      <c r="G66" s="434"/>
      <c r="H66" s="434"/>
      <c r="I66" s="434"/>
      <c r="J66" s="434"/>
      <c r="K66" s="434"/>
      <c r="L66" s="434"/>
      <c r="M66" s="434">
        <v>342700</v>
      </c>
      <c r="N66" s="444"/>
      <c r="O66" s="437"/>
      <c r="P66" s="437"/>
      <c r="Q66" s="437"/>
      <c r="R66" s="437"/>
      <c r="S66" s="437"/>
      <c r="T66" s="437"/>
      <c r="U66" s="437"/>
      <c r="V66" s="437"/>
      <c r="W66" s="437"/>
      <c r="X66" s="437"/>
      <c r="Y66" s="437"/>
      <c r="Z66" s="437"/>
    </row>
    <row r="67" spans="1:26" ht="14.25" hidden="1" customHeight="1" thickTop="1">
      <c r="A67" s="404"/>
      <c r="B67" s="2656" t="s">
        <v>532</v>
      </c>
      <c r="C67" s="2656"/>
      <c r="D67" s="2656"/>
      <c r="E67" s="2656"/>
      <c r="F67" s="2656"/>
      <c r="G67" s="2656"/>
      <c r="H67" s="2656"/>
      <c r="I67" s="404"/>
      <c r="J67" s="2656" t="s">
        <v>533</v>
      </c>
      <c r="K67" s="2656"/>
      <c r="L67" s="2656"/>
      <c r="M67" s="2656"/>
    </row>
    <row r="68" spans="1:26" ht="10.5" hidden="1" customHeight="1">
      <c r="A68" s="329"/>
      <c r="B68" s="408" t="s">
        <v>141</v>
      </c>
      <c r="C68" s="408" t="s">
        <v>202</v>
      </c>
      <c r="D68" s="408" t="s">
        <v>14</v>
      </c>
      <c r="E68" s="408" t="s">
        <v>0</v>
      </c>
      <c r="F68" s="408" t="s">
        <v>534</v>
      </c>
      <c r="G68" s="408" t="s">
        <v>390</v>
      </c>
      <c r="H68" s="408" t="s">
        <v>148</v>
      </c>
      <c r="I68" s="408"/>
      <c r="J68" s="408" t="s">
        <v>535</v>
      </c>
      <c r="K68" s="408" t="s">
        <v>535</v>
      </c>
      <c r="L68" s="408" t="s">
        <v>123</v>
      </c>
      <c r="M68" s="409" t="s">
        <v>148</v>
      </c>
    </row>
    <row r="69" spans="1:26" ht="10.5" hidden="1" customHeight="1">
      <c r="B69" s="330"/>
      <c r="C69" s="330"/>
      <c r="D69" s="330"/>
      <c r="E69" s="330"/>
      <c r="F69" s="408" t="s">
        <v>536</v>
      </c>
      <c r="G69" s="415" t="s">
        <v>537</v>
      </c>
      <c r="H69" s="330"/>
      <c r="I69" s="330"/>
      <c r="J69" s="408" t="s">
        <v>538</v>
      </c>
      <c r="K69" s="408" t="s">
        <v>539</v>
      </c>
      <c r="L69" s="415" t="s">
        <v>540</v>
      </c>
      <c r="M69" s="408" t="s">
        <v>541</v>
      </c>
    </row>
    <row r="70" spans="1:26" ht="10.5" hidden="1" customHeight="1">
      <c r="A70" s="445"/>
      <c r="B70" s="422"/>
      <c r="C70" s="422"/>
      <c r="D70" s="422"/>
      <c r="E70" s="422"/>
      <c r="F70" s="446" t="s">
        <v>542</v>
      </c>
      <c r="G70" s="422"/>
      <c r="H70" s="422"/>
      <c r="I70" s="422"/>
      <c r="J70" s="423" t="s">
        <v>543</v>
      </c>
      <c r="K70" s="423" t="s">
        <v>544</v>
      </c>
      <c r="L70" s="422"/>
      <c r="M70" s="423" t="s">
        <v>545</v>
      </c>
    </row>
    <row r="71" spans="1:26" s="346" customFormat="1" ht="13.5" hidden="1" customHeight="1">
      <c r="A71" s="447">
        <v>1999</v>
      </c>
      <c r="B71" s="388"/>
      <c r="C71" s="388"/>
      <c r="D71" s="388"/>
      <c r="E71" s="388"/>
      <c r="F71" s="388"/>
      <c r="G71" s="388"/>
      <c r="H71" s="388"/>
      <c r="I71" s="388"/>
      <c r="J71" s="388"/>
      <c r="K71" s="388"/>
      <c r="L71" s="388"/>
      <c r="M71" s="388"/>
    </row>
    <row r="72" spans="1:26" ht="10.5" hidden="1" customHeight="1">
      <c r="A72" s="329" t="s">
        <v>558</v>
      </c>
      <c r="B72" s="336"/>
      <c r="C72" s="336"/>
      <c r="D72" s="336"/>
      <c r="E72" s="336"/>
      <c r="F72" s="336"/>
      <c r="G72" s="336"/>
      <c r="H72" s="336"/>
      <c r="I72" s="336"/>
      <c r="J72" s="336"/>
      <c r="K72" s="336"/>
      <c r="L72" s="336"/>
      <c r="M72" s="336"/>
    </row>
    <row r="73" spans="1:26" ht="10.5" hidden="1" customHeight="1">
      <c r="A73" s="334" t="s">
        <v>547</v>
      </c>
      <c r="B73" s="336">
        <v>285004</v>
      </c>
      <c r="C73" s="336">
        <v>9500</v>
      </c>
      <c r="D73" s="336">
        <v>281986</v>
      </c>
      <c r="E73" s="336">
        <v>258374</v>
      </c>
      <c r="F73" s="336">
        <v>2546</v>
      </c>
      <c r="G73" s="336">
        <v>0</v>
      </c>
      <c r="H73" s="336">
        <v>837410</v>
      </c>
      <c r="I73" s="336">
        <v>0</v>
      </c>
      <c r="J73" s="336">
        <v>4431</v>
      </c>
      <c r="K73" s="336">
        <v>2902</v>
      </c>
      <c r="L73" s="336">
        <v>0</v>
      </c>
      <c r="M73" s="336">
        <v>844744</v>
      </c>
    </row>
    <row r="74" spans="1:26" ht="10.5" hidden="1" customHeight="1">
      <c r="A74" s="334" t="s">
        <v>548</v>
      </c>
      <c r="B74" s="336">
        <v>102074</v>
      </c>
      <c r="C74" s="336">
        <v>2943</v>
      </c>
      <c r="D74" s="336">
        <v>128365</v>
      </c>
      <c r="E74" s="336">
        <v>95133</v>
      </c>
      <c r="F74" s="336">
        <v>761</v>
      </c>
      <c r="G74" s="336">
        <v>0</v>
      </c>
      <c r="H74" s="336">
        <v>329276</v>
      </c>
      <c r="I74" s="336">
        <v>0</v>
      </c>
      <c r="J74" s="336">
        <v>4431</v>
      </c>
      <c r="K74" s="336">
        <v>2902</v>
      </c>
      <c r="L74" s="336">
        <v>0</v>
      </c>
      <c r="M74" s="336">
        <v>336608</v>
      </c>
    </row>
    <row r="75" spans="1:26" s="346" customFormat="1" ht="10.5" hidden="1" customHeight="1">
      <c r="A75" s="334" t="s">
        <v>549</v>
      </c>
      <c r="B75" s="336">
        <v>4725</v>
      </c>
      <c r="C75" s="336">
        <v>210</v>
      </c>
      <c r="D75" s="336">
        <v>2759</v>
      </c>
      <c r="E75" s="336">
        <v>7461</v>
      </c>
      <c r="F75" s="336">
        <v>187</v>
      </c>
      <c r="G75" s="336">
        <v>0</v>
      </c>
      <c r="H75" s="336">
        <v>15342</v>
      </c>
      <c r="I75" s="336">
        <v>0</v>
      </c>
      <c r="J75" s="336">
        <v>21</v>
      </c>
      <c r="K75" s="336">
        <v>98</v>
      </c>
      <c r="L75" s="336">
        <v>0</v>
      </c>
      <c r="M75" s="336">
        <v>15461</v>
      </c>
    </row>
    <row r="76" spans="1:26" ht="10.5" hidden="1" customHeight="1">
      <c r="A76" s="334" t="s">
        <v>550</v>
      </c>
      <c r="B76" s="336">
        <v>97348</v>
      </c>
      <c r="C76" s="336">
        <v>2733</v>
      </c>
      <c r="D76" s="336">
        <v>125606</v>
      </c>
      <c r="E76" s="336">
        <v>87672</v>
      </c>
      <c r="F76" s="336">
        <v>574</v>
      </c>
      <c r="G76" s="336">
        <v>0</v>
      </c>
      <c r="H76" s="336">
        <v>313933</v>
      </c>
      <c r="I76" s="336">
        <v>0</v>
      </c>
      <c r="J76" s="336">
        <v>4409</v>
      </c>
      <c r="K76" s="336">
        <v>2804</v>
      </c>
      <c r="L76" s="336">
        <v>0</v>
      </c>
      <c r="M76" s="336">
        <v>321147</v>
      </c>
    </row>
    <row r="77" spans="1:26" ht="10.5" hidden="1" customHeight="1">
      <c r="A77" s="334" t="s">
        <v>551</v>
      </c>
      <c r="B77" s="336"/>
      <c r="C77" s="336"/>
      <c r="D77" s="336"/>
      <c r="E77" s="336"/>
      <c r="F77" s="336"/>
      <c r="G77" s="336"/>
      <c r="H77" s="336"/>
      <c r="I77" s="336"/>
      <c r="J77" s="336"/>
      <c r="K77" s="336"/>
      <c r="L77" s="336"/>
      <c r="M77" s="336">
        <v>3774</v>
      </c>
    </row>
    <row r="78" spans="1:26" ht="10.5" hidden="1" customHeight="1">
      <c r="A78" s="431" t="s">
        <v>552</v>
      </c>
      <c r="B78" s="341"/>
      <c r="C78" s="341"/>
      <c r="D78" s="341"/>
      <c r="E78" s="341"/>
      <c r="F78" s="341"/>
      <c r="G78" s="341"/>
      <c r="H78" s="341"/>
      <c r="I78" s="341"/>
      <c r="J78" s="341"/>
      <c r="K78" s="341"/>
      <c r="L78" s="341"/>
      <c r="M78" s="341">
        <v>317373</v>
      </c>
    </row>
    <row r="79" spans="1:26" ht="10.5" hidden="1" customHeight="1">
      <c r="A79" s="386" t="s">
        <v>559</v>
      </c>
      <c r="B79" s="388"/>
      <c r="C79" s="388"/>
      <c r="D79" s="388"/>
      <c r="E79" s="388"/>
      <c r="F79" s="388"/>
      <c r="G79" s="388"/>
      <c r="H79" s="388"/>
      <c r="I79" s="388"/>
      <c r="J79" s="388"/>
      <c r="K79" s="388"/>
      <c r="L79" s="388"/>
      <c r="M79" s="388"/>
    </row>
    <row r="80" spans="1:26" s="346" customFormat="1" ht="11.25" hidden="1" customHeight="1">
      <c r="A80" s="334" t="s">
        <v>547</v>
      </c>
      <c r="B80" s="336">
        <v>11702</v>
      </c>
      <c r="C80" s="336">
        <v>8420</v>
      </c>
      <c r="D80" s="336">
        <v>33562</v>
      </c>
      <c r="E80" s="336">
        <v>0</v>
      </c>
      <c r="F80" s="336">
        <v>13659</v>
      </c>
      <c r="G80" s="336">
        <v>16187</v>
      </c>
      <c r="H80" s="336">
        <v>83531</v>
      </c>
      <c r="I80" s="336">
        <v>0</v>
      </c>
      <c r="J80" s="336">
        <v>905</v>
      </c>
      <c r="K80" s="336">
        <v>0</v>
      </c>
      <c r="L80" s="336">
        <v>851</v>
      </c>
      <c r="M80" s="336">
        <v>85287</v>
      </c>
    </row>
    <row r="81" spans="1:13" ht="10.5" hidden="1" customHeight="1">
      <c r="A81" s="334" t="s">
        <v>554</v>
      </c>
      <c r="B81" s="336">
        <v>4106</v>
      </c>
      <c r="C81" s="336">
        <v>3606</v>
      </c>
      <c r="D81" s="336">
        <v>14537</v>
      </c>
      <c r="E81" s="336">
        <v>0</v>
      </c>
      <c r="F81" s="336">
        <v>3227</v>
      </c>
      <c r="G81" s="336">
        <v>4312</v>
      </c>
      <c r="H81" s="336">
        <v>29787</v>
      </c>
      <c r="I81" s="336">
        <v>0</v>
      </c>
      <c r="J81" s="336">
        <v>905</v>
      </c>
      <c r="K81" s="336">
        <v>0</v>
      </c>
      <c r="L81" s="336">
        <v>851</v>
      </c>
      <c r="M81" s="336">
        <v>31543</v>
      </c>
    </row>
    <row r="82" spans="1:13" ht="10.5" hidden="1" customHeight="1">
      <c r="A82" s="334" t="s">
        <v>549</v>
      </c>
      <c r="B82" s="336">
        <v>197</v>
      </c>
      <c r="C82" s="336">
        <v>267</v>
      </c>
      <c r="D82" s="336">
        <v>471</v>
      </c>
      <c r="E82" s="336">
        <v>0</v>
      </c>
      <c r="F82" s="336">
        <v>100</v>
      </c>
      <c r="G82" s="336">
        <v>198</v>
      </c>
      <c r="H82" s="336">
        <v>1233</v>
      </c>
      <c r="I82" s="336">
        <v>0</v>
      </c>
      <c r="J82" s="336">
        <v>11</v>
      </c>
      <c r="K82" s="336">
        <v>0</v>
      </c>
      <c r="L82" s="336">
        <v>0</v>
      </c>
      <c r="M82" s="336">
        <v>1245</v>
      </c>
    </row>
    <row r="83" spans="1:13" ht="10.5" hidden="1" customHeight="1">
      <c r="A83" s="431" t="s">
        <v>555</v>
      </c>
      <c r="B83" s="341">
        <v>3909</v>
      </c>
      <c r="C83" s="341">
        <v>3339</v>
      </c>
      <c r="D83" s="341">
        <v>14066</v>
      </c>
      <c r="E83" s="341">
        <v>0</v>
      </c>
      <c r="F83" s="341">
        <v>3126</v>
      </c>
      <c r="G83" s="341">
        <v>4113</v>
      </c>
      <c r="H83" s="341">
        <v>28554</v>
      </c>
      <c r="I83" s="341">
        <v>0</v>
      </c>
      <c r="J83" s="341">
        <v>894</v>
      </c>
      <c r="K83" s="341">
        <v>0</v>
      </c>
      <c r="L83" s="341">
        <v>851</v>
      </c>
      <c r="M83" s="341">
        <v>30298</v>
      </c>
    </row>
    <row r="84" spans="1:13" ht="10.5" hidden="1" customHeight="1">
      <c r="A84" s="386" t="s">
        <v>556</v>
      </c>
      <c r="B84" s="388"/>
      <c r="C84" s="388"/>
      <c r="D84" s="388"/>
      <c r="E84" s="388"/>
      <c r="F84" s="388"/>
      <c r="G84" s="388"/>
      <c r="H84" s="388"/>
      <c r="I84" s="388"/>
      <c r="J84" s="388"/>
      <c r="K84" s="388"/>
      <c r="L84" s="388"/>
      <c r="M84" s="388"/>
    </row>
    <row r="85" spans="1:13" ht="10.5" hidden="1" customHeight="1">
      <c r="A85" s="334" t="s">
        <v>557</v>
      </c>
      <c r="B85" s="336">
        <v>296706</v>
      </c>
      <c r="C85" s="336">
        <v>17920</v>
      </c>
      <c r="D85" s="336">
        <v>315548</v>
      </c>
      <c r="E85" s="336">
        <v>258374</v>
      </c>
      <c r="F85" s="336">
        <v>16205</v>
      </c>
      <c r="G85" s="336">
        <v>16187</v>
      </c>
      <c r="H85" s="336">
        <v>920941</v>
      </c>
      <c r="I85" s="336">
        <v>0</v>
      </c>
      <c r="J85" s="336">
        <v>5336</v>
      </c>
      <c r="K85" s="336">
        <v>2902</v>
      </c>
      <c r="L85" s="336">
        <v>851</v>
      </c>
      <c r="M85" s="336">
        <v>930030</v>
      </c>
    </row>
    <row r="86" spans="1:13" ht="10.5" hidden="1" customHeight="1">
      <c r="A86" s="334" t="s">
        <v>554</v>
      </c>
      <c r="B86" s="336">
        <v>106179</v>
      </c>
      <c r="C86" s="336">
        <v>6549</v>
      </c>
      <c r="D86" s="336">
        <v>142902</v>
      </c>
      <c r="E86" s="336">
        <v>95133</v>
      </c>
      <c r="F86" s="336">
        <v>3988</v>
      </c>
      <c r="G86" s="336">
        <v>4312</v>
      </c>
      <c r="H86" s="336">
        <v>359063</v>
      </c>
      <c r="I86" s="336">
        <v>0</v>
      </c>
      <c r="J86" s="336">
        <v>5336</v>
      </c>
      <c r="K86" s="336">
        <v>2902</v>
      </c>
      <c r="L86" s="336">
        <v>851</v>
      </c>
      <c r="M86" s="336">
        <v>368151</v>
      </c>
    </row>
    <row r="87" spans="1:13" ht="10.5" hidden="1" customHeight="1">
      <c r="A87" s="334" t="s">
        <v>549</v>
      </c>
      <c r="B87" s="336">
        <v>4922</v>
      </c>
      <c r="C87" s="336">
        <v>477</v>
      </c>
      <c r="D87" s="336">
        <v>3230</v>
      </c>
      <c r="E87" s="336">
        <v>7461</v>
      </c>
      <c r="F87" s="336">
        <v>287</v>
      </c>
      <c r="G87" s="336">
        <v>198</v>
      </c>
      <c r="H87" s="336">
        <v>16576</v>
      </c>
      <c r="I87" s="336">
        <v>0</v>
      </c>
      <c r="J87" s="336">
        <v>33</v>
      </c>
      <c r="K87" s="336">
        <v>98</v>
      </c>
      <c r="L87" s="336">
        <v>0</v>
      </c>
      <c r="M87" s="336">
        <v>16706</v>
      </c>
    </row>
    <row r="88" spans="1:13" ht="10.5" hidden="1" customHeight="1">
      <c r="A88" s="334" t="s">
        <v>550</v>
      </c>
      <c r="B88" s="339">
        <v>101257</v>
      </c>
      <c r="C88" s="339">
        <v>6072</v>
      </c>
      <c r="D88" s="339">
        <v>139672</v>
      </c>
      <c r="E88" s="339">
        <v>87672</v>
      </c>
      <c r="F88" s="339">
        <v>3700</v>
      </c>
      <c r="G88" s="339">
        <v>4113</v>
      </c>
      <c r="H88" s="339">
        <v>342487</v>
      </c>
      <c r="I88" s="339">
        <v>0</v>
      </c>
      <c r="J88" s="339">
        <v>5303</v>
      </c>
      <c r="K88" s="339">
        <v>2804</v>
      </c>
      <c r="L88" s="339">
        <v>851</v>
      </c>
      <c r="M88" s="339">
        <v>351445</v>
      </c>
    </row>
    <row r="89" spans="1:13" ht="10.5" hidden="1" customHeight="1">
      <c r="A89" s="334" t="s">
        <v>551</v>
      </c>
      <c r="B89" s="336"/>
      <c r="C89" s="336"/>
      <c r="D89" s="336"/>
      <c r="E89" s="336"/>
      <c r="F89" s="336"/>
      <c r="G89" s="336"/>
      <c r="H89" s="336"/>
      <c r="I89" s="336"/>
      <c r="J89" s="336"/>
      <c r="K89" s="336"/>
      <c r="L89" s="336"/>
      <c r="M89" s="336">
        <v>3774</v>
      </c>
    </row>
    <row r="90" spans="1:13" ht="10.5" hidden="1" customHeight="1" thickBot="1">
      <c r="A90" s="433" t="s">
        <v>552</v>
      </c>
      <c r="B90" s="434"/>
      <c r="C90" s="434"/>
      <c r="D90" s="434"/>
      <c r="E90" s="434"/>
      <c r="F90" s="434"/>
      <c r="G90" s="434"/>
      <c r="H90" s="434"/>
      <c r="I90" s="434"/>
      <c r="J90" s="434"/>
      <c r="K90" s="434"/>
      <c r="L90" s="434"/>
      <c r="M90" s="434">
        <v>347671</v>
      </c>
    </row>
    <row r="91" spans="1:13" s="346" customFormat="1" hidden="1">
      <c r="A91" s="447">
        <v>2000</v>
      </c>
      <c r="B91" s="448"/>
      <c r="C91" s="448"/>
      <c r="D91" s="448"/>
      <c r="E91" s="448"/>
      <c r="F91" s="448"/>
      <c r="G91" s="448"/>
      <c r="H91" s="448"/>
      <c r="I91" s="448"/>
      <c r="J91" s="448"/>
      <c r="K91" s="448"/>
      <c r="L91" s="448"/>
      <c r="M91" s="448"/>
    </row>
    <row r="92" spans="1:13" ht="10.5" hidden="1" customHeight="1">
      <c r="A92" s="329" t="s">
        <v>546</v>
      </c>
      <c r="B92" s="432"/>
      <c r="C92" s="432"/>
      <c r="D92" s="432"/>
      <c r="E92" s="432"/>
      <c r="F92" s="432"/>
      <c r="G92" s="432"/>
      <c r="H92" s="432"/>
      <c r="I92" s="432"/>
      <c r="J92" s="432"/>
      <c r="K92" s="432"/>
      <c r="L92" s="432"/>
      <c r="M92" s="432"/>
    </row>
    <row r="93" spans="1:13" ht="10.5" hidden="1" customHeight="1">
      <c r="A93" s="334" t="s">
        <v>547</v>
      </c>
      <c r="B93" s="336">
        <v>322907</v>
      </c>
      <c r="C93" s="336">
        <v>8981</v>
      </c>
      <c r="D93" s="336">
        <v>283781</v>
      </c>
      <c r="E93" s="336">
        <v>228358</v>
      </c>
      <c r="F93" s="336">
        <v>2921</v>
      </c>
      <c r="G93" s="336" t="s">
        <v>560</v>
      </c>
      <c r="H93" s="336">
        <v>846949</v>
      </c>
      <c r="I93" s="336" t="s">
        <v>560</v>
      </c>
      <c r="J93" s="336">
        <v>4331</v>
      </c>
      <c r="K93" s="336">
        <v>2694</v>
      </c>
      <c r="L93" s="336" t="s">
        <v>560</v>
      </c>
      <c r="M93" s="336">
        <v>853974</v>
      </c>
    </row>
    <row r="94" spans="1:13" ht="10.5" hidden="1" customHeight="1">
      <c r="A94" s="334" t="s">
        <v>548</v>
      </c>
      <c r="B94" s="336">
        <v>117025</v>
      </c>
      <c r="C94" s="336">
        <v>2415</v>
      </c>
      <c r="D94" s="336">
        <v>129558</v>
      </c>
      <c r="E94" s="336">
        <v>85063</v>
      </c>
      <c r="F94" s="336">
        <v>698</v>
      </c>
      <c r="G94" s="336" t="s">
        <v>560</v>
      </c>
      <c r="H94" s="336">
        <v>334758</v>
      </c>
      <c r="I94" s="336" t="s">
        <v>560</v>
      </c>
      <c r="J94" s="336">
        <v>4331</v>
      </c>
      <c r="K94" s="336">
        <v>2694</v>
      </c>
      <c r="L94" s="336" t="s">
        <v>560</v>
      </c>
      <c r="M94" s="336">
        <v>341783</v>
      </c>
    </row>
    <row r="95" spans="1:13" ht="10.5" hidden="1" customHeight="1">
      <c r="A95" s="334" t="s">
        <v>549</v>
      </c>
      <c r="B95" s="336">
        <v>5175</v>
      </c>
      <c r="C95" s="336">
        <v>292</v>
      </c>
      <c r="D95" s="336">
        <v>2592</v>
      </c>
      <c r="E95" s="336">
        <v>6729</v>
      </c>
      <c r="F95" s="336">
        <v>58</v>
      </c>
      <c r="G95" s="336" t="s">
        <v>560</v>
      </c>
      <c r="H95" s="336">
        <v>14846</v>
      </c>
      <c r="I95" s="336" t="s">
        <v>560</v>
      </c>
      <c r="J95" s="336">
        <v>15</v>
      </c>
      <c r="K95" s="336">
        <v>91</v>
      </c>
      <c r="L95" s="336" t="s">
        <v>560</v>
      </c>
      <c r="M95" s="336">
        <v>14952</v>
      </c>
    </row>
    <row r="96" spans="1:13" ht="10.5" hidden="1" customHeight="1">
      <c r="A96" s="334" t="s">
        <v>550</v>
      </c>
      <c r="B96" s="336">
        <v>111850</v>
      </c>
      <c r="C96" s="336">
        <v>2123</v>
      </c>
      <c r="D96" s="336">
        <v>126965</v>
      </c>
      <c r="E96" s="336">
        <v>78334</v>
      </c>
      <c r="F96" s="336">
        <v>640</v>
      </c>
      <c r="G96" s="336" t="s">
        <v>560</v>
      </c>
      <c r="H96" s="336">
        <v>319912</v>
      </c>
      <c r="I96" s="336" t="s">
        <v>560</v>
      </c>
      <c r="J96" s="336">
        <v>4316</v>
      </c>
      <c r="K96" s="336">
        <v>2603</v>
      </c>
      <c r="L96" s="336" t="s">
        <v>560</v>
      </c>
      <c r="M96" s="336">
        <v>326831</v>
      </c>
    </row>
    <row r="97" spans="1:13" ht="10.5" hidden="1" customHeight="1">
      <c r="A97" s="334" t="s">
        <v>551</v>
      </c>
      <c r="B97" s="336"/>
      <c r="C97" s="336"/>
      <c r="D97" s="336"/>
      <c r="E97" s="336"/>
      <c r="F97" s="336"/>
      <c r="G97" s="336"/>
      <c r="H97" s="336"/>
      <c r="I97" s="336"/>
      <c r="J97" s="336"/>
      <c r="K97" s="336"/>
      <c r="L97" s="336"/>
      <c r="M97" s="336">
        <v>3499</v>
      </c>
    </row>
    <row r="98" spans="1:13" ht="10.5" hidden="1" customHeight="1">
      <c r="A98" s="431" t="s">
        <v>552</v>
      </c>
      <c r="B98" s="341"/>
      <c r="C98" s="341"/>
      <c r="D98" s="341"/>
      <c r="E98" s="341"/>
      <c r="F98" s="341"/>
      <c r="G98" s="341"/>
      <c r="H98" s="341"/>
      <c r="I98" s="341"/>
      <c r="J98" s="341"/>
      <c r="K98" s="341"/>
      <c r="L98" s="341"/>
      <c r="M98" s="341">
        <v>323332</v>
      </c>
    </row>
    <row r="99" spans="1:13" ht="10.5" hidden="1" customHeight="1">
      <c r="A99" s="329" t="s">
        <v>561</v>
      </c>
      <c r="B99" s="336"/>
      <c r="C99" s="336"/>
      <c r="D99" s="336"/>
      <c r="E99" s="336"/>
      <c r="F99" s="336"/>
      <c r="G99" s="336"/>
      <c r="H99" s="336"/>
      <c r="I99" s="336"/>
      <c r="J99" s="336"/>
      <c r="K99" s="336"/>
      <c r="L99" s="336"/>
      <c r="M99" s="336"/>
    </row>
    <row r="100" spans="1:13" ht="10.5" hidden="1" customHeight="1">
      <c r="A100" s="334" t="s">
        <v>547</v>
      </c>
      <c r="B100" s="336">
        <v>10522</v>
      </c>
      <c r="C100" s="336">
        <v>9042</v>
      </c>
      <c r="D100" s="336">
        <v>40779</v>
      </c>
      <c r="E100" s="336" t="s">
        <v>560</v>
      </c>
      <c r="F100" s="336">
        <v>15517</v>
      </c>
      <c r="G100" s="336">
        <v>15743</v>
      </c>
      <c r="H100" s="336">
        <v>91603</v>
      </c>
      <c r="I100" s="336" t="s">
        <v>560</v>
      </c>
      <c r="J100" s="336">
        <v>755</v>
      </c>
      <c r="K100" s="336" t="s">
        <v>560</v>
      </c>
      <c r="L100" s="336">
        <v>947</v>
      </c>
      <c r="M100" s="336">
        <v>93304</v>
      </c>
    </row>
    <row r="101" spans="1:13" ht="10.5" hidden="1" customHeight="1">
      <c r="A101" s="334" t="s">
        <v>554</v>
      </c>
      <c r="B101" s="336">
        <v>2925</v>
      </c>
      <c r="C101" s="336">
        <v>4109</v>
      </c>
      <c r="D101" s="336">
        <v>18519</v>
      </c>
      <c r="E101" s="336" t="s">
        <v>560</v>
      </c>
      <c r="F101" s="336">
        <v>3630</v>
      </c>
      <c r="G101" s="336">
        <v>4401</v>
      </c>
      <c r="H101" s="336">
        <v>33584</v>
      </c>
      <c r="I101" s="336" t="s">
        <v>560</v>
      </c>
      <c r="J101" s="336">
        <v>755</v>
      </c>
      <c r="K101" s="336" t="s">
        <v>560</v>
      </c>
      <c r="L101" s="336">
        <v>947</v>
      </c>
      <c r="M101" s="336">
        <v>35285</v>
      </c>
    </row>
    <row r="102" spans="1:13" ht="10.5" hidden="1" customHeight="1">
      <c r="A102" s="334" t="s">
        <v>549</v>
      </c>
      <c r="B102" s="336">
        <v>39</v>
      </c>
      <c r="C102" s="336">
        <v>304</v>
      </c>
      <c r="D102" s="336">
        <v>592</v>
      </c>
      <c r="E102" s="336" t="s">
        <v>560</v>
      </c>
      <c r="F102" s="336">
        <v>203</v>
      </c>
      <c r="G102" s="336">
        <v>202</v>
      </c>
      <c r="H102" s="336">
        <v>1340</v>
      </c>
      <c r="I102" s="336" t="s">
        <v>560</v>
      </c>
      <c r="J102" s="336">
        <v>12</v>
      </c>
      <c r="K102" s="336" t="s">
        <v>560</v>
      </c>
      <c r="L102" s="336" t="s">
        <v>560</v>
      </c>
      <c r="M102" s="336">
        <v>1352</v>
      </c>
    </row>
    <row r="103" spans="1:13" ht="10.5" hidden="1" customHeight="1">
      <c r="A103" s="431" t="s">
        <v>555</v>
      </c>
      <c r="B103" s="341">
        <v>2887</v>
      </c>
      <c r="C103" s="341">
        <v>3805</v>
      </c>
      <c r="D103" s="341">
        <v>17927</v>
      </c>
      <c r="E103" s="341" t="s">
        <v>560</v>
      </c>
      <c r="F103" s="341">
        <v>3427</v>
      </c>
      <c r="G103" s="341">
        <v>4198</v>
      </c>
      <c r="H103" s="341">
        <v>32244</v>
      </c>
      <c r="I103" s="341" t="s">
        <v>560</v>
      </c>
      <c r="J103" s="341">
        <v>743</v>
      </c>
      <c r="K103" s="341" t="s">
        <v>560</v>
      </c>
      <c r="L103" s="341">
        <v>947</v>
      </c>
      <c r="M103" s="341">
        <v>33933</v>
      </c>
    </row>
    <row r="104" spans="1:13" ht="10.5" hidden="1" customHeight="1">
      <c r="A104" s="329" t="s">
        <v>556</v>
      </c>
      <c r="B104" s="336"/>
      <c r="C104" s="336"/>
      <c r="D104" s="336"/>
      <c r="E104" s="336"/>
      <c r="F104" s="336"/>
      <c r="G104" s="336"/>
      <c r="H104" s="336"/>
      <c r="I104" s="336"/>
      <c r="J104" s="336"/>
      <c r="K104" s="336"/>
      <c r="L104" s="336"/>
      <c r="M104" s="336"/>
    </row>
    <row r="105" spans="1:13" ht="10.5" hidden="1" customHeight="1">
      <c r="A105" s="334" t="s">
        <v>557</v>
      </c>
      <c r="B105" s="336">
        <v>333429</v>
      </c>
      <c r="C105" s="336">
        <v>18023</v>
      </c>
      <c r="D105" s="336">
        <v>324560</v>
      </c>
      <c r="E105" s="336">
        <v>228358</v>
      </c>
      <c r="F105" s="336">
        <v>18439</v>
      </c>
      <c r="G105" s="336">
        <v>15743</v>
      </c>
      <c r="H105" s="336">
        <v>938551</v>
      </c>
      <c r="I105" s="336" t="s">
        <v>560</v>
      </c>
      <c r="J105" s="336">
        <v>5085</v>
      </c>
      <c r="K105" s="336">
        <v>2694</v>
      </c>
      <c r="L105" s="336">
        <v>947</v>
      </c>
      <c r="M105" s="336">
        <v>947278</v>
      </c>
    </row>
    <row r="106" spans="1:13" ht="10.5" hidden="1" customHeight="1">
      <c r="A106" s="334" t="s">
        <v>554</v>
      </c>
      <c r="B106" s="336">
        <v>119950</v>
      </c>
      <c r="C106" s="336">
        <v>6524</v>
      </c>
      <c r="D106" s="336">
        <v>148077</v>
      </c>
      <c r="E106" s="336">
        <v>85063</v>
      </c>
      <c r="F106" s="336">
        <v>4328</v>
      </c>
      <c r="G106" s="336">
        <v>4401</v>
      </c>
      <c r="H106" s="336">
        <v>368342</v>
      </c>
      <c r="I106" s="336" t="s">
        <v>560</v>
      </c>
      <c r="J106" s="336">
        <v>5085</v>
      </c>
      <c r="K106" s="336">
        <v>2694</v>
      </c>
      <c r="L106" s="336">
        <v>947</v>
      </c>
      <c r="M106" s="336">
        <v>377069</v>
      </c>
    </row>
    <row r="107" spans="1:13" ht="10.5" hidden="1" customHeight="1">
      <c r="A107" s="334" t="s">
        <v>549</v>
      </c>
      <c r="B107" s="336">
        <v>5214</v>
      </c>
      <c r="C107" s="336">
        <v>596</v>
      </c>
      <c r="D107" s="336">
        <v>3184</v>
      </c>
      <c r="E107" s="336">
        <v>6729</v>
      </c>
      <c r="F107" s="336">
        <v>261</v>
      </c>
      <c r="G107" s="336">
        <v>202</v>
      </c>
      <c r="H107" s="336">
        <v>16186</v>
      </c>
      <c r="I107" s="336" t="s">
        <v>560</v>
      </c>
      <c r="J107" s="336">
        <v>27</v>
      </c>
      <c r="K107" s="336">
        <v>91</v>
      </c>
      <c r="L107" s="336" t="s">
        <v>560</v>
      </c>
      <c r="M107" s="336">
        <v>16304</v>
      </c>
    </row>
    <row r="108" spans="1:13" ht="10.5" hidden="1" customHeight="1">
      <c r="A108" s="334" t="s">
        <v>550</v>
      </c>
      <c r="B108" s="336">
        <v>114736</v>
      </c>
      <c r="C108" s="336">
        <v>5928</v>
      </c>
      <c r="D108" s="336">
        <v>144892</v>
      </c>
      <c r="E108" s="336">
        <v>78334</v>
      </c>
      <c r="F108" s="336">
        <v>4067</v>
      </c>
      <c r="G108" s="336">
        <v>4198</v>
      </c>
      <c r="H108" s="336">
        <v>352156</v>
      </c>
      <c r="I108" s="336" t="s">
        <v>560</v>
      </c>
      <c r="J108" s="336">
        <v>5058</v>
      </c>
      <c r="K108" s="336">
        <v>2603</v>
      </c>
      <c r="L108" s="336">
        <v>947</v>
      </c>
      <c r="M108" s="336">
        <v>360764</v>
      </c>
    </row>
    <row r="109" spans="1:13" ht="10.5" hidden="1" customHeight="1">
      <c r="A109" s="334" t="s">
        <v>551</v>
      </c>
      <c r="B109" s="336"/>
      <c r="C109" s="336"/>
      <c r="D109" s="336"/>
      <c r="E109" s="336"/>
      <c r="F109" s="336"/>
      <c r="G109" s="336"/>
      <c r="H109" s="336"/>
      <c r="I109" s="336"/>
      <c r="J109" s="336"/>
      <c r="K109" s="336"/>
      <c r="L109" s="336"/>
      <c r="M109" s="336">
        <v>3499</v>
      </c>
    </row>
    <row r="110" spans="1:13" ht="10.5" hidden="1" customHeight="1" thickBot="1">
      <c r="A110" s="433" t="s">
        <v>552</v>
      </c>
      <c r="B110" s="434"/>
      <c r="C110" s="434"/>
      <c r="D110" s="434"/>
      <c r="E110" s="434"/>
      <c r="F110" s="434"/>
      <c r="G110" s="434"/>
      <c r="H110" s="434"/>
      <c r="I110" s="434"/>
      <c r="J110" s="434"/>
      <c r="K110" s="434"/>
      <c r="L110" s="434"/>
      <c r="M110" s="434">
        <v>357266</v>
      </c>
    </row>
    <row r="111" spans="1:13" ht="14.25" hidden="1" customHeight="1" thickTop="1">
      <c r="A111" s="404"/>
      <c r="B111" s="2656" t="s">
        <v>532</v>
      </c>
      <c r="C111" s="2656"/>
      <c r="D111" s="2656"/>
      <c r="E111" s="2656"/>
      <c r="F111" s="2656"/>
      <c r="G111" s="2656"/>
      <c r="H111" s="2656"/>
      <c r="I111" s="404"/>
      <c r="J111" s="2656" t="s">
        <v>533</v>
      </c>
      <c r="K111" s="2656"/>
      <c r="L111" s="2656"/>
      <c r="M111" s="2656"/>
    </row>
    <row r="112" spans="1:13" ht="10.5" hidden="1" customHeight="1">
      <c r="A112" s="329"/>
      <c r="B112" s="408" t="s">
        <v>141</v>
      </c>
      <c r="C112" s="408" t="s">
        <v>202</v>
      </c>
      <c r="D112" s="408" t="s">
        <v>14</v>
      </c>
      <c r="E112" s="408" t="s">
        <v>0</v>
      </c>
      <c r="F112" s="408" t="s">
        <v>534</v>
      </c>
      <c r="G112" s="408" t="s">
        <v>390</v>
      </c>
      <c r="H112" s="408" t="s">
        <v>148</v>
      </c>
      <c r="I112" s="408"/>
      <c r="J112" s="408" t="s">
        <v>535</v>
      </c>
      <c r="K112" s="408" t="s">
        <v>535</v>
      </c>
      <c r="L112" s="408" t="s">
        <v>123</v>
      </c>
      <c r="M112" s="409" t="s">
        <v>148</v>
      </c>
    </row>
    <row r="113" spans="1:15" ht="10.5" hidden="1" customHeight="1">
      <c r="B113" s="330"/>
      <c r="C113" s="330"/>
      <c r="D113" s="330"/>
      <c r="E113" s="330"/>
      <c r="F113" s="408" t="s">
        <v>536</v>
      </c>
      <c r="G113" s="415" t="s">
        <v>537</v>
      </c>
      <c r="H113" s="330"/>
      <c r="I113" s="330"/>
      <c r="J113" s="408" t="s">
        <v>538</v>
      </c>
      <c r="K113" s="408" t="s">
        <v>539</v>
      </c>
      <c r="L113" s="415" t="s">
        <v>540</v>
      </c>
      <c r="M113" s="408" t="s">
        <v>541</v>
      </c>
    </row>
    <row r="114" spans="1:15" ht="10.5" hidden="1" customHeight="1">
      <c r="A114" s="445"/>
      <c r="B114" s="422"/>
      <c r="C114" s="422"/>
      <c r="D114" s="422"/>
      <c r="E114" s="422"/>
      <c r="F114" s="446" t="s">
        <v>542</v>
      </c>
      <c r="G114" s="422"/>
      <c r="H114" s="422"/>
      <c r="I114" s="422"/>
      <c r="J114" s="423" t="s">
        <v>543</v>
      </c>
      <c r="K114" s="423" t="s">
        <v>544</v>
      </c>
      <c r="L114" s="422"/>
      <c r="M114" s="423" t="s">
        <v>545</v>
      </c>
    </row>
    <row r="115" spans="1:15" s="346" customFormat="1" hidden="1">
      <c r="A115" s="447">
        <v>2001</v>
      </c>
      <c r="B115" s="388"/>
      <c r="C115" s="388"/>
      <c r="D115" s="388"/>
      <c r="E115" s="388"/>
      <c r="F115" s="388"/>
      <c r="G115" s="388"/>
      <c r="H115" s="388"/>
      <c r="I115" s="388"/>
      <c r="J115" s="388"/>
      <c r="K115" s="388"/>
      <c r="L115" s="388"/>
      <c r="M115" s="388"/>
    </row>
    <row r="116" spans="1:15" ht="10.5" hidden="1" customHeight="1">
      <c r="A116" s="329" t="s">
        <v>562</v>
      </c>
      <c r="B116" s="449"/>
      <c r="C116" s="449"/>
      <c r="D116" s="449"/>
      <c r="E116" s="449"/>
      <c r="F116" s="449"/>
      <c r="G116" s="449"/>
      <c r="H116" s="449"/>
      <c r="I116" s="449"/>
      <c r="J116" s="449"/>
      <c r="K116" s="449"/>
      <c r="L116" s="449"/>
      <c r="M116" s="449"/>
    </row>
    <row r="117" spans="1:15" ht="10.5" hidden="1" customHeight="1">
      <c r="A117" s="334" t="s">
        <v>547</v>
      </c>
      <c r="B117" s="450">
        <v>355582</v>
      </c>
      <c r="C117" s="450">
        <v>9510</v>
      </c>
      <c r="D117" s="450">
        <v>276761</v>
      </c>
      <c r="E117" s="450">
        <v>241537</v>
      </c>
      <c r="F117" s="450">
        <v>3102</v>
      </c>
      <c r="G117" s="450">
        <v>0</v>
      </c>
      <c r="H117" s="450">
        <v>886492</v>
      </c>
      <c r="I117" s="450" t="s">
        <v>560</v>
      </c>
      <c r="J117" s="450">
        <v>3215</v>
      </c>
      <c r="K117" s="450">
        <v>2422</v>
      </c>
      <c r="L117" s="450">
        <v>0</v>
      </c>
      <c r="M117" s="450">
        <v>892129</v>
      </c>
      <c r="O117" s="451"/>
    </row>
    <row r="118" spans="1:15" ht="10.5" hidden="1" customHeight="1">
      <c r="A118" s="334" t="s">
        <v>548</v>
      </c>
      <c r="B118" s="450">
        <v>127128</v>
      </c>
      <c r="C118" s="450">
        <v>2472</v>
      </c>
      <c r="D118" s="450">
        <v>126999</v>
      </c>
      <c r="E118" s="450">
        <v>90093</v>
      </c>
      <c r="F118" s="450">
        <v>738</v>
      </c>
      <c r="G118" s="450">
        <v>0</v>
      </c>
      <c r="H118" s="450">
        <v>347429</v>
      </c>
      <c r="I118" s="450" t="s">
        <v>560</v>
      </c>
      <c r="J118" s="450">
        <v>3215</v>
      </c>
      <c r="K118" s="450">
        <v>2422</v>
      </c>
      <c r="L118" s="450">
        <v>0</v>
      </c>
      <c r="M118" s="450">
        <v>353066</v>
      </c>
      <c r="O118" s="451"/>
    </row>
    <row r="119" spans="1:15" ht="10.5" hidden="1" customHeight="1">
      <c r="A119" s="334" t="s">
        <v>549</v>
      </c>
      <c r="B119" s="450">
        <v>5830</v>
      </c>
      <c r="C119" s="450">
        <v>281</v>
      </c>
      <c r="D119" s="450">
        <v>2709</v>
      </c>
      <c r="E119" s="450">
        <v>7108</v>
      </c>
      <c r="F119" s="450">
        <v>46</v>
      </c>
      <c r="G119" s="450">
        <v>0</v>
      </c>
      <c r="H119" s="450">
        <v>15973</v>
      </c>
      <c r="I119" s="450" t="s">
        <v>560</v>
      </c>
      <c r="J119" s="450">
        <v>11</v>
      </c>
      <c r="K119" s="450">
        <v>82</v>
      </c>
      <c r="L119" s="450">
        <v>0</v>
      </c>
      <c r="M119" s="450">
        <v>16066</v>
      </c>
      <c r="O119" s="451"/>
    </row>
    <row r="120" spans="1:15" ht="10.5" hidden="1" customHeight="1">
      <c r="A120" s="334" t="s">
        <v>550</v>
      </c>
      <c r="B120" s="450">
        <v>121298</v>
      </c>
      <c r="C120" s="450">
        <v>2192</v>
      </c>
      <c r="D120" s="450">
        <v>124289</v>
      </c>
      <c r="E120" s="450">
        <v>82985</v>
      </c>
      <c r="F120" s="450">
        <v>692</v>
      </c>
      <c r="G120" s="450">
        <v>0</v>
      </c>
      <c r="H120" s="450">
        <v>331456</v>
      </c>
      <c r="I120" s="450" t="s">
        <v>560</v>
      </c>
      <c r="J120" s="450">
        <v>3203</v>
      </c>
      <c r="K120" s="450">
        <v>2340</v>
      </c>
      <c r="L120" s="450">
        <v>0</v>
      </c>
      <c r="M120" s="450">
        <v>336999</v>
      </c>
      <c r="O120" s="451"/>
    </row>
    <row r="121" spans="1:15" ht="10.5" hidden="1" customHeight="1">
      <c r="A121" s="334" t="s">
        <v>551</v>
      </c>
      <c r="B121" s="452"/>
      <c r="C121" s="452"/>
      <c r="D121" s="452"/>
      <c r="E121" s="452"/>
      <c r="F121" s="452"/>
      <c r="G121" s="452"/>
      <c r="H121" s="452"/>
      <c r="I121" s="452"/>
      <c r="J121" s="452"/>
      <c r="K121" s="452"/>
      <c r="L121" s="452"/>
      <c r="M121" s="450">
        <v>3210</v>
      </c>
      <c r="O121" s="451"/>
    </row>
    <row r="122" spans="1:15" ht="10.5" hidden="1" customHeight="1">
      <c r="A122" s="431" t="s">
        <v>552</v>
      </c>
      <c r="B122" s="453"/>
      <c r="C122" s="453"/>
      <c r="D122" s="453"/>
      <c r="E122" s="453"/>
      <c r="F122" s="453"/>
      <c r="G122" s="453"/>
      <c r="H122" s="453"/>
      <c r="I122" s="453"/>
      <c r="J122" s="453"/>
      <c r="K122" s="453"/>
      <c r="L122" s="453"/>
      <c r="M122" s="453">
        <v>333789</v>
      </c>
      <c r="O122" s="451"/>
    </row>
    <row r="123" spans="1:15" ht="10.5" hidden="1" customHeight="1">
      <c r="A123" s="329" t="s">
        <v>553</v>
      </c>
      <c r="B123" s="450"/>
      <c r="C123" s="450"/>
      <c r="D123" s="450"/>
      <c r="E123" s="450"/>
      <c r="F123" s="450"/>
      <c r="G123" s="450"/>
      <c r="H123" s="450"/>
      <c r="I123" s="450"/>
      <c r="J123" s="450"/>
      <c r="K123" s="450"/>
      <c r="L123" s="450"/>
      <c r="M123" s="450"/>
      <c r="O123" s="451"/>
    </row>
    <row r="124" spans="1:15" ht="10.5" hidden="1" customHeight="1">
      <c r="A124" s="334" t="s">
        <v>547</v>
      </c>
      <c r="B124" s="450">
        <v>11987</v>
      </c>
      <c r="C124" s="450">
        <v>7035</v>
      </c>
      <c r="D124" s="450">
        <v>35757</v>
      </c>
      <c r="E124" s="450">
        <v>0</v>
      </c>
      <c r="F124" s="450">
        <v>18849</v>
      </c>
      <c r="G124" s="450">
        <v>12053</v>
      </c>
      <c r="H124" s="450">
        <v>85682</v>
      </c>
      <c r="I124" s="450" t="s">
        <v>560</v>
      </c>
      <c r="J124" s="450">
        <v>840</v>
      </c>
      <c r="K124" s="450">
        <v>0</v>
      </c>
      <c r="L124" s="450">
        <v>967</v>
      </c>
      <c r="M124" s="450">
        <v>87489</v>
      </c>
      <c r="O124" s="451"/>
    </row>
    <row r="125" spans="1:15" ht="10.5" hidden="1" customHeight="1">
      <c r="A125" s="334" t="s">
        <v>554</v>
      </c>
      <c r="B125" s="450">
        <v>4333</v>
      </c>
      <c r="C125" s="450">
        <v>2781</v>
      </c>
      <c r="D125" s="450">
        <v>14906</v>
      </c>
      <c r="E125" s="450">
        <v>0</v>
      </c>
      <c r="F125" s="450">
        <v>4316</v>
      </c>
      <c r="G125" s="450">
        <v>3577</v>
      </c>
      <c r="H125" s="450">
        <v>29913</v>
      </c>
      <c r="I125" s="450" t="s">
        <v>560</v>
      </c>
      <c r="J125" s="450">
        <v>840</v>
      </c>
      <c r="K125" s="450">
        <v>0</v>
      </c>
      <c r="L125" s="450">
        <v>967</v>
      </c>
      <c r="M125" s="450">
        <v>31721</v>
      </c>
      <c r="O125" s="451"/>
    </row>
    <row r="126" spans="1:15" ht="10.5" hidden="1" customHeight="1">
      <c r="A126" s="334" t="s">
        <v>549</v>
      </c>
      <c r="B126" s="450">
        <v>230</v>
      </c>
      <c r="C126" s="450">
        <v>196</v>
      </c>
      <c r="D126" s="450">
        <v>480</v>
      </c>
      <c r="E126" s="450">
        <v>0</v>
      </c>
      <c r="F126" s="450">
        <v>246</v>
      </c>
      <c r="G126" s="450">
        <v>165</v>
      </c>
      <c r="H126" s="450">
        <v>1316</v>
      </c>
      <c r="I126" s="450" t="s">
        <v>560</v>
      </c>
      <c r="J126" s="450">
        <v>12</v>
      </c>
      <c r="K126" s="450">
        <v>0</v>
      </c>
      <c r="L126" s="450">
        <v>0</v>
      </c>
      <c r="M126" s="450">
        <v>1328</v>
      </c>
      <c r="O126" s="451"/>
    </row>
    <row r="127" spans="1:15" ht="10.5" hidden="1" customHeight="1">
      <c r="A127" s="431" t="s">
        <v>555</v>
      </c>
      <c r="B127" s="453">
        <v>4104</v>
      </c>
      <c r="C127" s="453">
        <v>2585</v>
      </c>
      <c r="D127" s="453">
        <v>14426</v>
      </c>
      <c r="E127" s="453">
        <v>0</v>
      </c>
      <c r="F127" s="453">
        <v>4070</v>
      </c>
      <c r="G127" s="453">
        <v>3412</v>
      </c>
      <c r="H127" s="453">
        <v>28597</v>
      </c>
      <c r="I127" s="453" t="s">
        <v>560</v>
      </c>
      <c r="J127" s="453">
        <v>829</v>
      </c>
      <c r="K127" s="453">
        <v>0</v>
      </c>
      <c r="L127" s="453">
        <v>967</v>
      </c>
      <c r="M127" s="453">
        <v>30393</v>
      </c>
      <c r="O127" s="451"/>
    </row>
    <row r="128" spans="1:15" ht="10.5" hidden="1" customHeight="1">
      <c r="A128" s="329" t="s">
        <v>556</v>
      </c>
      <c r="B128" s="450"/>
      <c r="C128" s="450"/>
      <c r="D128" s="450"/>
      <c r="E128" s="450"/>
      <c r="F128" s="450"/>
      <c r="G128" s="450"/>
      <c r="H128" s="450"/>
      <c r="I128" s="450"/>
      <c r="J128" s="450"/>
      <c r="K128" s="450"/>
      <c r="L128" s="450"/>
      <c r="M128" s="450"/>
      <c r="O128" s="451"/>
    </row>
    <row r="129" spans="1:15" ht="10.5" hidden="1" customHeight="1">
      <c r="A129" s="334" t="s">
        <v>557</v>
      </c>
      <c r="B129" s="450">
        <v>367569</v>
      </c>
      <c r="C129" s="450">
        <v>16545</v>
      </c>
      <c r="D129" s="450">
        <v>312518</v>
      </c>
      <c r="E129" s="450">
        <v>241537</v>
      </c>
      <c r="F129" s="450">
        <v>21951</v>
      </c>
      <c r="G129" s="450">
        <v>12053</v>
      </c>
      <c r="H129" s="450">
        <v>972174</v>
      </c>
      <c r="I129" s="450" t="s">
        <v>560</v>
      </c>
      <c r="J129" s="450">
        <v>4055</v>
      </c>
      <c r="K129" s="450">
        <v>2422</v>
      </c>
      <c r="L129" s="450">
        <v>967</v>
      </c>
      <c r="M129" s="450">
        <v>979618</v>
      </c>
      <c r="O129" s="451"/>
    </row>
    <row r="130" spans="1:15" ht="10.5" hidden="1" customHeight="1">
      <c r="A130" s="334" t="s">
        <v>554</v>
      </c>
      <c r="B130" s="450">
        <v>131461</v>
      </c>
      <c r="C130" s="450">
        <v>5253</v>
      </c>
      <c r="D130" s="450">
        <v>141905</v>
      </c>
      <c r="E130" s="450">
        <v>90093</v>
      </c>
      <c r="F130" s="450">
        <v>5054</v>
      </c>
      <c r="G130" s="450">
        <v>3577</v>
      </c>
      <c r="H130" s="450">
        <v>377342</v>
      </c>
      <c r="I130" s="450" t="s">
        <v>560</v>
      </c>
      <c r="J130" s="450">
        <v>4055</v>
      </c>
      <c r="K130" s="450">
        <v>2422</v>
      </c>
      <c r="L130" s="450">
        <v>967</v>
      </c>
      <c r="M130" s="450">
        <v>384786</v>
      </c>
      <c r="O130" s="451"/>
    </row>
    <row r="131" spans="1:15" ht="10.5" hidden="1" customHeight="1">
      <c r="A131" s="334" t="s">
        <v>549</v>
      </c>
      <c r="B131" s="450">
        <v>6059</v>
      </c>
      <c r="C131" s="450">
        <v>476</v>
      </c>
      <c r="D131" s="450">
        <v>3189</v>
      </c>
      <c r="E131" s="450">
        <v>7108</v>
      </c>
      <c r="F131" s="450">
        <v>292</v>
      </c>
      <c r="G131" s="450">
        <v>165</v>
      </c>
      <c r="H131" s="450">
        <v>17289</v>
      </c>
      <c r="I131" s="450" t="s">
        <v>560</v>
      </c>
      <c r="J131" s="450">
        <v>23</v>
      </c>
      <c r="K131" s="450">
        <v>82</v>
      </c>
      <c r="L131" s="450">
        <v>0</v>
      </c>
      <c r="M131" s="450">
        <v>17394</v>
      </c>
      <c r="O131" s="451"/>
    </row>
    <row r="132" spans="1:15" s="316" customFormat="1" ht="10.5" hidden="1" customHeight="1">
      <c r="A132" s="334" t="s">
        <v>550</v>
      </c>
      <c r="B132" s="450">
        <v>125402</v>
      </c>
      <c r="C132" s="450">
        <v>4777</v>
      </c>
      <c r="D132" s="450">
        <v>138716</v>
      </c>
      <c r="E132" s="450">
        <v>82985</v>
      </c>
      <c r="F132" s="450">
        <v>4762</v>
      </c>
      <c r="G132" s="450">
        <v>3412</v>
      </c>
      <c r="H132" s="450">
        <v>360053</v>
      </c>
      <c r="I132" s="450" t="s">
        <v>560</v>
      </c>
      <c r="J132" s="450">
        <v>4032</v>
      </c>
      <c r="K132" s="450">
        <v>2340</v>
      </c>
      <c r="L132" s="450">
        <v>967</v>
      </c>
      <c r="M132" s="450">
        <v>367392</v>
      </c>
      <c r="O132" s="451"/>
    </row>
    <row r="133" spans="1:15" ht="10.5" hidden="1" customHeight="1">
      <c r="A133" s="334" t="s">
        <v>551</v>
      </c>
      <c r="B133" s="450"/>
      <c r="C133" s="450"/>
      <c r="D133" s="450"/>
      <c r="E133" s="450"/>
      <c r="F133" s="450"/>
      <c r="G133" s="450"/>
      <c r="H133" s="450"/>
      <c r="I133" s="450"/>
      <c r="J133" s="450"/>
      <c r="K133" s="450"/>
      <c r="L133" s="450"/>
      <c r="M133" s="450">
        <v>3210</v>
      </c>
      <c r="O133" s="451"/>
    </row>
    <row r="134" spans="1:15" s="312" customFormat="1" ht="10.5" hidden="1" customHeight="1" thickBot="1">
      <c r="A134" s="433" t="s">
        <v>552</v>
      </c>
      <c r="B134" s="454"/>
      <c r="C134" s="454"/>
      <c r="D134" s="454"/>
      <c r="E134" s="454"/>
      <c r="F134" s="454"/>
      <c r="G134" s="454"/>
      <c r="H134" s="454"/>
      <c r="I134" s="454"/>
      <c r="J134" s="454"/>
      <c r="K134" s="454"/>
      <c r="L134" s="454"/>
      <c r="M134" s="454">
        <v>364182</v>
      </c>
      <c r="O134" s="451"/>
    </row>
    <row r="135" spans="1:15" s="312" customFormat="1" ht="13.5" hidden="1" customHeight="1">
      <c r="A135" s="447">
        <v>2002</v>
      </c>
      <c r="B135" s="455"/>
      <c r="C135" s="455"/>
      <c r="D135" s="455"/>
      <c r="E135" s="455"/>
      <c r="F135" s="455"/>
      <c r="G135" s="455"/>
      <c r="H135" s="455"/>
      <c r="I135" s="455"/>
      <c r="J135" s="455"/>
      <c r="K135" s="455"/>
      <c r="L135" s="455"/>
      <c r="M135" s="455"/>
    </row>
    <row r="136" spans="1:15" s="312" customFormat="1" ht="10.5" hidden="1" customHeight="1">
      <c r="A136" s="329" t="s">
        <v>562</v>
      </c>
      <c r="B136" s="450"/>
      <c r="C136" s="450"/>
      <c r="D136" s="450"/>
      <c r="E136" s="450"/>
      <c r="F136" s="450"/>
      <c r="G136" s="450"/>
      <c r="H136" s="450"/>
      <c r="I136" s="450"/>
      <c r="J136" s="450"/>
      <c r="K136" s="450"/>
      <c r="L136" s="450"/>
      <c r="M136" s="450"/>
    </row>
    <row r="137" spans="1:15" s="312" customFormat="1" ht="10.5" hidden="1" customHeight="1">
      <c r="A137" s="334" t="s">
        <v>547</v>
      </c>
      <c r="B137" s="450">
        <v>332889</v>
      </c>
      <c r="C137" s="450">
        <v>8011</v>
      </c>
      <c r="D137" s="450">
        <v>291264</v>
      </c>
      <c r="E137" s="450">
        <v>233765</v>
      </c>
      <c r="F137" s="450">
        <v>3186</v>
      </c>
      <c r="G137" s="450">
        <v>0</v>
      </c>
      <c r="H137" s="450">
        <v>869115</v>
      </c>
      <c r="I137" s="450" t="s">
        <v>560</v>
      </c>
      <c r="J137" s="450">
        <v>3927</v>
      </c>
      <c r="K137" s="450">
        <v>2652</v>
      </c>
      <c r="L137" s="450">
        <v>0</v>
      </c>
      <c r="M137" s="450">
        <v>875694</v>
      </c>
    </row>
    <row r="138" spans="1:15" s="312" customFormat="1" ht="10.5" hidden="1" customHeight="1">
      <c r="A138" s="334" t="s">
        <v>548</v>
      </c>
      <c r="B138" s="450">
        <v>120958</v>
      </c>
      <c r="C138" s="450">
        <v>2011</v>
      </c>
      <c r="D138" s="450">
        <v>135741</v>
      </c>
      <c r="E138" s="450">
        <v>87848</v>
      </c>
      <c r="F138" s="450">
        <v>856</v>
      </c>
      <c r="G138" s="450">
        <v>0</v>
      </c>
      <c r="H138" s="450">
        <v>347414</v>
      </c>
      <c r="I138" s="450" t="s">
        <v>560</v>
      </c>
      <c r="J138" s="450">
        <v>3927</v>
      </c>
      <c r="K138" s="450">
        <v>2652</v>
      </c>
      <c r="L138" s="450">
        <v>0</v>
      </c>
      <c r="M138" s="450">
        <v>353994</v>
      </c>
    </row>
    <row r="139" spans="1:15" s="312" customFormat="1" ht="10.5" hidden="1" customHeight="1">
      <c r="A139" s="334" t="s">
        <v>549</v>
      </c>
      <c r="B139" s="450">
        <v>5574</v>
      </c>
      <c r="C139" s="450">
        <v>378</v>
      </c>
      <c r="D139" s="450">
        <v>2877</v>
      </c>
      <c r="E139" s="450">
        <v>6758</v>
      </c>
      <c r="F139" s="450">
        <v>55</v>
      </c>
      <c r="G139" s="450">
        <v>0</v>
      </c>
      <c r="H139" s="450">
        <v>15643</v>
      </c>
      <c r="I139" s="450" t="s">
        <v>560</v>
      </c>
      <c r="J139" s="450">
        <v>14</v>
      </c>
      <c r="K139" s="450">
        <v>90</v>
      </c>
      <c r="L139" s="450">
        <v>0</v>
      </c>
      <c r="M139" s="450">
        <v>15746</v>
      </c>
    </row>
    <row r="140" spans="1:15" s="312" customFormat="1" ht="10.5" hidden="1" customHeight="1">
      <c r="A140" s="334" t="s">
        <v>550</v>
      </c>
      <c r="B140" s="450">
        <v>115383</v>
      </c>
      <c r="C140" s="450">
        <v>1633</v>
      </c>
      <c r="D140" s="450">
        <v>132864</v>
      </c>
      <c r="E140" s="450">
        <v>81090</v>
      </c>
      <c r="F140" s="450">
        <v>802</v>
      </c>
      <c r="G140" s="450">
        <v>0</v>
      </c>
      <c r="H140" s="450">
        <v>331772</v>
      </c>
      <c r="I140" s="450" t="s">
        <v>560</v>
      </c>
      <c r="J140" s="450">
        <v>3914</v>
      </c>
      <c r="K140" s="450">
        <v>2562</v>
      </c>
      <c r="L140" s="450">
        <v>0</v>
      </c>
      <c r="M140" s="450">
        <v>338248</v>
      </c>
    </row>
    <row r="141" spans="1:15" s="312" customFormat="1" ht="10.5" hidden="1" customHeight="1">
      <c r="A141" s="334" t="s">
        <v>551</v>
      </c>
      <c r="B141" s="450"/>
      <c r="C141" s="450"/>
      <c r="D141" s="450"/>
      <c r="E141" s="450"/>
      <c r="F141" s="450"/>
      <c r="G141" s="450"/>
      <c r="H141" s="450"/>
      <c r="I141" s="450"/>
      <c r="J141" s="450"/>
      <c r="K141" s="450"/>
      <c r="L141" s="450"/>
      <c r="M141" s="450">
        <v>3463</v>
      </c>
    </row>
    <row r="142" spans="1:15" s="312" customFormat="1" ht="10.5" hidden="1" customHeight="1">
      <c r="A142" s="431" t="s">
        <v>552</v>
      </c>
      <c r="B142" s="453"/>
      <c r="C142" s="453"/>
      <c r="D142" s="453"/>
      <c r="E142" s="453"/>
      <c r="F142" s="453"/>
      <c r="G142" s="453"/>
      <c r="H142" s="453"/>
      <c r="I142" s="453"/>
      <c r="J142" s="453"/>
      <c r="K142" s="453"/>
      <c r="L142" s="453"/>
      <c r="M142" s="453">
        <v>334785</v>
      </c>
    </row>
    <row r="143" spans="1:15" s="312" customFormat="1" ht="10.5" hidden="1" customHeight="1">
      <c r="A143" s="329" t="s">
        <v>553</v>
      </c>
      <c r="B143" s="450"/>
      <c r="C143" s="450"/>
      <c r="D143" s="450"/>
      <c r="E143" s="450"/>
      <c r="F143" s="450"/>
      <c r="G143" s="450"/>
      <c r="H143" s="450"/>
      <c r="I143" s="450"/>
      <c r="J143" s="450"/>
      <c r="K143" s="450"/>
      <c r="L143" s="450"/>
      <c r="M143" s="450"/>
    </row>
    <row r="144" spans="1:15" s="312" customFormat="1" ht="10.5" hidden="1" customHeight="1">
      <c r="A144" s="334" t="s">
        <v>547</v>
      </c>
      <c r="B144" s="450">
        <v>11663</v>
      </c>
      <c r="C144" s="450">
        <v>6966</v>
      </c>
      <c r="D144" s="450">
        <v>38177</v>
      </c>
      <c r="E144" s="450">
        <v>0</v>
      </c>
      <c r="F144" s="450">
        <v>20922</v>
      </c>
      <c r="G144" s="450">
        <v>12343</v>
      </c>
      <c r="H144" s="450">
        <v>90071</v>
      </c>
      <c r="I144" s="450" t="s">
        <v>560</v>
      </c>
      <c r="J144" s="450">
        <v>860</v>
      </c>
      <c r="K144" s="450">
        <v>0</v>
      </c>
      <c r="L144" s="450">
        <v>1259</v>
      </c>
      <c r="M144" s="450">
        <v>92190</v>
      </c>
    </row>
    <row r="145" spans="1:14" s="312" customFormat="1" ht="10.5" hidden="1" customHeight="1">
      <c r="A145" s="334" t="s">
        <v>554</v>
      </c>
      <c r="B145" s="450">
        <v>3321</v>
      </c>
      <c r="C145" s="450">
        <v>2788</v>
      </c>
      <c r="D145" s="450">
        <v>16536</v>
      </c>
      <c r="E145" s="450">
        <v>0</v>
      </c>
      <c r="F145" s="450">
        <v>4769</v>
      </c>
      <c r="G145" s="450">
        <v>3719</v>
      </c>
      <c r="H145" s="450">
        <v>31133</v>
      </c>
      <c r="I145" s="450" t="s">
        <v>560</v>
      </c>
      <c r="J145" s="450">
        <v>860</v>
      </c>
      <c r="K145" s="450">
        <v>0</v>
      </c>
      <c r="L145" s="450">
        <v>1259</v>
      </c>
      <c r="M145" s="450">
        <v>33252</v>
      </c>
    </row>
    <row r="146" spans="1:14" s="312" customFormat="1" ht="10.5" hidden="1" customHeight="1">
      <c r="A146" s="334" t="s">
        <v>549</v>
      </c>
      <c r="B146" s="452">
        <v>230</v>
      </c>
      <c r="C146" s="452">
        <v>204</v>
      </c>
      <c r="D146" s="452">
        <v>530</v>
      </c>
      <c r="E146" s="450">
        <v>0</v>
      </c>
      <c r="F146" s="452">
        <v>264</v>
      </c>
      <c r="G146" s="452">
        <v>141</v>
      </c>
      <c r="H146" s="452">
        <v>1369</v>
      </c>
      <c r="I146" s="452" t="s">
        <v>560</v>
      </c>
      <c r="J146" s="452">
        <v>11</v>
      </c>
      <c r="K146" s="450">
        <v>0</v>
      </c>
      <c r="L146" s="450">
        <v>0</v>
      </c>
      <c r="M146" s="452">
        <v>1380</v>
      </c>
    </row>
    <row r="147" spans="1:14" s="312" customFormat="1" ht="10.5" hidden="1" customHeight="1">
      <c r="A147" s="431" t="s">
        <v>555</v>
      </c>
      <c r="B147" s="453">
        <v>3092</v>
      </c>
      <c r="C147" s="453">
        <v>2584</v>
      </c>
      <c r="D147" s="453">
        <v>16006</v>
      </c>
      <c r="E147" s="453">
        <v>0</v>
      </c>
      <c r="F147" s="453">
        <v>4505</v>
      </c>
      <c r="G147" s="453">
        <v>3578</v>
      </c>
      <c r="H147" s="453">
        <v>29765</v>
      </c>
      <c r="I147" s="453" t="s">
        <v>560</v>
      </c>
      <c r="J147" s="453">
        <v>849</v>
      </c>
      <c r="K147" s="453">
        <v>0</v>
      </c>
      <c r="L147" s="453">
        <v>1259</v>
      </c>
      <c r="M147" s="453">
        <v>31873</v>
      </c>
    </row>
    <row r="148" spans="1:14" s="312" customFormat="1" ht="10.5" hidden="1" customHeight="1">
      <c r="A148" s="329" t="s">
        <v>556</v>
      </c>
      <c r="B148" s="450"/>
      <c r="C148" s="450"/>
      <c r="D148" s="450"/>
      <c r="E148" s="450"/>
      <c r="F148" s="450"/>
      <c r="G148" s="450"/>
      <c r="H148" s="450"/>
      <c r="I148" s="450"/>
      <c r="J148" s="450"/>
      <c r="K148" s="450"/>
      <c r="L148" s="450"/>
      <c r="M148" s="450"/>
    </row>
    <row r="149" spans="1:14" s="312" customFormat="1" ht="10.5" hidden="1" customHeight="1">
      <c r="A149" s="334" t="s">
        <v>557</v>
      </c>
      <c r="B149" s="450">
        <v>344552</v>
      </c>
      <c r="C149" s="450">
        <v>14977</v>
      </c>
      <c r="D149" s="450">
        <v>329442</v>
      </c>
      <c r="E149" s="450">
        <v>233765</v>
      </c>
      <c r="F149" s="450">
        <v>24107</v>
      </c>
      <c r="G149" s="450">
        <v>12343</v>
      </c>
      <c r="H149" s="450">
        <v>959186</v>
      </c>
      <c r="I149" s="450" t="s">
        <v>560</v>
      </c>
      <c r="J149" s="450">
        <v>4788</v>
      </c>
      <c r="K149" s="450">
        <v>2652</v>
      </c>
      <c r="L149" s="450">
        <v>1259</v>
      </c>
      <c r="M149" s="450">
        <v>967884</v>
      </c>
    </row>
    <row r="150" spans="1:14" s="312" customFormat="1" ht="10.5" hidden="1" customHeight="1">
      <c r="A150" s="334" t="s">
        <v>554</v>
      </c>
      <c r="B150" s="450">
        <v>124279</v>
      </c>
      <c r="C150" s="450">
        <v>4799</v>
      </c>
      <c r="D150" s="450">
        <v>152277</v>
      </c>
      <c r="E150" s="450">
        <v>87848</v>
      </c>
      <c r="F150" s="450">
        <v>5625</v>
      </c>
      <c r="G150" s="450">
        <v>3719</v>
      </c>
      <c r="H150" s="450">
        <v>378548</v>
      </c>
      <c r="I150" s="450" t="s">
        <v>560</v>
      </c>
      <c r="J150" s="450">
        <v>4788</v>
      </c>
      <c r="K150" s="450">
        <v>2652</v>
      </c>
      <c r="L150" s="450">
        <v>1259</v>
      </c>
      <c r="M150" s="450">
        <v>387246</v>
      </c>
    </row>
    <row r="151" spans="1:14" s="312" customFormat="1" ht="10.5" hidden="1" customHeight="1">
      <c r="A151" s="334" t="s">
        <v>549</v>
      </c>
      <c r="B151" s="450">
        <v>5804</v>
      </c>
      <c r="C151" s="450">
        <v>582</v>
      </c>
      <c r="D151" s="450">
        <v>3407</v>
      </c>
      <c r="E151" s="450">
        <v>6758</v>
      </c>
      <c r="F151" s="450">
        <v>318</v>
      </c>
      <c r="G151" s="450">
        <v>141</v>
      </c>
      <c r="H151" s="450">
        <v>17011</v>
      </c>
      <c r="I151" s="450" t="s">
        <v>560</v>
      </c>
      <c r="J151" s="450">
        <v>25</v>
      </c>
      <c r="K151" s="450">
        <v>90</v>
      </c>
      <c r="L151" s="450">
        <v>0</v>
      </c>
      <c r="M151" s="450">
        <v>17126</v>
      </c>
    </row>
    <row r="152" spans="1:14" s="312" customFormat="1" ht="10.5" hidden="1" customHeight="1">
      <c r="A152" s="334" t="s">
        <v>550</v>
      </c>
      <c r="B152" s="450">
        <v>118475</v>
      </c>
      <c r="C152" s="450">
        <v>4217</v>
      </c>
      <c r="D152" s="450">
        <v>148870</v>
      </c>
      <c r="E152" s="450">
        <v>81090</v>
      </c>
      <c r="F152" s="450">
        <v>5307</v>
      </c>
      <c r="G152" s="450">
        <v>3578</v>
      </c>
      <c r="H152" s="450">
        <v>361537</v>
      </c>
      <c r="I152" s="450" t="s">
        <v>560</v>
      </c>
      <c r="J152" s="450">
        <v>4763</v>
      </c>
      <c r="K152" s="450">
        <v>2562</v>
      </c>
      <c r="L152" s="450">
        <v>1259</v>
      </c>
      <c r="M152" s="450">
        <v>370120</v>
      </c>
    </row>
    <row r="153" spans="1:14" s="312" customFormat="1" ht="10.5" hidden="1" customHeight="1">
      <c r="A153" s="334" t="s">
        <v>551</v>
      </c>
      <c r="B153" s="450"/>
      <c r="C153" s="450"/>
      <c r="D153" s="450"/>
      <c r="E153" s="450"/>
      <c r="F153" s="450"/>
      <c r="G153" s="450"/>
      <c r="H153" s="450"/>
      <c r="I153" s="450"/>
      <c r="J153" s="450"/>
      <c r="K153" s="450"/>
      <c r="L153" s="450"/>
      <c r="M153" s="450">
        <v>3463</v>
      </c>
    </row>
    <row r="154" spans="1:14" s="312" customFormat="1" ht="10.5" hidden="1" customHeight="1" thickBot="1">
      <c r="A154" s="433" t="s">
        <v>552</v>
      </c>
      <c r="B154" s="454"/>
      <c r="C154" s="454"/>
      <c r="D154" s="454"/>
      <c r="E154" s="454"/>
      <c r="F154" s="454"/>
      <c r="G154" s="454"/>
      <c r="H154" s="454"/>
      <c r="I154" s="454"/>
      <c r="J154" s="454"/>
      <c r="K154" s="454"/>
      <c r="L154" s="454"/>
      <c r="M154" s="454">
        <v>366657</v>
      </c>
    </row>
    <row r="155" spans="1:14" s="346" customFormat="1" ht="13.5" hidden="1" customHeight="1">
      <c r="A155" s="447">
        <v>2003</v>
      </c>
      <c r="B155" s="455"/>
      <c r="C155" s="455"/>
      <c r="D155" s="455"/>
      <c r="E155" s="455"/>
      <c r="F155" s="455"/>
      <c r="G155" s="455"/>
      <c r="H155" s="455"/>
      <c r="I155" s="455"/>
      <c r="J155" s="455"/>
      <c r="K155" s="455"/>
      <c r="L155" s="455"/>
      <c r="M155" s="455"/>
    </row>
    <row r="156" spans="1:14" ht="10.5" hidden="1" customHeight="1">
      <c r="A156" s="329" t="s">
        <v>562</v>
      </c>
      <c r="B156" s="450"/>
      <c r="C156" s="450"/>
      <c r="D156" s="450"/>
      <c r="E156" s="450"/>
      <c r="F156" s="450"/>
      <c r="G156" s="450"/>
      <c r="H156" s="450"/>
      <c r="I156" s="450"/>
      <c r="J156" s="450"/>
      <c r="K156" s="450"/>
      <c r="L156" s="450"/>
      <c r="M156" s="450"/>
    </row>
    <row r="157" spans="1:14" ht="10.5" hidden="1" customHeight="1">
      <c r="A157" s="334" t="s">
        <v>547</v>
      </c>
      <c r="B157" s="450">
        <v>367162</v>
      </c>
      <c r="C157" s="450">
        <v>7604</v>
      </c>
      <c r="D157" s="450">
        <v>284662</v>
      </c>
      <c r="E157" s="450">
        <v>233080</v>
      </c>
      <c r="F157" s="450">
        <v>4434</v>
      </c>
      <c r="G157" s="450">
        <v>0</v>
      </c>
      <c r="H157" s="450">
        <v>896941</v>
      </c>
      <c r="I157" s="450"/>
      <c r="J157" s="450">
        <v>2568</v>
      </c>
      <c r="K157" s="450">
        <v>2734</v>
      </c>
      <c r="L157" s="450">
        <v>0</v>
      </c>
      <c r="M157" s="450">
        <v>902243</v>
      </c>
    </row>
    <row r="158" spans="1:14" ht="10.5" hidden="1" customHeight="1">
      <c r="A158" s="334" t="s">
        <v>548</v>
      </c>
      <c r="B158" s="450">
        <v>134023</v>
      </c>
      <c r="C158" s="450">
        <v>2197</v>
      </c>
      <c r="D158" s="450">
        <v>131238</v>
      </c>
      <c r="E158" s="450">
        <v>88686</v>
      </c>
      <c r="F158" s="450">
        <v>1154</v>
      </c>
      <c r="G158" s="450">
        <v>0</v>
      </c>
      <c r="H158" s="450">
        <v>357299</v>
      </c>
      <c r="I158" s="450"/>
      <c r="J158" s="450">
        <v>2568</v>
      </c>
      <c r="K158" s="450">
        <v>2734</v>
      </c>
      <c r="L158" s="450">
        <v>0</v>
      </c>
      <c r="M158" s="450">
        <v>362600</v>
      </c>
    </row>
    <row r="159" spans="1:14" ht="10.5" hidden="1" customHeight="1">
      <c r="A159" s="334" t="s">
        <v>549</v>
      </c>
      <c r="B159" s="450">
        <v>6325</v>
      </c>
      <c r="C159" s="450">
        <v>249</v>
      </c>
      <c r="D159" s="450">
        <v>3201</v>
      </c>
      <c r="E159" s="450">
        <v>6775</v>
      </c>
      <c r="F159" s="450">
        <v>95</v>
      </c>
      <c r="G159" s="450">
        <v>0</v>
      </c>
      <c r="H159" s="450">
        <v>16645</v>
      </c>
      <c r="I159" s="450"/>
      <c r="J159" s="450">
        <v>9</v>
      </c>
      <c r="K159" s="450">
        <v>92</v>
      </c>
      <c r="L159" s="450">
        <v>0</v>
      </c>
      <c r="M159" s="450">
        <v>16747</v>
      </c>
    </row>
    <row r="160" spans="1:14" ht="10.5" hidden="1" customHeight="1">
      <c r="A160" s="334" t="s">
        <v>550</v>
      </c>
      <c r="B160" s="450">
        <v>127698</v>
      </c>
      <c r="C160" s="450">
        <v>1948</v>
      </c>
      <c r="D160" s="450">
        <v>128037</v>
      </c>
      <c r="E160" s="450">
        <v>81911</v>
      </c>
      <c r="F160" s="450">
        <v>1059</v>
      </c>
      <c r="G160" s="450">
        <v>0</v>
      </c>
      <c r="H160" s="450">
        <v>340654</v>
      </c>
      <c r="I160" s="450"/>
      <c r="J160" s="450">
        <v>2559</v>
      </c>
      <c r="K160" s="450">
        <v>2641</v>
      </c>
      <c r="L160" s="450">
        <v>0</v>
      </c>
      <c r="M160" s="450">
        <v>345854</v>
      </c>
      <c r="N160" s="456"/>
    </row>
    <row r="161" spans="1:13" ht="10.5" hidden="1" customHeight="1">
      <c r="A161" s="334" t="s">
        <v>551</v>
      </c>
      <c r="B161" s="450"/>
      <c r="C161" s="450"/>
      <c r="D161" s="450"/>
      <c r="E161" s="450"/>
      <c r="F161" s="450"/>
      <c r="G161" s="450"/>
      <c r="H161" s="450"/>
      <c r="I161" s="450"/>
      <c r="J161" s="450"/>
      <c r="K161" s="450"/>
      <c r="L161" s="450"/>
      <c r="M161" s="450">
        <v>3546</v>
      </c>
    </row>
    <row r="162" spans="1:13" ht="10.5" hidden="1" customHeight="1">
      <c r="A162" s="431" t="s">
        <v>552</v>
      </c>
      <c r="B162" s="453"/>
      <c r="C162" s="453"/>
      <c r="D162" s="453"/>
      <c r="E162" s="453"/>
      <c r="F162" s="453"/>
      <c r="G162" s="453"/>
      <c r="H162" s="453"/>
      <c r="I162" s="453"/>
      <c r="J162" s="453"/>
      <c r="K162" s="453"/>
      <c r="L162" s="453"/>
      <c r="M162" s="453">
        <v>342308</v>
      </c>
    </row>
    <row r="163" spans="1:13" ht="10.5" hidden="1" customHeight="1">
      <c r="A163" s="329" t="s">
        <v>553</v>
      </c>
      <c r="B163" s="450"/>
      <c r="C163" s="450"/>
      <c r="D163" s="450"/>
      <c r="E163" s="450"/>
      <c r="F163" s="450"/>
      <c r="G163" s="450"/>
      <c r="H163" s="450"/>
      <c r="I163" s="450"/>
      <c r="J163" s="450"/>
      <c r="K163" s="450"/>
      <c r="L163" s="450"/>
      <c r="M163" s="450"/>
    </row>
    <row r="164" spans="1:13" ht="11.25" hidden="1" customHeight="1">
      <c r="A164" s="334" t="s">
        <v>547</v>
      </c>
      <c r="B164" s="450">
        <v>11301</v>
      </c>
      <c r="C164" s="450">
        <v>6263</v>
      </c>
      <c r="D164" s="450">
        <v>39265</v>
      </c>
      <c r="E164" s="450">
        <v>0</v>
      </c>
      <c r="F164" s="450">
        <v>23574</v>
      </c>
      <c r="G164" s="450">
        <v>17703</v>
      </c>
      <c r="H164" s="450">
        <v>98106</v>
      </c>
      <c r="I164" s="450"/>
      <c r="J164" s="450">
        <v>660</v>
      </c>
      <c r="K164" s="450">
        <v>0</v>
      </c>
      <c r="L164" s="450">
        <v>1288</v>
      </c>
      <c r="M164" s="450">
        <v>100054</v>
      </c>
    </row>
    <row r="165" spans="1:13" ht="10.5" hidden="1" customHeight="1">
      <c r="A165" s="334" t="s">
        <v>554</v>
      </c>
      <c r="B165" s="450">
        <v>4282</v>
      </c>
      <c r="C165" s="450">
        <v>2397</v>
      </c>
      <c r="D165" s="450">
        <v>17643</v>
      </c>
      <c r="E165" s="450">
        <v>0</v>
      </c>
      <c r="F165" s="450">
        <v>5537</v>
      </c>
      <c r="G165" s="450">
        <v>3800</v>
      </c>
      <c r="H165" s="450">
        <v>33660</v>
      </c>
      <c r="I165" s="450"/>
      <c r="J165" s="450">
        <v>660</v>
      </c>
      <c r="K165" s="450">
        <v>0</v>
      </c>
      <c r="L165" s="450">
        <v>1288</v>
      </c>
      <c r="M165" s="450">
        <v>35609</v>
      </c>
    </row>
    <row r="166" spans="1:13" ht="10.5" hidden="1" customHeight="1">
      <c r="A166" s="334" t="s">
        <v>549</v>
      </c>
      <c r="B166" s="452">
        <v>220</v>
      </c>
      <c r="C166" s="452">
        <v>174</v>
      </c>
      <c r="D166" s="452">
        <v>547</v>
      </c>
      <c r="E166" s="450">
        <v>0</v>
      </c>
      <c r="F166" s="452">
        <v>306</v>
      </c>
      <c r="G166" s="452">
        <v>135</v>
      </c>
      <c r="H166" s="452">
        <v>1382</v>
      </c>
      <c r="I166" s="452"/>
      <c r="J166" s="452">
        <v>7</v>
      </c>
      <c r="K166" s="450">
        <v>0</v>
      </c>
      <c r="L166" s="450">
        <v>0</v>
      </c>
      <c r="M166" s="452">
        <v>1389</v>
      </c>
    </row>
    <row r="167" spans="1:13" ht="10.5" hidden="1" customHeight="1">
      <c r="A167" s="431" t="s">
        <v>555</v>
      </c>
      <c r="B167" s="453">
        <v>4062</v>
      </c>
      <c r="C167" s="453">
        <v>2223</v>
      </c>
      <c r="D167" s="453">
        <v>17097</v>
      </c>
      <c r="E167" s="453">
        <v>0</v>
      </c>
      <c r="F167" s="453">
        <v>5231</v>
      </c>
      <c r="G167" s="453">
        <v>3665</v>
      </c>
      <c r="H167" s="453">
        <v>32278</v>
      </c>
      <c r="I167" s="453"/>
      <c r="J167" s="453">
        <v>653</v>
      </c>
      <c r="K167" s="453">
        <v>0</v>
      </c>
      <c r="L167" s="453">
        <v>1288</v>
      </c>
      <c r="M167" s="453">
        <v>34220</v>
      </c>
    </row>
    <row r="168" spans="1:13" ht="10.5" hidden="1" customHeight="1">
      <c r="A168" s="329" t="s">
        <v>556</v>
      </c>
      <c r="B168" s="450"/>
      <c r="C168" s="450"/>
      <c r="D168" s="450"/>
      <c r="E168" s="450"/>
      <c r="F168" s="450"/>
      <c r="G168" s="450"/>
      <c r="H168" s="450"/>
      <c r="I168" s="450"/>
      <c r="J168" s="450"/>
      <c r="K168" s="450"/>
      <c r="L168" s="450"/>
      <c r="M168" s="450"/>
    </row>
    <row r="169" spans="1:13" ht="10.5" hidden="1" customHeight="1">
      <c r="A169" s="334" t="s">
        <v>557</v>
      </c>
      <c r="B169" s="450">
        <v>378463</v>
      </c>
      <c r="C169" s="450">
        <v>13867</v>
      </c>
      <c r="D169" s="450">
        <v>323926</v>
      </c>
      <c r="E169" s="450">
        <v>233080</v>
      </c>
      <c r="F169" s="450">
        <v>28008</v>
      </c>
      <c r="G169" s="450">
        <v>17703</v>
      </c>
      <c r="H169" s="450">
        <v>995047</v>
      </c>
      <c r="I169" s="450"/>
      <c r="J169" s="450">
        <v>3228</v>
      </c>
      <c r="K169" s="450">
        <v>2734</v>
      </c>
      <c r="L169" s="450">
        <v>1288</v>
      </c>
      <c r="M169" s="450">
        <v>1002297</v>
      </c>
    </row>
    <row r="170" spans="1:13" ht="10.5" hidden="1" customHeight="1">
      <c r="A170" s="334" t="s">
        <v>554</v>
      </c>
      <c r="B170" s="450">
        <v>138305</v>
      </c>
      <c r="C170" s="450">
        <v>4594</v>
      </c>
      <c r="D170" s="450">
        <v>148881</v>
      </c>
      <c r="E170" s="450">
        <v>88686</v>
      </c>
      <c r="F170" s="450">
        <v>6692</v>
      </c>
      <c r="G170" s="450">
        <v>3800</v>
      </c>
      <c r="H170" s="450">
        <v>390959</v>
      </c>
      <c r="I170" s="450"/>
      <c r="J170" s="450">
        <v>3228</v>
      </c>
      <c r="K170" s="450">
        <v>2734</v>
      </c>
      <c r="L170" s="450">
        <v>1288</v>
      </c>
      <c r="M170" s="450">
        <v>398209</v>
      </c>
    </row>
    <row r="171" spans="1:13" ht="10.5" hidden="1" customHeight="1">
      <c r="A171" s="334" t="s">
        <v>549</v>
      </c>
      <c r="B171" s="450">
        <v>6545</v>
      </c>
      <c r="C171" s="450">
        <v>424</v>
      </c>
      <c r="D171" s="450">
        <v>3747</v>
      </c>
      <c r="E171" s="450">
        <v>6775</v>
      </c>
      <c r="F171" s="450">
        <v>401</v>
      </c>
      <c r="G171" s="450">
        <v>135</v>
      </c>
      <c r="H171" s="450">
        <v>18027</v>
      </c>
      <c r="I171" s="450"/>
      <c r="J171" s="450">
        <v>16</v>
      </c>
      <c r="K171" s="450">
        <v>92</v>
      </c>
      <c r="L171" s="450">
        <v>0</v>
      </c>
      <c r="M171" s="450">
        <v>18136</v>
      </c>
    </row>
    <row r="172" spans="1:13" ht="10.5" hidden="1" customHeight="1">
      <c r="A172" s="334" t="s">
        <v>550</v>
      </c>
      <c r="B172" s="450">
        <v>131760</v>
      </c>
      <c r="C172" s="450">
        <v>4171</v>
      </c>
      <c r="D172" s="450">
        <v>145134</v>
      </c>
      <c r="E172" s="450">
        <v>81911</v>
      </c>
      <c r="F172" s="450">
        <v>6290</v>
      </c>
      <c r="G172" s="450">
        <v>3665</v>
      </c>
      <c r="H172" s="450">
        <v>372932</v>
      </c>
      <c r="I172" s="450"/>
      <c r="J172" s="450">
        <v>3212</v>
      </c>
      <c r="K172" s="450">
        <v>2641</v>
      </c>
      <c r="L172" s="450">
        <v>1288</v>
      </c>
      <c r="M172" s="450">
        <v>380074</v>
      </c>
    </row>
    <row r="173" spans="1:13" ht="10.5" hidden="1" customHeight="1">
      <c r="A173" s="334" t="s">
        <v>551</v>
      </c>
      <c r="B173" s="450"/>
      <c r="C173" s="450"/>
      <c r="D173" s="450"/>
      <c r="E173" s="450"/>
      <c r="F173" s="450"/>
      <c r="G173" s="450"/>
      <c r="H173" s="450"/>
      <c r="I173" s="450"/>
      <c r="J173" s="450"/>
      <c r="K173" s="450"/>
      <c r="L173" s="450"/>
      <c r="M173" s="450">
        <v>3546</v>
      </c>
    </row>
    <row r="174" spans="1:13" ht="10.5" hidden="1" customHeight="1" thickBot="1">
      <c r="A174" s="433" t="s">
        <v>552</v>
      </c>
      <c r="B174" s="454"/>
      <c r="C174" s="454"/>
      <c r="D174" s="454"/>
      <c r="E174" s="454"/>
      <c r="F174" s="454"/>
      <c r="G174" s="454"/>
      <c r="H174" s="454"/>
      <c r="I174" s="454"/>
      <c r="J174" s="454"/>
      <c r="K174" s="454"/>
      <c r="L174" s="454"/>
      <c r="M174" s="454">
        <v>376528</v>
      </c>
    </row>
    <row r="175" spans="1:13" s="346" customFormat="1" ht="13.5" customHeight="1">
      <c r="A175" s="447">
        <v>2004</v>
      </c>
      <c r="B175" s="388"/>
      <c r="C175" s="388"/>
      <c r="D175" s="388"/>
      <c r="E175" s="388"/>
      <c r="F175" s="388"/>
      <c r="G175" s="388"/>
      <c r="H175" s="388"/>
      <c r="I175" s="388"/>
      <c r="J175" s="388"/>
      <c r="K175" s="388"/>
      <c r="L175" s="388"/>
      <c r="M175" s="388"/>
    </row>
    <row r="176" spans="1:13" ht="10.5" customHeight="1">
      <c r="A176" s="329" t="s">
        <v>562</v>
      </c>
      <c r="B176" s="336"/>
      <c r="C176" s="336"/>
      <c r="D176" s="336"/>
      <c r="E176" s="336"/>
      <c r="F176" s="336"/>
      <c r="G176" s="336"/>
      <c r="H176" s="336"/>
      <c r="I176" s="336"/>
      <c r="J176" s="336"/>
      <c r="K176" s="336"/>
      <c r="L176" s="336"/>
      <c r="M176" s="336"/>
    </row>
    <row r="177" spans="1:37" ht="10.5" customHeight="1">
      <c r="A177" s="334" t="s">
        <v>547</v>
      </c>
      <c r="B177" s="449">
        <v>353256</v>
      </c>
      <c r="C177" s="449">
        <v>6708.5930325738436</v>
      </c>
      <c r="D177" s="449">
        <v>304495</v>
      </c>
      <c r="E177" s="449">
        <v>211247.8205367073</v>
      </c>
      <c r="F177" s="449">
        <v>6281.8980192600575</v>
      </c>
      <c r="G177" s="449">
        <v>0</v>
      </c>
      <c r="H177" s="449">
        <v>881989.31158854114</v>
      </c>
      <c r="I177" s="449"/>
      <c r="J177" s="449">
        <v>3907.8</v>
      </c>
      <c r="K177" s="449">
        <v>2648.5490306581578</v>
      </c>
      <c r="L177" s="449">
        <v>0</v>
      </c>
      <c r="M177" s="449">
        <v>888545.66061919939</v>
      </c>
      <c r="Z177" s="451"/>
      <c r="AA177" s="451"/>
      <c r="AB177" s="451"/>
      <c r="AC177" s="451"/>
      <c r="AD177" s="451"/>
      <c r="AE177" s="451"/>
      <c r="AF177" s="451"/>
      <c r="AG177" s="451"/>
      <c r="AH177" s="451"/>
      <c r="AI177" s="451"/>
      <c r="AJ177" s="451"/>
      <c r="AK177" s="451"/>
    </row>
    <row r="178" spans="1:37" ht="10.5" customHeight="1">
      <c r="A178" s="334" t="s">
        <v>548</v>
      </c>
      <c r="B178" s="449">
        <v>127826.56739997381</v>
      </c>
      <c r="C178" s="449">
        <v>1882.7795449292664</v>
      </c>
      <c r="D178" s="449">
        <v>140576.96700778682</v>
      </c>
      <c r="E178" s="449">
        <v>79999.105642214723</v>
      </c>
      <c r="F178" s="449">
        <v>1471.4293287500002</v>
      </c>
      <c r="G178" s="449">
        <v>0</v>
      </c>
      <c r="H178" s="449">
        <v>351756.84892365459</v>
      </c>
      <c r="I178" s="449"/>
      <c r="J178" s="449">
        <v>3907.8</v>
      </c>
      <c r="K178" s="449">
        <v>2648.5490306581578</v>
      </c>
      <c r="L178" s="449">
        <v>0</v>
      </c>
      <c r="M178" s="449">
        <v>358313.19795431272</v>
      </c>
      <c r="Z178" s="451"/>
      <c r="AA178" s="451"/>
      <c r="AB178" s="451"/>
      <c r="AC178" s="451"/>
      <c r="AD178" s="451"/>
      <c r="AE178" s="451"/>
      <c r="AF178" s="451"/>
      <c r="AG178" s="451"/>
      <c r="AH178" s="451"/>
      <c r="AI178" s="451"/>
      <c r="AJ178" s="451"/>
      <c r="AK178" s="451"/>
    </row>
    <row r="179" spans="1:37" ht="10.5" customHeight="1">
      <c r="A179" s="334" t="s">
        <v>549</v>
      </c>
      <c r="B179" s="449">
        <v>5889.917558219051</v>
      </c>
      <c r="C179" s="449">
        <v>354.44067876695226</v>
      </c>
      <c r="D179" s="449">
        <v>2819.4038414183888</v>
      </c>
      <c r="E179" s="449">
        <v>6317.4639580041985</v>
      </c>
      <c r="F179" s="449">
        <v>104.40797125664585</v>
      </c>
      <c r="G179" s="449">
        <v>0</v>
      </c>
      <c r="H179" s="449">
        <v>15485.634007665236</v>
      </c>
      <c r="I179" s="449"/>
      <c r="J179" s="449">
        <v>6.3174112814294858</v>
      </c>
      <c r="K179" s="449">
        <v>89.564459973947578</v>
      </c>
      <c r="L179" s="449">
        <v>0</v>
      </c>
      <c r="M179" s="449">
        <v>15581.515878920613</v>
      </c>
      <c r="Z179" s="451"/>
      <c r="AA179" s="451"/>
      <c r="AB179" s="451"/>
      <c r="AC179" s="451"/>
      <c r="AD179" s="451"/>
      <c r="AE179" s="451"/>
      <c r="AF179" s="451"/>
      <c r="AG179" s="451"/>
      <c r="AH179" s="451"/>
      <c r="AI179" s="451"/>
      <c r="AJ179" s="451"/>
      <c r="AK179" s="451"/>
    </row>
    <row r="180" spans="1:37" ht="10.5" customHeight="1">
      <c r="A180" s="334" t="s">
        <v>550</v>
      </c>
      <c r="B180" s="449">
        <v>121936.64984175476</v>
      </c>
      <c r="C180" s="449">
        <v>1528.3388661623142</v>
      </c>
      <c r="D180" s="449">
        <v>137757.56316636843</v>
      </c>
      <c r="E180" s="449">
        <v>73681.641684210525</v>
      </c>
      <c r="F180" s="449">
        <v>1367.0213574933543</v>
      </c>
      <c r="G180" s="449">
        <v>0</v>
      </c>
      <c r="H180" s="449">
        <v>336271.21491598937</v>
      </c>
      <c r="I180" s="449"/>
      <c r="J180" s="449">
        <v>3901.4825887185702</v>
      </c>
      <c r="K180" s="449">
        <v>2558.9845706842102</v>
      </c>
      <c r="L180" s="449">
        <v>0</v>
      </c>
      <c r="M180" s="449">
        <v>342731.68207539216</v>
      </c>
      <c r="Z180" s="451"/>
      <c r="AA180" s="451"/>
      <c r="AB180" s="451"/>
      <c r="AC180" s="451"/>
      <c r="AD180" s="451"/>
      <c r="AE180" s="451"/>
      <c r="AF180" s="451"/>
      <c r="AG180" s="451"/>
      <c r="AH180" s="451"/>
      <c r="AI180" s="451"/>
      <c r="AJ180" s="451"/>
      <c r="AK180" s="451"/>
    </row>
    <row r="181" spans="1:37" ht="10.5" customHeight="1">
      <c r="A181" s="334" t="s">
        <v>551</v>
      </c>
      <c r="B181" s="449"/>
      <c r="C181" s="449"/>
      <c r="D181" s="449"/>
      <c r="E181" s="449"/>
      <c r="F181" s="449"/>
      <c r="G181" s="449"/>
      <c r="H181" s="449"/>
      <c r="I181" s="449"/>
      <c r="J181" s="449"/>
      <c r="K181" s="449"/>
      <c r="L181" s="449"/>
      <c r="M181" s="449">
        <v>3497.1021796315795</v>
      </c>
      <c r="Z181" s="451"/>
      <c r="AA181" s="451"/>
      <c r="AB181" s="451"/>
      <c r="AC181" s="451"/>
      <c r="AD181" s="451"/>
      <c r="AE181" s="451"/>
      <c r="AF181" s="451"/>
      <c r="AG181" s="451"/>
      <c r="AH181" s="451"/>
      <c r="AI181" s="451"/>
      <c r="AJ181" s="451"/>
      <c r="AK181" s="451"/>
    </row>
    <row r="182" spans="1:37" ht="10.5" customHeight="1">
      <c r="A182" s="431" t="s">
        <v>552</v>
      </c>
      <c r="B182" s="457"/>
      <c r="C182" s="457"/>
      <c r="D182" s="457"/>
      <c r="E182" s="457"/>
      <c r="F182" s="457"/>
      <c r="G182" s="457"/>
      <c r="H182" s="457"/>
      <c r="I182" s="457"/>
      <c r="J182" s="457"/>
      <c r="K182" s="457"/>
      <c r="L182" s="457"/>
      <c r="M182" s="457">
        <v>339234.57989576057</v>
      </c>
      <c r="Z182" s="451"/>
      <c r="AA182" s="451"/>
      <c r="AB182" s="451"/>
      <c r="AC182" s="451"/>
      <c r="AD182" s="451"/>
      <c r="AE182" s="451"/>
      <c r="AF182" s="451"/>
      <c r="AG182" s="451"/>
      <c r="AH182" s="451"/>
      <c r="AI182" s="451"/>
      <c r="AJ182" s="451"/>
      <c r="AK182" s="451"/>
    </row>
    <row r="183" spans="1:37" ht="10.5" customHeight="1">
      <c r="A183" s="329" t="s">
        <v>553</v>
      </c>
      <c r="B183" s="449"/>
      <c r="C183" s="449"/>
      <c r="D183" s="449"/>
      <c r="E183" s="449"/>
      <c r="F183" s="449"/>
      <c r="G183" s="449"/>
      <c r="H183" s="449"/>
      <c r="I183" s="449"/>
      <c r="J183" s="449"/>
      <c r="K183" s="449"/>
      <c r="L183" s="449"/>
      <c r="M183" s="449"/>
      <c r="Z183" s="451"/>
      <c r="AA183" s="451"/>
      <c r="AB183" s="451"/>
      <c r="AC183" s="451"/>
      <c r="AD183" s="451"/>
      <c r="AE183" s="451"/>
      <c r="AF183" s="451"/>
      <c r="AG183" s="451"/>
      <c r="AH183" s="451"/>
      <c r="AI183" s="451"/>
      <c r="AJ183" s="451"/>
      <c r="AK183" s="451"/>
    </row>
    <row r="184" spans="1:37" ht="11.45" customHeight="1">
      <c r="A184" s="334" t="s">
        <v>547</v>
      </c>
      <c r="B184" s="449">
        <v>10901.524560357038</v>
      </c>
      <c r="C184" s="449">
        <v>6083.1605883472694</v>
      </c>
      <c r="D184" s="449">
        <v>35732.662999999993</v>
      </c>
      <c r="E184" s="449">
        <v>0</v>
      </c>
      <c r="F184" s="449">
        <v>25902.031843635745</v>
      </c>
      <c r="G184" s="449">
        <v>16131.974332247872</v>
      </c>
      <c r="H184" s="449">
        <v>94751.354324587912</v>
      </c>
      <c r="I184" s="449"/>
      <c r="J184" s="449">
        <v>936.19899999999996</v>
      </c>
      <c r="K184" s="449">
        <v>0</v>
      </c>
      <c r="L184" s="449">
        <v>1939.1148680000001</v>
      </c>
      <c r="M184" s="449">
        <v>97626.668192587909</v>
      </c>
      <c r="Z184" s="451"/>
      <c r="AA184" s="451"/>
      <c r="AB184" s="451"/>
      <c r="AC184" s="451"/>
      <c r="AD184" s="451"/>
      <c r="AE184" s="451"/>
      <c r="AF184" s="451"/>
      <c r="AG184" s="451"/>
      <c r="AH184" s="451"/>
      <c r="AI184" s="451"/>
      <c r="AJ184" s="451"/>
      <c r="AK184" s="451"/>
    </row>
    <row r="185" spans="1:37" ht="10.5" customHeight="1">
      <c r="A185" s="334" t="s">
        <v>554</v>
      </c>
      <c r="B185" s="449">
        <v>3961.076</v>
      </c>
      <c r="C185" s="449">
        <v>2761.3800951661628</v>
      </c>
      <c r="D185" s="449">
        <v>16487.340785891032</v>
      </c>
      <c r="E185" s="449">
        <v>0</v>
      </c>
      <c r="F185" s="449">
        <v>6468.5661319999981</v>
      </c>
      <c r="G185" s="449">
        <v>3061.8609048338367</v>
      </c>
      <c r="H185" s="449">
        <v>32740.223917891028</v>
      </c>
      <c r="I185" s="449"/>
      <c r="J185" s="449">
        <v>936.19900000000007</v>
      </c>
      <c r="K185" s="449">
        <v>0</v>
      </c>
      <c r="L185" s="449">
        <v>1939.1148680000001</v>
      </c>
      <c r="M185" s="449">
        <v>35615.537785891021</v>
      </c>
      <c r="Z185" s="451"/>
      <c r="AA185" s="451"/>
      <c r="AB185" s="451"/>
      <c r="AC185" s="451"/>
      <c r="AD185" s="451"/>
      <c r="AE185" s="451"/>
      <c r="AF185" s="451"/>
      <c r="AG185" s="451"/>
      <c r="AH185" s="451"/>
      <c r="AI185" s="451"/>
      <c r="AJ185" s="451"/>
      <c r="AK185" s="451"/>
    </row>
    <row r="186" spans="1:37" ht="10.5" customHeight="1">
      <c r="A186" s="334" t="s">
        <v>549</v>
      </c>
      <c r="B186" s="458">
        <v>208.38735200000019</v>
      </c>
      <c r="C186" s="458">
        <v>195.93834684229523</v>
      </c>
      <c r="D186" s="458">
        <v>510.8408707626204</v>
      </c>
      <c r="E186" s="449">
        <v>0</v>
      </c>
      <c r="F186" s="458">
        <v>408.0767586855527</v>
      </c>
      <c r="G186" s="458">
        <v>110.955499622356</v>
      </c>
      <c r="H186" s="458">
        <v>1434.19882791282</v>
      </c>
      <c r="I186" s="458"/>
      <c r="J186" s="458">
        <v>16.739999999999998</v>
      </c>
      <c r="K186" s="449">
        <v>0</v>
      </c>
      <c r="L186" s="449">
        <v>0</v>
      </c>
      <c r="M186" s="458">
        <v>1450.93882791282</v>
      </c>
      <c r="Z186" s="451"/>
      <c r="AA186" s="451"/>
      <c r="AB186" s="451"/>
      <c r="AC186" s="451"/>
      <c r="AD186" s="451"/>
      <c r="AE186" s="451"/>
      <c r="AF186" s="451"/>
      <c r="AG186" s="451"/>
      <c r="AH186" s="451"/>
      <c r="AI186" s="451"/>
      <c r="AJ186" s="451"/>
      <c r="AK186" s="451"/>
    </row>
    <row r="187" spans="1:37" ht="10.5" customHeight="1">
      <c r="A187" s="431" t="s">
        <v>555</v>
      </c>
      <c r="B187" s="457">
        <v>3752.6886479999998</v>
      </c>
      <c r="C187" s="457">
        <v>2565.4417483238676</v>
      </c>
      <c r="D187" s="457">
        <v>15976.499915128412</v>
      </c>
      <c r="E187" s="457">
        <v>0</v>
      </c>
      <c r="F187" s="457">
        <v>6060.4893733144454</v>
      </c>
      <c r="G187" s="457">
        <v>2950.9054052114807</v>
      </c>
      <c r="H187" s="457">
        <v>31306.025089978208</v>
      </c>
      <c r="I187" s="457"/>
      <c r="J187" s="457">
        <v>919.45900000000006</v>
      </c>
      <c r="K187" s="457">
        <v>0</v>
      </c>
      <c r="L187" s="457">
        <v>1939.1148680000001</v>
      </c>
      <c r="M187" s="457">
        <v>34164.598957978204</v>
      </c>
      <c r="Z187" s="451"/>
      <c r="AA187" s="451"/>
      <c r="AB187" s="451"/>
      <c r="AC187" s="451"/>
      <c r="AD187" s="451"/>
      <c r="AE187" s="451"/>
      <c r="AF187" s="451"/>
      <c r="AG187" s="451"/>
      <c r="AH187" s="451"/>
      <c r="AI187" s="451"/>
      <c r="AJ187" s="451"/>
      <c r="AK187" s="451"/>
    </row>
    <row r="188" spans="1:37" ht="10.5" customHeight="1">
      <c r="A188" s="329" t="s">
        <v>556</v>
      </c>
      <c r="B188" s="449"/>
      <c r="C188" s="449"/>
      <c r="D188" s="449"/>
      <c r="E188" s="449"/>
      <c r="F188" s="449"/>
      <c r="G188" s="449"/>
      <c r="H188" s="449"/>
      <c r="I188" s="449"/>
      <c r="J188" s="449"/>
      <c r="K188" s="449"/>
      <c r="L188" s="449"/>
      <c r="M188" s="449"/>
      <c r="Z188" s="451"/>
      <c r="AA188" s="451"/>
      <c r="AB188" s="451"/>
      <c r="AC188" s="451"/>
      <c r="AD188" s="451"/>
      <c r="AE188" s="451"/>
      <c r="AF188" s="451"/>
      <c r="AG188" s="451"/>
      <c r="AH188" s="451"/>
      <c r="AI188" s="451"/>
      <c r="AJ188" s="451"/>
      <c r="AK188" s="451"/>
    </row>
    <row r="189" spans="1:37" ht="10.5" customHeight="1">
      <c r="A189" s="334" t="s">
        <v>557</v>
      </c>
      <c r="B189" s="449">
        <v>364157.52456035704</v>
      </c>
      <c r="C189" s="449">
        <v>12791.753620921114</v>
      </c>
      <c r="D189" s="449">
        <v>340227.663</v>
      </c>
      <c r="E189" s="449">
        <v>211247.8205367073</v>
      </c>
      <c r="F189" s="449">
        <v>32183.929862895802</v>
      </c>
      <c r="G189" s="449">
        <v>16131.974332247872</v>
      </c>
      <c r="H189" s="449">
        <v>976740.66591312899</v>
      </c>
      <c r="I189" s="459"/>
      <c r="J189" s="449">
        <v>4843.9989999999998</v>
      </c>
      <c r="K189" s="449">
        <v>2648.5490306581578</v>
      </c>
      <c r="L189" s="449">
        <v>1939.1148680000001</v>
      </c>
      <c r="M189" s="449">
        <v>986172.3288117873</v>
      </c>
      <c r="Z189" s="451"/>
      <c r="AA189" s="451"/>
      <c r="AB189" s="451"/>
      <c r="AC189" s="451"/>
      <c r="AD189" s="451"/>
      <c r="AE189" s="451"/>
      <c r="AF189" s="451"/>
      <c r="AG189" s="451"/>
      <c r="AH189" s="451"/>
      <c r="AI189" s="451"/>
      <c r="AJ189" s="451"/>
      <c r="AK189" s="451"/>
    </row>
    <row r="190" spans="1:37" ht="10.5" customHeight="1">
      <c r="A190" s="334" t="s">
        <v>554</v>
      </c>
      <c r="B190" s="449">
        <v>131787.64339997381</v>
      </c>
      <c r="C190" s="449">
        <v>4644.1596400954295</v>
      </c>
      <c r="D190" s="449">
        <v>157064.30779367784</v>
      </c>
      <c r="E190" s="449">
        <v>79999.105642214723</v>
      </c>
      <c r="F190" s="449">
        <v>7939.9954607499985</v>
      </c>
      <c r="G190" s="449">
        <v>3061.8609048338367</v>
      </c>
      <c r="H190" s="449">
        <v>384497.07284154563</v>
      </c>
      <c r="I190" s="459"/>
      <c r="J190" s="449">
        <v>4843.9989999999998</v>
      </c>
      <c r="K190" s="449">
        <v>2648.5490306581578</v>
      </c>
      <c r="L190" s="449">
        <v>1939.1148680000001</v>
      </c>
      <c r="M190" s="449">
        <v>393928.73574020376</v>
      </c>
      <c r="N190" s="339"/>
      <c r="Z190" s="451"/>
      <c r="AA190" s="451"/>
      <c r="AB190" s="451"/>
      <c r="AC190" s="451"/>
      <c r="AD190" s="451"/>
      <c r="AE190" s="451"/>
      <c r="AF190" s="451"/>
      <c r="AG190" s="451"/>
      <c r="AH190" s="451"/>
      <c r="AI190" s="451"/>
      <c r="AJ190" s="451"/>
      <c r="AK190" s="451"/>
    </row>
    <row r="191" spans="1:37" ht="10.5" customHeight="1">
      <c r="A191" s="334" t="s">
        <v>549</v>
      </c>
      <c r="B191" s="449">
        <v>6098.3049102190507</v>
      </c>
      <c r="C191" s="449">
        <v>550.37902560924749</v>
      </c>
      <c r="D191" s="449">
        <v>3330.2447121810092</v>
      </c>
      <c r="E191" s="449">
        <v>6317.4639580041985</v>
      </c>
      <c r="F191" s="449">
        <v>512.48472994219856</v>
      </c>
      <c r="G191" s="449">
        <v>110.955499622356</v>
      </c>
      <c r="H191" s="449">
        <v>16919.832835578054</v>
      </c>
      <c r="I191" s="449"/>
      <c r="J191" s="449">
        <v>23.057411281429495</v>
      </c>
      <c r="K191" s="449">
        <v>89.564459973947578</v>
      </c>
      <c r="L191" s="449">
        <v>0</v>
      </c>
      <c r="M191" s="449">
        <v>17032.454706833432</v>
      </c>
      <c r="Z191" s="451"/>
      <c r="AA191" s="451"/>
      <c r="AB191" s="451"/>
      <c r="AC191" s="451"/>
      <c r="AD191" s="451"/>
      <c r="AE191" s="451"/>
      <c r="AF191" s="451"/>
      <c r="AG191" s="451"/>
      <c r="AH191" s="451"/>
      <c r="AI191" s="451"/>
      <c r="AJ191" s="451"/>
      <c r="AK191" s="451"/>
    </row>
    <row r="192" spans="1:37" ht="10.5" customHeight="1">
      <c r="A192" s="334" t="s">
        <v>550</v>
      </c>
      <c r="B192" s="449">
        <v>125689.33848975475</v>
      </c>
      <c r="C192" s="449">
        <v>4093.7806144861815</v>
      </c>
      <c r="D192" s="449">
        <v>153734.06308149683</v>
      </c>
      <c r="E192" s="449">
        <v>73681.641684210525</v>
      </c>
      <c r="F192" s="449">
        <v>7427.5107308077995</v>
      </c>
      <c r="G192" s="449">
        <v>2950.9054052114807</v>
      </c>
      <c r="H192" s="449">
        <v>367577.24000596756</v>
      </c>
      <c r="I192" s="449"/>
      <c r="J192" s="449">
        <v>4820.9415887185705</v>
      </c>
      <c r="K192" s="449">
        <v>2558.9845706842102</v>
      </c>
      <c r="L192" s="449">
        <v>1939.1148680000001</v>
      </c>
      <c r="M192" s="449">
        <v>376896.28103337035</v>
      </c>
      <c r="Z192" s="451"/>
      <c r="AA192" s="451"/>
      <c r="AB192" s="451"/>
      <c r="AC192" s="451"/>
      <c r="AD192" s="451"/>
      <c r="AE192" s="451"/>
      <c r="AF192" s="451"/>
      <c r="AG192" s="451"/>
      <c r="AH192" s="451"/>
      <c r="AI192" s="451"/>
      <c r="AJ192" s="451"/>
      <c r="AK192" s="451"/>
    </row>
    <row r="193" spans="1:37" ht="10.5" customHeight="1">
      <c r="A193" s="334" t="s">
        <v>551</v>
      </c>
      <c r="B193" s="449"/>
      <c r="C193" s="449"/>
      <c r="D193" s="449"/>
      <c r="E193" s="449"/>
      <c r="F193" s="449"/>
      <c r="G193" s="449"/>
      <c r="H193" s="449"/>
      <c r="I193" s="449"/>
      <c r="J193" s="449"/>
      <c r="K193" s="449"/>
      <c r="L193" s="449"/>
      <c r="M193" s="449">
        <v>3497.1021796315795</v>
      </c>
      <c r="Z193" s="451"/>
      <c r="AA193" s="451"/>
      <c r="AB193" s="451"/>
      <c r="AC193" s="451"/>
      <c r="AD193" s="451"/>
      <c r="AE193" s="451"/>
      <c r="AF193" s="451"/>
      <c r="AG193" s="451"/>
      <c r="AH193" s="451"/>
      <c r="AI193" s="451"/>
      <c r="AJ193" s="451"/>
      <c r="AK193" s="451"/>
    </row>
    <row r="194" spans="1:37" ht="10.5" customHeight="1" thickBot="1">
      <c r="A194" s="433" t="s">
        <v>552</v>
      </c>
      <c r="B194" s="460"/>
      <c r="C194" s="460"/>
      <c r="D194" s="460"/>
      <c r="E194" s="460"/>
      <c r="F194" s="460"/>
      <c r="G194" s="460"/>
      <c r="H194" s="460"/>
      <c r="I194" s="460"/>
      <c r="J194" s="460"/>
      <c r="K194" s="460"/>
      <c r="L194" s="460"/>
      <c r="M194" s="460">
        <v>373399.17885373876</v>
      </c>
      <c r="Z194" s="451"/>
      <c r="AA194" s="451"/>
      <c r="AB194" s="451"/>
      <c r="AC194" s="451"/>
      <c r="AD194" s="451"/>
      <c r="AE194" s="451"/>
      <c r="AF194" s="451">
        <f t="shared" ref="AF194:AK194" si="0">+H194-T194</f>
        <v>0</v>
      </c>
      <c r="AG194" s="451">
        <f t="shared" si="0"/>
        <v>0</v>
      </c>
      <c r="AH194" s="451">
        <f t="shared" si="0"/>
        <v>0</v>
      </c>
      <c r="AI194" s="451">
        <f t="shared" si="0"/>
        <v>0</v>
      </c>
      <c r="AJ194" s="451">
        <f t="shared" si="0"/>
        <v>0</v>
      </c>
      <c r="AK194" s="451">
        <f t="shared" si="0"/>
        <v>373399.17885373876</v>
      </c>
    </row>
    <row r="195" spans="1:37" ht="10.5" customHeight="1" thickTop="1">
      <c r="A195" s="447">
        <v>2005</v>
      </c>
      <c r="B195" s="461"/>
      <c r="C195" s="461"/>
      <c r="D195" s="461"/>
      <c r="E195" s="461"/>
      <c r="F195" s="461"/>
      <c r="G195" s="461"/>
      <c r="H195" s="461"/>
      <c r="I195" s="461"/>
      <c r="J195" s="461"/>
      <c r="K195" s="461"/>
      <c r="L195" s="461"/>
      <c r="M195" s="461"/>
      <c r="Z195" s="451"/>
      <c r="AA195" s="451"/>
      <c r="AB195" s="451"/>
      <c r="AC195" s="451"/>
      <c r="AD195" s="451"/>
      <c r="AE195" s="451"/>
      <c r="AF195" s="451"/>
      <c r="AG195" s="451"/>
      <c r="AH195" s="451"/>
      <c r="AI195" s="451"/>
      <c r="AJ195" s="451"/>
      <c r="AK195" s="451"/>
    </row>
    <row r="196" spans="1:37" ht="10.5" customHeight="1">
      <c r="A196" s="329" t="s">
        <v>562</v>
      </c>
      <c r="B196" s="449"/>
      <c r="C196" s="449"/>
      <c r="D196" s="449"/>
      <c r="E196" s="449"/>
      <c r="F196" s="449"/>
      <c r="G196" s="449"/>
      <c r="H196" s="449"/>
      <c r="I196" s="449"/>
      <c r="J196" s="449"/>
      <c r="K196" s="449"/>
      <c r="L196" s="449"/>
      <c r="M196" s="449"/>
      <c r="Z196" s="451"/>
      <c r="AA196" s="451"/>
      <c r="AB196" s="451"/>
      <c r="AC196" s="451"/>
      <c r="AD196" s="451"/>
      <c r="AE196" s="451"/>
      <c r="AF196" s="451"/>
      <c r="AG196" s="451"/>
      <c r="AH196" s="451"/>
      <c r="AI196" s="451"/>
      <c r="AJ196" s="451"/>
      <c r="AK196" s="451"/>
    </row>
    <row r="197" spans="1:37" ht="10.5" customHeight="1">
      <c r="A197" s="334" t="s">
        <v>547</v>
      </c>
      <c r="B197" s="449">
        <v>368134.26561580726</v>
      </c>
      <c r="C197" s="449">
        <v>10268.436829880389</v>
      </c>
      <c r="D197" s="449">
        <v>295642.83434868115</v>
      </c>
      <c r="E197" s="449">
        <v>213661.14089945226</v>
      </c>
      <c r="F197" s="449">
        <v>9515.4218886329254</v>
      </c>
      <c r="G197" s="449">
        <v>0</v>
      </c>
      <c r="H197" s="449">
        <v>897222.09958245407</v>
      </c>
      <c r="I197" s="449"/>
      <c r="J197" s="449">
        <v>3825.9</v>
      </c>
      <c r="K197" s="459">
        <v>2873.3944274999994</v>
      </c>
      <c r="L197" s="449">
        <v>0</v>
      </c>
      <c r="M197" s="459">
        <v>903921.39400995406</v>
      </c>
      <c r="Z197" s="451"/>
      <c r="AA197" s="451"/>
      <c r="AB197" s="451"/>
      <c r="AC197" s="451"/>
      <c r="AD197" s="451"/>
      <c r="AE197" s="451"/>
      <c r="AF197" s="451"/>
      <c r="AG197" s="451"/>
      <c r="AH197" s="451"/>
      <c r="AI197" s="451"/>
      <c r="AJ197" s="451"/>
      <c r="AK197" s="451"/>
    </row>
    <row r="198" spans="1:37" ht="10.5" customHeight="1">
      <c r="A198" s="334" t="s">
        <v>548</v>
      </c>
      <c r="B198" s="459">
        <v>130689.98794506279</v>
      </c>
      <c r="C198" s="459">
        <v>2921.1573130587808</v>
      </c>
      <c r="D198" s="449">
        <v>137482.74212305597</v>
      </c>
      <c r="E198" s="449">
        <v>81618.102843119996</v>
      </c>
      <c r="F198" s="459">
        <v>2744.4839038999999</v>
      </c>
      <c r="G198" s="449">
        <v>0</v>
      </c>
      <c r="H198" s="449">
        <v>355456.47412819753</v>
      </c>
      <c r="I198" s="449"/>
      <c r="J198" s="449">
        <v>3825.9</v>
      </c>
      <c r="K198" s="459">
        <v>2873.3944274999994</v>
      </c>
      <c r="L198" s="449">
        <v>0</v>
      </c>
      <c r="M198" s="459">
        <v>362155.76855569758</v>
      </c>
      <c r="Z198" s="451"/>
      <c r="AA198" s="451"/>
      <c r="AB198" s="451"/>
      <c r="AC198" s="451"/>
      <c r="AD198" s="451"/>
      <c r="AE198" s="451"/>
      <c r="AF198" s="451"/>
      <c r="AG198" s="451"/>
      <c r="AH198" s="451"/>
      <c r="AI198" s="451"/>
      <c r="AJ198" s="451"/>
      <c r="AK198" s="451"/>
    </row>
    <row r="199" spans="1:37" ht="10.5" customHeight="1">
      <c r="A199" s="334" t="s">
        <v>549</v>
      </c>
      <c r="B199" s="459">
        <v>5913.9300393335143</v>
      </c>
      <c r="C199" s="459">
        <v>530.21641154212421</v>
      </c>
      <c r="D199" s="449">
        <v>2958.514822055964</v>
      </c>
      <c r="E199" s="449">
        <v>6445.3148431199952</v>
      </c>
      <c r="F199" s="459">
        <v>258.05991404676524</v>
      </c>
      <c r="G199" s="449">
        <v>0</v>
      </c>
      <c r="H199" s="449">
        <v>16106.03603009833</v>
      </c>
      <c r="I199" s="449"/>
      <c r="J199" s="449">
        <v>5.3641360170554435</v>
      </c>
      <c r="K199" s="459">
        <v>97.167927499999678</v>
      </c>
      <c r="L199" s="449">
        <v>0</v>
      </c>
      <c r="M199" s="459">
        <v>16208.568093615384</v>
      </c>
      <c r="Z199" s="451"/>
      <c r="AA199" s="451"/>
      <c r="AB199" s="451"/>
      <c r="AC199" s="451"/>
      <c r="AD199" s="451"/>
      <c r="AE199" s="451"/>
      <c r="AF199" s="451"/>
      <c r="AG199" s="451"/>
      <c r="AH199" s="451"/>
      <c r="AI199" s="451"/>
      <c r="AJ199" s="451"/>
      <c r="AK199" s="451"/>
    </row>
    <row r="200" spans="1:37" ht="10.5" customHeight="1">
      <c r="A200" s="334" t="s">
        <v>550</v>
      </c>
      <c r="B200" s="459">
        <v>124776.05790572928</v>
      </c>
      <c r="C200" s="459">
        <v>2390.9409015166566</v>
      </c>
      <c r="D200" s="449">
        <v>134524.22730100001</v>
      </c>
      <c r="E200" s="449">
        <v>75172.788</v>
      </c>
      <c r="F200" s="459">
        <v>2486.4239898532346</v>
      </c>
      <c r="G200" s="449">
        <v>0</v>
      </c>
      <c r="H200" s="449">
        <v>339350.4380980992</v>
      </c>
      <c r="I200" s="449"/>
      <c r="J200" s="449">
        <v>3820.5358639829446</v>
      </c>
      <c r="K200" s="449">
        <v>2776.2264999999998</v>
      </c>
      <c r="L200" s="449">
        <v>0</v>
      </c>
      <c r="M200" s="449">
        <v>345947.20046208211</v>
      </c>
      <c r="Z200" s="451"/>
      <c r="AA200" s="451"/>
      <c r="AB200" s="451"/>
      <c r="AC200" s="451"/>
      <c r="AD200" s="451"/>
      <c r="AE200" s="451"/>
      <c r="AF200" s="451"/>
      <c r="AG200" s="451"/>
      <c r="AH200" s="451"/>
      <c r="AI200" s="451"/>
      <c r="AJ200" s="451"/>
      <c r="AK200" s="451"/>
    </row>
    <row r="201" spans="1:37" ht="10.5" customHeight="1">
      <c r="A201" s="334" t="s">
        <v>551</v>
      </c>
      <c r="B201" s="449"/>
      <c r="C201" s="449"/>
      <c r="D201" s="449"/>
      <c r="E201" s="449"/>
      <c r="F201" s="449"/>
      <c r="G201" s="449"/>
      <c r="H201" s="449"/>
      <c r="I201" s="449"/>
      <c r="J201" s="449"/>
      <c r="K201" s="449"/>
      <c r="L201" s="449"/>
      <c r="M201" s="449">
        <v>3706.8240499999997</v>
      </c>
      <c r="Z201" s="451"/>
      <c r="AA201" s="451"/>
      <c r="AB201" s="451"/>
      <c r="AC201" s="451"/>
      <c r="AD201" s="451"/>
      <c r="AE201" s="451"/>
      <c r="AF201" s="451"/>
      <c r="AG201" s="451"/>
      <c r="AH201" s="451"/>
      <c r="AI201" s="451"/>
      <c r="AJ201" s="451"/>
      <c r="AK201" s="451"/>
    </row>
    <row r="202" spans="1:37" ht="10.5" customHeight="1">
      <c r="A202" s="431" t="s">
        <v>552</v>
      </c>
      <c r="B202" s="457"/>
      <c r="C202" s="457"/>
      <c r="D202" s="457"/>
      <c r="E202" s="457"/>
      <c r="F202" s="457"/>
      <c r="G202" s="457"/>
      <c r="H202" s="457"/>
      <c r="I202" s="457"/>
      <c r="J202" s="457"/>
      <c r="K202" s="457"/>
      <c r="L202" s="457"/>
      <c r="M202" s="457">
        <v>342240.37641208211</v>
      </c>
      <c r="Z202" s="451"/>
      <c r="AA202" s="451"/>
      <c r="AB202" s="451"/>
      <c r="AC202" s="451"/>
      <c r="AD202" s="451"/>
      <c r="AE202" s="451"/>
      <c r="AF202" s="451"/>
      <c r="AG202" s="451"/>
      <c r="AH202" s="451"/>
      <c r="AI202" s="451"/>
      <c r="AJ202" s="451"/>
      <c r="AK202" s="451"/>
    </row>
    <row r="203" spans="1:37" ht="10.5" customHeight="1">
      <c r="A203" s="329" t="s">
        <v>553</v>
      </c>
      <c r="B203" s="449"/>
      <c r="C203" s="449"/>
      <c r="D203" s="449"/>
      <c r="E203" s="449"/>
      <c r="F203" s="449"/>
      <c r="G203" s="449"/>
      <c r="H203" s="449"/>
      <c r="I203" s="449"/>
      <c r="J203" s="449"/>
      <c r="K203" s="449"/>
      <c r="L203" s="449"/>
      <c r="M203" s="449"/>
      <c r="Z203" s="451"/>
      <c r="AA203" s="451"/>
      <c r="AB203" s="451"/>
      <c r="AC203" s="451"/>
      <c r="AD203" s="451"/>
      <c r="AE203" s="451"/>
      <c r="AF203" s="451"/>
      <c r="AG203" s="451"/>
      <c r="AH203" s="451"/>
      <c r="AI203" s="451"/>
      <c r="AJ203" s="451"/>
      <c r="AK203" s="451"/>
    </row>
    <row r="204" spans="1:37" ht="10.5" customHeight="1">
      <c r="A204" s="334" t="s">
        <v>547</v>
      </c>
      <c r="B204" s="449">
        <v>10711.697099060882</v>
      </c>
      <c r="C204" s="449">
        <v>5453.7563707022764</v>
      </c>
      <c r="D204" s="449">
        <v>32729.312999999995</v>
      </c>
      <c r="E204" s="449">
        <v>0</v>
      </c>
      <c r="F204" s="449">
        <v>29474.889492227132</v>
      </c>
      <c r="G204" s="449">
        <v>21326.598240177547</v>
      </c>
      <c r="H204" s="449">
        <v>99696.254202167838</v>
      </c>
      <c r="I204" s="449"/>
      <c r="J204" s="449">
        <v>1095.6289999999999</v>
      </c>
      <c r="K204" s="449">
        <v>0</v>
      </c>
      <c r="L204" s="449">
        <v>2912.0966100000005</v>
      </c>
      <c r="M204" s="449">
        <v>103703.97981216785</v>
      </c>
      <c r="Z204" s="451"/>
      <c r="AA204" s="451"/>
      <c r="AB204" s="451"/>
      <c r="AC204" s="451"/>
      <c r="AD204" s="451"/>
      <c r="AE204" s="451"/>
      <c r="AF204" s="451"/>
      <c r="AG204" s="451"/>
      <c r="AH204" s="451"/>
      <c r="AI204" s="451"/>
      <c r="AJ204" s="451"/>
      <c r="AK204" s="451"/>
    </row>
    <row r="205" spans="1:37" ht="10.5" customHeight="1">
      <c r="A205" s="334" t="s">
        <v>554</v>
      </c>
      <c r="B205" s="449">
        <v>3947.0029999999997</v>
      </c>
      <c r="C205" s="449">
        <v>2416.9940900000001</v>
      </c>
      <c r="D205" s="449">
        <v>15159.249</v>
      </c>
      <c r="E205" s="449">
        <v>0</v>
      </c>
      <c r="F205" s="459">
        <v>6940.6985899999963</v>
      </c>
      <c r="G205" s="449">
        <v>3675.8783499999995</v>
      </c>
      <c r="H205" s="459">
        <v>32139.823029999996</v>
      </c>
      <c r="I205" s="459"/>
      <c r="J205" s="449">
        <v>1095.6289999999999</v>
      </c>
      <c r="K205" s="449">
        <v>0</v>
      </c>
      <c r="L205" s="449">
        <v>2912.0966100000005</v>
      </c>
      <c r="M205" s="459">
        <v>36147.548639999994</v>
      </c>
      <c r="Z205" s="451"/>
      <c r="AA205" s="451"/>
      <c r="AB205" s="451"/>
      <c r="AC205" s="451"/>
      <c r="AD205" s="451"/>
      <c r="AE205" s="451"/>
      <c r="AF205" s="451"/>
      <c r="AG205" s="451"/>
      <c r="AH205" s="451"/>
      <c r="AI205" s="451"/>
      <c r="AJ205" s="451"/>
      <c r="AK205" s="451"/>
    </row>
    <row r="206" spans="1:37" ht="10.5" customHeight="1">
      <c r="A206" s="334" t="s">
        <v>549</v>
      </c>
      <c r="B206" s="458">
        <v>209.85768000000007</v>
      </c>
      <c r="C206" s="458">
        <v>157.48095049999984</v>
      </c>
      <c r="D206" s="458">
        <v>469.81309999999939</v>
      </c>
      <c r="E206" s="449">
        <v>0</v>
      </c>
      <c r="F206" s="462">
        <v>472.48766999111831</v>
      </c>
      <c r="G206" s="458">
        <v>132.61395409999977</v>
      </c>
      <c r="H206" s="462">
        <v>1442.2533545911174</v>
      </c>
      <c r="I206" s="458"/>
      <c r="J206" s="458">
        <v>166.1225</v>
      </c>
      <c r="K206" s="449">
        <v>0</v>
      </c>
      <c r="L206" s="449">
        <v>0</v>
      </c>
      <c r="M206" s="462">
        <v>1608.3758545911173</v>
      </c>
      <c r="Z206" s="451"/>
      <c r="AA206" s="451"/>
      <c r="AB206" s="451"/>
      <c r="AC206" s="451"/>
      <c r="AD206" s="451"/>
      <c r="AE206" s="451"/>
      <c r="AF206" s="451"/>
      <c r="AG206" s="451"/>
      <c r="AH206" s="451"/>
      <c r="AI206" s="451"/>
      <c r="AJ206" s="451"/>
      <c r="AK206" s="451"/>
    </row>
    <row r="207" spans="1:37" ht="10.5" customHeight="1">
      <c r="A207" s="431" t="s">
        <v>555</v>
      </c>
      <c r="B207" s="457">
        <v>3737.1453199999996</v>
      </c>
      <c r="C207" s="457">
        <v>2259.5131395000003</v>
      </c>
      <c r="D207" s="457">
        <v>14689.4359</v>
      </c>
      <c r="E207" s="457">
        <v>0</v>
      </c>
      <c r="F207" s="463">
        <v>6468.210920008878</v>
      </c>
      <c r="G207" s="457">
        <v>3543.2643958999997</v>
      </c>
      <c r="H207" s="463">
        <v>30697.569675408879</v>
      </c>
      <c r="I207" s="457"/>
      <c r="J207" s="457">
        <v>929.50649999999985</v>
      </c>
      <c r="K207" s="457">
        <v>0</v>
      </c>
      <c r="L207" s="457">
        <v>2912.0966100000005</v>
      </c>
      <c r="M207" s="463">
        <v>34539.172785408882</v>
      </c>
      <c r="Z207" s="451"/>
      <c r="AA207" s="451"/>
      <c r="AB207" s="451"/>
      <c r="AC207" s="451"/>
      <c r="AD207" s="451"/>
      <c r="AE207" s="451"/>
      <c r="AF207" s="451"/>
      <c r="AG207" s="451"/>
      <c r="AH207" s="451"/>
      <c r="AI207" s="451"/>
      <c r="AJ207" s="451"/>
      <c r="AK207" s="451"/>
    </row>
    <row r="208" spans="1:37" ht="10.5" customHeight="1">
      <c r="A208" s="329" t="s">
        <v>556</v>
      </c>
      <c r="B208" s="449"/>
      <c r="C208" s="449"/>
      <c r="D208" s="449"/>
      <c r="E208" s="449"/>
      <c r="F208" s="449"/>
      <c r="G208" s="449"/>
      <c r="H208" s="449"/>
      <c r="I208" s="449"/>
      <c r="J208" s="449"/>
      <c r="K208" s="449"/>
      <c r="L208" s="449"/>
      <c r="M208" s="449"/>
      <c r="Z208" s="451"/>
      <c r="AA208" s="451"/>
      <c r="AB208" s="451"/>
      <c r="AC208" s="451"/>
      <c r="AD208" s="451"/>
      <c r="AE208" s="451"/>
      <c r="AF208" s="451"/>
      <c r="AG208" s="451"/>
      <c r="AH208" s="451"/>
      <c r="AI208" s="451"/>
      <c r="AJ208" s="451"/>
      <c r="AK208" s="451"/>
    </row>
    <row r="209" spans="1:37" ht="10.5" customHeight="1">
      <c r="A209" s="334" t="s">
        <v>557</v>
      </c>
      <c r="B209" s="449">
        <v>378845.96271486813</v>
      </c>
      <c r="C209" s="449">
        <v>15722.193200582666</v>
      </c>
      <c r="D209" s="449">
        <v>328372.14734868112</v>
      </c>
      <c r="E209" s="449">
        <v>213661.14089945226</v>
      </c>
      <c r="F209" s="449">
        <v>38990.311380860061</v>
      </c>
      <c r="G209" s="449">
        <v>21326.598240177547</v>
      </c>
      <c r="H209" s="449">
        <v>996918.35378462193</v>
      </c>
      <c r="I209" s="449"/>
      <c r="J209" s="449">
        <v>4921.5290000000005</v>
      </c>
      <c r="K209" s="459">
        <v>2873.3944274999994</v>
      </c>
      <c r="L209" s="449">
        <v>2912.0966100000005</v>
      </c>
      <c r="M209" s="459">
        <v>1007625.3738221219</v>
      </c>
      <c r="Z209" s="451"/>
      <c r="AA209" s="451"/>
      <c r="AB209" s="451"/>
      <c r="AC209" s="451"/>
      <c r="AD209" s="451"/>
      <c r="AE209" s="451"/>
      <c r="AF209" s="451"/>
      <c r="AG209" s="451"/>
      <c r="AH209" s="451"/>
      <c r="AI209" s="451"/>
      <c r="AJ209" s="451"/>
      <c r="AK209" s="451"/>
    </row>
    <row r="210" spans="1:37" ht="10.5" customHeight="1">
      <c r="A210" s="334" t="s">
        <v>554</v>
      </c>
      <c r="B210" s="459">
        <v>134636.9909450628</v>
      </c>
      <c r="C210" s="459">
        <v>5338.1514030587805</v>
      </c>
      <c r="D210" s="449">
        <v>152641.99112305598</v>
      </c>
      <c r="E210" s="449">
        <v>81618.102843119996</v>
      </c>
      <c r="F210" s="459">
        <v>9685.1824938999962</v>
      </c>
      <c r="G210" s="449">
        <v>3675.8783499999995</v>
      </c>
      <c r="H210" s="459">
        <v>387596.2971581975</v>
      </c>
      <c r="I210" s="459"/>
      <c r="J210" s="449">
        <v>4921.5290000000005</v>
      </c>
      <c r="K210" s="459">
        <v>2873.3944274999994</v>
      </c>
      <c r="L210" s="449">
        <v>2912.0966100000005</v>
      </c>
      <c r="M210" s="459">
        <v>398303.31719569757</v>
      </c>
      <c r="Z210" s="451"/>
      <c r="AA210" s="451"/>
      <c r="AB210" s="451"/>
      <c r="AC210" s="451"/>
      <c r="AD210" s="451"/>
      <c r="AE210" s="451"/>
      <c r="AF210" s="451"/>
      <c r="AG210" s="451"/>
      <c r="AH210" s="451"/>
      <c r="AI210" s="451"/>
      <c r="AJ210" s="451"/>
      <c r="AK210" s="451"/>
    </row>
    <row r="211" spans="1:37" ht="10.5" customHeight="1">
      <c r="A211" s="334" t="s">
        <v>549</v>
      </c>
      <c r="B211" s="459">
        <v>6123.7877193335144</v>
      </c>
      <c r="C211" s="459">
        <v>687.69736204212404</v>
      </c>
      <c r="D211" s="449">
        <v>3428.3279220559634</v>
      </c>
      <c r="E211" s="449">
        <v>6445.3148431199952</v>
      </c>
      <c r="F211" s="459">
        <v>730.54758403788355</v>
      </c>
      <c r="G211" s="449">
        <v>132.61395409999977</v>
      </c>
      <c r="H211" s="459">
        <v>17548.289384689448</v>
      </c>
      <c r="I211" s="459"/>
      <c r="J211" s="449">
        <v>171.4866360170555</v>
      </c>
      <c r="K211" s="459">
        <v>97.167927499999678</v>
      </c>
      <c r="L211" s="449">
        <v>0</v>
      </c>
      <c r="M211" s="459">
        <v>17816.943948206503</v>
      </c>
      <c r="Z211" s="451"/>
      <c r="AA211" s="451"/>
      <c r="AB211" s="451"/>
      <c r="AC211" s="451"/>
      <c r="AD211" s="451"/>
      <c r="AE211" s="451"/>
      <c r="AF211" s="451"/>
      <c r="AG211" s="451"/>
      <c r="AH211" s="451"/>
      <c r="AI211" s="451"/>
      <c r="AJ211" s="451"/>
      <c r="AK211" s="451"/>
    </row>
    <row r="212" spans="1:37" ht="10.5" customHeight="1">
      <c r="A212" s="334" t="s">
        <v>550</v>
      </c>
      <c r="B212" s="459">
        <v>128513.20322572927</v>
      </c>
      <c r="C212" s="459">
        <v>4650.4540410166574</v>
      </c>
      <c r="D212" s="449">
        <v>149213.66320100002</v>
      </c>
      <c r="E212" s="449">
        <v>75172.788</v>
      </c>
      <c r="F212" s="459">
        <v>8954.6349098621122</v>
      </c>
      <c r="G212" s="449">
        <v>3543.2643958999997</v>
      </c>
      <c r="H212" s="459">
        <v>370048.00777350808</v>
      </c>
      <c r="I212" s="449"/>
      <c r="J212" s="449">
        <v>4750.0423639829442</v>
      </c>
      <c r="K212" s="449">
        <v>2776.2264999999998</v>
      </c>
      <c r="L212" s="449">
        <v>2912.0966100000005</v>
      </c>
      <c r="M212" s="459">
        <v>380486.37324749096</v>
      </c>
      <c r="Z212" s="451"/>
      <c r="AA212" s="451"/>
      <c r="AB212" s="451"/>
      <c r="AC212" s="451"/>
      <c r="AD212" s="451"/>
      <c r="AE212" s="451"/>
      <c r="AF212" s="451"/>
      <c r="AG212" s="451"/>
      <c r="AH212" s="451"/>
      <c r="AI212" s="451"/>
      <c r="AJ212" s="451"/>
      <c r="AK212" s="451"/>
    </row>
    <row r="213" spans="1:37" ht="10.5" customHeight="1">
      <c r="A213" s="334" t="s">
        <v>551</v>
      </c>
      <c r="B213" s="449"/>
      <c r="C213" s="449"/>
      <c r="D213" s="449"/>
      <c r="E213" s="449"/>
      <c r="F213" s="449"/>
      <c r="G213" s="449"/>
      <c r="H213" s="449"/>
      <c r="I213" s="449"/>
      <c r="J213" s="449"/>
      <c r="K213" s="449"/>
      <c r="L213" s="449"/>
      <c r="M213" s="449">
        <v>3706.8240499999997</v>
      </c>
      <c r="Z213" s="451"/>
      <c r="AA213" s="451"/>
      <c r="AB213" s="451"/>
      <c r="AC213" s="451"/>
      <c r="AD213" s="451"/>
      <c r="AE213" s="451"/>
      <c r="AF213" s="451"/>
      <c r="AG213" s="451"/>
      <c r="AH213" s="451"/>
      <c r="AI213" s="451"/>
      <c r="AJ213" s="451"/>
      <c r="AK213" s="451"/>
    </row>
    <row r="214" spans="1:37" ht="10.5" customHeight="1" thickBot="1">
      <c r="A214" s="433" t="s">
        <v>552</v>
      </c>
      <c r="B214" s="460"/>
      <c r="C214" s="460"/>
      <c r="D214" s="460"/>
      <c r="E214" s="460"/>
      <c r="F214" s="460"/>
      <c r="G214" s="460"/>
      <c r="H214" s="460"/>
      <c r="I214" s="460"/>
      <c r="J214" s="460"/>
      <c r="K214" s="460"/>
      <c r="L214" s="460"/>
      <c r="M214" s="464">
        <v>376779.54919749097</v>
      </c>
      <c r="Z214" s="451"/>
      <c r="AA214" s="451"/>
      <c r="AB214" s="451"/>
      <c r="AC214" s="451"/>
      <c r="AD214" s="451"/>
      <c r="AE214" s="451"/>
      <c r="AF214" s="451"/>
      <c r="AG214" s="451"/>
      <c r="AH214" s="451"/>
      <c r="AI214" s="451"/>
      <c r="AJ214" s="451"/>
      <c r="AK214" s="451"/>
    </row>
    <row r="215" spans="1:37" s="346" customFormat="1" ht="13.5" customHeight="1" thickTop="1">
      <c r="A215" s="447">
        <v>2006</v>
      </c>
      <c r="B215" s="461"/>
      <c r="C215" s="461"/>
      <c r="D215" s="461"/>
      <c r="E215" s="461"/>
      <c r="F215" s="461"/>
      <c r="G215" s="461"/>
      <c r="H215" s="461"/>
      <c r="I215" s="461"/>
      <c r="J215" s="461"/>
      <c r="K215" s="461"/>
      <c r="L215" s="461"/>
      <c r="M215" s="461"/>
    </row>
    <row r="216" spans="1:37" ht="10.5" customHeight="1">
      <c r="A216" s="329" t="s">
        <v>562</v>
      </c>
      <c r="B216" s="449"/>
      <c r="C216" s="449"/>
      <c r="D216" s="449"/>
      <c r="E216" s="449"/>
      <c r="F216" s="449"/>
      <c r="G216" s="449"/>
      <c r="H216" s="449"/>
      <c r="I216" s="449"/>
      <c r="J216" s="449"/>
      <c r="K216" s="449"/>
      <c r="L216" s="449"/>
      <c r="M216" s="449"/>
    </row>
    <row r="217" spans="1:37" ht="10.5" customHeight="1">
      <c r="A217" s="334" t="s">
        <v>547</v>
      </c>
      <c r="B217" s="449">
        <v>407027.19359205291</v>
      </c>
      <c r="C217" s="449">
        <v>11751.045318303004</v>
      </c>
      <c r="D217" s="449">
        <v>278148.92368514871</v>
      </c>
      <c r="E217" s="449">
        <v>199237.06280346774</v>
      </c>
      <c r="F217" s="449">
        <v>8503.7299742651612</v>
      </c>
      <c r="G217" s="449">
        <v>0</v>
      </c>
      <c r="H217" s="449">
        <v>904667.95537323761</v>
      </c>
      <c r="I217" s="449"/>
      <c r="J217" s="449">
        <v>3693.299258</v>
      </c>
      <c r="K217" s="449">
        <v>3852.6022349999998</v>
      </c>
      <c r="L217" s="449">
        <v>0</v>
      </c>
      <c r="M217" s="449">
        <v>912213.85686623759</v>
      </c>
      <c r="O217" s="336"/>
      <c r="P217" s="336"/>
      <c r="Q217" s="336"/>
      <c r="R217" s="336"/>
      <c r="S217" s="336"/>
      <c r="T217" s="336"/>
      <c r="U217" s="336"/>
      <c r="V217" s="336"/>
      <c r="W217" s="336"/>
      <c r="X217" s="336"/>
      <c r="Y217" s="336"/>
      <c r="Z217" s="336"/>
      <c r="AA217" s="336"/>
      <c r="AB217" s="336"/>
      <c r="AC217" s="336"/>
      <c r="AD217" s="336"/>
      <c r="AE217" s="336"/>
      <c r="AF217" s="336"/>
      <c r="AG217" s="336"/>
      <c r="AH217" s="336"/>
      <c r="AI217" s="336"/>
      <c r="AJ217" s="336"/>
      <c r="AK217" s="336"/>
    </row>
    <row r="218" spans="1:37" ht="10.5" customHeight="1">
      <c r="A218" s="334" t="s">
        <v>548</v>
      </c>
      <c r="B218" s="459">
        <v>145311.14019007739</v>
      </c>
      <c r="C218" s="459">
        <v>3358.643967753716</v>
      </c>
      <c r="D218" s="449">
        <v>126637.23964240288</v>
      </c>
      <c r="E218" s="449">
        <v>75450.656932527243</v>
      </c>
      <c r="F218" s="459">
        <v>2928.4829752862515</v>
      </c>
      <c r="G218" s="449">
        <v>0</v>
      </c>
      <c r="H218" s="459">
        <v>353686.16370804748</v>
      </c>
      <c r="I218" s="449"/>
      <c r="J218" s="449">
        <v>3693.299258</v>
      </c>
      <c r="K218" s="449">
        <v>3852.6022349999998</v>
      </c>
      <c r="L218" s="449">
        <v>0</v>
      </c>
      <c r="M218" s="459">
        <v>361232.06520104746</v>
      </c>
      <c r="O218" s="336"/>
      <c r="P218" s="336"/>
      <c r="Q218" s="336"/>
      <c r="R218" s="336"/>
      <c r="S218" s="336"/>
      <c r="T218" s="336"/>
      <c r="U218" s="336"/>
      <c r="V218" s="336"/>
      <c r="W218" s="336"/>
      <c r="X218" s="336"/>
      <c r="Y218" s="336"/>
      <c r="Z218" s="336"/>
      <c r="AA218" s="336"/>
      <c r="AB218" s="336"/>
      <c r="AC218" s="336"/>
      <c r="AD218" s="336"/>
      <c r="AE218" s="336"/>
      <c r="AF218" s="336"/>
      <c r="AG218" s="336"/>
      <c r="AH218" s="336"/>
      <c r="AI218" s="336"/>
      <c r="AJ218" s="336"/>
      <c r="AK218" s="336"/>
    </row>
    <row r="219" spans="1:37" ht="10.5" customHeight="1">
      <c r="A219" s="334" t="s">
        <v>549</v>
      </c>
      <c r="B219" s="459">
        <v>7163.7057942331303</v>
      </c>
      <c r="C219" s="459">
        <v>592.10165979093199</v>
      </c>
      <c r="D219" s="449">
        <v>2633.813690040377</v>
      </c>
      <c r="E219" s="449">
        <v>6213.5009325272404</v>
      </c>
      <c r="F219" s="459">
        <v>285.18503951190405</v>
      </c>
      <c r="G219" s="449">
        <v>0</v>
      </c>
      <c r="H219" s="459">
        <v>16888.307116103533</v>
      </c>
      <c r="I219" s="449"/>
      <c r="J219" s="449">
        <v>12.880782000000181</v>
      </c>
      <c r="K219" s="449">
        <v>130.28123499999992</v>
      </c>
      <c r="L219" s="449">
        <v>0</v>
      </c>
      <c r="M219" s="459">
        <v>17031.469133103532</v>
      </c>
      <c r="O219" s="336"/>
      <c r="P219" s="336"/>
      <c r="Q219" s="336"/>
      <c r="R219" s="336"/>
      <c r="S219" s="336"/>
      <c r="T219" s="336"/>
      <c r="U219" s="336"/>
      <c r="V219" s="336"/>
      <c r="W219" s="336"/>
      <c r="X219" s="336"/>
      <c r="Y219" s="336"/>
      <c r="Z219" s="336"/>
      <c r="AA219" s="336"/>
      <c r="AB219" s="336"/>
      <c r="AC219" s="336"/>
      <c r="AD219" s="336"/>
      <c r="AE219" s="336"/>
      <c r="AF219" s="336"/>
      <c r="AG219" s="336"/>
      <c r="AH219" s="336"/>
      <c r="AI219" s="336"/>
      <c r="AJ219" s="336"/>
      <c r="AK219" s="336"/>
    </row>
    <row r="220" spans="1:37" ht="10.5" customHeight="1">
      <c r="A220" s="334" t="s">
        <v>550</v>
      </c>
      <c r="B220" s="459">
        <v>138147.43439584426</v>
      </c>
      <c r="C220" s="459">
        <v>2766.542307962784</v>
      </c>
      <c r="D220" s="449">
        <v>124003.42595236251</v>
      </c>
      <c r="E220" s="449">
        <v>69237.156000000003</v>
      </c>
      <c r="F220" s="459">
        <v>2643.2979357743475</v>
      </c>
      <c r="G220" s="449">
        <v>0</v>
      </c>
      <c r="H220" s="459">
        <v>336797.85659194394</v>
      </c>
      <c r="I220" s="449"/>
      <c r="J220" s="449">
        <v>3680.4184759999998</v>
      </c>
      <c r="K220" s="449">
        <v>3722.3209999999999</v>
      </c>
      <c r="L220" s="449">
        <v>0</v>
      </c>
      <c r="M220" s="459">
        <v>344200.59606794396</v>
      </c>
      <c r="O220" s="336"/>
      <c r="P220" s="336"/>
      <c r="Q220" s="336"/>
      <c r="R220" s="336"/>
      <c r="S220" s="336"/>
      <c r="T220" s="336"/>
      <c r="U220" s="336"/>
      <c r="V220" s="336"/>
      <c r="W220" s="336"/>
      <c r="X220" s="336"/>
      <c r="Y220" s="336"/>
      <c r="Z220" s="336"/>
      <c r="AA220" s="336"/>
      <c r="AB220" s="336"/>
      <c r="AC220" s="336"/>
      <c r="AD220" s="336"/>
      <c r="AE220" s="336"/>
      <c r="AF220" s="336"/>
      <c r="AG220" s="336"/>
      <c r="AH220" s="336"/>
      <c r="AI220" s="336"/>
      <c r="AJ220" s="336"/>
      <c r="AK220" s="336"/>
    </row>
    <row r="221" spans="1:37" ht="10.5" customHeight="1">
      <c r="A221" s="334" t="s">
        <v>551</v>
      </c>
      <c r="B221" s="449"/>
      <c r="C221" s="449"/>
      <c r="D221" s="449"/>
      <c r="E221" s="449"/>
      <c r="F221" s="449"/>
      <c r="G221" s="449"/>
      <c r="H221" s="449"/>
      <c r="I221" s="449"/>
      <c r="J221" s="449"/>
      <c r="K221" s="449"/>
      <c r="L221" s="449"/>
      <c r="M221" s="449">
        <v>4917.84</v>
      </c>
      <c r="O221" s="336"/>
      <c r="P221" s="336"/>
      <c r="Q221" s="336"/>
      <c r="R221" s="336"/>
      <c r="S221" s="336"/>
      <c r="T221" s="336"/>
      <c r="U221" s="336"/>
      <c r="V221" s="336"/>
      <c r="W221" s="336"/>
      <c r="X221" s="336"/>
      <c r="Y221" s="336"/>
      <c r="Z221" s="336"/>
      <c r="AA221" s="336"/>
      <c r="AB221" s="336"/>
      <c r="AC221" s="336"/>
      <c r="AD221" s="336"/>
      <c r="AE221" s="336"/>
      <c r="AF221" s="336"/>
      <c r="AG221" s="336"/>
      <c r="AH221" s="336"/>
      <c r="AI221" s="336"/>
      <c r="AJ221" s="336"/>
      <c r="AK221" s="336"/>
    </row>
    <row r="222" spans="1:37" ht="10.5" customHeight="1">
      <c r="A222" s="431" t="s">
        <v>552</v>
      </c>
      <c r="B222" s="457"/>
      <c r="C222" s="457"/>
      <c r="D222" s="457"/>
      <c r="E222" s="457"/>
      <c r="F222" s="457"/>
      <c r="G222" s="457"/>
      <c r="H222" s="457"/>
      <c r="I222" s="457"/>
      <c r="J222" s="457"/>
      <c r="K222" s="457"/>
      <c r="L222" s="457"/>
      <c r="M222" s="463">
        <v>339282.75606794393</v>
      </c>
      <c r="O222" s="336"/>
      <c r="P222" s="336"/>
      <c r="Q222" s="336"/>
      <c r="R222" s="336"/>
      <c r="S222" s="336"/>
      <c r="T222" s="336"/>
      <c r="U222" s="336"/>
      <c r="V222" s="336"/>
      <c r="W222" s="336"/>
      <c r="X222" s="336"/>
      <c r="Y222" s="336"/>
      <c r="Z222" s="336"/>
      <c r="AA222" s="336"/>
      <c r="AB222" s="336"/>
      <c r="AC222" s="336"/>
      <c r="AD222" s="336"/>
      <c r="AE222" s="336"/>
      <c r="AF222" s="336"/>
      <c r="AG222" s="336"/>
      <c r="AH222" s="336"/>
      <c r="AI222" s="336"/>
      <c r="AJ222" s="336"/>
      <c r="AK222" s="336"/>
    </row>
    <row r="223" spans="1:37" ht="10.5" customHeight="1">
      <c r="A223" s="329" t="s">
        <v>553</v>
      </c>
      <c r="B223" s="449"/>
      <c r="C223" s="449"/>
      <c r="D223" s="449"/>
      <c r="E223" s="449"/>
      <c r="F223" s="449"/>
      <c r="G223" s="449"/>
      <c r="H223" s="449"/>
      <c r="I223" s="449"/>
      <c r="J223" s="449"/>
      <c r="K223" s="449"/>
      <c r="L223" s="449"/>
      <c r="M223" s="449"/>
      <c r="O223" s="336"/>
      <c r="P223" s="336"/>
      <c r="Q223" s="336"/>
      <c r="R223" s="336"/>
      <c r="S223" s="336"/>
      <c r="T223" s="336"/>
      <c r="U223" s="336"/>
      <c r="V223" s="336"/>
      <c r="W223" s="336"/>
      <c r="X223" s="336"/>
      <c r="Y223" s="336"/>
      <c r="Z223" s="336"/>
      <c r="AA223" s="336"/>
      <c r="AB223" s="336"/>
      <c r="AC223" s="336"/>
      <c r="AD223" s="336"/>
      <c r="AE223" s="336"/>
      <c r="AF223" s="336"/>
      <c r="AG223" s="336"/>
      <c r="AH223" s="336"/>
      <c r="AI223" s="336"/>
      <c r="AJ223" s="336"/>
      <c r="AK223" s="336"/>
    </row>
    <row r="224" spans="1:37" ht="11.45" customHeight="1">
      <c r="A224" s="334" t="s">
        <v>547</v>
      </c>
      <c r="B224" s="459">
        <v>10990.89541918125</v>
      </c>
      <c r="C224" s="459">
        <v>6146.1441956988838</v>
      </c>
      <c r="D224" s="459">
        <v>30105.373410000007</v>
      </c>
      <c r="E224" s="449">
        <v>0</v>
      </c>
      <c r="F224" s="459">
        <v>31848.57415732132</v>
      </c>
      <c r="G224" s="459">
        <v>17411.989887654821</v>
      </c>
      <c r="H224" s="459">
        <v>96502.977069856279</v>
      </c>
      <c r="I224" s="449"/>
      <c r="J224" s="459">
        <v>899.85299999999995</v>
      </c>
      <c r="K224" s="449">
        <v>0</v>
      </c>
      <c r="L224" s="449">
        <v>4235.7526003999992</v>
      </c>
      <c r="M224" s="459">
        <v>101638.58267025628</v>
      </c>
      <c r="O224" s="336"/>
      <c r="P224" s="336"/>
      <c r="Q224" s="336"/>
      <c r="R224" s="336"/>
      <c r="S224" s="336"/>
      <c r="T224" s="336"/>
      <c r="U224" s="336"/>
      <c r="V224" s="336"/>
      <c r="W224" s="336"/>
      <c r="X224" s="336"/>
      <c r="Y224" s="336"/>
      <c r="Z224" s="336"/>
      <c r="AA224" s="336"/>
      <c r="AB224" s="336"/>
      <c r="AC224" s="336"/>
      <c r="AD224" s="336"/>
      <c r="AE224" s="336"/>
      <c r="AF224" s="336"/>
      <c r="AG224" s="336"/>
      <c r="AH224" s="336"/>
      <c r="AI224" s="336"/>
      <c r="AJ224" s="336"/>
      <c r="AK224" s="336"/>
    </row>
    <row r="225" spans="1:37" ht="10.5" customHeight="1">
      <c r="A225" s="334" t="s">
        <v>554</v>
      </c>
      <c r="B225" s="459">
        <v>3902.5950000000003</v>
      </c>
      <c r="C225" s="459">
        <v>2450.3803648934645</v>
      </c>
      <c r="D225" s="459">
        <v>14190.624374695259</v>
      </c>
      <c r="E225" s="449">
        <v>0</v>
      </c>
      <c r="F225" s="459">
        <v>7009.668099600005</v>
      </c>
      <c r="G225" s="459">
        <v>3371.4059604112795</v>
      </c>
      <c r="H225" s="459">
        <v>30924.673799600012</v>
      </c>
      <c r="I225" s="449"/>
      <c r="J225" s="459">
        <v>899.85300000000007</v>
      </c>
      <c r="K225" s="449">
        <v>0</v>
      </c>
      <c r="L225" s="449">
        <v>4235.7526003999992</v>
      </c>
      <c r="M225" s="459">
        <v>36060.279400000014</v>
      </c>
      <c r="O225" s="336"/>
      <c r="P225" s="336"/>
      <c r="Q225" s="336"/>
      <c r="R225" s="336"/>
      <c r="S225" s="336"/>
      <c r="T225" s="336"/>
      <c r="U225" s="336"/>
      <c r="V225" s="336"/>
      <c r="W225" s="336"/>
      <c r="X225" s="336"/>
      <c r="Y225" s="336"/>
      <c r="Z225" s="336"/>
      <c r="AA225" s="336"/>
      <c r="AB225" s="336"/>
      <c r="AC225" s="336"/>
      <c r="AD225" s="336"/>
      <c r="AE225" s="336"/>
      <c r="AF225" s="336"/>
      <c r="AG225" s="336"/>
      <c r="AH225" s="336"/>
      <c r="AI225" s="336"/>
      <c r="AJ225" s="336"/>
      <c r="AK225" s="336"/>
    </row>
    <row r="226" spans="1:37" ht="10.5" customHeight="1">
      <c r="A226" s="334" t="s">
        <v>549</v>
      </c>
      <c r="B226" s="462">
        <v>209.58737599999995</v>
      </c>
      <c r="C226" s="462">
        <v>155.51450670779968</v>
      </c>
      <c r="D226" s="462">
        <v>439.79074945528009</v>
      </c>
      <c r="E226" s="449">
        <v>0</v>
      </c>
      <c r="F226" s="462">
        <v>533.71317892847037</v>
      </c>
      <c r="G226" s="462">
        <v>119.15627964756413</v>
      </c>
      <c r="H226" s="462">
        <v>1457.7620907391174</v>
      </c>
      <c r="I226" s="458"/>
      <c r="J226" s="458">
        <v>14.420350000000099</v>
      </c>
      <c r="K226" s="449">
        <v>0</v>
      </c>
      <c r="L226" s="449">
        <v>0</v>
      </c>
      <c r="M226" s="462">
        <v>1472.1824407391175</v>
      </c>
      <c r="N226" s="451"/>
      <c r="O226" s="336"/>
      <c r="P226" s="336"/>
      <c r="Q226" s="336"/>
      <c r="R226" s="336"/>
      <c r="S226" s="336"/>
      <c r="T226" s="336"/>
      <c r="U226" s="336"/>
      <c r="V226" s="336"/>
      <c r="W226" s="336"/>
      <c r="X226" s="336"/>
      <c r="Y226" s="336"/>
      <c r="Z226" s="336"/>
      <c r="AA226" s="336"/>
      <c r="AB226" s="336"/>
      <c r="AC226" s="336"/>
      <c r="AD226" s="336"/>
      <c r="AE226" s="336"/>
      <c r="AF226" s="336"/>
      <c r="AG226" s="336"/>
      <c r="AH226" s="336"/>
      <c r="AI226" s="336"/>
      <c r="AJ226" s="336"/>
      <c r="AK226" s="336"/>
    </row>
    <row r="227" spans="1:37" ht="10.5" customHeight="1">
      <c r="A227" s="431" t="s">
        <v>555</v>
      </c>
      <c r="B227" s="463">
        <v>3693.0076240000003</v>
      </c>
      <c r="C227" s="463">
        <v>2294.8658581856648</v>
      </c>
      <c r="D227" s="463">
        <v>13750.833625239979</v>
      </c>
      <c r="E227" s="457">
        <v>0</v>
      </c>
      <c r="F227" s="463">
        <v>6475.9549206715346</v>
      </c>
      <c r="G227" s="463">
        <v>3252.2496807637153</v>
      </c>
      <c r="H227" s="463">
        <v>29466.911708860895</v>
      </c>
      <c r="I227" s="457"/>
      <c r="J227" s="457">
        <v>885.43264999999997</v>
      </c>
      <c r="K227" s="457">
        <v>0</v>
      </c>
      <c r="L227" s="457">
        <v>4235.7526003999992</v>
      </c>
      <c r="M227" s="463">
        <v>34588.096959260889</v>
      </c>
      <c r="O227" s="336"/>
      <c r="P227" s="336"/>
      <c r="Q227" s="336"/>
      <c r="R227" s="336"/>
      <c r="S227" s="336"/>
      <c r="T227" s="336"/>
      <c r="U227" s="336"/>
      <c r="V227" s="336"/>
      <c r="W227" s="336"/>
      <c r="X227" s="336"/>
      <c r="Y227" s="336"/>
      <c r="Z227" s="336"/>
      <c r="AA227" s="336"/>
      <c r="AB227" s="336"/>
      <c r="AC227" s="336"/>
      <c r="AD227" s="336"/>
      <c r="AE227" s="336"/>
      <c r="AF227" s="336"/>
      <c r="AG227" s="336"/>
      <c r="AH227" s="336"/>
      <c r="AI227" s="336"/>
      <c r="AJ227" s="336"/>
      <c r="AK227" s="336"/>
    </row>
    <row r="228" spans="1:37" ht="10.5" customHeight="1">
      <c r="A228" s="329" t="s">
        <v>556</v>
      </c>
      <c r="B228" s="449"/>
      <c r="C228" s="449"/>
      <c r="D228" s="449"/>
      <c r="E228" s="449"/>
      <c r="F228" s="449"/>
      <c r="G228" s="449"/>
      <c r="H228" s="449"/>
      <c r="I228" s="449"/>
      <c r="J228" s="449"/>
      <c r="K228" s="449"/>
      <c r="L228" s="449"/>
      <c r="M228" s="449"/>
      <c r="O228" s="336"/>
      <c r="P228" s="336"/>
      <c r="Q228" s="336"/>
      <c r="R228" s="336"/>
      <c r="S228" s="336"/>
      <c r="T228" s="336"/>
      <c r="U228" s="336"/>
      <c r="V228" s="336"/>
      <c r="W228" s="336"/>
      <c r="X228" s="336"/>
      <c r="Y228" s="336"/>
      <c r="Z228" s="336"/>
      <c r="AA228" s="336"/>
      <c r="AB228" s="336"/>
      <c r="AC228" s="336"/>
      <c r="AD228" s="336"/>
      <c r="AE228" s="336"/>
      <c r="AF228" s="336"/>
      <c r="AG228" s="336"/>
      <c r="AH228" s="336"/>
      <c r="AI228" s="336"/>
      <c r="AJ228" s="336"/>
      <c r="AK228" s="336"/>
    </row>
    <row r="229" spans="1:37" ht="10.5" customHeight="1">
      <c r="A229" s="334" t="s">
        <v>557</v>
      </c>
      <c r="B229" s="459">
        <v>418018.08901123417</v>
      </c>
      <c r="C229" s="459">
        <v>17897.18951400189</v>
      </c>
      <c r="D229" s="459">
        <v>308254.29709514871</v>
      </c>
      <c r="E229" s="449">
        <v>199237.06280346774</v>
      </c>
      <c r="F229" s="459">
        <v>40352.304131586483</v>
      </c>
      <c r="G229" s="459">
        <v>17411.989887654821</v>
      </c>
      <c r="H229" s="459">
        <v>1001170.9324430939</v>
      </c>
      <c r="I229" s="449"/>
      <c r="J229" s="449">
        <v>4593.1522580000001</v>
      </c>
      <c r="K229" s="449">
        <v>3852.6022349999998</v>
      </c>
      <c r="L229" s="449">
        <v>4235.7526003999992</v>
      </c>
      <c r="M229" s="459">
        <v>1013852.4395364939</v>
      </c>
      <c r="O229" s="336"/>
      <c r="P229" s="336"/>
      <c r="Q229" s="336"/>
      <c r="R229" s="336"/>
      <c r="S229" s="336"/>
      <c r="T229" s="336"/>
      <c r="U229" s="336"/>
      <c r="V229" s="336"/>
      <c r="W229" s="336"/>
      <c r="X229" s="336"/>
      <c r="Y229" s="336"/>
      <c r="Z229" s="336"/>
      <c r="AA229" s="336"/>
      <c r="AB229" s="336"/>
      <c r="AC229" s="336"/>
      <c r="AD229" s="336"/>
      <c r="AE229" s="336"/>
      <c r="AF229" s="336"/>
      <c r="AG229" s="336"/>
      <c r="AH229" s="336"/>
      <c r="AI229" s="336"/>
      <c r="AJ229" s="336"/>
      <c r="AK229" s="336"/>
    </row>
    <row r="230" spans="1:37" ht="10.5" customHeight="1">
      <c r="A230" s="334" t="s">
        <v>554</v>
      </c>
      <c r="B230" s="459">
        <v>149213.73519007739</v>
      </c>
      <c r="C230" s="459">
        <v>5809.0243326471809</v>
      </c>
      <c r="D230" s="459">
        <v>140827.86401709815</v>
      </c>
      <c r="E230" s="449">
        <v>75450.656932527243</v>
      </c>
      <c r="F230" s="459">
        <v>9938.1510748862565</v>
      </c>
      <c r="G230" s="459">
        <v>3371.4059604112795</v>
      </c>
      <c r="H230" s="459">
        <v>384610.83750764746</v>
      </c>
      <c r="I230" s="449"/>
      <c r="J230" s="449">
        <v>4593.1522580000001</v>
      </c>
      <c r="K230" s="449">
        <v>3852.6022349999998</v>
      </c>
      <c r="L230" s="449">
        <v>4235.7526003999992</v>
      </c>
      <c r="M230" s="459">
        <v>397292.34460104746</v>
      </c>
      <c r="N230" s="339"/>
      <c r="O230" s="336"/>
      <c r="P230" s="336"/>
      <c r="Q230" s="336"/>
      <c r="R230" s="336"/>
      <c r="S230" s="336"/>
      <c r="T230" s="336"/>
      <c r="U230" s="336"/>
      <c r="V230" s="336"/>
      <c r="W230" s="336"/>
      <c r="X230" s="336"/>
      <c r="Y230" s="336"/>
      <c r="Z230" s="336"/>
      <c r="AA230" s="336"/>
      <c r="AB230" s="336"/>
      <c r="AC230" s="336"/>
      <c r="AD230" s="336"/>
      <c r="AE230" s="336"/>
      <c r="AF230" s="336"/>
      <c r="AG230" s="336"/>
      <c r="AH230" s="336"/>
      <c r="AI230" s="336"/>
      <c r="AJ230" s="336"/>
      <c r="AK230" s="336"/>
    </row>
    <row r="231" spans="1:37" ht="10.5" customHeight="1">
      <c r="A231" s="334" t="s">
        <v>549</v>
      </c>
      <c r="B231" s="459">
        <v>7373.2931702331298</v>
      </c>
      <c r="C231" s="459">
        <v>747.61616649873167</v>
      </c>
      <c r="D231" s="459">
        <v>3073.6044394956571</v>
      </c>
      <c r="E231" s="449">
        <v>6213.5009325272404</v>
      </c>
      <c r="F231" s="459">
        <v>818.89821844037442</v>
      </c>
      <c r="G231" s="459">
        <v>119.15627964756413</v>
      </c>
      <c r="H231" s="459">
        <v>18346.069206842651</v>
      </c>
      <c r="I231" s="449"/>
      <c r="J231" s="449">
        <v>27.30113200000028</v>
      </c>
      <c r="K231" s="449">
        <v>130.28123499999992</v>
      </c>
      <c r="L231" s="449">
        <v>0</v>
      </c>
      <c r="M231" s="459">
        <v>18503.65157384265</v>
      </c>
      <c r="O231" s="336"/>
      <c r="P231" s="336"/>
      <c r="Q231" s="336"/>
      <c r="R231" s="336"/>
      <c r="S231" s="336"/>
      <c r="T231" s="336"/>
      <c r="U231" s="336"/>
      <c r="V231" s="336"/>
      <c r="W231" s="336"/>
      <c r="X231" s="336"/>
      <c r="Y231" s="336"/>
      <c r="Z231" s="336"/>
      <c r="AA231" s="336"/>
      <c r="AB231" s="336"/>
      <c r="AC231" s="336"/>
      <c r="AD231" s="336"/>
      <c r="AE231" s="336"/>
      <c r="AF231" s="336"/>
      <c r="AG231" s="336"/>
      <c r="AH231" s="336"/>
      <c r="AI231" s="336"/>
      <c r="AJ231" s="336"/>
      <c r="AK231" s="336"/>
    </row>
    <row r="232" spans="1:37" ht="10.5" customHeight="1">
      <c r="A232" s="334" t="s">
        <v>550</v>
      </c>
      <c r="B232" s="459">
        <v>141840.44201984425</v>
      </c>
      <c r="C232" s="459">
        <v>5061.4081661484488</v>
      </c>
      <c r="D232" s="459">
        <v>137754.2595776025</v>
      </c>
      <c r="E232" s="449">
        <v>69237.156000000003</v>
      </c>
      <c r="F232" s="459">
        <v>9119.2528564458826</v>
      </c>
      <c r="G232" s="459">
        <v>3252.2496807637153</v>
      </c>
      <c r="H232" s="459">
        <v>366264.76830080483</v>
      </c>
      <c r="I232" s="449"/>
      <c r="J232" s="459">
        <v>4565.8511259999996</v>
      </c>
      <c r="K232" s="449">
        <v>3722.3209999999999</v>
      </c>
      <c r="L232" s="449">
        <v>4235.7526003999992</v>
      </c>
      <c r="M232" s="459">
        <v>378788.69302720483</v>
      </c>
      <c r="O232" s="336"/>
      <c r="P232" s="336"/>
      <c r="Q232" s="336"/>
      <c r="R232" s="336"/>
      <c r="S232" s="336"/>
      <c r="T232" s="336"/>
      <c r="U232" s="336"/>
      <c r="V232" s="336"/>
      <c r="W232" s="336"/>
      <c r="X232" s="336"/>
      <c r="Y232" s="336"/>
      <c r="Z232" s="336"/>
      <c r="AA232" s="336"/>
      <c r="AB232" s="336"/>
      <c r="AC232" s="336"/>
      <c r="AD232" s="336"/>
      <c r="AE232" s="336"/>
      <c r="AF232" s="336"/>
      <c r="AG232" s="336"/>
      <c r="AH232" s="336"/>
      <c r="AI232" s="336"/>
      <c r="AJ232" s="336"/>
      <c r="AK232" s="336"/>
    </row>
    <row r="233" spans="1:37" ht="10.5" customHeight="1">
      <c r="A233" s="334" t="s">
        <v>551</v>
      </c>
      <c r="B233" s="449"/>
      <c r="C233" s="449"/>
      <c r="D233" s="449"/>
      <c r="E233" s="449"/>
      <c r="F233" s="449"/>
      <c r="G233" s="449"/>
      <c r="H233" s="449"/>
      <c r="I233" s="449"/>
      <c r="J233" s="449"/>
      <c r="K233" s="449"/>
      <c r="L233" s="449"/>
      <c r="M233" s="449">
        <v>4917.84</v>
      </c>
      <c r="O233" s="336"/>
      <c r="P233" s="336"/>
      <c r="Q233" s="336"/>
      <c r="R233" s="336"/>
      <c r="S233" s="336"/>
      <c r="T233" s="336"/>
      <c r="U233" s="336"/>
      <c r="V233" s="336"/>
      <c r="W233" s="336"/>
      <c r="X233" s="336"/>
      <c r="Y233" s="336"/>
      <c r="Z233" s="336"/>
      <c r="AA233" s="336"/>
      <c r="AB233" s="336"/>
      <c r="AC233" s="336"/>
      <c r="AD233" s="336"/>
      <c r="AE233" s="336"/>
      <c r="AF233" s="336"/>
      <c r="AG233" s="336"/>
      <c r="AH233" s="336"/>
      <c r="AI233" s="336"/>
      <c r="AJ233" s="336"/>
      <c r="AK233" s="336"/>
    </row>
    <row r="234" spans="1:37" ht="10.5" customHeight="1" thickBot="1">
      <c r="A234" s="433" t="s">
        <v>552</v>
      </c>
      <c r="B234" s="460"/>
      <c r="C234" s="460"/>
      <c r="D234" s="460"/>
      <c r="E234" s="460"/>
      <c r="F234" s="460"/>
      <c r="G234" s="460"/>
      <c r="H234" s="460"/>
      <c r="I234" s="460"/>
      <c r="J234" s="460"/>
      <c r="K234" s="460"/>
      <c r="L234" s="460"/>
      <c r="M234" s="464">
        <v>373870.85302720481</v>
      </c>
      <c r="O234" s="336"/>
      <c r="P234" s="336"/>
      <c r="Q234" s="336"/>
      <c r="R234" s="336"/>
      <c r="S234" s="336"/>
      <c r="T234" s="336"/>
      <c r="U234" s="336"/>
      <c r="V234" s="336"/>
      <c r="W234" s="336"/>
      <c r="X234" s="336"/>
      <c r="Y234" s="336"/>
      <c r="Z234" s="336"/>
      <c r="AA234" s="336"/>
      <c r="AB234" s="336"/>
      <c r="AC234" s="336"/>
      <c r="AD234" s="336"/>
      <c r="AE234" s="336"/>
      <c r="AF234" s="336"/>
      <c r="AG234" s="336"/>
      <c r="AH234" s="336"/>
      <c r="AI234" s="336"/>
      <c r="AJ234" s="336"/>
      <c r="AK234" s="336"/>
    </row>
    <row r="235" spans="1:37" ht="10.5" customHeight="1" thickTop="1">
      <c r="A235" s="465"/>
      <c r="B235" s="458"/>
      <c r="C235" s="458"/>
      <c r="D235" s="458"/>
      <c r="E235" s="458"/>
      <c r="F235" s="458"/>
      <c r="G235" s="458"/>
      <c r="H235" s="458"/>
      <c r="I235" s="458"/>
      <c r="J235" s="458"/>
      <c r="K235" s="458"/>
      <c r="L235" s="458"/>
      <c r="M235" s="458"/>
      <c r="Z235" s="451"/>
      <c r="AA235" s="451"/>
      <c r="AB235" s="451"/>
      <c r="AC235" s="451"/>
      <c r="AD235" s="451"/>
      <c r="AE235" s="451"/>
      <c r="AF235" s="451"/>
      <c r="AG235" s="451"/>
      <c r="AH235" s="451"/>
      <c r="AI235" s="451"/>
      <c r="AJ235" s="451"/>
      <c r="AK235" s="451"/>
    </row>
    <row r="236" spans="1:37" s="312" customFormat="1" ht="11.25" customHeight="1">
      <c r="A236" s="466"/>
      <c r="B236" s="339"/>
      <c r="C236" s="339"/>
      <c r="D236" s="339"/>
      <c r="E236" s="339"/>
      <c r="F236" s="339"/>
      <c r="G236" s="339"/>
      <c r="H236" s="339"/>
      <c r="I236" s="339"/>
      <c r="J236" s="339"/>
      <c r="K236" s="339"/>
      <c r="L236" s="339"/>
      <c r="M236" s="339"/>
    </row>
    <row r="237" spans="1:37" s="316" customFormat="1" ht="21.75" customHeight="1">
      <c r="A237" s="310" t="s">
        <v>563</v>
      </c>
      <c r="B237" s="400"/>
      <c r="C237" s="400"/>
      <c r="D237" s="400"/>
      <c r="E237" s="400"/>
      <c r="F237" s="400"/>
      <c r="G237" s="400"/>
      <c r="H237" s="400"/>
      <c r="I237" s="400"/>
      <c r="J237" s="400"/>
      <c r="K237" s="400"/>
      <c r="L237" s="400"/>
      <c r="M237" s="400"/>
    </row>
    <row r="238" spans="1:37" s="316" customFormat="1" ht="13.5" thickBot="1">
      <c r="A238" s="2661" t="s">
        <v>389</v>
      </c>
      <c r="B238" s="2661"/>
      <c r="C238" s="2661"/>
      <c r="D238" s="2661"/>
      <c r="E238" s="2661"/>
      <c r="F238" s="2661"/>
      <c r="G238" s="2661"/>
      <c r="H238" s="2661"/>
      <c r="I238" s="2661"/>
      <c r="J238" s="2661"/>
      <c r="K238" s="2661"/>
      <c r="L238" s="2661"/>
      <c r="M238" s="2661"/>
    </row>
    <row r="239" spans="1:37" ht="14.25" customHeight="1" thickTop="1">
      <c r="A239" s="404"/>
      <c r="B239" s="2656" t="s">
        <v>532</v>
      </c>
      <c r="C239" s="2656"/>
      <c r="D239" s="2656"/>
      <c r="E239" s="2656"/>
      <c r="F239" s="2656"/>
      <c r="G239" s="2656"/>
      <c r="H239" s="2656"/>
      <c r="I239" s="404"/>
      <c r="J239" s="2656" t="s">
        <v>533</v>
      </c>
      <c r="K239" s="2656"/>
      <c r="L239" s="2656"/>
      <c r="M239" s="2656"/>
    </row>
    <row r="240" spans="1:37" ht="10.5" customHeight="1">
      <c r="A240" s="329"/>
      <c r="B240" s="408" t="s">
        <v>141</v>
      </c>
      <c r="C240" s="408" t="s">
        <v>202</v>
      </c>
      <c r="D240" s="408" t="s">
        <v>14</v>
      </c>
      <c r="E240" s="408" t="s">
        <v>0</v>
      </c>
      <c r="F240" s="408" t="s">
        <v>534</v>
      </c>
      <c r="G240" s="408" t="s">
        <v>390</v>
      </c>
      <c r="H240" s="408" t="s">
        <v>148</v>
      </c>
      <c r="I240" s="408"/>
      <c r="J240" s="408" t="s">
        <v>535</v>
      </c>
      <c r="K240" s="408" t="s">
        <v>535</v>
      </c>
      <c r="L240" s="408" t="s">
        <v>123</v>
      </c>
      <c r="M240" s="409" t="s">
        <v>148</v>
      </c>
    </row>
    <row r="241" spans="1:37" ht="10.5" customHeight="1">
      <c r="B241" s="330"/>
      <c r="C241" s="330"/>
      <c r="D241" s="330"/>
      <c r="E241" s="330"/>
      <c r="F241" s="408" t="s">
        <v>536</v>
      </c>
      <c r="G241" s="415" t="s">
        <v>537</v>
      </c>
      <c r="H241" s="330"/>
      <c r="I241" s="330"/>
      <c r="J241" s="408" t="s">
        <v>538</v>
      </c>
      <c r="K241" s="408" t="s">
        <v>539</v>
      </c>
      <c r="L241" s="415" t="s">
        <v>540</v>
      </c>
      <c r="M241" s="408" t="s">
        <v>541</v>
      </c>
    </row>
    <row r="242" spans="1:37" ht="10.5" customHeight="1">
      <c r="A242" s="445"/>
      <c r="B242" s="422"/>
      <c r="C242" s="422"/>
      <c r="D242" s="422"/>
      <c r="E242" s="422"/>
      <c r="F242" s="446" t="s">
        <v>542</v>
      </c>
      <c r="G242" s="422"/>
      <c r="H242" s="422"/>
      <c r="I242" s="422"/>
      <c r="J242" s="423" t="s">
        <v>543</v>
      </c>
      <c r="K242" s="423" t="s">
        <v>544</v>
      </c>
      <c r="L242" s="422"/>
      <c r="M242" s="423" t="s">
        <v>545</v>
      </c>
    </row>
    <row r="243" spans="1:37" s="346" customFormat="1" ht="13.5" customHeight="1">
      <c r="A243" s="447">
        <v>2007</v>
      </c>
      <c r="B243" s="461"/>
      <c r="C243" s="461"/>
      <c r="D243" s="461"/>
      <c r="E243" s="461"/>
      <c r="F243" s="461"/>
      <c r="G243" s="461"/>
      <c r="H243" s="461"/>
      <c r="I243" s="461"/>
      <c r="J243" s="461"/>
      <c r="K243" s="461"/>
      <c r="L243" s="461"/>
      <c r="M243" s="461"/>
    </row>
    <row r="244" spans="1:37" ht="10.5" customHeight="1">
      <c r="A244" s="329" t="s">
        <v>564</v>
      </c>
      <c r="B244" s="449"/>
      <c r="C244" s="449"/>
      <c r="D244" s="449"/>
      <c r="E244" s="449"/>
      <c r="F244" s="449"/>
      <c r="G244" s="449"/>
      <c r="H244" s="449"/>
      <c r="I244" s="449"/>
      <c r="J244" s="449"/>
      <c r="K244" s="449"/>
      <c r="L244" s="449"/>
      <c r="M244" s="449"/>
    </row>
    <row r="245" spans="1:37" ht="10.5" customHeight="1">
      <c r="A245" s="334" t="s">
        <v>547</v>
      </c>
      <c r="B245" s="449">
        <v>371396.18674674298</v>
      </c>
      <c r="C245" s="449">
        <v>8718.2145783364922</v>
      </c>
      <c r="D245" s="449">
        <v>319836.46584224253</v>
      </c>
      <c r="E245" s="459">
        <v>163244.47683045061</v>
      </c>
      <c r="F245" s="449">
        <v>7271.2271900000005</v>
      </c>
      <c r="G245" s="449">
        <v>0</v>
      </c>
      <c r="H245" s="459">
        <v>870466.57118777256</v>
      </c>
      <c r="I245" s="449"/>
      <c r="J245" s="449">
        <v>4143.5790100000004</v>
      </c>
      <c r="K245" s="449">
        <v>3859.226181</v>
      </c>
      <c r="L245" s="459">
        <v>3568.836785</v>
      </c>
      <c r="M245" s="459">
        <v>882038.2131637726</v>
      </c>
      <c r="O245" s="336"/>
      <c r="P245" s="336"/>
      <c r="Q245" s="336"/>
      <c r="R245" s="336"/>
      <c r="S245" s="336"/>
      <c r="T245" s="336"/>
      <c r="U245" s="336"/>
      <c r="V245" s="336"/>
      <c r="W245" s="336"/>
      <c r="X245" s="336"/>
      <c r="Y245" s="336"/>
      <c r="Z245" s="336"/>
      <c r="AA245" s="336"/>
      <c r="AB245" s="336"/>
      <c r="AC245" s="336"/>
      <c r="AD245" s="336"/>
      <c r="AE245" s="336"/>
      <c r="AF245" s="336"/>
      <c r="AG245" s="336"/>
      <c r="AH245" s="336"/>
      <c r="AI245" s="336"/>
      <c r="AJ245" s="336"/>
      <c r="AK245" s="336"/>
    </row>
    <row r="246" spans="1:37" ht="10.5" customHeight="1">
      <c r="A246" s="334" t="s">
        <v>548</v>
      </c>
      <c r="B246" s="459">
        <v>132675.3202097828</v>
      </c>
      <c r="C246" s="459">
        <v>2400.7626921524643</v>
      </c>
      <c r="D246" s="449">
        <v>149345.94597440778</v>
      </c>
      <c r="E246" s="449">
        <v>63028.342696935004</v>
      </c>
      <c r="F246" s="459">
        <v>2387.9862899598402</v>
      </c>
      <c r="G246" s="449">
        <v>0</v>
      </c>
      <c r="H246" s="459">
        <v>349838.35786323791</v>
      </c>
      <c r="I246" s="449"/>
      <c r="J246" s="449">
        <v>4143.5790100000004</v>
      </c>
      <c r="K246" s="449">
        <v>3859.226181</v>
      </c>
      <c r="L246" s="459">
        <v>3568.836785</v>
      </c>
      <c r="M246" s="459">
        <v>361409.99983923789</v>
      </c>
      <c r="O246" s="336"/>
      <c r="P246" s="336"/>
      <c r="Q246" s="336"/>
      <c r="R246" s="336"/>
      <c r="S246" s="336"/>
      <c r="T246" s="336"/>
      <c r="U246" s="336"/>
      <c r="V246" s="336"/>
      <c r="W246" s="336"/>
      <c r="X246" s="336"/>
      <c r="Y246" s="336"/>
      <c r="Z246" s="336"/>
      <c r="AA246" s="336"/>
      <c r="AB246" s="336"/>
      <c r="AC246" s="336"/>
      <c r="AD246" s="336"/>
      <c r="AE246" s="336"/>
      <c r="AF246" s="336"/>
      <c r="AG246" s="336"/>
      <c r="AH246" s="336"/>
      <c r="AI246" s="336"/>
      <c r="AJ246" s="336"/>
      <c r="AK246" s="336"/>
    </row>
    <row r="247" spans="1:37" ht="10.5" customHeight="1">
      <c r="A247" s="334" t="s">
        <v>549</v>
      </c>
      <c r="B247" s="459">
        <v>6737.3748676843679</v>
      </c>
      <c r="C247" s="459">
        <v>404.80367306255289</v>
      </c>
      <c r="D247" s="449">
        <v>2894.0643509609217</v>
      </c>
      <c r="E247" s="449">
        <v>5779.4476969349998</v>
      </c>
      <c r="F247" s="459">
        <v>239.7560913704192</v>
      </c>
      <c r="G247" s="449">
        <v>0</v>
      </c>
      <c r="H247" s="459">
        <v>16055.446680013207</v>
      </c>
      <c r="I247" s="449"/>
      <c r="J247" s="449">
        <v>29.823910000000069</v>
      </c>
      <c r="K247" s="449">
        <v>13.46018099999992</v>
      </c>
      <c r="L247" s="449">
        <v>0</v>
      </c>
      <c r="M247" s="459">
        <v>16098.730771013206</v>
      </c>
      <c r="O247" s="336"/>
      <c r="P247" s="336"/>
      <c r="Q247" s="336"/>
      <c r="R247" s="336"/>
      <c r="S247" s="336"/>
      <c r="T247" s="336"/>
      <c r="U247" s="336"/>
      <c r="V247" s="336"/>
      <c r="W247" s="336"/>
      <c r="X247" s="336"/>
      <c r="Y247" s="336"/>
      <c r="Z247" s="336"/>
      <c r="AA247" s="336"/>
      <c r="AB247" s="336"/>
      <c r="AC247" s="336"/>
      <c r="AD247" s="336"/>
      <c r="AE247" s="336"/>
      <c r="AF247" s="336"/>
      <c r="AG247" s="336"/>
      <c r="AH247" s="336"/>
      <c r="AI247" s="336"/>
      <c r="AJ247" s="336"/>
      <c r="AK247" s="336"/>
    </row>
    <row r="248" spans="1:37" ht="10.5" customHeight="1">
      <c r="A248" s="334" t="s">
        <v>550</v>
      </c>
      <c r="B248" s="459">
        <v>125937.94534209844</v>
      </c>
      <c r="C248" s="459">
        <v>1995.9590190899114</v>
      </c>
      <c r="D248" s="449">
        <v>146451.88162344685</v>
      </c>
      <c r="E248" s="449">
        <v>57248.895000000004</v>
      </c>
      <c r="F248" s="459">
        <v>2148.230198589421</v>
      </c>
      <c r="G248" s="449">
        <v>0</v>
      </c>
      <c r="H248" s="449">
        <v>333782.9111832247</v>
      </c>
      <c r="I248" s="449"/>
      <c r="J248" s="449">
        <v>4113.7551000000003</v>
      </c>
      <c r="K248" s="449">
        <v>3845.7660000000001</v>
      </c>
      <c r="L248" s="459">
        <v>3568.836785</v>
      </c>
      <c r="M248" s="459">
        <v>345311.2690682247</v>
      </c>
      <c r="O248" s="336"/>
      <c r="P248" s="336"/>
      <c r="Q248" s="336"/>
      <c r="R248" s="336"/>
      <c r="S248" s="336"/>
      <c r="T248" s="336"/>
      <c r="U248" s="336"/>
      <c r="V248" s="336"/>
      <c r="W248" s="336"/>
      <c r="X248" s="336"/>
      <c r="Y248" s="336"/>
      <c r="Z248" s="336"/>
      <c r="AA248" s="336"/>
      <c r="AB248" s="336"/>
      <c r="AC248" s="336"/>
      <c r="AD248" s="336"/>
      <c r="AE248" s="336"/>
      <c r="AF248" s="336"/>
      <c r="AG248" s="336"/>
      <c r="AH248" s="336"/>
      <c r="AI248" s="336"/>
      <c r="AJ248" s="336"/>
      <c r="AK248" s="336"/>
    </row>
    <row r="249" spans="1:37" ht="10.5" customHeight="1">
      <c r="A249" s="334" t="s">
        <v>551</v>
      </c>
      <c r="B249" s="449"/>
      <c r="C249" s="449"/>
      <c r="D249" s="449"/>
      <c r="E249" s="449"/>
      <c r="F249" s="449"/>
      <c r="G249" s="449"/>
      <c r="H249" s="449"/>
      <c r="I249" s="449"/>
      <c r="J249" s="449"/>
      <c r="K249" s="449"/>
      <c r="L249" s="449"/>
      <c r="M249" s="449">
        <v>5071.2659999999996</v>
      </c>
      <c r="O249" s="336"/>
      <c r="P249" s="336"/>
      <c r="Q249" s="336"/>
      <c r="R249" s="336"/>
      <c r="S249" s="336"/>
      <c r="T249" s="336"/>
      <c r="U249" s="336"/>
      <c r="V249" s="336"/>
      <c r="W249" s="336"/>
      <c r="X249" s="336"/>
      <c r="Y249" s="336"/>
      <c r="Z249" s="336"/>
      <c r="AA249" s="336"/>
      <c r="AB249" s="336"/>
      <c r="AC249" s="336"/>
      <c r="AD249" s="336"/>
      <c r="AE249" s="336"/>
      <c r="AF249" s="336"/>
      <c r="AG249" s="336"/>
      <c r="AH249" s="336"/>
      <c r="AI249" s="336"/>
      <c r="AJ249" s="336"/>
      <c r="AK249" s="336"/>
    </row>
    <row r="250" spans="1:37" ht="10.5" customHeight="1">
      <c r="A250" s="431" t="s">
        <v>552</v>
      </c>
      <c r="B250" s="457"/>
      <c r="C250" s="457"/>
      <c r="D250" s="457"/>
      <c r="E250" s="457"/>
      <c r="F250" s="457"/>
      <c r="G250" s="457"/>
      <c r="H250" s="457"/>
      <c r="I250" s="457"/>
      <c r="J250" s="457"/>
      <c r="K250" s="457"/>
      <c r="L250" s="457"/>
      <c r="M250" s="463">
        <v>340240.0030682247</v>
      </c>
      <c r="O250" s="336"/>
      <c r="P250" s="336"/>
      <c r="Q250" s="336"/>
      <c r="R250" s="336"/>
      <c r="S250" s="336"/>
      <c r="T250" s="336"/>
      <c r="U250" s="336"/>
      <c r="V250" s="336"/>
      <c r="W250" s="336"/>
      <c r="X250" s="336"/>
      <c r="Y250" s="336"/>
      <c r="Z250" s="336"/>
      <c r="AA250" s="336"/>
      <c r="AB250" s="336"/>
      <c r="AC250" s="336"/>
      <c r="AD250" s="336"/>
      <c r="AE250" s="336"/>
      <c r="AF250" s="336"/>
      <c r="AG250" s="336"/>
      <c r="AH250" s="336"/>
      <c r="AI250" s="336"/>
      <c r="AJ250" s="336"/>
      <c r="AK250" s="336"/>
    </row>
    <row r="251" spans="1:37" ht="10.5" customHeight="1">
      <c r="A251" s="329" t="s">
        <v>565</v>
      </c>
      <c r="B251" s="449"/>
      <c r="C251" s="449"/>
      <c r="D251" s="449"/>
      <c r="E251" s="449"/>
      <c r="F251" s="449"/>
      <c r="G251" s="449"/>
      <c r="H251" s="449"/>
      <c r="I251" s="449"/>
      <c r="J251" s="449"/>
      <c r="K251" s="449"/>
      <c r="L251" s="449"/>
      <c r="M251" s="449"/>
      <c r="O251" s="336"/>
      <c r="P251" s="336"/>
      <c r="Q251" s="336"/>
      <c r="R251" s="336"/>
      <c r="S251" s="336"/>
      <c r="T251" s="336"/>
      <c r="U251" s="336"/>
      <c r="V251" s="336"/>
      <c r="W251" s="336"/>
      <c r="X251" s="336"/>
      <c r="Y251" s="336"/>
      <c r="Z251" s="336"/>
      <c r="AA251" s="336"/>
      <c r="AB251" s="336"/>
      <c r="AC251" s="336"/>
      <c r="AD251" s="336"/>
      <c r="AE251" s="336"/>
      <c r="AF251" s="336"/>
      <c r="AG251" s="336"/>
      <c r="AH251" s="336"/>
      <c r="AI251" s="336"/>
      <c r="AJ251" s="336"/>
      <c r="AK251" s="336"/>
    </row>
    <row r="252" spans="1:37" ht="11.45" customHeight="1">
      <c r="A252" s="334" t="s">
        <v>547</v>
      </c>
      <c r="B252" s="459">
        <v>10820.381323806476</v>
      </c>
      <c r="C252" s="459">
        <v>5921.1672025114676</v>
      </c>
      <c r="D252" s="459">
        <v>32898.230000000003</v>
      </c>
      <c r="E252" s="449">
        <v>0</v>
      </c>
      <c r="F252" s="459">
        <v>33194.307534110594</v>
      </c>
      <c r="G252" s="459">
        <v>14135.292809734256</v>
      </c>
      <c r="H252" s="459">
        <v>96969.378870162807</v>
      </c>
      <c r="I252" s="449"/>
      <c r="J252" s="449">
        <v>945.57699999999977</v>
      </c>
      <c r="K252" s="449">
        <v>0</v>
      </c>
      <c r="L252" s="459">
        <v>1719.0346999999992</v>
      </c>
      <c r="M252" s="459">
        <v>99633.990570162816</v>
      </c>
      <c r="O252" s="336"/>
      <c r="P252" s="336"/>
      <c r="Q252" s="336"/>
      <c r="R252" s="336"/>
      <c r="S252" s="336"/>
      <c r="T252" s="336"/>
      <c r="U252" s="336"/>
      <c r="V252" s="336"/>
      <c r="W252" s="336"/>
      <c r="X252" s="336"/>
      <c r="Y252" s="336"/>
      <c r="Z252" s="336"/>
      <c r="AA252" s="336"/>
      <c r="AB252" s="336"/>
      <c r="AC252" s="336"/>
      <c r="AD252" s="336"/>
      <c r="AE252" s="336"/>
      <c r="AF252" s="336"/>
      <c r="AG252" s="336"/>
      <c r="AH252" s="336"/>
      <c r="AI252" s="336"/>
      <c r="AJ252" s="336"/>
      <c r="AK252" s="336"/>
    </row>
    <row r="253" spans="1:37" ht="10.5" customHeight="1">
      <c r="A253" s="334" t="s">
        <v>554</v>
      </c>
      <c r="B253" s="459">
        <v>3869.7619999999997</v>
      </c>
      <c r="C253" s="459">
        <v>2331.1226537924636</v>
      </c>
      <c r="D253" s="459">
        <v>16437.823011263517</v>
      </c>
      <c r="E253" s="449">
        <v>0</v>
      </c>
      <c r="F253" s="459">
        <v>7588.9023000000025</v>
      </c>
      <c r="G253" s="459">
        <v>2742.1051059440215</v>
      </c>
      <c r="H253" s="459">
        <v>32969.715071000006</v>
      </c>
      <c r="I253" s="449"/>
      <c r="J253" s="449">
        <v>945.57699999999988</v>
      </c>
      <c r="K253" s="449">
        <v>0</v>
      </c>
      <c r="L253" s="459">
        <v>1719.0346999999992</v>
      </c>
      <c r="M253" s="459">
        <v>35634.326771</v>
      </c>
      <c r="O253" s="336"/>
      <c r="P253" s="336"/>
      <c r="Q253" s="336"/>
      <c r="R253" s="336"/>
      <c r="S253" s="336"/>
      <c r="T253" s="336"/>
      <c r="U253" s="336"/>
      <c r="V253" s="336"/>
      <c r="W253" s="336"/>
      <c r="X253" s="336"/>
      <c r="Y253" s="336"/>
      <c r="Z253" s="336"/>
      <c r="AA253" s="336"/>
      <c r="AB253" s="336"/>
      <c r="AC253" s="336"/>
      <c r="AD253" s="336"/>
      <c r="AE253" s="336"/>
      <c r="AF253" s="336"/>
      <c r="AG253" s="336"/>
      <c r="AH253" s="336"/>
      <c r="AI253" s="336"/>
      <c r="AJ253" s="336"/>
      <c r="AK253" s="336"/>
    </row>
    <row r="254" spans="1:37" ht="10.5" customHeight="1">
      <c r="A254" s="334" t="s">
        <v>549</v>
      </c>
      <c r="B254" s="462">
        <v>207.32742399999961</v>
      </c>
      <c r="C254" s="462">
        <v>159.78979072282391</v>
      </c>
      <c r="D254" s="462">
        <v>509.41794401799416</v>
      </c>
      <c r="E254" s="449">
        <v>0</v>
      </c>
      <c r="F254" s="462">
        <v>614.9436599368928</v>
      </c>
      <c r="G254" s="462">
        <v>92.479800373133912</v>
      </c>
      <c r="H254" s="462">
        <v>1583.9586190508489</v>
      </c>
      <c r="I254" s="458"/>
      <c r="J254" s="458">
        <v>16.014349999999808</v>
      </c>
      <c r="K254" s="449">
        <v>0</v>
      </c>
      <c r="L254" s="449">
        <v>0</v>
      </c>
      <c r="M254" s="462">
        <v>1599.9729690508489</v>
      </c>
      <c r="N254" s="451"/>
      <c r="O254" s="336"/>
      <c r="P254" s="336"/>
      <c r="Q254" s="336"/>
      <c r="R254" s="336"/>
      <c r="S254" s="336"/>
      <c r="T254" s="336"/>
      <c r="U254" s="336"/>
      <c r="V254" s="336"/>
      <c r="W254" s="336"/>
      <c r="X254" s="336"/>
      <c r="Y254" s="336"/>
      <c r="Z254" s="336"/>
      <c r="AA254" s="336"/>
      <c r="AB254" s="336"/>
      <c r="AC254" s="336"/>
      <c r="AD254" s="336"/>
      <c r="AE254" s="336"/>
      <c r="AF254" s="336"/>
      <c r="AG254" s="336"/>
      <c r="AH254" s="336"/>
      <c r="AI254" s="336"/>
      <c r="AJ254" s="336"/>
      <c r="AK254" s="336"/>
    </row>
    <row r="255" spans="1:37" ht="10.5" customHeight="1">
      <c r="A255" s="431" t="s">
        <v>555</v>
      </c>
      <c r="B255" s="463">
        <v>3662.4345760000001</v>
      </c>
      <c r="C255" s="463">
        <v>2171.3328630696396</v>
      </c>
      <c r="D255" s="463">
        <v>15928.405067245523</v>
      </c>
      <c r="E255" s="457">
        <v>0</v>
      </c>
      <c r="F255" s="463">
        <v>6973.9586400631097</v>
      </c>
      <c r="G255" s="463">
        <v>2649.6253055708876</v>
      </c>
      <c r="H255" s="463">
        <v>31385.756451949157</v>
      </c>
      <c r="I255" s="457"/>
      <c r="J255" s="457">
        <v>929.56265000000008</v>
      </c>
      <c r="K255" s="457">
        <v>0</v>
      </c>
      <c r="L255" s="463">
        <v>1719.0346999999992</v>
      </c>
      <c r="M255" s="463">
        <v>34034.353801949153</v>
      </c>
      <c r="O255" s="336"/>
      <c r="P255" s="336"/>
      <c r="Q255" s="336"/>
      <c r="R255" s="336"/>
      <c r="S255" s="336"/>
      <c r="T255" s="336"/>
      <c r="U255" s="336"/>
      <c r="V255" s="336"/>
      <c r="W255" s="336"/>
      <c r="X255" s="336"/>
      <c r="Y255" s="336"/>
      <c r="Z255" s="336"/>
      <c r="AA255" s="336"/>
      <c r="AB255" s="336"/>
      <c r="AC255" s="336"/>
      <c r="AD255" s="336"/>
      <c r="AE255" s="336"/>
      <c r="AF255" s="336"/>
      <c r="AG255" s="336"/>
      <c r="AH255" s="336"/>
      <c r="AI255" s="336"/>
      <c r="AJ255" s="336"/>
      <c r="AK255" s="336"/>
    </row>
    <row r="256" spans="1:37" ht="10.5" customHeight="1">
      <c r="A256" s="329" t="s">
        <v>556</v>
      </c>
      <c r="B256" s="449"/>
      <c r="C256" s="449"/>
      <c r="D256" s="449"/>
      <c r="E256" s="449"/>
      <c r="F256" s="449"/>
      <c r="G256" s="449"/>
      <c r="H256" s="449"/>
      <c r="I256" s="449"/>
      <c r="J256" s="449"/>
      <c r="K256" s="449"/>
      <c r="L256" s="449"/>
      <c r="M256" s="449"/>
      <c r="O256" s="336"/>
      <c r="P256" s="336"/>
      <c r="Q256" s="336"/>
      <c r="R256" s="336"/>
      <c r="S256" s="336"/>
      <c r="T256" s="336"/>
      <c r="U256" s="336"/>
      <c r="V256" s="336"/>
      <c r="W256" s="336"/>
      <c r="X256" s="336"/>
      <c r="Y256" s="336"/>
      <c r="Z256" s="336"/>
      <c r="AA256" s="336"/>
      <c r="AB256" s="336"/>
      <c r="AC256" s="336"/>
      <c r="AD256" s="336"/>
      <c r="AE256" s="336"/>
      <c r="AF256" s="336"/>
      <c r="AG256" s="336"/>
      <c r="AH256" s="336"/>
      <c r="AI256" s="336"/>
      <c r="AJ256" s="336"/>
      <c r="AK256" s="336"/>
    </row>
    <row r="257" spans="1:37" ht="10.5" customHeight="1">
      <c r="A257" s="334" t="s">
        <v>557</v>
      </c>
      <c r="B257" s="459">
        <v>382216.56807054946</v>
      </c>
      <c r="C257" s="459">
        <v>14639.38178084796</v>
      </c>
      <c r="D257" s="459">
        <v>352734.69584224257</v>
      </c>
      <c r="E257" s="459">
        <v>163244.47683045061</v>
      </c>
      <c r="F257" s="459">
        <v>40465.534724110592</v>
      </c>
      <c r="G257" s="459">
        <v>14135.292809734256</v>
      </c>
      <c r="H257" s="459">
        <v>967435.95005793532</v>
      </c>
      <c r="I257" s="449"/>
      <c r="J257" s="449">
        <v>5089.1560100000006</v>
      </c>
      <c r="K257" s="449">
        <v>3859.226181</v>
      </c>
      <c r="L257" s="459">
        <v>5287.8714849999997</v>
      </c>
      <c r="M257" s="459">
        <v>981672.20373393537</v>
      </c>
      <c r="O257" s="336"/>
      <c r="P257" s="336"/>
      <c r="Q257" s="336"/>
      <c r="R257" s="336"/>
      <c r="S257" s="336"/>
      <c r="T257" s="336"/>
      <c r="U257" s="336"/>
      <c r="V257" s="336"/>
      <c r="W257" s="336"/>
      <c r="X257" s="336"/>
      <c r="Y257" s="336"/>
      <c r="Z257" s="336"/>
      <c r="AA257" s="336"/>
      <c r="AB257" s="336"/>
      <c r="AC257" s="336"/>
      <c r="AD257" s="336"/>
      <c r="AE257" s="336"/>
      <c r="AF257" s="336"/>
      <c r="AG257" s="336"/>
      <c r="AH257" s="336"/>
      <c r="AI257" s="336"/>
      <c r="AJ257" s="336"/>
      <c r="AK257" s="336"/>
    </row>
    <row r="258" spans="1:37" ht="10.5" customHeight="1">
      <c r="A258" s="334" t="s">
        <v>554</v>
      </c>
      <c r="B258" s="449">
        <v>136545.08220978279</v>
      </c>
      <c r="C258" s="459">
        <v>4731.8853459449274</v>
      </c>
      <c r="D258" s="459">
        <v>165783.76898567128</v>
      </c>
      <c r="E258" s="449">
        <v>63028.342696935004</v>
      </c>
      <c r="F258" s="459">
        <v>9976.8885899598426</v>
      </c>
      <c r="G258" s="459">
        <v>2742.1051059440215</v>
      </c>
      <c r="H258" s="459">
        <v>382808.07293423789</v>
      </c>
      <c r="I258" s="449"/>
      <c r="J258" s="449">
        <v>5089.1560100000006</v>
      </c>
      <c r="K258" s="449">
        <v>3859.226181</v>
      </c>
      <c r="L258" s="459">
        <v>5287.8714849999997</v>
      </c>
      <c r="M258" s="459">
        <v>397044.32661023788</v>
      </c>
      <c r="N258" s="339"/>
      <c r="O258" s="336"/>
      <c r="P258" s="336"/>
      <c r="Q258" s="336"/>
      <c r="R258" s="336"/>
      <c r="S258" s="336"/>
      <c r="T258" s="336"/>
      <c r="U258" s="336"/>
      <c r="V258" s="336"/>
      <c r="W258" s="336"/>
      <c r="X258" s="336"/>
      <c r="Y258" s="336"/>
      <c r="Z258" s="336"/>
      <c r="AA258" s="336"/>
      <c r="AB258" s="336"/>
      <c r="AC258" s="336"/>
      <c r="AD258" s="336"/>
      <c r="AE258" s="336"/>
      <c r="AF258" s="336"/>
      <c r="AG258" s="336"/>
      <c r="AH258" s="336"/>
      <c r="AI258" s="336"/>
      <c r="AJ258" s="336"/>
      <c r="AK258" s="336"/>
    </row>
    <row r="259" spans="1:37" ht="10.5" customHeight="1">
      <c r="A259" s="334" t="s">
        <v>549</v>
      </c>
      <c r="B259" s="459">
        <v>6944.7022916843671</v>
      </c>
      <c r="C259" s="459">
        <v>564.5934637853768</v>
      </c>
      <c r="D259" s="459">
        <v>3403.4822949789159</v>
      </c>
      <c r="E259" s="449">
        <v>5779.4476969349998</v>
      </c>
      <c r="F259" s="459">
        <v>854.699751307312</v>
      </c>
      <c r="G259" s="459">
        <v>92.479800373133912</v>
      </c>
      <c r="H259" s="459">
        <v>17639.405299064056</v>
      </c>
      <c r="I259" s="449"/>
      <c r="J259" s="449">
        <v>45.838259999999877</v>
      </c>
      <c r="K259" s="449">
        <v>13.46018099999992</v>
      </c>
      <c r="L259" s="449">
        <v>0</v>
      </c>
      <c r="M259" s="459">
        <v>17698.703740064055</v>
      </c>
      <c r="O259" s="336"/>
      <c r="P259" s="336"/>
      <c r="Q259" s="336"/>
      <c r="R259" s="336"/>
      <c r="S259" s="336"/>
      <c r="T259" s="336"/>
      <c r="U259" s="336"/>
      <c r="V259" s="336"/>
      <c r="W259" s="336"/>
      <c r="X259" s="336"/>
      <c r="Y259" s="336"/>
      <c r="Z259" s="336"/>
      <c r="AA259" s="336"/>
      <c r="AB259" s="336"/>
      <c r="AC259" s="336"/>
      <c r="AD259" s="336"/>
      <c r="AE259" s="336"/>
      <c r="AF259" s="336"/>
      <c r="AG259" s="336"/>
      <c r="AH259" s="336"/>
      <c r="AI259" s="336"/>
      <c r="AJ259" s="336"/>
      <c r="AK259" s="336"/>
    </row>
    <row r="260" spans="1:37" ht="10.5" customHeight="1">
      <c r="A260" s="334" t="s">
        <v>550</v>
      </c>
      <c r="B260" s="459">
        <v>129600.37991809844</v>
      </c>
      <c r="C260" s="459">
        <v>4167.2918821595513</v>
      </c>
      <c r="D260" s="459">
        <v>162380.28669069239</v>
      </c>
      <c r="E260" s="449">
        <v>57248.895000000004</v>
      </c>
      <c r="F260" s="459">
        <v>9122.1888386525316</v>
      </c>
      <c r="G260" s="459">
        <v>2649.6253055708876</v>
      </c>
      <c r="H260" s="459">
        <v>365168.66763517389</v>
      </c>
      <c r="I260" s="449"/>
      <c r="J260" s="449">
        <v>5043.3177500000002</v>
      </c>
      <c r="K260" s="449">
        <v>3845.7660000000001</v>
      </c>
      <c r="L260" s="459">
        <v>5287.8714849999997</v>
      </c>
      <c r="M260" s="459">
        <v>379345.62287017389</v>
      </c>
      <c r="O260" s="336"/>
      <c r="P260" s="336"/>
      <c r="Q260" s="336"/>
      <c r="R260" s="336"/>
      <c r="S260" s="336"/>
      <c r="T260" s="336"/>
      <c r="U260" s="336"/>
      <c r="V260" s="336"/>
      <c r="W260" s="336"/>
      <c r="X260" s="336"/>
      <c r="Y260" s="336"/>
      <c r="Z260" s="336"/>
      <c r="AA260" s="336"/>
      <c r="AB260" s="336"/>
      <c r="AC260" s="336"/>
      <c r="AD260" s="336"/>
      <c r="AE260" s="336"/>
      <c r="AF260" s="336"/>
      <c r="AG260" s="336"/>
      <c r="AH260" s="336"/>
      <c r="AI260" s="336"/>
      <c r="AJ260" s="336"/>
      <c r="AK260" s="336"/>
    </row>
    <row r="261" spans="1:37" ht="10.5" customHeight="1">
      <c r="A261" s="334" t="s">
        <v>551</v>
      </c>
      <c r="B261" s="449"/>
      <c r="C261" s="449"/>
      <c r="D261" s="449"/>
      <c r="E261" s="449"/>
      <c r="F261" s="449"/>
      <c r="G261" s="449"/>
      <c r="H261" s="449"/>
      <c r="I261" s="449"/>
      <c r="J261" s="449"/>
      <c r="K261" s="449"/>
      <c r="L261" s="449"/>
      <c r="M261" s="449">
        <v>5071.2659999999996</v>
      </c>
      <c r="O261" s="336"/>
      <c r="P261" s="336"/>
      <c r="Q261" s="336"/>
      <c r="R261" s="336"/>
      <c r="S261" s="336"/>
      <c r="T261" s="336"/>
      <c r="U261" s="336"/>
      <c r="V261" s="336"/>
      <c r="W261" s="336"/>
      <c r="X261" s="336"/>
      <c r="Y261" s="336"/>
      <c r="Z261" s="336"/>
      <c r="AA261" s="336"/>
      <c r="AB261" s="336"/>
      <c r="AC261" s="336"/>
      <c r="AD261" s="336"/>
      <c r="AE261" s="336"/>
      <c r="AF261" s="336"/>
      <c r="AG261" s="336"/>
      <c r="AH261" s="336"/>
      <c r="AI261" s="336"/>
      <c r="AJ261" s="336"/>
      <c r="AK261" s="336"/>
    </row>
    <row r="262" spans="1:37" ht="10.5" customHeight="1" thickBot="1">
      <c r="A262" s="433" t="s">
        <v>552</v>
      </c>
      <c r="B262" s="460"/>
      <c r="C262" s="460"/>
      <c r="D262" s="460"/>
      <c r="E262" s="460"/>
      <c r="F262" s="460"/>
      <c r="G262" s="460"/>
      <c r="H262" s="460"/>
      <c r="I262" s="460"/>
      <c r="J262" s="460"/>
      <c r="K262" s="460"/>
      <c r="L262" s="460"/>
      <c r="M262" s="464">
        <v>374274.35687017388</v>
      </c>
      <c r="O262" s="336"/>
      <c r="P262" s="336"/>
      <c r="Q262" s="336"/>
      <c r="R262" s="336"/>
      <c r="S262" s="336"/>
      <c r="T262" s="336"/>
      <c r="U262" s="336"/>
      <c r="V262" s="336"/>
      <c r="W262" s="336"/>
      <c r="X262" s="336"/>
      <c r="Y262" s="336"/>
      <c r="Z262" s="336"/>
      <c r="AA262" s="336"/>
      <c r="AB262" s="336"/>
      <c r="AC262" s="336"/>
      <c r="AD262" s="336"/>
      <c r="AE262" s="336"/>
      <c r="AF262" s="336"/>
      <c r="AG262" s="336"/>
      <c r="AH262" s="336"/>
      <c r="AI262" s="336"/>
      <c r="AJ262" s="336"/>
      <c r="AK262" s="336"/>
    </row>
    <row r="263" spans="1:37" s="346" customFormat="1" ht="13.5" customHeight="1" thickTop="1">
      <c r="A263" s="447">
        <v>2008</v>
      </c>
      <c r="B263" s="461"/>
      <c r="C263" s="461"/>
      <c r="D263" s="461"/>
      <c r="E263" s="461"/>
      <c r="F263" s="461"/>
      <c r="G263" s="461"/>
      <c r="H263" s="461"/>
      <c r="I263" s="461"/>
      <c r="J263" s="461"/>
      <c r="K263" s="461"/>
      <c r="L263" s="461"/>
      <c r="M263" s="461"/>
    </row>
    <row r="264" spans="1:37" ht="10.5" customHeight="1">
      <c r="A264" s="329" t="s">
        <v>564</v>
      </c>
      <c r="B264" s="449"/>
      <c r="C264" s="449"/>
      <c r="D264" s="449"/>
      <c r="E264" s="449"/>
      <c r="F264" s="449"/>
      <c r="G264" s="449"/>
      <c r="H264" s="449"/>
      <c r="I264" s="449"/>
      <c r="J264" s="449"/>
      <c r="K264" s="449"/>
      <c r="L264" s="449"/>
      <c r="M264" s="449"/>
    </row>
    <row r="265" spans="1:37" ht="10.5" customHeight="1">
      <c r="A265" s="334" t="s">
        <v>547</v>
      </c>
      <c r="B265" s="449">
        <v>336620.66668592318</v>
      </c>
      <c r="C265" s="449">
        <v>13485.672854073357</v>
      </c>
      <c r="D265" s="449">
        <v>344183.66171231715</v>
      </c>
      <c r="E265" s="449">
        <v>138508.48088968734</v>
      </c>
      <c r="F265" s="449">
        <v>8721.740239956458</v>
      </c>
      <c r="G265" s="449">
        <v>0</v>
      </c>
      <c r="H265" s="449">
        <v>841520.22238195734</v>
      </c>
      <c r="I265" s="449"/>
      <c r="J265" s="449">
        <v>4223.812807199999</v>
      </c>
      <c r="K265" s="449">
        <v>4088.9413800000007</v>
      </c>
      <c r="L265" s="449">
        <v>5357.3023684669988</v>
      </c>
      <c r="M265" s="449">
        <v>855190.2789376243</v>
      </c>
      <c r="O265" s="336"/>
      <c r="P265" s="336"/>
      <c r="Q265" s="336"/>
      <c r="R265" s="336"/>
      <c r="S265" s="336"/>
      <c r="T265" s="336"/>
      <c r="U265" s="336"/>
      <c r="V265" s="336"/>
      <c r="W265" s="336"/>
      <c r="X265" s="336"/>
      <c r="Y265" s="336"/>
      <c r="Z265" s="336"/>
      <c r="AA265" s="336"/>
      <c r="AB265" s="336"/>
      <c r="AC265" s="336"/>
      <c r="AD265" s="336"/>
      <c r="AE265" s="336"/>
      <c r="AF265" s="336"/>
      <c r="AG265" s="336"/>
      <c r="AH265" s="336"/>
      <c r="AI265" s="336"/>
      <c r="AJ265" s="336"/>
      <c r="AK265" s="336"/>
    </row>
    <row r="266" spans="1:37" ht="10.5" customHeight="1">
      <c r="A266" s="334" t="s">
        <v>548</v>
      </c>
      <c r="B266" s="449">
        <v>121251.34408201941</v>
      </c>
      <c r="C266" s="449">
        <v>3666.9736194967227</v>
      </c>
      <c r="D266" s="449">
        <v>161578.75647814601</v>
      </c>
      <c r="E266" s="449">
        <v>52485.808334757006</v>
      </c>
      <c r="F266" s="449">
        <v>2631.2958548751403</v>
      </c>
      <c r="G266" s="449">
        <v>0</v>
      </c>
      <c r="H266" s="449">
        <v>341614.17836929427</v>
      </c>
      <c r="I266" s="449"/>
      <c r="J266" s="449">
        <v>4223.812807199999</v>
      </c>
      <c r="K266" s="449">
        <v>4088.9413800000007</v>
      </c>
      <c r="L266" s="449">
        <v>5357.3023684669988</v>
      </c>
      <c r="M266" s="449">
        <v>355284.23492496123</v>
      </c>
      <c r="O266" s="336"/>
      <c r="P266" s="336"/>
      <c r="Q266" s="336"/>
      <c r="R266" s="336"/>
      <c r="S266" s="336"/>
      <c r="T266" s="336"/>
      <c r="U266" s="336"/>
      <c r="V266" s="336"/>
      <c r="W266" s="336"/>
      <c r="X266" s="336"/>
      <c r="Y266" s="336"/>
      <c r="Z266" s="336"/>
      <c r="AA266" s="336"/>
      <c r="AB266" s="336"/>
      <c r="AC266" s="336"/>
      <c r="AD266" s="336"/>
      <c r="AE266" s="336"/>
      <c r="AF266" s="336"/>
      <c r="AG266" s="336"/>
      <c r="AH266" s="336"/>
      <c r="AI266" s="336"/>
      <c r="AJ266" s="336"/>
      <c r="AK266" s="336"/>
    </row>
    <row r="267" spans="1:37" ht="10.5" customHeight="1">
      <c r="A267" s="334" t="s">
        <v>549</v>
      </c>
      <c r="B267" s="449">
        <v>6158.540217035581</v>
      </c>
      <c r="C267" s="449">
        <v>629.16849946139291</v>
      </c>
      <c r="D267" s="449">
        <v>2777.1464659068151</v>
      </c>
      <c r="E267" s="449">
        <v>4812.7393347570032</v>
      </c>
      <c r="F267" s="449">
        <v>264.1925214242583</v>
      </c>
      <c r="G267" s="449">
        <v>0</v>
      </c>
      <c r="H267" s="449">
        <v>14641.787038585055</v>
      </c>
      <c r="I267" s="449"/>
      <c r="J267" s="449">
        <v>14.731783582659773</v>
      </c>
      <c r="K267" s="449">
        <v>14.261380000000827</v>
      </c>
      <c r="L267" s="449">
        <v>0</v>
      </c>
      <c r="M267" s="449">
        <v>14670.780202167716</v>
      </c>
      <c r="O267" s="336"/>
      <c r="P267" s="336"/>
      <c r="Q267" s="336"/>
      <c r="R267" s="336"/>
      <c r="S267" s="336"/>
      <c r="T267" s="336"/>
      <c r="U267" s="336"/>
      <c r="V267" s="336"/>
      <c r="W267" s="336"/>
      <c r="X267" s="336"/>
      <c r="Y267" s="336"/>
      <c r="Z267" s="336"/>
      <c r="AA267" s="336"/>
      <c r="AB267" s="336"/>
      <c r="AC267" s="336"/>
      <c r="AD267" s="336"/>
      <c r="AE267" s="336"/>
      <c r="AF267" s="336"/>
      <c r="AG267" s="336"/>
      <c r="AH267" s="336"/>
      <c r="AI267" s="336"/>
      <c r="AJ267" s="336"/>
      <c r="AK267" s="336"/>
    </row>
    <row r="268" spans="1:37" ht="10.5" customHeight="1">
      <c r="A268" s="334" t="s">
        <v>550</v>
      </c>
      <c r="B268" s="449">
        <v>115092.80386498383</v>
      </c>
      <c r="C268" s="449">
        <v>3037.8051200353298</v>
      </c>
      <c r="D268" s="449">
        <v>158801.61001223919</v>
      </c>
      <c r="E268" s="449">
        <v>47673.069000000003</v>
      </c>
      <c r="F268" s="449">
        <v>2367.103333450882</v>
      </c>
      <c r="G268" s="449">
        <v>0</v>
      </c>
      <c r="H268" s="449">
        <v>326972.39133070922</v>
      </c>
      <c r="I268" s="449"/>
      <c r="J268" s="449">
        <v>4209.0810236173393</v>
      </c>
      <c r="K268" s="449">
        <v>4074.68</v>
      </c>
      <c r="L268" s="449">
        <v>5357.3023684669988</v>
      </c>
      <c r="M268" s="449">
        <v>340613.45472279354</v>
      </c>
      <c r="O268" s="336"/>
      <c r="P268" s="336"/>
      <c r="Q268" s="336"/>
      <c r="R268" s="336"/>
      <c r="S268" s="336"/>
      <c r="T268" s="336"/>
      <c r="U268" s="336"/>
      <c r="V268" s="336"/>
      <c r="W268" s="336"/>
      <c r="X268" s="336"/>
      <c r="Y268" s="336"/>
      <c r="Z268" s="336"/>
      <c r="AA268" s="336"/>
      <c r="AB268" s="336"/>
      <c r="AC268" s="336"/>
      <c r="AD268" s="336"/>
      <c r="AE268" s="336"/>
      <c r="AF268" s="336"/>
      <c r="AG268" s="336"/>
      <c r="AH268" s="336"/>
      <c r="AI268" s="336"/>
      <c r="AJ268" s="336"/>
      <c r="AK268" s="336"/>
    </row>
    <row r="269" spans="1:37" ht="10.5" customHeight="1">
      <c r="A269" s="334" t="s">
        <v>551</v>
      </c>
      <c r="B269" s="449"/>
      <c r="C269" s="449"/>
      <c r="D269" s="449"/>
      <c r="E269" s="449"/>
      <c r="F269" s="449"/>
      <c r="G269" s="449"/>
      <c r="H269" s="449"/>
      <c r="I269" s="449"/>
      <c r="J269" s="449"/>
      <c r="K269" s="449"/>
      <c r="L269" s="449"/>
      <c r="M269" s="449">
        <v>5371.3050000000003</v>
      </c>
      <c r="O269" s="336"/>
      <c r="P269" s="336"/>
      <c r="Q269" s="336"/>
      <c r="R269" s="336"/>
      <c r="S269" s="336"/>
      <c r="T269" s="336"/>
      <c r="U269" s="336"/>
      <c r="V269" s="336"/>
      <c r="W269" s="336"/>
      <c r="X269" s="336"/>
      <c r="Y269" s="336"/>
      <c r="Z269" s="336"/>
      <c r="AA269" s="336"/>
      <c r="AB269" s="336"/>
      <c r="AC269" s="336"/>
      <c r="AD269" s="336"/>
      <c r="AE269" s="336"/>
      <c r="AF269" s="336"/>
      <c r="AG269" s="336"/>
      <c r="AH269" s="336"/>
      <c r="AI269" s="336"/>
      <c r="AJ269" s="336"/>
      <c r="AK269" s="336"/>
    </row>
    <row r="270" spans="1:37" ht="10.5" customHeight="1">
      <c r="A270" s="431" t="s">
        <v>552</v>
      </c>
      <c r="B270" s="457"/>
      <c r="C270" s="457"/>
      <c r="D270" s="457"/>
      <c r="E270" s="457"/>
      <c r="F270" s="457"/>
      <c r="G270" s="457"/>
      <c r="H270" s="457"/>
      <c r="I270" s="457"/>
      <c r="J270" s="457"/>
      <c r="K270" s="457"/>
      <c r="L270" s="457"/>
      <c r="M270" s="457">
        <v>335242.14972279355</v>
      </c>
      <c r="O270" s="336"/>
      <c r="P270" s="336"/>
      <c r="Q270" s="336"/>
      <c r="R270" s="336"/>
      <c r="S270" s="336"/>
      <c r="T270" s="336"/>
      <c r="U270" s="336"/>
      <c r="V270" s="336"/>
      <c r="W270" s="336"/>
      <c r="X270" s="336"/>
      <c r="Y270" s="336"/>
      <c r="Z270" s="336"/>
      <c r="AA270" s="336"/>
      <c r="AB270" s="336"/>
      <c r="AC270" s="336"/>
      <c r="AD270" s="336"/>
      <c r="AE270" s="336"/>
      <c r="AF270" s="336"/>
      <c r="AG270" s="336"/>
      <c r="AH270" s="336"/>
      <c r="AI270" s="336"/>
      <c r="AJ270" s="336"/>
      <c r="AK270" s="336"/>
    </row>
    <row r="271" spans="1:37" ht="10.5" customHeight="1">
      <c r="A271" s="329" t="s">
        <v>565</v>
      </c>
      <c r="B271" s="449"/>
      <c r="C271" s="449"/>
      <c r="D271" s="449"/>
      <c r="E271" s="449"/>
      <c r="F271" s="449"/>
      <c r="G271" s="449"/>
      <c r="H271" s="449"/>
      <c r="I271" s="449"/>
      <c r="J271" s="449"/>
      <c r="K271" s="449"/>
      <c r="L271" s="449"/>
      <c r="M271" s="449"/>
      <c r="O271" s="336"/>
      <c r="P271" s="336"/>
      <c r="Q271" s="336"/>
      <c r="R271" s="336"/>
      <c r="S271" s="336"/>
      <c r="T271" s="336"/>
      <c r="U271" s="336"/>
      <c r="V271" s="336"/>
      <c r="W271" s="336"/>
      <c r="X271" s="336"/>
      <c r="Y271" s="336"/>
      <c r="Z271" s="336"/>
      <c r="AA271" s="336"/>
      <c r="AB271" s="336"/>
      <c r="AC271" s="336"/>
      <c r="AD271" s="336"/>
      <c r="AE271" s="336"/>
      <c r="AF271" s="336"/>
      <c r="AG271" s="336"/>
      <c r="AH271" s="336"/>
      <c r="AI271" s="336"/>
      <c r="AJ271" s="336"/>
      <c r="AK271" s="336"/>
    </row>
    <row r="272" spans="1:37" ht="11.45" customHeight="1">
      <c r="A272" s="334" t="s">
        <v>547</v>
      </c>
      <c r="B272" s="449">
        <v>11055.399929066696</v>
      </c>
      <c r="C272" s="449">
        <v>7050.7234104464787</v>
      </c>
      <c r="D272" s="449">
        <v>33031.927304999997</v>
      </c>
      <c r="E272" s="449">
        <v>0</v>
      </c>
      <c r="F272" s="449">
        <v>32344.554763677097</v>
      </c>
      <c r="G272" s="449">
        <v>11348.130274892907</v>
      </c>
      <c r="H272" s="449">
        <v>94830.735683083185</v>
      </c>
      <c r="I272" s="449"/>
      <c r="J272" s="449">
        <v>944.12199999999996</v>
      </c>
      <c r="K272" s="449">
        <v>0</v>
      </c>
      <c r="L272" s="449">
        <v>1756.95</v>
      </c>
      <c r="M272" s="449">
        <v>97531.807683083185</v>
      </c>
      <c r="T272" s="336"/>
      <c r="U272" s="336"/>
      <c r="V272" s="336"/>
      <c r="W272" s="336"/>
      <c r="X272" s="336"/>
      <c r="Y272" s="336"/>
      <c r="Z272" s="336"/>
      <c r="AA272" s="336"/>
      <c r="AB272" s="336"/>
      <c r="AC272" s="336"/>
      <c r="AD272" s="336"/>
      <c r="AE272" s="336"/>
      <c r="AF272" s="336"/>
      <c r="AG272" s="336"/>
      <c r="AH272" s="336"/>
      <c r="AI272" s="336"/>
      <c r="AJ272" s="336"/>
      <c r="AK272" s="336"/>
    </row>
    <row r="273" spans="1:37" ht="10.5" customHeight="1">
      <c r="A273" s="334" t="s">
        <v>554</v>
      </c>
      <c r="B273" s="449">
        <v>4063.2869000000001</v>
      </c>
      <c r="C273" s="449">
        <v>2434.0878562624562</v>
      </c>
      <c r="D273" s="449">
        <v>15170.196937211573</v>
      </c>
      <c r="E273" s="449">
        <v>0</v>
      </c>
      <c r="F273" s="449">
        <v>7703.5211838240002</v>
      </c>
      <c r="G273" s="449">
        <v>2292.9094265259737</v>
      </c>
      <c r="H273" s="449">
        <v>31664.002303824</v>
      </c>
      <c r="I273" s="449"/>
      <c r="J273" s="449">
        <v>944.12199999999996</v>
      </c>
      <c r="K273" s="449">
        <v>0</v>
      </c>
      <c r="L273" s="449">
        <v>1756.95</v>
      </c>
      <c r="M273" s="449">
        <v>34365.074303823996</v>
      </c>
      <c r="T273" s="336"/>
      <c r="U273" s="336"/>
      <c r="V273" s="336"/>
      <c r="W273" s="336"/>
      <c r="X273" s="336"/>
      <c r="Y273" s="336"/>
      <c r="Z273" s="336"/>
      <c r="AA273" s="336"/>
      <c r="AB273" s="336"/>
      <c r="AC273" s="336"/>
      <c r="AD273" s="336"/>
      <c r="AE273" s="336"/>
      <c r="AF273" s="336"/>
      <c r="AG273" s="336"/>
      <c r="AH273" s="336"/>
      <c r="AI273" s="336"/>
      <c r="AJ273" s="336"/>
      <c r="AK273" s="336"/>
    </row>
    <row r="274" spans="1:37" ht="10.5" customHeight="1">
      <c r="A274" s="334" t="s">
        <v>549</v>
      </c>
      <c r="B274" s="458">
        <v>215.38437919999978</v>
      </c>
      <c r="C274" s="458">
        <v>167.6108159062801</v>
      </c>
      <c r="D274" s="458">
        <v>469.87673485050618</v>
      </c>
      <c r="E274" s="449">
        <v>0</v>
      </c>
      <c r="F274" s="458">
        <v>701.9292124731146</v>
      </c>
      <c r="G274" s="458">
        <v>74.616211314485554</v>
      </c>
      <c r="H274" s="458">
        <v>1629.4173537443821</v>
      </c>
      <c r="I274" s="458"/>
      <c r="J274" s="458">
        <v>16.875600000000077</v>
      </c>
      <c r="K274" s="449">
        <v>0</v>
      </c>
      <c r="L274" s="449">
        <v>0</v>
      </c>
      <c r="M274" s="458">
        <v>1646.2929537443822</v>
      </c>
      <c r="T274" s="336"/>
      <c r="U274" s="336"/>
      <c r="V274" s="336"/>
      <c r="W274" s="336"/>
      <c r="X274" s="336"/>
      <c r="Y274" s="336"/>
      <c r="Z274" s="336"/>
      <c r="AA274" s="336"/>
      <c r="AB274" s="336"/>
      <c r="AC274" s="336"/>
      <c r="AD274" s="336"/>
      <c r="AE274" s="336"/>
      <c r="AF274" s="336"/>
      <c r="AG274" s="336"/>
      <c r="AH274" s="336"/>
      <c r="AI274" s="336"/>
      <c r="AJ274" s="336"/>
      <c r="AK274" s="336"/>
    </row>
    <row r="275" spans="1:37" ht="10.5" customHeight="1">
      <c r="A275" s="431" t="s">
        <v>555</v>
      </c>
      <c r="B275" s="457">
        <v>3847.9025208000003</v>
      </c>
      <c r="C275" s="457">
        <v>2266.4770403561761</v>
      </c>
      <c r="D275" s="457">
        <v>14700.320202361067</v>
      </c>
      <c r="E275" s="457">
        <v>0</v>
      </c>
      <c r="F275" s="457">
        <v>7001.5919713508856</v>
      </c>
      <c r="G275" s="457">
        <v>2218.2932152114881</v>
      </c>
      <c r="H275" s="457">
        <v>30034.584950079618</v>
      </c>
      <c r="I275" s="457"/>
      <c r="J275" s="457">
        <v>927.24639999999988</v>
      </c>
      <c r="K275" s="457">
        <v>0</v>
      </c>
      <c r="L275" s="457">
        <v>1756.95</v>
      </c>
      <c r="M275" s="457">
        <v>32718.781350079618</v>
      </c>
      <c r="T275" s="336"/>
      <c r="U275" s="336"/>
      <c r="V275" s="336"/>
      <c r="W275" s="336"/>
      <c r="X275" s="336"/>
      <c r="Y275" s="336"/>
      <c r="Z275" s="336"/>
      <c r="AA275" s="336"/>
      <c r="AB275" s="336"/>
      <c r="AC275" s="336"/>
      <c r="AD275" s="336"/>
      <c r="AE275" s="336"/>
      <c r="AF275" s="336"/>
      <c r="AG275" s="336"/>
      <c r="AH275" s="336"/>
      <c r="AI275" s="336"/>
      <c r="AJ275" s="336"/>
      <c r="AK275" s="336"/>
    </row>
    <row r="276" spans="1:37" ht="10.5" customHeight="1">
      <c r="A276" s="329" t="s">
        <v>556</v>
      </c>
      <c r="B276" s="449"/>
      <c r="C276" s="449"/>
      <c r="D276" s="449"/>
      <c r="E276" s="449"/>
      <c r="F276" s="449"/>
      <c r="G276" s="449"/>
      <c r="H276" s="449"/>
      <c r="I276" s="449"/>
      <c r="J276" s="449"/>
      <c r="K276" s="449"/>
      <c r="L276" s="449"/>
      <c r="M276" s="449"/>
      <c r="T276" s="336"/>
      <c r="U276" s="336"/>
      <c r="V276" s="336"/>
      <c r="W276" s="336"/>
      <c r="X276" s="336"/>
      <c r="Y276" s="336"/>
      <c r="Z276" s="336"/>
      <c r="AA276" s="336"/>
      <c r="AB276" s="336"/>
      <c r="AC276" s="336"/>
      <c r="AD276" s="336"/>
      <c r="AE276" s="336"/>
      <c r="AF276" s="336"/>
      <c r="AG276" s="336"/>
      <c r="AH276" s="336"/>
      <c r="AI276" s="336"/>
      <c r="AJ276" s="336"/>
      <c r="AK276" s="336"/>
    </row>
    <row r="277" spans="1:37" ht="10.5" customHeight="1">
      <c r="A277" s="334" t="s">
        <v>557</v>
      </c>
      <c r="B277" s="449">
        <v>347676.06661498989</v>
      </c>
      <c r="C277" s="449">
        <v>20536.396264519833</v>
      </c>
      <c r="D277" s="449">
        <v>377215.58901731716</v>
      </c>
      <c r="E277" s="449">
        <v>138508.48088968734</v>
      </c>
      <c r="F277" s="449">
        <v>41066.295003633553</v>
      </c>
      <c r="G277" s="449">
        <v>11348.130274892907</v>
      </c>
      <c r="H277" s="449">
        <v>933781.61115875968</v>
      </c>
      <c r="I277" s="449"/>
      <c r="J277" s="449">
        <v>5167.9348071999993</v>
      </c>
      <c r="K277" s="449">
        <v>4088.9413800000007</v>
      </c>
      <c r="L277" s="449">
        <v>7114.2523684669986</v>
      </c>
      <c r="M277" s="449">
        <v>952722.08662070753</v>
      </c>
      <c r="T277" s="336"/>
      <c r="U277" s="336"/>
      <c r="V277" s="336"/>
      <c r="W277" s="336"/>
      <c r="X277" s="336"/>
      <c r="Y277" s="336"/>
      <c r="Z277" s="336"/>
      <c r="AA277" s="336"/>
      <c r="AB277" s="336"/>
      <c r="AC277" s="336"/>
      <c r="AD277" s="336"/>
      <c r="AE277" s="336"/>
      <c r="AF277" s="336"/>
      <c r="AG277" s="336"/>
      <c r="AH277" s="336"/>
      <c r="AI277" s="336"/>
      <c r="AJ277" s="336"/>
      <c r="AK277" s="336"/>
    </row>
    <row r="278" spans="1:37" ht="10.5" customHeight="1">
      <c r="A278" s="334" t="s">
        <v>554</v>
      </c>
      <c r="B278" s="449">
        <v>125314.63098201941</v>
      </c>
      <c r="C278" s="449">
        <v>6101.0614757591793</v>
      </c>
      <c r="D278" s="449">
        <v>176748.9534153576</v>
      </c>
      <c r="E278" s="449">
        <v>52485.808334757006</v>
      </c>
      <c r="F278" s="449">
        <v>10334.817038699141</v>
      </c>
      <c r="G278" s="449">
        <v>2292.9094265259737</v>
      </c>
      <c r="H278" s="449">
        <v>373278.18067311827</v>
      </c>
      <c r="I278" s="449"/>
      <c r="J278" s="449">
        <v>5167.9348071999993</v>
      </c>
      <c r="K278" s="449">
        <v>4088.9413800000007</v>
      </c>
      <c r="L278" s="449">
        <v>7114.2523684669986</v>
      </c>
      <c r="M278" s="449">
        <v>389649.30922878522</v>
      </c>
      <c r="N278" s="339"/>
      <c r="O278" s="336"/>
      <c r="P278" s="336"/>
      <c r="Q278" s="336"/>
      <c r="R278" s="336"/>
      <c r="S278" s="336"/>
      <c r="T278" s="336"/>
      <c r="U278" s="336"/>
      <c r="V278" s="336"/>
      <c r="W278" s="336"/>
      <c r="X278" s="336"/>
      <c r="Y278" s="336"/>
      <c r="Z278" s="336"/>
      <c r="AA278" s="336"/>
      <c r="AB278" s="336"/>
      <c r="AC278" s="336"/>
      <c r="AD278" s="336"/>
      <c r="AE278" s="336"/>
      <c r="AF278" s="336"/>
      <c r="AG278" s="336"/>
      <c r="AH278" s="336"/>
      <c r="AI278" s="336"/>
      <c r="AJ278" s="336"/>
      <c r="AK278" s="336"/>
    </row>
    <row r="279" spans="1:37" ht="10.5" customHeight="1">
      <c r="A279" s="334" t="s">
        <v>549</v>
      </c>
      <c r="B279" s="449">
        <v>6373.9245962355808</v>
      </c>
      <c r="C279" s="449">
        <v>796.77931536767301</v>
      </c>
      <c r="D279" s="449">
        <v>3247.0232007573213</v>
      </c>
      <c r="E279" s="449">
        <v>4812.7393347570032</v>
      </c>
      <c r="F279" s="449">
        <v>966.12173389737291</v>
      </c>
      <c r="G279" s="449">
        <v>74.616211314485554</v>
      </c>
      <c r="H279" s="449">
        <v>16271.204392329437</v>
      </c>
      <c r="I279" s="449"/>
      <c r="J279" s="449">
        <v>31.60738358265985</v>
      </c>
      <c r="K279" s="449">
        <v>14.261380000000827</v>
      </c>
      <c r="L279" s="449">
        <v>0</v>
      </c>
      <c r="M279" s="449">
        <v>16317.073155912098</v>
      </c>
      <c r="O279" s="336"/>
      <c r="P279" s="336"/>
      <c r="Q279" s="336"/>
      <c r="R279" s="336"/>
      <c r="S279" s="336"/>
      <c r="T279" s="336"/>
      <c r="U279" s="336"/>
      <c r="V279" s="336"/>
      <c r="W279" s="336"/>
      <c r="X279" s="336"/>
      <c r="Y279" s="336"/>
      <c r="Z279" s="336"/>
      <c r="AA279" s="336"/>
      <c r="AB279" s="336"/>
      <c r="AC279" s="336"/>
      <c r="AD279" s="336"/>
      <c r="AE279" s="336"/>
      <c r="AF279" s="336"/>
      <c r="AG279" s="336"/>
      <c r="AH279" s="336"/>
      <c r="AI279" s="336"/>
      <c r="AJ279" s="336"/>
      <c r="AK279" s="336"/>
    </row>
    <row r="280" spans="1:37" ht="10.5" customHeight="1">
      <c r="A280" s="334" t="s">
        <v>550</v>
      </c>
      <c r="B280" s="449">
        <v>118940.70638578382</v>
      </c>
      <c r="C280" s="449">
        <v>5304.2821603915054</v>
      </c>
      <c r="D280" s="449">
        <v>173501.93021460026</v>
      </c>
      <c r="E280" s="449">
        <v>47673.069000000003</v>
      </c>
      <c r="F280" s="449">
        <v>9368.6953048017676</v>
      </c>
      <c r="G280" s="449">
        <v>2218.2932152114881</v>
      </c>
      <c r="H280" s="449">
        <v>357006.97628078883</v>
      </c>
      <c r="I280" s="449"/>
      <c r="J280" s="449">
        <v>5136.3274236173393</v>
      </c>
      <c r="K280" s="449">
        <v>4074.68</v>
      </c>
      <c r="L280" s="449">
        <v>7114.2523684669986</v>
      </c>
      <c r="M280" s="449">
        <v>373332.23607287317</v>
      </c>
      <c r="O280" s="336"/>
      <c r="P280" s="336"/>
      <c r="Q280" s="336"/>
      <c r="R280" s="336"/>
      <c r="S280" s="336"/>
      <c r="T280" s="336"/>
      <c r="U280" s="336"/>
      <c r="V280" s="336"/>
      <c r="W280" s="336"/>
      <c r="X280" s="336"/>
      <c r="Y280" s="336"/>
      <c r="Z280" s="336"/>
      <c r="AA280" s="336"/>
      <c r="AB280" s="336"/>
      <c r="AC280" s="336"/>
      <c r="AD280" s="336"/>
      <c r="AE280" s="336"/>
      <c r="AF280" s="336"/>
      <c r="AG280" s="336"/>
      <c r="AH280" s="336"/>
      <c r="AI280" s="336"/>
      <c r="AJ280" s="336"/>
      <c r="AK280" s="336"/>
    </row>
    <row r="281" spans="1:37" ht="10.5" customHeight="1">
      <c r="A281" s="334" t="s">
        <v>551</v>
      </c>
      <c r="B281" s="449"/>
      <c r="C281" s="449"/>
      <c r="D281" s="449"/>
      <c r="E281" s="449"/>
      <c r="F281" s="449"/>
      <c r="G281" s="449"/>
      <c r="H281" s="449"/>
      <c r="I281" s="449"/>
      <c r="J281" s="449"/>
      <c r="K281" s="449"/>
      <c r="L281" s="449"/>
      <c r="M281" s="449">
        <v>5371.3050000000003</v>
      </c>
      <c r="O281" s="336"/>
      <c r="P281" s="336"/>
      <c r="Q281" s="336"/>
      <c r="R281" s="336"/>
      <c r="S281" s="336"/>
      <c r="T281" s="336"/>
      <c r="U281" s="336"/>
      <c r="V281" s="336"/>
      <c r="W281" s="336"/>
      <c r="X281" s="336"/>
      <c r="Y281" s="336"/>
      <c r="Z281" s="336"/>
      <c r="AA281" s="336"/>
      <c r="AB281" s="336"/>
      <c r="AC281" s="336"/>
      <c r="AD281" s="336"/>
      <c r="AE281" s="336"/>
      <c r="AF281" s="336"/>
      <c r="AG281" s="336"/>
      <c r="AH281" s="336"/>
      <c r="AI281" s="336"/>
      <c r="AJ281" s="336"/>
      <c r="AK281" s="336"/>
    </row>
    <row r="282" spans="1:37" ht="10.5" customHeight="1" thickBot="1">
      <c r="A282" s="433" t="s">
        <v>552</v>
      </c>
      <c r="B282" s="460"/>
      <c r="C282" s="460"/>
      <c r="D282" s="460"/>
      <c r="E282" s="460"/>
      <c r="F282" s="460"/>
      <c r="G282" s="460"/>
      <c r="H282" s="460"/>
      <c r="I282" s="460"/>
      <c r="J282" s="460"/>
      <c r="K282" s="460"/>
      <c r="L282" s="460"/>
      <c r="M282" s="460">
        <v>367960.93107287318</v>
      </c>
      <c r="O282" s="336"/>
      <c r="P282" s="336"/>
      <c r="Q282" s="336"/>
      <c r="R282" s="336"/>
      <c r="S282" s="336"/>
      <c r="T282" s="336"/>
      <c r="U282" s="336"/>
      <c r="V282" s="336"/>
      <c r="W282" s="336"/>
      <c r="X282" s="336"/>
      <c r="Y282" s="336"/>
      <c r="Z282" s="336"/>
      <c r="AA282" s="336"/>
      <c r="AB282" s="336"/>
      <c r="AC282" s="336"/>
      <c r="AD282" s="336"/>
      <c r="AE282" s="336"/>
      <c r="AF282" s="336"/>
      <c r="AG282" s="336"/>
      <c r="AH282" s="336"/>
      <c r="AI282" s="336"/>
      <c r="AJ282" s="336"/>
      <c r="AK282" s="336"/>
    </row>
    <row r="283" spans="1:37" ht="13.5" thickTop="1">
      <c r="A283" s="465"/>
      <c r="B283" s="467"/>
      <c r="C283" s="467"/>
      <c r="D283" s="467"/>
      <c r="E283" s="467"/>
      <c r="F283" s="467"/>
      <c r="G283" s="467"/>
      <c r="H283" s="467"/>
      <c r="I283" s="467"/>
      <c r="J283" s="467"/>
      <c r="K283" s="467"/>
      <c r="L283" s="467"/>
      <c r="M283" s="467"/>
    </row>
    <row r="284" spans="1:37" ht="13.5" thickBot="1">
      <c r="A284" s="468" t="s">
        <v>288</v>
      </c>
      <c r="B284" s="469"/>
      <c r="C284" s="2659">
        <v>2004</v>
      </c>
      <c r="D284" s="2659"/>
      <c r="E284" s="2660">
        <v>2005</v>
      </c>
      <c r="F284" s="2660"/>
      <c r="G284" s="2659">
        <v>2006</v>
      </c>
      <c r="H284" s="2659"/>
      <c r="I284" s="470"/>
      <c r="J284" s="2660">
        <v>2007</v>
      </c>
      <c r="K284" s="2660"/>
      <c r="L284" s="2659">
        <v>2008</v>
      </c>
      <c r="M284" s="2659"/>
    </row>
    <row r="285" spans="1:37" s="346" customFormat="1" ht="11.45" customHeight="1" thickTop="1">
      <c r="A285" s="340"/>
      <c r="B285" s="322"/>
      <c r="C285" s="471" t="s">
        <v>566</v>
      </c>
      <c r="D285" s="471" t="s">
        <v>567</v>
      </c>
      <c r="E285" s="471" t="s">
        <v>566</v>
      </c>
      <c r="F285" s="471" t="s">
        <v>567</v>
      </c>
      <c r="G285" s="471" t="s">
        <v>566</v>
      </c>
      <c r="H285" s="471" t="s">
        <v>567</v>
      </c>
      <c r="I285" s="471"/>
      <c r="J285" s="471" t="s">
        <v>566</v>
      </c>
      <c r="K285" s="471" t="s">
        <v>567</v>
      </c>
      <c r="L285" s="471" t="s">
        <v>566</v>
      </c>
      <c r="M285" s="471" t="s">
        <v>567</v>
      </c>
    </row>
    <row r="286" spans="1:37" ht="10.5" customHeight="1">
      <c r="C286" s="471" t="s">
        <v>568</v>
      </c>
      <c r="D286" s="471"/>
      <c r="E286" s="471" t="s">
        <v>568</v>
      </c>
      <c r="F286" s="471"/>
      <c r="G286" s="471" t="s">
        <v>568</v>
      </c>
      <c r="H286" s="471"/>
      <c r="I286" s="471"/>
      <c r="J286" s="471" t="s">
        <v>568</v>
      </c>
      <c r="K286" s="471"/>
      <c r="L286" s="471" t="s">
        <v>568</v>
      </c>
      <c r="M286" s="471"/>
    </row>
    <row r="287" spans="1:37" ht="10.5" customHeight="1">
      <c r="C287" s="471" t="s">
        <v>569</v>
      </c>
      <c r="D287" s="471"/>
      <c r="E287" s="471" t="s">
        <v>569</v>
      </c>
      <c r="F287" s="471"/>
      <c r="G287" s="471" t="s">
        <v>569</v>
      </c>
      <c r="H287" s="471"/>
      <c r="I287" s="471"/>
      <c r="J287" s="471" t="s">
        <v>569</v>
      </c>
      <c r="K287" s="471"/>
      <c r="L287" s="471" t="s">
        <v>569</v>
      </c>
      <c r="M287" s="471"/>
    </row>
    <row r="288" spans="1:37" s="346" customFormat="1" ht="11.45" customHeight="1">
      <c r="A288" s="445"/>
      <c r="B288" s="472"/>
      <c r="C288" s="473" t="s">
        <v>570</v>
      </c>
      <c r="D288" s="474"/>
      <c r="E288" s="473" t="s">
        <v>570</v>
      </c>
      <c r="F288" s="474"/>
      <c r="G288" s="473" t="s">
        <v>570</v>
      </c>
      <c r="H288" s="475"/>
      <c r="I288" s="473"/>
      <c r="J288" s="473" t="s">
        <v>570</v>
      </c>
      <c r="K288" s="475"/>
      <c r="L288" s="473" t="s">
        <v>570</v>
      </c>
      <c r="M288" s="475"/>
    </row>
    <row r="289" spans="1:13" ht="10.5" customHeight="1">
      <c r="A289" s="386" t="s">
        <v>571</v>
      </c>
      <c r="B289" s="346"/>
      <c r="C289" s="476"/>
      <c r="D289" s="476"/>
      <c r="E289" s="476"/>
      <c r="F289" s="476"/>
      <c r="G289" s="476"/>
      <c r="H289" s="476"/>
      <c r="I289" s="476"/>
      <c r="J289" s="476"/>
      <c r="K289" s="476"/>
      <c r="L289" s="476"/>
      <c r="M289" s="476"/>
    </row>
    <row r="290" spans="1:13" ht="10.5" customHeight="1">
      <c r="A290" s="334" t="s">
        <v>572</v>
      </c>
      <c r="C290" s="452">
        <v>140575.74328143988</v>
      </c>
      <c r="D290" s="452">
        <v>131182</v>
      </c>
      <c r="E290" s="452">
        <v>143149.37128507753</v>
      </c>
      <c r="F290" s="452">
        <v>130689</v>
      </c>
      <c r="G290" s="477">
        <v>159740.50677552022</v>
      </c>
      <c r="H290" s="452">
        <v>118495</v>
      </c>
      <c r="I290" s="477">
        <v>118495</v>
      </c>
      <c r="J290" s="462">
        <v>146984.01516630291</v>
      </c>
      <c r="K290" s="452">
        <v>139826</v>
      </c>
      <c r="L290" s="458">
        <v>130394.37003453728</v>
      </c>
      <c r="M290" s="452">
        <v>158734</v>
      </c>
    </row>
    <row r="291" spans="1:13" s="346" customFormat="1" ht="11.45" customHeight="1">
      <c r="A291" s="431" t="s">
        <v>550</v>
      </c>
      <c r="B291" s="472"/>
      <c r="C291" s="453">
        <v>133606.57323177886</v>
      </c>
      <c r="D291" s="453">
        <v>128983</v>
      </c>
      <c r="E291" s="453">
        <v>135998.6500980992</v>
      </c>
      <c r="F291" s="453">
        <v>128179</v>
      </c>
      <c r="G291" s="478">
        <v>151162.70059194393</v>
      </c>
      <c r="H291" s="453">
        <v>116398</v>
      </c>
      <c r="I291" s="453">
        <v>116398</v>
      </c>
      <c r="J291" s="457">
        <v>138973.01618322468</v>
      </c>
      <c r="K291" s="453">
        <v>137561</v>
      </c>
      <c r="L291" s="457">
        <v>123074.3223307092</v>
      </c>
      <c r="M291" s="453">
        <v>156225</v>
      </c>
    </row>
    <row r="292" spans="1:13" ht="10.5" customHeight="1">
      <c r="A292" s="386" t="s">
        <v>573</v>
      </c>
      <c r="B292" s="346"/>
      <c r="C292" s="479"/>
      <c r="D292" s="479"/>
      <c r="E292" s="479"/>
      <c r="F292" s="479"/>
      <c r="G292" s="479"/>
      <c r="H292" s="479"/>
      <c r="I292" s="479"/>
      <c r="J292" s="461"/>
      <c r="K292" s="479"/>
      <c r="L292" s="312"/>
      <c r="M292" s="320"/>
    </row>
    <row r="293" spans="1:13" ht="10.5" customHeight="1">
      <c r="A293" s="334" t="s">
        <v>572</v>
      </c>
      <c r="C293" s="477">
        <v>20888.223917891028</v>
      </c>
      <c r="D293" s="452">
        <v>11852</v>
      </c>
      <c r="E293" s="358">
        <v>20347.823029999996</v>
      </c>
      <c r="F293" s="358">
        <v>11792</v>
      </c>
      <c r="G293" s="462">
        <v>19363.673799600012</v>
      </c>
      <c r="H293" s="358">
        <v>11561</v>
      </c>
      <c r="I293" s="480">
        <v>11561</v>
      </c>
      <c r="J293" s="462">
        <v>21453.715071000006</v>
      </c>
      <c r="K293" s="358">
        <v>11516</v>
      </c>
      <c r="L293" s="339">
        <v>20655.002303824</v>
      </c>
      <c r="M293" s="358">
        <v>11009</v>
      </c>
    </row>
    <row r="294" spans="1:13" ht="10.5" customHeight="1">
      <c r="A294" s="431" t="s">
        <v>550</v>
      </c>
      <c r="B294" s="472"/>
      <c r="C294" s="478">
        <v>20046.025089978208</v>
      </c>
      <c r="D294" s="453">
        <v>11260</v>
      </c>
      <c r="E294" s="350">
        <v>19493.569675408879</v>
      </c>
      <c r="F294" s="350">
        <v>11204</v>
      </c>
      <c r="G294" s="463">
        <v>18482.911708860895</v>
      </c>
      <c r="H294" s="350">
        <v>10984</v>
      </c>
      <c r="I294" s="481">
        <v>10984</v>
      </c>
      <c r="J294" s="463">
        <v>20444.756451949157</v>
      </c>
      <c r="K294" s="350">
        <v>10941</v>
      </c>
      <c r="L294" s="341">
        <v>19574.584950079618</v>
      </c>
      <c r="M294" s="350">
        <v>10460</v>
      </c>
    </row>
    <row r="295" spans="1:13" ht="10.5" customHeight="1">
      <c r="A295" s="386" t="s">
        <v>556</v>
      </c>
      <c r="B295" s="346"/>
      <c r="C295" s="455"/>
      <c r="D295" s="455"/>
      <c r="E295" s="482"/>
      <c r="F295" s="482"/>
      <c r="G295" s="461"/>
      <c r="H295" s="482"/>
      <c r="I295" s="479"/>
      <c r="J295" s="461"/>
      <c r="K295" s="482"/>
      <c r="L295" s="336"/>
      <c r="M295" s="335"/>
    </row>
    <row r="296" spans="1:13" ht="10.5" customHeight="1">
      <c r="A296" s="334" t="s">
        <v>572</v>
      </c>
      <c r="C296" s="483">
        <v>161463.96719933092</v>
      </c>
      <c r="D296" s="450">
        <v>143034</v>
      </c>
      <c r="E296" s="335">
        <v>163497.19431507753</v>
      </c>
      <c r="F296" s="335">
        <v>142481</v>
      </c>
      <c r="G296" s="459">
        <v>179104.18057512023</v>
      </c>
      <c r="H296" s="335">
        <v>130056</v>
      </c>
      <c r="I296" s="484">
        <v>130056</v>
      </c>
      <c r="J296" s="459">
        <v>168437.73023730292</v>
      </c>
      <c r="K296" s="335">
        <v>151342</v>
      </c>
      <c r="L296" s="339">
        <v>151049.37233836128</v>
      </c>
      <c r="M296" s="358">
        <v>169743</v>
      </c>
    </row>
    <row r="297" spans="1:13" ht="11.25" customHeight="1" thickBot="1">
      <c r="A297" s="433" t="s">
        <v>550</v>
      </c>
      <c r="B297" s="485"/>
      <c r="C297" s="486">
        <v>153652.59832175708</v>
      </c>
      <c r="D297" s="454">
        <v>140243</v>
      </c>
      <c r="E297" s="487">
        <v>155492.21977350808</v>
      </c>
      <c r="F297" s="487">
        <v>139383</v>
      </c>
      <c r="G297" s="464">
        <v>169645.61230080482</v>
      </c>
      <c r="H297" s="487">
        <v>127382</v>
      </c>
      <c r="I297" s="488">
        <v>127382</v>
      </c>
      <c r="J297" s="464">
        <v>159417.77263517384</v>
      </c>
      <c r="K297" s="487">
        <v>148502</v>
      </c>
      <c r="L297" s="434">
        <v>142648.90728078882</v>
      </c>
      <c r="M297" s="487">
        <v>166685</v>
      </c>
    </row>
    <row r="298" spans="1:13" ht="10.5" customHeight="1" thickTop="1">
      <c r="A298" s="465"/>
      <c r="B298" s="322"/>
      <c r="C298" s="458"/>
      <c r="D298" s="458"/>
      <c r="E298" s="458"/>
      <c r="F298" s="458"/>
      <c r="G298" s="458"/>
      <c r="H298" s="458"/>
      <c r="I298" s="489"/>
      <c r="J298" s="490"/>
      <c r="K298" s="490"/>
      <c r="L298" s="490"/>
      <c r="M298" s="490"/>
    </row>
    <row r="299" spans="1:13" s="312" customFormat="1" ht="10.5" customHeight="1">
      <c r="A299" s="394" t="s">
        <v>574</v>
      </c>
      <c r="B299" s="330"/>
      <c r="C299" s="330"/>
      <c r="D299" s="330"/>
      <c r="E299" s="330"/>
      <c r="F299" s="330"/>
      <c r="G299" s="330"/>
      <c r="H299" s="330"/>
      <c r="I299" s="330"/>
      <c r="J299" s="340"/>
      <c r="K299" s="340"/>
      <c r="L299" s="340"/>
      <c r="M299" s="340"/>
    </row>
    <row r="300" spans="1:13" s="316" customFormat="1" ht="10.5" customHeight="1">
      <c r="A300" s="394" t="s">
        <v>575</v>
      </c>
      <c r="B300" s="491"/>
      <c r="C300" s="491"/>
      <c r="D300" s="491"/>
      <c r="E300" s="491"/>
      <c r="F300" s="491"/>
      <c r="G300" s="491"/>
      <c r="H300" s="491"/>
      <c r="I300" s="491"/>
      <c r="J300" s="491"/>
      <c r="K300" s="491"/>
      <c r="L300" s="491"/>
      <c r="M300" s="491"/>
    </row>
    <row r="301" spans="1:13" s="312" customFormat="1" ht="10.5" customHeight="1">
      <c r="A301" s="394" t="s">
        <v>576</v>
      </c>
      <c r="B301" s="340"/>
      <c r="C301" s="340"/>
      <c r="D301" s="340"/>
      <c r="E301" s="340"/>
      <c r="F301" s="340"/>
      <c r="G301" s="340"/>
      <c r="H301" s="340"/>
      <c r="I301" s="340"/>
      <c r="J301" s="340"/>
      <c r="K301" s="340"/>
      <c r="L301" s="340"/>
      <c r="M301" s="340"/>
    </row>
    <row r="302" spans="1:13" s="312" customFormat="1" ht="10.5" customHeight="1">
      <c r="A302" s="394" t="s">
        <v>577</v>
      </c>
      <c r="B302" s="340"/>
      <c r="C302" s="340"/>
      <c r="D302" s="340"/>
      <c r="E302" s="340"/>
      <c r="F302" s="340"/>
      <c r="G302" s="340"/>
      <c r="H302" s="340"/>
      <c r="I302" s="340"/>
      <c r="J302" s="340"/>
      <c r="K302" s="340"/>
      <c r="L302" s="340"/>
      <c r="M302" s="340"/>
    </row>
    <row r="303" spans="1:13" s="316" customFormat="1" ht="10.5" customHeight="1">
      <c r="A303" s="394" t="s">
        <v>523</v>
      </c>
      <c r="B303" s="491"/>
      <c r="C303" s="491"/>
      <c r="D303" s="491"/>
      <c r="E303" s="491"/>
      <c r="F303" s="491"/>
      <c r="G303" s="491"/>
      <c r="H303" s="491"/>
      <c r="I303" s="491"/>
      <c r="J303" s="491"/>
      <c r="K303" s="491"/>
      <c r="L303" s="491"/>
      <c r="M303" s="491"/>
    </row>
    <row r="304" spans="1:13" s="312" customFormat="1" ht="10.5" customHeight="1">
      <c r="A304" s="394" t="s">
        <v>578</v>
      </c>
      <c r="B304" s="340"/>
      <c r="C304" s="340"/>
      <c r="D304" s="340"/>
      <c r="E304" s="340"/>
      <c r="F304" s="340"/>
      <c r="G304" s="340"/>
      <c r="H304" s="340"/>
      <c r="I304" s="340"/>
      <c r="J304" s="340"/>
      <c r="K304" s="340"/>
      <c r="L304" s="340"/>
      <c r="M304" s="340"/>
    </row>
    <row r="305" spans="1:1" s="312" customFormat="1" ht="10.5" customHeight="1">
      <c r="A305" s="394" t="s">
        <v>579</v>
      </c>
    </row>
  </sheetData>
  <mergeCells count="17">
    <mergeCell ref="B111:H111"/>
    <mergeCell ref="J111:M111"/>
    <mergeCell ref="A238:M238"/>
    <mergeCell ref="B239:H239"/>
    <mergeCell ref="J239:M239"/>
    <mergeCell ref="C284:D284"/>
    <mergeCell ref="E284:F284"/>
    <mergeCell ref="G284:H284"/>
    <mergeCell ref="J284:K284"/>
    <mergeCell ref="L284:M284"/>
    <mergeCell ref="B67:H67"/>
    <mergeCell ref="J67:M67"/>
    <mergeCell ref="B3:H3"/>
    <mergeCell ref="J3:M3"/>
    <mergeCell ref="N3:Z3"/>
    <mergeCell ref="O4:U4"/>
    <mergeCell ref="W4:Y4"/>
  </mergeCells>
  <pageMargins left="0.51181102362204722" right="0.51181102362204722" top="0.51181102362204722" bottom="0.39370078740157483" header="0.27559055118110237" footer="0.19685039370078741"/>
  <pageSetup paperSize="9" scale="88" firstPageNumber="140" fitToHeight="0" orientation="portrait" useFirstPageNumber="1" r:id="rId1"/>
  <headerFooter alignWithMargins="0">
    <oddHeader>&amp;R&amp;"Arial,Bold"ELECTRICITY</oddHeader>
    <oddFooter>&amp;C&amp;P</oddFooter>
  </headerFooter>
  <rowBreaks count="1" manualBreakCount="1">
    <brk id="235" max="12" man="1"/>
  </rowBreaks>
</worksheet>
</file>

<file path=xl/worksheets/sheet68.xml><?xml version="1.0" encoding="utf-8"?>
<worksheet xmlns="http://schemas.openxmlformats.org/spreadsheetml/2006/main" xmlns:r="http://schemas.openxmlformats.org/officeDocument/2006/relationships">
  <sheetPr codeName="Sheet25">
    <pageSetUpPr fitToPage="1"/>
  </sheetPr>
  <dimension ref="A1:AJ72"/>
  <sheetViews>
    <sheetView zoomScale="80" zoomScaleNormal="80" workbookViewId="0"/>
  </sheetViews>
  <sheetFormatPr defaultRowHeight="12.75"/>
  <cols>
    <col min="1" max="1" width="19.140625" style="131" customWidth="1"/>
    <col min="2" max="3" width="8.5703125" style="131" customWidth="1"/>
    <col min="4" max="4" width="16.42578125" style="131" customWidth="1"/>
    <col min="5" max="5" width="15" style="131" customWidth="1"/>
    <col min="6" max="6" width="9.140625" style="131"/>
    <col min="7" max="7" width="13.85546875" style="131" customWidth="1"/>
    <col min="8" max="8" width="3.42578125" style="131" hidden="1" customWidth="1"/>
    <col min="9" max="9" width="2.5703125" style="131" customWidth="1"/>
    <col min="10" max="10" width="13.7109375" style="131" customWidth="1"/>
    <col min="11" max="11" width="11.42578125" style="131" customWidth="1"/>
    <col min="12" max="14" width="12" style="131" customWidth="1"/>
    <col min="15" max="15" width="12.28515625" style="131" customWidth="1"/>
    <col min="16" max="16" width="2.5703125" style="131" customWidth="1"/>
    <col min="17" max="17" width="22" style="192" customWidth="1"/>
    <col min="18" max="256" width="9.140625" style="131"/>
    <col min="257" max="257" width="19.140625" style="131" customWidth="1"/>
    <col min="258" max="259" width="8.5703125" style="131" customWidth="1"/>
    <col min="260" max="260" width="16.42578125" style="131" customWidth="1"/>
    <col min="261" max="261" width="15" style="131" customWidth="1"/>
    <col min="262" max="262" width="9.140625" style="131"/>
    <col min="263" max="263" width="13.85546875" style="131" customWidth="1"/>
    <col min="264" max="264" width="0" style="131" hidden="1" customWidth="1"/>
    <col min="265" max="265" width="2.5703125" style="131" customWidth="1"/>
    <col min="266" max="266" width="13.7109375" style="131" customWidth="1"/>
    <col min="267" max="267" width="11.42578125" style="131" customWidth="1"/>
    <col min="268" max="270" width="12" style="131" customWidth="1"/>
    <col min="271" max="271" width="12.28515625" style="131" customWidth="1"/>
    <col min="272" max="272" width="2.5703125" style="131" customWidth="1"/>
    <col min="273" max="273" width="22" style="131" customWidth="1"/>
    <col min="274" max="512" width="9.140625" style="131"/>
    <col min="513" max="513" width="19.140625" style="131" customWidth="1"/>
    <col min="514" max="515" width="8.5703125" style="131" customWidth="1"/>
    <col min="516" max="516" width="16.42578125" style="131" customWidth="1"/>
    <col min="517" max="517" width="15" style="131" customWidth="1"/>
    <col min="518" max="518" width="9.140625" style="131"/>
    <col min="519" max="519" width="13.85546875" style="131" customWidth="1"/>
    <col min="520" max="520" width="0" style="131" hidden="1" customWidth="1"/>
    <col min="521" max="521" width="2.5703125" style="131" customWidth="1"/>
    <col min="522" max="522" width="13.7109375" style="131" customWidth="1"/>
    <col min="523" max="523" width="11.42578125" style="131" customWidth="1"/>
    <col min="524" max="526" width="12" style="131" customWidth="1"/>
    <col min="527" max="527" width="12.28515625" style="131" customWidth="1"/>
    <col min="528" max="528" width="2.5703125" style="131" customWidth="1"/>
    <col min="529" max="529" width="22" style="131" customWidth="1"/>
    <col min="530" max="768" width="9.140625" style="131"/>
    <col min="769" max="769" width="19.140625" style="131" customWidth="1"/>
    <col min="770" max="771" width="8.5703125" style="131" customWidth="1"/>
    <col min="772" max="772" width="16.42578125" style="131" customWidth="1"/>
    <col min="773" max="773" width="15" style="131" customWidth="1"/>
    <col min="774" max="774" width="9.140625" style="131"/>
    <col min="775" max="775" width="13.85546875" style="131" customWidth="1"/>
    <col min="776" max="776" width="0" style="131" hidden="1" customWidth="1"/>
    <col min="777" max="777" width="2.5703125" style="131" customWidth="1"/>
    <col min="778" max="778" width="13.7109375" style="131" customWidth="1"/>
    <col min="779" max="779" width="11.42578125" style="131" customWidth="1"/>
    <col min="780" max="782" width="12" style="131" customWidth="1"/>
    <col min="783" max="783" width="12.28515625" style="131" customWidth="1"/>
    <col min="784" max="784" width="2.5703125" style="131" customWidth="1"/>
    <col min="785" max="785" width="22" style="131" customWidth="1"/>
    <col min="786" max="1024" width="9.140625" style="131"/>
    <col min="1025" max="1025" width="19.140625" style="131" customWidth="1"/>
    <col min="1026" max="1027" width="8.5703125" style="131" customWidth="1"/>
    <col min="1028" max="1028" width="16.42578125" style="131" customWidth="1"/>
    <col min="1029" max="1029" width="15" style="131" customWidth="1"/>
    <col min="1030" max="1030" width="9.140625" style="131"/>
    <col min="1031" max="1031" width="13.85546875" style="131" customWidth="1"/>
    <col min="1032" max="1032" width="0" style="131" hidden="1" customWidth="1"/>
    <col min="1033" max="1033" width="2.5703125" style="131" customWidth="1"/>
    <col min="1034" max="1034" width="13.7109375" style="131" customWidth="1"/>
    <col min="1035" max="1035" width="11.42578125" style="131" customWidth="1"/>
    <col min="1036" max="1038" width="12" style="131" customWidth="1"/>
    <col min="1039" max="1039" width="12.28515625" style="131" customWidth="1"/>
    <col min="1040" max="1040" width="2.5703125" style="131" customWidth="1"/>
    <col min="1041" max="1041" width="22" style="131" customWidth="1"/>
    <col min="1042" max="1280" width="9.140625" style="131"/>
    <col min="1281" max="1281" width="19.140625" style="131" customWidth="1"/>
    <col min="1282" max="1283" width="8.5703125" style="131" customWidth="1"/>
    <col min="1284" max="1284" width="16.42578125" style="131" customWidth="1"/>
    <col min="1285" max="1285" width="15" style="131" customWidth="1"/>
    <col min="1286" max="1286" width="9.140625" style="131"/>
    <col min="1287" max="1287" width="13.85546875" style="131" customWidth="1"/>
    <col min="1288" max="1288" width="0" style="131" hidden="1" customWidth="1"/>
    <col min="1289" max="1289" width="2.5703125" style="131" customWidth="1"/>
    <col min="1290" max="1290" width="13.7109375" style="131" customWidth="1"/>
    <col min="1291" max="1291" width="11.42578125" style="131" customWidth="1"/>
    <col min="1292" max="1294" width="12" style="131" customWidth="1"/>
    <col min="1295" max="1295" width="12.28515625" style="131" customWidth="1"/>
    <col min="1296" max="1296" width="2.5703125" style="131" customWidth="1"/>
    <col min="1297" max="1297" width="22" style="131" customWidth="1"/>
    <col min="1298" max="1536" width="9.140625" style="131"/>
    <col min="1537" max="1537" width="19.140625" style="131" customWidth="1"/>
    <col min="1538" max="1539" width="8.5703125" style="131" customWidth="1"/>
    <col min="1540" max="1540" width="16.42578125" style="131" customWidth="1"/>
    <col min="1541" max="1541" width="15" style="131" customWidth="1"/>
    <col min="1542" max="1542" width="9.140625" style="131"/>
    <col min="1543" max="1543" width="13.85546875" style="131" customWidth="1"/>
    <col min="1544" max="1544" width="0" style="131" hidden="1" customWidth="1"/>
    <col min="1545" max="1545" width="2.5703125" style="131" customWidth="1"/>
    <col min="1546" max="1546" width="13.7109375" style="131" customWidth="1"/>
    <col min="1547" max="1547" width="11.42578125" style="131" customWidth="1"/>
    <col min="1548" max="1550" width="12" style="131" customWidth="1"/>
    <col min="1551" max="1551" width="12.28515625" style="131" customWidth="1"/>
    <col min="1552" max="1552" width="2.5703125" style="131" customWidth="1"/>
    <col min="1553" max="1553" width="22" style="131" customWidth="1"/>
    <col min="1554" max="1792" width="9.140625" style="131"/>
    <col min="1793" max="1793" width="19.140625" style="131" customWidth="1"/>
    <col min="1794" max="1795" width="8.5703125" style="131" customWidth="1"/>
    <col min="1796" max="1796" width="16.42578125" style="131" customWidth="1"/>
    <col min="1797" max="1797" width="15" style="131" customWidth="1"/>
    <col min="1798" max="1798" width="9.140625" style="131"/>
    <col min="1799" max="1799" width="13.85546875" style="131" customWidth="1"/>
    <col min="1800" max="1800" width="0" style="131" hidden="1" customWidth="1"/>
    <col min="1801" max="1801" width="2.5703125" style="131" customWidth="1"/>
    <col min="1802" max="1802" width="13.7109375" style="131" customWidth="1"/>
    <col min="1803" max="1803" width="11.42578125" style="131" customWidth="1"/>
    <col min="1804" max="1806" width="12" style="131" customWidth="1"/>
    <col min="1807" max="1807" width="12.28515625" style="131" customWidth="1"/>
    <col min="1808" max="1808" width="2.5703125" style="131" customWidth="1"/>
    <col min="1809" max="1809" width="22" style="131" customWidth="1"/>
    <col min="1810" max="2048" width="9.140625" style="131"/>
    <col min="2049" max="2049" width="19.140625" style="131" customWidth="1"/>
    <col min="2050" max="2051" width="8.5703125" style="131" customWidth="1"/>
    <col min="2052" max="2052" width="16.42578125" style="131" customWidth="1"/>
    <col min="2053" max="2053" width="15" style="131" customWidth="1"/>
    <col min="2054" max="2054" width="9.140625" style="131"/>
    <col min="2055" max="2055" width="13.85546875" style="131" customWidth="1"/>
    <col min="2056" max="2056" width="0" style="131" hidden="1" customWidth="1"/>
    <col min="2057" max="2057" width="2.5703125" style="131" customWidth="1"/>
    <col min="2058" max="2058" width="13.7109375" style="131" customWidth="1"/>
    <col min="2059" max="2059" width="11.42578125" style="131" customWidth="1"/>
    <col min="2060" max="2062" width="12" style="131" customWidth="1"/>
    <col min="2063" max="2063" width="12.28515625" style="131" customWidth="1"/>
    <col min="2064" max="2064" width="2.5703125" style="131" customWidth="1"/>
    <col min="2065" max="2065" width="22" style="131" customWidth="1"/>
    <col min="2066" max="2304" width="9.140625" style="131"/>
    <col min="2305" max="2305" width="19.140625" style="131" customWidth="1"/>
    <col min="2306" max="2307" width="8.5703125" style="131" customWidth="1"/>
    <col min="2308" max="2308" width="16.42578125" style="131" customWidth="1"/>
    <col min="2309" max="2309" width="15" style="131" customWidth="1"/>
    <col min="2310" max="2310" width="9.140625" style="131"/>
    <col min="2311" max="2311" width="13.85546875" style="131" customWidth="1"/>
    <col min="2312" max="2312" width="0" style="131" hidden="1" customWidth="1"/>
    <col min="2313" max="2313" width="2.5703125" style="131" customWidth="1"/>
    <col min="2314" max="2314" width="13.7109375" style="131" customWidth="1"/>
    <col min="2315" max="2315" width="11.42578125" style="131" customWidth="1"/>
    <col min="2316" max="2318" width="12" style="131" customWidth="1"/>
    <col min="2319" max="2319" width="12.28515625" style="131" customWidth="1"/>
    <col min="2320" max="2320" width="2.5703125" style="131" customWidth="1"/>
    <col min="2321" max="2321" width="22" style="131" customWidth="1"/>
    <col min="2322" max="2560" width="9.140625" style="131"/>
    <col min="2561" max="2561" width="19.140625" style="131" customWidth="1"/>
    <col min="2562" max="2563" width="8.5703125" style="131" customWidth="1"/>
    <col min="2564" max="2564" width="16.42578125" style="131" customWidth="1"/>
    <col min="2565" max="2565" width="15" style="131" customWidth="1"/>
    <col min="2566" max="2566" width="9.140625" style="131"/>
    <col min="2567" max="2567" width="13.85546875" style="131" customWidth="1"/>
    <col min="2568" max="2568" width="0" style="131" hidden="1" customWidth="1"/>
    <col min="2569" max="2569" width="2.5703125" style="131" customWidth="1"/>
    <col min="2570" max="2570" width="13.7109375" style="131" customWidth="1"/>
    <col min="2571" max="2571" width="11.42578125" style="131" customWidth="1"/>
    <col min="2572" max="2574" width="12" style="131" customWidth="1"/>
    <col min="2575" max="2575" width="12.28515625" style="131" customWidth="1"/>
    <col min="2576" max="2576" width="2.5703125" style="131" customWidth="1"/>
    <col min="2577" max="2577" width="22" style="131" customWidth="1"/>
    <col min="2578" max="2816" width="9.140625" style="131"/>
    <col min="2817" max="2817" width="19.140625" style="131" customWidth="1"/>
    <col min="2818" max="2819" width="8.5703125" style="131" customWidth="1"/>
    <col min="2820" max="2820" width="16.42578125" style="131" customWidth="1"/>
    <col min="2821" max="2821" width="15" style="131" customWidth="1"/>
    <col min="2822" max="2822" width="9.140625" style="131"/>
    <col min="2823" max="2823" width="13.85546875" style="131" customWidth="1"/>
    <col min="2824" max="2824" width="0" style="131" hidden="1" customWidth="1"/>
    <col min="2825" max="2825" width="2.5703125" style="131" customWidth="1"/>
    <col min="2826" max="2826" width="13.7109375" style="131" customWidth="1"/>
    <col min="2827" max="2827" width="11.42578125" style="131" customWidth="1"/>
    <col min="2828" max="2830" width="12" style="131" customWidth="1"/>
    <col min="2831" max="2831" width="12.28515625" style="131" customWidth="1"/>
    <col min="2832" max="2832" width="2.5703125" style="131" customWidth="1"/>
    <col min="2833" max="2833" width="22" style="131" customWidth="1"/>
    <col min="2834" max="3072" width="9.140625" style="131"/>
    <col min="3073" max="3073" width="19.140625" style="131" customWidth="1"/>
    <col min="3074" max="3075" width="8.5703125" style="131" customWidth="1"/>
    <col min="3076" max="3076" width="16.42578125" style="131" customWidth="1"/>
    <col min="3077" max="3077" width="15" style="131" customWidth="1"/>
    <col min="3078" max="3078" width="9.140625" style="131"/>
    <col min="3079" max="3079" width="13.85546875" style="131" customWidth="1"/>
    <col min="3080" max="3080" width="0" style="131" hidden="1" customWidth="1"/>
    <col min="3081" max="3081" width="2.5703125" style="131" customWidth="1"/>
    <col min="3082" max="3082" width="13.7109375" style="131" customWidth="1"/>
    <col min="3083" max="3083" width="11.42578125" style="131" customWidth="1"/>
    <col min="3084" max="3086" width="12" style="131" customWidth="1"/>
    <col min="3087" max="3087" width="12.28515625" style="131" customWidth="1"/>
    <col min="3088" max="3088" width="2.5703125" style="131" customWidth="1"/>
    <col min="3089" max="3089" width="22" style="131" customWidth="1"/>
    <col min="3090" max="3328" width="9.140625" style="131"/>
    <col min="3329" max="3329" width="19.140625" style="131" customWidth="1"/>
    <col min="3330" max="3331" width="8.5703125" style="131" customWidth="1"/>
    <col min="3332" max="3332" width="16.42578125" style="131" customWidth="1"/>
    <col min="3333" max="3333" width="15" style="131" customWidth="1"/>
    <col min="3334" max="3334" width="9.140625" style="131"/>
    <col min="3335" max="3335" width="13.85546875" style="131" customWidth="1"/>
    <col min="3336" max="3336" width="0" style="131" hidden="1" customWidth="1"/>
    <col min="3337" max="3337" width="2.5703125" style="131" customWidth="1"/>
    <col min="3338" max="3338" width="13.7109375" style="131" customWidth="1"/>
    <col min="3339" max="3339" width="11.42578125" style="131" customWidth="1"/>
    <col min="3340" max="3342" width="12" style="131" customWidth="1"/>
    <col min="3343" max="3343" width="12.28515625" style="131" customWidth="1"/>
    <col min="3344" max="3344" width="2.5703125" style="131" customWidth="1"/>
    <col min="3345" max="3345" width="22" style="131" customWidth="1"/>
    <col min="3346" max="3584" width="9.140625" style="131"/>
    <col min="3585" max="3585" width="19.140625" style="131" customWidth="1"/>
    <col min="3586" max="3587" width="8.5703125" style="131" customWidth="1"/>
    <col min="3588" max="3588" width="16.42578125" style="131" customWidth="1"/>
    <col min="3589" max="3589" width="15" style="131" customWidth="1"/>
    <col min="3590" max="3590" width="9.140625" style="131"/>
    <col min="3591" max="3591" width="13.85546875" style="131" customWidth="1"/>
    <col min="3592" max="3592" width="0" style="131" hidden="1" customWidth="1"/>
    <col min="3593" max="3593" width="2.5703125" style="131" customWidth="1"/>
    <col min="3594" max="3594" width="13.7109375" style="131" customWidth="1"/>
    <col min="3595" max="3595" width="11.42578125" style="131" customWidth="1"/>
    <col min="3596" max="3598" width="12" style="131" customWidth="1"/>
    <col min="3599" max="3599" width="12.28515625" style="131" customWidth="1"/>
    <col min="3600" max="3600" width="2.5703125" style="131" customWidth="1"/>
    <col min="3601" max="3601" width="22" style="131" customWidth="1"/>
    <col min="3602" max="3840" width="9.140625" style="131"/>
    <col min="3841" max="3841" width="19.140625" style="131" customWidth="1"/>
    <col min="3842" max="3843" width="8.5703125" style="131" customWidth="1"/>
    <col min="3844" max="3844" width="16.42578125" style="131" customWidth="1"/>
    <col min="3845" max="3845" width="15" style="131" customWidth="1"/>
    <col min="3846" max="3846" width="9.140625" style="131"/>
    <col min="3847" max="3847" width="13.85546875" style="131" customWidth="1"/>
    <col min="3848" max="3848" width="0" style="131" hidden="1" customWidth="1"/>
    <col min="3849" max="3849" width="2.5703125" style="131" customWidth="1"/>
    <col min="3850" max="3850" width="13.7109375" style="131" customWidth="1"/>
    <col min="3851" max="3851" width="11.42578125" style="131" customWidth="1"/>
    <col min="3852" max="3854" width="12" style="131" customWidth="1"/>
    <col min="3855" max="3855" width="12.28515625" style="131" customWidth="1"/>
    <col min="3856" max="3856" width="2.5703125" style="131" customWidth="1"/>
    <col min="3857" max="3857" width="22" style="131" customWidth="1"/>
    <col min="3858" max="4096" width="9.140625" style="131"/>
    <col min="4097" max="4097" width="19.140625" style="131" customWidth="1"/>
    <col min="4098" max="4099" width="8.5703125" style="131" customWidth="1"/>
    <col min="4100" max="4100" width="16.42578125" style="131" customWidth="1"/>
    <col min="4101" max="4101" width="15" style="131" customWidth="1"/>
    <col min="4102" max="4102" width="9.140625" style="131"/>
    <col min="4103" max="4103" width="13.85546875" style="131" customWidth="1"/>
    <col min="4104" max="4104" width="0" style="131" hidden="1" customWidth="1"/>
    <col min="4105" max="4105" width="2.5703125" style="131" customWidth="1"/>
    <col min="4106" max="4106" width="13.7109375" style="131" customWidth="1"/>
    <col min="4107" max="4107" width="11.42578125" style="131" customWidth="1"/>
    <col min="4108" max="4110" width="12" style="131" customWidth="1"/>
    <col min="4111" max="4111" width="12.28515625" style="131" customWidth="1"/>
    <col min="4112" max="4112" width="2.5703125" style="131" customWidth="1"/>
    <col min="4113" max="4113" width="22" style="131" customWidth="1"/>
    <col min="4114" max="4352" width="9.140625" style="131"/>
    <col min="4353" max="4353" width="19.140625" style="131" customWidth="1"/>
    <col min="4354" max="4355" width="8.5703125" style="131" customWidth="1"/>
    <col min="4356" max="4356" width="16.42578125" style="131" customWidth="1"/>
    <col min="4357" max="4357" width="15" style="131" customWidth="1"/>
    <col min="4358" max="4358" width="9.140625" style="131"/>
    <col min="4359" max="4359" width="13.85546875" style="131" customWidth="1"/>
    <col min="4360" max="4360" width="0" style="131" hidden="1" customWidth="1"/>
    <col min="4361" max="4361" width="2.5703125" style="131" customWidth="1"/>
    <col min="4362" max="4362" width="13.7109375" style="131" customWidth="1"/>
    <col min="4363" max="4363" width="11.42578125" style="131" customWidth="1"/>
    <col min="4364" max="4366" width="12" style="131" customWidth="1"/>
    <col min="4367" max="4367" width="12.28515625" style="131" customWidth="1"/>
    <col min="4368" max="4368" width="2.5703125" style="131" customWidth="1"/>
    <col min="4369" max="4369" width="22" style="131" customWidth="1"/>
    <col min="4370" max="4608" width="9.140625" style="131"/>
    <col min="4609" max="4609" width="19.140625" style="131" customWidth="1"/>
    <col min="4610" max="4611" width="8.5703125" style="131" customWidth="1"/>
    <col min="4612" max="4612" width="16.42578125" style="131" customWidth="1"/>
    <col min="4613" max="4613" width="15" style="131" customWidth="1"/>
    <col min="4614" max="4614" width="9.140625" style="131"/>
    <col min="4615" max="4615" width="13.85546875" style="131" customWidth="1"/>
    <col min="4616" max="4616" width="0" style="131" hidden="1" customWidth="1"/>
    <col min="4617" max="4617" width="2.5703125" style="131" customWidth="1"/>
    <col min="4618" max="4618" width="13.7109375" style="131" customWidth="1"/>
    <col min="4619" max="4619" width="11.42578125" style="131" customWidth="1"/>
    <col min="4620" max="4622" width="12" style="131" customWidth="1"/>
    <col min="4623" max="4623" width="12.28515625" style="131" customWidth="1"/>
    <col min="4624" max="4624" width="2.5703125" style="131" customWidth="1"/>
    <col min="4625" max="4625" width="22" style="131" customWidth="1"/>
    <col min="4626" max="4864" width="9.140625" style="131"/>
    <col min="4865" max="4865" width="19.140625" style="131" customWidth="1"/>
    <col min="4866" max="4867" width="8.5703125" style="131" customWidth="1"/>
    <col min="4868" max="4868" width="16.42578125" style="131" customWidth="1"/>
    <col min="4869" max="4869" width="15" style="131" customWidth="1"/>
    <col min="4870" max="4870" width="9.140625" style="131"/>
    <col min="4871" max="4871" width="13.85546875" style="131" customWidth="1"/>
    <col min="4872" max="4872" width="0" style="131" hidden="1" customWidth="1"/>
    <col min="4873" max="4873" width="2.5703125" style="131" customWidth="1"/>
    <col min="4874" max="4874" width="13.7109375" style="131" customWidth="1"/>
    <col min="4875" max="4875" width="11.42578125" style="131" customWidth="1"/>
    <col min="4876" max="4878" width="12" style="131" customWidth="1"/>
    <col min="4879" max="4879" width="12.28515625" style="131" customWidth="1"/>
    <col min="4880" max="4880" width="2.5703125" style="131" customWidth="1"/>
    <col min="4881" max="4881" width="22" style="131" customWidth="1"/>
    <col min="4882" max="5120" width="9.140625" style="131"/>
    <col min="5121" max="5121" width="19.140625" style="131" customWidth="1"/>
    <col min="5122" max="5123" width="8.5703125" style="131" customWidth="1"/>
    <col min="5124" max="5124" width="16.42578125" style="131" customWidth="1"/>
    <col min="5125" max="5125" width="15" style="131" customWidth="1"/>
    <col min="5126" max="5126" width="9.140625" style="131"/>
    <col min="5127" max="5127" width="13.85546875" style="131" customWidth="1"/>
    <col min="5128" max="5128" width="0" style="131" hidden="1" customWidth="1"/>
    <col min="5129" max="5129" width="2.5703125" style="131" customWidth="1"/>
    <col min="5130" max="5130" width="13.7109375" style="131" customWidth="1"/>
    <col min="5131" max="5131" width="11.42578125" style="131" customWidth="1"/>
    <col min="5132" max="5134" width="12" style="131" customWidth="1"/>
    <col min="5135" max="5135" width="12.28515625" style="131" customWidth="1"/>
    <col min="5136" max="5136" width="2.5703125" style="131" customWidth="1"/>
    <col min="5137" max="5137" width="22" style="131" customWidth="1"/>
    <col min="5138" max="5376" width="9.140625" style="131"/>
    <col min="5377" max="5377" width="19.140625" style="131" customWidth="1"/>
    <col min="5378" max="5379" width="8.5703125" style="131" customWidth="1"/>
    <col min="5380" max="5380" width="16.42578125" style="131" customWidth="1"/>
    <col min="5381" max="5381" width="15" style="131" customWidth="1"/>
    <col min="5382" max="5382" width="9.140625" style="131"/>
    <col min="5383" max="5383" width="13.85546875" style="131" customWidth="1"/>
    <col min="5384" max="5384" width="0" style="131" hidden="1" customWidth="1"/>
    <col min="5385" max="5385" width="2.5703125" style="131" customWidth="1"/>
    <col min="5386" max="5386" width="13.7109375" style="131" customWidth="1"/>
    <col min="5387" max="5387" width="11.42578125" style="131" customWidth="1"/>
    <col min="5388" max="5390" width="12" style="131" customWidth="1"/>
    <col min="5391" max="5391" width="12.28515625" style="131" customWidth="1"/>
    <col min="5392" max="5392" width="2.5703125" style="131" customWidth="1"/>
    <col min="5393" max="5393" width="22" style="131" customWidth="1"/>
    <col min="5394" max="5632" width="9.140625" style="131"/>
    <col min="5633" max="5633" width="19.140625" style="131" customWidth="1"/>
    <col min="5634" max="5635" width="8.5703125" style="131" customWidth="1"/>
    <col min="5636" max="5636" width="16.42578125" style="131" customWidth="1"/>
    <col min="5637" max="5637" width="15" style="131" customWidth="1"/>
    <col min="5638" max="5638" width="9.140625" style="131"/>
    <col min="5639" max="5639" width="13.85546875" style="131" customWidth="1"/>
    <col min="5640" max="5640" width="0" style="131" hidden="1" customWidth="1"/>
    <col min="5641" max="5641" width="2.5703125" style="131" customWidth="1"/>
    <col min="5642" max="5642" width="13.7109375" style="131" customWidth="1"/>
    <col min="5643" max="5643" width="11.42578125" style="131" customWidth="1"/>
    <col min="5644" max="5646" width="12" style="131" customWidth="1"/>
    <col min="5647" max="5647" width="12.28515625" style="131" customWidth="1"/>
    <col min="5648" max="5648" width="2.5703125" style="131" customWidth="1"/>
    <col min="5649" max="5649" width="22" style="131" customWidth="1"/>
    <col min="5650" max="5888" width="9.140625" style="131"/>
    <col min="5889" max="5889" width="19.140625" style="131" customWidth="1"/>
    <col min="5890" max="5891" width="8.5703125" style="131" customWidth="1"/>
    <col min="5892" max="5892" width="16.42578125" style="131" customWidth="1"/>
    <col min="5893" max="5893" width="15" style="131" customWidth="1"/>
    <col min="5894" max="5894" width="9.140625" style="131"/>
    <col min="5895" max="5895" width="13.85546875" style="131" customWidth="1"/>
    <col min="5896" max="5896" width="0" style="131" hidden="1" customWidth="1"/>
    <col min="5897" max="5897" width="2.5703125" style="131" customWidth="1"/>
    <col min="5898" max="5898" width="13.7109375" style="131" customWidth="1"/>
    <col min="5899" max="5899" width="11.42578125" style="131" customWidth="1"/>
    <col min="5900" max="5902" width="12" style="131" customWidth="1"/>
    <col min="5903" max="5903" width="12.28515625" style="131" customWidth="1"/>
    <col min="5904" max="5904" width="2.5703125" style="131" customWidth="1"/>
    <col min="5905" max="5905" width="22" style="131" customWidth="1"/>
    <col min="5906" max="6144" width="9.140625" style="131"/>
    <col min="6145" max="6145" width="19.140625" style="131" customWidth="1"/>
    <col min="6146" max="6147" width="8.5703125" style="131" customWidth="1"/>
    <col min="6148" max="6148" width="16.42578125" style="131" customWidth="1"/>
    <col min="6149" max="6149" width="15" style="131" customWidth="1"/>
    <col min="6150" max="6150" width="9.140625" style="131"/>
    <col min="6151" max="6151" width="13.85546875" style="131" customWidth="1"/>
    <col min="6152" max="6152" width="0" style="131" hidden="1" customWidth="1"/>
    <col min="6153" max="6153" width="2.5703125" style="131" customWidth="1"/>
    <col min="6154" max="6154" width="13.7109375" style="131" customWidth="1"/>
    <col min="6155" max="6155" width="11.42578125" style="131" customWidth="1"/>
    <col min="6156" max="6158" width="12" style="131" customWidth="1"/>
    <col min="6159" max="6159" width="12.28515625" style="131" customWidth="1"/>
    <col min="6160" max="6160" width="2.5703125" style="131" customWidth="1"/>
    <col min="6161" max="6161" width="22" style="131" customWidth="1"/>
    <col min="6162" max="6400" width="9.140625" style="131"/>
    <col min="6401" max="6401" width="19.140625" style="131" customWidth="1"/>
    <col min="6402" max="6403" width="8.5703125" style="131" customWidth="1"/>
    <col min="6404" max="6404" width="16.42578125" style="131" customWidth="1"/>
    <col min="6405" max="6405" width="15" style="131" customWidth="1"/>
    <col min="6406" max="6406" width="9.140625" style="131"/>
    <col min="6407" max="6407" width="13.85546875" style="131" customWidth="1"/>
    <col min="6408" max="6408" width="0" style="131" hidden="1" customWidth="1"/>
    <col min="6409" max="6409" width="2.5703125" style="131" customWidth="1"/>
    <col min="6410" max="6410" width="13.7109375" style="131" customWidth="1"/>
    <col min="6411" max="6411" width="11.42578125" style="131" customWidth="1"/>
    <col min="6412" max="6414" width="12" style="131" customWidth="1"/>
    <col min="6415" max="6415" width="12.28515625" style="131" customWidth="1"/>
    <col min="6416" max="6416" width="2.5703125" style="131" customWidth="1"/>
    <col min="6417" max="6417" width="22" style="131" customWidth="1"/>
    <col min="6418" max="6656" width="9.140625" style="131"/>
    <col min="6657" max="6657" width="19.140625" style="131" customWidth="1"/>
    <col min="6658" max="6659" width="8.5703125" style="131" customWidth="1"/>
    <col min="6660" max="6660" width="16.42578125" style="131" customWidth="1"/>
    <col min="6661" max="6661" width="15" style="131" customWidth="1"/>
    <col min="6662" max="6662" width="9.140625" style="131"/>
    <col min="6663" max="6663" width="13.85546875" style="131" customWidth="1"/>
    <col min="6664" max="6664" width="0" style="131" hidden="1" customWidth="1"/>
    <col min="6665" max="6665" width="2.5703125" style="131" customWidth="1"/>
    <col min="6666" max="6666" width="13.7109375" style="131" customWidth="1"/>
    <col min="6667" max="6667" width="11.42578125" style="131" customWidth="1"/>
    <col min="6668" max="6670" width="12" style="131" customWidth="1"/>
    <col min="6671" max="6671" width="12.28515625" style="131" customWidth="1"/>
    <col min="6672" max="6672" width="2.5703125" style="131" customWidth="1"/>
    <col min="6673" max="6673" width="22" style="131" customWidth="1"/>
    <col min="6674" max="6912" width="9.140625" style="131"/>
    <col min="6913" max="6913" width="19.140625" style="131" customWidth="1"/>
    <col min="6914" max="6915" width="8.5703125" style="131" customWidth="1"/>
    <col min="6916" max="6916" width="16.42578125" style="131" customWidth="1"/>
    <col min="6917" max="6917" width="15" style="131" customWidth="1"/>
    <col min="6918" max="6918" width="9.140625" style="131"/>
    <col min="6919" max="6919" width="13.85546875" style="131" customWidth="1"/>
    <col min="6920" max="6920" width="0" style="131" hidden="1" customWidth="1"/>
    <col min="6921" max="6921" width="2.5703125" style="131" customWidth="1"/>
    <col min="6922" max="6922" width="13.7109375" style="131" customWidth="1"/>
    <col min="6923" max="6923" width="11.42578125" style="131" customWidth="1"/>
    <col min="6924" max="6926" width="12" style="131" customWidth="1"/>
    <col min="6927" max="6927" width="12.28515625" style="131" customWidth="1"/>
    <col min="6928" max="6928" width="2.5703125" style="131" customWidth="1"/>
    <col min="6929" max="6929" width="22" style="131" customWidth="1"/>
    <col min="6930" max="7168" width="9.140625" style="131"/>
    <col min="7169" max="7169" width="19.140625" style="131" customWidth="1"/>
    <col min="7170" max="7171" width="8.5703125" style="131" customWidth="1"/>
    <col min="7172" max="7172" width="16.42578125" style="131" customWidth="1"/>
    <col min="7173" max="7173" width="15" style="131" customWidth="1"/>
    <col min="7174" max="7174" width="9.140625" style="131"/>
    <col min="7175" max="7175" width="13.85546875" style="131" customWidth="1"/>
    <col min="7176" max="7176" width="0" style="131" hidden="1" customWidth="1"/>
    <col min="7177" max="7177" width="2.5703125" style="131" customWidth="1"/>
    <col min="7178" max="7178" width="13.7109375" style="131" customWidth="1"/>
    <col min="7179" max="7179" width="11.42578125" style="131" customWidth="1"/>
    <col min="7180" max="7182" width="12" style="131" customWidth="1"/>
    <col min="7183" max="7183" width="12.28515625" style="131" customWidth="1"/>
    <col min="7184" max="7184" width="2.5703125" style="131" customWidth="1"/>
    <col min="7185" max="7185" width="22" style="131" customWidth="1"/>
    <col min="7186" max="7424" width="9.140625" style="131"/>
    <col min="7425" max="7425" width="19.140625" style="131" customWidth="1"/>
    <col min="7426" max="7427" width="8.5703125" style="131" customWidth="1"/>
    <col min="7428" max="7428" width="16.42578125" style="131" customWidth="1"/>
    <col min="7429" max="7429" width="15" style="131" customWidth="1"/>
    <col min="7430" max="7430" width="9.140625" style="131"/>
    <col min="7431" max="7431" width="13.85546875" style="131" customWidth="1"/>
    <col min="7432" max="7432" width="0" style="131" hidden="1" customWidth="1"/>
    <col min="7433" max="7433" width="2.5703125" style="131" customWidth="1"/>
    <col min="7434" max="7434" width="13.7109375" style="131" customWidth="1"/>
    <col min="7435" max="7435" width="11.42578125" style="131" customWidth="1"/>
    <col min="7436" max="7438" width="12" style="131" customWidth="1"/>
    <col min="7439" max="7439" width="12.28515625" style="131" customWidth="1"/>
    <col min="7440" max="7440" width="2.5703125" style="131" customWidth="1"/>
    <col min="7441" max="7441" width="22" style="131" customWidth="1"/>
    <col min="7442" max="7680" width="9.140625" style="131"/>
    <col min="7681" max="7681" width="19.140625" style="131" customWidth="1"/>
    <col min="7682" max="7683" width="8.5703125" style="131" customWidth="1"/>
    <col min="7684" max="7684" width="16.42578125" style="131" customWidth="1"/>
    <col min="7685" max="7685" width="15" style="131" customWidth="1"/>
    <col min="7686" max="7686" width="9.140625" style="131"/>
    <col min="7687" max="7687" width="13.85546875" style="131" customWidth="1"/>
    <col min="7688" max="7688" width="0" style="131" hidden="1" customWidth="1"/>
    <col min="7689" max="7689" width="2.5703125" style="131" customWidth="1"/>
    <col min="7690" max="7690" width="13.7109375" style="131" customWidth="1"/>
    <col min="7691" max="7691" width="11.42578125" style="131" customWidth="1"/>
    <col min="7692" max="7694" width="12" style="131" customWidth="1"/>
    <col min="7695" max="7695" width="12.28515625" style="131" customWidth="1"/>
    <col min="7696" max="7696" width="2.5703125" style="131" customWidth="1"/>
    <col min="7697" max="7697" width="22" style="131" customWidth="1"/>
    <col min="7698" max="7936" width="9.140625" style="131"/>
    <col min="7937" max="7937" width="19.140625" style="131" customWidth="1"/>
    <col min="7938" max="7939" width="8.5703125" style="131" customWidth="1"/>
    <col min="7940" max="7940" width="16.42578125" style="131" customWidth="1"/>
    <col min="7941" max="7941" width="15" style="131" customWidth="1"/>
    <col min="7942" max="7942" width="9.140625" style="131"/>
    <col min="7943" max="7943" width="13.85546875" style="131" customWidth="1"/>
    <col min="7944" max="7944" width="0" style="131" hidden="1" customWidth="1"/>
    <col min="7945" max="7945" width="2.5703125" style="131" customWidth="1"/>
    <col min="7946" max="7946" width="13.7109375" style="131" customWidth="1"/>
    <col min="7947" max="7947" width="11.42578125" style="131" customWidth="1"/>
    <col min="7948" max="7950" width="12" style="131" customWidth="1"/>
    <col min="7951" max="7951" width="12.28515625" style="131" customWidth="1"/>
    <col min="7952" max="7952" width="2.5703125" style="131" customWidth="1"/>
    <col min="7953" max="7953" width="22" style="131" customWidth="1"/>
    <col min="7954" max="8192" width="9.140625" style="131"/>
    <col min="8193" max="8193" width="19.140625" style="131" customWidth="1"/>
    <col min="8194" max="8195" width="8.5703125" style="131" customWidth="1"/>
    <col min="8196" max="8196" width="16.42578125" style="131" customWidth="1"/>
    <col min="8197" max="8197" width="15" style="131" customWidth="1"/>
    <col min="8198" max="8198" width="9.140625" style="131"/>
    <col min="8199" max="8199" width="13.85546875" style="131" customWidth="1"/>
    <col min="8200" max="8200" width="0" style="131" hidden="1" customWidth="1"/>
    <col min="8201" max="8201" width="2.5703125" style="131" customWidth="1"/>
    <col min="8202" max="8202" width="13.7109375" style="131" customWidth="1"/>
    <col min="8203" max="8203" width="11.42578125" style="131" customWidth="1"/>
    <col min="8204" max="8206" width="12" style="131" customWidth="1"/>
    <col min="8207" max="8207" width="12.28515625" style="131" customWidth="1"/>
    <col min="8208" max="8208" width="2.5703125" style="131" customWidth="1"/>
    <col min="8209" max="8209" width="22" style="131" customWidth="1"/>
    <col min="8210" max="8448" width="9.140625" style="131"/>
    <col min="8449" max="8449" width="19.140625" style="131" customWidth="1"/>
    <col min="8450" max="8451" width="8.5703125" style="131" customWidth="1"/>
    <col min="8452" max="8452" width="16.42578125" style="131" customWidth="1"/>
    <col min="8453" max="8453" width="15" style="131" customWidth="1"/>
    <col min="8454" max="8454" width="9.140625" style="131"/>
    <col min="8455" max="8455" width="13.85546875" style="131" customWidth="1"/>
    <col min="8456" max="8456" width="0" style="131" hidden="1" customWidth="1"/>
    <col min="8457" max="8457" width="2.5703125" style="131" customWidth="1"/>
    <col min="8458" max="8458" width="13.7109375" style="131" customWidth="1"/>
    <col min="8459" max="8459" width="11.42578125" style="131" customWidth="1"/>
    <col min="8460" max="8462" width="12" style="131" customWidth="1"/>
    <col min="8463" max="8463" width="12.28515625" style="131" customWidth="1"/>
    <col min="8464" max="8464" width="2.5703125" style="131" customWidth="1"/>
    <col min="8465" max="8465" width="22" style="131" customWidth="1"/>
    <col min="8466" max="8704" width="9.140625" style="131"/>
    <col min="8705" max="8705" width="19.140625" style="131" customWidth="1"/>
    <col min="8706" max="8707" width="8.5703125" style="131" customWidth="1"/>
    <col min="8708" max="8708" width="16.42578125" style="131" customWidth="1"/>
    <col min="8709" max="8709" width="15" style="131" customWidth="1"/>
    <col min="8710" max="8710" width="9.140625" style="131"/>
    <col min="8711" max="8711" width="13.85546875" style="131" customWidth="1"/>
    <col min="8712" max="8712" width="0" style="131" hidden="1" customWidth="1"/>
    <col min="8713" max="8713" width="2.5703125" style="131" customWidth="1"/>
    <col min="8714" max="8714" width="13.7109375" style="131" customWidth="1"/>
    <col min="8715" max="8715" width="11.42578125" style="131" customWidth="1"/>
    <col min="8716" max="8718" width="12" style="131" customWidth="1"/>
    <col min="8719" max="8719" width="12.28515625" style="131" customWidth="1"/>
    <col min="8720" max="8720" width="2.5703125" style="131" customWidth="1"/>
    <col min="8721" max="8721" width="22" style="131" customWidth="1"/>
    <col min="8722" max="8960" width="9.140625" style="131"/>
    <col min="8961" max="8961" width="19.140625" style="131" customWidth="1"/>
    <col min="8962" max="8963" width="8.5703125" style="131" customWidth="1"/>
    <col min="8964" max="8964" width="16.42578125" style="131" customWidth="1"/>
    <col min="8965" max="8965" width="15" style="131" customWidth="1"/>
    <col min="8966" max="8966" width="9.140625" style="131"/>
    <col min="8967" max="8967" width="13.85546875" style="131" customWidth="1"/>
    <col min="8968" max="8968" width="0" style="131" hidden="1" customWidth="1"/>
    <col min="8969" max="8969" width="2.5703125" style="131" customWidth="1"/>
    <col min="8970" max="8970" width="13.7109375" style="131" customWidth="1"/>
    <col min="8971" max="8971" width="11.42578125" style="131" customWidth="1"/>
    <col min="8972" max="8974" width="12" style="131" customWidth="1"/>
    <col min="8975" max="8975" width="12.28515625" style="131" customWidth="1"/>
    <col min="8976" max="8976" width="2.5703125" style="131" customWidth="1"/>
    <col min="8977" max="8977" width="22" style="131" customWidth="1"/>
    <col min="8978" max="9216" width="9.140625" style="131"/>
    <col min="9217" max="9217" width="19.140625" style="131" customWidth="1"/>
    <col min="9218" max="9219" width="8.5703125" style="131" customWidth="1"/>
    <col min="9220" max="9220" width="16.42578125" style="131" customWidth="1"/>
    <col min="9221" max="9221" width="15" style="131" customWidth="1"/>
    <col min="9222" max="9222" width="9.140625" style="131"/>
    <col min="9223" max="9223" width="13.85546875" style="131" customWidth="1"/>
    <col min="9224" max="9224" width="0" style="131" hidden="1" customWidth="1"/>
    <col min="9225" max="9225" width="2.5703125" style="131" customWidth="1"/>
    <col min="9226" max="9226" width="13.7109375" style="131" customWidth="1"/>
    <col min="9227" max="9227" width="11.42578125" style="131" customWidth="1"/>
    <col min="9228" max="9230" width="12" style="131" customWidth="1"/>
    <col min="9231" max="9231" width="12.28515625" style="131" customWidth="1"/>
    <col min="9232" max="9232" width="2.5703125" style="131" customWidth="1"/>
    <col min="9233" max="9233" width="22" style="131" customWidth="1"/>
    <col min="9234" max="9472" width="9.140625" style="131"/>
    <col min="9473" max="9473" width="19.140625" style="131" customWidth="1"/>
    <col min="9474" max="9475" width="8.5703125" style="131" customWidth="1"/>
    <col min="9476" max="9476" width="16.42578125" style="131" customWidth="1"/>
    <col min="9477" max="9477" width="15" style="131" customWidth="1"/>
    <col min="9478" max="9478" width="9.140625" style="131"/>
    <col min="9479" max="9479" width="13.85546875" style="131" customWidth="1"/>
    <col min="9480" max="9480" width="0" style="131" hidden="1" customWidth="1"/>
    <col min="9481" max="9481" width="2.5703125" style="131" customWidth="1"/>
    <col min="9482" max="9482" width="13.7109375" style="131" customWidth="1"/>
    <col min="9483" max="9483" width="11.42578125" style="131" customWidth="1"/>
    <col min="9484" max="9486" width="12" style="131" customWidth="1"/>
    <col min="9487" max="9487" width="12.28515625" style="131" customWidth="1"/>
    <col min="9488" max="9488" width="2.5703125" style="131" customWidth="1"/>
    <col min="9489" max="9489" width="22" style="131" customWidth="1"/>
    <col min="9490" max="9728" width="9.140625" style="131"/>
    <col min="9729" max="9729" width="19.140625" style="131" customWidth="1"/>
    <col min="9730" max="9731" width="8.5703125" style="131" customWidth="1"/>
    <col min="9732" max="9732" width="16.42578125" style="131" customWidth="1"/>
    <col min="9733" max="9733" width="15" style="131" customWidth="1"/>
    <col min="9734" max="9734" width="9.140625" style="131"/>
    <col min="9735" max="9735" width="13.85546875" style="131" customWidth="1"/>
    <col min="9736" max="9736" width="0" style="131" hidden="1" customWidth="1"/>
    <col min="9737" max="9737" width="2.5703125" style="131" customWidth="1"/>
    <col min="9738" max="9738" width="13.7109375" style="131" customWidth="1"/>
    <col min="9739" max="9739" width="11.42578125" style="131" customWidth="1"/>
    <col min="9740" max="9742" width="12" style="131" customWidth="1"/>
    <col min="9743" max="9743" width="12.28515625" style="131" customWidth="1"/>
    <col min="9744" max="9744" width="2.5703125" style="131" customWidth="1"/>
    <col min="9745" max="9745" width="22" style="131" customWidth="1"/>
    <col min="9746" max="9984" width="9.140625" style="131"/>
    <col min="9985" max="9985" width="19.140625" style="131" customWidth="1"/>
    <col min="9986" max="9987" width="8.5703125" style="131" customWidth="1"/>
    <col min="9988" max="9988" width="16.42578125" style="131" customWidth="1"/>
    <col min="9989" max="9989" width="15" style="131" customWidth="1"/>
    <col min="9990" max="9990" width="9.140625" style="131"/>
    <col min="9991" max="9991" width="13.85546875" style="131" customWidth="1"/>
    <col min="9992" max="9992" width="0" style="131" hidden="1" customWidth="1"/>
    <col min="9993" max="9993" width="2.5703125" style="131" customWidth="1"/>
    <col min="9994" max="9994" width="13.7109375" style="131" customWidth="1"/>
    <col min="9995" max="9995" width="11.42578125" style="131" customWidth="1"/>
    <col min="9996" max="9998" width="12" style="131" customWidth="1"/>
    <col min="9999" max="9999" width="12.28515625" style="131" customWidth="1"/>
    <col min="10000" max="10000" width="2.5703125" style="131" customWidth="1"/>
    <col min="10001" max="10001" width="22" style="131" customWidth="1"/>
    <col min="10002" max="10240" width="9.140625" style="131"/>
    <col min="10241" max="10241" width="19.140625" style="131" customWidth="1"/>
    <col min="10242" max="10243" width="8.5703125" style="131" customWidth="1"/>
    <col min="10244" max="10244" width="16.42578125" style="131" customWidth="1"/>
    <col min="10245" max="10245" width="15" style="131" customWidth="1"/>
    <col min="10246" max="10246" width="9.140625" style="131"/>
    <col min="10247" max="10247" width="13.85546875" style="131" customWidth="1"/>
    <col min="10248" max="10248" width="0" style="131" hidden="1" customWidth="1"/>
    <col min="10249" max="10249" width="2.5703125" style="131" customWidth="1"/>
    <col min="10250" max="10250" width="13.7109375" style="131" customWidth="1"/>
    <col min="10251" max="10251" width="11.42578125" style="131" customWidth="1"/>
    <col min="10252" max="10254" width="12" style="131" customWidth="1"/>
    <col min="10255" max="10255" width="12.28515625" style="131" customWidth="1"/>
    <col min="10256" max="10256" width="2.5703125" style="131" customWidth="1"/>
    <col min="10257" max="10257" width="22" style="131" customWidth="1"/>
    <col min="10258" max="10496" width="9.140625" style="131"/>
    <col min="10497" max="10497" width="19.140625" style="131" customWidth="1"/>
    <col min="10498" max="10499" width="8.5703125" style="131" customWidth="1"/>
    <col min="10500" max="10500" width="16.42578125" style="131" customWidth="1"/>
    <col min="10501" max="10501" width="15" style="131" customWidth="1"/>
    <col min="10502" max="10502" width="9.140625" style="131"/>
    <col min="10503" max="10503" width="13.85546875" style="131" customWidth="1"/>
    <col min="10504" max="10504" width="0" style="131" hidden="1" customWidth="1"/>
    <col min="10505" max="10505" width="2.5703125" style="131" customWidth="1"/>
    <col min="10506" max="10506" width="13.7109375" style="131" customWidth="1"/>
    <col min="10507" max="10507" width="11.42578125" style="131" customWidth="1"/>
    <col min="10508" max="10510" width="12" style="131" customWidth="1"/>
    <col min="10511" max="10511" width="12.28515625" style="131" customWidth="1"/>
    <col min="10512" max="10512" width="2.5703125" style="131" customWidth="1"/>
    <col min="10513" max="10513" width="22" style="131" customWidth="1"/>
    <col min="10514" max="10752" width="9.140625" style="131"/>
    <col min="10753" max="10753" width="19.140625" style="131" customWidth="1"/>
    <col min="10754" max="10755" width="8.5703125" style="131" customWidth="1"/>
    <col min="10756" max="10756" width="16.42578125" style="131" customWidth="1"/>
    <col min="10757" max="10757" width="15" style="131" customWidth="1"/>
    <col min="10758" max="10758" width="9.140625" style="131"/>
    <col min="10759" max="10759" width="13.85546875" style="131" customWidth="1"/>
    <col min="10760" max="10760" width="0" style="131" hidden="1" customWidth="1"/>
    <col min="10761" max="10761" width="2.5703125" style="131" customWidth="1"/>
    <col min="10762" max="10762" width="13.7109375" style="131" customWidth="1"/>
    <col min="10763" max="10763" width="11.42578125" style="131" customWidth="1"/>
    <col min="10764" max="10766" width="12" style="131" customWidth="1"/>
    <col min="10767" max="10767" width="12.28515625" style="131" customWidth="1"/>
    <col min="10768" max="10768" width="2.5703125" style="131" customWidth="1"/>
    <col min="10769" max="10769" width="22" style="131" customWidth="1"/>
    <col min="10770" max="11008" width="9.140625" style="131"/>
    <col min="11009" max="11009" width="19.140625" style="131" customWidth="1"/>
    <col min="11010" max="11011" width="8.5703125" style="131" customWidth="1"/>
    <col min="11012" max="11012" width="16.42578125" style="131" customWidth="1"/>
    <col min="11013" max="11013" width="15" style="131" customWidth="1"/>
    <col min="11014" max="11014" width="9.140625" style="131"/>
    <col min="11015" max="11015" width="13.85546875" style="131" customWidth="1"/>
    <col min="11016" max="11016" width="0" style="131" hidden="1" customWidth="1"/>
    <col min="11017" max="11017" width="2.5703125" style="131" customWidth="1"/>
    <col min="11018" max="11018" width="13.7109375" style="131" customWidth="1"/>
    <col min="11019" max="11019" width="11.42578125" style="131" customWidth="1"/>
    <col min="11020" max="11022" width="12" style="131" customWidth="1"/>
    <col min="11023" max="11023" width="12.28515625" style="131" customWidth="1"/>
    <col min="11024" max="11024" width="2.5703125" style="131" customWidth="1"/>
    <col min="11025" max="11025" width="22" style="131" customWidth="1"/>
    <col min="11026" max="11264" width="9.140625" style="131"/>
    <col min="11265" max="11265" width="19.140625" style="131" customWidth="1"/>
    <col min="11266" max="11267" width="8.5703125" style="131" customWidth="1"/>
    <col min="11268" max="11268" width="16.42578125" style="131" customWidth="1"/>
    <col min="11269" max="11269" width="15" style="131" customWidth="1"/>
    <col min="11270" max="11270" width="9.140625" style="131"/>
    <col min="11271" max="11271" width="13.85546875" style="131" customWidth="1"/>
    <col min="11272" max="11272" width="0" style="131" hidden="1" customWidth="1"/>
    <col min="11273" max="11273" width="2.5703125" style="131" customWidth="1"/>
    <col min="11274" max="11274" width="13.7109375" style="131" customWidth="1"/>
    <col min="11275" max="11275" width="11.42578125" style="131" customWidth="1"/>
    <col min="11276" max="11278" width="12" style="131" customWidth="1"/>
    <col min="11279" max="11279" width="12.28515625" style="131" customWidth="1"/>
    <col min="11280" max="11280" width="2.5703125" style="131" customWidth="1"/>
    <col min="11281" max="11281" width="22" style="131" customWidth="1"/>
    <col min="11282" max="11520" width="9.140625" style="131"/>
    <col min="11521" max="11521" width="19.140625" style="131" customWidth="1"/>
    <col min="11522" max="11523" width="8.5703125" style="131" customWidth="1"/>
    <col min="11524" max="11524" width="16.42578125" style="131" customWidth="1"/>
    <col min="11525" max="11525" width="15" style="131" customWidth="1"/>
    <col min="11526" max="11526" width="9.140625" style="131"/>
    <col min="11527" max="11527" width="13.85546875" style="131" customWidth="1"/>
    <col min="11528" max="11528" width="0" style="131" hidden="1" customWidth="1"/>
    <col min="11529" max="11529" width="2.5703125" style="131" customWidth="1"/>
    <col min="11530" max="11530" width="13.7109375" style="131" customWidth="1"/>
    <col min="11531" max="11531" width="11.42578125" style="131" customWidth="1"/>
    <col min="11532" max="11534" width="12" style="131" customWidth="1"/>
    <col min="11535" max="11535" width="12.28515625" style="131" customWidth="1"/>
    <col min="11536" max="11536" width="2.5703125" style="131" customWidth="1"/>
    <col min="11537" max="11537" width="22" style="131" customWidth="1"/>
    <col min="11538" max="11776" width="9.140625" style="131"/>
    <col min="11777" max="11777" width="19.140625" style="131" customWidth="1"/>
    <col min="11778" max="11779" width="8.5703125" style="131" customWidth="1"/>
    <col min="11780" max="11780" width="16.42578125" style="131" customWidth="1"/>
    <col min="11781" max="11781" width="15" style="131" customWidth="1"/>
    <col min="11782" max="11782" width="9.140625" style="131"/>
    <col min="11783" max="11783" width="13.85546875" style="131" customWidth="1"/>
    <col min="11784" max="11784" width="0" style="131" hidden="1" customWidth="1"/>
    <col min="11785" max="11785" width="2.5703125" style="131" customWidth="1"/>
    <col min="11786" max="11786" width="13.7109375" style="131" customWidth="1"/>
    <col min="11787" max="11787" width="11.42578125" style="131" customWidth="1"/>
    <col min="11788" max="11790" width="12" style="131" customWidth="1"/>
    <col min="11791" max="11791" width="12.28515625" style="131" customWidth="1"/>
    <col min="11792" max="11792" width="2.5703125" style="131" customWidth="1"/>
    <col min="11793" max="11793" width="22" style="131" customWidth="1"/>
    <col min="11794" max="12032" width="9.140625" style="131"/>
    <col min="12033" max="12033" width="19.140625" style="131" customWidth="1"/>
    <col min="12034" max="12035" width="8.5703125" style="131" customWidth="1"/>
    <col min="12036" max="12036" width="16.42578125" style="131" customWidth="1"/>
    <col min="12037" max="12037" width="15" style="131" customWidth="1"/>
    <col min="12038" max="12038" width="9.140625" style="131"/>
    <col min="12039" max="12039" width="13.85546875" style="131" customWidth="1"/>
    <col min="12040" max="12040" width="0" style="131" hidden="1" customWidth="1"/>
    <col min="12041" max="12041" width="2.5703125" style="131" customWidth="1"/>
    <col min="12042" max="12042" width="13.7109375" style="131" customWidth="1"/>
    <col min="12043" max="12043" width="11.42578125" style="131" customWidth="1"/>
    <col min="12044" max="12046" width="12" style="131" customWidth="1"/>
    <col min="12047" max="12047" width="12.28515625" style="131" customWidth="1"/>
    <col min="12048" max="12048" width="2.5703125" style="131" customWidth="1"/>
    <col min="12049" max="12049" width="22" style="131" customWidth="1"/>
    <col min="12050" max="12288" width="9.140625" style="131"/>
    <col min="12289" max="12289" width="19.140625" style="131" customWidth="1"/>
    <col min="12290" max="12291" width="8.5703125" style="131" customWidth="1"/>
    <col min="12292" max="12292" width="16.42578125" style="131" customWidth="1"/>
    <col min="12293" max="12293" width="15" style="131" customWidth="1"/>
    <col min="12294" max="12294" width="9.140625" style="131"/>
    <col min="12295" max="12295" width="13.85546875" style="131" customWidth="1"/>
    <col min="12296" max="12296" width="0" style="131" hidden="1" customWidth="1"/>
    <col min="12297" max="12297" width="2.5703125" style="131" customWidth="1"/>
    <col min="12298" max="12298" width="13.7109375" style="131" customWidth="1"/>
    <col min="12299" max="12299" width="11.42578125" style="131" customWidth="1"/>
    <col min="12300" max="12302" width="12" style="131" customWidth="1"/>
    <col min="12303" max="12303" width="12.28515625" style="131" customWidth="1"/>
    <col min="12304" max="12304" width="2.5703125" style="131" customWidth="1"/>
    <col min="12305" max="12305" width="22" style="131" customWidth="1"/>
    <col min="12306" max="12544" width="9.140625" style="131"/>
    <col min="12545" max="12545" width="19.140625" style="131" customWidth="1"/>
    <col min="12546" max="12547" width="8.5703125" style="131" customWidth="1"/>
    <col min="12548" max="12548" width="16.42578125" style="131" customWidth="1"/>
    <col min="12549" max="12549" width="15" style="131" customWidth="1"/>
    <col min="12550" max="12550" width="9.140625" style="131"/>
    <col min="12551" max="12551" width="13.85546875" style="131" customWidth="1"/>
    <col min="12552" max="12552" width="0" style="131" hidden="1" customWidth="1"/>
    <col min="12553" max="12553" width="2.5703125" style="131" customWidth="1"/>
    <col min="12554" max="12554" width="13.7109375" style="131" customWidth="1"/>
    <col min="12555" max="12555" width="11.42578125" style="131" customWidth="1"/>
    <col min="12556" max="12558" width="12" style="131" customWidth="1"/>
    <col min="12559" max="12559" width="12.28515625" style="131" customWidth="1"/>
    <col min="12560" max="12560" width="2.5703125" style="131" customWidth="1"/>
    <col min="12561" max="12561" width="22" style="131" customWidth="1"/>
    <col min="12562" max="12800" width="9.140625" style="131"/>
    <col min="12801" max="12801" width="19.140625" style="131" customWidth="1"/>
    <col min="12802" max="12803" width="8.5703125" style="131" customWidth="1"/>
    <col min="12804" max="12804" width="16.42578125" style="131" customWidth="1"/>
    <col min="12805" max="12805" width="15" style="131" customWidth="1"/>
    <col min="12806" max="12806" width="9.140625" style="131"/>
    <col min="12807" max="12807" width="13.85546875" style="131" customWidth="1"/>
    <col min="12808" max="12808" width="0" style="131" hidden="1" customWidth="1"/>
    <col min="12809" max="12809" width="2.5703125" style="131" customWidth="1"/>
    <col min="12810" max="12810" width="13.7109375" style="131" customWidth="1"/>
    <col min="12811" max="12811" width="11.42578125" style="131" customWidth="1"/>
    <col min="12812" max="12814" width="12" style="131" customWidth="1"/>
    <col min="12815" max="12815" width="12.28515625" style="131" customWidth="1"/>
    <col min="12816" max="12816" width="2.5703125" style="131" customWidth="1"/>
    <col min="12817" max="12817" width="22" style="131" customWidth="1"/>
    <col min="12818" max="13056" width="9.140625" style="131"/>
    <col min="13057" max="13057" width="19.140625" style="131" customWidth="1"/>
    <col min="13058" max="13059" width="8.5703125" style="131" customWidth="1"/>
    <col min="13060" max="13060" width="16.42578125" style="131" customWidth="1"/>
    <col min="13061" max="13061" width="15" style="131" customWidth="1"/>
    <col min="13062" max="13062" width="9.140625" style="131"/>
    <col min="13063" max="13063" width="13.85546875" style="131" customWidth="1"/>
    <col min="13064" max="13064" width="0" style="131" hidden="1" customWidth="1"/>
    <col min="13065" max="13065" width="2.5703125" style="131" customWidth="1"/>
    <col min="13066" max="13066" width="13.7109375" style="131" customWidth="1"/>
    <col min="13067" max="13067" width="11.42578125" style="131" customWidth="1"/>
    <col min="13068" max="13070" width="12" style="131" customWidth="1"/>
    <col min="13071" max="13071" width="12.28515625" style="131" customWidth="1"/>
    <col min="13072" max="13072" width="2.5703125" style="131" customWidth="1"/>
    <col min="13073" max="13073" width="22" style="131" customWidth="1"/>
    <col min="13074" max="13312" width="9.140625" style="131"/>
    <col min="13313" max="13313" width="19.140625" style="131" customWidth="1"/>
    <col min="13314" max="13315" width="8.5703125" style="131" customWidth="1"/>
    <col min="13316" max="13316" width="16.42578125" style="131" customWidth="1"/>
    <col min="13317" max="13317" width="15" style="131" customWidth="1"/>
    <col min="13318" max="13318" width="9.140625" style="131"/>
    <col min="13319" max="13319" width="13.85546875" style="131" customWidth="1"/>
    <col min="13320" max="13320" width="0" style="131" hidden="1" customWidth="1"/>
    <col min="13321" max="13321" width="2.5703125" style="131" customWidth="1"/>
    <col min="13322" max="13322" width="13.7109375" style="131" customWidth="1"/>
    <col min="13323" max="13323" width="11.42578125" style="131" customWidth="1"/>
    <col min="13324" max="13326" width="12" style="131" customWidth="1"/>
    <col min="13327" max="13327" width="12.28515625" style="131" customWidth="1"/>
    <col min="13328" max="13328" width="2.5703125" style="131" customWidth="1"/>
    <col min="13329" max="13329" width="22" style="131" customWidth="1"/>
    <col min="13330" max="13568" width="9.140625" style="131"/>
    <col min="13569" max="13569" width="19.140625" style="131" customWidth="1"/>
    <col min="13570" max="13571" width="8.5703125" style="131" customWidth="1"/>
    <col min="13572" max="13572" width="16.42578125" style="131" customWidth="1"/>
    <col min="13573" max="13573" width="15" style="131" customWidth="1"/>
    <col min="13574" max="13574" width="9.140625" style="131"/>
    <col min="13575" max="13575" width="13.85546875" style="131" customWidth="1"/>
    <col min="13576" max="13576" width="0" style="131" hidden="1" customWidth="1"/>
    <col min="13577" max="13577" width="2.5703125" style="131" customWidth="1"/>
    <col min="13578" max="13578" width="13.7109375" style="131" customWidth="1"/>
    <col min="13579" max="13579" width="11.42578125" style="131" customWidth="1"/>
    <col min="13580" max="13582" width="12" style="131" customWidth="1"/>
    <col min="13583" max="13583" width="12.28515625" style="131" customWidth="1"/>
    <col min="13584" max="13584" width="2.5703125" style="131" customWidth="1"/>
    <col min="13585" max="13585" width="22" style="131" customWidth="1"/>
    <col min="13586" max="13824" width="9.140625" style="131"/>
    <col min="13825" max="13825" width="19.140625" style="131" customWidth="1"/>
    <col min="13826" max="13827" width="8.5703125" style="131" customWidth="1"/>
    <col min="13828" max="13828" width="16.42578125" style="131" customWidth="1"/>
    <col min="13829" max="13829" width="15" style="131" customWidth="1"/>
    <col min="13830" max="13830" width="9.140625" style="131"/>
    <col min="13831" max="13831" width="13.85546875" style="131" customWidth="1"/>
    <col min="13832" max="13832" width="0" style="131" hidden="1" customWidth="1"/>
    <col min="13833" max="13833" width="2.5703125" style="131" customWidth="1"/>
    <col min="13834" max="13834" width="13.7109375" style="131" customWidth="1"/>
    <col min="13835" max="13835" width="11.42578125" style="131" customWidth="1"/>
    <col min="13836" max="13838" width="12" style="131" customWidth="1"/>
    <col min="13839" max="13839" width="12.28515625" style="131" customWidth="1"/>
    <col min="13840" max="13840" width="2.5703125" style="131" customWidth="1"/>
    <col min="13841" max="13841" width="22" style="131" customWidth="1"/>
    <col min="13842" max="14080" width="9.140625" style="131"/>
    <col min="14081" max="14081" width="19.140625" style="131" customWidth="1"/>
    <col min="14082" max="14083" width="8.5703125" style="131" customWidth="1"/>
    <col min="14084" max="14084" width="16.42578125" style="131" customWidth="1"/>
    <col min="14085" max="14085" width="15" style="131" customWidth="1"/>
    <col min="14086" max="14086" width="9.140625" style="131"/>
    <col min="14087" max="14087" width="13.85546875" style="131" customWidth="1"/>
    <col min="14088" max="14088" width="0" style="131" hidden="1" customWidth="1"/>
    <col min="14089" max="14089" width="2.5703125" style="131" customWidth="1"/>
    <col min="14090" max="14090" width="13.7109375" style="131" customWidth="1"/>
    <col min="14091" max="14091" width="11.42578125" style="131" customWidth="1"/>
    <col min="14092" max="14094" width="12" style="131" customWidth="1"/>
    <col min="14095" max="14095" width="12.28515625" style="131" customWidth="1"/>
    <col min="14096" max="14096" width="2.5703125" style="131" customWidth="1"/>
    <col min="14097" max="14097" width="22" style="131" customWidth="1"/>
    <col min="14098" max="14336" width="9.140625" style="131"/>
    <col min="14337" max="14337" width="19.140625" style="131" customWidth="1"/>
    <col min="14338" max="14339" width="8.5703125" style="131" customWidth="1"/>
    <col min="14340" max="14340" width="16.42578125" style="131" customWidth="1"/>
    <col min="14341" max="14341" width="15" style="131" customWidth="1"/>
    <col min="14342" max="14342" width="9.140625" style="131"/>
    <col min="14343" max="14343" width="13.85546875" style="131" customWidth="1"/>
    <col min="14344" max="14344" width="0" style="131" hidden="1" customWidth="1"/>
    <col min="14345" max="14345" width="2.5703125" style="131" customWidth="1"/>
    <col min="14346" max="14346" width="13.7109375" style="131" customWidth="1"/>
    <col min="14347" max="14347" width="11.42578125" style="131" customWidth="1"/>
    <col min="14348" max="14350" width="12" style="131" customWidth="1"/>
    <col min="14351" max="14351" width="12.28515625" style="131" customWidth="1"/>
    <col min="14352" max="14352" width="2.5703125" style="131" customWidth="1"/>
    <col min="14353" max="14353" width="22" style="131" customWidth="1"/>
    <col min="14354" max="14592" width="9.140625" style="131"/>
    <col min="14593" max="14593" width="19.140625" style="131" customWidth="1"/>
    <col min="14594" max="14595" width="8.5703125" style="131" customWidth="1"/>
    <col min="14596" max="14596" width="16.42578125" style="131" customWidth="1"/>
    <col min="14597" max="14597" width="15" style="131" customWidth="1"/>
    <col min="14598" max="14598" width="9.140625" style="131"/>
    <col min="14599" max="14599" width="13.85546875" style="131" customWidth="1"/>
    <col min="14600" max="14600" width="0" style="131" hidden="1" customWidth="1"/>
    <col min="14601" max="14601" width="2.5703125" style="131" customWidth="1"/>
    <col min="14602" max="14602" width="13.7109375" style="131" customWidth="1"/>
    <col min="14603" max="14603" width="11.42578125" style="131" customWidth="1"/>
    <col min="14604" max="14606" width="12" style="131" customWidth="1"/>
    <col min="14607" max="14607" width="12.28515625" style="131" customWidth="1"/>
    <col min="14608" max="14608" width="2.5703125" style="131" customWidth="1"/>
    <col min="14609" max="14609" width="22" style="131" customWidth="1"/>
    <col min="14610" max="14848" width="9.140625" style="131"/>
    <col min="14849" max="14849" width="19.140625" style="131" customWidth="1"/>
    <col min="14850" max="14851" width="8.5703125" style="131" customWidth="1"/>
    <col min="14852" max="14852" width="16.42578125" style="131" customWidth="1"/>
    <col min="14853" max="14853" width="15" style="131" customWidth="1"/>
    <col min="14854" max="14854" width="9.140625" style="131"/>
    <col min="14855" max="14855" width="13.85546875" style="131" customWidth="1"/>
    <col min="14856" max="14856" width="0" style="131" hidden="1" customWidth="1"/>
    <col min="14857" max="14857" width="2.5703125" style="131" customWidth="1"/>
    <col min="14858" max="14858" width="13.7109375" style="131" customWidth="1"/>
    <col min="14859" max="14859" width="11.42578125" style="131" customWidth="1"/>
    <col min="14860" max="14862" width="12" style="131" customWidth="1"/>
    <col min="14863" max="14863" width="12.28515625" style="131" customWidth="1"/>
    <col min="14864" max="14864" width="2.5703125" style="131" customWidth="1"/>
    <col min="14865" max="14865" width="22" style="131" customWidth="1"/>
    <col min="14866" max="15104" width="9.140625" style="131"/>
    <col min="15105" max="15105" width="19.140625" style="131" customWidth="1"/>
    <col min="15106" max="15107" width="8.5703125" style="131" customWidth="1"/>
    <col min="15108" max="15108" width="16.42578125" style="131" customWidth="1"/>
    <col min="15109" max="15109" width="15" style="131" customWidth="1"/>
    <col min="15110" max="15110" width="9.140625" style="131"/>
    <col min="15111" max="15111" width="13.85546875" style="131" customWidth="1"/>
    <col min="15112" max="15112" width="0" style="131" hidden="1" customWidth="1"/>
    <col min="15113" max="15113" width="2.5703125" style="131" customWidth="1"/>
    <col min="15114" max="15114" width="13.7109375" style="131" customWidth="1"/>
    <col min="15115" max="15115" width="11.42578125" style="131" customWidth="1"/>
    <col min="15116" max="15118" width="12" style="131" customWidth="1"/>
    <col min="15119" max="15119" width="12.28515625" style="131" customWidth="1"/>
    <col min="15120" max="15120" width="2.5703125" style="131" customWidth="1"/>
    <col min="15121" max="15121" width="22" style="131" customWidth="1"/>
    <col min="15122" max="15360" width="9.140625" style="131"/>
    <col min="15361" max="15361" width="19.140625" style="131" customWidth="1"/>
    <col min="15362" max="15363" width="8.5703125" style="131" customWidth="1"/>
    <col min="15364" max="15364" width="16.42578125" style="131" customWidth="1"/>
    <col min="15365" max="15365" width="15" style="131" customWidth="1"/>
    <col min="15366" max="15366" width="9.140625" style="131"/>
    <col min="15367" max="15367" width="13.85546875" style="131" customWidth="1"/>
    <col min="15368" max="15368" width="0" style="131" hidden="1" customWidth="1"/>
    <col min="15369" max="15369" width="2.5703125" style="131" customWidth="1"/>
    <col min="15370" max="15370" width="13.7109375" style="131" customWidth="1"/>
    <col min="15371" max="15371" width="11.42578125" style="131" customWidth="1"/>
    <col min="15372" max="15374" width="12" style="131" customWidth="1"/>
    <col min="15375" max="15375" width="12.28515625" style="131" customWidth="1"/>
    <col min="15376" max="15376" width="2.5703125" style="131" customWidth="1"/>
    <col min="15377" max="15377" width="22" style="131" customWidth="1"/>
    <col min="15378" max="15616" width="9.140625" style="131"/>
    <col min="15617" max="15617" width="19.140625" style="131" customWidth="1"/>
    <col min="15618" max="15619" width="8.5703125" style="131" customWidth="1"/>
    <col min="15620" max="15620" width="16.42578125" style="131" customWidth="1"/>
    <col min="15621" max="15621" width="15" style="131" customWidth="1"/>
    <col min="15622" max="15622" width="9.140625" style="131"/>
    <col min="15623" max="15623" width="13.85546875" style="131" customWidth="1"/>
    <col min="15624" max="15624" width="0" style="131" hidden="1" customWidth="1"/>
    <col min="15625" max="15625" width="2.5703125" style="131" customWidth="1"/>
    <col min="15626" max="15626" width="13.7109375" style="131" customWidth="1"/>
    <col min="15627" max="15627" width="11.42578125" style="131" customWidth="1"/>
    <col min="15628" max="15630" width="12" style="131" customWidth="1"/>
    <col min="15631" max="15631" width="12.28515625" style="131" customWidth="1"/>
    <col min="15632" max="15632" width="2.5703125" style="131" customWidth="1"/>
    <col min="15633" max="15633" width="22" style="131" customWidth="1"/>
    <col min="15634" max="15872" width="9.140625" style="131"/>
    <col min="15873" max="15873" width="19.140625" style="131" customWidth="1"/>
    <col min="15874" max="15875" width="8.5703125" style="131" customWidth="1"/>
    <col min="15876" max="15876" width="16.42578125" style="131" customWidth="1"/>
    <col min="15877" max="15877" width="15" style="131" customWidth="1"/>
    <col min="15878" max="15878" width="9.140625" style="131"/>
    <col min="15879" max="15879" width="13.85546875" style="131" customWidth="1"/>
    <col min="15880" max="15880" width="0" style="131" hidden="1" customWidth="1"/>
    <col min="15881" max="15881" width="2.5703125" style="131" customWidth="1"/>
    <col min="15882" max="15882" width="13.7109375" style="131" customWidth="1"/>
    <col min="15883" max="15883" width="11.42578125" style="131" customWidth="1"/>
    <col min="15884" max="15886" width="12" style="131" customWidth="1"/>
    <col min="15887" max="15887" width="12.28515625" style="131" customWidth="1"/>
    <col min="15888" max="15888" width="2.5703125" style="131" customWidth="1"/>
    <col min="15889" max="15889" width="22" style="131" customWidth="1"/>
    <col min="15890" max="16128" width="9.140625" style="131"/>
    <col min="16129" max="16129" width="19.140625" style="131" customWidth="1"/>
    <col min="16130" max="16131" width="8.5703125" style="131" customWidth="1"/>
    <col min="16132" max="16132" width="16.42578125" style="131" customWidth="1"/>
    <col min="16133" max="16133" width="15" style="131" customWidth="1"/>
    <col min="16134" max="16134" width="9.140625" style="131"/>
    <col min="16135" max="16135" width="13.85546875" style="131" customWidth="1"/>
    <col min="16136" max="16136" width="0" style="131" hidden="1" customWidth="1"/>
    <col min="16137" max="16137" width="2.5703125" style="131" customWidth="1"/>
    <col min="16138" max="16138" width="13.7109375" style="131" customWidth="1"/>
    <col min="16139" max="16139" width="11.42578125" style="131" customWidth="1"/>
    <col min="16140" max="16142" width="12" style="131" customWidth="1"/>
    <col min="16143" max="16143" width="12.28515625" style="131" customWidth="1"/>
    <col min="16144" max="16144" width="2.5703125" style="131" customWidth="1"/>
    <col min="16145" max="16145" width="22" style="131" customWidth="1"/>
    <col min="16146" max="16384" width="9.140625" style="131"/>
  </cols>
  <sheetData>
    <row r="1" spans="1:36" s="123" customFormat="1" ht="22.5" customHeight="1">
      <c r="A1" s="43" t="s">
        <v>220</v>
      </c>
      <c r="B1" s="44"/>
      <c r="C1" s="44"/>
      <c r="D1" s="44"/>
      <c r="E1" s="44"/>
      <c r="G1" s="124"/>
      <c r="J1" s="125" t="s">
        <v>221</v>
      </c>
      <c r="K1" s="126"/>
      <c r="L1" s="126"/>
      <c r="M1" s="126"/>
      <c r="N1" s="126"/>
      <c r="O1" s="126"/>
      <c r="P1" s="126"/>
      <c r="Q1" s="126"/>
    </row>
    <row r="2" spans="1:36" s="128" customFormat="1" ht="15" customHeight="1">
      <c r="A2" s="127" t="s">
        <v>222</v>
      </c>
      <c r="B2" s="127"/>
      <c r="J2" s="129" t="s">
        <v>222</v>
      </c>
      <c r="K2" s="130"/>
      <c r="L2" s="130"/>
      <c r="M2" s="130"/>
      <c r="N2" s="130"/>
      <c r="O2" s="130"/>
      <c r="P2" s="130"/>
      <c r="Q2" s="130"/>
    </row>
    <row r="3" spans="1:36" ht="11.25" customHeight="1" thickBot="1">
      <c r="A3" s="2661" t="s">
        <v>140</v>
      </c>
      <c r="B3" s="2661"/>
      <c r="C3" s="2661"/>
      <c r="D3" s="2661"/>
      <c r="E3" s="2661"/>
      <c r="F3" s="2661"/>
      <c r="G3" s="2661"/>
      <c r="H3" s="2661"/>
      <c r="J3" s="2661" t="s">
        <v>140</v>
      </c>
      <c r="K3" s="2661"/>
      <c r="L3" s="2661"/>
      <c r="M3" s="2661"/>
      <c r="N3" s="2661"/>
      <c r="O3" s="2661"/>
      <c r="P3" s="2661"/>
      <c r="Q3" s="2661"/>
    </row>
    <row r="4" spans="1:36" s="136" customFormat="1" ht="11.45" customHeight="1" thickTop="1">
      <c r="A4" s="132"/>
      <c r="B4" s="133" t="s">
        <v>223</v>
      </c>
      <c r="C4" s="133" t="s">
        <v>223</v>
      </c>
      <c r="D4" s="134" t="s">
        <v>224</v>
      </c>
      <c r="E4" s="134" t="s">
        <v>225</v>
      </c>
      <c r="F4" s="133" t="s">
        <v>226</v>
      </c>
      <c r="G4" s="133" t="s">
        <v>227</v>
      </c>
      <c r="H4" s="133"/>
      <c r="I4" s="133"/>
      <c r="J4" s="133" t="s">
        <v>228</v>
      </c>
      <c r="K4" s="133" t="s">
        <v>229</v>
      </c>
      <c r="L4" s="133" t="s">
        <v>19</v>
      </c>
      <c r="M4" s="133" t="s">
        <v>1</v>
      </c>
      <c r="N4" s="133" t="s">
        <v>230</v>
      </c>
      <c r="O4" s="133" t="s">
        <v>148</v>
      </c>
      <c r="P4" s="133"/>
      <c r="Q4" s="135"/>
    </row>
    <row r="5" spans="1:36" s="136" customFormat="1" ht="11.45" customHeight="1">
      <c r="A5" s="132"/>
      <c r="B5" s="133" t="s">
        <v>231</v>
      </c>
      <c r="C5" s="133"/>
      <c r="D5" s="134" t="s">
        <v>232</v>
      </c>
      <c r="E5" s="134" t="s">
        <v>233</v>
      </c>
      <c r="F5" s="133" t="s">
        <v>234</v>
      </c>
      <c r="G5" s="133"/>
      <c r="H5" s="133"/>
      <c r="I5" s="133"/>
      <c r="J5" s="133" t="s">
        <v>235</v>
      </c>
      <c r="K5" s="133" t="s">
        <v>236</v>
      </c>
      <c r="L5" s="133"/>
      <c r="M5" s="133" t="s">
        <v>237</v>
      </c>
      <c r="N5" s="133" t="s">
        <v>238</v>
      </c>
      <c r="O5" s="133" t="s">
        <v>239</v>
      </c>
      <c r="P5" s="133"/>
      <c r="Q5" s="135"/>
    </row>
    <row r="6" spans="1:36" s="136" customFormat="1" ht="11.45" customHeight="1" thickBot="1">
      <c r="A6" s="137"/>
      <c r="B6" s="138"/>
      <c r="C6" s="138"/>
      <c r="D6" s="139" t="s">
        <v>240</v>
      </c>
      <c r="E6" s="139" t="s">
        <v>241</v>
      </c>
      <c r="F6" s="138"/>
      <c r="G6" s="138"/>
      <c r="H6" s="140"/>
      <c r="I6" s="133"/>
      <c r="J6" s="138" t="s">
        <v>242</v>
      </c>
      <c r="K6" s="138" t="s">
        <v>243</v>
      </c>
      <c r="L6" s="138"/>
      <c r="M6" s="141" t="s">
        <v>244</v>
      </c>
      <c r="N6" s="142"/>
      <c r="O6" s="138"/>
      <c r="P6" s="138"/>
      <c r="Q6" s="143"/>
    </row>
    <row r="7" spans="1:36" s="136" customFormat="1" ht="11.25" customHeight="1" thickTop="1">
      <c r="A7" s="135" t="s">
        <v>72</v>
      </c>
      <c r="B7" s="144"/>
      <c r="C7" s="144"/>
      <c r="D7" s="144"/>
      <c r="E7" s="144"/>
      <c r="F7" s="144"/>
      <c r="G7" s="145"/>
      <c r="H7" s="144"/>
      <c r="I7" s="144"/>
      <c r="J7" s="145"/>
      <c r="K7" s="144"/>
      <c r="L7" s="144"/>
      <c r="M7" s="144"/>
      <c r="N7" s="144"/>
      <c r="O7" s="144"/>
      <c r="Q7" s="135" t="s">
        <v>72</v>
      </c>
    </row>
    <row r="8" spans="1:36" ht="10.5" customHeight="1">
      <c r="A8" s="47" t="s">
        <v>245</v>
      </c>
      <c r="B8" s="146">
        <v>101.1875650619121</v>
      </c>
      <c r="C8" s="146">
        <v>331.99579631221934</v>
      </c>
      <c r="D8" s="147">
        <v>270.33103810778744</v>
      </c>
      <c r="E8" s="148">
        <v>494.62931041583352</v>
      </c>
      <c r="F8" s="146">
        <v>212.51681751040667</v>
      </c>
      <c r="G8" s="148">
        <v>1547.4640371807147</v>
      </c>
      <c r="H8" s="149"/>
      <c r="I8" s="149"/>
      <c r="J8" s="148">
        <v>956.13709664840496</v>
      </c>
      <c r="K8" s="148">
        <v>46.921341460000001</v>
      </c>
      <c r="L8" s="148">
        <v>437.52315907136716</v>
      </c>
      <c r="M8" s="148">
        <v>453.47067667950006</v>
      </c>
      <c r="N8" s="148">
        <v>395.52126899999996</v>
      </c>
      <c r="O8" s="150">
        <v>5247.6981074481455</v>
      </c>
      <c r="P8" s="151"/>
      <c r="Q8" s="152" t="s">
        <v>245</v>
      </c>
      <c r="R8" s="153"/>
      <c r="S8" s="154"/>
      <c r="T8" s="154"/>
      <c r="U8" s="154"/>
      <c r="V8" s="154"/>
      <c r="W8" s="154"/>
      <c r="X8" s="154"/>
      <c r="Y8" s="154"/>
      <c r="Z8" s="154"/>
      <c r="AA8" s="154"/>
      <c r="AB8" s="154"/>
      <c r="AC8" s="154"/>
      <c r="AD8" s="154"/>
      <c r="AE8" s="154"/>
      <c r="AF8" s="154"/>
      <c r="AG8" s="154"/>
      <c r="AH8" s="154"/>
      <c r="AI8" s="154"/>
      <c r="AJ8" s="154"/>
    </row>
    <row r="9" spans="1:36" ht="10.5" customHeight="1">
      <c r="A9" s="47" t="s">
        <v>246</v>
      </c>
      <c r="B9" s="148">
        <v>0</v>
      </c>
      <c r="C9" s="148">
        <v>0</v>
      </c>
      <c r="D9" s="148">
        <v>0</v>
      </c>
      <c r="E9" s="149">
        <v>0</v>
      </c>
      <c r="F9" s="148">
        <v>0</v>
      </c>
      <c r="G9" s="148">
        <v>0</v>
      </c>
      <c r="H9" s="149"/>
      <c r="I9" s="149"/>
      <c r="J9" s="148">
        <v>0</v>
      </c>
      <c r="K9" s="148">
        <v>0</v>
      </c>
      <c r="L9" s="148">
        <v>0</v>
      </c>
      <c r="M9" s="148">
        <v>0</v>
      </c>
      <c r="N9" s="148">
        <v>0</v>
      </c>
      <c r="O9" s="148">
        <v>0</v>
      </c>
      <c r="P9" s="155"/>
      <c r="Q9" s="152" t="s">
        <v>246</v>
      </c>
      <c r="S9" s="154"/>
      <c r="T9" s="154"/>
      <c r="U9" s="154"/>
      <c r="V9" s="154"/>
      <c r="W9" s="154"/>
      <c r="X9" s="154"/>
      <c r="Y9" s="154"/>
      <c r="Z9" s="154"/>
      <c r="AA9" s="154"/>
      <c r="AB9" s="154"/>
      <c r="AC9" s="154"/>
      <c r="AD9" s="154"/>
      <c r="AE9" s="154"/>
      <c r="AF9" s="154"/>
      <c r="AG9" s="154"/>
      <c r="AH9" s="154"/>
      <c r="AI9" s="154"/>
      <c r="AJ9" s="154"/>
    </row>
    <row r="10" spans="1:36" ht="10.5" customHeight="1">
      <c r="A10" s="47" t="s">
        <v>4</v>
      </c>
      <c r="B10" s="148">
        <v>0</v>
      </c>
      <c r="C10" s="148">
        <v>0</v>
      </c>
      <c r="D10" s="148">
        <v>0</v>
      </c>
      <c r="E10" s="147">
        <v>378.1990757892263</v>
      </c>
      <c r="F10" s="148">
        <v>0</v>
      </c>
      <c r="G10" s="148">
        <v>0</v>
      </c>
      <c r="H10" s="149"/>
      <c r="I10" s="149"/>
      <c r="J10" s="148">
        <v>0</v>
      </c>
      <c r="K10" s="148">
        <v>0</v>
      </c>
      <c r="L10" s="148">
        <v>0</v>
      </c>
      <c r="M10" s="148">
        <v>0</v>
      </c>
      <c r="N10" s="148">
        <v>0</v>
      </c>
      <c r="O10" s="148">
        <v>378.1990757892263</v>
      </c>
      <c r="P10" s="155"/>
      <c r="Q10" s="152" t="s">
        <v>4</v>
      </c>
      <c r="S10" s="154"/>
      <c r="T10" s="154"/>
      <c r="U10" s="154"/>
      <c r="V10" s="154"/>
      <c r="W10" s="154"/>
      <c r="X10" s="154"/>
      <c r="Y10" s="154"/>
      <c r="Z10" s="154"/>
      <c r="AA10" s="154"/>
      <c r="AB10" s="154"/>
      <c r="AC10" s="154"/>
      <c r="AD10" s="154"/>
      <c r="AE10" s="154"/>
      <c r="AF10" s="154"/>
      <c r="AG10" s="154"/>
      <c r="AH10" s="154"/>
      <c r="AI10" s="154"/>
      <c r="AJ10" s="154"/>
    </row>
    <row r="11" spans="1:36" ht="10.5" customHeight="1">
      <c r="A11" s="47" t="s">
        <v>151</v>
      </c>
      <c r="B11" s="148">
        <v>0</v>
      </c>
      <c r="C11" s="148">
        <v>0</v>
      </c>
      <c r="D11" s="148">
        <v>0</v>
      </c>
      <c r="E11" s="148">
        <v>0</v>
      </c>
      <c r="F11" s="148">
        <v>0</v>
      </c>
      <c r="G11" s="148">
        <v>0</v>
      </c>
      <c r="H11" s="149"/>
      <c r="I11" s="149"/>
      <c r="J11" s="148">
        <v>0</v>
      </c>
      <c r="K11" s="148">
        <v>0</v>
      </c>
      <c r="L11" s="148">
        <v>0</v>
      </c>
      <c r="M11" s="148">
        <v>0</v>
      </c>
      <c r="N11" s="148">
        <v>-33.830762525597777</v>
      </c>
      <c r="O11" s="148">
        <v>-33.830762525597777</v>
      </c>
      <c r="P11" s="155"/>
      <c r="Q11" s="152" t="s">
        <v>151</v>
      </c>
      <c r="S11" s="154"/>
      <c r="T11" s="154"/>
      <c r="U11" s="154"/>
      <c r="V11" s="154"/>
      <c r="W11" s="154"/>
      <c r="X11" s="154"/>
      <c r="Y11" s="154"/>
      <c r="Z11" s="154"/>
      <c r="AA11" s="154"/>
      <c r="AB11" s="154"/>
      <c r="AC11" s="154"/>
      <c r="AD11" s="154"/>
      <c r="AE11" s="154"/>
      <c r="AF11" s="154"/>
      <c r="AG11" s="154"/>
      <c r="AH11" s="154"/>
      <c r="AI11" s="154"/>
      <c r="AJ11" s="154"/>
    </row>
    <row r="12" spans="1:36" ht="10.5" customHeight="1">
      <c r="A12" s="47" t="s">
        <v>152</v>
      </c>
      <c r="B12" s="148">
        <v>0</v>
      </c>
      <c r="C12" s="148">
        <v>0</v>
      </c>
      <c r="D12" s="148">
        <v>0</v>
      </c>
      <c r="E12" s="148">
        <v>0</v>
      </c>
      <c r="F12" s="148">
        <v>0</v>
      </c>
      <c r="G12" s="148">
        <v>0</v>
      </c>
      <c r="H12" s="149"/>
      <c r="I12" s="149"/>
      <c r="J12" s="148">
        <v>0</v>
      </c>
      <c r="K12" s="148">
        <v>0</v>
      </c>
      <c r="L12" s="148">
        <v>0</v>
      </c>
      <c r="M12" s="148">
        <v>0</v>
      </c>
      <c r="N12" s="148">
        <v>0</v>
      </c>
      <c r="O12" s="148">
        <v>0</v>
      </c>
      <c r="P12" s="155"/>
      <c r="Q12" s="152" t="s">
        <v>152</v>
      </c>
      <c r="S12" s="154"/>
      <c r="T12" s="154"/>
      <c r="U12" s="154"/>
      <c r="V12" s="154"/>
      <c r="W12" s="154"/>
      <c r="X12" s="154"/>
      <c r="Y12" s="154"/>
      <c r="Z12" s="154"/>
      <c r="AA12" s="154"/>
      <c r="AB12" s="154"/>
      <c r="AC12" s="154"/>
      <c r="AD12" s="154"/>
      <c r="AE12" s="154"/>
      <c r="AF12" s="154"/>
      <c r="AG12" s="154"/>
      <c r="AH12" s="154"/>
      <c r="AI12" s="154"/>
      <c r="AJ12" s="154"/>
    </row>
    <row r="13" spans="1:36" ht="10.5" customHeight="1">
      <c r="A13" s="47" t="s">
        <v>247</v>
      </c>
      <c r="B13" s="148">
        <v>0</v>
      </c>
      <c r="C13" s="148">
        <v>0</v>
      </c>
      <c r="D13" s="148">
        <v>0</v>
      </c>
      <c r="E13" s="148">
        <v>0</v>
      </c>
      <c r="F13" s="148">
        <v>0</v>
      </c>
      <c r="G13" s="148">
        <v>0</v>
      </c>
      <c r="H13" s="149"/>
      <c r="I13" s="149"/>
      <c r="J13" s="148">
        <v>0</v>
      </c>
      <c r="K13" s="148">
        <v>0</v>
      </c>
      <c r="L13" s="148">
        <v>0</v>
      </c>
      <c r="M13" s="148">
        <v>0</v>
      </c>
      <c r="N13" s="148">
        <v>0</v>
      </c>
      <c r="O13" s="148">
        <v>0</v>
      </c>
      <c r="P13" s="155"/>
      <c r="Q13" s="152" t="s">
        <v>248</v>
      </c>
      <c r="S13" s="154"/>
      <c r="T13" s="154"/>
      <c r="U13" s="154"/>
      <c r="V13" s="154"/>
      <c r="W13" s="154"/>
      <c r="X13" s="154"/>
      <c r="Y13" s="154"/>
      <c r="Z13" s="154"/>
      <c r="AA13" s="154"/>
      <c r="AB13" s="154"/>
      <c r="AC13" s="154"/>
      <c r="AD13" s="154"/>
      <c r="AE13" s="154"/>
      <c r="AF13" s="154"/>
      <c r="AG13" s="154"/>
      <c r="AH13" s="154"/>
      <c r="AI13" s="154"/>
      <c r="AJ13" s="154"/>
    </row>
    <row r="14" spans="1:36" ht="10.5" customHeight="1">
      <c r="A14" s="47" t="s">
        <v>157</v>
      </c>
      <c r="B14" s="148">
        <v>0</v>
      </c>
      <c r="C14" s="148">
        <v>0</v>
      </c>
      <c r="D14" s="148">
        <v>0</v>
      </c>
      <c r="E14" s="148">
        <v>0</v>
      </c>
      <c r="F14" s="148">
        <v>0</v>
      </c>
      <c r="G14" s="148">
        <v>0</v>
      </c>
      <c r="H14" s="149"/>
      <c r="I14" s="149"/>
      <c r="J14" s="148">
        <v>0</v>
      </c>
      <c r="K14" s="148">
        <v>0</v>
      </c>
      <c r="L14" s="148">
        <v>0</v>
      </c>
      <c r="M14" s="148">
        <v>0</v>
      </c>
      <c r="N14" s="148">
        <v>0</v>
      </c>
      <c r="O14" s="156">
        <v>0</v>
      </c>
      <c r="P14" s="155"/>
      <c r="Q14" s="152" t="s">
        <v>157</v>
      </c>
      <c r="S14" s="154"/>
      <c r="T14" s="154"/>
      <c r="U14" s="154"/>
      <c r="V14" s="154"/>
      <c r="W14" s="154"/>
      <c r="X14" s="154"/>
      <c r="Y14" s="154"/>
      <c r="Z14" s="154"/>
      <c r="AA14" s="154"/>
      <c r="AB14" s="154"/>
      <c r="AC14" s="154"/>
      <c r="AD14" s="154"/>
      <c r="AE14" s="154"/>
      <c r="AF14" s="154"/>
      <c r="AG14" s="154"/>
      <c r="AH14" s="154"/>
      <c r="AI14" s="154"/>
      <c r="AJ14" s="154"/>
    </row>
    <row r="15" spans="1:36" s="136" customFormat="1" ht="11.1" customHeight="1">
      <c r="A15" s="64" t="s">
        <v>249</v>
      </c>
      <c r="B15" s="157">
        <v>101.1875650619121</v>
      </c>
      <c r="C15" s="157">
        <v>331.99579631221934</v>
      </c>
      <c r="D15" s="158">
        <v>270.33103810778744</v>
      </c>
      <c r="E15" s="158">
        <v>872.82838620505981</v>
      </c>
      <c r="F15" s="157">
        <v>212.51681751040667</v>
      </c>
      <c r="G15" s="158">
        <v>1547.4640371807147</v>
      </c>
      <c r="H15" s="159">
        <v>0</v>
      </c>
      <c r="I15" s="160"/>
      <c r="J15" s="158">
        <v>956.13709664840496</v>
      </c>
      <c r="K15" s="158">
        <v>46.921341460000001</v>
      </c>
      <c r="L15" s="158">
        <v>437.52315907136716</v>
      </c>
      <c r="M15" s="158">
        <v>453.47067667950006</v>
      </c>
      <c r="N15" s="158">
        <v>361.69050647440218</v>
      </c>
      <c r="O15" s="161">
        <v>5592.0664207117743</v>
      </c>
      <c r="P15" s="162"/>
      <c r="Q15" s="163" t="s">
        <v>249</v>
      </c>
      <c r="R15" s="153"/>
      <c r="S15" s="154"/>
      <c r="T15" s="154"/>
      <c r="U15" s="154"/>
      <c r="V15" s="154"/>
      <c r="W15" s="154"/>
      <c r="X15" s="154"/>
      <c r="Y15" s="154"/>
      <c r="Z15" s="154"/>
      <c r="AA15" s="154"/>
      <c r="AB15" s="154"/>
      <c r="AC15" s="154"/>
      <c r="AD15" s="154"/>
      <c r="AE15" s="154"/>
      <c r="AF15" s="154"/>
      <c r="AG15" s="154"/>
      <c r="AH15" s="154"/>
      <c r="AI15" s="154"/>
      <c r="AJ15" s="154"/>
    </row>
    <row r="16" spans="1:36" s="136" customFormat="1" ht="11.1" customHeight="1">
      <c r="A16" s="64" t="s">
        <v>250</v>
      </c>
      <c r="B16" s="164">
        <v>0</v>
      </c>
      <c r="C16" s="164">
        <v>0</v>
      </c>
      <c r="D16" s="164">
        <v>0</v>
      </c>
      <c r="E16" s="164">
        <v>0</v>
      </c>
      <c r="F16" s="164">
        <v>0</v>
      </c>
      <c r="G16" s="164">
        <v>0</v>
      </c>
      <c r="H16" s="165"/>
      <c r="I16" s="166"/>
      <c r="J16" s="167">
        <v>0</v>
      </c>
      <c r="K16" s="167">
        <v>0</v>
      </c>
      <c r="L16" s="167">
        <v>0</v>
      </c>
      <c r="M16" s="167">
        <v>0</v>
      </c>
      <c r="N16" s="167">
        <v>0</v>
      </c>
      <c r="O16" s="167">
        <v>0</v>
      </c>
      <c r="P16" s="168"/>
      <c r="Q16" s="169" t="s">
        <v>251</v>
      </c>
      <c r="S16" s="154"/>
      <c r="T16" s="154"/>
      <c r="U16" s="154"/>
      <c r="V16" s="154"/>
      <c r="W16" s="154"/>
      <c r="X16" s="154"/>
      <c r="Y16" s="154"/>
      <c r="Z16" s="154"/>
      <c r="AA16" s="154"/>
      <c r="AB16" s="154"/>
      <c r="AC16" s="154"/>
      <c r="AD16" s="154"/>
      <c r="AE16" s="154"/>
      <c r="AF16" s="154"/>
      <c r="AG16" s="154"/>
      <c r="AH16" s="154"/>
      <c r="AI16" s="154"/>
      <c r="AJ16" s="154"/>
    </row>
    <row r="17" spans="1:36" s="136" customFormat="1" ht="11.1" customHeight="1">
      <c r="A17" s="64" t="s">
        <v>252</v>
      </c>
      <c r="B17" s="157">
        <v>101.1875650619121</v>
      </c>
      <c r="C17" s="157">
        <v>331.99579631221934</v>
      </c>
      <c r="D17" s="158">
        <v>270.33103810778744</v>
      </c>
      <c r="E17" s="158">
        <v>872.82838620505981</v>
      </c>
      <c r="F17" s="157">
        <v>212.51681751040667</v>
      </c>
      <c r="G17" s="158">
        <v>1547.4640371807147</v>
      </c>
      <c r="H17" s="159">
        <v>0</v>
      </c>
      <c r="I17" s="160"/>
      <c r="J17" s="158">
        <v>956.13709664840496</v>
      </c>
      <c r="K17" s="158">
        <v>46.921341460000001</v>
      </c>
      <c r="L17" s="158">
        <v>437.52315907136716</v>
      </c>
      <c r="M17" s="158">
        <v>453.47067667950006</v>
      </c>
      <c r="N17" s="158">
        <v>361.69050647440218</v>
      </c>
      <c r="O17" s="157">
        <v>5592.0664207117743</v>
      </c>
      <c r="P17" s="162"/>
      <c r="Q17" s="163" t="s">
        <v>252</v>
      </c>
      <c r="R17" s="153"/>
      <c r="S17" s="154"/>
      <c r="T17" s="154"/>
      <c r="U17" s="154"/>
      <c r="V17" s="154"/>
      <c r="W17" s="154"/>
      <c r="X17" s="154"/>
      <c r="Y17" s="154"/>
      <c r="Z17" s="154"/>
      <c r="AA17" s="154"/>
      <c r="AB17" s="154"/>
      <c r="AC17" s="154"/>
      <c r="AD17" s="154"/>
      <c r="AE17" s="154"/>
      <c r="AF17" s="154"/>
      <c r="AG17" s="154"/>
      <c r="AH17" s="154"/>
      <c r="AI17" s="154"/>
      <c r="AJ17" s="154"/>
    </row>
    <row r="18" spans="1:36" ht="10.5" customHeight="1">
      <c r="A18" s="57" t="s">
        <v>158</v>
      </c>
      <c r="B18" s="170">
        <v>0</v>
      </c>
      <c r="C18" s="170">
        <v>0</v>
      </c>
      <c r="D18" s="170">
        <v>222.50523840438652</v>
      </c>
      <c r="E18" s="171">
        <v>775.50021285667435</v>
      </c>
      <c r="F18" s="171">
        <v>162.54388324040667</v>
      </c>
      <c r="G18" s="170">
        <v>1533.8836011807148</v>
      </c>
      <c r="H18" s="172">
        <v>0</v>
      </c>
      <c r="I18" s="172"/>
      <c r="J18" s="170">
        <v>785.09110660437466</v>
      </c>
      <c r="K18" s="170">
        <v>1.2037900000000001</v>
      </c>
      <c r="L18" s="170">
        <v>437.52315907136716</v>
      </c>
      <c r="M18" s="170">
        <v>453.47067667950006</v>
      </c>
      <c r="N18" s="170">
        <v>0</v>
      </c>
      <c r="O18" s="171">
        <v>4371.721668037424</v>
      </c>
      <c r="P18" s="173"/>
      <c r="Q18" s="174" t="s">
        <v>158</v>
      </c>
      <c r="R18" s="153"/>
      <c r="S18" s="154"/>
      <c r="T18" s="154"/>
      <c r="U18" s="154"/>
      <c r="V18" s="154"/>
      <c r="W18" s="154"/>
      <c r="X18" s="154"/>
      <c r="Y18" s="154"/>
      <c r="Z18" s="154"/>
      <c r="AA18" s="154"/>
      <c r="AB18" s="154"/>
      <c r="AC18" s="154"/>
      <c r="AD18" s="154"/>
      <c r="AE18" s="154"/>
      <c r="AF18" s="154"/>
      <c r="AG18" s="154"/>
      <c r="AH18" s="154"/>
      <c r="AI18" s="154"/>
      <c r="AJ18" s="154"/>
    </row>
    <row r="19" spans="1:36" ht="10.5" customHeight="1">
      <c r="A19" s="47" t="s">
        <v>159</v>
      </c>
      <c r="B19" s="148">
        <v>0</v>
      </c>
      <c r="C19" s="148">
        <v>0</v>
      </c>
      <c r="D19" s="148">
        <v>222.50523840438652</v>
      </c>
      <c r="E19" s="146">
        <v>775.50021285667435</v>
      </c>
      <c r="F19" s="146">
        <v>162.54388324040667</v>
      </c>
      <c r="G19" s="148">
        <v>1533.8836011807148</v>
      </c>
      <c r="H19" s="149">
        <v>0</v>
      </c>
      <c r="I19" s="149"/>
      <c r="J19" s="148">
        <v>785.09110660437466</v>
      </c>
      <c r="K19" s="148">
        <v>1.2037900000000001</v>
      </c>
      <c r="L19" s="148">
        <v>437.52315907136716</v>
      </c>
      <c r="M19" s="148">
        <v>453.47067667950006</v>
      </c>
      <c r="N19" s="148">
        <v>0</v>
      </c>
      <c r="O19" s="146">
        <v>4371.721668037424</v>
      </c>
      <c r="P19" s="151"/>
      <c r="Q19" s="152" t="s">
        <v>159</v>
      </c>
      <c r="R19" s="153"/>
      <c r="S19" s="154"/>
      <c r="T19" s="154"/>
      <c r="U19" s="154"/>
      <c r="V19" s="154"/>
      <c r="W19" s="154"/>
      <c r="X19" s="154"/>
      <c r="Y19" s="154"/>
      <c r="Z19" s="154"/>
      <c r="AA19" s="154"/>
      <c r="AB19" s="154"/>
      <c r="AC19" s="154"/>
      <c r="AD19" s="154"/>
      <c r="AE19" s="154"/>
      <c r="AF19" s="154"/>
      <c r="AG19" s="154"/>
      <c r="AH19" s="154"/>
      <c r="AI19" s="154"/>
      <c r="AJ19" s="154"/>
    </row>
    <row r="20" spans="1:36" ht="10.5" customHeight="1">
      <c r="A20" s="47" t="s">
        <v>253</v>
      </c>
      <c r="B20" s="148">
        <v>0</v>
      </c>
      <c r="C20" s="148">
        <v>0</v>
      </c>
      <c r="D20" s="146">
        <v>145.72270815404957</v>
      </c>
      <c r="E20" s="146">
        <v>421.77473043586184</v>
      </c>
      <c r="F20" s="148">
        <v>0</v>
      </c>
      <c r="G20" s="148">
        <v>0</v>
      </c>
      <c r="H20" s="149"/>
      <c r="I20" s="149"/>
      <c r="J20" s="148">
        <v>57.716952365595006</v>
      </c>
      <c r="K20" s="148">
        <v>0</v>
      </c>
      <c r="L20" s="148">
        <v>356.28366380051591</v>
      </c>
      <c r="M20" s="146">
        <v>306.86472785898536</v>
      </c>
      <c r="N20" s="148">
        <v>0</v>
      </c>
      <c r="O20" s="146">
        <v>1288.3627826150077</v>
      </c>
      <c r="P20" s="155"/>
      <c r="Q20" s="152" t="s">
        <v>253</v>
      </c>
      <c r="R20" s="153"/>
      <c r="S20" s="154"/>
      <c r="T20" s="154"/>
      <c r="U20" s="154"/>
      <c r="V20" s="154"/>
      <c r="W20" s="154"/>
      <c r="X20" s="154"/>
      <c r="Y20" s="154"/>
      <c r="Z20" s="154"/>
      <c r="AA20" s="154"/>
      <c r="AB20" s="154"/>
      <c r="AC20" s="154"/>
      <c r="AD20" s="154"/>
      <c r="AE20" s="154"/>
      <c r="AF20" s="154"/>
      <c r="AG20" s="154"/>
      <c r="AH20" s="154"/>
      <c r="AI20" s="154"/>
      <c r="AJ20" s="154"/>
    </row>
    <row r="21" spans="1:36" ht="10.5" customHeight="1">
      <c r="A21" s="47" t="s">
        <v>254</v>
      </c>
      <c r="B21" s="148">
        <v>0</v>
      </c>
      <c r="C21" s="148">
        <v>0</v>
      </c>
      <c r="D21" s="146">
        <v>76.782530250336947</v>
      </c>
      <c r="E21" s="146">
        <v>353.72548242081251</v>
      </c>
      <c r="F21" s="146">
        <v>162.54388324040667</v>
      </c>
      <c r="G21" s="148">
        <v>1533.8836011807148</v>
      </c>
      <c r="H21" s="149"/>
      <c r="I21" s="149"/>
      <c r="J21" s="148">
        <v>727.37415423877962</v>
      </c>
      <c r="K21" s="148">
        <v>1.2037900000000001</v>
      </c>
      <c r="L21" s="147">
        <v>81.239495270851251</v>
      </c>
      <c r="M21" s="146">
        <v>146.6059488205147</v>
      </c>
      <c r="N21" s="148">
        <v>0</v>
      </c>
      <c r="O21" s="146">
        <v>3083.3588854224167</v>
      </c>
      <c r="P21" s="151"/>
      <c r="Q21" s="152" t="s">
        <v>254</v>
      </c>
      <c r="R21" s="153"/>
      <c r="S21" s="154"/>
      <c r="T21" s="154"/>
      <c r="U21" s="154"/>
      <c r="V21" s="154"/>
      <c r="W21" s="154"/>
      <c r="X21" s="154"/>
      <c r="Y21" s="154"/>
      <c r="Z21" s="154"/>
      <c r="AA21" s="154"/>
      <c r="AB21" s="154"/>
      <c r="AC21" s="154"/>
      <c r="AD21" s="154"/>
      <c r="AE21" s="154"/>
      <c r="AF21" s="154"/>
      <c r="AG21" s="154"/>
      <c r="AH21" s="154"/>
      <c r="AI21" s="154"/>
      <c r="AJ21" s="154"/>
    </row>
    <row r="22" spans="1:36" ht="10.5" customHeight="1">
      <c r="A22" s="47" t="s">
        <v>161</v>
      </c>
      <c r="B22" s="148">
        <v>0</v>
      </c>
      <c r="C22" s="148">
        <v>0</v>
      </c>
      <c r="D22" s="148">
        <v>0</v>
      </c>
      <c r="E22" s="148">
        <v>0</v>
      </c>
      <c r="F22" s="148">
        <v>0</v>
      </c>
      <c r="G22" s="148">
        <v>0</v>
      </c>
      <c r="H22" s="149"/>
      <c r="I22" s="149"/>
      <c r="J22" s="148">
        <v>0</v>
      </c>
      <c r="K22" s="148">
        <v>0</v>
      </c>
      <c r="L22" s="148">
        <v>0</v>
      </c>
      <c r="M22" s="148">
        <v>0</v>
      </c>
      <c r="N22" s="148">
        <v>0</v>
      </c>
      <c r="O22" s="148">
        <v>0</v>
      </c>
      <c r="P22" s="151"/>
      <c r="Q22" s="152" t="s">
        <v>161</v>
      </c>
      <c r="R22" s="153"/>
      <c r="S22" s="154"/>
      <c r="T22" s="154"/>
      <c r="U22" s="154"/>
      <c r="V22" s="154"/>
      <c r="W22" s="154"/>
      <c r="X22" s="154"/>
      <c r="Y22" s="154"/>
      <c r="Z22" s="154"/>
      <c r="AA22" s="154"/>
      <c r="AB22" s="154"/>
      <c r="AC22" s="154"/>
      <c r="AD22" s="154"/>
      <c r="AE22" s="154"/>
      <c r="AF22" s="154"/>
      <c r="AG22" s="154"/>
      <c r="AH22" s="154"/>
      <c r="AI22" s="154"/>
      <c r="AJ22" s="154"/>
    </row>
    <row r="23" spans="1:36" ht="10.5" customHeight="1">
      <c r="A23" s="47" t="s">
        <v>162</v>
      </c>
      <c r="B23" s="148">
        <v>0</v>
      </c>
      <c r="C23" s="148">
        <v>0</v>
      </c>
      <c r="D23" s="148">
        <v>0</v>
      </c>
      <c r="E23" s="148">
        <v>0</v>
      </c>
      <c r="F23" s="148">
        <v>0</v>
      </c>
      <c r="G23" s="148">
        <v>0</v>
      </c>
      <c r="H23" s="149"/>
      <c r="I23" s="149"/>
      <c r="J23" s="148">
        <v>0</v>
      </c>
      <c r="K23" s="148">
        <v>0</v>
      </c>
      <c r="L23" s="148">
        <v>0</v>
      </c>
      <c r="M23" s="148">
        <v>0</v>
      </c>
      <c r="N23" s="148">
        <v>0</v>
      </c>
      <c r="O23" s="148">
        <v>0</v>
      </c>
      <c r="P23" s="155"/>
      <c r="Q23" s="152" t="s">
        <v>162</v>
      </c>
      <c r="S23" s="154"/>
      <c r="T23" s="154"/>
      <c r="U23" s="154"/>
      <c r="V23" s="154"/>
      <c r="W23" s="154"/>
      <c r="X23" s="154"/>
      <c r="Y23" s="154"/>
      <c r="Z23" s="154"/>
      <c r="AA23" s="154"/>
      <c r="AB23" s="154"/>
      <c r="AC23" s="154"/>
      <c r="AD23" s="154"/>
      <c r="AE23" s="154"/>
      <c r="AF23" s="154"/>
      <c r="AG23" s="154"/>
      <c r="AH23" s="154"/>
      <c r="AI23" s="154"/>
      <c r="AJ23" s="154"/>
    </row>
    <row r="24" spans="1:36" ht="10.5" customHeight="1">
      <c r="A24" s="47" t="s">
        <v>163</v>
      </c>
      <c r="B24" s="148">
        <v>0</v>
      </c>
      <c r="C24" s="148">
        <v>0</v>
      </c>
      <c r="D24" s="148">
        <v>0</v>
      </c>
      <c r="E24" s="148">
        <v>0</v>
      </c>
      <c r="F24" s="148">
        <v>0</v>
      </c>
      <c r="G24" s="148">
        <v>0</v>
      </c>
      <c r="H24" s="149"/>
      <c r="I24" s="149"/>
      <c r="J24" s="148">
        <v>0</v>
      </c>
      <c r="K24" s="148">
        <v>0</v>
      </c>
      <c r="L24" s="148">
        <v>0</v>
      </c>
      <c r="M24" s="148">
        <v>0</v>
      </c>
      <c r="N24" s="148">
        <v>0</v>
      </c>
      <c r="O24" s="148">
        <v>0</v>
      </c>
      <c r="P24" s="155"/>
      <c r="Q24" s="152" t="s">
        <v>163</v>
      </c>
      <c r="S24" s="154"/>
      <c r="T24" s="154"/>
      <c r="U24" s="154"/>
      <c r="V24" s="154"/>
      <c r="W24" s="154"/>
      <c r="X24" s="154"/>
      <c r="Y24" s="154"/>
      <c r="Z24" s="154"/>
      <c r="AA24" s="154"/>
      <c r="AB24" s="154"/>
      <c r="AC24" s="154"/>
      <c r="AD24" s="154"/>
      <c r="AE24" s="154"/>
      <c r="AF24" s="154"/>
      <c r="AG24" s="154"/>
      <c r="AH24" s="154"/>
      <c r="AI24" s="154"/>
      <c r="AJ24" s="154"/>
    </row>
    <row r="25" spans="1:36" ht="10.5" customHeight="1">
      <c r="A25" s="47" t="s">
        <v>126</v>
      </c>
      <c r="B25" s="148">
        <v>0</v>
      </c>
      <c r="C25" s="148">
        <v>0</v>
      </c>
      <c r="D25" s="148">
        <v>0</v>
      </c>
      <c r="E25" s="148">
        <v>0</v>
      </c>
      <c r="F25" s="148">
        <v>0</v>
      </c>
      <c r="G25" s="148">
        <v>0</v>
      </c>
      <c r="H25" s="149"/>
      <c r="I25" s="149"/>
      <c r="J25" s="148">
        <v>0</v>
      </c>
      <c r="K25" s="148">
        <v>0</v>
      </c>
      <c r="L25" s="148">
        <v>0</v>
      </c>
      <c r="M25" s="148">
        <v>0</v>
      </c>
      <c r="N25" s="148">
        <v>0</v>
      </c>
      <c r="O25" s="148">
        <v>0</v>
      </c>
      <c r="P25" s="155"/>
      <c r="Q25" s="152" t="s">
        <v>126</v>
      </c>
      <c r="S25" s="154"/>
      <c r="T25" s="154"/>
      <c r="U25" s="154"/>
      <c r="V25" s="154"/>
      <c r="W25" s="154"/>
      <c r="X25" s="154"/>
      <c r="Y25" s="154"/>
      <c r="Z25" s="154"/>
      <c r="AA25" s="154"/>
      <c r="AB25" s="154"/>
      <c r="AC25" s="154"/>
      <c r="AD25" s="154"/>
      <c r="AE25" s="154"/>
      <c r="AF25" s="154"/>
      <c r="AG25" s="154"/>
      <c r="AH25" s="154"/>
      <c r="AI25" s="154"/>
      <c r="AJ25" s="154"/>
    </row>
    <row r="26" spans="1:36" ht="10.5" customHeight="1">
      <c r="A26" s="47" t="s">
        <v>164</v>
      </c>
      <c r="B26" s="148">
        <v>0</v>
      </c>
      <c r="C26" s="148">
        <v>0</v>
      </c>
      <c r="D26" s="148">
        <v>0</v>
      </c>
      <c r="E26" s="148">
        <v>0</v>
      </c>
      <c r="F26" s="148">
        <v>0</v>
      </c>
      <c r="G26" s="148">
        <v>0</v>
      </c>
      <c r="H26" s="149"/>
      <c r="I26" s="149"/>
      <c r="J26" s="148">
        <v>0</v>
      </c>
      <c r="K26" s="148">
        <v>0</v>
      </c>
      <c r="L26" s="148">
        <v>0</v>
      </c>
      <c r="M26" s="148">
        <v>0</v>
      </c>
      <c r="N26" s="148">
        <v>0</v>
      </c>
      <c r="O26" s="148">
        <v>0</v>
      </c>
      <c r="P26" s="155"/>
      <c r="Q26" s="152" t="s">
        <v>164</v>
      </c>
      <c r="S26" s="154"/>
      <c r="T26" s="154"/>
      <c r="U26" s="154"/>
      <c r="V26" s="154"/>
      <c r="W26" s="154"/>
      <c r="X26" s="154"/>
      <c r="Y26" s="154"/>
      <c r="Z26" s="154"/>
      <c r="AA26" s="154"/>
      <c r="AB26" s="154"/>
      <c r="AC26" s="154"/>
      <c r="AD26" s="154"/>
      <c r="AE26" s="154"/>
      <c r="AF26" s="154"/>
      <c r="AG26" s="154"/>
      <c r="AH26" s="154"/>
      <c r="AI26" s="154"/>
      <c r="AJ26" s="154"/>
    </row>
    <row r="27" spans="1:36" ht="10.5" customHeight="1">
      <c r="A27" s="47" t="s">
        <v>123</v>
      </c>
      <c r="B27" s="148">
        <v>0</v>
      </c>
      <c r="C27" s="148">
        <v>0</v>
      </c>
      <c r="D27" s="148">
        <v>0</v>
      </c>
      <c r="E27" s="148">
        <v>0</v>
      </c>
      <c r="F27" s="148">
        <v>0</v>
      </c>
      <c r="G27" s="148">
        <v>0</v>
      </c>
      <c r="H27" s="149"/>
      <c r="I27" s="149"/>
      <c r="J27" s="156">
        <v>0</v>
      </c>
      <c r="K27" s="156">
        <v>0</v>
      </c>
      <c r="L27" s="156">
        <v>0</v>
      </c>
      <c r="M27" s="156">
        <v>0</v>
      </c>
      <c r="N27" s="156">
        <v>0</v>
      </c>
      <c r="O27" s="156">
        <v>0</v>
      </c>
      <c r="P27" s="175"/>
      <c r="Q27" s="176" t="s">
        <v>123</v>
      </c>
      <c r="S27" s="154"/>
      <c r="T27" s="154"/>
      <c r="U27" s="154"/>
      <c r="V27" s="154"/>
      <c r="W27" s="154"/>
      <c r="X27" s="154"/>
      <c r="Y27" s="154"/>
      <c r="Z27" s="154"/>
      <c r="AA27" s="154"/>
      <c r="AB27" s="154"/>
      <c r="AC27" s="154"/>
      <c r="AD27" s="154"/>
      <c r="AE27" s="154"/>
      <c r="AF27" s="154"/>
      <c r="AG27" s="154"/>
      <c r="AH27" s="154"/>
      <c r="AI27" s="154"/>
      <c r="AJ27" s="154"/>
    </row>
    <row r="28" spans="1:36" s="136" customFormat="1" ht="11.25" customHeight="1">
      <c r="A28" s="177" t="s">
        <v>165</v>
      </c>
      <c r="B28" s="178">
        <v>0</v>
      </c>
      <c r="C28" s="178">
        <v>0</v>
      </c>
      <c r="D28" s="178">
        <v>0</v>
      </c>
      <c r="E28" s="178">
        <v>0</v>
      </c>
      <c r="F28" s="178">
        <v>0</v>
      </c>
      <c r="G28" s="178">
        <v>0</v>
      </c>
      <c r="H28" s="179"/>
      <c r="I28" s="166"/>
      <c r="J28" s="180">
        <v>0</v>
      </c>
      <c r="K28" s="180">
        <v>0</v>
      </c>
      <c r="L28" s="180">
        <v>0</v>
      </c>
      <c r="M28" s="180">
        <v>0</v>
      </c>
      <c r="N28" s="180">
        <v>0</v>
      </c>
      <c r="O28" s="148">
        <v>0</v>
      </c>
      <c r="P28" s="181"/>
      <c r="Q28" s="182" t="s">
        <v>165</v>
      </c>
      <c r="S28" s="154"/>
      <c r="T28" s="154"/>
      <c r="U28" s="154"/>
      <c r="V28" s="154"/>
      <c r="W28" s="154"/>
      <c r="X28" s="154"/>
      <c r="Y28" s="154"/>
      <c r="Z28" s="154"/>
      <c r="AA28" s="154"/>
      <c r="AB28" s="154"/>
      <c r="AC28" s="154"/>
      <c r="AD28" s="154"/>
      <c r="AE28" s="154"/>
      <c r="AF28" s="154"/>
      <c r="AG28" s="154"/>
      <c r="AH28" s="154"/>
      <c r="AI28" s="154"/>
      <c r="AJ28" s="154"/>
    </row>
    <row r="29" spans="1:36" ht="10.5" customHeight="1">
      <c r="A29" s="47" t="s">
        <v>159</v>
      </c>
      <c r="B29" s="148">
        <v>0</v>
      </c>
      <c r="C29" s="148">
        <v>0</v>
      </c>
      <c r="D29" s="148">
        <v>0</v>
      </c>
      <c r="E29" s="148">
        <v>0</v>
      </c>
      <c r="F29" s="148">
        <v>0</v>
      </c>
      <c r="G29" s="148">
        <v>0</v>
      </c>
      <c r="H29" s="149"/>
      <c r="I29" s="149"/>
      <c r="J29" s="148">
        <v>0</v>
      </c>
      <c r="K29" s="148">
        <v>0</v>
      </c>
      <c r="L29" s="148">
        <v>0</v>
      </c>
      <c r="M29" s="148">
        <v>0</v>
      </c>
      <c r="N29" s="148">
        <v>0</v>
      </c>
      <c r="O29" s="148">
        <v>0</v>
      </c>
      <c r="P29" s="183"/>
      <c r="Q29" s="152" t="s">
        <v>159</v>
      </c>
      <c r="S29" s="154"/>
      <c r="T29" s="154"/>
      <c r="U29" s="154"/>
      <c r="V29" s="154"/>
      <c r="W29" s="154"/>
      <c r="X29" s="154"/>
      <c r="Y29" s="154"/>
      <c r="Z29" s="154"/>
      <c r="AA29" s="154"/>
      <c r="AB29" s="154"/>
      <c r="AC29" s="154"/>
      <c r="AD29" s="154"/>
      <c r="AE29" s="154"/>
      <c r="AF29" s="154"/>
      <c r="AG29" s="154"/>
      <c r="AH29" s="154"/>
      <c r="AI29" s="154"/>
      <c r="AJ29" s="154"/>
    </row>
    <row r="30" spans="1:36" ht="10.5" customHeight="1">
      <c r="A30" s="47" t="s">
        <v>166</v>
      </c>
      <c r="B30" s="148">
        <v>0</v>
      </c>
      <c r="C30" s="148">
        <v>0</v>
      </c>
      <c r="D30" s="148">
        <v>0</v>
      </c>
      <c r="E30" s="148">
        <v>0</v>
      </c>
      <c r="F30" s="148">
        <v>0</v>
      </c>
      <c r="G30" s="148">
        <v>0</v>
      </c>
      <c r="H30" s="149"/>
      <c r="I30" s="149"/>
      <c r="J30" s="148">
        <v>0</v>
      </c>
      <c r="K30" s="148">
        <v>0</v>
      </c>
      <c r="L30" s="148">
        <v>0</v>
      </c>
      <c r="M30" s="148">
        <v>0</v>
      </c>
      <c r="N30" s="148">
        <v>0</v>
      </c>
      <c r="O30" s="148">
        <v>0</v>
      </c>
      <c r="P30" s="183"/>
      <c r="Q30" s="152" t="s">
        <v>166</v>
      </c>
      <c r="S30" s="154"/>
      <c r="T30" s="154"/>
      <c r="U30" s="154"/>
      <c r="V30" s="154"/>
      <c r="W30" s="154"/>
      <c r="X30" s="154"/>
      <c r="Y30" s="154"/>
      <c r="Z30" s="154"/>
      <c r="AA30" s="154"/>
      <c r="AB30" s="154"/>
      <c r="AC30" s="154"/>
      <c r="AD30" s="154"/>
      <c r="AE30" s="154"/>
      <c r="AF30" s="154"/>
      <c r="AG30" s="154"/>
      <c r="AH30" s="154"/>
      <c r="AI30" s="154"/>
      <c r="AJ30" s="154"/>
    </row>
    <row r="31" spans="1:36" ht="10.5" customHeight="1">
      <c r="A31" s="47" t="s">
        <v>162</v>
      </c>
      <c r="B31" s="148">
        <v>0</v>
      </c>
      <c r="C31" s="148">
        <v>0</v>
      </c>
      <c r="D31" s="148">
        <v>0</v>
      </c>
      <c r="E31" s="148">
        <v>0</v>
      </c>
      <c r="F31" s="148">
        <v>0</v>
      </c>
      <c r="G31" s="148">
        <v>0</v>
      </c>
      <c r="H31" s="149"/>
      <c r="I31" s="149"/>
      <c r="J31" s="148">
        <v>0</v>
      </c>
      <c r="K31" s="148">
        <v>0</v>
      </c>
      <c r="L31" s="148">
        <v>0</v>
      </c>
      <c r="M31" s="148">
        <v>0</v>
      </c>
      <c r="N31" s="148">
        <v>0</v>
      </c>
      <c r="O31" s="148">
        <v>0</v>
      </c>
      <c r="P31" s="183"/>
      <c r="Q31" s="152" t="s">
        <v>162</v>
      </c>
      <c r="S31" s="154"/>
      <c r="T31" s="154"/>
      <c r="U31" s="154"/>
      <c r="V31" s="154"/>
      <c r="W31" s="154"/>
      <c r="X31" s="154"/>
      <c r="Y31" s="154"/>
      <c r="Z31" s="154"/>
      <c r="AA31" s="154"/>
      <c r="AB31" s="154"/>
      <c r="AC31" s="154"/>
      <c r="AD31" s="154"/>
      <c r="AE31" s="154"/>
      <c r="AF31" s="154"/>
      <c r="AG31" s="154"/>
      <c r="AH31" s="154"/>
      <c r="AI31" s="154"/>
      <c r="AJ31" s="154"/>
    </row>
    <row r="32" spans="1:36" ht="10.5" customHeight="1">
      <c r="A32" s="47" t="s">
        <v>167</v>
      </c>
      <c r="B32" s="148">
        <v>0</v>
      </c>
      <c r="C32" s="148">
        <v>0</v>
      </c>
      <c r="D32" s="148">
        <v>0</v>
      </c>
      <c r="E32" s="148">
        <v>0</v>
      </c>
      <c r="F32" s="148">
        <v>0</v>
      </c>
      <c r="G32" s="148">
        <v>0</v>
      </c>
      <c r="H32" s="149"/>
      <c r="I32" s="149"/>
      <c r="J32" s="148">
        <v>0</v>
      </c>
      <c r="K32" s="148">
        <v>0</v>
      </c>
      <c r="L32" s="148">
        <v>0</v>
      </c>
      <c r="M32" s="148">
        <v>0</v>
      </c>
      <c r="N32" s="148">
        <v>0</v>
      </c>
      <c r="O32" s="148">
        <v>0</v>
      </c>
      <c r="P32" s="183"/>
      <c r="Q32" s="152" t="s">
        <v>167</v>
      </c>
      <c r="S32" s="154"/>
      <c r="T32" s="154"/>
      <c r="U32" s="154"/>
      <c r="V32" s="154"/>
      <c r="W32" s="154"/>
      <c r="X32" s="154"/>
      <c r="Y32" s="154"/>
      <c r="Z32" s="154"/>
      <c r="AA32" s="154"/>
      <c r="AB32" s="154"/>
      <c r="AC32" s="154"/>
      <c r="AD32" s="154"/>
      <c r="AE32" s="154"/>
      <c r="AF32" s="154"/>
      <c r="AG32" s="154"/>
      <c r="AH32" s="154"/>
      <c r="AI32" s="154"/>
      <c r="AJ32" s="154"/>
    </row>
    <row r="33" spans="1:36" ht="10.5" customHeight="1">
      <c r="A33" s="47" t="s">
        <v>163</v>
      </c>
      <c r="B33" s="148">
        <v>0</v>
      </c>
      <c r="C33" s="148">
        <v>0</v>
      </c>
      <c r="D33" s="148">
        <v>0</v>
      </c>
      <c r="E33" s="148">
        <v>0</v>
      </c>
      <c r="F33" s="148">
        <v>0</v>
      </c>
      <c r="G33" s="148">
        <v>0</v>
      </c>
      <c r="H33" s="149"/>
      <c r="I33" s="149"/>
      <c r="J33" s="148">
        <v>0</v>
      </c>
      <c r="K33" s="148">
        <v>0</v>
      </c>
      <c r="L33" s="148">
        <v>0</v>
      </c>
      <c r="M33" s="148">
        <v>0</v>
      </c>
      <c r="N33" s="148">
        <v>0</v>
      </c>
      <c r="O33" s="148">
        <v>0</v>
      </c>
      <c r="P33" s="183"/>
      <c r="Q33" s="152" t="s">
        <v>163</v>
      </c>
      <c r="S33" s="154"/>
      <c r="T33" s="154"/>
      <c r="U33" s="154"/>
      <c r="V33" s="154"/>
      <c r="W33" s="154"/>
      <c r="X33" s="154"/>
      <c r="Y33" s="154"/>
      <c r="Z33" s="154"/>
      <c r="AA33" s="154"/>
      <c r="AB33" s="154"/>
      <c r="AC33" s="154"/>
      <c r="AD33" s="154"/>
      <c r="AE33" s="154"/>
      <c r="AF33" s="154"/>
      <c r="AG33" s="154"/>
      <c r="AH33" s="154"/>
      <c r="AI33" s="154"/>
      <c r="AJ33" s="154"/>
    </row>
    <row r="34" spans="1:36" ht="10.5" customHeight="1">
      <c r="A34" s="47" t="s">
        <v>126</v>
      </c>
      <c r="B34" s="148">
        <v>0</v>
      </c>
      <c r="C34" s="148">
        <v>0</v>
      </c>
      <c r="D34" s="148">
        <v>0</v>
      </c>
      <c r="E34" s="148">
        <v>0</v>
      </c>
      <c r="F34" s="148">
        <v>0</v>
      </c>
      <c r="G34" s="148">
        <v>0</v>
      </c>
      <c r="H34" s="149"/>
      <c r="I34" s="149"/>
      <c r="J34" s="148">
        <v>0</v>
      </c>
      <c r="K34" s="148">
        <v>0</v>
      </c>
      <c r="L34" s="148">
        <v>0</v>
      </c>
      <c r="M34" s="148">
        <v>0</v>
      </c>
      <c r="N34" s="148">
        <v>0</v>
      </c>
      <c r="O34" s="148">
        <v>0</v>
      </c>
      <c r="P34" s="183"/>
      <c r="Q34" s="152" t="s">
        <v>126</v>
      </c>
      <c r="S34" s="154"/>
      <c r="T34" s="154"/>
      <c r="U34" s="154"/>
      <c r="V34" s="154"/>
      <c r="W34" s="154"/>
      <c r="X34" s="154"/>
      <c r="Y34" s="154"/>
      <c r="Z34" s="154"/>
      <c r="AA34" s="154"/>
      <c r="AB34" s="154"/>
      <c r="AC34" s="154"/>
      <c r="AD34" s="154"/>
      <c r="AE34" s="154"/>
      <c r="AF34" s="154"/>
      <c r="AG34" s="154"/>
      <c r="AH34" s="154"/>
      <c r="AI34" s="154"/>
      <c r="AJ34" s="154"/>
    </row>
    <row r="35" spans="1:36" ht="10.5" customHeight="1">
      <c r="A35" s="47" t="s">
        <v>164</v>
      </c>
      <c r="B35" s="148">
        <v>0</v>
      </c>
      <c r="C35" s="148">
        <v>0</v>
      </c>
      <c r="D35" s="148">
        <v>0</v>
      </c>
      <c r="E35" s="148">
        <v>0</v>
      </c>
      <c r="F35" s="148">
        <v>0</v>
      </c>
      <c r="G35" s="148">
        <v>0</v>
      </c>
      <c r="H35" s="149"/>
      <c r="I35" s="149"/>
      <c r="J35" s="148">
        <v>0</v>
      </c>
      <c r="K35" s="148">
        <v>0</v>
      </c>
      <c r="L35" s="148">
        <v>0</v>
      </c>
      <c r="M35" s="148">
        <v>0</v>
      </c>
      <c r="N35" s="148">
        <v>0</v>
      </c>
      <c r="O35" s="148">
        <v>0</v>
      </c>
      <c r="P35" s="183"/>
      <c r="Q35" s="152" t="s">
        <v>164</v>
      </c>
      <c r="S35" s="154"/>
      <c r="T35" s="154"/>
      <c r="U35" s="154"/>
      <c r="V35" s="154"/>
      <c r="W35" s="154"/>
      <c r="X35" s="154"/>
      <c r="Y35" s="154"/>
      <c r="Z35" s="154"/>
      <c r="AA35" s="154"/>
      <c r="AB35" s="154"/>
      <c r="AC35" s="154"/>
      <c r="AD35" s="154"/>
      <c r="AE35" s="154"/>
      <c r="AF35" s="154"/>
      <c r="AG35" s="154"/>
      <c r="AH35" s="154"/>
      <c r="AI35" s="154"/>
      <c r="AJ35" s="154"/>
    </row>
    <row r="36" spans="1:36" ht="10.5" customHeight="1">
      <c r="A36" s="47" t="s">
        <v>168</v>
      </c>
      <c r="B36" s="148">
        <v>0</v>
      </c>
      <c r="C36" s="148">
        <v>0</v>
      </c>
      <c r="D36" s="148">
        <v>0</v>
      </c>
      <c r="E36" s="148">
        <v>0</v>
      </c>
      <c r="F36" s="148">
        <v>0</v>
      </c>
      <c r="G36" s="148">
        <v>0</v>
      </c>
      <c r="H36" s="149"/>
      <c r="I36" s="149"/>
      <c r="J36" s="148">
        <v>0</v>
      </c>
      <c r="K36" s="148">
        <v>0</v>
      </c>
      <c r="L36" s="148">
        <v>0</v>
      </c>
      <c r="M36" s="148">
        <v>0</v>
      </c>
      <c r="N36" s="148">
        <v>0</v>
      </c>
      <c r="O36" s="148">
        <v>0</v>
      </c>
      <c r="P36" s="183"/>
      <c r="Q36" s="152" t="s">
        <v>168</v>
      </c>
      <c r="S36" s="154"/>
      <c r="T36" s="154"/>
      <c r="U36" s="154"/>
      <c r="V36" s="154"/>
      <c r="W36" s="154"/>
      <c r="X36" s="154"/>
      <c r="Y36" s="154"/>
      <c r="Z36" s="154"/>
      <c r="AA36" s="154"/>
      <c r="AB36" s="154"/>
      <c r="AC36" s="154"/>
      <c r="AD36" s="154"/>
      <c r="AE36" s="154"/>
      <c r="AF36" s="154"/>
      <c r="AG36" s="154"/>
      <c r="AH36" s="154"/>
      <c r="AI36" s="154"/>
      <c r="AJ36" s="154"/>
    </row>
    <row r="37" spans="1:36" ht="10.5" customHeight="1">
      <c r="A37" s="47" t="s">
        <v>123</v>
      </c>
      <c r="B37" s="148">
        <v>0</v>
      </c>
      <c r="C37" s="148">
        <v>0</v>
      </c>
      <c r="D37" s="148">
        <v>0</v>
      </c>
      <c r="E37" s="148">
        <v>0</v>
      </c>
      <c r="F37" s="148">
        <v>0</v>
      </c>
      <c r="G37" s="148">
        <v>0</v>
      </c>
      <c r="H37" s="149"/>
      <c r="I37" s="149"/>
      <c r="J37" s="148">
        <v>0</v>
      </c>
      <c r="K37" s="148">
        <v>0</v>
      </c>
      <c r="L37" s="148">
        <v>0</v>
      </c>
      <c r="M37" s="148">
        <v>0</v>
      </c>
      <c r="N37" s="148">
        <v>0</v>
      </c>
      <c r="O37" s="148">
        <v>0</v>
      </c>
      <c r="P37" s="183"/>
      <c r="Q37" s="152" t="s">
        <v>123</v>
      </c>
      <c r="S37" s="154"/>
      <c r="T37" s="154"/>
      <c r="U37" s="154"/>
      <c r="V37" s="154"/>
      <c r="W37" s="154"/>
      <c r="X37" s="154"/>
      <c r="Y37" s="154"/>
      <c r="Z37" s="154"/>
      <c r="AA37" s="154"/>
      <c r="AB37" s="154"/>
      <c r="AC37" s="154"/>
      <c r="AD37" s="154"/>
      <c r="AE37" s="154"/>
      <c r="AF37" s="154"/>
      <c r="AG37" s="154"/>
      <c r="AH37" s="154"/>
      <c r="AI37" s="154"/>
      <c r="AJ37" s="154"/>
    </row>
    <row r="38" spans="1:36" ht="10.5" customHeight="1">
      <c r="A38" s="57" t="s">
        <v>58</v>
      </c>
      <c r="B38" s="170">
        <v>0</v>
      </c>
      <c r="C38" s="170">
        <v>0</v>
      </c>
      <c r="D38" s="172">
        <v>0</v>
      </c>
      <c r="E38" s="172">
        <v>0</v>
      </c>
      <c r="F38" s="170">
        <v>0</v>
      </c>
      <c r="G38" s="170">
        <v>0</v>
      </c>
      <c r="H38" s="172"/>
      <c r="I38" s="149"/>
      <c r="J38" s="148">
        <v>0</v>
      </c>
      <c r="K38" s="148">
        <v>0</v>
      </c>
      <c r="L38" s="148">
        <v>0</v>
      </c>
      <c r="M38" s="148">
        <v>0</v>
      </c>
      <c r="N38" s="148">
        <v>0</v>
      </c>
      <c r="O38" s="156">
        <v>0</v>
      </c>
      <c r="P38" s="183"/>
      <c r="Q38" s="174" t="s">
        <v>58</v>
      </c>
      <c r="S38" s="154"/>
      <c r="T38" s="154"/>
      <c r="U38" s="154"/>
      <c r="V38" s="154"/>
      <c r="W38" s="154"/>
      <c r="X38" s="154"/>
      <c r="Y38" s="154"/>
      <c r="Z38" s="154"/>
      <c r="AA38" s="154"/>
      <c r="AB38" s="154"/>
      <c r="AC38" s="154"/>
      <c r="AD38" s="154"/>
      <c r="AE38" s="154"/>
      <c r="AF38" s="154"/>
      <c r="AG38" s="154"/>
      <c r="AH38" s="154"/>
      <c r="AI38" s="154"/>
      <c r="AJ38" s="154"/>
    </row>
    <row r="39" spans="1:36" s="136" customFormat="1" ht="11.25" customHeight="1">
      <c r="A39" s="64" t="s">
        <v>169</v>
      </c>
      <c r="B39" s="157">
        <v>101.1875650619121</v>
      </c>
      <c r="C39" s="157">
        <v>331.99579631221934</v>
      </c>
      <c r="D39" s="158">
        <v>47.825799703400925</v>
      </c>
      <c r="E39" s="158">
        <v>97.328173348385405</v>
      </c>
      <c r="F39" s="157">
        <v>49.972934270000003</v>
      </c>
      <c r="G39" s="158">
        <v>13.580435999999999</v>
      </c>
      <c r="H39" s="159">
        <v>0</v>
      </c>
      <c r="I39" s="160"/>
      <c r="J39" s="158">
        <v>171.04599004403033</v>
      </c>
      <c r="K39" s="158">
        <v>45.717551460000003</v>
      </c>
      <c r="L39" s="158">
        <v>0</v>
      </c>
      <c r="M39" s="158">
        <v>0</v>
      </c>
      <c r="N39" s="158">
        <v>361.69050647440218</v>
      </c>
      <c r="O39" s="184">
        <v>1220.3447526743503</v>
      </c>
      <c r="P39" s="159"/>
      <c r="Q39" s="163" t="s">
        <v>169</v>
      </c>
      <c r="R39" s="153"/>
      <c r="S39" s="154"/>
      <c r="T39" s="154"/>
      <c r="U39" s="154"/>
      <c r="V39" s="154"/>
      <c r="W39" s="154"/>
      <c r="X39" s="154"/>
      <c r="Y39" s="154"/>
      <c r="Z39" s="154"/>
      <c r="AA39" s="154"/>
      <c r="AB39" s="154"/>
      <c r="AC39" s="154"/>
      <c r="AD39" s="154"/>
      <c r="AE39" s="154"/>
      <c r="AF39" s="154"/>
      <c r="AG39" s="154"/>
      <c r="AH39" s="154"/>
      <c r="AI39" s="154"/>
      <c r="AJ39" s="154"/>
    </row>
    <row r="40" spans="1:36" ht="11.25" customHeight="1">
      <c r="A40" s="57" t="s">
        <v>43</v>
      </c>
      <c r="B40" s="171">
        <v>101.1875650619121</v>
      </c>
      <c r="C40" s="170">
        <v>0</v>
      </c>
      <c r="D40" s="170">
        <v>45.822349203400925</v>
      </c>
      <c r="E40" s="170">
        <v>25.460301710136619</v>
      </c>
      <c r="F40" s="170">
        <v>0</v>
      </c>
      <c r="G40" s="170">
        <v>13.580435999999999</v>
      </c>
      <c r="H40" s="172"/>
      <c r="I40" s="149"/>
      <c r="J40" s="170">
        <v>90.27999525857301</v>
      </c>
      <c r="K40" s="170">
        <v>0</v>
      </c>
      <c r="L40" s="170">
        <v>0</v>
      </c>
      <c r="M40" s="170">
        <v>0</v>
      </c>
      <c r="N40" s="170">
        <v>0</v>
      </c>
      <c r="O40" s="171">
        <v>276.33064723402265</v>
      </c>
      <c r="P40" s="185"/>
      <c r="Q40" s="174" t="s">
        <v>43</v>
      </c>
      <c r="R40" s="153"/>
      <c r="S40" s="154"/>
      <c r="T40" s="154"/>
      <c r="U40" s="154"/>
      <c r="V40" s="154"/>
      <c r="W40" s="154"/>
      <c r="X40" s="154"/>
      <c r="Y40" s="154"/>
      <c r="Z40" s="154"/>
      <c r="AA40" s="154"/>
      <c r="AB40" s="154"/>
      <c r="AC40" s="154"/>
      <c r="AD40" s="154"/>
      <c r="AE40" s="154"/>
      <c r="AF40" s="154"/>
      <c r="AG40" s="154"/>
      <c r="AH40" s="154"/>
      <c r="AI40" s="154"/>
      <c r="AJ40" s="154"/>
    </row>
    <row r="41" spans="1:36" ht="10.5" customHeight="1">
      <c r="A41" s="47" t="s">
        <v>170</v>
      </c>
      <c r="B41" s="146">
        <v>101.1875650619121</v>
      </c>
      <c r="C41" s="148">
        <v>0</v>
      </c>
      <c r="D41" s="148">
        <v>45.822349203400925</v>
      </c>
      <c r="E41" s="148">
        <v>25.460301710136619</v>
      </c>
      <c r="F41" s="148">
        <v>0</v>
      </c>
      <c r="G41" s="148">
        <v>13.580435999999999</v>
      </c>
      <c r="H41" s="149"/>
      <c r="I41" s="149"/>
      <c r="J41" s="148">
        <v>90.27999525857301</v>
      </c>
      <c r="K41" s="148">
        <v>0</v>
      </c>
      <c r="L41" s="148">
        <v>0</v>
      </c>
      <c r="M41" s="148">
        <v>0</v>
      </c>
      <c r="N41" s="148">
        <v>0</v>
      </c>
      <c r="O41" s="146">
        <v>276.33064723402265</v>
      </c>
      <c r="P41" s="155"/>
      <c r="Q41" s="152" t="s">
        <v>170</v>
      </c>
      <c r="R41" s="153"/>
      <c r="S41" s="154"/>
      <c r="T41" s="154"/>
      <c r="U41" s="154"/>
      <c r="V41" s="154"/>
      <c r="W41" s="154"/>
      <c r="X41" s="154"/>
      <c r="Y41" s="154"/>
      <c r="Z41" s="154"/>
      <c r="AA41" s="154"/>
      <c r="AB41" s="154"/>
      <c r="AC41" s="154"/>
      <c r="AD41" s="154"/>
      <c r="AE41" s="154"/>
      <c r="AF41" s="154"/>
      <c r="AG41" s="154"/>
      <c r="AH41" s="154"/>
      <c r="AI41" s="154"/>
      <c r="AJ41" s="154"/>
    </row>
    <row r="42" spans="1:36" ht="10.5" customHeight="1">
      <c r="A42" s="47" t="s">
        <v>171</v>
      </c>
      <c r="B42" s="148">
        <v>0</v>
      </c>
      <c r="C42" s="148">
        <v>0</v>
      </c>
      <c r="D42" s="148">
        <v>0</v>
      </c>
      <c r="E42" s="148">
        <v>0</v>
      </c>
      <c r="F42" s="148">
        <v>0</v>
      </c>
      <c r="G42" s="148">
        <v>0</v>
      </c>
      <c r="H42" s="149"/>
      <c r="I42" s="149"/>
      <c r="J42" s="148">
        <v>0</v>
      </c>
      <c r="K42" s="148">
        <v>0</v>
      </c>
      <c r="L42" s="148">
        <v>0</v>
      </c>
      <c r="M42" s="148">
        <v>0</v>
      </c>
      <c r="N42" s="148">
        <v>0</v>
      </c>
      <c r="O42" s="148">
        <v>0</v>
      </c>
      <c r="P42" s="155"/>
      <c r="Q42" s="152" t="s">
        <v>171</v>
      </c>
      <c r="S42" s="154"/>
      <c r="T42" s="154"/>
      <c r="U42" s="154"/>
      <c r="V42" s="154"/>
      <c r="W42" s="154"/>
      <c r="X42" s="154"/>
      <c r="Y42" s="154"/>
      <c r="Z42" s="154"/>
      <c r="AA42" s="154"/>
      <c r="AB42" s="154"/>
      <c r="AC42" s="154"/>
      <c r="AD42" s="154"/>
      <c r="AE42" s="154"/>
      <c r="AF42" s="154"/>
      <c r="AG42" s="154"/>
      <c r="AH42" s="154"/>
      <c r="AI42" s="154"/>
      <c r="AJ42" s="154"/>
    </row>
    <row r="43" spans="1:36" ht="10.5" customHeight="1">
      <c r="A43" s="47" t="s">
        <v>172</v>
      </c>
      <c r="B43" s="148">
        <v>0</v>
      </c>
      <c r="C43" s="148">
        <v>0</v>
      </c>
      <c r="D43" s="148">
        <v>0</v>
      </c>
      <c r="E43" s="148">
        <v>0</v>
      </c>
      <c r="F43" s="148">
        <v>0</v>
      </c>
      <c r="G43" s="148">
        <v>0</v>
      </c>
      <c r="H43" s="149"/>
      <c r="I43" s="149"/>
      <c r="J43" s="148">
        <v>0</v>
      </c>
      <c r="K43" s="148">
        <v>0</v>
      </c>
      <c r="L43" s="148">
        <v>0</v>
      </c>
      <c r="M43" s="148">
        <v>0</v>
      </c>
      <c r="N43" s="148">
        <v>0</v>
      </c>
      <c r="O43" s="148">
        <v>0</v>
      </c>
      <c r="P43" s="155"/>
      <c r="Q43" s="152" t="s">
        <v>172</v>
      </c>
      <c r="S43" s="154"/>
      <c r="T43" s="154"/>
      <c r="U43" s="154"/>
      <c r="V43" s="154"/>
      <c r="W43" s="154"/>
      <c r="X43" s="154"/>
      <c r="Y43" s="154"/>
      <c r="Z43" s="154"/>
      <c r="AA43" s="154"/>
      <c r="AB43" s="154"/>
      <c r="AC43" s="154"/>
      <c r="AD43" s="154"/>
      <c r="AE43" s="154"/>
      <c r="AF43" s="154"/>
      <c r="AG43" s="154"/>
      <c r="AH43" s="154"/>
      <c r="AI43" s="154"/>
      <c r="AJ43" s="154"/>
    </row>
    <row r="44" spans="1:36" ht="10.5" customHeight="1">
      <c r="A44" s="47" t="s">
        <v>173</v>
      </c>
      <c r="B44" s="148">
        <v>0</v>
      </c>
      <c r="C44" s="148">
        <v>0</v>
      </c>
      <c r="D44" s="148">
        <v>0</v>
      </c>
      <c r="E44" s="148">
        <v>0</v>
      </c>
      <c r="F44" s="148">
        <v>0</v>
      </c>
      <c r="G44" s="148">
        <v>0</v>
      </c>
      <c r="H44" s="149"/>
      <c r="I44" s="149"/>
      <c r="J44" s="148">
        <v>0</v>
      </c>
      <c r="K44" s="148">
        <v>0</v>
      </c>
      <c r="L44" s="148">
        <v>0</v>
      </c>
      <c r="M44" s="148">
        <v>0</v>
      </c>
      <c r="N44" s="148">
        <v>0</v>
      </c>
      <c r="O44" s="148">
        <v>0</v>
      </c>
      <c r="P44" s="155"/>
      <c r="Q44" s="152" t="s">
        <v>173</v>
      </c>
      <c r="S44" s="154"/>
      <c r="T44" s="154"/>
      <c r="U44" s="154"/>
      <c r="V44" s="154"/>
      <c r="W44" s="154"/>
      <c r="X44" s="154"/>
      <c r="Y44" s="154"/>
      <c r="Z44" s="154"/>
      <c r="AA44" s="154"/>
      <c r="AB44" s="154"/>
      <c r="AC44" s="154"/>
      <c r="AD44" s="154"/>
      <c r="AE44" s="154"/>
      <c r="AF44" s="154"/>
      <c r="AG44" s="154"/>
      <c r="AH44" s="154"/>
      <c r="AI44" s="154"/>
      <c r="AJ44" s="154"/>
    </row>
    <row r="45" spans="1:36" ht="10.5" customHeight="1">
      <c r="A45" s="47" t="s">
        <v>174</v>
      </c>
      <c r="B45" s="148">
        <v>0</v>
      </c>
      <c r="C45" s="148">
        <v>0</v>
      </c>
      <c r="D45" s="148">
        <v>0</v>
      </c>
      <c r="E45" s="148">
        <v>0</v>
      </c>
      <c r="F45" s="148">
        <v>0</v>
      </c>
      <c r="G45" s="148">
        <v>0</v>
      </c>
      <c r="H45" s="149"/>
      <c r="I45" s="149"/>
      <c r="J45" s="148">
        <v>0</v>
      </c>
      <c r="K45" s="148">
        <v>0</v>
      </c>
      <c r="L45" s="148">
        <v>0</v>
      </c>
      <c r="M45" s="148">
        <v>0</v>
      </c>
      <c r="N45" s="148">
        <v>0</v>
      </c>
      <c r="O45" s="148">
        <v>0</v>
      </c>
      <c r="P45" s="155"/>
      <c r="Q45" s="152" t="s">
        <v>174</v>
      </c>
      <c r="S45" s="154"/>
      <c r="T45" s="154"/>
      <c r="U45" s="154"/>
      <c r="V45" s="154"/>
      <c r="W45" s="154"/>
      <c r="X45" s="154"/>
      <c r="Y45" s="154"/>
      <c r="Z45" s="154"/>
      <c r="AA45" s="154"/>
      <c r="AB45" s="154"/>
      <c r="AC45" s="154"/>
      <c r="AD45" s="154"/>
      <c r="AE45" s="154"/>
      <c r="AF45" s="154"/>
      <c r="AG45" s="154"/>
      <c r="AH45" s="154"/>
      <c r="AI45" s="154"/>
      <c r="AJ45" s="154"/>
    </row>
    <row r="46" spans="1:36" ht="10.5" customHeight="1">
      <c r="A46" s="47" t="s">
        <v>255</v>
      </c>
      <c r="B46" s="148">
        <v>0</v>
      </c>
      <c r="C46" s="148">
        <v>0</v>
      </c>
      <c r="D46" s="148">
        <v>0</v>
      </c>
      <c r="E46" s="148">
        <v>0</v>
      </c>
      <c r="F46" s="148">
        <v>0</v>
      </c>
      <c r="G46" s="148">
        <v>0</v>
      </c>
      <c r="H46" s="149"/>
      <c r="I46" s="149"/>
      <c r="J46" s="148">
        <v>0</v>
      </c>
      <c r="K46" s="148">
        <v>0</v>
      </c>
      <c r="L46" s="148">
        <v>0</v>
      </c>
      <c r="M46" s="148">
        <v>0</v>
      </c>
      <c r="N46" s="148">
        <v>0</v>
      </c>
      <c r="O46" s="148">
        <v>0</v>
      </c>
      <c r="P46" s="155"/>
      <c r="Q46" s="152" t="s">
        <v>255</v>
      </c>
      <c r="S46" s="154"/>
      <c r="T46" s="154"/>
      <c r="U46" s="154"/>
      <c r="V46" s="154"/>
      <c r="W46" s="154"/>
      <c r="X46" s="154"/>
      <c r="Y46" s="154"/>
      <c r="Z46" s="154"/>
      <c r="AA46" s="154"/>
      <c r="AB46" s="154"/>
      <c r="AC46" s="154"/>
      <c r="AD46" s="154"/>
      <c r="AE46" s="154"/>
      <c r="AF46" s="154"/>
      <c r="AG46" s="154"/>
      <c r="AH46" s="154"/>
      <c r="AI46" s="154"/>
      <c r="AJ46" s="154"/>
    </row>
    <row r="47" spans="1:36" ht="10.5" customHeight="1">
      <c r="A47" s="47" t="s">
        <v>256</v>
      </c>
      <c r="B47" s="148">
        <v>0</v>
      </c>
      <c r="C47" s="148">
        <v>0</v>
      </c>
      <c r="D47" s="148">
        <v>0</v>
      </c>
      <c r="E47" s="148">
        <v>0</v>
      </c>
      <c r="F47" s="148">
        <v>0</v>
      </c>
      <c r="G47" s="148">
        <v>0</v>
      </c>
      <c r="H47" s="149"/>
      <c r="I47" s="149"/>
      <c r="J47" s="148">
        <v>0</v>
      </c>
      <c r="K47" s="148">
        <v>0</v>
      </c>
      <c r="L47" s="148">
        <v>0</v>
      </c>
      <c r="M47" s="148">
        <v>0</v>
      </c>
      <c r="N47" s="148">
        <v>0</v>
      </c>
      <c r="O47" s="148">
        <v>0</v>
      </c>
      <c r="P47" s="155"/>
      <c r="Q47" s="152" t="s">
        <v>256</v>
      </c>
      <c r="S47" s="154"/>
      <c r="T47" s="154"/>
      <c r="U47" s="154"/>
      <c r="V47" s="154"/>
      <c r="W47" s="154"/>
      <c r="X47" s="154"/>
      <c r="Y47" s="154"/>
      <c r="Z47" s="154"/>
      <c r="AA47" s="154"/>
      <c r="AB47" s="154"/>
      <c r="AC47" s="154"/>
      <c r="AD47" s="154"/>
      <c r="AE47" s="154"/>
      <c r="AF47" s="154"/>
      <c r="AG47" s="154"/>
      <c r="AH47" s="154"/>
      <c r="AI47" s="154"/>
      <c r="AJ47" s="154"/>
    </row>
    <row r="48" spans="1:36" ht="10.5" customHeight="1">
      <c r="A48" s="47" t="s">
        <v>177</v>
      </c>
      <c r="B48" s="148">
        <v>0</v>
      </c>
      <c r="C48" s="148">
        <v>0</v>
      </c>
      <c r="D48" s="148">
        <v>0</v>
      </c>
      <c r="E48" s="148">
        <v>0</v>
      </c>
      <c r="F48" s="148">
        <v>0</v>
      </c>
      <c r="G48" s="148">
        <v>0</v>
      </c>
      <c r="H48" s="149"/>
      <c r="I48" s="149"/>
      <c r="J48" s="148">
        <v>0</v>
      </c>
      <c r="K48" s="148">
        <v>0</v>
      </c>
      <c r="L48" s="148">
        <v>0</v>
      </c>
      <c r="M48" s="148">
        <v>0</v>
      </c>
      <c r="N48" s="148">
        <v>0</v>
      </c>
      <c r="O48" s="148">
        <v>0</v>
      </c>
      <c r="P48" s="155"/>
      <c r="Q48" s="152" t="s">
        <v>177</v>
      </c>
      <c r="S48" s="154"/>
      <c r="T48" s="154"/>
      <c r="U48" s="154"/>
      <c r="V48" s="154"/>
      <c r="W48" s="154"/>
      <c r="X48" s="154"/>
      <c r="Y48" s="154"/>
      <c r="Z48" s="154"/>
      <c r="AA48" s="154"/>
      <c r="AB48" s="154"/>
      <c r="AC48" s="154"/>
      <c r="AD48" s="154"/>
      <c r="AE48" s="154"/>
      <c r="AF48" s="154"/>
      <c r="AG48" s="154"/>
      <c r="AH48" s="154"/>
      <c r="AI48" s="154"/>
      <c r="AJ48" s="154"/>
    </row>
    <row r="49" spans="1:36" ht="10.5" customHeight="1">
      <c r="A49" s="47" t="s">
        <v>257</v>
      </c>
      <c r="B49" s="148">
        <v>0</v>
      </c>
      <c r="C49" s="148">
        <v>0</v>
      </c>
      <c r="D49" s="148">
        <v>0</v>
      </c>
      <c r="E49" s="148">
        <v>0</v>
      </c>
      <c r="F49" s="148">
        <v>0</v>
      </c>
      <c r="G49" s="148">
        <v>0</v>
      </c>
      <c r="H49" s="149"/>
      <c r="I49" s="149"/>
      <c r="J49" s="148">
        <v>0</v>
      </c>
      <c r="K49" s="148">
        <v>0</v>
      </c>
      <c r="L49" s="148">
        <v>0</v>
      </c>
      <c r="M49" s="148">
        <v>0</v>
      </c>
      <c r="N49" s="148">
        <v>0</v>
      </c>
      <c r="O49" s="148">
        <v>0</v>
      </c>
      <c r="P49" s="155"/>
      <c r="Q49" s="152" t="s">
        <v>257</v>
      </c>
      <c r="S49" s="154"/>
      <c r="T49" s="154"/>
      <c r="U49" s="154"/>
      <c r="V49" s="154"/>
      <c r="W49" s="154"/>
      <c r="X49" s="154"/>
      <c r="Y49" s="154"/>
      <c r="Z49" s="154"/>
      <c r="AA49" s="154"/>
      <c r="AB49" s="154"/>
      <c r="AC49" s="154"/>
      <c r="AD49" s="154"/>
      <c r="AE49" s="154"/>
      <c r="AF49" s="154"/>
      <c r="AG49" s="154"/>
      <c r="AH49" s="154"/>
      <c r="AI49" s="154"/>
      <c r="AJ49" s="154"/>
    </row>
    <row r="50" spans="1:36" ht="10.5" customHeight="1">
      <c r="A50" s="47" t="s">
        <v>258</v>
      </c>
      <c r="B50" s="148">
        <v>0</v>
      </c>
      <c r="C50" s="148">
        <v>0</v>
      </c>
      <c r="D50" s="148">
        <v>0</v>
      </c>
      <c r="E50" s="148">
        <v>0</v>
      </c>
      <c r="F50" s="148">
        <v>0</v>
      </c>
      <c r="G50" s="148">
        <v>0</v>
      </c>
      <c r="H50" s="149"/>
      <c r="I50" s="149"/>
      <c r="J50" s="148">
        <v>0</v>
      </c>
      <c r="K50" s="148">
        <v>0</v>
      </c>
      <c r="L50" s="148">
        <v>0</v>
      </c>
      <c r="M50" s="148">
        <v>0</v>
      </c>
      <c r="N50" s="148">
        <v>0</v>
      </c>
      <c r="O50" s="148">
        <v>0</v>
      </c>
      <c r="P50" s="155"/>
      <c r="Q50" s="152" t="s">
        <v>258</v>
      </c>
      <c r="S50" s="154"/>
      <c r="T50" s="154"/>
      <c r="U50" s="154"/>
      <c r="V50" s="154"/>
      <c r="W50" s="154"/>
      <c r="X50" s="154"/>
      <c r="Y50" s="154"/>
      <c r="Z50" s="154"/>
      <c r="AA50" s="154"/>
      <c r="AB50" s="154"/>
      <c r="AC50" s="154"/>
      <c r="AD50" s="154"/>
      <c r="AE50" s="154"/>
      <c r="AF50" s="154"/>
      <c r="AG50" s="154"/>
      <c r="AH50" s="154"/>
      <c r="AI50" s="154"/>
      <c r="AJ50" s="154"/>
    </row>
    <row r="51" spans="1:36" ht="10.5" customHeight="1">
      <c r="A51" s="47" t="s">
        <v>259</v>
      </c>
      <c r="B51" s="148">
        <v>0</v>
      </c>
      <c r="C51" s="148">
        <v>0</v>
      </c>
      <c r="D51" s="148">
        <v>0</v>
      </c>
      <c r="E51" s="148">
        <v>0</v>
      </c>
      <c r="F51" s="148">
        <v>0</v>
      </c>
      <c r="G51" s="148">
        <v>0</v>
      </c>
      <c r="H51" s="149"/>
      <c r="I51" s="149"/>
      <c r="J51" s="148">
        <v>0</v>
      </c>
      <c r="K51" s="148">
        <v>0</v>
      </c>
      <c r="L51" s="148">
        <v>0</v>
      </c>
      <c r="M51" s="148">
        <v>0</v>
      </c>
      <c r="N51" s="148">
        <v>0</v>
      </c>
      <c r="O51" s="148">
        <v>0</v>
      </c>
      <c r="P51" s="155"/>
      <c r="Q51" s="152" t="s">
        <v>259</v>
      </c>
      <c r="S51" s="154"/>
      <c r="T51" s="154"/>
      <c r="U51" s="154"/>
      <c r="V51" s="154"/>
      <c r="W51" s="154"/>
      <c r="X51" s="154"/>
      <c r="Y51" s="154"/>
      <c r="Z51" s="154"/>
      <c r="AA51" s="154"/>
      <c r="AB51" s="154"/>
      <c r="AC51" s="154"/>
      <c r="AD51" s="154"/>
      <c r="AE51" s="154"/>
      <c r="AF51" s="154"/>
      <c r="AG51" s="154"/>
      <c r="AH51" s="154"/>
      <c r="AI51" s="154"/>
      <c r="AJ51" s="154"/>
    </row>
    <row r="52" spans="1:36" ht="10.5" customHeight="1">
      <c r="A52" s="47" t="s">
        <v>181</v>
      </c>
      <c r="B52" s="148">
        <v>0</v>
      </c>
      <c r="C52" s="148">
        <v>0</v>
      </c>
      <c r="D52" s="148">
        <v>0</v>
      </c>
      <c r="E52" s="148">
        <v>0</v>
      </c>
      <c r="F52" s="148">
        <v>0</v>
      </c>
      <c r="G52" s="148">
        <v>0</v>
      </c>
      <c r="H52" s="149"/>
      <c r="I52" s="149"/>
      <c r="J52" s="148">
        <v>0</v>
      </c>
      <c r="K52" s="148">
        <v>0</v>
      </c>
      <c r="L52" s="148">
        <v>0</v>
      </c>
      <c r="M52" s="148">
        <v>0</v>
      </c>
      <c r="N52" s="148">
        <v>0</v>
      </c>
      <c r="O52" s="148">
        <v>0</v>
      </c>
      <c r="P52" s="155"/>
      <c r="Q52" s="152" t="s">
        <v>181</v>
      </c>
      <c r="S52" s="154"/>
      <c r="T52" s="154"/>
      <c r="U52" s="154"/>
      <c r="V52" s="154"/>
      <c r="W52" s="154"/>
      <c r="X52" s="154"/>
      <c r="Y52" s="154"/>
      <c r="Z52" s="154"/>
      <c r="AA52" s="154"/>
      <c r="AB52" s="154"/>
      <c r="AC52" s="154"/>
      <c r="AD52" s="154"/>
      <c r="AE52" s="154"/>
      <c r="AF52" s="154"/>
      <c r="AG52" s="154"/>
      <c r="AH52" s="154"/>
      <c r="AI52" s="154"/>
      <c r="AJ52" s="154"/>
    </row>
    <row r="53" spans="1:36" ht="10.5" customHeight="1">
      <c r="A53" s="47" t="s">
        <v>182</v>
      </c>
      <c r="B53" s="148">
        <v>0</v>
      </c>
      <c r="C53" s="148">
        <v>0</v>
      </c>
      <c r="D53" s="148">
        <v>0</v>
      </c>
      <c r="E53" s="148">
        <v>0</v>
      </c>
      <c r="F53" s="148">
        <v>0</v>
      </c>
      <c r="G53" s="148">
        <v>0</v>
      </c>
      <c r="H53" s="149"/>
      <c r="I53" s="149"/>
      <c r="J53" s="148">
        <v>0</v>
      </c>
      <c r="K53" s="148">
        <v>0</v>
      </c>
      <c r="L53" s="148">
        <v>0</v>
      </c>
      <c r="M53" s="148">
        <v>0</v>
      </c>
      <c r="N53" s="148">
        <v>0</v>
      </c>
      <c r="O53" s="148">
        <v>0</v>
      </c>
      <c r="P53" s="155"/>
      <c r="Q53" s="152" t="s">
        <v>182</v>
      </c>
      <c r="S53" s="154"/>
      <c r="T53" s="154"/>
      <c r="U53" s="154"/>
      <c r="V53" s="154"/>
      <c r="W53" s="154"/>
      <c r="X53" s="154"/>
      <c r="Y53" s="154"/>
      <c r="Z53" s="154"/>
      <c r="AA53" s="154"/>
      <c r="AB53" s="154"/>
      <c r="AC53" s="154"/>
      <c r="AD53" s="154"/>
      <c r="AE53" s="154"/>
      <c r="AF53" s="154"/>
      <c r="AG53" s="154"/>
      <c r="AH53" s="154"/>
      <c r="AI53" s="154"/>
      <c r="AJ53" s="154"/>
    </row>
    <row r="54" spans="1:36" ht="10.5" customHeight="1">
      <c r="A54" s="57" t="s">
        <v>260</v>
      </c>
      <c r="B54" s="170">
        <v>0</v>
      </c>
      <c r="C54" s="170">
        <v>0</v>
      </c>
      <c r="D54" s="170">
        <v>0</v>
      </c>
      <c r="E54" s="170">
        <v>0</v>
      </c>
      <c r="F54" s="170">
        <v>0</v>
      </c>
      <c r="G54" s="170">
        <v>0</v>
      </c>
      <c r="H54" s="172"/>
      <c r="I54" s="149"/>
      <c r="J54" s="148">
        <v>0</v>
      </c>
      <c r="K54" s="148">
        <v>0</v>
      </c>
      <c r="L54" s="148">
        <v>0</v>
      </c>
      <c r="M54" s="148">
        <v>0</v>
      </c>
      <c r="N54" s="170">
        <v>361.69050647440218</v>
      </c>
      <c r="O54" s="170">
        <v>361.69050647440218</v>
      </c>
      <c r="P54" s="155"/>
      <c r="Q54" s="174" t="s">
        <v>260</v>
      </c>
      <c r="S54" s="154"/>
      <c r="T54" s="154"/>
      <c r="U54" s="154"/>
      <c r="V54" s="154"/>
      <c r="W54" s="154"/>
      <c r="X54" s="154"/>
      <c r="Y54" s="154"/>
      <c r="Z54" s="154"/>
      <c r="AA54" s="154"/>
      <c r="AB54" s="154"/>
      <c r="AC54" s="154"/>
      <c r="AD54" s="154"/>
      <c r="AE54" s="154"/>
      <c r="AF54" s="154"/>
      <c r="AG54" s="154"/>
      <c r="AH54" s="154"/>
      <c r="AI54" s="154"/>
      <c r="AJ54" s="154"/>
    </row>
    <row r="55" spans="1:36" ht="10.5" customHeight="1">
      <c r="A55" s="47" t="s">
        <v>184</v>
      </c>
      <c r="B55" s="148">
        <v>0</v>
      </c>
      <c r="C55" s="148">
        <v>0</v>
      </c>
      <c r="D55" s="148">
        <v>0</v>
      </c>
      <c r="E55" s="148">
        <v>0</v>
      </c>
      <c r="F55" s="148">
        <v>0</v>
      </c>
      <c r="G55" s="148">
        <v>0</v>
      </c>
      <c r="H55" s="149"/>
      <c r="I55" s="149"/>
      <c r="J55" s="148">
        <v>0</v>
      </c>
      <c r="K55" s="148">
        <v>0</v>
      </c>
      <c r="L55" s="148">
        <v>0</v>
      </c>
      <c r="M55" s="148">
        <v>0</v>
      </c>
      <c r="N55" s="148">
        <v>0</v>
      </c>
      <c r="O55" s="148">
        <v>0</v>
      </c>
      <c r="P55" s="155"/>
      <c r="Q55" s="152" t="s">
        <v>184</v>
      </c>
      <c r="S55" s="154"/>
      <c r="T55" s="154"/>
      <c r="U55" s="154"/>
      <c r="V55" s="154"/>
      <c r="W55" s="154"/>
      <c r="X55" s="154"/>
      <c r="Y55" s="154"/>
      <c r="Z55" s="154"/>
      <c r="AA55" s="154"/>
      <c r="AB55" s="154"/>
      <c r="AC55" s="154"/>
      <c r="AD55" s="154"/>
      <c r="AE55" s="154"/>
      <c r="AF55" s="154"/>
      <c r="AG55" s="154"/>
      <c r="AH55" s="154"/>
      <c r="AI55" s="154"/>
      <c r="AJ55" s="154"/>
    </row>
    <row r="56" spans="1:36" ht="10.5" customHeight="1">
      <c r="A56" s="47" t="s">
        <v>25</v>
      </c>
      <c r="B56" s="148">
        <v>0</v>
      </c>
      <c r="C56" s="148">
        <v>0</v>
      </c>
      <c r="D56" s="148">
        <v>0</v>
      </c>
      <c r="E56" s="148">
        <v>0</v>
      </c>
      <c r="F56" s="148">
        <v>0</v>
      </c>
      <c r="G56" s="148">
        <v>0</v>
      </c>
      <c r="H56" s="149"/>
      <c r="I56" s="149"/>
      <c r="J56" s="148">
        <v>0</v>
      </c>
      <c r="K56" s="148">
        <v>0</v>
      </c>
      <c r="L56" s="148">
        <v>0</v>
      </c>
      <c r="M56" s="148">
        <v>0</v>
      </c>
      <c r="N56" s="148">
        <v>0</v>
      </c>
      <c r="O56" s="148">
        <v>0</v>
      </c>
      <c r="P56" s="155"/>
      <c r="Q56" s="152" t="s">
        <v>25</v>
      </c>
      <c r="S56" s="154"/>
      <c r="T56" s="154"/>
      <c r="U56" s="154"/>
      <c r="V56" s="154"/>
      <c r="W56" s="154"/>
      <c r="X56" s="154"/>
      <c r="Y56" s="154"/>
      <c r="Z56" s="154"/>
      <c r="AA56" s="154"/>
      <c r="AB56" s="154"/>
      <c r="AC56" s="154"/>
      <c r="AD56" s="154"/>
      <c r="AE56" s="154"/>
      <c r="AF56" s="154"/>
      <c r="AG56" s="154"/>
      <c r="AH56" s="154"/>
      <c r="AI56" s="154"/>
      <c r="AJ56" s="154"/>
    </row>
    <row r="57" spans="1:36" ht="10.5" customHeight="1">
      <c r="A57" s="47" t="s">
        <v>24</v>
      </c>
      <c r="B57" s="148">
        <v>0</v>
      </c>
      <c r="C57" s="148">
        <v>0</v>
      </c>
      <c r="D57" s="148">
        <v>0</v>
      </c>
      <c r="E57" s="148">
        <v>0</v>
      </c>
      <c r="F57" s="148">
        <v>0</v>
      </c>
      <c r="G57" s="148">
        <v>0</v>
      </c>
      <c r="H57" s="149"/>
      <c r="I57" s="149"/>
      <c r="J57" s="148">
        <v>0</v>
      </c>
      <c r="K57" s="148">
        <v>0</v>
      </c>
      <c r="L57" s="148">
        <v>0</v>
      </c>
      <c r="M57" s="148">
        <v>0</v>
      </c>
      <c r="N57" s="148">
        <v>361.69050647440218</v>
      </c>
      <c r="O57" s="148">
        <v>361.69050647440218</v>
      </c>
      <c r="P57" s="155"/>
      <c r="Q57" s="152" t="s">
        <v>24</v>
      </c>
      <c r="S57" s="154"/>
      <c r="T57" s="154"/>
      <c r="U57" s="154"/>
      <c r="V57" s="154"/>
      <c r="W57" s="154"/>
      <c r="X57" s="154"/>
      <c r="Y57" s="154"/>
      <c r="Z57" s="154"/>
      <c r="AA57" s="154"/>
      <c r="AB57" s="154"/>
      <c r="AC57" s="154"/>
      <c r="AD57" s="154"/>
      <c r="AE57" s="154"/>
      <c r="AF57" s="154"/>
      <c r="AG57" s="154"/>
      <c r="AH57" s="154"/>
      <c r="AI57" s="154"/>
      <c r="AJ57" s="154"/>
    </row>
    <row r="58" spans="1:36" ht="10.5" customHeight="1">
      <c r="A58" s="47" t="s">
        <v>185</v>
      </c>
      <c r="B58" s="148">
        <v>0</v>
      </c>
      <c r="C58" s="148">
        <v>0</v>
      </c>
      <c r="D58" s="148">
        <v>0</v>
      </c>
      <c r="E58" s="148">
        <v>0</v>
      </c>
      <c r="F58" s="148">
        <v>0</v>
      </c>
      <c r="G58" s="148">
        <v>0</v>
      </c>
      <c r="H58" s="149"/>
      <c r="I58" s="149"/>
      <c r="J58" s="148">
        <v>0</v>
      </c>
      <c r="K58" s="148">
        <v>0</v>
      </c>
      <c r="L58" s="148">
        <v>0</v>
      </c>
      <c r="M58" s="148">
        <v>0</v>
      </c>
      <c r="N58" s="148">
        <v>0</v>
      </c>
      <c r="O58" s="148">
        <v>0</v>
      </c>
      <c r="P58" s="155"/>
      <c r="Q58" s="152" t="s">
        <v>185</v>
      </c>
      <c r="S58" s="154"/>
      <c r="T58" s="154"/>
      <c r="U58" s="154"/>
      <c r="V58" s="154"/>
      <c r="W58" s="154"/>
      <c r="X58" s="154"/>
      <c r="Y58" s="154"/>
      <c r="Z58" s="154"/>
      <c r="AA58" s="154"/>
      <c r="AB58" s="154"/>
      <c r="AC58" s="154"/>
      <c r="AD58" s="154"/>
      <c r="AE58" s="154"/>
      <c r="AF58" s="154"/>
      <c r="AG58" s="154"/>
      <c r="AH58" s="154"/>
      <c r="AI58" s="154"/>
      <c r="AJ58" s="154"/>
    </row>
    <row r="59" spans="1:36" ht="10.5" customHeight="1">
      <c r="A59" s="47" t="s">
        <v>186</v>
      </c>
      <c r="B59" s="148">
        <v>0</v>
      </c>
      <c r="C59" s="148">
        <v>0</v>
      </c>
      <c r="D59" s="148">
        <v>0</v>
      </c>
      <c r="E59" s="148">
        <v>0</v>
      </c>
      <c r="F59" s="148">
        <v>0</v>
      </c>
      <c r="G59" s="148">
        <v>0</v>
      </c>
      <c r="H59" s="149"/>
      <c r="I59" s="149"/>
      <c r="J59" s="148">
        <v>0</v>
      </c>
      <c r="K59" s="148">
        <v>0</v>
      </c>
      <c r="L59" s="148">
        <v>0</v>
      </c>
      <c r="M59" s="148">
        <v>0</v>
      </c>
      <c r="N59" s="148">
        <v>0</v>
      </c>
      <c r="O59" s="148">
        <v>0</v>
      </c>
      <c r="P59" s="155"/>
      <c r="Q59" s="152" t="s">
        <v>186</v>
      </c>
      <c r="S59" s="154"/>
      <c r="T59" s="154"/>
      <c r="U59" s="154"/>
      <c r="V59" s="154"/>
      <c r="W59" s="154"/>
      <c r="X59" s="154"/>
      <c r="Y59" s="154"/>
      <c r="Z59" s="154"/>
      <c r="AA59" s="154"/>
      <c r="AB59" s="154"/>
      <c r="AC59" s="154"/>
      <c r="AD59" s="154"/>
      <c r="AE59" s="154"/>
      <c r="AF59" s="154"/>
      <c r="AG59" s="154"/>
      <c r="AH59" s="154"/>
      <c r="AI59" s="154"/>
      <c r="AJ59" s="154"/>
    </row>
    <row r="60" spans="1:36" ht="10.5" customHeight="1">
      <c r="A60" s="57" t="s">
        <v>123</v>
      </c>
      <c r="B60" s="170">
        <v>0</v>
      </c>
      <c r="C60" s="171">
        <v>331.99579631221934</v>
      </c>
      <c r="D60" s="170">
        <v>2.0034505</v>
      </c>
      <c r="E60" s="170">
        <v>71.867871638248786</v>
      </c>
      <c r="F60" s="171">
        <v>49.972934270000003</v>
      </c>
      <c r="G60" s="170">
        <v>0</v>
      </c>
      <c r="H60" s="172">
        <v>0</v>
      </c>
      <c r="I60" s="172"/>
      <c r="J60" s="170">
        <v>80.765994785457323</v>
      </c>
      <c r="K60" s="170">
        <v>45.717551460000003</v>
      </c>
      <c r="L60" s="170">
        <v>0</v>
      </c>
      <c r="M60" s="170">
        <v>0</v>
      </c>
      <c r="N60" s="170">
        <v>0</v>
      </c>
      <c r="O60" s="171">
        <v>582.32359896592538</v>
      </c>
      <c r="P60" s="185"/>
      <c r="Q60" s="174" t="s">
        <v>123</v>
      </c>
      <c r="R60" s="153"/>
      <c r="S60" s="154"/>
      <c r="T60" s="154"/>
      <c r="U60" s="154"/>
      <c r="V60" s="154"/>
      <c r="W60" s="154"/>
      <c r="X60" s="154"/>
      <c r="Y60" s="154"/>
      <c r="Z60" s="154"/>
      <c r="AA60" s="154"/>
      <c r="AB60" s="154"/>
      <c r="AC60" s="154"/>
      <c r="AD60" s="154"/>
      <c r="AE60" s="154"/>
      <c r="AF60" s="154"/>
      <c r="AG60" s="154"/>
      <c r="AH60" s="154"/>
      <c r="AI60" s="154"/>
      <c r="AJ60" s="154"/>
    </row>
    <row r="61" spans="1:36" ht="10.5" customHeight="1">
      <c r="A61" s="47" t="s">
        <v>41</v>
      </c>
      <c r="B61" s="148">
        <v>0</v>
      </c>
      <c r="C61" s="146">
        <v>331.99579631221934</v>
      </c>
      <c r="D61" s="148">
        <v>0</v>
      </c>
      <c r="E61" s="148">
        <v>0</v>
      </c>
      <c r="F61" s="148">
        <v>0</v>
      </c>
      <c r="G61" s="148">
        <v>0</v>
      </c>
      <c r="H61" s="149"/>
      <c r="I61" s="149"/>
      <c r="J61" s="148">
        <v>22.84432501434253</v>
      </c>
      <c r="K61" s="146">
        <v>44.889000000000003</v>
      </c>
      <c r="L61" s="148">
        <v>0</v>
      </c>
      <c r="M61" s="148">
        <v>0</v>
      </c>
      <c r="N61" s="148">
        <v>0</v>
      </c>
      <c r="O61" s="146">
        <v>399.72912132656188</v>
      </c>
      <c r="P61" s="155"/>
      <c r="Q61" s="152" t="s">
        <v>41</v>
      </c>
      <c r="R61" s="153"/>
      <c r="S61" s="154"/>
      <c r="T61" s="154"/>
      <c r="U61" s="154"/>
      <c r="V61" s="154"/>
      <c r="W61" s="154"/>
      <c r="X61" s="154"/>
      <c r="Y61" s="154"/>
      <c r="Z61" s="154"/>
      <c r="AA61" s="154"/>
      <c r="AB61" s="154"/>
      <c r="AC61" s="154"/>
      <c r="AD61" s="154"/>
      <c r="AE61" s="154"/>
      <c r="AF61" s="154"/>
      <c r="AG61" s="154"/>
      <c r="AH61" s="154"/>
      <c r="AI61" s="154"/>
      <c r="AJ61" s="154"/>
    </row>
    <row r="62" spans="1:36" ht="10.5" customHeight="1">
      <c r="A62" s="47" t="s">
        <v>187</v>
      </c>
      <c r="B62" s="148">
        <v>0</v>
      </c>
      <c r="C62" s="148">
        <v>0</v>
      </c>
      <c r="D62" s="148">
        <v>0</v>
      </c>
      <c r="E62" s="148">
        <v>0</v>
      </c>
      <c r="F62" s="146">
        <v>49.972934270000003</v>
      </c>
      <c r="G62" s="148">
        <v>0</v>
      </c>
      <c r="H62" s="149"/>
      <c r="I62" s="149"/>
      <c r="J62" s="148">
        <v>38.644019430691657</v>
      </c>
      <c r="K62" s="146">
        <v>0.41427573000000001</v>
      </c>
      <c r="L62" s="148">
        <v>0</v>
      </c>
      <c r="M62" s="148">
        <v>0</v>
      </c>
      <c r="N62" s="148">
        <v>0</v>
      </c>
      <c r="O62" s="146">
        <v>89.031229430691653</v>
      </c>
      <c r="P62" s="155"/>
      <c r="Q62" s="152" t="s">
        <v>187</v>
      </c>
      <c r="R62" s="153"/>
      <c r="S62" s="154"/>
      <c r="T62" s="154"/>
      <c r="U62" s="154"/>
      <c r="V62" s="154"/>
      <c r="W62" s="154"/>
      <c r="X62" s="154"/>
      <c r="Y62" s="154"/>
      <c r="Z62" s="154"/>
      <c r="AA62" s="154"/>
      <c r="AB62" s="154"/>
      <c r="AC62" s="154"/>
      <c r="AD62" s="154"/>
      <c r="AE62" s="154"/>
      <c r="AF62" s="154"/>
      <c r="AG62" s="154"/>
      <c r="AH62" s="154"/>
      <c r="AI62" s="154"/>
      <c r="AJ62" s="154"/>
    </row>
    <row r="63" spans="1:36" ht="10.5" customHeight="1">
      <c r="A63" s="47" t="s">
        <v>52</v>
      </c>
      <c r="B63" s="148">
        <v>0</v>
      </c>
      <c r="C63" s="148">
        <v>0</v>
      </c>
      <c r="D63" s="148">
        <v>0</v>
      </c>
      <c r="E63" s="148">
        <v>0</v>
      </c>
      <c r="F63" s="148">
        <v>0</v>
      </c>
      <c r="G63" s="148">
        <v>0</v>
      </c>
      <c r="H63" s="149"/>
      <c r="I63" s="149"/>
      <c r="J63" s="148">
        <v>19.277650340423136</v>
      </c>
      <c r="K63" s="146">
        <v>0.41427573000000001</v>
      </c>
      <c r="L63" s="148">
        <v>0</v>
      </c>
      <c r="M63" s="148">
        <v>0</v>
      </c>
      <c r="N63" s="148">
        <v>0</v>
      </c>
      <c r="O63" s="146">
        <v>19.691926070423136</v>
      </c>
      <c r="P63" s="155"/>
      <c r="Q63" s="152" t="s">
        <v>52</v>
      </c>
      <c r="R63" s="153"/>
      <c r="S63" s="154"/>
      <c r="T63" s="154"/>
      <c r="U63" s="154"/>
      <c r="V63" s="154"/>
      <c r="W63" s="154"/>
      <c r="X63" s="154"/>
      <c r="Y63" s="154"/>
      <c r="Z63" s="154"/>
      <c r="AA63" s="154"/>
      <c r="AB63" s="154"/>
      <c r="AC63" s="154"/>
      <c r="AD63" s="154"/>
      <c r="AE63" s="154"/>
      <c r="AF63" s="154"/>
      <c r="AG63" s="154"/>
      <c r="AH63" s="154"/>
      <c r="AI63" s="154"/>
      <c r="AJ63" s="154"/>
    </row>
    <row r="64" spans="1:36" ht="10.5" customHeight="1">
      <c r="A64" s="47" t="s">
        <v>188</v>
      </c>
      <c r="B64" s="148">
        <v>0</v>
      </c>
      <c r="C64" s="148">
        <v>0</v>
      </c>
      <c r="D64" s="148">
        <v>2.0034505</v>
      </c>
      <c r="E64" s="148">
        <v>71.867871638248786</v>
      </c>
      <c r="F64" s="148">
        <v>0</v>
      </c>
      <c r="G64" s="148">
        <v>0</v>
      </c>
      <c r="H64" s="149"/>
      <c r="I64" s="149"/>
      <c r="J64" s="148">
        <v>0</v>
      </c>
      <c r="K64" s="148">
        <v>0</v>
      </c>
      <c r="L64" s="148">
        <v>0</v>
      </c>
      <c r="M64" s="148">
        <v>0</v>
      </c>
      <c r="N64" s="148">
        <v>0</v>
      </c>
      <c r="O64" s="148">
        <v>73.871322138248786</v>
      </c>
      <c r="P64" s="155"/>
      <c r="Q64" s="152" t="s">
        <v>188</v>
      </c>
      <c r="R64" s="153"/>
      <c r="S64" s="154"/>
      <c r="T64" s="154"/>
      <c r="U64" s="154"/>
      <c r="V64" s="154"/>
      <c r="W64" s="154"/>
      <c r="X64" s="154"/>
      <c r="Y64" s="154"/>
      <c r="Z64" s="154"/>
      <c r="AA64" s="154"/>
      <c r="AB64" s="154"/>
      <c r="AC64" s="154"/>
      <c r="AD64" s="154"/>
      <c r="AE64" s="154"/>
      <c r="AF64" s="154"/>
      <c r="AG64" s="154"/>
      <c r="AH64" s="154"/>
      <c r="AI64" s="154"/>
      <c r="AJ64" s="154"/>
    </row>
    <row r="65" spans="1:36" ht="11.25" customHeight="1">
      <c r="A65" s="47" t="s">
        <v>189</v>
      </c>
      <c r="B65" s="148">
        <v>0</v>
      </c>
      <c r="C65" s="148">
        <v>0</v>
      </c>
      <c r="D65" s="148">
        <v>0</v>
      </c>
      <c r="E65" s="148">
        <v>0</v>
      </c>
      <c r="F65" s="148">
        <v>0</v>
      </c>
      <c r="G65" s="148">
        <v>0</v>
      </c>
      <c r="H65" s="149"/>
      <c r="I65" s="149"/>
      <c r="J65" s="146">
        <v>0</v>
      </c>
      <c r="K65" s="148">
        <v>0</v>
      </c>
      <c r="L65" s="148">
        <v>0</v>
      </c>
      <c r="M65" s="148">
        <v>0</v>
      </c>
      <c r="N65" s="148">
        <v>0</v>
      </c>
      <c r="O65" s="186">
        <v>0</v>
      </c>
      <c r="P65" s="155"/>
      <c r="Q65" s="152" t="s">
        <v>189</v>
      </c>
      <c r="R65" s="153"/>
      <c r="S65" s="154"/>
      <c r="T65" s="154"/>
      <c r="U65" s="154"/>
      <c r="V65" s="154"/>
      <c r="W65" s="154"/>
      <c r="X65" s="154"/>
      <c r="Y65" s="154"/>
      <c r="Z65" s="154"/>
      <c r="AA65" s="154"/>
      <c r="AB65" s="154"/>
      <c r="AC65" s="154"/>
      <c r="AD65" s="154"/>
      <c r="AE65" s="154"/>
      <c r="AF65" s="154"/>
      <c r="AG65" s="154"/>
      <c r="AH65" s="154"/>
      <c r="AI65" s="154"/>
      <c r="AJ65" s="154"/>
    </row>
    <row r="66" spans="1:36" s="136" customFormat="1" ht="11.25" customHeight="1" thickBot="1">
      <c r="A66" s="81" t="s">
        <v>190</v>
      </c>
      <c r="B66" s="187">
        <v>0</v>
      </c>
      <c r="C66" s="187">
        <v>0</v>
      </c>
      <c r="D66" s="187">
        <v>0</v>
      </c>
      <c r="E66" s="187">
        <v>0</v>
      </c>
      <c r="F66" s="187">
        <v>0</v>
      </c>
      <c r="G66" s="187">
        <v>0</v>
      </c>
      <c r="H66" s="188">
        <v>0</v>
      </c>
      <c r="I66" s="188"/>
      <c r="J66" s="187">
        <v>0</v>
      </c>
      <c r="K66" s="187">
        <v>0</v>
      </c>
      <c r="L66" s="187">
        <v>0</v>
      </c>
      <c r="M66" s="187">
        <v>0</v>
      </c>
      <c r="N66" s="187">
        <v>0</v>
      </c>
      <c r="O66" s="189">
        <v>0</v>
      </c>
      <c r="P66" s="190"/>
      <c r="Q66" s="191" t="s">
        <v>190</v>
      </c>
      <c r="S66" s="154"/>
      <c r="T66" s="154"/>
      <c r="U66" s="154"/>
      <c r="V66" s="154"/>
      <c r="W66" s="154"/>
      <c r="X66" s="154"/>
      <c r="Y66" s="154"/>
      <c r="Z66" s="154"/>
      <c r="AA66" s="154"/>
      <c r="AB66" s="154"/>
      <c r="AC66" s="154"/>
      <c r="AD66" s="154"/>
      <c r="AE66" s="154"/>
      <c r="AF66" s="154"/>
      <c r="AG66" s="154"/>
      <c r="AH66" s="154"/>
      <c r="AI66" s="154"/>
      <c r="AJ66" s="154"/>
    </row>
    <row r="67" spans="1:36" ht="2.25" customHeight="1" thickTop="1">
      <c r="A67" s="192"/>
      <c r="B67" s="193"/>
      <c r="C67" s="193"/>
      <c r="D67" s="193"/>
      <c r="E67" s="193"/>
      <c r="F67" s="193"/>
      <c r="G67" s="193"/>
      <c r="H67" s="193"/>
      <c r="I67" s="193"/>
      <c r="J67" s="193"/>
      <c r="K67" s="193"/>
      <c r="L67" s="193"/>
      <c r="M67" s="193"/>
      <c r="N67" s="193"/>
      <c r="O67" s="193"/>
      <c r="P67" s="193"/>
      <c r="S67" s="154"/>
      <c r="T67" s="154"/>
      <c r="U67" s="154"/>
      <c r="V67" s="154"/>
      <c r="W67" s="154"/>
      <c r="X67" s="154"/>
      <c r="Y67" s="154"/>
      <c r="Z67" s="154"/>
      <c r="AA67" s="154"/>
      <c r="AB67" s="154"/>
      <c r="AC67" s="154"/>
      <c r="AD67" s="154"/>
      <c r="AE67" s="154"/>
      <c r="AF67" s="154"/>
      <c r="AG67" s="154"/>
      <c r="AH67" s="154"/>
      <c r="AI67" s="154"/>
      <c r="AJ67" s="154"/>
    </row>
    <row r="68" spans="1:36" s="193" customFormat="1" ht="10.5" customHeight="1">
      <c r="A68" s="84" t="s">
        <v>261</v>
      </c>
      <c r="B68" s="47"/>
      <c r="C68" s="52"/>
      <c r="D68" s="84" t="s">
        <v>262</v>
      </c>
      <c r="E68" s="84"/>
      <c r="F68" s="52"/>
      <c r="G68" s="52"/>
      <c r="Q68" s="194"/>
      <c r="S68" s="154"/>
      <c r="T68" s="154"/>
      <c r="U68" s="154"/>
      <c r="V68" s="154"/>
      <c r="W68" s="154"/>
      <c r="X68" s="154"/>
      <c r="Y68" s="154"/>
      <c r="Z68" s="154"/>
      <c r="AA68" s="154"/>
      <c r="AB68" s="154"/>
      <c r="AC68" s="154"/>
      <c r="AD68" s="154"/>
      <c r="AE68" s="154"/>
      <c r="AF68" s="154"/>
      <c r="AG68" s="154"/>
      <c r="AH68" s="154"/>
      <c r="AI68" s="154"/>
      <c r="AJ68" s="154"/>
    </row>
    <row r="69" spans="1:36" s="193" customFormat="1" ht="10.5" customHeight="1">
      <c r="A69" s="84" t="s">
        <v>263</v>
      </c>
      <c r="B69" s="47"/>
      <c r="C69" s="52"/>
      <c r="D69" s="84" t="s">
        <v>264</v>
      </c>
      <c r="E69" s="84"/>
      <c r="F69" s="52"/>
      <c r="G69" s="52"/>
      <c r="Q69" s="194"/>
    </row>
    <row r="70" spans="1:36" s="193" customFormat="1" ht="10.5" customHeight="1">
      <c r="A70" s="84" t="s">
        <v>265</v>
      </c>
      <c r="B70" s="47"/>
      <c r="C70" s="52"/>
      <c r="D70" s="52"/>
      <c r="E70" s="52"/>
      <c r="F70" s="52"/>
      <c r="G70" s="52"/>
      <c r="Q70" s="194"/>
    </row>
    <row r="71" spans="1:36" ht="10.5" customHeight="1">
      <c r="A71" s="193"/>
      <c r="B71" s="193"/>
      <c r="C71" s="193"/>
      <c r="D71" s="193"/>
      <c r="E71" s="193"/>
      <c r="F71" s="193"/>
      <c r="G71" s="193"/>
      <c r="J71" s="195"/>
    </row>
    <row r="72" spans="1:36" ht="10.5" customHeight="1">
      <c r="A72" s="193"/>
      <c r="B72" s="193"/>
      <c r="C72" s="193"/>
      <c r="D72" s="193"/>
      <c r="E72" s="193"/>
      <c r="F72" s="193"/>
      <c r="G72" s="193"/>
    </row>
  </sheetData>
  <mergeCells count="2">
    <mergeCell ref="A3:H3"/>
    <mergeCell ref="J3:Q3"/>
  </mergeCells>
  <pageMargins left="0.74803149606299213" right="0.74803149606299213" top="0.98425196850393704" bottom="0.98425196850393704" header="0.51181102362204722" footer="0.51181102362204722"/>
  <pageSetup paperSize="9" scale="87" firstPageNumber="202" fitToWidth="2" orientation="portrait" useFirstPageNumber="1" horizontalDpi="1200" verticalDpi="1200" r:id="rId1"/>
  <headerFooter alignWithMargins="0">
    <oddHeader>&amp;R&amp;"Arial,Bold"RENEWABLES</oddHeader>
    <oddFooter>&amp;C&amp;P</oddFooter>
  </headerFooter>
</worksheet>
</file>

<file path=xl/worksheets/sheet69.xml><?xml version="1.0" encoding="utf-8"?>
<worksheet xmlns="http://schemas.openxmlformats.org/spreadsheetml/2006/main" xmlns:r="http://schemas.openxmlformats.org/officeDocument/2006/relationships">
  <sheetPr codeName="Sheet56">
    <pageSetUpPr fitToPage="1"/>
  </sheetPr>
  <dimension ref="A1:U76"/>
  <sheetViews>
    <sheetView zoomScale="80" zoomScaleNormal="80" workbookViewId="0"/>
  </sheetViews>
  <sheetFormatPr defaultRowHeight="12.75"/>
  <cols>
    <col min="1" max="1" width="43.7109375" style="1327" customWidth="1"/>
    <col min="2" max="8" width="9.140625" style="1327" hidden="1" customWidth="1"/>
    <col min="9" max="9" width="0" style="1327" hidden="1" customWidth="1"/>
    <col min="10" max="10" width="9.140625" style="1455"/>
    <col min="11" max="256" width="9.140625" style="1327"/>
    <col min="257" max="257" width="43.7109375" style="1327" customWidth="1"/>
    <col min="258" max="265" width="0" style="1327" hidden="1" customWidth="1"/>
    <col min="266" max="512" width="9.140625" style="1327"/>
    <col min="513" max="513" width="43.7109375" style="1327" customWidth="1"/>
    <col min="514" max="521" width="0" style="1327" hidden="1" customWidth="1"/>
    <col min="522" max="768" width="9.140625" style="1327"/>
    <col min="769" max="769" width="43.7109375" style="1327" customWidth="1"/>
    <col min="770" max="777" width="0" style="1327" hidden="1" customWidth="1"/>
    <col min="778" max="1024" width="9.140625" style="1327"/>
    <col min="1025" max="1025" width="43.7109375" style="1327" customWidth="1"/>
    <col min="1026" max="1033" width="0" style="1327" hidden="1" customWidth="1"/>
    <col min="1034" max="1280" width="9.140625" style="1327"/>
    <col min="1281" max="1281" width="43.7109375" style="1327" customWidth="1"/>
    <col min="1282" max="1289" width="0" style="1327" hidden="1" customWidth="1"/>
    <col min="1290" max="1536" width="9.140625" style="1327"/>
    <col min="1537" max="1537" width="43.7109375" style="1327" customWidth="1"/>
    <col min="1538" max="1545" width="0" style="1327" hidden="1" customWidth="1"/>
    <col min="1546" max="1792" width="9.140625" style="1327"/>
    <col min="1793" max="1793" width="43.7109375" style="1327" customWidth="1"/>
    <col min="1794" max="1801" width="0" style="1327" hidden="1" customWidth="1"/>
    <col min="1802" max="2048" width="9.140625" style="1327"/>
    <col min="2049" max="2049" width="43.7109375" style="1327" customWidth="1"/>
    <col min="2050" max="2057" width="0" style="1327" hidden="1" customWidth="1"/>
    <col min="2058" max="2304" width="9.140625" style="1327"/>
    <col min="2305" max="2305" width="43.7109375" style="1327" customWidth="1"/>
    <col min="2306" max="2313" width="0" style="1327" hidden="1" customWidth="1"/>
    <col min="2314" max="2560" width="9.140625" style="1327"/>
    <col min="2561" max="2561" width="43.7109375" style="1327" customWidth="1"/>
    <col min="2562" max="2569" width="0" style="1327" hidden="1" customWidth="1"/>
    <col min="2570" max="2816" width="9.140625" style="1327"/>
    <col min="2817" max="2817" width="43.7109375" style="1327" customWidth="1"/>
    <col min="2818" max="2825" width="0" style="1327" hidden="1" customWidth="1"/>
    <col min="2826" max="3072" width="9.140625" style="1327"/>
    <col min="3073" max="3073" width="43.7109375" style="1327" customWidth="1"/>
    <col min="3074" max="3081" width="0" style="1327" hidden="1" customWidth="1"/>
    <col min="3082" max="3328" width="9.140625" style="1327"/>
    <col min="3329" max="3329" width="43.7109375" style="1327" customWidth="1"/>
    <col min="3330" max="3337" width="0" style="1327" hidden="1" customWidth="1"/>
    <col min="3338" max="3584" width="9.140625" style="1327"/>
    <col min="3585" max="3585" width="43.7109375" style="1327" customWidth="1"/>
    <col min="3586" max="3593" width="0" style="1327" hidden="1" customWidth="1"/>
    <col min="3594" max="3840" width="9.140625" style="1327"/>
    <col min="3841" max="3841" width="43.7109375" style="1327" customWidth="1"/>
    <col min="3842" max="3849" width="0" style="1327" hidden="1" customWidth="1"/>
    <col min="3850" max="4096" width="9.140625" style="1327"/>
    <col min="4097" max="4097" width="43.7109375" style="1327" customWidth="1"/>
    <col min="4098" max="4105" width="0" style="1327" hidden="1" customWidth="1"/>
    <col min="4106" max="4352" width="9.140625" style="1327"/>
    <col min="4353" max="4353" width="43.7109375" style="1327" customWidth="1"/>
    <col min="4354" max="4361" width="0" style="1327" hidden="1" customWidth="1"/>
    <col min="4362" max="4608" width="9.140625" style="1327"/>
    <col min="4609" max="4609" width="43.7109375" style="1327" customWidth="1"/>
    <col min="4610" max="4617" width="0" style="1327" hidden="1" customWidth="1"/>
    <col min="4618" max="4864" width="9.140625" style="1327"/>
    <col min="4865" max="4865" width="43.7109375" style="1327" customWidth="1"/>
    <col min="4866" max="4873" width="0" style="1327" hidden="1" customWidth="1"/>
    <col min="4874" max="5120" width="9.140625" style="1327"/>
    <col min="5121" max="5121" width="43.7109375" style="1327" customWidth="1"/>
    <col min="5122" max="5129" width="0" style="1327" hidden="1" customWidth="1"/>
    <col min="5130" max="5376" width="9.140625" style="1327"/>
    <col min="5377" max="5377" width="43.7109375" style="1327" customWidth="1"/>
    <col min="5378" max="5385" width="0" style="1327" hidden="1" customWidth="1"/>
    <col min="5386" max="5632" width="9.140625" style="1327"/>
    <col min="5633" max="5633" width="43.7109375" style="1327" customWidth="1"/>
    <col min="5634" max="5641" width="0" style="1327" hidden="1" customWidth="1"/>
    <col min="5642" max="5888" width="9.140625" style="1327"/>
    <col min="5889" max="5889" width="43.7109375" style="1327" customWidth="1"/>
    <col min="5890" max="5897" width="0" style="1327" hidden="1" customWidth="1"/>
    <col min="5898" max="6144" width="9.140625" style="1327"/>
    <col min="6145" max="6145" width="43.7109375" style="1327" customWidth="1"/>
    <col min="6146" max="6153" width="0" style="1327" hidden="1" customWidth="1"/>
    <col min="6154" max="6400" width="9.140625" style="1327"/>
    <col min="6401" max="6401" width="43.7109375" style="1327" customWidth="1"/>
    <col min="6402" max="6409" width="0" style="1327" hidden="1" customWidth="1"/>
    <col min="6410" max="6656" width="9.140625" style="1327"/>
    <col min="6657" max="6657" width="43.7109375" style="1327" customWidth="1"/>
    <col min="6658" max="6665" width="0" style="1327" hidden="1" customWidth="1"/>
    <col min="6666" max="6912" width="9.140625" style="1327"/>
    <col min="6913" max="6913" width="43.7109375" style="1327" customWidth="1"/>
    <col min="6914" max="6921" width="0" style="1327" hidden="1" customWidth="1"/>
    <col min="6922" max="7168" width="9.140625" style="1327"/>
    <col min="7169" max="7169" width="43.7109375" style="1327" customWidth="1"/>
    <col min="7170" max="7177" width="0" style="1327" hidden="1" customWidth="1"/>
    <col min="7178" max="7424" width="9.140625" style="1327"/>
    <col min="7425" max="7425" width="43.7109375" style="1327" customWidth="1"/>
    <col min="7426" max="7433" width="0" style="1327" hidden="1" customWidth="1"/>
    <col min="7434" max="7680" width="9.140625" style="1327"/>
    <col min="7681" max="7681" width="43.7109375" style="1327" customWidth="1"/>
    <col min="7682" max="7689" width="0" style="1327" hidden="1" customWidth="1"/>
    <col min="7690" max="7936" width="9.140625" style="1327"/>
    <col min="7937" max="7937" width="43.7109375" style="1327" customWidth="1"/>
    <col min="7938" max="7945" width="0" style="1327" hidden="1" customWidth="1"/>
    <col min="7946" max="8192" width="9.140625" style="1327"/>
    <col min="8193" max="8193" width="43.7109375" style="1327" customWidth="1"/>
    <col min="8194" max="8201" width="0" style="1327" hidden="1" customWidth="1"/>
    <col min="8202" max="8448" width="9.140625" style="1327"/>
    <col min="8449" max="8449" width="43.7109375" style="1327" customWidth="1"/>
    <col min="8450" max="8457" width="0" style="1327" hidden="1" customWidth="1"/>
    <col min="8458" max="8704" width="9.140625" style="1327"/>
    <col min="8705" max="8705" width="43.7109375" style="1327" customWidth="1"/>
    <col min="8706" max="8713" width="0" style="1327" hidden="1" customWidth="1"/>
    <col min="8714" max="8960" width="9.140625" style="1327"/>
    <col min="8961" max="8961" width="43.7109375" style="1327" customWidth="1"/>
    <col min="8962" max="8969" width="0" style="1327" hidden="1" customWidth="1"/>
    <col min="8970" max="9216" width="9.140625" style="1327"/>
    <col min="9217" max="9217" width="43.7109375" style="1327" customWidth="1"/>
    <col min="9218" max="9225" width="0" style="1327" hidden="1" customWidth="1"/>
    <col min="9226" max="9472" width="9.140625" style="1327"/>
    <col min="9473" max="9473" width="43.7109375" style="1327" customWidth="1"/>
    <col min="9474" max="9481" width="0" style="1327" hidden="1" customWidth="1"/>
    <col min="9482" max="9728" width="9.140625" style="1327"/>
    <col min="9729" max="9729" width="43.7109375" style="1327" customWidth="1"/>
    <col min="9730" max="9737" width="0" style="1327" hidden="1" customWidth="1"/>
    <col min="9738" max="9984" width="9.140625" style="1327"/>
    <col min="9985" max="9985" width="43.7109375" style="1327" customWidth="1"/>
    <col min="9986" max="9993" width="0" style="1327" hidden="1" customWidth="1"/>
    <col min="9994" max="10240" width="9.140625" style="1327"/>
    <col min="10241" max="10241" width="43.7109375" style="1327" customWidth="1"/>
    <col min="10242" max="10249" width="0" style="1327" hidden="1" customWidth="1"/>
    <col min="10250" max="10496" width="9.140625" style="1327"/>
    <col min="10497" max="10497" width="43.7109375" style="1327" customWidth="1"/>
    <col min="10498" max="10505" width="0" style="1327" hidden="1" customWidth="1"/>
    <col min="10506" max="10752" width="9.140625" style="1327"/>
    <col min="10753" max="10753" width="43.7109375" style="1327" customWidth="1"/>
    <col min="10754" max="10761" width="0" style="1327" hidden="1" customWidth="1"/>
    <col min="10762" max="11008" width="9.140625" style="1327"/>
    <col min="11009" max="11009" width="43.7109375" style="1327" customWidth="1"/>
    <col min="11010" max="11017" width="0" style="1327" hidden="1" customWidth="1"/>
    <col min="11018" max="11264" width="9.140625" style="1327"/>
    <col min="11265" max="11265" width="43.7109375" style="1327" customWidth="1"/>
    <col min="11266" max="11273" width="0" style="1327" hidden="1" customWidth="1"/>
    <col min="11274" max="11520" width="9.140625" style="1327"/>
    <col min="11521" max="11521" width="43.7109375" style="1327" customWidth="1"/>
    <col min="11522" max="11529" width="0" style="1327" hidden="1" customWidth="1"/>
    <col min="11530" max="11776" width="9.140625" style="1327"/>
    <col min="11777" max="11777" width="43.7109375" style="1327" customWidth="1"/>
    <col min="11778" max="11785" width="0" style="1327" hidden="1" customWidth="1"/>
    <col min="11786" max="12032" width="9.140625" style="1327"/>
    <col min="12033" max="12033" width="43.7109375" style="1327" customWidth="1"/>
    <col min="12034" max="12041" width="0" style="1327" hidden="1" customWidth="1"/>
    <col min="12042" max="12288" width="9.140625" style="1327"/>
    <col min="12289" max="12289" width="43.7109375" style="1327" customWidth="1"/>
    <col min="12290" max="12297" width="0" style="1327" hidden="1" customWidth="1"/>
    <col min="12298" max="12544" width="9.140625" style="1327"/>
    <col min="12545" max="12545" width="43.7109375" style="1327" customWidth="1"/>
    <col min="12546" max="12553" width="0" style="1327" hidden="1" customWidth="1"/>
    <col min="12554" max="12800" width="9.140625" style="1327"/>
    <col min="12801" max="12801" width="43.7109375" style="1327" customWidth="1"/>
    <col min="12802" max="12809" width="0" style="1327" hidden="1" customWidth="1"/>
    <col min="12810" max="13056" width="9.140625" style="1327"/>
    <col min="13057" max="13057" width="43.7109375" style="1327" customWidth="1"/>
    <col min="13058" max="13065" width="0" style="1327" hidden="1" customWidth="1"/>
    <col min="13066" max="13312" width="9.140625" style="1327"/>
    <col min="13313" max="13313" width="43.7109375" style="1327" customWidth="1"/>
    <col min="13314" max="13321" width="0" style="1327" hidden="1" customWidth="1"/>
    <col min="13322" max="13568" width="9.140625" style="1327"/>
    <col min="13569" max="13569" width="43.7109375" style="1327" customWidth="1"/>
    <col min="13570" max="13577" width="0" style="1327" hidden="1" customWidth="1"/>
    <col min="13578" max="13824" width="9.140625" style="1327"/>
    <col min="13825" max="13825" width="43.7109375" style="1327" customWidth="1"/>
    <col min="13826" max="13833" width="0" style="1327" hidden="1" customWidth="1"/>
    <col min="13834" max="14080" width="9.140625" style="1327"/>
    <col min="14081" max="14081" width="43.7109375" style="1327" customWidth="1"/>
    <col min="14082" max="14089" width="0" style="1327" hidden="1" customWidth="1"/>
    <col min="14090" max="14336" width="9.140625" style="1327"/>
    <col min="14337" max="14337" width="43.7109375" style="1327" customWidth="1"/>
    <col min="14338" max="14345" width="0" style="1327" hidden="1" customWidth="1"/>
    <col min="14346" max="14592" width="9.140625" style="1327"/>
    <col min="14593" max="14593" width="43.7109375" style="1327" customWidth="1"/>
    <col min="14594" max="14601" width="0" style="1327" hidden="1" customWidth="1"/>
    <col min="14602" max="14848" width="9.140625" style="1327"/>
    <col min="14849" max="14849" width="43.7109375" style="1327" customWidth="1"/>
    <col min="14850" max="14857" width="0" style="1327" hidden="1" customWidth="1"/>
    <col min="14858" max="15104" width="9.140625" style="1327"/>
    <col min="15105" max="15105" width="43.7109375" style="1327" customWidth="1"/>
    <col min="15106" max="15113" width="0" style="1327" hidden="1" customWidth="1"/>
    <col min="15114" max="15360" width="9.140625" style="1327"/>
    <col min="15361" max="15361" width="43.7109375" style="1327" customWidth="1"/>
    <col min="15362" max="15369" width="0" style="1327" hidden="1" customWidth="1"/>
    <col min="15370" max="15616" width="9.140625" style="1327"/>
    <col min="15617" max="15617" width="43.7109375" style="1327" customWidth="1"/>
    <col min="15618" max="15625" width="0" style="1327" hidden="1" customWidth="1"/>
    <col min="15626" max="15872" width="9.140625" style="1327"/>
    <col min="15873" max="15873" width="43.7109375" style="1327" customWidth="1"/>
    <col min="15874" max="15881" width="0" style="1327" hidden="1" customWidth="1"/>
    <col min="15882" max="16128" width="9.140625" style="1327"/>
    <col min="16129" max="16129" width="43.7109375" style="1327" customWidth="1"/>
    <col min="16130" max="16137" width="0" style="1327" hidden="1" customWidth="1"/>
    <col min="16138" max="16384" width="9.140625" style="1327"/>
  </cols>
  <sheetData>
    <row r="1" spans="1:21" s="1320" customFormat="1" ht="23.25">
      <c r="A1" s="1313" t="s">
        <v>1732</v>
      </c>
      <c r="B1" s="1965"/>
      <c r="C1" s="1965"/>
      <c r="D1" s="1965"/>
      <c r="E1" s="1965"/>
      <c r="F1" s="1965"/>
      <c r="J1" s="1966"/>
    </row>
    <row r="2" spans="1:21" s="1320" customFormat="1" ht="23.25">
      <c r="A2" s="1313" t="s">
        <v>1733</v>
      </c>
      <c r="B2" s="1965"/>
      <c r="C2" s="1965"/>
      <c r="D2" s="1965"/>
      <c r="E2" s="1967"/>
      <c r="F2" s="1967"/>
      <c r="G2" s="1967"/>
      <c r="J2" s="1455"/>
    </row>
    <row r="3" spans="1:21" ht="13.5" thickBot="1">
      <c r="M3" s="1968"/>
      <c r="N3" s="1968"/>
    </row>
    <row r="4" spans="1:21" ht="13.5" thickTop="1">
      <c r="A4" s="1335"/>
      <c r="B4" s="1335">
        <v>1996</v>
      </c>
      <c r="C4" s="1335">
        <v>1997</v>
      </c>
      <c r="D4" s="1335">
        <v>1998</v>
      </c>
      <c r="E4" s="1335">
        <v>1999</v>
      </c>
      <c r="F4" s="1335">
        <v>2000</v>
      </c>
      <c r="G4" s="1335">
        <v>2001</v>
      </c>
      <c r="H4" s="1335">
        <v>2002</v>
      </c>
      <c r="I4" s="1335">
        <v>2003</v>
      </c>
      <c r="J4" s="1969">
        <v>2004</v>
      </c>
      <c r="K4" s="1969">
        <v>2005</v>
      </c>
      <c r="L4" s="1969">
        <v>2006</v>
      </c>
      <c r="M4" s="1970">
        <v>2007</v>
      </c>
      <c r="N4" s="1970">
        <v>2008</v>
      </c>
    </row>
    <row r="5" spans="1:21" ht="12.75" customHeight="1">
      <c r="A5" s="1971" t="s">
        <v>1734</v>
      </c>
      <c r="B5" s="1398"/>
      <c r="C5" s="1398"/>
      <c r="D5" s="1398"/>
      <c r="E5" s="1398"/>
      <c r="F5" s="1398"/>
      <c r="G5" s="1398"/>
      <c r="H5" s="1398"/>
      <c r="I5" s="1398"/>
      <c r="J5" s="1392"/>
      <c r="K5" s="1392"/>
      <c r="L5" s="1392"/>
    </row>
    <row r="6" spans="1:21" ht="12.75" customHeight="1">
      <c r="A6" s="1325" t="s">
        <v>1735</v>
      </c>
      <c r="B6" s="1398"/>
      <c r="C6" s="1398"/>
      <c r="D6" s="1398"/>
      <c r="E6" s="1398"/>
      <c r="F6" s="1398"/>
      <c r="G6" s="1398"/>
      <c r="H6" s="1398"/>
      <c r="I6" s="1398"/>
      <c r="J6" s="1392"/>
      <c r="K6" s="1392"/>
      <c r="L6" s="1392"/>
    </row>
    <row r="7" spans="1:21" ht="12.75" customHeight="1">
      <c r="A7" s="1323" t="s">
        <v>1736</v>
      </c>
      <c r="B7" s="1972">
        <v>237.67899999999997</v>
      </c>
      <c r="C7" s="1972">
        <v>321.68399999999997</v>
      </c>
      <c r="D7" s="1972">
        <v>331.32</v>
      </c>
      <c r="E7" s="1972">
        <v>356.99</v>
      </c>
      <c r="F7" s="1972">
        <v>407.99</v>
      </c>
      <c r="G7" s="1972">
        <v>423.44699999999989</v>
      </c>
      <c r="H7" s="1972">
        <v>530.63700000000006</v>
      </c>
      <c r="I7" s="1972">
        <v>678.37700051857405</v>
      </c>
      <c r="J7" s="1972">
        <v>809.36</v>
      </c>
      <c r="K7" s="1972">
        <v>1351.2</v>
      </c>
      <c r="L7" s="1972">
        <v>1650.7156</v>
      </c>
      <c r="M7" s="1972">
        <v>2083.375</v>
      </c>
      <c r="N7" s="1972">
        <v>2820.223</v>
      </c>
      <c r="Q7" s="1973"/>
      <c r="R7" s="1973"/>
      <c r="S7" s="1973"/>
      <c r="T7" s="1973"/>
      <c r="U7" s="1973"/>
    </row>
    <row r="8" spans="1:21" ht="12.75" customHeight="1">
      <c r="A8" s="1323" t="s">
        <v>1737</v>
      </c>
      <c r="B8" s="1972">
        <v>0</v>
      </c>
      <c r="C8" s="1972">
        <v>0</v>
      </c>
      <c r="D8" s="1972">
        <v>0</v>
      </c>
      <c r="E8" s="1972">
        <v>0</v>
      </c>
      <c r="F8" s="1972">
        <v>3.8</v>
      </c>
      <c r="G8" s="1972">
        <v>3.8</v>
      </c>
      <c r="H8" s="1972">
        <v>3.8</v>
      </c>
      <c r="I8" s="1972">
        <v>63.8</v>
      </c>
      <c r="J8" s="1972">
        <v>123.8</v>
      </c>
      <c r="K8" s="1972">
        <v>213.8</v>
      </c>
      <c r="L8" s="1972">
        <v>303.8</v>
      </c>
      <c r="M8" s="1972">
        <v>393.8</v>
      </c>
      <c r="N8" s="1972">
        <v>586</v>
      </c>
      <c r="Q8" s="1973"/>
      <c r="R8" s="1973"/>
      <c r="S8" s="1973"/>
      <c r="T8" s="1973"/>
      <c r="U8" s="1973"/>
    </row>
    <row r="9" spans="1:21" ht="12.75" customHeight="1">
      <c r="A9" s="1323" t="s">
        <v>1738</v>
      </c>
      <c r="B9" s="1972">
        <v>0</v>
      </c>
      <c r="C9" s="1972">
        <v>0</v>
      </c>
      <c r="D9" s="1972">
        <v>0</v>
      </c>
      <c r="E9" s="1972">
        <v>0</v>
      </c>
      <c r="F9" s="1972">
        <v>0.5</v>
      </c>
      <c r="G9" s="1972">
        <v>0.5</v>
      </c>
      <c r="H9" s="1972">
        <v>0.5</v>
      </c>
      <c r="I9" s="1972">
        <v>0.5</v>
      </c>
      <c r="J9" s="1972">
        <v>0.5</v>
      </c>
      <c r="K9" s="1972">
        <v>0.5</v>
      </c>
      <c r="L9" s="1972">
        <v>0.5</v>
      </c>
      <c r="M9" s="1972">
        <v>0.5</v>
      </c>
      <c r="N9" s="1972">
        <v>0.5</v>
      </c>
      <c r="Q9" s="1973"/>
      <c r="R9" s="1973"/>
      <c r="S9" s="1973"/>
      <c r="T9" s="1973"/>
      <c r="U9" s="1973"/>
    </row>
    <row r="10" spans="1:21" ht="12.75" customHeight="1">
      <c r="A10" s="1323" t="s">
        <v>1739</v>
      </c>
      <c r="B10" s="1972">
        <v>0.42299999999999999</v>
      </c>
      <c r="C10" s="1972">
        <v>0.58899999999999997</v>
      </c>
      <c r="D10" s="1972">
        <v>0.69</v>
      </c>
      <c r="E10" s="1972">
        <v>1.131</v>
      </c>
      <c r="F10" s="1972">
        <v>1.929</v>
      </c>
      <c r="G10" s="1972">
        <v>2.746</v>
      </c>
      <c r="H10" s="1972">
        <v>4.1360000000000001</v>
      </c>
      <c r="I10" s="1972">
        <v>6.0019999999999998</v>
      </c>
      <c r="J10" s="1972">
        <v>8.1639999999999997</v>
      </c>
      <c r="K10" s="1972">
        <v>10.9</v>
      </c>
      <c r="L10" s="1972">
        <v>14.26</v>
      </c>
      <c r="M10" s="1974">
        <v>18.100000000000001</v>
      </c>
      <c r="N10" s="1972">
        <v>22.5</v>
      </c>
      <c r="Q10" s="1973"/>
      <c r="R10" s="1973"/>
      <c r="S10" s="1973"/>
      <c r="T10" s="1973"/>
      <c r="U10" s="1973"/>
    </row>
    <row r="11" spans="1:21" ht="12.75" customHeight="1">
      <c r="A11" s="1323" t="s">
        <v>1740</v>
      </c>
      <c r="B11" s="1972">
        <v>0</v>
      </c>
      <c r="C11" s="1972">
        <v>0</v>
      </c>
      <c r="D11" s="1972">
        <v>0</v>
      </c>
      <c r="E11" s="1972">
        <v>0</v>
      </c>
      <c r="F11" s="1972">
        <v>0</v>
      </c>
      <c r="G11" s="1972">
        <v>0</v>
      </c>
      <c r="H11" s="1972">
        <v>0</v>
      </c>
      <c r="I11" s="1972">
        <v>0</v>
      </c>
      <c r="J11" s="1972"/>
      <c r="K11" s="1972"/>
      <c r="L11" s="1972"/>
      <c r="M11" s="1972"/>
      <c r="N11" s="1972"/>
      <c r="Q11" s="1973"/>
      <c r="R11" s="1973"/>
      <c r="S11" s="1973"/>
      <c r="T11" s="1973"/>
      <c r="U11" s="1973"/>
    </row>
    <row r="12" spans="1:21" ht="12.75" customHeight="1">
      <c r="A12" s="1323" t="s">
        <v>1741</v>
      </c>
      <c r="B12" s="1972">
        <v>175.17857142857142</v>
      </c>
      <c r="C12" s="1972">
        <v>162.52777777777777</v>
      </c>
      <c r="D12" s="1972">
        <v>171.08277777777778</v>
      </c>
      <c r="E12" s="1972">
        <v>176.69444444444446</v>
      </c>
      <c r="F12" s="1972">
        <v>183.55555555555554</v>
      </c>
      <c r="G12" s="1972">
        <v>188.6958333333333</v>
      </c>
      <c r="H12" s="1972">
        <v>194.24600000000001</v>
      </c>
      <c r="I12" s="1972">
        <v>129.97800000000001</v>
      </c>
      <c r="J12" s="1972">
        <v>142.92700000000005</v>
      </c>
      <c r="K12" s="1972">
        <v>157.93700000000001</v>
      </c>
      <c r="L12" s="1972">
        <v>153.35600000000002</v>
      </c>
      <c r="M12" s="1972">
        <v>166.2295</v>
      </c>
      <c r="N12" s="1972">
        <v>173.29650000000001</v>
      </c>
      <c r="Q12" s="1973"/>
      <c r="R12" s="1973"/>
      <c r="S12" s="1973"/>
      <c r="T12" s="1973"/>
      <c r="U12" s="1973"/>
    </row>
    <row r="13" spans="1:21" ht="12.75" customHeight="1">
      <c r="A13" s="1323" t="s">
        <v>1742</v>
      </c>
      <c r="B13" s="1972">
        <v>1405.8</v>
      </c>
      <c r="C13" s="1972">
        <v>1428.8</v>
      </c>
      <c r="D13" s="1972">
        <v>1413</v>
      </c>
      <c r="E13" s="1972">
        <v>1413</v>
      </c>
      <c r="F13" s="1972">
        <v>1419</v>
      </c>
      <c r="G13" s="1972">
        <v>1440</v>
      </c>
      <c r="H13" s="1972">
        <v>1388.8</v>
      </c>
      <c r="I13" s="1972">
        <v>1354.52</v>
      </c>
      <c r="J13" s="1972">
        <v>1355.85</v>
      </c>
      <c r="K13" s="1972">
        <v>1343.15</v>
      </c>
      <c r="L13" s="1972">
        <v>1361.3910000000001</v>
      </c>
      <c r="M13" s="1972">
        <v>1358.6759999999999</v>
      </c>
      <c r="N13" s="1972">
        <v>1456.4760000000001</v>
      </c>
      <c r="Q13" s="1973"/>
      <c r="R13" s="1973"/>
      <c r="S13" s="1973"/>
      <c r="T13" s="1973"/>
      <c r="U13" s="1973"/>
    </row>
    <row r="14" spans="1:21" ht="12.75" customHeight="1">
      <c r="A14" s="1323" t="s">
        <v>1743</v>
      </c>
      <c r="B14" s="1972">
        <v>0</v>
      </c>
      <c r="C14" s="1972">
        <v>0</v>
      </c>
      <c r="D14" s="1972">
        <v>0</v>
      </c>
      <c r="E14" s="1972">
        <v>0</v>
      </c>
      <c r="F14" s="1972">
        <v>0</v>
      </c>
      <c r="G14" s="1972">
        <v>0</v>
      </c>
      <c r="H14" s="1972">
        <v>0</v>
      </c>
      <c r="I14" s="1972">
        <v>0</v>
      </c>
      <c r="J14" s="1972"/>
      <c r="K14" s="1972"/>
      <c r="L14" s="1972"/>
      <c r="M14" s="1972"/>
      <c r="N14" s="1972"/>
      <c r="Q14" s="1973"/>
      <c r="R14" s="1973"/>
      <c r="S14" s="1973"/>
      <c r="T14" s="1973"/>
      <c r="U14" s="1973"/>
    </row>
    <row r="15" spans="1:21" ht="12.75" customHeight="1">
      <c r="A15" s="1323" t="s">
        <v>1744</v>
      </c>
      <c r="B15" s="1972">
        <v>161.87777777777777</v>
      </c>
      <c r="C15" s="1972">
        <v>188.2</v>
      </c>
      <c r="D15" s="1972">
        <v>245.11111111111109</v>
      </c>
      <c r="E15" s="1972">
        <v>343.3</v>
      </c>
      <c r="F15" s="1972">
        <v>425.13333333333333</v>
      </c>
      <c r="G15" s="1972">
        <v>464.74611111111119</v>
      </c>
      <c r="H15" s="1972">
        <v>472.93466377258301</v>
      </c>
      <c r="I15" s="1972">
        <v>619.05999999999995</v>
      </c>
      <c r="J15" s="1972">
        <v>722.22</v>
      </c>
      <c r="K15" s="1972">
        <v>817.8</v>
      </c>
      <c r="L15" s="1972">
        <v>856.178</v>
      </c>
      <c r="M15" s="1972">
        <v>900.63599999999997</v>
      </c>
      <c r="N15" s="1972">
        <v>908.31500000000005</v>
      </c>
      <c r="Q15" s="1973"/>
      <c r="R15" s="1973"/>
      <c r="S15" s="1973"/>
      <c r="T15" s="1973"/>
      <c r="U15" s="1973"/>
    </row>
    <row r="16" spans="1:21" ht="12.75" customHeight="1">
      <c r="A16" s="1323" t="s">
        <v>1745</v>
      </c>
      <c r="B16" s="1972">
        <v>87.2</v>
      </c>
      <c r="C16" s="1972">
        <v>86.8</v>
      </c>
      <c r="D16" s="1972">
        <v>89.8</v>
      </c>
      <c r="E16" s="1972">
        <v>91.3</v>
      </c>
      <c r="F16" s="1972">
        <v>85.3</v>
      </c>
      <c r="G16" s="1972">
        <v>85</v>
      </c>
      <c r="H16" s="1972">
        <v>96.029585830867305</v>
      </c>
      <c r="I16" s="1972">
        <v>123.724</v>
      </c>
      <c r="J16" s="1972">
        <v>131.94200000000001</v>
      </c>
      <c r="K16" s="1972">
        <v>139.63800000000001</v>
      </c>
      <c r="L16" s="1972">
        <v>146.399</v>
      </c>
      <c r="M16" s="1974">
        <v>149.977</v>
      </c>
      <c r="N16" s="1972">
        <v>152.23500000000001</v>
      </c>
      <c r="Q16" s="1973"/>
      <c r="R16" s="1973"/>
      <c r="S16" s="1973"/>
      <c r="T16" s="1973"/>
      <c r="U16" s="1973"/>
    </row>
    <row r="17" spans="1:21" ht="12.75" customHeight="1">
      <c r="A17" s="1975" t="s">
        <v>1746</v>
      </c>
      <c r="B17" s="1972">
        <v>150.58013698630137</v>
      </c>
      <c r="C17" s="1972">
        <v>150.58000000000001</v>
      </c>
      <c r="D17" s="1972">
        <v>204.08</v>
      </c>
      <c r="E17" s="1972">
        <v>229.63</v>
      </c>
      <c r="F17" s="1972">
        <v>253.21</v>
      </c>
      <c r="G17" s="1972">
        <v>260.01</v>
      </c>
      <c r="H17" s="1972">
        <v>278.88397097587585</v>
      </c>
      <c r="I17" s="1972">
        <v>292</v>
      </c>
      <c r="J17" s="1974">
        <v>300.60000000000002</v>
      </c>
      <c r="K17" s="1974">
        <v>314.60000000000002</v>
      </c>
      <c r="L17" s="1972">
        <v>326.45</v>
      </c>
      <c r="M17" s="1972">
        <v>326.404</v>
      </c>
      <c r="N17" s="1972">
        <v>375.9</v>
      </c>
      <c r="Q17" s="1973"/>
      <c r="R17" s="1973"/>
      <c r="S17" s="1973"/>
      <c r="T17" s="1973"/>
      <c r="U17" s="1973"/>
    </row>
    <row r="18" spans="1:21" ht="12.75" customHeight="1">
      <c r="A18" s="1975" t="s">
        <v>1747</v>
      </c>
      <c r="B18" s="1972">
        <v>27.1</v>
      </c>
      <c r="C18" s="1972">
        <v>27.1</v>
      </c>
      <c r="D18" s="1972">
        <v>82.7</v>
      </c>
      <c r="E18" s="1972">
        <v>82.7</v>
      </c>
      <c r="F18" s="1972">
        <v>92.7</v>
      </c>
      <c r="G18" s="1972">
        <v>92.7</v>
      </c>
      <c r="H18" s="1972">
        <v>93.000000190734866</v>
      </c>
      <c r="I18" s="1972">
        <v>94.430000190734873</v>
      </c>
      <c r="J18" s="1972">
        <v>86.486000000000004</v>
      </c>
      <c r="K18" s="1972">
        <v>86.616</v>
      </c>
      <c r="L18" s="1972">
        <v>88.903000000000006</v>
      </c>
      <c r="M18" s="1972">
        <v>114.40300000000001</v>
      </c>
      <c r="N18" s="1972">
        <v>114.40300000000001</v>
      </c>
      <c r="Q18" s="1973"/>
      <c r="R18" s="1973"/>
      <c r="S18" s="1973"/>
      <c r="T18" s="1973"/>
      <c r="U18" s="1973"/>
    </row>
    <row r="19" spans="1:21" ht="12.75" customHeight="1">
      <c r="A19" s="1372" t="s">
        <v>1748</v>
      </c>
      <c r="B19" s="1976">
        <v>25</v>
      </c>
      <c r="C19" s="1976">
        <v>25.1</v>
      </c>
      <c r="D19" s="1976">
        <v>25.303999999999998</v>
      </c>
      <c r="E19" s="1976">
        <v>25.3</v>
      </c>
      <c r="F19" s="1976">
        <v>64.304000000000002</v>
      </c>
      <c r="G19" s="1976">
        <v>64.304000000000002</v>
      </c>
      <c r="H19" s="1976">
        <v>83.46</v>
      </c>
      <c r="I19" s="1976">
        <v>89.49</v>
      </c>
      <c r="J19" s="1976">
        <v>89.79</v>
      </c>
      <c r="K19" s="1976">
        <v>99.510999999999996</v>
      </c>
      <c r="L19" s="1976">
        <v>132.44</v>
      </c>
      <c r="M19" s="1976">
        <v>189.476</v>
      </c>
      <c r="N19" s="1976">
        <v>193.25699999999998</v>
      </c>
      <c r="Q19" s="1973"/>
      <c r="R19" s="1973"/>
      <c r="S19" s="1973"/>
      <c r="T19" s="1973"/>
      <c r="U19" s="1973"/>
    </row>
    <row r="20" spans="1:21" ht="12.75" customHeight="1" thickBot="1">
      <c r="A20" s="1323" t="s">
        <v>1749</v>
      </c>
      <c r="B20" s="1972">
        <v>451.75791476407915</v>
      </c>
      <c r="C20" s="1972">
        <v>477.78</v>
      </c>
      <c r="D20" s="1972">
        <v>646.9951111111111</v>
      </c>
      <c r="E20" s="1972">
        <v>772.23</v>
      </c>
      <c r="F20" s="1972">
        <v>920.64733333333322</v>
      </c>
      <c r="G20" s="1972">
        <v>966.76011111111109</v>
      </c>
      <c r="H20" s="1972">
        <v>1024.3082207700611</v>
      </c>
      <c r="I20" s="1972">
        <v>1218.7040001907351</v>
      </c>
      <c r="J20" s="1974">
        <v>1331.0380000000002</v>
      </c>
      <c r="K20" s="1974">
        <v>1458.165</v>
      </c>
      <c r="L20" s="1972">
        <v>1550.37</v>
      </c>
      <c r="M20" s="1974">
        <v>1680.8960000000002</v>
      </c>
      <c r="N20" s="1972">
        <v>1744.11</v>
      </c>
      <c r="Q20" s="1973"/>
      <c r="R20" s="1973"/>
      <c r="S20" s="1973"/>
      <c r="T20" s="1973"/>
      <c r="U20" s="1973"/>
    </row>
    <row r="21" spans="1:21" ht="12.75" customHeight="1" thickTop="1" thickBot="1">
      <c r="A21" s="1977" t="s">
        <v>148</v>
      </c>
      <c r="B21" s="1978">
        <v>2270.8384861926506</v>
      </c>
      <c r="C21" s="1978">
        <v>2391.3807777777774</v>
      </c>
      <c r="D21" s="1978">
        <v>2563.0878888888892</v>
      </c>
      <c r="E21" s="1978">
        <v>2720.0454444444449</v>
      </c>
      <c r="F21" s="1978">
        <v>2937.421888888889</v>
      </c>
      <c r="G21" s="1978">
        <v>3025.9489444444444</v>
      </c>
      <c r="H21" s="1978">
        <v>3146.4272207700606</v>
      </c>
      <c r="I21" s="1978">
        <v>3451.8810007093089</v>
      </c>
      <c r="J21" s="1979">
        <v>3771.6389999999997</v>
      </c>
      <c r="K21" s="1979">
        <v>4535.652000000001</v>
      </c>
      <c r="L21" s="1978">
        <v>5034.3926000000001</v>
      </c>
      <c r="M21" s="1979">
        <v>5701.5765000000001</v>
      </c>
      <c r="N21" s="1978">
        <v>6803.1054999999988</v>
      </c>
      <c r="Q21" s="1973"/>
      <c r="R21" s="1973"/>
      <c r="S21" s="1973"/>
      <c r="T21" s="1973"/>
      <c r="U21" s="1973"/>
    </row>
    <row r="22" spans="1:21" ht="12.75" customHeight="1" thickTop="1" thickBot="1">
      <c r="A22" s="1980" t="s">
        <v>1750</v>
      </c>
      <c r="B22" s="1981">
        <v>0</v>
      </c>
      <c r="C22" s="1981">
        <v>0</v>
      </c>
      <c r="D22" s="1981">
        <v>0</v>
      </c>
      <c r="E22" s="1981">
        <v>0</v>
      </c>
      <c r="F22" s="1981">
        <v>0</v>
      </c>
      <c r="G22" s="1981">
        <v>0</v>
      </c>
      <c r="H22" s="1981" t="s">
        <v>279</v>
      </c>
      <c r="I22" s="1981">
        <v>92.4</v>
      </c>
      <c r="J22" s="1981">
        <v>146.16</v>
      </c>
      <c r="K22" s="1981">
        <v>308.79000000000002</v>
      </c>
      <c r="L22" s="1981">
        <v>310.22000000000003</v>
      </c>
      <c r="M22" s="1981">
        <v>247.61</v>
      </c>
      <c r="N22" s="1981">
        <v>226.85</v>
      </c>
      <c r="Q22" s="1973"/>
      <c r="R22" s="1973"/>
      <c r="S22" s="1973"/>
      <c r="T22" s="1973"/>
      <c r="U22" s="1973"/>
    </row>
    <row r="23" spans="1:21" ht="12.75" customHeight="1" thickTop="1">
      <c r="A23" s="1971" t="s">
        <v>1751</v>
      </c>
      <c r="B23" s="1392"/>
      <c r="C23" s="1392"/>
      <c r="D23" s="1392"/>
      <c r="E23" s="1392"/>
      <c r="F23" s="1392"/>
      <c r="G23" s="1392"/>
      <c r="H23" s="1392"/>
      <c r="I23" s="1392"/>
      <c r="J23" s="1392"/>
      <c r="K23" s="1392"/>
      <c r="L23" s="1392"/>
      <c r="M23" s="1392"/>
      <c r="N23" s="1392"/>
      <c r="Q23" s="1973"/>
      <c r="R23" s="1973"/>
      <c r="S23" s="1973"/>
      <c r="T23" s="1973"/>
      <c r="U23" s="1973"/>
    </row>
    <row r="24" spans="1:21" ht="12.75" customHeight="1">
      <c r="A24" s="1325" t="s">
        <v>1735</v>
      </c>
      <c r="B24" s="1392"/>
      <c r="C24" s="1392"/>
      <c r="D24" s="1392"/>
      <c r="E24" s="1392"/>
      <c r="F24" s="1392"/>
      <c r="G24" s="1392"/>
      <c r="H24" s="1392"/>
      <c r="I24" s="1392"/>
      <c r="J24" s="1392"/>
      <c r="K24" s="1392"/>
      <c r="L24" s="1392"/>
      <c r="M24" s="1982"/>
      <c r="N24" s="1982"/>
      <c r="Q24" s="1973"/>
      <c r="R24" s="1973"/>
      <c r="S24" s="1973"/>
      <c r="T24" s="1973"/>
      <c r="U24" s="1973"/>
    </row>
    <row r="25" spans="1:21" ht="12.75" customHeight="1">
      <c r="A25" s="1323" t="s">
        <v>1752</v>
      </c>
      <c r="B25" s="1982">
        <v>487.71684599999998</v>
      </c>
      <c r="C25" s="1982">
        <v>666.98436000000004</v>
      </c>
      <c r="D25" s="1982">
        <v>876.86161000000004</v>
      </c>
      <c r="E25" s="1982">
        <v>850.1691800000001</v>
      </c>
      <c r="F25" s="1982">
        <v>944.9279600000001</v>
      </c>
      <c r="G25" s="1982">
        <v>960.14426600000013</v>
      </c>
      <c r="H25" s="1982">
        <v>1251.2433685892802</v>
      </c>
      <c r="I25" s="1982">
        <v>1275.5057328800001</v>
      </c>
      <c r="J25" s="1982">
        <v>1736.3943000000002</v>
      </c>
      <c r="K25" s="1982">
        <v>2501.1861400000003</v>
      </c>
      <c r="L25" s="1982">
        <v>3573.6511003999999</v>
      </c>
      <c r="M25" s="1982">
        <v>4491.2822999999999</v>
      </c>
      <c r="N25" s="1982">
        <v>5792.1491539999997</v>
      </c>
      <c r="Q25" s="1973"/>
      <c r="R25" s="1973"/>
      <c r="S25" s="1973"/>
      <c r="T25" s="1973"/>
      <c r="U25" s="1973"/>
    </row>
    <row r="26" spans="1:21" ht="12.75" customHeight="1">
      <c r="A26" s="1323" t="s">
        <v>1753</v>
      </c>
      <c r="B26" s="1982">
        <v>0</v>
      </c>
      <c r="C26" s="1982">
        <v>0</v>
      </c>
      <c r="D26" s="1982">
        <v>0</v>
      </c>
      <c r="E26" s="1982">
        <v>0</v>
      </c>
      <c r="F26" s="1982">
        <v>0.9</v>
      </c>
      <c r="G26" s="1982">
        <v>4.9647915555555553</v>
      </c>
      <c r="H26" s="1982">
        <v>4.8328170000000004</v>
      </c>
      <c r="I26" s="1982">
        <v>9.8700010000000002</v>
      </c>
      <c r="J26" s="1982">
        <v>198.715418</v>
      </c>
      <c r="K26" s="1982">
        <v>402.73547000000002</v>
      </c>
      <c r="L26" s="1982">
        <v>651.40650000000005</v>
      </c>
      <c r="M26" s="1982">
        <v>782.55239999999992</v>
      </c>
      <c r="N26" s="1982">
        <v>1305.135227</v>
      </c>
      <c r="Q26" s="1973"/>
      <c r="R26" s="1973"/>
      <c r="S26" s="1973"/>
      <c r="T26" s="1973"/>
      <c r="U26" s="1973"/>
    </row>
    <row r="27" spans="1:21" ht="12.75" customHeight="1">
      <c r="A27" s="1323" t="s">
        <v>1739</v>
      </c>
      <c r="B27" s="1982">
        <v>0</v>
      </c>
      <c r="C27" s="1982">
        <v>0</v>
      </c>
      <c r="D27" s="1982">
        <v>0</v>
      </c>
      <c r="E27" s="1982">
        <v>0.67</v>
      </c>
      <c r="F27" s="1982">
        <v>1.2675000000000001</v>
      </c>
      <c r="G27" s="1982">
        <v>1.82</v>
      </c>
      <c r="H27" s="1982">
        <v>2.6974999999999998</v>
      </c>
      <c r="I27" s="1982">
        <v>2.9445100000000002</v>
      </c>
      <c r="J27" s="1982">
        <v>4.0051500000000004</v>
      </c>
      <c r="K27" s="1982">
        <v>8.1750000000000007</v>
      </c>
      <c r="L27" s="1982">
        <v>10.695</v>
      </c>
      <c r="M27" s="1983">
        <v>14</v>
      </c>
      <c r="N27" s="1982">
        <v>17</v>
      </c>
      <c r="Q27" s="1973"/>
      <c r="R27" s="1973"/>
      <c r="S27" s="1973"/>
      <c r="T27" s="1973"/>
      <c r="U27" s="1973"/>
    </row>
    <row r="28" spans="1:21" ht="12.75" customHeight="1">
      <c r="A28" s="1323" t="s">
        <v>1740</v>
      </c>
      <c r="B28" s="1982">
        <v>0</v>
      </c>
      <c r="C28" s="1982">
        <v>0</v>
      </c>
      <c r="D28" s="1982">
        <v>0</v>
      </c>
      <c r="E28" s="1982">
        <v>0</v>
      </c>
      <c r="F28" s="1982">
        <v>0</v>
      </c>
      <c r="G28" s="1982">
        <v>0</v>
      </c>
      <c r="H28" s="1982">
        <v>0</v>
      </c>
      <c r="I28" s="1982">
        <v>0</v>
      </c>
      <c r="J28" s="1982"/>
      <c r="K28" s="1982"/>
      <c r="L28" s="1982"/>
      <c r="M28" s="1982"/>
      <c r="N28" s="1982"/>
      <c r="Q28" s="1973"/>
      <c r="R28" s="1973"/>
      <c r="S28" s="1973"/>
      <c r="T28" s="1973"/>
      <c r="U28" s="1973"/>
    </row>
    <row r="29" spans="1:21" ht="12.75" customHeight="1">
      <c r="A29" s="1323" t="s">
        <v>1741</v>
      </c>
      <c r="B29" s="1982">
        <v>117.58199999999999</v>
      </c>
      <c r="C29" s="1982">
        <v>163.55699999999999</v>
      </c>
      <c r="D29" s="1982">
        <v>206.38200000000001</v>
      </c>
      <c r="E29" s="1982">
        <v>207.33335215</v>
      </c>
      <c r="F29" s="1982">
        <v>214.21281829999998</v>
      </c>
      <c r="G29" s="1982">
        <v>210.22937319999997</v>
      </c>
      <c r="H29" s="1982">
        <v>203.50029053028399</v>
      </c>
      <c r="I29" s="1982">
        <v>150.0966</v>
      </c>
      <c r="J29" s="1982">
        <v>282.65436459000034</v>
      </c>
      <c r="K29" s="1982">
        <v>443.83478604000004</v>
      </c>
      <c r="L29" s="1982">
        <v>477.56794000000002</v>
      </c>
      <c r="M29" s="1982">
        <v>534.39980100000002</v>
      </c>
      <c r="N29" s="1982">
        <v>567.8575237</v>
      </c>
      <c r="Q29" s="1973"/>
      <c r="R29" s="1973"/>
      <c r="S29" s="1973"/>
      <c r="T29" s="1973"/>
      <c r="U29" s="1973"/>
    </row>
    <row r="30" spans="1:21" ht="12.75" customHeight="1">
      <c r="A30" s="1323" t="s">
        <v>1754</v>
      </c>
      <c r="B30" s="1982">
        <v>3274.6280000000002</v>
      </c>
      <c r="C30" s="1982">
        <v>4005.11</v>
      </c>
      <c r="D30" s="1982">
        <v>4910.87</v>
      </c>
      <c r="E30" s="1982">
        <v>5128.4399999999996</v>
      </c>
      <c r="F30" s="1982">
        <v>4871.04</v>
      </c>
      <c r="G30" s="1982">
        <v>3845.48</v>
      </c>
      <c r="H30" s="1982">
        <v>4584.42</v>
      </c>
      <c r="I30" s="1982">
        <v>2987.4119999999998</v>
      </c>
      <c r="J30" s="1982">
        <v>4561.3004884000002</v>
      </c>
      <c r="K30" s="1982">
        <v>4477.6480000000001</v>
      </c>
      <c r="L30" s="1982">
        <v>4115.4997999999996</v>
      </c>
      <c r="M30" s="1982">
        <v>4553.9933000000001</v>
      </c>
      <c r="N30" s="1982">
        <v>4599.9343830000007</v>
      </c>
      <c r="Q30" s="1973"/>
      <c r="R30" s="1973"/>
      <c r="S30" s="1973"/>
      <c r="T30" s="1973"/>
      <c r="U30" s="1973"/>
    </row>
    <row r="31" spans="1:21" ht="12.75" customHeight="1">
      <c r="A31" s="1323" t="s">
        <v>1743</v>
      </c>
      <c r="B31" s="1982">
        <v>0</v>
      </c>
      <c r="C31" s="1982">
        <v>0</v>
      </c>
      <c r="D31" s="1982">
        <v>0</v>
      </c>
      <c r="E31" s="1982">
        <v>0</v>
      </c>
      <c r="F31" s="1982">
        <v>0</v>
      </c>
      <c r="G31" s="1982">
        <v>0</v>
      </c>
      <c r="H31" s="1982">
        <v>0</v>
      </c>
      <c r="I31" s="1982">
        <v>0</v>
      </c>
      <c r="J31" s="1982"/>
      <c r="K31" s="1982"/>
      <c r="L31" s="1982"/>
      <c r="M31" s="1982"/>
      <c r="N31" s="1982"/>
      <c r="Q31" s="1973"/>
      <c r="R31" s="1973"/>
      <c r="S31" s="1973"/>
      <c r="T31" s="1973"/>
      <c r="U31" s="1973"/>
    </row>
    <row r="32" spans="1:21" ht="12.75" customHeight="1">
      <c r="A32" s="1323" t="s">
        <v>1755</v>
      </c>
      <c r="B32" s="1982">
        <v>707.54</v>
      </c>
      <c r="C32" s="1982">
        <v>917.91</v>
      </c>
      <c r="D32" s="1982">
        <v>1185.3699999999999</v>
      </c>
      <c r="E32" s="1982">
        <v>1702.6</v>
      </c>
      <c r="F32" s="1982">
        <v>2187.8200000000002</v>
      </c>
      <c r="G32" s="1982">
        <v>2507.0201889999998</v>
      </c>
      <c r="H32" s="1982">
        <v>2678.6277871919901</v>
      </c>
      <c r="I32" s="1982">
        <v>3276.2083575622087</v>
      </c>
      <c r="J32" s="1982">
        <v>4003.7444999999998</v>
      </c>
      <c r="K32" s="1982">
        <v>4290.48488</v>
      </c>
      <c r="L32" s="1982">
        <v>4424.4705496999995</v>
      </c>
      <c r="M32" s="1982">
        <v>4676.8110999999999</v>
      </c>
      <c r="N32" s="1982">
        <v>4757.2761</v>
      </c>
      <c r="Q32" s="1973"/>
      <c r="R32" s="1973"/>
      <c r="S32" s="1973"/>
      <c r="T32" s="1973"/>
      <c r="U32" s="1973"/>
    </row>
    <row r="33" spans="1:21" ht="12.75" customHeight="1">
      <c r="A33" s="1323" t="s">
        <v>1756</v>
      </c>
      <c r="B33" s="1982">
        <v>410.4</v>
      </c>
      <c r="C33" s="1982">
        <v>407.7</v>
      </c>
      <c r="D33" s="1982">
        <v>385.59205000000003</v>
      </c>
      <c r="E33" s="1982">
        <v>410.4</v>
      </c>
      <c r="F33" s="1982">
        <v>367.1</v>
      </c>
      <c r="G33" s="1982">
        <v>362.9</v>
      </c>
      <c r="H33" s="1982">
        <v>367.56000399999999</v>
      </c>
      <c r="I33" s="1982">
        <v>394.27249999999998</v>
      </c>
      <c r="J33" s="1982">
        <v>440.00780000000003</v>
      </c>
      <c r="K33" s="1982">
        <v>470.39760000000007</v>
      </c>
      <c r="L33" s="1982">
        <v>455.58249999999998</v>
      </c>
      <c r="M33" s="1983">
        <v>495.59629999999993</v>
      </c>
      <c r="N33" s="1982">
        <v>564.45780000000002</v>
      </c>
      <c r="Q33" s="1973"/>
      <c r="R33" s="1973"/>
      <c r="S33" s="1973"/>
      <c r="T33" s="1973"/>
      <c r="U33" s="1973"/>
    </row>
    <row r="34" spans="1:21" ht="12.75" customHeight="1">
      <c r="A34" s="1323" t="s">
        <v>1757</v>
      </c>
      <c r="B34" s="1982">
        <v>489.43314000000004</v>
      </c>
      <c r="C34" s="1982">
        <v>585.48797999999999</v>
      </c>
      <c r="D34" s="1982">
        <v>848.9502</v>
      </c>
      <c r="E34" s="1982">
        <v>856.40057999999999</v>
      </c>
      <c r="F34" s="1982">
        <v>839.77620300000001</v>
      </c>
      <c r="G34" s="1982">
        <v>879.7030625000001</v>
      </c>
      <c r="H34" s="1982">
        <v>907.2907567499999</v>
      </c>
      <c r="I34" s="1982">
        <v>964.95762500000001</v>
      </c>
      <c r="J34" s="1982">
        <v>971.07287500000007</v>
      </c>
      <c r="K34" s="1982">
        <v>963.83166875000018</v>
      </c>
      <c r="L34" s="1982">
        <v>1083.0907118749999</v>
      </c>
      <c r="M34" s="1982">
        <v>1177.439083125</v>
      </c>
      <c r="N34" s="1982">
        <v>1225.8643996888752</v>
      </c>
      <c r="Q34" s="1973"/>
      <c r="R34" s="1973"/>
      <c r="S34" s="1973"/>
      <c r="T34" s="1973"/>
      <c r="U34" s="1973"/>
    </row>
    <row r="35" spans="1:21" ht="12.75" customHeight="1">
      <c r="A35" s="1323" t="s">
        <v>1758</v>
      </c>
      <c r="B35" s="1982">
        <v>0</v>
      </c>
      <c r="C35" s="1982">
        <v>0</v>
      </c>
      <c r="D35" s="1982">
        <v>0</v>
      </c>
      <c r="E35" s="1982">
        <v>0</v>
      </c>
      <c r="F35" s="1982">
        <v>0</v>
      </c>
      <c r="G35" s="1982">
        <v>0</v>
      </c>
      <c r="H35" s="1982">
        <v>286.49</v>
      </c>
      <c r="I35" s="1982">
        <v>601.69899999999996</v>
      </c>
      <c r="J35" s="1982">
        <v>1021.568</v>
      </c>
      <c r="K35" s="1982">
        <v>2532.6917000000003</v>
      </c>
      <c r="L35" s="1982">
        <v>2527.5057349999997</v>
      </c>
      <c r="M35" s="1982">
        <v>1955.5196000000001</v>
      </c>
      <c r="N35" s="1982">
        <v>1612.753334</v>
      </c>
      <c r="Q35" s="1973"/>
      <c r="R35" s="1973"/>
      <c r="S35" s="1973"/>
      <c r="T35" s="1973"/>
      <c r="U35" s="1973"/>
    </row>
    <row r="36" spans="1:21" ht="12.75" customHeight="1">
      <c r="A36" s="1975" t="s">
        <v>1759</v>
      </c>
      <c r="B36" s="1982">
        <v>197.201188</v>
      </c>
      <c r="C36" s="1982">
        <v>198.64062899999999</v>
      </c>
      <c r="D36" s="1982">
        <v>234.1</v>
      </c>
      <c r="E36" s="1982">
        <v>458.96</v>
      </c>
      <c r="F36" s="1982">
        <v>455.70087000000001</v>
      </c>
      <c r="G36" s="1982">
        <v>542.10099000000002</v>
      </c>
      <c r="H36" s="1982">
        <v>568.24279200000001</v>
      </c>
      <c r="I36" s="1982">
        <v>534.61739999999998</v>
      </c>
      <c r="J36" s="1982">
        <v>565.22840000000008</v>
      </c>
      <c r="K36" s="1982">
        <v>467.67696000000001</v>
      </c>
      <c r="L36" s="1982">
        <v>434.15731</v>
      </c>
      <c r="M36" s="1982">
        <v>555.30909999999994</v>
      </c>
      <c r="N36" s="1982">
        <v>587.08116359999997</v>
      </c>
      <c r="Q36" s="1973"/>
      <c r="R36" s="1973"/>
      <c r="S36" s="1973"/>
      <c r="T36" s="1973"/>
      <c r="U36" s="1973"/>
    </row>
    <row r="37" spans="1:21" ht="12.75" customHeight="1">
      <c r="A37" s="1372" t="s">
        <v>1760</v>
      </c>
      <c r="B37" s="1982">
        <v>0</v>
      </c>
      <c r="C37" s="1982">
        <v>4.7548050000000001E-2</v>
      </c>
      <c r="D37" s="1982">
        <v>0.22963489999999998</v>
      </c>
      <c r="E37" s="1982">
        <v>0.75614879999999995</v>
      </c>
      <c r="F37" s="1982">
        <v>31.425058150000002</v>
      </c>
      <c r="G37" s="1982">
        <v>234.31389999999999</v>
      </c>
      <c r="H37" s="1982">
        <v>271.91425500000003</v>
      </c>
      <c r="I37" s="1982">
        <v>401.959</v>
      </c>
      <c r="J37" s="1982">
        <v>362.25628</v>
      </c>
      <c r="K37" s="1982">
        <v>381.70819219999998</v>
      </c>
      <c r="L37" s="1982">
        <v>362.76100000000002</v>
      </c>
      <c r="M37" s="1982">
        <v>408.980549</v>
      </c>
      <c r="N37" s="1982">
        <v>567.94512100000009</v>
      </c>
      <c r="Q37" s="1973"/>
      <c r="R37" s="1973"/>
      <c r="S37" s="1973"/>
      <c r="T37" s="1973"/>
      <c r="U37" s="1973"/>
    </row>
    <row r="38" spans="1:21" ht="12.75" customHeight="1" thickBot="1">
      <c r="A38" s="1984" t="s">
        <v>1761</v>
      </c>
      <c r="B38" s="1985">
        <v>1804.5743280000002</v>
      </c>
      <c r="C38" s="1985">
        <v>2109.7861570499999</v>
      </c>
      <c r="D38" s="1985">
        <v>2654.2418848999996</v>
      </c>
      <c r="E38" s="1985">
        <v>3429.1167288000001</v>
      </c>
      <c r="F38" s="1985">
        <v>3881.8221311500001</v>
      </c>
      <c r="G38" s="1985">
        <v>4526.0381415000002</v>
      </c>
      <c r="H38" s="1985">
        <v>5080.1255949419892</v>
      </c>
      <c r="I38" s="1985">
        <v>6173.7138825622087</v>
      </c>
      <c r="J38" s="1985">
        <v>7363.8778549999997</v>
      </c>
      <c r="K38" s="1985">
        <v>9106.791000950001</v>
      </c>
      <c r="L38" s="1985">
        <v>9287.5678065749998</v>
      </c>
      <c r="M38" s="1986">
        <v>9269.6557321250002</v>
      </c>
      <c r="N38" s="1985">
        <v>9315.3779182888757</v>
      </c>
      <c r="Q38" s="1973"/>
      <c r="R38" s="1973"/>
      <c r="S38" s="1973"/>
      <c r="T38" s="1973"/>
      <c r="U38" s="1973"/>
    </row>
    <row r="39" spans="1:21" ht="12.75" customHeight="1" thickTop="1" thickBot="1">
      <c r="A39" s="1977" t="s">
        <v>1762</v>
      </c>
      <c r="B39" s="1987">
        <v>5684.501174</v>
      </c>
      <c r="C39" s="1987">
        <v>6945.4375170499998</v>
      </c>
      <c r="D39" s="1987">
        <v>8648.3554949000008</v>
      </c>
      <c r="E39" s="1987">
        <v>9615.7292609499964</v>
      </c>
      <c r="F39" s="1987">
        <v>9914.1704094500001</v>
      </c>
      <c r="G39" s="1987">
        <v>9548.6765722555556</v>
      </c>
      <c r="H39" s="1987">
        <v>11126.819571061555</v>
      </c>
      <c r="I39" s="1987">
        <v>10599.542726442209</v>
      </c>
      <c r="J39" s="1987">
        <v>14146.947575989998</v>
      </c>
      <c r="K39" s="1987">
        <v>16940.370396990002</v>
      </c>
      <c r="L39" s="1987">
        <v>18116.388146974994</v>
      </c>
      <c r="M39" s="1988">
        <v>19645.883533124997</v>
      </c>
      <c r="N39" s="1987">
        <v>21597.454205988877</v>
      </c>
      <c r="Q39" s="1973"/>
      <c r="R39" s="1973"/>
      <c r="S39" s="1973"/>
      <c r="T39" s="1973"/>
      <c r="U39" s="1973"/>
    </row>
    <row r="40" spans="1:21" ht="12.75" customHeight="1" thickTop="1" thickBot="1">
      <c r="A40" s="1980" t="s">
        <v>1763</v>
      </c>
      <c r="B40" s="1989">
        <v>416.69885999999997</v>
      </c>
      <c r="C40" s="1989">
        <v>482.90372000000002</v>
      </c>
      <c r="D40" s="1989">
        <v>582.93799999999999</v>
      </c>
      <c r="E40" s="1989">
        <v>558.71442000000002</v>
      </c>
      <c r="F40" s="1989">
        <v>519.26889700000004</v>
      </c>
      <c r="G40" s="1989">
        <v>528.2118375</v>
      </c>
      <c r="H40" s="1989">
        <v>544.76445404999993</v>
      </c>
      <c r="I40" s="1989">
        <v>579.06507499999998</v>
      </c>
      <c r="J40" s="1989">
        <v>582.73422500000015</v>
      </c>
      <c r="K40" s="1989">
        <v>578.38950125000008</v>
      </c>
      <c r="L40" s="1989">
        <v>650.62942712500001</v>
      </c>
      <c r="M40" s="1989">
        <v>707.2384498749999</v>
      </c>
      <c r="N40" s="1989">
        <v>736.29363981332506</v>
      </c>
      <c r="Q40" s="1973"/>
      <c r="R40" s="1973"/>
      <c r="S40" s="1973"/>
      <c r="T40" s="1973"/>
      <c r="U40" s="1973"/>
    </row>
    <row r="41" spans="1:21" ht="12.75" customHeight="1" thickTop="1">
      <c r="A41" s="1425" t="s">
        <v>1764</v>
      </c>
      <c r="B41" s="1990"/>
      <c r="C41" s="1991"/>
      <c r="D41" s="1992"/>
      <c r="E41" s="1992"/>
      <c r="F41" s="1992"/>
      <c r="G41" s="1992"/>
      <c r="H41" s="1992"/>
      <c r="I41" s="1992"/>
      <c r="J41" s="1992"/>
      <c r="K41" s="1992"/>
      <c r="L41" s="1992"/>
      <c r="M41" s="1992"/>
      <c r="N41" s="1992"/>
      <c r="Q41" s="1973"/>
      <c r="R41" s="1973"/>
      <c r="S41" s="1973"/>
      <c r="T41" s="1973"/>
      <c r="U41" s="1973"/>
    </row>
    <row r="42" spans="1:21" ht="12.75" customHeight="1">
      <c r="A42" s="1323" t="s">
        <v>1765</v>
      </c>
      <c r="B42" s="1972">
        <v>25.4</v>
      </c>
      <c r="C42" s="1972">
        <v>27.223740977965178</v>
      </c>
      <c r="D42" s="1972">
        <v>30.657808315396558</v>
      </c>
      <c r="E42" s="1972">
        <v>28.199873968330479</v>
      </c>
      <c r="F42" s="1972">
        <v>28.201649346250857</v>
      </c>
      <c r="G42" s="1972">
        <v>26.365319276710473</v>
      </c>
      <c r="H42" s="1972">
        <v>29.94201788951737</v>
      </c>
      <c r="I42" s="1972">
        <v>24.086681743462488</v>
      </c>
      <c r="J42" s="1972">
        <v>26.646984961477486</v>
      </c>
      <c r="K42" s="1972">
        <v>26.430511715802417</v>
      </c>
      <c r="L42" s="1972">
        <v>27.179380983159383</v>
      </c>
      <c r="M42" s="1972">
        <v>27.460686620946454</v>
      </c>
      <c r="N42" s="1972">
        <v>26.968125907719223</v>
      </c>
      <c r="Q42" s="1973"/>
      <c r="R42" s="1973"/>
      <c r="S42" s="1973"/>
      <c r="T42" s="1973"/>
      <c r="U42" s="1973"/>
    </row>
    <row r="43" spans="1:21" ht="12.75" customHeight="1">
      <c r="A43" s="1323" t="s">
        <v>1766</v>
      </c>
      <c r="B43" s="1972" t="s">
        <v>279</v>
      </c>
      <c r="C43" s="1972" t="s">
        <v>279</v>
      </c>
      <c r="D43" s="1972" t="s">
        <v>279</v>
      </c>
      <c r="E43" s="1972" t="s">
        <v>279</v>
      </c>
      <c r="F43" s="1972" t="s">
        <v>279</v>
      </c>
      <c r="G43" s="1972" t="s">
        <v>1767</v>
      </c>
      <c r="H43" s="1972" t="s">
        <v>1767</v>
      </c>
      <c r="I43" s="1972" t="s">
        <v>1767</v>
      </c>
      <c r="J43" s="1972">
        <v>24.183804315019813</v>
      </c>
      <c r="K43" s="1972">
        <v>27.236000427405912</v>
      </c>
      <c r="L43" s="1972">
        <v>28.733181067519215</v>
      </c>
      <c r="M43" s="1972">
        <v>25.61137206233505</v>
      </c>
      <c r="N43" s="1972">
        <v>30.411928885868988</v>
      </c>
      <c r="Q43" s="1973"/>
      <c r="R43" s="1973"/>
      <c r="S43" s="1973"/>
      <c r="T43" s="1973"/>
      <c r="U43" s="1973"/>
    </row>
    <row r="44" spans="1:21" ht="12.75" customHeight="1">
      <c r="A44" s="1975" t="s">
        <v>1768</v>
      </c>
      <c r="B44" s="1993">
        <v>25.3</v>
      </c>
      <c r="C44" s="1993">
        <v>30.001845718939297</v>
      </c>
      <c r="D44" s="1993">
        <v>36.792797466304926</v>
      </c>
      <c r="E44" s="1993">
        <v>38.383698942964955</v>
      </c>
      <c r="F44" s="1993">
        <v>36.369852774145137</v>
      </c>
      <c r="G44" s="1993">
        <v>28.656422316556238</v>
      </c>
      <c r="H44" s="1993">
        <v>34.035502949747439</v>
      </c>
      <c r="I44" s="1993">
        <v>23.351781242047764</v>
      </c>
      <c r="J44" s="1993">
        <v>37.070862241088442</v>
      </c>
      <c r="K44" s="1993">
        <v>37.455904896303551</v>
      </c>
      <c r="L44" s="1994">
        <v>34.771330343106619</v>
      </c>
      <c r="M44" s="1993">
        <v>38.219289366241576</v>
      </c>
      <c r="N44" s="1993">
        <v>37.400367514948975</v>
      </c>
      <c r="Q44" s="1973"/>
      <c r="R44" s="1973"/>
      <c r="S44" s="1973"/>
      <c r="T44" s="1973"/>
      <c r="U44" s="1973"/>
    </row>
    <row r="45" spans="1:21" ht="12.75" customHeight="1" thickBot="1">
      <c r="A45" s="1995" t="s">
        <v>1769</v>
      </c>
      <c r="B45" s="1996">
        <v>62.6</v>
      </c>
      <c r="C45" s="1996">
        <v>63.680923466563904</v>
      </c>
      <c r="D45" s="1996">
        <v>65.709327864854643</v>
      </c>
      <c r="E45" s="1996">
        <v>64.152171877084243</v>
      </c>
      <c r="F45" s="1996">
        <v>59.355470325311636</v>
      </c>
      <c r="G45" s="1996">
        <v>61.138804700938501</v>
      </c>
      <c r="H45" s="1996">
        <v>61.214011445904148</v>
      </c>
      <c r="I45" s="1996">
        <v>62.610276554490248</v>
      </c>
      <c r="J45" s="1997">
        <v>62.008638211990487</v>
      </c>
      <c r="K45" s="1997">
        <v>58.546771640664602</v>
      </c>
      <c r="L45" s="1997">
        <v>56.237959616003586</v>
      </c>
      <c r="M45" s="1997">
        <v>56.676363376377907</v>
      </c>
      <c r="N45" s="1996">
        <v>56.253730897721681</v>
      </c>
      <c r="Q45" s="1973"/>
      <c r="R45" s="1973"/>
      <c r="S45" s="1973"/>
      <c r="T45" s="1973"/>
      <c r="U45" s="1973"/>
    </row>
    <row r="46" spans="1:21" ht="12.75" customHeight="1" thickTop="1" thickBot="1">
      <c r="A46" s="1998" t="s">
        <v>1770</v>
      </c>
      <c r="B46" s="1996">
        <v>32.299999999999997</v>
      </c>
      <c r="C46" s="1996">
        <v>36.376845938319747</v>
      </c>
      <c r="D46" s="1996">
        <v>42.539400213047649</v>
      </c>
      <c r="E46" s="1996">
        <v>43.968838200478075</v>
      </c>
      <c r="F46" s="1996">
        <v>42.104772829371299</v>
      </c>
      <c r="G46" s="1996">
        <v>38.579848856994452</v>
      </c>
      <c r="H46" s="1996">
        <v>42.112412883430672</v>
      </c>
      <c r="I46" s="1996">
        <v>36.597553190967055</v>
      </c>
      <c r="J46" s="1997">
        <v>43.32661011460717</v>
      </c>
      <c r="K46" s="1997">
        <v>41.186431985939116</v>
      </c>
      <c r="L46" s="1996">
        <v>38.742255232722222</v>
      </c>
      <c r="M46" s="1997">
        <v>39.124235564981085</v>
      </c>
      <c r="N46" s="1996">
        <v>37.832394816557702</v>
      </c>
      <c r="Q46" s="1973"/>
      <c r="R46" s="1973"/>
      <c r="S46" s="1973"/>
      <c r="T46" s="1973"/>
      <c r="U46" s="1973"/>
    </row>
    <row r="47" spans="1:21" ht="12.75" customHeight="1" thickTop="1">
      <c r="A47" s="1999" t="s">
        <v>1771</v>
      </c>
      <c r="B47" s="1975"/>
      <c r="C47" s="1993"/>
      <c r="D47" s="1992"/>
      <c r="E47" s="1992"/>
      <c r="F47" s="1992"/>
      <c r="G47" s="2000"/>
      <c r="H47" s="2000"/>
      <c r="I47" s="2000"/>
      <c r="J47" s="2000"/>
      <c r="K47" s="2000"/>
      <c r="L47" s="2000"/>
      <c r="M47" s="2000"/>
      <c r="N47" s="2000"/>
      <c r="Q47" s="1973"/>
      <c r="R47" s="1973"/>
      <c r="S47" s="1973"/>
      <c r="T47" s="1973"/>
      <c r="U47" s="1973"/>
    </row>
    <row r="48" spans="1:21" ht="12.75" customHeight="1">
      <c r="A48" s="1975" t="s">
        <v>1765</v>
      </c>
      <c r="B48" s="1993" t="s">
        <v>279</v>
      </c>
      <c r="C48" s="1993" t="s">
        <v>279</v>
      </c>
      <c r="D48" s="1993">
        <v>30.88</v>
      </c>
      <c r="E48" s="1993">
        <v>30.51</v>
      </c>
      <c r="F48" s="1993">
        <v>29.06</v>
      </c>
      <c r="G48" s="1993">
        <v>25.57</v>
      </c>
      <c r="H48" s="1993">
        <v>28.36</v>
      </c>
      <c r="I48" s="1993">
        <v>26.15</v>
      </c>
      <c r="J48" s="1993">
        <v>29.15</v>
      </c>
      <c r="K48" s="1993">
        <v>28.13</v>
      </c>
      <c r="L48" s="1993">
        <v>26.7</v>
      </c>
      <c r="M48" s="1993">
        <v>27.3</v>
      </c>
      <c r="N48" s="1993">
        <v>29.427929432093858</v>
      </c>
      <c r="Q48" s="1973"/>
      <c r="R48" s="1973"/>
      <c r="S48" s="1973"/>
      <c r="T48" s="1973"/>
      <c r="U48" s="1973"/>
    </row>
    <row r="49" spans="1:21" ht="12.75" customHeight="1" thickBot="1">
      <c r="A49" s="1995" t="s">
        <v>1772</v>
      </c>
      <c r="B49" s="1996" t="s">
        <v>279</v>
      </c>
      <c r="C49" s="1996" t="s">
        <v>279</v>
      </c>
      <c r="D49" s="1996" t="s">
        <v>279</v>
      </c>
      <c r="E49" s="1996" t="s">
        <v>279</v>
      </c>
      <c r="F49" s="1996" t="s">
        <v>279</v>
      </c>
      <c r="G49" s="1996" t="s">
        <v>279</v>
      </c>
      <c r="H49" s="1996" t="s">
        <v>279</v>
      </c>
      <c r="I49" s="1996" t="s">
        <v>1767</v>
      </c>
      <c r="J49" s="1996" t="s">
        <v>1767</v>
      </c>
      <c r="K49" s="1996" t="s">
        <v>1767</v>
      </c>
      <c r="L49" s="2001">
        <v>27.5</v>
      </c>
      <c r="M49" s="2002">
        <v>28.3</v>
      </c>
      <c r="N49" s="2002">
        <v>34.910519845451354</v>
      </c>
      <c r="Q49" s="1973"/>
      <c r="R49" s="1973"/>
      <c r="S49" s="1973"/>
      <c r="T49" s="1973"/>
      <c r="U49" s="1973"/>
    </row>
    <row r="50" spans="1:21" ht="6.75" customHeight="1" thickTop="1">
      <c r="A50" s="1406"/>
      <c r="B50" s="1406"/>
      <c r="C50" s="1406"/>
      <c r="D50" s="1406"/>
      <c r="E50" s="1406"/>
      <c r="F50" s="1406"/>
      <c r="G50" s="1406"/>
      <c r="Q50" s="1973"/>
      <c r="R50" s="1973"/>
      <c r="S50" s="1973"/>
      <c r="T50" s="1973"/>
      <c r="U50" s="1973"/>
    </row>
    <row r="51" spans="1:21" s="1320" customFormat="1" ht="10.5" customHeight="1">
      <c r="A51" s="1397" t="s">
        <v>1773</v>
      </c>
      <c r="B51" s="2003"/>
      <c r="C51" s="2003"/>
      <c r="D51" s="2003"/>
      <c r="E51" s="2003"/>
      <c r="F51" s="2003"/>
      <c r="G51" s="2004"/>
    </row>
    <row r="52" spans="1:21" s="1320" customFormat="1" ht="10.5" customHeight="1">
      <c r="A52" s="1397" t="s">
        <v>1774</v>
      </c>
      <c r="B52" s="2003"/>
      <c r="C52" s="2003"/>
      <c r="D52" s="2003"/>
      <c r="E52" s="2003"/>
      <c r="F52" s="2003"/>
      <c r="G52" s="2004"/>
    </row>
    <row r="53" spans="1:21" s="1320" customFormat="1" ht="10.5" customHeight="1">
      <c r="A53" s="1397" t="s">
        <v>1775</v>
      </c>
      <c r="B53" s="1323"/>
      <c r="C53" s="1323"/>
      <c r="D53" s="1323"/>
      <c r="E53" s="1323"/>
      <c r="F53" s="1323"/>
      <c r="G53" s="1406"/>
      <c r="H53" s="1400"/>
      <c r="I53" s="1400"/>
      <c r="J53" s="1400"/>
      <c r="K53" s="1400"/>
    </row>
    <row r="54" spans="1:21" s="1320" customFormat="1" ht="10.5" customHeight="1">
      <c r="A54" s="1397" t="s">
        <v>1776</v>
      </c>
      <c r="B54" s="1323"/>
      <c r="C54" s="1323"/>
      <c r="D54" s="1323"/>
      <c r="E54" s="1323"/>
      <c r="F54" s="1323"/>
      <c r="G54" s="1406"/>
      <c r="H54" s="1400"/>
      <c r="I54" s="1400"/>
      <c r="J54" s="1400"/>
      <c r="K54" s="1400"/>
    </row>
    <row r="55" spans="1:21" s="1320" customFormat="1" ht="10.5" customHeight="1">
      <c r="A55" s="1397" t="s">
        <v>1777</v>
      </c>
      <c r="B55" s="1323"/>
      <c r="C55" s="1323"/>
      <c r="D55" s="1323"/>
      <c r="E55" s="1323"/>
      <c r="F55" s="1323"/>
      <c r="G55" s="1406"/>
      <c r="H55" s="1400"/>
      <c r="I55" s="1400"/>
      <c r="J55" s="1400"/>
      <c r="K55" s="1400"/>
      <c r="L55" s="1400"/>
    </row>
    <row r="56" spans="1:21" s="1320" customFormat="1" ht="10.5" customHeight="1">
      <c r="A56" s="1397" t="s">
        <v>1778</v>
      </c>
      <c r="B56" s="2003"/>
      <c r="C56" s="2003"/>
      <c r="D56" s="2003"/>
      <c r="E56" s="2003"/>
      <c r="F56" s="2003"/>
      <c r="G56" s="2004"/>
    </row>
    <row r="57" spans="1:21" s="1320" customFormat="1" ht="10.5" customHeight="1">
      <c r="A57" s="1397" t="s">
        <v>1779</v>
      </c>
      <c r="B57" s="2003"/>
      <c r="C57" s="2003"/>
      <c r="D57" s="2003"/>
      <c r="E57" s="2003"/>
      <c r="F57" s="2003"/>
      <c r="G57" s="2004"/>
    </row>
    <row r="58" spans="1:21" s="1320" customFormat="1" ht="10.5" customHeight="1">
      <c r="A58" s="1397" t="s">
        <v>1780</v>
      </c>
      <c r="B58" s="2003"/>
      <c r="C58" s="2003"/>
      <c r="D58" s="2003"/>
      <c r="E58" s="2003"/>
      <c r="F58" s="2003"/>
      <c r="G58" s="2004"/>
    </row>
    <row r="59" spans="1:21" s="1320" customFormat="1" ht="10.5" customHeight="1">
      <c r="A59" s="1397" t="s">
        <v>1781</v>
      </c>
      <c r="B59" s="2003"/>
      <c r="C59" s="2003"/>
      <c r="D59" s="2003"/>
      <c r="E59" s="2003"/>
      <c r="F59" s="2003"/>
      <c r="G59" s="2004"/>
    </row>
    <row r="60" spans="1:21" s="1320" customFormat="1" ht="10.5" customHeight="1">
      <c r="A60" s="1397" t="s">
        <v>1782</v>
      </c>
      <c r="B60" s="2003"/>
      <c r="C60" s="2003"/>
      <c r="D60" s="2003"/>
      <c r="E60" s="2003"/>
      <c r="F60" s="2003"/>
    </row>
    <row r="61" spans="1:21" s="1320" customFormat="1" ht="10.5" customHeight="1">
      <c r="A61" s="1397" t="s">
        <v>1783</v>
      </c>
      <c r="B61" s="2003"/>
      <c r="C61" s="2003"/>
      <c r="D61" s="2003"/>
      <c r="E61" s="2003"/>
      <c r="F61" s="2003"/>
    </row>
    <row r="62" spans="1:21" s="1320" customFormat="1" ht="10.5" customHeight="1">
      <c r="A62" s="1397" t="s">
        <v>1784</v>
      </c>
    </row>
    <row r="63" spans="1:21" s="1320" customFormat="1" ht="10.5" customHeight="1">
      <c r="A63" s="1397" t="s">
        <v>1785</v>
      </c>
    </row>
    <row r="64" spans="1:21" s="1320" customFormat="1" ht="10.5" customHeight="1">
      <c r="A64" s="1397" t="s">
        <v>1786</v>
      </c>
    </row>
    <row r="65" spans="1:11" s="1320" customFormat="1" ht="10.5" customHeight="1">
      <c r="A65" s="1397" t="s">
        <v>1787</v>
      </c>
    </row>
    <row r="66" spans="1:11" s="1320" customFormat="1" ht="10.5" customHeight="1">
      <c r="A66" s="1397" t="s">
        <v>1788</v>
      </c>
    </row>
    <row r="67" spans="1:11" s="1320" customFormat="1" ht="10.5" customHeight="1">
      <c r="A67" s="1397" t="s">
        <v>1789</v>
      </c>
    </row>
    <row r="68" spans="1:11" ht="10.5" customHeight="1"/>
    <row r="69" spans="1:11">
      <c r="A69" s="2005"/>
    </row>
    <row r="70" spans="1:11">
      <c r="A70" s="1403"/>
      <c r="B70" s="1403"/>
      <c r="C70" s="1403"/>
      <c r="D70" s="1403"/>
      <c r="E70" s="1403"/>
      <c r="F70" s="1403"/>
      <c r="G70" s="1403"/>
      <c r="H70" s="1403"/>
      <c r="I70" s="1403"/>
      <c r="J70" s="2006"/>
      <c r="K70" s="1403"/>
    </row>
    <row r="71" spans="1:11">
      <c r="A71" s="1975"/>
      <c r="B71" s="1403"/>
      <c r="C71" s="1403"/>
      <c r="D71" s="1403"/>
      <c r="E71" s="1403"/>
      <c r="F71" s="1403"/>
      <c r="G71" s="1403"/>
      <c r="H71" s="1403"/>
      <c r="I71" s="1403"/>
      <c r="J71" s="2006"/>
      <c r="K71" s="1403"/>
    </row>
    <row r="72" spans="1:11">
      <c r="A72" s="1975"/>
      <c r="B72" s="2007"/>
      <c r="C72" s="2007"/>
      <c r="D72" s="2007"/>
      <c r="E72" s="2007"/>
      <c r="F72" s="2007"/>
      <c r="G72" s="2007"/>
      <c r="H72" s="2007"/>
      <c r="I72" s="2007"/>
      <c r="J72" s="2008"/>
      <c r="K72" s="1403"/>
    </row>
    <row r="73" spans="1:11">
      <c r="A73" s="1975"/>
      <c r="B73" s="2009"/>
      <c r="C73" s="2009"/>
      <c r="D73" s="2009"/>
      <c r="E73" s="2009"/>
      <c r="F73" s="2009"/>
      <c r="G73" s="2009"/>
      <c r="H73" s="2009"/>
      <c r="I73" s="2009"/>
      <c r="J73" s="2010"/>
      <c r="K73" s="1403"/>
    </row>
    <row r="74" spans="1:11">
      <c r="A74" s="1975"/>
      <c r="B74" s="2009"/>
      <c r="C74" s="2009"/>
      <c r="D74" s="2009"/>
      <c r="E74" s="2009"/>
      <c r="F74" s="2009"/>
      <c r="G74" s="2009"/>
      <c r="H74" s="2009"/>
      <c r="I74" s="2009"/>
      <c r="J74" s="2010"/>
      <c r="K74" s="1403"/>
    </row>
    <row r="75" spans="1:11">
      <c r="A75" s="1975"/>
      <c r="B75" s="2009"/>
      <c r="C75" s="2009"/>
      <c r="D75" s="2009"/>
      <c r="E75" s="2009"/>
      <c r="F75" s="2009"/>
      <c r="G75" s="2009"/>
      <c r="H75" s="2009"/>
      <c r="I75" s="2009"/>
      <c r="J75" s="2010"/>
      <c r="K75" s="1403"/>
    </row>
    <row r="76" spans="1:11">
      <c r="A76" s="1403"/>
      <c r="B76" s="1403"/>
      <c r="C76" s="1403"/>
      <c r="D76" s="1403"/>
      <c r="E76" s="1403"/>
      <c r="F76" s="1403"/>
      <c r="G76" s="1403"/>
      <c r="H76" s="1403"/>
      <c r="I76" s="1403"/>
      <c r="J76" s="2006"/>
      <c r="K76" s="1403"/>
    </row>
  </sheetData>
  <pageMargins left="0.6692913385826772" right="0.6692913385826772" top="0.51181102362204722" bottom="0.51181102362204722" header="0.27559055118110237" footer="0.27559055118110237"/>
  <pageSetup paperSize="9" scale="93" firstPageNumber="206" orientation="portrait" useFirstPageNumber="1" r:id="rId1"/>
  <headerFooter alignWithMargins="0">
    <oddFooter>&amp;C206</oddFooter>
  </headerFooter>
</worksheet>
</file>

<file path=xl/worksheets/sheet7.xml><?xml version="1.0" encoding="utf-8"?>
<worksheet xmlns="http://schemas.openxmlformats.org/spreadsheetml/2006/main" xmlns:r="http://schemas.openxmlformats.org/officeDocument/2006/relationships">
  <sheetPr codeName="Sheet4">
    <tabColor theme="5" tint="0.39997558519241921"/>
    <pageSetUpPr autoPageBreaks="0"/>
  </sheetPr>
  <dimension ref="A1:AF202"/>
  <sheetViews>
    <sheetView showGridLines="0" showRowColHeaders="0" zoomScale="80" zoomScaleNormal="80" workbookViewId="0"/>
  </sheetViews>
  <sheetFormatPr defaultRowHeight="12.75" outlineLevelRow="2"/>
  <cols>
    <col min="1" max="1" width="2.140625" style="121" customWidth="1"/>
    <col min="2" max="2" width="4.42578125" customWidth="1"/>
    <col min="3" max="3" width="5.5703125" bestFit="1" customWidth="1"/>
    <col min="4" max="4" width="28.140625" customWidth="1"/>
    <col min="5" max="5" width="1.5703125" customWidth="1"/>
    <col min="6" max="6" width="16" customWidth="1"/>
    <col min="7" max="7" width="1.7109375" customWidth="1"/>
    <col min="8" max="9" width="10" customWidth="1"/>
    <col min="10" max="17" width="10" bestFit="1" customWidth="1"/>
    <col min="19" max="19" width="9.140625" style="121"/>
    <col min="20" max="20" width="7.85546875" customWidth="1"/>
    <col min="21" max="21" width="8.42578125" customWidth="1"/>
    <col min="22" max="22" width="17.85546875" bestFit="1" customWidth="1"/>
    <col min="23" max="31" width="5.5703125" bestFit="1" customWidth="1"/>
  </cols>
  <sheetData>
    <row r="1" spans="1:32" ht="6.75" customHeight="1"/>
    <row r="2" spans="1:32" s="121" customFormat="1" ht="22.5">
      <c r="A2" s="1171"/>
      <c r="B2" s="1231" t="s">
        <v>1686</v>
      </c>
      <c r="C2" s="1183"/>
      <c r="D2" s="1183"/>
      <c r="E2" s="1183"/>
      <c r="F2" s="1183"/>
      <c r="G2" s="1183"/>
      <c r="H2" s="1183"/>
      <c r="I2" s="1183"/>
      <c r="J2" s="1183"/>
      <c r="K2" s="1183"/>
      <c r="L2" s="1183"/>
      <c r="M2" s="1183"/>
      <c r="N2" s="1183"/>
      <c r="O2" s="1183"/>
      <c r="P2" s="1183"/>
      <c r="Q2" s="1183"/>
      <c r="R2" s="1185"/>
    </row>
    <row r="3" spans="1:32" s="743" customFormat="1" ht="20.25" customHeight="1">
      <c r="B3" s="1172"/>
      <c r="C3" s="1174"/>
      <c r="D3" s="1174"/>
      <c r="E3" s="1174"/>
      <c r="F3" s="1174"/>
      <c r="G3" s="1174"/>
      <c r="H3" s="1174"/>
      <c r="I3" s="1174"/>
      <c r="J3" s="1174"/>
      <c r="K3" s="1174"/>
      <c r="L3" s="1174"/>
      <c r="M3" s="1174"/>
      <c r="N3" s="1174"/>
      <c r="O3" s="1174"/>
      <c r="P3" s="1846"/>
      <c r="Q3" s="1847"/>
      <c r="R3" s="1191"/>
      <c r="T3"/>
      <c r="U3"/>
      <c r="V3"/>
      <c r="W3"/>
      <c r="X3"/>
      <c r="Y3"/>
      <c r="Z3"/>
      <c r="AA3"/>
      <c r="AB3"/>
      <c r="AC3"/>
      <c r="AD3"/>
      <c r="AE3"/>
      <c r="AF3"/>
    </row>
    <row r="4" spans="1:32" ht="20.25" customHeight="1">
      <c r="B4" s="1172"/>
      <c r="C4" s="1174"/>
      <c r="D4" s="1839" t="str">
        <f>Preferences.EnergyUnits &amp; " / year"</f>
        <v>TWh / year</v>
      </c>
      <c r="E4" s="1174"/>
      <c r="F4" s="1840" t="s">
        <v>2555</v>
      </c>
      <c r="G4" s="1174"/>
      <c r="H4" s="1841">
        <v>2007</v>
      </c>
      <c r="I4" s="1841">
        <v>2010</v>
      </c>
      <c r="J4" s="1841">
        <v>2015</v>
      </c>
      <c r="K4" s="1841">
        <v>2020</v>
      </c>
      <c r="L4" s="1841">
        <v>2025</v>
      </c>
      <c r="M4" s="1841">
        <v>2030</v>
      </c>
      <c r="N4" s="1841">
        <v>2035</v>
      </c>
      <c r="O4" s="1841">
        <v>2040</v>
      </c>
      <c r="P4" s="1841">
        <v>2045</v>
      </c>
      <c r="Q4" s="1841">
        <v>2050</v>
      </c>
      <c r="R4" s="1176"/>
    </row>
    <row r="5" spans="1:32" s="121" customFormat="1">
      <c r="B5" s="1172"/>
      <c r="C5" s="1174"/>
      <c r="D5" s="1174"/>
      <c r="E5" s="1174"/>
      <c r="F5" s="1174"/>
      <c r="G5" s="1174"/>
      <c r="H5" s="1174"/>
      <c r="I5" s="1174"/>
      <c r="J5" s="1174"/>
      <c r="K5" s="1174"/>
      <c r="L5" s="1174"/>
      <c r="M5" s="1174"/>
      <c r="N5" s="1174"/>
      <c r="O5" s="1174"/>
      <c r="P5" s="1174"/>
      <c r="Q5" s="1174"/>
      <c r="R5" s="1176"/>
    </row>
    <row r="6" spans="1:32" s="715" customFormat="1" outlineLevel="1">
      <c r="B6" s="1848"/>
      <c r="C6" s="1869" t="s">
        <v>1687</v>
      </c>
      <c r="D6" s="1849"/>
      <c r="E6" s="1174"/>
      <c r="F6" s="1850"/>
      <c r="G6" s="1174"/>
      <c r="H6" s="1850"/>
      <c r="I6" s="1850"/>
      <c r="J6" s="1850"/>
      <c r="K6" s="1850"/>
      <c r="L6" s="1850"/>
      <c r="M6" s="1850"/>
      <c r="N6" s="1850"/>
      <c r="O6" s="1850"/>
      <c r="P6" s="1850"/>
      <c r="Q6" s="1850"/>
      <c r="R6" s="1851"/>
      <c r="S6" s="1109"/>
    </row>
    <row r="7" spans="1:32" s="715" customFormat="1" hidden="1" outlineLevel="2">
      <c r="B7" s="1848"/>
      <c r="C7" s="1849" t="s">
        <v>36</v>
      </c>
      <c r="D7" s="1849" t="str">
        <f>INDEX(Vectors[Description], MATCH($C7, Vectors[Code], 0))</f>
        <v>Road transport</v>
      </c>
      <c r="E7" s="1174"/>
      <c r="F7" s="1850">
        <f ca="1">INDEX(INDIRECT("'"&amp;F$4&amp;"'!Year.NetBalance"), MATCH('Intermediate output'!$C7, INDIRECT("'"&amp;F$4&amp;"'!Year.Vectors"), 0))</f>
        <v>502.50552967076953</v>
      </c>
      <c r="G7" s="1174"/>
      <c r="H7" s="1850">
        <f ca="1">INDEX(INDIRECT("'"&amp;H$4&amp;"'!Year.NetBalance"), MATCH('Intermediate output'!$C7, INDIRECT("'"&amp;H$4&amp;"'!Year.Vectors"), 0))</f>
        <v>490.85404977847907</v>
      </c>
      <c r="I7" s="1850">
        <f ca="1">INDEX(INDIRECT("'"&amp;I$4&amp;"'!Year.NetBalance"), MATCH('Intermediate output'!$C7, INDIRECT("'"&amp;I$4&amp;"'!Year.Vectors"), 0))</f>
        <v>470.28702972578913</v>
      </c>
      <c r="J7" s="1850">
        <f ca="1">INDEX(INDIRECT("'"&amp;J$4&amp;"'!Year.NetBalance"), MATCH('Intermediate output'!$C7, INDIRECT("'"&amp;J$4&amp;"'!Year.Vectors"), 0))</f>
        <v>445.092247062605</v>
      </c>
      <c r="K7" s="1850">
        <f ca="1">INDEX(INDIRECT("'"&amp;K$4&amp;"'!Year.NetBalance"), MATCH('Intermediate output'!$C7, INDIRECT("'"&amp;K$4&amp;"'!Year.Vectors"), 0))</f>
        <v>424.39542541484604</v>
      </c>
      <c r="L7" s="1850">
        <f ca="1">INDEX(INDIRECT("'"&amp;L$4&amp;"'!Year.NetBalance"), MATCH('Intermediate output'!$C7, INDIRECT("'"&amp;L$4&amp;"'!Year.Vectors"), 0))</f>
        <v>392.38685603800138</v>
      </c>
      <c r="M7" s="1850">
        <f ca="1">INDEX(INDIRECT("'"&amp;M$4&amp;"'!Year.NetBalance"), MATCH('Intermediate output'!$C7, INDIRECT("'"&amp;M$4&amp;"'!Year.Vectors"), 0))</f>
        <v>356.10824416990909</v>
      </c>
      <c r="N7" s="1850">
        <f ca="1">INDEX(INDIRECT("'"&amp;N$4&amp;"'!Year.NetBalance"), MATCH('Intermediate output'!$C7, INDIRECT("'"&amp;N$4&amp;"'!Year.Vectors"), 0))</f>
        <v>350.85541234498476</v>
      </c>
      <c r="O7" s="1850">
        <f ca="1">INDEX(INDIRECT("'"&amp;O$4&amp;"'!Year.NetBalance"), MATCH('Intermediate output'!$C7, INDIRECT("'"&amp;O$4&amp;"'!Year.Vectors"), 0))</f>
        <v>343.16407741049431</v>
      </c>
      <c r="P7" s="1850">
        <f ca="1">INDEX(INDIRECT("'"&amp;P$4&amp;"'!Year.NetBalance"), MATCH('Intermediate output'!$C7, INDIRECT("'"&amp;P$4&amp;"'!Year.Vectors"), 0))</f>
        <v>339.5869111380855</v>
      </c>
      <c r="Q7" s="1850">
        <f ca="1">INDEX(INDIRECT("'"&amp;Q$4&amp;"'!Year.NetBalance"), MATCH('Intermediate output'!$C7, INDIRECT("'"&amp;Q$4&amp;"'!Year.Vectors"), 0))</f>
        <v>335.84846871256741</v>
      </c>
      <c r="R7" s="1851"/>
      <c r="S7" s="1109"/>
    </row>
    <row r="8" spans="1:32" s="715" customFormat="1" hidden="1" outlineLevel="2">
      <c r="B8" s="1848"/>
      <c r="C8" s="1849" t="s">
        <v>37</v>
      </c>
      <c r="D8" s="1849" t="str">
        <f>INDEX(Vectors[Description], MATCH($C8, Vectors[Code], 0))</f>
        <v>Rail transport</v>
      </c>
      <c r="E8" s="1174"/>
      <c r="F8" s="1850">
        <f ca="1">INDEX(INDIRECT("'"&amp;F$4&amp;"'!Year.NetBalance"), MATCH('Intermediate output'!$C8, INDIRECT("'"&amp;F$4&amp;"'!Year.Vectors"), 0))</f>
        <v>16.246998166435951</v>
      </c>
      <c r="G8" s="1174"/>
      <c r="H8" s="1850">
        <f ca="1">INDEX(INDIRECT("'"&amp;H$4&amp;"'!Year.NetBalance"), MATCH('Intermediate output'!$C8, INDIRECT("'"&amp;H$4&amp;"'!Year.Vectors"), 0))</f>
        <v>15.852446803025652</v>
      </c>
      <c r="I8" s="1850">
        <f ca="1">INDEX(INDIRECT("'"&amp;I$4&amp;"'!Year.NetBalance"), MATCH('Intermediate output'!$C8, INDIRECT("'"&amp;I$4&amp;"'!Year.Vectors"), 0))</f>
        <v>17.724487403333239</v>
      </c>
      <c r="J8" s="1850">
        <f ca="1">INDEX(INDIRECT("'"&amp;J$4&amp;"'!Year.NetBalance"), MATCH('Intermediate output'!$C8, INDIRECT("'"&amp;J$4&amp;"'!Year.Vectors"), 0))</f>
        <v>17.183448840130435</v>
      </c>
      <c r="K8" s="1850">
        <f ca="1">INDEX(INDIRECT("'"&amp;K$4&amp;"'!Year.NetBalance"), MATCH('Intermediate output'!$C8, INDIRECT("'"&amp;K$4&amp;"'!Year.Vectors"), 0))</f>
        <v>16.963945338992865</v>
      </c>
      <c r="L8" s="1850">
        <f ca="1">INDEX(INDIRECT("'"&amp;L$4&amp;"'!Year.NetBalance"), MATCH('Intermediate output'!$C8, INDIRECT("'"&amp;L$4&amp;"'!Year.Vectors"), 0))</f>
        <v>16.668321544879074</v>
      </c>
      <c r="M8" s="1850">
        <f ca="1">INDEX(INDIRECT("'"&amp;M$4&amp;"'!Year.NetBalance"), MATCH('Intermediate output'!$C8, INDIRECT("'"&amp;M$4&amp;"'!Year.Vectors"), 0))</f>
        <v>16.278078430943093</v>
      </c>
      <c r="N8" s="1850">
        <f ca="1">INDEX(INDIRECT("'"&amp;N$4&amp;"'!Year.NetBalance"), MATCH('Intermediate output'!$C8, INDIRECT("'"&amp;N$4&amp;"'!Year.Vectors"), 0))</f>
        <v>15.860444512419436</v>
      </c>
      <c r="O8" s="1850">
        <f ca="1">INDEX(INDIRECT("'"&amp;O$4&amp;"'!Year.NetBalance"), MATCH('Intermediate output'!$C8, INDIRECT("'"&amp;O$4&amp;"'!Year.Vectors"), 0))</f>
        <v>15.374887113066478</v>
      </c>
      <c r="P8" s="1850">
        <f ca="1">INDEX(INDIRECT("'"&amp;P$4&amp;"'!Year.NetBalance"), MATCH('Intermediate output'!$C8, INDIRECT("'"&amp;P$4&amp;"'!Year.Vectors"), 0))</f>
        <v>14.894486251116774</v>
      </c>
      <c r="Q8" s="1850">
        <f ca="1">INDEX(INDIRECT("'"&amp;Q$4&amp;"'!Year.NetBalance"), MATCH('Intermediate output'!$C8, INDIRECT("'"&amp;Q$4&amp;"'!Year.Vectors"), 0))</f>
        <v>14.422595081474668</v>
      </c>
      <c r="R8" s="1851"/>
      <c r="S8" s="1109"/>
    </row>
    <row r="9" spans="1:32" s="715" customFormat="1" hidden="1" outlineLevel="2">
      <c r="B9" s="1848"/>
      <c r="C9" s="1849" t="s">
        <v>38</v>
      </c>
      <c r="D9" s="1849" t="str">
        <f>INDEX(Vectors[Description], MATCH($C9, Vectors[Code], 0))</f>
        <v>Domestic aviation</v>
      </c>
      <c r="E9" s="1174"/>
      <c r="F9" s="1850">
        <f ca="1">INDEX(INDIRECT("'"&amp;F$4&amp;"'!Year.NetBalance"), MATCH('Intermediate output'!$C9, INDIRECT("'"&amp;F$4&amp;"'!Year.Vectors"), 0))</f>
        <v>8.7346938775510203</v>
      </c>
      <c r="G9" s="1174"/>
      <c r="H9" s="1850">
        <f ca="1">INDEX(INDIRECT("'"&amp;H$4&amp;"'!Year.NetBalance"), MATCH('Intermediate output'!$C9, INDIRECT("'"&amp;H$4&amp;"'!Year.Vectors"), 0))</f>
        <v>9.0198346087095516</v>
      </c>
      <c r="I9" s="1850">
        <f ca="1">INDEX(INDIRECT("'"&amp;I$4&amp;"'!Year.NetBalance"), MATCH('Intermediate output'!$C9, INDIRECT("'"&amp;I$4&amp;"'!Year.Vectors"), 0))</f>
        <v>9.5510973295169013</v>
      </c>
      <c r="J9" s="1850">
        <f ca="1">INDEX(INDIRECT("'"&amp;J$4&amp;"'!Year.NetBalance"), MATCH('Intermediate output'!$C9, INDIRECT("'"&amp;J$4&amp;"'!Year.Vectors"), 0))</f>
        <v>10.163716423089292</v>
      </c>
      <c r="K9" s="1850">
        <f ca="1">INDEX(INDIRECT("'"&amp;K$4&amp;"'!Year.NetBalance"), MATCH('Intermediate output'!$C9, INDIRECT("'"&amp;K$4&amp;"'!Year.Vectors"), 0))</f>
        <v>11.078742052970153</v>
      </c>
      <c r="L9" s="1850">
        <f ca="1">INDEX(INDIRECT("'"&amp;L$4&amp;"'!Year.NetBalance"), MATCH('Intermediate output'!$C9, INDIRECT("'"&amp;L$4&amp;"'!Year.Vectors"), 0))</f>
        <v>11.927979753386868</v>
      </c>
      <c r="M9" s="1850">
        <f ca="1">INDEX(INDIRECT("'"&amp;M$4&amp;"'!Year.NetBalance"), MATCH('Intermediate output'!$C9, INDIRECT("'"&amp;M$4&amp;"'!Year.Vectors"), 0))</f>
        <v>12.657847240047854</v>
      </c>
      <c r="N9" s="1850">
        <f ca="1">INDEX(INDIRECT("'"&amp;N$4&amp;"'!Year.NetBalance"), MATCH('Intermediate output'!$C9, INDIRECT("'"&amp;N$4&amp;"'!Year.Vectors"), 0))</f>
        <v>13.331077116581312</v>
      </c>
      <c r="O9" s="1850">
        <f ca="1">INDEX(INDIRECT("'"&amp;O$4&amp;"'!Year.NetBalance"), MATCH('Intermediate output'!$C9, INDIRECT("'"&amp;O$4&amp;"'!Year.Vectors"), 0))</f>
        <v>13.860251279239513</v>
      </c>
      <c r="P9" s="1850">
        <f ca="1">INDEX(INDIRECT("'"&amp;P$4&amp;"'!Year.NetBalance"), MATCH('Intermediate output'!$C9, INDIRECT("'"&amp;P$4&amp;"'!Year.Vectors"), 0))</f>
        <v>14.344409418627478</v>
      </c>
      <c r="Q9" s="1850">
        <f ca="1">INDEX(INDIRECT("'"&amp;Q$4&amp;"'!Year.NetBalance"), MATCH('Intermediate output'!$C9, INDIRECT("'"&amp;Q$4&amp;"'!Year.Vectors"), 0))</f>
        <v>14.785449092646568</v>
      </c>
      <c r="R9" s="1851"/>
      <c r="S9" s="1109"/>
    </row>
    <row r="10" spans="1:32" s="715" customFormat="1" hidden="1" outlineLevel="2">
      <c r="B10" s="1848"/>
      <c r="C10" s="1849" t="s">
        <v>39</v>
      </c>
      <c r="D10" s="1849" t="str">
        <f>INDEX(Vectors[Description], MATCH($C10, Vectors[Code], 0))</f>
        <v>National navigation</v>
      </c>
      <c r="E10" s="1174"/>
      <c r="F10" s="1850">
        <f ca="1">INDEX(INDIRECT("'"&amp;F$4&amp;"'!Year.NetBalance"), MATCH('Intermediate output'!$C10, INDIRECT("'"&amp;F$4&amp;"'!Year.Vectors"), 0))</f>
        <v>18.81937240536579</v>
      </c>
      <c r="G10" s="1174"/>
      <c r="H10" s="1850">
        <f ca="1">INDEX(INDIRECT("'"&amp;H$4&amp;"'!Year.NetBalance"), MATCH('Intermediate output'!$C10, INDIRECT("'"&amp;H$4&amp;"'!Year.Vectors"), 0))</f>
        <v>18.817339999999998</v>
      </c>
      <c r="I10" s="1850">
        <f ca="1">INDEX(INDIRECT("'"&amp;I$4&amp;"'!Year.NetBalance"), MATCH('Intermediate output'!$C10, INDIRECT("'"&amp;I$4&amp;"'!Year.Vectors"), 0))</f>
        <v>26.572895707388618</v>
      </c>
      <c r="J10" s="1850">
        <f ca="1">INDEX(INDIRECT("'"&amp;J$4&amp;"'!Year.NetBalance"), MATCH('Intermediate output'!$C10, INDIRECT("'"&amp;J$4&amp;"'!Year.Vectors"), 0))</f>
        <v>25.383064556311584</v>
      </c>
      <c r="K10" s="1850">
        <f ca="1">INDEX(INDIRECT("'"&amp;K$4&amp;"'!Year.NetBalance"), MATCH('Intermediate output'!$C10, INDIRECT("'"&amp;K$4&amp;"'!Year.Vectors"), 0))</f>
        <v>24.589843788926849</v>
      </c>
      <c r="L10" s="1850">
        <f ca="1">INDEX(INDIRECT("'"&amp;L$4&amp;"'!Year.NetBalance"), MATCH('Intermediate output'!$C10, INDIRECT("'"&amp;L$4&amp;"'!Year.Vectors"), 0))</f>
        <v>23.996704956708381</v>
      </c>
      <c r="M10" s="1850">
        <f ca="1">INDEX(INDIRECT("'"&amp;M$4&amp;"'!Year.NetBalance"), MATCH('Intermediate output'!$C10, INDIRECT("'"&amp;M$4&amp;"'!Year.Vectors"), 0))</f>
        <v>23.688791719453825</v>
      </c>
      <c r="N10" s="1850">
        <f ca="1">INDEX(INDIRECT("'"&amp;N$4&amp;"'!Year.NetBalance"), MATCH('Intermediate output'!$C10, INDIRECT("'"&amp;N$4&amp;"'!Year.Vectors"), 0))</f>
        <v>23.384829464713203</v>
      </c>
      <c r="O10" s="1850">
        <f ca="1">INDEX(INDIRECT("'"&amp;O$4&amp;"'!Year.NetBalance"), MATCH('Intermediate output'!$C10, INDIRECT("'"&amp;O$4&amp;"'!Year.Vectors"), 0))</f>
        <v>23.084767495533725</v>
      </c>
      <c r="P10" s="1850">
        <f ca="1">INDEX(INDIRECT("'"&amp;P$4&amp;"'!Year.NetBalance"), MATCH('Intermediate output'!$C10, INDIRECT("'"&amp;P$4&amp;"'!Year.Vectors"), 0))</f>
        <v>22.788555765479813</v>
      </c>
      <c r="Q10" s="1850">
        <f ca="1">INDEX(INDIRECT("'"&amp;Q$4&amp;"'!Year.NetBalance"), MATCH('Intermediate output'!$C10, INDIRECT("'"&amp;Q$4&amp;"'!Year.Vectors"), 0))</f>
        <v>22.496144870285519</v>
      </c>
      <c r="R10" s="1851"/>
      <c r="S10" s="1109"/>
    </row>
    <row r="11" spans="1:32" s="715" customFormat="1" hidden="1" outlineLevel="2">
      <c r="B11" s="1848"/>
      <c r="C11" s="1849" t="s">
        <v>966</v>
      </c>
      <c r="D11" s="1849" t="str">
        <f>INDEX(Vectors[Description], MATCH($C11, Vectors[Code], 0))</f>
        <v>International aviation</v>
      </c>
      <c r="E11" s="1174"/>
      <c r="F11" s="1850">
        <f ca="1">INDEX(INDIRECT("'"&amp;F$4&amp;"'!Year.NetBalance"), MATCH('Intermediate output'!$C11, INDIRECT("'"&amp;F$4&amp;"'!Year.Vectors"), 0))</f>
        <v>152.99167541479133</v>
      </c>
      <c r="G11" s="1174"/>
      <c r="H11" s="1850">
        <f ca="1">INDEX(INDIRECT("'"&amp;H$4&amp;"'!Year.NetBalance"), MATCH('Intermediate output'!$C11, INDIRECT("'"&amp;H$4&amp;"'!Year.Vectors"), 0))</f>
        <v>152.99167541479133</v>
      </c>
      <c r="I11" s="1850">
        <f ca="1">INDEX(INDIRECT("'"&amp;I$4&amp;"'!Year.NetBalance"), MATCH('Intermediate output'!$C11, INDIRECT("'"&amp;I$4&amp;"'!Year.Vectors"), 0))</f>
        <v>153.63082794362825</v>
      </c>
      <c r="J11" s="1850">
        <f ca="1">INDEX(INDIRECT("'"&amp;J$4&amp;"'!Year.NetBalance"), MATCH('Intermediate output'!$C11, INDIRECT("'"&amp;J$4&amp;"'!Year.Vectors"), 0))</f>
        <v>174.02097069883129</v>
      </c>
      <c r="K11" s="1850">
        <f ca="1">INDEX(INDIRECT("'"&amp;K$4&amp;"'!Year.NetBalance"), MATCH('Intermediate output'!$C11, INDIRECT("'"&amp;K$4&amp;"'!Year.Vectors"), 0))</f>
        <v>194.2224288429754</v>
      </c>
      <c r="L11" s="1850">
        <f ca="1">INDEX(INDIRECT("'"&amp;L$4&amp;"'!Year.NetBalance"), MATCH('Intermediate output'!$C11, INDIRECT("'"&amp;L$4&amp;"'!Year.Vectors"), 0))</f>
        <v>201.39443053847114</v>
      </c>
      <c r="M11" s="1850">
        <f ca="1">INDEX(INDIRECT("'"&amp;M$4&amp;"'!Year.NetBalance"), MATCH('Intermediate output'!$C11, INDIRECT("'"&amp;M$4&amp;"'!Year.Vectors"), 0))</f>
        <v>208.13218382871563</v>
      </c>
      <c r="N11" s="1850">
        <f ca="1">INDEX(INDIRECT("'"&amp;N$4&amp;"'!Year.NetBalance"), MATCH('Intermediate output'!$C11, INDIRECT("'"&amp;N$4&amp;"'!Year.Vectors"), 0))</f>
        <v>212.05653906435825</v>
      </c>
      <c r="O11" s="1850">
        <f ca="1">INDEX(INDIRECT("'"&amp;O$4&amp;"'!Year.NetBalance"), MATCH('Intermediate output'!$C11, INDIRECT("'"&amp;O$4&amp;"'!Year.Vectors"), 0))</f>
        <v>212.09205012603269</v>
      </c>
      <c r="P11" s="1850">
        <f ca="1">INDEX(INDIRECT("'"&amp;P$4&amp;"'!Year.NetBalance"), MATCH('Intermediate output'!$C11, INDIRECT("'"&amp;P$4&amp;"'!Year.Vectors"), 0))</f>
        <v>209.1795176408344</v>
      </c>
      <c r="Q11" s="1850">
        <f ca="1">INDEX(INDIRECT("'"&amp;Q$4&amp;"'!Year.NetBalance"), MATCH('Intermediate output'!$C11, INDIRECT("'"&amp;Q$4&amp;"'!Year.Vectors"), 0))</f>
        <v>206.26698515563612</v>
      </c>
      <c r="R11" s="1851"/>
      <c r="S11" s="1109"/>
    </row>
    <row r="12" spans="1:32" s="715" customFormat="1" hidden="1" outlineLevel="2">
      <c r="B12" s="1848"/>
      <c r="C12" s="1849" t="s">
        <v>967</v>
      </c>
      <c r="D12" s="1849" t="str">
        <f>INDEX(Vectors[Description], MATCH($C12, Vectors[Code], 0))</f>
        <v>International shipping</v>
      </c>
      <c r="E12" s="1174"/>
      <c r="F12" s="1850">
        <f ca="1">INDEX(INDIRECT("'"&amp;F$4&amp;"'!Year.NetBalance"), MATCH('Intermediate output'!$C12, INDIRECT("'"&amp;F$4&amp;"'!Year.Vectors"), 0))</f>
        <v>29.222291428230907</v>
      </c>
      <c r="G12" s="1174"/>
      <c r="H12" s="1850">
        <f ca="1">INDEX(INDIRECT("'"&amp;H$4&amp;"'!Year.NetBalance"), MATCH('Intermediate output'!$C12, INDIRECT("'"&amp;H$4&amp;"'!Year.Vectors"), 0))</f>
        <v>29.222291428230907</v>
      </c>
      <c r="I12" s="1850">
        <f ca="1">INDEX(INDIRECT("'"&amp;I$4&amp;"'!Year.NetBalance"), MATCH('Intermediate output'!$C12, INDIRECT("'"&amp;I$4&amp;"'!Year.Vectors"), 0))</f>
        <v>43.30892867886606</v>
      </c>
      <c r="J12" s="1850">
        <f ca="1">INDEX(INDIRECT("'"&amp;J$4&amp;"'!Year.NetBalance"), MATCH('Intermediate output'!$C12, INDIRECT("'"&amp;J$4&amp;"'!Year.Vectors"), 0))</f>
        <v>46.676563829064939</v>
      </c>
      <c r="K12" s="1850">
        <f ca="1">INDEX(INDIRECT("'"&amp;K$4&amp;"'!Year.NetBalance"), MATCH('Intermediate output'!$C12, INDIRECT("'"&amp;K$4&amp;"'!Year.Vectors"), 0))</f>
        <v>50.306061067539972</v>
      </c>
      <c r="L12" s="1850">
        <f ca="1">INDEX(INDIRECT("'"&amp;L$4&amp;"'!Year.NetBalance"), MATCH('Intermediate output'!$C12, INDIRECT("'"&amp;L$4&amp;"'!Year.Vectors"), 0))</f>
        <v>58.747666138590283</v>
      </c>
      <c r="M12" s="1850">
        <f ca="1">INDEX(INDIRECT("'"&amp;M$4&amp;"'!Year.NetBalance"), MATCH('Intermediate output'!$C12, INDIRECT("'"&amp;M$4&amp;"'!Year.Vectors"), 0))</f>
        <v>68.605814160198818</v>
      </c>
      <c r="N12" s="1850">
        <f ca="1">INDEX(INDIRECT("'"&amp;N$4&amp;"'!Year.NetBalance"), MATCH('Intermediate output'!$C12, INDIRECT("'"&amp;N$4&amp;"'!Year.Vectors"), 0))</f>
        <v>80.11820802344954</v>
      </c>
      <c r="O12" s="1850">
        <f ca="1">INDEX(INDIRECT("'"&amp;O$4&amp;"'!Year.NetBalance"), MATCH('Intermediate output'!$C12, INDIRECT("'"&amp;O$4&amp;"'!Year.Vectors"), 0))</f>
        <v>93.562438336496442</v>
      </c>
      <c r="P12" s="1850">
        <f ca="1">INDEX(INDIRECT("'"&amp;P$4&amp;"'!Year.NetBalance"), MATCH('Intermediate output'!$C12, INDIRECT("'"&amp;P$4&amp;"'!Year.Vectors"), 0))</f>
        <v>109.26267678014634</v>
      </c>
      <c r="Q12" s="1850">
        <f ca="1">INDEX(INDIRECT("'"&amp;Q$4&amp;"'!Year.NetBalance"), MATCH('Intermediate output'!$C12, INDIRECT("'"&amp;Q$4&amp;"'!Year.Vectors"), 0))</f>
        <v>127.59749264150933</v>
      </c>
      <c r="R12" s="1851"/>
      <c r="S12" s="1109"/>
    </row>
    <row r="13" spans="1:32" s="121" customFormat="1" outlineLevel="1" collapsed="1">
      <c r="B13" s="1172"/>
      <c r="C13" s="1174"/>
      <c r="D13" s="1174" t="s">
        <v>260</v>
      </c>
      <c r="E13" s="1174"/>
      <c r="F13" s="1852">
        <f ca="1">SUM(F7:F12)</f>
        <v>728.52056096314448</v>
      </c>
      <c r="G13" s="1174"/>
      <c r="H13" s="1852">
        <f t="shared" ref="H13:Q13" ca="1" si="0">SUM(H7:H12)</f>
        <v>716.7576380332365</v>
      </c>
      <c r="I13" s="1852">
        <f t="shared" ca="1" si="0"/>
        <v>721.07526678852219</v>
      </c>
      <c r="J13" s="1852">
        <f t="shared" ca="1" si="0"/>
        <v>718.52001141003245</v>
      </c>
      <c r="K13" s="1852">
        <f t="shared" ca="1" si="0"/>
        <v>721.55644650625129</v>
      </c>
      <c r="L13" s="1852">
        <f t="shared" ca="1" si="0"/>
        <v>705.1219589700371</v>
      </c>
      <c r="M13" s="1852">
        <f t="shared" ca="1" si="0"/>
        <v>685.47095954926829</v>
      </c>
      <c r="N13" s="1852">
        <f t="shared" ca="1" si="0"/>
        <v>695.60651052650655</v>
      </c>
      <c r="O13" s="1852">
        <f t="shared" ca="1" si="0"/>
        <v>701.13847176086313</v>
      </c>
      <c r="P13" s="1852">
        <f t="shared" ca="1" si="0"/>
        <v>710.0565569942903</v>
      </c>
      <c r="Q13" s="1852">
        <f t="shared" ca="1" si="0"/>
        <v>721.41713555411968</v>
      </c>
      <c r="R13" s="1853"/>
      <c r="S13" s="27"/>
      <c r="U13" s="27"/>
      <c r="V13" s="27"/>
    </row>
    <row r="14" spans="1:32" outlineLevel="1">
      <c r="B14" s="1172"/>
      <c r="C14" s="1870" t="s">
        <v>13</v>
      </c>
      <c r="D14" s="1174" t="str">
        <f>INDEX(Vectors[Description], MATCH($C14, Vectors[Code], 0))</f>
        <v>Industry</v>
      </c>
      <c r="E14" s="1174"/>
      <c r="F14" s="1852">
        <f ca="1">INDEX(INDIRECT("'"&amp;F$4&amp;"'!Year.NetBalance"), MATCH('Intermediate output'!$C14, INDIRECT("'"&amp;F$4&amp;"'!Year.Vectors"), 0))</f>
        <v>443.27401323896316</v>
      </c>
      <c r="G14" s="1174"/>
      <c r="H14" s="1852">
        <f ca="1">INDEX(INDIRECT("'"&amp;H$4&amp;"'!Year.NetBalance"), MATCH('Intermediate output'!$C14, INDIRECT("'"&amp;H$4&amp;"'!Year.Vectors"), 0))</f>
        <v>484.94967152772296</v>
      </c>
      <c r="I14" s="1852">
        <f ca="1">INDEX(INDIRECT("'"&amp;I$4&amp;"'!Year.NetBalance"), MATCH('Intermediate output'!$C14, INDIRECT("'"&amp;I$4&amp;"'!Year.Vectors"), 0))</f>
        <v>477.03808458335413</v>
      </c>
      <c r="J14" s="1852">
        <f ca="1">INDEX(INDIRECT("'"&amp;J$4&amp;"'!Year.NetBalance"), MATCH('Intermediate output'!$C14, INDIRECT("'"&amp;J$4&amp;"'!Year.Vectors"), 0))</f>
        <v>471.74495663020178</v>
      </c>
      <c r="K14" s="1852">
        <f ca="1">INDEX(INDIRECT("'"&amp;K$4&amp;"'!Year.NetBalance"), MATCH('Intermediate output'!$C14, INDIRECT("'"&amp;K$4&amp;"'!Year.Vectors"), 0))</f>
        <v>467.93399165725043</v>
      </c>
      <c r="L14" s="1852">
        <f ca="1">INDEX(INDIRECT("'"&amp;L$4&amp;"'!Year.NetBalance"), MATCH('Intermediate output'!$C14, INDIRECT("'"&amp;L$4&amp;"'!Year.Vectors"), 0))</f>
        <v>466.5270608176387</v>
      </c>
      <c r="M14" s="1852">
        <f ca="1">INDEX(INDIRECT("'"&amp;M$4&amp;"'!Year.NetBalance"), MATCH('Intermediate output'!$C14, INDIRECT("'"&amp;M$4&amp;"'!Year.Vectors"), 0))</f>
        <v>467.14436497577742</v>
      </c>
      <c r="N14" s="1852">
        <f ca="1">INDEX(INDIRECT("'"&amp;N$4&amp;"'!Year.NetBalance"), MATCH('Intermediate output'!$C14, INDIRECT("'"&amp;N$4&amp;"'!Year.Vectors"), 0))</f>
        <v>469.52852546229497</v>
      </c>
      <c r="O14" s="1852">
        <f ca="1">INDEX(INDIRECT("'"&amp;O$4&amp;"'!Year.NetBalance"), MATCH('Intermediate output'!$C14, INDIRECT("'"&amp;O$4&amp;"'!Year.Vectors"), 0))</f>
        <v>473.40064147240503</v>
      </c>
      <c r="P14" s="1852">
        <f ca="1">INDEX(INDIRECT("'"&amp;P$4&amp;"'!Year.NetBalance"), MATCH('Intermediate output'!$C14, INDIRECT("'"&amp;P$4&amp;"'!Year.Vectors"), 0))</f>
        <v>478.57511077545985</v>
      </c>
      <c r="Q14" s="1852">
        <f ca="1">INDEX(INDIRECT("'"&amp;Q$4&amp;"'!Year.NetBalance"), MATCH('Intermediate output'!$C14, INDIRECT("'"&amp;Q$4&amp;"'!Year.Vectors"), 0))</f>
        <v>484.90681918968028</v>
      </c>
      <c r="R14" s="1853"/>
      <c r="S14" s="27"/>
    </row>
    <row r="15" spans="1:32" outlineLevel="1">
      <c r="B15" s="1172"/>
      <c r="C15" s="1870" t="s">
        <v>6</v>
      </c>
      <c r="D15" s="1174" t="str">
        <f>INDEX(Vectors[Description], MATCH($C15, Vectors[Code], 0))</f>
        <v>Heating and cooling</v>
      </c>
      <c r="E15" s="1174"/>
      <c r="F15" s="1852">
        <f ca="1">INDEX(INDIRECT("'"&amp;F$4&amp;"'!Year.NetBalance"), MATCH('Intermediate output'!$C15, INDIRECT("'"&amp;F$4&amp;"'!Year.Vectors"), 0))</f>
        <v>544.74376989125381</v>
      </c>
      <c r="G15" s="1174"/>
      <c r="H15" s="1852">
        <f ca="1">INDEX(INDIRECT("'"&amp;H$4&amp;"'!Year.NetBalance"), MATCH('Intermediate output'!$C15, INDIRECT("'"&amp;H$4&amp;"'!Year.Vectors"), 0))</f>
        <v>498.42483853439262</v>
      </c>
      <c r="I15" s="1852">
        <f ca="1">INDEX(INDIRECT("'"&amp;I$4&amp;"'!Year.NetBalance"), MATCH('Intermediate output'!$C15, INDIRECT("'"&amp;I$4&amp;"'!Year.Vectors"), 0))</f>
        <v>530.15178411927457</v>
      </c>
      <c r="J15" s="1852">
        <f ca="1">INDEX(INDIRECT("'"&amp;J$4&amp;"'!Year.NetBalance"), MATCH('Intermediate output'!$C15, INDIRECT("'"&amp;J$4&amp;"'!Year.Vectors"), 0))</f>
        <v>560.79657715903761</v>
      </c>
      <c r="K15" s="1852">
        <f ca="1">INDEX(INDIRECT("'"&amp;K$4&amp;"'!Year.NetBalance"), MATCH('Intermediate output'!$C15, INDIRECT("'"&amp;K$4&amp;"'!Year.Vectors"), 0))</f>
        <v>590.98249950821378</v>
      </c>
      <c r="L15" s="1852">
        <f ca="1">INDEX(INDIRECT("'"&amp;L$4&amp;"'!Year.NetBalance"), MATCH('Intermediate output'!$C15, INDIRECT("'"&amp;L$4&amp;"'!Year.Vectors"), 0))</f>
        <v>619.32554128308072</v>
      </c>
      <c r="M15" s="1852">
        <f ca="1">INDEX(INDIRECT("'"&amp;M$4&amp;"'!Year.NetBalance"), MATCH('Intermediate output'!$C15, INDIRECT("'"&amp;M$4&amp;"'!Year.Vectors"), 0))</f>
        <v>651.04611206371885</v>
      </c>
      <c r="N15" s="1852">
        <f ca="1">INDEX(INDIRECT("'"&amp;N$4&amp;"'!Year.NetBalance"), MATCH('Intermediate output'!$C15, INDIRECT("'"&amp;N$4&amp;"'!Year.Vectors"), 0))</f>
        <v>673.79296204551042</v>
      </c>
      <c r="O15" s="1852">
        <f ca="1">INDEX(INDIRECT("'"&amp;O$4&amp;"'!Year.NetBalance"), MATCH('Intermediate output'!$C15, INDIRECT("'"&amp;O$4&amp;"'!Year.Vectors"), 0))</f>
        <v>700.8881433886479</v>
      </c>
      <c r="P15" s="1852">
        <f ca="1">INDEX(INDIRECT("'"&amp;P$4&amp;"'!Year.NetBalance"), MATCH('Intermediate output'!$C15, INDIRECT("'"&amp;P$4&amp;"'!Year.Vectors"), 0))</f>
        <v>732.17817493630173</v>
      </c>
      <c r="Q15" s="1852">
        <f ca="1">INDEX(INDIRECT("'"&amp;Q$4&amp;"'!Year.NetBalance"), MATCH('Intermediate output'!$C15, INDIRECT("'"&amp;Q$4&amp;"'!Year.Vectors"), 0))</f>
        <v>767.71687249176193</v>
      </c>
      <c r="R15" s="1853"/>
      <c r="S15" s="27"/>
    </row>
    <row r="16" spans="1:32" outlineLevel="1">
      <c r="B16" s="1172"/>
      <c r="C16" s="1870" t="s">
        <v>57</v>
      </c>
      <c r="D16" s="1174" t="str">
        <f>INDEX(Vectors[Description], MATCH($C16, Vectors[Code], 0))</f>
        <v>Lighting &amp; appliances</v>
      </c>
      <c r="E16" s="1174"/>
      <c r="F16" s="1852">
        <f ca="1">INDEX(INDIRECT("'"&amp;F$4&amp;"'!Year.NetBalance"), MATCH('Intermediate output'!$C16, INDIRECT("'"&amp;F$4&amp;"'!Year.Vectors"), 0))</f>
        <v>183.99501047219411</v>
      </c>
      <c r="G16" s="1174"/>
      <c r="H16" s="1852">
        <f ca="1">INDEX(INDIRECT("'"&amp;H$4&amp;"'!Year.NetBalance"), MATCH('Intermediate output'!$C16, INDIRECT("'"&amp;H$4&amp;"'!Year.Vectors"), 0))</f>
        <v>176.36080205964583</v>
      </c>
      <c r="I16" s="1852">
        <f ca="1">INDEX(INDIRECT("'"&amp;I$4&amp;"'!Year.NetBalance"), MATCH('Intermediate output'!$C16, INDIRECT("'"&amp;I$4&amp;"'!Year.Vectors"), 0))</f>
        <v>177.42796936210306</v>
      </c>
      <c r="J16" s="1852">
        <f ca="1">INDEX(INDIRECT("'"&amp;J$4&amp;"'!Year.NetBalance"), MATCH('Intermediate output'!$C16, INDIRECT("'"&amp;J$4&amp;"'!Year.Vectors"), 0))</f>
        <v>181.64752039357137</v>
      </c>
      <c r="K16" s="1852">
        <f ca="1">INDEX(INDIRECT("'"&amp;K$4&amp;"'!Year.NetBalance"), MATCH('Intermediate output'!$C16, INDIRECT("'"&amp;K$4&amp;"'!Year.Vectors"), 0))</f>
        <v>185.83085939782245</v>
      </c>
      <c r="L16" s="1852">
        <f ca="1">INDEX(INDIRECT("'"&amp;L$4&amp;"'!Year.NetBalance"), MATCH('Intermediate output'!$C16, INDIRECT("'"&amp;L$4&amp;"'!Year.Vectors"), 0))</f>
        <v>189.81046011329818</v>
      </c>
      <c r="M16" s="1852">
        <f ca="1">INDEX(INDIRECT("'"&amp;M$4&amp;"'!Year.NetBalance"), MATCH('Intermediate output'!$C16, INDIRECT("'"&amp;M$4&amp;"'!Year.Vectors"), 0))</f>
        <v>193.5794282147545</v>
      </c>
      <c r="N16" s="1852">
        <f ca="1">INDEX(INDIRECT("'"&amp;N$4&amp;"'!Year.NetBalance"), MATCH('Intermediate output'!$C16, INDIRECT("'"&amp;N$4&amp;"'!Year.Vectors"), 0))</f>
        <v>198.16407689154261</v>
      </c>
      <c r="O16" s="1852">
        <f ca="1">INDEX(INDIRECT("'"&amp;O$4&amp;"'!Year.NetBalance"), MATCH('Intermediate output'!$C16, INDIRECT("'"&amp;O$4&amp;"'!Year.Vectors"), 0))</f>
        <v>202.8565997740406</v>
      </c>
      <c r="P16" s="1852">
        <f ca="1">INDEX(INDIRECT("'"&amp;P$4&amp;"'!Year.NetBalance"), MATCH('Intermediate output'!$C16, INDIRECT("'"&amp;P$4&amp;"'!Year.Vectors"), 0))</f>
        <v>207.74130210103971</v>
      </c>
      <c r="Q16" s="1852">
        <f ca="1">INDEX(INDIRECT("'"&amp;Q$4&amp;"'!Year.NetBalance"), MATCH('Intermediate output'!$C16, INDIRECT("'"&amp;Q$4&amp;"'!Year.Vectors"), 0))</f>
        <v>212.82687278526893</v>
      </c>
      <c r="R16" s="1853"/>
      <c r="S16" s="27"/>
    </row>
    <row r="17" spans="2:19" outlineLevel="1">
      <c r="B17" s="1172"/>
      <c r="C17" s="1870" t="s">
        <v>40</v>
      </c>
      <c r="D17" s="1174" t="str">
        <f>INDEX(Vectors[Description], MATCH($C17, Vectors[Code], 0))</f>
        <v>Food consumption [UNUSED]</v>
      </c>
      <c r="E17" s="1174"/>
      <c r="F17" s="1852">
        <f ca="1">INDEX(INDIRECT("'"&amp;F$4&amp;"'!Year.NetBalance"), MATCH('Intermediate output'!$C17, INDIRECT("'"&amp;F$4&amp;"'!Year.Vectors"), 0))</f>
        <v>59.090632000000006</v>
      </c>
      <c r="G17" s="1174"/>
      <c r="H17" s="1852">
        <f ca="1">INDEX(INDIRECT("'"&amp;H$4&amp;"'!Year.NetBalance"), MATCH('Intermediate output'!$C17, INDIRECT("'"&amp;H$4&amp;"'!Year.Vectors"), 0))</f>
        <v>0</v>
      </c>
      <c r="I17" s="1852">
        <f ca="1">INDEX(INDIRECT("'"&amp;I$4&amp;"'!Year.NetBalance"), MATCH('Intermediate output'!$C17, INDIRECT("'"&amp;I$4&amp;"'!Year.Vectors"), 0))</f>
        <v>0</v>
      </c>
      <c r="J17" s="1852">
        <f ca="1">INDEX(INDIRECT("'"&amp;J$4&amp;"'!Year.NetBalance"), MATCH('Intermediate output'!$C17, INDIRECT("'"&amp;J$4&amp;"'!Year.Vectors"), 0))</f>
        <v>0</v>
      </c>
      <c r="K17" s="1852">
        <f ca="1">INDEX(INDIRECT("'"&amp;K$4&amp;"'!Year.NetBalance"), MATCH('Intermediate output'!$C17, INDIRECT("'"&amp;K$4&amp;"'!Year.Vectors"), 0))</f>
        <v>0</v>
      </c>
      <c r="L17" s="1852">
        <f ca="1">INDEX(INDIRECT("'"&amp;L$4&amp;"'!Year.NetBalance"), MATCH('Intermediate output'!$C17, INDIRECT("'"&amp;L$4&amp;"'!Year.Vectors"), 0))</f>
        <v>0</v>
      </c>
      <c r="M17" s="1852">
        <f ca="1">INDEX(INDIRECT("'"&amp;M$4&amp;"'!Year.NetBalance"), MATCH('Intermediate output'!$C17, INDIRECT("'"&amp;M$4&amp;"'!Year.Vectors"), 0))</f>
        <v>0</v>
      </c>
      <c r="N17" s="1852">
        <f ca="1">INDEX(INDIRECT("'"&amp;N$4&amp;"'!Year.NetBalance"), MATCH('Intermediate output'!$C17, INDIRECT("'"&amp;N$4&amp;"'!Year.Vectors"), 0))</f>
        <v>0</v>
      </c>
      <c r="O17" s="1852">
        <f ca="1">INDEX(INDIRECT("'"&amp;O$4&amp;"'!Year.NetBalance"), MATCH('Intermediate output'!$C17, INDIRECT("'"&amp;O$4&amp;"'!Year.Vectors"), 0))</f>
        <v>0</v>
      </c>
      <c r="P17" s="1852">
        <f ca="1">INDEX(INDIRECT("'"&amp;P$4&amp;"'!Year.NetBalance"), MATCH('Intermediate output'!$C17, INDIRECT("'"&amp;P$4&amp;"'!Year.Vectors"), 0))</f>
        <v>0</v>
      </c>
      <c r="Q17" s="1852">
        <f ca="1">INDEX(INDIRECT("'"&amp;Q$4&amp;"'!Year.NetBalance"), MATCH('Intermediate output'!$C17, INDIRECT("'"&amp;Q$4&amp;"'!Year.Vectors"), 0))</f>
        <v>0</v>
      </c>
      <c r="R17" s="1853"/>
      <c r="S17" s="27"/>
    </row>
    <row r="18" spans="2:19" s="834" customFormat="1" ht="18">
      <c r="B18" s="1854"/>
      <c r="C18" s="1871"/>
      <c r="D18" s="1842" t="s">
        <v>1021</v>
      </c>
      <c r="E18" s="1174"/>
      <c r="F18" s="1843">
        <f ca="1">F13+F14+F15+F16+F17</f>
        <v>1959.6239865655555</v>
      </c>
      <c r="G18" s="1174"/>
      <c r="H18" s="1843">
        <f ca="1">H13+H14+H15+H16+H17</f>
        <v>1876.4929501549977</v>
      </c>
      <c r="I18" s="1843">
        <f t="shared" ref="I18:Q18" ca="1" si="1">I13+I14+I15+I16+I17</f>
        <v>1905.693104853254</v>
      </c>
      <c r="J18" s="1843">
        <f t="shared" ca="1" si="1"/>
        <v>1932.709065592843</v>
      </c>
      <c r="K18" s="1843">
        <f t="shared" ca="1" si="1"/>
        <v>1966.3037970695379</v>
      </c>
      <c r="L18" s="1843">
        <f t="shared" ca="1" si="1"/>
        <v>1980.7850211840546</v>
      </c>
      <c r="M18" s="1843">
        <f t="shared" ca="1" si="1"/>
        <v>1997.2408648035189</v>
      </c>
      <c r="N18" s="1843">
        <f t="shared" ca="1" si="1"/>
        <v>2037.0920749258546</v>
      </c>
      <c r="O18" s="1843">
        <f t="shared" ca="1" si="1"/>
        <v>2078.2838563959567</v>
      </c>
      <c r="P18" s="1843">
        <f t="shared" ca="1" si="1"/>
        <v>2128.5511448070915</v>
      </c>
      <c r="Q18" s="1843">
        <f t="shared" ca="1" si="1"/>
        <v>2186.8677000208309</v>
      </c>
      <c r="R18" s="1855"/>
      <c r="S18" s="839"/>
    </row>
    <row r="19" spans="2:19" s="731" customFormat="1">
      <c r="B19" s="1856"/>
      <c r="C19" s="1872"/>
      <c r="D19" s="1186"/>
      <c r="E19" s="1174"/>
      <c r="F19" s="1857"/>
      <c r="G19" s="1174"/>
      <c r="H19" s="1857"/>
      <c r="I19" s="1857"/>
      <c r="J19" s="1857"/>
      <c r="K19" s="1857"/>
      <c r="L19" s="1857"/>
      <c r="M19" s="1857"/>
      <c r="N19" s="1857"/>
      <c r="O19" s="1857"/>
      <c r="P19" s="1857"/>
      <c r="Q19" s="1857"/>
      <c r="R19" s="1858"/>
      <c r="S19" s="783"/>
    </row>
    <row r="20" spans="2:19" s="246" customFormat="1">
      <c r="B20" s="1859"/>
      <c r="C20" s="1873"/>
      <c r="D20" s="1860" t="s">
        <v>1238</v>
      </c>
      <c r="E20" s="1174"/>
      <c r="F20" s="1861"/>
      <c r="G20" s="1174"/>
      <c r="H20" s="1861">
        <f t="shared" ref="H20:Q20" ca="1" si="2">MAX(0,H$47-H$18)</f>
        <v>658.09922861728228</v>
      </c>
      <c r="I20" s="1861">
        <f t="shared" ca="1" si="2"/>
        <v>657.02965798317359</v>
      </c>
      <c r="J20" s="1861">
        <f t="shared" ca="1" si="2"/>
        <v>610.98818851271176</v>
      </c>
      <c r="K20" s="1861">
        <f t="shared" ca="1" si="2"/>
        <v>562.80271713968682</v>
      </c>
      <c r="L20" s="1861">
        <f t="shared" ca="1" si="2"/>
        <v>511.57324610744126</v>
      </c>
      <c r="M20" s="1861">
        <f t="shared" ca="1" si="2"/>
        <v>536.12657992532195</v>
      </c>
      <c r="N20" s="1861">
        <f t="shared" ca="1" si="2"/>
        <v>561.19441508341492</v>
      </c>
      <c r="O20" s="1861">
        <f t="shared" ca="1" si="2"/>
        <v>596.85639025143701</v>
      </c>
      <c r="P20" s="1861">
        <f t="shared" ca="1" si="2"/>
        <v>632.78192659511069</v>
      </c>
      <c r="Q20" s="1861">
        <f t="shared" ca="1" si="2"/>
        <v>657.24176315209297</v>
      </c>
      <c r="R20" s="1862"/>
      <c r="S20" s="1108"/>
    </row>
    <row r="21" spans="2:19" s="121" customFormat="1">
      <c r="B21" s="1172"/>
      <c r="C21" s="1870"/>
      <c r="D21" s="1174"/>
      <c r="E21" s="1174"/>
      <c r="F21" s="1174"/>
      <c r="G21" s="1174"/>
      <c r="H21" s="1852"/>
      <c r="I21" s="1852"/>
      <c r="J21" s="1852"/>
      <c r="K21" s="1852"/>
      <c r="L21" s="1852"/>
      <c r="M21" s="1852"/>
      <c r="N21" s="1852"/>
      <c r="O21" s="1852"/>
      <c r="P21" s="1852"/>
      <c r="Q21" s="1852"/>
      <c r="R21" s="1853"/>
      <c r="S21" s="27"/>
    </row>
    <row r="22" spans="2:19" s="715" customFormat="1" outlineLevel="1">
      <c r="B22" s="1848"/>
      <c r="C22" s="1869" t="s">
        <v>1459</v>
      </c>
      <c r="D22" s="1849"/>
      <c r="E22" s="1174"/>
      <c r="F22" s="1850"/>
      <c r="G22" s="1174"/>
      <c r="H22" s="1850"/>
      <c r="I22" s="1850"/>
      <c r="J22" s="1850"/>
      <c r="K22" s="1850"/>
      <c r="L22" s="1850"/>
      <c r="M22" s="1850"/>
      <c r="N22" s="1850"/>
      <c r="O22" s="1850"/>
      <c r="P22" s="1850"/>
      <c r="Q22" s="1850"/>
      <c r="R22" s="1851"/>
      <c r="S22" s="1109"/>
    </row>
    <row r="23" spans="2:19" s="715" customFormat="1" hidden="1" outlineLevel="2">
      <c r="B23" s="1848"/>
      <c r="C23" s="1874" t="s">
        <v>7</v>
      </c>
      <c r="D23" s="1849" t="str">
        <f>INDEX(Vectors[Description], MATCH($C23, Vectors[Code], 0))</f>
        <v>Nuclear fission</v>
      </c>
      <c r="E23" s="1174"/>
      <c r="F23" s="1850">
        <f ca="1">-INDEX(INDIRECT("'"&amp;F$4&amp;"'!Year.NetBalance"), MATCH('Intermediate output'!$C23, INDIRECT("'"&amp;F$4&amp;"'!Year.Vectors"), 0))</f>
        <v>163.24447683045062</v>
      </c>
      <c r="G23" s="1174"/>
      <c r="H23" s="1850">
        <f ca="1">-INDEX(INDIRECT("'"&amp;H$4&amp;"'!Year.NetBalance"), MATCH('Intermediate output'!$C23, INDIRECT("'"&amp;H$4&amp;"'!Year.Vectors"), 0))</f>
        <v>163.91620313701554</v>
      </c>
      <c r="I23" s="1850">
        <f ca="1">-INDEX(INDIRECT("'"&amp;I$4&amp;"'!Year.NetBalance"), MATCH('Intermediate output'!$C23, INDIRECT("'"&amp;I$4&amp;"'!Year.Vectors"), 0))</f>
        <v>160.70999999999998</v>
      </c>
      <c r="J23" s="1850">
        <f ca="1">-INDEX(INDIRECT("'"&amp;J$4&amp;"'!Year.NetBalance"), MATCH('Intermediate output'!$C23, INDIRECT("'"&amp;J$4&amp;"'!Year.Vectors"), 0))</f>
        <v>134.99639999999999</v>
      </c>
      <c r="K23" s="1850">
        <f ca="1">-INDEX(INDIRECT("'"&amp;K$4&amp;"'!Year.NetBalance"), MATCH('Intermediate output'!$C23, INDIRECT("'"&amp;K$4&amp;"'!Year.Vectors"), 0))</f>
        <v>77.140800000000027</v>
      </c>
      <c r="L23" s="1850">
        <f ca="1">-INDEX(INDIRECT("'"&amp;L$4&amp;"'!Year.NetBalance"), MATCH('Intermediate output'!$C23, INDIRECT("'"&amp;L$4&amp;"'!Year.Vectors"), 0))</f>
        <v>25.713600000000014</v>
      </c>
      <c r="M23" s="1850">
        <f ca="1">-INDEX(INDIRECT("'"&amp;M$4&amp;"'!Year.NetBalance"), MATCH('Intermediate output'!$C23, INDIRECT("'"&amp;M$4&amp;"'!Year.Vectors"), 0))</f>
        <v>25.713600000000014</v>
      </c>
      <c r="N23" s="1850">
        <f ca="1">-INDEX(INDIRECT("'"&amp;N$4&amp;"'!Year.NetBalance"), MATCH('Intermediate output'!$C23, INDIRECT("'"&amp;N$4&amp;"'!Year.Vectors"), 0))</f>
        <v>0</v>
      </c>
      <c r="O23" s="1850">
        <f ca="1">-INDEX(INDIRECT("'"&amp;O$4&amp;"'!Year.NetBalance"), MATCH('Intermediate output'!$C23, INDIRECT("'"&amp;O$4&amp;"'!Year.Vectors"), 0))</f>
        <v>0</v>
      </c>
      <c r="P23" s="1850">
        <f ca="1">-INDEX(INDIRECT("'"&amp;P$4&amp;"'!Year.NetBalance"), MATCH('Intermediate output'!$C23, INDIRECT("'"&amp;P$4&amp;"'!Year.Vectors"), 0))</f>
        <v>0</v>
      </c>
      <c r="Q23" s="1850">
        <f ca="1">-INDEX(INDIRECT("'"&amp;Q$4&amp;"'!Year.NetBalance"), MATCH('Intermediate output'!$C23, INDIRECT("'"&amp;Q$4&amp;"'!Year.Vectors"), 0))</f>
        <v>0</v>
      </c>
      <c r="R23" s="1851"/>
      <c r="S23" s="1109"/>
    </row>
    <row r="24" spans="2:19" s="715" customFormat="1" hidden="1" outlineLevel="2">
      <c r="B24" s="1848"/>
      <c r="C24" s="1874" t="s">
        <v>33</v>
      </c>
      <c r="D24" s="1849" t="str">
        <f>INDEX(Vectors[Description], MATCH($C24, Vectors[Code], 0))</f>
        <v>Solar</v>
      </c>
      <c r="E24" s="1174"/>
      <c r="F24" s="1850">
        <f ca="1">-INDEX(INDIRECT("'"&amp;F$4&amp;"'!Year.NetBalance"), MATCH('Intermediate output'!$C24, INDIRECT("'"&amp;F$4&amp;"'!Year.Vectors"), 0))</f>
        <v>0.53605914770000007</v>
      </c>
      <c r="G24" s="1174"/>
      <c r="H24" s="1850">
        <f ca="1">-INDEX(INDIRECT("'"&amp;H$4&amp;"'!Year.NetBalance"), MATCH('Intermediate output'!$C24, INDIRECT("'"&amp;H$4&amp;"'!Year.Vectors"), 0))</f>
        <v>1.700604E-2</v>
      </c>
      <c r="I24" s="1850">
        <f ca="1">-INDEX(INDIRECT("'"&amp;I$4&amp;"'!Year.NetBalance"), MATCH('Intermediate output'!$C24, INDIRECT("'"&amp;I$4&amp;"'!Year.Vectors"), 0))</f>
        <v>2.8059966000000006E-2</v>
      </c>
      <c r="J24" s="1850">
        <f ca="1">-INDEX(INDIRECT("'"&amp;J$4&amp;"'!Year.NetBalance"), MATCH('Intermediate output'!$C24, INDIRECT("'"&amp;J$4&amp;"'!Year.Vectors"), 0))</f>
        <v>1.3604831999999999E-2</v>
      </c>
      <c r="K24" s="1850">
        <f ca="1">-INDEX(INDIRECT("'"&amp;K$4&amp;"'!Year.NetBalance"), MATCH('Intermediate output'!$C24, INDIRECT("'"&amp;K$4&amp;"'!Year.Vectors"), 0))</f>
        <v>0</v>
      </c>
      <c r="L24" s="1850">
        <f ca="1">-INDEX(INDIRECT("'"&amp;L$4&amp;"'!Year.NetBalance"), MATCH('Intermediate output'!$C24, INDIRECT("'"&amp;L$4&amp;"'!Year.Vectors"), 0))</f>
        <v>0</v>
      </c>
      <c r="M24" s="1850">
        <f ca="1">-INDEX(INDIRECT("'"&amp;M$4&amp;"'!Year.NetBalance"), MATCH('Intermediate output'!$C24, INDIRECT("'"&amp;M$4&amp;"'!Year.Vectors"), 0))</f>
        <v>0</v>
      </c>
      <c r="N24" s="1850">
        <f ca="1">-INDEX(INDIRECT("'"&amp;N$4&amp;"'!Year.NetBalance"), MATCH('Intermediate output'!$C24, INDIRECT("'"&amp;N$4&amp;"'!Year.Vectors"), 0))</f>
        <v>0</v>
      </c>
      <c r="O24" s="1850">
        <f ca="1">-INDEX(INDIRECT("'"&amp;O$4&amp;"'!Year.NetBalance"), MATCH('Intermediate output'!$C24, INDIRECT("'"&amp;O$4&amp;"'!Year.Vectors"), 0))</f>
        <v>0</v>
      </c>
      <c r="P24" s="1850">
        <f ca="1">-INDEX(INDIRECT("'"&amp;P$4&amp;"'!Year.NetBalance"), MATCH('Intermediate output'!$C24, INDIRECT("'"&amp;P$4&amp;"'!Year.Vectors"), 0))</f>
        <v>0</v>
      </c>
      <c r="Q24" s="1850">
        <f ca="1">-INDEX(INDIRECT("'"&amp;Q$4&amp;"'!Year.NetBalance"), MATCH('Intermediate output'!$C24, INDIRECT("'"&amp;Q$4&amp;"'!Year.Vectors"), 0))</f>
        <v>0</v>
      </c>
      <c r="R24" s="1851"/>
      <c r="S24" s="1109"/>
    </row>
    <row r="25" spans="2:19" s="715" customFormat="1" hidden="1" outlineLevel="2">
      <c r="B25" s="1848"/>
      <c r="C25" s="1874" t="s">
        <v>8</v>
      </c>
      <c r="D25" s="1849" t="str">
        <f>INDEX(Vectors[Description], MATCH($C25, Vectors[Code], 0))</f>
        <v>Wind</v>
      </c>
      <c r="E25" s="1174"/>
      <c r="F25" s="1850">
        <f ca="1">-INDEX(INDIRECT("'"&amp;F$4&amp;"'!Year.NetBalance"), MATCH('Intermediate output'!$C25, INDIRECT("'"&amp;F$4&amp;"'!Year.Vectors"), 0))</f>
        <v>6.9788618847825861</v>
      </c>
      <c r="G25" s="1174"/>
      <c r="H25" s="1850">
        <f ca="1">-INDEX(INDIRECT("'"&amp;H$4&amp;"'!Year.NetBalance"), MATCH('Intermediate output'!$C25, INDIRECT("'"&amp;H$4&amp;"'!Year.Vectors"), 0))</f>
        <v>5.9627524176000009</v>
      </c>
      <c r="I25" s="1850">
        <f ca="1">-INDEX(INDIRECT("'"&amp;I$4&amp;"'!Year.NetBalance"), MATCH('Intermediate output'!$C25, INDIRECT("'"&amp;I$4&amp;"'!Year.Vectors"), 0))</f>
        <v>14.440670099999998</v>
      </c>
      <c r="J25" s="1850">
        <f ca="1">-INDEX(INDIRECT("'"&amp;J$4&amp;"'!Year.NetBalance"), MATCH('Intermediate output'!$C25, INDIRECT("'"&amp;J$4&amp;"'!Year.Vectors"), 0))</f>
        <v>29.342870099999999</v>
      </c>
      <c r="K25" s="1850">
        <f ca="1">-INDEX(INDIRECT("'"&amp;K$4&amp;"'!Year.NetBalance"), MATCH('Intermediate output'!$C25, INDIRECT("'"&amp;K$4&amp;"'!Year.Vectors"), 0))</f>
        <v>44.245070100000007</v>
      </c>
      <c r="L25" s="1850">
        <f ca="1">-INDEX(INDIRECT("'"&amp;L$4&amp;"'!Year.NetBalance"), MATCH('Intermediate output'!$C25, INDIRECT("'"&amp;L$4&amp;"'!Year.Vectors"), 0))</f>
        <v>54.102437099999996</v>
      </c>
      <c r="M25" s="1850">
        <f ca="1">-INDEX(INDIRECT("'"&amp;M$4&amp;"'!Year.NetBalance"), MATCH('Intermediate output'!$C25, INDIRECT("'"&amp;M$4&amp;"'!Year.Vectors"), 0))</f>
        <v>43.456130099999996</v>
      </c>
      <c r="N25" s="1850">
        <f ca="1">-INDEX(INDIRECT("'"&amp;N$4&amp;"'!Year.NetBalance"), MATCH('Intermediate output'!$C25, INDIRECT("'"&amp;N$4&amp;"'!Year.Vectors"), 0))</f>
        <v>28.553930100000002</v>
      </c>
      <c r="O25" s="1850">
        <f ca="1">-INDEX(INDIRECT("'"&amp;O$4&amp;"'!Year.NetBalance"), MATCH('Intermediate output'!$C25, INDIRECT("'"&amp;O$4&amp;"'!Year.Vectors"), 0))</f>
        <v>13.6517301</v>
      </c>
      <c r="P25" s="1850">
        <f ca="1">-INDEX(INDIRECT("'"&amp;P$4&amp;"'!Year.NetBalance"), MATCH('Intermediate output'!$C25, INDIRECT("'"&amp;P$4&amp;"'!Year.Vectors"), 0))</f>
        <v>0.28358010000000045</v>
      </c>
      <c r="Q25" s="1850">
        <f ca="1">-INDEX(INDIRECT("'"&amp;Q$4&amp;"'!Year.NetBalance"), MATCH('Intermediate output'!$C25, INDIRECT("'"&amp;Q$4&amp;"'!Year.Vectors"), 0))</f>
        <v>0.28358010000000045</v>
      </c>
      <c r="R25" s="1851"/>
      <c r="S25" s="1109"/>
    </row>
    <row r="26" spans="2:19" s="715" customFormat="1" hidden="1" outlineLevel="2">
      <c r="B26" s="1848"/>
      <c r="C26" s="1874" t="s">
        <v>9</v>
      </c>
      <c r="D26" s="1849" t="str">
        <f>INDEX(Vectors[Description], MATCH($C26, Vectors[Code], 0))</f>
        <v>Tidal</v>
      </c>
      <c r="E26" s="1174"/>
      <c r="F26" s="1850">
        <f ca="1">-INDEX(INDIRECT("'"&amp;F$4&amp;"'!Year.NetBalance"), MATCH('Intermediate output'!$C26, INDIRECT("'"&amp;F$4&amp;"'!Year.Vectors"), 0))</f>
        <v>0</v>
      </c>
      <c r="G26" s="1174"/>
      <c r="H26" s="1850">
        <f ca="1">-INDEX(INDIRECT("'"&amp;H$4&amp;"'!Year.NetBalance"), MATCH('Intermediate output'!$C26, INDIRECT("'"&amp;H$4&amp;"'!Year.Vectors"), 0))</f>
        <v>0</v>
      </c>
      <c r="I26" s="1850">
        <f ca="1">-INDEX(INDIRECT("'"&amp;I$4&amp;"'!Year.NetBalance"), MATCH('Intermediate output'!$C26, INDIRECT("'"&amp;I$4&amp;"'!Year.Vectors"), 0))</f>
        <v>5.0034246575342495E-3</v>
      </c>
      <c r="J26" s="1850">
        <f ca="1">-INDEX(INDIRECT("'"&amp;J$4&amp;"'!Year.NetBalance"), MATCH('Intermediate output'!$C26, INDIRECT("'"&amp;J$4&amp;"'!Year.Vectors"), 0))</f>
        <v>2.0013698630136998E-2</v>
      </c>
      <c r="K26" s="1850">
        <f ca="1">-INDEX(INDIRECT("'"&amp;K$4&amp;"'!Year.NetBalance"), MATCH('Intermediate output'!$C26, INDIRECT("'"&amp;K$4&amp;"'!Year.Vectors"), 0))</f>
        <v>5.0034246575342486E-2</v>
      </c>
      <c r="L26" s="1850">
        <f ca="1">-INDEX(INDIRECT("'"&amp;L$4&amp;"'!Year.NetBalance"), MATCH('Intermediate output'!$C26, INDIRECT("'"&amp;L$4&amp;"'!Year.Vectors"), 0))</f>
        <v>0.12508561643835608</v>
      </c>
      <c r="M26" s="1850">
        <f ca="1">-INDEX(INDIRECT("'"&amp;M$4&amp;"'!Year.NetBalance"), MATCH('Intermediate output'!$C26, INDIRECT("'"&amp;M$4&amp;"'!Year.Vectors"), 0))</f>
        <v>0.12508561643835608</v>
      </c>
      <c r="N26" s="1850">
        <f ca="1">-INDEX(INDIRECT("'"&amp;N$4&amp;"'!Year.NetBalance"), MATCH('Intermediate output'!$C26, INDIRECT("'"&amp;N$4&amp;"'!Year.Vectors"), 0))</f>
        <v>0</v>
      </c>
      <c r="O26" s="1850">
        <f ca="1">-INDEX(INDIRECT("'"&amp;O$4&amp;"'!Year.NetBalance"), MATCH('Intermediate output'!$C26, INDIRECT("'"&amp;O$4&amp;"'!Year.Vectors"), 0))</f>
        <v>0</v>
      </c>
      <c r="P26" s="1850">
        <f ca="1">-INDEX(INDIRECT("'"&amp;P$4&amp;"'!Year.NetBalance"), MATCH('Intermediate output'!$C26, INDIRECT("'"&amp;P$4&amp;"'!Year.Vectors"), 0))</f>
        <v>0</v>
      </c>
      <c r="Q26" s="1850">
        <f ca="1">-INDEX(INDIRECT("'"&amp;Q$4&amp;"'!Year.NetBalance"), MATCH('Intermediate output'!$C26, INDIRECT("'"&amp;Q$4&amp;"'!Year.Vectors"), 0))</f>
        <v>0</v>
      </c>
      <c r="R26" s="1851"/>
      <c r="S26" s="27"/>
    </row>
    <row r="27" spans="2:19" s="715" customFormat="1" hidden="1" outlineLevel="2">
      <c r="B27" s="1848"/>
      <c r="C27" s="1874" t="s">
        <v>10</v>
      </c>
      <c r="D27" s="1849" t="str">
        <f>INDEX(Vectors[Description], MATCH($C27, Vectors[Code], 0))</f>
        <v>Wave</v>
      </c>
      <c r="E27" s="1174"/>
      <c r="F27" s="1850">
        <f ca="1">-INDEX(INDIRECT("'"&amp;F$4&amp;"'!Year.NetBalance"), MATCH('Intermediate output'!$C27, INDIRECT("'"&amp;F$4&amp;"'!Year.Vectors"), 0))</f>
        <v>0</v>
      </c>
      <c r="G27" s="1174"/>
      <c r="H27" s="1850">
        <f ca="1">-INDEX(INDIRECT("'"&amp;H$4&amp;"'!Year.NetBalance"), MATCH('Intermediate output'!$C27, INDIRECT("'"&amp;H$4&amp;"'!Year.Vectors"), 0))</f>
        <v>0</v>
      </c>
      <c r="I27" s="1850">
        <f ca="1">-INDEX(INDIRECT("'"&amp;I$4&amp;"'!Year.NetBalance"), MATCH('Intermediate output'!$C27, INDIRECT("'"&amp;I$4&amp;"'!Year.Vectors"), 0))</f>
        <v>0</v>
      </c>
      <c r="J27" s="1850">
        <f ca="1">-INDEX(INDIRECT("'"&amp;J$4&amp;"'!Year.NetBalance"), MATCH('Intermediate output'!$C27, INDIRECT("'"&amp;J$4&amp;"'!Year.Vectors"), 0))</f>
        <v>3.0020547945205484E-3</v>
      </c>
      <c r="K27" s="1850">
        <f ca="1">-INDEX(INDIRECT("'"&amp;K$4&amp;"'!Year.NetBalance"), MATCH('Intermediate output'!$C27, INDIRECT("'"&amp;K$4&amp;"'!Year.Vectors"), 0))</f>
        <v>0.1584417808219177</v>
      </c>
      <c r="L27" s="1850">
        <f ca="1">-INDEX(INDIRECT("'"&amp;L$4&amp;"'!Year.NetBalance"), MATCH('Intermediate output'!$C27, INDIRECT("'"&amp;L$4&amp;"'!Year.Vectors"), 0))</f>
        <v>0.39610445205479383</v>
      </c>
      <c r="M27" s="1850">
        <f ca="1">-INDEX(INDIRECT("'"&amp;M$4&amp;"'!Year.NetBalance"), MATCH('Intermediate output'!$C27, INDIRECT("'"&amp;M$4&amp;"'!Year.Vectors"), 0))</f>
        <v>0.39610445205479383</v>
      </c>
      <c r="N27" s="1850">
        <f ca="1">-INDEX(INDIRECT("'"&amp;N$4&amp;"'!Year.NetBalance"), MATCH('Intermediate output'!$C27, INDIRECT("'"&amp;N$4&amp;"'!Year.Vectors"), 0))</f>
        <v>0</v>
      </c>
      <c r="O27" s="1850">
        <f ca="1">-INDEX(INDIRECT("'"&amp;O$4&amp;"'!Year.NetBalance"), MATCH('Intermediate output'!$C27, INDIRECT("'"&amp;O$4&amp;"'!Year.Vectors"), 0))</f>
        <v>0</v>
      </c>
      <c r="P27" s="1850">
        <f ca="1">-INDEX(INDIRECT("'"&amp;P$4&amp;"'!Year.NetBalance"), MATCH('Intermediate output'!$C27, INDIRECT("'"&amp;P$4&amp;"'!Year.Vectors"), 0))</f>
        <v>0</v>
      </c>
      <c r="Q27" s="1850">
        <f ca="1">-INDEX(INDIRECT("'"&amp;Q$4&amp;"'!Year.NetBalance"), MATCH('Intermediate output'!$C27, INDIRECT("'"&amp;Q$4&amp;"'!Year.Vectors"), 0))</f>
        <v>0</v>
      </c>
      <c r="R27" s="1851"/>
      <c r="S27" s="1109"/>
    </row>
    <row r="28" spans="2:19" s="715" customFormat="1" hidden="1" outlineLevel="2">
      <c r="B28" s="1848"/>
      <c r="C28" s="1874" t="s">
        <v>11</v>
      </c>
      <c r="D28" s="1849" t="str">
        <f>INDEX(Vectors[Description], MATCH($C28, Vectors[Code], 0))</f>
        <v>Geothermal</v>
      </c>
      <c r="E28" s="1174"/>
      <c r="F28" s="1850">
        <f ca="1">-INDEX(INDIRECT("'"&amp;F$4&amp;"'!Year.NetBalance"), MATCH('Intermediate output'!$C28, INDIRECT("'"&amp;F$4&amp;"'!Year.Vectors"), 0))</f>
        <v>0</v>
      </c>
      <c r="G28" s="1174"/>
      <c r="H28" s="1850">
        <f ca="1">-INDEX(INDIRECT("'"&amp;H$4&amp;"'!Year.NetBalance"), MATCH('Intermediate output'!$C28, INDIRECT("'"&amp;H$4&amp;"'!Year.Vectors"), 0))</f>
        <v>0</v>
      </c>
      <c r="I28" s="1850">
        <f ca="1">-INDEX(INDIRECT("'"&amp;I$4&amp;"'!Year.NetBalance"), MATCH('Intermediate output'!$C28, INDIRECT("'"&amp;I$4&amp;"'!Year.Vectors"), 0))</f>
        <v>0</v>
      </c>
      <c r="J28" s="1850">
        <f ca="1">-INDEX(INDIRECT("'"&amp;J$4&amp;"'!Year.NetBalance"), MATCH('Intermediate output'!$C28, INDIRECT("'"&amp;J$4&amp;"'!Year.Vectors"), 0))</f>
        <v>0</v>
      </c>
      <c r="K28" s="1850">
        <f ca="1">-INDEX(INDIRECT("'"&amp;K$4&amp;"'!Year.NetBalance"), MATCH('Intermediate output'!$C28, INDIRECT("'"&amp;K$4&amp;"'!Year.Vectors"), 0))</f>
        <v>0</v>
      </c>
      <c r="L28" s="1850">
        <f ca="1">-INDEX(INDIRECT("'"&amp;L$4&amp;"'!Year.NetBalance"), MATCH('Intermediate output'!$C28, INDIRECT("'"&amp;L$4&amp;"'!Year.Vectors"), 0))</f>
        <v>0</v>
      </c>
      <c r="M28" s="1850">
        <f ca="1">-INDEX(INDIRECT("'"&amp;M$4&amp;"'!Year.NetBalance"), MATCH('Intermediate output'!$C28, INDIRECT("'"&amp;M$4&amp;"'!Year.Vectors"), 0))</f>
        <v>0</v>
      </c>
      <c r="N28" s="1850">
        <f ca="1">-INDEX(INDIRECT("'"&amp;N$4&amp;"'!Year.NetBalance"), MATCH('Intermediate output'!$C28, INDIRECT("'"&amp;N$4&amp;"'!Year.Vectors"), 0))</f>
        <v>0</v>
      </c>
      <c r="O28" s="1850">
        <f ca="1">-INDEX(INDIRECT("'"&amp;O$4&amp;"'!Year.NetBalance"), MATCH('Intermediate output'!$C28, INDIRECT("'"&amp;O$4&amp;"'!Year.Vectors"), 0))</f>
        <v>0</v>
      </c>
      <c r="P28" s="1850">
        <f ca="1">-INDEX(INDIRECT("'"&amp;P$4&amp;"'!Year.NetBalance"), MATCH('Intermediate output'!$C28, INDIRECT("'"&amp;P$4&amp;"'!Year.Vectors"), 0))</f>
        <v>0</v>
      </c>
      <c r="Q28" s="1850">
        <f ca="1">-INDEX(INDIRECT("'"&amp;Q$4&amp;"'!Year.NetBalance"), MATCH('Intermediate output'!$C28, INDIRECT("'"&amp;Q$4&amp;"'!Year.Vectors"), 0))</f>
        <v>0</v>
      </c>
      <c r="R28" s="1851"/>
      <c r="S28" s="1109"/>
    </row>
    <row r="29" spans="2:19" s="715" customFormat="1" hidden="1" outlineLevel="2">
      <c r="B29" s="1848"/>
      <c r="C29" s="1874" t="s">
        <v>12</v>
      </c>
      <c r="D29" s="1849" t="str">
        <f>INDEX(Vectors[Description], MATCH($C29, Vectors[Code], 0))</f>
        <v>Hydro</v>
      </c>
      <c r="E29" s="1174"/>
      <c r="F29" s="1850">
        <f ca="1">-INDEX(INDIRECT("'"&amp;F$4&amp;"'!Year.NetBalance"), MATCH('Intermediate output'!$C29, INDIRECT("'"&amp;F$4&amp;"'!Year.Vectors"), 0))</f>
        <v>5.0883943400000007</v>
      </c>
      <c r="G29" s="1174"/>
      <c r="H29" s="1850">
        <f ca="1">-INDEX(INDIRECT("'"&amp;H$4&amp;"'!Year.NetBalance"), MATCH('Intermediate output'!$C29, INDIRECT("'"&amp;H$4&amp;"'!Year.Vectors"), 0))</f>
        <v>4.1144009940000004</v>
      </c>
      <c r="I29" s="1850">
        <f ca="1">-INDEX(INDIRECT("'"&amp;I$4&amp;"'!Year.NetBalance"), MATCH('Intermediate output'!$C29, INDIRECT("'"&amp;I$4&amp;"'!Year.Vectors"), 0))</f>
        <v>5.3297280000000011</v>
      </c>
      <c r="J29" s="1850">
        <f ca="1">-INDEX(INDIRECT("'"&amp;J$4&amp;"'!Year.NetBalance"), MATCH('Intermediate output'!$C29, INDIRECT("'"&amp;J$4&amp;"'!Year.Vectors"), 0))</f>
        <v>5.3297280000000011</v>
      </c>
      <c r="K29" s="1850">
        <f ca="1">-INDEX(INDIRECT("'"&amp;K$4&amp;"'!Year.NetBalance"), MATCH('Intermediate output'!$C29, INDIRECT("'"&amp;K$4&amp;"'!Year.Vectors"), 0))</f>
        <v>5.3297280000000011</v>
      </c>
      <c r="L29" s="1850">
        <f ca="1">-INDEX(INDIRECT("'"&amp;L$4&amp;"'!Year.NetBalance"), MATCH('Intermediate output'!$C29, INDIRECT("'"&amp;L$4&amp;"'!Year.Vectors"), 0))</f>
        <v>5.3297280000000011</v>
      </c>
      <c r="M29" s="1850">
        <f ca="1">-INDEX(INDIRECT("'"&amp;M$4&amp;"'!Year.NetBalance"), MATCH('Intermediate output'!$C29, INDIRECT("'"&amp;M$4&amp;"'!Year.Vectors"), 0))</f>
        <v>5.3297280000000011</v>
      </c>
      <c r="N29" s="1850">
        <f ca="1">-INDEX(INDIRECT("'"&amp;N$4&amp;"'!Year.NetBalance"), MATCH('Intermediate output'!$C29, INDIRECT("'"&amp;N$4&amp;"'!Year.Vectors"), 0))</f>
        <v>5.3297280000000011</v>
      </c>
      <c r="O29" s="1850">
        <f ca="1">-INDEX(INDIRECT("'"&amp;O$4&amp;"'!Year.NetBalance"), MATCH('Intermediate output'!$C29, INDIRECT("'"&amp;O$4&amp;"'!Year.Vectors"), 0))</f>
        <v>5.3297280000000011</v>
      </c>
      <c r="P29" s="1850">
        <f ca="1">-INDEX(INDIRECT("'"&amp;P$4&amp;"'!Year.NetBalance"), MATCH('Intermediate output'!$C29, INDIRECT("'"&amp;P$4&amp;"'!Year.Vectors"), 0))</f>
        <v>5.3297280000000011</v>
      </c>
      <c r="Q29" s="1850">
        <f ca="1">-INDEX(INDIRECT("'"&amp;Q$4&amp;"'!Year.NetBalance"), MATCH('Intermediate output'!$C29, INDIRECT("'"&amp;Q$4&amp;"'!Year.Vectors"), 0))</f>
        <v>5.3297280000000011</v>
      </c>
      <c r="R29" s="1851"/>
      <c r="S29" s="27"/>
    </row>
    <row r="30" spans="2:19" s="715" customFormat="1" hidden="1" outlineLevel="2">
      <c r="B30" s="1848"/>
      <c r="C30" s="1874" t="s">
        <v>60</v>
      </c>
      <c r="D30" s="1849" t="str">
        <f>INDEX(Vectors[Description], MATCH($C30, Vectors[Code], 0))</f>
        <v>Electricity exports (imports)</v>
      </c>
      <c r="E30" s="1174"/>
      <c r="F30" s="1850">
        <f ca="1">-INDEX(INDIRECT("'"&amp;F$4&amp;"'!Year.NetBalance"), MATCH('Intermediate output'!$C30, INDIRECT("'"&amp;F$4&amp;"'!Year.Vectors"), 0))</f>
        <v>5.2145242500000002</v>
      </c>
      <c r="G30" s="1174"/>
      <c r="H30" s="1850">
        <f ca="1">-INDEX(INDIRECT("'"&amp;H$4&amp;"'!Year.NetBalance"), MATCH('Intermediate output'!$C30, INDIRECT("'"&amp;H$4&amp;"'!Year.Vectors"), 0))</f>
        <v>5.2145242500000002</v>
      </c>
      <c r="I30" s="1850">
        <f ca="1">-INDEX(INDIRECT("'"&amp;I$4&amp;"'!Year.NetBalance"), MATCH('Intermediate output'!$C30, INDIRECT("'"&amp;I$4&amp;"'!Year.Vectors"), 0))</f>
        <v>0</v>
      </c>
      <c r="J30" s="1850">
        <f ca="1">-INDEX(INDIRECT("'"&amp;J$4&amp;"'!Year.NetBalance"), MATCH('Intermediate output'!$C30, INDIRECT("'"&amp;J$4&amp;"'!Year.Vectors"), 0))</f>
        <v>0</v>
      </c>
      <c r="K30" s="1850">
        <f ca="1">-INDEX(INDIRECT("'"&amp;K$4&amp;"'!Year.NetBalance"), MATCH('Intermediate output'!$C30, INDIRECT("'"&amp;K$4&amp;"'!Year.Vectors"), 0))</f>
        <v>-5.6843418860808015E-14</v>
      </c>
      <c r="L30" s="1850">
        <f ca="1">-INDEX(INDIRECT("'"&amp;L$4&amp;"'!Year.NetBalance"), MATCH('Intermediate output'!$C30, INDIRECT("'"&amp;L$4&amp;"'!Year.Vectors"), 0))</f>
        <v>0</v>
      </c>
      <c r="M30" s="1850">
        <f ca="1">-INDEX(INDIRECT("'"&amp;M$4&amp;"'!Year.NetBalance"), MATCH('Intermediate output'!$C30, INDIRECT("'"&amp;M$4&amp;"'!Year.Vectors"), 0))</f>
        <v>-5.6843418860808015E-14</v>
      </c>
      <c r="N30" s="1850">
        <f ca="1">-INDEX(INDIRECT("'"&amp;N$4&amp;"'!Year.NetBalance"), MATCH('Intermediate output'!$C30, INDIRECT("'"&amp;N$4&amp;"'!Year.Vectors"), 0))</f>
        <v>-5.6843418860808015E-14</v>
      </c>
      <c r="O30" s="1850">
        <f ca="1">-INDEX(INDIRECT("'"&amp;O$4&amp;"'!Year.NetBalance"), MATCH('Intermediate output'!$C30, INDIRECT("'"&amp;O$4&amp;"'!Year.Vectors"), 0))</f>
        <v>0</v>
      </c>
      <c r="P30" s="1850">
        <f ca="1">-INDEX(INDIRECT("'"&amp;P$4&amp;"'!Year.NetBalance"), MATCH('Intermediate output'!$C30, INDIRECT("'"&amp;P$4&amp;"'!Year.Vectors"), 0))</f>
        <v>0</v>
      </c>
      <c r="Q30" s="1850">
        <f ca="1">-INDEX(INDIRECT("'"&amp;Q$4&amp;"'!Year.NetBalance"), MATCH('Intermediate output'!$C30, INDIRECT("'"&amp;Q$4&amp;"'!Year.Vectors"), 0))</f>
        <v>5.6843418860808015E-14</v>
      </c>
      <c r="R30" s="1851"/>
      <c r="S30" s="1109"/>
    </row>
    <row r="31" spans="2:19" s="121" customFormat="1" outlineLevel="1" collapsed="1">
      <c r="B31" s="1172"/>
      <c r="C31" s="1870"/>
      <c r="D31" s="1174" t="s">
        <v>1808</v>
      </c>
      <c r="E31" s="1174"/>
      <c r="F31" s="1852">
        <f ca="1">SUM(F23:F30)</f>
        <v>181.06231645293323</v>
      </c>
      <c r="G31" s="1174"/>
      <c r="H31" s="1852">
        <f ca="1">SUM(H23:H30)</f>
        <v>179.22488683861556</v>
      </c>
      <c r="I31" s="1852">
        <f t="shared" ref="I31:Q31" ca="1" si="3">SUM(I23:I30)</f>
        <v>180.51346149065751</v>
      </c>
      <c r="J31" s="1852">
        <f t="shared" ca="1" si="3"/>
        <v>169.70561868542461</v>
      </c>
      <c r="K31" s="1852">
        <f t="shared" ca="1" si="3"/>
        <v>126.92407412739723</v>
      </c>
      <c r="L31" s="1852">
        <f t="shared" ca="1" si="3"/>
        <v>85.666955168493175</v>
      </c>
      <c r="M31" s="1852">
        <f t="shared" ca="1" si="3"/>
        <v>75.020648168493111</v>
      </c>
      <c r="N31" s="1852">
        <f t="shared" ca="1" si="3"/>
        <v>33.883658099999948</v>
      </c>
      <c r="O31" s="1852">
        <f t="shared" ca="1" si="3"/>
        <v>18.981458100000001</v>
      </c>
      <c r="P31" s="1852">
        <f t="shared" ca="1" si="3"/>
        <v>5.6133081000000011</v>
      </c>
      <c r="Q31" s="1852">
        <f t="shared" ca="1" si="3"/>
        <v>5.613308100000058</v>
      </c>
      <c r="R31" s="1853"/>
      <c r="S31" s="27"/>
    </row>
    <row r="32" spans="2:19" outlineLevel="1">
      <c r="B32" s="1172"/>
      <c r="C32" s="1870" t="s">
        <v>104</v>
      </c>
      <c r="D32" s="1174" t="str">
        <f>INDEX(Vectors[Description], MATCH($C32, Vectors[Code], 0))</f>
        <v>Environmental heat</v>
      </c>
      <c r="E32" s="1174"/>
      <c r="F32" s="1852">
        <f ca="1">-INDEX(INDIRECT("'"&amp;F$4&amp;"'!Year.NetBalance"), MATCH('Intermediate output'!$C32, INDIRECT("'"&amp;F$4&amp;"'!Year.Vectors"), 0))</f>
        <v>0</v>
      </c>
      <c r="G32" s="1174"/>
      <c r="H32" s="1852">
        <f ca="1">-INDEX(INDIRECT("'"&amp;H$4&amp;"'!Year.NetBalance"), MATCH('Intermediate output'!$C32, INDIRECT("'"&amp;H$4&amp;"'!Year.Vectors"), 0))</f>
        <v>0</v>
      </c>
      <c r="I32" s="1852">
        <f ca="1">-INDEX(INDIRECT("'"&amp;I$4&amp;"'!Year.NetBalance"), MATCH('Intermediate output'!$C32, INDIRECT("'"&amp;I$4&amp;"'!Year.Vectors"), 0))</f>
        <v>0</v>
      </c>
      <c r="J32" s="1852">
        <f ca="1">-INDEX(INDIRECT("'"&amp;J$4&amp;"'!Year.NetBalance"), MATCH('Intermediate output'!$C32, INDIRECT("'"&amp;J$4&amp;"'!Year.Vectors"), 0))</f>
        <v>0</v>
      </c>
      <c r="K32" s="1852">
        <f ca="1">-INDEX(INDIRECT("'"&amp;K$4&amp;"'!Year.NetBalance"), MATCH('Intermediate output'!$C32, INDIRECT("'"&amp;K$4&amp;"'!Year.Vectors"), 0))</f>
        <v>0</v>
      </c>
      <c r="L32" s="1852">
        <f ca="1">-INDEX(INDIRECT("'"&amp;L$4&amp;"'!Year.NetBalance"), MATCH('Intermediate output'!$C32, INDIRECT("'"&amp;L$4&amp;"'!Year.Vectors"), 0))</f>
        <v>0</v>
      </c>
      <c r="M32" s="1852">
        <f ca="1">-INDEX(INDIRECT("'"&amp;M$4&amp;"'!Year.NetBalance"), MATCH('Intermediate output'!$C32, INDIRECT("'"&amp;M$4&amp;"'!Year.Vectors"), 0))</f>
        <v>0</v>
      </c>
      <c r="N32" s="1852">
        <f ca="1">-INDEX(INDIRECT("'"&amp;N$4&amp;"'!Year.NetBalance"), MATCH('Intermediate output'!$C32, INDIRECT("'"&amp;N$4&amp;"'!Year.Vectors"), 0))</f>
        <v>0</v>
      </c>
      <c r="O32" s="1852">
        <f ca="1">-INDEX(INDIRECT("'"&amp;O$4&amp;"'!Year.NetBalance"), MATCH('Intermediate output'!$C32, INDIRECT("'"&amp;O$4&amp;"'!Year.Vectors"), 0))</f>
        <v>0</v>
      </c>
      <c r="P32" s="1852">
        <f ca="1">-INDEX(INDIRECT("'"&amp;P$4&amp;"'!Year.NetBalance"), MATCH('Intermediate output'!$C32, INDIRECT("'"&amp;P$4&amp;"'!Year.Vectors"), 0))</f>
        <v>0</v>
      </c>
      <c r="Q32" s="1852">
        <f ca="1">-INDEX(INDIRECT("'"&amp;Q$4&amp;"'!Year.NetBalance"), MATCH('Intermediate output'!$C32, INDIRECT("'"&amp;Q$4&amp;"'!Year.Vectors"), 0))</f>
        <v>0</v>
      </c>
      <c r="R32" s="1853"/>
      <c r="S32" s="27"/>
    </row>
    <row r="33" spans="2:31" s="715" customFormat="1" hidden="1" outlineLevel="2">
      <c r="B33" s="1848"/>
      <c r="C33" s="1849" t="s">
        <v>54</v>
      </c>
      <c r="D33" s="1849" t="str">
        <f>INDEX(Vectors[Description], MATCH($C33, Vectors[Code], 0))</f>
        <v>Waste</v>
      </c>
      <c r="E33" s="1174"/>
      <c r="F33" s="1850">
        <f ca="1">-INDEX(INDIRECT("'"&amp;F$4&amp;"'!Year.NetBalance"), MATCH('Intermediate output'!$C33, INDIRECT("'"&amp;F$4&amp;"'!Year.Vectors"), 0))</f>
        <v>14.240524277899516</v>
      </c>
      <c r="G33" s="1174"/>
      <c r="H33" s="1850">
        <f ca="1">-INDEX(INDIRECT("'"&amp;H$4&amp;"'!Year.NetBalance"), MATCH('Intermediate output'!$C33, INDIRECT("'"&amp;H$4&amp;"'!Year.Vectors"), 0))</f>
        <v>62.066785908534214</v>
      </c>
      <c r="I33" s="1850">
        <f ca="1">-INDEX(INDIRECT("'"&amp;I$4&amp;"'!Year.NetBalance"), MATCH('Intermediate output'!$C33, INDIRECT("'"&amp;I$4&amp;"'!Year.Vectors"), 0))</f>
        <v>77.206565983584795</v>
      </c>
      <c r="J33" s="1850">
        <f ca="1">-INDEX(INDIRECT("'"&amp;J$4&amp;"'!Year.NetBalance"), MATCH('Intermediate output'!$C33, INDIRECT("'"&amp;J$4&amp;"'!Year.Vectors"), 0))</f>
        <v>111.23070647592911</v>
      </c>
      <c r="K33" s="1850">
        <f ca="1">-INDEX(INDIRECT("'"&amp;K$4&amp;"'!Year.NetBalance"), MATCH('Intermediate output'!$C33, INDIRECT("'"&amp;K$4&amp;"'!Year.Vectors"), 0))</f>
        <v>151.96578396739062</v>
      </c>
      <c r="L33" s="1850">
        <f ca="1">-INDEX(INDIRECT("'"&amp;L$4&amp;"'!Year.NetBalance"), MATCH('Intermediate output'!$C33, INDIRECT("'"&amp;L$4&amp;"'!Year.Vectors"), 0))</f>
        <v>172.26064230453491</v>
      </c>
      <c r="M33" s="1850">
        <f ca="1">-INDEX(INDIRECT("'"&amp;M$4&amp;"'!Year.NetBalance"), MATCH('Intermediate output'!$C33, INDIRECT("'"&amp;M$4&amp;"'!Year.Vectors"), 0))</f>
        <v>185.14961961300929</v>
      </c>
      <c r="N33" s="1850">
        <f ca="1">-INDEX(INDIRECT("'"&amp;N$4&amp;"'!Year.NetBalance"), MATCH('Intermediate output'!$C33, INDIRECT("'"&amp;N$4&amp;"'!Year.Vectors"), 0))</f>
        <v>199.54432145944892</v>
      </c>
      <c r="O33" s="1850">
        <f ca="1">-INDEX(INDIRECT("'"&amp;O$4&amp;"'!Year.NetBalance"), MATCH('Intermediate output'!$C33, INDIRECT("'"&amp;O$4&amp;"'!Year.Vectors"), 0))</f>
        <v>216.07225335238144</v>
      </c>
      <c r="P33" s="1850">
        <f ca="1">-INDEX(INDIRECT("'"&amp;P$4&amp;"'!Year.NetBalance"), MATCH('Intermediate output'!$C33, INDIRECT("'"&amp;P$4&amp;"'!Year.Vectors"), 0))</f>
        <v>228.43233855134423</v>
      </c>
      <c r="Q33" s="1850">
        <f ca="1">-INDEX(INDIRECT("'"&amp;Q$4&amp;"'!Year.NetBalance"), MATCH('Intermediate output'!$C33, INDIRECT("'"&amp;Q$4&amp;"'!Year.Vectors"), 0))</f>
        <v>241.81427881429309</v>
      </c>
      <c r="R33" s="1851"/>
      <c r="S33" s="1109"/>
    </row>
    <row r="34" spans="2:31" s="715" customFormat="1" hidden="1" outlineLevel="2">
      <c r="B34" s="1848"/>
      <c r="C34" s="1849" t="s">
        <v>1027</v>
      </c>
      <c r="D34" s="1849" t="str">
        <f>INDEX(Vectors[Description], MATCH($C34, Vectors[Code], 0))</f>
        <v>Agriculture</v>
      </c>
      <c r="E34" s="1174"/>
      <c r="F34" s="1850">
        <f ca="1">-INDEX(INDIRECT("'"&amp;F$4&amp;"'!Year.NetBalance"), MATCH('Intermediate output'!$C34, INDIRECT("'"&amp;F$4&amp;"'!Year.Vectors"), 0))</f>
        <v>58.005772267812624</v>
      </c>
      <c r="G34" s="1174"/>
      <c r="H34" s="1850">
        <f ca="1">-INDEX(INDIRECT("'"&amp;H$4&amp;"'!Year.NetBalance"), MATCH('Intermediate output'!$C34, INDIRECT("'"&amp;H$4&amp;"'!Year.Vectors"), 0))</f>
        <v>4.8815222222222223</v>
      </c>
      <c r="I34" s="1850">
        <f ca="1">-INDEX(INDIRECT("'"&amp;I$4&amp;"'!Year.NetBalance"), MATCH('Intermediate output'!$C34, INDIRECT("'"&amp;I$4&amp;"'!Year.Vectors"), 0))</f>
        <v>2.8449917572745358</v>
      </c>
      <c r="J34" s="1850">
        <f ca="1">-INDEX(INDIRECT("'"&amp;J$4&amp;"'!Year.NetBalance"), MATCH('Intermediate output'!$C34, INDIRECT("'"&amp;J$4&amp;"'!Year.Vectors"), 0))</f>
        <v>8.9728636908329609</v>
      </c>
      <c r="K34" s="1850">
        <f ca="1">-INDEX(INDIRECT("'"&amp;K$4&amp;"'!Year.NetBalance"), MATCH('Intermediate output'!$C34, INDIRECT("'"&amp;K$4&amp;"'!Year.Vectors"), 0))</f>
        <v>15.676521652202258</v>
      </c>
      <c r="L34" s="1850">
        <f ca="1">-INDEX(INDIRECT("'"&amp;L$4&amp;"'!Year.NetBalance"), MATCH('Intermediate output'!$C34, INDIRECT("'"&amp;L$4&amp;"'!Year.Vectors"), 0))</f>
        <v>22.997171459410772</v>
      </c>
      <c r="M34" s="1850">
        <f ca="1">-INDEX(INDIRECT("'"&amp;M$4&amp;"'!Year.NetBalance"), MATCH('Intermediate output'!$C34, INDIRECT("'"&amp;M$4&amp;"'!Year.Vectors"), 0))</f>
        <v>30.978664239414815</v>
      </c>
      <c r="N34" s="1850">
        <f ca="1">-INDEX(INDIRECT("'"&amp;N$4&amp;"'!Year.NetBalance"), MATCH('Intermediate output'!$C34, INDIRECT("'"&amp;N$4&amp;"'!Year.Vectors"), 0))</f>
        <v>43.062640533128942</v>
      </c>
      <c r="O34" s="1850">
        <f ca="1">-INDEX(INDIRECT("'"&amp;O$4&amp;"'!Year.NetBalance"), MATCH('Intermediate output'!$C34, INDIRECT("'"&amp;O$4&amp;"'!Year.Vectors"), 0))</f>
        <v>56.250105434905137</v>
      </c>
      <c r="P34" s="1850">
        <f ca="1">-INDEX(INDIRECT("'"&amp;P$4&amp;"'!Year.NetBalance"), MATCH('Intermediate output'!$C34, INDIRECT("'"&amp;P$4&amp;"'!Year.Vectors"), 0))</f>
        <v>70.62034782466543</v>
      </c>
      <c r="Q34" s="1850">
        <f ca="1">-INDEX(INDIRECT("'"&amp;Q$4&amp;"'!Year.NetBalance"), MATCH('Intermediate output'!$C34, INDIRECT("'"&amp;Q$4&amp;"'!Year.Vectors"), 0))</f>
        <v>86.257804358832061</v>
      </c>
      <c r="R34" s="1851"/>
      <c r="S34" s="1109"/>
    </row>
    <row r="35" spans="2:31" s="715" customFormat="1" hidden="1" outlineLevel="2">
      <c r="B35" s="1848"/>
      <c r="C35" s="1849" t="s">
        <v>59</v>
      </c>
      <c r="D35" s="1849" t="str">
        <f>INDEX(Vectors[Description], MATCH($C35, Vectors[Code], 0))</f>
        <v>Biomatter exports (imports)</v>
      </c>
      <c r="E35" s="1174"/>
      <c r="F35" s="1850">
        <f ca="1">-INDEX(INDIRECT("'"&amp;F$4&amp;"'!Year.NetBalance"), MATCH('Intermediate output'!$C35, INDIRECT("'"&amp;F$4&amp;"'!Year.Vectors"), 0))</f>
        <v>26.262503111111116</v>
      </c>
      <c r="G35" s="1174"/>
      <c r="H35" s="1850">
        <f ca="1">-INDEX(INDIRECT("'"&amp;H$4&amp;"'!Year.NetBalance"), MATCH('Intermediate output'!$C35, INDIRECT("'"&amp;H$4&amp;"'!Year.Vectors"), 0))</f>
        <v>4.0007200000000003</v>
      </c>
      <c r="I35" s="1850">
        <f ca="1">-INDEX(INDIRECT("'"&amp;I$4&amp;"'!Year.NetBalance"), MATCH('Intermediate output'!$C35, INDIRECT("'"&amp;I$4&amp;"'!Year.Vectors"), 0))</f>
        <v>3.7216</v>
      </c>
      <c r="J35" s="1850">
        <f ca="1">-INDEX(INDIRECT("'"&amp;J$4&amp;"'!Year.NetBalance"), MATCH('Intermediate output'!$C35, INDIRECT("'"&amp;J$4&amp;"'!Year.Vectors"), 0))</f>
        <v>3.2564000000000002</v>
      </c>
      <c r="K35" s="1850">
        <f ca="1">-INDEX(INDIRECT("'"&amp;K$4&amp;"'!Year.NetBalance"), MATCH('Intermediate output'!$C35, INDIRECT("'"&amp;K$4&amp;"'!Year.Vectors"), 0))</f>
        <v>2.7911999999999999</v>
      </c>
      <c r="L35" s="1850">
        <f ca="1">-INDEX(INDIRECT("'"&amp;L$4&amp;"'!Year.NetBalance"), MATCH('Intermediate output'!$C35, INDIRECT("'"&amp;L$4&amp;"'!Year.Vectors"), 0))</f>
        <v>2.3260000000000001</v>
      </c>
      <c r="M35" s="1850">
        <f ca="1">-INDEX(INDIRECT("'"&amp;M$4&amp;"'!Year.NetBalance"), MATCH('Intermediate output'!$C35, INDIRECT("'"&amp;M$4&amp;"'!Year.Vectors"), 0))</f>
        <v>1.8608</v>
      </c>
      <c r="N35" s="1850">
        <f ca="1">-INDEX(INDIRECT("'"&amp;N$4&amp;"'!Year.NetBalance"), MATCH('Intermediate output'!$C35, INDIRECT("'"&amp;N$4&amp;"'!Year.Vectors"), 0))</f>
        <v>1.3956</v>
      </c>
      <c r="O35" s="1850">
        <f ca="1">-INDEX(INDIRECT("'"&amp;O$4&amp;"'!Year.NetBalance"), MATCH('Intermediate output'!$C35, INDIRECT("'"&amp;O$4&amp;"'!Year.Vectors"), 0))</f>
        <v>0.93040000000000012</v>
      </c>
      <c r="P35" s="1850">
        <f ca="1">-INDEX(INDIRECT("'"&amp;P$4&amp;"'!Year.NetBalance"), MATCH('Intermediate output'!$C35, INDIRECT("'"&amp;P$4&amp;"'!Year.Vectors"), 0))</f>
        <v>0.4652</v>
      </c>
      <c r="Q35" s="1850">
        <f ca="1">-INDEX(INDIRECT("'"&amp;Q$4&amp;"'!Year.NetBalance"), MATCH('Intermediate output'!$C35, INDIRECT("'"&amp;Q$4&amp;"'!Year.Vectors"), 0))</f>
        <v>0</v>
      </c>
      <c r="R35" s="1851"/>
      <c r="S35" s="1109"/>
    </row>
    <row r="36" spans="2:31" s="121" customFormat="1" outlineLevel="1" collapsed="1">
      <c r="B36" s="1172"/>
      <c r="C36" s="1174"/>
      <c r="D36" s="1174" t="s">
        <v>1029</v>
      </c>
      <c r="E36" s="1174"/>
      <c r="F36" s="1852">
        <f ca="1">SUM(F33:F35)</f>
        <v>98.508799656823257</v>
      </c>
      <c r="G36" s="1174"/>
      <c r="H36" s="1852">
        <f t="shared" ref="H36:Q36" ca="1" si="4">SUM(H33:H35)</f>
        <v>70.949028130756432</v>
      </c>
      <c r="I36" s="1852">
        <f t="shared" ca="1" si="4"/>
        <v>83.773157740859332</v>
      </c>
      <c r="J36" s="1852">
        <f t="shared" ca="1" si="4"/>
        <v>123.45997016676208</v>
      </c>
      <c r="K36" s="1852">
        <f t="shared" ca="1" si="4"/>
        <v>170.43350561959289</v>
      </c>
      <c r="L36" s="1852">
        <f t="shared" ca="1" si="4"/>
        <v>197.58381376394567</v>
      </c>
      <c r="M36" s="1852">
        <f t="shared" ca="1" si="4"/>
        <v>217.98908385242413</v>
      </c>
      <c r="N36" s="1852">
        <f t="shared" ca="1" si="4"/>
        <v>244.00256199257785</v>
      </c>
      <c r="O36" s="1852">
        <f t="shared" ca="1" si="4"/>
        <v>273.25275878728661</v>
      </c>
      <c r="P36" s="1852">
        <f t="shared" ca="1" si="4"/>
        <v>299.51788637600964</v>
      </c>
      <c r="Q36" s="1852">
        <f t="shared" ca="1" si="4"/>
        <v>328.07208317312518</v>
      </c>
      <c r="R36" s="1853"/>
      <c r="S36" s="27"/>
    </row>
    <row r="37" spans="2:31" s="715" customFormat="1" hidden="1" outlineLevel="2">
      <c r="B37" s="1848"/>
      <c r="C37" s="1849" t="s">
        <v>991</v>
      </c>
      <c r="D37" s="1849" t="str">
        <f>INDEX(Vectors[Description], MATCH($C37, Vectors[Code], 0))</f>
        <v>Coal exports (imports)</v>
      </c>
      <c r="E37" s="1174"/>
      <c r="F37" s="1850">
        <f ca="1">-INDEX(INDIRECT("'"&amp;F$4&amp;"'!Year.NetBalance"), MATCH('Intermediate output'!$C37, INDIRECT("'"&amp;F$4&amp;"'!Year.Vectors"), 0))</f>
        <v>329.60273235621702</v>
      </c>
      <c r="G37" s="1174"/>
      <c r="H37" s="1850">
        <f ca="1">-INDEX(INDIRECT("'"&amp;H$4&amp;"'!Year.NetBalance"), MATCH('Intermediate output'!$C37, INDIRECT("'"&amp;H$4&amp;"'!Year.Vectors"), 0))</f>
        <v>276.53263369884473</v>
      </c>
      <c r="I37" s="1850">
        <f ca="1">-INDEX(INDIRECT("'"&amp;I$4&amp;"'!Year.NetBalance"), MATCH('Intermediate output'!$C37, INDIRECT("'"&amp;I$4&amp;"'!Year.Vectors"), 0))</f>
        <v>255.37052983268831</v>
      </c>
      <c r="J37" s="1850">
        <f ca="1">-INDEX(INDIRECT("'"&amp;J$4&amp;"'!Year.NetBalance"), MATCH('Intermediate output'!$C37, INDIRECT("'"&amp;J$4&amp;"'!Year.Vectors"), 0))</f>
        <v>117.4745405978255</v>
      </c>
      <c r="K37" s="1850">
        <f ca="1">-INDEX(INDIRECT("'"&amp;K$4&amp;"'!Year.NetBalance"), MATCH('Intermediate output'!$C37, INDIRECT("'"&amp;K$4&amp;"'!Year.Vectors"), 0))</f>
        <v>3.7035402664777735</v>
      </c>
      <c r="L37" s="1850">
        <f ca="1">-INDEX(INDIRECT("'"&amp;L$4&amp;"'!Year.NetBalance"), MATCH('Intermediate output'!$C37, INDIRECT("'"&amp;L$4&amp;"'!Year.Vectors"), 0))</f>
        <v>-121.30465956484564</v>
      </c>
      <c r="M37" s="1850">
        <f ca="1">-INDEX(INDIRECT("'"&amp;M$4&amp;"'!Year.NetBalance"), MATCH('Intermediate output'!$C37, INDIRECT("'"&amp;M$4&amp;"'!Year.Vectors"), 0))</f>
        <v>-132.54860849884315</v>
      </c>
      <c r="N37" s="1850">
        <f ca="1">-INDEX(INDIRECT("'"&amp;N$4&amp;"'!Year.NetBalance"), MATCH('Intermediate output'!$C37, INDIRECT("'"&amp;N$4&amp;"'!Year.Vectors"), 0))</f>
        <v>-144.70114825329688</v>
      </c>
      <c r="O37" s="1850">
        <f ca="1">-INDEX(INDIRECT("'"&amp;O$4&amp;"'!Year.NetBalance"), MATCH('Intermediate output'!$C37, INDIRECT("'"&amp;O$4&amp;"'!Year.Vectors"), 0))</f>
        <v>-158.28640647317502</v>
      </c>
      <c r="P37" s="1850">
        <f ca="1">-INDEX(INDIRECT("'"&amp;P$4&amp;"'!Year.NetBalance"), MATCH('Intermediate output'!$C37, INDIRECT("'"&amp;P$4&amp;"'!Year.Vectors"), 0))</f>
        <v>-167.52946754146683</v>
      </c>
      <c r="Q37" s="1850">
        <f ca="1">-INDEX(INDIRECT("'"&amp;Q$4&amp;"'!Year.NetBalance"), MATCH('Intermediate output'!$C37, INDIRECT("'"&amp;Q$4&amp;"'!Year.Vectors"), 0))</f>
        <v>-177.33073051017504</v>
      </c>
      <c r="R37" s="1851"/>
      <c r="S37" s="1109"/>
    </row>
    <row r="38" spans="2:31" s="715" customFormat="1" hidden="1" outlineLevel="2">
      <c r="B38" s="1848"/>
      <c r="C38" s="1849" t="s">
        <v>999</v>
      </c>
      <c r="D38" s="1849" t="str">
        <f>INDEX(Vectors[Description], MATCH($C38, Vectors[Code], 0))</f>
        <v>Coal reserves</v>
      </c>
      <c r="E38" s="1174"/>
      <c r="F38" s="1850">
        <f ca="1">-INDEX(INDIRECT("'"&amp;F$4&amp;"'!Year.NetBalance"), MATCH('Intermediate output'!$C38, INDIRECT("'"&amp;F$4&amp;"'!Year.Vectors"), 0))</f>
        <v>145.79944495555736</v>
      </c>
      <c r="G38" s="1174"/>
      <c r="H38" s="1850">
        <f ca="1">-INDEX(INDIRECT("'"&amp;H$4&amp;"'!Year.NetBalance"), MATCH('Intermediate output'!$C38, INDIRECT("'"&amp;H$4&amp;"'!Year.Vectors"), 0))</f>
        <v>124.39544583847987</v>
      </c>
      <c r="I38" s="1850">
        <f ca="1">-INDEX(INDIRECT("'"&amp;I$4&amp;"'!Year.NetBalance"), MATCH('Intermediate output'!$C38, INDIRECT("'"&amp;I$4&amp;"'!Year.Vectors"), 0))</f>
        <v>124.39544583847987</v>
      </c>
      <c r="J38" s="1850">
        <f ca="1">-INDEX(INDIRECT("'"&amp;J$4&amp;"'!Year.NetBalance"), MATCH('Intermediate output'!$C38, INDIRECT("'"&amp;J$4&amp;"'!Year.Vectors"), 0))</f>
        <v>124.39544583847987</v>
      </c>
      <c r="K38" s="1850">
        <f ca="1">-INDEX(INDIRECT("'"&amp;K$4&amp;"'!Year.NetBalance"), MATCH('Intermediate output'!$C38, INDIRECT("'"&amp;K$4&amp;"'!Year.Vectors"), 0))</f>
        <v>124.39544583847987</v>
      </c>
      <c r="L38" s="1850">
        <f ca="1">-INDEX(INDIRECT("'"&amp;L$4&amp;"'!Year.NetBalance"), MATCH('Intermediate output'!$C38, INDIRECT("'"&amp;L$4&amp;"'!Year.Vectors"), 0))</f>
        <v>124.39544583847987</v>
      </c>
      <c r="M38" s="1850">
        <f ca="1">-INDEX(INDIRECT("'"&amp;M$4&amp;"'!Year.NetBalance"), MATCH('Intermediate output'!$C38, INDIRECT("'"&amp;M$4&amp;"'!Year.Vectors"), 0))</f>
        <v>124.39544583847987</v>
      </c>
      <c r="N38" s="1850">
        <f ca="1">-INDEX(INDIRECT("'"&amp;N$4&amp;"'!Year.NetBalance"), MATCH('Intermediate output'!$C38, INDIRECT("'"&amp;N$4&amp;"'!Year.Vectors"), 0))</f>
        <v>124.39544583847987</v>
      </c>
      <c r="O38" s="1850">
        <f ca="1">-INDEX(INDIRECT("'"&amp;O$4&amp;"'!Year.NetBalance"), MATCH('Intermediate output'!$C38, INDIRECT("'"&amp;O$4&amp;"'!Year.Vectors"), 0))</f>
        <v>124.39544583847987</v>
      </c>
      <c r="P38" s="1850">
        <f ca="1">-INDEX(INDIRECT("'"&amp;P$4&amp;"'!Year.NetBalance"), MATCH('Intermediate output'!$C38, INDIRECT("'"&amp;P$4&amp;"'!Year.Vectors"), 0))</f>
        <v>124.39544583847987</v>
      </c>
      <c r="Q38" s="1850">
        <f ca="1">-INDEX(INDIRECT("'"&amp;Q$4&amp;"'!Year.NetBalance"), MATCH('Intermediate output'!$C38, INDIRECT("'"&amp;Q$4&amp;"'!Year.Vectors"), 0))</f>
        <v>124.39544583847987</v>
      </c>
      <c r="R38" s="1851"/>
      <c r="S38" s="1109"/>
    </row>
    <row r="39" spans="2:31" s="121" customFormat="1" outlineLevel="1" collapsed="1">
      <c r="B39" s="1172"/>
      <c r="C39" s="1174"/>
      <c r="D39" s="1174" t="s">
        <v>141</v>
      </c>
      <c r="E39" s="1174"/>
      <c r="F39" s="1852">
        <f ca="1">SUM(F37:F38)</f>
        <v>475.40217731177438</v>
      </c>
      <c r="G39" s="1174"/>
      <c r="H39" s="1852">
        <f ca="1">SUM(H37:H38)</f>
        <v>400.92807953732461</v>
      </c>
      <c r="I39" s="1852">
        <f t="shared" ref="I39:Q39" ca="1" si="5">SUM(I37:I38)</f>
        <v>379.76597567116818</v>
      </c>
      <c r="J39" s="1852">
        <f t="shared" ca="1" si="5"/>
        <v>241.86998643630537</v>
      </c>
      <c r="K39" s="1852">
        <f t="shared" ca="1" si="5"/>
        <v>128.09898610495765</v>
      </c>
      <c r="L39" s="1852">
        <f t="shared" ca="1" si="5"/>
        <v>3.0907862736342366</v>
      </c>
      <c r="M39" s="1852">
        <f t="shared" ca="1" si="5"/>
        <v>-8.1531626603632787</v>
      </c>
      <c r="N39" s="1852">
        <f t="shared" ca="1" si="5"/>
        <v>-20.305702414817006</v>
      </c>
      <c r="O39" s="1852">
        <f t="shared" ca="1" si="5"/>
        <v>-33.890960634695148</v>
      </c>
      <c r="P39" s="1852">
        <f t="shared" ca="1" si="5"/>
        <v>-43.134021702986956</v>
      </c>
      <c r="Q39" s="1852">
        <f t="shared" ca="1" si="5"/>
        <v>-52.935284671695172</v>
      </c>
      <c r="R39" s="1853"/>
      <c r="S39" s="27"/>
      <c r="U39" s="27"/>
      <c r="V39" s="27"/>
    </row>
    <row r="40" spans="2:31" s="715" customFormat="1" hidden="1" outlineLevel="2">
      <c r="B40" s="1848"/>
      <c r="C40" s="1849" t="s">
        <v>1000</v>
      </c>
      <c r="D40" s="1849" t="str">
        <f>INDEX(Vectors[Description], MATCH($C40, Vectors[Code], 0))</f>
        <v>Oil reserves</v>
      </c>
      <c r="E40" s="1174"/>
      <c r="F40" s="1850">
        <f ca="1">-INDEX(INDIRECT("'"&amp;F$4&amp;"'!Year.NetBalance"), MATCH('Intermediate output'!$C40, INDIRECT("'"&amp;F$4&amp;"'!Year.Vectors"), 0))</f>
        <v>887.46007573003203</v>
      </c>
      <c r="G40" s="1174"/>
      <c r="H40" s="1850">
        <f ca="1">-INDEX(INDIRECT("'"&amp;H$4&amp;"'!Year.NetBalance"), MATCH('Intermediate output'!$C40, INDIRECT("'"&amp;H$4&amp;"'!Year.Vectors"), 0))</f>
        <v>975.89120834979803</v>
      </c>
      <c r="I40" s="1850">
        <f ca="1">-INDEX(INDIRECT("'"&amp;I$4&amp;"'!Year.NetBalance"), MATCH('Intermediate output'!$C40, INDIRECT("'"&amp;I$4&amp;"'!Year.Vectors"), 0))</f>
        <v>815.4323959706519</v>
      </c>
      <c r="J40" s="1850">
        <f ca="1">-INDEX(INDIRECT("'"&amp;J$4&amp;"'!Year.NetBalance"), MATCH('Intermediate output'!$C40, INDIRECT("'"&amp;J$4&amp;"'!Year.Vectors"), 0))</f>
        <v>664.52033513004915</v>
      </c>
      <c r="K40" s="1850">
        <f ca="1">-INDEX(INDIRECT("'"&amp;K$4&amp;"'!Year.NetBalance"), MATCH('Intermediate output'!$C40, INDIRECT("'"&amp;K$4&amp;"'!Year.Vectors"), 0))</f>
        <v>527.86775447758896</v>
      </c>
      <c r="L40" s="1850">
        <f ca="1">-INDEX(INDIRECT("'"&amp;L$4&amp;"'!Year.NetBalance"), MATCH('Intermediate output'!$C40, INDIRECT("'"&amp;L$4&amp;"'!Year.Vectors"), 0))</f>
        <v>419.31653778914142</v>
      </c>
      <c r="M40" s="1850">
        <f ca="1">-INDEX(INDIRECT("'"&amp;M$4&amp;"'!Year.NetBalance"), MATCH('Intermediate output'!$C40, INDIRECT("'"&amp;M$4&amp;"'!Year.Vectors"), 0))</f>
        <v>333.08789440544865</v>
      </c>
      <c r="N40" s="1850">
        <f ca="1">-INDEX(INDIRECT("'"&amp;N$4&amp;"'!Year.NetBalance"), MATCH('Intermediate output'!$C40, INDIRECT("'"&amp;N$4&amp;"'!Year.Vectors"), 0))</f>
        <v>264.59138956080642</v>
      </c>
      <c r="O40" s="1850">
        <f ca="1">-INDEX(INDIRECT("'"&amp;O$4&amp;"'!Year.NetBalance"), MATCH('Intermediate output'!$C40, INDIRECT("'"&amp;O$4&amp;"'!Year.Vectors"), 0))</f>
        <v>210.18056977027507</v>
      </c>
      <c r="P40" s="1850">
        <f ca="1">-INDEX(INDIRECT("'"&amp;P$4&amp;"'!Year.NetBalance"), MATCH('Intermediate output'!$C40, INDIRECT("'"&amp;P$4&amp;"'!Year.Vectors"), 0))</f>
        <v>166.95884163987617</v>
      </c>
      <c r="Q40" s="1850">
        <f ca="1">-INDEX(INDIRECT("'"&amp;Q$4&amp;"'!Year.NetBalance"), MATCH('Intermediate output'!$C40, INDIRECT("'"&amp;Q$4&amp;"'!Year.Vectors"), 0))</f>
        <v>132.62526993906516</v>
      </c>
      <c r="R40" s="1851"/>
      <c r="S40" s="1109"/>
      <c r="U40" s="1109"/>
    </row>
    <row r="41" spans="2:31" s="715" customFormat="1" hidden="1" outlineLevel="2">
      <c r="B41" s="1848"/>
      <c r="C41" s="1849" t="s">
        <v>992</v>
      </c>
      <c r="D41" s="1849" t="str">
        <f>INDEX(Vectors[Description], MATCH($C41, Vectors[Code], 0))</f>
        <v>Oil and petroleum products exports (imports)</v>
      </c>
      <c r="E41" s="1174"/>
      <c r="F41" s="1850">
        <f ca="1">-INDEX(INDIRECT("'"&amp;F$4&amp;"'!Year.NetBalance"), MATCH('Intermediate output'!$C41, INDIRECT("'"&amp;F$4&amp;"'!Year.Vectors"), 0))</f>
        <v>79.743976905201578</v>
      </c>
      <c r="G41" s="1174"/>
      <c r="H41" s="1850">
        <f ca="1">-INDEX(INDIRECT("'"&amp;H$4&amp;"'!Year.NetBalance"), MATCH('Intermediate output'!$C41, INDIRECT("'"&amp;H$4&amp;"'!Year.Vectors"), 0))</f>
        <v>-100.59294568504538</v>
      </c>
      <c r="I41" s="1850">
        <f ca="1">-INDEX(INDIRECT("'"&amp;I$4&amp;"'!Year.NetBalance"), MATCH('Intermediate output'!$C41, INDIRECT("'"&amp;I$4&amp;"'!Year.Vectors"), 0))</f>
        <v>64.454151136796895</v>
      </c>
      <c r="J41" s="1850">
        <f ca="1">-INDEX(INDIRECT("'"&amp;J$4&amp;"'!Year.NetBalance"), MATCH('Intermediate output'!$C41, INDIRECT("'"&amp;J$4&amp;"'!Year.Vectors"), 0))</f>
        <v>197.02903722313226</v>
      </c>
      <c r="K41" s="1850">
        <f ca="1">-INDEX(INDIRECT("'"&amp;K$4&amp;"'!Year.NetBalance"), MATCH('Intermediate output'!$C41, INDIRECT("'"&amp;K$4&amp;"'!Year.Vectors"), 0))</f>
        <v>327.62826529692973</v>
      </c>
      <c r="L41" s="1850">
        <f ca="1">-INDEX(INDIRECT("'"&amp;L$4&amp;"'!Year.NetBalance"), MATCH('Intermediate output'!$C41, INDIRECT("'"&amp;L$4&amp;"'!Year.Vectors"), 0))</f>
        <v>407.75730051444589</v>
      </c>
      <c r="M41" s="1850">
        <f ca="1">-INDEX(INDIRECT("'"&amp;M$4&amp;"'!Year.NetBalance"), MATCH('Intermediate output'!$C41, INDIRECT("'"&amp;M$4&amp;"'!Year.Vectors"), 0))</f>
        <v>463.88652198507634</v>
      </c>
      <c r="N41" s="1850">
        <f ca="1">-INDEX(INDIRECT("'"&amp;N$4&amp;"'!Year.NetBalance"), MATCH('Intermediate output'!$C41, INDIRECT("'"&amp;N$4&amp;"'!Year.Vectors"), 0))</f>
        <v>530.5143997544626</v>
      </c>
      <c r="O41" s="1850">
        <f ca="1">-INDEX(INDIRECT("'"&amp;O$4&amp;"'!Year.NetBalance"), MATCH('Intermediate output'!$C41, INDIRECT("'"&amp;O$4&amp;"'!Year.Vectors"), 0))</f>
        <v>578.81036054493507</v>
      </c>
      <c r="P41" s="1850">
        <f ca="1">-INDEX(INDIRECT("'"&amp;P$4&amp;"'!Year.NetBalance"), MATCH('Intermediate output'!$C41, INDIRECT("'"&amp;P$4&amp;"'!Year.Vectors"), 0))</f>
        <v>619.56289138631723</v>
      </c>
      <c r="Q41" s="1850">
        <f ca="1">-INDEX(INDIRECT("'"&amp;Q$4&amp;"'!Year.NetBalance"), MATCH('Intermediate output'!$C41, INDIRECT("'"&amp;Q$4&amp;"'!Year.Vectors"), 0))</f>
        <v>653.42504456252664</v>
      </c>
      <c r="R41" s="1851"/>
      <c r="S41" s="1109"/>
      <c r="U41" s="1109"/>
    </row>
    <row r="42" spans="2:31" s="715" customFormat="1" hidden="1" outlineLevel="2">
      <c r="B42" s="1848"/>
      <c r="C42" s="1849" t="s">
        <v>799</v>
      </c>
      <c r="D42" s="1849" t="str">
        <f>INDEX(Vectors[Description], MATCH($C42, Vectors[Code], 0))</f>
        <v>Petroleum products exports</v>
      </c>
      <c r="E42" s="1174"/>
      <c r="F42" s="1850">
        <f ca="1">-INDEX(INDIRECT("'"&amp;F$4&amp;"'!Year.NetBalance"), MATCH('Intermediate output'!$C42, INDIRECT("'"&amp;F$4&amp;"'!Year.Vectors"), 0))</f>
        <v>-60.581053896315709</v>
      </c>
      <c r="G42" s="1174"/>
      <c r="H42" s="1850">
        <f ca="1">-INDEX(INDIRECT("'"&amp;H$4&amp;"'!Year.NetBalance"), MATCH('Intermediate output'!$C42, INDIRECT("'"&amp;H$4&amp;"'!Year.Vectors"), 0))</f>
        <v>0</v>
      </c>
      <c r="I42" s="1850">
        <f ca="1">-INDEX(INDIRECT("'"&amp;I$4&amp;"'!Year.NetBalance"), MATCH('Intermediate output'!$C42, INDIRECT("'"&amp;I$4&amp;"'!Year.Vectors"), 0))</f>
        <v>0</v>
      </c>
      <c r="J42" s="1850">
        <f ca="1">-INDEX(INDIRECT("'"&amp;J$4&amp;"'!Year.NetBalance"), MATCH('Intermediate output'!$C42, INDIRECT("'"&amp;J$4&amp;"'!Year.Vectors"), 0))</f>
        <v>0</v>
      </c>
      <c r="K42" s="1850">
        <f ca="1">-INDEX(INDIRECT("'"&amp;K$4&amp;"'!Year.NetBalance"), MATCH('Intermediate output'!$C42, INDIRECT("'"&amp;K$4&amp;"'!Year.Vectors"), 0))</f>
        <v>0</v>
      </c>
      <c r="L42" s="1850">
        <f ca="1">-INDEX(INDIRECT("'"&amp;L$4&amp;"'!Year.NetBalance"), MATCH('Intermediate output'!$C42, INDIRECT("'"&amp;L$4&amp;"'!Year.Vectors"), 0))</f>
        <v>0</v>
      </c>
      <c r="M42" s="1850">
        <f ca="1">-INDEX(INDIRECT("'"&amp;M$4&amp;"'!Year.NetBalance"), MATCH('Intermediate output'!$C42, INDIRECT("'"&amp;M$4&amp;"'!Year.Vectors"), 0))</f>
        <v>0</v>
      </c>
      <c r="N42" s="1850">
        <f ca="1">-INDEX(INDIRECT("'"&amp;N$4&amp;"'!Year.NetBalance"), MATCH('Intermediate output'!$C42, INDIRECT("'"&amp;N$4&amp;"'!Year.Vectors"), 0))</f>
        <v>0</v>
      </c>
      <c r="O42" s="1850">
        <f ca="1">-INDEX(INDIRECT("'"&amp;O$4&amp;"'!Year.NetBalance"), MATCH('Intermediate output'!$C42, INDIRECT("'"&amp;O$4&amp;"'!Year.Vectors"), 0))</f>
        <v>0</v>
      </c>
      <c r="P42" s="1850">
        <f ca="1">-INDEX(INDIRECT("'"&amp;P$4&amp;"'!Year.NetBalance"), MATCH('Intermediate output'!$C42, INDIRECT("'"&amp;P$4&amp;"'!Year.Vectors"), 0))</f>
        <v>0</v>
      </c>
      <c r="Q42" s="1850">
        <f ca="1">-INDEX(INDIRECT("'"&amp;Q$4&amp;"'!Year.NetBalance"), MATCH('Intermediate output'!$C42, INDIRECT("'"&amp;Q$4&amp;"'!Year.Vectors"), 0))</f>
        <v>0</v>
      </c>
      <c r="R42" s="1851"/>
      <c r="S42" s="1109"/>
      <c r="U42" s="1109"/>
    </row>
    <row r="43" spans="2:31" s="121" customFormat="1" outlineLevel="1" collapsed="1">
      <c r="B43" s="1172"/>
      <c r="C43" s="1174"/>
      <c r="D43" s="1174" t="s">
        <v>1435</v>
      </c>
      <c r="E43" s="1174"/>
      <c r="F43" s="1852">
        <f ca="1">SUM(F40:F42)</f>
        <v>906.622998738918</v>
      </c>
      <c r="G43" s="1174"/>
      <c r="H43" s="1852">
        <f ca="1">SUM(H40:H42)</f>
        <v>875.29826266475266</v>
      </c>
      <c r="I43" s="1852">
        <f t="shared" ref="I43:Q43" ca="1" si="6">SUM(I40:I42)</f>
        <v>879.88654710744879</v>
      </c>
      <c r="J43" s="1852">
        <f t="shared" ca="1" si="6"/>
        <v>861.54937235318141</v>
      </c>
      <c r="K43" s="1852">
        <f t="shared" ca="1" si="6"/>
        <v>855.49601977451869</v>
      </c>
      <c r="L43" s="1852">
        <f t="shared" ca="1" si="6"/>
        <v>827.07383830358731</v>
      </c>
      <c r="M43" s="1852">
        <f t="shared" ca="1" si="6"/>
        <v>796.97441639052499</v>
      </c>
      <c r="N43" s="1852">
        <f t="shared" ca="1" si="6"/>
        <v>795.10578931526902</v>
      </c>
      <c r="O43" s="1852">
        <f t="shared" ca="1" si="6"/>
        <v>788.99093031521011</v>
      </c>
      <c r="P43" s="1852">
        <f t="shared" ca="1" si="6"/>
        <v>786.52173302619337</v>
      </c>
      <c r="Q43" s="1852">
        <f t="shared" ca="1" si="6"/>
        <v>786.05031450159186</v>
      </c>
      <c r="R43" s="1853"/>
      <c r="S43" s="27"/>
      <c r="U43" s="27"/>
      <c r="V43" s="27"/>
    </row>
    <row r="44" spans="2:31" s="715" customFormat="1" hidden="1" outlineLevel="2">
      <c r="B44" s="1848"/>
      <c r="C44" s="1849" t="s">
        <v>993</v>
      </c>
      <c r="D44" s="1849" t="str">
        <f>INDEX(Vectors[Description], MATCH($C44, Vectors[Code], 0))</f>
        <v>Gas exports (imports)</v>
      </c>
      <c r="E44" s="1174"/>
      <c r="F44" s="1850">
        <f ca="1">-INDEX(INDIRECT("'"&amp;F$4&amp;"'!Year.NetBalance"), MATCH('Intermediate output'!$C44, INDIRECT("'"&amp;F$4&amp;"'!Year.Vectors"), 0))</f>
        <v>214.86865308275657</v>
      </c>
      <c r="G44" s="1174"/>
      <c r="H44" s="1850">
        <f ca="1">-INDEX(INDIRECT("'"&amp;H$4&amp;"'!Year.NetBalance"), MATCH('Intermediate output'!$C44, INDIRECT("'"&amp;H$4&amp;"'!Year.Vectors"), 0))</f>
        <v>169.38262838663877</v>
      </c>
      <c r="I44" s="1850">
        <f ca="1">-INDEX(INDIRECT("'"&amp;I$4&amp;"'!Year.NetBalance"), MATCH('Intermediate output'!$C44, INDIRECT("'"&amp;I$4&amp;"'!Year.Vectors"), 0))</f>
        <v>400.9016361750422</v>
      </c>
      <c r="J44" s="1850">
        <f ca="1">-INDEX(INDIRECT("'"&amp;J$4&amp;"'!Year.NetBalance"), MATCH('Intermediate output'!$C44, INDIRECT("'"&amp;J$4&amp;"'!Year.Vectors"), 0))</f>
        <v>638.12875394422986</v>
      </c>
      <c r="K44" s="1850">
        <f ca="1">-INDEX(INDIRECT("'"&amp;K$4&amp;"'!Year.NetBalance"), MATCH('Intermediate output'!$C44, INDIRECT("'"&amp;K$4&amp;"'!Year.Vectors"), 0))</f>
        <v>843.83822787211943</v>
      </c>
      <c r="L44" s="1850">
        <f ca="1">-INDEX(INDIRECT("'"&amp;L$4&amp;"'!Year.NetBalance"), MATCH('Intermediate output'!$C44, INDIRECT("'"&amp;L$4&amp;"'!Year.Vectors"), 0))</f>
        <v>1057.7710303462395</v>
      </c>
      <c r="M44" s="1850">
        <f ca="1">-INDEX(INDIRECT("'"&amp;M$4&amp;"'!Year.NetBalance"), MATCH('Intermediate output'!$C44, INDIRECT("'"&amp;M$4&amp;"'!Year.Vectors"), 0))</f>
        <v>1196.4106925667206</v>
      </c>
      <c r="N44" s="1850">
        <f ca="1">-INDEX(INDIRECT("'"&amp;N$4&amp;"'!Year.NetBalance"), MATCH('Intermediate output'!$C44, INDIRECT("'"&amp;N$4&amp;"'!Year.Vectors"), 0))</f>
        <v>1342.938716834901</v>
      </c>
      <c r="O44" s="1850">
        <f ca="1">-INDEX(INDIRECT("'"&amp;O$4&amp;"'!Year.NetBalance"), MATCH('Intermediate output'!$C44, INDIRECT("'"&amp;O$4&amp;"'!Year.Vectors"), 0))</f>
        <v>1466.8200865633069</v>
      </c>
      <c r="P44" s="1850">
        <f ca="1">-INDEX(INDIRECT("'"&amp;P$4&amp;"'!Year.NetBalance"), MATCH('Intermediate output'!$C44, INDIRECT("'"&amp;P$4&amp;"'!Year.Vectors"), 0))</f>
        <v>1584.9334976234286</v>
      </c>
      <c r="Q44" s="1850">
        <f ca="1">-INDEX(INDIRECT("'"&amp;Q$4&amp;"'!Year.NetBalance"), MATCH('Intermediate output'!$C44, INDIRECT("'"&amp;Q$4&amp;"'!Year.Vectors"), 0))</f>
        <v>1675.7258737621144</v>
      </c>
      <c r="R44" s="1851"/>
      <c r="S44" s="1109"/>
      <c r="U44" s="1109"/>
    </row>
    <row r="45" spans="2:31" s="715" customFormat="1" hidden="1" outlineLevel="2">
      <c r="B45" s="1848"/>
      <c r="C45" s="1849" t="s">
        <v>1001</v>
      </c>
      <c r="D45" s="1849" t="str">
        <f>INDEX(Vectors[Description], MATCH($C45, Vectors[Code], 0))</f>
        <v>Gas reserves</v>
      </c>
      <c r="E45" s="1174"/>
      <c r="F45" s="1850">
        <f ca="1">-INDEX(INDIRECT("'"&amp;F$4&amp;"'!Year.NetBalance"), MATCH('Intermediate output'!$C45, INDIRECT("'"&amp;F$4&amp;"'!Year.Vectors"), 0))</f>
        <v>834.0611502141918</v>
      </c>
      <c r="G45" s="1174"/>
      <c r="H45" s="1850">
        <f ca="1">-INDEX(INDIRECT("'"&amp;H$4&amp;"'!Year.NetBalance"), MATCH('Intermediate output'!$C45, INDIRECT("'"&amp;H$4&amp;"'!Year.Vectors"), 0))</f>
        <v>838.80929321419171</v>
      </c>
      <c r="I45" s="1850">
        <f ca="1">-INDEX(INDIRECT("'"&amp;I$4&amp;"'!Year.NetBalance"), MATCH('Intermediate output'!$C45, INDIRECT("'"&amp;I$4&amp;"'!Year.Vectors"), 0))</f>
        <v>637.88198465125163</v>
      </c>
      <c r="J45" s="1850">
        <f ca="1">-INDEX(INDIRECT("'"&amp;J$4&amp;"'!Year.NetBalance"), MATCH('Intermediate output'!$C45, INDIRECT("'"&amp;J$4&amp;"'!Year.Vectors"), 0))</f>
        <v>508.98355251965154</v>
      </c>
      <c r="K45" s="1850">
        <f ca="1">-INDEX(INDIRECT("'"&amp;K$4&amp;"'!Year.NetBalance"), MATCH('Intermediate output'!$C45, INDIRECT("'"&amp;K$4&amp;"'!Year.Vectors"), 0))</f>
        <v>404.31570071063896</v>
      </c>
      <c r="L45" s="1850">
        <f ca="1">-INDEX(INDIRECT("'"&amp;L$4&amp;"'!Year.NetBalance"), MATCH('Intermediate output'!$C45, INDIRECT("'"&amp;L$4&amp;"'!Year.Vectors"), 0))</f>
        <v>321.17184343559597</v>
      </c>
      <c r="M45" s="1850">
        <f ca="1">-INDEX(INDIRECT("'"&amp;M$4&amp;"'!Year.NetBalance"), MATCH('Intermediate output'!$C45, INDIRECT("'"&amp;M$4&amp;"'!Year.Vectors"), 0))</f>
        <v>255.12576641104135</v>
      </c>
      <c r="N45" s="1850">
        <f ca="1">-INDEX(INDIRECT("'"&amp;N$4&amp;"'!Year.NetBalance"), MATCH('Intermediate output'!$C45, INDIRECT("'"&amp;N$4&amp;"'!Year.Vectors"), 0))</f>
        <v>202.66146618133868</v>
      </c>
      <c r="O45" s="1850">
        <f ca="1">-INDEX(INDIRECT("'"&amp;O$4&amp;"'!Year.NetBalance"), MATCH('Intermediate output'!$C45, INDIRECT("'"&amp;O$4&amp;"'!Year.Vectors"), 0))</f>
        <v>160.98597351628524</v>
      </c>
      <c r="P45" s="1850">
        <f ca="1">-INDEX(INDIRECT("'"&amp;P$4&amp;"'!Year.NetBalance"), MATCH('Intermediate output'!$C45, INDIRECT("'"&amp;P$4&amp;"'!Year.Vectors"), 0))</f>
        <v>127.88066797955751</v>
      </c>
      <c r="Q45" s="1850">
        <f ca="1">-INDEX(INDIRECT("'"&amp;Q$4&amp;"'!Year.NetBalance"), MATCH('Intermediate output'!$C45, INDIRECT("'"&amp;Q$4&amp;"'!Year.Vectors"), 0))</f>
        <v>101.5831683077875</v>
      </c>
      <c r="R45" s="1851"/>
      <c r="S45" s="1109"/>
      <c r="U45" s="1109"/>
    </row>
    <row r="46" spans="2:31" s="121" customFormat="1" outlineLevel="1" collapsed="1">
      <c r="B46" s="1172"/>
      <c r="C46" s="1174"/>
      <c r="D46" s="1174" t="s">
        <v>275</v>
      </c>
      <c r="E46" s="1174"/>
      <c r="F46" s="1852">
        <f ca="1">SUM(F44:F45)</f>
        <v>1048.9298032969484</v>
      </c>
      <c r="G46" s="1174"/>
      <c r="H46" s="1852">
        <f ca="1">SUM(H44:H45)</f>
        <v>1008.1919216008305</v>
      </c>
      <c r="I46" s="1852">
        <f t="shared" ref="I46:Q46" ca="1" si="7">SUM(I44:I45)</f>
        <v>1038.7836208262938</v>
      </c>
      <c r="J46" s="1852">
        <f t="shared" ca="1" si="7"/>
        <v>1147.1123064638814</v>
      </c>
      <c r="K46" s="1852">
        <f t="shared" ca="1" si="7"/>
        <v>1248.1539285827585</v>
      </c>
      <c r="L46" s="1852">
        <f t="shared" ca="1" si="7"/>
        <v>1378.9428737818355</v>
      </c>
      <c r="M46" s="1852">
        <f t="shared" ca="1" si="7"/>
        <v>1451.5364589777619</v>
      </c>
      <c r="N46" s="1852">
        <f t="shared" ca="1" si="7"/>
        <v>1545.6001830162397</v>
      </c>
      <c r="O46" s="1852">
        <f t="shared" ca="1" si="7"/>
        <v>1627.806060079592</v>
      </c>
      <c r="P46" s="1852">
        <f t="shared" ca="1" si="7"/>
        <v>1712.8141656029861</v>
      </c>
      <c r="Q46" s="1852">
        <f t="shared" ca="1" si="7"/>
        <v>1777.3090420699018</v>
      </c>
      <c r="R46" s="1853"/>
      <c r="S46" s="27"/>
      <c r="U46" s="27"/>
      <c r="V46" s="27"/>
    </row>
    <row r="47" spans="2:31" s="834" customFormat="1" ht="18">
      <c r="B47" s="1854"/>
      <c r="C47" s="1844"/>
      <c r="D47" s="1842" t="s">
        <v>1022</v>
      </c>
      <c r="E47" s="1174"/>
      <c r="F47" s="1843">
        <f ca="1">F31+F32+F36+F39+F43+F46</f>
        <v>2710.5260954573969</v>
      </c>
      <c r="G47" s="1174"/>
      <c r="H47" s="1843">
        <f t="shared" ref="H47:Q47" ca="1" si="8">H31+H32+H36+H39+H43+H46</f>
        <v>2534.59217877228</v>
      </c>
      <c r="I47" s="1843">
        <f t="shared" ca="1" si="8"/>
        <v>2562.7227628364276</v>
      </c>
      <c r="J47" s="1843">
        <f t="shared" ca="1" si="8"/>
        <v>2543.6972541055547</v>
      </c>
      <c r="K47" s="1843">
        <f t="shared" ca="1" si="8"/>
        <v>2529.1065142092248</v>
      </c>
      <c r="L47" s="1843">
        <f t="shared" ca="1" si="8"/>
        <v>2492.3582672914958</v>
      </c>
      <c r="M47" s="1843">
        <f t="shared" ca="1" si="8"/>
        <v>2533.3674447288408</v>
      </c>
      <c r="N47" s="1843">
        <f t="shared" ca="1" si="8"/>
        <v>2598.2864900092695</v>
      </c>
      <c r="O47" s="1843">
        <f t="shared" ca="1" si="8"/>
        <v>2675.1402466473937</v>
      </c>
      <c r="P47" s="1843">
        <f t="shared" ca="1" si="8"/>
        <v>2761.3330714022022</v>
      </c>
      <c r="Q47" s="1843">
        <f t="shared" ca="1" si="8"/>
        <v>2844.1094631729238</v>
      </c>
      <c r="R47" s="1855"/>
      <c r="S47" s="839"/>
      <c r="T47" s="835"/>
      <c r="U47" s="839"/>
    </row>
    <row r="48" spans="2:31" s="246" customFormat="1">
      <c r="B48" s="1859"/>
      <c r="C48" s="1860"/>
      <c r="D48" s="1860"/>
      <c r="E48" s="1174"/>
      <c r="F48" s="1860"/>
      <c r="G48" s="1174"/>
      <c r="H48" s="1861"/>
      <c r="I48" s="1861"/>
      <c r="J48" s="1861"/>
      <c r="K48" s="1861"/>
      <c r="L48" s="1861"/>
      <c r="M48" s="1861"/>
      <c r="N48" s="1861"/>
      <c r="O48" s="1861"/>
      <c r="P48" s="1861"/>
      <c r="Q48" s="1861"/>
      <c r="R48" s="1862"/>
      <c r="S48" s="823"/>
      <c r="T48" s="731"/>
      <c r="U48" s="823"/>
      <c r="V48" s="1126"/>
      <c r="W48" s="1126"/>
      <c r="X48" s="1126"/>
      <c r="Y48" s="1126"/>
      <c r="Z48" s="1126"/>
      <c r="AA48" s="1126"/>
      <c r="AB48" s="1126"/>
      <c r="AC48" s="1126"/>
      <c r="AD48" s="1126"/>
      <c r="AE48" s="1126"/>
    </row>
    <row r="49" spans="2:31" s="246" customFormat="1">
      <c r="B49" s="1859"/>
      <c r="C49" s="1860"/>
      <c r="D49" s="1860" t="s">
        <v>1239</v>
      </c>
      <c r="E49" s="1174"/>
      <c r="F49" s="1860"/>
      <c r="G49" s="1174"/>
      <c r="H49" s="1861">
        <f t="shared" ref="H49:Q49" ca="1" si="9">MAX(0,-(H$47-H$18))</f>
        <v>0</v>
      </c>
      <c r="I49" s="1861">
        <f t="shared" ca="1" si="9"/>
        <v>0</v>
      </c>
      <c r="J49" s="1861">
        <f t="shared" ca="1" si="9"/>
        <v>0</v>
      </c>
      <c r="K49" s="1861">
        <f t="shared" ca="1" si="9"/>
        <v>0</v>
      </c>
      <c r="L49" s="1861">
        <f t="shared" ca="1" si="9"/>
        <v>0</v>
      </c>
      <c r="M49" s="1861">
        <f t="shared" ca="1" si="9"/>
        <v>0</v>
      </c>
      <c r="N49" s="1861">
        <f t="shared" ca="1" si="9"/>
        <v>0</v>
      </c>
      <c r="O49" s="1861">
        <f t="shared" ca="1" si="9"/>
        <v>0</v>
      </c>
      <c r="P49" s="1861">
        <f t="shared" ca="1" si="9"/>
        <v>0</v>
      </c>
      <c r="Q49" s="1861">
        <f t="shared" ca="1" si="9"/>
        <v>0</v>
      </c>
      <c r="R49" s="1862"/>
      <c r="S49" s="1108"/>
      <c r="T49" s="1126"/>
      <c r="U49" s="1126"/>
      <c r="V49" s="1126"/>
      <c r="W49" s="1126"/>
      <c r="X49" s="1126"/>
      <c r="Y49" s="1126"/>
      <c r="Z49" s="1126"/>
      <c r="AA49" s="1126"/>
      <c r="AB49" s="1126"/>
      <c r="AC49" s="1126"/>
      <c r="AD49" s="1126"/>
      <c r="AE49" s="1126"/>
    </row>
    <row r="50" spans="2:31" s="121" customFormat="1">
      <c r="B50" s="1172"/>
      <c r="C50" s="1174"/>
      <c r="D50" s="1174"/>
      <c r="E50" s="1174"/>
      <c r="F50" s="1174"/>
      <c r="G50" s="1174"/>
      <c r="H50" s="1852"/>
      <c r="I50" s="1852"/>
      <c r="J50" s="1852"/>
      <c r="K50" s="1852"/>
      <c r="L50" s="1852"/>
      <c r="M50" s="1852"/>
      <c r="N50" s="1852"/>
      <c r="O50" s="1852"/>
      <c r="P50" s="1852"/>
      <c r="Q50" s="1852"/>
      <c r="R50" s="1853"/>
      <c r="S50" s="27"/>
    </row>
    <row r="51" spans="2:31" s="121" customFormat="1" outlineLevel="1">
      <c r="B51" s="1172"/>
      <c r="C51" s="1856" t="s">
        <v>1023</v>
      </c>
      <c r="D51" s="1174"/>
      <c r="E51" s="1174"/>
      <c r="F51" s="1174"/>
      <c r="G51" s="1174"/>
      <c r="H51" s="1852"/>
      <c r="I51" s="1852"/>
      <c r="J51" s="1852"/>
      <c r="K51" s="1852"/>
      <c r="L51" s="1852"/>
      <c r="M51" s="1852"/>
      <c r="N51" s="1852"/>
      <c r="O51" s="1852"/>
      <c r="P51" s="1852"/>
      <c r="Q51" s="1852"/>
      <c r="R51" s="1853"/>
      <c r="S51" s="27"/>
    </row>
    <row r="52" spans="2:31" outlineLevel="1">
      <c r="B52" s="1172"/>
      <c r="C52" s="1870" t="s">
        <v>34</v>
      </c>
      <c r="D52" s="1174" t="str">
        <f>INDEX(Vectors[Description], MATCH($C52, Vectors[Code], 0))</f>
        <v>Conversion losses</v>
      </c>
      <c r="E52" s="1174"/>
      <c r="F52" s="1850">
        <f ca="1">INDEX(INDIRECT("'"&amp;F$4&amp;"'!Year.NetBalance"), MATCH('Intermediate output'!$C52, INDIRECT("'"&amp;F$4&amp;"'!Year.Vectors"), 0))</f>
        <v>561.41930248844437</v>
      </c>
      <c r="G52" s="1174"/>
      <c r="H52" s="1852">
        <f ca="1">INDEX(INDIRECT("'"&amp;H$4&amp;"'!Year.NetBalance"), MATCH('Intermediate output'!$C52, INDIRECT("'"&amp;H$4&amp;"'!Year.Vectors"), 0))</f>
        <v>537.01036674602051</v>
      </c>
      <c r="I52" s="1852">
        <f ca="1">INDEX(INDIRECT("'"&amp;I$4&amp;"'!Year.NetBalance"), MATCH('Intermediate output'!$C52, INDIRECT("'"&amp;I$4&amp;"'!Year.Vectors"), 0))</f>
        <v>539.66944594339941</v>
      </c>
      <c r="J52" s="1852">
        <f ca="1">INDEX(INDIRECT("'"&amp;J$4&amp;"'!Year.NetBalance"), MATCH('Intermediate output'!$C52, INDIRECT("'"&amp;J$4&amp;"'!Year.Vectors"), 0))</f>
        <v>496.25150500706479</v>
      </c>
      <c r="K52" s="1852">
        <f ca="1">INDEX(INDIRECT("'"&amp;K$4&amp;"'!Year.NetBalance"), MATCH('Intermediate output'!$C52, INDIRECT("'"&amp;K$4&amp;"'!Year.Vectors"), 0))</f>
        <v>449.15214080942161</v>
      </c>
      <c r="L52" s="1852">
        <f ca="1">INDEX(INDIRECT("'"&amp;L$4&amp;"'!Year.NetBalance"), MATCH('Intermediate output'!$C52, INDIRECT("'"&amp;L$4&amp;"'!Year.Vectors"), 0))</f>
        <v>400.79509770904207</v>
      </c>
      <c r="M52" s="1852">
        <f ca="1">INDEX(INDIRECT("'"&amp;M$4&amp;"'!Year.NetBalance"), MATCH('Intermediate output'!$C52, INDIRECT("'"&amp;M$4&amp;"'!Year.Vectors"), 0))</f>
        <v>425.33723498120469</v>
      </c>
      <c r="N52" s="1852">
        <f ca="1">INDEX(INDIRECT("'"&amp;N$4&amp;"'!Year.NetBalance"), MATCH('Intermediate output'!$C52, INDIRECT("'"&amp;N$4&amp;"'!Year.Vectors"), 0))</f>
        <v>450.1984260917136</v>
      </c>
      <c r="O52" s="1852">
        <f ca="1">INDEX(INDIRECT("'"&amp;O$4&amp;"'!Year.NetBalance"), MATCH('Intermediate output'!$C52, INDIRECT("'"&amp;O$4&amp;"'!Year.Vectors"), 0))</f>
        <v>484.67734252296054</v>
      </c>
      <c r="P52" s="1852">
        <f ca="1">INDEX(INDIRECT("'"&amp;P$4&amp;"'!Year.NetBalance"), MATCH('Intermediate output'!$C52, INDIRECT("'"&amp;P$4&amp;"'!Year.Vectors"), 0))</f>
        <v>519.06454102573571</v>
      </c>
      <c r="Q52" s="1852">
        <f ca="1">INDEX(INDIRECT("'"&amp;Q$4&amp;"'!Year.NetBalance"), MATCH('Intermediate output'!$C52, INDIRECT("'"&amp;Q$4&amp;"'!Year.Vectors"), 0))</f>
        <v>542.14081029961915</v>
      </c>
      <c r="R52" s="1853"/>
      <c r="S52" s="27"/>
    </row>
    <row r="53" spans="2:31" outlineLevel="1">
      <c r="B53" s="1172"/>
      <c r="C53" s="1870" t="s">
        <v>35</v>
      </c>
      <c r="D53" s="1174" t="str">
        <f>INDEX(Vectors[Description], MATCH($C53, Vectors[Code], 0))</f>
        <v>Distribution losses and own use</v>
      </c>
      <c r="E53" s="1174"/>
      <c r="F53" s="1850">
        <f ca="1">INDEX(INDIRECT("'"&amp;F$4&amp;"'!Year.NetBalance"), MATCH('Intermediate output'!$C53, INDIRECT("'"&amp;F$4&amp;"'!Year.Vectors"), 0))</f>
        <v>186.94703532055274</v>
      </c>
      <c r="G53" s="1174"/>
      <c r="H53" s="1852">
        <f ca="1">INDEX(INDIRECT("'"&amp;H$4&amp;"'!Year.NetBalance"), MATCH('Intermediate output'!$C53, INDIRECT("'"&amp;H$4&amp;"'!Year.Vectors"), 0))</f>
        <v>121.08886187126127</v>
      </c>
      <c r="I53" s="1852">
        <f ca="1">INDEX(INDIRECT("'"&amp;I$4&amp;"'!Year.NetBalance"), MATCH('Intermediate output'!$C53, INDIRECT("'"&amp;I$4&amp;"'!Year.Vectors"), 0))</f>
        <v>117.36021203977427</v>
      </c>
      <c r="J53" s="1852">
        <f ca="1">INDEX(INDIRECT("'"&amp;J$4&amp;"'!Year.NetBalance"), MATCH('Intermediate output'!$C53, INDIRECT("'"&amp;J$4&amp;"'!Year.Vectors"), 0))</f>
        <v>114.73668350564681</v>
      </c>
      <c r="K53" s="1852">
        <f ca="1">INDEX(INDIRECT("'"&amp;K$4&amp;"'!Year.NetBalance"), MATCH('Intermediate output'!$C53, INDIRECT("'"&amp;K$4&amp;"'!Year.Vectors"), 0))</f>
        <v>113.65057633026522</v>
      </c>
      <c r="L53" s="1852">
        <f ca="1">INDEX(INDIRECT("'"&amp;L$4&amp;"'!Year.NetBalance"), MATCH('Intermediate output'!$C53, INDIRECT("'"&amp;L$4&amp;"'!Year.Vectors"), 0))</f>
        <v>110.77814839839903</v>
      </c>
      <c r="M53" s="1852">
        <f ca="1">INDEX(INDIRECT("'"&amp;M$4&amp;"'!Year.NetBalance"), MATCH('Intermediate output'!$C53, INDIRECT("'"&amp;M$4&amp;"'!Year.Vectors"), 0))</f>
        <v>110.78934494411712</v>
      </c>
      <c r="N53" s="1852">
        <f ca="1">INDEX(INDIRECT("'"&amp;N$4&amp;"'!Year.NetBalance"), MATCH('Intermediate output'!$C53, INDIRECT("'"&amp;N$4&amp;"'!Year.Vectors"), 0))</f>
        <v>110.99598899170121</v>
      </c>
      <c r="O53" s="1852">
        <f ca="1">INDEX(INDIRECT("'"&amp;O$4&amp;"'!Year.NetBalance"), MATCH('Intermediate output'!$C53, INDIRECT("'"&amp;O$4&amp;"'!Year.Vectors"), 0))</f>
        <v>112.17904772847655</v>
      </c>
      <c r="P53" s="1852">
        <f ca="1">INDEX(INDIRECT("'"&amp;P$4&amp;"'!Year.NetBalance"), MATCH('Intermediate output'!$C53, INDIRECT("'"&amp;P$4&amp;"'!Year.Vectors"), 0))</f>
        <v>113.71738556937473</v>
      </c>
      <c r="Q53" s="1852">
        <f ca="1">INDEX(INDIRECT("'"&amp;Q$4&amp;"'!Year.NetBalance"), MATCH('Intermediate output'!$C53, INDIRECT("'"&amp;Q$4&amp;"'!Year.Vectors"), 0))</f>
        <v>115.10095285247354</v>
      </c>
      <c r="R53" s="1853"/>
      <c r="S53" s="27"/>
    </row>
    <row r="54" spans="2:31" s="743" customFormat="1" ht="18">
      <c r="B54" s="1863"/>
      <c r="C54" s="765"/>
      <c r="D54" s="1842" t="s">
        <v>1024</v>
      </c>
      <c r="E54" s="1174"/>
      <c r="F54" s="1843">
        <f ca="1">F47-SUM(F52:F53)</f>
        <v>1962.1597576483998</v>
      </c>
      <c r="G54" s="1174"/>
      <c r="H54" s="1843">
        <f t="shared" ref="H54:Q54" ca="1" si="10">H47-SUM(H52:H53)</f>
        <v>1876.4929501549982</v>
      </c>
      <c r="I54" s="1843">
        <f t="shared" ca="1" si="10"/>
        <v>1905.6931048532538</v>
      </c>
      <c r="J54" s="1843">
        <f t="shared" ca="1" si="10"/>
        <v>1932.7090655928432</v>
      </c>
      <c r="K54" s="1843">
        <f t="shared" ca="1" si="10"/>
        <v>1966.3037970695379</v>
      </c>
      <c r="L54" s="1843">
        <f t="shared" ca="1" si="10"/>
        <v>1980.7850211840548</v>
      </c>
      <c r="M54" s="1843">
        <f t="shared" ca="1" si="10"/>
        <v>1997.2408648035189</v>
      </c>
      <c r="N54" s="1843">
        <f t="shared" ca="1" si="10"/>
        <v>2037.0920749258548</v>
      </c>
      <c r="O54" s="1843">
        <f t="shared" ca="1" si="10"/>
        <v>2078.2838563959567</v>
      </c>
      <c r="P54" s="1843">
        <f t="shared" ca="1" si="10"/>
        <v>2128.551144807092</v>
      </c>
      <c r="Q54" s="1843">
        <f t="shared" ca="1" si="10"/>
        <v>2186.8677000208309</v>
      </c>
      <c r="R54" s="1864"/>
      <c r="S54" s="840"/>
    </row>
    <row r="55" spans="2:31" s="121" customFormat="1">
      <c r="B55" s="1172"/>
      <c r="C55" s="1174"/>
      <c r="D55" s="1174"/>
      <c r="E55" s="1174"/>
      <c r="F55" s="1174"/>
      <c r="G55" s="1174"/>
      <c r="H55" s="1852"/>
      <c r="I55" s="1852"/>
      <c r="J55" s="1852"/>
      <c r="K55" s="1852"/>
      <c r="L55" s="1852"/>
      <c r="M55" s="1852"/>
      <c r="N55" s="1852"/>
      <c r="O55" s="1852"/>
      <c r="P55" s="1852"/>
      <c r="Q55" s="1852"/>
      <c r="R55" s="1853"/>
      <c r="S55" s="27"/>
    </row>
    <row r="56" spans="2:31" s="121" customFormat="1" hidden="1" outlineLevel="1">
      <c r="B56" s="1172"/>
      <c r="C56" s="1856" t="s">
        <v>1247</v>
      </c>
      <c r="D56" s="1174"/>
      <c r="E56" s="1174"/>
      <c r="F56" s="1174"/>
      <c r="G56" s="1174"/>
      <c r="H56" s="1852"/>
      <c r="I56" s="1852"/>
      <c r="J56" s="1852"/>
      <c r="K56" s="1852"/>
      <c r="L56" s="1852"/>
      <c r="M56" s="1852"/>
      <c r="N56" s="1852"/>
      <c r="O56" s="1852"/>
      <c r="P56" s="1852"/>
      <c r="Q56" s="1852"/>
      <c r="R56" s="1853"/>
      <c r="S56" s="27"/>
    </row>
    <row r="57" spans="2:31" s="121" customFormat="1" hidden="1" outlineLevel="1">
      <c r="B57" s="1172"/>
      <c r="C57" s="1174"/>
      <c r="D57" s="1174"/>
      <c r="E57" s="1174"/>
      <c r="F57" s="1174"/>
      <c r="G57" s="1174"/>
      <c r="H57" s="1852"/>
      <c r="I57" s="1852"/>
      <c r="J57" s="1852"/>
      <c r="K57" s="1852"/>
      <c r="L57" s="1852"/>
      <c r="M57" s="1852"/>
      <c r="N57" s="1852"/>
      <c r="O57" s="1852"/>
      <c r="P57" s="1852"/>
      <c r="Q57" s="1852"/>
      <c r="R57" s="1853"/>
      <c r="S57" s="27"/>
    </row>
    <row r="58" spans="2:31" s="121" customFormat="1" hidden="1" outlineLevel="1">
      <c r="B58" s="1172"/>
      <c r="C58" s="1870" t="s">
        <v>64</v>
      </c>
      <c r="D58" s="1174" t="str">
        <f>INDEX(Vectors[Description], MATCH($C58, Vectors[Code], 0))</f>
        <v>Coal and fossil waste</v>
      </c>
      <c r="E58" s="1174"/>
      <c r="F58" s="1850">
        <f ca="1">INDEX(INDIRECT("'"&amp;F$4&amp;"'!Year.NetBalance"), MATCH('Intermediate output'!$C58, INDIRECT("'"&amp;F$4&amp;"'!Year.Vectors"), 0))</f>
        <v>0.46688353851152442</v>
      </c>
      <c r="G58" s="1174"/>
      <c r="H58" s="1852">
        <f ca="1">INDEX(INDIRECT("'"&amp;H$4&amp;"'!Year.NetBalance"), MATCH('Intermediate output'!$C58, INDIRECT("'"&amp;H$4&amp;"'!Year.Vectors"), 0))</f>
        <v>0</v>
      </c>
      <c r="I58" s="1852">
        <f ca="1">INDEX(INDIRECT("'"&amp;I$4&amp;"'!Year.NetBalance"), MATCH('Intermediate output'!$C58, INDIRECT("'"&amp;I$4&amp;"'!Year.Vectors"), 0))</f>
        <v>0</v>
      </c>
      <c r="J58" s="1852">
        <f ca="1">INDEX(INDIRECT("'"&amp;J$4&amp;"'!Year.NetBalance"), MATCH('Intermediate output'!$C58, INDIRECT("'"&amp;J$4&amp;"'!Year.Vectors"), 0))</f>
        <v>0</v>
      </c>
      <c r="K58" s="1852">
        <f ca="1">INDEX(INDIRECT("'"&amp;K$4&amp;"'!Year.NetBalance"), MATCH('Intermediate output'!$C58, INDIRECT("'"&amp;K$4&amp;"'!Year.Vectors"), 0))</f>
        <v>0</v>
      </c>
      <c r="L58" s="1852">
        <f ca="1">INDEX(INDIRECT("'"&amp;L$4&amp;"'!Year.NetBalance"), MATCH('Intermediate output'!$C58, INDIRECT("'"&amp;L$4&amp;"'!Year.Vectors"), 0))</f>
        <v>0</v>
      </c>
      <c r="M58" s="1852">
        <f ca="1">INDEX(INDIRECT("'"&amp;M$4&amp;"'!Year.NetBalance"), MATCH('Intermediate output'!$C58, INDIRECT("'"&amp;M$4&amp;"'!Year.Vectors"), 0))</f>
        <v>0</v>
      </c>
      <c r="N58" s="1852">
        <f ca="1">INDEX(INDIRECT("'"&amp;N$4&amp;"'!Year.NetBalance"), MATCH('Intermediate output'!$C58, INDIRECT("'"&amp;N$4&amp;"'!Year.Vectors"), 0))</f>
        <v>0</v>
      </c>
      <c r="O58" s="1852">
        <f ca="1">INDEX(INDIRECT("'"&amp;O$4&amp;"'!Year.NetBalance"), MATCH('Intermediate output'!$C58, INDIRECT("'"&amp;O$4&amp;"'!Year.Vectors"), 0))</f>
        <v>0</v>
      </c>
      <c r="P58" s="1852">
        <f ca="1">INDEX(INDIRECT("'"&amp;P$4&amp;"'!Year.NetBalance"), MATCH('Intermediate output'!$C58, INDIRECT("'"&amp;P$4&amp;"'!Year.Vectors"), 0))</f>
        <v>0</v>
      </c>
      <c r="Q58" s="1852">
        <f ca="1">INDEX(INDIRECT("'"&amp;Q$4&amp;"'!Year.NetBalance"), MATCH('Intermediate output'!$C58, INDIRECT("'"&amp;Q$4&amp;"'!Year.Vectors"), 0))</f>
        <v>0</v>
      </c>
      <c r="R58" s="1853"/>
      <c r="S58" s="27"/>
    </row>
    <row r="59" spans="2:31" s="121" customFormat="1" hidden="1" outlineLevel="1">
      <c r="B59" s="1172"/>
      <c r="C59" s="1870" t="s">
        <v>65</v>
      </c>
      <c r="D59" s="1174" t="str">
        <f>INDEX(Vectors[Description], MATCH($C59, Vectors[Code], 0))</f>
        <v>Oil and petroleum products</v>
      </c>
      <c r="E59" s="1174"/>
      <c r="F59" s="1850">
        <f ca="1">INDEX(INDIRECT("'"&amp;F$4&amp;"'!Year.NetBalance"), MATCH('Intermediate output'!$C59, INDIRECT("'"&amp;F$4&amp;"'!Year.Vectors"), 0))</f>
        <v>35.994120424665141</v>
      </c>
      <c r="G59" s="1174"/>
      <c r="H59" s="1852">
        <f ca="1">INDEX(INDIRECT("'"&amp;H$4&amp;"'!Year.NetBalance"), MATCH('Intermediate output'!$C59, INDIRECT("'"&amp;H$4&amp;"'!Year.Vectors"), 0))</f>
        <v>0</v>
      </c>
      <c r="I59" s="1852">
        <f ca="1">INDEX(INDIRECT("'"&amp;I$4&amp;"'!Year.NetBalance"), MATCH('Intermediate output'!$C59, INDIRECT("'"&amp;I$4&amp;"'!Year.Vectors"), 0))</f>
        <v>0</v>
      </c>
      <c r="J59" s="1852">
        <f ca="1">INDEX(INDIRECT("'"&amp;J$4&amp;"'!Year.NetBalance"), MATCH('Intermediate output'!$C59, INDIRECT("'"&amp;J$4&amp;"'!Year.Vectors"), 0))</f>
        <v>0</v>
      </c>
      <c r="K59" s="1852">
        <f ca="1">INDEX(INDIRECT("'"&amp;K$4&amp;"'!Year.NetBalance"), MATCH('Intermediate output'!$C59, INDIRECT("'"&amp;K$4&amp;"'!Year.Vectors"), 0))</f>
        <v>0</v>
      </c>
      <c r="L59" s="1852">
        <f ca="1">INDEX(INDIRECT("'"&amp;L$4&amp;"'!Year.NetBalance"), MATCH('Intermediate output'!$C59, INDIRECT("'"&amp;L$4&amp;"'!Year.Vectors"), 0))</f>
        <v>0</v>
      </c>
      <c r="M59" s="1852">
        <f ca="1">INDEX(INDIRECT("'"&amp;M$4&amp;"'!Year.NetBalance"), MATCH('Intermediate output'!$C59, INDIRECT("'"&amp;M$4&amp;"'!Year.Vectors"), 0))</f>
        <v>0</v>
      </c>
      <c r="N59" s="1852">
        <f ca="1">INDEX(INDIRECT("'"&amp;N$4&amp;"'!Year.NetBalance"), MATCH('Intermediate output'!$C59, INDIRECT("'"&amp;N$4&amp;"'!Year.Vectors"), 0))</f>
        <v>0</v>
      </c>
      <c r="O59" s="1852">
        <f ca="1">INDEX(INDIRECT("'"&amp;O$4&amp;"'!Year.NetBalance"), MATCH('Intermediate output'!$C59, INDIRECT("'"&amp;O$4&amp;"'!Year.Vectors"), 0))</f>
        <v>0</v>
      </c>
      <c r="P59" s="1852">
        <f ca="1">INDEX(INDIRECT("'"&amp;P$4&amp;"'!Year.NetBalance"), MATCH('Intermediate output'!$C59, INDIRECT("'"&amp;P$4&amp;"'!Year.Vectors"), 0))</f>
        <v>0</v>
      </c>
      <c r="Q59" s="1852">
        <f ca="1">INDEX(INDIRECT("'"&amp;Q$4&amp;"'!Year.NetBalance"), MATCH('Intermediate output'!$C59, INDIRECT("'"&amp;Q$4&amp;"'!Year.Vectors"), 0))</f>
        <v>0</v>
      </c>
      <c r="R59" s="1853"/>
      <c r="S59" s="27"/>
    </row>
    <row r="60" spans="2:31" s="121" customFormat="1" hidden="1" outlineLevel="1">
      <c r="B60" s="1172"/>
      <c r="C60" s="1870" t="s">
        <v>66</v>
      </c>
      <c r="D60" s="1174" t="str">
        <f>INDEX(Vectors[Description], MATCH($C60, Vectors[Code], 0))</f>
        <v>Natural gas</v>
      </c>
      <c r="E60" s="1174"/>
      <c r="F60" s="1850">
        <f ca="1">INDEX(INDIRECT("'"&amp;F$4&amp;"'!Year.NetBalance"), MATCH('Intermediate output'!$C60, INDIRECT("'"&amp;F$4&amp;"'!Year.Vectors"), 0))</f>
        <v>-10.228142999999932</v>
      </c>
      <c r="G60" s="1174"/>
      <c r="H60" s="1852">
        <f ca="1">INDEX(INDIRECT("'"&amp;H$4&amp;"'!Year.NetBalance"), MATCH('Intermediate output'!$C60, INDIRECT("'"&amp;H$4&amp;"'!Year.Vectors"), 0))</f>
        <v>0</v>
      </c>
      <c r="I60" s="1852">
        <f ca="1">INDEX(INDIRECT("'"&amp;I$4&amp;"'!Year.NetBalance"), MATCH('Intermediate output'!$C60, INDIRECT("'"&amp;I$4&amp;"'!Year.Vectors"), 0))</f>
        <v>0</v>
      </c>
      <c r="J60" s="1852">
        <f ca="1">INDEX(INDIRECT("'"&amp;J$4&amp;"'!Year.NetBalance"), MATCH('Intermediate output'!$C60, INDIRECT("'"&amp;J$4&amp;"'!Year.Vectors"), 0))</f>
        <v>0</v>
      </c>
      <c r="K60" s="1852">
        <f ca="1">INDEX(INDIRECT("'"&amp;K$4&amp;"'!Year.NetBalance"), MATCH('Intermediate output'!$C60, INDIRECT("'"&amp;K$4&amp;"'!Year.Vectors"), 0))</f>
        <v>0</v>
      </c>
      <c r="L60" s="1852">
        <f ca="1">INDEX(INDIRECT("'"&amp;L$4&amp;"'!Year.NetBalance"), MATCH('Intermediate output'!$C60, INDIRECT("'"&amp;L$4&amp;"'!Year.Vectors"), 0))</f>
        <v>0</v>
      </c>
      <c r="M60" s="1852">
        <f ca="1">INDEX(INDIRECT("'"&amp;M$4&amp;"'!Year.NetBalance"), MATCH('Intermediate output'!$C60, INDIRECT("'"&amp;M$4&amp;"'!Year.Vectors"), 0))</f>
        <v>0</v>
      </c>
      <c r="N60" s="1852">
        <f ca="1">INDEX(INDIRECT("'"&amp;N$4&amp;"'!Year.NetBalance"), MATCH('Intermediate output'!$C60, INDIRECT("'"&amp;N$4&amp;"'!Year.Vectors"), 0))</f>
        <v>0</v>
      </c>
      <c r="O60" s="1852">
        <f ca="1">INDEX(INDIRECT("'"&amp;O$4&amp;"'!Year.NetBalance"), MATCH('Intermediate output'!$C60, INDIRECT("'"&amp;O$4&amp;"'!Year.Vectors"), 0))</f>
        <v>0</v>
      </c>
      <c r="P60" s="1852">
        <f ca="1">INDEX(INDIRECT("'"&amp;P$4&amp;"'!Year.NetBalance"), MATCH('Intermediate output'!$C60, INDIRECT("'"&amp;P$4&amp;"'!Year.Vectors"), 0))</f>
        <v>0</v>
      </c>
      <c r="Q60" s="1852">
        <f ca="1">INDEX(INDIRECT("'"&amp;Q$4&amp;"'!Year.NetBalance"), MATCH('Intermediate output'!$C60, INDIRECT("'"&amp;Q$4&amp;"'!Year.Vectors"), 0))</f>
        <v>0</v>
      </c>
      <c r="R60" s="1853"/>
      <c r="S60" s="27"/>
    </row>
    <row r="61" spans="2:31" s="121" customFormat="1" hidden="1" outlineLevel="1">
      <c r="B61" s="1172"/>
      <c r="C61" s="1870" t="s">
        <v>47</v>
      </c>
      <c r="D61" s="1174" t="str">
        <f>INDEX(Vectors[Description], MATCH($C61, Vectors[Code], 0))</f>
        <v>Solid hydrocarbons</v>
      </c>
      <c r="E61" s="1174"/>
      <c r="F61" s="1850">
        <f ca="1">INDEX(INDIRECT("'"&amp;F$4&amp;"'!Year.NetBalance"), MATCH('Intermediate output'!$C61, INDIRECT("'"&amp;F$4&amp;"'!Year.Vectors"), 0))</f>
        <v>0</v>
      </c>
      <c r="G61" s="1174"/>
      <c r="H61" s="1852">
        <f ca="1">INDEX(INDIRECT("'"&amp;H$4&amp;"'!Year.NetBalance"), MATCH('Intermediate output'!$C61, INDIRECT("'"&amp;H$4&amp;"'!Year.Vectors"), 0))</f>
        <v>0</v>
      </c>
      <c r="I61" s="1852">
        <f ca="1">INDEX(INDIRECT("'"&amp;I$4&amp;"'!Year.NetBalance"), MATCH('Intermediate output'!$C61, INDIRECT("'"&amp;I$4&amp;"'!Year.Vectors"), 0))</f>
        <v>0</v>
      </c>
      <c r="J61" s="1852">
        <f ca="1">INDEX(INDIRECT("'"&amp;J$4&amp;"'!Year.NetBalance"), MATCH('Intermediate output'!$C61, INDIRECT("'"&amp;J$4&amp;"'!Year.Vectors"), 0))</f>
        <v>0</v>
      </c>
      <c r="K61" s="1852">
        <f ca="1">INDEX(INDIRECT("'"&amp;K$4&amp;"'!Year.NetBalance"), MATCH('Intermediate output'!$C61, INDIRECT("'"&amp;K$4&amp;"'!Year.Vectors"), 0))</f>
        <v>0</v>
      </c>
      <c r="L61" s="1852">
        <f ca="1">INDEX(INDIRECT("'"&amp;L$4&amp;"'!Year.NetBalance"), MATCH('Intermediate output'!$C61, INDIRECT("'"&amp;L$4&amp;"'!Year.Vectors"), 0))</f>
        <v>0</v>
      </c>
      <c r="M61" s="1852">
        <f ca="1">INDEX(INDIRECT("'"&amp;M$4&amp;"'!Year.NetBalance"), MATCH('Intermediate output'!$C61, INDIRECT("'"&amp;M$4&amp;"'!Year.Vectors"), 0))</f>
        <v>0</v>
      </c>
      <c r="N61" s="1852">
        <f ca="1">INDEX(INDIRECT("'"&amp;N$4&amp;"'!Year.NetBalance"), MATCH('Intermediate output'!$C61, INDIRECT("'"&amp;N$4&amp;"'!Year.Vectors"), 0))</f>
        <v>0</v>
      </c>
      <c r="O61" s="1852">
        <f ca="1">INDEX(INDIRECT("'"&amp;O$4&amp;"'!Year.NetBalance"), MATCH('Intermediate output'!$C61, INDIRECT("'"&amp;O$4&amp;"'!Year.Vectors"), 0))</f>
        <v>0</v>
      </c>
      <c r="P61" s="1852">
        <f ca="1">INDEX(INDIRECT("'"&amp;P$4&amp;"'!Year.NetBalance"), MATCH('Intermediate output'!$C61, INDIRECT("'"&amp;P$4&amp;"'!Year.Vectors"), 0))</f>
        <v>0</v>
      </c>
      <c r="Q61" s="1852">
        <f ca="1">INDEX(INDIRECT("'"&amp;Q$4&amp;"'!Year.NetBalance"), MATCH('Intermediate output'!$C61, INDIRECT("'"&amp;Q$4&amp;"'!Year.Vectors"), 0))</f>
        <v>0</v>
      </c>
      <c r="R61" s="1853"/>
      <c r="S61" s="27"/>
    </row>
    <row r="62" spans="2:31" s="121" customFormat="1" hidden="1" outlineLevel="1">
      <c r="B62" s="1172"/>
      <c r="C62" s="1870" t="s">
        <v>49</v>
      </c>
      <c r="D62" s="1174" t="str">
        <f>INDEX(Vectors[Description], MATCH($C62, Vectors[Code], 0))</f>
        <v>Liquid hydrocarbons</v>
      </c>
      <c r="E62" s="1174"/>
      <c r="F62" s="1850">
        <f ca="1">INDEX(INDIRECT("'"&amp;F$4&amp;"'!Year.NetBalance"), MATCH('Intermediate output'!$C62, INDIRECT("'"&amp;F$4&amp;"'!Year.Vectors"), 0))</f>
        <v>-40.985250464344332</v>
      </c>
      <c r="G62" s="1174"/>
      <c r="H62" s="1852">
        <f ca="1">INDEX(INDIRECT("'"&amp;H$4&amp;"'!Year.NetBalance"), MATCH('Intermediate output'!$C62, INDIRECT("'"&amp;H$4&amp;"'!Year.Vectors"), 0))</f>
        <v>0</v>
      </c>
      <c r="I62" s="1852">
        <f ca="1">INDEX(INDIRECT("'"&amp;I$4&amp;"'!Year.NetBalance"), MATCH('Intermediate output'!$C62, INDIRECT("'"&amp;I$4&amp;"'!Year.Vectors"), 0))</f>
        <v>0</v>
      </c>
      <c r="J62" s="1852">
        <f ca="1">INDEX(INDIRECT("'"&amp;J$4&amp;"'!Year.NetBalance"), MATCH('Intermediate output'!$C62, INDIRECT("'"&amp;J$4&amp;"'!Year.Vectors"), 0))</f>
        <v>0</v>
      </c>
      <c r="K62" s="1852">
        <f ca="1">INDEX(INDIRECT("'"&amp;K$4&amp;"'!Year.NetBalance"), MATCH('Intermediate output'!$C62, INDIRECT("'"&amp;K$4&amp;"'!Year.Vectors"), 0))</f>
        <v>0</v>
      </c>
      <c r="L62" s="1852">
        <f ca="1">INDEX(INDIRECT("'"&amp;L$4&amp;"'!Year.NetBalance"), MATCH('Intermediate output'!$C62, INDIRECT("'"&amp;L$4&amp;"'!Year.Vectors"), 0))</f>
        <v>0</v>
      </c>
      <c r="M62" s="1852">
        <f ca="1">INDEX(INDIRECT("'"&amp;M$4&amp;"'!Year.NetBalance"), MATCH('Intermediate output'!$C62, INDIRECT("'"&amp;M$4&amp;"'!Year.Vectors"), 0))</f>
        <v>0</v>
      </c>
      <c r="N62" s="1852">
        <f ca="1">INDEX(INDIRECT("'"&amp;N$4&amp;"'!Year.NetBalance"), MATCH('Intermediate output'!$C62, INDIRECT("'"&amp;N$4&amp;"'!Year.Vectors"), 0))</f>
        <v>0</v>
      </c>
      <c r="O62" s="1852">
        <f ca="1">INDEX(INDIRECT("'"&amp;O$4&amp;"'!Year.NetBalance"), MATCH('Intermediate output'!$C62, INDIRECT("'"&amp;O$4&amp;"'!Year.Vectors"), 0))</f>
        <v>0</v>
      </c>
      <c r="P62" s="1852">
        <f ca="1">INDEX(INDIRECT("'"&amp;P$4&amp;"'!Year.NetBalance"), MATCH('Intermediate output'!$C62, INDIRECT("'"&amp;P$4&amp;"'!Year.Vectors"), 0))</f>
        <v>0</v>
      </c>
      <c r="Q62" s="1852">
        <f ca="1">INDEX(INDIRECT("'"&amp;Q$4&amp;"'!Year.NetBalance"), MATCH('Intermediate output'!$C62, INDIRECT("'"&amp;Q$4&amp;"'!Year.Vectors"), 0))</f>
        <v>0</v>
      </c>
      <c r="R62" s="1853"/>
      <c r="S62" s="27"/>
    </row>
    <row r="63" spans="2:31" s="121" customFormat="1" hidden="1" outlineLevel="1">
      <c r="B63" s="1172"/>
      <c r="C63" s="1870" t="s">
        <v>50</v>
      </c>
      <c r="D63" s="1174" t="str">
        <f>INDEX(Vectors[Description], MATCH($C63, Vectors[Code], 0))</f>
        <v>Gaseous hydrocarbons</v>
      </c>
      <c r="E63" s="1174"/>
      <c r="F63" s="1850">
        <f ca="1">INDEX(INDIRECT("'"&amp;F$4&amp;"'!Year.NetBalance"), MATCH('Intermediate output'!$C63, INDIRECT("'"&amp;F$4&amp;"'!Year.Vectors"), 0))</f>
        <v>15.047768550745332</v>
      </c>
      <c r="G63" s="1174"/>
      <c r="H63" s="1852">
        <f ca="1">INDEX(INDIRECT("'"&amp;H$4&amp;"'!Year.NetBalance"), MATCH('Intermediate output'!$C63, INDIRECT("'"&amp;H$4&amp;"'!Year.Vectors"), 0))</f>
        <v>0</v>
      </c>
      <c r="I63" s="1852">
        <f ca="1">INDEX(INDIRECT("'"&amp;I$4&amp;"'!Year.NetBalance"), MATCH('Intermediate output'!$C63, INDIRECT("'"&amp;I$4&amp;"'!Year.Vectors"), 0))</f>
        <v>0</v>
      </c>
      <c r="J63" s="1852">
        <f ca="1">INDEX(INDIRECT("'"&amp;J$4&amp;"'!Year.NetBalance"), MATCH('Intermediate output'!$C63, INDIRECT("'"&amp;J$4&amp;"'!Year.Vectors"), 0))</f>
        <v>0</v>
      </c>
      <c r="K63" s="1852">
        <f ca="1">INDEX(INDIRECT("'"&amp;K$4&amp;"'!Year.NetBalance"), MATCH('Intermediate output'!$C63, INDIRECT("'"&amp;K$4&amp;"'!Year.Vectors"), 0))</f>
        <v>0</v>
      </c>
      <c r="L63" s="1852">
        <f ca="1">INDEX(INDIRECT("'"&amp;L$4&amp;"'!Year.NetBalance"), MATCH('Intermediate output'!$C63, INDIRECT("'"&amp;L$4&amp;"'!Year.Vectors"), 0))</f>
        <v>0</v>
      </c>
      <c r="M63" s="1852">
        <f ca="1">INDEX(INDIRECT("'"&amp;M$4&amp;"'!Year.NetBalance"), MATCH('Intermediate output'!$C63, INDIRECT("'"&amp;M$4&amp;"'!Year.Vectors"), 0))</f>
        <v>0</v>
      </c>
      <c r="N63" s="1852">
        <f ca="1">INDEX(INDIRECT("'"&amp;N$4&amp;"'!Year.NetBalance"), MATCH('Intermediate output'!$C63, INDIRECT("'"&amp;N$4&amp;"'!Year.Vectors"), 0))</f>
        <v>0</v>
      </c>
      <c r="O63" s="1852">
        <f ca="1">INDEX(INDIRECT("'"&amp;O$4&amp;"'!Year.NetBalance"), MATCH('Intermediate output'!$C63, INDIRECT("'"&amp;O$4&amp;"'!Year.Vectors"), 0))</f>
        <v>0</v>
      </c>
      <c r="P63" s="1852">
        <f ca="1">INDEX(INDIRECT("'"&amp;P$4&amp;"'!Year.NetBalance"), MATCH('Intermediate output'!$C63, INDIRECT("'"&amp;P$4&amp;"'!Year.Vectors"), 0))</f>
        <v>0</v>
      </c>
      <c r="Q63" s="1852">
        <f ca="1">INDEX(INDIRECT("'"&amp;Q$4&amp;"'!Year.NetBalance"), MATCH('Intermediate output'!$C63, INDIRECT("'"&amp;Q$4&amp;"'!Year.Vectors"), 0))</f>
        <v>0</v>
      </c>
      <c r="R63" s="1853"/>
      <c r="S63" s="27"/>
    </row>
    <row r="64" spans="2:31" s="121" customFormat="1" hidden="1" outlineLevel="1">
      <c r="B64" s="1172"/>
      <c r="C64" s="1870" t="s">
        <v>108</v>
      </c>
      <c r="D64" s="1174" t="str">
        <f>INDEX(Vectors[Description], MATCH($C64, Vectors[Code], 0))</f>
        <v>Blast furnace gas</v>
      </c>
      <c r="E64" s="1174"/>
      <c r="F64" s="1850">
        <f ca="1">INDEX(INDIRECT("'"&amp;F$4&amp;"'!Year.NetBalance"), MATCH('Intermediate output'!$C64, INDIRECT("'"&amp;F$4&amp;"'!Year.Vectors"), 0))</f>
        <v>-0.11045622230000071</v>
      </c>
      <c r="G64" s="1174"/>
      <c r="H64" s="1852">
        <f ca="1">INDEX(INDIRECT("'"&amp;H$4&amp;"'!Year.NetBalance"), MATCH('Intermediate output'!$C64, INDIRECT("'"&amp;H$4&amp;"'!Year.Vectors"), 0))</f>
        <v>0</v>
      </c>
      <c r="I64" s="1852">
        <f ca="1">INDEX(INDIRECT("'"&amp;I$4&amp;"'!Year.NetBalance"), MATCH('Intermediate output'!$C64, INDIRECT("'"&amp;I$4&amp;"'!Year.Vectors"), 0))</f>
        <v>0</v>
      </c>
      <c r="J64" s="1852">
        <f ca="1">INDEX(INDIRECT("'"&amp;J$4&amp;"'!Year.NetBalance"), MATCH('Intermediate output'!$C64, INDIRECT("'"&amp;J$4&amp;"'!Year.Vectors"), 0))</f>
        <v>0</v>
      </c>
      <c r="K64" s="1852">
        <f ca="1">INDEX(INDIRECT("'"&amp;K$4&amp;"'!Year.NetBalance"), MATCH('Intermediate output'!$C64, INDIRECT("'"&amp;K$4&amp;"'!Year.Vectors"), 0))</f>
        <v>0</v>
      </c>
      <c r="L64" s="1852">
        <f ca="1">INDEX(INDIRECT("'"&amp;L$4&amp;"'!Year.NetBalance"), MATCH('Intermediate output'!$C64, INDIRECT("'"&amp;L$4&amp;"'!Year.Vectors"), 0))</f>
        <v>0</v>
      </c>
      <c r="M64" s="1852">
        <f ca="1">INDEX(INDIRECT("'"&amp;M$4&amp;"'!Year.NetBalance"), MATCH('Intermediate output'!$C64, INDIRECT("'"&amp;M$4&amp;"'!Year.Vectors"), 0))</f>
        <v>0</v>
      </c>
      <c r="N64" s="1852">
        <f ca="1">INDEX(INDIRECT("'"&amp;N$4&amp;"'!Year.NetBalance"), MATCH('Intermediate output'!$C64, INDIRECT("'"&amp;N$4&amp;"'!Year.Vectors"), 0))</f>
        <v>0</v>
      </c>
      <c r="O64" s="1852">
        <f ca="1">INDEX(INDIRECT("'"&amp;O$4&amp;"'!Year.NetBalance"), MATCH('Intermediate output'!$C64, INDIRECT("'"&amp;O$4&amp;"'!Year.Vectors"), 0))</f>
        <v>0</v>
      </c>
      <c r="P64" s="1852">
        <f ca="1">INDEX(INDIRECT("'"&amp;P$4&amp;"'!Year.NetBalance"), MATCH('Intermediate output'!$C64, INDIRECT("'"&amp;P$4&amp;"'!Year.Vectors"), 0))</f>
        <v>0</v>
      </c>
      <c r="Q64" s="1852">
        <f ca="1">INDEX(INDIRECT("'"&amp;Q$4&amp;"'!Year.NetBalance"), MATCH('Intermediate output'!$C64, INDIRECT("'"&amp;Q$4&amp;"'!Year.Vectors"), 0))</f>
        <v>0</v>
      </c>
      <c r="R64" s="1853"/>
      <c r="S64" s="27"/>
    </row>
    <row r="65" spans="1:19" hidden="1" outlineLevel="1">
      <c r="B65" s="1172"/>
      <c r="C65" s="1870" t="s">
        <v>754</v>
      </c>
      <c r="D65" s="1174" t="str">
        <f>INDEX(Vectors[Description], MATCH($C65, Vectors[Code], 0))</f>
        <v>Edible biomatter</v>
      </c>
      <c r="E65" s="1174"/>
      <c r="F65" s="1850">
        <f ca="1">INDEX(INDIRECT("'"&amp;F$4&amp;"'!Year.NetBalance"), MATCH('Intermediate output'!$C65, INDIRECT("'"&amp;F$4&amp;"'!Year.Vectors"), 0))</f>
        <v>0</v>
      </c>
      <c r="G65" s="1174"/>
      <c r="H65" s="1852">
        <f ca="1">INDEX(INDIRECT("'"&amp;H$4&amp;"'!Year.NetBalance"), MATCH('Intermediate output'!$C65, INDIRECT("'"&amp;H$4&amp;"'!Year.Vectors"), 0))</f>
        <v>0</v>
      </c>
      <c r="I65" s="1852">
        <f ca="1">INDEX(INDIRECT("'"&amp;I$4&amp;"'!Year.NetBalance"), MATCH('Intermediate output'!$C65, INDIRECT("'"&amp;I$4&amp;"'!Year.Vectors"), 0))</f>
        <v>0</v>
      </c>
      <c r="J65" s="1852">
        <f ca="1">INDEX(INDIRECT("'"&amp;J$4&amp;"'!Year.NetBalance"), MATCH('Intermediate output'!$C65, INDIRECT("'"&amp;J$4&amp;"'!Year.Vectors"), 0))</f>
        <v>0</v>
      </c>
      <c r="K65" s="1852">
        <f ca="1">INDEX(INDIRECT("'"&amp;K$4&amp;"'!Year.NetBalance"), MATCH('Intermediate output'!$C65, INDIRECT("'"&amp;K$4&amp;"'!Year.Vectors"), 0))</f>
        <v>0</v>
      </c>
      <c r="L65" s="1852">
        <f ca="1">INDEX(INDIRECT("'"&amp;L$4&amp;"'!Year.NetBalance"), MATCH('Intermediate output'!$C65, INDIRECT("'"&amp;L$4&amp;"'!Year.Vectors"), 0))</f>
        <v>0</v>
      </c>
      <c r="M65" s="1852">
        <f ca="1">INDEX(INDIRECT("'"&amp;M$4&amp;"'!Year.NetBalance"), MATCH('Intermediate output'!$C65, INDIRECT("'"&amp;M$4&amp;"'!Year.Vectors"), 0))</f>
        <v>0</v>
      </c>
      <c r="N65" s="1852">
        <f ca="1">INDEX(INDIRECT("'"&amp;N$4&amp;"'!Year.NetBalance"), MATCH('Intermediate output'!$C65, INDIRECT("'"&amp;N$4&amp;"'!Year.Vectors"), 0))</f>
        <v>0</v>
      </c>
      <c r="O65" s="1852">
        <f ca="1">INDEX(INDIRECT("'"&amp;O$4&amp;"'!Year.NetBalance"), MATCH('Intermediate output'!$C65, INDIRECT("'"&amp;O$4&amp;"'!Year.Vectors"), 0))</f>
        <v>0</v>
      </c>
      <c r="P65" s="1852">
        <f ca="1">INDEX(INDIRECT("'"&amp;P$4&amp;"'!Year.NetBalance"), MATCH('Intermediate output'!$C65, INDIRECT("'"&amp;P$4&amp;"'!Year.Vectors"), 0))</f>
        <v>0</v>
      </c>
      <c r="Q65" s="1852">
        <f ca="1">INDEX(INDIRECT("'"&amp;Q$4&amp;"'!Year.NetBalance"), MATCH('Intermediate output'!$C65, INDIRECT("'"&amp;Q$4&amp;"'!Year.Vectors"), 0))</f>
        <v>0</v>
      </c>
      <c r="R65" s="1853"/>
      <c r="S65" s="27"/>
    </row>
    <row r="66" spans="1:19" hidden="1" outlineLevel="1">
      <c r="B66" s="1172"/>
      <c r="C66" s="1870" t="s">
        <v>753</v>
      </c>
      <c r="D66" s="1174" t="str">
        <f>INDEX(Vectors[Description], MATCH($C66, Vectors[Code], 0))</f>
        <v>Heat transport</v>
      </c>
      <c r="E66" s="1174"/>
      <c r="F66" s="1850">
        <f ca="1">INDEX(INDIRECT("'"&amp;F$4&amp;"'!Year.NetBalance"), MATCH('Intermediate output'!$C66, INDIRECT("'"&amp;F$4&amp;"'!Year.Vectors"), 0))</f>
        <v>2.9616599999983118E-3</v>
      </c>
      <c r="G66" s="1174"/>
      <c r="H66" s="1852">
        <f ca="1">INDEX(INDIRECT("'"&amp;H$4&amp;"'!Year.NetBalance"), MATCH('Intermediate output'!$C66, INDIRECT("'"&amp;H$4&amp;"'!Year.Vectors"), 0))</f>
        <v>0</v>
      </c>
      <c r="I66" s="1852">
        <f ca="1">INDEX(INDIRECT("'"&amp;I$4&amp;"'!Year.NetBalance"), MATCH('Intermediate output'!$C66, INDIRECT("'"&amp;I$4&amp;"'!Year.Vectors"), 0))</f>
        <v>0</v>
      </c>
      <c r="J66" s="1852">
        <f ca="1">INDEX(INDIRECT("'"&amp;J$4&amp;"'!Year.NetBalance"), MATCH('Intermediate output'!$C66, INDIRECT("'"&amp;J$4&amp;"'!Year.Vectors"), 0))</f>
        <v>0</v>
      </c>
      <c r="K66" s="1852">
        <f ca="1">INDEX(INDIRECT("'"&amp;K$4&amp;"'!Year.NetBalance"), MATCH('Intermediate output'!$C66, INDIRECT("'"&amp;K$4&amp;"'!Year.Vectors"), 0))</f>
        <v>0</v>
      </c>
      <c r="L66" s="1852">
        <f ca="1">INDEX(INDIRECT("'"&amp;L$4&amp;"'!Year.NetBalance"), MATCH('Intermediate output'!$C66, INDIRECT("'"&amp;L$4&amp;"'!Year.Vectors"), 0))</f>
        <v>0</v>
      </c>
      <c r="M66" s="1852">
        <f ca="1">INDEX(INDIRECT("'"&amp;M$4&amp;"'!Year.NetBalance"), MATCH('Intermediate output'!$C66, INDIRECT("'"&amp;M$4&amp;"'!Year.Vectors"), 0))</f>
        <v>0</v>
      </c>
      <c r="N66" s="1852">
        <f ca="1">INDEX(INDIRECT("'"&amp;N$4&amp;"'!Year.NetBalance"), MATCH('Intermediate output'!$C66, INDIRECT("'"&amp;N$4&amp;"'!Year.Vectors"), 0))</f>
        <v>0</v>
      </c>
      <c r="O66" s="1852">
        <f ca="1">INDEX(INDIRECT("'"&amp;O$4&amp;"'!Year.NetBalance"), MATCH('Intermediate output'!$C66, INDIRECT("'"&amp;O$4&amp;"'!Year.Vectors"), 0))</f>
        <v>0</v>
      </c>
      <c r="P66" s="1852">
        <f ca="1">INDEX(INDIRECT("'"&amp;P$4&amp;"'!Year.NetBalance"), MATCH('Intermediate output'!$C66, INDIRECT("'"&amp;P$4&amp;"'!Year.Vectors"), 0))</f>
        <v>-1.7763568394002505E-15</v>
      </c>
      <c r="Q66" s="1852">
        <f ca="1">INDEX(INDIRECT("'"&amp;Q$4&amp;"'!Year.NetBalance"), MATCH('Intermediate output'!$C66, INDIRECT("'"&amp;Q$4&amp;"'!Year.Vectors"), 0))</f>
        <v>1.7763568394002505E-15</v>
      </c>
      <c r="R66" s="1853"/>
      <c r="S66" s="27"/>
    </row>
    <row r="67" spans="1:19" hidden="1" outlineLevel="1">
      <c r="B67" s="1172"/>
      <c r="C67" s="1870" t="s">
        <v>755</v>
      </c>
      <c r="D67" s="1174" t="str">
        <f>INDEX(Vectors[Description], MATCH($C67, Vectors[Code], 0))</f>
        <v>Dry biomatter and waste</v>
      </c>
      <c r="E67" s="1174"/>
      <c r="F67" s="1850">
        <f ca="1">INDEX(INDIRECT("'"&amp;F$4&amp;"'!Year.NetBalance"), MATCH('Intermediate output'!$C67, INDIRECT("'"&amp;F$4&amp;"'!Year.Vectors"), 0))</f>
        <v>-0.34098803451720627</v>
      </c>
      <c r="G67" s="1174"/>
      <c r="H67" s="1852">
        <f ca="1">INDEX(INDIRECT("'"&amp;H$4&amp;"'!Year.NetBalance"), MATCH('Intermediate output'!$C67, INDIRECT("'"&amp;H$4&amp;"'!Year.Vectors"), 0))</f>
        <v>0</v>
      </c>
      <c r="I67" s="1852">
        <f ca="1">INDEX(INDIRECT("'"&amp;I$4&amp;"'!Year.NetBalance"), MATCH('Intermediate output'!$C67, INDIRECT("'"&amp;I$4&amp;"'!Year.Vectors"), 0))</f>
        <v>0</v>
      </c>
      <c r="J67" s="1852">
        <f ca="1">INDEX(INDIRECT("'"&amp;J$4&amp;"'!Year.NetBalance"), MATCH('Intermediate output'!$C67, INDIRECT("'"&amp;J$4&amp;"'!Year.Vectors"), 0))</f>
        <v>0</v>
      </c>
      <c r="K67" s="1852">
        <f ca="1">INDEX(INDIRECT("'"&amp;K$4&amp;"'!Year.NetBalance"), MATCH('Intermediate output'!$C67, INDIRECT("'"&amp;K$4&amp;"'!Year.Vectors"), 0))</f>
        <v>0</v>
      </c>
      <c r="L67" s="1852">
        <f ca="1">INDEX(INDIRECT("'"&amp;L$4&amp;"'!Year.NetBalance"), MATCH('Intermediate output'!$C67, INDIRECT("'"&amp;L$4&amp;"'!Year.Vectors"), 0))</f>
        <v>0</v>
      </c>
      <c r="M67" s="1852">
        <f ca="1">INDEX(INDIRECT("'"&amp;M$4&amp;"'!Year.NetBalance"), MATCH('Intermediate output'!$C67, INDIRECT("'"&amp;M$4&amp;"'!Year.Vectors"), 0))</f>
        <v>0</v>
      </c>
      <c r="N67" s="1852">
        <f ca="1">INDEX(INDIRECT("'"&amp;N$4&amp;"'!Year.NetBalance"), MATCH('Intermediate output'!$C67, INDIRECT("'"&amp;N$4&amp;"'!Year.Vectors"), 0))</f>
        <v>0</v>
      </c>
      <c r="O67" s="1852">
        <f ca="1">INDEX(INDIRECT("'"&amp;O$4&amp;"'!Year.NetBalance"), MATCH('Intermediate output'!$C67, INDIRECT("'"&amp;O$4&amp;"'!Year.Vectors"), 0))</f>
        <v>0</v>
      </c>
      <c r="P67" s="1852">
        <f ca="1">INDEX(INDIRECT("'"&amp;P$4&amp;"'!Year.NetBalance"), MATCH('Intermediate output'!$C67, INDIRECT("'"&amp;P$4&amp;"'!Year.Vectors"), 0))</f>
        <v>0</v>
      </c>
      <c r="Q67" s="1852">
        <f ca="1">INDEX(INDIRECT("'"&amp;Q$4&amp;"'!Year.NetBalance"), MATCH('Intermediate output'!$C67, INDIRECT("'"&amp;Q$4&amp;"'!Year.Vectors"), 0))</f>
        <v>0</v>
      </c>
      <c r="R67" s="1853"/>
      <c r="S67" s="27"/>
    </row>
    <row r="68" spans="1:19" hidden="1" outlineLevel="1">
      <c r="B68" s="1172"/>
      <c r="C68" s="1870" t="s">
        <v>929</v>
      </c>
      <c r="D68" s="1174" t="str">
        <f>INDEX(Vectors[Description], MATCH($C68, Vectors[Code], 0))</f>
        <v>Wet biomatter and waste</v>
      </c>
      <c r="E68" s="1174"/>
      <c r="F68" s="1850">
        <f ca="1">INDEX(INDIRECT("'"&amp;F$4&amp;"'!Year.NetBalance"), MATCH('Intermediate output'!$C68, INDIRECT("'"&amp;F$4&amp;"'!Year.Vectors"), 0))</f>
        <v>0</v>
      </c>
      <c r="G68" s="1174"/>
      <c r="H68" s="1852">
        <f ca="1">INDEX(INDIRECT("'"&amp;H$4&amp;"'!Year.NetBalance"), MATCH('Intermediate output'!$C68, INDIRECT("'"&amp;H$4&amp;"'!Year.Vectors"), 0))</f>
        <v>0</v>
      </c>
      <c r="I68" s="1852">
        <f ca="1">INDEX(INDIRECT("'"&amp;I$4&amp;"'!Year.NetBalance"), MATCH('Intermediate output'!$C68, INDIRECT("'"&amp;I$4&amp;"'!Year.Vectors"), 0))</f>
        <v>0</v>
      </c>
      <c r="J68" s="1852">
        <f ca="1">INDEX(INDIRECT("'"&amp;J$4&amp;"'!Year.NetBalance"), MATCH('Intermediate output'!$C68, INDIRECT("'"&amp;J$4&amp;"'!Year.Vectors"), 0))</f>
        <v>0</v>
      </c>
      <c r="K68" s="1852">
        <f ca="1">INDEX(INDIRECT("'"&amp;K$4&amp;"'!Year.NetBalance"), MATCH('Intermediate output'!$C68, INDIRECT("'"&amp;K$4&amp;"'!Year.Vectors"), 0))</f>
        <v>0</v>
      </c>
      <c r="L68" s="1852">
        <f ca="1">INDEX(INDIRECT("'"&amp;L$4&amp;"'!Year.NetBalance"), MATCH('Intermediate output'!$C68, INDIRECT("'"&amp;L$4&amp;"'!Year.Vectors"), 0))</f>
        <v>0</v>
      </c>
      <c r="M68" s="1852">
        <f ca="1">INDEX(INDIRECT("'"&amp;M$4&amp;"'!Year.NetBalance"), MATCH('Intermediate output'!$C68, INDIRECT("'"&amp;M$4&amp;"'!Year.Vectors"), 0))</f>
        <v>0</v>
      </c>
      <c r="N68" s="1852">
        <f ca="1">INDEX(INDIRECT("'"&amp;N$4&amp;"'!Year.NetBalance"), MATCH('Intermediate output'!$C68, INDIRECT("'"&amp;N$4&amp;"'!Year.Vectors"), 0))</f>
        <v>0</v>
      </c>
      <c r="O68" s="1852">
        <f ca="1">INDEX(INDIRECT("'"&amp;O$4&amp;"'!Year.NetBalance"), MATCH('Intermediate output'!$C68, INDIRECT("'"&amp;O$4&amp;"'!Year.Vectors"), 0))</f>
        <v>0</v>
      </c>
      <c r="P68" s="1852">
        <f ca="1">INDEX(INDIRECT("'"&amp;P$4&amp;"'!Year.NetBalance"), MATCH('Intermediate output'!$C68, INDIRECT("'"&amp;P$4&amp;"'!Year.Vectors"), 0))</f>
        <v>0</v>
      </c>
      <c r="Q68" s="1852">
        <f ca="1">INDEX(INDIRECT("'"&amp;Q$4&amp;"'!Year.NetBalance"), MATCH('Intermediate output'!$C68, INDIRECT("'"&amp;Q$4&amp;"'!Year.Vectors"), 0))</f>
        <v>0</v>
      </c>
      <c r="R68" s="1853"/>
      <c r="S68" s="27"/>
    </row>
    <row r="69" spans="1:19" s="121" customFormat="1" hidden="1" outlineLevel="1">
      <c r="B69" s="1172"/>
      <c r="C69" s="1870" t="s">
        <v>1331</v>
      </c>
      <c r="D69" s="1174" t="str">
        <f>INDEX(Vectors[Description], MATCH($C69, Vectors[Code], 0))</f>
        <v>Domestic solar thermal</v>
      </c>
      <c r="E69" s="1174"/>
      <c r="F69" s="1850">
        <f ca="1">INDEX(INDIRECT("'"&amp;F$4&amp;"'!Year.NetBalance"), MATCH('Intermediate output'!$C69, INDIRECT("'"&amp;F$4&amp;"'!Year.Vectors"), 0))</f>
        <v>0</v>
      </c>
      <c r="G69" s="1174"/>
      <c r="H69" s="1852">
        <f ca="1">INDEX(INDIRECT("'"&amp;H$4&amp;"'!Year.NetBalance"), MATCH('Intermediate output'!$C69, INDIRECT("'"&amp;H$4&amp;"'!Year.Vectors"), 0))</f>
        <v>0</v>
      </c>
      <c r="I69" s="1852">
        <f ca="1">INDEX(INDIRECT("'"&amp;I$4&amp;"'!Year.NetBalance"), MATCH('Intermediate output'!$C69, INDIRECT("'"&amp;I$4&amp;"'!Year.Vectors"), 0))</f>
        <v>0</v>
      </c>
      <c r="J69" s="1852">
        <f ca="1">INDEX(INDIRECT("'"&amp;J$4&amp;"'!Year.NetBalance"), MATCH('Intermediate output'!$C69, INDIRECT("'"&amp;J$4&amp;"'!Year.Vectors"), 0))</f>
        <v>0</v>
      </c>
      <c r="K69" s="1852">
        <f ca="1">INDEX(INDIRECT("'"&amp;K$4&amp;"'!Year.NetBalance"), MATCH('Intermediate output'!$C69, INDIRECT("'"&amp;K$4&amp;"'!Year.Vectors"), 0))</f>
        <v>0</v>
      </c>
      <c r="L69" s="1852">
        <f ca="1">INDEX(INDIRECT("'"&amp;L$4&amp;"'!Year.NetBalance"), MATCH('Intermediate output'!$C69, INDIRECT("'"&amp;L$4&amp;"'!Year.Vectors"), 0))</f>
        <v>0</v>
      </c>
      <c r="M69" s="1852">
        <f ca="1">INDEX(INDIRECT("'"&amp;M$4&amp;"'!Year.NetBalance"), MATCH('Intermediate output'!$C69, INDIRECT("'"&amp;M$4&amp;"'!Year.Vectors"), 0))</f>
        <v>0</v>
      </c>
      <c r="N69" s="1852">
        <f ca="1">INDEX(INDIRECT("'"&amp;N$4&amp;"'!Year.NetBalance"), MATCH('Intermediate output'!$C69, INDIRECT("'"&amp;N$4&amp;"'!Year.Vectors"), 0))</f>
        <v>0</v>
      </c>
      <c r="O69" s="1852">
        <f ca="1">INDEX(INDIRECT("'"&amp;O$4&amp;"'!Year.NetBalance"), MATCH('Intermediate output'!$C69, INDIRECT("'"&amp;O$4&amp;"'!Year.Vectors"), 0))</f>
        <v>0</v>
      </c>
      <c r="P69" s="1852">
        <f ca="1">INDEX(INDIRECT("'"&amp;P$4&amp;"'!Year.NetBalance"), MATCH('Intermediate output'!$C69, INDIRECT("'"&amp;P$4&amp;"'!Year.Vectors"), 0))</f>
        <v>0</v>
      </c>
      <c r="Q69" s="1852">
        <f ca="1">INDEX(INDIRECT("'"&amp;Q$4&amp;"'!Year.NetBalance"), MATCH('Intermediate output'!$C69, INDIRECT("'"&amp;Q$4&amp;"'!Year.Vectors"), 0))</f>
        <v>0</v>
      </c>
      <c r="R69" s="1853"/>
      <c r="S69" s="27"/>
    </row>
    <row r="70" spans="1:19" s="121" customFormat="1" hidden="1" outlineLevel="1">
      <c r="B70" s="1172"/>
      <c r="C70" s="1870" t="s">
        <v>1476</v>
      </c>
      <c r="D70" s="1174" t="str">
        <f>INDEX(Vectors[Description], MATCH($C70, Vectors[Code], 0))</f>
        <v>H2</v>
      </c>
      <c r="E70" s="1174"/>
      <c r="F70" s="1850">
        <f ca="1">INDEX(INDIRECT("'"&amp;F$4&amp;"'!Year.NetBalance"), MATCH('Intermediate output'!$C70, INDIRECT("'"&amp;F$4&amp;"'!Year.Vectors"), 0))</f>
        <v>0</v>
      </c>
      <c r="G70" s="1174"/>
      <c r="H70" s="1852">
        <f ca="1">INDEX(INDIRECT("'"&amp;H$4&amp;"'!Year.NetBalance"), MATCH('Intermediate output'!$C70, INDIRECT("'"&amp;H$4&amp;"'!Year.Vectors"), 0))</f>
        <v>0</v>
      </c>
      <c r="I70" s="1852">
        <f ca="1">INDEX(INDIRECT("'"&amp;I$4&amp;"'!Year.NetBalance"), MATCH('Intermediate output'!$C70, INDIRECT("'"&amp;I$4&amp;"'!Year.Vectors"), 0))</f>
        <v>0</v>
      </c>
      <c r="J70" s="1852">
        <f ca="1">INDEX(INDIRECT("'"&amp;J$4&amp;"'!Year.NetBalance"), MATCH('Intermediate output'!$C70, INDIRECT("'"&amp;J$4&amp;"'!Year.Vectors"), 0))</f>
        <v>0</v>
      </c>
      <c r="K70" s="1852">
        <f ca="1">INDEX(INDIRECT("'"&amp;K$4&amp;"'!Year.NetBalance"), MATCH('Intermediate output'!$C70, INDIRECT("'"&amp;K$4&amp;"'!Year.Vectors"), 0))</f>
        <v>0</v>
      </c>
      <c r="L70" s="1852">
        <f ca="1">INDEX(INDIRECT("'"&amp;L$4&amp;"'!Year.NetBalance"), MATCH('Intermediate output'!$C70, INDIRECT("'"&amp;L$4&amp;"'!Year.Vectors"), 0))</f>
        <v>0</v>
      </c>
      <c r="M70" s="1852">
        <f ca="1">INDEX(INDIRECT("'"&amp;M$4&amp;"'!Year.NetBalance"), MATCH('Intermediate output'!$C70, INDIRECT("'"&amp;M$4&amp;"'!Year.Vectors"), 0))</f>
        <v>0</v>
      </c>
      <c r="N70" s="1852">
        <f ca="1">INDEX(INDIRECT("'"&amp;N$4&amp;"'!Year.NetBalance"), MATCH('Intermediate output'!$C70, INDIRECT("'"&amp;N$4&amp;"'!Year.Vectors"), 0))</f>
        <v>0</v>
      </c>
      <c r="O70" s="1852">
        <f ca="1">INDEX(INDIRECT("'"&amp;O$4&amp;"'!Year.NetBalance"), MATCH('Intermediate output'!$C70, INDIRECT("'"&amp;O$4&amp;"'!Year.Vectors"), 0))</f>
        <v>0</v>
      </c>
      <c r="P70" s="1852">
        <f ca="1">INDEX(INDIRECT("'"&amp;P$4&amp;"'!Year.NetBalance"), MATCH('Intermediate output'!$C70, INDIRECT("'"&amp;P$4&amp;"'!Year.Vectors"), 0))</f>
        <v>0</v>
      </c>
      <c r="Q70" s="1852">
        <f ca="1">INDEX(INDIRECT("'"&amp;Q$4&amp;"'!Year.NetBalance"), MATCH('Intermediate output'!$C70, INDIRECT("'"&amp;Q$4&amp;"'!Year.Vectors"), 0))</f>
        <v>0</v>
      </c>
      <c r="R70" s="1853"/>
      <c r="S70" s="27"/>
    </row>
    <row r="71" spans="1:19" s="121" customFormat="1" hidden="1" outlineLevel="1">
      <c r="B71" s="1172"/>
      <c r="C71" s="1870" t="s">
        <v>1801</v>
      </c>
      <c r="D71" s="1174" t="str">
        <f>INDEX(Vectors[Description], MATCH($C71, Vectors[Code], 0))</f>
        <v>Energy crops (second generation)</v>
      </c>
      <c r="E71" s="1174"/>
      <c r="F71" s="1850">
        <f ca="1">INDEX(INDIRECT("'"&amp;F$4&amp;"'!Year.NetBalance"), MATCH('Intermediate output'!$C71, INDIRECT("'"&amp;F$4&amp;"'!Year.Vectors"), 0))</f>
        <v>0</v>
      </c>
      <c r="G71" s="1174"/>
      <c r="H71" s="1852">
        <f ca="1">INDEX(INDIRECT("'"&amp;H$4&amp;"'!Year.NetBalance"), MATCH('Intermediate output'!$C71, INDIRECT("'"&amp;H$4&amp;"'!Year.Vectors"), 0))</f>
        <v>0</v>
      </c>
      <c r="I71" s="1852">
        <f ca="1">INDEX(INDIRECT("'"&amp;I$4&amp;"'!Year.NetBalance"), MATCH('Intermediate output'!$C71, INDIRECT("'"&amp;I$4&amp;"'!Year.Vectors"), 0))</f>
        <v>0</v>
      </c>
      <c r="J71" s="1852">
        <f ca="1">INDEX(INDIRECT("'"&amp;J$4&amp;"'!Year.NetBalance"), MATCH('Intermediate output'!$C71, INDIRECT("'"&amp;J$4&amp;"'!Year.Vectors"), 0))</f>
        <v>0</v>
      </c>
      <c r="K71" s="1852">
        <f ca="1">INDEX(INDIRECT("'"&amp;K$4&amp;"'!Year.NetBalance"), MATCH('Intermediate output'!$C71, INDIRECT("'"&amp;K$4&amp;"'!Year.Vectors"), 0))</f>
        <v>0</v>
      </c>
      <c r="L71" s="1852">
        <f ca="1">INDEX(INDIRECT("'"&amp;L$4&amp;"'!Year.NetBalance"), MATCH('Intermediate output'!$C71, INDIRECT("'"&amp;L$4&amp;"'!Year.Vectors"), 0))</f>
        <v>0</v>
      </c>
      <c r="M71" s="1852">
        <f ca="1">INDEX(INDIRECT("'"&amp;M$4&amp;"'!Year.NetBalance"), MATCH('Intermediate output'!$C71, INDIRECT("'"&amp;M$4&amp;"'!Year.Vectors"), 0))</f>
        <v>0</v>
      </c>
      <c r="N71" s="1852">
        <f ca="1">INDEX(INDIRECT("'"&amp;N$4&amp;"'!Year.NetBalance"), MATCH('Intermediate output'!$C71, INDIRECT("'"&amp;N$4&amp;"'!Year.Vectors"), 0))</f>
        <v>0</v>
      </c>
      <c r="O71" s="1852">
        <f ca="1">INDEX(INDIRECT("'"&amp;O$4&amp;"'!Year.NetBalance"), MATCH('Intermediate output'!$C71, INDIRECT("'"&amp;O$4&amp;"'!Year.Vectors"), 0))</f>
        <v>0</v>
      </c>
      <c r="P71" s="1852">
        <f ca="1">INDEX(INDIRECT("'"&amp;P$4&amp;"'!Year.NetBalance"), MATCH('Intermediate output'!$C71, INDIRECT("'"&amp;P$4&amp;"'!Year.Vectors"), 0))</f>
        <v>0</v>
      </c>
      <c r="Q71" s="1852">
        <f ca="1">INDEX(INDIRECT("'"&amp;Q$4&amp;"'!Year.NetBalance"), MATCH('Intermediate output'!$C71, INDIRECT("'"&amp;Q$4&amp;"'!Year.Vectors"), 0))</f>
        <v>0</v>
      </c>
      <c r="R71" s="1853"/>
      <c r="S71" s="27"/>
    </row>
    <row r="72" spans="1:19" s="743" customFormat="1" ht="18" collapsed="1">
      <c r="B72" s="1863"/>
      <c r="C72" s="765"/>
      <c r="D72" s="1842" t="s">
        <v>1248</v>
      </c>
      <c r="E72" s="1174"/>
      <c r="F72" s="1843">
        <f ca="1">SUM(F58:F71)</f>
        <v>-0.15310354723947603</v>
      </c>
      <c r="G72" s="1174"/>
      <c r="H72" s="1843">
        <f t="shared" ref="H72:Q72" ca="1" si="11">SUM(H58:H71)</f>
        <v>0</v>
      </c>
      <c r="I72" s="1843">
        <f t="shared" ca="1" si="11"/>
        <v>0</v>
      </c>
      <c r="J72" s="1843">
        <f t="shared" ca="1" si="11"/>
        <v>0</v>
      </c>
      <c r="K72" s="1843">
        <f t="shared" ca="1" si="11"/>
        <v>0</v>
      </c>
      <c r="L72" s="1843">
        <f t="shared" ca="1" si="11"/>
        <v>0</v>
      </c>
      <c r="M72" s="1843">
        <f t="shared" ca="1" si="11"/>
        <v>0</v>
      </c>
      <c r="N72" s="1843">
        <f t="shared" ca="1" si="11"/>
        <v>0</v>
      </c>
      <c r="O72" s="1843">
        <f t="shared" ca="1" si="11"/>
        <v>0</v>
      </c>
      <c r="P72" s="1843">
        <f t="shared" ca="1" si="11"/>
        <v>-1.7763568394002505E-15</v>
      </c>
      <c r="Q72" s="1843">
        <f t="shared" ca="1" si="11"/>
        <v>1.7763568394002505E-15</v>
      </c>
      <c r="R72" s="1864"/>
      <c r="S72" s="840"/>
    </row>
    <row r="73" spans="1:19" s="121" customFormat="1">
      <c r="B73" s="1172"/>
      <c r="C73" s="1174"/>
      <c r="D73" s="1174"/>
      <c r="E73" s="1174"/>
      <c r="F73" s="1174"/>
      <c r="G73" s="1174"/>
      <c r="H73" s="1852"/>
      <c r="I73" s="1852"/>
      <c r="J73" s="1852"/>
      <c r="K73" s="1852"/>
      <c r="L73" s="1852"/>
      <c r="M73" s="1852"/>
      <c r="N73" s="1852"/>
      <c r="O73" s="1852"/>
      <c r="P73" s="1852"/>
      <c r="Q73" s="1852"/>
      <c r="R73" s="1853"/>
      <c r="S73" s="27"/>
    </row>
    <row r="74" spans="1:19" s="834" customFormat="1" ht="18">
      <c r="B74" s="1854"/>
      <c r="C74" s="1844"/>
      <c r="D74" s="1842" t="s">
        <v>1026</v>
      </c>
      <c r="E74" s="1174"/>
      <c r="F74" s="1843">
        <f ca="1">F18-F54+F72</f>
        <v>-2.6888746300838249</v>
      </c>
      <c r="G74" s="1174"/>
      <c r="H74" s="1843">
        <f t="shared" ref="H74:Q74" ca="1" si="12">H18-H54+H72</f>
        <v>-4.5474735088646412E-13</v>
      </c>
      <c r="I74" s="1843">
        <f t="shared" ca="1" si="12"/>
        <v>2.2737367544323206E-13</v>
      </c>
      <c r="J74" s="1843">
        <f t="shared" ca="1" si="12"/>
        <v>-2.2737367544323206E-13</v>
      </c>
      <c r="K74" s="1843">
        <f t="shared" ca="1" si="12"/>
        <v>0</v>
      </c>
      <c r="L74" s="1843">
        <f t="shared" ca="1" si="12"/>
        <v>-2.2737367544323206E-13</v>
      </c>
      <c r="M74" s="1843">
        <f t="shared" ca="1" si="12"/>
        <v>0</v>
      </c>
      <c r="N74" s="1843">
        <f t="shared" ca="1" si="12"/>
        <v>-2.2737367544323206E-13</v>
      </c>
      <c r="O74" s="1843">
        <f t="shared" ca="1" si="12"/>
        <v>0</v>
      </c>
      <c r="P74" s="1843">
        <f t="shared" ca="1" si="12"/>
        <v>-4.5652370772586437E-13</v>
      </c>
      <c r="Q74" s="1843">
        <f t="shared" ca="1" si="12"/>
        <v>1.7763568394002505E-15</v>
      </c>
      <c r="R74" s="1855"/>
      <c r="S74" s="839"/>
    </row>
    <row r="75" spans="1:19" s="834" customFormat="1" ht="18">
      <c r="B75" s="1854"/>
      <c r="C75" s="1844"/>
      <c r="D75" s="1844"/>
      <c r="E75" s="1174"/>
      <c r="F75" s="1845"/>
      <c r="G75" s="1174"/>
      <c r="H75" s="1845"/>
      <c r="I75" s="1845"/>
      <c r="J75" s="1845"/>
      <c r="K75" s="1845"/>
      <c r="L75" s="1845"/>
      <c r="M75" s="1845"/>
      <c r="N75" s="1845"/>
      <c r="O75" s="1845"/>
      <c r="P75" s="1845"/>
      <c r="Q75" s="1845"/>
      <c r="R75" s="1855"/>
      <c r="S75" s="839"/>
    </row>
    <row r="76" spans="1:19" s="834" customFormat="1" ht="18">
      <c r="B76" s="1865"/>
      <c r="C76" s="1866"/>
      <c r="D76" s="1866"/>
      <c r="E76" s="1180"/>
      <c r="F76" s="1867"/>
      <c r="G76" s="1180"/>
      <c r="H76" s="1867"/>
      <c r="I76" s="1867"/>
      <c r="J76" s="1867"/>
      <c r="K76" s="1867"/>
      <c r="L76" s="1867"/>
      <c r="M76" s="1867"/>
      <c r="N76" s="1867"/>
      <c r="O76" s="1867"/>
      <c r="P76" s="1867"/>
      <c r="Q76" s="1867"/>
      <c r="R76" s="1868"/>
      <c r="S76" s="839"/>
    </row>
    <row r="77" spans="1:19" s="834" customFormat="1" ht="18">
      <c r="B77" s="1495"/>
      <c r="D77" s="1838"/>
      <c r="E77" s="121"/>
      <c r="F77" s="685"/>
      <c r="G77" s="121"/>
      <c r="H77" s="685"/>
      <c r="I77" s="685"/>
      <c r="J77" s="685"/>
      <c r="K77" s="685"/>
      <c r="L77" s="685"/>
      <c r="M77" s="685"/>
      <c r="N77" s="685"/>
      <c r="O77" s="685"/>
      <c r="P77" s="685"/>
      <c r="Q77" s="685"/>
      <c r="R77" s="839"/>
      <c r="S77" s="839"/>
    </row>
    <row r="78" spans="1:19" s="121" customFormat="1" ht="21" customHeight="1">
      <c r="A78" s="1171"/>
      <c r="B78" s="1875" t="s">
        <v>1688</v>
      </c>
      <c r="C78" s="1876"/>
      <c r="D78" s="1876"/>
      <c r="E78" s="1876"/>
      <c r="F78" s="1876"/>
      <c r="G78" s="1876"/>
      <c r="H78" s="1877"/>
      <c r="I78" s="1877"/>
      <c r="J78" s="1877"/>
      <c r="K78" s="1877"/>
      <c r="L78" s="1877"/>
      <c r="M78" s="1877"/>
      <c r="N78" s="1877"/>
      <c r="O78" s="1877"/>
      <c r="P78" s="1877"/>
      <c r="Q78" s="1877"/>
      <c r="R78" s="1878"/>
      <c r="S78" s="27"/>
    </row>
    <row r="79" spans="1:19" s="121" customFormat="1" outlineLevel="1">
      <c r="B79" s="1879"/>
      <c r="C79" s="1880"/>
      <c r="D79" s="1880"/>
      <c r="E79" s="1880"/>
      <c r="F79" s="1880"/>
      <c r="G79" s="1880"/>
      <c r="H79" s="1881"/>
      <c r="I79" s="1881"/>
      <c r="J79" s="1881"/>
      <c r="K79" s="1881"/>
      <c r="L79" s="1881"/>
      <c r="M79" s="1881"/>
      <c r="N79" s="1881"/>
      <c r="O79" s="1881"/>
      <c r="P79" s="1881"/>
      <c r="Q79" s="1881"/>
      <c r="R79" s="1882"/>
      <c r="S79" s="27"/>
    </row>
    <row r="80" spans="1:19" outlineLevel="1">
      <c r="B80" s="1883"/>
      <c r="C80" s="1884" t="s">
        <v>45</v>
      </c>
      <c r="D80" s="1884" t="str">
        <f>INDEX(Vectors[Description], MATCH($C80, Vectors[Code], 0))</f>
        <v>Electricity (delivered to end user)</v>
      </c>
      <c r="E80" s="1884"/>
      <c r="F80" s="1885">
        <f ca="1">INDEX(INDIRECT("'"&amp;F$4&amp;"'!Year.NetBalance"), MATCH('Intermediate output'!$C80, INDIRECT("'"&amp;F$4&amp;"'!Year.Vectors"), 0))</f>
        <v>-352.03495223253594</v>
      </c>
      <c r="G80" s="1884"/>
      <c r="H80" s="1886">
        <f ca="1">INDEX(INDIRECT("'"&amp;H$4&amp;"'!Year.NetBalance"), MATCH('Intermediate output'!$C80, INDIRECT("'"&amp;H$4&amp;"'!Year.Vectors"), 0))</f>
        <v>-354.55512401053005</v>
      </c>
      <c r="I80" s="1886">
        <f ca="1">INDEX(INDIRECT("'"&amp;I$4&amp;"'!Year.NetBalance"), MATCH('Intermediate output'!$C80, INDIRECT("'"&amp;I$4&amp;"'!Year.Vectors"), 0))</f>
        <v>-361.16931700791082</v>
      </c>
      <c r="J80" s="1886">
        <f ca="1">INDEX(INDIRECT("'"&amp;J$4&amp;"'!Year.NetBalance"), MATCH('Intermediate output'!$C80, INDIRECT("'"&amp;J$4&amp;"'!Year.Vectors"), 0))</f>
        <v>-373.16495041083652</v>
      </c>
      <c r="K80" s="1886">
        <f ca="1">INDEX(INDIRECT("'"&amp;K$4&amp;"'!Year.NetBalance"), MATCH('Intermediate output'!$C80, INDIRECT("'"&amp;K$4&amp;"'!Year.Vectors"), 0))</f>
        <v>-382.28449716625596</v>
      </c>
      <c r="L80" s="1886">
        <f ca="1">INDEX(INDIRECT("'"&amp;L$4&amp;"'!Year.NetBalance"), MATCH('Intermediate output'!$C80, INDIRECT("'"&amp;L$4&amp;"'!Year.Vectors"), 0))</f>
        <v>-389.72589326068504</v>
      </c>
      <c r="M80" s="1886">
        <f ca="1">INDEX(INDIRECT("'"&amp;M$4&amp;"'!Year.NetBalance"), MATCH('Intermediate output'!$C80, INDIRECT("'"&amp;M$4&amp;"'!Year.Vectors"), 0))</f>
        <v>-398.92590619421691</v>
      </c>
      <c r="N80" s="1886">
        <f ca="1">INDEX(INDIRECT("'"&amp;N$4&amp;"'!Year.NetBalance"), MATCH('Intermediate output'!$C80, INDIRECT("'"&amp;N$4&amp;"'!Year.Vectors"), 0))</f>
        <v>-409.73117353201741</v>
      </c>
      <c r="O80" s="1886">
        <f ca="1">INDEX(INDIRECT("'"&amp;O$4&amp;"'!Year.NetBalance"), MATCH('Intermediate output'!$C80, INDIRECT("'"&amp;O$4&amp;"'!Year.Vectors"), 0))</f>
        <v>-422.11056999038811</v>
      </c>
      <c r="P80" s="1886">
        <f ca="1">INDEX(INDIRECT("'"&amp;P$4&amp;"'!Year.NetBalance"), MATCH('Intermediate output'!$C80, INDIRECT("'"&amp;P$4&amp;"'!Year.Vectors"), 0))</f>
        <v>-435.71486302109327</v>
      </c>
      <c r="Q80" s="1886">
        <f ca="1">INDEX(INDIRECT("'"&amp;Q$4&amp;"'!Year.NetBalance"), MATCH('Intermediate output'!$C80, INDIRECT("'"&amp;Q$4&amp;"'!Year.Vectors"), 0))</f>
        <v>-450.96633210645444</v>
      </c>
      <c r="R80" s="1887"/>
      <c r="S80" s="27"/>
    </row>
    <row r="81" spans="1:21" outlineLevel="1">
      <c r="B81" s="1883"/>
      <c r="C81" s="1884" t="s">
        <v>46</v>
      </c>
      <c r="D81" s="1884" t="str">
        <f>INDEX(Vectors[Description], MATCH($C81, Vectors[Code], 0))</f>
        <v>Electricity (supplied to grid)</v>
      </c>
      <c r="E81" s="1884"/>
      <c r="F81" s="1885">
        <f ca="1">INDEX(INDIRECT("'"&amp;F$4&amp;"'!Year.NetBalance"), MATCH('Intermediate output'!$C81, INDIRECT("'"&amp;F$4&amp;"'!Year.Vectors"), 0))</f>
        <v>354.72382686261983</v>
      </c>
      <c r="G81" s="1884"/>
      <c r="H81" s="1886">
        <f ca="1">INDEX(INDIRECT("'"&amp;H$4&amp;"'!Year.NetBalance"), MATCH('Intermediate output'!$C81, INDIRECT("'"&amp;H$4&amp;"'!Year.Vectors"), 0))</f>
        <v>354.55512401053005</v>
      </c>
      <c r="I81" s="1886">
        <f ca="1">INDEX(INDIRECT("'"&amp;I$4&amp;"'!Year.NetBalance"), MATCH('Intermediate output'!$C81, INDIRECT("'"&amp;I$4&amp;"'!Year.Vectors"), 0))</f>
        <v>361.16931700791082</v>
      </c>
      <c r="J81" s="1886">
        <f ca="1">INDEX(INDIRECT("'"&amp;J$4&amp;"'!Year.NetBalance"), MATCH('Intermediate output'!$C81, INDIRECT("'"&amp;J$4&amp;"'!Year.Vectors"), 0))</f>
        <v>373.16495041083652</v>
      </c>
      <c r="K81" s="1886">
        <f ca="1">INDEX(INDIRECT("'"&amp;K$4&amp;"'!Year.NetBalance"), MATCH('Intermediate output'!$C81, INDIRECT("'"&amp;K$4&amp;"'!Year.Vectors"), 0))</f>
        <v>382.28449716625596</v>
      </c>
      <c r="L81" s="1886">
        <f ca="1">INDEX(INDIRECT("'"&amp;L$4&amp;"'!Year.NetBalance"), MATCH('Intermediate output'!$C81, INDIRECT("'"&amp;L$4&amp;"'!Year.Vectors"), 0))</f>
        <v>389.72589326068504</v>
      </c>
      <c r="M81" s="1886">
        <f ca="1">INDEX(INDIRECT("'"&amp;M$4&amp;"'!Year.NetBalance"), MATCH('Intermediate output'!$C81, INDIRECT("'"&amp;M$4&amp;"'!Year.Vectors"), 0))</f>
        <v>398.92590619421691</v>
      </c>
      <c r="N81" s="1886">
        <f ca="1">INDEX(INDIRECT("'"&amp;N$4&amp;"'!Year.NetBalance"), MATCH('Intermediate output'!$C81, INDIRECT("'"&amp;N$4&amp;"'!Year.Vectors"), 0))</f>
        <v>409.73117353201741</v>
      </c>
      <c r="O81" s="1886">
        <f ca="1">INDEX(INDIRECT("'"&amp;O$4&amp;"'!Year.NetBalance"), MATCH('Intermediate output'!$C81, INDIRECT("'"&amp;O$4&amp;"'!Year.Vectors"), 0))</f>
        <v>422.11056999038811</v>
      </c>
      <c r="P81" s="1886">
        <f ca="1">INDEX(INDIRECT("'"&amp;P$4&amp;"'!Year.NetBalance"), MATCH('Intermediate output'!$C81, INDIRECT("'"&amp;P$4&amp;"'!Year.Vectors"), 0))</f>
        <v>435.71486302109327</v>
      </c>
      <c r="Q81" s="1886">
        <f ca="1">INDEX(INDIRECT("'"&amp;Q$4&amp;"'!Year.NetBalance"), MATCH('Intermediate output'!$C81, INDIRECT("'"&amp;Q$4&amp;"'!Year.Vectors"), 0))</f>
        <v>450.96633210645444</v>
      </c>
      <c r="R81" s="1887"/>
      <c r="S81" s="27"/>
    </row>
    <row r="82" spans="1:21" s="743" customFormat="1" ht="18">
      <c r="B82" s="1888"/>
      <c r="C82" s="1821"/>
      <c r="D82" s="1889" t="s">
        <v>1249</v>
      </c>
      <c r="E82" s="1884"/>
      <c r="F82" s="1890">
        <f ca="1">SUM(F80:F81)</f>
        <v>2.6888746300838875</v>
      </c>
      <c r="G82" s="1884"/>
      <c r="H82" s="1890">
        <f t="shared" ref="H82:Q82" ca="1" si="13">SUM(H80:H81)</f>
        <v>0</v>
      </c>
      <c r="I82" s="1890">
        <f t="shared" ca="1" si="13"/>
        <v>0</v>
      </c>
      <c r="J82" s="1890">
        <f t="shared" ca="1" si="13"/>
        <v>0</v>
      </c>
      <c r="K82" s="1890">
        <f t="shared" ca="1" si="13"/>
        <v>0</v>
      </c>
      <c r="L82" s="1890">
        <f t="shared" ca="1" si="13"/>
        <v>0</v>
      </c>
      <c r="M82" s="1890">
        <f t="shared" ca="1" si="13"/>
        <v>0</v>
      </c>
      <c r="N82" s="1890">
        <f t="shared" ca="1" si="13"/>
        <v>0</v>
      </c>
      <c r="O82" s="1890">
        <f t="shared" ca="1" si="13"/>
        <v>0</v>
      </c>
      <c r="P82" s="1890">
        <f t="shared" ca="1" si="13"/>
        <v>0</v>
      </c>
      <c r="Q82" s="1890">
        <f t="shared" ca="1" si="13"/>
        <v>0</v>
      </c>
      <c r="R82" s="1891"/>
      <c r="S82" s="840"/>
    </row>
    <row r="83" spans="1:21" s="121" customFormat="1" ht="4.5" customHeight="1">
      <c r="B83" s="1883"/>
      <c r="C83" s="1884"/>
      <c r="D83" s="1884"/>
      <c r="E83" s="1884"/>
      <c r="F83" s="1884"/>
      <c r="G83" s="1884"/>
      <c r="H83" s="1886"/>
      <c r="I83" s="1886"/>
      <c r="J83" s="1886"/>
      <c r="K83" s="1886"/>
      <c r="L83" s="1886"/>
      <c r="M83" s="1886"/>
      <c r="N83" s="1886"/>
      <c r="O83" s="1886"/>
      <c r="P83" s="1886"/>
      <c r="Q83" s="1886"/>
      <c r="R83" s="1887"/>
      <c r="S83" s="27"/>
    </row>
    <row r="84" spans="1:21" s="246" customFormat="1">
      <c r="B84" s="2041"/>
      <c r="C84" s="2022" t="s">
        <v>46</v>
      </c>
      <c r="D84" s="2022" t="s">
        <v>58</v>
      </c>
      <c r="E84" s="2022"/>
      <c r="F84" s="2022"/>
      <c r="G84" s="2022"/>
      <c r="H84" s="2042">
        <f ca="1">INDEX(INDIRECT("'"&amp;H$4&amp;"'!Year.Matrix"), MATCH("VII.b", INDIRECT("'"&amp;H$4&amp;"'!Year.Modules"), 0), MATCH('Intermediate output'!$C84, INDIRECT("'"&amp;H$4&amp;"'!Year.Vectors"), 0))</f>
        <v>-26.584481639635896</v>
      </c>
      <c r="I84" s="2042">
        <f ca="1">INDEX(INDIRECT("'"&amp;I$4&amp;"'!Year.Matrix"), MATCH("VII.b", INDIRECT("'"&amp;I$4&amp;"'!Year.Modules"), 0), MATCH('Intermediate output'!$C84, INDIRECT("'"&amp;I$4&amp;"'!Year.Vectors"), 0))</f>
        <v>-27.080412682208134</v>
      </c>
      <c r="J84" s="2042">
        <f ca="1">INDEX(INDIRECT("'"&amp;J$4&amp;"'!Year.Matrix"), MATCH("VII.b", INDIRECT("'"&amp;J$4&amp;"'!Year.Modules"), 0), MATCH('Intermediate output'!$C84, INDIRECT("'"&amp;J$4&amp;"'!Year.Vectors"), 0))</f>
        <v>-27.979843192050168</v>
      </c>
      <c r="K84" s="2042">
        <f ca="1">INDEX(INDIRECT("'"&amp;K$4&amp;"'!Year.Matrix"), MATCH("VII.b", INDIRECT("'"&amp;K$4&amp;"'!Year.Modules"), 0), MATCH('Intermediate output'!$C84, INDIRECT("'"&amp;K$4&amp;"'!Year.Vectors"), 0))</f>
        <v>-28.663625224414886</v>
      </c>
      <c r="L84" s="2042">
        <f ca="1">INDEX(INDIRECT("'"&amp;L$4&amp;"'!Year.Matrix"), MATCH("VII.b", INDIRECT("'"&amp;L$4&amp;"'!Year.Modules"), 0), MATCH('Intermediate output'!$C84, INDIRECT("'"&amp;L$4&amp;"'!Year.Vectors"), 0))</f>
        <v>-29.221579811582899</v>
      </c>
      <c r="M84" s="2042">
        <f ca="1">INDEX(INDIRECT("'"&amp;M$4&amp;"'!Year.Matrix"), MATCH("VII.b", INDIRECT("'"&amp;M$4&amp;"'!Year.Modules"), 0), MATCH('Intermediate output'!$C84, INDIRECT("'"&amp;M$4&amp;"'!Year.Vectors"), 0))</f>
        <v>-29.911395184011781</v>
      </c>
      <c r="N84" s="2042">
        <f ca="1">INDEX(INDIRECT("'"&amp;N$4&amp;"'!Year.Matrix"), MATCH("VII.b", INDIRECT("'"&amp;N$4&amp;"'!Year.Modules"), 0), MATCH('Intermediate output'!$C84, INDIRECT("'"&amp;N$4&amp;"'!Year.Vectors"), 0))</f>
        <v>-30.721572252964791</v>
      </c>
      <c r="O84" s="2042">
        <f ca="1">INDEX(INDIRECT("'"&amp;O$4&amp;"'!Year.Matrix"), MATCH("VII.b", INDIRECT("'"&amp;O$4&amp;"'!Year.Modules"), 0), MATCH('Intermediate output'!$C84, INDIRECT("'"&amp;O$4&amp;"'!Year.Vectors"), 0))</f>
        <v>-31.649777250074237</v>
      </c>
      <c r="P84" s="2042">
        <f ca="1">INDEX(INDIRECT("'"&amp;P$4&amp;"'!Year.Matrix"), MATCH("VII.b", INDIRECT("'"&amp;P$4&amp;"'!Year.Modules"), 0), MATCH('Intermediate output'!$C84, INDIRECT("'"&amp;P$4&amp;"'!Year.Vectors"), 0))</f>
        <v>-32.669824779507962</v>
      </c>
      <c r="Q84" s="2042">
        <f ca="1">INDEX(INDIRECT("'"&amp;Q$4&amp;"'!Year.Matrix"), MATCH("VII.b", INDIRECT("'"&amp;Q$4&amp;"'!Year.Modules"), 0), MATCH('Intermediate output'!$C84, INDIRECT("'"&amp;Q$4&amp;"'!Year.Vectors"), 0))</f>
        <v>-33.813377283533271</v>
      </c>
      <c r="R84" s="2043"/>
      <c r="S84" s="1108"/>
    </row>
    <row r="85" spans="1:21" s="903" customFormat="1">
      <c r="B85" s="2032"/>
      <c r="C85" s="2021"/>
      <c r="D85" s="2021" t="s">
        <v>1790</v>
      </c>
      <c r="E85" s="2022"/>
      <c r="F85" s="2023"/>
      <c r="G85" s="2022"/>
      <c r="H85" s="2023">
        <f ca="1">-H80-H84</f>
        <v>381.13960565016595</v>
      </c>
      <c r="I85" s="2023">
        <f t="shared" ref="I85:Q85" ca="1" si="14">-I80-I84</f>
        <v>388.24972969011895</v>
      </c>
      <c r="J85" s="2023">
        <f t="shared" ca="1" si="14"/>
        <v>401.14479360288669</v>
      </c>
      <c r="K85" s="2023">
        <f t="shared" ca="1" si="14"/>
        <v>410.94812239067085</v>
      </c>
      <c r="L85" s="2023">
        <f t="shared" ca="1" si="14"/>
        <v>418.94747307226794</v>
      </c>
      <c r="M85" s="2023">
        <f t="shared" ca="1" si="14"/>
        <v>428.83730137822869</v>
      </c>
      <c r="N85" s="2023">
        <f t="shared" ca="1" si="14"/>
        <v>440.4527457849822</v>
      </c>
      <c r="O85" s="2023">
        <f t="shared" ca="1" si="14"/>
        <v>453.76034724046235</v>
      </c>
      <c r="P85" s="2023">
        <f t="shared" ca="1" si="14"/>
        <v>468.38468780060123</v>
      </c>
      <c r="Q85" s="2023">
        <f t="shared" ca="1" si="14"/>
        <v>484.77970938998772</v>
      </c>
      <c r="R85" s="2024"/>
    </row>
    <row r="86" spans="1:21" s="903" customFormat="1">
      <c r="B86" s="2032"/>
      <c r="C86" s="2021"/>
      <c r="D86" s="2021" t="s">
        <v>1791</v>
      </c>
      <c r="E86" s="2022"/>
      <c r="F86" s="2023"/>
      <c r="G86" s="2022"/>
      <c r="H86" s="2023">
        <f ca="1">H111</f>
        <v>383.62413324110747</v>
      </c>
      <c r="I86" s="2023">
        <f t="shared" ref="I86:Q86" ca="1" si="15">I111</f>
        <v>389.5096896904555</v>
      </c>
      <c r="J86" s="2023">
        <f t="shared" ca="1" si="15"/>
        <v>402.4123573470701</v>
      </c>
      <c r="K86" s="2023">
        <f t="shared" ca="1" si="15"/>
        <v>412.22530923676311</v>
      </c>
      <c r="L86" s="2023">
        <f t="shared" ca="1" si="15"/>
        <v>420.23681562125176</v>
      </c>
      <c r="M86" s="2023">
        <f t="shared" ca="1" si="15"/>
        <v>430.14113214973548</v>
      </c>
      <c r="N86" s="2023">
        <f t="shared" ca="1" si="15"/>
        <v>441.77324325383677</v>
      </c>
      <c r="O86" s="2023">
        <f t="shared" ca="1" si="15"/>
        <v>455.09957293888567</v>
      </c>
      <c r="P86" s="2023">
        <f t="shared" ca="1" si="15"/>
        <v>469.74461632527988</v>
      </c>
      <c r="Q86" s="2023">
        <f t="shared" ca="1" si="15"/>
        <v>486.16225277598943</v>
      </c>
      <c r="R86" s="2024"/>
    </row>
    <row r="87" spans="1:21">
      <c r="B87" s="2033"/>
      <c r="C87" s="1884"/>
      <c r="D87" s="1884"/>
      <c r="E87" s="1884"/>
      <c r="F87" s="1884"/>
      <c r="G87" s="1884"/>
      <c r="H87" s="1884"/>
      <c r="I87" s="1884"/>
      <c r="J87" s="1884"/>
      <c r="K87" s="1884"/>
      <c r="L87" s="1884"/>
      <c r="M87" s="1884"/>
      <c r="N87" s="1884"/>
      <c r="O87" s="1884"/>
      <c r="P87" s="1884"/>
      <c r="Q87" s="1884"/>
      <c r="R87" s="1892"/>
    </row>
    <row r="88" spans="1:21" s="121" customFormat="1">
      <c r="B88" s="1901"/>
      <c r="C88" s="41"/>
      <c r="D88" s="41"/>
      <c r="E88" s="41"/>
      <c r="F88" s="41"/>
      <c r="G88" s="41"/>
      <c r="H88" s="41"/>
      <c r="I88" s="41"/>
      <c r="J88" s="41"/>
      <c r="K88" s="41"/>
      <c r="L88" s="41"/>
      <c r="M88" s="41"/>
      <c r="N88" s="41"/>
      <c r="O88" s="41"/>
      <c r="P88" s="41"/>
      <c r="Q88" s="41"/>
      <c r="R88" s="1902"/>
    </row>
    <row r="89" spans="1:21">
      <c r="B89" s="1901"/>
      <c r="C89" s="41" t="s">
        <v>61</v>
      </c>
      <c r="D89" s="41" t="str">
        <f>INDEX(Vectors[Description], MATCH($C89, Vectors[Code], 0))</f>
        <v>Unallocated</v>
      </c>
      <c r="E89" s="41"/>
      <c r="F89" s="2025">
        <f ca="1">INDEX(INDIRECT("'"&amp;F$4&amp;"'!Year.NetBalance"), MATCH('Intermediate output'!$C89, INDIRECT("'"&amp;F$4&amp;"'!Year.Vectors"), 0))</f>
        <v>0</v>
      </c>
      <c r="G89" s="41"/>
      <c r="H89" s="2025">
        <f ca="1">INDEX(INDIRECT("'"&amp;H$4&amp;"'!Year.NetBalance"), MATCH('Intermediate output'!$C89, INDIRECT("'"&amp;H$4&amp;"'!Year.Vectors"), 0))</f>
        <v>0</v>
      </c>
      <c r="I89" s="2025">
        <f ca="1">INDEX(INDIRECT("'"&amp;I$4&amp;"'!Year.NetBalance"), MATCH('Intermediate output'!$C89, INDIRECT("'"&amp;I$4&amp;"'!Year.Vectors"), 0))</f>
        <v>0</v>
      </c>
      <c r="J89" s="2025">
        <f ca="1">INDEX(INDIRECT("'"&amp;J$4&amp;"'!Year.NetBalance"), MATCH('Intermediate output'!$C89, INDIRECT("'"&amp;J$4&amp;"'!Year.Vectors"), 0))</f>
        <v>0</v>
      </c>
      <c r="K89" s="2025">
        <f ca="1">INDEX(INDIRECT("'"&amp;K$4&amp;"'!Year.NetBalance"), MATCH('Intermediate output'!$C89, INDIRECT("'"&amp;K$4&amp;"'!Year.Vectors"), 0))</f>
        <v>0</v>
      </c>
      <c r="L89" s="2025">
        <f ca="1">INDEX(INDIRECT("'"&amp;L$4&amp;"'!Year.NetBalance"), MATCH('Intermediate output'!$C89, INDIRECT("'"&amp;L$4&amp;"'!Year.Vectors"), 0))</f>
        <v>0</v>
      </c>
      <c r="M89" s="2025">
        <f ca="1">INDEX(INDIRECT("'"&amp;M$4&amp;"'!Year.NetBalance"), MATCH('Intermediate output'!$C89, INDIRECT("'"&amp;M$4&amp;"'!Year.Vectors"), 0))</f>
        <v>0</v>
      </c>
      <c r="N89" s="2025">
        <f ca="1">INDEX(INDIRECT("'"&amp;N$4&amp;"'!Year.NetBalance"), MATCH('Intermediate output'!$C89, INDIRECT("'"&amp;N$4&amp;"'!Year.Vectors"), 0))</f>
        <v>0</v>
      </c>
      <c r="O89" s="2025">
        <f ca="1">INDEX(INDIRECT("'"&amp;O$4&amp;"'!Year.NetBalance"), MATCH('Intermediate output'!$C89, INDIRECT("'"&amp;O$4&amp;"'!Year.Vectors"), 0))</f>
        <v>1.0231815394945443E-12</v>
      </c>
      <c r="P89" s="2025">
        <f ca="1">INDEX(INDIRECT("'"&amp;P$4&amp;"'!Year.NetBalance"), MATCH('Intermediate output'!$C89, INDIRECT("'"&amp;P$4&amp;"'!Year.Vectors"), 0))</f>
        <v>0</v>
      </c>
      <c r="Q89" s="2025">
        <f ca="1">INDEX(INDIRECT("'"&amp;Q$4&amp;"'!Year.NetBalance"), MATCH('Intermediate output'!$C89, INDIRECT("'"&amp;Q$4&amp;"'!Year.Vectors"), 0))</f>
        <v>0</v>
      </c>
      <c r="R89" s="2026"/>
      <c r="S89" s="27"/>
    </row>
    <row r="90" spans="1:21" ht="4.5" customHeight="1">
      <c r="B90" s="1901"/>
      <c r="C90" s="41"/>
      <c r="D90" s="41"/>
      <c r="E90" s="41"/>
      <c r="F90" s="2027"/>
      <c r="G90" s="41"/>
      <c r="H90" s="2025"/>
      <c r="I90" s="2025"/>
      <c r="J90" s="2025"/>
      <c r="K90" s="2025"/>
      <c r="L90" s="2025"/>
      <c r="M90" s="2025"/>
      <c r="N90" s="2025"/>
      <c r="O90" s="2025"/>
      <c r="P90" s="2025"/>
      <c r="Q90" s="2025"/>
      <c r="R90" s="1902"/>
    </row>
    <row r="91" spans="1:21" s="743" customFormat="1" ht="18">
      <c r="B91" s="2028"/>
      <c r="C91" s="38"/>
      <c r="D91" s="2029" t="s">
        <v>1030</v>
      </c>
      <c r="E91" s="41"/>
      <c r="F91" s="2030">
        <f ca="1">F74+F82+F89</f>
        <v>6.2616578588858829E-14</v>
      </c>
      <c r="G91" s="41"/>
      <c r="H91" s="2030">
        <f t="shared" ref="H91:Q91" ca="1" si="16">H74+H82+H89</f>
        <v>-4.5474735088646412E-13</v>
      </c>
      <c r="I91" s="2030">
        <f t="shared" ca="1" si="16"/>
        <v>2.2737367544323206E-13</v>
      </c>
      <c r="J91" s="2030">
        <f t="shared" ca="1" si="16"/>
        <v>-2.2737367544323206E-13</v>
      </c>
      <c r="K91" s="2030">
        <f t="shared" ca="1" si="16"/>
        <v>0</v>
      </c>
      <c r="L91" s="2030">
        <f t="shared" ca="1" si="16"/>
        <v>-2.2737367544323206E-13</v>
      </c>
      <c r="M91" s="2030">
        <f t="shared" ca="1" si="16"/>
        <v>0</v>
      </c>
      <c r="N91" s="2030">
        <f t="shared" ca="1" si="16"/>
        <v>-2.2737367544323206E-13</v>
      </c>
      <c r="O91" s="2030">
        <f t="shared" ca="1" si="16"/>
        <v>1.0231815394945443E-12</v>
      </c>
      <c r="P91" s="2030">
        <f t="shared" ca="1" si="16"/>
        <v>-4.5652370772586437E-13</v>
      </c>
      <c r="Q91" s="2030">
        <f t="shared" ca="1" si="16"/>
        <v>1.7763568394002505E-15</v>
      </c>
      <c r="R91" s="2031"/>
    </row>
    <row r="92" spans="1:21" s="1586" customFormat="1">
      <c r="B92" s="1901"/>
      <c r="C92" s="41"/>
      <c r="D92" s="41"/>
      <c r="E92" s="41"/>
      <c r="F92" s="41"/>
      <c r="G92" s="41"/>
      <c r="H92" s="41"/>
      <c r="I92" s="41"/>
      <c r="J92" s="41"/>
      <c r="K92" s="41"/>
      <c r="L92" s="41"/>
      <c r="M92" s="41"/>
      <c r="N92" s="41"/>
      <c r="O92" s="41"/>
      <c r="P92" s="41"/>
      <c r="Q92" s="41"/>
      <c r="R92" s="1902"/>
    </row>
    <row r="93" spans="1:21" ht="22.5">
      <c r="A93" s="1171"/>
      <c r="B93" s="1875" t="s">
        <v>1250</v>
      </c>
      <c r="C93" s="1876"/>
      <c r="D93" s="1876"/>
      <c r="E93" s="1876"/>
      <c r="F93" s="1876"/>
      <c r="G93" s="1876"/>
      <c r="H93" s="1877"/>
      <c r="I93" s="1877"/>
      <c r="J93" s="1877"/>
      <c r="K93" s="1877"/>
      <c r="L93" s="1877"/>
      <c r="M93" s="1877"/>
      <c r="N93" s="1877"/>
      <c r="O93" s="1877"/>
      <c r="P93" s="1877"/>
      <c r="Q93" s="1877"/>
      <c r="R93" s="1878"/>
    </row>
    <row r="94" spans="1:21" s="1586" customFormat="1" ht="15.75">
      <c r="A94" s="1904"/>
      <c r="B94" s="1903"/>
      <c r="C94" s="1884"/>
      <c r="D94" s="1880"/>
      <c r="E94" s="1880"/>
      <c r="F94" s="1880"/>
      <c r="G94" s="1880"/>
      <c r="H94" s="1881"/>
      <c r="I94" s="1886"/>
      <c r="J94" s="1886"/>
      <c r="K94" s="1886"/>
      <c r="L94" s="1886"/>
      <c r="M94" s="1886"/>
      <c r="N94" s="1886"/>
      <c r="O94" s="1886"/>
      <c r="P94" s="1886"/>
      <c r="Q94" s="1886"/>
      <c r="R94" s="1887"/>
    </row>
    <row r="95" spans="1:21">
      <c r="B95" s="1883"/>
      <c r="C95" s="1884" t="s">
        <v>46</v>
      </c>
      <c r="D95" s="2011"/>
      <c r="E95" s="1884"/>
      <c r="F95" s="2011"/>
      <c r="G95" s="1884"/>
      <c r="H95" s="2012">
        <v>2007</v>
      </c>
      <c r="I95" s="2012">
        <v>2010</v>
      </c>
      <c r="J95" s="2012">
        <v>2015</v>
      </c>
      <c r="K95" s="2012">
        <v>2020</v>
      </c>
      <c r="L95" s="2012">
        <v>2025</v>
      </c>
      <c r="M95" s="2012">
        <v>2030</v>
      </c>
      <c r="N95" s="2012">
        <v>2035</v>
      </c>
      <c r="O95" s="2012">
        <v>2040</v>
      </c>
      <c r="P95" s="2012">
        <v>2045</v>
      </c>
      <c r="Q95" s="2012">
        <v>2050</v>
      </c>
      <c r="R95" s="1892"/>
    </row>
    <row r="96" spans="1:21" hidden="1" outlineLevel="1">
      <c r="B96" s="1883"/>
      <c r="C96" s="1884" t="s">
        <v>742</v>
      </c>
      <c r="D96" s="1884" t="str">
        <f>INDEX(Modules[Module], MATCH($C96, Modules[Code], 0))</f>
        <v>Conventional thermal plant</v>
      </c>
      <c r="E96" s="1884"/>
      <c r="F96" s="1886">
        <f t="shared" ref="F96:F110" ca="1" si="17">INDEX(INDIRECT("'"&amp;F$4&amp;"'!Year.Matrix"), MATCH($C96, INDIRECT("'"&amp;F$4&amp;"'!Year.Modules"), 0), MATCH($C$95, INDIRECT("'"&amp;F$4&amp;"'!Year.Vectors"), 0))</f>
        <v>276.53401618322465</v>
      </c>
      <c r="G96" s="1884"/>
      <c r="H96" s="1886">
        <f t="shared" ref="H96:Q110" ca="1" si="18">INDEX(INDIRECT("'"&amp;H$4&amp;"'!Year.Matrix"), MATCH($C96, INDIRECT("'"&amp;H$4&amp;"'!Year.Modules"), 0), MATCH($C$95, INDIRECT("'"&amp;H$4&amp;"'!Year.Vectors"), 0))</f>
        <v>310.84555353950748</v>
      </c>
      <c r="I96" s="1886">
        <f t="shared" ca="1" si="18"/>
        <v>317.11022819979797</v>
      </c>
      <c r="J96" s="1886">
        <f t="shared" ca="1" si="18"/>
        <v>321.84468626164545</v>
      </c>
      <c r="K96" s="1886">
        <f t="shared" ca="1" si="18"/>
        <v>327.88120350936583</v>
      </c>
      <c r="L96" s="1886">
        <f t="shared" ca="1" si="18"/>
        <v>342.46656545275857</v>
      </c>
      <c r="M96" s="1886">
        <f t="shared" ca="1" si="18"/>
        <v>362.93040558124227</v>
      </c>
      <c r="N96" s="1886">
        <f t="shared" ca="1" si="18"/>
        <v>398.31448335383675</v>
      </c>
      <c r="O96" s="1886">
        <f t="shared" ca="1" si="18"/>
        <v>426.45622963888565</v>
      </c>
      <c r="P96" s="1886">
        <f t="shared" ca="1" si="18"/>
        <v>454.38263962527992</v>
      </c>
      <c r="Q96" s="1886">
        <f t="shared" ca="1" si="18"/>
        <v>470.71349267598947</v>
      </c>
      <c r="R96" s="1892"/>
      <c r="T96" s="19"/>
      <c r="U96" s="121"/>
    </row>
    <row r="97" spans="2:21" s="715" customFormat="1" hidden="1" outlineLevel="1">
      <c r="B97" s="1893"/>
      <c r="C97" s="1894" t="s">
        <v>829</v>
      </c>
      <c r="D97" s="1894" t="str">
        <f>INDEX(Modules[Module], MATCH($C97, Modules[Code], 0))</f>
        <v>Domestic space heating and hot water</v>
      </c>
      <c r="E97" s="1884"/>
      <c r="F97" s="1885">
        <f ca="1">INDEX(INDIRECT("'"&amp;F$4&amp;"'!Year.Matrix"), MATCH($C97, INDIRECT("'"&amp;F$4&amp;"'!Year.Modules"), 0), MATCH($C$95, INDIRECT("'"&amp;F$4&amp;"'!Year.Vectors"), 0))</f>
        <v>0</v>
      </c>
      <c r="G97" s="1884"/>
      <c r="H97" s="1885">
        <f t="shared" ref="H97:Q98" ca="1" si="19">INDEX(INDIRECT("'"&amp;H$4&amp;"'!Year.Matrix"), MATCH($C97, INDIRECT("'"&amp;H$4&amp;"'!Year.Modules"), 0), MATCH($C$95, INDIRECT("'"&amp;H$4&amp;"'!Year.Vectors"), 0))</f>
        <v>0</v>
      </c>
      <c r="I97" s="1885">
        <f t="shared" ca="1" si="19"/>
        <v>0</v>
      </c>
      <c r="J97" s="1885">
        <f t="shared" ca="1" si="19"/>
        <v>0</v>
      </c>
      <c r="K97" s="1885">
        <f t="shared" ca="1" si="19"/>
        <v>0</v>
      </c>
      <c r="L97" s="1885">
        <f t="shared" ca="1" si="19"/>
        <v>0</v>
      </c>
      <c r="M97" s="1885">
        <f t="shared" ca="1" si="19"/>
        <v>0</v>
      </c>
      <c r="N97" s="1885">
        <f t="shared" ca="1" si="19"/>
        <v>0</v>
      </c>
      <c r="O97" s="1885">
        <f t="shared" ca="1" si="19"/>
        <v>0</v>
      </c>
      <c r="P97" s="1885">
        <f t="shared" ca="1" si="19"/>
        <v>0</v>
      </c>
      <c r="Q97" s="1885">
        <f t="shared" ca="1" si="19"/>
        <v>0</v>
      </c>
      <c r="R97" s="1895"/>
      <c r="T97" s="2472"/>
    </row>
    <row r="98" spans="2:21" s="715" customFormat="1" hidden="1" outlineLevel="1">
      <c r="B98" s="1893"/>
      <c r="C98" s="1894" t="s">
        <v>945</v>
      </c>
      <c r="D98" s="1894" t="str">
        <f>INDEX(Modules[Module], MATCH($C98, Modules[Code], 0))</f>
        <v>Commercial heating and cooling</v>
      </c>
      <c r="E98" s="1884"/>
      <c r="F98" s="1885">
        <f ca="1">INDEX(INDIRECT("'"&amp;F$4&amp;"'!Year.Matrix"), MATCH($C98, INDIRECT("'"&amp;F$4&amp;"'!Year.Modules"), 0), MATCH($C$95, INDIRECT("'"&amp;F$4&amp;"'!Year.Vectors"), 0))</f>
        <v>0</v>
      </c>
      <c r="G98" s="1884"/>
      <c r="H98" s="1885">
        <f t="shared" ca="1" si="19"/>
        <v>0</v>
      </c>
      <c r="I98" s="1885">
        <f t="shared" ca="1" si="19"/>
        <v>0</v>
      </c>
      <c r="J98" s="1885">
        <f t="shared" ca="1" si="19"/>
        <v>0</v>
      </c>
      <c r="K98" s="1885">
        <f t="shared" ca="1" si="19"/>
        <v>0</v>
      </c>
      <c r="L98" s="1885">
        <f t="shared" ca="1" si="19"/>
        <v>0</v>
      </c>
      <c r="M98" s="1885">
        <f t="shared" ca="1" si="19"/>
        <v>0</v>
      </c>
      <c r="N98" s="1885">
        <f t="shared" ca="1" si="19"/>
        <v>0</v>
      </c>
      <c r="O98" s="1885">
        <f t="shared" ca="1" si="19"/>
        <v>0</v>
      </c>
      <c r="P98" s="1885">
        <f t="shared" ca="1" si="19"/>
        <v>0</v>
      </c>
      <c r="Q98" s="1885">
        <f t="shared" ca="1" si="19"/>
        <v>0</v>
      </c>
      <c r="R98" s="1895"/>
      <c r="T98" s="2472"/>
    </row>
    <row r="99" spans="2:21" s="715" customFormat="1" collapsed="1">
      <c r="B99" s="1893"/>
      <c r="C99" s="1894"/>
      <c r="D99" s="1894" t="s">
        <v>2405</v>
      </c>
      <c r="E99" s="1884"/>
      <c r="F99" s="1885">
        <f ca="1">F96+F97+F98</f>
        <v>276.53401618322465</v>
      </c>
      <c r="G99" s="1885">
        <f t="shared" ref="G99:Q99" si="20">G96+G97+G98</f>
        <v>0</v>
      </c>
      <c r="H99" s="1885">
        <f t="shared" ca="1" si="20"/>
        <v>310.84555353950748</v>
      </c>
      <c r="I99" s="1885">
        <f t="shared" ca="1" si="20"/>
        <v>317.11022819979797</v>
      </c>
      <c r="J99" s="1885">
        <f t="shared" ca="1" si="20"/>
        <v>321.84468626164545</v>
      </c>
      <c r="K99" s="1885">
        <f t="shared" ca="1" si="20"/>
        <v>327.88120350936583</v>
      </c>
      <c r="L99" s="1885">
        <f t="shared" ca="1" si="20"/>
        <v>342.46656545275857</v>
      </c>
      <c r="M99" s="1885">
        <f t="shared" ca="1" si="20"/>
        <v>362.93040558124227</v>
      </c>
      <c r="N99" s="1885">
        <f t="shared" ca="1" si="20"/>
        <v>398.31448335383675</v>
      </c>
      <c r="O99" s="1885">
        <f t="shared" ca="1" si="20"/>
        <v>426.45622963888565</v>
      </c>
      <c r="P99" s="1885">
        <f t="shared" ca="1" si="20"/>
        <v>454.38263962527992</v>
      </c>
      <c r="Q99" s="1885">
        <f t="shared" ca="1" si="20"/>
        <v>470.71349267598947</v>
      </c>
      <c r="R99" s="1895"/>
      <c r="T99" s="2472"/>
    </row>
    <row r="100" spans="2:21">
      <c r="B100" s="1883"/>
      <c r="C100" s="1884" t="s">
        <v>878</v>
      </c>
      <c r="D100" s="1884" t="str">
        <f>INDEX(Modules[Module], MATCH($C100, Modules[Code], 0))</f>
        <v>Combustion + CCS</v>
      </c>
      <c r="E100" s="1884"/>
      <c r="F100" s="1886">
        <f t="shared" ca="1" si="17"/>
        <v>0</v>
      </c>
      <c r="G100" s="1884"/>
      <c r="H100" s="1886">
        <f t="shared" ca="1" si="18"/>
        <v>0</v>
      </c>
      <c r="I100" s="1886">
        <f t="shared" ca="1" si="18"/>
        <v>0</v>
      </c>
      <c r="J100" s="1886">
        <f t="shared" ca="1" si="18"/>
        <v>1.6778124000000003</v>
      </c>
      <c r="K100" s="1886">
        <f t="shared" ca="1" si="18"/>
        <v>9.3147516000000028</v>
      </c>
      <c r="L100" s="1886">
        <f t="shared" ca="1" si="18"/>
        <v>9.4015350000000026</v>
      </c>
      <c r="M100" s="1886">
        <f t="shared" ca="1" si="18"/>
        <v>9.4883184000000043</v>
      </c>
      <c r="N100" s="1886">
        <f t="shared" ca="1" si="18"/>
        <v>9.5751018000000041</v>
      </c>
      <c r="O100" s="1886">
        <f t="shared" ca="1" si="18"/>
        <v>9.6618852000000039</v>
      </c>
      <c r="P100" s="1886">
        <f t="shared" ca="1" si="18"/>
        <v>9.748668600000002</v>
      </c>
      <c r="Q100" s="1886">
        <f t="shared" ca="1" si="18"/>
        <v>9.8354520000000019</v>
      </c>
      <c r="R100" s="1892"/>
      <c r="T100" s="19"/>
      <c r="U100" s="121"/>
    </row>
    <row r="101" spans="2:21">
      <c r="B101" s="1883"/>
      <c r="C101" s="1884" t="s">
        <v>756</v>
      </c>
      <c r="D101" s="1884" t="str">
        <f>INDEX(Modules[Module], MATCH($C101, Modules[Code], 0))</f>
        <v>Nuclear power</v>
      </c>
      <c r="E101" s="1884"/>
      <c r="F101" s="1886">
        <f t="shared" ca="1" si="17"/>
        <v>57.248895000000005</v>
      </c>
      <c r="G101" s="1884"/>
      <c r="H101" s="1886">
        <f t="shared" ca="1" si="18"/>
        <v>57.469895999999999</v>
      </c>
      <c r="I101" s="1886">
        <f t="shared" ca="1" si="18"/>
        <v>52.595999999999997</v>
      </c>
      <c r="J101" s="1886">
        <f t="shared" ca="1" si="18"/>
        <v>44.180639999999997</v>
      </c>
      <c r="K101" s="1886">
        <f t="shared" ca="1" si="18"/>
        <v>25.246080000000006</v>
      </c>
      <c r="L101" s="1886">
        <f t="shared" ca="1" si="18"/>
        <v>8.4153600000000051</v>
      </c>
      <c r="M101" s="1886">
        <f t="shared" ca="1" si="18"/>
        <v>8.4153600000000051</v>
      </c>
      <c r="N101" s="1886">
        <f t="shared" ca="1" si="18"/>
        <v>0</v>
      </c>
      <c r="O101" s="1886">
        <f t="shared" ca="1" si="18"/>
        <v>0</v>
      </c>
      <c r="P101" s="1886">
        <f t="shared" ca="1" si="18"/>
        <v>0</v>
      </c>
      <c r="Q101" s="1886">
        <f t="shared" ca="1" si="18"/>
        <v>0</v>
      </c>
      <c r="R101" s="1892"/>
      <c r="T101" s="19"/>
      <c r="U101" s="121"/>
    </row>
    <row r="102" spans="2:21" s="715" customFormat="1" hidden="1" outlineLevel="1">
      <c r="B102" s="1893"/>
      <c r="C102" s="1894" t="s">
        <v>1730</v>
      </c>
      <c r="D102" s="1894" t="str">
        <f>INDEX(Modules[Module], MATCH($C102, Modules[Code], 0))</f>
        <v>Onshore wind</v>
      </c>
      <c r="E102" s="1884"/>
      <c r="F102" s="1885">
        <f t="shared" ca="1" si="17"/>
        <v>4.4912822999999999</v>
      </c>
      <c r="G102" s="1884"/>
      <c r="H102" s="1885">
        <f t="shared" ca="1" si="18"/>
        <v>4.9858220412000005</v>
      </c>
      <c r="I102" s="1885">
        <f t="shared" ca="1" si="18"/>
        <v>10.317757319999997</v>
      </c>
      <c r="J102" s="1885">
        <f t="shared" ca="1" si="18"/>
        <v>17.549707319999996</v>
      </c>
      <c r="K102" s="1885">
        <f t="shared" ca="1" si="18"/>
        <v>24.781657320000001</v>
      </c>
      <c r="L102" s="1885">
        <f t="shared" ca="1" si="18"/>
        <v>28.963039319999996</v>
      </c>
      <c r="M102" s="1885">
        <f t="shared" ca="1" si="18"/>
        <v>21.783685319999993</v>
      </c>
      <c r="N102" s="1885">
        <f t="shared" ca="1" si="18"/>
        <v>14.551735319999997</v>
      </c>
      <c r="O102" s="1885">
        <f t="shared" ca="1" si="18"/>
        <v>7.3197853199999958</v>
      </c>
      <c r="P102" s="1885">
        <f t="shared" ca="1" si="18"/>
        <v>8.7835319999996164E-2</v>
      </c>
      <c r="Q102" s="1885">
        <f t="shared" ca="1" si="18"/>
        <v>8.7835319999996164E-2</v>
      </c>
      <c r="R102" s="1895"/>
      <c r="T102" s="2472"/>
    </row>
    <row r="103" spans="2:21" s="715" customFormat="1" hidden="1" outlineLevel="1">
      <c r="B103" s="1893"/>
      <c r="C103" s="1894" t="s">
        <v>1731</v>
      </c>
      <c r="D103" s="1894" t="str">
        <f>INDEX(Modules[Module], MATCH($C103, Modules[Code], 0))</f>
        <v>Offshore wind</v>
      </c>
      <c r="E103" s="1884"/>
      <c r="F103" s="1885">
        <f t="shared" ca="1" si="17"/>
        <v>0.78255239999999993</v>
      </c>
      <c r="G103" s="1884"/>
      <c r="H103" s="1885">
        <f t="shared" ca="1" si="18"/>
        <v>0.97693037639999991</v>
      </c>
      <c r="I103" s="1885">
        <f t="shared" ca="1" si="18"/>
        <v>4.1229127800000027</v>
      </c>
      <c r="J103" s="1885">
        <f t="shared" ca="1" si="18"/>
        <v>11.793162780000001</v>
      </c>
      <c r="K103" s="1885">
        <f t="shared" ca="1" si="18"/>
        <v>19.463412780000002</v>
      </c>
      <c r="L103" s="1885">
        <f t="shared" ca="1" si="18"/>
        <v>25.139397779999999</v>
      </c>
      <c r="M103" s="1885">
        <f t="shared" ca="1" si="18"/>
        <v>21.672444780000003</v>
      </c>
      <c r="N103" s="1885">
        <f t="shared" ca="1" si="18"/>
        <v>14.002194780000004</v>
      </c>
      <c r="O103" s="1885">
        <f t="shared" ca="1" si="18"/>
        <v>6.3319447800000042</v>
      </c>
      <c r="P103" s="1885">
        <f t="shared" ca="1" si="18"/>
        <v>0.19574478000000431</v>
      </c>
      <c r="Q103" s="1885">
        <f t="shared" ca="1" si="18"/>
        <v>0.19574478000000431</v>
      </c>
      <c r="R103" s="1895"/>
      <c r="T103" s="2472"/>
    </row>
    <row r="104" spans="2:21" s="715" customFormat="1" hidden="1" outlineLevel="1">
      <c r="B104" s="1893"/>
      <c r="C104" s="1894" t="s">
        <v>803</v>
      </c>
      <c r="D104" s="1894" t="str">
        <f>INDEX(Modules[Module], MATCH($C104, Modules[Code], 0))</f>
        <v>Hydroelectric</v>
      </c>
      <c r="E104" s="1884"/>
      <c r="F104" s="1885">
        <f t="shared" ca="1" si="17"/>
        <v>4.1137551000000006</v>
      </c>
      <c r="G104" s="1884"/>
      <c r="H104" s="1885">
        <f t="shared" ca="1" si="18"/>
        <v>4.1144009940000004</v>
      </c>
      <c r="I104" s="1885">
        <f t="shared" ca="1" si="18"/>
        <v>5.3297280000000011</v>
      </c>
      <c r="J104" s="1885">
        <f t="shared" ca="1" si="18"/>
        <v>5.3297280000000011</v>
      </c>
      <c r="K104" s="1885">
        <f t="shared" ca="1" si="18"/>
        <v>5.3297280000000011</v>
      </c>
      <c r="L104" s="1885">
        <f t="shared" ca="1" si="18"/>
        <v>5.3297280000000011</v>
      </c>
      <c r="M104" s="1885">
        <f t="shared" ca="1" si="18"/>
        <v>5.3297280000000011</v>
      </c>
      <c r="N104" s="1885">
        <f t="shared" ca="1" si="18"/>
        <v>5.3297280000000011</v>
      </c>
      <c r="O104" s="1885">
        <f t="shared" ca="1" si="18"/>
        <v>5.3297280000000011</v>
      </c>
      <c r="P104" s="1885">
        <f t="shared" ca="1" si="18"/>
        <v>5.3297280000000011</v>
      </c>
      <c r="Q104" s="1885">
        <f t="shared" ca="1" si="18"/>
        <v>5.3297280000000011</v>
      </c>
      <c r="R104" s="1895"/>
      <c r="T104" s="2472"/>
    </row>
    <row r="105" spans="2:21" s="715" customFormat="1" hidden="1" outlineLevel="1">
      <c r="B105" s="1893"/>
      <c r="C105" s="1894" t="s">
        <v>808</v>
      </c>
      <c r="D105" s="1894" t="str">
        <f>INDEX(Modules[Module], MATCH($C105, Modules[Code], 0))</f>
        <v>Wave and Tidal</v>
      </c>
      <c r="E105" s="1884"/>
      <c r="F105" s="1885">
        <f t="shared" ca="1" si="17"/>
        <v>0</v>
      </c>
      <c r="G105" s="1884"/>
      <c r="H105" s="1885">
        <f t="shared" ca="1" si="18"/>
        <v>0</v>
      </c>
      <c r="I105" s="1885">
        <f t="shared" ca="1" si="18"/>
        <v>5.0034246575342495E-3</v>
      </c>
      <c r="J105" s="1885">
        <f t="shared" ca="1" si="18"/>
        <v>2.3015753424657545E-2</v>
      </c>
      <c r="K105" s="1885">
        <f t="shared" ca="1" si="18"/>
        <v>0.20847602739726018</v>
      </c>
      <c r="L105" s="1885">
        <f t="shared" ca="1" si="18"/>
        <v>0.52119006849314986</v>
      </c>
      <c r="M105" s="1885">
        <f t="shared" ca="1" si="18"/>
        <v>0.52119006849314986</v>
      </c>
      <c r="N105" s="1885">
        <f t="shared" ca="1" si="18"/>
        <v>0</v>
      </c>
      <c r="O105" s="1885">
        <f t="shared" ca="1" si="18"/>
        <v>0</v>
      </c>
      <c r="P105" s="1885">
        <f t="shared" ca="1" si="18"/>
        <v>0</v>
      </c>
      <c r="Q105" s="1885">
        <f t="shared" ca="1" si="18"/>
        <v>0</v>
      </c>
      <c r="R105" s="1895"/>
      <c r="T105" s="2472"/>
    </row>
    <row r="106" spans="2:21" s="715" customFormat="1" hidden="1" outlineLevel="1">
      <c r="B106" s="1893"/>
      <c r="C106" s="1894" t="s">
        <v>809</v>
      </c>
      <c r="D106" s="1894" t="str">
        <f>INDEX(Modules[Module], MATCH($C106, Modules[Code], 0))</f>
        <v>Geothermal</v>
      </c>
      <c r="E106" s="1884"/>
      <c r="F106" s="1885">
        <f t="shared" ca="1" si="17"/>
        <v>0</v>
      </c>
      <c r="G106" s="1884"/>
      <c r="H106" s="1885">
        <f t="shared" ca="1" si="18"/>
        <v>0</v>
      </c>
      <c r="I106" s="1885">
        <f t="shared" ca="1" si="18"/>
        <v>0</v>
      </c>
      <c r="J106" s="1885">
        <f t="shared" ca="1" si="18"/>
        <v>0</v>
      </c>
      <c r="K106" s="1885">
        <f t="shared" ca="1" si="18"/>
        <v>0</v>
      </c>
      <c r="L106" s="1885">
        <f t="shared" ca="1" si="18"/>
        <v>0</v>
      </c>
      <c r="M106" s="1885">
        <f t="shared" ca="1" si="18"/>
        <v>0</v>
      </c>
      <c r="N106" s="1885">
        <f t="shared" ca="1" si="18"/>
        <v>0</v>
      </c>
      <c r="O106" s="1885">
        <f t="shared" ca="1" si="18"/>
        <v>0</v>
      </c>
      <c r="P106" s="1885">
        <f t="shared" ca="1" si="18"/>
        <v>0</v>
      </c>
      <c r="Q106" s="1885">
        <f t="shared" ca="1" si="18"/>
        <v>0</v>
      </c>
      <c r="R106" s="1895"/>
      <c r="T106" s="2472"/>
    </row>
    <row r="107" spans="2:21" s="715" customFormat="1" hidden="1" outlineLevel="1">
      <c r="B107" s="1893"/>
      <c r="C107" s="1894" t="s">
        <v>810</v>
      </c>
      <c r="D107" s="1894" t="str">
        <f>INDEX(Modules[Module], MATCH($C107, Modules[Code], 0))</f>
        <v>Tidal [UNUSED - See III.c]</v>
      </c>
      <c r="E107" s="1884"/>
      <c r="F107" s="1885">
        <f t="shared" ca="1" si="17"/>
        <v>0</v>
      </c>
      <c r="G107" s="1884"/>
      <c r="H107" s="1885">
        <f t="shared" ca="1" si="18"/>
        <v>0</v>
      </c>
      <c r="I107" s="1885">
        <f t="shared" ca="1" si="18"/>
        <v>0</v>
      </c>
      <c r="J107" s="1885">
        <f t="shared" ca="1" si="18"/>
        <v>0</v>
      </c>
      <c r="K107" s="1885">
        <f t="shared" ca="1" si="18"/>
        <v>0</v>
      </c>
      <c r="L107" s="1885">
        <f t="shared" ca="1" si="18"/>
        <v>0</v>
      </c>
      <c r="M107" s="1885">
        <f t="shared" ca="1" si="18"/>
        <v>0</v>
      </c>
      <c r="N107" s="1885">
        <f t="shared" ca="1" si="18"/>
        <v>0</v>
      </c>
      <c r="O107" s="1885">
        <f t="shared" ca="1" si="18"/>
        <v>0</v>
      </c>
      <c r="P107" s="1885">
        <f t="shared" ca="1" si="18"/>
        <v>0</v>
      </c>
      <c r="Q107" s="1885">
        <f t="shared" ca="1" si="18"/>
        <v>0</v>
      </c>
      <c r="R107" s="1895"/>
      <c r="T107" s="2472"/>
    </row>
    <row r="108" spans="2:21" s="715" customFormat="1" hidden="1" outlineLevel="1">
      <c r="B108" s="1893"/>
      <c r="C108" s="1894" t="s">
        <v>976</v>
      </c>
      <c r="D108" s="1894" t="str">
        <f>INDEX(Modules[Module], MATCH($C108, Modules[Code], 0))</f>
        <v>Distributed solar PV</v>
      </c>
      <c r="E108" s="1884"/>
      <c r="F108" s="1885">
        <f t="shared" ca="1" si="17"/>
        <v>0</v>
      </c>
      <c r="G108" s="1884"/>
      <c r="H108" s="1885">
        <f t="shared" ca="1" si="18"/>
        <v>1.700604E-2</v>
      </c>
      <c r="I108" s="1885">
        <f t="shared" ca="1" si="18"/>
        <v>2.8059966000000006E-2</v>
      </c>
      <c r="J108" s="1885">
        <f t="shared" ca="1" si="18"/>
        <v>1.3604831999999999E-2</v>
      </c>
      <c r="K108" s="1885">
        <f t="shared" ca="1" si="18"/>
        <v>0</v>
      </c>
      <c r="L108" s="1885">
        <f t="shared" ca="1" si="18"/>
        <v>0</v>
      </c>
      <c r="M108" s="1885">
        <f t="shared" ca="1" si="18"/>
        <v>0</v>
      </c>
      <c r="N108" s="1885">
        <f t="shared" ca="1" si="18"/>
        <v>0</v>
      </c>
      <c r="O108" s="1885">
        <f t="shared" ca="1" si="18"/>
        <v>0</v>
      </c>
      <c r="P108" s="1885">
        <f t="shared" ca="1" si="18"/>
        <v>0</v>
      </c>
      <c r="Q108" s="1885">
        <f t="shared" ca="1" si="18"/>
        <v>0</v>
      </c>
      <c r="R108" s="1895"/>
      <c r="T108" s="2472"/>
    </row>
    <row r="109" spans="2:21" s="121" customFormat="1" collapsed="1">
      <c r="B109" s="1883"/>
      <c r="C109" s="1884"/>
      <c r="D109" s="1884" t="s">
        <v>1666</v>
      </c>
      <c r="E109" s="1884"/>
      <c r="F109" s="1886">
        <f ca="1">SUM(F102:F108)</f>
        <v>9.3875898000000007</v>
      </c>
      <c r="G109" s="1884"/>
      <c r="H109" s="1886">
        <f t="shared" ref="H109:Q109" ca="1" si="21">SUM(H102:H108)</f>
        <v>10.094159451600001</v>
      </c>
      <c r="I109" s="1886">
        <f t="shared" ca="1" si="21"/>
        <v>19.803461490657536</v>
      </c>
      <c r="J109" s="1886">
        <f t="shared" ca="1" si="21"/>
        <v>34.709218685424659</v>
      </c>
      <c r="K109" s="1886">
        <f t="shared" ca="1" si="21"/>
        <v>49.78327412739727</v>
      </c>
      <c r="L109" s="1886">
        <f t="shared" ca="1" si="21"/>
        <v>59.953355168493147</v>
      </c>
      <c r="M109" s="1886">
        <f t="shared" ca="1" si="21"/>
        <v>49.307048168493147</v>
      </c>
      <c r="N109" s="1886">
        <f t="shared" ca="1" si="21"/>
        <v>33.883658100000005</v>
      </c>
      <c r="O109" s="1886">
        <f t="shared" ca="1" si="21"/>
        <v>18.981458100000001</v>
      </c>
      <c r="P109" s="1886">
        <f t="shared" ca="1" si="21"/>
        <v>5.6133081000000011</v>
      </c>
      <c r="Q109" s="1886">
        <f t="shared" ca="1" si="21"/>
        <v>5.6133081000000011</v>
      </c>
      <c r="R109" s="1892"/>
      <c r="T109" s="19"/>
    </row>
    <row r="110" spans="2:21" s="121" customFormat="1">
      <c r="B110" s="1883"/>
      <c r="C110" s="1884" t="s">
        <v>774</v>
      </c>
      <c r="D110" s="1884" t="str">
        <f>INDEX(Modules[Module], MATCH($C110, Modules[Code], 0))</f>
        <v>Electricity imports / exports</v>
      </c>
      <c r="E110" s="1884"/>
      <c r="F110" s="1886">
        <f t="shared" ca="1" si="17"/>
        <v>5.2145242500000002</v>
      </c>
      <c r="G110" s="1884"/>
      <c r="H110" s="1886">
        <f t="shared" ca="1" si="18"/>
        <v>5.2145242500000002</v>
      </c>
      <c r="I110" s="1886">
        <f t="shared" ca="1" si="18"/>
        <v>0</v>
      </c>
      <c r="J110" s="1886">
        <f t="shared" ca="1" si="18"/>
        <v>0</v>
      </c>
      <c r="K110" s="1886">
        <f t="shared" ca="1" si="18"/>
        <v>0</v>
      </c>
      <c r="L110" s="1886">
        <f t="shared" ca="1" si="18"/>
        <v>0</v>
      </c>
      <c r="M110" s="1886">
        <f t="shared" ca="1" si="18"/>
        <v>0</v>
      </c>
      <c r="N110" s="1886">
        <f t="shared" ca="1" si="18"/>
        <v>0</v>
      </c>
      <c r="O110" s="1886">
        <f t="shared" ca="1" si="18"/>
        <v>0</v>
      </c>
      <c r="P110" s="1886">
        <f t="shared" ca="1" si="18"/>
        <v>0</v>
      </c>
      <c r="Q110" s="1886">
        <f t="shared" ca="1" si="18"/>
        <v>0</v>
      </c>
      <c r="R110" s="1892"/>
      <c r="T110" s="19"/>
    </row>
    <row r="111" spans="2:21">
      <c r="B111" s="1883"/>
      <c r="C111" s="1884"/>
      <c r="D111" s="1896" t="s">
        <v>897</v>
      </c>
      <c r="E111" s="1884"/>
      <c r="F111" s="1897">
        <f ca="1">F99+F100+F101+F109+F110</f>
        <v>348.38502523322467</v>
      </c>
      <c r="G111" s="1884"/>
      <c r="H111" s="1897">
        <f t="shared" ref="H111:Q111" ca="1" si="22">H99+H100+H101+H109+H110</f>
        <v>383.62413324110747</v>
      </c>
      <c r="I111" s="1897">
        <f t="shared" ca="1" si="22"/>
        <v>389.5096896904555</v>
      </c>
      <c r="J111" s="1897">
        <f t="shared" ca="1" si="22"/>
        <v>402.4123573470701</v>
      </c>
      <c r="K111" s="1897">
        <f t="shared" ca="1" si="22"/>
        <v>412.22530923676311</v>
      </c>
      <c r="L111" s="1897">
        <f t="shared" ca="1" si="22"/>
        <v>420.23681562125176</v>
      </c>
      <c r="M111" s="1897">
        <f t="shared" ca="1" si="22"/>
        <v>430.14113214973548</v>
      </c>
      <c r="N111" s="1897">
        <f t="shared" ca="1" si="22"/>
        <v>441.77324325383677</v>
      </c>
      <c r="O111" s="1897">
        <f t="shared" ca="1" si="22"/>
        <v>455.09957293888567</v>
      </c>
      <c r="P111" s="1897">
        <f t="shared" ca="1" si="22"/>
        <v>469.74461632527988</v>
      </c>
      <c r="Q111" s="1897">
        <f t="shared" ca="1" si="22"/>
        <v>486.16225277598943</v>
      </c>
      <c r="R111" s="1892"/>
    </row>
    <row r="112" spans="2:21">
      <c r="B112" s="1898"/>
      <c r="C112" s="1899"/>
      <c r="D112" s="1899"/>
      <c r="E112" s="1899"/>
      <c r="F112" s="1899"/>
      <c r="G112" s="1899"/>
      <c r="H112" s="1899"/>
      <c r="I112" s="1899"/>
      <c r="J112" s="1899"/>
      <c r="K112" s="1899"/>
      <c r="L112" s="1899"/>
      <c r="M112" s="1899"/>
      <c r="N112" s="1899"/>
      <c r="O112" s="1899"/>
      <c r="P112" s="1899"/>
      <c r="Q112" s="1899"/>
      <c r="R112" s="1900"/>
    </row>
    <row r="114" spans="1:18" s="121" customFormat="1"/>
    <row r="115" spans="1:18" ht="22.5">
      <c r="A115" s="1171"/>
      <c r="B115" s="1905" t="s">
        <v>902</v>
      </c>
      <c r="C115" s="1931"/>
      <c r="D115" s="1931"/>
      <c r="E115" s="1931"/>
      <c r="F115" s="1931"/>
      <c r="G115" s="1931"/>
      <c r="H115" s="1931"/>
      <c r="I115" s="1931"/>
      <c r="J115" s="1931"/>
      <c r="K115" s="1931"/>
      <c r="L115" s="1931"/>
      <c r="M115" s="1931"/>
      <c r="N115" s="1931"/>
      <c r="O115" s="1931"/>
      <c r="P115" s="1931"/>
      <c r="Q115" s="1932"/>
      <c r="R115" s="1933"/>
    </row>
    <row r="116" spans="1:18" s="121" customFormat="1" ht="15.75">
      <c r="B116" s="1906"/>
      <c r="C116" s="1907"/>
      <c r="D116" s="1907"/>
      <c r="E116" s="1907"/>
      <c r="F116" s="1907"/>
      <c r="G116" s="1907"/>
      <c r="H116" s="1907"/>
      <c r="I116" s="1907"/>
      <c r="J116" s="1907"/>
      <c r="K116" s="1907"/>
      <c r="L116" s="1907"/>
      <c r="M116" s="1907"/>
      <c r="N116" s="1907"/>
      <c r="O116" s="1907"/>
      <c r="P116" s="1907"/>
      <c r="Q116" s="1908"/>
      <c r="R116" s="1909"/>
    </row>
    <row r="117" spans="1:18" s="121" customFormat="1" ht="15.75">
      <c r="B117" s="1906"/>
      <c r="C117" s="1935" t="s">
        <v>1713</v>
      </c>
      <c r="D117" s="1907"/>
      <c r="E117" s="1907"/>
      <c r="F117" s="1907"/>
      <c r="G117" s="1907"/>
      <c r="H117" s="1907"/>
      <c r="I117" s="1907"/>
      <c r="J117" s="1907"/>
      <c r="K117" s="1907"/>
      <c r="L117" s="1907"/>
      <c r="M117" s="1907"/>
      <c r="N117" s="1907"/>
      <c r="O117" s="1907"/>
      <c r="P117" s="1907"/>
      <c r="Q117" s="1908"/>
      <c r="R117" s="1909"/>
    </row>
    <row r="118" spans="1:18">
      <c r="B118" s="1910"/>
      <c r="C118" s="1907"/>
      <c r="D118" s="1911" t="s">
        <v>1042</v>
      </c>
      <c r="E118" s="1907"/>
      <c r="F118" s="1907" t="s">
        <v>1716</v>
      </c>
      <c r="G118" s="1907"/>
      <c r="H118" s="1907">
        <v>2007</v>
      </c>
      <c r="I118" s="1907">
        <v>2010</v>
      </c>
      <c r="J118" s="1907">
        <v>2015</v>
      </c>
      <c r="K118" s="1907">
        <v>2020</v>
      </c>
      <c r="L118" s="1907">
        <v>2025</v>
      </c>
      <c r="M118" s="1907">
        <v>2030</v>
      </c>
      <c r="N118" s="1907">
        <v>2035</v>
      </c>
      <c r="O118" s="1907">
        <v>2040</v>
      </c>
      <c r="P118" s="1907">
        <v>2045</v>
      </c>
      <c r="Q118" s="1908">
        <v>2050</v>
      </c>
      <c r="R118" s="1909"/>
    </row>
    <row r="119" spans="1:18" s="715" customFormat="1">
      <c r="B119" s="1912"/>
      <c r="C119" s="1913" t="s">
        <v>1065</v>
      </c>
      <c r="D119" s="1914" t="str">
        <f>INDEX(IPCC[Sector_description], MATCH($C119, IPCC[Sector_code], 0))</f>
        <v>Fuel Combustion</v>
      </c>
      <c r="E119" s="1907"/>
      <c r="F119" s="1915"/>
      <c r="G119" s="1916"/>
      <c r="H119" s="1915"/>
      <c r="I119" s="1915"/>
      <c r="J119" s="1915"/>
      <c r="K119" s="1915"/>
      <c r="L119" s="1915"/>
      <c r="M119" s="1915"/>
      <c r="N119" s="1915"/>
      <c r="O119" s="1915"/>
      <c r="P119" s="1915"/>
      <c r="Q119" s="1915"/>
      <c r="R119" s="1917"/>
    </row>
    <row r="120" spans="1:18" s="715" customFormat="1">
      <c r="B120" s="1912"/>
      <c r="C120" s="1913" t="s">
        <v>1064</v>
      </c>
      <c r="D120" s="1914" t="str">
        <f>INDEX(IPCC[Sector_description], MATCH($C120, IPCC[Sector_code], 0))</f>
        <v>Fugitive Emissions from Fuels</v>
      </c>
      <c r="E120" s="1907"/>
      <c r="F120" s="1915"/>
      <c r="G120" s="1916"/>
      <c r="H120" s="1915"/>
      <c r="I120" s="1915"/>
      <c r="J120" s="1915"/>
      <c r="K120" s="1915"/>
      <c r="L120" s="1915"/>
      <c r="M120" s="1915"/>
      <c r="N120" s="1915"/>
      <c r="O120" s="1915"/>
      <c r="P120" s="1915"/>
      <c r="Q120" s="1915"/>
      <c r="R120" s="1917"/>
    </row>
    <row r="121" spans="1:18" s="121" customFormat="1">
      <c r="B121" s="1910"/>
      <c r="C121" s="1908">
        <v>1</v>
      </c>
      <c r="D121" s="1907" t="s">
        <v>1043</v>
      </c>
      <c r="E121" s="1907"/>
      <c r="F121" s="1950">
        <f t="shared" ref="F121:F128" si="23">F142/$F$161</f>
        <v>0.6828579138027161</v>
      </c>
      <c r="G121" s="1951"/>
      <c r="H121" s="1950">
        <f t="shared" ref="H121:Q121" ca="1" si="24">H142*$H$135/$F$161</f>
        <v>0.68095665749683898</v>
      </c>
      <c r="I121" s="1950">
        <f t="shared" ca="1" si="24"/>
        <v>0.679133280136061</v>
      </c>
      <c r="J121" s="1950">
        <f t="shared" ca="1" si="24"/>
        <v>0.64762358672047671</v>
      </c>
      <c r="K121" s="1950">
        <f t="shared" ca="1" si="24"/>
        <v>0.62840214706771647</v>
      </c>
      <c r="L121" s="1950">
        <f t="shared" ca="1" si="24"/>
        <v>0.60112637164252403</v>
      </c>
      <c r="M121" s="1950">
        <f t="shared" ca="1" si="24"/>
        <v>0.60443854037198019</v>
      </c>
      <c r="N121" s="1950">
        <f t="shared" ca="1" si="24"/>
        <v>0.6240922937544009</v>
      </c>
      <c r="O121" s="1950">
        <f t="shared" ca="1" si="24"/>
        <v>0.64057281767975538</v>
      </c>
      <c r="P121" s="1950">
        <f t="shared" ca="1" si="24"/>
        <v>0.65969347536126643</v>
      </c>
      <c r="Q121" s="1950">
        <f t="shared" ca="1" si="24"/>
        <v>0.67400842224418978</v>
      </c>
      <c r="R121" s="1909"/>
    </row>
    <row r="122" spans="1:18">
      <c r="B122" s="1910"/>
      <c r="C122" s="1908">
        <v>2</v>
      </c>
      <c r="D122" s="1907" t="str">
        <f>INDEX(IPCC[Sector_description], MATCH($C122, IPCC[Sector_code], 0))</f>
        <v>Industrial Processes</v>
      </c>
      <c r="E122" s="1907"/>
      <c r="F122" s="1950">
        <f t="shared" si="23"/>
        <v>3.4882184192791134E-2</v>
      </c>
      <c r="G122" s="1951"/>
      <c r="H122" s="1950">
        <f t="shared" ref="H122:Q122" ca="1" si="25">H143*$H$135/$F$161</f>
        <v>3.6796549086824171E-2</v>
      </c>
      <c r="I122" s="1950">
        <f t="shared" ca="1" si="25"/>
        <v>3.6103265890185088E-2</v>
      </c>
      <c r="J122" s="1950">
        <f t="shared" ca="1" si="25"/>
        <v>3.5029339313814911E-2</v>
      </c>
      <c r="K122" s="1950">
        <f t="shared" ca="1" si="25"/>
        <v>3.4050497924077078E-2</v>
      </c>
      <c r="L122" s="1950">
        <f t="shared" ca="1" si="25"/>
        <v>3.3159413843868953E-2</v>
      </c>
      <c r="M122" s="1950">
        <f t="shared" ca="1" si="25"/>
        <v>3.2349347597058063E-2</v>
      </c>
      <c r="N122" s="1950">
        <f t="shared" ca="1" si="25"/>
        <v>3.1614100695889248E-2</v>
      </c>
      <c r="O122" s="1950">
        <f t="shared" ca="1" si="25"/>
        <v>3.0947972065806725E-2</v>
      </c>
      <c r="P122" s="1950">
        <f t="shared" ca="1" si="25"/>
        <v>3.0345717996556491E-2</v>
      </c>
      <c r="Q122" s="1950">
        <f t="shared" ca="1" si="25"/>
        <v>2.9802515333684096E-2</v>
      </c>
      <c r="R122" s="1909"/>
    </row>
    <row r="123" spans="1:18">
      <c r="B123" s="1910"/>
      <c r="C123" s="1908">
        <v>3</v>
      </c>
      <c r="D123" s="1907" t="str">
        <f>INDEX(IPCC[Sector_description], MATCH($C123, IPCC[Sector_code], 0))</f>
        <v>Solvent and Other Product Use</v>
      </c>
      <c r="E123" s="1907"/>
      <c r="F123" s="1950">
        <f t="shared" si="23"/>
        <v>0</v>
      </c>
      <c r="G123" s="1951"/>
      <c r="H123" s="1950">
        <f t="shared" ref="H123:Q123" ca="1" si="26">H144*$H$135/$F$161</f>
        <v>0</v>
      </c>
      <c r="I123" s="1950">
        <f t="shared" ca="1" si="26"/>
        <v>0</v>
      </c>
      <c r="J123" s="1950">
        <f t="shared" ca="1" si="26"/>
        <v>0</v>
      </c>
      <c r="K123" s="1950">
        <f t="shared" ca="1" si="26"/>
        <v>0</v>
      </c>
      <c r="L123" s="1950">
        <f t="shared" ca="1" si="26"/>
        <v>0</v>
      </c>
      <c r="M123" s="1950">
        <f t="shared" ca="1" si="26"/>
        <v>0</v>
      </c>
      <c r="N123" s="1950">
        <f t="shared" ca="1" si="26"/>
        <v>0</v>
      </c>
      <c r="O123" s="1950">
        <f t="shared" ca="1" si="26"/>
        <v>0</v>
      </c>
      <c r="P123" s="1950">
        <f t="shared" ca="1" si="26"/>
        <v>0</v>
      </c>
      <c r="Q123" s="1950">
        <f t="shared" ca="1" si="26"/>
        <v>0</v>
      </c>
      <c r="R123" s="1909"/>
    </row>
    <row r="124" spans="1:18">
      <c r="B124" s="1910"/>
      <c r="C124" s="1908">
        <v>4</v>
      </c>
      <c r="D124" s="1907" t="str">
        <f>INDEX(IPCC[Sector_description], MATCH($C124, IPCC[Sector_code], 0))</f>
        <v>Agriculture</v>
      </c>
      <c r="E124" s="1907"/>
      <c r="F124" s="1950">
        <f t="shared" si="23"/>
        <v>5.4352073272077611E-2</v>
      </c>
      <c r="G124" s="1951"/>
      <c r="H124" s="1950">
        <f t="shared" ref="H124:Q124" ca="1" si="27">H145*$H$135/$F$161</f>
        <v>5.7133859765391627E-2</v>
      </c>
      <c r="I124" s="1950">
        <f t="shared" ca="1" si="27"/>
        <v>5.5923362049742971E-2</v>
      </c>
      <c r="J124" s="1950">
        <f t="shared" ca="1" si="27"/>
        <v>5.413516196508758E-2</v>
      </c>
      <c r="K124" s="1950">
        <f t="shared" ca="1" si="27"/>
        <v>5.1186900349042774E-2</v>
      </c>
      <c r="L124" s="1950">
        <f t="shared" ca="1" si="27"/>
        <v>5.1011182286152298E-2</v>
      </c>
      <c r="M124" s="1950">
        <f t="shared" ca="1" si="27"/>
        <v>5.0836073236815445E-2</v>
      </c>
      <c r="N124" s="1950">
        <f t="shared" ca="1" si="27"/>
        <v>5.0661571074996914E-2</v>
      </c>
      <c r="O124" s="1950">
        <f t="shared" ca="1" si="27"/>
        <v>5.0487673682124902E-2</v>
      </c>
      <c r="P124" s="1950">
        <f t="shared" ca="1" si="27"/>
        <v>5.0314378947064899E-2</v>
      </c>
      <c r="Q124" s="1950">
        <f t="shared" ca="1" si="27"/>
        <v>5.0141684766093389E-2</v>
      </c>
      <c r="R124" s="1909"/>
    </row>
    <row r="125" spans="1:18">
      <c r="B125" s="1910"/>
      <c r="C125" s="1908">
        <v>5</v>
      </c>
      <c r="D125" s="1907" t="str">
        <f>INDEX(IPCC[Sector_description], MATCH($C125, IPCC[Sector_code], 0))</f>
        <v>Land Use, Land-Use Change and Forestry</v>
      </c>
      <c r="E125" s="1907"/>
      <c r="F125" s="1950">
        <f t="shared" si="23"/>
        <v>-2.2259510626399782E-3</v>
      </c>
      <c r="G125" s="1951"/>
      <c r="H125" s="1950">
        <f t="shared" ref="H125:Q125" ca="1" si="28">H146*$H$135/$F$161</f>
        <v>-2.4074225466765337E-3</v>
      </c>
      <c r="I125" s="1950">
        <f t="shared" ca="1" si="28"/>
        <v>3.4857525072975624E-3</v>
      </c>
      <c r="J125" s="1950">
        <f t="shared" ca="1" si="28"/>
        <v>7.7023611588182394E-3</v>
      </c>
      <c r="K125" s="1950">
        <f t="shared" ca="1" si="28"/>
        <v>1.1561192699840661E-2</v>
      </c>
      <c r="L125" s="1950">
        <f t="shared" ca="1" si="28"/>
        <v>1.4877805678518669E-2</v>
      </c>
      <c r="M125" s="1950">
        <f t="shared" ca="1" si="28"/>
        <v>1.6026223811169669E-2</v>
      </c>
      <c r="N125" s="1950">
        <f t="shared" ca="1" si="28"/>
        <v>1.5468493741597856E-2</v>
      </c>
      <c r="O125" s="1950">
        <f t="shared" ca="1" si="28"/>
        <v>1.3244713545787256E-2</v>
      </c>
      <c r="P125" s="1950">
        <f t="shared" ca="1" si="28"/>
        <v>1.0707805087518446E-2</v>
      </c>
      <c r="Q125" s="1950">
        <f t="shared" ca="1" si="28"/>
        <v>9.1717885458114205E-3</v>
      </c>
      <c r="R125" s="1909"/>
    </row>
    <row r="126" spans="1:18">
      <c r="B126" s="1910"/>
      <c r="C126" s="1908">
        <v>6</v>
      </c>
      <c r="D126" s="1907" t="str">
        <f>INDEX(IPCC[Sector_description], MATCH($C126, IPCC[Sector_code], 0))</f>
        <v>Waste</v>
      </c>
      <c r="E126" s="1907"/>
      <c r="F126" s="1950">
        <f t="shared" si="23"/>
        <v>2.8590076266100505E-2</v>
      </c>
      <c r="G126" s="1951"/>
      <c r="H126" s="1950">
        <f t="shared" ref="H126:Q126" ca="1" si="29">H147*$H$135/$F$161</f>
        <v>3.0239518180235715E-2</v>
      </c>
      <c r="I126" s="1950">
        <f t="shared" ca="1" si="29"/>
        <v>3.046743906760294E-2</v>
      </c>
      <c r="J126" s="1950">
        <f t="shared" ca="1" si="29"/>
        <v>3.0102968846482187E-2</v>
      </c>
      <c r="K126" s="1950">
        <f t="shared" ca="1" si="29"/>
        <v>2.9204743133796836E-2</v>
      </c>
      <c r="L126" s="1950">
        <f t="shared" ca="1" si="29"/>
        <v>2.8640685402145667E-2</v>
      </c>
      <c r="M126" s="1950">
        <f t="shared" ca="1" si="29"/>
        <v>2.8671473995581741E-2</v>
      </c>
      <c r="N126" s="1950">
        <f t="shared" ca="1" si="29"/>
        <v>2.9086367530995184E-2</v>
      </c>
      <c r="O126" s="1950">
        <f t="shared" ca="1" si="29"/>
        <v>2.9760898779266669E-2</v>
      </c>
      <c r="P126" s="1950">
        <f t="shared" ca="1" si="29"/>
        <v>3.0660003205282119E-2</v>
      </c>
      <c r="Q126" s="1950">
        <f t="shared" ca="1" si="29"/>
        <v>3.1743647950770906E-2</v>
      </c>
      <c r="R126" s="1909"/>
    </row>
    <row r="127" spans="1:18">
      <c r="B127" s="1910"/>
      <c r="C127" s="1908">
        <v>7</v>
      </c>
      <c r="D127" s="1907" t="str">
        <f>INDEX(IPCC[Sector_description], MATCH($C127, IPCC[Sector_code], 0))</f>
        <v>Other</v>
      </c>
      <c r="E127" s="1907"/>
      <c r="F127" s="1950">
        <f t="shared" si="23"/>
        <v>0</v>
      </c>
      <c r="G127" s="1951"/>
      <c r="H127" s="1950">
        <f t="shared" ref="H127:Q127" ca="1" si="30">H148*$H$135/$F$161</f>
        <v>0</v>
      </c>
      <c r="I127" s="1950">
        <f t="shared" ca="1" si="30"/>
        <v>0</v>
      </c>
      <c r="J127" s="1950">
        <f t="shared" ca="1" si="30"/>
        <v>0</v>
      </c>
      <c r="K127" s="1950">
        <f t="shared" ca="1" si="30"/>
        <v>0</v>
      </c>
      <c r="L127" s="1950">
        <f t="shared" ca="1" si="30"/>
        <v>0</v>
      </c>
      <c r="M127" s="1950">
        <f t="shared" ca="1" si="30"/>
        <v>0</v>
      </c>
      <c r="N127" s="1950">
        <f t="shared" ca="1" si="30"/>
        <v>0</v>
      </c>
      <c r="O127" s="1950">
        <f t="shared" ca="1" si="30"/>
        <v>0</v>
      </c>
      <c r="P127" s="1950">
        <f t="shared" ca="1" si="30"/>
        <v>0</v>
      </c>
      <c r="Q127" s="1950">
        <f t="shared" ca="1" si="30"/>
        <v>0</v>
      </c>
      <c r="R127" s="1909"/>
    </row>
    <row r="128" spans="1:18">
      <c r="B128" s="1910"/>
      <c r="C128" s="1908" t="s">
        <v>1050</v>
      </c>
      <c r="D128" s="1907" t="str">
        <f>INDEX(IPCC[Sector_description], MATCH($C128, IPCC[Sector_code], 0))</f>
        <v>International Aviation and Shipping</v>
      </c>
      <c r="E128" s="1907"/>
      <c r="F128" s="1950">
        <f t="shared" si="23"/>
        <v>5.3182960880876672E-2</v>
      </c>
      <c r="G128" s="1951"/>
      <c r="H128" s="1950">
        <f t="shared" ref="H128:Q128" ca="1" si="31">H149*$H$135/$F$161</f>
        <v>6.1254079494970345E-2</v>
      </c>
      <c r="I128" s="1950">
        <f t="shared" ca="1" si="31"/>
        <v>6.6204384421678267E-2</v>
      </c>
      <c r="J128" s="1950">
        <f t="shared" ca="1" si="31"/>
        <v>7.4190933650887733E-2</v>
      </c>
      <c r="K128" s="1950">
        <f t="shared" ca="1" si="31"/>
        <v>8.2202082635452769E-2</v>
      </c>
      <c r="L128" s="1950">
        <f t="shared" ca="1" si="31"/>
        <v>8.7450841150792907E-2</v>
      </c>
      <c r="M128" s="1950">
        <f t="shared" ca="1" si="31"/>
        <v>9.3029813366038647E-2</v>
      </c>
      <c r="N128" s="1950">
        <f t="shared" ca="1" si="31"/>
        <v>9.8219118405767705E-2</v>
      </c>
      <c r="O128" s="1950">
        <f t="shared" ca="1" si="31"/>
        <v>0.1027505446407838</v>
      </c>
      <c r="P128" s="1950">
        <f t="shared" ca="1" si="31"/>
        <v>0.10704933232928254</v>
      </c>
      <c r="Q128" s="1950">
        <f t="shared" ca="1" si="31"/>
        <v>0.11223377448969825</v>
      </c>
      <c r="R128" s="1909"/>
    </row>
    <row r="129" spans="2:19" s="715" customFormat="1">
      <c r="B129" s="1912"/>
      <c r="C129" s="1908" t="s">
        <v>1051</v>
      </c>
      <c r="D129" s="1914" t="str">
        <f>INDEX(IPCC[Sector_description], MATCH($C129, IPCC[Sector_code], 0))</f>
        <v>Bioenergy credit</v>
      </c>
      <c r="E129" s="1907"/>
      <c r="F129" s="1915"/>
      <c r="G129" s="1916"/>
      <c r="H129" s="1950">
        <f ca="1">H150*$H$135/$F$161</f>
        <v>-1.2333984125662298E-2</v>
      </c>
      <c r="I129" s="1950">
        <f t="shared" ref="I129:Q129" ca="1" si="32">I150*$H$135/$F$161</f>
        <v>-1.4183930378157376E-2</v>
      </c>
      <c r="J129" s="1950">
        <f t="shared" ca="1" si="32"/>
        <v>-1.9763488231147659E-2</v>
      </c>
      <c r="K129" s="1950">
        <f t="shared" ca="1" si="32"/>
        <v>-2.7475780429818089E-2</v>
      </c>
      <c r="L129" s="1950">
        <f t="shared" ca="1" si="32"/>
        <v>-3.2804348162925275E-2</v>
      </c>
      <c r="M129" s="1950">
        <f t="shared" ca="1" si="32"/>
        <v>-3.6913116799687146E-2</v>
      </c>
      <c r="N129" s="1950">
        <f t="shared" ca="1" si="32"/>
        <v>-4.2275567636080806E-2</v>
      </c>
      <c r="O129" s="1950">
        <f t="shared" ca="1" si="32"/>
        <v>-4.8489338131520711E-2</v>
      </c>
      <c r="P129" s="1950">
        <f t="shared" ca="1" si="32"/>
        <v>-5.3918699678971872E-2</v>
      </c>
      <c r="Q129" s="1950">
        <f t="shared" ca="1" si="32"/>
        <v>-5.9882349004624046E-2</v>
      </c>
      <c r="R129" s="1917"/>
    </row>
    <row r="130" spans="2:19">
      <c r="B130" s="1910"/>
      <c r="C130" s="1908" t="s">
        <v>1078</v>
      </c>
      <c r="D130" s="1914" t="str">
        <f>INDEX(IPCC[Sector_description], MATCH($C130, IPCC[Sector_code], 0))</f>
        <v>Carbon capture</v>
      </c>
      <c r="E130" s="1907"/>
      <c r="F130" s="1915"/>
      <c r="G130" s="1916"/>
      <c r="H130" s="1950">
        <f ca="1">H151*$H$135/$F$161</f>
        <v>0</v>
      </c>
      <c r="I130" s="1950">
        <f t="shared" ref="I130:Q130" ca="1" si="33">I151*$H$135/$F$161</f>
        <v>0</v>
      </c>
      <c r="J130" s="1950">
        <f t="shared" ca="1" si="33"/>
        <v>-1.8743469719491018E-3</v>
      </c>
      <c r="K130" s="1950">
        <f t="shared" ca="1" si="33"/>
        <v>-1.0184067799575961E-2</v>
      </c>
      <c r="L130" s="1950">
        <f t="shared" ca="1" si="33"/>
        <v>-1.0173705192695339E-2</v>
      </c>
      <c r="M130" s="1950">
        <f t="shared" ca="1" si="33"/>
        <v>-1.0163552638656891E-2</v>
      </c>
      <c r="N130" s="1950">
        <f t="shared" ca="1" si="33"/>
        <v>-1.0153603814799813E-2</v>
      </c>
      <c r="O130" s="1950">
        <f t="shared" ca="1" si="33"/>
        <v>-1.0143852649694867E-2</v>
      </c>
      <c r="P130" s="1950">
        <f t="shared" ca="1" si="33"/>
        <v>-1.0134293310788705E-2</v>
      </c>
      <c r="Q130" s="1950">
        <f t="shared" ca="1" si="33"/>
        <v>-1.0124920192770325E-2</v>
      </c>
      <c r="R130" s="1909"/>
    </row>
    <row r="131" spans="2:19">
      <c r="B131" s="1910"/>
      <c r="C131" s="1907"/>
      <c r="D131" s="1911" t="s">
        <v>148</v>
      </c>
      <c r="E131" s="1907"/>
      <c r="F131" s="1952">
        <f>SUM(F121:F128)</f>
        <v>0.85163925735192203</v>
      </c>
      <c r="G131" s="1950"/>
      <c r="H131" s="1952">
        <f ca="1">SUM(H121:H130)</f>
        <v>0.85163925735192192</v>
      </c>
      <c r="I131" s="1952">
        <f t="shared" ref="I131:Q131" ca="1" si="34">SUM(I121:I130)</f>
        <v>0.85713355369441058</v>
      </c>
      <c r="J131" s="1952">
        <f t="shared" ca="1" si="34"/>
        <v>0.82714651645247061</v>
      </c>
      <c r="K131" s="1952">
        <f t="shared" ca="1" si="34"/>
        <v>0.79894771558053268</v>
      </c>
      <c r="L131" s="1952">
        <f t="shared" ca="1" si="34"/>
        <v>0.77328824664838203</v>
      </c>
      <c r="M131" s="1952">
        <f t="shared" ca="1" si="34"/>
        <v>0.77827480294029994</v>
      </c>
      <c r="N131" s="1952">
        <f t="shared" ca="1" si="34"/>
        <v>0.79671277375276717</v>
      </c>
      <c r="O131" s="1952">
        <f t="shared" ca="1" si="34"/>
        <v>0.80913142961230922</v>
      </c>
      <c r="P131" s="1952">
        <f t="shared" ca="1" si="34"/>
        <v>0.82471771993721044</v>
      </c>
      <c r="Q131" s="1952">
        <f t="shared" ca="1" si="34"/>
        <v>0.83709456413285344</v>
      </c>
      <c r="R131" s="1909"/>
      <c r="S131" s="1830"/>
    </row>
    <row r="132" spans="2:19" ht="5.25" customHeight="1">
      <c r="B132" s="1910"/>
      <c r="C132" s="1907"/>
      <c r="D132" s="1907"/>
      <c r="E132" s="1907"/>
      <c r="F132" s="1951"/>
      <c r="G132" s="1951"/>
      <c r="H132" s="1951"/>
      <c r="I132" s="1951"/>
      <c r="J132" s="1951"/>
      <c r="K132" s="1951"/>
      <c r="L132" s="1951"/>
      <c r="M132" s="1951"/>
      <c r="N132" s="1951"/>
      <c r="O132" s="1951"/>
      <c r="P132" s="1951"/>
      <c r="Q132" s="1951"/>
      <c r="R132" s="1909"/>
    </row>
    <row r="133" spans="2:19" s="246" customFormat="1">
      <c r="B133" s="1924"/>
      <c r="C133" s="1925" t="s">
        <v>1406</v>
      </c>
      <c r="D133" s="1925"/>
      <c r="E133" s="1925"/>
      <c r="F133" s="1953">
        <f>F154/F159</f>
        <v>0.82154175185293077</v>
      </c>
      <c r="G133" s="1953"/>
      <c r="H133" s="1953">
        <f ca="1">(H$154/$F$159)*$H$135</f>
        <v>0.81323727613529739</v>
      </c>
      <c r="I133" s="1953">
        <f t="shared" ref="I133:Q133" ca="1" si="35">(I$154/$F$159)*$H$135</f>
        <v>0.81379699576264364</v>
      </c>
      <c r="J133" s="1953">
        <f t="shared" ca="1" si="35"/>
        <v>0.7747254938012611</v>
      </c>
      <c r="K133" s="1953">
        <f t="shared" ca="1" si="35"/>
        <v>0.73746861979188039</v>
      </c>
      <c r="L133" s="1953">
        <f t="shared" ca="1" si="35"/>
        <v>0.70566675482305563</v>
      </c>
      <c r="M133" s="1953">
        <f t="shared" ca="1" si="35"/>
        <v>0.70505721060926763</v>
      </c>
      <c r="N133" s="1953">
        <f t="shared" ca="1" si="35"/>
        <v>0.71868892988652189</v>
      </c>
      <c r="O133" s="1953">
        <f t="shared" ca="1" si="35"/>
        <v>0.7268041999039766</v>
      </c>
      <c r="P133" s="1953">
        <f t="shared" ca="1" si="35"/>
        <v>0.73841805370028257</v>
      </c>
      <c r="Q133" s="1953">
        <f t="shared" ca="1" si="35"/>
        <v>0.74581840684943668</v>
      </c>
      <c r="R133" s="1927"/>
    </row>
    <row r="134" spans="2:19">
      <c r="B134" s="1910"/>
      <c r="C134" s="1907"/>
      <c r="D134" s="1907"/>
      <c r="E134" s="1907"/>
      <c r="F134" s="1907"/>
      <c r="G134" s="1907"/>
      <c r="H134" s="1907"/>
      <c r="I134" s="1907"/>
      <c r="J134" s="1907"/>
      <c r="K134" s="1907"/>
      <c r="L134" s="1907"/>
      <c r="M134" s="1907"/>
      <c r="N134" s="1907"/>
      <c r="O134" s="1907"/>
      <c r="P134" s="1907"/>
      <c r="Q134" s="1907"/>
      <c r="R134" s="1909"/>
    </row>
    <row r="135" spans="2:19" s="743" customFormat="1" ht="13.5" customHeight="1">
      <c r="B135" s="1947"/>
      <c r="C135" s="1948"/>
      <c r="D135" s="2144"/>
      <c r="E135" s="2144" t="s">
        <v>1715</v>
      </c>
      <c r="F135" s="2143"/>
      <c r="G135" s="1948"/>
      <c r="H135" s="2145">
        <f ca="1">$F$152/$H$152</f>
        <v>1.0548808779706134</v>
      </c>
      <c r="I135" s="1948"/>
      <c r="J135" s="1948"/>
      <c r="K135" s="1948"/>
      <c r="L135" s="1948"/>
      <c r="M135" s="1948"/>
      <c r="N135" s="1948"/>
      <c r="O135" s="1948"/>
      <c r="P135" s="1948"/>
      <c r="Q135" s="1948"/>
      <c r="R135" s="1949"/>
    </row>
    <row r="136" spans="2:19" s="121" customFormat="1">
      <c r="B136" s="1910"/>
      <c r="C136" s="1907"/>
      <c r="D136" s="1907"/>
      <c r="E136" s="1907"/>
      <c r="F136" s="1907"/>
      <c r="G136" s="1907"/>
      <c r="H136" s="1907"/>
      <c r="I136" s="1907"/>
      <c r="J136" s="1907"/>
      <c r="K136" s="1907"/>
      <c r="L136" s="1907"/>
      <c r="M136" s="1907"/>
      <c r="N136" s="1907"/>
      <c r="O136" s="1907"/>
      <c r="P136" s="1907"/>
      <c r="Q136" s="1907"/>
      <c r="R136" s="1909"/>
    </row>
    <row r="137" spans="2:19" s="121" customFormat="1" ht="15.75">
      <c r="B137" s="1910"/>
      <c r="C137" s="1935" t="s">
        <v>1712</v>
      </c>
      <c r="D137" s="1907"/>
      <c r="E137" s="1907"/>
      <c r="F137" s="1907"/>
      <c r="G137" s="1907"/>
      <c r="H137" s="1907"/>
      <c r="I137" s="1907"/>
      <c r="J137" s="1907"/>
      <c r="K137" s="1907"/>
      <c r="L137" s="1907"/>
      <c r="M137" s="1907"/>
      <c r="N137" s="1907"/>
      <c r="O137" s="1907"/>
      <c r="P137" s="1907"/>
      <c r="Q137" s="1907"/>
      <c r="R137" s="1909"/>
    </row>
    <row r="138" spans="2:19" s="121" customFormat="1">
      <c r="B138" s="1910"/>
      <c r="C138" s="1907"/>
      <c r="D138" s="1907"/>
      <c r="E138" s="1907"/>
      <c r="F138" s="1907"/>
      <c r="G138" s="1907"/>
      <c r="H138" s="1907"/>
      <c r="I138" s="1907"/>
      <c r="J138" s="1907"/>
      <c r="K138" s="1907"/>
      <c r="L138" s="1907"/>
      <c r="M138" s="1907"/>
      <c r="N138" s="1907"/>
      <c r="O138" s="1907"/>
      <c r="P138" s="1907"/>
      <c r="Q138" s="1907"/>
      <c r="R138" s="1909"/>
    </row>
    <row r="139" spans="2:19" s="121" customFormat="1">
      <c r="B139" s="1910"/>
      <c r="C139" s="1907"/>
      <c r="D139" s="1911" t="s">
        <v>1042</v>
      </c>
      <c r="E139" s="1907"/>
      <c r="F139" s="1907" t="s">
        <v>1534</v>
      </c>
      <c r="G139" s="1907"/>
      <c r="H139" s="1907"/>
      <c r="I139" s="1907"/>
      <c r="J139" s="1907"/>
      <c r="K139" s="1907"/>
      <c r="L139" s="1907"/>
      <c r="M139" s="1907"/>
      <c r="N139" s="1907"/>
      <c r="O139" s="1907"/>
      <c r="P139" s="1907"/>
      <c r="Q139" s="1908" t="s">
        <v>1075</v>
      </c>
      <c r="R139" s="1909"/>
    </row>
    <row r="140" spans="2:19" s="715" customFormat="1">
      <c r="B140" s="1912"/>
      <c r="C140" s="1913" t="s">
        <v>1065</v>
      </c>
      <c r="D140" s="1914" t="str">
        <f>INDEX(IPCC[Sector_description], MATCH($C140, IPCC[Sector_code], 0))</f>
        <v>Fuel Combustion</v>
      </c>
      <c r="E140" s="1907"/>
      <c r="F140" s="1915">
        <v>532.63873751129393</v>
      </c>
      <c r="G140" s="1916"/>
      <c r="H140" s="1915">
        <f t="shared" ref="H140:Q141" ca="1" si="36">SUMIFS(INDIRECT("'"&amp;H$4&amp;"'!Year.Emissions"), INDIRECT("'"&amp;H$4&amp;"'!Year.IPCC"), $C140)</f>
        <v>504.0537625064548</v>
      </c>
      <c r="I140" s="1915">
        <f t="shared" ca="1" si="36"/>
        <v>503.37623547400983</v>
      </c>
      <c r="J140" s="1915">
        <f t="shared" ca="1" si="36"/>
        <v>479.8100513241256</v>
      </c>
      <c r="K140" s="1915">
        <f t="shared" ca="1" si="36"/>
        <v>465.51539788611137</v>
      </c>
      <c r="L140" s="1915">
        <f t="shared" ca="1" si="36"/>
        <v>444.84008453081475</v>
      </c>
      <c r="M140" s="1915">
        <f t="shared" ca="1" si="36"/>
        <v>447.48585796161058</v>
      </c>
      <c r="N140" s="1915">
        <f t="shared" ca="1" si="36"/>
        <v>462.33274997471324</v>
      </c>
      <c r="O140" s="1915">
        <f t="shared" ca="1" si="36"/>
        <v>474.7522885589666</v>
      </c>
      <c r="P140" s="1915">
        <f t="shared" ca="1" si="36"/>
        <v>489.10248786897108</v>
      </c>
      <c r="Q140" s="1915">
        <f t="shared" ca="1" si="36"/>
        <v>499.85257406178999</v>
      </c>
      <c r="R140" s="1917"/>
    </row>
    <row r="141" spans="2:19" s="715" customFormat="1">
      <c r="B141" s="1912"/>
      <c r="C141" s="1913" t="s">
        <v>1064</v>
      </c>
      <c r="D141" s="1914" t="str">
        <f>INDEX(IPCC[Sector_description], MATCH($C141, IPCC[Sector_code], 0))</f>
        <v>Fugitive Emissions from Fuels</v>
      </c>
      <c r="E141" s="1907"/>
      <c r="F141" s="1915">
        <v>13.3650064404099</v>
      </c>
      <c r="G141" s="1916"/>
      <c r="H141" s="1915">
        <f t="shared" ca="1" si="36"/>
        <v>12.102646311363671</v>
      </c>
      <c r="I141" s="1915">
        <f t="shared" ca="1" si="36"/>
        <v>11.398076700655929</v>
      </c>
      <c r="J141" s="1915">
        <f t="shared" ca="1" si="36"/>
        <v>11.080317552116822</v>
      </c>
      <c r="K141" s="1915">
        <f t="shared" ca="1" si="36"/>
        <v>10.805366369556085</v>
      </c>
      <c r="L141" s="1915">
        <f t="shared" ca="1" si="36"/>
        <v>10.805991936439449</v>
      </c>
      <c r="M141" s="1915">
        <f t="shared" ca="1" si="36"/>
        <v>10.670799903113425</v>
      </c>
      <c r="N141" s="1915">
        <f t="shared" ca="1" si="36"/>
        <v>10.721200770517466</v>
      </c>
      <c r="O141" s="1915">
        <f t="shared" ca="1" si="36"/>
        <v>10.793687855000023</v>
      </c>
      <c r="P141" s="1915">
        <f t="shared" ca="1" si="36"/>
        <v>10.936701724528127</v>
      </c>
      <c r="Q141" s="1915">
        <f t="shared" ca="1" si="36"/>
        <v>11.037161589468791</v>
      </c>
      <c r="R141" s="1917"/>
    </row>
    <row r="142" spans="2:19" s="121" customFormat="1">
      <c r="B142" s="1910"/>
      <c r="C142" s="1908">
        <v>1</v>
      </c>
      <c r="D142" s="1907" t="s">
        <v>1043</v>
      </c>
      <c r="E142" s="1907"/>
      <c r="F142" s="1918">
        <f>F140+F141</f>
        <v>546.00374395170388</v>
      </c>
      <c r="G142" s="1916"/>
      <c r="H142" s="1918">
        <f ca="1">H140+H141</f>
        <v>516.15640881781849</v>
      </c>
      <c r="I142" s="1918">
        <f t="shared" ref="I142:Q142" ca="1" si="37">I140+I141</f>
        <v>514.77431217466574</v>
      </c>
      <c r="J142" s="1918">
        <f t="shared" ca="1" si="37"/>
        <v>490.89036887624241</v>
      </c>
      <c r="K142" s="1918">
        <f t="shared" ca="1" si="37"/>
        <v>476.32076425566748</v>
      </c>
      <c r="L142" s="1918">
        <f t="shared" ca="1" si="37"/>
        <v>455.6460764672542</v>
      </c>
      <c r="M142" s="1918">
        <f t="shared" ca="1" si="37"/>
        <v>458.15665786472402</v>
      </c>
      <c r="N142" s="1918">
        <f t="shared" ca="1" si="37"/>
        <v>473.05395074523068</v>
      </c>
      <c r="O142" s="1918">
        <f t="shared" ca="1" si="37"/>
        <v>485.54597641396663</v>
      </c>
      <c r="P142" s="1918">
        <f t="shared" ca="1" si="37"/>
        <v>500.0391895934992</v>
      </c>
      <c r="Q142" s="1918">
        <f t="shared" ca="1" si="37"/>
        <v>510.88973565125877</v>
      </c>
      <c r="R142" s="1909"/>
    </row>
    <row r="143" spans="2:19" s="121" customFormat="1">
      <c r="B143" s="1910"/>
      <c r="C143" s="1908">
        <v>2</v>
      </c>
      <c r="D143" s="1907" t="str">
        <f>INDEX(IPCC[Sector_description], MATCH($C143, IPCC[Sector_code], 0))</f>
        <v>Industrial Processes</v>
      </c>
      <c r="E143" s="1907"/>
      <c r="F143" s="1918">
        <v>27.891312059948401</v>
      </c>
      <c r="G143" s="1916"/>
      <c r="H143" s="1915">
        <f t="shared" ref="H143:Q149" ca="1" si="38">SUMIFS(INDIRECT("'"&amp;H$4&amp;"'!Year.Emissions"), INDIRECT("'"&amp;H$4&amp;"'!Year.IPCC"), $C143)</f>
        <v>27.891312059948405</v>
      </c>
      <c r="I143" s="1915">
        <f t="shared" ca="1" si="38"/>
        <v>27.365812292626391</v>
      </c>
      <c r="J143" s="1915">
        <f t="shared" ca="1" si="38"/>
        <v>26.551789727620751</v>
      </c>
      <c r="K143" s="1915">
        <f t="shared" ca="1" si="38"/>
        <v>25.809840514015082</v>
      </c>
      <c r="L143" s="1915">
        <f t="shared" ca="1" si="38"/>
        <v>25.134410214991846</v>
      </c>
      <c r="M143" s="1915">
        <f t="shared" ca="1" si="38"/>
        <v>24.520390394118916</v>
      </c>
      <c r="N143" s="1915">
        <f t="shared" ca="1" si="38"/>
        <v>23.963082677212594</v>
      </c>
      <c r="O143" s="1915">
        <f t="shared" ca="1" si="38"/>
        <v>23.458165722911836</v>
      </c>
      <c r="P143" s="1915">
        <f t="shared" ca="1" si="38"/>
        <v>23.001664866127776</v>
      </c>
      <c r="Q143" s="1915">
        <f t="shared" ca="1" si="38"/>
        <v>22.589924217671314</v>
      </c>
      <c r="R143" s="1909"/>
    </row>
    <row r="144" spans="2:19" s="121" customFormat="1">
      <c r="B144" s="1910"/>
      <c r="C144" s="1908">
        <v>3</v>
      </c>
      <c r="D144" s="1907" t="str">
        <f>INDEX(IPCC[Sector_description], MATCH($C144, IPCC[Sector_code], 0))</f>
        <v>Solvent and Other Product Use</v>
      </c>
      <c r="E144" s="1907"/>
      <c r="F144" s="1918">
        <v>0</v>
      </c>
      <c r="G144" s="1916"/>
      <c r="H144" s="1915">
        <f t="shared" ca="1" si="38"/>
        <v>0</v>
      </c>
      <c r="I144" s="1915">
        <f t="shared" ca="1" si="38"/>
        <v>0</v>
      </c>
      <c r="J144" s="1915">
        <f t="shared" ca="1" si="38"/>
        <v>0</v>
      </c>
      <c r="K144" s="1915">
        <f t="shared" ca="1" si="38"/>
        <v>0</v>
      </c>
      <c r="L144" s="1915">
        <f t="shared" ca="1" si="38"/>
        <v>0</v>
      </c>
      <c r="M144" s="1915">
        <f t="shared" ca="1" si="38"/>
        <v>0</v>
      </c>
      <c r="N144" s="1915">
        <f t="shared" ca="1" si="38"/>
        <v>0</v>
      </c>
      <c r="O144" s="1915">
        <f t="shared" ca="1" si="38"/>
        <v>0</v>
      </c>
      <c r="P144" s="1915">
        <f t="shared" ca="1" si="38"/>
        <v>0</v>
      </c>
      <c r="Q144" s="1915">
        <f t="shared" ca="1" si="38"/>
        <v>0</v>
      </c>
      <c r="R144" s="1909"/>
    </row>
    <row r="145" spans="2:19" s="121" customFormat="1">
      <c r="B145" s="1910"/>
      <c r="C145" s="1908">
        <v>4</v>
      </c>
      <c r="D145" s="1907" t="str">
        <f>INDEX(IPCC[Sector_description], MATCH($C145, IPCC[Sector_code], 0))</f>
        <v>Agriculture</v>
      </c>
      <c r="E145" s="1907"/>
      <c r="F145" s="1918">
        <v>43.459166099179903</v>
      </c>
      <c r="G145" s="1916"/>
      <c r="H145" s="1915">
        <f t="shared" ca="1" si="38"/>
        <v>43.306732599999997</v>
      </c>
      <c r="I145" s="1915">
        <f t="shared" ca="1" si="38"/>
        <v>42.389190863807656</v>
      </c>
      <c r="J145" s="1915">
        <f t="shared" ca="1" si="38"/>
        <v>41.033758144585391</v>
      </c>
      <c r="K145" s="1915">
        <f t="shared" ca="1" si="38"/>
        <v>38.799013669677066</v>
      </c>
      <c r="L145" s="1915">
        <f t="shared" ca="1" si="38"/>
        <v>38.665821632698716</v>
      </c>
      <c r="M145" s="1915">
        <f t="shared" ca="1" si="38"/>
        <v>38.533091220179571</v>
      </c>
      <c r="N145" s="1915">
        <f t="shared" ca="1" si="38"/>
        <v>38.400820820612154</v>
      </c>
      <c r="O145" s="1915">
        <f t="shared" ca="1" si="38"/>
        <v>38.269008828146227</v>
      </c>
      <c r="P145" s="1915">
        <f t="shared" ca="1" si="38"/>
        <v>38.137653642568914</v>
      </c>
      <c r="Q145" s="1915">
        <f t="shared" ca="1" si="38"/>
        <v>38.006753669284777</v>
      </c>
      <c r="R145" s="1909"/>
    </row>
    <row r="146" spans="2:19" s="121" customFormat="1">
      <c r="B146" s="1910"/>
      <c r="C146" s="1908">
        <v>5</v>
      </c>
      <c r="D146" s="1907" t="str">
        <f>INDEX(IPCC[Sector_description], MATCH($C146, IPCC[Sector_code], 0))</f>
        <v>Land Use, Land-Use Change and Forestry</v>
      </c>
      <c r="E146" s="1907"/>
      <c r="F146" s="1918">
        <v>-1.7798396847837301</v>
      </c>
      <c r="G146" s="1916"/>
      <c r="H146" s="1915">
        <f t="shared" ca="1" si="38"/>
        <v>-1.8247953999999991</v>
      </c>
      <c r="I146" s="1915">
        <f t="shared" ca="1" si="38"/>
        <v>2.6421556737666059</v>
      </c>
      <c r="J146" s="1915">
        <f t="shared" ca="1" si="38"/>
        <v>5.8382909270138512</v>
      </c>
      <c r="K146" s="1915">
        <f t="shared" ca="1" si="38"/>
        <v>8.7632357212518119</v>
      </c>
      <c r="L146" s="1915">
        <f t="shared" ca="1" si="38"/>
        <v>11.277185802606228</v>
      </c>
      <c r="M146" s="1915">
        <f t="shared" ca="1" si="38"/>
        <v>12.147672011448611</v>
      </c>
      <c r="N146" s="1915">
        <f t="shared" ca="1" si="38"/>
        <v>11.724919775119625</v>
      </c>
      <c r="O146" s="1915">
        <f t="shared" ca="1" si="38"/>
        <v>10.039322920704391</v>
      </c>
      <c r="P146" s="1915">
        <f t="shared" ca="1" si="38"/>
        <v>8.1163788611910945</v>
      </c>
      <c r="Q146" s="1915">
        <f t="shared" ca="1" si="38"/>
        <v>6.9520980316789114</v>
      </c>
      <c r="R146" s="1909"/>
    </row>
    <row r="147" spans="2:19" s="121" customFormat="1">
      <c r="B147" s="1910"/>
      <c r="C147" s="1908">
        <v>6</v>
      </c>
      <c r="D147" s="1907" t="str">
        <f>INDEX(IPCC[Sector_description], MATCH($C147, IPCC[Sector_code], 0))</f>
        <v>Waste</v>
      </c>
      <c r="E147" s="1907"/>
      <c r="F147" s="1918">
        <v>22.860229581619201</v>
      </c>
      <c r="G147" s="1916"/>
      <c r="H147" s="1915">
        <f t="shared" ca="1" si="38"/>
        <v>22.921166768039207</v>
      </c>
      <c r="I147" s="1915">
        <f t="shared" ca="1" si="38"/>
        <v>23.093927876140398</v>
      </c>
      <c r="J147" s="1915">
        <f t="shared" ca="1" si="38"/>
        <v>22.817664125160626</v>
      </c>
      <c r="K147" s="1915">
        <f t="shared" ca="1" si="38"/>
        <v>22.136820560356139</v>
      </c>
      <c r="L147" s="1915">
        <f t="shared" ca="1" si="38"/>
        <v>21.709272037363181</v>
      </c>
      <c r="M147" s="1915">
        <f t="shared" ca="1" si="38"/>
        <v>21.732609396129796</v>
      </c>
      <c r="N147" s="1915">
        <f t="shared" ca="1" si="38"/>
        <v>22.047093372346335</v>
      </c>
      <c r="O147" s="1915">
        <f t="shared" ca="1" si="38"/>
        <v>22.558379403417742</v>
      </c>
      <c r="P147" s="1915">
        <f t="shared" ca="1" si="38"/>
        <v>23.239889021651404</v>
      </c>
      <c r="Q147" s="1915">
        <f t="shared" ca="1" si="38"/>
        <v>24.061277834152129</v>
      </c>
      <c r="R147" s="1909"/>
    </row>
    <row r="148" spans="2:19" s="121" customFormat="1">
      <c r="B148" s="1910"/>
      <c r="C148" s="1908">
        <v>7</v>
      </c>
      <c r="D148" s="1907" t="str">
        <f>INDEX(IPCC[Sector_description], MATCH($C148, IPCC[Sector_code], 0))</f>
        <v>Other</v>
      </c>
      <c r="E148" s="1907"/>
      <c r="F148" s="1916"/>
      <c r="G148" s="1916"/>
      <c r="H148" s="1915">
        <f t="shared" ca="1" si="38"/>
        <v>0</v>
      </c>
      <c r="I148" s="1915">
        <f t="shared" ca="1" si="38"/>
        <v>0</v>
      </c>
      <c r="J148" s="1915">
        <f t="shared" ca="1" si="38"/>
        <v>0</v>
      </c>
      <c r="K148" s="1915">
        <f t="shared" ca="1" si="38"/>
        <v>0</v>
      </c>
      <c r="L148" s="1915">
        <f t="shared" ca="1" si="38"/>
        <v>0</v>
      </c>
      <c r="M148" s="1915">
        <f t="shared" ca="1" si="38"/>
        <v>0</v>
      </c>
      <c r="N148" s="1915">
        <f t="shared" ca="1" si="38"/>
        <v>0</v>
      </c>
      <c r="O148" s="1915">
        <f t="shared" ca="1" si="38"/>
        <v>0</v>
      </c>
      <c r="P148" s="1915">
        <f t="shared" ca="1" si="38"/>
        <v>0</v>
      </c>
      <c r="Q148" s="1915">
        <f t="shared" ca="1" si="38"/>
        <v>0</v>
      </c>
      <c r="R148" s="1909"/>
    </row>
    <row r="149" spans="2:19" s="121" customFormat="1">
      <c r="B149" s="1910"/>
      <c r="C149" s="1908" t="s">
        <v>1050</v>
      </c>
      <c r="D149" s="1907" t="str">
        <f>INDEX(IPCC[Sector_description], MATCH($C149, IPCC[Sector_code], 0))</f>
        <v>International Aviation and Shipping</v>
      </c>
      <c r="E149" s="1907"/>
      <c r="F149" s="1918">
        <v>42.524360000000001</v>
      </c>
      <c r="G149" s="1916"/>
      <c r="H149" s="1915">
        <f t="shared" ca="1" si="38"/>
        <v>46.429806287211214</v>
      </c>
      <c r="I149" s="1915">
        <f t="shared" ca="1" si="38"/>
        <v>50.182073902767307</v>
      </c>
      <c r="J149" s="1915">
        <f t="shared" ca="1" si="38"/>
        <v>56.235775740632974</v>
      </c>
      <c r="K149" s="1915">
        <f t="shared" ca="1" si="38"/>
        <v>62.308123877411113</v>
      </c>
      <c r="L149" s="1915">
        <f t="shared" ca="1" si="38"/>
        <v>66.286615483600443</v>
      </c>
      <c r="M149" s="1915">
        <f t="shared" ca="1" si="38"/>
        <v>70.515404837244432</v>
      </c>
      <c r="N149" s="1915">
        <f t="shared" ca="1" si="38"/>
        <v>74.44883147178642</v>
      </c>
      <c r="O149" s="1915">
        <f t="shared" ca="1" si="38"/>
        <v>77.883594413801731</v>
      </c>
      <c r="P149" s="1915">
        <f t="shared" ca="1" si="38"/>
        <v>81.142020322613803</v>
      </c>
      <c r="Q149" s="1915">
        <f t="shared" ca="1" si="38"/>
        <v>85.071760957033376</v>
      </c>
      <c r="R149" s="1909"/>
    </row>
    <row r="150" spans="2:19" s="715" customFormat="1">
      <c r="B150" s="1912"/>
      <c r="C150" s="1908" t="s">
        <v>1051</v>
      </c>
      <c r="D150" s="1907" t="str">
        <f>INDEX(IPCC[Sector_description], MATCH($C150, IPCC[Sector_code], 0))</f>
        <v>Bioenergy credit</v>
      </c>
      <c r="E150" s="1907"/>
      <c r="F150" s="1918"/>
      <c r="G150" s="1916"/>
      <c r="H150" s="1915">
        <f t="shared" ref="H150:Q151" ca="1" si="39">SUMIFS(INDIRECT("'"&amp;H$4&amp;"'!Year.Emissions"), INDIRECT("'"&amp;H$4&amp;"'!Year.IPCC"), $C150)</f>
        <v>-9.3490017060996049</v>
      </c>
      <c r="I150" s="1915">
        <f t="shared" ca="1" si="39"/>
        <v>-10.751237228260241</v>
      </c>
      <c r="J150" s="1915">
        <f t="shared" ca="1" si="39"/>
        <v>-14.980470487800098</v>
      </c>
      <c r="K150" s="1915">
        <f t="shared" ca="1" si="39"/>
        <v>-20.826289015593673</v>
      </c>
      <c r="L150" s="1915">
        <f t="shared" ca="1" si="39"/>
        <v>-24.865274984793743</v>
      </c>
      <c r="M150" s="1915">
        <f t="shared" ca="1" si="39"/>
        <v>-27.979668890582285</v>
      </c>
      <c r="N150" s="1915">
        <f t="shared" ca="1" si="39"/>
        <v>-32.044337817308957</v>
      </c>
      <c r="O150" s="1915">
        <f t="shared" ca="1" si="39"/>
        <v>-36.754296122047705</v>
      </c>
      <c r="P150" s="1915">
        <f t="shared" ca="1" si="39"/>
        <v>-40.869682509204011</v>
      </c>
      <c r="Q150" s="1915">
        <f t="shared" ca="1" si="39"/>
        <v>-45.390052176625488</v>
      </c>
      <c r="R150" s="1917"/>
    </row>
    <row r="151" spans="2:19" s="121" customFormat="1">
      <c r="B151" s="1910"/>
      <c r="C151" s="1908" t="s">
        <v>1078</v>
      </c>
      <c r="D151" s="1907" t="str">
        <f>INDEX(IPCC[Sector_description], MATCH($C151, IPCC[Sector_code], 0))</f>
        <v>Carbon capture</v>
      </c>
      <c r="E151" s="1907"/>
      <c r="F151" s="1918"/>
      <c r="G151" s="1916"/>
      <c r="H151" s="1915">
        <f t="shared" ca="1" si="39"/>
        <v>0</v>
      </c>
      <c r="I151" s="1915">
        <f t="shared" ca="1" si="39"/>
        <v>0</v>
      </c>
      <c r="J151" s="1915">
        <f t="shared" ca="1" si="39"/>
        <v>-1.420730954413632</v>
      </c>
      <c r="K151" s="1915">
        <f t="shared" ca="1" si="39"/>
        <v>-7.7193927171652801</v>
      </c>
      <c r="L151" s="1915">
        <f t="shared" ca="1" si="39"/>
        <v>-7.7115379941155719</v>
      </c>
      <c r="M151" s="1915">
        <f t="shared" ca="1" si="39"/>
        <v>-7.7038424884249777</v>
      </c>
      <c r="N151" s="1915">
        <f t="shared" ca="1" si="39"/>
        <v>-7.6963014075977405</v>
      </c>
      <c r="O151" s="1915">
        <f t="shared" ca="1" si="39"/>
        <v>-7.6889101495683958</v>
      </c>
      <c r="P151" s="1915">
        <f t="shared" ca="1" si="39"/>
        <v>-7.6816642933363486</v>
      </c>
      <c r="Q151" s="1915">
        <f t="shared" ca="1" si="39"/>
        <v>-7.6745595901477834</v>
      </c>
      <c r="R151" s="1909"/>
    </row>
    <row r="152" spans="2:19" s="121" customFormat="1">
      <c r="B152" s="1910"/>
      <c r="C152" s="1907"/>
      <c r="D152" s="1907"/>
      <c r="E152" s="1907"/>
      <c r="F152" s="1919">
        <f>SUM(F142:F149)</f>
        <v>680.95897200766774</v>
      </c>
      <c r="G152" s="1916"/>
      <c r="H152" s="1919">
        <f ca="1">SUM(H142:H151)</f>
        <v>645.5316294269179</v>
      </c>
      <c r="I152" s="1919">
        <f t="shared" ref="I152:Q152" ca="1" si="40">SUM(I142:I151)</f>
        <v>649.69623555551391</v>
      </c>
      <c r="J152" s="1919">
        <f t="shared" ca="1" si="40"/>
        <v>626.96644609904229</v>
      </c>
      <c r="K152" s="1919">
        <f t="shared" ca="1" si="40"/>
        <v>605.59211686561969</v>
      </c>
      <c r="L152" s="1919">
        <f t="shared" ca="1" si="40"/>
        <v>586.14256865960544</v>
      </c>
      <c r="M152" s="1919">
        <f t="shared" ca="1" si="40"/>
        <v>589.92231434483813</v>
      </c>
      <c r="N152" s="1919">
        <f t="shared" ca="1" si="40"/>
        <v>603.89805963740116</v>
      </c>
      <c r="O152" s="1919">
        <f t="shared" ca="1" si="40"/>
        <v>613.31124143133241</v>
      </c>
      <c r="P152" s="1919">
        <f t="shared" ca="1" si="40"/>
        <v>625.12544950511176</v>
      </c>
      <c r="Q152" s="1919">
        <f t="shared" ca="1" si="40"/>
        <v>634.50693859430612</v>
      </c>
      <c r="R152" s="1909"/>
      <c r="S152" s="1830"/>
    </row>
    <row r="153" spans="2:19" s="121" customFormat="1" ht="5.25" customHeight="1">
      <c r="B153" s="1910"/>
      <c r="C153" s="1907"/>
      <c r="D153" s="1907"/>
      <c r="E153" s="1907"/>
      <c r="F153" s="1916"/>
      <c r="G153" s="1916"/>
      <c r="H153" s="1916"/>
      <c r="I153" s="1916"/>
      <c r="J153" s="1916"/>
      <c r="K153" s="1916"/>
      <c r="L153" s="1916"/>
      <c r="M153" s="1916"/>
      <c r="N153" s="1916"/>
      <c r="O153" s="1916"/>
      <c r="P153" s="1916"/>
      <c r="Q153" s="1916"/>
      <c r="R153" s="1909"/>
    </row>
    <row r="154" spans="2:19" s="246" customFormat="1">
      <c r="B154" s="1924"/>
      <c r="C154" s="1925" t="s">
        <v>1406</v>
      </c>
      <c r="D154" s="1925"/>
      <c r="E154" s="1925"/>
      <c r="F154" s="1934">
        <f>F152-F149</f>
        <v>638.43461200766774</v>
      </c>
      <c r="G154" s="1926"/>
      <c r="H154" s="1934">
        <f t="shared" ref="H154:Q154" ca="1" si="41">H152-H149</f>
        <v>599.10182313970665</v>
      </c>
      <c r="I154" s="1934">
        <f t="shared" ca="1" si="41"/>
        <v>599.51416165274657</v>
      </c>
      <c r="J154" s="1934">
        <f t="shared" ca="1" si="41"/>
        <v>570.73067035840927</v>
      </c>
      <c r="K154" s="1934">
        <f t="shared" ca="1" si="41"/>
        <v>543.28399298820852</v>
      </c>
      <c r="L154" s="1934">
        <f t="shared" ca="1" si="41"/>
        <v>519.85595317600496</v>
      </c>
      <c r="M154" s="1934">
        <f t="shared" ca="1" si="41"/>
        <v>519.4069095075937</v>
      </c>
      <c r="N154" s="1934">
        <f t="shared" ca="1" si="41"/>
        <v>529.44922816561473</v>
      </c>
      <c r="O154" s="1934">
        <f t="shared" ca="1" si="41"/>
        <v>535.42764701753072</v>
      </c>
      <c r="P154" s="1934">
        <f t="shared" ca="1" si="41"/>
        <v>543.98342918249796</v>
      </c>
      <c r="Q154" s="1934">
        <f t="shared" ca="1" si="41"/>
        <v>549.43517763727277</v>
      </c>
      <c r="R154" s="1927"/>
    </row>
    <row r="155" spans="2:19" s="121" customFormat="1">
      <c r="B155" s="1910"/>
      <c r="C155" s="1907"/>
      <c r="D155" s="1907"/>
      <c r="E155" s="1907"/>
      <c r="F155" s="1907"/>
      <c r="G155" s="1907"/>
      <c r="H155" s="1907"/>
      <c r="I155" s="1907"/>
      <c r="J155" s="1907"/>
      <c r="K155" s="1907"/>
      <c r="L155" s="1907"/>
      <c r="M155" s="1907"/>
      <c r="N155" s="1907"/>
      <c r="O155" s="1907"/>
      <c r="P155" s="1907"/>
      <c r="Q155" s="1907"/>
      <c r="R155" s="1909"/>
    </row>
    <row r="156" spans="2:19" s="121" customFormat="1">
      <c r="B156" s="1910"/>
      <c r="C156" s="1907"/>
      <c r="D156" s="1907"/>
      <c r="E156" s="1907"/>
      <c r="F156" s="1907"/>
      <c r="G156" s="1907"/>
      <c r="H156" s="1907"/>
      <c r="I156" s="1907"/>
      <c r="J156" s="1907"/>
      <c r="K156" s="1907"/>
      <c r="L156" s="1907"/>
      <c r="M156" s="1907"/>
      <c r="N156" s="1907"/>
      <c r="O156" s="1907"/>
      <c r="P156" s="1907"/>
      <c r="Q156" s="1907"/>
      <c r="R156" s="1909"/>
    </row>
    <row r="157" spans="2:19" ht="15.75">
      <c r="B157" s="1910"/>
      <c r="C157" s="1935" t="s">
        <v>1703</v>
      </c>
      <c r="D157" s="1907"/>
      <c r="E157" s="1907"/>
      <c r="F157" s="1907"/>
      <c r="G157" s="1907"/>
      <c r="H157" s="1907" t="s">
        <v>1709</v>
      </c>
      <c r="I157" s="1907" t="s">
        <v>1710</v>
      </c>
      <c r="J157" s="1907"/>
      <c r="K157" s="1907" t="s">
        <v>1709</v>
      </c>
      <c r="L157" s="1907" t="s">
        <v>1711</v>
      </c>
      <c r="M157" s="1907"/>
      <c r="N157" s="1907" t="s">
        <v>1708</v>
      </c>
      <c r="O157" s="1907"/>
      <c r="P157" s="1907"/>
      <c r="Q157" s="1907"/>
      <c r="R157" s="1909"/>
    </row>
    <row r="158" spans="2:19" ht="15.75">
      <c r="B158" s="1906"/>
      <c r="C158" s="1935"/>
      <c r="D158" s="1907"/>
      <c r="E158" s="1907"/>
      <c r="F158" s="1943" t="s">
        <v>1704</v>
      </c>
      <c r="G158" s="1907"/>
      <c r="H158" s="1944" t="s">
        <v>1705</v>
      </c>
      <c r="I158" s="1945" t="s">
        <v>1706</v>
      </c>
      <c r="J158" s="1907"/>
      <c r="K158" s="1907" t="s">
        <v>1707</v>
      </c>
      <c r="L158" s="1907" t="s">
        <v>1707</v>
      </c>
      <c r="M158" s="1907"/>
      <c r="N158" s="1907"/>
      <c r="O158" s="1907">
        <v>2020</v>
      </c>
      <c r="P158" s="1907">
        <v>2030</v>
      </c>
      <c r="Q158" s="1907">
        <v>2050</v>
      </c>
      <c r="R158" s="1909"/>
    </row>
    <row r="159" spans="2:19" s="731" customFormat="1">
      <c r="B159" s="1920"/>
      <c r="C159" s="1911"/>
      <c r="D159" s="1911" t="s">
        <v>1533</v>
      </c>
      <c r="E159" s="1911"/>
      <c r="F159" s="1921">
        <v>777.11766999999998</v>
      </c>
      <c r="G159" s="1921"/>
      <c r="H159" s="1921">
        <f>0.2*$F159</f>
        <v>155.42353400000002</v>
      </c>
      <c r="I159" s="1921">
        <f>0.66*$F159</f>
        <v>512.89766220000001</v>
      </c>
      <c r="J159" s="1911"/>
      <c r="K159" s="1911"/>
      <c r="L159" s="1911"/>
      <c r="M159" s="1911"/>
      <c r="N159" s="1922"/>
      <c r="O159" s="1922"/>
      <c r="P159" s="1922"/>
      <c r="Q159" s="1922"/>
      <c r="R159" s="1923"/>
    </row>
    <row r="160" spans="2:19">
      <c r="B160" s="1910"/>
      <c r="C160" s="1907"/>
      <c r="D160" s="1907" t="s">
        <v>1405</v>
      </c>
      <c r="E160" s="1907"/>
      <c r="F160" s="1918">
        <f>(31.401/2+6.768)</f>
        <v>22.468499999999999</v>
      </c>
      <c r="G160" s="1918"/>
      <c r="H160" s="1918"/>
      <c r="I160" s="1918"/>
      <c r="J160" s="1907"/>
      <c r="K160" s="1918">
        <f ca="1">K161*H131</f>
        <v>159.91723399999998</v>
      </c>
      <c r="L160" s="1918">
        <f ca="1">L161*H131</f>
        <v>527.72687219999989</v>
      </c>
      <c r="M160" s="1907"/>
      <c r="N160" s="1907"/>
      <c r="O160" s="1907"/>
      <c r="P160" s="1907"/>
      <c r="Q160" s="1907"/>
      <c r="R160" s="1909"/>
    </row>
    <row r="161" spans="1:18">
      <c r="B161" s="1910"/>
      <c r="C161" s="1907"/>
      <c r="D161" s="1911" t="s">
        <v>148</v>
      </c>
      <c r="E161" s="1907"/>
      <c r="F161" s="1921">
        <f>F159+F160</f>
        <v>799.58616999999992</v>
      </c>
      <c r="G161" s="1918"/>
      <c r="H161" s="1921">
        <f>0.2*$F161</f>
        <v>159.91723400000001</v>
      </c>
      <c r="I161" s="1921">
        <f>0.66*$F161</f>
        <v>527.7268722</v>
      </c>
      <c r="J161" s="1907"/>
      <c r="K161" s="1921">
        <f>H161/$F$131</f>
        <v>187.77578959575553</v>
      </c>
      <c r="L161" s="1921">
        <f>I161/$F$131</f>
        <v>619.66010566599323</v>
      </c>
      <c r="M161" s="1907"/>
      <c r="N161" s="1922"/>
      <c r="O161" s="1922">
        <f ca="1">K131/$H131</f>
        <v>0.93812927091310028</v>
      </c>
      <c r="P161" s="1922">
        <f ca="1">M131/$H131</f>
        <v>0.91385501105275413</v>
      </c>
      <c r="Q161" s="1922">
        <f ca="1">Q131/$H131</f>
        <v>0.98292153268709848</v>
      </c>
      <c r="R161" s="1909"/>
    </row>
    <row r="162" spans="1:18" s="246" customFormat="1">
      <c r="B162" s="1924"/>
      <c r="C162" s="1925"/>
      <c r="D162" s="1925" t="s">
        <v>1684</v>
      </c>
      <c r="E162" s="1925"/>
      <c r="F162" s="1925"/>
      <c r="G162" s="1925"/>
      <c r="H162" s="1946">
        <v>0.2</v>
      </c>
      <c r="I162" s="1946">
        <v>0.2</v>
      </c>
      <c r="J162" s="1946">
        <v>0.2</v>
      </c>
      <c r="K162" s="1946">
        <v>0.2</v>
      </c>
      <c r="L162" s="1946">
        <v>0.2</v>
      </c>
      <c r="M162" s="1946">
        <v>0.2</v>
      </c>
      <c r="N162" s="1946">
        <v>0.2</v>
      </c>
      <c r="O162" s="1946">
        <v>0.2</v>
      </c>
      <c r="P162" s="1946">
        <v>0.2</v>
      </c>
      <c r="Q162" s="1946">
        <v>0.2</v>
      </c>
      <c r="R162" s="1927"/>
    </row>
    <row r="163" spans="1:18" s="246" customFormat="1">
      <c r="B163" s="1924"/>
      <c r="C163" s="1925"/>
      <c r="D163" s="1925" t="s">
        <v>1873</v>
      </c>
      <c r="E163" s="1925"/>
      <c r="F163" s="1925"/>
      <c r="G163" s="1925"/>
      <c r="H163" s="1946">
        <v>0</v>
      </c>
      <c r="I163" s="1946">
        <v>0</v>
      </c>
      <c r="J163" s="1946">
        <v>0</v>
      </c>
      <c r="K163" s="1946">
        <v>0</v>
      </c>
      <c r="L163" s="1946">
        <v>0</v>
      </c>
      <c r="M163" s="1946">
        <v>0</v>
      </c>
      <c r="N163" s="1946">
        <v>0</v>
      </c>
      <c r="O163" s="1946">
        <v>0</v>
      </c>
      <c r="P163" s="1946">
        <v>0</v>
      </c>
      <c r="Q163" s="1946">
        <v>0</v>
      </c>
      <c r="R163" s="1927"/>
    </row>
    <row r="164" spans="1:18">
      <c r="B164" s="1928"/>
      <c r="C164" s="1929"/>
      <c r="D164" s="1929"/>
      <c r="E164" s="1929"/>
      <c r="F164" s="1929"/>
      <c r="G164" s="1929"/>
      <c r="H164" s="1929"/>
      <c r="I164" s="1929"/>
      <c r="J164" s="1929"/>
      <c r="K164" s="1929"/>
      <c r="L164" s="1929"/>
      <c r="M164" s="1929"/>
      <c r="N164" s="1929"/>
      <c r="O164" s="1929"/>
      <c r="P164" s="1929"/>
      <c r="Q164" s="1929"/>
      <c r="R164" s="1930"/>
    </row>
    <row r="165" spans="1:18" s="121" customFormat="1"/>
    <row r="166" spans="1:18" s="121" customFormat="1" ht="22.5">
      <c r="A166" s="1171"/>
      <c r="B166" s="2581" t="s">
        <v>1471</v>
      </c>
      <c r="C166" s="2582"/>
      <c r="D166" s="2582"/>
      <c r="E166" s="2582"/>
      <c r="F166" s="2582"/>
      <c r="G166" s="2582"/>
      <c r="H166" s="2583"/>
      <c r="I166" s="2583"/>
      <c r="J166" s="2583"/>
      <c r="K166" s="2583"/>
      <c r="L166" s="2583"/>
      <c r="M166" s="2583"/>
      <c r="N166" s="2583"/>
      <c r="O166" s="2583"/>
      <c r="P166" s="2583"/>
      <c r="Q166" s="2583"/>
      <c r="R166" s="2584"/>
    </row>
    <row r="167" spans="1:18" s="121" customFormat="1" ht="15.75">
      <c r="B167" s="2590"/>
      <c r="C167" s="2586"/>
      <c r="D167" s="2586"/>
      <c r="E167" s="2586"/>
      <c r="F167" s="2586"/>
      <c r="G167" s="2586"/>
      <c r="H167" s="2587"/>
      <c r="I167" s="2587"/>
      <c r="J167" s="2587"/>
      <c r="K167" s="2587"/>
      <c r="L167" s="2587"/>
      <c r="M167" s="2587"/>
      <c r="N167" s="2587"/>
      <c r="O167" s="2587"/>
      <c r="P167" s="2587"/>
      <c r="Q167" s="2587"/>
      <c r="R167" s="2591"/>
    </row>
    <row r="168" spans="1:18" s="121" customFormat="1">
      <c r="B168" s="2588"/>
      <c r="C168" s="2585" t="str">
        <f t="shared" ref="C168:Q175" si="42">C23</f>
        <v>N.01</v>
      </c>
      <c r="D168" s="2585" t="str">
        <f t="shared" si="42"/>
        <v>Nuclear fission</v>
      </c>
      <c r="E168" s="2585">
        <f t="shared" si="42"/>
        <v>0</v>
      </c>
      <c r="F168" s="2592">
        <f t="shared" ca="1" si="42"/>
        <v>163.24447683045062</v>
      </c>
      <c r="G168" s="2592">
        <f t="shared" si="42"/>
        <v>0</v>
      </c>
      <c r="H168" s="2592">
        <f t="shared" ca="1" si="42"/>
        <v>163.91620313701554</v>
      </c>
      <c r="I168" s="2592">
        <f t="shared" ca="1" si="42"/>
        <v>160.70999999999998</v>
      </c>
      <c r="J168" s="2592">
        <f t="shared" ca="1" si="42"/>
        <v>134.99639999999999</v>
      </c>
      <c r="K168" s="2592">
        <f t="shared" ca="1" si="42"/>
        <v>77.140800000000027</v>
      </c>
      <c r="L168" s="2592">
        <f t="shared" ca="1" si="42"/>
        <v>25.713600000000014</v>
      </c>
      <c r="M168" s="2592">
        <f t="shared" ca="1" si="42"/>
        <v>25.713600000000014</v>
      </c>
      <c r="N168" s="2592">
        <f t="shared" ca="1" si="42"/>
        <v>0</v>
      </c>
      <c r="O168" s="2592">
        <f t="shared" ca="1" si="42"/>
        <v>0</v>
      </c>
      <c r="P168" s="2592">
        <f t="shared" ca="1" si="42"/>
        <v>0</v>
      </c>
      <c r="Q168" s="2592">
        <f t="shared" ca="1" si="42"/>
        <v>0</v>
      </c>
      <c r="R168" s="2589"/>
    </row>
    <row r="169" spans="1:18" s="121" customFormat="1">
      <c r="B169" s="2588"/>
      <c r="C169" s="2585" t="str">
        <f t="shared" si="42"/>
        <v>R.01</v>
      </c>
      <c r="D169" s="2585" t="str">
        <f t="shared" si="42"/>
        <v>Solar</v>
      </c>
      <c r="E169" s="2585">
        <f t="shared" si="42"/>
        <v>0</v>
      </c>
      <c r="F169" s="2592">
        <f t="shared" ca="1" si="42"/>
        <v>0.53605914770000007</v>
      </c>
      <c r="G169" s="2592">
        <f t="shared" si="42"/>
        <v>0</v>
      </c>
      <c r="H169" s="2592">
        <f t="shared" ca="1" si="42"/>
        <v>1.700604E-2</v>
      </c>
      <c r="I169" s="2592">
        <f t="shared" ca="1" si="42"/>
        <v>2.8059966000000006E-2</v>
      </c>
      <c r="J169" s="2592">
        <f t="shared" ca="1" si="42"/>
        <v>1.3604831999999999E-2</v>
      </c>
      <c r="K169" s="2592">
        <f t="shared" ca="1" si="42"/>
        <v>0</v>
      </c>
      <c r="L169" s="2592">
        <f t="shared" ca="1" si="42"/>
        <v>0</v>
      </c>
      <c r="M169" s="2592">
        <f t="shared" ca="1" si="42"/>
        <v>0</v>
      </c>
      <c r="N169" s="2592">
        <f t="shared" ca="1" si="42"/>
        <v>0</v>
      </c>
      <c r="O169" s="2592">
        <f t="shared" ca="1" si="42"/>
        <v>0</v>
      </c>
      <c r="P169" s="2592">
        <f t="shared" ca="1" si="42"/>
        <v>0</v>
      </c>
      <c r="Q169" s="2592">
        <f t="shared" ca="1" si="42"/>
        <v>0</v>
      </c>
      <c r="R169" s="2589"/>
    </row>
    <row r="170" spans="1:18" s="121" customFormat="1">
      <c r="B170" s="2588"/>
      <c r="C170" s="2585" t="str">
        <f t="shared" si="42"/>
        <v>R.02</v>
      </c>
      <c r="D170" s="2585" t="str">
        <f t="shared" si="42"/>
        <v>Wind</v>
      </c>
      <c r="E170" s="2585">
        <f t="shared" si="42"/>
        <v>0</v>
      </c>
      <c r="F170" s="2592">
        <f t="shared" ca="1" si="42"/>
        <v>6.9788618847825861</v>
      </c>
      <c r="G170" s="2592">
        <f t="shared" si="42"/>
        <v>0</v>
      </c>
      <c r="H170" s="2592">
        <f t="shared" ca="1" si="42"/>
        <v>5.9627524176000009</v>
      </c>
      <c r="I170" s="2592">
        <f t="shared" ca="1" si="42"/>
        <v>14.440670099999998</v>
      </c>
      <c r="J170" s="2592">
        <f t="shared" ca="1" si="42"/>
        <v>29.342870099999999</v>
      </c>
      <c r="K170" s="2592">
        <f t="shared" ca="1" si="42"/>
        <v>44.245070100000007</v>
      </c>
      <c r="L170" s="2592">
        <f t="shared" ca="1" si="42"/>
        <v>54.102437099999996</v>
      </c>
      <c r="M170" s="2592">
        <f t="shared" ca="1" si="42"/>
        <v>43.456130099999996</v>
      </c>
      <c r="N170" s="2592">
        <f t="shared" ca="1" si="42"/>
        <v>28.553930100000002</v>
      </c>
      <c r="O170" s="2592">
        <f t="shared" ca="1" si="42"/>
        <v>13.6517301</v>
      </c>
      <c r="P170" s="2592">
        <f t="shared" ca="1" si="42"/>
        <v>0.28358010000000045</v>
      </c>
      <c r="Q170" s="2592">
        <f t="shared" ca="1" si="42"/>
        <v>0.28358010000000045</v>
      </c>
      <c r="R170" s="2589"/>
    </row>
    <row r="171" spans="1:18" s="121" customFormat="1">
      <c r="B171" s="2588"/>
      <c r="C171" s="2585" t="str">
        <f t="shared" si="42"/>
        <v>R.03</v>
      </c>
      <c r="D171" s="2585" t="str">
        <f t="shared" si="42"/>
        <v>Tidal</v>
      </c>
      <c r="E171" s="2585">
        <f t="shared" si="42"/>
        <v>0</v>
      </c>
      <c r="F171" s="2592">
        <f t="shared" ca="1" si="42"/>
        <v>0</v>
      </c>
      <c r="G171" s="2592">
        <f t="shared" si="42"/>
        <v>0</v>
      </c>
      <c r="H171" s="2592">
        <f t="shared" ca="1" si="42"/>
        <v>0</v>
      </c>
      <c r="I171" s="2592">
        <f t="shared" ca="1" si="42"/>
        <v>5.0034246575342495E-3</v>
      </c>
      <c r="J171" s="2592">
        <f t="shared" ca="1" si="42"/>
        <v>2.0013698630136998E-2</v>
      </c>
      <c r="K171" s="2592">
        <f t="shared" ca="1" si="42"/>
        <v>5.0034246575342486E-2</v>
      </c>
      <c r="L171" s="2592">
        <f t="shared" ca="1" si="42"/>
        <v>0.12508561643835608</v>
      </c>
      <c r="M171" s="2592">
        <f t="shared" ca="1" si="42"/>
        <v>0.12508561643835608</v>
      </c>
      <c r="N171" s="2592">
        <f t="shared" ca="1" si="42"/>
        <v>0</v>
      </c>
      <c r="O171" s="2592">
        <f t="shared" ca="1" si="42"/>
        <v>0</v>
      </c>
      <c r="P171" s="2592">
        <f t="shared" ca="1" si="42"/>
        <v>0</v>
      </c>
      <c r="Q171" s="2592">
        <f t="shared" ca="1" si="42"/>
        <v>0</v>
      </c>
      <c r="R171" s="2589"/>
    </row>
    <row r="172" spans="1:18" s="121" customFormat="1">
      <c r="B172" s="2588"/>
      <c r="C172" s="2585" t="str">
        <f t="shared" si="42"/>
        <v>R.04</v>
      </c>
      <c r="D172" s="2585" t="str">
        <f t="shared" si="42"/>
        <v>Wave</v>
      </c>
      <c r="E172" s="2585">
        <f t="shared" si="42"/>
        <v>0</v>
      </c>
      <c r="F172" s="2592">
        <f t="shared" ca="1" si="42"/>
        <v>0</v>
      </c>
      <c r="G172" s="2592">
        <f t="shared" si="42"/>
        <v>0</v>
      </c>
      <c r="H172" s="2592">
        <f t="shared" ca="1" si="42"/>
        <v>0</v>
      </c>
      <c r="I172" s="2592">
        <f t="shared" ca="1" si="42"/>
        <v>0</v>
      </c>
      <c r="J172" s="2592">
        <f t="shared" ca="1" si="42"/>
        <v>3.0020547945205484E-3</v>
      </c>
      <c r="K172" s="2592">
        <f t="shared" ca="1" si="42"/>
        <v>0.1584417808219177</v>
      </c>
      <c r="L172" s="2592">
        <f t="shared" ca="1" si="42"/>
        <v>0.39610445205479383</v>
      </c>
      <c r="M172" s="2592">
        <f t="shared" ca="1" si="42"/>
        <v>0.39610445205479383</v>
      </c>
      <c r="N172" s="2592">
        <f t="shared" ca="1" si="42"/>
        <v>0</v>
      </c>
      <c r="O172" s="2592">
        <f t="shared" ca="1" si="42"/>
        <v>0</v>
      </c>
      <c r="P172" s="2592">
        <f t="shared" ca="1" si="42"/>
        <v>0</v>
      </c>
      <c r="Q172" s="2592">
        <f t="shared" ca="1" si="42"/>
        <v>0</v>
      </c>
      <c r="R172" s="2589"/>
    </row>
    <row r="173" spans="1:18" s="121" customFormat="1">
      <c r="B173" s="2588"/>
      <c r="C173" s="2585" t="str">
        <f t="shared" si="42"/>
        <v>R.05</v>
      </c>
      <c r="D173" s="2585" t="str">
        <f t="shared" si="42"/>
        <v>Geothermal</v>
      </c>
      <c r="E173" s="2585">
        <f t="shared" si="42"/>
        <v>0</v>
      </c>
      <c r="F173" s="2592">
        <f t="shared" ca="1" si="42"/>
        <v>0</v>
      </c>
      <c r="G173" s="2592">
        <f t="shared" si="42"/>
        <v>0</v>
      </c>
      <c r="H173" s="2592">
        <f t="shared" ca="1" si="42"/>
        <v>0</v>
      </c>
      <c r="I173" s="2592">
        <f t="shared" ca="1" si="42"/>
        <v>0</v>
      </c>
      <c r="J173" s="2592">
        <f t="shared" ca="1" si="42"/>
        <v>0</v>
      </c>
      <c r="K173" s="2592">
        <f t="shared" ca="1" si="42"/>
        <v>0</v>
      </c>
      <c r="L173" s="2592">
        <f t="shared" ca="1" si="42"/>
        <v>0</v>
      </c>
      <c r="M173" s="2592">
        <f t="shared" ca="1" si="42"/>
        <v>0</v>
      </c>
      <c r="N173" s="2592">
        <f t="shared" ca="1" si="42"/>
        <v>0</v>
      </c>
      <c r="O173" s="2592">
        <f t="shared" ca="1" si="42"/>
        <v>0</v>
      </c>
      <c r="P173" s="2592">
        <f t="shared" ca="1" si="42"/>
        <v>0</v>
      </c>
      <c r="Q173" s="2592">
        <f t="shared" ca="1" si="42"/>
        <v>0</v>
      </c>
      <c r="R173" s="2589"/>
    </row>
    <row r="174" spans="1:18" s="121" customFormat="1">
      <c r="B174" s="2588"/>
      <c r="C174" s="2585" t="str">
        <f t="shared" si="42"/>
        <v>R.06</v>
      </c>
      <c r="D174" s="2585" t="str">
        <f t="shared" si="42"/>
        <v>Hydro</v>
      </c>
      <c r="E174" s="2585">
        <f t="shared" si="42"/>
        <v>0</v>
      </c>
      <c r="F174" s="2592">
        <f t="shared" ca="1" si="42"/>
        <v>5.0883943400000007</v>
      </c>
      <c r="G174" s="2592">
        <f t="shared" si="42"/>
        <v>0</v>
      </c>
      <c r="H174" s="2592">
        <f t="shared" ca="1" si="42"/>
        <v>4.1144009940000004</v>
      </c>
      <c r="I174" s="2592">
        <f t="shared" ca="1" si="42"/>
        <v>5.3297280000000011</v>
      </c>
      <c r="J174" s="2592">
        <f t="shared" ca="1" si="42"/>
        <v>5.3297280000000011</v>
      </c>
      <c r="K174" s="2592">
        <f t="shared" ca="1" si="42"/>
        <v>5.3297280000000011</v>
      </c>
      <c r="L174" s="2592">
        <f t="shared" ca="1" si="42"/>
        <v>5.3297280000000011</v>
      </c>
      <c r="M174" s="2592">
        <f t="shared" ca="1" si="42"/>
        <v>5.3297280000000011</v>
      </c>
      <c r="N174" s="2592">
        <f t="shared" ca="1" si="42"/>
        <v>5.3297280000000011</v>
      </c>
      <c r="O174" s="2592">
        <f t="shared" ca="1" si="42"/>
        <v>5.3297280000000011</v>
      </c>
      <c r="P174" s="2592">
        <f t="shared" ca="1" si="42"/>
        <v>5.3297280000000011</v>
      </c>
      <c r="Q174" s="2592">
        <f t="shared" ca="1" si="42"/>
        <v>5.3297280000000011</v>
      </c>
      <c r="R174" s="2589"/>
    </row>
    <row r="175" spans="1:18" s="121" customFormat="1">
      <c r="B175" s="2588"/>
      <c r="C175" s="2585" t="str">
        <f t="shared" si="42"/>
        <v>Y.02</v>
      </c>
      <c r="D175" s="2585" t="str">
        <f t="shared" si="42"/>
        <v>Electricity exports (imports)</v>
      </c>
      <c r="E175" s="2585">
        <f t="shared" si="42"/>
        <v>0</v>
      </c>
      <c r="F175" s="2592">
        <f ca="1">MAX(F30, 0)</f>
        <v>5.2145242500000002</v>
      </c>
      <c r="G175" s="2592">
        <f t="shared" ref="G175:Q175" si="43">MAX(G30, 0)</f>
        <v>0</v>
      </c>
      <c r="H175" s="2592">
        <f t="shared" ca="1" si="43"/>
        <v>5.2145242500000002</v>
      </c>
      <c r="I175" s="2592">
        <f t="shared" ca="1" si="43"/>
        <v>0</v>
      </c>
      <c r="J175" s="2592">
        <f t="shared" ca="1" si="43"/>
        <v>0</v>
      </c>
      <c r="K175" s="2592">
        <f t="shared" ca="1" si="43"/>
        <v>0</v>
      </c>
      <c r="L175" s="2592">
        <f t="shared" ca="1" si="43"/>
        <v>0</v>
      </c>
      <c r="M175" s="2592">
        <f t="shared" ca="1" si="43"/>
        <v>0</v>
      </c>
      <c r="N175" s="2592">
        <f t="shared" ca="1" si="43"/>
        <v>0</v>
      </c>
      <c r="O175" s="2592">
        <f t="shared" ca="1" si="43"/>
        <v>0</v>
      </c>
      <c r="P175" s="2592">
        <f t="shared" ca="1" si="43"/>
        <v>0</v>
      </c>
      <c r="Q175" s="2592">
        <f t="shared" ca="1" si="43"/>
        <v>5.6843418860808015E-14</v>
      </c>
      <c r="R175" s="2589"/>
    </row>
    <row r="176" spans="1:18" s="121" customFormat="1">
      <c r="B176" s="2588"/>
      <c r="C176" s="2585" t="str">
        <f t="shared" ref="C176:Q176" si="44">C32</f>
        <v>R.07</v>
      </c>
      <c r="D176" s="2585" t="str">
        <f t="shared" si="44"/>
        <v>Environmental heat</v>
      </c>
      <c r="E176" s="2585">
        <f t="shared" si="44"/>
        <v>0</v>
      </c>
      <c r="F176" s="2592">
        <f t="shared" ca="1" si="44"/>
        <v>0</v>
      </c>
      <c r="G176" s="2592">
        <f t="shared" si="44"/>
        <v>0</v>
      </c>
      <c r="H176" s="2592">
        <f t="shared" ca="1" si="44"/>
        <v>0</v>
      </c>
      <c r="I176" s="2592">
        <f t="shared" ca="1" si="44"/>
        <v>0</v>
      </c>
      <c r="J176" s="2592">
        <f t="shared" ca="1" si="44"/>
        <v>0</v>
      </c>
      <c r="K176" s="2592">
        <f t="shared" ca="1" si="44"/>
        <v>0</v>
      </c>
      <c r="L176" s="2592">
        <f t="shared" ca="1" si="44"/>
        <v>0</v>
      </c>
      <c r="M176" s="2592">
        <f t="shared" ca="1" si="44"/>
        <v>0</v>
      </c>
      <c r="N176" s="2592">
        <f t="shared" ca="1" si="44"/>
        <v>0</v>
      </c>
      <c r="O176" s="2592">
        <f t="shared" ca="1" si="44"/>
        <v>0</v>
      </c>
      <c r="P176" s="2592">
        <f t="shared" ca="1" si="44"/>
        <v>0</v>
      </c>
      <c r="Q176" s="2592">
        <f t="shared" ca="1" si="44"/>
        <v>0</v>
      </c>
      <c r="R176" s="2589"/>
    </row>
    <row r="177" spans="1:18" s="121" customFormat="1">
      <c r="B177" s="2588"/>
      <c r="C177" s="2585"/>
      <c r="D177" s="2585" t="str">
        <f t="shared" ref="D177:Q177" si="45">D36</f>
        <v>Agriculture, waste, and biomatter imports</v>
      </c>
      <c r="E177" s="2585">
        <f t="shared" si="45"/>
        <v>0</v>
      </c>
      <c r="F177" s="2592">
        <f t="shared" ca="1" si="45"/>
        <v>98.508799656823257</v>
      </c>
      <c r="G177" s="2592">
        <f t="shared" si="45"/>
        <v>0</v>
      </c>
      <c r="H177" s="2592">
        <f t="shared" ca="1" si="45"/>
        <v>70.949028130756432</v>
      </c>
      <c r="I177" s="2592">
        <f t="shared" ca="1" si="45"/>
        <v>83.773157740859332</v>
      </c>
      <c r="J177" s="2592">
        <f t="shared" ca="1" si="45"/>
        <v>123.45997016676208</v>
      </c>
      <c r="K177" s="2592">
        <f t="shared" ca="1" si="45"/>
        <v>170.43350561959289</v>
      </c>
      <c r="L177" s="2592">
        <f t="shared" ca="1" si="45"/>
        <v>197.58381376394567</v>
      </c>
      <c r="M177" s="2592">
        <f t="shared" ca="1" si="45"/>
        <v>217.98908385242413</v>
      </c>
      <c r="N177" s="2592">
        <f t="shared" ca="1" si="45"/>
        <v>244.00256199257785</v>
      </c>
      <c r="O177" s="2592">
        <f t="shared" ca="1" si="45"/>
        <v>273.25275878728661</v>
      </c>
      <c r="P177" s="2592">
        <f t="shared" ca="1" si="45"/>
        <v>299.51788637600964</v>
      </c>
      <c r="Q177" s="2592">
        <f t="shared" ca="1" si="45"/>
        <v>328.07208317312518</v>
      </c>
      <c r="R177" s="2589"/>
    </row>
    <row r="178" spans="1:18" s="121" customFormat="1">
      <c r="B178" s="2588"/>
      <c r="C178" s="2585"/>
      <c r="D178" s="2585" t="str">
        <f t="shared" ref="D178:E178" si="46">D39</f>
        <v>Coal</v>
      </c>
      <c r="E178" s="2585">
        <f t="shared" si="46"/>
        <v>0</v>
      </c>
      <c r="F178" s="2592">
        <f ca="1">MAX(F39,0)</f>
        <v>475.40217731177438</v>
      </c>
      <c r="G178" s="2592">
        <f t="shared" ref="G178:Q178" si="47">MAX(G39,0)</f>
        <v>0</v>
      </c>
      <c r="H178" s="2592">
        <f t="shared" ca="1" si="47"/>
        <v>400.92807953732461</v>
      </c>
      <c r="I178" s="2592">
        <f t="shared" ca="1" si="47"/>
        <v>379.76597567116818</v>
      </c>
      <c r="J178" s="2592">
        <f t="shared" ca="1" si="47"/>
        <v>241.86998643630537</v>
      </c>
      <c r="K178" s="2592">
        <f t="shared" ca="1" si="47"/>
        <v>128.09898610495765</v>
      </c>
      <c r="L178" s="2592">
        <f t="shared" ca="1" si="47"/>
        <v>3.0907862736342366</v>
      </c>
      <c r="M178" s="2592">
        <f t="shared" ca="1" si="47"/>
        <v>0</v>
      </c>
      <c r="N178" s="2592">
        <f t="shared" ca="1" si="47"/>
        <v>0</v>
      </c>
      <c r="O178" s="2592">
        <f t="shared" ca="1" si="47"/>
        <v>0</v>
      </c>
      <c r="P178" s="2592">
        <f t="shared" ca="1" si="47"/>
        <v>0</v>
      </c>
      <c r="Q178" s="2592">
        <f t="shared" ca="1" si="47"/>
        <v>0</v>
      </c>
      <c r="R178" s="2589"/>
    </row>
    <row r="179" spans="1:18" s="121" customFormat="1">
      <c r="B179" s="2588"/>
      <c r="C179" s="2585"/>
      <c r="D179" s="2585" t="str">
        <f t="shared" ref="D179:Q179" si="48">D43</f>
        <v>Oil and petroleum products</v>
      </c>
      <c r="E179" s="2585">
        <f t="shared" si="48"/>
        <v>0</v>
      </c>
      <c r="F179" s="2592">
        <f t="shared" ca="1" si="48"/>
        <v>906.622998738918</v>
      </c>
      <c r="G179" s="2592">
        <f t="shared" si="48"/>
        <v>0</v>
      </c>
      <c r="H179" s="2592">
        <f t="shared" ca="1" si="48"/>
        <v>875.29826266475266</v>
      </c>
      <c r="I179" s="2592">
        <f t="shared" ca="1" si="48"/>
        <v>879.88654710744879</v>
      </c>
      <c r="J179" s="2592">
        <f t="shared" ca="1" si="48"/>
        <v>861.54937235318141</v>
      </c>
      <c r="K179" s="2592">
        <f t="shared" ca="1" si="48"/>
        <v>855.49601977451869</v>
      </c>
      <c r="L179" s="2592">
        <f t="shared" ca="1" si="48"/>
        <v>827.07383830358731</v>
      </c>
      <c r="M179" s="2592">
        <f t="shared" ca="1" si="48"/>
        <v>796.97441639052499</v>
      </c>
      <c r="N179" s="2592">
        <f t="shared" ca="1" si="48"/>
        <v>795.10578931526902</v>
      </c>
      <c r="O179" s="2592">
        <f t="shared" ca="1" si="48"/>
        <v>788.99093031521011</v>
      </c>
      <c r="P179" s="2592">
        <f t="shared" ca="1" si="48"/>
        <v>786.52173302619337</v>
      </c>
      <c r="Q179" s="2592">
        <f t="shared" ca="1" si="48"/>
        <v>786.05031450159186</v>
      </c>
      <c r="R179" s="2589"/>
    </row>
    <row r="180" spans="1:18" s="121" customFormat="1">
      <c r="B180" s="2588"/>
      <c r="C180" s="2585"/>
      <c r="D180" s="2585" t="str">
        <f t="shared" ref="D180:Q181" si="49">D46</f>
        <v>Natural gas</v>
      </c>
      <c r="E180" s="2585">
        <f t="shared" si="49"/>
        <v>0</v>
      </c>
      <c r="F180" s="2592">
        <f t="shared" ca="1" si="49"/>
        <v>1048.9298032969484</v>
      </c>
      <c r="G180" s="2592">
        <f t="shared" si="49"/>
        <v>0</v>
      </c>
      <c r="H180" s="2592">
        <f t="shared" ca="1" si="49"/>
        <v>1008.1919216008305</v>
      </c>
      <c r="I180" s="2592">
        <f t="shared" ca="1" si="49"/>
        <v>1038.7836208262938</v>
      </c>
      <c r="J180" s="2592">
        <f t="shared" ca="1" si="49"/>
        <v>1147.1123064638814</v>
      </c>
      <c r="K180" s="2592">
        <f t="shared" ca="1" si="49"/>
        <v>1248.1539285827585</v>
      </c>
      <c r="L180" s="2592">
        <f t="shared" ca="1" si="49"/>
        <v>1378.9428737818355</v>
      </c>
      <c r="M180" s="2592">
        <f t="shared" ca="1" si="49"/>
        <v>1451.5364589777619</v>
      </c>
      <c r="N180" s="2592">
        <f t="shared" ca="1" si="49"/>
        <v>1545.6001830162397</v>
      </c>
      <c r="O180" s="2592">
        <f t="shared" ca="1" si="49"/>
        <v>1627.806060079592</v>
      </c>
      <c r="P180" s="2592">
        <f t="shared" ca="1" si="49"/>
        <v>1712.8141656029861</v>
      </c>
      <c r="Q180" s="2592">
        <f t="shared" ca="1" si="49"/>
        <v>1777.3090420699018</v>
      </c>
      <c r="R180" s="2589"/>
    </row>
    <row r="181" spans="1:18" s="121" customFormat="1">
      <c r="B181" s="2588"/>
      <c r="C181" s="2585"/>
      <c r="D181" s="2593" t="str">
        <f t="shared" si="49"/>
        <v>Total Primary Supply</v>
      </c>
      <c r="E181" s="2585">
        <f t="shared" si="49"/>
        <v>0</v>
      </c>
      <c r="F181" s="2594">
        <f t="shared" ca="1" si="49"/>
        <v>2710.5260954573969</v>
      </c>
      <c r="G181" s="2594">
        <f t="shared" si="49"/>
        <v>0</v>
      </c>
      <c r="H181" s="2594">
        <f t="shared" ca="1" si="49"/>
        <v>2534.59217877228</v>
      </c>
      <c r="I181" s="2594">
        <f t="shared" ca="1" si="49"/>
        <v>2562.7227628364276</v>
      </c>
      <c r="J181" s="2594">
        <f t="shared" ca="1" si="49"/>
        <v>2543.6972541055547</v>
      </c>
      <c r="K181" s="2594">
        <f t="shared" ca="1" si="49"/>
        <v>2529.1065142092248</v>
      </c>
      <c r="L181" s="2594">
        <f t="shared" ca="1" si="49"/>
        <v>2492.3582672914958</v>
      </c>
      <c r="M181" s="2594">
        <f t="shared" ca="1" si="49"/>
        <v>2533.3674447288408</v>
      </c>
      <c r="N181" s="2594">
        <f t="shared" ca="1" si="49"/>
        <v>2598.2864900092695</v>
      </c>
      <c r="O181" s="2594">
        <f t="shared" ca="1" si="49"/>
        <v>2675.1402466473937</v>
      </c>
      <c r="P181" s="2594">
        <f t="shared" ca="1" si="49"/>
        <v>2761.3330714022022</v>
      </c>
      <c r="Q181" s="2594">
        <f t="shared" ca="1" si="49"/>
        <v>2844.1094631729238</v>
      </c>
      <c r="R181" s="2589"/>
    </row>
    <row r="182" spans="1:18" s="121" customFormat="1">
      <c r="B182" s="2588"/>
      <c r="C182" s="2585"/>
      <c r="D182" s="2585" t="s">
        <v>2449</v>
      </c>
      <c r="E182" s="2585"/>
      <c r="F182" s="2595">
        <f ca="1">MAX(0,F30)+MAX(0,F35)+MAX(0,F37)+MAX(0,F41)+MAX(0,F44)</f>
        <v>655.69238970528636</v>
      </c>
      <c r="G182" s="2595">
        <f t="shared" ref="G182:Q182" si="50">MAX(0,G30)+MAX(0,G35)+MAX(0,G37)+MAX(0,G41)+MAX(0,G44)</f>
        <v>0</v>
      </c>
      <c r="H182" s="2595">
        <f t="shared" ca="1" si="50"/>
        <v>455.13050633548352</v>
      </c>
      <c r="I182" s="2595">
        <f t="shared" ca="1" si="50"/>
        <v>724.44791714452742</v>
      </c>
      <c r="J182" s="2595">
        <f t="shared" ca="1" si="50"/>
        <v>955.88873176518769</v>
      </c>
      <c r="K182" s="2595">
        <f t="shared" ca="1" si="50"/>
        <v>1177.961233435527</v>
      </c>
      <c r="L182" s="2595">
        <f t="shared" ca="1" si="50"/>
        <v>1467.8543308606854</v>
      </c>
      <c r="M182" s="2595">
        <f t="shared" ca="1" si="50"/>
        <v>1662.1580145517969</v>
      </c>
      <c r="N182" s="2595">
        <f t="shared" ca="1" si="50"/>
        <v>1874.8487165893634</v>
      </c>
      <c r="O182" s="2595">
        <f t="shared" ca="1" si="50"/>
        <v>2046.5608471082419</v>
      </c>
      <c r="P182" s="2595">
        <f t="shared" ca="1" si="50"/>
        <v>2204.9615890097457</v>
      </c>
      <c r="Q182" s="2595">
        <f t="shared" ca="1" si="50"/>
        <v>2329.1509183246408</v>
      </c>
      <c r="R182" s="2589"/>
    </row>
    <row r="183" spans="1:18" s="121" customFormat="1">
      <c r="B183" s="2588"/>
      <c r="C183" s="2585"/>
      <c r="D183" s="2585"/>
      <c r="E183" s="2585"/>
      <c r="F183" s="2595"/>
      <c r="G183" s="2595"/>
      <c r="H183" s="2595"/>
      <c r="I183" s="2595"/>
      <c r="J183" s="2595"/>
      <c r="K183" s="2595"/>
      <c r="L183" s="2595"/>
      <c r="M183" s="2595"/>
      <c r="N183" s="2595"/>
      <c r="O183" s="2595"/>
      <c r="P183" s="2595"/>
      <c r="Q183" s="2595"/>
      <c r="R183" s="2589"/>
    </row>
    <row r="184" spans="1:18" s="121" customFormat="1">
      <c r="B184" s="2588"/>
      <c r="C184" s="2585"/>
      <c r="D184" s="2585" t="s">
        <v>156</v>
      </c>
      <c r="E184" s="2585"/>
      <c r="F184" s="2595">
        <f ca="1">F18+F52+F53</f>
        <v>2707.9903243745525</v>
      </c>
      <c r="G184" s="2595">
        <f t="shared" ref="G184:Q184" si="51">G18+G52+G53</f>
        <v>0</v>
      </c>
      <c r="H184" s="2595">
        <f t="shared" ca="1" si="51"/>
        <v>2534.5921787722796</v>
      </c>
      <c r="I184" s="2595">
        <f t="shared" ca="1" si="51"/>
        <v>2562.7227628364276</v>
      </c>
      <c r="J184" s="2595">
        <f t="shared" ca="1" si="51"/>
        <v>2543.6972541055547</v>
      </c>
      <c r="K184" s="2595">
        <f t="shared" ca="1" si="51"/>
        <v>2529.1065142092248</v>
      </c>
      <c r="L184" s="2595">
        <f t="shared" ca="1" si="51"/>
        <v>2492.3582672914958</v>
      </c>
      <c r="M184" s="2595">
        <f t="shared" ca="1" si="51"/>
        <v>2533.3674447288408</v>
      </c>
      <c r="N184" s="2595">
        <f t="shared" ca="1" si="51"/>
        <v>2598.2864900092695</v>
      </c>
      <c r="O184" s="2595">
        <f t="shared" ca="1" si="51"/>
        <v>2675.1402466473937</v>
      </c>
      <c r="P184" s="2595">
        <f t="shared" ca="1" si="51"/>
        <v>2761.3330714022018</v>
      </c>
      <c r="Q184" s="2595">
        <f t="shared" ca="1" si="51"/>
        <v>2844.1094631729238</v>
      </c>
      <c r="R184" s="2589"/>
    </row>
    <row r="185" spans="1:18" s="121" customFormat="1">
      <c r="B185" s="2588"/>
      <c r="C185" s="2585"/>
      <c r="D185" s="2585"/>
      <c r="E185" s="2585"/>
      <c r="F185" s="2595"/>
      <c r="G185" s="2595"/>
      <c r="H185" s="2595"/>
      <c r="I185" s="2595"/>
      <c r="J185" s="2595"/>
      <c r="K185" s="2595"/>
      <c r="L185" s="2595"/>
      <c r="M185" s="2595"/>
      <c r="N185" s="2595"/>
      <c r="O185" s="2595"/>
      <c r="P185" s="2595"/>
      <c r="Q185" s="2595"/>
      <c r="R185" s="2589"/>
    </row>
    <row r="186" spans="1:18" s="121" customFormat="1">
      <c r="B186" s="2596"/>
      <c r="C186" s="2597"/>
      <c r="D186" s="2597"/>
      <c r="E186" s="2597"/>
      <c r="F186" s="2598"/>
      <c r="G186" s="2598"/>
      <c r="H186" s="2598"/>
      <c r="I186" s="2598"/>
      <c r="J186" s="2598"/>
      <c r="K186" s="2598"/>
      <c r="L186" s="2598"/>
      <c r="M186" s="2598"/>
      <c r="N186" s="2598"/>
      <c r="O186" s="2598"/>
      <c r="P186" s="2598"/>
      <c r="Q186" s="2598"/>
      <c r="R186" s="2599"/>
    </row>
    <row r="187" spans="1:18" s="121" customFormat="1">
      <c r="B187" s="2600"/>
      <c r="C187" s="2601"/>
      <c r="D187" s="2601"/>
      <c r="E187" s="2601"/>
      <c r="F187" s="2602"/>
      <c r="G187" s="2602"/>
      <c r="H187" s="2602"/>
      <c r="I187" s="2602"/>
      <c r="J187" s="2602"/>
      <c r="K187" s="2602"/>
      <c r="L187" s="2602"/>
      <c r="M187" s="2602"/>
      <c r="N187" s="2602"/>
      <c r="O187" s="2602"/>
      <c r="P187" s="2602"/>
      <c r="Q187" s="2602"/>
      <c r="R187" s="2603"/>
    </row>
    <row r="188" spans="1:18" s="121" customFormat="1">
      <c r="F188" s="2293"/>
      <c r="G188" s="2293"/>
      <c r="H188" s="2293"/>
      <c r="I188" s="2293"/>
      <c r="J188" s="2293"/>
      <c r="K188" s="2293"/>
      <c r="L188" s="2293"/>
      <c r="M188" s="2293"/>
      <c r="N188" s="2293"/>
      <c r="O188" s="2293"/>
      <c r="P188" s="2293"/>
      <c r="Q188" s="2293"/>
    </row>
    <row r="189" spans="1:18" s="121" customFormat="1" ht="22.5">
      <c r="A189" s="1171"/>
      <c r="B189" s="2581" t="s">
        <v>2427</v>
      </c>
      <c r="C189" s="2582"/>
      <c r="D189" s="2582"/>
      <c r="E189" s="2582"/>
      <c r="F189" s="2582"/>
      <c r="G189" s="2582"/>
      <c r="H189" s="2583"/>
      <c r="I189" s="2583"/>
      <c r="J189" s="2583"/>
      <c r="K189" s="2583"/>
      <c r="L189" s="2583"/>
      <c r="M189" s="2583"/>
      <c r="N189" s="2583"/>
      <c r="O189" s="2583"/>
      <c r="P189" s="2583"/>
      <c r="Q189" s="2583"/>
      <c r="R189" s="2584"/>
    </row>
    <row r="190" spans="1:18" s="121" customFormat="1" ht="15.75">
      <c r="B190" s="2590"/>
      <c r="C190" s="2586"/>
      <c r="D190" s="2586"/>
      <c r="E190" s="2586"/>
      <c r="F190" s="2586"/>
      <c r="G190" s="2586"/>
      <c r="H190" s="2587" t="s">
        <v>2409</v>
      </c>
      <c r="I190" s="2587">
        <f ca="1">1-K131</f>
        <v>0.20105228441946732</v>
      </c>
      <c r="J190" s="2587" t="s">
        <v>2410</v>
      </c>
      <c r="K190" s="2587"/>
      <c r="L190" s="2587"/>
      <c r="M190" s="2587"/>
      <c r="N190" s="2587"/>
      <c r="O190" s="2587"/>
      <c r="P190" s="2587"/>
      <c r="Q190" s="2587"/>
      <c r="R190" s="2591"/>
    </row>
    <row r="191" spans="1:18" s="121" customFormat="1">
      <c r="B191" s="2588"/>
      <c r="C191" s="2585"/>
      <c r="D191" s="2585"/>
      <c r="E191" s="2585"/>
      <c r="F191" s="2592"/>
      <c r="G191" s="2592"/>
      <c r="H191" s="2592" t="s">
        <v>2411</v>
      </c>
      <c r="I191" s="2592">
        <f ca="1">1-M131</f>
        <v>0.22172519705970006</v>
      </c>
      <c r="J191" s="2592" t="s">
        <v>2410</v>
      </c>
      <c r="K191" s="2592"/>
      <c r="L191" s="2592"/>
      <c r="M191" s="2592"/>
      <c r="N191" s="2592"/>
      <c r="O191" s="2592"/>
      <c r="P191" s="2592"/>
      <c r="Q191" s="2592"/>
      <c r="R191" s="2589"/>
    </row>
    <row r="192" spans="1:18" s="121" customFormat="1">
      <c r="B192" s="2588"/>
      <c r="C192" s="2585"/>
      <c r="D192" s="2585"/>
      <c r="E192" s="2585"/>
      <c r="F192" s="2592"/>
      <c r="G192" s="2592"/>
      <c r="H192" s="2592" t="s">
        <v>2412</v>
      </c>
      <c r="I192" s="2592">
        <f ca="1">1-Q131</f>
        <v>0.16290543586714656</v>
      </c>
      <c r="J192" s="2592" t="s">
        <v>2410</v>
      </c>
      <c r="K192" s="2592"/>
      <c r="L192" s="2592"/>
      <c r="M192" s="2592"/>
      <c r="N192" s="2592"/>
      <c r="O192" s="2592"/>
      <c r="P192" s="2592"/>
      <c r="Q192" s="2592"/>
      <c r="R192" s="2589"/>
    </row>
    <row r="193" spans="1:19" s="121" customFormat="1">
      <c r="B193" s="2588"/>
      <c r="C193" s="2585"/>
      <c r="D193" s="2585"/>
      <c r="E193" s="2585"/>
      <c r="F193" s="2592"/>
      <c r="G193" s="2592"/>
      <c r="H193" s="2592" t="s">
        <v>2413</v>
      </c>
      <c r="I193" s="2592">
        <f ca="1">'2020'!$DH$114*1000</f>
        <v>390.18476488945629</v>
      </c>
      <c r="J193" s="2592" t="s">
        <v>2414</v>
      </c>
      <c r="K193" s="2592"/>
      <c r="L193" s="2592" t="s">
        <v>2415</v>
      </c>
      <c r="M193" s="2592"/>
      <c r="N193" s="2592"/>
      <c r="O193" s="2592"/>
      <c r="P193" s="2592"/>
      <c r="Q193" s="2592"/>
      <c r="R193" s="2589"/>
    </row>
    <row r="194" spans="1:19" s="121" customFormat="1">
      <c r="B194" s="2588"/>
      <c r="C194" s="2585"/>
      <c r="D194" s="2585"/>
      <c r="E194" s="2585"/>
      <c r="F194" s="2592"/>
      <c r="G194" s="2592"/>
      <c r="H194" s="2592" t="s">
        <v>2416</v>
      </c>
      <c r="I194" s="2592">
        <f ca="1">'2030'!$DH$114*1000</f>
        <v>353.77662186425209</v>
      </c>
      <c r="J194" s="2592" t="s">
        <v>2414</v>
      </c>
      <c r="K194" s="2592"/>
      <c r="L194" s="2592" t="s">
        <v>2417</v>
      </c>
      <c r="M194" s="2592"/>
      <c r="N194" s="2592"/>
      <c r="O194" s="2592"/>
      <c r="P194" s="2592"/>
      <c r="Q194" s="2592"/>
      <c r="R194" s="2589"/>
    </row>
    <row r="195" spans="1:19" s="121" customFormat="1">
      <c r="B195" s="2588"/>
      <c r="C195" s="2585"/>
      <c r="D195" s="2585"/>
      <c r="E195" s="2585"/>
      <c r="F195" s="2592"/>
      <c r="G195" s="2592"/>
      <c r="H195" s="2592" t="s">
        <v>2418</v>
      </c>
      <c r="I195" s="2592">
        <f ca="1">'2050'!$DH$114*1000</f>
        <v>402.81755038115261</v>
      </c>
      <c r="J195" s="2592" t="s">
        <v>2414</v>
      </c>
      <c r="K195" s="2592"/>
      <c r="L195" s="2592" t="s">
        <v>2419</v>
      </c>
      <c r="M195" s="2592"/>
      <c r="N195" s="2592"/>
      <c r="O195" s="2592"/>
      <c r="P195" s="2592"/>
      <c r="Q195" s="2592"/>
      <c r="R195" s="2589"/>
    </row>
    <row r="196" spans="1:19" s="121" customFormat="1">
      <c r="B196" s="2588"/>
      <c r="C196" s="2585"/>
      <c r="D196" s="2585"/>
      <c r="E196" s="2585"/>
      <c r="F196" s="2592"/>
      <c r="G196" s="2592"/>
      <c r="H196" s="2592" t="s">
        <v>2420</v>
      </c>
      <c r="I196" s="2592">
        <f ca="1">K182/K181</f>
        <v>0.46576181225164409</v>
      </c>
      <c r="J196" s="2592" t="s">
        <v>2421</v>
      </c>
      <c r="K196" s="2592"/>
      <c r="L196" s="2592"/>
      <c r="M196" s="2592"/>
      <c r="N196" s="2592"/>
      <c r="O196" s="2592"/>
      <c r="P196" s="2592"/>
      <c r="Q196" s="2592"/>
      <c r="R196" s="2589"/>
    </row>
    <row r="197" spans="1:19" s="121" customFormat="1">
      <c r="B197" s="2588"/>
      <c r="C197" s="2585"/>
      <c r="D197" s="2585"/>
      <c r="E197" s="2585"/>
      <c r="F197" s="2592"/>
      <c r="G197" s="2592"/>
      <c r="H197" s="2592" t="s">
        <v>2422</v>
      </c>
      <c r="I197" s="2592">
        <f ca="1">Q182/Q181</f>
        <v>0.81893856354115535</v>
      </c>
      <c r="J197" s="2592" t="s">
        <v>2421</v>
      </c>
      <c r="K197" s="2592"/>
      <c r="L197" s="2592"/>
      <c r="M197" s="2592"/>
      <c r="N197" s="2592"/>
      <c r="O197" s="2592"/>
      <c r="P197" s="2592"/>
      <c r="Q197" s="2592"/>
      <c r="R197" s="2589"/>
    </row>
    <row r="198" spans="1:19" s="121" customFormat="1">
      <c r="B198" s="2588"/>
      <c r="C198" s="2585"/>
      <c r="D198" s="2585"/>
      <c r="E198" s="2585"/>
      <c r="F198" s="2592"/>
      <c r="G198" s="2592"/>
      <c r="H198" s="2592" t="s">
        <v>2423</v>
      </c>
      <c r="I198" s="2592">
        <f ca="1">Control!BL42</f>
        <v>0.30529835898828611</v>
      </c>
      <c r="J198" s="2592" t="s">
        <v>2424</v>
      </c>
      <c r="K198" s="2592"/>
      <c r="L198" s="2592"/>
      <c r="M198" s="2592"/>
      <c r="N198" s="2592"/>
      <c r="O198" s="2592"/>
      <c r="P198" s="2592"/>
      <c r="Q198" s="2592"/>
      <c r="R198" s="2589"/>
    </row>
    <row r="199" spans="1:19" s="121" customFormat="1">
      <c r="B199" s="2588"/>
      <c r="C199" s="2585"/>
      <c r="D199" s="2585"/>
      <c r="E199" s="2585"/>
      <c r="F199" s="2592"/>
      <c r="G199" s="2592"/>
      <c r="H199" s="2592" t="s">
        <v>398</v>
      </c>
      <c r="I199" s="2592">
        <f ca="1">Control!BL43</f>
        <v>0</v>
      </c>
      <c r="J199" s="2592" t="s">
        <v>2425</v>
      </c>
      <c r="K199" s="2592"/>
      <c r="L199" s="2592"/>
      <c r="M199" s="2592"/>
      <c r="N199" s="2592"/>
      <c r="O199" s="2592"/>
      <c r="P199" s="2592"/>
      <c r="Q199" s="2592"/>
      <c r="R199" s="2589"/>
    </row>
    <row r="200" spans="1:19" s="121" customFormat="1">
      <c r="B200" s="2588"/>
      <c r="C200" s="2585"/>
      <c r="D200" s="2585"/>
      <c r="E200" s="2585"/>
      <c r="F200" s="2592"/>
      <c r="G200" s="2592"/>
      <c r="H200" s="2592" t="s">
        <v>2426</v>
      </c>
      <c r="I200" s="2592">
        <f>SUM(Control!N5:N46)</f>
        <v>35</v>
      </c>
      <c r="J200" s="2592" t="s">
        <v>2450</v>
      </c>
      <c r="K200" s="2592"/>
      <c r="L200" s="2592"/>
      <c r="M200" s="2592"/>
      <c r="N200" s="2592"/>
      <c r="O200" s="2592"/>
      <c r="P200" s="2592"/>
      <c r="Q200" s="2592"/>
      <c r="R200" s="2589"/>
    </row>
    <row r="201" spans="1:19">
      <c r="A201"/>
      <c r="B201" s="2588"/>
      <c r="C201" s="2585"/>
      <c r="D201" s="2585"/>
      <c r="E201" s="2585"/>
      <c r="F201" s="2592"/>
      <c r="G201" s="2592"/>
      <c r="H201" s="2592"/>
      <c r="I201" s="2592"/>
      <c r="J201" s="2592"/>
      <c r="K201" s="2592"/>
      <c r="L201" s="2592"/>
      <c r="M201" s="2592"/>
      <c r="N201" s="2592"/>
      <c r="O201" s="2592"/>
      <c r="P201" s="2592"/>
      <c r="Q201" s="2592"/>
      <c r="R201" s="2589"/>
      <c r="S201"/>
    </row>
    <row r="202" spans="1:19">
      <c r="A202"/>
      <c r="S202"/>
    </row>
  </sheetData>
  <pageMargins left="0.7" right="0.7" top="0.75" bottom="0.75" header="0.3" footer="0.3"/>
  <pageSetup paperSize="9" orientation="portrait" r:id="rId1"/>
  <ignoredErrors>
    <ignoredError sqref="H142:Q142 F109 H109:Q109 F99:Q99" formula="1"/>
    <ignoredError sqref="I132:Q132" evalError="1"/>
  </ignoredErrors>
</worksheet>
</file>

<file path=xl/worksheets/sheet70.xml><?xml version="1.0" encoding="utf-8"?>
<worksheet xmlns="http://schemas.openxmlformats.org/spreadsheetml/2006/main" xmlns:r="http://schemas.openxmlformats.org/officeDocument/2006/relationships">
  <sheetPr codeName="Sheet121"/>
  <dimension ref="A1:H67"/>
  <sheetViews>
    <sheetView zoomScale="80" zoomScaleNormal="80" workbookViewId="0"/>
  </sheetViews>
  <sheetFormatPr defaultRowHeight="12.75"/>
  <cols>
    <col min="1" max="1" width="27.28515625" style="223" customWidth="1"/>
    <col min="2" max="3" width="7.85546875" style="223" customWidth="1"/>
    <col min="4" max="4" width="31" style="223" customWidth="1"/>
    <col min="5" max="6" width="7.85546875" style="223" customWidth="1"/>
    <col min="7" max="256" width="9.140625" style="223"/>
    <col min="257" max="257" width="27.28515625" style="223" customWidth="1"/>
    <col min="258" max="259" width="7.85546875" style="223" customWidth="1"/>
    <col min="260" max="260" width="31" style="223" customWidth="1"/>
    <col min="261" max="262" width="7.85546875" style="223" customWidth="1"/>
    <col min="263" max="512" width="9.140625" style="223"/>
    <col min="513" max="513" width="27.28515625" style="223" customWidth="1"/>
    <col min="514" max="515" width="7.85546875" style="223" customWidth="1"/>
    <col min="516" max="516" width="31" style="223" customWidth="1"/>
    <col min="517" max="518" width="7.85546875" style="223" customWidth="1"/>
    <col min="519" max="768" width="9.140625" style="223"/>
    <col min="769" max="769" width="27.28515625" style="223" customWidth="1"/>
    <col min="770" max="771" width="7.85546875" style="223" customWidth="1"/>
    <col min="772" max="772" width="31" style="223" customWidth="1"/>
    <col min="773" max="774" width="7.85546875" style="223" customWidth="1"/>
    <col min="775" max="1024" width="9.140625" style="223"/>
    <col min="1025" max="1025" width="27.28515625" style="223" customWidth="1"/>
    <col min="1026" max="1027" width="7.85546875" style="223" customWidth="1"/>
    <col min="1028" max="1028" width="31" style="223" customWidth="1"/>
    <col min="1029" max="1030" width="7.85546875" style="223" customWidth="1"/>
    <col min="1031" max="1280" width="9.140625" style="223"/>
    <col min="1281" max="1281" width="27.28515625" style="223" customWidth="1"/>
    <col min="1282" max="1283" width="7.85546875" style="223" customWidth="1"/>
    <col min="1284" max="1284" width="31" style="223" customWidth="1"/>
    <col min="1285" max="1286" width="7.85546875" style="223" customWidth="1"/>
    <col min="1287" max="1536" width="9.140625" style="223"/>
    <col min="1537" max="1537" width="27.28515625" style="223" customWidth="1"/>
    <col min="1538" max="1539" width="7.85546875" style="223" customWidth="1"/>
    <col min="1540" max="1540" width="31" style="223" customWidth="1"/>
    <col min="1541" max="1542" width="7.85546875" style="223" customWidth="1"/>
    <col min="1543" max="1792" width="9.140625" style="223"/>
    <col min="1793" max="1793" width="27.28515625" style="223" customWidth="1"/>
    <col min="1794" max="1795" width="7.85546875" style="223" customWidth="1"/>
    <col min="1796" max="1796" width="31" style="223" customWidth="1"/>
    <col min="1797" max="1798" width="7.85546875" style="223" customWidth="1"/>
    <col min="1799" max="2048" width="9.140625" style="223"/>
    <col min="2049" max="2049" width="27.28515625" style="223" customWidth="1"/>
    <col min="2050" max="2051" width="7.85546875" style="223" customWidth="1"/>
    <col min="2052" max="2052" width="31" style="223" customWidth="1"/>
    <col min="2053" max="2054" width="7.85546875" style="223" customWidth="1"/>
    <col min="2055" max="2304" width="9.140625" style="223"/>
    <col min="2305" max="2305" width="27.28515625" style="223" customWidth="1"/>
    <col min="2306" max="2307" width="7.85546875" style="223" customWidth="1"/>
    <col min="2308" max="2308" width="31" style="223" customWidth="1"/>
    <col min="2309" max="2310" width="7.85546875" style="223" customWidth="1"/>
    <col min="2311" max="2560" width="9.140625" style="223"/>
    <col min="2561" max="2561" width="27.28515625" style="223" customWidth="1"/>
    <col min="2562" max="2563" width="7.85546875" style="223" customWidth="1"/>
    <col min="2564" max="2564" width="31" style="223" customWidth="1"/>
    <col min="2565" max="2566" width="7.85546875" style="223" customWidth="1"/>
    <col min="2567" max="2816" width="9.140625" style="223"/>
    <col min="2817" max="2817" width="27.28515625" style="223" customWidth="1"/>
    <col min="2818" max="2819" width="7.85546875" style="223" customWidth="1"/>
    <col min="2820" max="2820" width="31" style="223" customWidth="1"/>
    <col min="2821" max="2822" width="7.85546875" style="223" customWidth="1"/>
    <col min="2823" max="3072" width="9.140625" style="223"/>
    <col min="3073" max="3073" width="27.28515625" style="223" customWidth="1"/>
    <col min="3074" max="3075" width="7.85546875" style="223" customWidth="1"/>
    <col min="3076" max="3076" width="31" style="223" customWidth="1"/>
    <col min="3077" max="3078" width="7.85546875" style="223" customWidth="1"/>
    <col min="3079" max="3328" width="9.140625" style="223"/>
    <col min="3329" max="3329" width="27.28515625" style="223" customWidth="1"/>
    <col min="3330" max="3331" width="7.85546875" style="223" customWidth="1"/>
    <col min="3332" max="3332" width="31" style="223" customWidth="1"/>
    <col min="3333" max="3334" width="7.85546875" style="223" customWidth="1"/>
    <col min="3335" max="3584" width="9.140625" style="223"/>
    <col min="3585" max="3585" width="27.28515625" style="223" customWidth="1"/>
    <col min="3586" max="3587" width="7.85546875" style="223" customWidth="1"/>
    <col min="3588" max="3588" width="31" style="223" customWidth="1"/>
    <col min="3589" max="3590" width="7.85546875" style="223" customWidth="1"/>
    <col min="3591" max="3840" width="9.140625" style="223"/>
    <col min="3841" max="3841" width="27.28515625" style="223" customWidth="1"/>
    <col min="3842" max="3843" width="7.85546875" style="223" customWidth="1"/>
    <col min="3844" max="3844" width="31" style="223" customWidth="1"/>
    <col min="3845" max="3846" width="7.85546875" style="223" customWidth="1"/>
    <col min="3847" max="4096" width="9.140625" style="223"/>
    <col min="4097" max="4097" width="27.28515625" style="223" customWidth="1"/>
    <col min="4098" max="4099" width="7.85546875" style="223" customWidth="1"/>
    <col min="4100" max="4100" width="31" style="223" customWidth="1"/>
    <col min="4101" max="4102" width="7.85546875" style="223" customWidth="1"/>
    <col min="4103" max="4352" width="9.140625" style="223"/>
    <col min="4353" max="4353" width="27.28515625" style="223" customWidth="1"/>
    <col min="4354" max="4355" width="7.85546875" style="223" customWidth="1"/>
    <col min="4356" max="4356" width="31" style="223" customWidth="1"/>
    <col min="4357" max="4358" width="7.85546875" style="223" customWidth="1"/>
    <col min="4359" max="4608" width="9.140625" style="223"/>
    <col min="4609" max="4609" width="27.28515625" style="223" customWidth="1"/>
    <col min="4610" max="4611" width="7.85546875" style="223" customWidth="1"/>
    <col min="4612" max="4612" width="31" style="223" customWidth="1"/>
    <col min="4613" max="4614" width="7.85546875" style="223" customWidth="1"/>
    <col min="4615" max="4864" width="9.140625" style="223"/>
    <col min="4865" max="4865" width="27.28515625" style="223" customWidth="1"/>
    <col min="4866" max="4867" width="7.85546875" style="223" customWidth="1"/>
    <col min="4868" max="4868" width="31" style="223" customWidth="1"/>
    <col min="4869" max="4870" width="7.85546875" style="223" customWidth="1"/>
    <col min="4871" max="5120" width="9.140625" style="223"/>
    <col min="5121" max="5121" width="27.28515625" style="223" customWidth="1"/>
    <col min="5122" max="5123" width="7.85546875" style="223" customWidth="1"/>
    <col min="5124" max="5124" width="31" style="223" customWidth="1"/>
    <col min="5125" max="5126" width="7.85546875" style="223" customWidth="1"/>
    <col min="5127" max="5376" width="9.140625" style="223"/>
    <col min="5377" max="5377" width="27.28515625" style="223" customWidth="1"/>
    <col min="5378" max="5379" width="7.85546875" style="223" customWidth="1"/>
    <col min="5380" max="5380" width="31" style="223" customWidth="1"/>
    <col min="5381" max="5382" width="7.85546875" style="223" customWidth="1"/>
    <col min="5383" max="5632" width="9.140625" style="223"/>
    <col min="5633" max="5633" width="27.28515625" style="223" customWidth="1"/>
    <col min="5634" max="5635" width="7.85546875" style="223" customWidth="1"/>
    <col min="5636" max="5636" width="31" style="223" customWidth="1"/>
    <col min="5637" max="5638" width="7.85546875" style="223" customWidth="1"/>
    <col min="5639" max="5888" width="9.140625" style="223"/>
    <col min="5889" max="5889" width="27.28515625" style="223" customWidth="1"/>
    <col min="5890" max="5891" width="7.85546875" style="223" customWidth="1"/>
    <col min="5892" max="5892" width="31" style="223" customWidth="1"/>
    <col min="5893" max="5894" width="7.85546875" style="223" customWidth="1"/>
    <col min="5895" max="6144" width="9.140625" style="223"/>
    <col min="6145" max="6145" width="27.28515625" style="223" customWidth="1"/>
    <col min="6146" max="6147" width="7.85546875" style="223" customWidth="1"/>
    <col min="6148" max="6148" width="31" style="223" customWidth="1"/>
    <col min="6149" max="6150" width="7.85546875" style="223" customWidth="1"/>
    <col min="6151" max="6400" width="9.140625" style="223"/>
    <col min="6401" max="6401" width="27.28515625" style="223" customWidth="1"/>
    <col min="6402" max="6403" width="7.85546875" style="223" customWidth="1"/>
    <col min="6404" max="6404" width="31" style="223" customWidth="1"/>
    <col min="6405" max="6406" width="7.85546875" style="223" customWidth="1"/>
    <col min="6407" max="6656" width="9.140625" style="223"/>
    <col min="6657" max="6657" width="27.28515625" style="223" customWidth="1"/>
    <col min="6658" max="6659" width="7.85546875" style="223" customWidth="1"/>
    <col min="6660" max="6660" width="31" style="223" customWidth="1"/>
    <col min="6661" max="6662" width="7.85546875" style="223" customWidth="1"/>
    <col min="6663" max="6912" width="9.140625" style="223"/>
    <col min="6913" max="6913" width="27.28515625" style="223" customWidth="1"/>
    <col min="6914" max="6915" width="7.85546875" style="223" customWidth="1"/>
    <col min="6916" max="6916" width="31" style="223" customWidth="1"/>
    <col min="6917" max="6918" width="7.85546875" style="223" customWidth="1"/>
    <col min="6919" max="7168" width="9.140625" style="223"/>
    <col min="7169" max="7169" width="27.28515625" style="223" customWidth="1"/>
    <col min="7170" max="7171" width="7.85546875" style="223" customWidth="1"/>
    <col min="7172" max="7172" width="31" style="223" customWidth="1"/>
    <col min="7173" max="7174" width="7.85546875" style="223" customWidth="1"/>
    <col min="7175" max="7424" width="9.140625" style="223"/>
    <col min="7425" max="7425" width="27.28515625" style="223" customWidth="1"/>
    <col min="7426" max="7427" width="7.85546875" style="223" customWidth="1"/>
    <col min="7428" max="7428" width="31" style="223" customWidth="1"/>
    <col min="7429" max="7430" width="7.85546875" style="223" customWidth="1"/>
    <col min="7431" max="7680" width="9.140625" style="223"/>
    <col min="7681" max="7681" width="27.28515625" style="223" customWidth="1"/>
    <col min="7682" max="7683" width="7.85546875" style="223" customWidth="1"/>
    <col min="7684" max="7684" width="31" style="223" customWidth="1"/>
    <col min="7685" max="7686" width="7.85546875" style="223" customWidth="1"/>
    <col min="7687" max="7936" width="9.140625" style="223"/>
    <col min="7937" max="7937" width="27.28515625" style="223" customWidth="1"/>
    <col min="7938" max="7939" width="7.85546875" style="223" customWidth="1"/>
    <col min="7940" max="7940" width="31" style="223" customWidth="1"/>
    <col min="7941" max="7942" width="7.85546875" style="223" customWidth="1"/>
    <col min="7943" max="8192" width="9.140625" style="223"/>
    <col min="8193" max="8193" width="27.28515625" style="223" customWidth="1"/>
    <col min="8194" max="8195" width="7.85546875" style="223" customWidth="1"/>
    <col min="8196" max="8196" width="31" style="223" customWidth="1"/>
    <col min="8197" max="8198" width="7.85546875" style="223" customWidth="1"/>
    <col min="8199" max="8448" width="9.140625" style="223"/>
    <col min="8449" max="8449" width="27.28515625" style="223" customWidth="1"/>
    <col min="8450" max="8451" width="7.85546875" style="223" customWidth="1"/>
    <col min="8452" max="8452" width="31" style="223" customWidth="1"/>
    <col min="8453" max="8454" width="7.85546875" style="223" customWidth="1"/>
    <col min="8455" max="8704" width="9.140625" style="223"/>
    <col min="8705" max="8705" width="27.28515625" style="223" customWidth="1"/>
    <col min="8706" max="8707" width="7.85546875" style="223" customWidth="1"/>
    <col min="8708" max="8708" width="31" style="223" customWidth="1"/>
    <col min="8709" max="8710" width="7.85546875" style="223" customWidth="1"/>
    <col min="8711" max="8960" width="9.140625" style="223"/>
    <col min="8961" max="8961" width="27.28515625" style="223" customWidth="1"/>
    <col min="8962" max="8963" width="7.85546875" style="223" customWidth="1"/>
    <col min="8964" max="8964" width="31" style="223" customWidth="1"/>
    <col min="8965" max="8966" width="7.85546875" style="223" customWidth="1"/>
    <col min="8967" max="9216" width="9.140625" style="223"/>
    <col min="9217" max="9217" width="27.28515625" style="223" customWidth="1"/>
    <col min="9218" max="9219" width="7.85546875" style="223" customWidth="1"/>
    <col min="9220" max="9220" width="31" style="223" customWidth="1"/>
    <col min="9221" max="9222" width="7.85546875" style="223" customWidth="1"/>
    <col min="9223" max="9472" width="9.140625" style="223"/>
    <col min="9473" max="9473" width="27.28515625" style="223" customWidth="1"/>
    <col min="9474" max="9475" width="7.85546875" style="223" customWidth="1"/>
    <col min="9476" max="9476" width="31" style="223" customWidth="1"/>
    <col min="9477" max="9478" width="7.85546875" style="223" customWidth="1"/>
    <col min="9479" max="9728" width="9.140625" style="223"/>
    <col min="9729" max="9729" width="27.28515625" style="223" customWidth="1"/>
    <col min="9730" max="9731" width="7.85546875" style="223" customWidth="1"/>
    <col min="9732" max="9732" width="31" style="223" customWidth="1"/>
    <col min="9733" max="9734" width="7.85546875" style="223" customWidth="1"/>
    <col min="9735" max="9984" width="9.140625" style="223"/>
    <col min="9985" max="9985" width="27.28515625" style="223" customWidth="1"/>
    <col min="9986" max="9987" width="7.85546875" style="223" customWidth="1"/>
    <col min="9988" max="9988" width="31" style="223" customWidth="1"/>
    <col min="9989" max="9990" width="7.85546875" style="223" customWidth="1"/>
    <col min="9991" max="10240" width="9.140625" style="223"/>
    <col min="10241" max="10241" width="27.28515625" style="223" customWidth="1"/>
    <col min="10242" max="10243" width="7.85546875" style="223" customWidth="1"/>
    <col min="10244" max="10244" width="31" style="223" customWidth="1"/>
    <col min="10245" max="10246" width="7.85546875" style="223" customWidth="1"/>
    <col min="10247" max="10496" width="9.140625" style="223"/>
    <col min="10497" max="10497" width="27.28515625" style="223" customWidth="1"/>
    <col min="10498" max="10499" width="7.85546875" style="223" customWidth="1"/>
    <col min="10500" max="10500" width="31" style="223" customWidth="1"/>
    <col min="10501" max="10502" width="7.85546875" style="223" customWidth="1"/>
    <col min="10503" max="10752" width="9.140625" style="223"/>
    <col min="10753" max="10753" width="27.28515625" style="223" customWidth="1"/>
    <col min="10754" max="10755" width="7.85546875" style="223" customWidth="1"/>
    <col min="10756" max="10756" width="31" style="223" customWidth="1"/>
    <col min="10757" max="10758" width="7.85546875" style="223" customWidth="1"/>
    <col min="10759" max="11008" width="9.140625" style="223"/>
    <col min="11009" max="11009" width="27.28515625" style="223" customWidth="1"/>
    <col min="11010" max="11011" width="7.85546875" style="223" customWidth="1"/>
    <col min="11012" max="11012" width="31" style="223" customWidth="1"/>
    <col min="11013" max="11014" width="7.85546875" style="223" customWidth="1"/>
    <col min="11015" max="11264" width="9.140625" style="223"/>
    <col min="11265" max="11265" width="27.28515625" style="223" customWidth="1"/>
    <col min="11266" max="11267" width="7.85546875" style="223" customWidth="1"/>
    <col min="11268" max="11268" width="31" style="223" customWidth="1"/>
    <col min="11269" max="11270" width="7.85546875" style="223" customWidth="1"/>
    <col min="11271" max="11520" width="9.140625" style="223"/>
    <col min="11521" max="11521" width="27.28515625" style="223" customWidth="1"/>
    <col min="11522" max="11523" width="7.85546875" style="223" customWidth="1"/>
    <col min="11524" max="11524" width="31" style="223" customWidth="1"/>
    <col min="11525" max="11526" width="7.85546875" style="223" customWidth="1"/>
    <col min="11527" max="11776" width="9.140625" style="223"/>
    <col min="11777" max="11777" width="27.28515625" style="223" customWidth="1"/>
    <col min="11778" max="11779" width="7.85546875" style="223" customWidth="1"/>
    <col min="11780" max="11780" width="31" style="223" customWidth="1"/>
    <col min="11781" max="11782" width="7.85546875" style="223" customWidth="1"/>
    <col min="11783" max="12032" width="9.140625" style="223"/>
    <col min="12033" max="12033" width="27.28515625" style="223" customWidth="1"/>
    <col min="12034" max="12035" width="7.85546875" style="223" customWidth="1"/>
    <col min="12036" max="12036" width="31" style="223" customWidth="1"/>
    <col min="12037" max="12038" width="7.85546875" style="223" customWidth="1"/>
    <col min="12039" max="12288" width="9.140625" style="223"/>
    <col min="12289" max="12289" width="27.28515625" style="223" customWidth="1"/>
    <col min="12290" max="12291" width="7.85546875" style="223" customWidth="1"/>
    <col min="12292" max="12292" width="31" style="223" customWidth="1"/>
    <col min="12293" max="12294" width="7.85546875" style="223" customWidth="1"/>
    <col min="12295" max="12544" width="9.140625" style="223"/>
    <col min="12545" max="12545" width="27.28515625" style="223" customWidth="1"/>
    <col min="12546" max="12547" width="7.85546875" style="223" customWidth="1"/>
    <col min="12548" max="12548" width="31" style="223" customWidth="1"/>
    <col min="12549" max="12550" width="7.85546875" style="223" customWidth="1"/>
    <col min="12551" max="12800" width="9.140625" style="223"/>
    <col min="12801" max="12801" width="27.28515625" style="223" customWidth="1"/>
    <col min="12802" max="12803" width="7.85546875" style="223" customWidth="1"/>
    <col min="12804" max="12804" width="31" style="223" customWidth="1"/>
    <col min="12805" max="12806" width="7.85546875" style="223" customWidth="1"/>
    <col min="12807" max="13056" width="9.140625" style="223"/>
    <col min="13057" max="13057" width="27.28515625" style="223" customWidth="1"/>
    <col min="13058" max="13059" width="7.85546875" style="223" customWidth="1"/>
    <col min="13060" max="13060" width="31" style="223" customWidth="1"/>
    <col min="13061" max="13062" width="7.85546875" style="223" customWidth="1"/>
    <col min="13063" max="13312" width="9.140625" style="223"/>
    <col min="13313" max="13313" width="27.28515625" style="223" customWidth="1"/>
    <col min="13314" max="13315" width="7.85546875" style="223" customWidth="1"/>
    <col min="13316" max="13316" width="31" style="223" customWidth="1"/>
    <col min="13317" max="13318" width="7.85546875" style="223" customWidth="1"/>
    <col min="13319" max="13568" width="9.140625" style="223"/>
    <col min="13569" max="13569" width="27.28515625" style="223" customWidth="1"/>
    <col min="13570" max="13571" width="7.85546875" style="223" customWidth="1"/>
    <col min="13572" max="13572" width="31" style="223" customWidth="1"/>
    <col min="13573" max="13574" width="7.85546875" style="223" customWidth="1"/>
    <col min="13575" max="13824" width="9.140625" style="223"/>
    <col min="13825" max="13825" width="27.28515625" style="223" customWidth="1"/>
    <col min="13826" max="13827" width="7.85546875" style="223" customWidth="1"/>
    <col min="13828" max="13828" width="31" style="223" customWidth="1"/>
    <col min="13829" max="13830" width="7.85546875" style="223" customWidth="1"/>
    <col min="13831" max="14080" width="9.140625" style="223"/>
    <col min="14081" max="14081" width="27.28515625" style="223" customWidth="1"/>
    <col min="14082" max="14083" width="7.85546875" style="223" customWidth="1"/>
    <col min="14084" max="14084" width="31" style="223" customWidth="1"/>
    <col min="14085" max="14086" width="7.85546875" style="223" customWidth="1"/>
    <col min="14087" max="14336" width="9.140625" style="223"/>
    <col min="14337" max="14337" width="27.28515625" style="223" customWidth="1"/>
    <col min="14338" max="14339" width="7.85546875" style="223" customWidth="1"/>
    <col min="14340" max="14340" width="31" style="223" customWidth="1"/>
    <col min="14341" max="14342" width="7.85546875" style="223" customWidth="1"/>
    <col min="14343" max="14592" width="9.140625" style="223"/>
    <col min="14593" max="14593" width="27.28515625" style="223" customWidth="1"/>
    <col min="14594" max="14595" width="7.85546875" style="223" customWidth="1"/>
    <col min="14596" max="14596" width="31" style="223" customWidth="1"/>
    <col min="14597" max="14598" width="7.85546875" style="223" customWidth="1"/>
    <col min="14599" max="14848" width="9.140625" style="223"/>
    <col min="14849" max="14849" width="27.28515625" style="223" customWidth="1"/>
    <col min="14850" max="14851" width="7.85546875" style="223" customWidth="1"/>
    <col min="14852" max="14852" width="31" style="223" customWidth="1"/>
    <col min="14853" max="14854" width="7.85546875" style="223" customWidth="1"/>
    <col min="14855" max="15104" width="9.140625" style="223"/>
    <col min="15105" max="15105" width="27.28515625" style="223" customWidth="1"/>
    <col min="15106" max="15107" width="7.85546875" style="223" customWidth="1"/>
    <col min="15108" max="15108" width="31" style="223" customWidth="1"/>
    <col min="15109" max="15110" width="7.85546875" style="223" customWidth="1"/>
    <col min="15111" max="15360" width="9.140625" style="223"/>
    <col min="15361" max="15361" width="27.28515625" style="223" customWidth="1"/>
    <col min="15362" max="15363" width="7.85546875" style="223" customWidth="1"/>
    <col min="15364" max="15364" width="31" style="223" customWidth="1"/>
    <col min="15365" max="15366" width="7.85546875" style="223" customWidth="1"/>
    <col min="15367" max="15616" width="9.140625" style="223"/>
    <col min="15617" max="15617" width="27.28515625" style="223" customWidth="1"/>
    <col min="15618" max="15619" width="7.85546875" style="223" customWidth="1"/>
    <col min="15620" max="15620" width="31" style="223" customWidth="1"/>
    <col min="15621" max="15622" width="7.85546875" style="223" customWidth="1"/>
    <col min="15623" max="15872" width="9.140625" style="223"/>
    <col min="15873" max="15873" width="27.28515625" style="223" customWidth="1"/>
    <col min="15874" max="15875" width="7.85546875" style="223" customWidth="1"/>
    <col min="15876" max="15876" width="31" style="223" customWidth="1"/>
    <col min="15877" max="15878" width="7.85546875" style="223" customWidth="1"/>
    <col min="15879" max="16128" width="9.140625" style="223"/>
    <col min="16129" max="16129" width="27.28515625" style="223" customWidth="1"/>
    <col min="16130" max="16131" width="7.85546875" style="223" customWidth="1"/>
    <col min="16132" max="16132" width="31" style="223" customWidth="1"/>
    <col min="16133" max="16134" width="7.85546875" style="223" customWidth="1"/>
    <col min="16135" max="16384" width="9.140625" style="223"/>
  </cols>
  <sheetData>
    <row r="1" spans="1:6" s="220" customFormat="1" ht="27">
      <c r="A1" s="217" t="s">
        <v>287</v>
      </c>
      <c r="B1" s="218"/>
      <c r="C1" s="219"/>
      <c r="D1" s="219"/>
      <c r="E1" s="219"/>
      <c r="F1" s="219"/>
    </row>
    <row r="3" spans="1:6" ht="12" customHeight="1">
      <c r="A3" s="221" t="s">
        <v>288</v>
      </c>
      <c r="B3" s="2662" t="s">
        <v>289</v>
      </c>
      <c r="C3" s="2662"/>
      <c r="D3" s="222"/>
      <c r="E3" s="2662" t="s">
        <v>289</v>
      </c>
      <c r="F3" s="2662"/>
    </row>
    <row r="4" spans="1:6" ht="12" customHeight="1">
      <c r="A4" s="221"/>
      <c r="B4" s="224" t="s">
        <v>290</v>
      </c>
      <c r="C4" s="224" t="s">
        <v>291</v>
      </c>
      <c r="D4" s="222"/>
      <c r="E4" s="224" t="s">
        <v>290</v>
      </c>
      <c r="F4" s="224" t="s">
        <v>291</v>
      </c>
    </row>
    <row r="5" spans="1:6" ht="6" customHeight="1">
      <c r="A5" s="221"/>
      <c r="B5" s="221"/>
      <c r="C5" s="221"/>
      <c r="D5" s="221"/>
      <c r="E5" s="221"/>
      <c r="F5" s="221"/>
    </row>
    <row r="6" spans="1:6" ht="12" customHeight="1">
      <c r="A6" s="225" t="s">
        <v>292</v>
      </c>
      <c r="B6" s="225"/>
      <c r="C6" s="221"/>
      <c r="D6" s="225" t="s">
        <v>293</v>
      </c>
      <c r="E6" s="225"/>
      <c r="F6" s="221"/>
    </row>
    <row r="7" spans="1:6" ht="12" customHeight="1">
      <c r="A7" s="221" t="s">
        <v>294</v>
      </c>
      <c r="B7" s="226">
        <f>C7*0.95</f>
        <v>24.795000000000002</v>
      </c>
      <c r="C7" s="227">
        <v>26.1</v>
      </c>
      <c r="D7" s="221" t="s">
        <v>295</v>
      </c>
      <c r="E7" s="226">
        <v>12.3</v>
      </c>
      <c r="F7" s="227">
        <v>13.9</v>
      </c>
    </row>
    <row r="8" spans="1:6" ht="12" customHeight="1">
      <c r="A8" s="221" t="s">
        <v>296</v>
      </c>
      <c r="B8" s="226">
        <f>C8*0.95</f>
        <v>24.13</v>
      </c>
      <c r="C8" s="227">
        <v>25.4</v>
      </c>
      <c r="D8" s="221" t="s">
        <v>297</v>
      </c>
      <c r="E8" s="226">
        <v>12.1</v>
      </c>
      <c r="F8" s="227">
        <v>13.7</v>
      </c>
    </row>
    <row r="9" spans="1:6" ht="12" customHeight="1">
      <c r="A9" s="221" t="s">
        <v>298</v>
      </c>
      <c r="B9" s="226">
        <f>C9*0.95</f>
        <v>30.97</v>
      </c>
      <c r="C9" s="227">
        <v>32.6</v>
      </c>
      <c r="D9" s="221" t="s">
        <v>299</v>
      </c>
      <c r="E9" s="226">
        <f>F9*0.85</f>
        <v>12.75</v>
      </c>
      <c r="F9" s="227">
        <v>15</v>
      </c>
    </row>
    <row r="10" spans="1:6" ht="12" customHeight="1">
      <c r="A10" s="221" t="s">
        <v>300</v>
      </c>
      <c r="B10" s="228"/>
      <c r="C10" s="229"/>
      <c r="D10" s="221" t="s">
        <v>301</v>
      </c>
      <c r="E10" s="226">
        <f>F10*0.84</f>
        <v>7.3920000000000003</v>
      </c>
      <c r="F10" s="227">
        <v>8.8000000000000007</v>
      </c>
    </row>
    <row r="11" spans="1:6" ht="12" customHeight="1">
      <c r="A11" s="221" t="s">
        <v>302</v>
      </c>
      <c r="B11" s="226">
        <f>C11*0.95</f>
        <v>28.974999999999998</v>
      </c>
      <c r="C11" s="227">
        <v>30.5</v>
      </c>
      <c r="D11" s="221" t="s">
        <v>303</v>
      </c>
      <c r="E11" s="226">
        <f>F11*0.84</f>
        <v>15.624000000000001</v>
      </c>
      <c r="F11" s="227">
        <v>18.600000000000001</v>
      </c>
    </row>
    <row r="12" spans="1:6" ht="12" customHeight="1">
      <c r="A12" s="221" t="s">
        <v>304</v>
      </c>
      <c r="B12" s="226">
        <f t="shared" ref="B12:B21" si="0">C12*0.95</f>
        <v>28.214999999999996</v>
      </c>
      <c r="C12" s="227">
        <v>29.7</v>
      </c>
      <c r="D12" s="221" t="s">
        <v>305</v>
      </c>
      <c r="E12" s="226">
        <f>F12*0.95</f>
        <v>15.2</v>
      </c>
      <c r="F12" s="227">
        <v>16</v>
      </c>
    </row>
    <row r="13" spans="1:6" ht="12" customHeight="1">
      <c r="A13" s="221" t="s">
        <v>306</v>
      </c>
      <c r="B13" s="226">
        <f t="shared" si="0"/>
        <v>26.599999999999998</v>
      </c>
      <c r="C13" s="227">
        <v>28</v>
      </c>
      <c r="D13" s="221" t="s">
        <v>307</v>
      </c>
      <c r="E13" s="226">
        <f>F13*0.95</f>
        <v>13.299999999999999</v>
      </c>
      <c r="F13" s="227">
        <v>14</v>
      </c>
    </row>
    <row r="14" spans="1:6" ht="12" customHeight="1">
      <c r="A14" s="221" t="s">
        <v>308</v>
      </c>
      <c r="B14" s="226">
        <f t="shared" si="0"/>
        <v>28.88</v>
      </c>
      <c r="C14" s="227">
        <v>30.4</v>
      </c>
      <c r="D14" s="221" t="s">
        <v>309</v>
      </c>
      <c r="E14" s="226">
        <f>F14*0.7</f>
        <v>6.6499999999999995</v>
      </c>
      <c r="F14" s="227">
        <v>9.5</v>
      </c>
    </row>
    <row r="15" spans="1:6" ht="12" customHeight="1">
      <c r="A15" s="221" t="s">
        <v>310</v>
      </c>
      <c r="B15" s="226">
        <f t="shared" si="0"/>
        <v>25.65</v>
      </c>
      <c r="C15" s="227">
        <v>27</v>
      </c>
      <c r="D15" s="221" t="s">
        <v>311</v>
      </c>
      <c r="E15" s="226">
        <f>F15*0.7</f>
        <v>12.95</v>
      </c>
      <c r="F15" s="227">
        <v>18.5</v>
      </c>
    </row>
    <row r="16" spans="1:6" ht="12" customHeight="1">
      <c r="A16" s="221" t="s">
        <v>312</v>
      </c>
      <c r="B16" s="226">
        <f t="shared" si="0"/>
        <v>24.13</v>
      </c>
      <c r="C16" s="227">
        <v>25.4</v>
      </c>
      <c r="D16" s="221" t="s">
        <v>313</v>
      </c>
      <c r="E16" s="226">
        <v>9.3000000000000007</v>
      </c>
      <c r="F16" s="227">
        <v>11.1</v>
      </c>
    </row>
    <row r="17" spans="1:8" ht="12" customHeight="1">
      <c r="A17" s="221" t="s">
        <v>314</v>
      </c>
      <c r="B17" s="226">
        <f t="shared" si="0"/>
        <v>28.88</v>
      </c>
      <c r="C17" s="227">
        <v>30.4</v>
      </c>
      <c r="D17" s="221" t="s">
        <v>315</v>
      </c>
      <c r="E17" s="230" t="s">
        <v>279</v>
      </c>
      <c r="F17" s="227">
        <v>32</v>
      </c>
    </row>
    <row r="18" spans="1:8" ht="12" customHeight="1">
      <c r="A18" s="221" t="s">
        <v>316</v>
      </c>
      <c r="B18" s="226">
        <f t="shared" si="0"/>
        <v>25.364999999999998</v>
      </c>
      <c r="C18" s="227">
        <v>26.7</v>
      </c>
      <c r="D18" s="221"/>
      <c r="E18" s="231"/>
      <c r="F18" s="232"/>
    </row>
    <row r="19" spans="1:8" ht="12" customHeight="1">
      <c r="A19" s="221" t="s">
        <v>317</v>
      </c>
      <c r="B19" s="226">
        <f t="shared" si="0"/>
        <v>28.024999999999999</v>
      </c>
      <c r="C19" s="227">
        <v>29.5</v>
      </c>
      <c r="D19" s="225" t="s">
        <v>318</v>
      </c>
      <c r="E19" s="233"/>
      <c r="F19" s="232"/>
    </row>
    <row r="20" spans="1:8" ht="12" customHeight="1">
      <c r="A20" s="221" t="s">
        <v>319</v>
      </c>
      <c r="B20" s="226">
        <f t="shared" si="0"/>
        <v>27.929999999999996</v>
      </c>
      <c r="C20" s="227">
        <v>29.4</v>
      </c>
      <c r="D20" s="221" t="s">
        <v>320</v>
      </c>
      <c r="E20" s="234">
        <v>43.371365384442143</v>
      </c>
      <c r="F20" s="235">
        <v>45.654068825728572</v>
      </c>
      <c r="H20" s="236"/>
    </row>
    <row r="21" spans="1:8" ht="12" customHeight="1">
      <c r="A21" s="221" t="s">
        <v>321</v>
      </c>
      <c r="B21" s="226">
        <f t="shared" si="0"/>
        <v>26.22</v>
      </c>
      <c r="C21" s="227">
        <v>27.6</v>
      </c>
      <c r="D21" s="221" t="s">
        <v>322</v>
      </c>
      <c r="E21" s="234">
        <v>43.754628403318421</v>
      </c>
      <c r="F21" s="237">
        <v>46.057503582440447</v>
      </c>
      <c r="H21" s="236"/>
    </row>
    <row r="22" spans="1:8" ht="12" customHeight="1">
      <c r="A22" s="221" t="s">
        <v>323</v>
      </c>
      <c r="B22" s="228"/>
      <c r="C22" s="232"/>
      <c r="D22" s="221" t="s">
        <v>324</v>
      </c>
      <c r="E22" s="234">
        <v>46.601867162581009</v>
      </c>
      <c r="F22" s="235">
        <v>50.654203437588052</v>
      </c>
      <c r="H22" s="236"/>
    </row>
    <row r="23" spans="1:8" ht="12" customHeight="1">
      <c r="A23" s="221" t="s">
        <v>325</v>
      </c>
      <c r="B23" s="228"/>
      <c r="C23" s="232"/>
      <c r="D23" s="221"/>
      <c r="E23" s="228"/>
      <c r="F23" s="232"/>
      <c r="H23" s="236"/>
    </row>
    <row r="24" spans="1:8" ht="12" customHeight="1">
      <c r="A24" s="221" t="s">
        <v>326</v>
      </c>
      <c r="B24" s="226">
        <f>C24*0.95</f>
        <v>28.024999999999999</v>
      </c>
      <c r="C24" s="227">
        <v>29.5</v>
      </c>
      <c r="D24" s="221" t="s">
        <v>327</v>
      </c>
      <c r="E24" s="234">
        <v>45.906668363195465</v>
      </c>
      <c r="F24" s="235">
        <v>49.293104652845983</v>
      </c>
      <c r="H24" s="236"/>
    </row>
    <row r="25" spans="1:8" ht="12" customHeight="1">
      <c r="A25" s="221" t="s">
        <v>328</v>
      </c>
      <c r="B25" s="226">
        <f>C25*0.95</f>
        <v>24.795000000000002</v>
      </c>
      <c r="C25" s="227">
        <v>26.1</v>
      </c>
      <c r="D25" s="221" t="s">
        <v>329</v>
      </c>
      <c r="E25" s="234">
        <v>45.274121759809745</v>
      </c>
      <c r="F25" s="235">
        <v>47.656970273483942</v>
      </c>
      <c r="H25" s="236"/>
    </row>
    <row r="26" spans="1:8" ht="12" customHeight="1">
      <c r="A26" s="221"/>
      <c r="B26" s="231"/>
      <c r="C26" s="232"/>
      <c r="D26" s="221" t="s">
        <v>330</v>
      </c>
      <c r="E26" s="234">
        <v>45.0159854155849</v>
      </c>
      <c r="F26" s="235">
        <v>47.385247805878848</v>
      </c>
      <c r="H26" s="236"/>
    </row>
    <row r="27" spans="1:8" ht="12" customHeight="1">
      <c r="B27" s="238"/>
      <c r="C27" s="239"/>
      <c r="D27" s="221" t="s">
        <v>331</v>
      </c>
      <c r="E27" s="234">
        <v>43.869054390679381</v>
      </c>
      <c r="F27" s="235">
        <v>46.177951990188824</v>
      </c>
      <c r="H27" s="236"/>
    </row>
    <row r="28" spans="1:8" ht="12" customHeight="1">
      <c r="A28" s="225" t="s">
        <v>41</v>
      </c>
      <c r="B28" s="233"/>
      <c r="C28" s="232"/>
      <c r="D28" s="221" t="s">
        <v>332</v>
      </c>
      <c r="E28" s="234">
        <v>44.738426529958893</v>
      </c>
      <c r="F28" s="235">
        <v>47.093080557851472</v>
      </c>
      <c r="H28" s="236"/>
    </row>
    <row r="29" spans="1:8" ht="12" customHeight="1">
      <c r="A29" s="221" t="s">
        <v>333</v>
      </c>
      <c r="B29" s="226">
        <f>C29*0.95</f>
        <v>28.974999999999998</v>
      </c>
      <c r="C29" s="227">
        <v>30.5</v>
      </c>
      <c r="D29" s="221" t="s">
        <v>334</v>
      </c>
      <c r="E29" s="234">
        <v>43.851769299324857</v>
      </c>
      <c r="F29" s="235">
        <v>46.15975715718406</v>
      </c>
      <c r="H29" s="236"/>
    </row>
    <row r="30" spans="1:8" ht="12" customHeight="1">
      <c r="A30" s="221" t="s">
        <v>335</v>
      </c>
      <c r="B30" s="226">
        <f>C30*0.95</f>
        <v>32.965000000000003</v>
      </c>
      <c r="C30" s="227">
        <v>34.700000000000003</v>
      </c>
      <c r="D30" s="221" t="s">
        <v>336</v>
      </c>
      <c r="E30" s="234">
        <v>42.813932275437679</v>
      </c>
      <c r="F30" s="235">
        <v>45.546736463231575</v>
      </c>
      <c r="H30" s="236"/>
    </row>
    <row r="31" spans="1:8" ht="12" customHeight="1">
      <c r="A31" s="221" t="s">
        <v>337</v>
      </c>
      <c r="B31" s="226">
        <f>C31*0.95</f>
        <v>28.12</v>
      </c>
      <c r="C31" s="227">
        <v>29.6</v>
      </c>
      <c r="D31" s="221" t="s">
        <v>338</v>
      </c>
      <c r="E31" s="234">
        <v>40.972793020838921</v>
      </c>
      <c r="F31" s="235">
        <v>43.588077681743535</v>
      </c>
      <c r="H31" s="236"/>
    </row>
    <row r="32" spans="1:8" ht="12" customHeight="1">
      <c r="A32" s="221" t="s">
        <v>339</v>
      </c>
      <c r="B32" s="226">
        <f>C32*0.95</f>
        <v>25.934999999999999</v>
      </c>
      <c r="C32" s="227">
        <v>27.3</v>
      </c>
      <c r="D32" s="221" t="s">
        <v>340</v>
      </c>
      <c r="E32" s="234">
        <v>40.972793020838921</v>
      </c>
      <c r="F32" s="235">
        <v>43.588077681743535</v>
      </c>
      <c r="H32" s="236"/>
    </row>
    <row r="33" spans="1:8" ht="12" customHeight="1">
      <c r="A33" s="221" t="s">
        <v>341</v>
      </c>
      <c r="B33" s="226">
        <f>C33*0.95</f>
        <v>31.349999999999998</v>
      </c>
      <c r="C33" s="227">
        <v>33</v>
      </c>
      <c r="D33" s="221" t="s">
        <v>342</v>
      </c>
      <c r="E33" s="234">
        <v>40.926410956344426</v>
      </c>
      <c r="F33" s="235">
        <v>43.080432585625715</v>
      </c>
      <c r="H33" s="236"/>
    </row>
    <row r="34" spans="1:8" ht="6" customHeight="1">
      <c r="A34" s="221"/>
      <c r="B34" s="228"/>
      <c r="C34" s="232"/>
      <c r="D34" s="221"/>
      <c r="E34" s="231"/>
      <c r="F34" s="231"/>
    </row>
    <row r="35" spans="1:8" ht="12" customHeight="1">
      <c r="A35" s="221"/>
      <c r="B35" s="228"/>
      <c r="C35" s="232"/>
      <c r="D35" s="221"/>
      <c r="E35" s="2663" t="s">
        <v>343</v>
      </c>
      <c r="F35" s="2663"/>
    </row>
    <row r="36" spans="1:8" ht="12" customHeight="1">
      <c r="A36" s="221"/>
      <c r="B36" s="228"/>
      <c r="C36" s="232"/>
      <c r="D36" s="221"/>
      <c r="E36" s="240" t="s">
        <v>290</v>
      </c>
      <c r="F36" s="240" t="s">
        <v>291</v>
      </c>
    </row>
    <row r="37" spans="1:8" ht="12" customHeight="1">
      <c r="A37" s="221" t="s">
        <v>344</v>
      </c>
      <c r="B37" s="238"/>
      <c r="C37" s="238"/>
      <c r="D37" s="221" t="s">
        <v>345</v>
      </c>
      <c r="E37" s="234">
        <v>35.694950436443094</v>
      </c>
      <c r="F37" s="237">
        <v>39.661056040492326</v>
      </c>
    </row>
    <row r="38" spans="1:8" ht="12" customHeight="1">
      <c r="A38" s="221" t="s">
        <v>346</v>
      </c>
      <c r="B38" s="226">
        <f>C38*1</f>
        <v>29.8</v>
      </c>
      <c r="C38" s="227">
        <v>29.8</v>
      </c>
      <c r="D38" s="221" t="s">
        <v>347</v>
      </c>
      <c r="E38" s="226">
        <v>35.5</v>
      </c>
      <c r="F38" s="227">
        <v>39.4</v>
      </c>
    </row>
    <row r="39" spans="1:8" ht="12" customHeight="1">
      <c r="A39" s="221" t="s">
        <v>348</v>
      </c>
      <c r="B39" s="226">
        <f>C39*1</f>
        <v>24.8</v>
      </c>
      <c r="C39" s="227">
        <v>24.8</v>
      </c>
      <c r="D39" s="221" t="s">
        <v>273</v>
      </c>
      <c r="E39" s="226">
        <f>F39*0.9</f>
        <v>16.2</v>
      </c>
      <c r="F39" s="227">
        <v>18</v>
      </c>
    </row>
    <row r="40" spans="1:8" ht="12" customHeight="1">
      <c r="A40" s="221" t="s">
        <v>349</v>
      </c>
      <c r="B40" s="226">
        <f>C40*0.95</f>
        <v>30.97</v>
      </c>
      <c r="C40" s="227">
        <v>32.6</v>
      </c>
      <c r="D40" s="221" t="s">
        <v>268</v>
      </c>
      <c r="E40" s="226">
        <f>F40*0.99</f>
        <v>2.9699999999999998</v>
      </c>
      <c r="F40" s="227">
        <v>3</v>
      </c>
    </row>
    <row r="41" spans="1:8" ht="12" customHeight="1">
      <c r="A41" s="221"/>
      <c r="B41" s="231"/>
      <c r="C41" s="231"/>
      <c r="D41" s="221" t="s">
        <v>350</v>
      </c>
      <c r="E41" s="241" t="s">
        <v>351</v>
      </c>
      <c r="F41" s="241" t="s">
        <v>352</v>
      </c>
    </row>
    <row r="42" spans="1:8" ht="12" customHeight="1">
      <c r="A42" s="221"/>
      <c r="B42" s="231"/>
      <c r="C42" s="231"/>
      <c r="D42" s="221" t="s">
        <v>353</v>
      </c>
      <c r="E42" s="241" t="s">
        <v>351</v>
      </c>
      <c r="F42" s="241" t="s">
        <v>352</v>
      </c>
    </row>
    <row r="43" spans="1:8" ht="6" customHeight="1">
      <c r="A43" s="221"/>
      <c r="B43" s="221"/>
      <c r="C43" s="221"/>
      <c r="D43" s="221"/>
      <c r="E43" s="242"/>
      <c r="F43" s="242"/>
    </row>
    <row r="44" spans="1:8" s="222" customFormat="1" ht="12" customHeight="1">
      <c r="A44" s="243" t="s">
        <v>354</v>
      </c>
      <c r="B44" s="243"/>
      <c r="C44" s="221"/>
      <c r="D44" s="221"/>
      <c r="E44" s="221"/>
      <c r="F44" s="221"/>
    </row>
    <row r="45" spans="1:8" s="222" customFormat="1" ht="12" customHeight="1">
      <c r="A45" s="243" t="s">
        <v>355</v>
      </c>
      <c r="B45" s="243"/>
      <c r="C45" s="221"/>
      <c r="D45" s="221"/>
      <c r="E45" s="221"/>
      <c r="F45" s="221"/>
    </row>
    <row r="46" spans="1:8" s="238" customFormat="1" ht="12" customHeight="1">
      <c r="A46" s="243" t="s">
        <v>356</v>
      </c>
      <c r="B46" s="244"/>
      <c r="C46" s="231"/>
      <c r="D46" s="231"/>
      <c r="E46" s="231"/>
      <c r="F46" s="231"/>
    </row>
    <row r="47" spans="1:8" s="238" customFormat="1" ht="12" customHeight="1">
      <c r="A47" s="243" t="s">
        <v>357</v>
      </c>
      <c r="B47" s="244"/>
      <c r="C47" s="231"/>
      <c r="D47" s="231"/>
      <c r="E47" s="231"/>
      <c r="F47" s="231"/>
    </row>
    <row r="48" spans="1:8" s="238" customFormat="1" ht="12" customHeight="1">
      <c r="A48" s="243" t="s">
        <v>358</v>
      </c>
      <c r="B48" s="244"/>
      <c r="C48" s="231"/>
      <c r="D48" s="231"/>
      <c r="E48" s="231"/>
      <c r="F48" s="231"/>
    </row>
    <row r="49" spans="1:6" s="238" customFormat="1" ht="12" customHeight="1">
      <c r="A49" s="243" t="s">
        <v>359</v>
      </c>
      <c r="B49" s="244"/>
      <c r="C49" s="231"/>
      <c r="D49" s="231"/>
      <c r="E49" s="231"/>
      <c r="F49" s="231"/>
    </row>
    <row r="50" spans="1:6" s="222" customFormat="1" ht="12" customHeight="1">
      <c r="A50" s="243" t="s">
        <v>360</v>
      </c>
      <c r="B50" s="243"/>
      <c r="C50" s="221"/>
      <c r="D50" s="221"/>
      <c r="E50" s="221"/>
      <c r="F50" s="221"/>
    </row>
    <row r="51" spans="1:6" s="222" customFormat="1" ht="12" customHeight="1">
      <c r="A51" s="243" t="s">
        <v>361</v>
      </c>
      <c r="B51" s="243"/>
      <c r="C51" s="221"/>
      <c r="D51" s="221"/>
      <c r="E51" s="221"/>
      <c r="F51" s="221"/>
    </row>
    <row r="52" spans="1:6" s="222" customFormat="1" ht="12" customHeight="1">
      <c r="A52" s="243" t="s">
        <v>362</v>
      </c>
      <c r="B52" s="243"/>
      <c r="C52" s="221"/>
      <c r="D52" s="221"/>
      <c r="E52" s="221"/>
      <c r="F52" s="221"/>
    </row>
    <row r="53" spans="1:6" s="222" customFormat="1" ht="12" customHeight="1">
      <c r="A53" s="243" t="s">
        <v>363</v>
      </c>
      <c r="B53" s="243"/>
      <c r="C53" s="221"/>
      <c r="D53" s="221"/>
      <c r="E53" s="221"/>
      <c r="F53" s="221"/>
    </row>
    <row r="54" spans="1:6" s="222" customFormat="1" ht="12" customHeight="1">
      <c r="A54" s="243" t="s">
        <v>364</v>
      </c>
      <c r="B54" s="243"/>
      <c r="C54" s="221"/>
      <c r="D54" s="221"/>
      <c r="E54" s="221"/>
      <c r="F54" s="221"/>
    </row>
    <row r="55" spans="1:6" s="222" customFormat="1" ht="12" customHeight="1">
      <c r="A55" s="243" t="s">
        <v>365</v>
      </c>
      <c r="B55" s="243"/>
      <c r="C55" s="221"/>
      <c r="D55" s="221"/>
      <c r="E55" s="221"/>
      <c r="F55" s="221"/>
    </row>
    <row r="56" spans="1:6" s="238" customFormat="1" ht="12" customHeight="1">
      <c r="A56" s="243" t="s">
        <v>366</v>
      </c>
      <c r="B56" s="244"/>
      <c r="C56" s="231"/>
      <c r="D56" s="231"/>
      <c r="E56" s="231"/>
      <c r="F56" s="231"/>
    </row>
    <row r="57" spans="1:6" s="238" customFormat="1" ht="6" customHeight="1">
      <c r="A57" s="244"/>
      <c r="B57" s="244"/>
      <c r="C57" s="231"/>
      <c r="D57" s="231"/>
      <c r="E57" s="231"/>
      <c r="F57" s="231"/>
    </row>
    <row r="58" spans="1:6" s="238" customFormat="1" ht="12" customHeight="1">
      <c r="A58" s="221" t="s">
        <v>367</v>
      </c>
      <c r="B58" s="231"/>
      <c r="D58" s="231"/>
      <c r="E58" s="231"/>
      <c r="F58" s="231"/>
    </row>
    <row r="59" spans="1:6" s="238" customFormat="1" ht="12" customHeight="1">
      <c r="A59" s="221" t="s">
        <v>368</v>
      </c>
      <c r="B59" s="231"/>
    </row>
    <row r="60" spans="1:6" s="238" customFormat="1" ht="12" customHeight="1">
      <c r="A60" s="221" t="s">
        <v>369</v>
      </c>
      <c r="B60" s="231"/>
    </row>
    <row r="61" spans="1:6" s="238" customFormat="1" ht="12" customHeight="1">
      <c r="A61" s="221" t="s">
        <v>370</v>
      </c>
      <c r="B61" s="231"/>
    </row>
    <row r="62" spans="1:6" s="238" customFormat="1" ht="12" customHeight="1">
      <c r="A62" s="221" t="s">
        <v>371</v>
      </c>
      <c r="B62" s="231"/>
    </row>
    <row r="63" spans="1:6" s="238" customFormat="1" ht="12" customHeight="1">
      <c r="A63" s="221" t="s">
        <v>372</v>
      </c>
      <c r="B63" s="231"/>
    </row>
    <row r="64" spans="1:6" s="238" customFormat="1" ht="6" customHeight="1">
      <c r="A64" s="222"/>
    </row>
    <row r="65" spans="1:6" s="238" customFormat="1" ht="12" customHeight="1">
      <c r="A65" s="221" t="s">
        <v>373</v>
      </c>
      <c r="B65" s="231"/>
    </row>
    <row r="66" spans="1:6" s="238" customFormat="1">
      <c r="A66" s="221" t="s">
        <v>374</v>
      </c>
      <c r="B66" s="231"/>
    </row>
    <row r="67" spans="1:6">
      <c r="F67" s="245"/>
    </row>
  </sheetData>
  <mergeCells count="3">
    <mergeCell ref="B3:C3"/>
    <mergeCell ref="E3:F3"/>
    <mergeCell ref="E35:F35"/>
  </mergeCells>
  <pageMargins left="0.6692913385826772" right="0.51181102362204722" top="0.51181102362204722" bottom="0.51181102362204722" header="0.27559055118110237" footer="0.27559055118110237"/>
  <pageSetup paperSize="9" firstPageNumber="223" orientation="portrait" useFirstPageNumber="1" r:id="rId1"/>
  <headerFooter alignWithMargins="0">
    <oddFooter>&amp;C&amp;P</oddFooter>
  </headerFooter>
</worksheet>
</file>

<file path=xl/worksheets/sheet71.xml><?xml version="1.0" encoding="utf-8"?>
<worksheet xmlns="http://schemas.openxmlformats.org/spreadsheetml/2006/main" xmlns:r="http://schemas.openxmlformats.org/officeDocument/2006/relationships">
  <sheetPr codeName="Sheet26">
    <pageSetUpPr fitToPage="1"/>
  </sheetPr>
  <dimension ref="A1:U54"/>
  <sheetViews>
    <sheetView zoomScale="80" zoomScaleNormal="80" workbookViewId="0"/>
  </sheetViews>
  <sheetFormatPr defaultRowHeight="12.75"/>
  <cols>
    <col min="1" max="1" width="13.5703125" style="88" customWidth="1"/>
    <col min="2" max="2" width="25.5703125" style="88" customWidth="1"/>
    <col min="3" max="3" width="13" style="88" customWidth="1"/>
    <col min="4" max="4" width="9.140625" style="88"/>
    <col min="5" max="5" width="13" style="88" customWidth="1"/>
    <col min="6" max="6" width="12.140625" style="88" customWidth="1"/>
    <col min="7" max="9" width="9.140625" style="88"/>
    <col min="10" max="10" width="29.140625" style="88" customWidth="1"/>
    <col min="11" max="11" width="11.28515625" style="88" customWidth="1"/>
    <col min="12" max="256" width="9.140625" style="88"/>
    <col min="257" max="257" width="13.5703125" style="88" customWidth="1"/>
    <col min="258" max="258" width="25.5703125" style="88" customWidth="1"/>
    <col min="259" max="259" width="13" style="88" customWidth="1"/>
    <col min="260" max="260" width="9.140625" style="88"/>
    <col min="261" max="261" width="13" style="88" customWidth="1"/>
    <col min="262" max="262" width="12.140625" style="88" customWidth="1"/>
    <col min="263" max="265" width="9.140625" style="88"/>
    <col min="266" max="266" width="29.140625" style="88" customWidth="1"/>
    <col min="267" max="267" width="11.28515625" style="88" customWidth="1"/>
    <col min="268" max="512" width="9.140625" style="88"/>
    <col min="513" max="513" width="13.5703125" style="88" customWidth="1"/>
    <col min="514" max="514" width="25.5703125" style="88" customWidth="1"/>
    <col min="515" max="515" width="13" style="88" customWidth="1"/>
    <col min="516" max="516" width="9.140625" style="88"/>
    <col min="517" max="517" width="13" style="88" customWidth="1"/>
    <col min="518" max="518" width="12.140625" style="88" customWidth="1"/>
    <col min="519" max="521" width="9.140625" style="88"/>
    <col min="522" max="522" width="29.140625" style="88" customWidth="1"/>
    <col min="523" max="523" width="11.28515625" style="88" customWidth="1"/>
    <col min="524" max="768" width="9.140625" style="88"/>
    <col min="769" max="769" width="13.5703125" style="88" customWidth="1"/>
    <col min="770" max="770" width="25.5703125" style="88" customWidth="1"/>
    <col min="771" max="771" width="13" style="88" customWidth="1"/>
    <col min="772" max="772" width="9.140625" style="88"/>
    <col min="773" max="773" width="13" style="88" customWidth="1"/>
    <col min="774" max="774" width="12.140625" style="88" customWidth="1"/>
    <col min="775" max="777" width="9.140625" style="88"/>
    <col min="778" max="778" width="29.140625" style="88" customWidth="1"/>
    <col min="779" max="779" width="11.28515625" style="88" customWidth="1"/>
    <col min="780" max="1024" width="9.140625" style="88"/>
    <col min="1025" max="1025" width="13.5703125" style="88" customWidth="1"/>
    <col min="1026" max="1026" width="25.5703125" style="88" customWidth="1"/>
    <col min="1027" max="1027" width="13" style="88" customWidth="1"/>
    <col min="1028" max="1028" width="9.140625" style="88"/>
    <col min="1029" max="1029" width="13" style="88" customWidth="1"/>
    <col min="1030" max="1030" width="12.140625" style="88" customWidth="1"/>
    <col min="1031" max="1033" width="9.140625" style="88"/>
    <col min="1034" max="1034" width="29.140625" style="88" customWidth="1"/>
    <col min="1035" max="1035" width="11.28515625" style="88" customWidth="1"/>
    <col min="1036" max="1280" width="9.140625" style="88"/>
    <col min="1281" max="1281" width="13.5703125" style="88" customWidth="1"/>
    <col min="1282" max="1282" width="25.5703125" style="88" customWidth="1"/>
    <col min="1283" max="1283" width="13" style="88" customWidth="1"/>
    <col min="1284" max="1284" width="9.140625" style="88"/>
    <col min="1285" max="1285" width="13" style="88" customWidth="1"/>
    <col min="1286" max="1286" width="12.140625" style="88" customWidth="1"/>
    <col min="1287" max="1289" width="9.140625" style="88"/>
    <col min="1290" max="1290" width="29.140625" style="88" customWidth="1"/>
    <col min="1291" max="1291" width="11.28515625" style="88" customWidth="1"/>
    <col min="1292" max="1536" width="9.140625" style="88"/>
    <col min="1537" max="1537" width="13.5703125" style="88" customWidth="1"/>
    <col min="1538" max="1538" width="25.5703125" style="88" customWidth="1"/>
    <col min="1539" max="1539" width="13" style="88" customWidth="1"/>
    <col min="1540" max="1540" width="9.140625" style="88"/>
    <col min="1541" max="1541" width="13" style="88" customWidth="1"/>
    <col min="1542" max="1542" width="12.140625" style="88" customWidth="1"/>
    <col min="1543" max="1545" width="9.140625" style="88"/>
    <col min="1546" max="1546" width="29.140625" style="88" customWidth="1"/>
    <col min="1547" max="1547" width="11.28515625" style="88" customWidth="1"/>
    <col min="1548" max="1792" width="9.140625" style="88"/>
    <col min="1793" max="1793" width="13.5703125" style="88" customWidth="1"/>
    <col min="1794" max="1794" width="25.5703125" style="88" customWidth="1"/>
    <col min="1795" max="1795" width="13" style="88" customWidth="1"/>
    <col min="1796" max="1796" width="9.140625" style="88"/>
    <col min="1797" max="1797" width="13" style="88" customWidth="1"/>
    <col min="1798" max="1798" width="12.140625" style="88" customWidth="1"/>
    <col min="1799" max="1801" width="9.140625" style="88"/>
    <col min="1802" max="1802" width="29.140625" style="88" customWidth="1"/>
    <col min="1803" max="1803" width="11.28515625" style="88" customWidth="1"/>
    <col min="1804" max="2048" width="9.140625" style="88"/>
    <col min="2049" max="2049" width="13.5703125" style="88" customWidth="1"/>
    <col min="2050" max="2050" width="25.5703125" style="88" customWidth="1"/>
    <col min="2051" max="2051" width="13" style="88" customWidth="1"/>
    <col min="2052" max="2052" width="9.140625" style="88"/>
    <col min="2053" max="2053" width="13" style="88" customWidth="1"/>
    <col min="2054" max="2054" width="12.140625" style="88" customWidth="1"/>
    <col min="2055" max="2057" width="9.140625" style="88"/>
    <col min="2058" max="2058" width="29.140625" style="88" customWidth="1"/>
    <col min="2059" max="2059" width="11.28515625" style="88" customWidth="1"/>
    <col min="2060" max="2304" width="9.140625" style="88"/>
    <col min="2305" max="2305" width="13.5703125" style="88" customWidth="1"/>
    <col min="2306" max="2306" width="25.5703125" style="88" customWidth="1"/>
    <col min="2307" max="2307" width="13" style="88" customWidth="1"/>
    <col min="2308" max="2308" width="9.140625" style="88"/>
    <col min="2309" max="2309" width="13" style="88" customWidth="1"/>
    <col min="2310" max="2310" width="12.140625" style="88" customWidth="1"/>
    <col min="2311" max="2313" width="9.140625" style="88"/>
    <col min="2314" max="2314" width="29.140625" style="88" customWidth="1"/>
    <col min="2315" max="2315" width="11.28515625" style="88" customWidth="1"/>
    <col min="2316" max="2560" width="9.140625" style="88"/>
    <col min="2561" max="2561" width="13.5703125" style="88" customWidth="1"/>
    <col min="2562" max="2562" width="25.5703125" style="88" customWidth="1"/>
    <col min="2563" max="2563" width="13" style="88" customWidth="1"/>
    <col min="2564" max="2564" width="9.140625" style="88"/>
    <col min="2565" max="2565" width="13" style="88" customWidth="1"/>
    <col min="2566" max="2566" width="12.140625" style="88" customWidth="1"/>
    <col min="2567" max="2569" width="9.140625" style="88"/>
    <col min="2570" max="2570" width="29.140625" style="88" customWidth="1"/>
    <col min="2571" max="2571" width="11.28515625" style="88" customWidth="1"/>
    <col min="2572" max="2816" width="9.140625" style="88"/>
    <col min="2817" max="2817" width="13.5703125" style="88" customWidth="1"/>
    <col min="2818" max="2818" width="25.5703125" style="88" customWidth="1"/>
    <col min="2819" max="2819" width="13" style="88" customWidth="1"/>
    <col min="2820" max="2820" width="9.140625" style="88"/>
    <col min="2821" max="2821" width="13" style="88" customWidth="1"/>
    <col min="2822" max="2822" width="12.140625" style="88" customWidth="1"/>
    <col min="2823" max="2825" width="9.140625" style="88"/>
    <col min="2826" max="2826" width="29.140625" style="88" customWidth="1"/>
    <col min="2827" max="2827" width="11.28515625" style="88" customWidth="1"/>
    <col min="2828" max="3072" width="9.140625" style="88"/>
    <col min="3073" max="3073" width="13.5703125" style="88" customWidth="1"/>
    <col min="3074" max="3074" width="25.5703125" style="88" customWidth="1"/>
    <col min="3075" max="3075" width="13" style="88" customWidth="1"/>
    <col min="3076" max="3076" width="9.140625" style="88"/>
    <col min="3077" max="3077" width="13" style="88" customWidth="1"/>
    <col min="3078" max="3078" width="12.140625" style="88" customWidth="1"/>
    <col min="3079" max="3081" width="9.140625" style="88"/>
    <col min="3082" max="3082" width="29.140625" style="88" customWidth="1"/>
    <col min="3083" max="3083" width="11.28515625" style="88" customWidth="1"/>
    <col min="3084" max="3328" width="9.140625" style="88"/>
    <col min="3329" max="3329" width="13.5703125" style="88" customWidth="1"/>
    <col min="3330" max="3330" width="25.5703125" style="88" customWidth="1"/>
    <col min="3331" max="3331" width="13" style="88" customWidth="1"/>
    <col min="3332" max="3332" width="9.140625" style="88"/>
    <col min="3333" max="3333" width="13" style="88" customWidth="1"/>
    <col min="3334" max="3334" width="12.140625" style="88" customWidth="1"/>
    <col min="3335" max="3337" width="9.140625" style="88"/>
    <col min="3338" max="3338" width="29.140625" style="88" customWidth="1"/>
    <col min="3339" max="3339" width="11.28515625" style="88" customWidth="1"/>
    <col min="3340" max="3584" width="9.140625" style="88"/>
    <col min="3585" max="3585" width="13.5703125" style="88" customWidth="1"/>
    <col min="3586" max="3586" width="25.5703125" style="88" customWidth="1"/>
    <col min="3587" max="3587" width="13" style="88" customWidth="1"/>
    <col min="3588" max="3588" width="9.140625" style="88"/>
    <col min="3589" max="3589" width="13" style="88" customWidth="1"/>
    <col min="3590" max="3590" width="12.140625" style="88" customWidth="1"/>
    <col min="3591" max="3593" width="9.140625" style="88"/>
    <col min="3594" max="3594" width="29.140625" style="88" customWidth="1"/>
    <col min="3595" max="3595" width="11.28515625" style="88" customWidth="1"/>
    <col min="3596" max="3840" width="9.140625" style="88"/>
    <col min="3841" max="3841" width="13.5703125" style="88" customWidth="1"/>
    <col min="3842" max="3842" width="25.5703125" style="88" customWidth="1"/>
    <col min="3843" max="3843" width="13" style="88" customWidth="1"/>
    <col min="3844" max="3844" width="9.140625" style="88"/>
    <col min="3845" max="3845" width="13" style="88" customWidth="1"/>
    <col min="3846" max="3846" width="12.140625" style="88" customWidth="1"/>
    <col min="3847" max="3849" width="9.140625" style="88"/>
    <col min="3850" max="3850" width="29.140625" style="88" customWidth="1"/>
    <col min="3851" max="3851" width="11.28515625" style="88" customWidth="1"/>
    <col min="3852" max="4096" width="9.140625" style="88"/>
    <col min="4097" max="4097" width="13.5703125" style="88" customWidth="1"/>
    <col min="4098" max="4098" width="25.5703125" style="88" customWidth="1"/>
    <col min="4099" max="4099" width="13" style="88" customWidth="1"/>
    <col min="4100" max="4100" width="9.140625" style="88"/>
    <col min="4101" max="4101" width="13" style="88" customWidth="1"/>
    <col min="4102" max="4102" width="12.140625" style="88" customWidth="1"/>
    <col min="4103" max="4105" width="9.140625" style="88"/>
    <col min="4106" max="4106" width="29.140625" style="88" customWidth="1"/>
    <col min="4107" max="4107" width="11.28515625" style="88" customWidth="1"/>
    <col min="4108" max="4352" width="9.140625" style="88"/>
    <col min="4353" max="4353" width="13.5703125" style="88" customWidth="1"/>
    <col min="4354" max="4354" width="25.5703125" style="88" customWidth="1"/>
    <col min="4355" max="4355" width="13" style="88" customWidth="1"/>
    <col min="4356" max="4356" width="9.140625" style="88"/>
    <col min="4357" max="4357" width="13" style="88" customWidth="1"/>
    <col min="4358" max="4358" width="12.140625" style="88" customWidth="1"/>
    <col min="4359" max="4361" width="9.140625" style="88"/>
    <col min="4362" max="4362" width="29.140625" style="88" customWidth="1"/>
    <col min="4363" max="4363" width="11.28515625" style="88" customWidth="1"/>
    <col min="4364" max="4608" width="9.140625" style="88"/>
    <col min="4609" max="4609" width="13.5703125" style="88" customWidth="1"/>
    <col min="4610" max="4610" width="25.5703125" style="88" customWidth="1"/>
    <col min="4611" max="4611" width="13" style="88" customWidth="1"/>
    <col min="4612" max="4612" width="9.140625" style="88"/>
    <col min="4613" max="4613" width="13" style="88" customWidth="1"/>
    <col min="4614" max="4614" width="12.140625" style="88" customWidth="1"/>
    <col min="4615" max="4617" width="9.140625" style="88"/>
    <col min="4618" max="4618" width="29.140625" style="88" customWidth="1"/>
    <col min="4619" max="4619" width="11.28515625" style="88" customWidth="1"/>
    <col min="4620" max="4864" width="9.140625" style="88"/>
    <col min="4865" max="4865" width="13.5703125" style="88" customWidth="1"/>
    <col min="4866" max="4866" width="25.5703125" style="88" customWidth="1"/>
    <col min="4867" max="4867" width="13" style="88" customWidth="1"/>
    <col min="4868" max="4868" width="9.140625" style="88"/>
    <col min="4869" max="4869" width="13" style="88" customWidth="1"/>
    <col min="4870" max="4870" width="12.140625" style="88" customWidth="1"/>
    <col min="4871" max="4873" width="9.140625" style="88"/>
    <col min="4874" max="4874" width="29.140625" style="88" customWidth="1"/>
    <col min="4875" max="4875" width="11.28515625" style="88" customWidth="1"/>
    <col min="4876" max="5120" width="9.140625" style="88"/>
    <col min="5121" max="5121" width="13.5703125" style="88" customWidth="1"/>
    <col min="5122" max="5122" width="25.5703125" style="88" customWidth="1"/>
    <col min="5123" max="5123" width="13" style="88" customWidth="1"/>
    <col min="5124" max="5124" width="9.140625" style="88"/>
    <col min="5125" max="5125" width="13" style="88" customWidth="1"/>
    <col min="5126" max="5126" width="12.140625" style="88" customWidth="1"/>
    <col min="5127" max="5129" width="9.140625" style="88"/>
    <col min="5130" max="5130" width="29.140625" style="88" customWidth="1"/>
    <col min="5131" max="5131" width="11.28515625" style="88" customWidth="1"/>
    <col min="5132" max="5376" width="9.140625" style="88"/>
    <col min="5377" max="5377" width="13.5703125" style="88" customWidth="1"/>
    <col min="5378" max="5378" width="25.5703125" style="88" customWidth="1"/>
    <col min="5379" max="5379" width="13" style="88" customWidth="1"/>
    <col min="5380" max="5380" width="9.140625" style="88"/>
    <col min="5381" max="5381" width="13" style="88" customWidth="1"/>
    <col min="5382" max="5382" width="12.140625" style="88" customWidth="1"/>
    <col min="5383" max="5385" width="9.140625" style="88"/>
    <col min="5386" max="5386" width="29.140625" style="88" customWidth="1"/>
    <col min="5387" max="5387" width="11.28515625" style="88" customWidth="1"/>
    <col min="5388" max="5632" width="9.140625" style="88"/>
    <col min="5633" max="5633" width="13.5703125" style="88" customWidth="1"/>
    <col min="5634" max="5634" width="25.5703125" style="88" customWidth="1"/>
    <col min="5635" max="5635" width="13" style="88" customWidth="1"/>
    <col min="5636" max="5636" width="9.140625" style="88"/>
    <col min="5637" max="5637" width="13" style="88" customWidth="1"/>
    <col min="5638" max="5638" width="12.140625" style="88" customWidth="1"/>
    <col min="5639" max="5641" width="9.140625" style="88"/>
    <col min="5642" max="5642" width="29.140625" style="88" customWidth="1"/>
    <col min="5643" max="5643" width="11.28515625" style="88" customWidth="1"/>
    <col min="5644" max="5888" width="9.140625" style="88"/>
    <col min="5889" max="5889" width="13.5703125" style="88" customWidth="1"/>
    <col min="5890" max="5890" width="25.5703125" style="88" customWidth="1"/>
    <col min="5891" max="5891" width="13" style="88" customWidth="1"/>
    <col min="5892" max="5892" width="9.140625" style="88"/>
    <col min="5893" max="5893" width="13" style="88" customWidth="1"/>
    <col min="5894" max="5894" width="12.140625" style="88" customWidth="1"/>
    <col min="5895" max="5897" width="9.140625" style="88"/>
    <col min="5898" max="5898" width="29.140625" style="88" customWidth="1"/>
    <col min="5899" max="5899" width="11.28515625" style="88" customWidth="1"/>
    <col min="5900" max="6144" width="9.140625" style="88"/>
    <col min="6145" max="6145" width="13.5703125" style="88" customWidth="1"/>
    <col min="6146" max="6146" width="25.5703125" style="88" customWidth="1"/>
    <col min="6147" max="6147" width="13" style="88" customWidth="1"/>
    <col min="6148" max="6148" width="9.140625" style="88"/>
    <col min="6149" max="6149" width="13" style="88" customWidth="1"/>
    <col min="6150" max="6150" width="12.140625" style="88" customWidth="1"/>
    <col min="6151" max="6153" width="9.140625" style="88"/>
    <col min="6154" max="6154" width="29.140625" style="88" customWidth="1"/>
    <col min="6155" max="6155" width="11.28515625" style="88" customWidth="1"/>
    <col min="6156" max="6400" width="9.140625" style="88"/>
    <col min="6401" max="6401" width="13.5703125" style="88" customWidth="1"/>
    <col min="6402" max="6402" width="25.5703125" style="88" customWidth="1"/>
    <col min="6403" max="6403" width="13" style="88" customWidth="1"/>
    <col min="6404" max="6404" width="9.140625" style="88"/>
    <col min="6405" max="6405" width="13" style="88" customWidth="1"/>
    <col min="6406" max="6406" width="12.140625" style="88" customWidth="1"/>
    <col min="6407" max="6409" width="9.140625" style="88"/>
    <col min="6410" max="6410" width="29.140625" style="88" customWidth="1"/>
    <col min="6411" max="6411" width="11.28515625" style="88" customWidth="1"/>
    <col min="6412" max="6656" width="9.140625" style="88"/>
    <col min="6657" max="6657" width="13.5703125" style="88" customWidth="1"/>
    <col min="6658" max="6658" width="25.5703125" style="88" customWidth="1"/>
    <col min="6659" max="6659" width="13" style="88" customWidth="1"/>
    <col min="6660" max="6660" width="9.140625" style="88"/>
    <col min="6661" max="6661" width="13" style="88" customWidth="1"/>
    <col min="6662" max="6662" width="12.140625" style="88" customWidth="1"/>
    <col min="6663" max="6665" width="9.140625" style="88"/>
    <col min="6666" max="6666" width="29.140625" style="88" customWidth="1"/>
    <col min="6667" max="6667" width="11.28515625" style="88" customWidth="1"/>
    <col min="6668" max="6912" width="9.140625" style="88"/>
    <col min="6913" max="6913" width="13.5703125" style="88" customWidth="1"/>
    <col min="6914" max="6914" width="25.5703125" style="88" customWidth="1"/>
    <col min="6915" max="6915" width="13" style="88" customWidth="1"/>
    <col min="6916" max="6916" width="9.140625" style="88"/>
    <col min="6917" max="6917" width="13" style="88" customWidth="1"/>
    <col min="6918" max="6918" width="12.140625" style="88" customWidth="1"/>
    <col min="6919" max="6921" width="9.140625" style="88"/>
    <col min="6922" max="6922" width="29.140625" style="88" customWidth="1"/>
    <col min="6923" max="6923" width="11.28515625" style="88" customWidth="1"/>
    <col min="6924" max="7168" width="9.140625" style="88"/>
    <col min="7169" max="7169" width="13.5703125" style="88" customWidth="1"/>
    <col min="7170" max="7170" width="25.5703125" style="88" customWidth="1"/>
    <col min="7171" max="7171" width="13" style="88" customWidth="1"/>
    <col min="7172" max="7172" width="9.140625" style="88"/>
    <col min="7173" max="7173" width="13" style="88" customWidth="1"/>
    <col min="7174" max="7174" width="12.140625" style="88" customWidth="1"/>
    <col min="7175" max="7177" width="9.140625" style="88"/>
    <col min="7178" max="7178" width="29.140625" style="88" customWidth="1"/>
    <col min="7179" max="7179" width="11.28515625" style="88" customWidth="1"/>
    <col min="7180" max="7424" width="9.140625" style="88"/>
    <col min="7425" max="7425" width="13.5703125" style="88" customWidth="1"/>
    <col min="7426" max="7426" width="25.5703125" style="88" customWidth="1"/>
    <col min="7427" max="7427" width="13" style="88" customWidth="1"/>
    <col min="7428" max="7428" width="9.140625" style="88"/>
    <col min="7429" max="7429" width="13" style="88" customWidth="1"/>
    <col min="7430" max="7430" width="12.140625" style="88" customWidth="1"/>
    <col min="7431" max="7433" width="9.140625" style="88"/>
    <col min="7434" max="7434" width="29.140625" style="88" customWidth="1"/>
    <col min="7435" max="7435" width="11.28515625" style="88" customWidth="1"/>
    <col min="7436" max="7680" width="9.140625" style="88"/>
    <col min="7681" max="7681" width="13.5703125" style="88" customWidth="1"/>
    <col min="7682" max="7682" width="25.5703125" style="88" customWidth="1"/>
    <col min="7683" max="7683" width="13" style="88" customWidth="1"/>
    <col min="7684" max="7684" width="9.140625" style="88"/>
    <col min="7685" max="7685" width="13" style="88" customWidth="1"/>
    <col min="7686" max="7686" width="12.140625" style="88" customWidth="1"/>
    <col min="7687" max="7689" width="9.140625" style="88"/>
    <col min="7690" max="7690" width="29.140625" style="88" customWidth="1"/>
    <col min="7691" max="7691" width="11.28515625" style="88" customWidth="1"/>
    <col min="7692" max="7936" width="9.140625" style="88"/>
    <col min="7937" max="7937" width="13.5703125" style="88" customWidth="1"/>
    <col min="7938" max="7938" width="25.5703125" style="88" customWidth="1"/>
    <col min="7939" max="7939" width="13" style="88" customWidth="1"/>
    <col min="7940" max="7940" width="9.140625" style="88"/>
    <col min="7941" max="7941" width="13" style="88" customWidth="1"/>
    <col min="7942" max="7942" width="12.140625" style="88" customWidth="1"/>
    <col min="7943" max="7945" width="9.140625" style="88"/>
    <col min="7946" max="7946" width="29.140625" style="88" customWidth="1"/>
    <col min="7947" max="7947" width="11.28515625" style="88" customWidth="1"/>
    <col min="7948" max="8192" width="9.140625" style="88"/>
    <col min="8193" max="8193" width="13.5703125" style="88" customWidth="1"/>
    <col min="8194" max="8194" width="25.5703125" style="88" customWidth="1"/>
    <col min="8195" max="8195" width="13" style="88" customWidth="1"/>
    <col min="8196" max="8196" width="9.140625" style="88"/>
    <col min="8197" max="8197" width="13" style="88" customWidth="1"/>
    <col min="8198" max="8198" width="12.140625" style="88" customWidth="1"/>
    <col min="8199" max="8201" width="9.140625" style="88"/>
    <col min="8202" max="8202" width="29.140625" style="88" customWidth="1"/>
    <col min="8203" max="8203" width="11.28515625" style="88" customWidth="1"/>
    <col min="8204" max="8448" width="9.140625" style="88"/>
    <col min="8449" max="8449" width="13.5703125" style="88" customWidth="1"/>
    <col min="8450" max="8450" width="25.5703125" style="88" customWidth="1"/>
    <col min="8451" max="8451" width="13" style="88" customWidth="1"/>
    <col min="8452" max="8452" width="9.140625" style="88"/>
    <col min="8453" max="8453" width="13" style="88" customWidth="1"/>
    <col min="8454" max="8454" width="12.140625" style="88" customWidth="1"/>
    <col min="8455" max="8457" width="9.140625" style="88"/>
    <col min="8458" max="8458" width="29.140625" style="88" customWidth="1"/>
    <col min="8459" max="8459" width="11.28515625" style="88" customWidth="1"/>
    <col min="8460" max="8704" width="9.140625" style="88"/>
    <col min="8705" max="8705" width="13.5703125" style="88" customWidth="1"/>
    <col min="8706" max="8706" width="25.5703125" style="88" customWidth="1"/>
    <col min="8707" max="8707" width="13" style="88" customWidth="1"/>
    <col min="8708" max="8708" width="9.140625" style="88"/>
    <col min="8709" max="8709" width="13" style="88" customWidth="1"/>
    <col min="8710" max="8710" width="12.140625" style="88" customWidth="1"/>
    <col min="8711" max="8713" width="9.140625" style="88"/>
    <col min="8714" max="8714" width="29.140625" style="88" customWidth="1"/>
    <col min="8715" max="8715" width="11.28515625" style="88" customWidth="1"/>
    <col min="8716" max="8960" width="9.140625" style="88"/>
    <col min="8961" max="8961" width="13.5703125" style="88" customWidth="1"/>
    <col min="8962" max="8962" width="25.5703125" style="88" customWidth="1"/>
    <col min="8963" max="8963" width="13" style="88" customWidth="1"/>
    <col min="8964" max="8964" width="9.140625" style="88"/>
    <col min="8965" max="8965" width="13" style="88" customWidth="1"/>
    <col min="8966" max="8966" width="12.140625" style="88" customWidth="1"/>
    <col min="8967" max="8969" width="9.140625" style="88"/>
    <col min="8970" max="8970" width="29.140625" style="88" customWidth="1"/>
    <col min="8971" max="8971" width="11.28515625" style="88" customWidth="1"/>
    <col min="8972" max="9216" width="9.140625" style="88"/>
    <col min="9217" max="9217" width="13.5703125" style="88" customWidth="1"/>
    <col min="9218" max="9218" width="25.5703125" style="88" customWidth="1"/>
    <col min="9219" max="9219" width="13" style="88" customWidth="1"/>
    <col min="9220" max="9220" width="9.140625" style="88"/>
    <col min="9221" max="9221" width="13" style="88" customWidth="1"/>
    <col min="9222" max="9222" width="12.140625" style="88" customWidth="1"/>
    <col min="9223" max="9225" width="9.140625" style="88"/>
    <col min="9226" max="9226" width="29.140625" style="88" customWidth="1"/>
    <col min="9227" max="9227" width="11.28515625" style="88" customWidth="1"/>
    <col min="9228" max="9472" width="9.140625" style="88"/>
    <col min="9473" max="9473" width="13.5703125" style="88" customWidth="1"/>
    <col min="9474" max="9474" width="25.5703125" style="88" customWidth="1"/>
    <col min="9475" max="9475" width="13" style="88" customWidth="1"/>
    <col min="9476" max="9476" width="9.140625" style="88"/>
    <col min="9477" max="9477" width="13" style="88" customWidth="1"/>
    <col min="9478" max="9478" width="12.140625" style="88" customWidth="1"/>
    <col min="9479" max="9481" width="9.140625" style="88"/>
    <col min="9482" max="9482" width="29.140625" style="88" customWidth="1"/>
    <col min="9483" max="9483" width="11.28515625" style="88" customWidth="1"/>
    <col min="9484" max="9728" width="9.140625" style="88"/>
    <col min="9729" max="9729" width="13.5703125" style="88" customWidth="1"/>
    <col min="9730" max="9730" width="25.5703125" style="88" customWidth="1"/>
    <col min="9731" max="9731" width="13" style="88" customWidth="1"/>
    <col min="9732" max="9732" width="9.140625" style="88"/>
    <col min="9733" max="9733" width="13" style="88" customWidth="1"/>
    <col min="9734" max="9734" width="12.140625" style="88" customWidth="1"/>
    <col min="9735" max="9737" width="9.140625" style="88"/>
    <col min="9738" max="9738" width="29.140625" style="88" customWidth="1"/>
    <col min="9739" max="9739" width="11.28515625" style="88" customWidth="1"/>
    <col min="9740" max="9984" width="9.140625" style="88"/>
    <col min="9985" max="9985" width="13.5703125" style="88" customWidth="1"/>
    <col min="9986" max="9986" width="25.5703125" style="88" customWidth="1"/>
    <col min="9987" max="9987" width="13" style="88" customWidth="1"/>
    <col min="9988" max="9988" width="9.140625" style="88"/>
    <col min="9989" max="9989" width="13" style="88" customWidth="1"/>
    <col min="9990" max="9990" width="12.140625" style="88" customWidth="1"/>
    <col min="9991" max="9993" width="9.140625" style="88"/>
    <col min="9994" max="9994" width="29.140625" style="88" customWidth="1"/>
    <col min="9995" max="9995" width="11.28515625" style="88" customWidth="1"/>
    <col min="9996" max="10240" width="9.140625" style="88"/>
    <col min="10241" max="10241" width="13.5703125" style="88" customWidth="1"/>
    <col min="10242" max="10242" width="25.5703125" style="88" customWidth="1"/>
    <col min="10243" max="10243" width="13" style="88" customWidth="1"/>
    <col min="10244" max="10244" width="9.140625" style="88"/>
    <col min="10245" max="10245" width="13" style="88" customWidth="1"/>
    <col min="10246" max="10246" width="12.140625" style="88" customWidth="1"/>
    <col min="10247" max="10249" width="9.140625" style="88"/>
    <col min="10250" max="10250" width="29.140625" style="88" customWidth="1"/>
    <col min="10251" max="10251" width="11.28515625" style="88" customWidth="1"/>
    <col min="10252" max="10496" width="9.140625" style="88"/>
    <col min="10497" max="10497" width="13.5703125" style="88" customWidth="1"/>
    <col min="10498" max="10498" width="25.5703125" style="88" customWidth="1"/>
    <col min="10499" max="10499" width="13" style="88" customWidth="1"/>
    <col min="10500" max="10500" width="9.140625" style="88"/>
    <col min="10501" max="10501" width="13" style="88" customWidth="1"/>
    <col min="10502" max="10502" width="12.140625" style="88" customWidth="1"/>
    <col min="10503" max="10505" width="9.140625" style="88"/>
    <col min="10506" max="10506" width="29.140625" style="88" customWidth="1"/>
    <col min="10507" max="10507" width="11.28515625" style="88" customWidth="1"/>
    <col min="10508" max="10752" width="9.140625" style="88"/>
    <col min="10753" max="10753" width="13.5703125" style="88" customWidth="1"/>
    <col min="10754" max="10754" width="25.5703125" style="88" customWidth="1"/>
    <col min="10755" max="10755" width="13" style="88" customWidth="1"/>
    <col min="10756" max="10756" width="9.140625" style="88"/>
    <col min="10757" max="10757" width="13" style="88" customWidth="1"/>
    <col min="10758" max="10758" width="12.140625" style="88" customWidth="1"/>
    <col min="10759" max="10761" width="9.140625" style="88"/>
    <col min="10762" max="10762" width="29.140625" style="88" customWidth="1"/>
    <col min="10763" max="10763" width="11.28515625" style="88" customWidth="1"/>
    <col min="10764" max="11008" width="9.140625" style="88"/>
    <col min="11009" max="11009" width="13.5703125" style="88" customWidth="1"/>
    <col min="11010" max="11010" width="25.5703125" style="88" customWidth="1"/>
    <col min="11011" max="11011" width="13" style="88" customWidth="1"/>
    <col min="11012" max="11012" width="9.140625" style="88"/>
    <col min="11013" max="11013" width="13" style="88" customWidth="1"/>
    <col min="11014" max="11014" width="12.140625" style="88" customWidth="1"/>
    <col min="11015" max="11017" width="9.140625" style="88"/>
    <col min="11018" max="11018" width="29.140625" style="88" customWidth="1"/>
    <col min="11019" max="11019" width="11.28515625" style="88" customWidth="1"/>
    <col min="11020" max="11264" width="9.140625" style="88"/>
    <col min="11265" max="11265" width="13.5703125" style="88" customWidth="1"/>
    <col min="11266" max="11266" width="25.5703125" style="88" customWidth="1"/>
    <col min="11267" max="11267" width="13" style="88" customWidth="1"/>
    <col min="11268" max="11268" width="9.140625" style="88"/>
    <col min="11269" max="11269" width="13" style="88" customWidth="1"/>
    <col min="11270" max="11270" width="12.140625" style="88" customWidth="1"/>
    <col min="11271" max="11273" width="9.140625" style="88"/>
    <col min="11274" max="11274" width="29.140625" style="88" customWidth="1"/>
    <col min="11275" max="11275" width="11.28515625" style="88" customWidth="1"/>
    <col min="11276" max="11520" width="9.140625" style="88"/>
    <col min="11521" max="11521" width="13.5703125" style="88" customWidth="1"/>
    <col min="11522" max="11522" width="25.5703125" style="88" customWidth="1"/>
    <col min="11523" max="11523" width="13" style="88" customWidth="1"/>
    <col min="11524" max="11524" width="9.140625" style="88"/>
    <col min="11525" max="11525" width="13" style="88" customWidth="1"/>
    <col min="11526" max="11526" width="12.140625" style="88" customWidth="1"/>
    <col min="11527" max="11529" width="9.140625" style="88"/>
    <col min="11530" max="11530" width="29.140625" style="88" customWidth="1"/>
    <col min="11531" max="11531" width="11.28515625" style="88" customWidth="1"/>
    <col min="11532" max="11776" width="9.140625" style="88"/>
    <col min="11777" max="11777" width="13.5703125" style="88" customWidth="1"/>
    <col min="11778" max="11778" width="25.5703125" style="88" customWidth="1"/>
    <col min="11779" max="11779" width="13" style="88" customWidth="1"/>
    <col min="11780" max="11780" width="9.140625" style="88"/>
    <col min="11781" max="11781" width="13" style="88" customWidth="1"/>
    <col min="11782" max="11782" width="12.140625" style="88" customWidth="1"/>
    <col min="11783" max="11785" width="9.140625" style="88"/>
    <col min="11786" max="11786" width="29.140625" style="88" customWidth="1"/>
    <col min="11787" max="11787" width="11.28515625" style="88" customWidth="1"/>
    <col min="11788" max="12032" width="9.140625" style="88"/>
    <col min="12033" max="12033" width="13.5703125" style="88" customWidth="1"/>
    <col min="12034" max="12034" width="25.5703125" style="88" customWidth="1"/>
    <col min="12035" max="12035" width="13" style="88" customWidth="1"/>
    <col min="12036" max="12036" width="9.140625" style="88"/>
    <col min="12037" max="12037" width="13" style="88" customWidth="1"/>
    <col min="12038" max="12038" width="12.140625" style="88" customWidth="1"/>
    <col min="12039" max="12041" width="9.140625" style="88"/>
    <col min="12042" max="12042" width="29.140625" style="88" customWidth="1"/>
    <col min="12043" max="12043" width="11.28515625" style="88" customWidth="1"/>
    <col min="12044" max="12288" width="9.140625" style="88"/>
    <col min="12289" max="12289" width="13.5703125" style="88" customWidth="1"/>
    <col min="12290" max="12290" width="25.5703125" style="88" customWidth="1"/>
    <col min="12291" max="12291" width="13" style="88" customWidth="1"/>
    <col min="12292" max="12292" width="9.140625" style="88"/>
    <col min="12293" max="12293" width="13" style="88" customWidth="1"/>
    <col min="12294" max="12294" width="12.140625" style="88" customWidth="1"/>
    <col min="12295" max="12297" width="9.140625" style="88"/>
    <col min="12298" max="12298" width="29.140625" style="88" customWidth="1"/>
    <col min="12299" max="12299" width="11.28515625" style="88" customWidth="1"/>
    <col min="12300" max="12544" width="9.140625" style="88"/>
    <col min="12545" max="12545" width="13.5703125" style="88" customWidth="1"/>
    <col min="12546" max="12546" width="25.5703125" style="88" customWidth="1"/>
    <col min="12547" max="12547" width="13" style="88" customWidth="1"/>
    <col min="12548" max="12548" width="9.140625" style="88"/>
    <col min="12549" max="12549" width="13" style="88" customWidth="1"/>
    <col min="12550" max="12550" width="12.140625" style="88" customWidth="1"/>
    <col min="12551" max="12553" width="9.140625" style="88"/>
    <col min="12554" max="12554" width="29.140625" style="88" customWidth="1"/>
    <col min="12555" max="12555" width="11.28515625" style="88" customWidth="1"/>
    <col min="12556" max="12800" width="9.140625" style="88"/>
    <col min="12801" max="12801" width="13.5703125" style="88" customWidth="1"/>
    <col min="12802" max="12802" width="25.5703125" style="88" customWidth="1"/>
    <col min="12803" max="12803" width="13" style="88" customWidth="1"/>
    <col min="12804" max="12804" width="9.140625" style="88"/>
    <col min="12805" max="12805" width="13" style="88" customWidth="1"/>
    <col min="12806" max="12806" width="12.140625" style="88" customWidth="1"/>
    <col min="12807" max="12809" width="9.140625" style="88"/>
    <col min="12810" max="12810" width="29.140625" style="88" customWidth="1"/>
    <col min="12811" max="12811" width="11.28515625" style="88" customWidth="1"/>
    <col min="12812" max="13056" width="9.140625" style="88"/>
    <col min="13057" max="13057" width="13.5703125" style="88" customWidth="1"/>
    <col min="13058" max="13058" width="25.5703125" style="88" customWidth="1"/>
    <col min="13059" max="13059" width="13" style="88" customWidth="1"/>
    <col min="13060" max="13060" width="9.140625" style="88"/>
    <col min="13061" max="13061" width="13" style="88" customWidth="1"/>
    <col min="13062" max="13062" width="12.140625" style="88" customWidth="1"/>
    <col min="13063" max="13065" width="9.140625" style="88"/>
    <col min="13066" max="13066" width="29.140625" style="88" customWidth="1"/>
    <col min="13067" max="13067" width="11.28515625" style="88" customWidth="1"/>
    <col min="13068" max="13312" width="9.140625" style="88"/>
    <col min="13313" max="13313" width="13.5703125" style="88" customWidth="1"/>
    <col min="13314" max="13314" width="25.5703125" style="88" customWidth="1"/>
    <col min="13315" max="13315" width="13" style="88" customWidth="1"/>
    <col min="13316" max="13316" width="9.140625" style="88"/>
    <col min="13317" max="13317" width="13" style="88" customWidth="1"/>
    <col min="13318" max="13318" width="12.140625" style="88" customWidth="1"/>
    <col min="13319" max="13321" width="9.140625" style="88"/>
    <col min="13322" max="13322" width="29.140625" style="88" customWidth="1"/>
    <col min="13323" max="13323" width="11.28515625" style="88" customWidth="1"/>
    <col min="13324" max="13568" width="9.140625" style="88"/>
    <col min="13569" max="13569" width="13.5703125" style="88" customWidth="1"/>
    <col min="13570" max="13570" width="25.5703125" style="88" customWidth="1"/>
    <col min="13571" max="13571" width="13" style="88" customWidth="1"/>
    <col min="13572" max="13572" width="9.140625" style="88"/>
    <col min="13573" max="13573" width="13" style="88" customWidth="1"/>
    <col min="13574" max="13574" width="12.140625" style="88" customWidth="1"/>
    <col min="13575" max="13577" width="9.140625" style="88"/>
    <col min="13578" max="13578" width="29.140625" style="88" customWidth="1"/>
    <col min="13579" max="13579" width="11.28515625" style="88" customWidth="1"/>
    <col min="13580" max="13824" width="9.140625" style="88"/>
    <col min="13825" max="13825" width="13.5703125" style="88" customWidth="1"/>
    <col min="13826" max="13826" width="25.5703125" style="88" customWidth="1"/>
    <col min="13827" max="13827" width="13" style="88" customWidth="1"/>
    <col min="13828" max="13828" width="9.140625" style="88"/>
    <col min="13829" max="13829" width="13" style="88" customWidth="1"/>
    <col min="13830" max="13830" width="12.140625" style="88" customWidth="1"/>
    <col min="13831" max="13833" width="9.140625" style="88"/>
    <col min="13834" max="13834" width="29.140625" style="88" customWidth="1"/>
    <col min="13835" max="13835" width="11.28515625" style="88" customWidth="1"/>
    <col min="13836" max="14080" width="9.140625" style="88"/>
    <col min="14081" max="14081" width="13.5703125" style="88" customWidth="1"/>
    <col min="14082" max="14082" width="25.5703125" style="88" customWidth="1"/>
    <col min="14083" max="14083" width="13" style="88" customWidth="1"/>
    <col min="14084" max="14084" width="9.140625" style="88"/>
    <col min="14085" max="14085" width="13" style="88" customWidth="1"/>
    <col min="14086" max="14086" width="12.140625" style="88" customWidth="1"/>
    <col min="14087" max="14089" width="9.140625" style="88"/>
    <col min="14090" max="14090" width="29.140625" style="88" customWidth="1"/>
    <col min="14091" max="14091" width="11.28515625" style="88" customWidth="1"/>
    <col min="14092" max="14336" width="9.140625" style="88"/>
    <col min="14337" max="14337" width="13.5703125" style="88" customWidth="1"/>
    <col min="14338" max="14338" width="25.5703125" style="88" customWidth="1"/>
    <col min="14339" max="14339" width="13" style="88" customWidth="1"/>
    <col min="14340" max="14340" width="9.140625" style="88"/>
    <col min="14341" max="14341" width="13" style="88" customWidth="1"/>
    <col min="14342" max="14342" width="12.140625" style="88" customWidth="1"/>
    <col min="14343" max="14345" width="9.140625" style="88"/>
    <col min="14346" max="14346" width="29.140625" style="88" customWidth="1"/>
    <col min="14347" max="14347" width="11.28515625" style="88" customWidth="1"/>
    <col min="14348" max="14592" width="9.140625" style="88"/>
    <col min="14593" max="14593" width="13.5703125" style="88" customWidth="1"/>
    <col min="14594" max="14594" width="25.5703125" style="88" customWidth="1"/>
    <col min="14595" max="14595" width="13" style="88" customWidth="1"/>
    <col min="14596" max="14596" width="9.140625" style="88"/>
    <col min="14597" max="14597" width="13" style="88" customWidth="1"/>
    <col min="14598" max="14598" width="12.140625" style="88" customWidth="1"/>
    <col min="14599" max="14601" width="9.140625" style="88"/>
    <col min="14602" max="14602" width="29.140625" style="88" customWidth="1"/>
    <col min="14603" max="14603" width="11.28515625" style="88" customWidth="1"/>
    <col min="14604" max="14848" width="9.140625" style="88"/>
    <col min="14849" max="14849" width="13.5703125" style="88" customWidth="1"/>
    <col min="14850" max="14850" width="25.5703125" style="88" customWidth="1"/>
    <col min="14851" max="14851" width="13" style="88" customWidth="1"/>
    <col min="14852" max="14852" width="9.140625" style="88"/>
    <col min="14853" max="14853" width="13" style="88" customWidth="1"/>
    <col min="14854" max="14854" width="12.140625" style="88" customWidth="1"/>
    <col min="14855" max="14857" width="9.140625" style="88"/>
    <col min="14858" max="14858" width="29.140625" style="88" customWidth="1"/>
    <col min="14859" max="14859" width="11.28515625" style="88" customWidth="1"/>
    <col min="14860" max="15104" width="9.140625" style="88"/>
    <col min="15105" max="15105" width="13.5703125" style="88" customWidth="1"/>
    <col min="15106" max="15106" width="25.5703125" style="88" customWidth="1"/>
    <col min="15107" max="15107" width="13" style="88" customWidth="1"/>
    <col min="15108" max="15108" width="9.140625" style="88"/>
    <col min="15109" max="15109" width="13" style="88" customWidth="1"/>
    <col min="15110" max="15110" width="12.140625" style="88" customWidth="1"/>
    <col min="15111" max="15113" width="9.140625" style="88"/>
    <col min="15114" max="15114" width="29.140625" style="88" customWidth="1"/>
    <col min="15115" max="15115" width="11.28515625" style="88" customWidth="1"/>
    <col min="15116" max="15360" width="9.140625" style="88"/>
    <col min="15361" max="15361" width="13.5703125" style="88" customWidth="1"/>
    <col min="15362" max="15362" width="25.5703125" style="88" customWidth="1"/>
    <col min="15363" max="15363" width="13" style="88" customWidth="1"/>
    <col min="15364" max="15364" width="9.140625" style="88"/>
    <col min="15365" max="15365" width="13" style="88" customWidth="1"/>
    <col min="15366" max="15366" width="12.140625" style="88" customWidth="1"/>
    <col min="15367" max="15369" width="9.140625" style="88"/>
    <col min="15370" max="15370" width="29.140625" style="88" customWidth="1"/>
    <col min="15371" max="15371" width="11.28515625" style="88" customWidth="1"/>
    <col min="15372" max="15616" width="9.140625" style="88"/>
    <col min="15617" max="15617" width="13.5703125" style="88" customWidth="1"/>
    <col min="15618" max="15618" width="25.5703125" style="88" customWidth="1"/>
    <col min="15619" max="15619" width="13" style="88" customWidth="1"/>
    <col min="15620" max="15620" width="9.140625" style="88"/>
    <col min="15621" max="15621" width="13" style="88" customWidth="1"/>
    <col min="15622" max="15622" width="12.140625" style="88" customWidth="1"/>
    <col min="15623" max="15625" width="9.140625" style="88"/>
    <col min="15626" max="15626" width="29.140625" style="88" customWidth="1"/>
    <col min="15627" max="15627" width="11.28515625" style="88" customWidth="1"/>
    <col min="15628" max="15872" width="9.140625" style="88"/>
    <col min="15873" max="15873" width="13.5703125" style="88" customWidth="1"/>
    <col min="15874" max="15874" width="25.5703125" style="88" customWidth="1"/>
    <col min="15875" max="15875" width="13" style="88" customWidth="1"/>
    <col min="15876" max="15876" width="9.140625" style="88"/>
    <col min="15877" max="15877" width="13" style="88" customWidth="1"/>
    <col min="15878" max="15878" width="12.140625" style="88" customWidth="1"/>
    <col min="15879" max="15881" width="9.140625" style="88"/>
    <col min="15882" max="15882" width="29.140625" style="88" customWidth="1"/>
    <col min="15883" max="15883" width="11.28515625" style="88" customWidth="1"/>
    <col min="15884" max="16128" width="9.140625" style="88"/>
    <col min="16129" max="16129" width="13.5703125" style="88" customWidth="1"/>
    <col min="16130" max="16130" width="25.5703125" style="88" customWidth="1"/>
    <col min="16131" max="16131" width="13" style="88" customWidth="1"/>
    <col min="16132" max="16132" width="9.140625" style="88"/>
    <col min="16133" max="16133" width="13" style="88" customWidth="1"/>
    <col min="16134" max="16134" width="12.140625" style="88" customWidth="1"/>
    <col min="16135" max="16137" width="9.140625" style="88"/>
    <col min="16138" max="16138" width="29.140625" style="88" customWidth="1"/>
    <col min="16139" max="16139" width="11.28515625" style="88" customWidth="1"/>
    <col min="16140" max="16384" width="9.140625" style="88"/>
  </cols>
  <sheetData>
    <row r="1" spans="1:21" ht="21" customHeight="1">
      <c r="A1" s="87" t="s">
        <v>199</v>
      </c>
    </row>
    <row r="2" spans="1:21" ht="15" customHeight="1" thickBot="1">
      <c r="A2" s="89"/>
      <c r="B2" s="90"/>
      <c r="C2" s="90"/>
      <c r="D2" s="90"/>
      <c r="E2" s="90"/>
      <c r="F2" s="90"/>
      <c r="G2" s="91" t="s">
        <v>140</v>
      </c>
      <c r="I2" s="92"/>
      <c r="R2" s="92"/>
      <c r="S2" s="92"/>
      <c r="T2" s="92"/>
      <c r="U2" s="92"/>
    </row>
    <row r="3" spans="1:21" ht="15" customHeight="1" thickTop="1">
      <c r="A3" s="93" t="s">
        <v>200</v>
      </c>
      <c r="B3" s="94" t="s">
        <v>201</v>
      </c>
      <c r="C3" s="95" t="s">
        <v>14</v>
      </c>
      <c r="D3" s="95" t="s">
        <v>202</v>
      </c>
      <c r="E3" s="95" t="s">
        <v>203</v>
      </c>
      <c r="F3" s="95" t="s">
        <v>5</v>
      </c>
      <c r="G3" s="95" t="s">
        <v>148</v>
      </c>
      <c r="I3" s="92"/>
      <c r="R3" s="92"/>
      <c r="S3" s="92"/>
      <c r="T3" s="92"/>
      <c r="U3" s="92"/>
    </row>
    <row r="4" spans="1:21" ht="15" customHeight="1">
      <c r="A4" s="88" t="s">
        <v>41</v>
      </c>
      <c r="B4" s="96" t="s">
        <v>114</v>
      </c>
      <c r="C4" s="97">
        <v>20761.808160068431</v>
      </c>
      <c r="D4" s="97">
        <v>2123.3524133312758</v>
      </c>
      <c r="E4" s="97">
        <v>524.2644503326494</v>
      </c>
      <c r="F4" s="97">
        <v>1201.3294743559929</v>
      </c>
      <c r="G4" s="97">
        <v>24610.754498088347</v>
      </c>
      <c r="R4" s="92"/>
      <c r="S4" s="92"/>
      <c r="T4" s="92"/>
      <c r="U4" s="92"/>
    </row>
    <row r="5" spans="1:21" ht="15" customHeight="1">
      <c r="B5" s="96" t="s">
        <v>204</v>
      </c>
      <c r="C5" s="97">
        <v>8900.1650974163058</v>
      </c>
      <c r="D5" s="97">
        <v>749.68389888293814</v>
      </c>
      <c r="E5" s="97">
        <v>152.75342740376871</v>
      </c>
      <c r="F5" s="97">
        <v>1391.0011648617194</v>
      </c>
      <c r="G5" s="97">
        <v>11193.603588564732</v>
      </c>
      <c r="I5" s="2425">
        <f>11194*Unit.ktoe</f>
        <v>130.18621999999999</v>
      </c>
      <c r="J5" s="90"/>
      <c r="K5" s="90"/>
      <c r="L5" s="90"/>
      <c r="M5" s="90"/>
      <c r="N5" s="91"/>
      <c r="O5" s="91"/>
      <c r="P5" s="92"/>
      <c r="R5" s="92"/>
      <c r="S5" s="92"/>
      <c r="T5" s="92"/>
      <c r="U5" s="92"/>
    </row>
    <row r="6" spans="1:21" ht="15" customHeight="1">
      <c r="B6" s="96" t="s">
        <v>205</v>
      </c>
      <c r="C6" s="97">
        <v>682.38249995224271</v>
      </c>
      <c r="D6" s="97">
        <v>3.5181593929284705</v>
      </c>
      <c r="E6" s="97">
        <v>2.977912368790709</v>
      </c>
      <c r="F6" s="97">
        <v>586.86909715644913</v>
      </c>
      <c r="G6" s="97">
        <v>1275.747668870411</v>
      </c>
      <c r="I6" s="98"/>
      <c r="J6" s="99"/>
      <c r="K6" s="99"/>
      <c r="L6" s="99"/>
      <c r="M6" s="99"/>
      <c r="N6" s="99"/>
      <c r="O6" s="99"/>
      <c r="P6" s="92"/>
      <c r="R6" s="92"/>
      <c r="S6" s="92"/>
      <c r="T6" s="92"/>
      <c r="U6" s="92"/>
    </row>
    <row r="7" spans="1:21" ht="15" customHeight="1">
      <c r="B7" s="100" t="s">
        <v>206</v>
      </c>
      <c r="C7" s="100">
        <v>30344.355757436981</v>
      </c>
      <c r="D7" s="100">
        <v>2876.5544716071422</v>
      </c>
      <c r="E7" s="100">
        <v>679.99579010520881</v>
      </c>
      <c r="F7" s="100">
        <v>3179.1997363741616</v>
      </c>
      <c r="G7" s="100">
        <v>37080.105755523495</v>
      </c>
      <c r="I7" s="101"/>
      <c r="J7" s="91"/>
      <c r="K7" s="91"/>
      <c r="L7" s="91"/>
      <c r="M7" s="91"/>
      <c r="N7" s="91"/>
      <c r="O7" s="91"/>
      <c r="P7" s="92"/>
      <c r="R7" s="92"/>
      <c r="S7" s="92"/>
      <c r="T7" s="92"/>
      <c r="U7" s="92"/>
    </row>
    <row r="8" spans="1:21" ht="15" customHeight="1">
      <c r="B8" s="100" t="s">
        <v>71</v>
      </c>
      <c r="C8" s="102">
        <v>3.2402428691751259</v>
      </c>
      <c r="D8" s="103" t="s">
        <v>207</v>
      </c>
      <c r="E8" s="103" t="s">
        <v>207</v>
      </c>
      <c r="F8" s="100">
        <v>6713.3698951860279</v>
      </c>
      <c r="G8" s="100">
        <v>6716.6101380552027</v>
      </c>
      <c r="I8" s="101"/>
      <c r="J8" s="91"/>
      <c r="K8" s="91"/>
      <c r="L8" s="91"/>
      <c r="M8" s="91"/>
      <c r="N8" s="91"/>
      <c r="O8" s="91"/>
      <c r="P8" s="92"/>
      <c r="R8" s="92"/>
      <c r="S8" s="92"/>
      <c r="T8" s="92"/>
      <c r="U8" s="92"/>
    </row>
    <row r="9" spans="1:21" ht="18" customHeight="1" thickBot="1">
      <c r="B9" s="104" t="s">
        <v>208</v>
      </c>
      <c r="C9" s="104">
        <v>30347.596000306155</v>
      </c>
      <c r="D9" s="104">
        <v>2876.5544716071422</v>
      </c>
      <c r="E9" s="104">
        <v>679.99579010520881</v>
      </c>
      <c r="F9" s="104">
        <v>9892.569631560189</v>
      </c>
      <c r="G9" s="104">
        <v>43796.715893578701</v>
      </c>
      <c r="I9" s="101"/>
      <c r="J9" s="91"/>
      <c r="K9" s="91"/>
      <c r="L9" s="91"/>
      <c r="M9" s="91"/>
      <c r="N9" s="91"/>
      <c r="O9" s="91"/>
      <c r="P9" s="92"/>
      <c r="R9" s="92"/>
      <c r="S9" s="92"/>
      <c r="T9" s="92"/>
      <c r="U9" s="92"/>
    </row>
    <row r="10" spans="1:21" ht="15" customHeight="1" thickTop="1">
      <c r="B10" s="90"/>
      <c r="C10" s="90"/>
      <c r="D10" s="90"/>
      <c r="E10" s="90"/>
      <c r="F10" s="90"/>
      <c r="G10" s="90"/>
      <c r="I10" s="101"/>
      <c r="J10" s="91"/>
      <c r="K10" s="91"/>
      <c r="L10" s="91"/>
      <c r="M10" s="91"/>
      <c r="N10" s="91"/>
      <c r="O10" s="91"/>
      <c r="P10" s="92"/>
      <c r="R10" s="92"/>
      <c r="S10" s="92"/>
      <c r="T10" s="92"/>
      <c r="U10" s="92"/>
    </row>
    <row r="11" spans="1:21" ht="15" customHeight="1">
      <c r="A11" s="88" t="s">
        <v>209</v>
      </c>
      <c r="B11" s="96" t="s">
        <v>114</v>
      </c>
      <c r="C11" s="105">
        <v>6228.4146697154792</v>
      </c>
      <c r="D11" s="105">
        <v>1056.729525903982</v>
      </c>
      <c r="E11" s="105">
        <v>10.104010221874312</v>
      </c>
      <c r="F11" s="105">
        <v>1207.7243864928994</v>
      </c>
      <c r="G11" s="105">
        <v>8502.9725923342339</v>
      </c>
      <c r="I11" s="101"/>
      <c r="J11" s="91"/>
      <c r="K11" s="91"/>
      <c r="L11" s="91"/>
      <c r="M11" s="91"/>
      <c r="N11" s="91"/>
      <c r="O11" s="91"/>
      <c r="P11" s="92"/>
      <c r="R11" s="92"/>
      <c r="S11" s="92"/>
      <c r="T11" s="92"/>
      <c r="U11" s="92"/>
    </row>
    <row r="12" spans="1:21" ht="15" customHeight="1">
      <c r="B12" s="96" t="s">
        <v>204</v>
      </c>
      <c r="C12" s="105">
        <v>1251.2212731879906</v>
      </c>
      <c r="D12" s="105">
        <v>100.03914835165267</v>
      </c>
      <c r="E12" s="105">
        <v>1.061255973783479</v>
      </c>
      <c r="F12" s="105">
        <v>284.8159539711279</v>
      </c>
      <c r="G12" s="105">
        <v>1637.1376314845547</v>
      </c>
      <c r="I12" s="98"/>
      <c r="J12" s="91"/>
      <c r="K12" s="91"/>
      <c r="L12" s="91"/>
      <c r="M12" s="91"/>
      <c r="N12" s="91"/>
      <c r="O12" s="91"/>
      <c r="P12" s="92"/>
      <c r="R12" s="92"/>
      <c r="S12" s="92"/>
      <c r="T12" s="92"/>
      <c r="U12" s="92"/>
    </row>
    <row r="13" spans="1:21" ht="15" customHeight="1">
      <c r="B13" s="96" t="s">
        <v>205</v>
      </c>
      <c r="C13" s="105">
        <v>755.68635160556403</v>
      </c>
      <c r="D13" s="105">
        <v>38.014686919374739</v>
      </c>
      <c r="E13" s="105" t="s">
        <v>207</v>
      </c>
      <c r="F13" s="105">
        <v>1137.719344181108</v>
      </c>
      <c r="G13" s="105">
        <v>1931.4203827060469</v>
      </c>
      <c r="I13" s="90"/>
      <c r="J13" s="91"/>
      <c r="K13" s="91"/>
      <c r="L13" s="91"/>
      <c r="M13" s="91"/>
      <c r="N13" s="91"/>
      <c r="O13" s="91"/>
      <c r="P13" s="92"/>
      <c r="R13" s="92"/>
      <c r="S13" s="92"/>
      <c r="T13" s="92"/>
      <c r="U13" s="92"/>
    </row>
    <row r="14" spans="1:21" ht="15" customHeight="1">
      <c r="B14" s="100" t="s">
        <v>206</v>
      </c>
      <c r="C14" s="103">
        <v>8235.3222945090347</v>
      </c>
      <c r="D14" s="103">
        <v>1194.7833611750095</v>
      </c>
      <c r="E14" s="103">
        <v>11.165266195657791</v>
      </c>
      <c r="F14" s="103">
        <v>2630.2596846451352</v>
      </c>
      <c r="G14" s="103">
        <v>12071.530606524837</v>
      </c>
      <c r="I14" s="98"/>
      <c r="J14" s="106"/>
      <c r="K14" s="106"/>
      <c r="L14" s="106"/>
      <c r="M14" s="106"/>
      <c r="N14" s="106"/>
      <c r="O14" s="106"/>
      <c r="P14" s="92"/>
      <c r="R14" s="92"/>
      <c r="S14" s="92"/>
      <c r="T14" s="92"/>
      <c r="U14" s="92"/>
    </row>
    <row r="15" spans="1:21" ht="15" customHeight="1">
      <c r="B15" s="96" t="s">
        <v>120</v>
      </c>
      <c r="C15" s="105" t="s">
        <v>207</v>
      </c>
      <c r="D15" s="105" t="s">
        <v>207</v>
      </c>
      <c r="E15" s="105" t="s">
        <v>207</v>
      </c>
      <c r="F15" s="105">
        <v>453.17031975990915</v>
      </c>
      <c r="G15" s="105">
        <v>453.17031975990915</v>
      </c>
      <c r="I15" s="90"/>
      <c r="J15" s="92"/>
      <c r="K15" s="92"/>
      <c r="L15" s="92"/>
      <c r="M15" s="92"/>
      <c r="N15" s="92"/>
      <c r="O15" s="92"/>
      <c r="P15" s="92"/>
      <c r="R15" s="92"/>
      <c r="S15" s="92"/>
      <c r="T15" s="92"/>
      <c r="U15" s="92"/>
    </row>
    <row r="16" spans="1:21" ht="15" customHeight="1">
      <c r="B16" s="96" t="s">
        <v>121</v>
      </c>
      <c r="C16" s="105">
        <v>34.98397921679743</v>
      </c>
      <c r="D16" s="105" t="s">
        <v>207</v>
      </c>
      <c r="E16" s="105" t="s">
        <v>207</v>
      </c>
      <c r="F16" s="105">
        <v>775.39567838460971</v>
      </c>
      <c r="G16" s="105">
        <v>810.37965760140719</v>
      </c>
      <c r="I16" s="92"/>
      <c r="J16" s="92"/>
      <c r="K16" s="92"/>
      <c r="L16" s="92"/>
      <c r="M16" s="92"/>
      <c r="N16" s="92"/>
      <c r="O16" s="92"/>
      <c r="P16" s="92"/>
    </row>
    <row r="17" spans="1:16" ht="15" customHeight="1">
      <c r="B17" s="96" t="s">
        <v>122</v>
      </c>
      <c r="C17" s="105" t="s">
        <v>207</v>
      </c>
      <c r="D17" s="105" t="s">
        <v>207</v>
      </c>
      <c r="E17" s="105" t="s">
        <v>207</v>
      </c>
      <c r="F17" s="105">
        <v>3373.2875772165198</v>
      </c>
      <c r="G17" s="105">
        <v>3373.2875772165198</v>
      </c>
      <c r="I17" s="92"/>
      <c r="J17" s="92"/>
      <c r="K17" s="92"/>
      <c r="L17" s="92"/>
      <c r="M17" s="92"/>
      <c r="N17" s="92"/>
      <c r="O17" s="92"/>
      <c r="P17" s="92"/>
    </row>
    <row r="18" spans="1:16" ht="15" customHeight="1">
      <c r="B18" s="96" t="s">
        <v>123</v>
      </c>
      <c r="C18" s="105">
        <v>133.08471060015648</v>
      </c>
      <c r="D18" s="105">
        <v>11.649257784068206</v>
      </c>
      <c r="E18" s="105" t="s">
        <v>207</v>
      </c>
      <c r="F18" s="105">
        <v>1115.3734578442952</v>
      </c>
      <c r="G18" s="105">
        <v>1260.1074262285199</v>
      </c>
      <c r="I18" s="92"/>
      <c r="J18" s="92"/>
      <c r="K18" s="92"/>
      <c r="L18" s="92"/>
      <c r="M18" s="92"/>
      <c r="N18" s="92"/>
      <c r="O18" s="92"/>
      <c r="P18" s="92"/>
    </row>
    <row r="19" spans="1:16" ht="17.25" customHeight="1" thickBot="1">
      <c r="B19" s="104" t="s">
        <v>208</v>
      </c>
      <c r="C19" s="107">
        <v>8403.390984325988</v>
      </c>
      <c r="D19" s="107">
        <v>1206.4326189590777</v>
      </c>
      <c r="E19" s="107">
        <v>11.165266195657791</v>
      </c>
      <c r="F19" s="107">
        <v>8347.4867178504683</v>
      </c>
      <c r="G19" s="107">
        <v>17968.475587331191</v>
      </c>
    </row>
    <row r="20" spans="1:16" ht="15" customHeight="1" thickTop="1">
      <c r="B20" s="90"/>
      <c r="C20" s="91"/>
      <c r="D20" s="91"/>
      <c r="E20" s="91"/>
      <c r="F20" s="91"/>
      <c r="G20" s="91"/>
    </row>
    <row r="21" spans="1:16" ht="15" customHeight="1">
      <c r="A21" s="88" t="s">
        <v>210</v>
      </c>
      <c r="B21" s="96" t="s">
        <v>114</v>
      </c>
      <c r="C21" s="97">
        <v>1369.4177746045293</v>
      </c>
      <c r="D21" s="97">
        <v>689.35063688899413</v>
      </c>
      <c r="E21" s="97">
        <v>93.4622114043284</v>
      </c>
      <c r="F21" s="97">
        <v>798.18708166868896</v>
      </c>
      <c r="G21" s="97">
        <v>2950.417704566541</v>
      </c>
    </row>
    <row r="22" spans="1:16" ht="15" customHeight="1">
      <c r="B22" s="96" t="s">
        <v>127</v>
      </c>
      <c r="C22" s="97">
        <v>2152.7854444625532</v>
      </c>
      <c r="D22" s="97">
        <v>259.32568093147376</v>
      </c>
      <c r="E22" s="97">
        <v>1189.3091878280718</v>
      </c>
      <c r="F22" s="97">
        <v>1286.0583033816426</v>
      </c>
      <c r="G22" s="97">
        <v>4887.478616603742</v>
      </c>
    </row>
    <row r="23" spans="1:16" ht="15" customHeight="1">
      <c r="B23" s="96" t="s">
        <v>128</v>
      </c>
      <c r="C23" s="97">
        <v>4793.4818800379771</v>
      </c>
      <c r="D23" s="97">
        <v>1834.1450867625672</v>
      </c>
      <c r="E23" s="97">
        <v>243.02101718527183</v>
      </c>
      <c r="F23" s="97">
        <v>1679.6365789530998</v>
      </c>
      <c r="G23" s="97">
        <v>8550.2845629389158</v>
      </c>
    </row>
    <row r="24" spans="1:16" ht="15" customHeight="1">
      <c r="B24" s="96" t="s">
        <v>129</v>
      </c>
      <c r="C24" s="97">
        <v>1679.4997615193138</v>
      </c>
      <c r="D24" s="97">
        <v>741.97706310508181</v>
      </c>
      <c r="E24" s="97">
        <v>151.6871471618133</v>
      </c>
      <c r="F24" s="97">
        <v>621.53506222563453</v>
      </c>
      <c r="G24" s="97">
        <v>3194.6990340118437</v>
      </c>
    </row>
    <row r="25" spans="1:16" ht="15" customHeight="1">
      <c r="B25" s="100" t="s">
        <v>206</v>
      </c>
      <c r="C25" s="100">
        <v>9995.184860624373</v>
      </c>
      <c r="D25" s="100">
        <v>3524.7984676881169</v>
      </c>
      <c r="E25" s="100">
        <v>1677.4795635794853</v>
      </c>
      <c r="F25" s="100">
        <v>4385.4170262290663</v>
      </c>
      <c r="G25" s="100">
        <v>19582.879918121042</v>
      </c>
    </row>
    <row r="26" spans="1:16" ht="15" customHeight="1">
      <c r="B26" s="96" t="s">
        <v>130</v>
      </c>
      <c r="C26" s="105" t="s">
        <v>207</v>
      </c>
      <c r="D26" s="105" t="s">
        <v>207</v>
      </c>
      <c r="E26" s="105" t="s">
        <v>207</v>
      </c>
      <c r="F26" s="105">
        <v>3210.6270060518964</v>
      </c>
      <c r="G26" s="90">
        <v>3210.6270060518964</v>
      </c>
    </row>
    <row r="27" spans="1:16" ht="15" customHeight="1">
      <c r="B27" s="96" t="s">
        <v>131</v>
      </c>
      <c r="C27" s="105" t="s">
        <v>207</v>
      </c>
      <c r="D27" s="105" t="s">
        <v>207</v>
      </c>
      <c r="E27" s="105" t="s">
        <v>207</v>
      </c>
      <c r="F27" s="105">
        <v>933.55506550179769</v>
      </c>
      <c r="G27" s="105">
        <v>933.55506550179769</v>
      </c>
    </row>
    <row r="28" spans="1:16" ht="15" customHeight="1">
      <c r="B28" s="96" t="s">
        <v>122</v>
      </c>
      <c r="C28" s="105" t="s">
        <v>207</v>
      </c>
      <c r="D28" s="105" t="s">
        <v>207</v>
      </c>
      <c r="E28" s="105" t="s">
        <v>207</v>
      </c>
      <c r="F28" s="105">
        <v>319.64348874124767</v>
      </c>
      <c r="G28" s="105">
        <v>319.64348874124767</v>
      </c>
    </row>
    <row r="29" spans="1:16" ht="15" customHeight="1">
      <c r="B29" s="96" t="s">
        <v>132</v>
      </c>
      <c r="C29" s="105" t="s">
        <v>207</v>
      </c>
      <c r="D29" s="105" t="s">
        <v>207</v>
      </c>
      <c r="E29" s="105" t="s">
        <v>207</v>
      </c>
      <c r="F29" s="105">
        <v>574.07630569071762</v>
      </c>
      <c r="G29" s="105">
        <v>574.07630569071762</v>
      </c>
    </row>
    <row r="30" spans="1:16" ht="15" customHeight="1">
      <c r="B30" s="96" t="s">
        <v>123</v>
      </c>
      <c r="C30" s="105">
        <v>1400.9454452386162</v>
      </c>
      <c r="D30" s="105">
        <v>492.8719860068295</v>
      </c>
      <c r="E30" s="105">
        <v>187.03051501601595</v>
      </c>
      <c r="F30" s="105">
        <v>500.03599669065829</v>
      </c>
      <c r="G30" s="105">
        <v>2580.8839429521204</v>
      </c>
    </row>
    <row r="31" spans="1:16" ht="15" customHeight="1" thickBot="1">
      <c r="B31" s="104" t="s">
        <v>211</v>
      </c>
      <c r="C31" s="107">
        <v>11396.130305862989</v>
      </c>
      <c r="D31" s="107">
        <v>4017.6704536949464</v>
      </c>
      <c r="E31" s="107">
        <v>1864.5100785955012</v>
      </c>
      <c r="F31" s="107">
        <v>9923.3548889053836</v>
      </c>
      <c r="G31" s="107">
        <v>27201.665727058818</v>
      </c>
    </row>
    <row r="32" spans="1:16" ht="15" customHeight="1" thickTop="1"/>
    <row r="33" spans="1:9" ht="15" customHeight="1">
      <c r="A33" s="108" t="s">
        <v>148</v>
      </c>
      <c r="B33" s="109" t="s">
        <v>114</v>
      </c>
      <c r="C33" s="110">
        <v>28359.640604388442</v>
      </c>
      <c r="D33" s="110">
        <v>3869.4325761242517</v>
      </c>
      <c r="E33" s="110">
        <v>627.83067195885212</v>
      </c>
      <c r="F33" s="110">
        <v>3207.2409425175811</v>
      </c>
      <c r="G33" s="110">
        <v>36064.144794989123</v>
      </c>
    </row>
    <row r="34" spans="1:9" ht="15" customHeight="1">
      <c r="A34" s="108"/>
      <c r="B34" s="109" t="s">
        <v>204</v>
      </c>
      <c r="C34" s="110">
        <v>10151.386370604296</v>
      </c>
      <c r="D34" s="110">
        <v>849.72304723459081</v>
      </c>
      <c r="E34" s="110">
        <v>153.8146833775522</v>
      </c>
      <c r="F34" s="110">
        <v>1675.8171188328474</v>
      </c>
      <c r="G34" s="110">
        <v>12830.741220049287</v>
      </c>
    </row>
    <row r="35" spans="1:9" ht="15" customHeight="1">
      <c r="A35" s="108"/>
      <c r="B35" s="109" t="s">
        <v>205</v>
      </c>
      <c r="C35" s="110">
        <v>1438.0688515578067</v>
      </c>
      <c r="D35" s="110">
        <v>41.532846312303207</v>
      </c>
      <c r="E35" s="110">
        <v>2.977912368790709</v>
      </c>
      <c r="F35" s="110">
        <v>1724.588441337557</v>
      </c>
      <c r="G35" s="110">
        <v>3207.1680515764579</v>
      </c>
    </row>
    <row r="36" spans="1:9" ht="15" customHeight="1">
      <c r="A36" s="108"/>
      <c r="B36" s="109" t="s">
        <v>212</v>
      </c>
      <c r="C36" s="110">
        <v>6946.2673245005299</v>
      </c>
      <c r="D36" s="110">
        <v>2093.4707676940411</v>
      </c>
      <c r="E36" s="110">
        <v>1432.3302050133436</v>
      </c>
      <c r="F36" s="110">
        <v>2965.6948823347425</v>
      </c>
      <c r="G36" s="110">
        <v>13437.763179542657</v>
      </c>
    </row>
    <row r="37" spans="1:9" ht="15" customHeight="1">
      <c r="A37" s="108"/>
      <c r="B37" s="109" t="s">
        <v>213</v>
      </c>
      <c r="C37" s="110">
        <v>1679.4997615193138</v>
      </c>
      <c r="D37" s="110">
        <v>741.97706310508181</v>
      </c>
      <c r="E37" s="110">
        <v>151.6871471618133</v>
      </c>
      <c r="F37" s="110">
        <v>621.53506222563453</v>
      </c>
      <c r="G37" s="110">
        <v>3194.6990340118437</v>
      </c>
    </row>
    <row r="38" spans="1:9" ht="15" customHeight="1">
      <c r="A38" s="108"/>
      <c r="B38" s="111" t="s">
        <v>206</v>
      </c>
      <c r="C38" s="112">
        <v>48574.862912570388</v>
      </c>
      <c r="D38" s="112">
        <v>7596.1363004702689</v>
      </c>
      <c r="E38" s="112">
        <v>2368.640619880352</v>
      </c>
      <c r="F38" s="112">
        <v>10194.876447248362</v>
      </c>
      <c r="G38" s="112">
        <v>68734.51628016938</v>
      </c>
      <c r="I38" s="113"/>
    </row>
    <row r="39" spans="1:9" ht="15" customHeight="1">
      <c r="A39" s="108"/>
      <c r="B39" s="109" t="s">
        <v>120</v>
      </c>
      <c r="C39" s="114" t="s">
        <v>207</v>
      </c>
      <c r="D39" s="114" t="s">
        <v>207</v>
      </c>
      <c r="E39" s="114" t="s">
        <v>207</v>
      </c>
      <c r="F39" s="110">
        <v>453.17031975990915</v>
      </c>
      <c r="G39" s="110">
        <v>453.17031975990915</v>
      </c>
    </row>
    <row r="40" spans="1:9" ht="15" customHeight="1">
      <c r="A40" s="108"/>
      <c r="B40" s="109" t="s">
        <v>121</v>
      </c>
      <c r="C40" s="110">
        <v>34.98397921679743</v>
      </c>
      <c r="D40" s="114" t="s">
        <v>207</v>
      </c>
      <c r="E40" s="114" t="s">
        <v>207</v>
      </c>
      <c r="F40" s="110">
        <v>775.39567838460971</v>
      </c>
      <c r="G40" s="110">
        <v>810.37965760140719</v>
      </c>
    </row>
    <row r="41" spans="1:9" ht="15" customHeight="1">
      <c r="A41" s="108"/>
      <c r="B41" s="109" t="s">
        <v>71</v>
      </c>
      <c r="C41" s="110">
        <v>3.2402428691751259</v>
      </c>
      <c r="D41" s="114" t="s">
        <v>207</v>
      </c>
      <c r="E41" s="114" t="s">
        <v>207</v>
      </c>
      <c r="F41" s="110">
        <v>10406.300961143796</v>
      </c>
      <c r="G41" s="110">
        <v>10409.54120401297</v>
      </c>
    </row>
    <row r="42" spans="1:9" ht="15" customHeight="1">
      <c r="A42" s="108"/>
      <c r="B42" s="109" t="s">
        <v>130</v>
      </c>
      <c r="C42" s="114" t="s">
        <v>207</v>
      </c>
      <c r="D42" s="114" t="s">
        <v>207</v>
      </c>
      <c r="E42" s="114" t="s">
        <v>207</v>
      </c>
      <c r="F42" s="110">
        <v>3210.6270060518964</v>
      </c>
      <c r="G42" s="110">
        <v>3210.6270060518964</v>
      </c>
    </row>
    <row r="43" spans="1:9" ht="15" customHeight="1">
      <c r="A43" s="108"/>
      <c r="B43" s="109" t="s">
        <v>131</v>
      </c>
      <c r="C43" s="114" t="s">
        <v>207</v>
      </c>
      <c r="D43" s="114" t="s">
        <v>207</v>
      </c>
      <c r="E43" s="114" t="s">
        <v>207</v>
      </c>
      <c r="F43" s="110">
        <v>933.55506550179769</v>
      </c>
      <c r="G43" s="110">
        <v>933.55506550179769</v>
      </c>
    </row>
    <row r="44" spans="1:9" ht="15" customHeight="1">
      <c r="A44" s="108"/>
      <c r="B44" s="109" t="s">
        <v>132</v>
      </c>
      <c r="C44" s="114" t="s">
        <v>207</v>
      </c>
      <c r="D44" s="114" t="s">
        <v>207</v>
      </c>
      <c r="E44" s="114" t="s">
        <v>207</v>
      </c>
      <c r="F44" s="110">
        <v>574.07630569071762</v>
      </c>
      <c r="G44" s="110">
        <v>574.07630569071762</v>
      </c>
    </row>
    <row r="45" spans="1:9" ht="15" customHeight="1">
      <c r="A45" s="108"/>
      <c r="B45" s="115" t="s">
        <v>123</v>
      </c>
      <c r="C45" s="116">
        <v>1534.0301558387728</v>
      </c>
      <c r="D45" s="116">
        <v>504.5212437908977</v>
      </c>
      <c r="E45" s="116">
        <v>187.03051501601595</v>
      </c>
      <c r="F45" s="116">
        <v>1615.4094545349535</v>
      </c>
      <c r="G45" s="116">
        <v>3840.9913691806405</v>
      </c>
    </row>
    <row r="46" spans="1:9" ht="15" customHeight="1">
      <c r="A46" s="108"/>
      <c r="B46" s="109" t="s">
        <v>214</v>
      </c>
      <c r="C46" s="110">
        <v>1572.2543779247453</v>
      </c>
      <c r="D46" s="110">
        <v>504.5212437908977</v>
      </c>
      <c r="E46" s="110">
        <v>187.03051501601595</v>
      </c>
      <c r="F46" s="110">
        <v>17968.534791067679</v>
      </c>
      <c r="G46" s="110">
        <v>20232.340927799338</v>
      </c>
    </row>
    <row r="47" spans="1:9" ht="15" customHeight="1" thickBot="1">
      <c r="A47" s="117"/>
      <c r="B47" s="118" t="s">
        <v>215</v>
      </c>
      <c r="C47" s="119">
        <v>50147.117290495131</v>
      </c>
      <c r="D47" s="119">
        <v>8100.6575442611665</v>
      </c>
      <c r="E47" s="119">
        <v>2555.6711348963681</v>
      </c>
      <c r="F47" s="119">
        <v>28163.411238316039</v>
      </c>
      <c r="G47" s="119">
        <v>88966.857207968715</v>
      </c>
    </row>
    <row r="48" spans="1:9" ht="15" customHeight="1" thickTop="1">
      <c r="A48" s="120" t="s">
        <v>216</v>
      </c>
    </row>
    <row r="49" spans="1:3" ht="15" customHeight="1">
      <c r="A49" s="121" t="s">
        <v>217</v>
      </c>
    </row>
    <row r="50" spans="1:3" ht="15" customHeight="1"/>
    <row r="51" spans="1:3" ht="15" customHeight="1">
      <c r="A51" s="122" t="s">
        <v>218</v>
      </c>
    </row>
    <row r="52" spans="1:3" ht="15" customHeight="1">
      <c r="A52" s="122" t="s">
        <v>219</v>
      </c>
      <c r="B52" s="122"/>
      <c r="C52" s="122"/>
    </row>
    <row r="53" spans="1:3" ht="15" customHeight="1"/>
    <row r="54" spans="1:3" ht="15" customHeight="1"/>
  </sheetData>
  <pageMargins left="0.75" right="0.75" top="1" bottom="1" header="0.5" footer="0.5"/>
  <pageSetup paperSize="9" scale="77" orientation="portrait" r:id="rId1"/>
  <headerFooter alignWithMargins="0"/>
</worksheet>
</file>

<file path=xl/worksheets/sheet72.xml><?xml version="1.0" encoding="utf-8"?>
<worksheet xmlns="http://schemas.openxmlformats.org/spreadsheetml/2006/main" xmlns:r="http://schemas.openxmlformats.org/officeDocument/2006/relationships">
  <sheetPr codeName="Sheet27">
    <pageSetUpPr fitToPage="1"/>
  </sheetPr>
  <dimension ref="A1:BM48"/>
  <sheetViews>
    <sheetView zoomScale="80" zoomScaleNormal="80" workbookViewId="0"/>
  </sheetViews>
  <sheetFormatPr defaultRowHeight="12.75"/>
  <cols>
    <col min="1" max="1" width="9.140625" style="88"/>
    <col min="2" max="2" width="13.28515625" style="88" customWidth="1"/>
    <col min="3" max="3" width="16" style="88" customWidth="1"/>
    <col min="4" max="4" width="16.7109375" style="88" customWidth="1"/>
    <col min="5" max="5" width="18.7109375" style="88" customWidth="1"/>
    <col min="6" max="6" width="14.7109375" style="88" customWidth="1"/>
    <col min="7" max="7" width="10.85546875" style="88" customWidth="1"/>
    <col min="8" max="8" width="13.85546875" style="88" customWidth="1"/>
    <col min="9" max="10" width="12" style="88" customWidth="1"/>
    <col min="11" max="11" width="13.140625" style="88" customWidth="1"/>
    <col min="12" max="12" width="11.7109375" style="88" customWidth="1"/>
    <col min="13" max="13" width="9.28515625" style="88" customWidth="1"/>
    <col min="14" max="257" width="9.140625" style="88"/>
    <col min="258" max="258" width="13.28515625" style="88" customWidth="1"/>
    <col min="259" max="259" width="16" style="88" customWidth="1"/>
    <col min="260" max="260" width="16.7109375" style="88" customWidth="1"/>
    <col min="261" max="261" width="18.7109375" style="88" customWidth="1"/>
    <col min="262" max="262" width="14.7109375" style="88" customWidth="1"/>
    <col min="263" max="263" width="10.85546875" style="88" customWidth="1"/>
    <col min="264" max="264" width="13.85546875" style="88" customWidth="1"/>
    <col min="265" max="266" width="12" style="88" customWidth="1"/>
    <col min="267" max="267" width="13.140625" style="88" customWidth="1"/>
    <col min="268" max="268" width="11.7109375" style="88" customWidth="1"/>
    <col min="269" max="269" width="9.28515625" style="88" customWidth="1"/>
    <col min="270" max="513" width="9.140625" style="88"/>
    <col min="514" max="514" width="13.28515625" style="88" customWidth="1"/>
    <col min="515" max="515" width="16" style="88" customWidth="1"/>
    <col min="516" max="516" width="16.7109375" style="88" customWidth="1"/>
    <col min="517" max="517" width="18.7109375" style="88" customWidth="1"/>
    <col min="518" max="518" width="14.7109375" style="88" customWidth="1"/>
    <col min="519" max="519" width="10.85546875" style="88" customWidth="1"/>
    <col min="520" max="520" width="13.85546875" style="88" customWidth="1"/>
    <col min="521" max="522" width="12" style="88" customWidth="1"/>
    <col min="523" max="523" width="13.140625" style="88" customWidth="1"/>
    <col min="524" max="524" width="11.7109375" style="88" customWidth="1"/>
    <col min="525" max="525" width="9.28515625" style="88" customWidth="1"/>
    <col min="526" max="769" width="9.140625" style="88"/>
    <col min="770" max="770" width="13.28515625" style="88" customWidth="1"/>
    <col min="771" max="771" width="16" style="88" customWidth="1"/>
    <col min="772" max="772" width="16.7109375" style="88" customWidth="1"/>
    <col min="773" max="773" width="18.7109375" style="88" customWidth="1"/>
    <col min="774" max="774" width="14.7109375" style="88" customWidth="1"/>
    <col min="775" max="775" width="10.85546875" style="88" customWidth="1"/>
    <col min="776" max="776" width="13.85546875" style="88" customWidth="1"/>
    <col min="777" max="778" width="12" style="88" customWidth="1"/>
    <col min="779" max="779" width="13.140625" style="88" customWidth="1"/>
    <col min="780" max="780" width="11.7109375" style="88" customWidth="1"/>
    <col min="781" max="781" width="9.28515625" style="88" customWidth="1"/>
    <col min="782" max="1025" width="9.140625" style="88"/>
    <col min="1026" max="1026" width="13.28515625" style="88" customWidth="1"/>
    <col min="1027" max="1027" width="16" style="88" customWidth="1"/>
    <col min="1028" max="1028" width="16.7109375" style="88" customWidth="1"/>
    <col min="1029" max="1029" width="18.7109375" style="88" customWidth="1"/>
    <col min="1030" max="1030" width="14.7109375" style="88" customWidth="1"/>
    <col min="1031" max="1031" width="10.85546875" style="88" customWidth="1"/>
    <col min="1032" max="1032" width="13.85546875" style="88" customWidth="1"/>
    <col min="1033" max="1034" width="12" style="88" customWidth="1"/>
    <col min="1035" max="1035" width="13.140625" style="88" customWidth="1"/>
    <col min="1036" max="1036" width="11.7109375" style="88" customWidth="1"/>
    <col min="1037" max="1037" width="9.28515625" style="88" customWidth="1"/>
    <col min="1038" max="1281" width="9.140625" style="88"/>
    <col min="1282" max="1282" width="13.28515625" style="88" customWidth="1"/>
    <col min="1283" max="1283" width="16" style="88" customWidth="1"/>
    <col min="1284" max="1284" width="16.7109375" style="88" customWidth="1"/>
    <col min="1285" max="1285" width="18.7109375" style="88" customWidth="1"/>
    <col min="1286" max="1286" width="14.7109375" style="88" customWidth="1"/>
    <col min="1287" max="1287" width="10.85546875" style="88" customWidth="1"/>
    <col min="1288" max="1288" width="13.85546875" style="88" customWidth="1"/>
    <col min="1289" max="1290" width="12" style="88" customWidth="1"/>
    <col min="1291" max="1291" width="13.140625" style="88" customWidth="1"/>
    <col min="1292" max="1292" width="11.7109375" style="88" customWidth="1"/>
    <col min="1293" max="1293" width="9.28515625" style="88" customWidth="1"/>
    <col min="1294" max="1537" width="9.140625" style="88"/>
    <col min="1538" max="1538" width="13.28515625" style="88" customWidth="1"/>
    <col min="1539" max="1539" width="16" style="88" customWidth="1"/>
    <col min="1540" max="1540" width="16.7109375" style="88" customWidth="1"/>
    <col min="1541" max="1541" width="18.7109375" style="88" customWidth="1"/>
    <col min="1542" max="1542" width="14.7109375" style="88" customWidth="1"/>
    <col min="1543" max="1543" width="10.85546875" style="88" customWidth="1"/>
    <col min="1544" max="1544" width="13.85546875" style="88" customWidth="1"/>
    <col min="1545" max="1546" width="12" style="88" customWidth="1"/>
    <col min="1547" max="1547" width="13.140625" style="88" customWidth="1"/>
    <col min="1548" max="1548" width="11.7109375" style="88" customWidth="1"/>
    <col min="1549" max="1549" width="9.28515625" style="88" customWidth="1"/>
    <col min="1550" max="1793" width="9.140625" style="88"/>
    <col min="1794" max="1794" width="13.28515625" style="88" customWidth="1"/>
    <col min="1795" max="1795" width="16" style="88" customWidth="1"/>
    <col min="1796" max="1796" width="16.7109375" style="88" customWidth="1"/>
    <col min="1797" max="1797" width="18.7109375" style="88" customWidth="1"/>
    <col min="1798" max="1798" width="14.7109375" style="88" customWidth="1"/>
    <col min="1799" max="1799" width="10.85546875" style="88" customWidth="1"/>
    <col min="1800" max="1800" width="13.85546875" style="88" customWidth="1"/>
    <col min="1801" max="1802" width="12" style="88" customWidth="1"/>
    <col min="1803" max="1803" width="13.140625" style="88" customWidth="1"/>
    <col min="1804" max="1804" width="11.7109375" style="88" customWidth="1"/>
    <col min="1805" max="1805" width="9.28515625" style="88" customWidth="1"/>
    <col min="1806" max="2049" width="9.140625" style="88"/>
    <col min="2050" max="2050" width="13.28515625" style="88" customWidth="1"/>
    <col min="2051" max="2051" width="16" style="88" customWidth="1"/>
    <col min="2052" max="2052" width="16.7109375" style="88" customWidth="1"/>
    <col min="2053" max="2053" width="18.7109375" style="88" customWidth="1"/>
    <col min="2054" max="2054" width="14.7109375" style="88" customWidth="1"/>
    <col min="2055" max="2055" width="10.85546875" style="88" customWidth="1"/>
    <col min="2056" max="2056" width="13.85546875" style="88" customWidth="1"/>
    <col min="2057" max="2058" width="12" style="88" customWidth="1"/>
    <col min="2059" max="2059" width="13.140625" style="88" customWidth="1"/>
    <col min="2060" max="2060" width="11.7109375" style="88" customWidth="1"/>
    <col min="2061" max="2061" width="9.28515625" style="88" customWidth="1"/>
    <col min="2062" max="2305" width="9.140625" style="88"/>
    <col min="2306" max="2306" width="13.28515625" style="88" customWidth="1"/>
    <col min="2307" max="2307" width="16" style="88" customWidth="1"/>
    <col min="2308" max="2308" width="16.7109375" style="88" customWidth="1"/>
    <col min="2309" max="2309" width="18.7109375" style="88" customWidth="1"/>
    <col min="2310" max="2310" width="14.7109375" style="88" customWidth="1"/>
    <col min="2311" max="2311" width="10.85546875" style="88" customWidth="1"/>
    <col min="2312" max="2312" width="13.85546875" style="88" customWidth="1"/>
    <col min="2313" max="2314" width="12" style="88" customWidth="1"/>
    <col min="2315" max="2315" width="13.140625" style="88" customWidth="1"/>
    <col min="2316" max="2316" width="11.7109375" style="88" customWidth="1"/>
    <col min="2317" max="2317" width="9.28515625" style="88" customWidth="1"/>
    <col min="2318" max="2561" width="9.140625" style="88"/>
    <col min="2562" max="2562" width="13.28515625" style="88" customWidth="1"/>
    <col min="2563" max="2563" width="16" style="88" customWidth="1"/>
    <col min="2564" max="2564" width="16.7109375" style="88" customWidth="1"/>
    <col min="2565" max="2565" width="18.7109375" style="88" customWidth="1"/>
    <col min="2566" max="2566" width="14.7109375" style="88" customWidth="1"/>
    <col min="2567" max="2567" width="10.85546875" style="88" customWidth="1"/>
    <col min="2568" max="2568" width="13.85546875" style="88" customWidth="1"/>
    <col min="2569" max="2570" width="12" style="88" customWidth="1"/>
    <col min="2571" max="2571" width="13.140625" style="88" customWidth="1"/>
    <col min="2572" max="2572" width="11.7109375" style="88" customWidth="1"/>
    <col min="2573" max="2573" width="9.28515625" style="88" customWidth="1"/>
    <col min="2574" max="2817" width="9.140625" style="88"/>
    <col min="2818" max="2818" width="13.28515625" style="88" customWidth="1"/>
    <col min="2819" max="2819" width="16" style="88" customWidth="1"/>
    <col min="2820" max="2820" width="16.7109375" style="88" customWidth="1"/>
    <col min="2821" max="2821" width="18.7109375" style="88" customWidth="1"/>
    <col min="2822" max="2822" width="14.7109375" style="88" customWidth="1"/>
    <col min="2823" max="2823" width="10.85546875" style="88" customWidth="1"/>
    <col min="2824" max="2824" width="13.85546875" style="88" customWidth="1"/>
    <col min="2825" max="2826" width="12" style="88" customWidth="1"/>
    <col min="2827" max="2827" width="13.140625" style="88" customWidth="1"/>
    <col min="2828" max="2828" width="11.7109375" style="88" customWidth="1"/>
    <col min="2829" max="2829" width="9.28515625" style="88" customWidth="1"/>
    <col min="2830" max="3073" width="9.140625" style="88"/>
    <col min="3074" max="3074" width="13.28515625" style="88" customWidth="1"/>
    <col min="3075" max="3075" width="16" style="88" customWidth="1"/>
    <col min="3076" max="3076" width="16.7109375" style="88" customWidth="1"/>
    <col min="3077" max="3077" width="18.7109375" style="88" customWidth="1"/>
    <col min="3078" max="3078" width="14.7109375" style="88" customWidth="1"/>
    <col min="3079" max="3079" width="10.85546875" style="88" customWidth="1"/>
    <col min="3080" max="3080" width="13.85546875" style="88" customWidth="1"/>
    <col min="3081" max="3082" width="12" style="88" customWidth="1"/>
    <col min="3083" max="3083" width="13.140625" style="88" customWidth="1"/>
    <col min="3084" max="3084" width="11.7109375" style="88" customWidth="1"/>
    <col min="3085" max="3085" width="9.28515625" style="88" customWidth="1"/>
    <col min="3086" max="3329" width="9.140625" style="88"/>
    <col min="3330" max="3330" width="13.28515625" style="88" customWidth="1"/>
    <col min="3331" max="3331" width="16" style="88" customWidth="1"/>
    <col min="3332" max="3332" width="16.7109375" style="88" customWidth="1"/>
    <col min="3333" max="3333" width="18.7109375" style="88" customWidth="1"/>
    <col min="3334" max="3334" width="14.7109375" style="88" customWidth="1"/>
    <col min="3335" max="3335" width="10.85546875" style="88" customWidth="1"/>
    <col min="3336" max="3336" width="13.85546875" style="88" customWidth="1"/>
    <col min="3337" max="3338" width="12" style="88" customWidth="1"/>
    <col min="3339" max="3339" width="13.140625" style="88" customWidth="1"/>
    <col min="3340" max="3340" width="11.7109375" style="88" customWidth="1"/>
    <col min="3341" max="3341" width="9.28515625" style="88" customWidth="1"/>
    <col min="3342" max="3585" width="9.140625" style="88"/>
    <col min="3586" max="3586" width="13.28515625" style="88" customWidth="1"/>
    <col min="3587" max="3587" width="16" style="88" customWidth="1"/>
    <col min="3588" max="3588" width="16.7109375" style="88" customWidth="1"/>
    <col min="3589" max="3589" width="18.7109375" style="88" customWidth="1"/>
    <col min="3590" max="3590" width="14.7109375" style="88" customWidth="1"/>
    <col min="3591" max="3591" width="10.85546875" style="88" customWidth="1"/>
    <col min="3592" max="3592" width="13.85546875" style="88" customWidth="1"/>
    <col min="3593" max="3594" width="12" style="88" customWidth="1"/>
    <col min="3595" max="3595" width="13.140625" style="88" customWidth="1"/>
    <col min="3596" max="3596" width="11.7109375" style="88" customWidth="1"/>
    <col min="3597" max="3597" width="9.28515625" style="88" customWidth="1"/>
    <col min="3598" max="3841" width="9.140625" style="88"/>
    <col min="3842" max="3842" width="13.28515625" style="88" customWidth="1"/>
    <col min="3843" max="3843" width="16" style="88" customWidth="1"/>
    <col min="3844" max="3844" width="16.7109375" style="88" customWidth="1"/>
    <col min="3845" max="3845" width="18.7109375" style="88" customWidth="1"/>
    <col min="3846" max="3846" width="14.7109375" style="88" customWidth="1"/>
    <col min="3847" max="3847" width="10.85546875" style="88" customWidth="1"/>
    <col min="3848" max="3848" width="13.85546875" style="88" customWidth="1"/>
    <col min="3849" max="3850" width="12" style="88" customWidth="1"/>
    <col min="3851" max="3851" width="13.140625" style="88" customWidth="1"/>
    <col min="3852" max="3852" width="11.7109375" style="88" customWidth="1"/>
    <col min="3853" max="3853" width="9.28515625" style="88" customWidth="1"/>
    <col min="3854" max="4097" width="9.140625" style="88"/>
    <col min="4098" max="4098" width="13.28515625" style="88" customWidth="1"/>
    <col min="4099" max="4099" width="16" style="88" customWidth="1"/>
    <col min="4100" max="4100" width="16.7109375" style="88" customWidth="1"/>
    <col min="4101" max="4101" width="18.7109375" style="88" customWidth="1"/>
    <col min="4102" max="4102" width="14.7109375" style="88" customWidth="1"/>
    <col min="4103" max="4103" width="10.85546875" style="88" customWidth="1"/>
    <col min="4104" max="4104" width="13.85546875" style="88" customWidth="1"/>
    <col min="4105" max="4106" width="12" style="88" customWidth="1"/>
    <col min="4107" max="4107" width="13.140625" style="88" customWidth="1"/>
    <col min="4108" max="4108" width="11.7109375" style="88" customWidth="1"/>
    <col min="4109" max="4109" width="9.28515625" style="88" customWidth="1"/>
    <col min="4110" max="4353" width="9.140625" style="88"/>
    <col min="4354" max="4354" width="13.28515625" style="88" customWidth="1"/>
    <col min="4355" max="4355" width="16" style="88" customWidth="1"/>
    <col min="4356" max="4356" width="16.7109375" style="88" customWidth="1"/>
    <col min="4357" max="4357" width="18.7109375" style="88" customWidth="1"/>
    <col min="4358" max="4358" width="14.7109375" style="88" customWidth="1"/>
    <col min="4359" max="4359" width="10.85546875" style="88" customWidth="1"/>
    <col min="4360" max="4360" width="13.85546875" style="88" customWidth="1"/>
    <col min="4361" max="4362" width="12" style="88" customWidth="1"/>
    <col min="4363" max="4363" width="13.140625" style="88" customWidth="1"/>
    <col min="4364" max="4364" width="11.7109375" style="88" customWidth="1"/>
    <col min="4365" max="4365" width="9.28515625" style="88" customWidth="1"/>
    <col min="4366" max="4609" width="9.140625" style="88"/>
    <col min="4610" max="4610" width="13.28515625" style="88" customWidth="1"/>
    <col min="4611" max="4611" width="16" style="88" customWidth="1"/>
    <col min="4612" max="4612" width="16.7109375" style="88" customWidth="1"/>
    <col min="4613" max="4613" width="18.7109375" style="88" customWidth="1"/>
    <col min="4614" max="4614" width="14.7109375" style="88" customWidth="1"/>
    <col min="4615" max="4615" width="10.85546875" style="88" customWidth="1"/>
    <col min="4616" max="4616" width="13.85546875" style="88" customWidth="1"/>
    <col min="4617" max="4618" width="12" style="88" customWidth="1"/>
    <col min="4619" max="4619" width="13.140625" style="88" customWidth="1"/>
    <col min="4620" max="4620" width="11.7109375" style="88" customWidth="1"/>
    <col min="4621" max="4621" width="9.28515625" style="88" customWidth="1"/>
    <col min="4622" max="4865" width="9.140625" style="88"/>
    <col min="4866" max="4866" width="13.28515625" style="88" customWidth="1"/>
    <col min="4867" max="4867" width="16" style="88" customWidth="1"/>
    <col min="4868" max="4868" width="16.7109375" style="88" customWidth="1"/>
    <col min="4869" max="4869" width="18.7109375" style="88" customWidth="1"/>
    <col min="4870" max="4870" width="14.7109375" style="88" customWidth="1"/>
    <col min="4871" max="4871" width="10.85546875" style="88" customWidth="1"/>
    <col min="4872" max="4872" width="13.85546875" style="88" customWidth="1"/>
    <col min="4873" max="4874" width="12" style="88" customWidth="1"/>
    <col min="4875" max="4875" width="13.140625" style="88" customWidth="1"/>
    <col min="4876" max="4876" width="11.7109375" style="88" customWidth="1"/>
    <col min="4877" max="4877" width="9.28515625" style="88" customWidth="1"/>
    <col min="4878" max="5121" width="9.140625" style="88"/>
    <col min="5122" max="5122" width="13.28515625" style="88" customWidth="1"/>
    <col min="5123" max="5123" width="16" style="88" customWidth="1"/>
    <col min="5124" max="5124" width="16.7109375" style="88" customWidth="1"/>
    <col min="5125" max="5125" width="18.7109375" style="88" customWidth="1"/>
    <col min="5126" max="5126" width="14.7109375" style="88" customWidth="1"/>
    <col min="5127" max="5127" width="10.85546875" style="88" customWidth="1"/>
    <col min="5128" max="5128" width="13.85546875" style="88" customWidth="1"/>
    <col min="5129" max="5130" width="12" style="88" customWidth="1"/>
    <col min="5131" max="5131" width="13.140625" style="88" customWidth="1"/>
    <col min="5132" max="5132" width="11.7109375" style="88" customWidth="1"/>
    <col min="5133" max="5133" width="9.28515625" style="88" customWidth="1"/>
    <col min="5134" max="5377" width="9.140625" style="88"/>
    <col min="5378" max="5378" width="13.28515625" style="88" customWidth="1"/>
    <col min="5379" max="5379" width="16" style="88" customWidth="1"/>
    <col min="5380" max="5380" width="16.7109375" style="88" customWidth="1"/>
    <col min="5381" max="5381" width="18.7109375" style="88" customWidth="1"/>
    <col min="5382" max="5382" width="14.7109375" style="88" customWidth="1"/>
    <col min="5383" max="5383" width="10.85546875" style="88" customWidth="1"/>
    <col min="5384" max="5384" width="13.85546875" style="88" customWidth="1"/>
    <col min="5385" max="5386" width="12" style="88" customWidth="1"/>
    <col min="5387" max="5387" width="13.140625" style="88" customWidth="1"/>
    <col min="5388" max="5388" width="11.7109375" style="88" customWidth="1"/>
    <col min="5389" max="5389" width="9.28515625" style="88" customWidth="1"/>
    <col min="5390" max="5633" width="9.140625" style="88"/>
    <col min="5634" max="5634" width="13.28515625" style="88" customWidth="1"/>
    <col min="5635" max="5635" width="16" style="88" customWidth="1"/>
    <col min="5636" max="5636" width="16.7109375" style="88" customWidth="1"/>
    <col min="5637" max="5637" width="18.7109375" style="88" customWidth="1"/>
    <col min="5638" max="5638" width="14.7109375" style="88" customWidth="1"/>
    <col min="5639" max="5639" width="10.85546875" style="88" customWidth="1"/>
    <col min="5640" max="5640" width="13.85546875" style="88" customWidth="1"/>
    <col min="5641" max="5642" width="12" style="88" customWidth="1"/>
    <col min="5643" max="5643" width="13.140625" style="88" customWidth="1"/>
    <col min="5644" max="5644" width="11.7109375" style="88" customWidth="1"/>
    <col min="5645" max="5645" width="9.28515625" style="88" customWidth="1"/>
    <col min="5646" max="5889" width="9.140625" style="88"/>
    <col min="5890" max="5890" width="13.28515625" style="88" customWidth="1"/>
    <col min="5891" max="5891" width="16" style="88" customWidth="1"/>
    <col min="5892" max="5892" width="16.7109375" style="88" customWidth="1"/>
    <col min="5893" max="5893" width="18.7109375" style="88" customWidth="1"/>
    <col min="5894" max="5894" width="14.7109375" style="88" customWidth="1"/>
    <col min="5895" max="5895" width="10.85546875" style="88" customWidth="1"/>
    <col min="5896" max="5896" width="13.85546875" style="88" customWidth="1"/>
    <col min="5897" max="5898" width="12" style="88" customWidth="1"/>
    <col min="5899" max="5899" width="13.140625" style="88" customWidth="1"/>
    <col min="5900" max="5900" width="11.7109375" style="88" customWidth="1"/>
    <col min="5901" max="5901" width="9.28515625" style="88" customWidth="1"/>
    <col min="5902" max="6145" width="9.140625" style="88"/>
    <col min="6146" max="6146" width="13.28515625" style="88" customWidth="1"/>
    <col min="6147" max="6147" width="16" style="88" customWidth="1"/>
    <col min="6148" max="6148" width="16.7109375" style="88" customWidth="1"/>
    <col min="6149" max="6149" width="18.7109375" style="88" customWidth="1"/>
    <col min="6150" max="6150" width="14.7109375" style="88" customWidth="1"/>
    <col min="6151" max="6151" width="10.85546875" style="88" customWidth="1"/>
    <col min="6152" max="6152" width="13.85546875" style="88" customWidth="1"/>
    <col min="6153" max="6154" width="12" style="88" customWidth="1"/>
    <col min="6155" max="6155" width="13.140625" style="88" customWidth="1"/>
    <col min="6156" max="6156" width="11.7109375" style="88" customWidth="1"/>
    <col min="6157" max="6157" width="9.28515625" style="88" customWidth="1"/>
    <col min="6158" max="6401" width="9.140625" style="88"/>
    <col min="6402" max="6402" width="13.28515625" style="88" customWidth="1"/>
    <col min="6403" max="6403" width="16" style="88" customWidth="1"/>
    <col min="6404" max="6404" width="16.7109375" style="88" customWidth="1"/>
    <col min="6405" max="6405" width="18.7109375" style="88" customWidth="1"/>
    <col min="6406" max="6406" width="14.7109375" style="88" customWidth="1"/>
    <col min="6407" max="6407" width="10.85546875" style="88" customWidth="1"/>
    <col min="6408" max="6408" width="13.85546875" style="88" customWidth="1"/>
    <col min="6409" max="6410" width="12" style="88" customWidth="1"/>
    <col min="6411" max="6411" width="13.140625" style="88" customWidth="1"/>
    <col min="6412" max="6412" width="11.7109375" style="88" customWidth="1"/>
    <col min="6413" max="6413" width="9.28515625" style="88" customWidth="1"/>
    <col min="6414" max="6657" width="9.140625" style="88"/>
    <col min="6658" max="6658" width="13.28515625" style="88" customWidth="1"/>
    <col min="6659" max="6659" width="16" style="88" customWidth="1"/>
    <col min="6660" max="6660" width="16.7109375" style="88" customWidth="1"/>
    <col min="6661" max="6661" width="18.7109375" style="88" customWidth="1"/>
    <col min="6662" max="6662" width="14.7109375" style="88" customWidth="1"/>
    <col min="6663" max="6663" width="10.85546875" style="88" customWidth="1"/>
    <col min="6664" max="6664" width="13.85546875" style="88" customWidth="1"/>
    <col min="6665" max="6666" width="12" style="88" customWidth="1"/>
    <col min="6667" max="6667" width="13.140625" style="88" customWidth="1"/>
    <col min="6668" max="6668" width="11.7109375" style="88" customWidth="1"/>
    <col min="6669" max="6669" width="9.28515625" style="88" customWidth="1"/>
    <col min="6670" max="6913" width="9.140625" style="88"/>
    <col min="6914" max="6914" width="13.28515625" style="88" customWidth="1"/>
    <col min="6915" max="6915" width="16" style="88" customWidth="1"/>
    <col min="6916" max="6916" width="16.7109375" style="88" customWidth="1"/>
    <col min="6917" max="6917" width="18.7109375" style="88" customWidth="1"/>
    <col min="6918" max="6918" width="14.7109375" style="88" customWidth="1"/>
    <col min="6919" max="6919" width="10.85546875" style="88" customWidth="1"/>
    <col min="6920" max="6920" width="13.85546875" style="88" customWidth="1"/>
    <col min="6921" max="6922" width="12" style="88" customWidth="1"/>
    <col min="6923" max="6923" width="13.140625" style="88" customWidth="1"/>
    <col min="6924" max="6924" width="11.7109375" style="88" customWidth="1"/>
    <col min="6925" max="6925" width="9.28515625" style="88" customWidth="1"/>
    <col min="6926" max="7169" width="9.140625" style="88"/>
    <col min="7170" max="7170" width="13.28515625" style="88" customWidth="1"/>
    <col min="7171" max="7171" width="16" style="88" customWidth="1"/>
    <col min="7172" max="7172" width="16.7109375" style="88" customWidth="1"/>
    <col min="7173" max="7173" width="18.7109375" style="88" customWidth="1"/>
    <col min="7174" max="7174" width="14.7109375" style="88" customWidth="1"/>
    <col min="7175" max="7175" width="10.85546875" style="88" customWidth="1"/>
    <col min="7176" max="7176" width="13.85546875" style="88" customWidth="1"/>
    <col min="7177" max="7178" width="12" style="88" customWidth="1"/>
    <col min="7179" max="7179" width="13.140625" style="88" customWidth="1"/>
    <col min="7180" max="7180" width="11.7109375" style="88" customWidth="1"/>
    <col min="7181" max="7181" width="9.28515625" style="88" customWidth="1"/>
    <col min="7182" max="7425" width="9.140625" style="88"/>
    <col min="7426" max="7426" width="13.28515625" style="88" customWidth="1"/>
    <col min="7427" max="7427" width="16" style="88" customWidth="1"/>
    <col min="7428" max="7428" width="16.7109375" style="88" customWidth="1"/>
    <col min="7429" max="7429" width="18.7109375" style="88" customWidth="1"/>
    <col min="7430" max="7430" width="14.7109375" style="88" customWidth="1"/>
    <col min="7431" max="7431" width="10.85546875" style="88" customWidth="1"/>
    <col min="7432" max="7432" width="13.85546875" style="88" customWidth="1"/>
    <col min="7433" max="7434" width="12" style="88" customWidth="1"/>
    <col min="7435" max="7435" width="13.140625" style="88" customWidth="1"/>
    <col min="7436" max="7436" width="11.7109375" style="88" customWidth="1"/>
    <col min="7437" max="7437" width="9.28515625" style="88" customWidth="1"/>
    <col min="7438" max="7681" width="9.140625" style="88"/>
    <col min="7682" max="7682" width="13.28515625" style="88" customWidth="1"/>
    <col min="7683" max="7683" width="16" style="88" customWidth="1"/>
    <col min="7684" max="7684" width="16.7109375" style="88" customWidth="1"/>
    <col min="7685" max="7685" width="18.7109375" style="88" customWidth="1"/>
    <col min="7686" max="7686" width="14.7109375" style="88" customWidth="1"/>
    <col min="7687" max="7687" width="10.85546875" style="88" customWidth="1"/>
    <col min="7688" max="7688" width="13.85546875" style="88" customWidth="1"/>
    <col min="7689" max="7690" width="12" style="88" customWidth="1"/>
    <col min="7691" max="7691" width="13.140625" style="88" customWidth="1"/>
    <col min="7692" max="7692" width="11.7109375" style="88" customWidth="1"/>
    <col min="7693" max="7693" width="9.28515625" style="88" customWidth="1"/>
    <col min="7694" max="7937" width="9.140625" style="88"/>
    <col min="7938" max="7938" width="13.28515625" style="88" customWidth="1"/>
    <col min="7939" max="7939" width="16" style="88" customWidth="1"/>
    <col min="7940" max="7940" width="16.7109375" style="88" customWidth="1"/>
    <col min="7941" max="7941" width="18.7109375" style="88" customWidth="1"/>
    <col min="7942" max="7942" width="14.7109375" style="88" customWidth="1"/>
    <col min="7943" max="7943" width="10.85546875" style="88" customWidth="1"/>
    <col min="7944" max="7944" width="13.85546875" style="88" customWidth="1"/>
    <col min="7945" max="7946" width="12" style="88" customWidth="1"/>
    <col min="7947" max="7947" width="13.140625" style="88" customWidth="1"/>
    <col min="7948" max="7948" width="11.7109375" style="88" customWidth="1"/>
    <col min="7949" max="7949" width="9.28515625" style="88" customWidth="1"/>
    <col min="7950" max="8193" width="9.140625" style="88"/>
    <col min="8194" max="8194" width="13.28515625" style="88" customWidth="1"/>
    <col min="8195" max="8195" width="16" style="88" customWidth="1"/>
    <col min="8196" max="8196" width="16.7109375" style="88" customWidth="1"/>
    <col min="8197" max="8197" width="18.7109375" style="88" customWidth="1"/>
    <col min="8198" max="8198" width="14.7109375" style="88" customWidth="1"/>
    <col min="8199" max="8199" width="10.85546875" style="88" customWidth="1"/>
    <col min="8200" max="8200" width="13.85546875" style="88" customWidth="1"/>
    <col min="8201" max="8202" width="12" style="88" customWidth="1"/>
    <col min="8203" max="8203" width="13.140625" style="88" customWidth="1"/>
    <col min="8204" max="8204" width="11.7109375" style="88" customWidth="1"/>
    <col min="8205" max="8205" width="9.28515625" style="88" customWidth="1"/>
    <col min="8206" max="8449" width="9.140625" style="88"/>
    <col min="8450" max="8450" width="13.28515625" style="88" customWidth="1"/>
    <col min="8451" max="8451" width="16" style="88" customWidth="1"/>
    <col min="8452" max="8452" width="16.7109375" style="88" customWidth="1"/>
    <col min="8453" max="8453" width="18.7109375" style="88" customWidth="1"/>
    <col min="8454" max="8454" width="14.7109375" style="88" customWidth="1"/>
    <col min="8455" max="8455" width="10.85546875" style="88" customWidth="1"/>
    <col min="8456" max="8456" width="13.85546875" style="88" customWidth="1"/>
    <col min="8457" max="8458" width="12" style="88" customWidth="1"/>
    <col min="8459" max="8459" width="13.140625" style="88" customWidth="1"/>
    <col min="8460" max="8460" width="11.7109375" style="88" customWidth="1"/>
    <col min="8461" max="8461" width="9.28515625" style="88" customWidth="1"/>
    <col min="8462" max="8705" width="9.140625" style="88"/>
    <col min="8706" max="8706" width="13.28515625" style="88" customWidth="1"/>
    <col min="8707" max="8707" width="16" style="88" customWidth="1"/>
    <col min="8708" max="8708" width="16.7109375" style="88" customWidth="1"/>
    <col min="8709" max="8709" width="18.7109375" style="88" customWidth="1"/>
    <col min="8710" max="8710" width="14.7109375" style="88" customWidth="1"/>
    <col min="8711" max="8711" width="10.85546875" style="88" customWidth="1"/>
    <col min="8712" max="8712" width="13.85546875" style="88" customWidth="1"/>
    <col min="8713" max="8714" width="12" style="88" customWidth="1"/>
    <col min="8715" max="8715" width="13.140625" style="88" customWidth="1"/>
    <col min="8716" max="8716" width="11.7109375" style="88" customWidth="1"/>
    <col min="8717" max="8717" width="9.28515625" style="88" customWidth="1"/>
    <col min="8718" max="8961" width="9.140625" style="88"/>
    <col min="8962" max="8962" width="13.28515625" style="88" customWidth="1"/>
    <col min="8963" max="8963" width="16" style="88" customWidth="1"/>
    <col min="8964" max="8964" width="16.7109375" style="88" customWidth="1"/>
    <col min="8965" max="8965" width="18.7109375" style="88" customWidth="1"/>
    <col min="8966" max="8966" width="14.7109375" style="88" customWidth="1"/>
    <col min="8967" max="8967" width="10.85546875" style="88" customWidth="1"/>
    <col min="8968" max="8968" width="13.85546875" style="88" customWidth="1"/>
    <col min="8969" max="8970" width="12" style="88" customWidth="1"/>
    <col min="8971" max="8971" width="13.140625" style="88" customWidth="1"/>
    <col min="8972" max="8972" width="11.7109375" style="88" customWidth="1"/>
    <col min="8973" max="8973" width="9.28515625" style="88" customWidth="1"/>
    <col min="8974" max="9217" width="9.140625" style="88"/>
    <col min="9218" max="9218" width="13.28515625" style="88" customWidth="1"/>
    <col min="9219" max="9219" width="16" style="88" customWidth="1"/>
    <col min="9220" max="9220" width="16.7109375" style="88" customWidth="1"/>
    <col min="9221" max="9221" width="18.7109375" style="88" customWidth="1"/>
    <col min="9222" max="9222" width="14.7109375" style="88" customWidth="1"/>
    <col min="9223" max="9223" width="10.85546875" style="88" customWidth="1"/>
    <col min="9224" max="9224" width="13.85546875" style="88" customWidth="1"/>
    <col min="9225" max="9226" width="12" style="88" customWidth="1"/>
    <col min="9227" max="9227" width="13.140625" style="88" customWidth="1"/>
    <col min="9228" max="9228" width="11.7109375" style="88" customWidth="1"/>
    <col min="9229" max="9229" width="9.28515625" style="88" customWidth="1"/>
    <col min="9230" max="9473" width="9.140625" style="88"/>
    <col min="9474" max="9474" width="13.28515625" style="88" customWidth="1"/>
    <col min="9475" max="9475" width="16" style="88" customWidth="1"/>
    <col min="9476" max="9476" width="16.7109375" style="88" customWidth="1"/>
    <col min="9477" max="9477" width="18.7109375" style="88" customWidth="1"/>
    <col min="9478" max="9478" width="14.7109375" style="88" customWidth="1"/>
    <col min="9479" max="9479" width="10.85546875" style="88" customWidth="1"/>
    <col min="9480" max="9480" width="13.85546875" style="88" customWidth="1"/>
    <col min="9481" max="9482" width="12" style="88" customWidth="1"/>
    <col min="9483" max="9483" width="13.140625" style="88" customWidth="1"/>
    <col min="9484" max="9484" width="11.7109375" style="88" customWidth="1"/>
    <col min="9485" max="9485" width="9.28515625" style="88" customWidth="1"/>
    <col min="9486" max="9729" width="9.140625" style="88"/>
    <col min="9730" max="9730" width="13.28515625" style="88" customWidth="1"/>
    <col min="9731" max="9731" width="16" style="88" customWidth="1"/>
    <col min="9732" max="9732" width="16.7109375" style="88" customWidth="1"/>
    <col min="9733" max="9733" width="18.7109375" style="88" customWidth="1"/>
    <col min="9734" max="9734" width="14.7109375" style="88" customWidth="1"/>
    <col min="9735" max="9735" width="10.85546875" style="88" customWidth="1"/>
    <col min="9736" max="9736" width="13.85546875" style="88" customWidth="1"/>
    <col min="9737" max="9738" width="12" style="88" customWidth="1"/>
    <col min="9739" max="9739" width="13.140625" style="88" customWidth="1"/>
    <col min="9740" max="9740" width="11.7109375" style="88" customWidth="1"/>
    <col min="9741" max="9741" width="9.28515625" style="88" customWidth="1"/>
    <col min="9742" max="9985" width="9.140625" style="88"/>
    <col min="9986" max="9986" width="13.28515625" style="88" customWidth="1"/>
    <col min="9987" max="9987" width="16" style="88" customWidth="1"/>
    <col min="9988" max="9988" width="16.7109375" style="88" customWidth="1"/>
    <col min="9989" max="9989" width="18.7109375" style="88" customWidth="1"/>
    <col min="9990" max="9990" width="14.7109375" style="88" customWidth="1"/>
    <col min="9991" max="9991" width="10.85546875" style="88" customWidth="1"/>
    <col min="9992" max="9992" width="13.85546875" style="88" customWidth="1"/>
    <col min="9993" max="9994" width="12" style="88" customWidth="1"/>
    <col min="9995" max="9995" width="13.140625" style="88" customWidth="1"/>
    <col min="9996" max="9996" width="11.7109375" style="88" customWidth="1"/>
    <col min="9997" max="9997" width="9.28515625" style="88" customWidth="1"/>
    <col min="9998" max="10241" width="9.140625" style="88"/>
    <col min="10242" max="10242" width="13.28515625" style="88" customWidth="1"/>
    <col min="10243" max="10243" width="16" style="88" customWidth="1"/>
    <col min="10244" max="10244" width="16.7109375" style="88" customWidth="1"/>
    <col min="10245" max="10245" width="18.7109375" style="88" customWidth="1"/>
    <col min="10246" max="10246" width="14.7109375" style="88" customWidth="1"/>
    <col min="10247" max="10247" width="10.85546875" style="88" customWidth="1"/>
    <col min="10248" max="10248" width="13.85546875" style="88" customWidth="1"/>
    <col min="10249" max="10250" width="12" style="88" customWidth="1"/>
    <col min="10251" max="10251" width="13.140625" style="88" customWidth="1"/>
    <col min="10252" max="10252" width="11.7109375" style="88" customWidth="1"/>
    <col min="10253" max="10253" width="9.28515625" style="88" customWidth="1"/>
    <col min="10254" max="10497" width="9.140625" style="88"/>
    <col min="10498" max="10498" width="13.28515625" style="88" customWidth="1"/>
    <col min="10499" max="10499" width="16" style="88" customWidth="1"/>
    <col min="10500" max="10500" width="16.7109375" style="88" customWidth="1"/>
    <col min="10501" max="10501" width="18.7109375" style="88" customWidth="1"/>
    <col min="10502" max="10502" width="14.7109375" style="88" customWidth="1"/>
    <col min="10503" max="10503" width="10.85546875" style="88" customWidth="1"/>
    <col min="10504" max="10504" width="13.85546875" style="88" customWidth="1"/>
    <col min="10505" max="10506" width="12" style="88" customWidth="1"/>
    <col min="10507" max="10507" width="13.140625" style="88" customWidth="1"/>
    <col min="10508" max="10508" width="11.7109375" style="88" customWidth="1"/>
    <col min="10509" max="10509" width="9.28515625" style="88" customWidth="1"/>
    <col min="10510" max="10753" width="9.140625" style="88"/>
    <col min="10754" max="10754" width="13.28515625" style="88" customWidth="1"/>
    <col min="10755" max="10755" width="16" style="88" customWidth="1"/>
    <col min="10756" max="10756" width="16.7109375" style="88" customWidth="1"/>
    <col min="10757" max="10757" width="18.7109375" style="88" customWidth="1"/>
    <col min="10758" max="10758" width="14.7109375" style="88" customWidth="1"/>
    <col min="10759" max="10759" width="10.85546875" style="88" customWidth="1"/>
    <col min="10760" max="10760" width="13.85546875" style="88" customWidth="1"/>
    <col min="10761" max="10762" width="12" style="88" customWidth="1"/>
    <col min="10763" max="10763" width="13.140625" style="88" customWidth="1"/>
    <col min="10764" max="10764" width="11.7109375" style="88" customWidth="1"/>
    <col min="10765" max="10765" width="9.28515625" style="88" customWidth="1"/>
    <col min="10766" max="11009" width="9.140625" style="88"/>
    <col min="11010" max="11010" width="13.28515625" style="88" customWidth="1"/>
    <col min="11011" max="11011" width="16" style="88" customWidth="1"/>
    <col min="11012" max="11012" width="16.7109375" style="88" customWidth="1"/>
    <col min="11013" max="11013" width="18.7109375" style="88" customWidth="1"/>
    <col min="11014" max="11014" width="14.7109375" style="88" customWidth="1"/>
    <col min="11015" max="11015" width="10.85546875" style="88" customWidth="1"/>
    <col min="11016" max="11016" width="13.85546875" style="88" customWidth="1"/>
    <col min="11017" max="11018" width="12" style="88" customWidth="1"/>
    <col min="11019" max="11019" width="13.140625" style="88" customWidth="1"/>
    <col min="11020" max="11020" width="11.7109375" style="88" customWidth="1"/>
    <col min="11021" max="11021" width="9.28515625" style="88" customWidth="1"/>
    <col min="11022" max="11265" width="9.140625" style="88"/>
    <col min="11266" max="11266" width="13.28515625" style="88" customWidth="1"/>
    <col min="11267" max="11267" width="16" style="88" customWidth="1"/>
    <col min="11268" max="11268" width="16.7109375" style="88" customWidth="1"/>
    <col min="11269" max="11269" width="18.7109375" style="88" customWidth="1"/>
    <col min="11270" max="11270" width="14.7109375" style="88" customWidth="1"/>
    <col min="11271" max="11271" width="10.85546875" style="88" customWidth="1"/>
    <col min="11272" max="11272" width="13.85546875" style="88" customWidth="1"/>
    <col min="11273" max="11274" width="12" style="88" customWidth="1"/>
    <col min="11275" max="11275" width="13.140625" style="88" customWidth="1"/>
    <col min="11276" max="11276" width="11.7109375" style="88" customWidth="1"/>
    <col min="11277" max="11277" width="9.28515625" style="88" customWidth="1"/>
    <col min="11278" max="11521" width="9.140625" style="88"/>
    <col min="11522" max="11522" width="13.28515625" style="88" customWidth="1"/>
    <col min="11523" max="11523" width="16" style="88" customWidth="1"/>
    <col min="11524" max="11524" width="16.7109375" style="88" customWidth="1"/>
    <col min="11525" max="11525" width="18.7109375" style="88" customWidth="1"/>
    <col min="11526" max="11526" width="14.7109375" style="88" customWidth="1"/>
    <col min="11527" max="11527" width="10.85546875" style="88" customWidth="1"/>
    <col min="11528" max="11528" width="13.85546875" style="88" customWidth="1"/>
    <col min="11529" max="11530" width="12" style="88" customWidth="1"/>
    <col min="11531" max="11531" width="13.140625" style="88" customWidth="1"/>
    <col min="11532" max="11532" width="11.7109375" style="88" customWidth="1"/>
    <col min="11533" max="11533" width="9.28515625" style="88" customWidth="1"/>
    <col min="11534" max="11777" width="9.140625" style="88"/>
    <col min="11778" max="11778" width="13.28515625" style="88" customWidth="1"/>
    <col min="11779" max="11779" width="16" style="88" customWidth="1"/>
    <col min="11780" max="11780" width="16.7109375" style="88" customWidth="1"/>
    <col min="11781" max="11781" width="18.7109375" style="88" customWidth="1"/>
    <col min="11782" max="11782" width="14.7109375" style="88" customWidth="1"/>
    <col min="11783" max="11783" width="10.85546875" style="88" customWidth="1"/>
    <col min="11784" max="11784" width="13.85546875" style="88" customWidth="1"/>
    <col min="11785" max="11786" width="12" style="88" customWidth="1"/>
    <col min="11787" max="11787" width="13.140625" style="88" customWidth="1"/>
    <col min="11788" max="11788" width="11.7109375" style="88" customWidth="1"/>
    <col min="11789" max="11789" width="9.28515625" style="88" customWidth="1"/>
    <col min="11790" max="12033" width="9.140625" style="88"/>
    <col min="12034" max="12034" width="13.28515625" style="88" customWidth="1"/>
    <col min="12035" max="12035" width="16" style="88" customWidth="1"/>
    <col min="12036" max="12036" width="16.7109375" style="88" customWidth="1"/>
    <col min="12037" max="12037" width="18.7109375" style="88" customWidth="1"/>
    <col min="12038" max="12038" width="14.7109375" style="88" customWidth="1"/>
    <col min="12039" max="12039" width="10.85546875" style="88" customWidth="1"/>
    <col min="12040" max="12040" width="13.85546875" style="88" customWidth="1"/>
    <col min="12041" max="12042" width="12" style="88" customWidth="1"/>
    <col min="12043" max="12043" width="13.140625" style="88" customWidth="1"/>
    <col min="12044" max="12044" width="11.7109375" style="88" customWidth="1"/>
    <col min="12045" max="12045" width="9.28515625" style="88" customWidth="1"/>
    <col min="12046" max="12289" width="9.140625" style="88"/>
    <col min="12290" max="12290" width="13.28515625" style="88" customWidth="1"/>
    <col min="12291" max="12291" width="16" style="88" customWidth="1"/>
    <col min="12292" max="12292" width="16.7109375" style="88" customWidth="1"/>
    <col min="12293" max="12293" width="18.7109375" style="88" customWidth="1"/>
    <col min="12294" max="12294" width="14.7109375" style="88" customWidth="1"/>
    <col min="12295" max="12295" width="10.85546875" style="88" customWidth="1"/>
    <col min="12296" max="12296" width="13.85546875" style="88" customWidth="1"/>
    <col min="12297" max="12298" width="12" style="88" customWidth="1"/>
    <col min="12299" max="12299" width="13.140625" style="88" customWidth="1"/>
    <col min="12300" max="12300" width="11.7109375" style="88" customWidth="1"/>
    <col min="12301" max="12301" width="9.28515625" style="88" customWidth="1"/>
    <col min="12302" max="12545" width="9.140625" style="88"/>
    <col min="12546" max="12546" width="13.28515625" style="88" customWidth="1"/>
    <col min="12547" max="12547" width="16" style="88" customWidth="1"/>
    <col min="12548" max="12548" width="16.7109375" style="88" customWidth="1"/>
    <col min="12549" max="12549" width="18.7109375" style="88" customWidth="1"/>
    <col min="12550" max="12550" width="14.7109375" style="88" customWidth="1"/>
    <col min="12551" max="12551" width="10.85546875" style="88" customWidth="1"/>
    <col min="12552" max="12552" width="13.85546875" style="88" customWidth="1"/>
    <col min="12553" max="12554" width="12" style="88" customWidth="1"/>
    <col min="12555" max="12555" width="13.140625" style="88" customWidth="1"/>
    <col min="12556" max="12556" width="11.7109375" style="88" customWidth="1"/>
    <col min="12557" max="12557" width="9.28515625" style="88" customWidth="1"/>
    <col min="12558" max="12801" width="9.140625" style="88"/>
    <col min="12802" max="12802" width="13.28515625" style="88" customWidth="1"/>
    <col min="12803" max="12803" width="16" style="88" customWidth="1"/>
    <col min="12804" max="12804" width="16.7109375" style="88" customWidth="1"/>
    <col min="12805" max="12805" width="18.7109375" style="88" customWidth="1"/>
    <col min="12806" max="12806" width="14.7109375" style="88" customWidth="1"/>
    <col min="12807" max="12807" width="10.85546875" style="88" customWidth="1"/>
    <col min="12808" max="12808" width="13.85546875" style="88" customWidth="1"/>
    <col min="12809" max="12810" width="12" style="88" customWidth="1"/>
    <col min="12811" max="12811" width="13.140625" style="88" customWidth="1"/>
    <col min="12812" max="12812" width="11.7109375" style="88" customWidth="1"/>
    <col min="12813" max="12813" width="9.28515625" style="88" customWidth="1"/>
    <col min="12814" max="13057" width="9.140625" style="88"/>
    <col min="13058" max="13058" width="13.28515625" style="88" customWidth="1"/>
    <col min="13059" max="13059" width="16" style="88" customWidth="1"/>
    <col min="13060" max="13060" width="16.7109375" style="88" customWidth="1"/>
    <col min="13061" max="13061" width="18.7109375" style="88" customWidth="1"/>
    <col min="13062" max="13062" width="14.7109375" style="88" customWidth="1"/>
    <col min="13063" max="13063" width="10.85546875" style="88" customWidth="1"/>
    <col min="13064" max="13064" width="13.85546875" style="88" customWidth="1"/>
    <col min="13065" max="13066" width="12" style="88" customWidth="1"/>
    <col min="13067" max="13067" width="13.140625" style="88" customWidth="1"/>
    <col min="13068" max="13068" width="11.7109375" style="88" customWidth="1"/>
    <col min="13069" max="13069" width="9.28515625" style="88" customWidth="1"/>
    <col min="13070" max="13313" width="9.140625" style="88"/>
    <col min="13314" max="13314" width="13.28515625" style="88" customWidth="1"/>
    <col min="13315" max="13315" width="16" style="88" customWidth="1"/>
    <col min="13316" max="13316" width="16.7109375" style="88" customWidth="1"/>
    <col min="13317" max="13317" width="18.7109375" style="88" customWidth="1"/>
    <col min="13318" max="13318" width="14.7109375" style="88" customWidth="1"/>
    <col min="13319" max="13319" width="10.85546875" style="88" customWidth="1"/>
    <col min="13320" max="13320" width="13.85546875" style="88" customWidth="1"/>
    <col min="13321" max="13322" width="12" style="88" customWidth="1"/>
    <col min="13323" max="13323" width="13.140625" style="88" customWidth="1"/>
    <col min="13324" max="13324" width="11.7109375" style="88" customWidth="1"/>
    <col min="13325" max="13325" width="9.28515625" style="88" customWidth="1"/>
    <col min="13326" max="13569" width="9.140625" style="88"/>
    <col min="13570" max="13570" width="13.28515625" style="88" customWidth="1"/>
    <col min="13571" max="13571" width="16" style="88" customWidth="1"/>
    <col min="13572" max="13572" width="16.7109375" style="88" customWidth="1"/>
    <col min="13573" max="13573" width="18.7109375" style="88" customWidth="1"/>
    <col min="13574" max="13574" width="14.7109375" style="88" customWidth="1"/>
    <col min="13575" max="13575" width="10.85546875" style="88" customWidth="1"/>
    <col min="13576" max="13576" width="13.85546875" style="88" customWidth="1"/>
    <col min="13577" max="13578" width="12" style="88" customWidth="1"/>
    <col min="13579" max="13579" width="13.140625" style="88" customWidth="1"/>
    <col min="13580" max="13580" width="11.7109375" style="88" customWidth="1"/>
    <col min="13581" max="13581" width="9.28515625" style="88" customWidth="1"/>
    <col min="13582" max="13825" width="9.140625" style="88"/>
    <col min="13826" max="13826" width="13.28515625" style="88" customWidth="1"/>
    <col min="13827" max="13827" width="16" style="88" customWidth="1"/>
    <col min="13828" max="13828" width="16.7109375" style="88" customWidth="1"/>
    <col min="13829" max="13829" width="18.7109375" style="88" customWidth="1"/>
    <col min="13830" max="13830" width="14.7109375" style="88" customWidth="1"/>
    <col min="13831" max="13831" width="10.85546875" style="88" customWidth="1"/>
    <col min="13832" max="13832" width="13.85546875" style="88" customWidth="1"/>
    <col min="13833" max="13834" width="12" style="88" customWidth="1"/>
    <col min="13835" max="13835" width="13.140625" style="88" customWidth="1"/>
    <col min="13836" max="13836" width="11.7109375" style="88" customWidth="1"/>
    <col min="13837" max="13837" width="9.28515625" style="88" customWidth="1"/>
    <col min="13838" max="14081" width="9.140625" style="88"/>
    <col min="14082" max="14082" width="13.28515625" style="88" customWidth="1"/>
    <col min="14083" max="14083" width="16" style="88" customWidth="1"/>
    <col min="14084" max="14084" width="16.7109375" style="88" customWidth="1"/>
    <col min="14085" max="14085" width="18.7109375" style="88" customWidth="1"/>
    <col min="14086" max="14086" width="14.7109375" style="88" customWidth="1"/>
    <col min="14087" max="14087" width="10.85546875" style="88" customWidth="1"/>
    <col min="14088" max="14088" width="13.85546875" style="88" customWidth="1"/>
    <col min="14089" max="14090" width="12" style="88" customWidth="1"/>
    <col min="14091" max="14091" width="13.140625" style="88" customWidth="1"/>
    <col min="14092" max="14092" width="11.7109375" style="88" customWidth="1"/>
    <col min="14093" max="14093" width="9.28515625" style="88" customWidth="1"/>
    <col min="14094" max="14337" width="9.140625" style="88"/>
    <col min="14338" max="14338" width="13.28515625" style="88" customWidth="1"/>
    <col min="14339" max="14339" width="16" style="88" customWidth="1"/>
    <col min="14340" max="14340" width="16.7109375" style="88" customWidth="1"/>
    <col min="14341" max="14341" width="18.7109375" style="88" customWidth="1"/>
    <col min="14342" max="14342" width="14.7109375" style="88" customWidth="1"/>
    <col min="14343" max="14343" width="10.85546875" style="88" customWidth="1"/>
    <col min="14344" max="14344" width="13.85546875" style="88" customWidth="1"/>
    <col min="14345" max="14346" width="12" style="88" customWidth="1"/>
    <col min="14347" max="14347" width="13.140625" style="88" customWidth="1"/>
    <col min="14348" max="14348" width="11.7109375" style="88" customWidth="1"/>
    <col min="14349" max="14349" width="9.28515625" style="88" customWidth="1"/>
    <col min="14350" max="14593" width="9.140625" style="88"/>
    <col min="14594" max="14594" width="13.28515625" style="88" customWidth="1"/>
    <col min="14595" max="14595" width="16" style="88" customWidth="1"/>
    <col min="14596" max="14596" width="16.7109375" style="88" customWidth="1"/>
    <col min="14597" max="14597" width="18.7109375" style="88" customWidth="1"/>
    <col min="14598" max="14598" width="14.7109375" style="88" customWidth="1"/>
    <col min="14599" max="14599" width="10.85546875" style="88" customWidth="1"/>
    <col min="14600" max="14600" width="13.85546875" style="88" customWidth="1"/>
    <col min="14601" max="14602" width="12" style="88" customWidth="1"/>
    <col min="14603" max="14603" width="13.140625" style="88" customWidth="1"/>
    <col min="14604" max="14604" width="11.7109375" style="88" customWidth="1"/>
    <col min="14605" max="14605" width="9.28515625" style="88" customWidth="1"/>
    <col min="14606" max="14849" width="9.140625" style="88"/>
    <col min="14850" max="14850" width="13.28515625" style="88" customWidth="1"/>
    <col min="14851" max="14851" width="16" style="88" customWidth="1"/>
    <col min="14852" max="14852" width="16.7109375" style="88" customWidth="1"/>
    <col min="14853" max="14853" width="18.7109375" style="88" customWidth="1"/>
    <col min="14854" max="14854" width="14.7109375" style="88" customWidth="1"/>
    <col min="14855" max="14855" width="10.85546875" style="88" customWidth="1"/>
    <col min="14856" max="14856" width="13.85546875" style="88" customWidth="1"/>
    <col min="14857" max="14858" width="12" style="88" customWidth="1"/>
    <col min="14859" max="14859" width="13.140625" style="88" customWidth="1"/>
    <col min="14860" max="14860" width="11.7109375" style="88" customWidth="1"/>
    <col min="14861" max="14861" width="9.28515625" style="88" customWidth="1"/>
    <col min="14862" max="15105" width="9.140625" style="88"/>
    <col min="15106" max="15106" width="13.28515625" style="88" customWidth="1"/>
    <col min="15107" max="15107" width="16" style="88" customWidth="1"/>
    <col min="15108" max="15108" width="16.7109375" style="88" customWidth="1"/>
    <col min="15109" max="15109" width="18.7109375" style="88" customWidth="1"/>
    <col min="15110" max="15110" width="14.7109375" style="88" customWidth="1"/>
    <col min="15111" max="15111" width="10.85546875" style="88" customWidth="1"/>
    <col min="15112" max="15112" width="13.85546875" style="88" customWidth="1"/>
    <col min="15113" max="15114" width="12" style="88" customWidth="1"/>
    <col min="15115" max="15115" width="13.140625" style="88" customWidth="1"/>
    <col min="15116" max="15116" width="11.7109375" style="88" customWidth="1"/>
    <col min="15117" max="15117" width="9.28515625" style="88" customWidth="1"/>
    <col min="15118" max="15361" width="9.140625" style="88"/>
    <col min="15362" max="15362" width="13.28515625" style="88" customWidth="1"/>
    <col min="15363" max="15363" width="16" style="88" customWidth="1"/>
    <col min="15364" max="15364" width="16.7109375" style="88" customWidth="1"/>
    <col min="15365" max="15365" width="18.7109375" style="88" customWidth="1"/>
    <col min="15366" max="15366" width="14.7109375" style="88" customWidth="1"/>
    <col min="15367" max="15367" width="10.85546875" style="88" customWidth="1"/>
    <col min="15368" max="15368" width="13.85546875" style="88" customWidth="1"/>
    <col min="15369" max="15370" width="12" style="88" customWidth="1"/>
    <col min="15371" max="15371" width="13.140625" style="88" customWidth="1"/>
    <col min="15372" max="15372" width="11.7109375" style="88" customWidth="1"/>
    <col min="15373" max="15373" width="9.28515625" style="88" customWidth="1"/>
    <col min="15374" max="15617" width="9.140625" style="88"/>
    <col min="15618" max="15618" width="13.28515625" style="88" customWidth="1"/>
    <col min="15619" max="15619" width="16" style="88" customWidth="1"/>
    <col min="15620" max="15620" width="16.7109375" style="88" customWidth="1"/>
    <col min="15621" max="15621" width="18.7109375" style="88" customWidth="1"/>
    <col min="15622" max="15622" width="14.7109375" style="88" customWidth="1"/>
    <col min="15623" max="15623" width="10.85546875" style="88" customWidth="1"/>
    <col min="15624" max="15624" width="13.85546875" style="88" customWidth="1"/>
    <col min="15625" max="15626" width="12" style="88" customWidth="1"/>
    <col min="15627" max="15627" width="13.140625" style="88" customWidth="1"/>
    <col min="15628" max="15628" width="11.7109375" style="88" customWidth="1"/>
    <col min="15629" max="15629" width="9.28515625" style="88" customWidth="1"/>
    <col min="15630" max="15873" width="9.140625" style="88"/>
    <col min="15874" max="15874" width="13.28515625" style="88" customWidth="1"/>
    <col min="15875" max="15875" width="16" style="88" customWidth="1"/>
    <col min="15876" max="15876" width="16.7109375" style="88" customWidth="1"/>
    <col min="15877" max="15877" width="18.7109375" style="88" customWidth="1"/>
    <col min="15878" max="15878" width="14.7109375" style="88" customWidth="1"/>
    <col min="15879" max="15879" width="10.85546875" style="88" customWidth="1"/>
    <col min="15880" max="15880" width="13.85546875" style="88" customWidth="1"/>
    <col min="15881" max="15882" width="12" style="88" customWidth="1"/>
    <col min="15883" max="15883" width="13.140625" style="88" customWidth="1"/>
    <col min="15884" max="15884" width="11.7109375" style="88" customWidth="1"/>
    <col min="15885" max="15885" width="9.28515625" style="88" customWidth="1"/>
    <col min="15886" max="16129" width="9.140625" style="88"/>
    <col min="16130" max="16130" width="13.28515625" style="88" customWidth="1"/>
    <col min="16131" max="16131" width="16" style="88" customWidth="1"/>
    <col min="16132" max="16132" width="16.7109375" style="88" customWidth="1"/>
    <col min="16133" max="16133" width="18.7109375" style="88" customWidth="1"/>
    <col min="16134" max="16134" width="14.7109375" style="88" customWidth="1"/>
    <col min="16135" max="16135" width="10.85546875" style="88" customWidth="1"/>
    <col min="16136" max="16136" width="13.85546875" style="88" customWidth="1"/>
    <col min="16137" max="16138" width="12" style="88" customWidth="1"/>
    <col min="16139" max="16139" width="13.140625" style="88" customWidth="1"/>
    <col min="16140" max="16140" width="11.7109375" style="88" customWidth="1"/>
    <col min="16141" max="16141" width="9.28515625" style="88" customWidth="1"/>
    <col min="16142" max="16384" width="9.140625" style="88"/>
  </cols>
  <sheetData>
    <row r="1" spans="1:14" ht="21" customHeight="1">
      <c r="A1" s="196" t="s">
        <v>269</v>
      </c>
      <c r="B1" s="197"/>
      <c r="C1" s="198"/>
      <c r="D1" s="198"/>
      <c r="E1" s="198"/>
      <c r="F1" s="198"/>
      <c r="G1" s="198"/>
      <c r="H1" s="198"/>
      <c r="I1" s="198"/>
      <c r="J1" s="198"/>
      <c r="K1" s="198"/>
      <c r="L1" s="198"/>
      <c r="M1" s="198"/>
      <c r="N1" s="198"/>
    </row>
    <row r="2" spans="1:14" ht="15" customHeight="1" thickBot="1">
      <c r="A2" s="199"/>
      <c r="B2" s="199"/>
      <c r="C2" s="89"/>
      <c r="D2" s="89"/>
      <c r="E2" s="89"/>
      <c r="F2" s="89"/>
      <c r="G2" s="89"/>
      <c r="H2" s="89"/>
      <c r="I2" s="200"/>
      <c r="J2" s="200"/>
      <c r="K2" s="89"/>
      <c r="L2" s="89"/>
      <c r="M2" s="199" t="s">
        <v>140</v>
      </c>
    </row>
    <row r="3" spans="1:14" s="204" customFormat="1" ht="15" customHeight="1" thickTop="1">
      <c r="A3" s="201"/>
      <c r="B3" s="201" t="s">
        <v>141</v>
      </c>
      <c r="C3" s="201" t="s">
        <v>270</v>
      </c>
      <c r="D3" s="201" t="s">
        <v>271</v>
      </c>
      <c r="E3" s="201" t="s">
        <v>272</v>
      </c>
      <c r="F3" s="201" t="s">
        <v>273</v>
      </c>
      <c r="G3" s="201" t="s">
        <v>274</v>
      </c>
      <c r="H3" s="201" t="s">
        <v>275</v>
      </c>
      <c r="I3" s="201" t="s">
        <v>5</v>
      </c>
      <c r="J3" s="201" t="s">
        <v>276</v>
      </c>
      <c r="K3" s="201" t="s">
        <v>51</v>
      </c>
      <c r="L3" s="201" t="s">
        <v>277</v>
      </c>
      <c r="M3" s="202" t="s">
        <v>278</v>
      </c>
      <c r="N3" s="203"/>
    </row>
    <row r="4" spans="1:14" ht="15" customHeight="1">
      <c r="A4" s="205">
        <v>1970</v>
      </c>
      <c r="B4" s="206">
        <v>12681</v>
      </c>
      <c r="C4" s="206">
        <v>9655</v>
      </c>
      <c r="D4" s="206">
        <v>209</v>
      </c>
      <c r="E4" s="207" t="s">
        <v>279</v>
      </c>
      <c r="F4" s="206">
        <v>1164</v>
      </c>
      <c r="G4" s="206">
        <v>1778</v>
      </c>
      <c r="H4" s="206">
        <v>1788</v>
      </c>
      <c r="I4" s="206">
        <v>6275</v>
      </c>
      <c r="J4" s="207" t="s">
        <v>279</v>
      </c>
      <c r="K4" s="207" t="s">
        <v>279</v>
      </c>
      <c r="L4" s="206">
        <v>28397</v>
      </c>
      <c r="M4" s="206">
        <v>62333</v>
      </c>
      <c r="N4" s="120"/>
    </row>
    <row r="5" spans="1:14" ht="15" customHeight="1">
      <c r="A5" s="205">
        <v>1971</v>
      </c>
      <c r="B5" s="206">
        <v>10232</v>
      </c>
      <c r="C5" s="206">
        <v>8298</v>
      </c>
      <c r="D5" s="206">
        <v>176</v>
      </c>
      <c r="E5" s="207" t="s">
        <v>279</v>
      </c>
      <c r="F5" s="206">
        <v>1118</v>
      </c>
      <c r="G5" s="206">
        <v>1038</v>
      </c>
      <c r="H5" s="206">
        <v>5194</v>
      </c>
      <c r="I5" s="206">
        <v>6313</v>
      </c>
      <c r="J5" s="207" t="s">
        <v>279</v>
      </c>
      <c r="K5" s="207" t="s">
        <v>279</v>
      </c>
      <c r="L5" s="206">
        <v>28130</v>
      </c>
      <c r="M5" s="206">
        <v>60746</v>
      </c>
      <c r="N5" s="120"/>
    </row>
    <row r="6" spans="1:14" ht="15" customHeight="1">
      <c r="A6" s="205">
        <v>1972</v>
      </c>
      <c r="B6" s="206">
        <v>7675</v>
      </c>
      <c r="C6" s="206">
        <v>7832</v>
      </c>
      <c r="D6" s="206">
        <v>252</v>
      </c>
      <c r="E6" s="207" t="s">
        <v>279</v>
      </c>
      <c r="F6" s="206">
        <v>1111</v>
      </c>
      <c r="G6" s="206">
        <v>1154</v>
      </c>
      <c r="H6" s="206">
        <v>8136</v>
      </c>
      <c r="I6" s="206">
        <v>6292</v>
      </c>
      <c r="J6" s="207" t="s">
        <v>279</v>
      </c>
      <c r="K6" s="207" t="s">
        <v>279</v>
      </c>
      <c r="L6" s="206">
        <v>28674</v>
      </c>
      <c r="M6" s="206">
        <v>61307</v>
      </c>
      <c r="N6" s="120"/>
    </row>
    <row r="7" spans="1:14" ht="15" customHeight="1">
      <c r="A7" s="205">
        <v>1973</v>
      </c>
      <c r="B7" s="206">
        <v>7950</v>
      </c>
      <c r="C7" s="206">
        <v>8340</v>
      </c>
      <c r="D7" s="206">
        <v>226</v>
      </c>
      <c r="E7" s="207" t="s">
        <v>279</v>
      </c>
      <c r="F7" s="206">
        <v>1290</v>
      </c>
      <c r="G7" s="206">
        <v>788</v>
      </c>
      <c r="H7" s="206">
        <v>10791</v>
      </c>
      <c r="I7" s="206">
        <v>6884</v>
      </c>
      <c r="J7" s="207" t="s">
        <v>279</v>
      </c>
      <c r="K7" s="207" t="s">
        <v>279</v>
      </c>
      <c r="L7" s="206">
        <v>28691</v>
      </c>
      <c r="M7" s="206">
        <v>65149</v>
      </c>
      <c r="N7" s="120"/>
    </row>
    <row r="8" spans="1:14" ht="15" customHeight="1">
      <c r="A8" s="205">
        <v>1974</v>
      </c>
      <c r="B8" s="206">
        <v>7290</v>
      </c>
      <c r="C8" s="206">
        <v>7167</v>
      </c>
      <c r="D8" s="206">
        <v>201</v>
      </c>
      <c r="E8" s="207" t="s">
        <v>279</v>
      </c>
      <c r="F8" s="206">
        <v>975</v>
      </c>
      <c r="G8" s="206">
        <v>494</v>
      </c>
      <c r="H8" s="206">
        <v>12320</v>
      </c>
      <c r="I8" s="206">
        <v>6517</v>
      </c>
      <c r="J8" s="207" t="s">
        <v>279</v>
      </c>
      <c r="K8" s="207" t="s">
        <v>279</v>
      </c>
      <c r="L8" s="206">
        <v>24968</v>
      </c>
      <c r="M8" s="206">
        <v>60058</v>
      </c>
      <c r="N8" s="120"/>
    </row>
    <row r="9" spans="1:14" ht="15" customHeight="1">
      <c r="A9" s="205">
        <v>1975</v>
      </c>
      <c r="B9" s="206">
        <v>6373</v>
      </c>
      <c r="C9" s="206">
        <v>6338</v>
      </c>
      <c r="D9" s="206">
        <v>199</v>
      </c>
      <c r="E9" s="207" t="s">
        <v>279</v>
      </c>
      <c r="F9" s="206">
        <v>1038</v>
      </c>
      <c r="G9" s="206">
        <v>222</v>
      </c>
      <c r="H9" s="206">
        <v>12555</v>
      </c>
      <c r="I9" s="206">
        <v>6479</v>
      </c>
      <c r="J9" s="207" t="s">
        <v>279</v>
      </c>
      <c r="K9" s="207" t="s">
        <v>279</v>
      </c>
      <c r="L9" s="206">
        <v>22145</v>
      </c>
      <c r="M9" s="206">
        <v>55444</v>
      </c>
      <c r="N9" s="120"/>
    </row>
    <row r="10" spans="1:14" ht="15" customHeight="1">
      <c r="A10" s="205">
        <v>1976</v>
      </c>
      <c r="B10" s="206">
        <v>5902</v>
      </c>
      <c r="C10" s="206">
        <v>7129</v>
      </c>
      <c r="D10" s="206">
        <v>131</v>
      </c>
      <c r="E10" s="207" t="s">
        <v>279</v>
      </c>
      <c r="F10" s="206">
        <v>1091</v>
      </c>
      <c r="G10" s="206">
        <v>68</v>
      </c>
      <c r="H10" s="206">
        <v>14237</v>
      </c>
      <c r="I10" s="206">
        <v>6950</v>
      </c>
      <c r="J10" s="207" t="s">
        <v>279</v>
      </c>
      <c r="K10" s="207" t="s">
        <v>279</v>
      </c>
      <c r="L10" s="206">
        <v>21966</v>
      </c>
      <c r="M10" s="206">
        <v>57584</v>
      </c>
      <c r="N10" s="120"/>
    </row>
    <row r="11" spans="1:14" ht="15" customHeight="1">
      <c r="A11" s="205">
        <v>1977</v>
      </c>
      <c r="B11" s="206">
        <v>5947</v>
      </c>
      <c r="C11" s="206">
        <v>6368</v>
      </c>
      <c r="D11" s="206">
        <v>158</v>
      </c>
      <c r="E11" s="207" t="s">
        <v>279</v>
      </c>
      <c r="F11" s="206">
        <v>1010</v>
      </c>
      <c r="G11" s="206">
        <v>30</v>
      </c>
      <c r="H11" s="206">
        <v>14940</v>
      </c>
      <c r="I11" s="206">
        <v>7053</v>
      </c>
      <c r="J11" s="207" t="s">
        <v>279</v>
      </c>
      <c r="K11" s="207" t="s">
        <v>279</v>
      </c>
      <c r="L11" s="206">
        <v>21978</v>
      </c>
      <c r="M11" s="206">
        <v>57574</v>
      </c>
      <c r="N11" s="120"/>
    </row>
    <row r="12" spans="1:14" ht="15" customHeight="1">
      <c r="A12" s="205">
        <v>1978</v>
      </c>
      <c r="B12" s="206">
        <v>5627</v>
      </c>
      <c r="C12" s="206">
        <v>5932</v>
      </c>
      <c r="D12" s="206">
        <v>179</v>
      </c>
      <c r="E12" s="207" t="s">
        <v>279</v>
      </c>
      <c r="F12" s="206">
        <v>899</v>
      </c>
      <c r="G12" s="206">
        <v>15</v>
      </c>
      <c r="H12" s="206">
        <v>15149</v>
      </c>
      <c r="I12" s="206">
        <v>7222</v>
      </c>
      <c r="J12" s="207" t="s">
        <v>279</v>
      </c>
      <c r="K12" s="207" t="s">
        <v>279</v>
      </c>
      <c r="L12" s="206">
        <v>21570</v>
      </c>
      <c r="M12" s="206">
        <v>56673</v>
      </c>
      <c r="N12" s="120"/>
    </row>
    <row r="13" spans="1:14" ht="15" customHeight="1">
      <c r="A13" s="205">
        <v>1979</v>
      </c>
      <c r="B13" s="206">
        <v>6081</v>
      </c>
      <c r="C13" s="206">
        <v>6512</v>
      </c>
      <c r="D13" s="206">
        <v>148</v>
      </c>
      <c r="E13" s="207" t="s">
        <v>279</v>
      </c>
      <c r="F13" s="206">
        <v>977</v>
      </c>
      <c r="G13" s="206">
        <v>18</v>
      </c>
      <c r="H13" s="206">
        <v>15663</v>
      </c>
      <c r="I13" s="206">
        <v>7527</v>
      </c>
      <c r="J13" s="207" t="s">
        <v>279</v>
      </c>
      <c r="K13" s="207" t="s">
        <v>279</v>
      </c>
      <c r="L13" s="206">
        <v>21590</v>
      </c>
      <c r="M13" s="206">
        <v>58564</v>
      </c>
      <c r="N13" s="120"/>
    </row>
    <row r="14" spans="1:14" ht="15" customHeight="1">
      <c r="A14" s="205"/>
      <c r="B14" s="206"/>
      <c r="C14" s="206"/>
      <c r="D14" s="206"/>
      <c r="E14" s="207"/>
      <c r="F14" s="206"/>
      <c r="G14" s="206"/>
      <c r="H14" s="206"/>
      <c r="I14" s="206"/>
      <c r="J14" s="207"/>
      <c r="K14" s="207"/>
      <c r="L14" s="206"/>
      <c r="M14" s="206"/>
      <c r="N14" s="120"/>
    </row>
    <row r="15" spans="1:14" ht="15" customHeight="1">
      <c r="A15" s="205">
        <v>1980</v>
      </c>
      <c r="B15" s="206">
        <v>5083</v>
      </c>
      <c r="C15" s="206">
        <v>3335</v>
      </c>
      <c r="D15" s="206">
        <v>133</v>
      </c>
      <c r="E15" s="207" t="s">
        <v>279</v>
      </c>
      <c r="F15" s="206">
        <v>642</v>
      </c>
      <c r="G15" s="206">
        <v>13</v>
      </c>
      <c r="H15" s="206">
        <v>15258</v>
      </c>
      <c r="I15" s="206">
        <v>6854</v>
      </c>
      <c r="J15" s="207" t="s">
        <v>279</v>
      </c>
      <c r="K15" s="207" t="s">
        <v>279</v>
      </c>
      <c r="L15" s="206">
        <v>16938</v>
      </c>
      <c r="M15" s="206">
        <v>48291</v>
      </c>
      <c r="N15" s="120"/>
    </row>
    <row r="16" spans="1:14" ht="15" customHeight="1">
      <c r="A16" s="205">
        <v>1981</v>
      </c>
      <c r="B16" s="206">
        <v>4534</v>
      </c>
      <c r="C16" s="206">
        <v>4564</v>
      </c>
      <c r="D16" s="206">
        <v>116</v>
      </c>
      <c r="E16" s="207" t="s">
        <v>279</v>
      </c>
      <c r="F16" s="206">
        <v>665</v>
      </c>
      <c r="G16" s="206">
        <v>13</v>
      </c>
      <c r="H16" s="206">
        <v>14489</v>
      </c>
      <c r="I16" s="206">
        <v>6622</v>
      </c>
      <c r="J16" s="207" t="s">
        <v>279</v>
      </c>
      <c r="K16" s="207" t="s">
        <v>279</v>
      </c>
      <c r="L16" s="206">
        <v>14761</v>
      </c>
      <c r="M16" s="206">
        <v>45776</v>
      </c>
      <c r="N16" s="120"/>
    </row>
    <row r="17" spans="1:14" ht="15" customHeight="1">
      <c r="A17" s="205">
        <v>1982</v>
      </c>
      <c r="B17" s="206">
        <v>4668</v>
      </c>
      <c r="C17" s="206">
        <v>4083</v>
      </c>
      <c r="D17" s="206">
        <v>144</v>
      </c>
      <c r="E17" s="207" t="s">
        <v>279</v>
      </c>
      <c r="F17" s="206">
        <v>605</v>
      </c>
      <c r="G17" s="206">
        <v>8</v>
      </c>
      <c r="H17" s="206">
        <v>14588</v>
      </c>
      <c r="I17" s="206">
        <v>6353</v>
      </c>
      <c r="J17" s="207" t="s">
        <v>279</v>
      </c>
      <c r="K17" s="207" t="s">
        <v>279</v>
      </c>
      <c r="L17" s="206">
        <v>13530</v>
      </c>
      <c r="M17" s="206">
        <v>44007</v>
      </c>
      <c r="N17" s="120"/>
    </row>
    <row r="18" spans="1:14" ht="15" customHeight="1">
      <c r="A18" s="205">
        <v>1983</v>
      </c>
      <c r="B18" s="206">
        <v>4708</v>
      </c>
      <c r="C18" s="206">
        <v>4307</v>
      </c>
      <c r="D18" s="206">
        <v>126</v>
      </c>
      <c r="E18" s="207" t="s">
        <v>279</v>
      </c>
      <c r="F18" s="206">
        <v>635</v>
      </c>
      <c r="G18" s="206">
        <v>5</v>
      </c>
      <c r="H18" s="206">
        <v>14021</v>
      </c>
      <c r="I18" s="206">
        <v>6376</v>
      </c>
      <c r="J18" s="207" t="s">
        <v>279</v>
      </c>
      <c r="K18" s="207" t="s">
        <v>279</v>
      </c>
      <c r="L18" s="206">
        <v>11988</v>
      </c>
      <c r="M18" s="206">
        <v>42191</v>
      </c>
      <c r="N18" s="120"/>
    </row>
    <row r="19" spans="1:14" ht="15" customHeight="1">
      <c r="A19" s="205">
        <v>1984</v>
      </c>
      <c r="B19" s="206">
        <v>3796</v>
      </c>
      <c r="C19" s="206">
        <v>4408</v>
      </c>
      <c r="D19" s="206">
        <v>68</v>
      </c>
      <c r="E19" s="207" t="s">
        <v>279</v>
      </c>
      <c r="F19" s="206">
        <v>537</v>
      </c>
      <c r="G19" s="206">
        <v>5</v>
      </c>
      <c r="H19" s="206">
        <v>14686</v>
      </c>
      <c r="I19" s="206">
        <v>6758</v>
      </c>
      <c r="J19" s="207" t="s">
        <v>279</v>
      </c>
      <c r="K19" s="207" t="s">
        <v>279</v>
      </c>
      <c r="L19" s="206">
        <v>10859</v>
      </c>
      <c r="M19" s="206">
        <v>41138</v>
      </c>
      <c r="N19" s="120"/>
    </row>
    <row r="20" spans="1:14" ht="15" customHeight="1">
      <c r="A20" s="205">
        <v>1985</v>
      </c>
      <c r="B20" s="206">
        <v>4708</v>
      </c>
      <c r="C20" s="206">
        <v>4655</v>
      </c>
      <c r="D20" s="206">
        <v>151</v>
      </c>
      <c r="E20" s="207" t="s">
        <v>279</v>
      </c>
      <c r="F20" s="206">
        <v>768</v>
      </c>
      <c r="G20" s="206">
        <v>3</v>
      </c>
      <c r="H20" s="206">
        <v>14865</v>
      </c>
      <c r="I20" s="206">
        <v>6837</v>
      </c>
      <c r="J20" s="207" t="s">
        <v>279</v>
      </c>
      <c r="K20" s="207" t="s">
        <v>279</v>
      </c>
      <c r="L20" s="206">
        <v>9701</v>
      </c>
      <c r="M20" s="206">
        <v>41702</v>
      </c>
      <c r="N20" s="120"/>
    </row>
    <row r="21" spans="1:14" ht="15" customHeight="1">
      <c r="A21" s="205">
        <v>1986</v>
      </c>
      <c r="B21" s="206">
        <v>5242</v>
      </c>
      <c r="C21" s="206">
        <v>4144</v>
      </c>
      <c r="D21" s="206">
        <v>98</v>
      </c>
      <c r="E21" s="207" t="s">
        <v>279</v>
      </c>
      <c r="F21" s="206">
        <v>778</v>
      </c>
      <c r="G21" s="206">
        <v>3</v>
      </c>
      <c r="H21" s="206">
        <v>13542</v>
      </c>
      <c r="I21" s="206">
        <v>6884</v>
      </c>
      <c r="J21" s="207" t="s">
        <v>279</v>
      </c>
      <c r="K21" s="207" t="s">
        <v>279</v>
      </c>
      <c r="L21" s="206">
        <v>10240</v>
      </c>
      <c r="M21" s="206">
        <v>40931</v>
      </c>
      <c r="N21" s="120"/>
    </row>
    <row r="22" spans="1:14" ht="15" customHeight="1">
      <c r="A22" s="205">
        <v>1987</v>
      </c>
      <c r="B22" s="206">
        <v>4048</v>
      </c>
      <c r="C22" s="206">
        <v>4660</v>
      </c>
      <c r="D22" s="206">
        <v>80</v>
      </c>
      <c r="E22" s="207" t="s">
        <v>279</v>
      </c>
      <c r="F22" s="206">
        <v>821</v>
      </c>
      <c r="G22" s="206">
        <v>3</v>
      </c>
      <c r="H22" s="206">
        <v>14137</v>
      </c>
      <c r="I22" s="206">
        <v>8005</v>
      </c>
      <c r="J22" s="207" t="s">
        <v>279</v>
      </c>
      <c r="K22" s="207" t="s">
        <v>279</v>
      </c>
      <c r="L22" s="206">
        <v>8456</v>
      </c>
      <c r="M22" s="206">
        <v>40211</v>
      </c>
      <c r="N22" s="120"/>
    </row>
    <row r="23" spans="1:14" ht="15" customHeight="1">
      <c r="A23" s="205">
        <v>1988</v>
      </c>
      <c r="B23" s="206">
        <v>4166</v>
      </c>
      <c r="C23" s="206">
        <v>5041</v>
      </c>
      <c r="D23" s="206">
        <v>55</v>
      </c>
      <c r="E23" s="207" t="s">
        <v>279</v>
      </c>
      <c r="F23" s="206">
        <v>771</v>
      </c>
      <c r="G23" s="207" t="s">
        <v>207</v>
      </c>
      <c r="H23" s="206">
        <v>12883</v>
      </c>
      <c r="I23" s="206">
        <v>8350</v>
      </c>
      <c r="J23" s="207" t="s">
        <v>279</v>
      </c>
      <c r="K23" s="206">
        <v>100</v>
      </c>
      <c r="L23" s="206">
        <v>9441</v>
      </c>
      <c r="M23" s="206">
        <v>40807</v>
      </c>
      <c r="N23" s="120"/>
    </row>
    <row r="24" spans="1:14" ht="15" customHeight="1">
      <c r="A24" s="205">
        <v>1989</v>
      </c>
      <c r="B24" s="206">
        <v>4489</v>
      </c>
      <c r="C24" s="206">
        <v>4286</v>
      </c>
      <c r="D24" s="206">
        <v>30</v>
      </c>
      <c r="E24" s="207" t="s">
        <v>279</v>
      </c>
      <c r="F24" s="206">
        <v>613</v>
      </c>
      <c r="G24" s="207" t="s">
        <v>207</v>
      </c>
      <c r="H24" s="206">
        <v>12515</v>
      </c>
      <c r="I24" s="206">
        <v>8550</v>
      </c>
      <c r="J24" s="207" t="s">
        <v>279</v>
      </c>
      <c r="K24" s="206">
        <v>101.8</v>
      </c>
      <c r="L24" s="206">
        <v>8820</v>
      </c>
      <c r="M24" s="206">
        <v>39404.800000000003</v>
      </c>
      <c r="N24" s="120"/>
    </row>
    <row r="25" spans="1:14" ht="15" customHeight="1">
      <c r="B25" s="205"/>
      <c r="D25" s="205"/>
      <c r="E25" s="207"/>
      <c r="G25" s="204"/>
      <c r="H25" s="206"/>
      <c r="I25" s="206"/>
      <c r="J25" s="206"/>
      <c r="K25" s="206"/>
      <c r="L25" s="206"/>
      <c r="M25" s="206"/>
      <c r="N25" s="120"/>
    </row>
    <row r="26" spans="1:14" ht="15" customHeight="1">
      <c r="A26" s="205">
        <v>1990</v>
      </c>
      <c r="B26" s="206">
        <v>4172</v>
      </c>
      <c r="C26" s="206">
        <v>3951</v>
      </c>
      <c r="D26" s="206">
        <v>42</v>
      </c>
      <c r="E26" s="207" t="s">
        <v>279</v>
      </c>
      <c r="F26" s="206">
        <v>602</v>
      </c>
      <c r="G26" s="207" t="s">
        <v>207</v>
      </c>
      <c r="H26" s="206">
        <v>12889</v>
      </c>
      <c r="I26" s="206">
        <v>8655</v>
      </c>
      <c r="J26" s="207" t="s">
        <v>279</v>
      </c>
      <c r="K26" s="206">
        <v>106.6</v>
      </c>
      <c r="L26" s="206">
        <v>8242</v>
      </c>
      <c r="M26" s="206">
        <v>38659.599999999999</v>
      </c>
      <c r="N26" s="120"/>
    </row>
    <row r="27" spans="1:14" ht="15" customHeight="1">
      <c r="A27" s="205">
        <v>1991</v>
      </c>
      <c r="B27" s="206">
        <v>4270</v>
      </c>
      <c r="C27" s="206">
        <v>3691</v>
      </c>
      <c r="D27" s="206">
        <v>14</v>
      </c>
      <c r="E27" s="207" t="s">
        <v>279</v>
      </c>
      <c r="F27" s="206">
        <v>570</v>
      </c>
      <c r="G27" s="207" t="s">
        <v>207</v>
      </c>
      <c r="H27" s="206">
        <v>12311</v>
      </c>
      <c r="I27" s="206">
        <v>8563</v>
      </c>
      <c r="J27" s="207" t="s">
        <v>279</v>
      </c>
      <c r="K27" s="206">
        <v>108.7</v>
      </c>
      <c r="L27" s="206">
        <v>8729</v>
      </c>
      <c r="M27" s="206">
        <v>38256.699999999997</v>
      </c>
      <c r="N27" s="120"/>
    </row>
    <row r="28" spans="1:14" ht="15" customHeight="1">
      <c r="A28" s="205">
        <v>1992</v>
      </c>
      <c r="B28" s="206">
        <v>4375</v>
      </c>
      <c r="C28" s="206">
        <v>3601</v>
      </c>
      <c r="D28" s="206">
        <v>14</v>
      </c>
      <c r="E28" s="207" t="s">
        <v>279</v>
      </c>
      <c r="F28" s="206">
        <v>534</v>
      </c>
      <c r="G28" s="207" t="s">
        <v>207</v>
      </c>
      <c r="H28" s="206">
        <v>11380</v>
      </c>
      <c r="I28" s="206">
        <v>8194</v>
      </c>
      <c r="J28" s="207" t="s">
        <v>279</v>
      </c>
      <c r="K28" s="206">
        <v>278.60000000000002</v>
      </c>
      <c r="L28" s="206">
        <v>8334</v>
      </c>
      <c r="M28" s="206">
        <v>36710.6</v>
      </c>
      <c r="N28" s="120"/>
    </row>
    <row r="29" spans="1:14" ht="15" customHeight="1">
      <c r="A29" s="205">
        <v>1993</v>
      </c>
      <c r="B29" s="206">
        <v>3553</v>
      </c>
      <c r="C29" s="206">
        <v>3613</v>
      </c>
      <c r="D29" s="206">
        <v>7</v>
      </c>
      <c r="E29" s="207" t="s">
        <v>279</v>
      </c>
      <c r="F29" s="206">
        <v>560</v>
      </c>
      <c r="G29" s="207" t="s">
        <v>207</v>
      </c>
      <c r="H29" s="206">
        <v>11521</v>
      </c>
      <c r="I29" s="206">
        <v>8328</v>
      </c>
      <c r="J29" s="207" t="s">
        <v>279</v>
      </c>
      <c r="K29" s="206">
        <v>265.8</v>
      </c>
      <c r="L29" s="206">
        <v>8592</v>
      </c>
      <c r="M29" s="206">
        <v>36439.800000000003</v>
      </c>
      <c r="N29" s="120"/>
    </row>
    <row r="30" spans="1:14" ht="15" customHeight="1">
      <c r="A30" s="205">
        <v>1994</v>
      </c>
      <c r="B30" s="206">
        <v>3402</v>
      </c>
      <c r="C30" s="206">
        <v>3818</v>
      </c>
      <c r="D30" s="206">
        <v>194</v>
      </c>
      <c r="E30" s="207" t="s">
        <v>279</v>
      </c>
      <c r="F30" s="206">
        <v>590</v>
      </c>
      <c r="G30" s="207" t="s">
        <v>207</v>
      </c>
      <c r="H30" s="206">
        <v>12885</v>
      </c>
      <c r="I30" s="206">
        <v>8082</v>
      </c>
      <c r="J30" s="207" t="s">
        <v>279</v>
      </c>
      <c r="K30" s="206">
        <v>487.3</v>
      </c>
      <c r="L30" s="206">
        <v>8253</v>
      </c>
      <c r="M30" s="206">
        <v>37711.300000000003</v>
      </c>
      <c r="N30" s="120"/>
    </row>
    <row r="31" spans="1:14" ht="15" customHeight="1">
      <c r="A31" s="208" t="s">
        <v>280</v>
      </c>
      <c r="B31" s="209">
        <v>2840</v>
      </c>
      <c r="C31" s="209">
        <v>3750</v>
      </c>
      <c r="D31" s="209">
        <v>184</v>
      </c>
      <c r="E31" s="210" t="s">
        <v>279</v>
      </c>
      <c r="F31" s="209">
        <v>576.49</v>
      </c>
      <c r="G31" s="210" t="s">
        <v>207</v>
      </c>
      <c r="H31" s="209">
        <v>12679.621668099731</v>
      </c>
      <c r="I31" s="209">
        <v>8654.4453998280333</v>
      </c>
      <c r="J31" s="210" t="s">
        <v>279</v>
      </c>
      <c r="K31" s="209">
        <v>525.9</v>
      </c>
      <c r="L31" s="209">
        <v>7066</v>
      </c>
      <c r="M31" s="209">
        <v>36276.457067927768</v>
      </c>
      <c r="N31" s="120"/>
    </row>
    <row r="32" spans="1:14" ht="15" customHeight="1">
      <c r="A32" s="205" t="s">
        <v>281</v>
      </c>
      <c r="B32" s="206">
        <v>1959.4604401333877</v>
      </c>
      <c r="C32" s="206">
        <v>855.29747778733156</v>
      </c>
      <c r="D32" s="206">
        <v>232.80261775102701</v>
      </c>
      <c r="E32" s="211">
        <v>308.06634000000003</v>
      </c>
      <c r="F32" s="206">
        <v>439.09986000000004</v>
      </c>
      <c r="G32" s="207" t="s">
        <v>207</v>
      </c>
      <c r="H32" s="206">
        <v>14080.851246775579</v>
      </c>
      <c r="I32" s="206">
        <v>9004.0835399999978</v>
      </c>
      <c r="J32" s="207" t="s">
        <v>279</v>
      </c>
      <c r="K32" s="206">
        <v>532.5</v>
      </c>
      <c r="L32" s="206">
        <v>7058.0414471449803</v>
      </c>
      <c r="M32" s="206">
        <v>34470.202969592305</v>
      </c>
      <c r="N32" s="120"/>
    </row>
    <row r="33" spans="1:65" ht="15" customHeight="1">
      <c r="A33" s="205">
        <v>1997</v>
      </c>
      <c r="B33" s="206">
        <v>1963.1071607044119</v>
      </c>
      <c r="C33" s="206">
        <v>787.26870163370586</v>
      </c>
      <c r="D33" s="206">
        <v>248.88711780744961</v>
      </c>
      <c r="E33" s="211">
        <v>331.64230438521065</v>
      </c>
      <c r="F33" s="206">
        <v>457.17970765262254</v>
      </c>
      <c r="G33" s="207" t="s">
        <v>207</v>
      </c>
      <c r="H33" s="206">
        <v>14754.084264832329</v>
      </c>
      <c r="I33" s="206">
        <v>9188.6500429922598</v>
      </c>
      <c r="J33" s="207" t="s">
        <v>279</v>
      </c>
      <c r="K33" s="206">
        <v>532</v>
      </c>
      <c r="L33" s="206">
        <v>6314.6608698091777</v>
      </c>
      <c r="M33" s="206">
        <v>34577.480169817172</v>
      </c>
      <c r="N33" s="120"/>
    </row>
    <row r="34" spans="1:65" ht="15" customHeight="1">
      <c r="A34" s="205">
        <v>1998</v>
      </c>
      <c r="B34" s="206">
        <v>1606.8251093521822</v>
      </c>
      <c r="C34" s="206">
        <v>803.21486576860605</v>
      </c>
      <c r="D34" s="206">
        <v>242.79659883443207</v>
      </c>
      <c r="E34" s="211">
        <v>278.33190025795358</v>
      </c>
      <c r="F34" s="206">
        <v>384.86672398968182</v>
      </c>
      <c r="G34" s="207" t="s">
        <v>207</v>
      </c>
      <c r="H34" s="206">
        <v>15140.498710232159</v>
      </c>
      <c r="I34" s="206">
        <v>9215.5631986242479</v>
      </c>
      <c r="J34" s="207" t="s">
        <v>279</v>
      </c>
      <c r="K34" s="206">
        <v>460.9</v>
      </c>
      <c r="L34" s="206">
        <v>6379.1577292778102</v>
      </c>
      <c r="M34" s="206">
        <v>34512.154836337075</v>
      </c>
      <c r="N34" s="120"/>
    </row>
    <row r="35" spans="1:65" ht="15" customHeight="1">
      <c r="A35" s="205">
        <v>1999</v>
      </c>
      <c r="B35" s="206">
        <v>1353.4860278212193</v>
      </c>
      <c r="C35" s="206">
        <v>819.69045571797074</v>
      </c>
      <c r="D35" s="206">
        <v>215.26268271711092</v>
      </c>
      <c r="E35" s="211">
        <v>138.95098882201202</v>
      </c>
      <c r="F35" s="206">
        <v>205.07308684436799</v>
      </c>
      <c r="G35" s="207" t="s">
        <v>207</v>
      </c>
      <c r="H35" s="206">
        <v>15203.353396388651</v>
      </c>
      <c r="I35" s="206">
        <v>9542.3903697334481</v>
      </c>
      <c r="J35" s="206">
        <v>1086.1661188306107</v>
      </c>
      <c r="K35" s="206">
        <v>283.2</v>
      </c>
      <c r="L35" s="206">
        <v>5374.2926994359959</v>
      </c>
      <c r="M35" s="206">
        <v>34221.86582631139</v>
      </c>
      <c r="N35" s="120"/>
    </row>
    <row r="36" spans="1:65" ht="15" customHeight="1">
      <c r="A36" s="205"/>
      <c r="B36" s="206"/>
      <c r="C36" s="206"/>
      <c r="D36" s="206"/>
      <c r="E36" s="211"/>
      <c r="F36" s="206"/>
      <c r="G36" s="207"/>
      <c r="H36" s="206"/>
      <c r="I36" s="206"/>
      <c r="J36" s="206"/>
      <c r="K36" s="206"/>
      <c r="L36" s="206"/>
      <c r="M36" s="206"/>
      <c r="N36" s="120"/>
    </row>
    <row r="37" spans="1:65" ht="15" customHeight="1">
      <c r="A37" s="212">
        <v>2000</v>
      </c>
      <c r="B37" s="206">
        <v>1227.7435056157328</v>
      </c>
      <c r="C37" s="206">
        <v>753.44893474730111</v>
      </c>
      <c r="D37" s="206">
        <v>70.515668290818667</v>
      </c>
      <c r="E37" s="211">
        <v>95.786758383490962</v>
      </c>
      <c r="F37" s="206">
        <v>216.2510748065348</v>
      </c>
      <c r="G37" s="207" t="s">
        <v>207</v>
      </c>
      <c r="H37" s="206">
        <v>15773.086844368012</v>
      </c>
      <c r="I37" s="206">
        <v>9811.9518486672405</v>
      </c>
      <c r="J37" s="206">
        <v>1099.4159071367155</v>
      </c>
      <c r="K37" s="206">
        <v>264.06</v>
      </c>
      <c r="L37" s="206">
        <v>6039.4734330869005</v>
      </c>
      <c r="M37" s="206">
        <v>35351.733975102747</v>
      </c>
      <c r="N37" s="120"/>
    </row>
    <row r="38" spans="1:65" ht="15" customHeight="1">
      <c r="A38" s="212">
        <v>2001</v>
      </c>
      <c r="B38" s="206">
        <v>1194.9551082855403</v>
      </c>
      <c r="C38" s="206">
        <v>718.59176459348419</v>
      </c>
      <c r="D38" s="206">
        <v>210.29304003057223</v>
      </c>
      <c r="E38" s="211">
        <v>272.14101461736885</v>
      </c>
      <c r="F38" s="206">
        <v>154.25623387790196</v>
      </c>
      <c r="G38" s="207" t="s">
        <v>207</v>
      </c>
      <c r="H38" s="206">
        <v>15463.71453138435</v>
      </c>
      <c r="I38" s="206">
        <v>9573.3447979363718</v>
      </c>
      <c r="J38" s="206">
        <v>1001.2271281169391</v>
      </c>
      <c r="K38" s="206">
        <v>243.07</v>
      </c>
      <c r="L38" s="206">
        <v>6611.0456630972485</v>
      </c>
      <c r="M38" s="206">
        <v>35442.639281939773</v>
      </c>
      <c r="N38" s="120"/>
    </row>
    <row r="39" spans="1:65" ht="15" customHeight="1">
      <c r="A39" s="212">
        <v>2002</v>
      </c>
      <c r="B39" s="206">
        <v>1185.6913298407339</v>
      </c>
      <c r="C39" s="206">
        <v>610.41470062061512</v>
      </c>
      <c r="D39" s="206">
        <v>169.9778064871698</v>
      </c>
      <c r="E39" s="211">
        <v>226.28987491886218</v>
      </c>
      <c r="F39" s="206">
        <v>78.182356285427431</v>
      </c>
      <c r="G39" s="207" t="s">
        <v>207</v>
      </c>
      <c r="H39" s="206">
        <v>14201.691417826749</v>
      </c>
      <c r="I39" s="206">
        <v>9685.9845227858968</v>
      </c>
      <c r="J39" s="206">
        <v>1320.6416165090284</v>
      </c>
      <c r="K39" s="206">
        <v>250.03</v>
      </c>
      <c r="L39" s="206">
        <v>6248.2606866719052</v>
      </c>
      <c r="M39" s="206">
        <v>33977.164311946384</v>
      </c>
      <c r="N39" s="120"/>
    </row>
    <row r="40" spans="1:65" ht="15" customHeight="1">
      <c r="A40" s="212">
        <v>2003</v>
      </c>
      <c r="B40" s="206">
        <v>1247.9660292310678</v>
      </c>
      <c r="C40" s="206">
        <v>588.60115832873737</v>
      </c>
      <c r="D40" s="206">
        <v>50.516284744968857</v>
      </c>
      <c r="E40" s="211">
        <v>36.372164584811628</v>
      </c>
      <c r="F40" s="206">
        <v>53.189439497637615</v>
      </c>
      <c r="G40" s="207" t="s">
        <v>207</v>
      </c>
      <c r="H40" s="206">
        <v>14292.024855908721</v>
      </c>
      <c r="I40" s="206">
        <v>9747.0659963538128</v>
      </c>
      <c r="J40" s="206">
        <v>1128.3124710266552</v>
      </c>
      <c r="K40" s="206">
        <v>266.69</v>
      </c>
      <c r="L40" s="206">
        <v>6899.2176642987397</v>
      </c>
      <c r="M40" s="206">
        <v>34309.956063975158</v>
      </c>
      <c r="N40" s="120"/>
    </row>
    <row r="41" spans="1:65" ht="15" customHeight="1">
      <c r="A41" s="212">
        <v>2004</v>
      </c>
      <c r="B41" s="206">
        <v>1235.2520132036436</v>
      </c>
      <c r="C41" s="206">
        <v>559.20629439932907</v>
      </c>
      <c r="D41" s="206">
        <v>68.221053353019443</v>
      </c>
      <c r="E41" s="211">
        <v>32.245697511607844</v>
      </c>
      <c r="F41" s="206">
        <v>67.499392691315592</v>
      </c>
      <c r="G41" s="207" t="s">
        <v>207</v>
      </c>
      <c r="H41" s="206">
        <v>13237.600393465918</v>
      </c>
      <c r="I41" s="206">
        <v>9960.5653554826949</v>
      </c>
      <c r="J41" s="206">
        <v>832.34041616509035</v>
      </c>
      <c r="K41" s="206">
        <v>265.24</v>
      </c>
      <c r="L41" s="206">
        <v>6918.4197487788297</v>
      </c>
      <c r="M41" s="206">
        <v>33176.590365051452</v>
      </c>
      <c r="N41" s="120"/>
    </row>
    <row r="42" spans="1:65" ht="15" customHeight="1">
      <c r="A42" s="212">
        <v>2005</v>
      </c>
      <c r="B42" s="206">
        <v>1179.6881117459734</v>
      </c>
      <c r="C42" s="206">
        <v>534.73643589228084</v>
      </c>
      <c r="D42" s="206">
        <v>170.69525506006937</v>
      </c>
      <c r="E42" s="211">
        <v>28.007826574376686</v>
      </c>
      <c r="F42" s="206">
        <v>78.515824180567449</v>
      </c>
      <c r="G42" s="207" t="s">
        <v>207</v>
      </c>
      <c r="H42" s="206">
        <v>13017.28326089252</v>
      </c>
      <c r="I42" s="206">
        <v>10363.204866971857</v>
      </c>
      <c r="J42" s="206">
        <v>830.50753787745134</v>
      </c>
      <c r="K42" s="206">
        <v>188.51</v>
      </c>
      <c r="L42" s="206">
        <v>7226.6014610611655</v>
      </c>
      <c r="M42" s="206">
        <v>33617.750580256266</v>
      </c>
      <c r="N42" s="120"/>
    </row>
    <row r="43" spans="1:65" ht="15" customHeight="1">
      <c r="A43" s="212">
        <v>2006</v>
      </c>
      <c r="B43" s="206">
        <v>1130.5779200432621</v>
      </c>
      <c r="C43" s="206">
        <v>487.61874462715599</v>
      </c>
      <c r="D43" s="206">
        <v>177.79029955354378</v>
      </c>
      <c r="E43" s="211">
        <v>77.543167864144806</v>
      </c>
      <c r="F43" s="206">
        <v>106.23725760963013</v>
      </c>
      <c r="G43" s="207" t="s">
        <v>207</v>
      </c>
      <c r="H43" s="206">
        <v>12530.846714651076</v>
      </c>
      <c r="I43" s="206">
        <v>10139.148579366911</v>
      </c>
      <c r="J43" s="206">
        <v>808.93292777300076</v>
      </c>
      <c r="K43" s="206">
        <v>213.48946654426669</v>
      </c>
      <c r="L43" s="206">
        <v>7220.2826353769306</v>
      </c>
      <c r="M43" s="206">
        <v>32892.467713409918</v>
      </c>
      <c r="N43" s="120"/>
    </row>
    <row r="44" spans="1:65" ht="15" customHeight="1">
      <c r="A44" s="212">
        <v>2007</v>
      </c>
      <c r="B44" s="206">
        <v>1240.4875496309458</v>
      </c>
      <c r="C44" s="206">
        <v>513.05061144173726</v>
      </c>
      <c r="D44" s="206">
        <v>175.32459359523079</v>
      </c>
      <c r="E44" s="211">
        <v>59.161225011178054</v>
      </c>
      <c r="F44" s="206">
        <v>113.8087435253655</v>
      </c>
      <c r="G44" s="207" t="s">
        <v>207</v>
      </c>
      <c r="H44" s="206">
        <v>11630.301010071018</v>
      </c>
      <c r="I44" s="206">
        <v>10060.801902903399</v>
      </c>
      <c r="J44" s="206">
        <v>692.4816921754084</v>
      </c>
      <c r="K44" s="206">
        <v>276.33064723402265</v>
      </c>
      <c r="L44" s="206">
        <v>6826.8147628055231</v>
      </c>
      <c r="M44" s="206">
        <v>31588.56273839383</v>
      </c>
      <c r="N44" s="120"/>
    </row>
    <row r="45" spans="1:65" ht="15" customHeight="1" thickBot="1">
      <c r="A45" s="213">
        <v>2008</v>
      </c>
      <c r="B45" s="214">
        <v>1247.1148584760256</v>
      </c>
      <c r="C45" s="214">
        <v>441.84872705268845</v>
      </c>
      <c r="D45" s="214">
        <v>172.47868246461212</v>
      </c>
      <c r="E45" s="215">
        <v>42.107330618087126</v>
      </c>
      <c r="F45" s="214">
        <v>86.735275182598997</v>
      </c>
      <c r="G45" s="216" t="s">
        <v>207</v>
      </c>
      <c r="H45" s="214">
        <v>11393.001688985318</v>
      </c>
      <c r="I45" s="214">
        <v>9764.1980460827108</v>
      </c>
      <c r="J45" s="214">
        <v>690.26303439380911</v>
      </c>
      <c r="K45" s="214">
        <v>336.12423558524898</v>
      </c>
      <c r="L45" s="214">
        <v>6360.1296462422433</v>
      </c>
      <c r="M45" s="214">
        <v>30534.001525083346</v>
      </c>
      <c r="N45" s="120"/>
    </row>
    <row r="46" spans="1:65" ht="15" customHeight="1" thickTop="1">
      <c r="A46" s="121" t="s">
        <v>282</v>
      </c>
    </row>
    <row r="47" spans="1:65" ht="15" customHeight="1">
      <c r="B47" s="206"/>
      <c r="C47" s="206"/>
      <c r="D47" s="206"/>
      <c r="E47" s="206"/>
      <c r="F47" s="206"/>
      <c r="G47" s="206"/>
      <c r="H47" s="206"/>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row>
    <row r="48" spans="1:65">
      <c r="A48" s="122" t="s">
        <v>283</v>
      </c>
    </row>
  </sheetData>
  <pageMargins left="0.74803149606299213" right="0.74803149606299213" top="0.98425196850393704" bottom="0.98425196850393704" header="0.51181102362204722" footer="0.51181102362204722"/>
  <pageSetup paperSize="9" scale="64" orientation="landscape" r:id="rId1"/>
  <headerFooter alignWithMargins="0"/>
</worksheet>
</file>

<file path=xl/worksheets/sheet8.xml><?xml version="1.0" encoding="utf-8"?>
<worksheet xmlns="http://schemas.openxmlformats.org/spreadsheetml/2006/main" xmlns:r="http://schemas.openxmlformats.org/officeDocument/2006/relationships">
  <sheetPr codeName="Sheet171">
    <tabColor theme="7" tint="0.39997558519241921"/>
    <pageSetUpPr autoPageBreaks="0"/>
  </sheetPr>
  <dimension ref="A2:L55"/>
  <sheetViews>
    <sheetView showGridLines="0" showRowColHeaders="0" zoomScale="80" zoomScaleNormal="80" workbookViewId="0"/>
  </sheetViews>
  <sheetFormatPr defaultRowHeight="12.75"/>
  <cols>
    <col min="1" max="1" width="3.7109375" customWidth="1"/>
    <col min="2" max="2" width="12.7109375" customWidth="1"/>
    <col min="3" max="3" width="28.5703125" style="121" bestFit="1" customWidth="1"/>
    <col min="4" max="4" width="23.7109375" customWidth="1"/>
    <col min="5" max="5" width="10.140625" customWidth="1"/>
    <col min="6" max="6" width="13.85546875" bestFit="1" customWidth="1"/>
    <col min="8" max="8" width="10.28515625" bestFit="1" customWidth="1"/>
    <col min="9" max="9" width="15.140625" customWidth="1"/>
    <col min="10" max="10" width="13.28515625" bestFit="1" customWidth="1"/>
    <col min="11" max="11" width="11.140625" customWidth="1"/>
    <col min="12" max="12" width="12.85546875" customWidth="1"/>
  </cols>
  <sheetData>
    <row r="2" spans="1:12" ht="18.75">
      <c r="B2" s="29" t="s">
        <v>695</v>
      </c>
      <c r="C2" s="29"/>
      <c r="H2" s="29" t="s">
        <v>112</v>
      </c>
    </row>
    <row r="3" spans="1:12" ht="4.5" customHeight="1"/>
    <row r="4" spans="1:12" s="18" customFormat="1" ht="20.25" customHeight="1">
      <c r="B4" s="34" t="s">
        <v>85</v>
      </c>
      <c r="C4" s="34" t="s">
        <v>418</v>
      </c>
      <c r="D4" s="34" t="s">
        <v>419</v>
      </c>
      <c r="E4" s="35" t="s">
        <v>84</v>
      </c>
      <c r="F4" s="35" t="str">
        <f>Preferences.EnergyUnits</f>
        <v>TWh</v>
      </c>
      <c r="H4" s="398">
        <v>840</v>
      </c>
      <c r="I4" s="39" t="s">
        <v>87</v>
      </c>
      <c r="J4" s="18" t="s">
        <v>113</v>
      </c>
      <c r="K4" s="492">
        <f>H4*INDEX(Conversions.Energy.Joules, MATCH(I4, Conversions.Energy.Units, 0))/INDEX(Conversions.Energy.Joules, MATCH(L4, Conversions.Energy.Units, 0))</f>
        <v>3.024E+18</v>
      </c>
      <c r="L4" s="39" t="s">
        <v>734</v>
      </c>
    </row>
    <row r="5" spans="1:12" s="18" customFormat="1" ht="15.75">
      <c r="A5" s="753"/>
      <c r="B5" s="30" t="s">
        <v>86</v>
      </c>
      <c r="C5" s="30" t="s">
        <v>420</v>
      </c>
      <c r="D5" s="36" t="s">
        <v>95</v>
      </c>
      <c r="E5" s="31">
        <f>10^15</f>
        <v>1000000000000000</v>
      </c>
      <c r="F5" s="31">
        <f t="shared" ref="F5:F20" si="0">$E5/INDEX(Conversions.Energy.Joules, MATCH(F$4, Conversions.Energy.Units, 0))</f>
        <v>0.27777777777777779</v>
      </c>
    </row>
    <row r="6" spans="1:12" s="18" customFormat="1" ht="15.75">
      <c r="A6" s="753"/>
      <c r="B6" s="30" t="s">
        <v>110</v>
      </c>
      <c r="C6" s="30" t="s">
        <v>421</v>
      </c>
      <c r="D6" s="36" t="s">
        <v>111</v>
      </c>
      <c r="E6" s="31">
        <f>10^12</f>
        <v>1000000000000</v>
      </c>
      <c r="F6" s="31">
        <f t="shared" si="0"/>
        <v>2.7777777777777778E-4</v>
      </c>
      <c r="K6" s="399"/>
    </row>
    <row r="7" spans="1:12" s="18" customFormat="1" ht="15.75">
      <c r="A7" s="753"/>
      <c r="B7" s="30" t="s">
        <v>376</v>
      </c>
      <c r="C7" s="30" t="s">
        <v>422</v>
      </c>
      <c r="D7" s="36" t="s">
        <v>377</v>
      </c>
      <c r="E7" s="31">
        <f>10^9</f>
        <v>1000000000</v>
      </c>
      <c r="F7" s="31">
        <f t="shared" si="0"/>
        <v>2.7777777777777776E-7</v>
      </c>
    </row>
    <row r="8" spans="1:12" s="743" customFormat="1" ht="15.75">
      <c r="A8" s="753"/>
      <c r="B8" s="30" t="s">
        <v>734</v>
      </c>
      <c r="C8" s="30" t="s">
        <v>84</v>
      </c>
      <c r="D8" s="36" t="s">
        <v>735</v>
      </c>
      <c r="E8" s="31">
        <v>1</v>
      </c>
      <c r="F8" s="31">
        <f t="shared" si="0"/>
        <v>2.777777777777778E-16</v>
      </c>
    </row>
    <row r="9" spans="1:12" s="18" customFormat="1" ht="15.75">
      <c r="A9" s="753"/>
      <c r="B9" s="30" t="s">
        <v>384</v>
      </c>
      <c r="C9" s="30" t="s">
        <v>423</v>
      </c>
      <c r="D9" s="36" t="s">
        <v>385</v>
      </c>
      <c r="E9" s="31">
        <f>10^6</f>
        <v>1000000</v>
      </c>
      <c r="F9" s="31">
        <f t="shared" si="0"/>
        <v>2.7777777777777777E-10</v>
      </c>
    </row>
    <row r="10" spans="1:12" s="18" customFormat="1" ht="15.75">
      <c r="A10" s="753"/>
      <c r="B10" s="30" t="s">
        <v>88</v>
      </c>
      <c r="C10" s="30" t="s">
        <v>424</v>
      </c>
      <c r="D10" s="36" t="s">
        <v>96</v>
      </c>
      <c r="E10" s="31">
        <f>10^3*60*60</f>
        <v>3600000</v>
      </c>
      <c r="F10" s="31">
        <f t="shared" si="0"/>
        <v>1.0000000000000001E-9</v>
      </c>
    </row>
    <row r="11" spans="1:12" s="18" customFormat="1" ht="15.75">
      <c r="A11" s="753"/>
      <c r="B11" s="30" t="s">
        <v>285</v>
      </c>
      <c r="C11" s="30" t="s">
        <v>425</v>
      </c>
      <c r="D11" s="36" t="s">
        <v>286</v>
      </c>
      <c r="E11" s="31">
        <f>1000*60*60*365.25*60000000</f>
        <v>7.8894E+16</v>
      </c>
      <c r="F11" s="31">
        <f t="shared" si="0"/>
        <v>21.914999999999999</v>
      </c>
    </row>
    <row r="12" spans="1:12" s="18" customFormat="1" ht="15.75">
      <c r="A12" s="753"/>
      <c r="B12" s="30" t="s">
        <v>87</v>
      </c>
      <c r="C12" s="30" t="s">
        <v>426</v>
      </c>
      <c r="D12" s="36" t="s">
        <v>97</v>
      </c>
      <c r="E12" s="31">
        <f>10^12*60*60</f>
        <v>3600000000000000</v>
      </c>
      <c r="F12" s="31">
        <f t="shared" si="0"/>
        <v>1</v>
      </c>
    </row>
    <row r="13" spans="1:12" s="18" customFormat="1" ht="15.75">
      <c r="A13" s="753"/>
      <c r="B13" s="30" t="s">
        <v>389</v>
      </c>
      <c r="C13" s="30" t="s">
        <v>427</v>
      </c>
      <c r="D13" s="36" t="s">
        <v>415</v>
      </c>
      <c r="E13" s="31">
        <f>10^9*60*60</f>
        <v>3600000000000</v>
      </c>
      <c r="F13" s="31">
        <f t="shared" si="0"/>
        <v>1E-3</v>
      </c>
    </row>
    <row r="14" spans="1:12" s="18" customFormat="1" ht="15.75">
      <c r="A14" s="753"/>
      <c r="B14" s="30" t="s">
        <v>90</v>
      </c>
      <c r="C14" s="30" t="s">
        <v>428</v>
      </c>
      <c r="D14" s="36" t="s">
        <v>98</v>
      </c>
      <c r="E14" s="31">
        <f>41.868*10^9</f>
        <v>41868000000</v>
      </c>
      <c r="F14" s="31">
        <f t="shared" si="0"/>
        <v>1.163E-5</v>
      </c>
    </row>
    <row r="15" spans="1:12" s="18" customFormat="1" ht="15.75">
      <c r="A15" s="753"/>
      <c r="B15" s="30" t="s">
        <v>197</v>
      </c>
      <c r="C15" s="30" t="s">
        <v>429</v>
      </c>
      <c r="D15" s="36" t="s">
        <v>198</v>
      </c>
      <c r="E15" s="31">
        <f>E14*1000</f>
        <v>41868000000000</v>
      </c>
      <c r="F15" s="31">
        <f t="shared" si="0"/>
        <v>1.163E-2</v>
      </c>
    </row>
    <row r="16" spans="1:12" s="18" customFormat="1" ht="15.75">
      <c r="A16" s="753"/>
      <c r="B16" s="30" t="s">
        <v>89</v>
      </c>
      <c r="C16" s="30" t="s">
        <v>430</v>
      </c>
      <c r="D16" s="36" t="s">
        <v>99</v>
      </c>
      <c r="E16" s="31">
        <f>E14*1000000</f>
        <v>4.1868E+16</v>
      </c>
      <c r="F16" s="31">
        <f t="shared" si="0"/>
        <v>11.63</v>
      </c>
    </row>
    <row r="17" spans="1:6" s="18" customFormat="1" ht="15.75">
      <c r="A17" s="753"/>
      <c r="B17" s="30" t="s">
        <v>91</v>
      </c>
      <c r="C17" s="30" t="s">
        <v>431</v>
      </c>
      <c r="D17" s="36" t="s">
        <v>100</v>
      </c>
      <c r="E17" s="31">
        <f>41.868*10^9/396.83</f>
        <v>105506136.12882091</v>
      </c>
      <c r="F17" s="31">
        <f t="shared" si="0"/>
        <v>2.9307260035783588E-8</v>
      </c>
    </row>
    <row r="18" spans="1:6" s="18" customFormat="1" ht="15.75">
      <c r="A18" s="753"/>
      <c r="B18" s="30" t="s">
        <v>92</v>
      </c>
      <c r="C18" s="30" t="s">
        <v>432</v>
      </c>
      <c r="D18" s="36" t="s">
        <v>101</v>
      </c>
      <c r="E18" s="31">
        <f>E17/100000</f>
        <v>1055.0613612882091</v>
      </c>
      <c r="F18" s="31">
        <f t="shared" si="0"/>
        <v>2.9307260035783586E-13</v>
      </c>
    </row>
    <row r="19" spans="1:6" s="18" customFormat="1" ht="15.75">
      <c r="A19" s="753"/>
      <c r="B19" s="30" t="s">
        <v>93</v>
      </c>
      <c r="C19" s="30" t="s">
        <v>433</v>
      </c>
      <c r="D19" s="36" t="s">
        <v>102</v>
      </c>
      <c r="E19" s="31">
        <v>4.1840000000000002</v>
      </c>
      <c r="F19" s="31">
        <f t="shared" si="0"/>
        <v>1.1622222222222223E-15</v>
      </c>
    </row>
    <row r="20" spans="1:6" s="18" customFormat="1" ht="15.75">
      <c r="A20" s="753"/>
      <c r="B20" s="32" t="s">
        <v>94</v>
      </c>
      <c r="C20" s="32" t="s">
        <v>434</v>
      </c>
      <c r="D20" s="37" t="s">
        <v>103</v>
      </c>
      <c r="E20" s="33">
        <f>10^9*60*60*8765.8</f>
        <v>3.1556879999999996E+16</v>
      </c>
      <c r="F20" s="33">
        <f t="shared" si="0"/>
        <v>8.7657999999999987</v>
      </c>
    </row>
    <row r="22" spans="1:6">
      <c r="E22" s="28"/>
      <c r="F22" s="28"/>
    </row>
    <row r="23" spans="1:6" ht="18.75">
      <c r="B23" s="29" t="s">
        <v>696</v>
      </c>
      <c r="C23" s="29"/>
      <c r="D23" s="1"/>
      <c r="E23" s="1"/>
      <c r="F23" s="1"/>
    </row>
    <row r="24" spans="1:6" ht="4.5" customHeight="1">
      <c r="B24" s="1"/>
      <c r="C24" s="1"/>
      <c r="D24" s="1"/>
      <c r="E24" s="1"/>
      <c r="F24" s="1"/>
    </row>
    <row r="25" spans="1:6" ht="15.75">
      <c r="A25" s="3"/>
      <c r="B25" s="34" t="s">
        <v>85</v>
      </c>
      <c r="C25" s="34" t="s">
        <v>418</v>
      </c>
      <c r="D25" s="34" t="s">
        <v>419</v>
      </c>
      <c r="E25" s="695" t="s">
        <v>697</v>
      </c>
      <c r="F25" s="695" t="str">
        <f>Preferences.PowerUnits</f>
        <v>GW</v>
      </c>
    </row>
    <row r="26" spans="1:6" ht="15.75">
      <c r="A26" s="3"/>
      <c r="B26" s="30" t="s">
        <v>698</v>
      </c>
      <c r="C26" s="30" t="s">
        <v>700</v>
      </c>
      <c r="D26" s="36" t="s">
        <v>702</v>
      </c>
      <c r="E26" s="31">
        <v>1000000000</v>
      </c>
      <c r="F26" s="31">
        <f>$E26/INDEX(Conversions.Power.Watts, MATCH(F$25, Conversions.Power.Units, 0))</f>
        <v>1</v>
      </c>
    </row>
    <row r="27" spans="1:6" s="1" customFormat="1" ht="15.75">
      <c r="A27" s="3"/>
      <c r="B27" s="30" t="s">
        <v>704</v>
      </c>
      <c r="C27" s="30" t="s">
        <v>705</v>
      </c>
      <c r="D27" s="36" t="s">
        <v>706</v>
      </c>
      <c r="E27" s="31">
        <v>1000000</v>
      </c>
      <c r="F27" s="31">
        <f>$E27/INDEX(Conversions.Power.Watts, MATCH(F$25, Conversions.Power.Units, 0))</f>
        <v>1E-3</v>
      </c>
    </row>
    <row r="28" spans="1:6" ht="15.75">
      <c r="A28" s="3"/>
      <c r="B28" s="1" t="s">
        <v>699</v>
      </c>
      <c r="C28" s="1" t="s">
        <v>701</v>
      </c>
      <c r="D28" s="36" t="s">
        <v>703</v>
      </c>
      <c r="E28" s="31">
        <v>1000</v>
      </c>
      <c r="F28" s="31">
        <f>$E28/INDEX(Conversions.Power.Watts, MATCH(F$25, Conversions.Power.Units, 0))</f>
        <v>9.9999999999999995E-7</v>
      </c>
    </row>
    <row r="29" spans="1:6" s="121" customFormat="1" ht="15.75">
      <c r="A29" s="3"/>
      <c r="B29" s="121" t="s">
        <v>736</v>
      </c>
      <c r="C29" s="121" t="s">
        <v>697</v>
      </c>
      <c r="D29" s="36" t="s">
        <v>737</v>
      </c>
      <c r="E29" s="31">
        <v>1</v>
      </c>
      <c r="F29" s="31">
        <f>$E29/INDEX(Conversions.Power.Watts, MATCH(F$25, Conversions.Power.Units, 0))</f>
        <v>1.0000000000000001E-9</v>
      </c>
    </row>
    <row r="30" spans="1:6" ht="15.75">
      <c r="A30" s="3"/>
      <c r="B30" s="762" t="s">
        <v>707</v>
      </c>
      <c r="C30" s="762" t="s">
        <v>708</v>
      </c>
      <c r="D30" s="763" t="s">
        <v>709</v>
      </c>
      <c r="E30" s="764">
        <f>$E$16/Unit.year</f>
        <v>1326716860.597764</v>
      </c>
      <c r="F30" s="764">
        <f>$E30/INDEX(Conversions.Power.Watts, MATCH(F$25, Conversions.Power.Units, 0))</f>
        <v>1.3267168605977639</v>
      </c>
    </row>
    <row r="32" spans="1:6" ht="18.75">
      <c r="B32" s="29" t="s">
        <v>710</v>
      </c>
      <c r="C32" s="29"/>
      <c r="D32" s="1"/>
      <c r="E32" s="1"/>
      <c r="F32" s="1"/>
    </row>
    <row r="33" spans="1:8" ht="4.5" customHeight="1">
      <c r="B33" s="1"/>
      <c r="C33" s="1"/>
      <c r="D33" s="1"/>
      <c r="E33" s="1"/>
      <c r="F33" s="1"/>
    </row>
    <row r="34" spans="1:8" ht="15.75">
      <c r="A34" s="3"/>
      <c r="B34" s="34" t="s">
        <v>85</v>
      </c>
      <c r="C34" s="34" t="s">
        <v>418</v>
      </c>
      <c r="D34" s="34" t="s">
        <v>419</v>
      </c>
      <c r="E34" s="695"/>
      <c r="F34" s="695" t="s">
        <v>711</v>
      </c>
    </row>
    <row r="35" spans="1:8" ht="15.75">
      <c r="A35" s="3"/>
      <c r="B35" s="30" t="s">
        <v>712</v>
      </c>
      <c r="C35" s="30" t="s">
        <v>713</v>
      </c>
      <c r="D35" s="36" t="s">
        <v>714</v>
      </c>
      <c r="E35" s="31"/>
      <c r="F35" s="31">
        <f>365.25*Unit.day</f>
        <v>31557600</v>
      </c>
    </row>
    <row r="36" spans="1:8">
      <c r="B36" s="30" t="s">
        <v>1969</v>
      </c>
      <c r="C36" s="30" t="s">
        <v>1967</v>
      </c>
      <c r="D36" s="36" t="s">
        <v>1968</v>
      </c>
      <c r="E36" s="40"/>
      <c r="F36" s="2272">
        <f>Unit.hour*24</f>
        <v>86400</v>
      </c>
    </row>
    <row r="37" spans="1:8">
      <c r="B37" t="s">
        <v>1970</v>
      </c>
      <c r="C37" s="121" t="s">
        <v>1971</v>
      </c>
      <c r="D37" s="2159" t="s">
        <v>1972</v>
      </c>
      <c r="F37" s="1712">
        <f>Unit.minute*60</f>
        <v>3600</v>
      </c>
    </row>
    <row r="38" spans="1:8">
      <c r="B38" s="1553" t="s">
        <v>1973</v>
      </c>
      <c r="C38" s="1553" t="s">
        <v>1974</v>
      </c>
      <c r="D38" s="2273" t="s">
        <v>1975</v>
      </c>
      <c r="E38" s="1553"/>
      <c r="F38" s="2274">
        <v>60</v>
      </c>
    </row>
    <row r="39" spans="1:8" ht="15.75">
      <c r="A39" s="3"/>
    </row>
    <row r="40" spans="1:8" ht="18.75">
      <c r="B40" s="29" t="s">
        <v>1880</v>
      </c>
      <c r="C40" s="29"/>
      <c r="D40" s="121"/>
      <c r="E40" s="121"/>
      <c r="F40" s="121"/>
    </row>
    <row r="41" spans="1:8" ht="5.25" customHeight="1">
      <c r="B41" s="121"/>
      <c r="D41" s="121"/>
      <c r="E41" s="121"/>
      <c r="F41" s="121"/>
    </row>
    <row r="42" spans="1:8" ht="15.75">
      <c r="A42" s="3"/>
      <c r="B42" s="34" t="s">
        <v>85</v>
      </c>
      <c r="C42" s="34" t="s">
        <v>418</v>
      </c>
      <c r="D42" s="34" t="s">
        <v>419</v>
      </c>
      <c r="E42" s="695" t="s">
        <v>1888</v>
      </c>
      <c r="F42" s="695" t="str">
        <f>Preferences.AreaUnits</f>
        <v>M ha</v>
      </c>
    </row>
    <row r="43" spans="1:8" ht="15.75">
      <c r="A43" s="3"/>
      <c r="B43" s="30" t="s">
        <v>1881</v>
      </c>
      <c r="C43" s="30" t="s">
        <v>1882</v>
      </c>
      <c r="D43" s="36" t="s">
        <v>1883</v>
      </c>
      <c r="E43" s="31">
        <f>100^2</f>
        <v>10000</v>
      </c>
      <c r="F43" s="31">
        <f t="shared" ref="F43:F48" si="1">$E43/INDEX(Conversions.Area.m2, MATCH(F$42, Conversions.Area.Units, 0))</f>
        <v>9.9999999999999995E-7</v>
      </c>
    </row>
    <row r="44" spans="1:8" s="121" customFormat="1" ht="15.75">
      <c r="A44" s="3"/>
      <c r="B44" s="30" t="s">
        <v>2089</v>
      </c>
      <c r="C44" s="30" t="s">
        <v>2090</v>
      </c>
      <c r="D44" s="36" t="s">
        <v>2091</v>
      </c>
      <c r="E44" s="31">
        <f>E43*1000000</f>
        <v>10000000000</v>
      </c>
      <c r="F44" s="31">
        <f t="shared" si="1"/>
        <v>1</v>
      </c>
    </row>
    <row r="45" spans="1:8" ht="15.75">
      <c r="A45" s="3"/>
      <c r="B45" s="30" t="s">
        <v>1885</v>
      </c>
      <c r="C45" s="30" t="s">
        <v>1884</v>
      </c>
      <c r="D45" s="36" t="s">
        <v>1886</v>
      </c>
      <c r="E45" s="31">
        <v>4046.8564224000002</v>
      </c>
      <c r="F45" s="31">
        <f t="shared" si="1"/>
        <v>4.0468564224000004E-7</v>
      </c>
      <c r="H45" s="31"/>
    </row>
    <row r="46" spans="1:8" ht="15.75">
      <c r="A46" s="3"/>
      <c r="B46" s="121" t="s">
        <v>1887</v>
      </c>
      <c r="C46" s="121" t="s">
        <v>1889</v>
      </c>
      <c r="D46" s="36" t="s">
        <v>1891</v>
      </c>
      <c r="E46" s="31">
        <f>1000^2</f>
        <v>1000000</v>
      </c>
      <c r="F46" s="31">
        <f t="shared" si="1"/>
        <v>1E-4</v>
      </c>
    </row>
    <row r="47" spans="1:8" s="121" customFormat="1" ht="15.75">
      <c r="A47" s="3"/>
      <c r="B47" s="121" t="s">
        <v>1888</v>
      </c>
      <c r="C47" s="121" t="s">
        <v>1890</v>
      </c>
      <c r="D47" s="36" t="s">
        <v>1892</v>
      </c>
      <c r="E47" s="31">
        <v>1</v>
      </c>
      <c r="F47" s="31">
        <f t="shared" si="1"/>
        <v>1E-10</v>
      </c>
    </row>
    <row r="48" spans="1:8" ht="15.75">
      <c r="A48" s="3"/>
      <c r="B48" s="762" t="s">
        <v>1893</v>
      </c>
      <c r="C48" s="762" t="s">
        <v>1893</v>
      </c>
      <c r="D48" s="763" t="s">
        <v>1894</v>
      </c>
      <c r="E48" s="764">
        <f>20700*E46</f>
        <v>20700000000</v>
      </c>
      <c r="F48" s="764">
        <f t="shared" si="1"/>
        <v>2.0699999999999998</v>
      </c>
    </row>
    <row r="49" spans="1:6" s="121" customFormat="1" ht="15.75">
      <c r="A49" s="3"/>
      <c r="B49" s="40"/>
      <c r="C49" s="40"/>
      <c r="D49" s="2159"/>
      <c r="E49" s="2160"/>
      <c r="F49" s="2160"/>
    </row>
    <row r="50" spans="1:6" ht="18.75">
      <c r="B50" s="29" t="s">
        <v>1976</v>
      </c>
      <c r="D50" s="121"/>
      <c r="E50" s="121"/>
    </row>
    <row r="51" spans="1:6" s="121" customFormat="1" ht="6.75" customHeight="1">
      <c r="B51" s="29"/>
    </row>
    <row r="52" spans="1:6" ht="15.75">
      <c r="A52" s="3"/>
      <c r="B52" s="34" t="s">
        <v>1979</v>
      </c>
      <c r="C52" s="34" t="s">
        <v>418</v>
      </c>
      <c r="D52" s="34" t="s">
        <v>419</v>
      </c>
      <c r="E52" s="695" t="s">
        <v>1981</v>
      </c>
      <c r="F52" s="34" t="s">
        <v>1980</v>
      </c>
    </row>
    <row r="53" spans="1:6" ht="15.75">
      <c r="A53" s="3"/>
      <c r="B53" s="30" t="str">
        <f>Preferences.EnergyUnits</f>
        <v>TWh</v>
      </c>
      <c r="C53" s="30" t="s">
        <v>1977</v>
      </c>
      <c r="D53" s="36" t="s">
        <v>1978</v>
      </c>
      <c r="E53" s="2275">
        <f>(1/Unit.J)*(1/Unit.year)*Unit.W</f>
        <v>0.1140771161305042</v>
      </c>
      <c r="F53" s="2276" t="str">
        <f>Preferences.PowerUnits</f>
        <v>GW</v>
      </c>
    </row>
    <row r="54" spans="1:6" ht="15.75">
      <c r="A54" s="3"/>
      <c r="B54" s="2276" t="str">
        <f>Preferences.PowerUnits</f>
        <v>GW</v>
      </c>
      <c r="C54" s="30" t="s">
        <v>1982</v>
      </c>
      <c r="D54" s="36" t="s">
        <v>1983</v>
      </c>
      <c r="E54">
        <f>(1/Unit.W)*Unit.year*Unit.J</f>
        <v>8.766</v>
      </c>
      <c r="F54" s="787" t="str">
        <f>Preferences.EnergyUnits</f>
        <v>TWh</v>
      </c>
    </row>
    <row r="55" spans="1:6" ht="15.75">
      <c r="A55" s="3"/>
      <c r="B55" s="2312" t="str">
        <f>Preferences.PowerUnits</f>
        <v>GW</v>
      </c>
      <c r="C55" s="1553" t="s">
        <v>1986</v>
      </c>
      <c r="D55" s="37" t="s">
        <v>1987</v>
      </c>
      <c r="E55" s="1553">
        <f>Unit.J/Unit.W</f>
        <v>2.7777777777777776E-7</v>
      </c>
      <c r="F55" s="2316" t="str">
        <f>Preferences.EnergyUnits&amp;"/s"</f>
        <v>TWh/s</v>
      </c>
    </row>
  </sheetData>
  <dataValidations count="1">
    <dataValidation type="list" allowBlank="1" showInputMessage="1" showErrorMessage="1" sqref="I4 L4">
      <formula1>Conversions.Energy.Units</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18">
    <tabColor theme="7" tint="0.39997558519241921"/>
    <pageSetUpPr autoPageBreaks="0"/>
  </sheetPr>
  <dimension ref="A1:M29"/>
  <sheetViews>
    <sheetView showGridLines="0" showRowColHeaders="0" zoomScale="80" zoomScaleNormal="80" workbookViewId="0"/>
  </sheetViews>
  <sheetFormatPr defaultRowHeight="12.75"/>
  <cols>
    <col min="1" max="1" width="4.42578125" customWidth="1"/>
    <col min="2" max="5" width="13.85546875" customWidth="1"/>
    <col min="7" max="7" width="36.42578125" customWidth="1"/>
  </cols>
  <sheetData>
    <row r="1" spans="1:13" s="121" customFormat="1"/>
    <row r="2" spans="1:13" s="121" customFormat="1" ht="18.75">
      <c r="B2" s="29" t="s">
        <v>821</v>
      </c>
      <c r="G2" s="29" t="s">
        <v>786</v>
      </c>
    </row>
    <row r="4" spans="1:13" ht="22.5" customHeight="1">
      <c r="B4" s="854" t="s">
        <v>713</v>
      </c>
      <c r="C4" s="854" t="s">
        <v>819</v>
      </c>
      <c r="D4" s="854" t="s">
        <v>820</v>
      </c>
      <c r="E4" s="854" t="s">
        <v>824</v>
      </c>
      <c r="G4" s="1552" t="s">
        <v>1263</v>
      </c>
      <c r="H4" s="1552" t="s">
        <v>1264</v>
      </c>
      <c r="I4" s="1552" t="s">
        <v>1265</v>
      </c>
    </row>
    <row r="5" spans="1:13" ht="15.75">
      <c r="A5" s="3"/>
      <c r="B5" s="743">
        <v>2007</v>
      </c>
      <c r="C5" s="855">
        <v>60973000</v>
      </c>
      <c r="D5" s="855">
        <v>26042600</v>
      </c>
      <c r="E5" s="855">
        <v>1322842</v>
      </c>
      <c r="G5" s="855" t="s">
        <v>1262</v>
      </c>
      <c r="H5" s="1110" t="s">
        <v>1266</v>
      </c>
      <c r="I5">
        <v>100</v>
      </c>
      <c r="M5" s="1636"/>
    </row>
    <row r="6" spans="1:13" ht="15.75">
      <c r="A6" s="3"/>
      <c r="B6" s="743">
        <v>2010</v>
      </c>
      <c r="C6" s="855">
        <v>62222403</v>
      </c>
      <c r="D6" s="855">
        <v>26917400</v>
      </c>
      <c r="E6" s="855">
        <f>E5*(1.025)^3</f>
        <v>1424556.1481562499</v>
      </c>
      <c r="G6" s="855" t="s">
        <v>1269</v>
      </c>
      <c r="H6" s="1110" t="s">
        <v>1266</v>
      </c>
      <c r="I6">
        <v>110</v>
      </c>
      <c r="M6" s="1636"/>
    </row>
    <row r="7" spans="1:13" ht="15.75">
      <c r="A7" s="3"/>
      <c r="B7" s="743">
        <v>2015</v>
      </c>
      <c r="C7" s="855">
        <v>64344156</v>
      </c>
      <c r="D7" s="855">
        <v>28469000</v>
      </c>
      <c r="E7" s="855">
        <f t="shared" ref="E7:E14" si="0">E6*(1.025)^5</f>
        <v>1611754.5257478147</v>
      </c>
      <c r="M7" s="1636"/>
    </row>
    <row r="8" spans="1:13" ht="15.75">
      <c r="A8" s="3"/>
      <c r="B8" s="743">
        <v>2020</v>
      </c>
      <c r="C8" s="855">
        <v>66521962</v>
      </c>
      <c r="D8" s="855">
        <v>30004800</v>
      </c>
      <c r="E8" s="855">
        <f t="shared" si="0"/>
        <v>1823552.3075947112</v>
      </c>
      <c r="M8" s="1636"/>
    </row>
    <row r="9" spans="1:13" ht="15.75">
      <c r="A9" s="3"/>
      <c r="B9" s="743">
        <v>2025</v>
      </c>
      <c r="C9" s="855">
        <v>68647528</v>
      </c>
      <c r="D9" s="855">
        <v>31434800</v>
      </c>
      <c r="E9" s="855">
        <f t="shared" si="0"/>
        <v>2063182.0574483068</v>
      </c>
      <c r="M9" s="1636"/>
    </row>
    <row r="10" spans="1:13" ht="15.75">
      <c r="A10" s="3"/>
      <c r="B10" s="743">
        <v>2030</v>
      </c>
      <c r="C10" s="855">
        <v>70575666</v>
      </c>
      <c r="D10" s="855">
        <v>32744800</v>
      </c>
      <c r="E10" s="855">
        <f t="shared" si="0"/>
        <v>2334301.124485591</v>
      </c>
      <c r="M10" s="1636"/>
    </row>
    <row r="11" spans="1:13" ht="15.75">
      <c r="A11" s="3"/>
      <c r="B11" s="743">
        <v>2035</v>
      </c>
      <c r="C11" s="855">
        <v>72278230.000000015</v>
      </c>
      <c r="D11" s="855">
        <f>D10*(1.01)^5</f>
        <v>34415113.888514474</v>
      </c>
      <c r="E11" s="855">
        <f t="shared" si="0"/>
        <v>2641047.4636028181</v>
      </c>
      <c r="M11" s="1636"/>
    </row>
    <row r="12" spans="1:13" ht="15.75">
      <c r="A12" s="3"/>
      <c r="B12" s="743">
        <v>2040</v>
      </c>
      <c r="C12" s="855">
        <v>73853253</v>
      </c>
      <c r="D12" s="855">
        <f>D11*(1.01)^5</f>
        <v>36170630.572164804</v>
      </c>
      <c r="E12" s="855">
        <f t="shared" si="0"/>
        <v>2988102.7909541815</v>
      </c>
      <c r="M12" s="1636"/>
    </row>
    <row r="13" spans="1:13" ht="15.75">
      <c r="A13" s="3"/>
      <c r="B13" s="743">
        <v>2045</v>
      </c>
      <c r="C13" s="855">
        <v>75356458</v>
      </c>
      <c r="D13" s="855">
        <f>D12*(1.01)^5</f>
        <v>38015696.24979952</v>
      </c>
      <c r="E13" s="855">
        <f t="shared" si="0"/>
        <v>3380764.0386469583</v>
      </c>
      <c r="M13" s="1636"/>
    </row>
    <row r="14" spans="1:13">
      <c r="B14" s="743">
        <v>2050</v>
      </c>
      <c r="C14" s="855">
        <v>76789483</v>
      </c>
      <c r="D14" s="855">
        <f>D13*(1.01)^5</f>
        <v>39954878.82008817</v>
      </c>
      <c r="E14" s="855">
        <f t="shared" si="0"/>
        <v>3825024.199170446</v>
      </c>
      <c r="G14" s="1553"/>
      <c r="H14" s="1553"/>
      <c r="I14" s="1553"/>
      <c r="M14" s="1636"/>
    </row>
    <row r="16" spans="1:13">
      <c r="B16" s="731" t="s">
        <v>828</v>
      </c>
    </row>
    <row r="17" spans="2:3" s="121" customFormat="1">
      <c r="B17" s="731"/>
    </row>
    <row r="18" spans="2:3">
      <c r="B18" s="20" t="s">
        <v>826</v>
      </c>
      <c r="C18" s="121" t="s">
        <v>827</v>
      </c>
    </row>
    <row r="19" spans="2:3" s="121" customFormat="1">
      <c r="B19" s="20"/>
    </row>
    <row r="20" spans="2:3">
      <c r="B20" s="20" t="s">
        <v>825</v>
      </c>
      <c r="C20" s="121" t="s">
        <v>834</v>
      </c>
    </row>
    <row r="21" spans="2:3" s="121" customFormat="1">
      <c r="B21" s="20"/>
      <c r="C21" s="121" t="s">
        <v>1035</v>
      </c>
    </row>
    <row r="22" spans="2:3">
      <c r="B22" s="20"/>
      <c r="C22" s="121" t="s">
        <v>835</v>
      </c>
    </row>
    <row r="23" spans="2:3" s="121" customFormat="1">
      <c r="B23" s="20"/>
    </row>
    <row r="24" spans="2:3">
      <c r="B24" s="20" t="s">
        <v>822</v>
      </c>
      <c r="C24" s="121" t="s">
        <v>823</v>
      </c>
    </row>
    <row r="26" spans="2:3">
      <c r="B26" s="20" t="s">
        <v>1267</v>
      </c>
      <c r="C26" s="121" t="s">
        <v>1268</v>
      </c>
    </row>
    <row r="29" spans="2:3">
      <c r="C29" s="1456"/>
    </row>
  </sheetData>
  <pageMargins left="0.7" right="0.7" top="0.75" bottom="0.75" header="0.3" footer="0.3"/>
  <ignoredErrors>
    <ignoredError sqref="D5:D10 D11:D14" calculatedColumn="1"/>
  </ignoredErrors>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209</vt:i4>
      </vt:variant>
    </vt:vector>
  </HeadingPairs>
  <TitlesOfParts>
    <vt:vector size="281" baseType="lpstr">
      <vt:lpstr>Contents</vt:lpstr>
      <vt:lpstr>Instructions</vt:lpstr>
      <vt:lpstr>Control</vt:lpstr>
      <vt:lpstr>Glossary</vt:lpstr>
      <vt:lpstr>Preferences</vt:lpstr>
      <vt:lpstr>CHANGELOG</vt:lpstr>
      <vt:lpstr>Intermediate output</vt:lpstr>
      <vt:lpstr>Conversions</vt:lpstr>
      <vt:lpstr>Global assumptions</vt:lpstr>
      <vt:lpstr>Constants</vt:lpstr>
      <vt:lpstr>Combustion Emissions Factors</vt:lpstr>
      <vt:lpstr>{Workstreams}</vt:lpstr>
      <vt:lpstr>{Modules}</vt:lpstr>
      <vt:lpstr>{Energy vectors}</vt:lpstr>
      <vt:lpstr>{Emissions}</vt:lpstr>
      <vt:lpstr>I.a</vt:lpstr>
      <vt:lpstr>I.b</vt:lpstr>
      <vt:lpstr>II.a</vt:lpstr>
      <vt:lpstr>III.a.1</vt:lpstr>
      <vt:lpstr>III.a.2</vt:lpstr>
      <vt:lpstr>III.b</vt:lpstr>
      <vt:lpstr>III.c</vt:lpstr>
      <vt:lpstr>III.d</vt:lpstr>
      <vt:lpstr>IV.a</vt:lpstr>
      <vt:lpstr>IV.b</vt:lpstr>
      <vt:lpstr>IV.c</vt:lpstr>
      <vt:lpstr>V.a</vt:lpstr>
      <vt:lpstr>V.b</vt:lpstr>
      <vt:lpstr>VI.a</vt:lpstr>
      <vt:lpstr>VI.b</vt:lpstr>
      <vt:lpstr>VI.c</vt:lpstr>
      <vt:lpstr>VII.a</vt:lpstr>
      <vt:lpstr>VII.b</vt:lpstr>
      <vt:lpstr>VIII.a</vt:lpstr>
      <vt:lpstr>VII.c</vt:lpstr>
      <vt:lpstr>IX.a</vt:lpstr>
      <vt:lpstr>IX.c</vt:lpstr>
      <vt:lpstr>X.a</vt:lpstr>
      <vt:lpstr>X.b</vt:lpstr>
      <vt:lpstr>XI.a</vt:lpstr>
      <vt:lpstr>XII.a</vt:lpstr>
      <vt:lpstr>XII.b</vt:lpstr>
      <vt:lpstr>XII.c</vt:lpstr>
      <vt:lpstr>XII.e</vt:lpstr>
      <vt:lpstr>XIII.a</vt:lpstr>
      <vt:lpstr>XIV.a</vt:lpstr>
      <vt:lpstr>XV.a</vt:lpstr>
      <vt:lpstr>XV.b</vt:lpstr>
      <vt:lpstr>XVI.a</vt:lpstr>
      <vt:lpstr>XVII.a</vt:lpstr>
      <vt:lpstr>2007 (Actual, frozen)</vt:lpstr>
      <vt:lpstr>2007 (Consistent)</vt:lpstr>
      <vt:lpstr>2007</vt:lpstr>
      <vt:lpstr>2010</vt:lpstr>
      <vt:lpstr>2015</vt:lpstr>
      <vt:lpstr>2020</vt:lpstr>
      <vt:lpstr>2025</vt:lpstr>
      <vt:lpstr>2030</vt:lpstr>
      <vt:lpstr>2035</vt:lpstr>
      <vt:lpstr>2040</vt:lpstr>
      <vt:lpstr>2045</vt:lpstr>
      <vt:lpstr>2050</vt:lpstr>
      <vt:lpstr>DUKES 09 (1.2)</vt:lpstr>
      <vt:lpstr>DUKES 09 (1.9)</vt:lpstr>
      <vt:lpstr>DUKES 09 (2.5)</vt:lpstr>
      <vt:lpstr>DUKES 09 (5.1)</vt:lpstr>
      <vt:lpstr>DUKES 09 (5.6)</vt:lpstr>
      <vt:lpstr>DUKES 09 (7.2)</vt:lpstr>
      <vt:lpstr>DUKES 09 (7.4)</vt:lpstr>
      <vt:lpstr>DUKES 09 (A.1)</vt:lpstr>
      <vt:lpstr>DECC Energy Cons. (1.14)</vt:lpstr>
      <vt:lpstr>DECC Energy Cons. (4.1)</vt:lpstr>
      <vt:lpstr>III.c!_ftnref1</vt:lpstr>
      <vt:lpstr>I.a!Balancing.BoostableCapacity</vt:lpstr>
      <vt:lpstr>I.b!Balancing.BoostableCapacity</vt:lpstr>
      <vt:lpstr>II.a!Balancing.BoostableCapacity</vt:lpstr>
      <vt:lpstr>XII.a!Balancing.ShiftableCapacity</vt:lpstr>
      <vt:lpstr>Constants.Density.Diesel</vt:lpstr>
      <vt:lpstr>Constants.Density.MotorSpirit</vt:lpstr>
      <vt:lpstr>Constants.GCV.ATF</vt:lpstr>
      <vt:lpstr>Constants.GCV.Coal</vt:lpstr>
      <vt:lpstr>Constants.GCV.Coke</vt:lpstr>
      <vt:lpstr>Constants.GCV.CokeBreeze</vt:lpstr>
      <vt:lpstr>Constants.GCV.CrudeOil</vt:lpstr>
      <vt:lpstr>Constants.GCV.Diesel</vt:lpstr>
      <vt:lpstr>Constants.GCV.LandfillGas</vt:lpstr>
      <vt:lpstr>Constants.GCV.MotorSpirit</vt:lpstr>
      <vt:lpstr>Constants.GCV.NaturalGasProduced</vt:lpstr>
      <vt:lpstr>Constants.GCV.PetroleumProducts</vt:lpstr>
      <vt:lpstr>Conversion.to.annual.energy</vt:lpstr>
      <vt:lpstr>Conversion.to.average.power</vt:lpstr>
      <vt:lpstr>Conversion.to.energy.per.second</vt:lpstr>
      <vt:lpstr>Conversions.Area.m2</vt:lpstr>
      <vt:lpstr>Conversions.Area.Units</vt:lpstr>
      <vt:lpstr>Conversions.Energy.Joules</vt:lpstr>
      <vt:lpstr>Conversions.Energy.Units</vt:lpstr>
      <vt:lpstr>Conversions.Power.Units</vt:lpstr>
      <vt:lpstr>Conversions.Power.Watts</vt:lpstr>
      <vt:lpstr>EF.BlastFurnaceGas.CO2</vt:lpstr>
      <vt:lpstr>EF.Diesel.CH4</vt:lpstr>
      <vt:lpstr>EF.Diesel.CO2</vt:lpstr>
      <vt:lpstr>EF.Diesel.N2O</vt:lpstr>
      <vt:lpstr>EF.IndustrialCoal.CH4</vt:lpstr>
      <vt:lpstr>EF.IndustrialCoal.CO2</vt:lpstr>
      <vt:lpstr>EF.IndustrialCoal.N2O</vt:lpstr>
      <vt:lpstr>EF.NaturalGas.CH4</vt:lpstr>
      <vt:lpstr>EF.NaturalGas.CO2</vt:lpstr>
      <vt:lpstr>EF.NaturalGas.N2O</vt:lpstr>
      <vt:lpstr>Global.UKIncidentSolarEnergy</vt:lpstr>
      <vt:lpstr>Global.UKIncidentSolarEnergy_SouthFacing</vt:lpstr>
      <vt:lpstr>GWP.CH4</vt:lpstr>
      <vt:lpstr>GWP.N2O</vt:lpstr>
      <vt:lpstr>I.b.Scenario</vt:lpstr>
      <vt:lpstr>II.a.Scenario</vt:lpstr>
      <vt:lpstr>III.a.1.Scenario</vt:lpstr>
      <vt:lpstr>III.a.2.Scenario</vt:lpstr>
      <vt:lpstr>III.a.Scenario</vt:lpstr>
      <vt:lpstr>III.b.Scenario</vt:lpstr>
      <vt:lpstr>III.c.Scenario</vt:lpstr>
      <vt:lpstr>III.d.Scenario</vt:lpstr>
      <vt:lpstr>IV.a.Scenario</vt:lpstr>
      <vt:lpstr>IV.b.Scenario</vt:lpstr>
      <vt:lpstr>IV.c.Scenario</vt:lpstr>
      <vt:lpstr>IX.a.Scenario.Electrification</vt:lpstr>
      <vt:lpstr>IX.a.Scenario.Fuel</vt:lpstr>
      <vt:lpstr>IX.a.Scenario.Insulation</vt:lpstr>
      <vt:lpstr>IX.a.Scenario.ServiceDemand</vt:lpstr>
      <vt:lpstr>IX.c.Scenario.Demand</vt:lpstr>
      <vt:lpstr>IX.c.Scenario.Electrification</vt:lpstr>
      <vt:lpstr>IX.c.Scenario.Fuel</vt:lpstr>
      <vt:lpstr>Preferences.AreaUnits</vt:lpstr>
      <vt:lpstr>Preferences.EnergyUnits</vt:lpstr>
      <vt:lpstr>Preferences.PowerUnits</vt:lpstr>
      <vt:lpstr>Preferences.Unit.Energy</vt:lpstr>
      <vt:lpstr>Preferences.Unit.Power</vt:lpstr>
      <vt:lpstr>'DUKES 09 (1.2)'!Print_Area</vt:lpstr>
      <vt:lpstr>'DUKES 09 (1.9)'!Print_Area</vt:lpstr>
      <vt:lpstr>'DUKES 09 (2.5)'!Print_Area</vt:lpstr>
      <vt:lpstr>'DUKES 09 (5.1)'!Print_Area</vt:lpstr>
      <vt:lpstr>'DUKES 09 (5.6)'!Print_Area</vt:lpstr>
      <vt:lpstr>'DUKES 09 (7.2)'!Print_Area</vt:lpstr>
      <vt:lpstr>'DUKES 09 (7.4)'!Print_Area</vt:lpstr>
      <vt:lpstr>'DUKES 09 (A.1)'!Print_Area</vt:lpstr>
      <vt:lpstr>'2007'!this.Year</vt:lpstr>
      <vt:lpstr>'2007 (Consistent)'!this.Year</vt:lpstr>
      <vt:lpstr>'2010'!this.Year</vt:lpstr>
      <vt:lpstr>'2015'!this.Year</vt:lpstr>
      <vt:lpstr>'2020'!this.Year</vt:lpstr>
      <vt:lpstr>'2025'!this.Year</vt:lpstr>
      <vt:lpstr>'2030'!this.Year</vt:lpstr>
      <vt:lpstr>'2035'!this.Year</vt:lpstr>
      <vt:lpstr>'2040'!this.Year</vt:lpstr>
      <vt:lpstr>'2045'!this.Year</vt:lpstr>
      <vt:lpstr>'2050'!this.Year</vt:lpstr>
      <vt:lpstr>Unit.acre</vt:lpstr>
      <vt:lpstr>Unit.Btu</vt:lpstr>
      <vt:lpstr>Unit.calorie</vt:lpstr>
      <vt:lpstr>Unit.day</vt:lpstr>
      <vt:lpstr>Unit.GJ</vt:lpstr>
      <vt:lpstr>Unit.GW</vt:lpstr>
      <vt:lpstr>Unit.GWh</vt:lpstr>
      <vt:lpstr>Unit.GWyear</vt:lpstr>
      <vt:lpstr>Unit.ha</vt:lpstr>
      <vt:lpstr>Unit.hour</vt:lpstr>
      <vt:lpstr>Unit.J</vt:lpstr>
      <vt:lpstr>Unit.km2</vt:lpstr>
      <vt:lpstr>Unit.ktoe</vt:lpstr>
      <vt:lpstr>Unit.kW</vt:lpstr>
      <vt:lpstr>Unit.kWh</vt:lpstr>
      <vt:lpstr>Unit.kWh.p.d</vt:lpstr>
      <vt:lpstr>Unit.m2</vt:lpstr>
      <vt:lpstr>Unit.Mha</vt:lpstr>
      <vt:lpstr>Unit.minute</vt:lpstr>
      <vt:lpstr>Unit.MJ</vt:lpstr>
      <vt:lpstr>Unit.Mtoe</vt:lpstr>
      <vt:lpstr>Unit.Mtoe.y</vt:lpstr>
      <vt:lpstr>Unit.MW</vt:lpstr>
      <vt:lpstr>Unit.PJ</vt:lpstr>
      <vt:lpstr>Unit.therm</vt:lpstr>
      <vt:lpstr>Unit.TJ</vt:lpstr>
      <vt:lpstr>Unit.toe</vt:lpstr>
      <vt:lpstr>Unit.TWh</vt:lpstr>
      <vt:lpstr>Unit.W</vt:lpstr>
      <vt:lpstr>Unit.Wales</vt:lpstr>
      <vt:lpstr>Unit.year</vt:lpstr>
      <vt:lpstr>V.a.Scenario</vt:lpstr>
      <vt:lpstr>V.b.Scenario</vt:lpstr>
      <vt:lpstr>VI.a.Scenario</vt:lpstr>
      <vt:lpstr>VI.b.Scenario</vt:lpstr>
      <vt:lpstr>VI.c.Scenario</vt:lpstr>
      <vt:lpstr>VII.a.Scenario</vt:lpstr>
      <vt:lpstr>VII.c.Scenario</vt:lpstr>
      <vt:lpstr>X.a.Scenario.Demand</vt:lpstr>
      <vt:lpstr>X.a.Scenario.Technology</vt:lpstr>
      <vt:lpstr>X.b.Scenario.Demand</vt:lpstr>
      <vt:lpstr>X.b.Scenario.Technology</vt:lpstr>
      <vt:lpstr>XI.a.Scenario</vt:lpstr>
      <vt:lpstr>XII.a.Scenario.Demand</vt:lpstr>
      <vt:lpstr>XII.a.Scenario.Technology</vt:lpstr>
      <vt:lpstr>XII.b.Scenario</vt:lpstr>
      <vt:lpstr>XII.c.Scenario</vt:lpstr>
      <vt:lpstr>XII.e.Scenario</vt:lpstr>
      <vt:lpstr>XIV.a.Scenario</vt:lpstr>
      <vt:lpstr>'2007'!Year.Emissions</vt:lpstr>
      <vt:lpstr>'2010'!Year.Emissions</vt:lpstr>
      <vt:lpstr>'2015'!Year.Emissions</vt:lpstr>
      <vt:lpstr>'2020'!Year.Emissions</vt:lpstr>
      <vt:lpstr>'2025'!Year.Emissions</vt:lpstr>
      <vt:lpstr>'2030'!Year.Emissions</vt:lpstr>
      <vt:lpstr>'2035'!Year.Emissions</vt:lpstr>
      <vt:lpstr>'2040'!Year.Emissions</vt:lpstr>
      <vt:lpstr>'2045'!Year.Emissions</vt:lpstr>
      <vt:lpstr>'2050'!Year.Emissions</vt:lpstr>
      <vt:lpstr>'2007'!Year.EmissionsBySector</vt:lpstr>
      <vt:lpstr>'2050'!Year.EmissionsBySector</vt:lpstr>
      <vt:lpstr>'2007'!Year.GHG</vt:lpstr>
      <vt:lpstr>'2010'!Year.GHG</vt:lpstr>
      <vt:lpstr>'2015'!Year.GHG</vt:lpstr>
      <vt:lpstr>'2020'!Year.GHG</vt:lpstr>
      <vt:lpstr>'2025'!Year.GHG</vt:lpstr>
      <vt:lpstr>'2030'!Year.GHG</vt:lpstr>
      <vt:lpstr>'2035'!Year.GHG</vt:lpstr>
      <vt:lpstr>'2040'!Year.GHG</vt:lpstr>
      <vt:lpstr>'2045'!Year.GHG</vt:lpstr>
      <vt:lpstr>'2050'!Year.GHG</vt:lpstr>
      <vt:lpstr>'2007'!Year.IPCC</vt:lpstr>
      <vt:lpstr>'2010'!Year.IPCC</vt:lpstr>
      <vt:lpstr>'2015'!Year.IPCC</vt:lpstr>
      <vt:lpstr>'2020'!Year.IPCC</vt:lpstr>
      <vt:lpstr>'2025'!Year.IPCC</vt:lpstr>
      <vt:lpstr>'2030'!Year.IPCC</vt:lpstr>
      <vt:lpstr>'2035'!Year.IPCC</vt:lpstr>
      <vt:lpstr>'2040'!Year.IPCC</vt:lpstr>
      <vt:lpstr>'2045'!Year.IPCC</vt:lpstr>
      <vt:lpstr>'2050'!Year.IPCC</vt:lpstr>
      <vt:lpstr>'2007'!Year.Matrix</vt:lpstr>
      <vt:lpstr>'2007 (Consistent)'!Year.Matrix</vt:lpstr>
      <vt:lpstr>'2010'!Year.Matrix</vt:lpstr>
      <vt:lpstr>'2015'!Year.Matrix</vt:lpstr>
      <vt:lpstr>'2020'!Year.Matrix</vt:lpstr>
      <vt:lpstr>'2025'!Year.Matrix</vt:lpstr>
      <vt:lpstr>'2030'!Year.Matrix</vt:lpstr>
      <vt:lpstr>'2035'!Year.Matrix</vt:lpstr>
      <vt:lpstr>'2040'!Year.Matrix</vt:lpstr>
      <vt:lpstr>'2045'!Year.Matrix</vt:lpstr>
      <vt:lpstr>'2050'!Year.Matrix</vt:lpstr>
      <vt:lpstr>'2007'!Year.Modules</vt:lpstr>
      <vt:lpstr>'2007 (Consistent)'!Year.Modules</vt:lpstr>
      <vt:lpstr>'2010'!Year.Modules</vt:lpstr>
      <vt:lpstr>'2015'!Year.Modules</vt:lpstr>
      <vt:lpstr>'2020'!Year.Modules</vt:lpstr>
      <vt:lpstr>'2025'!Year.Modules</vt:lpstr>
      <vt:lpstr>'2030'!Year.Modules</vt:lpstr>
      <vt:lpstr>'2035'!Year.Modules</vt:lpstr>
      <vt:lpstr>'2040'!Year.Modules</vt:lpstr>
      <vt:lpstr>'2045'!Year.Modules</vt:lpstr>
      <vt:lpstr>'2050'!Year.Modules</vt:lpstr>
      <vt:lpstr>'2007'!Year.NetBalance</vt:lpstr>
      <vt:lpstr>'2007 (Actual, frozen)'!Year.NetBalance</vt:lpstr>
      <vt:lpstr>'2007 (Consistent)'!Year.NetBalance</vt:lpstr>
      <vt:lpstr>'2010'!Year.NetBalance</vt:lpstr>
      <vt:lpstr>'2015'!Year.NetBalance</vt:lpstr>
      <vt:lpstr>'2020'!Year.NetBalance</vt:lpstr>
      <vt:lpstr>'2025'!Year.NetBalance</vt:lpstr>
      <vt:lpstr>'2030'!Year.NetBalance</vt:lpstr>
      <vt:lpstr>'2035'!Year.NetBalance</vt:lpstr>
      <vt:lpstr>'2040'!Year.NetBalance</vt:lpstr>
      <vt:lpstr>'2045'!Year.NetBalance</vt:lpstr>
      <vt:lpstr>'2050'!Year.NetBalance</vt:lpstr>
      <vt:lpstr>'2007'!Year.Vectors</vt:lpstr>
      <vt:lpstr>'2007 (Actual, frozen)'!Year.Vectors</vt:lpstr>
      <vt:lpstr>'2007 (Consistent)'!Year.Vectors</vt:lpstr>
      <vt:lpstr>'2010'!Year.Vectors</vt:lpstr>
      <vt:lpstr>'2015'!Year.Vectors</vt:lpstr>
      <vt:lpstr>'2020'!Year.Vectors</vt:lpstr>
      <vt:lpstr>'2025'!Year.Vectors</vt:lpstr>
      <vt:lpstr>'2030'!Year.Vectors</vt:lpstr>
      <vt:lpstr>'2035'!Year.Vectors</vt:lpstr>
      <vt:lpstr>'2040'!Year.Vectors</vt:lpstr>
      <vt:lpstr>'2045'!Year.Vectors</vt:lpstr>
      <vt:lpstr>'2050'!Year.Vectors</vt:lpstr>
    </vt:vector>
  </TitlesOfParts>
  <Company>Defra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Geddes</dc:creator>
  <cp:lastModifiedBy>rgibson</cp:lastModifiedBy>
  <cp:lastPrinted>2010-01-05T11:54:31Z</cp:lastPrinted>
  <dcterms:created xsi:type="dcterms:W3CDTF">2009-09-22T13:50:50Z</dcterms:created>
  <dcterms:modified xsi:type="dcterms:W3CDTF">2010-07-26T10:30:56Z</dcterms:modified>
</cp:coreProperties>
</file>